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4.xml" ContentType="application/vnd.openxmlformats-officedocument.drawing+xml"/>
  <Override PartName="/xl/comments6.xml" ContentType="application/vnd.openxmlformats-officedocument.spreadsheetml.comment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5.xml" ContentType="application/vnd.openxmlformats-officedocument.drawing+xml"/>
  <Override PartName="/xl/comments7.xml" ContentType="application/vnd.openxmlformats-officedocument.spreadsheetml.comments+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harts/chart30.xml" ContentType="application/vnd.openxmlformats-officedocument.drawingml.chart+xml"/>
  <Override PartName="/xl/drawings/drawing7.xml" ContentType="application/vnd.openxmlformats-officedocument.drawingml.chartshape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Repositories\QGisPlugins\Herevea\toExcel\"/>
    </mc:Choice>
  </mc:AlternateContent>
  <bookViews>
    <workbookView xWindow="-20" yWindow="-20" windowWidth="14400" windowHeight="11760" tabRatio="599"/>
  </bookViews>
  <sheets>
    <sheet name="HE Total" sheetId="10" r:id="rId1"/>
    <sheet name="PEM Proyecto" sheetId="34" r:id="rId2"/>
    <sheet name="Seleccion proyecto HEREVEA02" sheetId="26" r:id="rId3"/>
    <sheet name="BCRR_REHAB" sheetId="33" r:id="rId4"/>
    <sheet name="BCRR DEMOLICION" sheetId="35" r:id="rId5"/>
    <sheet name="Características_proyectos" sheetId="24" r:id="rId6"/>
    <sheet name="Datos aux_desplegables" sheetId="27" r:id="rId7"/>
    <sheet name="Datos auxiliares proyectos " sheetId="11" r:id="rId8"/>
    <sheet name="Costes_Indirectos" sheetId="32" r:id="rId9"/>
    <sheet name="Huella maquinaria" sheetId="7" r:id="rId10"/>
    <sheet name="Huella mano de obra" sheetId="6" r:id="rId11"/>
    <sheet name="HE por Capitulos" sheetId="23" r:id="rId12"/>
    <sheet name="HE resumen todos proyectos" sheetId="22" r:id="rId13"/>
    <sheet name="Desglose Precios Auxiliares" sheetId="29" r:id="rId14"/>
    <sheet name="Huella materiales (2)" sheetId="31" r:id="rId15"/>
    <sheet name="Ascensor" sheetId="28" r:id="rId16"/>
    <sheet name="Huella materiales" sheetId="5" r:id="rId17"/>
    <sheet name="Datos_aux_materiales (2)" sheetId="30" r:id="rId18"/>
    <sheet name="Datos auxiliares materiales" sheetId="19" r:id="rId19"/>
    <sheet name="Huella consumo agua" sheetId="12" r:id="rId20"/>
    <sheet name="Huella residuos y s. consumida" sheetId="9" r:id="rId21"/>
    <sheet name="Datos auxiliares general" sheetId="13" r:id="rId22"/>
    <sheet name="Datos auxiliares maquinaria" sheetId="15" r:id="rId23"/>
    <sheet name="Datos auxiliares e. eléctrica" sheetId="18" r:id="rId24"/>
    <sheet name="Datos auxilares consumo agua" sheetId="16" r:id="rId25"/>
    <sheet name="Datos auxiliares mano de obra" sheetId="14" r:id="rId26"/>
    <sheet name="Datos auxiliares residuos" sheetId="17" r:id="rId27"/>
    <sheet name="Factores de equivalencia" sheetId="20" r:id="rId28"/>
    <sheet name="Inicio_Selecc_proyct_HEREVEA_01" sheetId="25" r:id="rId29"/>
  </sheets>
  <externalReferences>
    <externalReference r:id="rId30"/>
    <externalReference r:id="rId31"/>
    <externalReference r:id="rId32"/>
    <externalReference r:id="rId33"/>
    <externalReference r:id="rId34"/>
    <externalReference r:id="rId35"/>
    <externalReference r:id="rId36"/>
    <externalReference r:id="rId37"/>
  </externalReferences>
  <definedNames>
    <definedName name="_xlnm._FilterDatabase" localSheetId="4" hidden="1">'BCRR DEMOLICION'!$S$3:$S$46</definedName>
    <definedName name="_xlnm._FilterDatabase" localSheetId="3" hidden="1">BCRR_REHAB!$S$3:$S$5164</definedName>
    <definedName name="Casilla1" localSheetId="28">Inicio_Selecc_proyct_HEREVEA_01!$S$14</definedName>
    <definedName name="Casilla1" localSheetId="2">'Seleccion proyecto HEREVEA02'!$S$18</definedName>
    <definedName name="Casilla10" localSheetId="28">Inicio_Selecc_proyct_HEREVEA_01!$S$23</definedName>
    <definedName name="Casilla10" localSheetId="2">'Seleccion proyecto HEREVEA02'!$S$31</definedName>
    <definedName name="Casilla11" localSheetId="28">Inicio_Selecc_proyct_HEREVEA_01!$S$24</definedName>
    <definedName name="Casilla11" localSheetId="2">'Seleccion proyecto HEREVEA02'!$S$32</definedName>
    <definedName name="Casilla12" localSheetId="28">Inicio_Selecc_proyct_HEREVEA_01!$S$25</definedName>
    <definedName name="Casilla12" localSheetId="2">'Seleccion proyecto HEREVEA02'!$S$33</definedName>
    <definedName name="Casilla13" localSheetId="28">Inicio_Selecc_proyct_HEREVEA_01!$S$26</definedName>
    <definedName name="Casilla13" localSheetId="2">'Seleccion proyecto HEREVEA02'!$S$34</definedName>
    <definedName name="Casilla14" localSheetId="28">Inicio_Selecc_proyct_HEREVEA_01!$S$27</definedName>
    <definedName name="Casilla14" localSheetId="2">'Seleccion proyecto HEREVEA02'!$S$35</definedName>
    <definedName name="Casilla15" localSheetId="28">Inicio_Selecc_proyct_HEREVEA_01!$S$28</definedName>
    <definedName name="Casilla15" localSheetId="2">'Seleccion proyecto HEREVEA02'!$S$36</definedName>
    <definedName name="Casilla16" localSheetId="28">Inicio_Selecc_proyct_HEREVEA_01!$S$29</definedName>
    <definedName name="Casilla16" localSheetId="2">'Seleccion proyecto HEREVEA02'!$S$37</definedName>
    <definedName name="Casilla17" localSheetId="28">Inicio_Selecc_proyct_HEREVEA_01!$S$30</definedName>
    <definedName name="Casilla17" localSheetId="2">'Seleccion proyecto HEREVEA02'!#REF!</definedName>
    <definedName name="Casilla18" localSheetId="28">Inicio_Selecc_proyct_HEREVEA_01!$S$31</definedName>
    <definedName name="Casilla18" localSheetId="2">'Seleccion proyecto HEREVEA02'!$S$38</definedName>
    <definedName name="Casilla19" localSheetId="28">Inicio_Selecc_proyct_HEREVEA_01!#REF!</definedName>
    <definedName name="Casilla19" localSheetId="2">'Seleccion proyecto HEREVEA02'!#REF!</definedName>
    <definedName name="Casilla2" localSheetId="28">Inicio_Selecc_proyct_HEREVEA_01!$S$15</definedName>
    <definedName name="Casilla2" localSheetId="2">'Seleccion proyecto HEREVEA02'!$S$19</definedName>
    <definedName name="Casilla20" localSheetId="28">Inicio_Selecc_proyct_HEREVEA_01!$S$32</definedName>
    <definedName name="Casilla20" localSheetId="2">'Seleccion proyecto HEREVEA02'!$S$40</definedName>
    <definedName name="Casilla21" localSheetId="28">Inicio_Selecc_proyct_HEREVEA_01!$S$33</definedName>
    <definedName name="Casilla21" localSheetId="2">'Seleccion proyecto HEREVEA02'!$S$39</definedName>
    <definedName name="Casilla22" localSheetId="28">Inicio_Selecc_proyct_HEREVEA_01!$S$34</definedName>
    <definedName name="Casilla22" localSheetId="2">'Seleccion proyecto HEREVEA02'!$S$41</definedName>
    <definedName name="Casilla23" localSheetId="28">Inicio_Selecc_proyct_HEREVEA_01!#REF!</definedName>
    <definedName name="Casilla23" localSheetId="2">'Seleccion proyecto HEREVEA02'!#REF!</definedName>
    <definedName name="Casilla24" localSheetId="28">Inicio_Selecc_proyct_HEREVEA_01!$S$26</definedName>
    <definedName name="Casilla24" localSheetId="2">'Seleccion proyecto HEREVEA02'!$S$34</definedName>
    <definedName name="Casilla25" localSheetId="28">Inicio_Selecc_proyct_HEREVEA_01!$S$27</definedName>
    <definedName name="Casilla25" localSheetId="2">'Seleccion proyecto HEREVEA02'!$S$35</definedName>
    <definedName name="Casilla26" localSheetId="28">Inicio_Selecc_proyct_HEREVEA_01!$S$28</definedName>
    <definedName name="Casilla26" localSheetId="2">'Seleccion proyecto HEREVEA02'!$S$36</definedName>
    <definedName name="Casilla27" localSheetId="28">Inicio_Selecc_proyct_HEREVEA_01!$S$29</definedName>
    <definedName name="Casilla27" localSheetId="2">'Seleccion proyecto HEREVEA02'!$S$37</definedName>
    <definedName name="Casilla28" localSheetId="28">Inicio_Selecc_proyct_HEREVEA_01!$S$30</definedName>
    <definedName name="Casilla28" localSheetId="2">'Seleccion proyecto HEREVEA02'!#REF!</definedName>
    <definedName name="Casilla29" localSheetId="28">Inicio_Selecc_proyct_HEREVEA_01!$S$31</definedName>
    <definedName name="Casilla29" localSheetId="2">'Seleccion proyecto HEREVEA02'!$S$38</definedName>
    <definedName name="Casilla3" localSheetId="28">Inicio_Selecc_proyct_HEREVEA_01!$S$16</definedName>
    <definedName name="Casilla3" localSheetId="2">'Seleccion proyecto HEREVEA02'!$S$20</definedName>
    <definedName name="Casilla30" localSheetId="28">Inicio_Selecc_proyct_HEREVEA_01!#REF!</definedName>
    <definedName name="Casilla30" localSheetId="2">'Seleccion proyecto HEREVEA02'!#REF!</definedName>
    <definedName name="Casilla31" localSheetId="28">Inicio_Selecc_proyct_HEREVEA_01!$S$32</definedName>
    <definedName name="Casilla31" localSheetId="2">'Seleccion proyecto HEREVEA02'!$S$40</definedName>
    <definedName name="Casilla32" localSheetId="28">Inicio_Selecc_proyct_HEREVEA_01!$S$33</definedName>
    <definedName name="Casilla32" localSheetId="2">'Seleccion proyecto HEREVEA02'!$S$39</definedName>
    <definedName name="Casilla33" localSheetId="28">Inicio_Selecc_proyct_HEREVEA_01!$S$34</definedName>
    <definedName name="Casilla33" localSheetId="2">'Seleccion proyecto HEREVEA02'!$S$41</definedName>
    <definedName name="Casilla34" localSheetId="28">Inicio_Selecc_proyct_HEREVEA_01!#REF!</definedName>
    <definedName name="Casilla34" localSheetId="2">'Seleccion proyecto HEREVEA02'!#REF!</definedName>
    <definedName name="Casilla35" localSheetId="28">Inicio_Selecc_proyct_HEREVEA_01!$S$35</definedName>
    <definedName name="Casilla35" localSheetId="2">'Seleccion proyecto HEREVEA02'!$S$42</definedName>
    <definedName name="Casilla36" localSheetId="28">Inicio_Selecc_proyct_HEREVEA_01!$S$36</definedName>
    <definedName name="Casilla36" localSheetId="2">'Seleccion proyecto HEREVEA02'!$S$43</definedName>
    <definedName name="Casilla37" localSheetId="28">Inicio_Selecc_proyct_HEREVEA_01!$S$37</definedName>
    <definedName name="Casilla37" localSheetId="2">'Seleccion proyecto HEREVEA02'!$S$44</definedName>
    <definedName name="Casilla38" localSheetId="28">Inicio_Selecc_proyct_HEREVEA_01!$S$38</definedName>
    <definedName name="Casilla38" localSheetId="2">'Seleccion proyecto HEREVEA02'!$S$45</definedName>
    <definedName name="Casilla39" localSheetId="28">Inicio_Selecc_proyct_HEREVEA_01!$S$39</definedName>
    <definedName name="Casilla39" localSheetId="2">'Seleccion proyecto HEREVEA02'!$S$46</definedName>
    <definedName name="Casilla4" localSheetId="28">Inicio_Selecc_proyct_HEREVEA_01!$S$17</definedName>
    <definedName name="Casilla4" localSheetId="2">'Seleccion proyecto HEREVEA02'!$S$21</definedName>
    <definedName name="Casilla40" localSheetId="28">Inicio_Selecc_proyct_HEREVEA_01!$S$40</definedName>
    <definedName name="Casilla40" localSheetId="2">'Seleccion proyecto HEREVEA02'!$S$47</definedName>
    <definedName name="Casilla41" localSheetId="28">Inicio_Selecc_proyct_HEREVEA_01!$S$41</definedName>
    <definedName name="Casilla41" localSheetId="2">'Seleccion proyecto HEREVEA02'!$S$48</definedName>
    <definedName name="Casilla42" localSheetId="28">Inicio_Selecc_proyct_HEREVEA_01!$S$42</definedName>
    <definedName name="Casilla42" localSheetId="2">'Seleccion proyecto HEREVEA02'!$S$49</definedName>
    <definedName name="Casilla43" localSheetId="28">Inicio_Selecc_proyct_HEREVEA_01!$S$43</definedName>
    <definedName name="Casilla43" localSheetId="2">'Seleccion proyecto HEREVEA02'!$S$50</definedName>
    <definedName name="Casilla44" localSheetId="28">Inicio_Selecc_proyct_HEREVEA_01!$S$44</definedName>
    <definedName name="Casilla44" localSheetId="2">'Seleccion proyecto HEREVEA02'!#REF!</definedName>
    <definedName name="Casilla45" localSheetId="28">Inicio_Selecc_proyct_HEREVEA_01!$S$45</definedName>
    <definedName name="Casilla45" localSheetId="2">'Seleccion proyecto HEREVEA02'!$S$51</definedName>
    <definedName name="Casilla46" localSheetId="28">Inicio_Selecc_proyct_HEREVEA_01!$S$46</definedName>
    <definedName name="Casilla46" localSheetId="2">'Seleccion proyecto HEREVEA02'!$S$52</definedName>
    <definedName name="Casilla47" localSheetId="28">Inicio_Selecc_proyct_HEREVEA_01!$S$47</definedName>
    <definedName name="Casilla47" localSheetId="2">'Seleccion proyecto HEREVEA02'!$S$53</definedName>
    <definedName name="Casilla48" localSheetId="28">Inicio_Selecc_proyct_HEREVEA_01!$S$48</definedName>
    <definedName name="Casilla48" localSheetId="2">'Seleccion proyecto HEREVEA02'!$S$54</definedName>
    <definedName name="Casilla49" localSheetId="28">Inicio_Selecc_proyct_HEREVEA_01!$S$49</definedName>
    <definedName name="Casilla49" localSheetId="2">'Seleccion proyecto HEREVEA02'!$S$55</definedName>
    <definedName name="Casilla5" localSheetId="28">Inicio_Selecc_proyct_HEREVEA_01!$S$18</definedName>
    <definedName name="Casilla5" localSheetId="2">'Seleccion proyecto HEREVEA02'!$S$22</definedName>
    <definedName name="Casilla50" localSheetId="28">Inicio_Selecc_proyct_HEREVEA_01!$S$50</definedName>
    <definedName name="Casilla50" localSheetId="2">'Seleccion proyecto HEREVEA02'!$S$56</definedName>
    <definedName name="Casilla51" localSheetId="28">Inicio_Selecc_proyct_HEREVEA_01!$S$51</definedName>
    <definedName name="Casilla51" localSheetId="2">'Seleccion proyecto HEREVEA02'!$S$57</definedName>
    <definedName name="Casilla52" localSheetId="28">Inicio_Selecc_proyct_HEREVEA_01!$S$52</definedName>
    <definedName name="Casilla52" localSheetId="2">'Seleccion proyecto HEREVEA02'!$S$58</definedName>
    <definedName name="Casilla53" localSheetId="28">Inicio_Selecc_proyct_HEREVEA_01!$S$53</definedName>
    <definedName name="Casilla53" localSheetId="2">'Seleccion proyecto HEREVEA02'!$S$59</definedName>
    <definedName name="Casilla54" localSheetId="28">Inicio_Selecc_proyct_HEREVEA_01!$S$54</definedName>
    <definedName name="Casilla54" localSheetId="2">'Seleccion proyecto HEREVEA02'!$S$60</definedName>
    <definedName name="Casilla55" localSheetId="28">Inicio_Selecc_proyct_HEREVEA_01!$S$55</definedName>
    <definedName name="Casilla55" localSheetId="2">'Seleccion proyecto HEREVEA02'!$S$61</definedName>
    <definedName name="Casilla56" localSheetId="28">Inicio_Selecc_proyct_HEREVEA_01!$S$56</definedName>
    <definedName name="Casilla56" localSheetId="2">'Seleccion proyecto HEREVEA02'!$S$70</definedName>
    <definedName name="Casilla6" localSheetId="28">Inicio_Selecc_proyct_HEREVEA_01!$S$19</definedName>
    <definedName name="Casilla6" localSheetId="2">'Seleccion proyecto HEREVEA02'!$S$23</definedName>
    <definedName name="Casilla7" localSheetId="28">Inicio_Selecc_proyct_HEREVEA_01!$S$20</definedName>
    <definedName name="Casilla7" localSheetId="2">'Seleccion proyecto HEREVEA02'!$S$24</definedName>
    <definedName name="Casilla8" localSheetId="28">Inicio_Selecc_proyct_HEREVEA_01!$S$21</definedName>
    <definedName name="Casilla8" localSheetId="2">'Seleccion proyecto HEREVEA02'!$S$28</definedName>
    <definedName name="Casilla9" localSheetId="28">Inicio_Selecc_proyct_HEREVEA_01!$S$22</definedName>
    <definedName name="Casilla9" localSheetId="2">'Seleccion proyecto HEREVEA02'!$S$30</definedName>
    <definedName name="excavación" localSheetId="4">#REF!</definedName>
    <definedName name="excavación" localSheetId="3">#REF!</definedName>
    <definedName name="excavación" localSheetId="13">'[1]Selección proyecto'!$P$4:$P$5</definedName>
    <definedName name="excavación" localSheetId="28">Inicio_Selecc_proyct_HEREVEA_01!$S$4:$S$5</definedName>
    <definedName name="excavación" localSheetId="2">'Seleccion proyecto HEREVEA02'!$S$6:$S$7</definedName>
    <definedName name="excavación">#REF!</definedName>
    <definedName name="_xlnm.Print_Area" localSheetId="19">'Huella consumo agua'!$A$1:$C$17</definedName>
    <definedName name="_xlnm.Print_Area" localSheetId="28">Inicio_Selecc_proyct_HEREVEA_01!$A$2:$L$87</definedName>
    <definedName name="_xlnm.Print_Area" localSheetId="2">'Seleccion proyecto HEREVEA02'!$A$4:$L$89</definedName>
  </definedNames>
  <calcPr calcId="152511"/>
</workbook>
</file>

<file path=xl/calcChain.xml><?xml version="1.0" encoding="utf-8"?>
<calcChain xmlns="http://schemas.openxmlformats.org/spreadsheetml/2006/main">
  <c r="I9692" i="33" l="1"/>
  <c r="G9432" i="33"/>
  <c r="I9252" i="33"/>
  <c r="G8584" i="33"/>
  <c r="G7813" i="33"/>
  <c r="G7120" i="33"/>
  <c r="I9609" i="33" l="1"/>
  <c r="I9162" i="33"/>
  <c r="I9072" i="33"/>
  <c r="I8330" i="33"/>
  <c r="I8084" i="33"/>
  <c r="I7813" i="33"/>
  <c r="I7441" i="33"/>
  <c r="I7278" i="33"/>
  <c r="I7120" i="33"/>
  <c r="I6899" i="33"/>
  <c r="I6785" i="33"/>
  <c r="I6585" i="33"/>
  <c r="I6237" i="33"/>
  <c r="I5063" i="33"/>
  <c r="I4014" i="33"/>
  <c r="I3734" i="33"/>
  <c r="I2352" i="33"/>
  <c r="I1987" i="33"/>
  <c r="I1793" i="33"/>
  <c r="I1382" i="33"/>
  <c r="I1255" i="33"/>
  <c r="I1159" i="33"/>
  <c r="I974" i="33"/>
  <c r="I795" i="33"/>
  <c r="I695" i="33"/>
  <c r="I598" i="33"/>
  <c r="I499" i="33"/>
  <c r="I406" i="33"/>
  <c r="I296" i="33"/>
  <c r="I152" i="33"/>
  <c r="I64" i="33"/>
  <c r="I5834" i="33"/>
  <c r="I5719" i="33"/>
  <c r="I5627" i="33"/>
  <c r="G5182" i="33"/>
  <c r="I4717" i="33"/>
  <c r="I4561" i="33"/>
  <c r="I4486" i="33"/>
  <c r="I4325" i="33"/>
  <c r="G4143" i="33"/>
  <c r="I4143" i="33"/>
  <c r="I3863" i="33"/>
  <c r="I3287" i="33"/>
  <c r="I2842" i="33"/>
  <c r="I1547" i="33"/>
  <c r="G296" i="33"/>
  <c r="G152" i="33"/>
  <c r="G9025" i="33"/>
  <c r="K8088" i="33"/>
  <c r="P8088" i="33" s="1"/>
  <c r="K8087" i="33"/>
  <c r="P8087" i="33" s="1"/>
  <c r="O8317" i="33"/>
  <c r="O8313" i="33"/>
  <c r="O8312" i="33"/>
  <c r="O8311" i="33"/>
  <c r="K8309" i="33"/>
  <c r="O8301" i="33"/>
  <c r="O8297" i="33"/>
  <c r="O8296" i="33"/>
  <c r="K8294" i="33"/>
  <c r="K8301" i="33" s="1"/>
  <c r="O8286" i="33"/>
  <c r="O8282" i="33"/>
  <c r="O8199" i="33"/>
  <c r="H8188" i="33"/>
  <c r="H8187" i="33"/>
  <c r="O8180" i="33"/>
  <c r="K8153" i="33"/>
  <c r="K8160" i="33" s="1"/>
  <c r="P8160" i="33" s="1"/>
  <c r="O8157" i="33"/>
  <c r="O8158" i="33"/>
  <c r="O8159" i="33"/>
  <c r="O8160" i="33"/>
  <c r="N8169" i="33"/>
  <c r="H8169" i="33"/>
  <c r="O8169" i="33" s="1"/>
  <c r="N8168" i="33"/>
  <c r="H8168" i="33"/>
  <c r="O8166" i="33"/>
  <c r="O8156" i="33"/>
  <c r="O8155" i="33"/>
  <c r="H8140" i="33"/>
  <c r="O8140" i="33" s="1"/>
  <c r="H8139" i="33"/>
  <c r="H8138" i="33"/>
  <c r="O8138" i="33" s="1"/>
  <c r="H8137" i="33"/>
  <c r="O8137" i="33" s="1"/>
  <c r="H8136" i="33"/>
  <c r="O8136" i="33" s="1"/>
  <c r="H8134" i="33"/>
  <c r="H8133" i="33"/>
  <c r="O8133" i="33" s="1"/>
  <c r="H8132" i="33"/>
  <c r="H8131" i="33"/>
  <c r="O8124" i="33"/>
  <c r="O8149" i="33"/>
  <c r="O8146" i="33"/>
  <c r="O8144" i="33"/>
  <c r="O8145" i="33"/>
  <c r="O8128" i="33"/>
  <c r="O8129" i="33"/>
  <c r="N8140" i="33"/>
  <c r="N8139" i="33"/>
  <c r="N8138" i="33"/>
  <c r="N8137" i="33"/>
  <c r="N8136" i="33"/>
  <c r="N8134" i="33"/>
  <c r="N8133" i="33"/>
  <c r="N8132" i="33"/>
  <c r="N8131" i="33"/>
  <c r="K8155" i="33" l="1"/>
  <c r="P8155" i="33" s="1"/>
  <c r="O8309" i="33"/>
  <c r="P8309" i="33" s="1"/>
  <c r="O8294" i="33"/>
  <c r="P8294" i="33" s="1"/>
  <c r="K8311" i="33"/>
  <c r="K8313" i="33"/>
  <c r="K8312" i="33"/>
  <c r="K8317" i="33"/>
  <c r="P8301" i="33"/>
  <c r="K8297" i="33"/>
  <c r="K8296" i="33"/>
  <c r="K8157" i="33"/>
  <c r="P8157" i="33" s="1"/>
  <c r="K8156" i="33"/>
  <c r="K8166" i="33"/>
  <c r="P8166" i="33" s="1"/>
  <c r="N8135" i="33"/>
  <c r="K8158" i="33"/>
  <c r="K8159" i="33"/>
  <c r="N8130" i="33"/>
  <c r="N8167" i="33"/>
  <c r="K8168" i="33"/>
  <c r="P8168" i="33" s="1"/>
  <c r="K8169" i="33"/>
  <c r="P8169" i="33" s="1"/>
  <c r="O8168" i="33"/>
  <c r="O8167" i="33" s="1"/>
  <c r="O8153" i="33" s="1"/>
  <c r="P8153" i="33" s="1"/>
  <c r="O8132" i="33"/>
  <c r="O8131" i="33"/>
  <c r="O8134" i="33"/>
  <c r="O8139" i="33"/>
  <c r="O8135" i="33" s="1"/>
  <c r="O8143" i="33"/>
  <c r="O8127" i="33"/>
  <c r="O8126" i="33"/>
  <c r="O8125" i="33"/>
  <c r="K8122" i="33"/>
  <c r="K8131" i="33" s="1"/>
  <c r="O8100" i="33"/>
  <c r="O8094" i="33" s="1"/>
  <c r="K8094" i="33"/>
  <c r="O8281" i="33"/>
  <c r="K8279" i="33"/>
  <c r="O8271" i="33"/>
  <c r="O8267" i="33"/>
  <c r="O8266" i="33"/>
  <c r="K8264" i="33"/>
  <c r="K8267" i="33" s="1"/>
  <c r="O8256" i="33"/>
  <c r="O8252" i="33"/>
  <c r="O8251" i="33"/>
  <c r="K8249" i="33"/>
  <c r="K8252" i="33" s="1"/>
  <c r="O8241" i="33"/>
  <c r="O8237" i="33"/>
  <c r="O8236" i="33"/>
  <c r="K8234" i="33"/>
  <c r="K8237" i="33" s="1"/>
  <c r="N8226" i="33"/>
  <c r="H8226" i="33"/>
  <c r="O8226" i="33" s="1"/>
  <c r="N8225" i="33"/>
  <c r="H8225" i="33"/>
  <c r="O8225" i="33" s="1"/>
  <c r="O8223" i="33"/>
  <c r="O8220" i="33"/>
  <c r="O8219" i="33"/>
  <c r="O8218" i="33"/>
  <c r="O8217" i="33"/>
  <c r="K8215" i="33"/>
  <c r="K8220" i="33" s="1"/>
  <c r="N8207" i="33"/>
  <c r="H8207" i="33"/>
  <c r="O8207" i="33" s="1"/>
  <c r="N8206" i="33"/>
  <c r="H8206" i="33"/>
  <c r="O8206" i="33" s="1"/>
  <c r="O8204" i="33"/>
  <c r="O8201" i="33"/>
  <c r="O8200" i="33"/>
  <c r="O8198" i="33"/>
  <c r="K8196" i="33"/>
  <c r="N8188" i="33"/>
  <c r="O8188" i="33"/>
  <c r="N8187" i="33"/>
  <c r="O8187" i="33"/>
  <c r="O8185" i="33"/>
  <c r="O8181" i="33"/>
  <c r="O8182" i="33"/>
  <c r="O8179" i="33"/>
  <c r="K8177" i="33"/>
  <c r="O8114" i="33"/>
  <c r="O8108" i="33" s="1"/>
  <c r="K8108" i="33"/>
  <c r="K8114" i="33" s="1"/>
  <c r="N8091" i="33"/>
  <c r="H8091" i="33"/>
  <c r="K8091" i="33" s="1"/>
  <c r="N8090" i="33"/>
  <c r="H8090" i="33"/>
  <c r="O8088" i="33"/>
  <c r="O8087" i="33"/>
  <c r="I7035" i="33"/>
  <c r="I4867" i="33"/>
  <c r="H5821" i="33"/>
  <c r="H5820" i="33"/>
  <c r="H5819" i="33"/>
  <c r="H5818" i="33"/>
  <c r="H5826" i="33"/>
  <c r="H5825" i="33"/>
  <c r="K5773" i="33"/>
  <c r="H5786" i="33"/>
  <c r="O5786" i="33" s="1"/>
  <c r="H5785" i="33"/>
  <c r="H5780" i="33"/>
  <c r="H5779" i="33"/>
  <c r="H5778" i="33"/>
  <c r="O5778" i="33" s="1"/>
  <c r="H5777" i="33"/>
  <c r="O5777" i="33" s="1"/>
  <c r="O5775" i="33"/>
  <c r="K5788" i="33"/>
  <c r="K5787" i="33"/>
  <c r="N5786" i="33"/>
  <c r="N5785" i="33"/>
  <c r="N5780" i="33"/>
  <c r="N5779" i="33"/>
  <c r="N5778" i="33"/>
  <c r="N5777" i="33"/>
  <c r="O5847" i="33"/>
  <c r="K5846" i="33"/>
  <c r="K5845" i="33"/>
  <c r="O5843" i="33"/>
  <c r="O5842" i="33"/>
  <c r="K5836" i="33"/>
  <c r="K5847" i="33" s="1"/>
  <c r="N5784" i="33" l="1"/>
  <c r="N8089" i="33"/>
  <c r="K8282" i="33"/>
  <c r="K8286" i="33"/>
  <c r="P8286" i="33" s="1"/>
  <c r="K8201" i="33"/>
  <c r="P8201" i="33" s="1"/>
  <c r="K8199" i="33"/>
  <c r="P8199" i="33" s="1"/>
  <c r="O8090" i="33"/>
  <c r="K8090" i="33"/>
  <c r="P8313" i="33"/>
  <c r="P8311" i="33"/>
  <c r="P8317" i="33"/>
  <c r="P8312" i="33"/>
  <c r="P8296" i="33"/>
  <c r="P8297" i="33"/>
  <c r="P8282" i="33"/>
  <c r="K8180" i="33"/>
  <c r="P8180" i="33" s="1"/>
  <c r="K8179" i="33"/>
  <c r="K8181" i="33"/>
  <c r="K8188" i="33"/>
  <c r="P8188" i="33" s="1"/>
  <c r="K8187" i="33"/>
  <c r="P8187" i="33" s="1"/>
  <c r="K8182" i="33"/>
  <c r="P8094" i="33"/>
  <c r="K8100" i="33"/>
  <c r="P8100" i="33" s="1"/>
  <c r="K8133" i="33"/>
  <c r="R8094" i="33"/>
  <c r="P8159" i="33"/>
  <c r="P8158" i="33"/>
  <c r="P8156" i="33"/>
  <c r="P8167" i="33"/>
  <c r="K8137" i="33"/>
  <c r="K8145" i="33"/>
  <c r="K8132" i="33"/>
  <c r="K8144" i="33"/>
  <c r="K8146" i="33"/>
  <c r="K8143" i="33"/>
  <c r="P8143" i="33" s="1"/>
  <c r="K8149" i="33"/>
  <c r="K8125" i="33"/>
  <c r="K8129" i="33"/>
  <c r="P8129" i="33" s="1"/>
  <c r="K8124" i="33"/>
  <c r="P8124" i="33" s="1"/>
  <c r="K8128" i="33"/>
  <c r="P8128" i="33" s="1"/>
  <c r="K8138" i="33"/>
  <c r="K8140" i="33"/>
  <c r="K8127" i="33"/>
  <c r="K8139" i="33"/>
  <c r="K8126" i="33"/>
  <c r="P8126" i="33" s="1"/>
  <c r="K8136" i="33"/>
  <c r="K8134" i="33"/>
  <c r="O8130" i="33"/>
  <c r="O8122" i="33" s="1"/>
  <c r="P8122" i="33" s="1"/>
  <c r="O8279" i="33"/>
  <c r="P8279" i="33" s="1"/>
  <c r="K8281" i="33"/>
  <c r="P8281" i="33" s="1"/>
  <c r="K8266" i="33"/>
  <c r="P8266" i="33" s="1"/>
  <c r="K5786" i="33"/>
  <c r="K5843" i="33"/>
  <c r="O5836" i="33"/>
  <c r="P5836" i="33" s="1"/>
  <c r="N5776" i="33"/>
  <c r="O8186" i="33"/>
  <c r="O8177" i="33" s="1"/>
  <c r="O8224" i="33"/>
  <c r="O8215" i="33" s="1"/>
  <c r="P8215" i="33" s="1"/>
  <c r="K5842" i="33"/>
  <c r="P5842" i="33" s="1"/>
  <c r="O8234" i="33"/>
  <c r="P8234" i="33" s="1"/>
  <c r="N8186" i="33"/>
  <c r="N8224" i="33"/>
  <c r="O8264" i="33"/>
  <c r="P8264" i="33" s="1"/>
  <c r="K8251" i="33"/>
  <c r="P8251" i="33" s="1"/>
  <c r="O8249" i="33"/>
  <c r="P8249" i="33" s="1"/>
  <c r="N8205" i="33"/>
  <c r="O8205" i="33"/>
  <c r="O8196" i="33" s="1"/>
  <c r="P8196" i="33" s="1"/>
  <c r="K8271" i="33"/>
  <c r="P8271" i="33" s="1"/>
  <c r="K8256" i="33"/>
  <c r="P8256" i="33" s="1"/>
  <c r="K8225" i="33"/>
  <c r="P8225" i="33" s="1"/>
  <c r="K8206" i="33"/>
  <c r="P8206" i="33" s="1"/>
  <c r="P8108" i="33"/>
  <c r="P8114" i="33"/>
  <c r="R8108" i="33" s="1"/>
  <c r="P8267" i="33"/>
  <c r="P8252" i="33"/>
  <c r="P8091" i="33"/>
  <c r="P8220" i="33"/>
  <c r="P8237" i="33"/>
  <c r="K8198" i="33"/>
  <c r="K8200" i="33"/>
  <c r="K8217" i="33"/>
  <c r="K8219" i="33"/>
  <c r="K8236" i="33"/>
  <c r="O8091" i="33"/>
  <c r="O8089" i="33" s="1"/>
  <c r="K8185" i="33"/>
  <c r="K8204" i="33"/>
  <c r="K8223" i="33"/>
  <c r="K8241" i="33"/>
  <c r="K8207" i="33"/>
  <c r="K8226" i="33"/>
  <c r="K8218" i="33"/>
  <c r="K5778" i="33"/>
  <c r="K5779" i="33"/>
  <c r="K5777" i="33"/>
  <c r="K5785" i="33"/>
  <c r="K5775" i="33"/>
  <c r="P5775" i="33" s="1"/>
  <c r="K5780" i="33"/>
  <c r="O5785" i="33"/>
  <c r="O5784" i="33" s="1"/>
  <c r="O5780" i="33"/>
  <c r="O5779" i="33"/>
  <c r="P5847" i="33"/>
  <c r="H5451" i="33"/>
  <c r="H5450" i="33"/>
  <c r="H5446" i="33"/>
  <c r="H5445" i="33"/>
  <c r="H5444" i="33"/>
  <c r="H5443" i="33"/>
  <c r="K5606" i="33"/>
  <c r="N5604" i="33"/>
  <c r="H5604" i="33"/>
  <c r="O5604" i="33" s="1"/>
  <c r="N5603" i="33"/>
  <c r="H5603" i="33"/>
  <c r="O5603" i="33" s="1"/>
  <c r="O5601" i="33"/>
  <c r="N5598" i="33"/>
  <c r="H5598" i="33"/>
  <c r="N5597" i="33"/>
  <c r="H5597" i="33"/>
  <c r="O5597" i="33" s="1"/>
  <c r="N5596" i="33"/>
  <c r="H5596" i="33"/>
  <c r="O5596" i="33" s="1"/>
  <c r="N5595" i="33"/>
  <c r="H5595" i="33"/>
  <c r="O5595" i="33" s="1"/>
  <c r="N5594" i="33"/>
  <c r="H5594" i="33"/>
  <c r="O5592" i="33"/>
  <c r="O5591" i="33"/>
  <c r="O5590" i="33"/>
  <c r="O5589" i="33"/>
  <c r="K5587" i="33"/>
  <c r="K5592" i="33" s="1"/>
  <c r="O5614" i="33"/>
  <c r="K5611" i="33"/>
  <c r="K5618" i="33" s="1"/>
  <c r="O5613" i="33"/>
  <c r="O5617" i="33"/>
  <c r="O5618" i="33"/>
  <c r="K5619" i="33"/>
  <c r="K5620" i="33"/>
  <c r="K5582" i="33"/>
  <c r="K5581" i="33"/>
  <c r="O5580" i="33"/>
  <c r="O5579" i="33"/>
  <c r="O5575" i="33"/>
  <c r="K5573" i="33"/>
  <c r="K5579" i="33" s="1"/>
  <c r="R8309" i="33" l="1"/>
  <c r="R8294" i="33"/>
  <c r="P8177" i="33"/>
  <c r="R8279" i="33"/>
  <c r="R8153" i="33"/>
  <c r="P8149" i="33"/>
  <c r="P8146" i="33"/>
  <c r="P8145" i="33"/>
  <c r="P8144" i="33"/>
  <c r="P8127" i="33"/>
  <c r="P8125" i="33"/>
  <c r="R8249" i="33"/>
  <c r="K5594" i="33"/>
  <c r="P5594" i="33" s="1"/>
  <c r="K5598" i="33"/>
  <c r="P5598" i="33" s="1"/>
  <c r="O5776" i="33"/>
  <c r="O5773" i="33" s="1"/>
  <c r="P5773" i="33" s="1"/>
  <c r="R8264" i="33"/>
  <c r="P8207" i="33"/>
  <c r="P8205" i="33" s="1"/>
  <c r="P8241" i="33"/>
  <c r="P8223" i="33"/>
  <c r="P8217" i="33"/>
  <c r="P8219" i="33"/>
  <c r="P8218" i="33"/>
  <c r="P8185" i="33"/>
  <c r="P8198" i="33"/>
  <c r="P8182" i="33"/>
  <c r="P8200" i="33"/>
  <c r="P8236" i="33"/>
  <c r="P8179" i="33"/>
  <c r="P8204" i="33"/>
  <c r="P8226" i="33"/>
  <c r="P8224" i="33" s="1"/>
  <c r="P8181" i="33"/>
  <c r="P8090" i="33"/>
  <c r="P8089" i="33" s="1"/>
  <c r="P8186" i="33"/>
  <c r="K5597" i="33"/>
  <c r="P5597" i="33" s="1"/>
  <c r="N5602" i="33"/>
  <c r="P5843" i="33"/>
  <c r="R5836" i="33" s="1"/>
  <c r="K5596" i="33"/>
  <c r="K5604" i="33"/>
  <c r="K5601" i="33"/>
  <c r="P5601" i="33" s="1"/>
  <c r="K5603" i="33"/>
  <c r="O5573" i="33"/>
  <c r="P5573" i="33" s="1"/>
  <c r="K5595" i="33"/>
  <c r="K5613" i="33"/>
  <c r="P5613" i="33" s="1"/>
  <c r="K5589" i="33"/>
  <c r="P5589" i="33" s="1"/>
  <c r="O5594" i="33"/>
  <c r="K5614" i="33"/>
  <c r="P5614" i="33" s="1"/>
  <c r="K5591" i="33"/>
  <c r="P5591" i="33" s="1"/>
  <c r="O5598" i="33"/>
  <c r="N5593" i="33"/>
  <c r="P5592" i="33"/>
  <c r="O5602" i="33"/>
  <c r="K5590" i="33"/>
  <c r="O5611" i="33"/>
  <c r="P5611" i="33" s="1"/>
  <c r="P5618" i="33"/>
  <c r="K5617" i="33"/>
  <c r="K5575" i="33"/>
  <c r="K5580" i="33"/>
  <c r="P5580" i="33" s="1"/>
  <c r="P5579" i="33"/>
  <c r="K5568" i="33"/>
  <c r="K5567" i="33"/>
  <c r="N5566" i="33"/>
  <c r="H5566" i="33"/>
  <c r="N5565" i="33"/>
  <c r="H5565" i="33"/>
  <c r="N5561" i="33"/>
  <c r="H5561" i="33"/>
  <c r="N5560" i="33"/>
  <c r="H5560" i="33"/>
  <c r="N5559" i="33"/>
  <c r="H5559" i="33"/>
  <c r="N5558" i="33"/>
  <c r="H5558" i="33"/>
  <c r="O5556" i="33"/>
  <c r="K5554" i="33"/>
  <c r="K5556" i="33" s="1"/>
  <c r="K5549" i="33"/>
  <c r="K5548" i="33"/>
  <c r="N5547" i="33"/>
  <c r="H5547" i="33"/>
  <c r="N5546" i="33"/>
  <c r="H5546" i="33"/>
  <c r="N5541" i="33"/>
  <c r="H5541" i="33"/>
  <c r="N5540" i="33"/>
  <c r="H5540" i="33"/>
  <c r="N5539" i="33"/>
  <c r="H5539" i="33"/>
  <c r="N5538" i="33"/>
  <c r="H5538" i="33"/>
  <c r="O5536" i="33"/>
  <c r="K5534" i="33"/>
  <c r="K5536" i="33" s="1"/>
  <c r="K5529" i="33"/>
  <c r="K5528" i="33"/>
  <c r="N5527" i="33"/>
  <c r="H5527" i="33"/>
  <c r="N5526" i="33"/>
  <c r="H5526" i="33"/>
  <c r="O5521" i="33"/>
  <c r="O5520" i="33"/>
  <c r="O5519" i="33"/>
  <c r="K5517" i="33"/>
  <c r="K5512" i="33"/>
  <c r="K5511" i="33"/>
  <c r="N5510" i="33"/>
  <c r="H5510" i="33"/>
  <c r="N5509" i="33"/>
  <c r="H5509" i="33"/>
  <c r="N5504" i="33"/>
  <c r="H5504" i="33"/>
  <c r="N5503" i="33"/>
  <c r="H5503" i="33"/>
  <c r="N5502" i="33"/>
  <c r="H5502" i="33"/>
  <c r="N5501" i="33"/>
  <c r="H5501" i="33"/>
  <c r="O5499" i="33"/>
  <c r="O5498" i="33"/>
  <c r="K5496" i="33"/>
  <c r="H5484" i="33"/>
  <c r="O5484" i="33" s="1"/>
  <c r="H5483" i="33"/>
  <c r="H5482" i="33"/>
  <c r="H5481" i="33"/>
  <c r="K5477" i="33"/>
  <c r="K5479" i="33" s="1"/>
  <c r="O5479" i="33"/>
  <c r="N5481" i="33"/>
  <c r="N5482" i="33"/>
  <c r="N5483" i="33"/>
  <c r="N5484" i="33"/>
  <c r="H5489" i="33"/>
  <c r="O5489" i="33" s="1"/>
  <c r="N5489" i="33"/>
  <c r="H5490" i="33"/>
  <c r="O5490" i="33" s="1"/>
  <c r="N5490" i="33"/>
  <c r="K5491" i="33"/>
  <c r="K5492" i="33"/>
  <c r="K5473" i="33"/>
  <c r="K5472" i="33"/>
  <c r="N5471" i="33"/>
  <c r="H5471" i="33"/>
  <c r="N5470" i="33"/>
  <c r="H5470" i="33"/>
  <c r="N5465" i="33"/>
  <c r="H5465" i="33"/>
  <c r="N5464" i="33"/>
  <c r="H5464" i="33"/>
  <c r="N5463" i="33"/>
  <c r="H5463" i="33"/>
  <c r="N5462" i="33"/>
  <c r="H5462" i="33"/>
  <c r="O5460" i="33"/>
  <c r="K5458" i="33"/>
  <c r="K5460" i="33" s="1"/>
  <c r="K5453" i="33"/>
  <c r="K5452" i="33"/>
  <c r="N5451" i="33"/>
  <c r="O5451" i="33"/>
  <c r="O5450" i="33"/>
  <c r="N5450" i="33"/>
  <c r="N5446" i="33"/>
  <c r="O5446" i="33"/>
  <c r="O5445" i="33"/>
  <c r="N5445" i="33"/>
  <c r="N5444" i="33"/>
  <c r="O5444" i="33"/>
  <c r="N5443" i="33"/>
  <c r="O5443" i="33"/>
  <c r="O5441" i="33"/>
  <c r="K5439" i="33"/>
  <c r="K5450" i="33" s="1"/>
  <c r="H5433" i="33"/>
  <c r="O5433" i="33" s="1"/>
  <c r="H5432" i="33"/>
  <c r="N5429" i="33"/>
  <c r="H5429" i="33"/>
  <c r="O5429" i="33" s="1"/>
  <c r="N5428" i="33"/>
  <c r="H5428" i="33"/>
  <c r="O5428" i="33" s="1"/>
  <c r="N5427" i="33"/>
  <c r="H5427" i="33"/>
  <c r="N5426" i="33"/>
  <c r="H5426" i="33"/>
  <c r="O5426" i="33" s="1"/>
  <c r="N5425" i="33"/>
  <c r="H5425" i="33"/>
  <c r="O5425" i="33" s="1"/>
  <c r="N5433" i="33"/>
  <c r="N5432" i="33"/>
  <c r="O5423" i="33"/>
  <c r="O5422" i="33"/>
  <c r="O5421" i="33"/>
  <c r="R8086" i="33" l="1"/>
  <c r="M8084" i="33"/>
  <c r="N5508" i="33"/>
  <c r="R8234" i="33"/>
  <c r="K5560" i="33"/>
  <c r="N5449" i="33"/>
  <c r="R8196" i="33"/>
  <c r="R8215" i="33"/>
  <c r="R8177" i="33"/>
  <c r="N5525" i="33"/>
  <c r="K5526" i="33"/>
  <c r="K5482" i="33"/>
  <c r="P5482" i="33" s="1"/>
  <c r="K5483" i="33"/>
  <c r="P5483" i="33" s="1"/>
  <c r="O5526" i="33"/>
  <c r="O5593" i="33"/>
  <c r="O5587" i="33" s="1"/>
  <c r="P5587" i="33" s="1"/>
  <c r="N5431" i="33"/>
  <c r="O5465" i="33"/>
  <c r="K5465" i="33"/>
  <c r="O5501" i="33"/>
  <c r="K5501" i="33"/>
  <c r="K5509" i="33"/>
  <c r="O5540" i="33"/>
  <c r="K5540" i="33"/>
  <c r="N5442" i="33"/>
  <c r="K5462" i="33"/>
  <c r="K5470" i="33"/>
  <c r="K5502" i="33"/>
  <c r="O5510" i="33"/>
  <c r="K5510" i="33"/>
  <c r="O5541" i="33"/>
  <c r="K5541" i="33"/>
  <c r="O5561" i="33"/>
  <c r="K5561" i="33"/>
  <c r="N5424" i="33"/>
  <c r="O5462" i="33"/>
  <c r="N5500" i="33"/>
  <c r="K5463" i="33"/>
  <c r="O5470" i="33"/>
  <c r="K5489" i="33"/>
  <c r="P5489" i="33" s="1"/>
  <c r="K5503" i="33"/>
  <c r="O5538" i="33"/>
  <c r="K5538" i="33"/>
  <c r="K5546" i="33"/>
  <c r="O5558" i="33"/>
  <c r="K5558" i="33"/>
  <c r="O5565" i="33"/>
  <c r="K5565" i="33"/>
  <c r="P5565" i="33" s="1"/>
  <c r="O5471" i="33"/>
  <c r="K5471" i="33"/>
  <c r="K5498" i="33"/>
  <c r="K5499" i="33"/>
  <c r="P5499" i="33" s="1"/>
  <c r="N5537" i="33"/>
  <c r="N5545" i="33"/>
  <c r="N5564" i="33"/>
  <c r="K5443" i="33"/>
  <c r="K5441" i="33"/>
  <c r="K5451" i="33"/>
  <c r="K5446" i="33"/>
  <c r="K5445" i="33"/>
  <c r="P5445" i="33" s="1"/>
  <c r="O5464" i="33"/>
  <c r="K5464" i="33"/>
  <c r="N5469" i="33"/>
  <c r="N5488" i="33"/>
  <c r="K5481" i="33"/>
  <c r="P5481" i="33" s="1"/>
  <c r="O5504" i="33"/>
  <c r="K5504" i="33"/>
  <c r="K5521" i="33"/>
  <c r="K5519" i="33"/>
  <c r="K5520" i="33"/>
  <c r="P5520" i="33" s="1"/>
  <c r="O5527" i="33"/>
  <c r="O5525" i="33" s="1"/>
  <c r="O5517" i="33" s="1"/>
  <c r="P5517" i="33" s="1"/>
  <c r="K5527" i="33"/>
  <c r="O5539" i="33"/>
  <c r="K5539" i="33"/>
  <c r="O5547" i="33"/>
  <c r="K5547" i="33"/>
  <c r="O5559" i="33"/>
  <c r="K5559" i="33"/>
  <c r="O5566" i="33"/>
  <c r="K5566" i="33"/>
  <c r="K5444" i="33"/>
  <c r="O5449" i="33"/>
  <c r="N5461" i="33"/>
  <c r="P5595" i="33"/>
  <c r="N5557" i="33"/>
  <c r="O5442" i="33"/>
  <c r="N5480" i="33"/>
  <c r="O5488" i="33"/>
  <c r="K5484" i="33"/>
  <c r="O5509" i="33"/>
  <c r="K5490" i="33"/>
  <c r="P5490" i="33" s="1"/>
  <c r="O5546" i="33"/>
  <c r="P5590" i="33"/>
  <c r="P5596" i="33"/>
  <c r="O5560" i="33"/>
  <c r="P5617" i="33"/>
  <c r="R5611" i="33" s="1"/>
  <c r="P5575" i="33"/>
  <c r="R5573" i="33" s="1"/>
  <c r="P5556" i="33"/>
  <c r="P5536" i="33"/>
  <c r="O5502" i="33"/>
  <c r="O5503" i="33"/>
  <c r="O5481" i="33"/>
  <c r="P5479" i="33"/>
  <c r="O5482" i="33"/>
  <c r="O5483" i="33"/>
  <c r="O5463" i="33"/>
  <c r="P5460" i="33"/>
  <c r="O5427" i="33"/>
  <c r="O5424" i="33" s="1"/>
  <c r="O5432" i="33"/>
  <c r="O5431" i="33" s="1"/>
  <c r="K5434" i="33"/>
  <c r="K5419" i="33"/>
  <c r="K5428" i="33" s="1"/>
  <c r="P5428" i="33" s="1"/>
  <c r="O5411" i="33"/>
  <c r="O5403" i="33" s="1"/>
  <c r="I5386" i="33"/>
  <c r="O5508" i="33" l="1"/>
  <c r="O5469" i="33"/>
  <c r="O5545" i="33"/>
  <c r="O5439" i="33"/>
  <c r="P5439" i="33" s="1"/>
  <c r="K5429" i="33"/>
  <c r="P5429" i="33" s="1"/>
  <c r="P5593" i="33"/>
  <c r="K5426" i="33"/>
  <c r="O5537" i="33"/>
  <c r="O5557" i="33"/>
  <c r="O5461" i="33"/>
  <c r="O5458" i="33" s="1"/>
  <c r="P5458" i="33" s="1"/>
  <c r="O5564" i="33"/>
  <c r="O5419" i="33"/>
  <c r="P5419" i="33" s="1"/>
  <c r="K5425" i="33"/>
  <c r="P5425" i="33" s="1"/>
  <c r="K5427" i="33"/>
  <c r="P5427" i="33" s="1"/>
  <c r="K5422" i="33"/>
  <c r="P5422" i="33" s="1"/>
  <c r="K5433" i="33"/>
  <c r="P5433" i="33" s="1"/>
  <c r="K5423" i="33"/>
  <c r="P5423" i="33" s="1"/>
  <c r="K5421" i="33"/>
  <c r="P5421" i="33" s="1"/>
  <c r="K5432" i="33"/>
  <c r="P5432" i="33" s="1"/>
  <c r="P5519" i="33"/>
  <c r="P5521" i="33"/>
  <c r="O5500" i="33"/>
  <c r="P5498" i="33"/>
  <c r="P5484" i="33"/>
  <c r="P5480" i="33" s="1"/>
  <c r="O5480" i="33"/>
  <c r="P5488" i="33"/>
  <c r="P5441" i="33"/>
  <c r="P5443" i="33"/>
  <c r="P5444" i="33"/>
  <c r="P5446" i="33"/>
  <c r="P5426" i="33"/>
  <c r="K5414" i="33"/>
  <c r="K5413" i="33"/>
  <c r="K5403" i="33"/>
  <c r="K5411" i="33" s="1"/>
  <c r="P5411" i="33" s="1"/>
  <c r="R5403" i="33" s="1"/>
  <c r="K5398" i="33"/>
  <c r="K5397" i="33"/>
  <c r="O5395" i="33"/>
  <c r="O5394" i="33"/>
  <c r="K5388" i="33"/>
  <c r="K5395" i="33" s="1"/>
  <c r="O5496" i="33" l="1"/>
  <c r="P5496" i="33" s="1"/>
  <c r="O5534" i="33"/>
  <c r="P5534" i="33" s="1"/>
  <c r="O5554" i="33"/>
  <c r="P5554" i="33" s="1"/>
  <c r="P5424" i="33"/>
  <c r="P5442" i="33"/>
  <c r="P5403" i="33"/>
  <c r="P5431" i="33"/>
  <c r="R5477" i="33"/>
  <c r="O5477" i="33"/>
  <c r="P5477" i="33" s="1"/>
  <c r="O5388" i="33"/>
  <c r="P5388" i="33" s="1"/>
  <c r="P5395" i="33"/>
  <c r="K5394" i="33"/>
  <c r="O4860" i="33"/>
  <c r="O4856" i="33"/>
  <c r="O4852" i="33"/>
  <c r="O4851" i="33"/>
  <c r="K4849" i="33"/>
  <c r="K4860" i="33" s="1"/>
  <c r="P4860" i="33" s="1"/>
  <c r="H4833" i="33"/>
  <c r="H4836" i="33"/>
  <c r="O4836" i="33" s="1"/>
  <c r="H4842" i="33"/>
  <c r="O4842" i="33" s="1"/>
  <c r="H4841" i="33"/>
  <c r="N4842" i="33"/>
  <c r="N4841" i="33"/>
  <c r="O4839" i="33"/>
  <c r="N4836" i="33"/>
  <c r="N4835" i="33"/>
  <c r="H4835" i="33"/>
  <c r="O4835" i="33" s="1"/>
  <c r="N4834" i="33"/>
  <c r="H4834" i="33"/>
  <c r="O4834" i="33" s="1"/>
  <c r="N4833" i="33"/>
  <c r="O4831" i="33"/>
  <c r="O4830" i="33"/>
  <c r="O4829" i="33"/>
  <c r="O4828" i="33"/>
  <c r="K4826" i="33"/>
  <c r="K4831" i="33" s="1"/>
  <c r="H4813" i="33"/>
  <c r="O4813" i="33" s="1"/>
  <c r="H4812" i="33"/>
  <c r="H4811" i="33"/>
  <c r="O4811" i="33" s="1"/>
  <c r="H4810" i="33"/>
  <c r="O4810" i="33" s="1"/>
  <c r="N4813" i="33"/>
  <c r="N4812" i="33"/>
  <c r="N4811" i="33"/>
  <c r="N4810" i="33"/>
  <c r="N4819" i="33"/>
  <c r="H4819" i="33"/>
  <c r="O4819" i="33" s="1"/>
  <c r="N4818" i="33"/>
  <c r="H4818" i="33"/>
  <c r="O4818" i="33" s="1"/>
  <c r="O4816" i="33"/>
  <c r="O4808" i="33"/>
  <c r="O4807" i="33"/>
  <c r="O4806" i="33"/>
  <c r="O4805" i="33"/>
  <c r="K4803" i="33"/>
  <c r="H4782" i="33"/>
  <c r="O4782" i="33" s="1"/>
  <c r="H4788" i="33"/>
  <c r="O4788" i="33" s="1"/>
  <c r="H4786" i="33"/>
  <c r="O4786" i="33" s="1"/>
  <c r="H4785" i="33"/>
  <c r="O4785" i="33" s="1"/>
  <c r="H4784" i="33"/>
  <c r="O4784" i="33" s="1"/>
  <c r="H4781" i="33"/>
  <c r="O4781" i="33" s="1"/>
  <c r="H4780" i="33"/>
  <c r="O4780" i="33" s="1"/>
  <c r="H4779" i="33"/>
  <c r="O4779" i="33" s="1"/>
  <c r="O4773" i="33"/>
  <c r="N4796" i="33"/>
  <c r="H4796" i="33"/>
  <c r="O4796" i="33" s="1"/>
  <c r="N4795" i="33"/>
  <c r="H4795" i="33"/>
  <c r="O4795" i="33" s="1"/>
  <c r="O4793" i="33"/>
  <c r="O4792" i="33"/>
  <c r="O4791" i="33"/>
  <c r="N4788" i="33"/>
  <c r="N4787" i="33"/>
  <c r="H4787" i="33"/>
  <c r="O4787" i="33" s="1"/>
  <c r="N4786" i="33"/>
  <c r="N4785" i="33"/>
  <c r="N4784" i="33"/>
  <c r="N4782" i="33"/>
  <c r="N4781" i="33"/>
  <c r="N4780" i="33"/>
  <c r="N4779" i="33"/>
  <c r="O4777" i="33"/>
  <c r="O4776" i="33"/>
  <c r="O4775" i="33"/>
  <c r="O4774" i="33"/>
  <c r="K4771" i="33"/>
  <c r="O4742" i="33"/>
  <c r="O4741" i="33"/>
  <c r="O4740" i="33"/>
  <c r="O4739" i="33"/>
  <c r="O4738" i="33"/>
  <c r="O4737" i="33"/>
  <c r="O4736" i="33"/>
  <c r="O4735" i="33"/>
  <c r="H4754" i="33"/>
  <c r="O4754" i="33" s="1"/>
  <c r="H4765" i="33"/>
  <c r="O4765" i="33" s="1"/>
  <c r="H4764" i="33"/>
  <c r="O4764" i="33" s="1"/>
  <c r="H4752" i="33"/>
  <c r="H4751" i="33"/>
  <c r="O4751" i="33" s="1"/>
  <c r="H4750" i="33"/>
  <c r="O4750" i="33" s="1"/>
  <c r="H4749" i="33"/>
  <c r="H4747" i="33"/>
  <c r="H4746" i="33"/>
  <c r="H4745" i="33"/>
  <c r="H4744" i="33"/>
  <c r="K4767" i="33"/>
  <c r="N4765" i="33"/>
  <c r="N4764" i="33"/>
  <c r="H4758" i="33"/>
  <c r="H4757" i="33"/>
  <c r="H4756" i="33"/>
  <c r="H4755" i="33"/>
  <c r="O4762" i="33"/>
  <c r="O4761" i="33"/>
  <c r="O4760" i="33"/>
  <c r="N4758" i="33"/>
  <c r="N4757" i="33"/>
  <c r="N4756" i="33"/>
  <c r="N4755" i="33"/>
  <c r="N4754" i="33"/>
  <c r="N4752" i="33"/>
  <c r="N4751" i="33"/>
  <c r="N4750" i="33"/>
  <c r="N4749" i="33"/>
  <c r="N4747" i="33"/>
  <c r="N4746" i="33"/>
  <c r="N4745" i="33"/>
  <c r="N4744" i="33"/>
  <c r="K4733" i="33"/>
  <c r="K4736" i="33" s="1"/>
  <c r="P4736" i="33" s="1"/>
  <c r="K4728" i="33"/>
  <c r="K4727" i="33"/>
  <c r="K4726" i="33"/>
  <c r="O4725" i="33"/>
  <c r="O4719" i="33" s="1"/>
  <c r="K4719" i="33"/>
  <c r="K4725" i="33" s="1"/>
  <c r="K4329" i="33"/>
  <c r="P4329" i="33" s="1"/>
  <c r="K4328" i="33"/>
  <c r="P4328" i="33" s="1"/>
  <c r="K4330" i="33"/>
  <c r="O4329" i="33"/>
  <c r="O4328" i="33"/>
  <c r="O4473" i="33"/>
  <c r="O4469" i="33"/>
  <c r="O4468" i="33"/>
  <c r="O4467" i="33"/>
  <c r="K4465" i="33"/>
  <c r="K4467" i="33" s="1"/>
  <c r="O4457" i="33"/>
  <c r="O4453" i="33"/>
  <c r="O4452" i="33"/>
  <c r="K4450" i="33"/>
  <c r="K4457" i="33" s="1"/>
  <c r="O4443" i="33"/>
  <c r="O4442" i="33"/>
  <c r="O4439" i="33"/>
  <c r="O4438" i="33"/>
  <c r="O4437" i="33"/>
  <c r="O4436" i="33"/>
  <c r="K4434" i="33"/>
  <c r="K4443" i="33" s="1"/>
  <c r="N4428" i="33"/>
  <c r="H4428" i="33"/>
  <c r="O4428" i="33" s="1"/>
  <c r="N4427" i="33"/>
  <c r="H4427" i="33"/>
  <c r="O4427" i="33" s="1"/>
  <c r="N4422" i="33"/>
  <c r="H4422" i="33"/>
  <c r="O4422" i="33" s="1"/>
  <c r="N4421" i="33"/>
  <c r="H4421" i="33"/>
  <c r="N4420" i="33"/>
  <c r="H4420" i="33"/>
  <c r="N4419" i="33"/>
  <c r="H4419" i="33"/>
  <c r="O4419" i="33" s="1"/>
  <c r="K4416" i="33"/>
  <c r="O4408" i="33"/>
  <c r="O4407" i="33"/>
  <c r="N4403" i="33"/>
  <c r="H4403" i="33"/>
  <c r="O4403" i="33" s="1"/>
  <c r="N4402" i="33"/>
  <c r="H4402" i="33"/>
  <c r="O4402" i="33" s="1"/>
  <c r="N4401" i="33"/>
  <c r="H4401" i="33"/>
  <c r="O4401" i="33" s="1"/>
  <c r="N4400" i="33"/>
  <c r="H4400" i="33"/>
  <c r="O4400" i="33" s="1"/>
  <c r="N4399" i="33"/>
  <c r="H4399" i="33"/>
  <c r="O4399" i="33" s="1"/>
  <c r="O4397" i="33"/>
  <c r="K4395" i="33"/>
  <c r="O4388" i="33"/>
  <c r="O4378" i="33" s="1"/>
  <c r="K4378" i="33"/>
  <c r="K4388" i="33" s="1"/>
  <c r="M5386" i="33" l="1"/>
  <c r="R5419" i="33"/>
  <c r="O4849" i="33"/>
  <c r="P4849" i="33" s="1"/>
  <c r="K4851" i="33"/>
  <c r="P4851" i="33" s="1"/>
  <c r="K4852" i="33"/>
  <c r="P4852" i="33" s="1"/>
  <c r="K4856" i="33"/>
  <c r="P4856" i="33" s="1"/>
  <c r="P5394" i="33"/>
  <c r="R5388" i="33" s="1"/>
  <c r="N4840" i="33"/>
  <c r="O4817" i="33"/>
  <c r="K4839" i="33"/>
  <c r="N4763" i="33"/>
  <c r="N4817" i="33"/>
  <c r="K4841" i="33"/>
  <c r="P4841" i="33" s="1"/>
  <c r="K4842" i="33"/>
  <c r="K4813" i="33"/>
  <c r="O4794" i="33"/>
  <c r="K4834" i="33"/>
  <c r="P4834" i="33" s="1"/>
  <c r="K4830" i="33"/>
  <c r="P4830" i="33" s="1"/>
  <c r="N4809" i="33"/>
  <c r="K4810" i="33"/>
  <c r="K4833" i="33"/>
  <c r="P4833" i="33" s="1"/>
  <c r="N4832" i="33"/>
  <c r="O4841" i="33"/>
  <c r="O4840" i="33" s="1"/>
  <c r="O4450" i="33"/>
  <c r="P4450" i="33" s="1"/>
  <c r="K4828" i="33"/>
  <c r="P4828" i="33" s="1"/>
  <c r="O4833" i="33"/>
  <c r="O4832" i="33" s="1"/>
  <c r="K4836" i="33"/>
  <c r="P4836" i="33" s="1"/>
  <c r="P4831" i="33"/>
  <c r="K4835" i="33"/>
  <c r="K4829" i="33"/>
  <c r="K4811" i="33"/>
  <c r="P4811" i="33" s="1"/>
  <c r="K4812" i="33"/>
  <c r="P4812" i="33" s="1"/>
  <c r="O4812" i="33"/>
  <c r="O4809" i="33" s="1"/>
  <c r="O4803" i="33" s="1"/>
  <c r="P4803" i="33" s="1"/>
  <c r="K4795" i="33"/>
  <c r="P4795" i="33" s="1"/>
  <c r="N4794" i="33"/>
  <c r="K4468" i="33"/>
  <c r="K4473" i="33"/>
  <c r="O4426" i="33"/>
  <c r="R4327" i="33"/>
  <c r="N4753" i="33"/>
  <c r="K4746" i="33"/>
  <c r="P4746" i="33" s="1"/>
  <c r="N4743" i="33"/>
  <c r="K4737" i="33"/>
  <c r="P4737" i="33" s="1"/>
  <c r="N4778" i="33"/>
  <c r="K4749" i="33"/>
  <c r="O4465" i="33"/>
  <c r="P4465" i="33" s="1"/>
  <c r="K4755" i="33"/>
  <c r="K4756" i="33"/>
  <c r="P4756" i="33" s="1"/>
  <c r="K4752" i="33"/>
  <c r="P4752" i="33" s="1"/>
  <c r="K4744" i="33"/>
  <c r="N4748" i="33"/>
  <c r="K4745" i="33"/>
  <c r="P4745" i="33" s="1"/>
  <c r="K4469" i="33"/>
  <c r="O4744" i="33"/>
  <c r="K4765" i="33"/>
  <c r="K4747" i="33"/>
  <c r="P4747" i="33" s="1"/>
  <c r="K4757" i="33"/>
  <c r="N4783" i="33"/>
  <c r="O4747" i="33"/>
  <c r="K4760" i="33"/>
  <c r="P4760" i="33" s="1"/>
  <c r="K4750" i="33"/>
  <c r="P4750" i="33" s="1"/>
  <c r="K4739" i="33"/>
  <c r="P4739" i="33" s="1"/>
  <c r="O4783" i="33"/>
  <c r="K4761" i="33"/>
  <c r="P4761" i="33" s="1"/>
  <c r="K4751" i="33"/>
  <c r="P4751" i="33" s="1"/>
  <c r="K4738" i="33"/>
  <c r="P4738" i="33" s="1"/>
  <c r="K4740" i="33"/>
  <c r="P4740" i="33" s="1"/>
  <c r="K4762" i="33"/>
  <c r="P4762" i="33" s="1"/>
  <c r="K4741" i="33"/>
  <c r="P4741" i="33" s="1"/>
  <c r="K4754" i="33"/>
  <c r="P4754" i="33" s="1"/>
  <c r="K4742" i="33"/>
  <c r="P4742" i="33" s="1"/>
  <c r="K4735" i="33"/>
  <c r="P4735" i="33" s="1"/>
  <c r="K4758" i="33"/>
  <c r="N4426" i="33"/>
  <c r="K4764" i="33"/>
  <c r="K4806" i="33"/>
  <c r="K4808" i="33"/>
  <c r="K4819" i="33"/>
  <c r="K4807" i="33"/>
  <c r="K4816" i="33"/>
  <c r="K4818" i="33"/>
  <c r="K4805" i="33"/>
  <c r="O4778" i="33"/>
  <c r="K4784" i="33"/>
  <c r="P4784" i="33" s="1"/>
  <c r="K4785" i="33"/>
  <c r="P4785" i="33" s="1"/>
  <c r="K4788" i="33"/>
  <c r="P4788" i="33" s="1"/>
  <c r="K4782" i="33"/>
  <c r="P4782" i="33" s="1"/>
  <c r="K4792" i="33"/>
  <c r="K4787" i="33"/>
  <c r="K4776" i="33"/>
  <c r="K4781" i="33"/>
  <c r="K4780" i="33"/>
  <c r="K4796" i="33"/>
  <c r="K4774" i="33"/>
  <c r="K4786" i="33"/>
  <c r="K4773" i="33"/>
  <c r="K4775" i="33"/>
  <c r="K4777" i="33"/>
  <c r="K4779" i="33"/>
  <c r="K4791" i="33"/>
  <c r="K4793" i="33"/>
  <c r="O4763" i="33"/>
  <c r="O4752" i="33"/>
  <c r="O4749" i="33"/>
  <c r="O4756" i="33"/>
  <c r="O4755" i="33"/>
  <c r="O4745" i="33"/>
  <c r="O4746" i="33"/>
  <c r="P4719" i="33"/>
  <c r="P4725" i="33"/>
  <c r="R4719" i="33" s="1"/>
  <c r="N4418" i="33"/>
  <c r="N4398" i="33"/>
  <c r="K4399" i="33"/>
  <c r="P4399" i="33" s="1"/>
  <c r="K4427" i="33"/>
  <c r="P4427" i="33" s="1"/>
  <c r="O4398" i="33"/>
  <c r="O4395" i="33" s="1"/>
  <c r="P4395" i="33" s="1"/>
  <c r="O4434" i="33"/>
  <c r="P4434" i="33" s="1"/>
  <c r="P4457" i="33"/>
  <c r="K4453" i="33"/>
  <c r="K4452" i="33"/>
  <c r="K4438" i="33"/>
  <c r="K4442" i="33"/>
  <c r="K4436" i="33"/>
  <c r="P4443" i="33"/>
  <c r="K4437" i="33"/>
  <c r="K4439" i="33"/>
  <c r="K4422" i="33"/>
  <c r="K4420" i="33"/>
  <c r="K4419" i="33"/>
  <c r="K4421" i="33"/>
  <c r="O4421" i="33"/>
  <c r="O4420" i="33"/>
  <c r="K4428" i="33"/>
  <c r="K4402" i="33"/>
  <c r="K4397" i="33"/>
  <c r="K4401" i="33"/>
  <c r="P4401" i="33" s="1"/>
  <c r="K4407" i="33"/>
  <c r="K4400" i="33"/>
  <c r="K4403" i="33"/>
  <c r="K4408" i="33"/>
  <c r="P4378" i="33"/>
  <c r="P4388" i="33"/>
  <c r="O4371" i="33"/>
  <c r="O4370" i="33"/>
  <c r="O4365" i="33"/>
  <c r="O4364" i="33"/>
  <c r="O4363" i="33"/>
  <c r="O4362" i="33"/>
  <c r="K4360" i="33"/>
  <c r="K4371" i="33" s="1"/>
  <c r="K4346" i="33"/>
  <c r="K4352" i="33" s="1"/>
  <c r="O4352" i="33"/>
  <c r="O4346" i="33" s="1"/>
  <c r="K4332" i="33"/>
  <c r="K4338" i="33" s="1"/>
  <c r="R4849" i="33" l="1"/>
  <c r="O4826" i="33"/>
  <c r="P4826" i="33" s="1"/>
  <c r="O4418" i="33"/>
  <c r="O4416" i="33" s="1"/>
  <c r="P4416" i="33" s="1"/>
  <c r="P4829" i="33"/>
  <c r="P4839" i="33"/>
  <c r="P4842" i="33"/>
  <c r="P4840" i="33" s="1"/>
  <c r="P4835" i="33"/>
  <c r="P4832" i="33" s="1"/>
  <c r="P4813" i="33"/>
  <c r="P4810" i="33"/>
  <c r="O4743" i="33"/>
  <c r="O4771" i="33"/>
  <c r="P4771" i="33" s="1"/>
  <c r="P4805" i="33"/>
  <c r="P4808" i="33"/>
  <c r="P4818" i="33"/>
  <c r="P4807" i="33"/>
  <c r="P4806" i="33"/>
  <c r="P4816" i="33"/>
  <c r="P4819" i="33"/>
  <c r="P4791" i="33"/>
  <c r="P4779" i="33"/>
  <c r="P4780" i="33"/>
  <c r="P4777" i="33"/>
  <c r="P4775" i="33"/>
  <c r="P4781" i="33"/>
  <c r="P4796" i="33"/>
  <c r="P4794" i="33" s="1"/>
  <c r="P4787" i="33"/>
  <c r="P4774" i="33"/>
  <c r="P4792" i="33"/>
  <c r="P4773" i="33"/>
  <c r="P4776" i="33"/>
  <c r="P4786" i="33"/>
  <c r="P4793" i="33"/>
  <c r="O4748" i="33"/>
  <c r="P4764" i="33"/>
  <c r="P4765" i="33"/>
  <c r="P4757" i="33"/>
  <c r="O4757" i="33"/>
  <c r="P4755" i="33"/>
  <c r="P4749" i="33"/>
  <c r="P4748" i="33" s="1"/>
  <c r="P4744" i="33"/>
  <c r="P4743" i="33" s="1"/>
  <c r="O4360" i="33"/>
  <c r="P4360" i="33" s="1"/>
  <c r="P4419" i="33"/>
  <c r="P4438" i="33"/>
  <c r="P4442" i="33"/>
  <c r="P4422" i="33"/>
  <c r="P4407" i="33"/>
  <c r="P4420" i="33"/>
  <c r="P4436" i="33"/>
  <c r="P4452" i="33"/>
  <c r="P4453" i="33"/>
  <c r="P4437" i="33"/>
  <c r="P4439" i="33"/>
  <c r="P4421" i="33"/>
  <c r="P4428" i="33"/>
  <c r="P4426" i="33" s="1"/>
  <c r="P4402" i="33"/>
  <c r="P4397" i="33"/>
  <c r="P4400" i="33"/>
  <c r="P4408" i="33"/>
  <c r="P4403" i="33"/>
  <c r="R4378" i="33"/>
  <c r="K4370" i="33"/>
  <c r="K4362" i="33"/>
  <c r="K4364" i="33"/>
  <c r="P4371" i="33"/>
  <c r="K4363" i="33"/>
  <c r="K4365" i="33"/>
  <c r="P4346" i="33"/>
  <c r="P4352" i="33"/>
  <c r="R4346" i="33" s="1"/>
  <c r="P4809" i="33" l="1"/>
  <c r="P4778" i="33"/>
  <c r="R4826" i="33"/>
  <c r="P4763" i="33"/>
  <c r="P4398" i="33"/>
  <c r="R4395" i="33" s="1"/>
  <c r="P4783" i="33"/>
  <c r="P4817" i="33"/>
  <c r="P4758" i="33"/>
  <c r="P4753" i="33" s="1"/>
  <c r="O4758" i="33"/>
  <c r="O4753" i="33" s="1"/>
  <c r="O4733" i="33" s="1"/>
  <c r="P4733" i="33" s="1"/>
  <c r="M4717" i="33" s="1"/>
  <c r="P4364" i="33"/>
  <c r="P4418" i="33"/>
  <c r="R4416" i="33" s="1"/>
  <c r="R4450" i="33"/>
  <c r="R4434" i="33"/>
  <c r="P4370" i="33"/>
  <c r="P4362" i="33"/>
  <c r="P4363" i="33"/>
  <c r="P4365" i="33"/>
  <c r="R4803" i="33" l="1"/>
  <c r="R4733" i="33"/>
  <c r="R4771" i="33"/>
  <c r="R4360" i="33"/>
  <c r="O4338" i="33"/>
  <c r="O4332" i="33" s="1"/>
  <c r="P4338" i="33"/>
  <c r="P4332" i="33" l="1"/>
  <c r="M4325" i="33" s="1"/>
  <c r="G1987" i="33"/>
  <c r="G2842" i="33"/>
  <c r="G2352" i="33"/>
  <c r="O3721" i="33" l="1"/>
  <c r="O3717" i="33"/>
  <c r="O3716" i="33"/>
  <c r="O3715" i="33"/>
  <c r="K3713" i="33"/>
  <c r="N3705" i="33"/>
  <c r="H3705" i="33"/>
  <c r="O3705" i="33" s="1"/>
  <c r="N3704" i="33"/>
  <c r="H3704" i="33"/>
  <c r="O3704" i="33" s="1"/>
  <c r="N3699" i="33"/>
  <c r="H3699" i="33"/>
  <c r="O3699" i="33" s="1"/>
  <c r="N3698" i="33"/>
  <c r="H3698" i="33"/>
  <c r="O3698" i="33" s="1"/>
  <c r="N3697" i="33"/>
  <c r="H3697" i="33"/>
  <c r="O3697" i="33" s="1"/>
  <c r="N3695" i="33"/>
  <c r="H3695" i="33"/>
  <c r="O3695" i="33" s="1"/>
  <c r="N3694" i="33"/>
  <c r="H3694" i="33"/>
  <c r="O3694" i="33" s="1"/>
  <c r="N3693" i="33"/>
  <c r="H3693" i="33"/>
  <c r="O3693" i="33" s="1"/>
  <c r="N3692" i="33"/>
  <c r="H3692" i="33"/>
  <c r="O3692" i="33" s="1"/>
  <c r="N3691" i="33"/>
  <c r="H3691" i="33"/>
  <c r="O3691" i="33" s="1"/>
  <c r="O3689" i="33"/>
  <c r="K3687" i="33"/>
  <c r="N3679" i="33"/>
  <c r="H3679" i="33"/>
  <c r="O3679" i="33" s="1"/>
  <c r="N3678" i="33"/>
  <c r="H3678" i="33"/>
  <c r="O3678" i="33" s="1"/>
  <c r="N3673" i="33"/>
  <c r="H3673" i="33"/>
  <c r="O3673" i="33" s="1"/>
  <c r="N3672" i="33"/>
  <c r="H3672" i="33"/>
  <c r="O3672" i="33" s="1"/>
  <c r="N3671" i="33"/>
  <c r="H3671" i="33"/>
  <c r="O3671" i="33" s="1"/>
  <c r="N3669" i="33"/>
  <c r="H3669" i="33"/>
  <c r="O3669" i="33" s="1"/>
  <c r="N3668" i="33"/>
  <c r="H3668" i="33"/>
  <c r="O3668" i="33" s="1"/>
  <c r="N3667" i="33"/>
  <c r="H3667" i="33"/>
  <c r="O3667" i="33" s="1"/>
  <c r="N3666" i="33"/>
  <c r="H3666" i="33"/>
  <c r="O3666" i="33" s="1"/>
  <c r="N3665" i="33"/>
  <c r="H3665" i="33"/>
  <c r="O3665" i="33" s="1"/>
  <c r="O3663" i="33"/>
  <c r="O3662" i="33"/>
  <c r="K3660" i="33"/>
  <c r="O3652" i="33"/>
  <c r="N3649" i="33"/>
  <c r="H3649" i="33"/>
  <c r="N3648" i="33"/>
  <c r="H3648" i="33"/>
  <c r="O3648" i="33" s="1"/>
  <c r="N3647" i="33"/>
  <c r="H3647" i="33"/>
  <c r="O3647" i="33" s="1"/>
  <c r="N3645" i="33"/>
  <c r="H3645" i="33"/>
  <c r="N3644" i="33"/>
  <c r="H3644" i="33"/>
  <c r="O3644" i="33" s="1"/>
  <c r="N3643" i="33"/>
  <c r="H3643" i="33"/>
  <c r="O3643" i="33" s="1"/>
  <c r="K3640" i="33"/>
  <c r="O3633" i="33"/>
  <c r="O3632" i="33"/>
  <c r="N3629" i="33"/>
  <c r="H3629" i="33"/>
  <c r="N3628" i="33"/>
  <c r="H3628" i="33"/>
  <c r="O3628" i="33" s="1"/>
  <c r="N3627" i="33"/>
  <c r="H3627" i="33"/>
  <c r="N3625" i="33"/>
  <c r="H3625" i="33"/>
  <c r="O3625" i="33" s="1"/>
  <c r="N3624" i="33"/>
  <c r="H3624" i="33"/>
  <c r="N3623" i="33"/>
  <c r="H3623" i="33"/>
  <c r="O3623" i="33" s="1"/>
  <c r="N3622" i="33"/>
  <c r="H3622" i="33"/>
  <c r="O3622" i="33" s="1"/>
  <c r="O3620" i="33"/>
  <c r="K3618" i="33"/>
  <c r="O3611" i="33"/>
  <c r="O3610" i="33"/>
  <c r="O3606" i="33"/>
  <c r="O3605" i="33"/>
  <c r="O3604" i="33"/>
  <c r="O3603" i="33"/>
  <c r="K3601" i="33"/>
  <c r="N3594" i="33"/>
  <c r="H3594" i="33"/>
  <c r="O3594" i="33" s="1"/>
  <c r="N3593" i="33"/>
  <c r="H3593" i="33"/>
  <c r="K3591" i="33"/>
  <c r="K3590" i="33"/>
  <c r="N3588" i="33"/>
  <c r="H3588" i="33"/>
  <c r="O3588" i="33" s="1"/>
  <c r="N3587" i="33"/>
  <c r="H3587" i="33"/>
  <c r="N3586" i="33"/>
  <c r="H3586" i="33"/>
  <c r="O3586" i="33" s="1"/>
  <c r="N3585" i="33"/>
  <c r="H3585" i="33"/>
  <c r="O3585" i="33" s="1"/>
  <c r="K3582" i="33"/>
  <c r="O3578" i="33"/>
  <c r="O3575" i="33"/>
  <c r="O3574" i="33"/>
  <c r="O3570" i="33"/>
  <c r="O3569" i="33"/>
  <c r="O3568" i="33"/>
  <c r="O3567" i="33"/>
  <c r="O3566" i="33"/>
  <c r="K3564" i="33"/>
  <c r="O3557" i="33"/>
  <c r="O3556" i="33"/>
  <c r="O3551" i="33"/>
  <c r="O3552" i="33"/>
  <c r="K3549" i="33"/>
  <c r="O3542" i="33"/>
  <c r="O3541" i="33"/>
  <c r="O3540" i="33"/>
  <c r="N3537" i="33"/>
  <c r="H3537" i="33"/>
  <c r="O3537" i="33" s="1"/>
  <c r="N3536" i="33"/>
  <c r="H3536" i="33"/>
  <c r="N3535" i="33"/>
  <c r="H3535" i="33"/>
  <c r="O3535" i="33" s="1"/>
  <c r="N3534" i="33"/>
  <c r="H3534" i="33"/>
  <c r="O3534" i="33" s="1"/>
  <c r="N3533" i="33"/>
  <c r="H3533" i="33"/>
  <c r="O3533" i="33" s="1"/>
  <c r="N3531" i="33"/>
  <c r="H3531" i="33"/>
  <c r="N3530" i="33"/>
  <c r="H3530" i="33"/>
  <c r="O3530" i="33" s="1"/>
  <c r="N3529" i="33"/>
  <c r="H3529" i="33"/>
  <c r="O3529" i="33" s="1"/>
  <c r="N3527" i="33"/>
  <c r="H3527" i="33"/>
  <c r="N3526" i="33"/>
  <c r="H3526" i="33"/>
  <c r="O3526" i="33" s="1"/>
  <c r="N3525" i="33"/>
  <c r="H3525" i="33"/>
  <c r="O3525" i="33" s="1"/>
  <c r="O3523" i="33"/>
  <c r="O3522" i="33"/>
  <c r="K3520" i="33"/>
  <c r="O3513" i="33"/>
  <c r="O3512" i="33"/>
  <c r="O3511" i="33"/>
  <c r="N3508" i="33"/>
  <c r="H3508" i="33"/>
  <c r="N3507" i="33"/>
  <c r="H3507" i="33"/>
  <c r="O3507" i="33" s="1"/>
  <c r="N3506" i="33"/>
  <c r="H3506" i="33"/>
  <c r="N3505" i="33"/>
  <c r="H3505" i="33"/>
  <c r="N3504" i="33"/>
  <c r="H3504" i="33"/>
  <c r="N3502" i="33"/>
  <c r="H3502" i="33"/>
  <c r="N3501" i="33"/>
  <c r="H3501" i="33"/>
  <c r="O3501" i="33" s="1"/>
  <c r="N3500" i="33"/>
  <c r="H3500" i="33"/>
  <c r="N3498" i="33"/>
  <c r="H3498" i="33"/>
  <c r="O3498" i="33" s="1"/>
  <c r="N3497" i="33"/>
  <c r="H3497" i="33"/>
  <c r="N3496" i="33"/>
  <c r="H3496" i="33"/>
  <c r="O3496" i="33" s="1"/>
  <c r="O3494" i="33"/>
  <c r="O3493" i="33"/>
  <c r="K3491" i="33"/>
  <c r="O3484" i="33"/>
  <c r="O3483" i="33"/>
  <c r="O3482" i="33"/>
  <c r="N3479" i="33"/>
  <c r="H3479" i="33"/>
  <c r="N3478" i="33"/>
  <c r="H3478" i="33"/>
  <c r="O3478" i="33" s="1"/>
  <c r="N3477" i="33"/>
  <c r="H3477" i="33"/>
  <c r="N3476" i="33"/>
  <c r="H3476" i="33"/>
  <c r="N3475" i="33"/>
  <c r="H3475" i="33"/>
  <c r="O3475" i="33" s="1"/>
  <c r="N3473" i="33"/>
  <c r="H3473" i="33"/>
  <c r="O3473" i="33" s="1"/>
  <c r="N3472" i="33"/>
  <c r="H3472" i="33"/>
  <c r="N3471" i="33"/>
  <c r="H3471" i="33"/>
  <c r="O3471" i="33" s="1"/>
  <c r="N3469" i="33"/>
  <c r="H3469" i="33"/>
  <c r="O3469" i="33" s="1"/>
  <c r="N3468" i="33"/>
  <c r="H3468" i="33"/>
  <c r="N3467" i="33"/>
  <c r="H3467" i="33"/>
  <c r="O3467" i="33" s="1"/>
  <c r="O3465" i="33"/>
  <c r="O3464" i="33"/>
  <c r="O3463" i="33"/>
  <c r="K3461" i="33"/>
  <c r="O3453" i="33"/>
  <c r="N3450" i="33"/>
  <c r="H3450" i="33"/>
  <c r="N3449" i="33"/>
  <c r="H3449" i="33"/>
  <c r="O3449" i="33" s="1"/>
  <c r="N3448" i="33"/>
  <c r="H3448" i="33"/>
  <c r="N3447" i="33"/>
  <c r="H3447" i="33"/>
  <c r="O3447" i="33" s="1"/>
  <c r="N3446" i="33"/>
  <c r="H3446" i="33"/>
  <c r="O3446" i="33" s="1"/>
  <c r="N3444" i="33"/>
  <c r="H3444" i="33"/>
  <c r="O3444" i="33" s="1"/>
  <c r="N3443" i="33"/>
  <c r="H3443" i="33"/>
  <c r="N3442" i="33"/>
  <c r="H3442" i="33"/>
  <c r="O3442" i="33" s="1"/>
  <c r="N3440" i="33"/>
  <c r="H3440" i="33"/>
  <c r="O3440" i="33" s="1"/>
  <c r="N3439" i="33"/>
  <c r="H3439" i="33"/>
  <c r="N3438" i="33"/>
  <c r="H3438" i="33"/>
  <c r="O3438" i="33" s="1"/>
  <c r="O3436" i="33"/>
  <c r="O3435" i="33"/>
  <c r="K3433" i="33"/>
  <c r="O3429" i="33"/>
  <c r="O3425" i="33"/>
  <c r="O3424" i="33"/>
  <c r="N3422" i="33"/>
  <c r="H3422" i="33"/>
  <c r="O3422" i="33" s="1"/>
  <c r="N3421" i="33"/>
  <c r="H3421" i="33"/>
  <c r="N3420" i="33"/>
  <c r="H3420" i="33"/>
  <c r="O3420" i="33" s="1"/>
  <c r="N3419" i="33"/>
  <c r="H3419" i="33"/>
  <c r="N3418" i="33"/>
  <c r="H3418" i="33"/>
  <c r="O3418" i="33" s="1"/>
  <c r="O3416" i="33"/>
  <c r="O3415" i="33"/>
  <c r="O3414" i="33"/>
  <c r="K3412" i="33"/>
  <c r="O3408" i="33"/>
  <c r="O3404" i="33"/>
  <c r="O3403" i="33"/>
  <c r="N3400" i="33"/>
  <c r="H3400" i="33"/>
  <c r="O3400" i="33" s="1"/>
  <c r="N3399" i="33"/>
  <c r="H3399" i="33"/>
  <c r="N3398" i="33"/>
  <c r="H3398" i="33"/>
  <c r="O3398" i="33" s="1"/>
  <c r="N3397" i="33"/>
  <c r="H3397" i="33"/>
  <c r="N3396" i="33"/>
  <c r="H3396" i="33"/>
  <c r="O3396" i="33" s="1"/>
  <c r="O3394" i="33"/>
  <c r="O3393" i="33"/>
  <c r="K3391" i="33"/>
  <c r="O3384" i="33"/>
  <c r="O3383" i="33"/>
  <c r="O3378" i="33"/>
  <c r="O3377" i="33"/>
  <c r="O3376" i="33"/>
  <c r="O3375" i="33"/>
  <c r="K3373" i="33"/>
  <c r="K3375" i="33" s="1"/>
  <c r="O3365" i="33"/>
  <c r="O3359" i="33" s="1"/>
  <c r="K3359" i="33"/>
  <c r="K3365" i="33" s="1"/>
  <c r="O3351" i="33"/>
  <c r="O3345" i="33" s="1"/>
  <c r="K3345" i="33"/>
  <c r="K3351" i="33" s="1"/>
  <c r="O3337" i="33"/>
  <c r="O3331" i="33" s="1"/>
  <c r="K3331" i="33"/>
  <c r="K3337" i="33" s="1"/>
  <c r="O3327" i="33"/>
  <c r="O3323" i="33"/>
  <c r="K3317" i="33"/>
  <c r="K3323" i="33" s="1"/>
  <c r="O3309" i="33"/>
  <c r="O3303" i="33" s="1"/>
  <c r="K3303" i="33"/>
  <c r="K3309" i="33" s="1"/>
  <c r="O3295" i="33"/>
  <c r="O3289" i="33" s="1"/>
  <c r="K3289" i="33"/>
  <c r="K3295" i="33" s="1"/>
  <c r="K3119" i="33"/>
  <c r="K3574" i="33" s="1"/>
  <c r="P3574" i="33" s="1"/>
  <c r="N3677" i="33" l="1"/>
  <c r="N3466" i="33"/>
  <c r="O3713" i="33"/>
  <c r="N3592" i="33"/>
  <c r="N3696" i="33"/>
  <c r="N3437" i="33"/>
  <c r="O3317" i="33"/>
  <c r="P3317" i="33" s="1"/>
  <c r="N3395" i="33"/>
  <c r="N3495" i="33"/>
  <c r="O3564" i="33"/>
  <c r="P3564" i="33" s="1"/>
  <c r="O3373" i="33"/>
  <c r="P3373" i="33" s="1"/>
  <c r="N3503" i="33"/>
  <c r="N3524" i="33"/>
  <c r="P3289" i="33"/>
  <c r="O3601" i="33"/>
  <c r="P3601" i="33" s="1"/>
  <c r="P3345" i="33"/>
  <c r="N3642" i="33"/>
  <c r="P3303" i="33"/>
  <c r="O3677" i="33"/>
  <c r="O3703" i="33"/>
  <c r="P3359" i="33"/>
  <c r="K3575" i="33"/>
  <c r="P3575" i="33" s="1"/>
  <c r="K3376" i="33"/>
  <c r="P3376" i="33" s="1"/>
  <c r="K3383" i="33"/>
  <c r="P3383" i="33" s="1"/>
  <c r="N3474" i="33"/>
  <c r="K3566" i="33"/>
  <c r="P3566" i="33" s="1"/>
  <c r="K3569" i="33"/>
  <c r="P3569" i="33" s="1"/>
  <c r="N3584" i="33"/>
  <c r="N3532" i="33"/>
  <c r="N3626" i="33"/>
  <c r="K3384" i="33"/>
  <c r="P3384" i="33" s="1"/>
  <c r="N3441" i="33"/>
  <c r="K3570" i="33"/>
  <c r="P3570" i="33" s="1"/>
  <c r="K3578" i="33"/>
  <c r="P3578" i="33" s="1"/>
  <c r="O3627" i="33"/>
  <c r="K3377" i="33"/>
  <c r="P3377" i="33" s="1"/>
  <c r="K3567" i="33"/>
  <c r="P3567" i="33" s="1"/>
  <c r="N3690" i="33"/>
  <c r="N3470" i="33"/>
  <c r="K3378" i="33"/>
  <c r="P3378" i="33" s="1"/>
  <c r="N3499" i="33"/>
  <c r="K3568" i="33"/>
  <c r="P3568" i="33" s="1"/>
  <c r="O3593" i="33"/>
  <c r="O3592" i="33" s="1"/>
  <c r="N3646" i="33"/>
  <c r="N3703" i="33"/>
  <c r="N3417" i="33"/>
  <c r="N3445" i="33"/>
  <c r="O3506" i="33"/>
  <c r="O3505" i="33"/>
  <c r="O3497" i="33"/>
  <c r="O3495" i="33" s="1"/>
  <c r="O3479" i="33"/>
  <c r="O3476" i="33"/>
  <c r="O3690" i="33"/>
  <c r="O3421" i="33"/>
  <c r="O3397" i="33"/>
  <c r="O3624" i="33"/>
  <c r="O3621" i="33" s="1"/>
  <c r="O3502" i="33"/>
  <c r="O3649" i="33"/>
  <c r="O3646" i="33" s="1"/>
  <c r="O3664" i="33"/>
  <c r="P3713" i="33"/>
  <c r="O3549" i="33"/>
  <c r="P3549" i="33" s="1"/>
  <c r="P3295" i="33"/>
  <c r="P3331" i="33"/>
  <c r="N3621" i="33"/>
  <c r="P3351" i="33"/>
  <c r="N3670" i="33"/>
  <c r="O3696" i="33"/>
  <c r="P3323" i="33"/>
  <c r="O3468" i="33"/>
  <c r="O3466" i="33" s="1"/>
  <c r="O3477" i="33"/>
  <c r="N3528" i="33"/>
  <c r="P3365" i="33"/>
  <c r="P3309" i="33"/>
  <c r="P3375" i="33"/>
  <c r="O3629" i="33"/>
  <c r="O3439" i="33"/>
  <c r="O3437" i="33" s="1"/>
  <c r="O3527" i="33"/>
  <c r="O3524" i="33" s="1"/>
  <c r="O3587" i="33"/>
  <c r="O3584" i="33" s="1"/>
  <c r="O3645" i="33"/>
  <c r="O3642" i="33" s="1"/>
  <c r="O3536" i="33"/>
  <c r="O3532" i="33" s="1"/>
  <c r="O3670" i="33"/>
  <c r="O3448" i="33"/>
  <c r="N3664" i="33"/>
  <c r="P3337" i="33"/>
  <c r="O3399" i="33"/>
  <c r="O3419" i="33"/>
  <c r="O3500" i="33"/>
  <c r="O3443" i="33"/>
  <c r="O3441" i="33" s="1"/>
  <c r="O3450" i="33"/>
  <c r="O3472" i="33"/>
  <c r="O3470" i="33" s="1"/>
  <c r="O3504" i="33"/>
  <c r="O3508" i="33"/>
  <c r="O3531" i="33"/>
  <c r="O3528" i="33" s="1"/>
  <c r="O3582" i="33" l="1"/>
  <c r="P3582" i="33" s="1"/>
  <c r="O3660" i="33"/>
  <c r="P3660" i="33" s="1"/>
  <c r="O3395" i="33"/>
  <c r="O3391" i="33" s="1"/>
  <c r="P3391" i="33" s="1"/>
  <c r="O3626" i="33"/>
  <c r="O3618" i="33" s="1"/>
  <c r="P3618" i="33" s="1"/>
  <c r="O3474" i="33"/>
  <c r="O3461" i="33" s="1"/>
  <c r="P3461" i="33" s="1"/>
  <c r="O3687" i="33"/>
  <c r="P3687" i="33" s="1"/>
  <c r="O3417" i="33"/>
  <c r="O3412" i="33" s="1"/>
  <c r="P3412" i="33" s="1"/>
  <c r="O3445" i="33"/>
  <c r="O3433" i="33" s="1"/>
  <c r="P3433" i="33" s="1"/>
  <c r="O3640" i="33"/>
  <c r="P3640" i="33" s="1"/>
  <c r="O3503" i="33"/>
  <c r="O3499" i="33"/>
  <c r="O3520" i="33"/>
  <c r="P3520" i="33" s="1"/>
  <c r="O3491" i="33" l="1"/>
  <c r="P3491" i="33" s="1"/>
  <c r="O10656" i="33" l="1"/>
  <c r="O10651" i="33"/>
  <c r="O10652" i="33"/>
  <c r="O10650" i="33"/>
  <c r="O10640" i="33"/>
  <c r="O10636" i="33"/>
  <c r="O10635" i="33"/>
  <c r="O10514" i="33"/>
  <c r="O10528" i="33"/>
  <c r="O10521" i="33" s="1"/>
  <c r="O10513" i="33"/>
  <c r="O10498" i="33"/>
  <c r="O10497" i="33"/>
  <c r="O10483" i="33"/>
  <c r="O10482" i="33"/>
  <c r="K10521" i="33"/>
  <c r="K10528" i="33" s="1"/>
  <c r="K10490" i="33"/>
  <c r="K10498" i="33" s="1"/>
  <c r="K10475" i="33"/>
  <c r="K10483" i="33" s="1"/>
  <c r="K10506" i="33"/>
  <c r="K10514" i="33" s="1"/>
  <c r="P10514" i="33" s="1"/>
  <c r="K10648" i="33"/>
  <c r="K10656" i="33" s="1"/>
  <c r="O10633" i="33" l="1"/>
  <c r="O10506" i="33"/>
  <c r="P10506" i="33" s="1"/>
  <c r="P10521" i="33"/>
  <c r="O10490" i="33"/>
  <c r="P10490" i="33" s="1"/>
  <c r="K10513" i="33"/>
  <c r="P10513" i="33" s="1"/>
  <c r="R10506" i="33" s="1"/>
  <c r="P10498" i="33"/>
  <c r="K10497" i="33"/>
  <c r="P10497" i="33" s="1"/>
  <c r="P10528" i="33"/>
  <c r="R10521" i="33" s="1"/>
  <c r="K10482" i="33"/>
  <c r="P10482" i="33" s="1"/>
  <c r="O10475" i="33"/>
  <c r="P10483" i="33"/>
  <c r="O10648" i="33"/>
  <c r="P10648" i="33" s="1"/>
  <c r="P10656" i="33"/>
  <c r="K10650" i="33"/>
  <c r="K10652" i="33"/>
  <c r="K10651" i="33"/>
  <c r="R10490" i="33" l="1"/>
  <c r="R10475" i="33"/>
  <c r="P10475" i="33"/>
  <c r="P10651" i="33"/>
  <c r="P10652" i="33"/>
  <c r="P10650" i="33"/>
  <c r="R10648" i="33" l="1"/>
  <c r="K10633" i="33" l="1"/>
  <c r="N10625" i="33"/>
  <c r="H10625" i="33"/>
  <c r="O10625" i="33" s="1"/>
  <c r="N10624" i="33"/>
  <c r="H10624" i="33"/>
  <c r="N10622" i="33"/>
  <c r="H10622" i="33"/>
  <c r="O10622" i="33" s="1"/>
  <c r="N10621" i="33"/>
  <c r="H10621" i="33"/>
  <c r="O10621" i="33" s="1"/>
  <c r="O10617" i="33"/>
  <c r="O10616" i="33"/>
  <c r="O10615" i="33"/>
  <c r="O10614" i="33"/>
  <c r="K10612" i="33"/>
  <c r="K10617" i="33" s="1"/>
  <c r="K10636" i="33" l="1"/>
  <c r="K10635" i="33"/>
  <c r="K10640" i="33"/>
  <c r="P10640" i="33" s="1"/>
  <c r="P10633" i="33"/>
  <c r="N10620" i="33"/>
  <c r="O10620" i="33"/>
  <c r="K10624" i="33"/>
  <c r="P10624" i="33" s="1"/>
  <c r="N10623" i="33"/>
  <c r="K10621" i="33"/>
  <c r="P10621" i="33" s="1"/>
  <c r="P10617" i="33"/>
  <c r="O10624" i="33"/>
  <c r="O10623" i="33" s="1"/>
  <c r="K10614" i="33"/>
  <c r="K10616" i="33"/>
  <c r="K10625" i="33"/>
  <c r="K10622" i="33"/>
  <c r="K10615" i="33"/>
  <c r="O10612" i="33" l="1"/>
  <c r="P10612" i="33" s="1"/>
  <c r="P10635" i="33"/>
  <c r="P10636" i="33"/>
  <c r="P10622" i="33"/>
  <c r="P10620" i="33" s="1"/>
  <c r="P10616" i="33"/>
  <c r="P10615" i="33"/>
  <c r="P10625" i="33"/>
  <c r="P10623" i="33" s="1"/>
  <c r="P10614" i="33"/>
  <c r="R10633" i="33" l="1"/>
  <c r="R10612" i="33"/>
  <c r="O10224" i="33" l="1"/>
  <c r="K11331" i="33" l="1"/>
  <c r="K11339" i="33" s="1"/>
  <c r="P11339" i="33" s="1"/>
  <c r="O11339" i="33"/>
  <c r="O11335" i="33"/>
  <c r="O11334" i="33"/>
  <c r="O11333" i="33"/>
  <c r="K11316" i="33"/>
  <c r="K11327" i="33" s="1"/>
  <c r="P11327" i="33" s="1"/>
  <c r="O11327" i="33"/>
  <c r="O11323" i="33"/>
  <c r="O11319" i="33"/>
  <c r="O11318" i="33"/>
  <c r="O11296" i="33"/>
  <c r="O11289" i="33"/>
  <c r="O11292" i="33"/>
  <c r="O11288" i="33"/>
  <c r="O11287" i="33"/>
  <c r="K11285" i="33"/>
  <c r="K11292" i="33" s="1"/>
  <c r="K11270" i="33"/>
  <c r="K11277" i="33" s="1"/>
  <c r="P11277" i="33" s="1"/>
  <c r="O11277" i="33"/>
  <c r="O11273" i="33"/>
  <c r="O11272" i="33"/>
  <c r="O11270" i="33" s="1"/>
  <c r="O11285" i="33" l="1"/>
  <c r="P11285" i="33" s="1"/>
  <c r="O11331" i="33"/>
  <c r="P11331" i="33" s="1"/>
  <c r="O11316" i="33"/>
  <c r="P11316" i="33" s="1"/>
  <c r="K11289" i="33"/>
  <c r="P11289" i="33" s="1"/>
  <c r="K11272" i="33"/>
  <c r="P11272" i="33" s="1"/>
  <c r="K11288" i="33"/>
  <c r="K11296" i="33"/>
  <c r="P11296" i="33" s="1"/>
  <c r="K11334" i="33"/>
  <c r="P11334" i="33" s="1"/>
  <c r="K11333" i="33"/>
  <c r="P11333" i="33" s="1"/>
  <c r="K11335" i="33"/>
  <c r="P11335" i="33" s="1"/>
  <c r="K11318" i="33"/>
  <c r="P11318" i="33" s="1"/>
  <c r="K11319" i="33"/>
  <c r="P11319" i="33" s="1"/>
  <c r="K11323" i="33"/>
  <c r="P11323" i="33" s="1"/>
  <c r="P11292" i="33"/>
  <c r="K11287" i="33"/>
  <c r="P11270" i="33"/>
  <c r="K11273" i="33"/>
  <c r="P11273" i="33" s="1"/>
  <c r="K11240" i="33"/>
  <c r="N11236" i="33"/>
  <c r="H11236" i="33"/>
  <c r="O11236" i="33" s="1"/>
  <c r="N11235" i="33"/>
  <c r="H11235" i="33"/>
  <c r="O11235" i="33" s="1"/>
  <c r="O11231" i="33"/>
  <c r="O11230" i="33"/>
  <c r="O11229" i="33"/>
  <c r="K11227" i="33"/>
  <c r="O11208" i="33"/>
  <c r="O11209" i="33"/>
  <c r="O11210" i="33"/>
  <c r="O11211" i="33"/>
  <c r="O11234" i="33" l="1"/>
  <c r="O11227" i="33" s="1"/>
  <c r="N11234" i="33"/>
  <c r="R11270" i="33"/>
  <c r="R11316" i="33"/>
  <c r="R11331" i="33"/>
  <c r="P11287" i="33"/>
  <c r="P11288" i="33"/>
  <c r="K11235" i="33"/>
  <c r="P11235" i="33" s="1"/>
  <c r="K11236" i="33"/>
  <c r="K11230" i="33"/>
  <c r="K11229" i="33"/>
  <c r="K11231" i="33"/>
  <c r="N11177" i="33"/>
  <c r="H11177" i="33"/>
  <c r="N11176" i="33"/>
  <c r="H11176" i="33"/>
  <c r="O11172" i="33"/>
  <c r="O11171" i="33"/>
  <c r="O11170" i="33"/>
  <c r="O11169" i="33"/>
  <c r="O11168" i="33"/>
  <c r="O11167" i="33"/>
  <c r="O11108" i="33"/>
  <c r="O11104" i="33"/>
  <c r="K11102" i="33"/>
  <c r="K11108" i="33" s="1"/>
  <c r="O11080" i="33"/>
  <c r="O11076" i="33"/>
  <c r="K11074" i="33"/>
  <c r="K11080" i="33" s="1"/>
  <c r="N11067" i="33"/>
  <c r="H11067" i="33"/>
  <c r="O11067" i="33" s="1"/>
  <c r="N11066" i="33"/>
  <c r="H11066" i="33"/>
  <c r="O11066" i="33" s="1"/>
  <c r="O11064" i="33"/>
  <c r="O11061" i="33"/>
  <c r="O11060" i="33"/>
  <c r="O11059" i="33"/>
  <c r="O11058" i="33"/>
  <c r="K11056" i="33"/>
  <c r="K11061" i="33" s="1"/>
  <c r="N11049" i="33"/>
  <c r="H11049" i="33"/>
  <c r="O11049" i="33" s="1"/>
  <c r="N11048" i="33"/>
  <c r="H11048" i="33"/>
  <c r="O11048" i="33" s="1"/>
  <c r="O11046" i="33"/>
  <c r="O11043" i="33"/>
  <c r="O11042" i="33"/>
  <c r="O11041" i="33"/>
  <c r="O11040" i="33"/>
  <c r="K11038" i="33"/>
  <c r="O10987" i="33"/>
  <c r="O10988" i="33"/>
  <c r="H11005" i="33"/>
  <c r="H11004" i="33"/>
  <c r="H11003" i="33"/>
  <c r="H11002" i="33"/>
  <c r="H11001" i="33"/>
  <c r="H10999" i="33"/>
  <c r="O10999" i="33" s="1"/>
  <c r="H10998" i="33"/>
  <c r="O10998" i="33" s="1"/>
  <c r="H10997" i="33"/>
  <c r="O10997" i="33" s="1"/>
  <c r="H10996" i="33"/>
  <c r="O10996" i="33" s="1"/>
  <c r="H10993" i="33"/>
  <c r="H10992" i="33"/>
  <c r="H10994" i="33"/>
  <c r="O10994" i="33" s="1"/>
  <c r="H10991" i="33"/>
  <c r="N10999" i="33"/>
  <c r="N10998" i="33"/>
  <c r="N10997" i="33"/>
  <c r="N10996" i="33"/>
  <c r="N10973" i="33"/>
  <c r="H10973" i="33"/>
  <c r="O10973" i="33" s="1"/>
  <c r="N10972" i="33"/>
  <c r="H10972" i="33"/>
  <c r="O10972" i="33" s="1"/>
  <c r="O10970" i="33"/>
  <c r="O10969" i="33"/>
  <c r="O10968" i="33"/>
  <c r="N10965" i="33"/>
  <c r="H10965" i="33"/>
  <c r="O10965" i="33" s="1"/>
  <c r="N10964" i="33"/>
  <c r="H10964" i="33"/>
  <c r="N10963" i="33"/>
  <c r="H10963" i="33"/>
  <c r="O10963" i="33" s="1"/>
  <c r="N10962" i="33"/>
  <c r="H10962" i="33"/>
  <c r="N10961" i="33"/>
  <c r="H10961" i="33"/>
  <c r="O10961" i="33" s="1"/>
  <c r="N10959" i="33"/>
  <c r="H10959" i="33"/>
  <c r="O10959" i="33" s="1"/>
  <c r="N10958" i="33"/>
  <c r="H10958" i="33"/>
  <c r="O10958" i="33" s="1"/>
  <c r="N10957" i="33"/>
  <c r="H10957" i="33"/>
  <c r="O10957" i="33" s="1"/>
  <c r="N10956" i="33"/>
  <c r="H10956" i="33"/>
  <c r="O10956" i="33" s="1"/>
  <c r="O10954" i="33"/>
  <c r="O10953" i="33"/>
  <c r="O10952" i="33"/>
  <c r="O10951" i="33"/>
  <c r="O10950" i="33"/>
  <c r="K10948" i="33"/>
  <c r="K10969" i="33" s="1"/>
  <c r="O11005" i="33"/>
  <c r="O10986" i="33"/>
  <c r="O11010" i="33"/>
  <c r="O11009" i="33"/>
  <c r="O11008" i="33"/>
  <c r="N11005" i="33"/>
  <c r="N11004" i="33"/>
  <c r="N11003" i="33"/>
  <c r="N11002" i="33"/>
  <c r="N11001" i="33"/>
  <c r="N10994" i="33"/>
  <c r="N10993" i="33"/>
  <c r="N10992" i="33"/>
  <c r="N10991" i="33"/>
  <c r="N11013" i="33"/>
  <c r="H11013" i="33"/>
  <c r="O11013" i="33" s="1"/>
  <c r="N11012" i="33"/>
  <c r="H11012" i="33"/>
  <c r="O11012" i="33" s="1"/>
  <c r="O10985" i="33"/>
  <c r="O10984" i="33"/>
  <c r="O10983" i="33"/>
  <c r="O10982" i="33"/>
  <c r="K10980" i="33"/>
  <c r="K11008" i="33" s="1"/>
  <c r="P11008" i="33" s="1"/>
  <c r="O10941" i="33"/>
  <c r="O10940" i="33"/>
  <c r="O10932" i="33"/>
  <c r="N10938" i="33"/>
  <c r="H10938" i="33"/>
  <c r="O10938" i="33" s="1"/>
  <c r="N10937" i="33"/>
  <c r="H10937" i="33"/>
  <c r="N10936" i="33"/>
  <c r="H10936" i="33"/>
  <c r="O10936" i="33" s="1"/>
  <c r="N10935" i="33"/>
  <c r="H10935" i="33"/>
  <c r="N10934" i="33"/>
  <c r="H10934" i="33"/>
  <c r="N10919" i="33"/>
  <c r="H10919" i="33"/>
  <c r="O10919" i="33" s="1"/>
  <c r="N10918" i="33"/>
  <c r="H10918" i="33"/>
  <c r="O10918" i="33" s="1"/>
  <c r="O10914" i="33"/>
  <c r="O10913" i="33"/>
  <c r="O10912" i="33"/>
  <c r="O10911" i="33"/>
  <c r="O10910" i="33"/>
  <c r="O10909" i="33"/>
  <c r="O10908" i="33"/>
  <c r="O10907" i="33"/>
  <c r="K10905" i="33"/>
  <c r="K10914" i="33" s="1"/>
  <c r="H10892" i="33"/>
  <c r="O10892" i="33" s="1"/>
  <c r="H10891" i="33"/>
  <c r="O10891" i="33" s="1"/>
  <c r="H10890" i="33"/>
  <c r="H10889" i="33"/>
  <c r="O10889" i="33" s="1"/>
  <c r="H10888" i="33"/>
  <c r="O10888" i="33" s="1"/>
  <c r="O10896" i="33"/>
  <c r="N10892" i="33"/>
  <c r="N10891" i="33"/>
  <c r="N10890" i="33"/>
  <c r="N10889" i="33"/>
  <c r="N10888" i="33"/>
  <c r="O10897" i="33"/>
  <c r="O10886" i="33"/>
  <c r="K10884" i="33"/>
  <c r="O10833" i="33"/>
  <c r="O10826" i="33"/>
  <c r="N10829" i="33"/>
  <c r="H10829" i="33"/>
  <c r="O10829" i="33" s="1"/>
  <c r="N10828" i="33"/>
  <c r="H10828" i="33"/>
  <c r="O10828" i="33" s="1"/>
  <c r="N10824" i="33"/>
  <c r="H10824" i="33"/>
  <c r="N10823" i="33"/>
  <c r="H10823" i="33"/>
  <c r="N10822" i="33"/>
  <c r="H10822" i="33"/>
  <c r="N10821" i="33"/>
  <c r="H10821" i="33"/>
  <c r="O10821" i="33" s="1"/>
  <c r="N10819" i="33"/>
  <c r="H10819" i="33"/>
  <c r="O10819" i="33" s="1"/>
  <c r="N10818" i="33"/>
  <c r="H10818" i="33"/>
  <c r="N10817" i="33"/>
  <c r="H10817" i="33"/>
  <c r="O10817" i="33" s="1"/>
  <c r="N10816" i="33"/>
  <c r="H10816" i="33"/>
  <c r="O10814" i="33"/>
  <c r="O10813" i="33"/>
  <c r="K10811" i="33"/>
  <c r="K10833" i="33" s="1"/>
  <c r="O10698" i="33"/>
  <c r="O10683" i="33"/>
  <c r="D7040" i="33"/>
  <c r="O10679" i="33"/>
  <c r="K10673" i="33"/>
  <c r="K10679" i="33" s="1"/>
  <c r="R11285" i="33" l="1"/>
  <c r="O11102" i="33"/>
  <c r="P11102" i="33" s="1"/>
  <c r="K11048" i="33"/>
  <c r="P11048" i="33" s="1"/>
  <c r="P11236" i="33"/>
  <c r="P11234" i="33" s="1"/>
  <c r="P11227" i="33"/>
  <c r="N11175" i="33"/>
  <c r="P11231" i="33"/>
  <c r="P11229" i="33"/>
  <c r="P11230" i="33"/>
  <c r="K11002" i="33"/>
  <c r="K11003" i="33"/>
  <c r="K10992" i="33"/>
  <c r="N10990" i="33"/>
  <c r="K11004" i="33"/>
  <c r="K11076" i="33"/>
  <c r="P11076" i="33" s="1"/>
  <c r="K11005" i="33"/>
  <c r="K10964" i="33"/>
  <c r="P10964" i="33" s="1"/>
  <c r="N10971" i="33"/>
  <c r="K10983" i="33"/>
  <c r="O11047" i="33"/>
  <c r="O11038" i="33" s="1"/>
  <c r="P11038" i="33" s="1"/>
  <c r="O11002" i="33"/>
  <c r="K10991" i="33"/>
  <c r="K11001" i="33"/>
  <c r="K10993" i="33"/>
  <c r="N11047" i="33"/>
  <c r="O11177" i="33"/>
  <c r="O11176" i="33"/>
  <c r="K11104" i="33"/>
  <c r="P11104" i="33" s="1"/>
  <c r="P11108" i="33"/>
  <c r="O11074" i="33"/>
  <c r="P11074" i="33" s="1"/>
  <c r="P11080" i="33"/>
  <c r="N11011" i="33"/>
  <c r="K10984" i="33"/>
  <c r="K10994" i="33"/>
  <c r="N11065" i="33"/>
  <c r="K10985" i="33"/>
  <c r="K10996" i="33"/>
  <c r="K10986" i="33"/>
  <c r="P10986" i="33" s="1"/>
  <c r="K10997" i="33"/>
  <c r="O11065" i="33"/>
  <c r="O11056" i="33" s="1"/>
  <c r="P11056" i="33" s="1"/>
  <c r="K10987" i="33"/>
  <c r="P10987" i="33" s="1"/>
  <c r="K10998" i="33"/>
  <c r="K10988" i="33"/>
  <c r="P10988" i="33" s="1"/>
  <c r="K10999" i="33"/>
  <c r="K11041" i="33"/>
  <c r="N10960" i="33"/>
  <c r="K10982" i="33"/>
  <c r="P11061" i="33"/>
  <c r="K11067" i="33"/>
  <c r="K11060" i="33"/>
  <c r="K11064" i="33"/>
  <c r="K11066" i="33"/>
  <c r="K11058" i="33"/>
  <c r="K11059" i="33"/>
  <c r="K11049" i="33"/>
  <c r="K11043" i="33"/>
  <c r="K11040" i="33"/>
  <c r="K11042" i="33"/>
  <c r="K11046" i="33"/>
  <c r="O10995" i="33"/>
  <c r="K10957" i="33"/>
  <c r="P10957" i="33" s="1"/>
  <c r="N11000" i="33"/>
  <c r="N10995" i="33"/>
  <c r="K10962" i="33"/>
  <c r="P10962" i="33" s="1"/>
  <c r="N10887" i="33"/>
  <c r="K11009" i="33"/>
  <c r="P11009" i="33" s="1"/>
  <c r="N10955" i="33"/>
  <c r="K10956" i="33"/>
  <c r="P10956" i="33" s="1"/>
  <c r="K10959" i="33"/>
  <c r="P10959" i="33" s="1"/>
  <c r="O10962" i="33"/>
  <c r="K10973" i="33"/>
  <c r="P10973" i="33" s="1"/>
  <c r="K11010" i="33"/>
  <c r="P11010" i="33" s="1"/>
  <c r="O10971" i="33"/>
  <c r="O10955" i="33"/>
  <c r="P10969" i="33"/>
  <c r="K10963" i="33"/>
  <c r="K10950" i="33"/>
  <c r="K10952" i="33"/>
  <c r="K10954" i="33"/>
  <c r="O10964" i="33"/>
  <c r="K10968" i="33"/>
  <c r="K10970" i="33"/>
  <c r="K10972" i="33"/>
  <c r="K10961" i="33"/>
  <c r="K10965" i="33"/>
  <c r="K10951" i="33"/>
  <c r="K10953" i="33"/>
  <c r="K10958" i="33"/>
  <c r="O10991" i="33"/>
  <c r="O10992" i="33"/>
  <c r="K10818" i="33"/>
  <c r="O11001" i="33"/>
  <c r="O10917" i="33"/>
  <c r="O10905" i="33" s="1"/>
  <c r="P10905" i="33" s="1"/>
  <c r="O11011" i="33"/>
  <c r="K11012" i="33"/>
  <c r="P11012" i="33" s="1"/>
  <c r="O11004" i="33"/>
  <c r="O11003" i="33"/>
  <c r="O10993" i="33"/>
  <c r="K11013" i="33"/>
  <c r="N10917" i="33"/>
  <c r="N10933" i="33"/>
  <c r="K10822" i="33"/>
  <c r="P10822" i="33" s="1"/>
  <c r="K10889" i="33"/>
  <c r="K10816" i="33"/>
  <c r="P10816" i="33" s="1"/>
  <c r="N10827" i="33"/>
  <c r="K10823" i="33"/>
  <c r="P10823" i="33" s="1"/>
  <c r="K10909" i="33"/>
  <c r="P10909" i="33" s="1"/>
  <c r="K10918" i="33"/>
  <c r="P10918" i="33" s="1"/>
  <c r="K10824" i="33"/>
  <c r="P10824" i="33" s="1"/>
  <c r="O10934" i="33"/>
  <c r="O10935" i="33"/>
  <c r="O10937" i="33"/>
  <c r="K10911" i="33"/>
  <c r="P10911" i="33" s="1"/>
  <c r="K10907" i="33"/>
  <c r="P10907" i="33" s="1"/>
  <c r="K10913" i="33"/>
  <c r="P10913" i="33" s="1"/>
  <c r="P10914" i="33"/>
  <c r="K10919" i="33"/>
  <c r="K10908" i="33"/>
  <c r="K10910" i="33"/>
  <c r="K10912" i="33"/>
  <c r="N10815" i="33"/>
  <c r="K10817" i="33"/>
  <c r="P10817" i="33" s="1"/>
  <c r="N10820" i="33"/>
  <c r="O10824" i="33"/>
  <c r="O10823" i="33"/>
  <c r="K10888" i="33"/>
  <c r="K10886" i="33"/>
  <c r="P10886" i="33" s="1"/>
  <c r="K10892" i="33"/>
  <c r="P10892" i="33" s="1"/>
  <c r="K10896" i="33"/>
  <c r="K10890" i="33"/>
  <c r="P10890" i="33" s="1"/>
  <c r="K10891" i="33"/>
  <c r="P10891" i="33" s="1"/>
  <c r="K10897" i="33"/>
  <c r="O10890" i="33"/>
  <c r="O10887" i="33" s="1"/>
  <c r="O10884" i="33" s="1"/>
  <c r="P10884" i="33" s="1"/>
  <c r="O10818" i="33"/>
  <c r="K10826" i="33"/>
  <c r="P10826" i="33" s="1"/>
  <c r="K10828" i="33"/>
  <c r="K10829" i="33"/>
  <c r="K10819" i="33"/>
  <c r="O10673" i="33"/>
  <c r="P10673" i="33" s="1"/>
  <c r="K10821" i="33"/>
  <c r="P10833" i="33"/>
  <c r="O10827" i="33"/>
  <c r="O10822" i="33"/>
  <c r="O10816" i="33"/>
  <c r="K10813" i="33"/>
  <c r="P10813" i="33" s="1"/>
  <c r="K10814" i="33"/>
  <c r="P10814" i="33" s="1"/>
  <c r="K10683" i="33"/>
  <c r="P10683" i="33" s="1"/>
  <c r="P10679" i="33"/>
  <c r="R11074" i="33" l="1"/>
  <c r="R11227" i="33"/>
  <c r="O10960" i="33"/>
  <c r="O11175" i="33"/>
  <c r="R11102" i="33"/>
  <c r="P11041" i="33"/>
  <c r="P11058" i="33"/>
  <c r="P11066" i="33"/>
  <c r="P11059" i="33"/>
  <c r="P11064" i="33"/>
  <c r="P11060" i="33"/>
  <c r="P11067" i="33"/>
  <c r="P11046" i="33"/>
  <c r="P11042" i="33"/>
  <c r="P11040" i="33"/>
  <c r="P11043" i="33"/>
  <c r="P11049" i="33"/>
  <c r="P11047" i="33" s="1"/>
  <c r="O10990" i="33"/>
  <c r="O10948" i="33"/>
  <c r="P10948" i="33" s="1"/>
  <c r="P10968" i="33"/>
  <c r="P10972" i="33"/>
  <c r="P10971" i="33" s="1"/>
  <c r="P10958" i="33"/>
  <c r="P10955" i="33" s="1"/>
  <c r="P10953" i="33"/>
  <c r="P10954" i="33"/>
  <c r="P10951" i="33"/>
  <c r="P10952" i="33"/>
  <c r="P10970" i="33"/>
  <c r="P10965" i="33"/>
  <c r="P10950" i="33"/>
  <c r="P10963" i="33"/>
  <c r="P10961" i="33"/>
  <c r="O11000" i="33"/>
  <c r="P10984" i="33"/>
  <c r="P10982" i="33"/>
  <c r="P10985" i="33"/>
  <c r="P10983" i="33"/>
  <c r="P11013" i="33"/>
  <c r="P11011" i="33" s="1"/>
  <c r="O10815" i="33"/>
  <c r="O10820" i="33"/>
  <c r="O10933" i="33"/>
  <c r="P10919" i="33"/>
  <c r="P10917" i="33" s="1"/>
  <c r="P10912" i="33"/>
  <c r="P10910" i="33"/>
  <c r="P10908" i="33"/>
  <c r="P10897" i="33"/>
  <c r="P10888" i="33"/>
  <c r="P10896" i="33"/>
  <c r="P10889" i="33"/>
  <c r="P10818" i="33"/>
  <c r="P10828" i="33"/>
  <c r="P10829" i="33"/>
  <c r="P10821" i="33"/>
  <c r="P10820" i="33" s="1"/>
  <c r="P10819" i="33"/>
  <c r="O10980" i="33" l="1"/>
  <c r="P10980" i="33" s="1"/>
  <c r="P10960" i="33"/>
  <c r="R10948" i="33" s="1"/>
  <c r="P11065" i="33"/>
  <c r="R11056" i="33" s="1"/>
  <c r="R11038" i="33"/>
  <c r="O10811" i="33"/>
  <c r="P10811" i="33" s="1"/>
  <c r="P10815" i="33"/>
  <c r="R10905" i="33"/>
  <c r="P10887" i="33"/>
  <c r="R10884" i="33" s="1"/>
  <c r="P10827" i="33"/>
  <c r="R10673" i="33"/>
  <c r="R10811" i="33" l="1"/>
  <c r="G10473" i="33" l="1"/>
  <c r="I10473" i="33"/>
  <c r="O10597" i="33"/>
  <c r="O10596" i="33"/>
  <c r="O10595" i="33"/>
  <c r="O10594" i="33"/>
  <c r="N10605" i="33"/>
  <c r="H10605" i="33"/>
  <c r="O10605" i="33" s="1"/>
  <c r="N10604" i="33"/>
  <c r="H10604" i="33"/>
  <c r="N10602" i="33"/>
  <c r="H10602" i="33"/>
  <c r="O10602" i="33" s="1"/>
  <c r="N10601" i="33"/>
  <c r="H10601" i="33"/>
  <c r="N10585" i="33"/>
  <c r="H10585" i="33"/>
  <c r="N10584" i="33"/>
  <c r="H10584" i="33"/>
  <c r="O10584" i="33" s="1"/>
  <c r="O10580" i="33"/>
  <c r="O10579" i="33"/>
  <c r="H10566" i="33"/>
  <c r="N10570" i="33"/>
  <c r="H10570" i="33"/>
  <c r="O10570" i="33" s="1"/>
  <c r="N10569" i="33"/>
  <c r="H10569" i="33"/>
  <c r="N10567" i="33"/>
  <c r="H10567" i="33"/>
  <c r="O10567" i="33" s="1"/>
  <c r="N10566" i="33"/>
  <c r="O10563" i="33"/>
  <c r="O10562" i="33"/>
  <c r="O10561" i="33"/>
  <c r="O10560" i="33"/>
  <c r="O10559" i="33"/>
  <c r="O10558" i="33"/>
  <c r="N10549" i="33"/>
  <c r="H10549" i="33"/>
  <c r="O10549" i="33" s="1"/>
  <c r="N10548" i="33"/>
  <c r="H10548" i="33"/>
  <c r="O10548" i="33" s="1"/>
  <c r="N10546" i="33"/>
  <c r="H10546" i="33"/>
  <c r="N10545" i="33"/>
  <c r="H10545" i="33"/>
  <c r="O10542" i="33"/>
  <c r="O10541" i="33"/>
  <c r="O10540" i="33"/>
  <c r="O10539" i="33"/>
  <c r="K10592" i="33"/>
  <c r="K10596" i="33" s="1"/>
  <c r="P10596" i="33" s="1"/>
  <c r="K10577" i="33"/>
  <c r="K10580" i="33" s="1"/>
  <c r="K10556" i="33"/>
  <c r="K10563" i="33" s="1"/>
  <c r="P10563" i="33" s="1"/>
  <c r="K10473" i="33" l="1"/>
  <c r="L10514" i="33" s="1"/>
  <c r="N10603" i="33"/>
  <c r="N10568" i="33"/>
  <c r="N10547" i="33"/>
  <c r="N10544" i="33"/>
  <c r="N10583" i="33"/>
  <c r="K10569" i="33"/>
  <c r="P10569" i="33" s="1"/>
  <c r="K10595" i="33"/>
  <c r="P10595" i="33" s="1"/>
  <c r="K10585" i="33"/>
  <c r="P10585" i="33" s="1"/>
  <c r="K10597" i="33"/>
  <c r="K10601" i="33"/>
  <c r="P10601" i="33" s="1"/>
  <c r="K10566" i="33"/>
  <c r="P10566" i="33" s="1"/>
  <c r="K10602" i="33"/>
  <c r="P10602" i="33" s="1"/>
  <c r="K10558" i="33"/>
  <c r="P10558" i="33" s="1"/>
  <c r="K10559" i="33"/>
  <c r="P10559" i="33" s="1"/>
  <c r="N10600" i="33"/>
  <c r="K10560" i="33"/>
  <c r="P10560" i="33" s="1"/>
  <c r="N10565" i="33"/>
  <c r="O10547" i="33"/>
  <c r="K10561" i="33"/>
  <c r="P10561" i="33" s="1"/>
  <c r="K10567" i="33"/>
  <c r="O10585" i="33"/>
  <c r="O10583" i="33" s="1"/>
  <c r="K10604" i="33"/>
  <c r="P10604" i="33" s="1"/>
  <c r="K10562" i="33"/>
  <c r="P10562" i="33" s="1"/>
  <c r="K10584" i="33"/>
  <c r="K10605" i="33"/>
  <c r="K10579" i="33"/>
  <c r="K10594" i="33"/>
  <c r="O10604" i="33"/>
  <c r="O10603" i="33" s="1"/>
  <c r="O10601" i="33"/>
  <c r="O10600" i="33" s="1"/>
  <c r="O10569" i="33"/>
  <c r="O10568" i="33" s="1"/>
  <c r="O10566" i="33"/>
  <c r="O10565" i="33" s="1"/>
  <c r="K10570" i="33"/>
  <c r="O10546" i="33"/>
  <c r="O10545" i="33"/>
  <c r="L10614" i="33" l="1"/>
  <c r="L10483" i="33"/>
  <c r="L10625" i="33"/>
  <c r="L10482" i="33"/>
  <c r="L10616" i="33"/>
  <c r="L10528" i="33"/>
  <c r="L10622" i="33"/>
  <c r="L10497" i="33"/>
  <c r="L10624" i="33"/>
  <c r="L10615" i="33"/>
  <c r="L10513" i="33"/>
  <c r="L10621" i="33"/>
  <c r="L10498" i="33"/>
  <c r="L10617" i="33"/>
  <c r="O10544" i="33"/>
  <c r="O10537" i="33" s="1"/>
  <c r="O10556" i="33"/>
  <c r="P10556" i="33" s="1"/>
  <c r="O10592" i="33"/>
  <c r="P10592" i="33" s="1"/>
  <c r="O10577" i="33"/>
  <c r="P10577" i="33" s="1"/>
  <c r="P10600" i="33"/>
  <c r="P10605" i="33"/>
  <c r="P10584" i="33"/>
  <c r="P10567" i="33"/>
  <c r="P10565" i="33" s="1"/>
  <c r="P10570" i="33"/>
  <c r="P10568" i="33" s="1"/>
  <c r="R10556" i="33" l="1"/>
  <c r="P10603" i="33"/>
  <c r="P10583" i="33"/>
  <c r="K10537" i="33" l="1"/>
  <c r="K10542" i="33" l="1"/>
  <c r="L10542" i="33" s="1"/>
  <c r="K10546" i="33"/>
  <c r="P10546" i="33" s="1"/>
  <c r="K10541" i="33"/>
  <c r="L10541" i="33" s="1"/>
  <c r="K10540" i="33"/>
  <c r="P10540" i="33" s="1"/>
  <c r="K10539" i="33"/>
  <c r="L10539" i="33" s="1"/>
  <c r="K10545" i="33"/>
  <c r="P10545" i="33" s="1"/>
  <c r="K10549" i="33"/>
  <c r="L10549" i="33" s="1"/>
  <c r="K10548" i="33"/>
  <c r="L10548" i="33" s="1"/>
  <c r="L10605" i="33"/>
  <c r="L10585" i="33"/>
  <c r="L10604" i="33"/>
  <c r="L10584" i="33"/>
  <c r="L10562" i="33"/>
  <c r="L10602" i="33"/>
  <c r="L10580" i="33"/>
  <c r="L10561" i="33"/>
  <c r="L10566" i="33"/>
  <c r="L10601" i="33"/>
  <c r="L10579" i="33"/>
  <c r="L10560" i="33"/>
  <c r="L10597" i="33"/>
  <c r="L10570" i="33"/>
  <c r="L10559" i="33"/>
  <c r="L10594" i="33"/>
  <c r="L10563" i="33"/>
  <c r="L10596" i="33"/>
  <c r="L10569" i="33"/>
  <c r="L10558" i="33"/>
  <c r="L10595" i="33"/>
  <c r="L10567" i="33"/>
  <c r="P10537" i="33"/>
  <c r="M10473" i="33" s="1"/>
  <c r="G9753" i="33"/>
  <c r="G10256" i="33"/>
  <c r="K10256" i="33" s="1"/>
  <c r="I10256" i="33"/>
  <c r="N10461" i="33"/>
  <c r="H10461" i="33"/>
  <c r="O10461" i="33" s="1"/>
  <c r="N10460" i="33"/>
  <c r="H10460" i="33"/>
  <c r="O10460" i="33" s="1"/>
  <c r="O10457" i="33"/>
  <c r="O10456" i="33"/>
  <c r="O10455" i="33"/>
  <c r="K10453" i="33"/>
  <c r="O10441" i="33"/>
  <c r="O10413" i="33"/>
  <c r="K10411" i="33"/>
  <c r="N10423" i="33"/>
  <c r="H10423" i="33"/>
  <c r="O10423" i="33" s="1"/>
  <c r="N10422" i="33"/>
  <c r="H10422" i="33"/>
  <c r="N10421" i="33"/>
  <c r="H10421" i="33"/>
  <c r="O10421" i="33" s="1"/>
  <c r="N10419" i="33"/>
  <c r="H10419" i="33"/>
  <c r="N10418" i="33"/>
  <c r="H10418" i="33"/>
  <c r="O10418" i="33" s="1"/>
  <c r="N10417" i="33"/>
  <c r="H10417" i="33"/>
  <c r="O10417" i="33" s="1"/>
  <c r="N10416" i="33"/>
  <c r="H10416" i="33"/>
  <c r="O10416" i="33" s="1"/>
  <c r="N10415" i="33"/>
  <c r="H10415" i="33"/>
  <c r="O10415" i="33" s="1"/>
  <c r="N10428" i="33"/>
  <c r="H10428" i="33"/>
  <c r="O10428" i="33" s="1"/>
  <c r="N10427" i="33"/>
  <c r="H10427" i="33"/>
  <c r="O10427" i="33" s="1"/>
  <c r="O10402" i="33"/>
  <c r="O10401" i="33"/>
  <c r="N10398" i="33"/>
  <c r="H10398" i="33"/>
  <c r="O10398" i="33" s="1"/>
  <c r="N10397" i="33"/>
  <c r="H10397" i="33"/>
  <c r="O10397" i="33" s="1"/>
  <c r="N10396" i="33"/>
  <c r="H10396" i="33"/>
  <c r="N10395" i="33"/>
  <c r="H10395" i="33"/>
  <c r="O10395" i="33" s="1"/>
  <c r="K10392" i="33"/>
  <c r="K10402" i="33" s="1"/>
  <c r="P10402" i="33" s="1"/>
  <c r="O10371" i="33"/>
  <c r="O10370" i="33"/>
  <c r="O10369" i="33"/>
  <c r="N10358" i="33"/>
  <c r="H10358" i="33"/>
  <c r="O10358" i="33" s="1"/>
  <c r="N10357" i="33"/>
  <c r="H10357" i="33"/>
  <c r="O10357" i="33" s="1"/>
  <c r="O10329" i="33"/>
  <c r="O10328" i="33"/>
  <c r="O10327" i="33"/>
  <c r="N10335" i="33"/>
  <c r="H10335" i="33"/>
  <c r="O10335" i="33" s="1"/>
  <c r="N10334" i="33"/>
  <c r="H10334" i="33"/>
  <c r="O10334" i="33" s="1"/>
  <c r="N10333" i="33"/>
  <c r="H10333" i="33"/>
  <c r="O10333" i="33" s="1"/>
  <c r="N10332" i="33"/>
  <c r="H10332" i="33"/>
  <c r="O10332" i="33" s="1"/>
  <c r="N10331" i="33"/>
  <c r="H10331" i="33"/>
  <c r="O10331" i="33" s="1"/>
  <c r="O10318" i="33"/>
  <c r="O10317" i="33"/>
  <c r="H10314" i="33"/>
  <c r="O10314" i="33" s="1"/>
  <c r="H10313" i="33"/>
  <c r="O10313" i="33" s="1"/>
  <c r="H10312" i="33"/>
  <c r="O10312" i="33" s="1"/>
  <c r="H10311" i="33"/>
  <c r="H10310" i="33"/>
  <c r="O10310" i="33" s="1"/>
  <c r="N10314" i="33"/>
  <c r="N10313" i="33"/>
  <c r="N10312" i="33"/>
  <c r="N10311" i="33"/>
  <c r="N10310" i="33"/>
  <c r="O10264" i="33"/>
  <c r="O10258" i="33" s="1"/>
  <c r="K10258" i="33"/>
  <c r="K10264" i="33" s="1"/>
  <c r="P10264" i="33" s="1"/>
  <c r="R10258" i="33" s="1"/>
  <c r="N10446" i="33"/>
  <c r="H10446" i="33"/>
  <c r="N10445" i="33"/>
  <c r="H10445" i="33"/>
  <c r="O10443" i="33"/>
  <c r="O10440" i="33"/>
  <c r="O10439" i="33"/>
  <c r="O10438" i="33"/>
  <c r="K10436" i="33"/>
  <c r="K10441" i="33" s="1"/>
  <c r="P10441" i="33" s="1"/>
  <c r="O10384" i="33"/>
  <c r="O10383" i="33"/>
  <c r="N10380" i="33"/>
  <c r="H10380" i="33"/>
  <c r="O10380" i="33" s="1"/>
  <c r="N10379" i="33"/>
  <c r="H10379" i="33"/>
  <c r="O10379" i="33" s="1"/>
  <c r="N10378" i="33"/>
  <c r="H10378" i="33"/>
  <c r="O10378" i="33" s="1"/>
  <c r="N10377" i="33"/>
  <c r="H10377" i="33"/>
  <c r="O10377" i="33" s="1"/>
  <c r="N10375" i="33"/>
  <c r="H10375" i="33"/>
  <c r="O10375" i="33" s="1"/>
  <c r="N10374" i="33"/>
  <c r="H10374" i="33"/>
  <c r="O10374" i="33" s="1"/>
  <c r="N10373" i="33"/>
  <c r="H10373" i="33"/>
  <c r="O10373" i="33" s="1"/>
  <c r="O10368" i="33"/>
  <c r="O10367" i="33"/>
  <c r="K10365" i="33"/>
  <c r="K10368" i="33" s="1"/>
  <c r="N10353" i="33"/>
  <c r="H10353" i="33"/>
  <c r="O10353" i="33" s="1"/>
  <c r="N10352" i="33"/>
  <c r="H10352" i="33"/>
  <c r="O10352" i="33" s="1"/>
  <c r="N10351" i="33"/>
  <c r="H10351" i="33"/>
  <c r="O10351" i="33" s="1"/>
  <c r="N10350" i="33"/>
  <c r="H10350" i="33"/>
  <c r="K10347" i="33"/>
  <c r="N10340" i="33"/>
  <c r="H10340" i="33"/>
  <c r="O10340" i="33" s="1"/>
  <c r="N10339" i="33"/>
  <c r="H10339" i="33"/>
  <c r="K10325" i="33"/>
  <c r="K10329" i="33" s="1"/>
  <c r="P10329" i="33" s="1"/>
  <c r="O10308" i="33"/>
  <c r="K10306" i="33"/>
  <c r="O10297" i="33"/>
  <c r="O10290" i="33" s="1"/>
  <c r="K10290" i="33"/>
  <c r="K10297" i="33" s="1"/>
  <c r="P10297" i="33" s="1"/>
  <c r="R10290" i="33" s="1"/>
  <c r="O10282" i="33"/>
  <c r="O10273" i="33" s="1"/>
  <c r="K10273" i="33"/>
  <c r="K10282" i="33" s="1"/>
  <c r="P10282" i="33" s="1"/>
  <c r="R10273" i="33" s="1"/>
  <c r="I10059" i="33"/>
  <c r="I9753" i="33"/>
  <c r="P10544" i="33" l="1"/>
  <c r="Q10473" i="33"/>
  <c r="N10459" i="33"/>
  <c r="L10540" i="33"/>
  <c r="L10546" i="33"/>
  <c r="L10545" i="33"/>
  <c r="K9753" i="33"/>
  <c r="P10549" i="33"/>
  <c r="P10548" i="33"/>
  <c r="N10356" i="33"/>
  <c r="K10396" i="33"/>
  <c r="P10396" i="33" s="1"/>
  <c r="N10420" i="33"/>
  <c r="K10440" i="33"/>
  <c r="P10440" i="33" s="1"/>
  <c r="K10438" i="33"/>
  <c r="N10414" i="33"/>
  <c r="K10439" i="33"/>
  <c r="P10439" i="33" s="1"/>
  <c r="O10396" i="33"/>
  <c r="O10394" i="33" s="1"/>
  <c r="O10392" i="33" s="1"/>
  <c r="P10392" i="33" s="1"/>
  <c r="K10428" i="33"/>
  <c r="P10428" i="33" s="1"/>
  <c r="N10426" i="33"/>
  <c r="O10459" i="33"/>
  <c r="O10453" i="33" s="1"/>
  <c r="K10461" i="33"/>
  <c r="K10456" i="33"/>
  <c r="K10460" i="33"/>
  <c r="K10455" i="33"/>
  <c r="K10457" i="33"/>
  <c r="K10369" i="33"/>
  <c r="P10369" i="33" s="1"/>
  <c r="P10290" i="33"/>
  <c r="K10311" i="33"/>
  <c r="K10370" i="33"/>
  <c r="P10370" i="33" s="1"/>
  <c r="K10373" i="33"/>
  <c r="N10394" i="33"/>
  <c r="O10426" i="33"/>
  <c r="K10401" i="33"/>
  <c r="P10401" i="33" s="1"/>
  <c r="O10419" i="33"/>
  <c r="O10414" i="33" s="1"/>
  <c r="K10423" i="33"/>
  <c r="P10423" i="33" s="1"/>
  <c r="K10358" i="33"/>
  <c r="P10358" i="33" s="1"/>
  <c r="O10356" i="33"/>
  <c r="K10367" i="33"/>
  <c r="K10371" i="33"/>
  <c r="P10371" i="33" s="1"/>
  <c r="K10397" i="33"/>
  <c r="P10397" i="33" s="1"/>
  <c r="K10421" i="33"/>
  <c r="P10421" i="33" s="1"/>
  <c r="K10422" i="33"/>
  <c r="K10415" i="33"/>
  <c r="P10415" i="33" s="1"/>
  <c r="K10416" i="33"/>
  <c r="P10416" i="33" s="1"/>
  <c r="K10417" i="33"/>
  <c r="K10427" i="33"/>
  <c r="P10427" i="33" s="1"/>
  <c r="K10418" i="33"/>
  <c r="K10413" i="33"/>
  <c r="O10422" i="33"/>
  <c r="O10420" i="33" s="1"/>
  <c r="K10395" i="33"/>
  <c r="K10398" i="33"/>
  <c r="K10357" i="33"/>
  <c r="P10357" i="33" s="1"/>
  <c r="N10330" i="33"/>
  <c r="K10327" i="33"/>
  <c r="P10327" i="33" s="1"/>
  <c r="K10328" i="33"/>
  <c r="P10328" i="33" s="1"/>
  <c r="K10331" i="33"/>
  <c r="P10331" i="33" s="1"/>
  <c r="O10311" i="33"/>
  <c r="O10309" i="33" s="1"/>
  <c r="O10306" i="33" s="1"/>
  <c r="K10334" i="33"/>
  <c r="P10334" i="33" s="1"/>
  <c r="K10332" i="33"/>
  <c r="K10312" i="33"/>
  <c r="K10379" i="33"/>
  <c r="P10379" i="33" s="1"/>
  <c r="K10446" i="33"/>
  <c r="P10446" i="33" s="1"/>
  <c r="K10335" i="33"/>
  <c r="O10330" i="33"/>
  <c r="K10333" i="33"/>
  <c r="K10313" i="33"/>
  <c r="K10314" i="33"/>
  <c r="K10317" i="33"/>
  <c r="P10317" i="33" s="1"/>
  <c r="K10318" i="33"/>
  <c r="P10318" i="33" s="1"/>
  <c r="K10310" i="33"/>
  <c r="K10308" i="33"/>
  <c r="N10338" i="33"/>
  <c r="N10309" i="33"/>
  <c r="N10444" i="33"/>
  <c r="K10445" i="33"/>
  <c r="P10445" i="33" s="1"/>
  <c r="K10339" i="33"/>
  <c r="P10339" i="33" s="1"/>
  <c r="P10258" i="33"/>
  <c r="N10376" i="33"/>
  <c r="N10372" i="33"/>
  <c r="P10273" i="33"/>
  <c r="K10377" i="33"/>
  <c r="P10377" i="33" s="1"/>
  <c r="K10378" i="33"/>
  <c r="P10378" i="33" s="1"/>
  <c r="K10380" i="33"/>
  <c r="P10380" i="33" s="1"/>
  <c r="K10350" i="33"/>
  <c r="P10350" i="33" s="1"/>
  <c r="K10375" i="33"/>
  <c r="P10375" i="33" s="1"/>
  <c r="O10445" i="33"/>
  <c r="O10339" i="33"/>
  <c r="O10338" i="33" s="1"/>
  <c r="N10349" i="33"/>
  <c r="K10340" i="33"/>
  <c r="P10340" i="33" s="1"/>
  <c r="O10350" i="33"/>
  <c r="O10349" i="33" s="1"/>
  <c r="K10351" i="33"/>
  <c r="P10351" i="33" s="1"/>
  <c r="O10446" i="33"/>
  <c r="O10376" i="33"/>
  <c r="O10372" i="33"/>
  <c r="K10353" i="33"/>
  <c r="K10383" i="33"/>
  <c r="K10443" i="33"/>
  <c r="P10443" i="33" s="1"/>
  <c r="K10352" i="33"/>
  <c r="K10374" i="33"/>
  <c r="K10384" i="33"/>
  <c r="P10547" i="33" l="1"/>
  <c r="O10325" i="33"/>
  <c r="P10325" i="33" s="1"/>
  <c r="O10365" i="33"/>
  <c r="P10365" i="33" s="1"/>
  <c r="O10411" i="33"/>
  <c r="P10411" i="33" s="1"/>
  <c r="P10453" i="33"/>
  <c r="P10461" i="33"/>
  <c r="P10456" i="33"/>
  <c r="P10457" i="33"/>
  <c r="P10455" i="33"/>
  <c r="P10460" i="33"/>
  <c r="O10347" i="33"/>
  <c r="P10347" i="33" s="1"/>
  <c r="P10422" i="33"/>
  <c r="P10420" i="33" s="1"/>
  <c r="P10413" i="33"/>
  <c r="P10418" i="33"/>
  <c r="P10417" i="33"/>
  <c r="P10426" i="33"/>
  <c r="P10398" i="33"/>
  <c r="P10395" i="33"/>
  <c r="P10356" i="33"/>
  <c r="P10335" i="33"/>
  <c r="P10332" i="33"/>
  <c r="P10376" i="33"/>
  <c r="P10333" i="33"/>
  <c r="P10306" i="33"/>
  <c r="O10444" i="33"/>
  <c r="P10338" i="33"/>
  <c r="P10444" i="33"/>
  <c r="P10308" i="33"/>
  <c r="P10383" i="33"/>
  <c r="P10353" i="33"/>
  <c r="P10374" i="33"/>
  <c r="P10368" i="33"/>
  <c r="P10438" i="33"/>
  <c r="P10373" i="33"/>
  <c r="P10352" i="33"/>
  <c r="P10367" i="33"/>
  <c r="P10384" i="33"/>
  <c r="P10459" i="33" l="1"/>
  <c r="R10453" i="33" s="1"/>
  <c r="O10436" i="33"/>
  <c r="P10436" i="33" s="1"/>
  <c r="R10436" i="33"/>
  <c r="P10394" i="33"/>
  <c r="R10392" i="33" s="1"/>
  <c r="P10330" i="33"/>
  <c r="R10325" i="33" s="1"/>
  <c r="P10349" i="33"/>
  <c r="R10347" i="33" s="1"/>
  <c r="P10372" i="33"/>
  <c r="R10365" i="33" s="1"/>
  <c r="M10256" i="33" l="1"/>
  <c r="O10210" i="33"/>
  <c r="O10209" i="33"/>
  <c r="N10206" i="33"/>
  <c r="H10206" i="33"/>
  <c r="O10206" i="33" s="1"/>
  <c r="N10205" i="33"/>
  <c r="H10205" i="33"/>
  <c r="O10205" i="33" s="1"/>
  <c r="N10204" i="33"/>
  <c r="H10204" i="33"/>
  <c r="O10204" i="33" s="1"/>
  <c r="N10203" i="33"/>
  <c r="H10203" i="33"/>
  <c r="O10203" i="33" s="1"/>
  <c r="K10200" i="33"/>
  <c r="K10209" i="33" s="1"/>
  <c r="K10219" i="33"/>
  <c r="O10221" i="33"/>
  <c r="O10244" i="33"/>
  <c r="O10240" i="33"/>
  <c r="O10239" i="33"/>
  <c r="O10238" i="33"/>
  <c r="K10236" i="33"/>
  <c r="K10244" i="33" s="1"/>
  <c r="N10229" i="33"/>
  <c r="H10229" i="33"/>
  <c r="N10228" i="33"/>
  <c r="H10228" i="33"/>
  <c r="O10226" i="33"/>
  <c r="O10223" i="33"/>
  <c r="O10222" i="33"/>
  <c r="O10192" i="33"/>
  <c r="O10191" i="33"/>
  <c r="N10188" i="33"/>
  <c r="H10188" i="33"/>
  <c r="O10188" i="33" s="1"/>
  <c r="N10187" i="33"/>
  <c r="H10187" i="33"/>
  <c r="O10187" i="33" s="1"/>
  <c r="N10186" i="33"/>
  <c r="H10186" i="33"/>
  <c r="O10186" i="33" s="1"/>
  <c r="N10185" i="33"/>
  <c r="H10185" i="33"/>
  <c r="O10185" i="33" s="1"/>
  <c r="N10183" i="33"/>
  <c r="H10183" i="33"/>
  <c r="O10183" i="33" s="1"/>
  <c r="N10182" i="33"/>
  <c r="H10182" i="33"/>
  <c r="O10182" i="33" s="1"/>
  <c r="N10181" i="33"/>
  <c r="H10181" i="33"/>
  <c r="O10181" i="33" s="1"/>
  <c r="O10179" i="33"/>
  <c r="O10178" i="33"/>
  <c r="O10177" i="33"/>
  <c r="K10175" i="33"/>
  <c r="O10167" i="33"/>
  <c r="N10167" i="33"/>
  <c r="N10166" i="33" s="1"/>
  <c r="O10166" i="33"/>
  <c r="N10163" i="33"/>
  <c r="H10163" i="33"/>
  <c r="N10162" i="33"/>
  <c r="H10162" i="33"/>
  <c r="N10161" i="33"/>
  <c r="H10161" i="33"/>
  <c r="O10161" i="33" s="1"/>
  <c r="N10160" i="33"/>
  <c r="H10160" i="33"/>
  <c r="O10158" i="33"/>
  <c r="K10156" i="33"/>
  <c r="K10158" i="33" s="1"/>
  <c r="N10149" i="33"/>
  <c r="H10149" i="33"/>
  <c r="O10149" i="33" s="1"/>
  <c r="N10148" i="33"/>
  <c r="H10148" i="33"/>
  <c r="N10144" i="33"/>
  <c r="H10144" i="33"/>
  <c r="N10143" i="33"/>
  <c r="H10143" i="33"/>
  <c r="O10143" i="33" s="1"/>
  <c r="N10142" i="33"/>
  <c r="H10142" i="33"/>
  <c r="O10142" i="33" s="1"/>
  <c r="N10141" i="33"/>
  <c r="H10141" i="33"/>
  <c r="O10141" i="33" s="1"/>
  <c r="N10139" i="33"/>
  <c r="H10139" i="33"/>
  <c r="N10138" i="33"/>
  <c r="H10138" i="33"/>
  <c r="O10138" i="33" s="1"/>
  <c r="N10137" i="33"/>
  <c r="H10137" i="33"/>
  <c r="O10135" i="33"/>
  <c r="K10133" i="33"/>
  <c r="N10126" i="33"/>
  <c r="H10126" i="33"/>
  <c r="O10126" i="33" s="1"/>
  <c r="N10125" i="33"/>
  <c r="H10125" i="33"/>
  <c r="N10121" i="33"/>
  <c r="H10121" i="33"/>
  <c r="O10121" i="33" s="1"/>
  <c r="N10120" i="33"/>
  <c r="H10120" i="33"/>
  <c r="N10119" i="33"/>
  <c r="H10119" i="33"/>
  <c r="O10119" i="33" s="1"/>
  <c r="N10118" i="33"/>
  <c r="H10118" i="33"/>
  <c r="O10118" i="33" s="1"/>
  <c r="N10116" i="33"/>
  <c r="H10116" i="33"/>
  <c r="N10115" i="33"/>
  <c r="H10115" i="33"/>
  <c r="O10115" i="33" s="1"/>
  <c r="N10114" i="33"/>
  <c r="H10114" i="33"/>
  <c r="O10114" i="33" s="1"/>
  <c r="O10112" i="33"/>
  <c r="O10111" i="33"/>
  <c r="K10109" i="33"/>
  <c r="K10112" i="33" s="1"/>
  <c r="O10100" i="33"/>
  <c r="O10093" i="33" s="1"/>
  <c r="K10093" i="33"/>
  <c r="K10100" i="33" s="1"/>
  <c r="O10085" i="33"/>
  <c r="O10076" i="33" s="1"/>
  <c r="K10076" i="33"/>
  <c r="K10085" i="33" s="1"/>
  <c r="O10069" i="33"/>
  <c r="O10068" i="33"/>
  <c r="K10061" i="33"/>
  <c r="K10068" i="33" s="1"/>
  <c r="K10221" i="33" l="1"/>
  <c r="P10221" i="33" s="1"/>
  <c r="K10224" i="33"/>
  <c r="N10147" i="33"/>
  <c r="K10186" i="33"/>
  <c r="K10226" i="33"/>
  <c r="P10226" i="33" s="1"/>
  <c r="N10202" i="33"/>
  <c r="K10160" i="33"/>
  <c r="P10160" i="33" s="1"/>
  <c r="K10204" i="33"/>
  <c r="P10204" i="33" s="1"/>
  <c r="O10202" i="33"/>
  <c r="K10144" i="33"/>
  <c r="P10144" i="33" s="1"/>
  <c r="N10184" i="33"/>
  <c r="K10137" i="33"/>
  <c r="P10137" i="33" s="1"/>
  <c r="K10125" i="33"/>
  <c r="P10125" i="33" s="1"/>
  <c r="P10209" i="33"/>
  <c r="K10203" i="33"/>
  <c r="K10206" i="33"/>
  <c r="K10210" i="33"/>
  <c r="K10205" i="33"/>
  <c r="P10093" i="33"/>
  <c r="K10120" i="33"/>
  <c r="P10120" i="33" s="1"/>
  <c r="K10111" i="33"/>
  <c r="P10111" i="33" s="1"/>
  <c r="K10116" i="33"/>
  <c r="P10116" i="33" s="1"/>
  <c r="K10148" i="33"/>
  <c r="P10148" i="33" s="1"/>
  <c r="N10159" i="33"/>
  <c r="N10113" i="33"/>
  <c r="N10124" i="33"/>
  <c r="K10119" i="33"/>
  <c r="P10119" i="33" s="1"/>
  <c r="N10136" i="33"/>
  <c r="O10061" i="33"/>
  <c r="P10061" i="33" s="1"/>
  <c r="N10227" i="33"/>
  <c r="O10120" i="33"/>
  <c r="O10117" i="33" s="1"/>
  <c r="O10125" i="33"/>
  <c r="O10124" i="33" s="1"/>
  <c r="O10144" i="33"/>
  <c r="O10140" i="33" s="1"/>
  <c r="K10162" i="33"/>
  <c r="P10162" i="33" s="1"/>
  <c r="K10228" i="33"/>
  <c r="P10228" i="33" s="1"/>
  <c r="K10238" i="33"/>
  <c r="P10076" i="33"/>
  <c r="K10114" i="33"/>
  <c r="P10114" i="33" s="1"/>
  <c r="O10137" i="33"/>
  <c r="K10142" i="33"/>
  <c r="P10142" i="33" s="1"/>
  <c r="N10140" i="33"/>
  <c r="K10163" i="33"/>
  <c r="P10163" i="33" s="1"/>
  <c r="O10228" i="33"/>
  <c r="O10236" i="33"/>
  <c r="P10236" i="33" s="1"/>
  <c r="N10180" i="33"/>
  <c r="K10229" i="33"/>
  <c r="P10229" i="33" s="1"/>
  <c r="N10117" i="33"/>
  <c r="K10143" i="33"/>
  <c r="P10143" i="33" s="1"/>
  <c r="K10139" i="33"/>
  <c r="P10139" i="33" s="1"/>
  <c r="O10148" i="33"/>
  <c r="O10147" i="33" s="1"/>
  <c r="O10163" i="33"/>
  <c r="O10160" i="33"/>
  <c r="O10229" i="33"/>
  <c r="O10180" i="33"/>
  <c r="K10185" i="33"/>
  <c r="P10244" i="33"/>
  <c r="P10085" i="33"/>
  <c r="R10076" i="33" s="1"/>
  <c r="P10158" i="33"/>
  <c r="P10186" i="33"/>
  <c r="P10068" i="33"/>
  <c r="P10100" i="33"/>
  <c r="R10093" i="33" s="1"/>
  <c r="P10112" i="33"/>
  <c r="O10184" i="33"/>
  <c r="K10069" i="33"/>
  <c r="K10178" i="33"/>
  <c r="K10183" i="33"/>
  <c r="K10191" i="33"/>
  <c r="K10240" i="33"/>
  <c r="K10222" i="33"/>
  <c r="K10182" i="33"/>
  <c r="K10118" i="33"/>
  <c r="K10141" i="33"/>
  <c r="K10188" i="33"/>
  <c r="K10115" i="33"/>
  <c r="K10126" i="33"/>
  <c r="K10138" i="33"/>
  <c r="K10149" i="33"/>
  <c r="K10161" i="33"/>
  <c r="K10177" i="33"/>
  <c r="K10179" i="33"/>
  <c r="K10181" i="33"/>
  <c r="K10192" i="33"/>
  <c r="K10239" i="33"/>
  <c r="K10167" i="33"/>
  <c r="O10116" i="33"/>
  <c r="O10113" i="33" s="1"/>
  <c r="K10121" i="33"/>
  <c r="O10139" i="33"/>
  <c r="O10162" i="33"/>
  <c r="K10166" i="33"/>
  <c r="K10187" i="33"/>
  <c r="K10223" i="33"/>
  <c r="K10135" i="33"/>
  <c r="O9894" i="33"/>
  <c r="P10224" i="33" l="1"/>
  <c r="O10136" i="33"/>
  <c r="O10133" i="33" s="1"/>
  <c r="P10133" i="33" s="1"/>
  <c r="O10200" i="33"/>
  <c r="P10200" i="33" s="1"/>
  <c r="P10203" i="33"/>
  <c r="P10205" i="33"/>
  <c r="P10210" i="33"/>
  <c r="P10206" i="33"/>
  <c r="O10175" i="33"/>
  <c r="P10175" i="33" s="1"/>
  <c r="O10159" i="33"/>
  <c r="O10156" i="33" s="1"/>
  <c r="P10156" i="33" s="1"/>
  <c r="O10227" i="33"/>
  <c r="O10219" i="33" s="1"/>
  <c r="P10219" i="33" s="1"/>
  <c r="P10227" i="33"/>
  <c r="O10109" i="33"/>
  <c r="P10109" i="33" s="1"/>
  <c r="P10185" i="33"/>
  <c r="P10238" i="33"/>
  <c r="P10166" i="33"/>
  <c r="P10167" i="33"/>
  <c r="P10182" i="33"/>
  <c r="P10149" i="33"/>
  <c r="P10147" i="33" s="1"/>
  <c r="P10069" i="33"/>
  <c r="R10061" i="33" s="1"/>
  <c r="P10223" i="33"/>
  <c r="P10121" i="33"/>
  <c r="P10138" i="33"/>
  <c r="P10136" i="33" s="1"/>
  <c r="P10240" i="33"/>
  <c r="P10239" i="33"/>
  <c r="P10126" i="33"/>
  <c r="P10124" i="33" s="1"/>
  <c r="P10188" i="33"/>
  <c r="P10191" i="33"/>
  <c r="P10161" i="33"/>
  <c r="P10159" i="33" s="1"/>
  <c r="P10115" i="33"/>
  <c r="P10113" i="33" s="1"/>
  <c r="P10222" i="33"/>
  <c r="P10187" i="33"/>
  <c r="P10192" i="33"/>
  <c r="P10141" i="33"/>
  <c r="P10140" i="33" s="1"/>
  <c r="P10183" i="33"/>
  <c r="P10135" i="33"/>
  <c r="P10181" i="33"/>
  <c r="P10118" i="33"/>
  <c r="P10178" i="33"/>
  <c r="P10179" i="33"/>
  <c r="P10177" i="33"/>
  <c r="O9808" i="33"/>
  <c r="O9777" i="33"/>
  <c r="O10048" i="33"/>
  <c r="O10044" i="33"/>
  <c r="O10043" i="33"/>
  <c r="O10042" i="33"/>
  <c r="K10040" i="33"/>
  <c r="K10048" i="33" s="1"/>
  <c r="O10030" i="33"/>
  <c r="N10033" i="33"/>
  <c r="H10033" i="33"/>
  <c r="N10032" i="33"/>
  <c r="H10032" i="33"/>
  <c r="O10014" i="33"/>
  <c r="O10015" i="33"/>
  <c r="O10027" i="33"/>
  <c r="O10026" i="33"/>
  <c r="O10025" i="33"/>
  <c r="K10023" i="33"/>
  <c r="H10011" i="33"/>
  <c r="O10011" i="33" s="1"/>
  <c r="H10010" i="33"/>
  <c r="O10010" i="33" s="1"/>
  <c r="H10009" i="33"/>
  <c r="H10008" i="33"/>
  <c r="O10008" i="33" s="1"/>
  <c r="H10006" i="33"/>
  <c r="H10005" i="33"/>
  <c r="O10005" i="33" s="1"/>
  <c r="H10004" i="33"/>
  <c r="O10004" i="33" s="1"/>
  <c r="O10001" i="33"/>
  <c r="O10002" i="33"/>
  <c r="N10006" i="33"/>
  <c r="N10005" i="33"/>
  <c r="N10004" i="33"/>
  <c r="N10011" i="33"/>
  <c r="N10010" i="33"/>
  <c r="N10009" i="33"/>
  <c r="N10008" i="33"/>
  <c r="O10000" i="33"/>
  <c r="K9998" i="33"/>
  <c r="K10001" i="33" s="1"/>
  <c r="P10001" i="33" s="1"/>
  <c r="O9990" i="33"/>
  <c r="O9989" i="33"/>
  <c r="R10219" i="33" l="1"/>
  <c r="M10059" i="33"/>
  <c r="K10032" i="33"/>
  <c r="P10032" i="33" s="1"/>
  <c r="N10031" i="33"/>
  <c r="R10156" i="33"/>
  <c r="P10202" i="33"/>
  <c r="R10200" i="33" s="1"/>
  <c r="O10040" i="33"/>
  <c r="P10040" i="33" s="1"/>
  <c r="P10184" i="33"/>
  <c r="R10236" i="33"/>
  <c r="P10117" i="33"/>
  <c r="R10109" i="33" s="1"/>
  <c r="N10007" i="33"/>
  <c r="P10180" i="33"/>
  <c r="R10133" i="33"/>
  <c r="K10033" i="33"/>
  <c r="K10030" i="33"/>
  <c r="P10030" i="33" s="1"/>
  <c r="K10015" i="33"/>
  <c r="K10014" i="33"/>
  <c r="P10048" i="33"/>
  <c r="K10042" i="33"/>
  <c r="K10044" i="33"/>
  <c r="K10043" i="33"/>
  <c r="O10033" i="33"/>
  <c r="O10032" i="33"/>
  <c r="K10027" i="33"/>
  <c r="K10006" i="33"/>
  <c r="K10004" i="33"/>
  <c r="K10000" i="33"/>
  <c r="K10011" i="33"/>
  <c r="K10010" i="33"/>
  <c r="K10008" i="33"/>
  <c r="K10025" i="33"/>
  <c r="K10002" i="33"/>
  <c r="K10026" i="33"/>
  <c r="K10009" i="33"/>
  <c r="K10005" i="33"/>
  <c r="N10003" i="33"/>
  <c r="O10006" i="33"/>
  <c r="O10003" i="33" s="1"/>
  <c r="O10009" i="33"/>
  <c r="O10007" i="33" s="1"/>
  <c r="N9990" i="33"/>
  <c r="N9989" i="33" s="1"/>
  <c r="N9986" i="33"/>
  <c r="H9986" i="33"/>
  <c r="O9986" i="33" s="1"/>
  <c r="N9985" i="33"/>
  <c r="H9985" i="33"/>
  <c r="N9984" i="33"/>
  <c r="H9984" i="33"/>
  <c r="N9983" i="33"/>
  <c r="H9983" i="33"/>
  <c r="O9983" i="33" s="1"/>
  <c r="O9981" i="33"/>
  <c r="K9979" i="33"/>
  <c r="K9981" i="33" s="1"/>
  <c r="N9972" i="33"/>
  <c r="H9972" i="33"/>
  <c r="O9972" i="33" s="1"/>
  <c r="N9971" i="33"/>
  <c r="H9971" i="33"/>
  <c r="O9971" i="33" s="1"/>
  <c r="N9967" i="33"/>
  <c r="H9967" i="33"/>
  <c r="O9967" i="33" s="1"/>
  <c r="N9966" i="33"/>
  <c r="H9966" i="33"/>
  <c r="O9966" i="33" s="1"/>
  <c r="N9965" i="33"/>
  <c r="H9965" i="33"/>
  <c r="O9965" i="33" s="1"/>
  <c r="N9964" i="33"/>
  <c r="H9964" i="33"/>
  <c r="O9964" i="33" s="1"/>
  <c r="N9962" i="33"/>
  <c r="H9962" i="33"/>
  <c r="O9962" i="33" s="1"/>
  <c r="N9961" i="33"/>
  <c r="H9961" i="33"/>
  <c r="O9961" i="33" s="1"/>
  <c r="N9960" i="33"/>
  <c r="H9960" i="33"/>
  <c r="O9958" i="33"/>
  <c r="K9956" i="33"/>
  <c r="K9958" i="33" s="1"/>
  <c r="H9944" i="33"/>
  <c r="O9944" i="33" s="1"/>
  <c r="H9943" i="33"/>
  <c r="H9942" i="33"/>
  <c r="O9942" i="33" s="1"/>
  <c r="H9941" i="33"/>
  <c r="O9941" i="33" s="1"/>
  <c r="O9935" i="33"/>
  <c r="O9934" i="33"/>
  <c r="N9944" i="33"/>
  <c r="N9943" i="33"/>
  <c r="N9937" i="33"/>
  <c r="N9941" i="33"/>
  <c r="N9949" i="33"/>
  <c r="H9949" i="33"/>
  <c r="N9948" i="33"/>
  <c r="H9948" i="33"/>
  <c r="N9942" i="33"/>
  <c r="N9939" i="33"/>
  <c r="H9939" i="33"/>
  <c r="O9939" i="33" s="1"/>
  <c r="N9938" i="33"/>
  <c r="H9938" i="33"/>
  <c r="O9938" i="33" s="1"/>
  <c r="H9937" i="33"/>
  <c r="O9937" i="33" s="1"/>
  <c r="K9932" i="33"/>
  <c r="K9935" i="33" s="1"/>
  <c r="O9907" i="33"/>
  <c r="O9901" i="33"/>
  <c r="O9900" i="33"/>
  <c r="O9924" i="33"/>
  <c r="O9915" i="33" s="1"/>
  <c r="K9915" i="33"/>
  <c r="K9918" i="33" s="1"/>
  <c r="P9918" i="33" s="1"/>
  <c r="K9898" i="33"/>
  <c r="K9907" i="33" s="1"/>
  <c r="O9891" i="33"/>
  <c r="O9890" i="33"/>
  <c r="O9885" i="33"/>
  <c r="O9884" i="33"/>
  <c r="K9882" i="33"/>
  <c r="O9872" i="33"/>
  <c r="O9871" i="33"/>
  <c r="O9870" i="33"/>
  <c r="O9869" i="33"/>
  <c r="O9868" i="33"/>
  <c r="O9867" i="33"/>
  <c r="P9915" i="33" l="1"/>
  <c r="R10175" i="33"/>
  <c r="O10031" i="33"/>
  <c r="O10023" i="33" s="1"/>
  <c r="P10023" i="33" s="1"/>
  <c r="K9891" i="33"/>
  <c r="P9891" i="33" s="1"/>
  <c r="K9885" i="33"/>
  <c r="K9890" i="33"/>
  <c r="K9884" i="33"/>
  <c r="K9894" i="33"/>
  <c r="N9936" i="33"/>
  <c r="N9959" i="33"/>
  <c r="O9882" i="33"/>
  <c r="P9882" i="33" s="1"/>
  <c r="P10000" i="33"/>
  <c r="P10011" i="33"/>
  <c r="P10033" i="33"/>
  <c r="P10031" i="33" s="1"/>
  <c r="P10004" i="33"/>
  <c r="P10026" i="33"/>
  <c r="P10006" i="33"/>
  <c r="P10002" i="33"/>
  <c r="P10027" i="33"/>
  <c r="P10014" i="33"/>
  <c r="P10009" i="33"/>
  <c r="P10025" i="33"/>
  <c r="P10015" i="33"/>
  <c r="P9935" i="33"/>
  <c r="N9947" i="33"/>
  <c r="P10008" i="33"/>
  <c r="P10005" i="33"/>
  <c r="P10043" i="33"/>
  <c r="P10044" i="33"/>
  <c r="P10042" i="33"/>
  <c r="O9998" i="33"/>
  <c r="P9998" i="33" s="1"/>
  <c r="K9984" i="33"/>
  <c r="N9963" i="33"/>
  <c r="N9982" i="33"/>
  <c r="K9985" i="33"/>
  <c r="P10010" i="33"/>
  <c r="K9962" i="33"/>
  <c r="N9940" i="33"/>
  <c r="K9900" i="33"/>
  <c r="K9960" i="33"/>
  <c r="O9970" i="33"/>
  <c r="P9958" i="33"/>
  <c r="K9901" i="33"/>
  <c r="K9948" i="33"/>
  <c r="N9970" i="33"/>
  <c r="P9981" i="33"/>
  <c r="K9990" i="33"/>
  <c r="K9989" i="33"/>
  <c r="K9986" i="33"/>
  <c r="K9942" i="33"/>
  <c r="K9924" i="33"/>
  <c r="P9924" i="33" s="1"/>
  <c r="K9949" i="33"/>
  <c r="K9943" i="33"/>
  <c r="O9936" i="33"/>
  <c r="K9934" i="33"/>
  <c r="O9985" i="33"/>
  <c r="K9983" i="33"/>
  <c r="O9984" i="33"/>
  <c r="K9944" i="33"/>
  <c r="K9937" i="33"/>
  <c r="O9960" i="33"/>
  <c r="O9959" i="33" s="1"/>
  <c r="K9939" i="33"/>
  <c r="K9966" i="33"/>
  <c r="K9938" i="33"/>
  <c r="K9941" i="33"/>
  <c r="K9965" i="33"/>
  <c r="O9963" i="33"/>
  <c r="K9964" i="33"/>
  <c r="K9961" i="33"/>
  <c r="K9972" i="33"/>
  <c r="K9967" i="33"/>
  <c r="K9971" i="33"/>
  <c r="O9943" i="33"/>
  <c r="O9940" i="33" s="1"/>
  <c r="O9949" i="33"/>
  <c r="O9948" i="33"/>
  <c r="O9898" i="33"/>
  <c r="P9898" i="33" s="1"/>
  <c r="K9917" i="33"/>
  <c r="P9917" i="33" s="1"/>
  <c r="P9907" i="33"/>
  <c r="K9876" i="33"/>
  <c r="O9875" i="33"/>
  <c r="O9874" i="33"/>
  <c r="K9865" i="33"/>
  <c r="O9858" i="33"/>
  <c r="O9857" i="33"/>
  <c r="K9849" i="33"/>
  <c r="K9858" i="33" s="1"/>
  <c r="R10023" i="33" l="1"/>
  <c r="P10003" i="33"/>
  <c r="P9934" i="33"/>
  <c r="P9984" i="33"/>
  <c r="P9943" i="33"/>
  <c r="P9941" i="33"/>
  <c r="P9949" i="33"/>
  <c r="P9962" i="33"/>
  <c r="P9937" i="33"/>
  <c r="P9900" i="33"/>
  <c r="P9938" i="33"/>
  <c r="R9915" i="33"/>
  <c r="P9901" i="33"/>
  <c r="P10007" i="33"/>
  <c r="P9990" i="33"/>
  <c r="P9944" i="33"/>
  <c r="P9966" i="33"/>
  <c r="P9942" i="33"/>
  <c r="P9985" i="33"/>
  <c r="P9939" i="33"/>
  <c r="P9986" i="33"/>
  <c r="O9956" i="33"/>
  <c r="P9956" i="33" s="1"/>
  <c r="P9989" i="33"/>
  <c r="P9960" i="33"/>
  <c r="P9894" i="33"/>
  <c r="O9947" i="33"/>
  <c r="O9932" i="33" s="1"/>
  <c r="P9932" i="33" s="1"/>
  <c r="P9890" i="33"/>
  <c r="R10040" i="33"/>
  <c r="O9849" i="33"/>
  <c r="P9849" i="33" s="1"/>
  <c r="O9982" i="33"/>
  <c r="O9979" i="33" s="1"/>
  <c r="P9979" i="33" s="1"/>
  <c r="P9983" i="33"/>
  <c r="K9875" i="33"/>
  <c r="K9871" i="33"/>
  <c r="K9870" i="33"/>
  <c r="K9872" i="33"/>
  <c r="K9869" i="33"/>
  <c r="K9867" i="33"/>
  <c r="K9868" i="33"/>
  <c r="K9874" i="33"/>
  <c r="P9965" i="33"/>
  <c r="P9964" i="33"/>
  <c r="P9971" i="33"/>
  <c r="P9967" i="33"/>
  <c r="P9972" i="33"/>
  <c r="P9961" i="33"/>
  <c r="P9948" i="33"/>
  <c r="P9885" i="33"/>
  <c r="P9884" i="33"/>
  <c r="O9865" i="33"/>
  <c r="P9865" i="33" s="1"/>
  <c r="P9858" i="33"/>
  <c r="K9857" i="33"/>
  <c r="O9837" i="33"/>
  <c r="O9836" i="33"/>
  <c r="O9835" i="33"/>
  <c r="O9841" i="33"/>
  <c r="K9833" i="33"/>
  <c r="K9841" i="33" s="1"/>
  <c r="O9829" i="33"/>
  <c r="O9793" i="33"/>
  <c r="O9784" i="33" s="1"/>
  <c r="O9825" i="33"/>
  <c r="K9817" i="33"/>
  <c r="K9829" i="33" s="1"/>
  <c r="K9801" i="33"/>
  <c r="K9808" i="33" s="1"/>
  <c r="K9784" i="33"/>
  <c r="K9793" i="33" s="1"/>
  <c r="O9776" i="33"/>
  <c r="O9769" i="33" s="1"/>
  <c r="K9769" i="33"/>
  <c r="O9761" i="33"/>
  <c r="O9755" i="33" s="1"/>
  <c r="K9755" i="33"/>
  <c r="K9761" i="33" s="1"/>
  <c r="I9518" i="33"/>
  <c r="I9432" i="33"/>
  <c r="O9595" i="33"/>
  <c r="O9591" i="33"/>
  <c r="O9590" i="33"/>
  <c r="K9588" i="33"/>
  <c r="K9591" i="33" s="1"/>
  <c r="O9580" i="33"/>
  <c r="O9579" i="33"/>
  <c r="O9575" i="33"/>
  <c r="O9574" i="33"/>
  <c r="K9572" i="33"/>
  <c r="K9579" i="33" s="1"/>
  <c r="O9564" i="33"/>
  <c r="O9563" i="33"/>
  <c r="O9559" i="33"/>
  <c r="O9558" i="33"/>
  <c r="O9557" i="33"/>
  <c r="O9556" i="33"/>
  <c r="K9554" i="33"/>
  <c r="K9563" i="33" s="1"/>
  <c r="O9546" i="33"/>
  <c r="O9545" i="33"/>
  <c r="N9541" i="33"/>
  <c r="H9541" i="33"/>
  <c r="O9541" i="33" s="1"/>
  <c r="N9540" i="33"/>
  <c r="H9540" i="33"/>
  <c r="O9540" i="33" s="1"/>
  <c r="N9539" i="33"/>
  <c r="H9539" i="33"/>
  <c r="O9539" i="33" s="1"/>
  <c r="N9538" i="33"/>
  <c r="H9538" i="33"/>
  <c r="O9538" i="33" s="1"/>
  <c r="O9536" i="33"/>
  <c r="K9534" i="33"/>
  <c r="K9545" i="33" s="1"/>
  <c r="O9526" i="33"/>
  <c r="O9520" i="33" s="1"/>
  <c r="K9520" i="33"/>
  <c r="K9526" i="33" s="1"/>
  <c r="P9526" i="33" s="1"/>
  <c r="R9520" i="33" s="1"/>
  <c r="O9509" i="33"/>
  <c r="O9505" i="33"/>
  <c r="O9504" i="33"/>
  <c r="K9502" i="33"/>
  <c r="K9505" i="33" s="1"/>
  <c r="P9982" i="33" l="1"/>
  <c r="R9979" i="33" s="1"/>
  <c r="R9998" i="33"/>
  <c r="P9947" i="33"/>
  <c r="P9936" i="33"/>
  <c r="P9959" i="33"/>
  <c r="R9898" i="33"/>
  <c r="P9940" i="33"/>
  <c r="P9869" i="33"/>
  <c r="K9777" i="33"/>
  <c r="K9776" i="33"/>
  <c r="P9776" i="33" s="1"/>
  <c r="P9867" i="33"/>
  <c r="O9817" i="33"/>
  <c r="P9817" i="33" s="1"/>
  <c r="P9870" i="33"/>
  <c r="P9871" i="33"/>
  <c r="P9875" i="33"/>
  <c r="P9793" i="33"/>
  <c r="P9874" i="33"/>
  <c r="P9808" i="33"/>
  <c r="R9801" i="33" s="1"/>
  <c r="P9868" i="33"/>
  <c r="P9829" i="33"/>
  <c r="O9801" i="33"/>
  <c r="P9801" i="33" s="1"/>
  <c r="P9769" i="33"/>
  <c r="P9784" i="33"/>
  <c r="K9835" i="33"/>
  <c r="K9837" i="33"/>
  <c r="P9520" i="33"/>
  <c r="P9755" i="33"/>
  <c r="K9825" i="33"/>
  <c r="K9836" i="33"/>
  <c r="P9970" i="33"/>
  <c r="P9963" i="33"/>
  <c r="R9882" i="33"/>
  <c r="P9857" i="33"/>
  <c r="R9849" i="33" s="1"/>
  <c r="O9833" i="33"/>
  <c r="P9833" i="33" s="1"/>
  <c r="P9841" i="33"/>
  <c r="P9761" i="33"/>
  <c r="R9755" i="33" s="1"/>
  <c r="K9590" i="33"/>
  <c r="P9590" i="33" s="1"/>
  <c r="O9502" i="33"/>
  <c r="P9502" i="33" s="1"/>
  <c r="N9537" i="33"/>
  <c r="K9595" i="33"/>
  <c r="P9595" i="33" s="1"/>
  <c r="K9538" i="33"/>
  <c r="P9538" i="33" s="1"/>
  <c r="K9556" i="33"/>
  <c r="O9554" i="33"/>
  <c r="P9554" i="33" s="1"/>
  <c r="K9564" i="33"/>
  <c r="P9564" i="33" s="1"/>
  <c r="O9572" i="33"/>
  <c r="P9572" i="33" s="1"/>
  <c r="O9537" i="33"/>
  <c r="O9534" i="33" s="1"/>
  <c r="P9534" i="33" s="1"/>
  <c r="O9588" i="33"/>
  <c r="P9588" i="33" s="1"/>
  <c r="K9558" i="33"/>
  <c r="P9591" i="33"/>
  <c r="P9545" i="33"/>
  <c r="P9579" i="33"/>
  <c r="P9563" i="33"/>
  <c r="K9540" i="33"/>
  <c r="K9559" i="33"/>
  <c r="K9539" i="33"/>
  <c r="K9557" i="33"/>
  <c r="K9574" i="33"/>
  <c r="K9536" i="33"/>
  <c r="K9546" i="33"/>
  <c r="K9541" i="33"/>
  <c r="K9575" i="33"/>
  <c r="P9505" i="33"/>
  <c r="K9504" i="33"/>
  <c r="K9509" i="33"/>
  <c r="R9932" i="33" l="1"/>
  <c r="P9836" i="33"/>
  <c r="P9777" i="33"/>
  <c r="R9769" i="33" s="1"/>
  <c r="P9837" i="33"/>
  <c r="P9835" i="33"/>
  <c r="M9753" i="33"/>
  <c r="P9825" i="33"/>
  <c r="R9817" i="33" s="1"/>
  <c r="R9956" i="33"/>
  <c r="R9588" i="33"/>
  <c r="R9784" i="33"/>
  <c r="M9518" i="33"/>
  <c r="P9556" i="33"/>
  <c r="P9558" i="33"/>
  <c r="P9559" i="33"/>
  <c r="P9541" i="33"/>
  <c r="P9546" i="33"/>
  <c r="P9536" i="33"/>
  <c r="P9540" i="33"/>
  <c r="P9557" i="33"/>
  <c r="P9575" i="33"/>
  <c r="P9574" i="33"/>
  <c r="P9539" i="33"/>
  <c r="P9504" i="33"/>
  <c r="P9509" i="33"/>
  <c r="R9833" i="33" l="1"/>
  <c r="P9537" i="33"/>
  <c r="R9534" i="33" s="1"/>
  <c r="R9554" i="33"/>
  <c r="O9494" i="33" l="1"/>
  <c r="O9493" i="33"/>
  <c r="O9489" i="33"/>
  <c r="O9488" i="33"/>
  <c r="K9486" i="33"/>
  <c r="K9488" i="33" s="1"/>
  <c r="O9478" i="33"/>
  <c r="O9477" i="33"/>
  <c r="O9473" i="33"/>
  <c r="O9472" i="33"/>
  <c r="O9471" i="33"/>
  <c r="O9470" i="33"/>
  <c r="K9468" i="33"/>
  <c r="K9473" i="33" s="1"/>
  <c r="O9460" i="33"/>
  <c r="O9459" i="33"/>
  <c r="N9455" i="33"/>
  <c r="H9455" i="33"/>
  <c r="O9455" i="33" s="1"/>
  <c r="N9454" i="33"/>
  <c r="H9454" i="33"/>
  <c r="N9453" i="33"/>
  <c r="H9453" i="33"/>
  <c r="O9453" i="33" s="1"/>
  <c r="N9452" i="33"/>
  <c r="H9452" i="33"/>
  <c r="O9452" i="33" s="1"/>
  <c r="O9450" i="33"/>
  <c r="K9448" i="33"/>
  <c r="O9440" i="33"/>
  <c r="O9434" i="33" s="1"/>
  <c r="K9434" i="33"/>
  <c r="K9440" i="33" s="1"/>
  <c r="P9440" i="33" s="1"/>
  <c r="R9434" i="33" s="1"/>
  <c r="G9162" i="33"/>
  <c r="N9451" i="33" l="1"/>
  <c r="O9486" i="33"/>
  <c r="P9486" i="33" s="1"/>
  <c r="K9470" i="33"/>
  <c r="P9470" i="33" s="1"/>
  <c r="O9468" i="33"/>
  <c r="P9468" i="33" s="1"/>
  <c r="K9472" i="33"/>
  <c r="P9472" i="33" s="1"/>
  <c r="K9478" i="33"/>
  <c r="P9478" i="33" s="1"/>
  <c r="K9460" i="33"/>
  <c r="P9460" i="33" s="1"/>
  <c r="K9454" i="33"/>
  <c r="P9454" i="33" s="1"/>
  <c r="K9453" i="33"/>
  <c r="K9452" i="33"/>
  <c r="P9452" i="33" s="1"/>
  <c r="K9455" i="33"/>
  <c r="P9434" i="33"/>
  <c r="P9488" i="33"/>
  <c r="P9473" i="33"/>
  <c r="K9489" i="33"/>
  <c r="K9459" i="33"/>
  <c r="K9493" i="33"/>
  <c r="O9454" i="33"/>
  <c r="O9451" i="33" s="1"/>
  <c r="O9448" i="33" s="1"/>
  <c r="P9448" i="33" s="1"/>
  <c r="K9450" i="33"/>
  <c r="K9477" i="33"/>
  <c r="K9471" i="33"/>
  <c r="G60" i="34"/>
  <c r="G61" i="34"/>
  <c r="G62" i="34"/>
  <c r="G59" i="34"/>
  <c r="E60" i="34"/>
  <c r="E61" i="34"/>
  <c r="E59" i="34"/>
  <c r="B61" i="34"/>
  <c r="D6" i="6"/>
  <c r="D7" i="6"/>
  <c r="D8" i="6"/>
  <c r="D9" i="6"/>
  <c r="D10" i="6"/>
  <c r="D11" i="6"/>
  <c r="D12" i="6"/>
  <c r="D13" i="6"/>
  <c r="D14" i="6"/>
  <c r="D15" i="6"/>
  <c r="D16" i="6"/>
  <c r="D17" i="6"/>
  <c r="D18" i="6"/>
  <c r="D19" i="6"/>
  <c r="D20" i="6"/>
  <c r="D21" i="6"/>
  <c r="D22" i="6"/>
  <c r="D23" i="6"/>
  <c r="D24" i="6"/>
  <c r="D25" i="6"/>
  <c r="D26" i="6"/>
  <c r="D27" i="6"/>
  <c r="D28" i="6"/>
  <c r="D5" i="6"/>
  <c r="O9333" i="33"/>
  <c r="O9329" i="33"/>
  <c r="O9328" i="33"/>
  <c r="K9326" i="33"/>
  <c r="K9329" i="33" s="1"/>
  <c r="N9319" i="33"/>
  <c r="H9319" i="33"/>
  <c r="O9319" i="33" s="1"/>
  <c r="N9318" i="33"/>
  <c r="H9318" i="33"/>
  <c r="O9318" i="33" s="1"/>
  <c r="O9316" i="33"/>
  <c r="O9312" i="33"/>
  <c r="O9311" i="33"/>
  <c r="O9310" i="33"/>
  <c r="O9309" i="33"/>
  <c r="O9308" i="33"/>
  <c r="K9306" i="33"/>
  <c r="K9312" i="33" s="1"/>
  <c r="O9298" i="33"/>
  <c r="O9297" i="33"/>
  <c r="O9293" i="33"/>
  <c r="O9292" i="33"/>
  <c r="O9291" i="33"/>
  <c r="O9290" i="33"/>
  <c r="K9288" i="33"/>
  <c r="K9293" i="33" s="1"/>
  <c r="O9280" i="33"/>
  <c r="O9279" i="33"/>
  <c r="N9275" i="33"/>
  <c r="H9275" i="33"/>
  <c r="N9274" i="33"/>
  <c r="H9274" i="33"/>
  <c r="O9274" i="33" s="1"/>
  <c r="N9273" i="33"/>
  <c r="H9273" i="33"/>
  <c r="K9273" i="33" s="1"/>
  <c r="N9272" i="33"/>
  <c r="H9272" i="33"/>
  <c r="O9270" i="33"/>
  <c r="K9268" i="33"/>
  <c r="K9279" i="33" s="1"/>
  <c r="O9260" i="33"/>
  <c r="O9254" i="33" s="1"/>
  <c r="K9254" i="33"/>
  <c r="K9260" i="33" s="1"/>
  <c r="O9243" i="33"/>
  <c r="O9239" i="33"/>
  <c r="O9238" i="33"/>
  <c r="K9236" i="33"/>
  <c r="K9239" i="33" s="1"/>
  <c r="N9229" i="33"/>
  <c r="H9229" i="33"/>
  <c r="O9229" i="33" s="1"/>
  <c r="N9228" i="33"/>
  <c r="H9228" i="33"/>
  <c r="O9228" i="33" s="1"/>
  <c r="O9226" i="33"/>
  <c r="O9222" i="33"/>
  <c r="O9221" i="33"/>
  <c r="O9220" i="33"/>
  <c r="O9219" i="33"/>
  <c r="O9218" i="33"/>
  <c r="K9216" i="33"/>
  <c r="K9219" i="33" s="1"/>
  <c r="O9208" i="33"/>
  <c r="O9207" i="33"/>
  <c r="O9203" i="33"/>
  <c r="O9202" i="33"/>
  <c r="O9201" i="33"/>
  <c r="O9200" i="33"/>
  <c r="K9198" i="33"/>
  <c r="K9208" i="33" s="1"/>
  <c r="O9190" i="33"/>
  <c r="O9189" i="33"/>
  <c r="N9185" i="33"/>
  <c r="H9185" i="33"/>
  <c r="O9185" i="33" s="1"/>
  <c r="N9184" i="33"/>
  <c r="H9184" i="33"/>
  <c r="O9184" i="33" s="1"/>
  <c r="N9183" i="33"/>
  <c r="H9183" i="33"/>
  <c r="O9183" i="33" s="1"/>
  <c r="N9182" i="33"/>
  <c r="H9182" i="33"/>
  <c r="O9182" i="33" s="1"/>
  <c r="O9180" i="33"/>
  <c r="K9178" i="33"/>
  <c r="K9190" i="33" s="1"/>
  <c r="O9170" i="33"/>
  <c r="O9164" i="33" s="1"/>
  <c r="K9164" i="33"/>
  <c r="K9170" i="33" s="1"/>
  <c r="L9170" i="33" s="1"/>
  <c r="N9227" i="33" l="1"/>
  <c r="M9432" i="33"/>
  <c r="K9272" i="33"/>
  <c r="K9297" i="33"/>
  <c r="P9297" i="33" s="1"/>
  <c r="O9236" i="33"/>
  <c r="P9164" i="33"/>
  <c r="K9220" i="33"/>
  <c r="K9292" i="33"/>
  <c r="P9292" i="33" s="1"/>
  <c r="O9326" i="33"/>
  <c r="P9326" i="33" s="1"/>
  <c r="N9317" i="33"/>
  <c r="P9254" i="33"/>
  <c r="O9317" i="33"/>
  <c r="O9306" i="33" s="1"/>
  <c r="P9306" i="33" s="1"/>
  <c r="K9275" i="33"/>
  <c r="P9275" i="33" s="1"/>
  <c r="P9455" i="33"/>
  <c r="P9453" i="33"/>
  <c r="P9471" i="33"/>
  <c r="P9477" i="33"/>
  <c r="P9493" i="33"/>
  <c r="P9450" i="33"/>
  <c r="P9459" i="33"/>
  <c r="R9502" i="33"/>
  <c r="P9489" i="33"/>
  <c r="P9272" i="33"/>
  <c r="N9271" i="33"/>
  <c r="O9272" i="33"/>
  <c r="K9280" i="33"/>
  <c r="K9290" i="33"/>
  <c r="P9290" i="33" s="1"/>
  <c r="K9309" i="33"/>
  <c r="P9309" i="33" s="1"/>
  <c r="K9318" i="33"/>
  <c r="P9318" i="33" s="1"/>
  <c r="K9328" i="33"/>
  <c r="P9328" i="33" s="1"/>
  <c r="K9270" i="33"/>
  <c r="K9274" i="33" s="1"/>
  <c r="O9288" i="33"/>
  <c r="P9288" i="33" s="1"/>
  <c r="K9243" i="33"/>
  <c r="P9243" i="33" s="1"/>
  <c r="K9182" i="33"/>
  <c r="O9273" i="33"/>
  <c r="K9311" i="33"/>
  <c r="P9311" i="33" s="1"/>
  <c r="P9279" i="33"/>
  <c r="P9293" i="33"/>
  <c r="P9260" i="33"/>
  <c r="R9254" i="33" s="1"/>
  <c r="L9260" i="33"/>
  <c r="P9312" i="33"/>
  <c r="P9329" i="33"/>
  <c r="P9273" i="33"/>
  <c r="K9298" i="33"/>
  <c r="K9333" i="33"/>
  <c r="K9319" i="33"/>
  <c r="K9316" i="33"/>
  <c r="K9291" i="33"/>
  <c r="K9308" i="33"/>
  <c r="K9310" i="33"/>
  <c r="O9275" i="33"/>
  <c r="K9200" i="33"/>
  <c r="P9200" i="33" s="1"/>
  <c r="K9180" i="33"/>
  <c r="K9184" i="33" s="1"/>
  <c r="K9201" i="33"/>
  <c r="K9221" i="33"/>
  <c r="K9202" i="33"/>
  <c r="P9202" i="33" s="1"/>
  <c r="K9222" i="33"/>
  <c r="P9222" i="33" s="1"/>
  <c r="K9203" i="33"/>
  <c r="P9203" i="33" s="1"/>
  <c r="K9226" i="33"/>
  <c r="K9183" i="33"/>
  <c r="K9207" i="33"/>
  <c r="K9228" i="33"/>
  <c r="K9185" i="33"/>
  <c r="K9229" i="33"/>
  <c r="P9170" i="33"/>
  <c r="R9164" i="33" s="1"/>
  <c r="K9189" i="33"/>
  <c r="K9218" i="33"/>
  <c r="K9238" i="33"/>
  <c r="P9236" i="33"/>
  <c r="O9227" i="33"/>
  <c r="O9216" i="33" s="1"/>
  <c r="P9216" i="33" s="1"/>
  <c r="N9181" i="33"/>
  <c r="O9198" i="33"/>
  <c r="P9198" i="33" s="1"/>
  <c r="P9208" i="33"/>
  <c r="P9239" i="33"/>
  <c r="O9181" i="33"/>
  <c r="O9178" i="33" s="1"/>
  <c r="P9178" i="33" s="1"/>
  <c r="P9451" i="33" l="1"/>
  <c r="R9448" i="33" s="1"/>
  <c r="P9180" i="33"/>
  <c r="O9271" i="33"/>
  <c r="O9268" i="33" s="1"/>
  <c r="P9268" i="33" s="1"/>
  <c r="M9252" i="33" s="1"/>
  <c r="R9468" i="33"/>
  <c r="P9270" i="33"/>
  <c r="P9280" i="33"/>
  <c r="M9162" i="33"/>
  <c r="P9298" i="33"/>
  <c r="P9333" i="33"/>
  <c r="R9326" i="33" s="1"/>
  <c r="P9274" i="33"/>
  <c r="P9271" i="33" s="1"/>
  <c r="P9291" i="33"/>
  <c r="P9316" i="33"/>
  <c r="P9319" i="33"/>
  <c r="P9317" i="33" s="1"/>
  <c r="P9310" i="33"/>
  <c r="P9308" i="33"/>
  <c r="P9207" i="33"/>
  <c r="P9238" i="33"/>
  <c r="R9236" i="33" s="1"/>
  <c r="P9189" i="33"/>
  <c r="P9226" i="33"/>
  <c r="P9221" i="33"/>
  <c r="P9190" i="33"/>
  <c r="P9218" i="33"/>
  <c r="P9201" i="33"/>
  <c r="P9220" i="33"/>
  <c r="P9219" i="33"/>
  <c r="R9198" i="33" l="1"/>
  <c r="R9268" i="33"/>
  <c r="R9288" i="33"/>
  <c r="R9306" i="33"/>
  <c r="R3303" i="33" l="1"/>
  <c r="R3289" i="33"/>
  <c r="R3345" i="33" l="1"/>
  <c r="R3331" i="33"/>
  <c r="R3359" i="33"/>
  <c r="R3373" i="33" l="1"/>
  <c r="M3287" i="33" l="1"/>
  <c r="H103" i="34"/>
  <c r="A94" i="34" l="1"/>
  <c r="A74" i="34" l="1"/>
  <c r="G13" i="34"/>
  <c r="E62" i="34"/>
  <c r="B62" i="34"/>
  <c r="I10671" i="33"/>
  <c r="G10671" i="33"/>
  <c r="O14" i="26" l="1"/>
  <c r="P14" i="26" s="1"/>
  <c r="O13" i="26"/>
  <c r="P13" i="26" s="1"/>
  <c r="D112" i="7" l="1"/>
  <c r="D113" i="7"/>
  <c r="D115" i="7"/>
  <c r="D116" i="7"/>
  <c r="D117" i="7"/>
  <c r="D118" i="7"/>
  <c r="D119" i="7"/>
  <c r="D120" i="7"/>
  <c r="D121" i="7"/>
  <c r="D122" i="7"/>
  <c r="D123" i="7"/>
  <c r="D111" i="7"/>
  <c r="D98" i="7"/>
  <c r="D99" i="7"/>
  <c r="D100" i="7"/>
  <c r="D101" i="7"/>
  <c r="D102" i="7"/>
  <c r="D103" i="7"/>
  <c r="D105" i="7"/>
  <c r="D106" i="7"/>
  <c r="D94" i="7"/>
  <c r="D87" i="7"/>
  <c r="F87" i="7" s="1"/>
  <c r="D88" i="7"/>
  <c r="F88" i="7" s="1"/>
  <c r="D89" i="7"/>
  <c r="F89" i="7" s="1"/>
  <c r="D61" i="7"/>
  <c r="F61" i="7" s="1"/>
  <c r="D62" i="7"/>
  <c r="F62" i="7" s="1"/>
  <c r="D63" i="7"/>
  <c r="D64" i="7"/>
  <c r="D65" i="7"/>
  <c r="D66" i="7"/>
  <c r="D67" i="7"/>
  <c r="D68" i="7"/>
  <c r="F68" i="7" s="1"/>
  <c r="D69" i="7"/>
  <c r="F69" i="7" s="1"/>
  <c r="D70" i="7"/>
  <c r="F70" i="7" s="1"/>
  <c r="D71" i="7"/>
  <c r="F71" i="7" s="1"/>
  <c r="D72" i="7"/>
  <c r="F72" i="7" s="1"/>
  <c r="D60" i="7"/>
  <c r="D78" i="7"/>
  <c r="D79" i="7"/>
  <c r="D80" i="7"/>
  <c r="D81" i="7"/>
  <c r="D77" i="7"/>
  <c r="D129" i="7"/>
  <c r="D130" i="7"/>
  <c r="D131" i="7"/>
  <c r="D134" i="7"/>
  <c r="D135" i="7"/>
  <c r="D136" i="7"/>
  <c r="D137" i="7"/>
  <c r="D138" i="7"/>
  <c r="D139" i="7"/>
  <c r="D128" i="7"/>
  <c r="F64" i="7"/>
  <c r="F65" i="7"/>
  <c r="F66" i="7"/>
  <c r="F67" i="7"/>
  <c r="F63" i="7"/>
  <c r="D230" i="7"/>
  <c r="F230" i="7" s="1"/>
  <c r="D229" i="7"/>
  <c r="F229" i="7" s="1"/>
  <c r="D228" i="7"/>
  <c r="F228" i="7" s="1"/>
  <c r="D227" i="7"/>
  <c r="F227" i="7" s="1"/>
  <c r="D226" i="7"/>
  <c r="F226" i="7" s="1"/>
  <c r="D225" i="7"/>
  <c r="F225" i="7" s="1"/>
  <c r="D224" i="7"/>
  <c r="F224" i="7" s="1"/>
  <c r="D220" i="7"/>
  <c r="F220" i="7" s="1"/>
  <c r="D219" i="7"/>
  <c r="F219" i="7" s="1"/>
  <c r="D218" i="7"/>
  <c r="D44" i="7"/>
  <c r="D45" i="7"/>
  <c r="D47" i="7"/>
  <c r="D48" i="7"/>
  <c r="D49" i="7"/>
  <c r="D50" i="7"/>
  <c r="D51" i="7"/>
  <c r="D52" i="7"/>
  <c r="D53" i="7"/>
  <c r="D43" i="7"/>
  <c r="Q11" i="7"/>
  <c r="Q9" i="7"/>
  <c r="Q8" i="7"/>
  <c r="Q7" i="7"/>
  <c r="Q5" i="7"/>
  <c r="Q6" i="7" s="1"/>
  <c r="F218" i="7" l="1"/>
  <c r="Q10" i="7"/>
  <c r="Q12" i="7" s="1"/>
  <c r="I9346" i="33" l="1"/>
  <c r="C6" i="10" l="1"/>
  <c r="F53" i="7"/>
  <c r="F52" i="7"/>
  <c r="F51" i="7"/>
  <c r="F50" i="7"/>
  <c r="F49" i="7"/>
  <c r="F48" i="7"/>
  <c r="F47" i="7"/>
  <c r="F45" i="7"/>
  <c r="F44" i="7"/>
  <c r="BJ9" i="31"/>
  <c r="BJ7" i="31"/>
  <c r="BJ5" i="31"/>
  <c r="BJ4" i="31"/>
  <c r="BJ6" i="31" s="1"/>
  <c r="BJ8" i="31" s="1"/>
  <c r="BJ10" i="31" s="1"/>
  <c r="AW9" i="31"/>
  <c r="AW7" i="31"/>
  <c r="AW5" i="31"/>
  <c r="AW4" i="31"/>
  <c r="AW6" i="31" s="1"/>
  <c r="AW8" i="31" s="1"/>
  <c r="AW10" i="31" s="1"/>
  <c r="O46" i="23"/>
  <c r="N46" i="23"/>
  <c r="M46" i="23"/>
  <c r="L46" i="23"/>
  <c r="K46" i="23"/>
  <c r="J46" i="23"/>
  <c r="I46" i="23"/>
  <c r="I27" i="23"/>
  <c r="C27" i="23"/>
  <c r="F26" i="23"/>
  <c r="F29" i="23" s="1"/>
  <c r="E26" i="23"/>
  <c r="E29" i="23" s="1"/>
  <c r="D26" i="23"/>
  <c r="J26" i="23" s="1"/>
  <c r="J29" i="23" s="1"/>
  <c r="C26" i="23"/>
  <c r="I26" i="23" s="1"/>
  <c r="C25" i="23"/>
  <c r="I25" i="23" s="1"/>
  <c r="I29" i="23" s="1"/>
  <c r="I30" i="23" s="1"/>
  <c r="I31" i="23" s="1"/>
  <c r="F43" i="7" l="1"/>
  <c r="D29" i="6"/>
  <c r="I48" i="23"/>
  <c r="M50" i="23"/>
  <c r="K26" i="23"/>
  <c r="K29" i="23" s="1"/>
  <c r="L26" i="23"/>
  <c r="L29" i="23" s="1"/>
  <c r="C29" i="23"/>
  <c r="C30" i="23" s="1"/>
  <c r="C31" i="23" s="1"/>
  <c r="D29" i="23"/>
  <c r="I52" i="23" l="1"/>
  <c r="I53" i="23" s="1"/>
  <c r="O83" i="35" l="1"/>
  <c r="O82" i="35"/>
  <c r="K81" i="35"/>
  <c r="M81" i="35" s="1"/>
  <c r="O81" i="35" s="1"/>
  <c r="K80" i="35"/>
  <c r="M80" i="35" s="1"/>
  <c r="O80" i="35" s="1"/>
  <c r="O78" i="35"/>
  <c r="O77" i="35"/>
  <c r="K77" i="35"/>
  <c r="K76" i="35"/>
  <c r="M76" i="35" s="1"/>
  <c r="O76" i="35" s="1"/>
  <c r="K75" i="35"/>
  <c r="M75" i="35" s="1"/>
  <c r="O75" i="35" s="1"/>
  <c r="K74" i="35"/>
  <c r="M74" i="35" s="1"/>
  <c r="O74" i="35" s="1"/>
  <c r="O72" i="35" s="1"/>
  <c r="K73" i="35"/>
  <c r="M73" i="35" s="1"/>
  <c r="O73" i="35" s="1"/>
  <c r="K72" i="35"/>
  <c r="K82" i="35" s="1"/>
  <c r="P82" i="35" s="1"/>
  <c r="J70" i="35"/>
  <c r="I70" i="35"/>
  <c r="O66" i="35"/>
  <c r="O65" i="35"/>
  <c r="K64" i="35"/>
  <c r="M64" i="35" s="1"/>
  <c r="O64" i="35" s="1"/>
  <c r="K63" i="35"/>
  <c r="M63" i="35" s="1"/>
  <c r="O63" i="35" s="1"/>
  <c r="O61" i="35"/>
  <c r="O60" i="35"/>
  <c r="K60" i="35"/>
  <c r="K59" i="35"/>
  <c r="M59" i="35" s="1"/>
  <c r="O59" i="35" s="1"/>
  <c r="K58" i="35"/>
  <c r="M58" i="35" s="1"/>
  <c r="O58" i="35" s="1"/>
  <c r="K57" i="35"/>
  <c r="M57" i="35" s="1"/>
  <c r="O57" i="35" s="1"/>
  <c r="K56" i="35"/>
  <c r="M56" i="35" s="1"/>
  <c r="O56" i="35" s="1"/>
  <c r="K55" i="35"/>
  <c r="K66" i="35" s="1"/>
  <c r="J53" i="35"/>
  <c r="I53" i="35"/>
  <c r="G53" i="35"/>
  <c r="O41" i="35"/>
  <c r="K40" i="35"/>
  <c r="M40" i="35" s="1"/>
  <c r="O40" i="35" s="1"/>
  <c r="K39" i="35"/>
  <c r="M39" i="35" s="1"/>
  <c r="O39" i="35" s="1"/>
  <c r="O38" i="35"/>
  <c r="O37" i="35"/>
  <c r="O36" i="35"/>
  <c r="K36" i="35"/>
  <c r="K35" i="35"/>
  <c r="M35" i="35" s="1"/>
  <c r="O35" i="35" s="1"/>
  <c r="M34" i="35"/>
  <c r="O34" i="35" s="1"/>
  <c r="K34" i="35"/>
  <c r="K33" i="35"/>
  <c r="M33" i="35" s="1"/>
  <c r="O33" i="35" s="1"/>
  <c r="K32" i="35"/>
  <c r="M32" i="35" s="1"/>
  <c r="O32" i="35" s="1"/>
  <c r="K31" i="35"/>
  <c r="K41" i="35" s="1"/>
  <c r="J29" i="35"/>
  <c r="I29" i="35"/>
  <c r="O24" i="35"/>
  <c r="M23" i="35"/>
  <c r="O23" i="35" s="1"/>
  <c r="K23" i="35"/>
  <c r="K22" i="35"/>
  <c r="M22" i="35" s="1"/>
  <c r="O22" i="35" s="1"/>
  <c r="O21" i="35"/>
  <c r="O20" i="35"/>
  <c r="O19" i="35"/>
  <c r="K19" i="35"/>
  <c r="K18" i="35"/>
  <c r="M18" i="35" s="1"/>
  <c r="O18" i="35" s="1"/>
  <c r="M17" i="35"/>
  <c r="O17" i="35" s="1"/>
  <c r="K17" i="35"/>
  <c r="M16" i="35"/>
  <c r="O16" i="35" s="1"/>
  <c r="K16" i="35"/>
  <c r="K15" i="35"/>
  <c r="M15" i="35" s="1"/>
  <c r="O15" i="35" s="1"/>
  <c r="K14" i="35"/>
  <c r="K20" i="35" s="1"/>
  <c r="J12" i="35"/>
  <c r="I12" i="35"/>
  <c r="G12" i="35"/>
  <c r="H5" i="35"/>
  <c r="G88" i="34"/>
  <c r="E88" i="34"/>
  <c r="I90" i="11"/>
  <c r="I89" i="11"/>
  <c r="I88" i="11"/>
  <c r="I87" i="11"/>
  <c r="I86" i="11"/>
  <c r="D81" i="10"/>
  <c r="I117" i="11"/>
  <c r="I25" i="11"/>
  <c r="I15" i="11"/>
  <c r="I23" i="11"/>
  <c r="I27" i="11"/>
  <c r="I42" i="11"/>
  <c r="I45" i="11"/>
  <c r="I53" i="11"/>
  <c r="I61" i="11"/>
  <c r="I68" i="11"/>
  <c r="I85" i="11"/>
  <c r="I84" i="11"/>
  <c r="I83" i="11"/>
  <c r="I82" i="11"/>
  <c r="I92" i="11"/>
  <c r="I96" i="11"/>
  <c r="I100" i="11"/>
  <c r="I104" i="11"/>
  <c r="I110" i="11"/>
  <c r="I106" i="11"/>
  <c r="I102" i="11"/>
  <c r="I98" i="11"/>
  <c r="I94" i="11"/>
  <c r="I81" i="11"/>
  <c r="I80" i="11"/>
  <c r="I79" i="11"/>
  <c r="I78" i="11"/>
  <c r="I63" i="11"/>
  <c r="I58" i="11"/>
  <c r="I55" i="11"/>
  <c r="I48" i="11"/>
  <c r="I47" i="11"/>
  <c r="I40" i="11"/>
  <c r="I29" i="11"/>
  <c r="I19" i="11"/>
  <c r="I18" i="11"/>
  <c r="I13" i="11"/>
  <c r="I12" i="11"/>
  <c r="I17" i="11"/>
  <c r="I16" i="11"/>
  <c r="I24" i="11"/>
  <c r="I26" i="11"/>
  <c r="I41" i="11"/>
  <c r="I44" i="11"/>
  <c r="I49" i="11"/>
  <c r="I52" i="11"/>
  <c r="I57" i="11"/>
  <c r="I60" i="11"/>
  <c r="I65" i="11"/>
  <c r="I73" i="11"/>
  <c r="I72" i="11"/>
  <c r="I71" i="11"/>
  <c r="I70" i="11"/>
  <c r="I69" i="11"/>
  <c r="I93" i="11"/>
  <c r="I97" i="11"/>
  <c r="I101" i="11"/>
  <c r="I105" i="11"/>
  <c r="I109" i="11"/>
  <c r="I113" i="11"/>
  <c r="I116" i="11"/>
  <c r="I115" i="11"/>
  <c r="I111" i="11"/>
  <c r="I107" i="11"/>
  <c r="I103" i="11"/>
  <c r="I99" i="11"/>
  <c r="I91" i="11"/>
  <c r="I77" i="11"/>
  <c r="I76" i="11"/>
  <c r="I75" i="11"/>
  <c r="I74" i="11"/>
  <c r="I67" i="11"/>
  <c r="I62" i="11"/>
  <c r="I59" i="11"/>
  <c r="I54" i="11"/>
  <c r="I51" i="11"/>
  <c r="I46" i="11"/>
  <c r="I43" i="11"/>
  <c r="I28" i="11"/>
  <c r="I22" i="11"/>
  <c r="I11" i="11"/>
  <c r="I6" i="11"/>
  <c r="I114" i="11"/>
  <c r="I10" i="11"/>
  <c r="I4" i="11"/>
  <c r="K12" i="35" l="1"/>
  <c r="K70" i="35"/>
  <c r="K29" i="35"/>
  <c r="K53" i="35"/>
  <c r="K37" i="35"/>
  <c r="K65" i="35"/>
  <c r="L65" i="35" s="1"/>
  <c r="O31" i="35"/>
  <c r="P31" i="35" s="1"/>
  <c r="K61" i="35"/>
  <c r="O14" i="35"/>
  <c r="P14" i="35" s="1"/>
  <c r="L41" i="35"/>
  <c r="P41" i="35"/>
  <c r="L20" i="35"/>
  <c r="P20" i="35"/>
  <c r="K21" i="35"/>
  <c r="K38" i="35"/>
  <c r="K24" i="35"/>
  <c r="P66" i="35"/>
  <c r="L66" i="35"/>
  <c r="O55" i="35"/>
  <c r="P55" i="35" s="1"/>
  <c r="L82" i="35"/>
  <c r="P65" i="35"/>
  <c r="K83" i="35"/>
  <c r="P72" i="35"/>
  <c r="K78" i="35"/>
  <c r="Q12" i="35" l="1"/>
  <c r="Q53" i="35"/>
  <c r="D46" i="7"/>
  <c r="D221" i="7"/>
  <c r="L61" i="35"/>
  <c r="P61" i="35"/>
  <c r="R55" i="35" s="1"/>
  <c r="P37" i="35"/>
  <c r="L37" i="35"/>
  <c r="P83" i="35"/>
  <c r="L83" i="35"/>
  <c r="P21" i="35"/>
  <c r="L21" i="35"/>
  <c r="P38" i="35"/>
  <c r="R31" i="35" s="1"/>
  <c r="L38" i="35"/>
  <c r="P24" i="35"/>
  <c r="L24" i="35"/>
  <c r="R14" i="35"/>
  <c r="L78" i="35"/>
  <c r="P78" i="35"/>
  <c r="R72" i="35" s="1"/>
  <c r="F221" i="7" l="1"/>
  <c r="F231" i="7" s="1"/>
  <c r="D231" i="7"/>
  <c r="F46" i="7"/>
  <c r="F56" i="7" s="1"/>
  <c r="D56" i="7"/>
  <c r="I4964" i="33"/>
  <c r="G101" i="34"/>
  <c r="D101" i="34"/>
  <c r="G84" i="34"/>
  <c r="E84" i="34"/>
  <c r="B84" i="34"/>
  <c r="D82" i="34"/>
  <c r="G82" i="34"/>
  <c r="A83" i="34"/>
  <c r="A93" i="34" s="1"/>
  <c r="B15" i="34" l="1"/>
  <c r="D38" i="34"/>
  <c r="D39" i="34"/>
  <c r="D40" i="34"/>
  <c r="D37" i="34"/>
  <c r="D36" i="34"/>
  <c r="D34" i="34"/>
  <c r="D35" i="34"/>
  <c r="D33" i="34"/>
  <c r="D30" i="34"/>
  <c r="D31" i="34"/>
  <c r="D29" i="34"/>
  <c r="D28" i="34"/>
  <c r="D27" i="34"/>
  <c r="D26" i="34"/>
  <c r="D25" i="34"/>
  <c r="D24" i="34"/>
  <c r="D23" i="34"/>
  <c r="D28" i="32" l="1"/>
  <c r="D10" i="32"/>
  <c r="D11" i="32"/>
  <c r="D9" i="32"/>
  <c r="G57" i="34" l="1"/>
  <c r="E57" i="34"/>
  <c r="B56" i="34"/>
  <c r="E56" i="34"/>
  <c r="G56" i="34"/>
  <c r="B57" i="34"/>
  <c r="G55" i="34"/>
  <c r="E55" i="34"/>
  <c r="B55" i="34"/>
  <c r="A54" i="34"/>
  <c r="A73" i="34" s="1"/>
  <c r="B53" i="34"/>
  <c r="E53" i="34"/>
  <c r="G53" i="34"/>
  <c r="B51" i="34"/>
  <c r="E51" i="34"/>
  <c r="G51" i="34"/>
  <c r="B52" i="34"/>
  <c r="E52" i="34"/>
  <c r="G52" i="34"/>
  <c r="B48" i="34"/>
  <c r="E48" i="34"/>
  <c r="G48" i="34"/>
  <c r="B49" i="34"/>
  <c r="E49" i="34"/>
  <c r="G49" i="34"/>
  <c r="B50" i="34"/>
  <c r="E50" i="34"/>
  <c r="G50" i="34"/>
  <c r="E47" i="34"/>
  <c r="G47" i="34"/>
  <c r="E43" i="34"/>
  <c r="G43" i="34"/>
  <c r="E44" i="34"/>
  <c r="G44" i="34"/>
  <c r="E45" i="34"/>
  <c r="G45" i="34"/>
  <c r="E46" i="34"/>
  <c r="G46" i="34"/>
  <c r="G42" i="34"/>
  <c r="E42" i="34"/>
  <c r="B43" i="34"/>
  <c r="B44" i="34"/>
  <c r="B45" i="34"/>
  <c r="B46" i="34"/>
  <c r="B47" i="34"/>
  <c r="B42" i="34"/>
  <c r="A41" i="34"/>
  <c r="A72" i="34" s="1"/>
  <c r="E38" i="34"/>
  <c r="G38" i="34"/>
  <c r="E39" i="34"/>
  <c r="G39" i="34"/>
  <c r="E40" i="34"/>
  <c r="G40" i="34"/>
  <c r="G37" i="34"/>
  <c r="E37" i="34"/>
  <c r="B37" i="34"/>
  <c r="G35" i="34"/>
  <c r="G36" i="34"/>
  <c r="E35" i="34"/>
  <c r="E36" i="34"/>
  <c r="E34" i="34"/>
  <c r="G34" i="34"/>
  <c r="G33" i="34"/>
  <c r="E33" i="34"/>
  <c r="B33" i="34"/>
  <c r="A32" i="34"/>
  <c r="A71" i="34" s="1"/>
  <c r="E30" i="34"/>
  <c r="G30" i="34"/>
  <c r="E31" i="34"/>
  <c r="G31" i="34"/>
  <c r="G29" i="34"/>
  <c r="E29" i="34"/>
  <c r="B29" i="34"/>
  <c r="G26" i="34"/>
  <c r="G27" i="34"/>
  <c r="G28" i="34"/>
  <c r="E26" i="34"/>
  <c r="E27" i="34"/>
  <c r="E28" i="34"/>
  <c r="G25" i="34"/>
  <c r="E25" i="34"/>
  <c r="B25" i="34"/>
  <c r="G24" i="34"/>
  <c r="E24" i="34"/>
  <c r="G23" i="34"/>
  <c r="E23" i="34"/>
  <c r="B23" i="34"/>
  <c r="A22" i="34"/>
  <c r="A70" i="34" s="1"/>
  <c r="G21" i="34"/>
  <c r="E21" i="34"/>
  <c r="B21" i="34"/>
  <c r="A20" i="34"/>
  <c r="A69" i="34" s="1"/>
  <c r="B18" i="34"/>
  <c r="B19" i="34"/>
  <c r="B17" i="34"/>
  <c r="G19" i="34"/>
  <c r="G18" i="34"/>
  <c r="G17" i="34"/>
  <c r="E19" i="34"/>
  <c r="E18" i="34"/>
  <c r="E17" i="34"/>
  <c r="G15" i="34"/>
  <c r="E15" i="34"/>
  <c r="A16" i="34"/>
  <c r="A68" i="34" s="1"/>
  <c r="A14" i="34"/>
  <c r="A67" i="34" s="1"/>
  <c r="A8" i="34"/>
  <c r="A34" i="10" s="1"/>
  <c r="A7" i="34"/>
  <c r="A33" i="10" s="1"/>
  <c r="A6" i="34"/>
  <c r="A32" i="10" s="1"/>
  <c r="O6268" i="33" l="1"/>
  <c r="O6503" i="33"/>
  <c r="N6506" i="33"/>
  <c r="H6506" i="33"/>
  <c r="N6505" i="33"/>
  <c r="H6505" i="33"/>
  <c r="K6509" i="33"/>
  <c r="K6508" i="33"/>
  <c r="K6507" i="33"/>
  <c r="O6502" i="33"/>
  <c r="K6495" i="33"/>
  <c r="K6503" i="33" s="1"/>
  <c r="N9053" i="33"/>
  <c r="H9053" i="33"/>
  <c r="O9053" i="33" s="1"/>
  <c r="N9052" i="33"/>
  <c r="H9052" i="33"/>
  <c r="N9050" i="33"/>
  <c r="H9050" i="33"/>
  <c r="O9050" i="33" s="1"/>
  <c r="N9049" i="33"/>
  <c r="H9049" i="33"/>
  <c r="K6505" i="33" l="1"/>
  <c r="P6505" i="33" s="1"/>
  <c r="K6506" i="33"/>
  <c r="P6506" i="33" s="1"/>
  <c r="K6502" i="33"/>
  <c r="N9051" i="33"/>
  <c r="N6504" i="33"/>
  <c r="N9048" i="33"/>
  <c r="O6506" i="33"/>
  <c r="P6503" i="33"/>
  <c r="O6505" i="33"/>
  <c r="O9052" i="33"/>
  <c r="O9051" i="33" s="1"/>
  <c r="O9049" i="33"/>
  <c r="O9048" i="33" s="1"/>
  <c r="P6504" i="33" l="1"/>
  <c r="O6504" i="33"/>
  <c r="P6502" i="33"/>
  <c r="R6495" i="33" l="1"/>
  <c r="O6495" i="33"/>
  <c r="P6495" i="33" s="1"/>
  <c r="O9735" i="33"/>
  <c r="O9731" i="33"/>
  <c r="O9730" i="33"/>
  <c r="O9729" i="33"/>
  <c r="O9728" i="33"/>
  <c r="K9726" i="33"/>
  <c r="K9731" i="33" s="1"/>
  <c r="N9719" i="33"/>
  <c r="H9719" i="33"/>
  <c r="N9718" i="33"/>
  <c r="H9718" i="33"/>
  <c r="O9718" i="33" s="1"/>
  <c r="O9713" i="33"/>
  <c r="O9712" i="33"/>
  <c r="O9711" i="33"/>
  <c r="O9710" i="33"/>
  <c r="K9708" i="33"/>
  <c r="K9711" i="33" s="1"/>
  <c r="O9700" i="33"/>
  <c r="O9694" i="33" s="1"/>
  <c r="K9694" i="33"/>
  <c r="K9700" i="33" s="1"/>
  <c r="O9681" i="33"/>
  <c r="O9677" i="33"/>
  <c r="O9676" i="33"/>
  <c r="O9675" i="33"/>
  <c r="K9673" i="33"/>
  <c r="K9676" i="33" s="1"/>
  <c r="O9664" i="33"/>
  <c r="O9660" i="33"/>
  <c r="O9659" i="33"/>
  <c r="K9657" i="33"/>
  <c r="K9660" i="33" s="1"/>
  <c r="P9660" i="33" s="1"/>
  <c r="O9649" i="33"/>
  <c r="O9645" i="33"/>
  <c r="O9644" i="33"/>
  <c r="O9643" i="33"/>
  <c r="O9642" i="33"/>
  <c r="K9640" i="33"/>
  <c r="K9645" i="33" s="1"/>
  <c r="P9645" i="33" s="1"/>
  <c r="O9632" i="33"/>
  <c r="O9628" i="33"/>
  <c r="O9627" i="33"/>
  <c r="K9625" i="33"/>
  <c r="K9628" i="33" s="1"/>
  <c r="O9617" i="33"/>
  <c r="O9611" i="33" s="1"/>
  <c r="K9611" i="33"/>
  <c r="O9423" i="33"/>
  <c r="O9419" i="33"/>
  <c r="O9418" i="33"/>
  <c r="K9416" i="33"/>
  <c r="K9419" i="33" s="1"/>
  <c r="O9408" i="33"/>
  <c r="O9407" i="33"/>
  <c r="O9403" i="33"/>
  <c r="O9402" i="33"/>
  <c r="K9400" i="33"/>
  <c r="K9403" i="33" s="1"/>
  <c r="O9392" i="33"/>
  <c r="O9391" i="33"/>
  <c r="O9387" i="33"/>
  <c r="O9386" i="33"/>
  <c r="O9385" i="33"/>
  <c r="O9384" i="33"/>
  <c r="K9382" i="33"/>
  <c r="K9387" i="33" s="1"/>
  <c r="O9374" i="33"/>
  <c r="O9373" i="33"/>
  <c r="N9369" i="33"/>
  <c r="H9369" i="33"/>
  <c r="O9369" i="33" s="1"/>
  <c r="N9368" i="33"/>
  <c r="H9368" i="33"/>
  <c r="O9368" i="33" s="1"/>
  <c r="N9367" i="33"/>
  <c r="H9367" i="33"/>
  <c r="O9367" i="33" s="1"/>
  <c r="N9366" i="33"/>
  <c r="H9366" i="33"/>
  <c r="O9366" i="33" s="1"/>
  <c r="O9364" i="33"/>
  <c r="K9362" i="33"/>
  <c r="K9373" i="33" s="1"/>
  <c r="O9354" i="33"/>
  <c r="O9348" i="33" s="1"/>
  <c r="K9348" i="33"/>
  <c r="K9354" i="33" s="1"/>
  <c r="P9354" i="33" s="1"/>
  <c r="R9348" i="33" s="1"/>
  <c r="O9153" i="33"/>
  <c r="O9149" i="33"/>
  <c r="O9148" i="33"/>
  <c r="K9146" i="33"/>
  <c r="K9149" i="33" s="1"/>
  <c r="P9149" i="33" s="1"/>
  <c r="N9139" i="33"/>
  <c r="H9139" i="33"/>
  <c r="O9139" i="33" s="1"/>
  <c r="N9138" i="33"/>
  <c r="H9138" i="33"/>
  <c r="O9138" i="33" s="1"/>
  <c r="O9136" i="33"/>
  <c r="O9132" i="33"/>
  <c r="O9131" i="33"/>
  <c r="O9130" i="33"/>
  <c r="O9129" i="33"/>
  <c r="O9128" i="33"/>
  <c r="K9126" i="33"/>
  <c r="O9118" i="33"/>
  <c r="O9117" i="33"/>
  <c r="O9113" i="33"/>
  <c r="O9112" i="33"/>
  <c r="O9111" i="33"/>
  <c r="O9110" i="33"/>
  <c r="K9108" i="33"/>
  <c r="K9113" i="33" s="1"/>
  <c r="O9100" i="33"/>
  <c r="O9099" i="33"/>
  <c r="N9095" i="33"/>
  <c r="H9095" i="33"/>
  <c r="O9095" i="33" s="1"/>
  <c r="N9094" i="33"/>
  <c r="H9094" i="33"/>
  <c r="O9094" i="33" s="1"/>
  <c r="N9093" i="33"/>
  <c r="H9093" i="33"/>
  <c r="O9093" i="33" s="1"/>
  <c r="N9092" i="33"/>
  <c r="H9092" i="33"/>
  <c r="O9092" i="33" s="1"/>
  <c r="O9090" i="33"/>
  <c r="K9088" i="33"/>
  <c r="O9080" i="33"/>
  <c r="O9074" i="33" s="1"/>
  <c r="K9074" i="33"/>
  <c r="K9080" i="33" s="1"/>
  <c r="P9080" i="33" s="1"/>
  <c r="R9074" i="33" s="1"/>
  <c r="N11309" i="33"/>
  <c r="H11309" i="33"/>
  <c r="O11309" i="33" s="1"/>
  <c r="N11308" i="33"/>
  <c r="H11308" i="33"/>
  <c r="O11308" i="33" s="1"/>
  <c r="O11304" i="33"/>
  <c r="O11303" i="33"/>
  <c r="O11302" i="33"/>
  <c r="K11300" i="33"/>
  <c r="K11265" i="33"/>
  <c r="K11264" i="33"/>
  <c r="N11263" i="33"/>
  <c r="H11263" i="33"/>
  <c r="O11263" i="33" s="1"/>
  <c r="N11262" i="33"/>
  <c r="H11262" i="33"/>
  <c r="O11262" i="33" s="1"/>
  <c r="O11260" i="33"/>
  <c r="N11257" i="33"/>
  <c r="H11257" i="33"/>
  <c r="O11257" i="33" s="1"/>
  <c r="N11256" i="33"/>
  <c r="H11256" i="33"/>
  <c r="N11255" i="33"/>
  <c r="H11255" i="33"/>
  <c r="O11255" i="33" s="1"/>
  <c r="N11254" i="33"/>
  <c r="H11254" i="33"/>
  <c r="O11254" i="33" s="1"/>
  <c r="N11253" i="33"/>
  <c r="H11253" i="33"/>
  <c r="O11253" i="33" s="1"/>
  <c r="O11251" i="33"/>
  <c r="O11250" i="33"/>
  <c r="O11249" i="33"/>
  <c r="O11248" i="33"/>
  <c r="K11246" i="33"/>
  <c r="K11222" i="33"/>
  <c r="N11218" i="33"/>
  <c r="H11218" i="33"/>
  <c r="N11217" i="33"/>
  <c r="H11217" i="33"/>
  <c r="O11217" i="33" s="1"/>
  <c r="N11215" i="33"/>
  <c r="H11215" i="33"/>
  <c r="O11215" i="33" s="1"/>
  <c r="N11214" i="33"/>
  <c r="H11214" i="33"/>
  <c r="O11214" i="33" s="1"/>
  <c r="O11207" i="33"/>
  <c r="O11206" i="33"/>
  <c r="O11205" i="33"/>
  <c r="O11204" i="33"/>
  <c r="O11203" i="33"/>
  <c r="K11201" i="33"/>
  <c r="N11194" i="33"/>
  <c r="H11194" i="33"/>
  <c r="O11194" i="33" s="1"/>
  <c r="N11193" i="33"/>
  <c r="H11193" i="33"/>
  <c r="O11193" i="33" s="1"/>
  <c r="O11191" i="33"/>
  <c r="O11187" i="33"/>
  <c r="O11186" i="33"/>
  <c r="O11185" i="33"/>
  <c r="K11183" i="33"/>
  <c r="K11185" i="33" s="1"/>
  <c r="O11174" i="33"/>
  <c r="O11165" i="33" s="1"/>
  <c r="K11165" i="33"/>
  <c r="N11157" i="33"/>
  <c r="H11157" i="33"/>
  <c r="O11157" i="33" s="1"/>
  <c r="N11156" i="33"/>
  <c r="H11156" i="33"/>
  <c r="O11156" i="33" s="1"/>
  <c r="O11154" i="33"/>
  <c r="O11151" i="33"/>
  <c r="O11150" i="33"/>
  <c r="O11149" i="33"/>
  <c r="O11148" i="33"/>
  <c r="O11147" i="33"/>
  <c r="O11146" i="33"/>
  <c r="K11144" i="33"/>
  <c r="K11154" i="33" s="1"/>
  <c r="P11154" i="33" s="1"/>
  <c r="O11136" i="33"/>
  <c r="O11132" i="33"/>
  <c r="K11130" i="33"/>
  <c r="K11132" i="33" s="1"/>
  <c r="O11122" i="33"/>
  <c r="O11118" i="33"/>
  <c r="K11116" i="33"/>
  <c r="K11122" i="33" s="1"/>
  <c r="O11094" i="33"/>
  <c r="O11090" i="33"/>
  <c r="K11088" i="33"/>
  <c r="K11094" i="33" s="1"/>
  <c r="N11031" i="33"/>
  <c r="H11031" i="33"/>
  <c r="O11031" i="33" s="1"/>
  <c r="N11030" i="33"/>
  <c r="H11030" i="33"/>
  <c r="O11030" i="33" s="1"/>
  <c r="O11028" i="33"/>
  <c r="O11025" i="33"/>
  <c r="O11024" i="33"/>
  <c r="O11023" i="33"/>
  <c r="O11022" i="33"/>
  <c r="K11020" i="33"/>
  <c r="K11025" i="33" s="1"/>
  <c r="O10931" i="33"/>
  <c r="O10930" i="33"/>
  <c r="O10929" i="33"/>
  <c r="K10927" i="33"/>
  <c r="O10878" i="33"/>
  <c r="O10877" i="33"/>
  <c r="O10872" i="33"/>
  <c r="O10871" i="33"/>
  <c r="K10869" i="33"/>
  <c r="K10878" i="33" s="1"/>
  <c r="O10862" i="33"/>
  <c r="O10861" i="33"/>
  <c r="O10857" i="33"/>
  <c r="O10856" i="33"/>
  <c r="O10855" i="33"/>
  <c r="K10853" i="33"/>
  <c r="K10861" i="33" s="1"/>
  <c r="O10846" i="33"/>
  <c r="O10845" i="33"/>
  <c r="O10841" i="33"/>
  <c r="O10840" i="33"/>
  <c r="O10839" i="33"/>
  <c r="K10837" i="33"/>
  <c r="K10845" i="33" s="1"/>
  <c r="N10796" i="33"/>
  <c r="H10796" i="33"/>
  <c r="O10796" i="33" s="1"/>
  <c r="N10795" i="33"/>
  <c r="N10794" i="33"/>
  <c r="H10794" i="33"/>
  <c r="N10793" i="33"/>
  <c r="H10793" i="33"/>
  <c r="N10800" i="33"/>
  <c r="H10800" i="33"/>
  <c r="O10800" i="33" s="1"/>
  <c r="N10799" i="33"/>
  <c r="H10799" i="33"/>
  <c r="O10799" i="33" s="1"/>
  <c r="N10798" i="33"/>
  <c r="H10798" i="33"/>
  <c r="O10798" i="33" s="1"/>
  <c r="K10790" i="33"/>
  <c r="O10783" i="33"/>
  <c r="O10782" i="33"/>
  <c r="O10778" i="33"/>
  <c r="O10777" i="33"/>
  <c r="O10776" i="33"/>
  <c r="O10775" i="33"/>
  <c r="K10773" i="33"/>
  <c r="K10783" i="33" s="1"/>
  <c r="P10783" i="33" s="1"/>
  <c r="O10766" i="33"/>
  <c r="O10765" i="33"/>
  <c r="O10761" i="33"/>
  <c r="K10759" i="33"/>
  <c r="K10765" i="33" s="1"/>
  <c r="O10755" i="33"/>
  <c r="O10751" i="33"/>
  <c r="O10747" i="33"/>
  <c r="K10745" i="33"/>
  <c r="K10751" i="33" s="1"/>
  <c r="O10737" i="33"/>
  <c r="O10733" i="33"/>
  <c r="K10731" i="33"/>
  <c r="K10733" i="33" s="1"/>
  <c r="O10727" i="33"/>
  <c r="O10717" i="33" s="1"/>
  <c r="K10717" i="33"/>
  <c r="K10727" i="33" s="1"/>
  <c r="P10727" i="33" s="1"/>
  <c r="R10717" i="33" s="1"/>
  <c r="O10710" i="33"/>
  <c r="O10709" i="33"/>
  <c r="K10703" i="33"/>
  <c r="K10709" i="33" s="1"/>
  <c r="K10710" i="33" s="1"/>
  <c r="O10694" i="33"/>
  <c r="K10688" i="33"/>
  <c r="O9046" i="33"/>
  <c r="O9045" i="33"/>
  <c r="O9044" i="33"/>
  <c r="K9042" i="33"/>
  <c r="K9044" i="33" s="1"/>
  <c r="P9044" i="33" s="1"/>
  <c r="N9035" i="33"/>
  <c r="H9035" i="33"/>
  <c r="N9034" i="33"/>
  <c r="H9034" i="33"/>
  <c r="O9034" i="33" s="1"/>
  <c r="O9031" i="33"/>
  <c r="O9030" i="33"/>
  <c r="O9029" i="33"/>
  <c r="K9027" i="33"/>
  <c r="K9029" i="33" s="1"/>
  <c r="I9025" i="33"/>
  <c r="O9013" i="33"/>
  <c r="O9009" i="33"/>
  <c r="O9008" i="33"/>
  <c r="O9007" i="33"/>
  <c r="K9005" i="33"/>
  <c r="K9013" i="33" s="1"/>
  <c r="P9013" i="33" s="1"/>
  <c r="O8997" i="33"/>
  <c r="O8993" i="33"/>
  <c r="O8992" i="33"/>
  <c r="K8990" i="33"/>
  <c r="K8993" i="33" s="1"/>
  <c r="O8982" i="33"/>
  <c r="O8981" i="33"/>
  <c r="O8977" i="33"/>
  <c r="O8976" i="33"/>
  <c r="K8974" i="33"/>
  <c r="K8982" i="33" s="1"/>
  <c r="P8982" i="33" s="1"/>
  <c r="O8967" i="33"/>
  <c r="O8963" i="33"/>
  <c r="O8962" i="33"/>
  <c r="O8961" i="33"/>
  <c r="K8959" i="33"/>
  <c r="K8962" i="33" s="1"/>
  <c r="O8951" i="33"/>
  <c r="O8947" i="33"/>
  <c r="O8946" i="33"/>
  <c r="K8944" i="33"/>
  <c r="K8947" i="33" s="1"/>
  <c r="O8936" i="33"/>
  <c r="O8932" i="33"/>
  <c r="O8931" i="33"/>
  <c r="K8929" i="33"/>
  <c r="K8936" i="33" s="1"/>
  <c r="P8936" i="33" s="1"/>
  <c r="O8921" i="33"/>
  <c r="O8917" i="33"/>
  <c r="O8916" i="33"/>
  <c r="O8915" i="33"/>
  <c r="K8913" i="33"/>
  <c r="K8921" i="33" s="1"/>
  <c r="O8905" i="33"/>
  <c r="O8901" i="33"/>
  <c r="O8900" i="33"/>
  <c r="K8898" i="33"/>
  <c r="K8905" i="33" s="1"/>
  <c r="P8905" i="33" s="1"/>
  <c r="O8890" i="33"/>
  <c r="O8887" i="33"/>
  <c r="K8887" i="33"/>
  <c r="P8887" i="33" s="1"/>
  <c r="O8886" i="33"/>
  <c r="O8885" i="33"/>
  <c r="K8883" i="33"/>
  <c r="K8890" i="33" s="1"/>
  <c r="O8875" i="33"/>
  <c r="O8872" i="33"/>
  <c r="O8871" i="33"/>
  <c r="O8870" i="33"/>
  <c r="K8868" i="33"/>
  <c r="K8875" i="33" s="1"/>
  <c r="O8861" i="33"/>
  <c r="O8860" i="33"/>
  <c r="O8857" i="33"/>
  <c r="O8856" i="33"/>
  <c r="K8854" i="33"/>
  <c r="K8861" i="33" s="1"/>
  <c r="P8861" i="33" s="1"/>
  <c r="O8847" i="33"/>
  <c r="O8846" i="33"/>
  <c r="O8843" i="33"/>
  <c r="O8842" i="33"/>
  <c r="K8840" i="33"/>
  <c r="K8847" i="33" s="1"/>
  <c r="N8833" i="33"/>
  <c r="H8833" i="33"/>
  <c r="O8833" i="33" s="1"/>
  <c r="N8832" i="33"/>
  <c r="H8832" i="33"/>
  <c r="O8832" i="33" s="1"/>
  <c r="O8830" i="33"/>
  <c r="O8827" i="33"/>
  <c r="O8826" i="33"/>
  <c r="O8825" i="33"/>
  <c r="K8823" i="33"/>
  <c r="K8830" i="33" s="1"/>
  <c r="N8816" i="33"/>
  <c r="H8816" i="33"/>
  <c r="O8816" i="33" s="1"/>
  <c r="N8815" i="33"/>
  <c r="H8815" i="33"/>
  <c r="O8815" i="33" s="1"/>
  <c r="O8813" i="33"/>
  <c r="O8810" i="33"/>
  <c r="O8809" i="33"/>
  <c r="O8808" i="33"/>
  <c r="K8806" i="33"/>
  <c r="K8813" i="33" s="1"/>
  <c r="N8799" i="33"/>
  <c r="H8799" i="33"/>
  <c r="O8799" i="33" s="1"/>
  <c r="N8798" i="33"/>
  <c r="H8798" i="33"/>
  <c r="O8798" i="33" s="1"/>
  <c r="O8796" i="33"/>
  <c r="O8793" i="33"/>
  <c r="O8792" i="33"/>
  <c r="O8791" i="33"/>
  <c r="K8789" i="33"/>
  <c r="N8781" i="33"/>
  <c r="H8781" i="33"/>
  <c r="O8781" i="33" s="1"/>
  <c r="N8780" i="33"/>
  <c r="H8780" i="33"/>
  <c r="O8780" i="33" s="1"/>
  <c r="O8778" i="33"/>
  <c r="O8775" i="33"/>
  <c r="O8774" i="33"/>
  <c r="O8773" i="33"/>
  <c r="K8771" i="33"/>
  <c r="N8763" i="33"/>
  <c r="H8763" i="33"/>
  <c r="N8762" i="33"/>
  <c r="H8762" i="33"/>
  <c r="O8760" i="33"/>
  <c r="O8757" i="33"/>
  <c r="O8756" i="33"/>
  <c r="O8755" i="33"/>
  <c r="K8753" i="33"/>
  <c r="K8760" i="33" s="1"/>
  <c r="P8760" i="33" s="1"/>
  <c r="O8745" i="33"/>
  <c r="O8741" i="33"/>
  <c r="O8740" i="33"/>
  <c r="K8738" i="33"/>
  <c r="O8731" i="33"/>
  <c r="O8730" i="33"/>
  <c r="O8726" i="33"/>
  <c r="O8725" i="33"/>
  <c r="K8723" i="33"/>
  <c r="K8730" i="33" s="1"/>
  <c r="O8715" i="33"/>
  <c r="O8711" i="33"/>
  <c r="O8710" i="33"/>
  <c r="K8708" i="33"/>
  <c r="K8711" i="33" s="1"/>
  <c r="O8700" i="33"/>
  <c r="O8696" i="33"/>
  <c r="O8695" i="33"/>
  <c r="K8693" i="33"/>
  <c r="K8696" i="33" s="1"/>
  <c r="O8685" i="33"/>
  <c r="O8682" i="33"/>
  <c r="O8681" i="33"/>
  <c r="O8680" i="33"/>
  <c r="O8679" i="33"/>
  <c r="O8678" i="33"/>
  <c r="K8676" i="33"/>
  <c r="K8685" i="33" s="1"/>
  <c r="P8685" i="33" s="1"/>
  <c r="O8668" i="33"/>
  <c r="O8664" i="33"/>
  <c r="O8663" i="33"/>
  <c r="K8661" i="33"/>
  <c r="K8663" i="33" s="1"/>
  <c r="O8653" i="33"/>
  <c r="O8652" i="33"/>
  <c r="O8648" i="33"/>
  <c r="O8647" i="33"/>
  <c r="K8645" i="33"/>
  <c r="K8653" i="33" s="1"/>
  <c r="P8653" i="33" s="1"/>
  <c r="O8637" i="33"/>
  <c r="O8633" i="33"/>
  <c r="O8632" i="33"/>
  <c r="K8630" i="33"/>
  <c r="O8622" i="33"/>
  <c r="O8621" i="33"/>
  <c r="O8617" i="33"/>
  <c r="O8616" i="33"/>
  <c r="K8614" i="33"/>
  <c r="K8617" i="33" s="1"/>
  <c r="I8612" i="33"/>
  <c r="O8607" i="33"/>
  <c r="K8607" i="33"/>
  <c r="P8607" i="33" s="1"/>
  <c r="O8606" i="33"/>
  <c r="I8604" i="33"/>
  <c r="O8602" i="33"/>
  <c r="O8601" i="33"/>
  <c r="K8599" i="33"/>
  <c r="K8602" i="33" s="1"/>
  <c r="I8597" i="33"/>
  <c r="O8592" i="33"/>
  <c r="O8586" i="33" s="1"/>
  <c r="P8586" i="33" s="1"/>
  <c r="I8590" i="33"/>
  <c r="K8586" i="33"/>
  <c r="K8592" i="33" s="1"/>
  <c r="P8592" i="33" s="1"/>
  <c r="R8586" i="33" s="1"/>
  <c r="I8584" i="33"/>
  <c r="O8571" i="33"/>
  <c r="O8567" i="33"/>
  <c r="O8566" i="33"/>
  <c r="O8565" i="33"/>
  <c r="O8564" i="33"/>
  <c r="K8562" i="33"/>
  <c r="K8564" i="33" s="1"/>
  <c r="O8554" i="33"/>
  <c r="O8550" i="33"/>
  <c r="O8549" i="33"/>
  <c r="O8548" i="33"/>
  <c r="O8547" i="33"/>
  <c r="O8546" i="33"/>
  <c r="K8544" i="33"/>
  <c r="K8554" i="33" s="1"/>
  <c r="P8554" i="33" s="1"/>
  <c r="O8536" i="33"/>
  <c r="O8532" i="33"/>
  <c r="O8531" i="33"/>
  <c r="O8530" i="33"/>
  <c r="O8529" i="33"/>
  <c r="O8528" i="33"/>
  <c r="O8527" i="33"/>
  <c r="K8525" i="33"/>
  <c r="K8532" i="33" s="1"/>
  <c r="P8532" i="33" s="1"/>
  <c r="O8517" i="33"/>
  <c r="O8513" i="33"/>
  <c r="O8512" i="33"/>
  <c r="O8511" i="33"/>
  <c r="O8510" i="33"/>
  <c r="O8509" i="33"/>
  <c r="K8507" i="33"/>
  <c r="K8509" i="33" s="1"/>
  <c r="P8509" i="33" s="1"/>
  <c r="N8499" i="33"/>
  <c r="H8499" i="33"/>
  <c r="N8498" i="33"/>
  <c r="H8498" i="33"/>
  <c r="O8496" i="33"/>
  <c r="O8492" i="33"/>
  <c r="O8491" i="33"/>
  <c r="O8490" i="33"/>
  <c r="O8489" i="33"/>
  <c r="K8487" i="33"/>
  <c r="K8492" i="33" s="1"/>
  <c r="P8492" i="33" s="1"/>
  <c r="N8479" i="33"/>
  <c r="H8479" i="33"/>
  <c r="O8479" i="33" s="1"/>
  <c r="N8478" i="33"/>
  <c r="H8478" i="33"/>
  <c r="O8478" i="33" s="1"/>
  <c r="O8476" i="33"/>
  <c r="O8472" i="33"/>
  <c r="O8471" i="33"/>
  <c r="O8470" i="33"/>
  <c r="O8469" i="33"/>
  <c r="O8468" i="33"/>
  <c r="K8466" i="33"/>
  <c r="K8472" i="33" s="1"/>
  <c r="P8472" i="33" s="1"/>
  <c r="N8458" i="33"/>
  <c r="H8458" i="33"/>
  <c r="O8458" i="33" s="1"/>
  <c r="N8457" i="33"/>
  <c r="H8457" i="33"/>
  <c r="O8455" i="33"/>
  <c r="O8451" i="33"/>
  <c r="O8450" i="33"/>
  <c r="O8449" i="33"/>
  <c r="O8448" i="33"/>
  <c r="O8447" i="33"/>
  <c r="O8446" i="33"/>
  <c r="K8444" i="33"/>
  <c r="K8451" i="33" s="1"/>
  <c r="N8436" i="33"/>
  <c r="H8436" i="33"/>
  <c r="O8436" i="33" s="1"/>
  <c r="N8435" i="33"/>
  <c r="H8435" i="33"/>
  <c r="O8435" i="33" s="1"/>
  <c r="O8433" i="33"/>
  <c r="O8429" i="33"/>
  <c r="O8428" i="33"/>
  <c r="O8427" i="33"/>
  <c r="K8425" i="33"/>
  <c r="N8417" i="33"/>
  <c r="H8417" i="33"/>
  <c r="O8417" i="33" s="1"/>
  <c r="N8416" i="33"/>
  <c r="H8416" i="33"/>
  <c r="O8416" i="33" s="1"/>
  <c r="O8414" i="33"/>
  <c r="O8410" i="33"/>
  <c r="O8409" i="33"/>
  <c r="O8408" i="33"/>
  <c r="O8407" i="33"/>
  <c r="K8405" i="33"/>
  <c r="K8410" i="33" s="1"/>
  <c r="I8403" i="33"/>
  <c r="O8398" i="33"/>
  <c r="O8392" i="33" s="1"/>
  <c r="I8396" i="33"/>
  <c r="I8394" i="33"/>
  <c r="K8392" i="33"/>
  <c r="K8398" i="33" s="1"/>
  <c r="I8390" i="33"/>
  <c r="O8385" i="33"/>
  <c r="O8379" i="33" s="1"/>
  <c r="I8383" i="33"/>
  <c r="I8381" i="33"/>
  <c r="K8379" i="33"/>
  <c r="K8385" i="33" s="1"/>
  <c r="I8377" i="33"/>
  <c r="O8372" i="33"/>
  <c r="O8366" i="33" s="1"/>
  <c r="I8370" i="33"/>
  <c r="I8368" i="33"/>
  <c r="K8366" i="33"/>
  <c r="K8372" i="33" s="1"/>
  <c r="I8364" i="33"/>
  <c r="O8359" i="33"/>
  <c r="O8353" i="33" s="1"/>
  <c r="I8357" i="33"/>
  <c r="I8356" i="33"/>
  <c r="K8353" i="33"/>
  <c r="K8359" i="33" s="1"/>
  <c r="I8351" i="33"/>
  <c r="O8346" i="33"/>
  <c r="O8340" i="33" s="1"/>
  <c r="I8344" i="33"/>
  <c r="I8342" i="33"/>
  <c r="K8340" i="33"/>
  <c r="K8346" i="33" s="1"/>
  <c r="N8337" i="33"/>
  <c r="H8337" i="33"/>
  <c r="K8337" i="33" s="1"/>
  <c r="N8336" i="33"/>
  <c r="H8336" i="33"/>
  <c r="O8336" i="33" s="1"/>
  <c r="O8334" i="33"/>
  <c r="K8334" i="33"/>
  <c r="P8334" i="33" s="1"/>
  <c r="O8333" i="33"/>
  <c r="K8333" i="33"/>
  <c r="O8075" i="33"/>
  <c r="O8071" i="33"/>
  <c r="O8070" i="33"/>
  <c r="K8068" i="33"/>
  <c r="K8071" i="33" s="1"/>
  <c r="P8071" i="33" s="1"/>
  <c r="O8060" i="33"/>
  <c r="O8056" i="33"/>
  <c r="O8055" i="33"/>
  <c r="K8053" i="33"/>
  <c r="K8056" i="33" s="1"/>
  <c r="O8045" i="33"/>
  <c r="O8041" i="33"/>
  <c r="O8040" i="33"/>
  <c r="K8038" i="33"/>
  <c r="K8041" i="33" s="1"/>
  <c r="P8041" i="33" s="1"/>
  <c r="O8030" i="33"/>
  <c r="O8026" i="33"/>
  <c r="O8025" i="33"/>
  <c r="K8023" i="33"/>
  <c r="K8026" i="33" s="1"/>
  <c r="O8015" i="33"/>
  <c r="O8011" i="33"/>
  <c r="O8010" i="33"/>
  <c r="K8008" i="33"/>
  <c r="K8011" i="33" s="1"/>
  <c r="O8000" i="33"/>
  <c r="O7996" i="33"/>
  <c r="O7995" i="33"/>
  <c r="K7993" i="33"/>
  <c r="K7996" i="33" s="1"/>
  <c r="O7986" i="33"/>
  <c r="O7982" i="33"/>
  <c r="O7981" i="33"/>
  <c r="K7979" i="33"/>
  <c r="K7986" i="33" s="1"/>
  <c r="P7986" i="33" s="1"/>
  <c r="N7972" i="33"/>
  <c r="H7972" i="33"/>
  <c r="O7972" i="33" s="1"/>
  <c r="N7971" i="33"/>
  <c r="H7971" i="33"/>
  <c r="O7969" i="33"/>
  <c r="O7965" i="33"/>
  <c r="O7964" i="33"/>
  <c r="O7963" i="33"/>
  <c r="O7962" i="33"/>
  <c r="K7960" i="33"/>
  <c r="K7965" i="33" s="1"/>
  <c r="N7953" i="33"/>
  <c r="H7953" i="33"/>
  <c r="N7952" i="33"/>
  <c r="H7952" i="33"/>
  <c r="O7952" i="33" s="1"/>
  <c r="O7950" i="33"/>
  <c r="O7946" i="33"/>
  <c r="O7945" i="33"/>
  <c r="O7944" i="33"/>
  <c r="O7943" i="33"/>
  <c r="K7941" i="33"/>
  <c r="K7946" i="33" s="1"/>
  <c r="P7946" i="33" s="1"/>
  <c r="N7934" i="33"/>
  <c r="H7934" i="33"/>
  <c r="N7933" i="33"/>
  <c r="H7933" i="33"/>
  <c r="O7931" i="33"/>
  <c r="O7927" i="33"/>
  <c r="O7926" i="33"/>
  <c r="O7925" i="33"/>
  <c r="O7924" i="33"/>
  <c r="K7922" i="33"/>
  <c r="K7927" i="33" s="1"/>
  <c r="P7927" i="33" s="1"/>
  <c r="N7915" i="33"/>
  <c r="H7915" i="33"/>
  <c r="N7914" i="33"/>
  <c r="H7914" i="33"/>
  <c r="O7912" i="33"/>
  <c r="O7908" i="33"/>
  <c r="O7907" i="33"/>
  <c r="O7906" i="33"/>
  <c r="O7905" i="33"/>
  <c r="K7903" i="33"/>
  <c r="K7912" i="33" s="1"/>
  <c r="P7912" i="33" s="1"/>
  <c r="N7896" i="33"/>
  <c r="H7896" i="33"/>
  <c r="O7896" i="33" s="1"/>
  <c r="N7895" i="33"/>
  <c r="H7895" i="33"/>
  <c r="O7893" i="33"/>
  <c r="O7889" i="33"/>
  <c r="O7888" i="33"/>
  <c r="O7887" i="33"/>
  <c r="O7886" i="33"/>
  <c r="K7884" i="33"/>
  <c r="K7889" i="33" s="1"/>
  <c r="P7889" i="33" s="1"/>
  <c r="N7877" i="33"/>
  <c r="H7877" i="33"/>
  <c r="O7877" i="33" s="1"/>
  <c r="N7876" i="33"/>
  <c r="H7876" i="33"/>
  <c r="O7876" i="33" s="1"/>
  <c r="O7874" i="33"/>
  <c r="O7870" i="33"/>
  <c r="O7869" i="33"/>
  <c r="O7868" i="33"/>
  <c r="O7867" i="33"/>
  <c r="O7866" i="33"/>
  <c r="O7865" i="33"/>
  <c r="K7863" i="33"/>
  <c r="K7870" i="33" s="1"/>
  <c r="P7870" i="33" s="1"/>
  <c r="O7851" i="33"/>
  <c r="O7849" i="33" s="1"/>
  <c r="K7849" i="33"/>
  <c r="K7851" i="33" s="1"/>
  <c r="P7851" i="33" s="1"/>
  <c r="R7849" i="33" s="1"/>
  <c r="I7847" i="33"/>
  <c r="O7842" i="33"/>
  <c r="O7836" i="33" s="1"/>
  <c r="I7840" i="33"/>
  <c r="I7838" i="33"/>
  <c r="K7836" i="33"/>
  <c r="K7842" i="33" s="1"/>
  <c r="I7834" i="33"/>
  <c r="O7829" i="33"/>
  <c r="O7823" i="33" s="1"/>
  <c r="I7827" i="33"/>
  <c r="I7825" i="33"/>
  <c r="K7823" i="33"/>
  <c r="K7829" i="33" s="1"/>
  <c r="P7829" i="33" s="1"/>
  <c r="R7823" i="33" s="1"/>
  <c r="N7820" i="33"/>
  <c r="H7820" i="33"/>
  <c r="O7820" i="33" s="1"/>
  <c r="N7819" i="33"/>
  <c r="H7819" i="33"/>
  <c r="O7819" i="33" s="1"/>
  <c r="O7817" i="33"/>
  <c r="K7817" i="33"/>
  <c r="P7817" i="33" s="1"/>
  <c r="O7816" i="33"/>
  <c r="K7816" i="33"/>
  <c r="O7800" i="33"/>
  <c r="O7796" i="33"/>
  <c r="O7795" i="33"/>
  <c r="O7794" i="33"/>
  <c r="K7792" i="33"/>
  <c r="K7800" i="33" s="1"/>
  <c r="P7800" i="33" s="1"/>
  <c r="O7785" i="33"/>
  <c r="O7784" i="33"/>
  <c r="O7780" i="33"/>
  <c r="O7779" i="33"/>
  <c r="O7778" i="33"/>
  <c r="K7776" i="33"/>
  <c r="K7784" i="33" s="1"/>
  <c r="P7784" i="33" s="1"/>
  <c r="O7769" i="33"/>
  <c r="O7768" i="33"/>
  <c r="O7765" i="33"/>
  <c r="O7764" i="33"/>
  <c r="O7763" i="33"/>
  <c r="O7762" i="33"/>
  <c r="K7760" i="33"/>
  <c r="N7754" i="33"/>
  <c r="H7754" i="33"/>
  <c r="O7754" i="33" s="1"/>
  <c r="N7753" i="33"/>
  <c r="H7753" i="33"/>
  <c r="O7753" i="33" s="1"/>
  <c r="N7748" i="33"/>
  <c r="H7748" i="33"/>
  <c r="O7748" i="33" s="1"/>
  <c r="N7747" i="33"/>
  <c r="H7747" i="33"/>
  <c r="O7747" i="33" s="1"/>
  <c r="N7746" i="33"/>
  <c r="H7746" i="33"/>
  <c r="O7746" i="33" s="1"/>
  <c r="N7745" i="33"/>
  <c r="H7745" i="33"/>
  <c r="O7745" i="33" s="1"/>
  <c r="K7742" i="33"/>
  <c r="I7739" i="33"/>
  <c r="O7735" i="33"/>
  <c r="O7734" i="33"/>
  <c r="N7730" i="33"/>
  <c r="H7730" i="33"/>
  <c r="O7730" i="33" s="1"/>
  <c r="N7729" i="33"/>
  <c r="H7729" i="33"/>
  <c r="O7729" i="33" s="1"/>
  <c r="N7728" i="33"/>
  <c r="H7728" i="33"/>
  <c r="N7727" i="33"/>
  <c r="H7727" i="33"/>
  <c r="N7725" i="33"/>
  <c r="H7725" i="33"/>
  <c r="O7725" i="33" s="1"/>
  <c r="N7724" i="33"/>
  <c r="H7724" i="33"/>
  <c r="O7724" i="33" s="1"/>
  <c r="N7723" i="33"/>
  <c r="H7723" i="33"/>
  <c r="O7723" i="33" s="1"/>
  <c r="O7721" i="33"/>
  <c r="O7720" i="33"/>
  <c r="K7718" i="33"/>
  <c r="K7720" i="33" s="1"/>
  <c r="N7710" i="33"/>
  <c r="H7710" i="33"/>
  <c r="O7710" i="33" s="1"/>
  <c r="N7709" i="33"/>
  <c r="H7709" i="33"/>
  <c r="O7709" i="33" s="1"/>
  <c r="O7707" i="33"/>
  <c r="O7703" i="33"/>
  <c r="O7702" i="33"/>
  <c r="O7701" i="33"/>
  <c r="O7700" i="33"/>
  <c r="K7698" i="33"/>
  <c r="K7703" i="33" s="1"/>
  <c r="N7690" i="33"/>
  <c r="H7690" i="33"/>
  <c r="O7690" i="33" s="1"/>
  <c r="N7689" i="33"/>
  <c r="H7689" i="33"/>
  <c r="O7689" i="33" s="1"/>
  <c r="O7687" i="33"/>
  <c r="O7683" i="33"/>
  <c r="O7682" i="33"/>
  <c r="O7681" i="33"/>
  <c r="K7679" i="33"/>
  <c r="K7687" i="33" s="1"/>
  <c r="P7687" i="33" s="1"/>
  <c r="N7671" i="33"/>
  <c r="H7671" i="33"/>
  <c r="N7670" i="33"/>
  <c r="H7670" i="33"/>
  <c r="O7670" i="33" s="1"/>
  <c r="O7668" i="33"/>
  <c r="O7664" i="33"/>
  <c r="O7663" i="33"/>
  <c r="O7662" i="33"/>
  <c r="K7660" i="33"/>
  <c r="K7663" i="33" s="1"/>
  <c r="N7652" i="33"/>
  <c r="H7652" i="33"/>
  <c r="N7651" i="33"/>
  <c r="H7651" i="33"/>
  <c r="O7651" i="33" s="1"/>
  <c r="O7649" i="33"/>
  <c r="O7645" i="33"/>
  <c r="O7644" i="33"/>
  <c r="O7643" i="33"/>
  <c r="O7642" i="33"/>
  <c r="K7640" i="33"/>
  <c r="K7643" i="33" s="1"/>
  <c r="N7632" i="33"/>
  <c r="H7632" i="33"/>
  <c r="N7631" i="33"/>
  <c r="H7631" i="33"/>
  <c r="O7629" i="33"/>
  <c r="O7625" i="33"/>
  <c r="O7624" i="33"/>
  <c r="O7623" i="33"/>
  <c r="K7621" i="33"/>
  <c r="K7629" i="33" s="1"/>
  <c r="N7613" i="33"/>
  <c r="H7613" i="33"/>
  <c r="O7613" i="33" s="1"/>
  <c r="N7612" i="33"/>
  <c r="H7612" i="33"/>
  <c r="O7610" i="33"/>
  <c r="O7607" i="33"/>
  <c r="O7606" i="33"/>
  <c r="O7605" i="33"/>
  <c r="O7604" i="33"/>
  <c r="K7602" i="33"/>
  <c r="K7605" i="33" s="1"/>
  <c r="N7594" i="33"/>
  <c r="H7594" i="33"/>
  <c r="O7594" i="33" s="1"/>
  <c r="N7593" i="33"/>
  <c r="H7593" i="33"/>
  <c r="O7593" i="33" s="1"/>
  <c r="O7591" i="33"/>
  <c r="O7589" i="33"/>
  <c r="O7588" i="33"/>
  <c r="O7587" i="33"/>
  <c r="O7586" i="33"/>
  <c r="O7585" i="33"/>
  <c r="K7583" i="33"/>
  <c r="K7586" i="33" s="1"/>
  <c r="P7586" i="33" s="1"/>
  <c r="I7581" i="33"/>
  <c r="K7581" i="33" s="1"/>
  <c r="O7580" i="33"/>
  <c r="O7579" i="33"/>
  <c r="O7578" i="33"/>
  <c r="O7575" i="33"/>
  <c r="I7573" i="33"/>
  <c r="I7572" i="33"/>
  <c r="I7571" i="33"/>
  <c r="K7569" i="33"/>
  <c r="K7579" i="33" s="1"/>
  <c r="P7579" i="33" s="1"/>
  <c r="I7567" i="33"/>
  <c r="O7562" i="33"/>
  <c r="O7556" i="33" s="1"/>
  <c r="I7560" i="33"/>
  <c r="I7559" i="33"/>
  <c r="I7558" i="33"/>
  <c r="K7556" i="33"/>
  <c r="K7562" i="33" s="1"/>
  <c r="P7562" i="33" s="1"/>
  <c r="R7556" i="33" s="1"/>
  <c r="I7554" i="33"/>
  <c r="O7549" i="33"/>
  <c r="O7543" i="33" s="1"/>
  <c r="I7547" i="33"/>
  <c r="I7546" i="33"/>
  <c r="I7545" i="33"/>
  <c r="K7543" i="33"/>
  <c r="K7549" i="33" s="1"/>
  <c r="I7541" i="33"/>
  <c r="O7536" i="33"/>
  <c r="O7530" i="33" s="1"/>
  <c r="I7534" i="33"/>
  <c r="I7533" i="33"/>
  <c r="I7532" i="33" s="1"/>
  <c r="K7530" i="33"/>
  <c r="K7536" i="33" s="1"/>
  <c r="I7528" i="33"/>
  <c r="O7523" i="33"/>
  <c r="O7517" i="33" s="1"/>
  <c r="I7521" i="33"/>
  <c r="I7520" i="33"/>
  <c r="I7519" i="33"/>
  <c r="K7517" i="33"/>
  <c r="K7523" i="33" s="1"/>
  <c r="P7523" i="33" s="1"/>
  <c r="R7517" i="33" s="1"/>
  <c r="I7515" i="33"/>
  <c r="O7510" i="33"/>
  <c r="O7504" i="33" s="1"/>
  <c r="I7508" i="33"/>
  <c r="I7507" i="33"/>
  <c r="I7506" i="33"/>
  <c r="K7504" i="33"/>
  <c r="K7510" i="33" s="1"/>
  <c r="I7502" i="33"/>
  <c r="O7497" i="33"/>
  <c r="O7491" i="33" s="1"/>
  <c r="I7495" i="33"/>
  <c r="I7494" i="33"/>
  <c r="I7493" i="33"/>
  <c r="K7491" i="33"/>
  <c r="K7497" i="33" s="1"/>
  <c r="I7489" i="33"/>
  <c r="O7484" i="33"/>
  <c r="O7478" i="33" s="1"/>
  <c r="I7482" i="33"/>
  <c r="I7481" i="33"/>
  <c r="I7480" i="33"/>
  <c r="K7478" i="33"/>
  <c r="K7484" i="33" s="1"/>
  <c r="I7476" i="33"/>
  <c r="O7471" i="33"/>
  <c r="O7465" i="33" s="1"/>
  <c r="I7469" i="33"/>
  <c r="I7468" i="33"/>
  <c r="I7467" i="33"/>
  <c r="K7465" i="33"/>
  <c r="K7471" i="33" s="1"/>
  <c r="I7463" i="33"/>
  <c r="O7458" i="33"/>
  <c r="O7452" i="33" s="1"/>
  <c r="I7456" i="33"/>
  <c r="I7454" i="33"/>
  <c r="K7452" i="33"/>
  <c r="K7458" i="33" s="1"/>
  <c r="N7449" i="33"/>
  <c r="H7449" i="33"/>
  <c r="K7449" i="33" s="1"/>
  <c r="N7448" i="33"/>
  <c r="H7448" i="33"/>
  <c r="O7448" i="33" s="1"/>
  <c r="O7446" i="33"/>
  <c r="K7446" i="33"/>
  <c r="P7446" i="33" s="1"/>
  <c r="O7445" i="33"/>
  <c r="K7445" i="33"/>
  <c r="P7445" i="33" s="1"/>
  <c r="O7444" i="33"/>
  <c r="K7444" i="33"/>
  <c r="P7444" i="33" s="1"/>
  <c r="O7426" i="33"/>
  <c r="O7422" i="33"/>
  <c r="O7421" i="33"/>
  <c r="K7419" i="33"/>
  <c r="K7422" i="33" s="1"/>
  <c r="O7411" i="33"/>
  <c r="O7407" i="33"/>
  <c r="O7406" i="33"/>
  <c r="K7404" i="33"/>
  <c r="K7407" i="33" s="1"/>
  <c r="P7407" i="33" s="1"/>
  <c r="O7396" i="33"/>
  <c r="O7392" i="33"/>
  <c r="O7391" i="33"/>
  <c r="K7389" i="33"/>
  <c r="O7381" i="33"/>
  <c r="O7377" i="33"/>
  <c r="O7376" i="33"/>
  <c r="K7374" i="33"/>
  <c r="K7377" i="33" s="1"/>
  <c r="O7366" i="33"/>
  <c r="O7362" i="33"/>
  <c r="O7361" i="33"/>
  <c r="K7359" i="33"/>
  <c r="K7362" i="33" s="1"/>
  <c r="N7351" i="33"/>
  <c r="H7351" i="33"/>
  <c r="O7351" i="33" s="1"/>
  <c r="N7350" i="33"/>
  <c r="H7350" i="33"/>
  <c r="O7350" i="33" s="1"/>
  <c r="O7348" i="33"/>
  <c r="O7345" i="33"/>
  <c r="O7344" i="33"/>
  <c r="O7343" i="33"/>
  <c r="O7342" i="33"/>
  <c r="K7340" i="33"/>
  <c r="K7343" i="33" s="1"/>
  <c r="N7332" i="33"/>
  <c r="H7332" i="33"/>
  <c r="O7332" i="33" s="1"/>
  <c r="N7331" i="33"/>
  <c r="H7331" i="33"/>
  <c r="O7329" i="33"/>
  <c r="O7326" i="33"/>
  <c r="O7325" i="33"/>
  <c r="O7324" i="33"/>
  <c r="O7323" i="33"/>
  <c r="K7321" i="33"/>
  <c r="K7326" i="33" s="1"/>
  <c r="P7326" i="33" s="1"/>
  <c r="N7313" i="33"/>
  <c r="H7313" i="33"/>
  <c r="N7312" i="33"/>
  <c r="H7312" i="33"/>
  <c r="O7312" i="33" s="1"/>
  <c r="O7310" i="33"/>
  <c r="O7307" i="33"/>
  <c r="O7306" i="33"/>
  <c r="O7305" i="33"/>
  <c r="O7304" i="33"/>
  <c r="K7302" i="33"/>
  <c r="K7306" i="33" s="1"/>
  <c r="O7294" i="33"/>
  <c r="O7288" i="33" s="1"/>
  <c r="K7288" i="33"/>
  <c r="K7294" i="33" s="1"/>
  <c r="P7294" i="33" s="1"/>
  <c r="R7288" i="33" s="1"/>
  <c r="N7285" i="33"/>
  <c r="H7285" i="33"/>
  <c r="O7285" i="33" s="1"/>
  <c r="N7284" i="33"/>
  <c r="H7284" i="33"/>
  <c r="K7284" i="33" s="1"/>
  <c r="P7284" i="33" s="1"/>
  <c r="O7282" i="33"/>
  <c r="K7282" i="33"/>
  <c r="P7282" i="33" s="1"/>
  <c r="O7281" i="33"/>
  <c r="K7281" i="33"/>
  <c r="P7281" i="33" s="1"/>
  <c r="O7267" i="33"/>
  <c r="O7263" i="33"/>
  <c r="O7262" i="33"/>
  <c r="K7260" i="33"/>
  <c r="K7263" i="33" s="1"/>
  <c r="P7263" i="33" s="1"/>
  <c r="O7252" i="33"/>
  <c r="O7248" i="33"/>
  <c r="O7247" i="33"/>
  <c r="K7245" i="33"/>
  <c r="K7252" i="33" s="1"/>
  <c r="P7252" i="33" s="1"/>
  <c r="O7238" i="33"/>
  <c r="O7234" i="33"/>
  <c r="O7233" i="33"/>
  <c r="K7231" i="33"/>
  <c r="K7233" i="33" s="1"/>
  <c r="P7233" i="33" s="1"/>
  <c r="O7223" i="33"/>
  <c r="O7219" i="33"/>
  <c r="O7218" i="33"/>
  <c r="K7216" i="33"/>
  <c r="K7223" i="33" s="1"/>
  <c r="O7208" i="33"/>
  <c r="O7204" i="33"/>
  <c r="O7203" i="33"/>
  <c r="K7201" i="33"/>
  <c r="K7204" i="33" s="1"/>
  <c r="P7204" i="33" s="1"/>
  <c r="N7193" i="33"/>
  <c r="H7193" i="33"/>
  <c r="O7193" i="33" s="1"/>
  <c r="N7192" i="33"/>
  <c r="H7192" i="33"/>
  <c r="O7192" i="33" s="1"/>
  <c r="O7190" i="33"/>
  <c r="O7187" i="33"/>
  <c r="O7186" i="33"/>
  <c r="O7185" i="33"/>
  <c r="O7184" i="33"/>
  <c r="K7182" i="33"/>
  <c r="N7174" i="33"/>
  <c r="H7174" i="33"/>
  <c r="N7173" i="33"/>
  <c r="H7173" i="33"/>
  <c r="O7173" i="33" s="1"/>
  <c r="O7171" i="33"/>
  <c r="O7168" i="33"/>
  <c r="O7167" i="33"/>
  <c r="O7166" i="33"/>
  <c r="O7165" i="33"/>
  <c r="K7163" i="33"/>
  <c r="K7168" i="33" s="1"/>
  <c r="P7168" i="33" s="1"/>
  <c r="N7155" i="33"/>
  <c r="H7155" i="33"/>
  <c r="N7154" i="33"/>
  <c r="H7154" i="33"/>
  <c r="O7152" i="33"/>
  <c r="O7149" i="33"/>
  <c r="O7148" i="33"/>
  <c r="O7147" i="33"/>
  <c r="O7146" i="33"/>
  <c r="K7144" i="33"/>
  <c r="K7152" i="33" s="1"/>
  <c r="P7152" i="33" s="1"/>
  <c r="O7136" i="33"/>
  <c r="O7130" i="33" s="1"/>
  <c r="K7130" i="33"/>
  <c r="N7127" i="33"/>
  <c r="H7127" i="33"/>
  <c r="O7127" i="33" s="1"/>
  <c r="N7126" i="33"/>
  <c r="H7126" i="33"/>
  <c r="O7126" i="33" s="1"/>
  <c r="O7124" i="33"/>
  <c r="K7124" i="33"/>
  <c r="O7123" i="33"/>
  <c r="K7123" i="33"/>
  <c r="P7123" i="33" s="1"/>
  <c r="O7105" i="33"/>
  <c r="O7104" i="33"/>
  <c r="O7100" i="33"/>
  <c r="K7098" i="33"/>
  <c r="N7090" i="33"/>
  <c r="H7090" i="33"/>
  <c r="O7090" i="33" s="1"/>
  <c r="N7089" i="33"/>
  <c r="H7089" i="33"/>
  <c r="O7089" i="33" s="1"/>
  <c r="O7087" i="33"/>
  <c r="O7084" i="33"/>
  <c r="O7083" i="33"/>
  <c r="O7082" i="33"/>
  <c r="O7081" i="33"/>
  <c r="K7079" i="33"/>
  <c r="K7084" i="33" s="1"/>
  <c r="O7075" i="33"/>
  <c r="O7072" i="33"/>
  <c r="O7071" i="33"/>
  <c r="O7068" i="33"/>
  <c r="O7067" i="33"/>
  <c r="O7066" i="33"/>
  <c r="O7065" i="33"/>
  <c r="K7063" i="33"/>
  <c r="K7068" i="33" s="1"/>
  <c r="N7056" i="33"/>
  <c r="H7056" i="33"/>
  <c r="O7056" i="33" s="1"/>
  <c r="N7055" i="33"/>
  <c r="H7055" i="33"/>
  <c r="O7055" i="33" s="1"/>
  <c r="O7053" i="33"/>
  <c r="O7052" i="33"/>
  <c r="O7049" i="33"/>
  <c r="O7048" i="33"/>
  <c r="K7046" i="33"/>
  <c r="K7053" i="33" s="1"/>
  <c r="N7043" i="33"/>
  <c r="H7043" i="33"/>
  <c r="O7043" i="33" s="1"/>
  <c r="N7042" i="33"/>
  <c r="H7042" i="33"/>
  <c r="G7040" i="33"/>
  <c r="K7040" i="33" s="1"/>
  <c r="P7040" i="33" s="1"/>
  <c r="O7039" i="33"/>
  <c r="K7039" i="33"/>
  <c r="P7039" i="33" s="1"/>
  <c r="O7038" i="33"/>
  <c r="K7038" i="33"/>
  <c r="N7020" i="33"/>
  <c r="H7020" i="33"/>
  <c r="N7019" i="33"/>
  <c r="H7019" i="33"/>
  <c r="O7019" i="33" s="1"/>
  <c r="O7017" i="33"/>
  <c r="O7014" i="33"/>
  <c r="O7013" i="33"/>
  <c r="O7012" i="33"/>
  <c r="O7011" i="33"/>
  <c r="O7010" i="33"/>
  <c r="O7009" i="33"/>
  <c r="K7007" i="33"/>
  <c r="N6999" i="33"/>
  <c r="H6999" i="33"/>
  <c r="N6998" i="33"/>
  <c r="H6998" i="33"/>
  <c r="O6996" i="33"/>
  <c r="O6993" i="33"/>
  <c r="O6992" i="33"/>
  <c r="O6991" i="33"/>
  <c r="O6990" i="33"/>
  <c r="O6989" i="33"/>
  <c r="O6988" i="33"/>
  <c r="K6986" i="33"/>
  <c r="K6993" i="33" s="1"/>
  <c r="P6993" i="33" s="1"/>
  <c r="N6978" i="33"/>
  <c r="H6978" i="33"/>
  <c r="N6977" i="33"/>
  <c r="H6977" i="33"/>
  <c r="O6977" i="33" s="1"/>
  <c r="O6975" i="33"/>
  <c r="O6972" i="33"/>
  <c r="O6971" i="33"/>
  <c r="O6970" i="33"/>
  <c r="O6969" i="33"/>
  <c r="O6968" i="33"/>
  <c r="O6967" i="33"/>
  <c r="K6965" i="33"/>
  <c r="K6972" i="33" s="1"/>
  <c r="P6972" i="33" s="1"/>
  <c r="N6957" i="33"/>
  <c r="H6957" i="33"/>
  <c r="O6957" i="33" s="1"/>
  <c r="N6956" i="33"/>
  <c r="H6956" i="33"/>
  <c r="O6954" i="33"/>
  <c r="O6951" i="33"/>
  <c r="O6950" i="33"/>
  <c r="O6949" i="33"/>
  <c r="O6948" i="33"/>
  <c r="O6947" i="33"/>
  <c r="O6946" i="33"/>
  <c r="K6944" i="33"/>
  <c r="K6951" i="33" s="1"/>
  <c r="P6951" i="33" s="1"/>
  <c r="N6936" i="33"/>
  <c r="H6936" i="33"/>
  <c r="N6935" i="33"/>
  <c r="H6935" i="33"/>
  <c r="O6935" i="33" s="1"/>
  <c r="O6933" i="33"/>
  <c r="O6930" i="33"/>
  <c r="O6929" i="33"/>
  <c r="O6928" i="33"/>
  <c r="O6927" i="33"/>
  <c r="O6926" i="33"/>
  <c r="O6925" i="33"/>
  <c r="K6923" i="33"/>
  <c r="K6930" i="33" s="1"/>
  <c r="O6915" i="33"/>
  <c r="O6909" i="33" s="1"/>
  <c r="K6909" i="33"/>
  <c r="K6915" i="33" s="1"/>
  <c r="P6915" i="33" s="1"/>
  <c r="R6909" i="33" s="1"/>
  <c r="N6906" i="33"/>
  <c r="H6906" i="33"/>
  <c r="O6906" i="33" s="1"/>
  <c r="N6905" i="33"/>
  <c r="H6905" i="33"/>
  <c r="O6905" i="33" s="1"/>
  <c r="O6903" i="33"/>
  <c r="K6903" i="33"/>
  <c r="O6902" i="33"/>
  <c r="K6902" i="33"/>
  <c r="P6902" i="33" s="1"/>
  <c r="N6884" i="33"/>
  <c r="H6884" i="33"/>
  <c r="N6883" i="33"/>
  <c r="H6883" i="33"/>
  <c r="O6883" i="33" s="1"/>
  <c r="O6881" i="33"/>
  <c r="O6878" i="33"/>
  <c r="O6877" i="33"/>
  <c r="O6876" i="33"/>
  <c r="O6875" i="33"/>
  <c r="O6874" i="33"/>
  <c r="O6873" i="33"/>
  <c r="K6871" i="33"/>
  <c r="K6874" i="33" s="1"/>
  <c r="N6863" i="33"/>
  <c r="H6863" i="33"/>
  <c r="O6863" i="33" s="1"/>
  <c r="N6862" i="33"/>
  <c r="H6862" i="33"/>
  <c r="O6860" i="33"/>
  <c r="O6857" i="33"/>
  <c r="O6856" i="33"/>
  <c r="O6855" i="33"/>
  <c r="O6854" i="33"/>
  <c r="O6853" i="33"/>
  <c r="O6852" i="33"/>
  <c r="K6850" i="33"/>
  <c r="K6857" i="33" s="1"/>
  <c r="P6857" i="33" s="1"/>
  <c r="N6843" i="33"/>
  <c r="H6843" i="33"/>
  <c r="N6842" i="33"/>
  <c r="H6842" i="33"/>
  <c r="O6842" i="33" s="1"/>
  <c r="O6840" i="33"/>
  <c r="O6837" i="33"/>
  <c r="O6836" i="33"/>
  <c r="O6835" i="33"/>
  <c r="O6834" i="33"/>
  <c r="O6833" i="33"/>
  <c r="O6832" i="33"/>
  <c r="K6830" i="33"/>
  <c r="K6833" i="33" s="1"/>
  <c r="N6822" i="33"/>
  <c r="H6822" i="33"/>
  <c r="O6822" i="33" s="1"/>
  <c r="N6821" i="33"/>
  <c r="H6821" i="33"/>
  <c r="O6821" i="33" s="1"/>
  <c r="O6819" i="33"/>
  <c r="O6816" i="33"/>
  <c r="O6815" i="33"/>
  <c r="O6814" i="33"/>
  <c r="O6813" i="33"/>
  <c r="O6812" i="33"/>
  <c r="O6811" i="33"/>
  <c r="K6809" i="33"/>
  <c r="K6819" i="33" s="1"/>
  <c r="O6801" i="33"/>
  <c r="O6795" i="33" s="1"/>
  <c r="K6795" i="33"/>
  <c r="K6801" i="33" s="1"/>
  <c r="P6801" i="33" s="1"/>
  <c r="R6795" i="33" s="1"/>
  <c r="N6792" i="33"/>
  <c r="H6792" i="33"/>
  <c r="O6792" i="33" s="1"/>
  <c r="N6791" i="33"/>
  <c r="H6791" i="33"/>
  <c r="O6791" i="33" s="1"/>
  <c r="O6789" i="33"/>
  <c r="K6789" i="33"/>
  <c r="P6789" i="33" s="1"/>
  <c r="O6788" i="33"/>
  <c r="K6788" i="33"/>
  <c r="P6788" i="33" s="1"/>
  <c r="O6770" i="33"/>
  <c r="O6766" i="33"/>
  <c r="O6765" i="33"/>
  <c r="O6764" i="33"/>
  <c r="K6762" i="33"/>
  <c r="K6765" i="33" s="1"/>
  <c r="O6754" i="33"/>
  <c r="O6750" i="33"/>
  <c r="O6749" i="33"/>
  <c r="K6747" i="33"/>
  <c r="K6749" i="33" s="1"/>
  <c r="P6749" i="33" s="1"/>
  <c r="N6739" i="33"/>
  <c r="H6739" i="33"/>
  <c r="O6739" i="33" s="1"/>
  <c r="N6738" i="33"/>
  <c r="H6738" i="33"/>
  <c r="O6738" i="33" s="1"/>
  <c r="O6736" i="33"/>
  <c r="O6733" i="33"/>
  <c r="O6732" i="33"/>
  <c r="O6731" i="33"/>
  <c r="O6730" i="33"/>
  <c r="K6728" i="33"/>
  <c r="K6733" i="33" s="1"/>
  <c r="K6723" i="33"/>
  <c r="N6720" i="33"/>
  <c r="H6720" i="33"/>
  <c r="O6720" i="33" s="1"/>
  <c r="N6719" i="33"/>
  <c r="H6719" i="33"/>
  <c r="O6719" i="33" s="1"/>
  <c r="O6717" i="33"/>
  <c r="O6714" i="33"/>
  <c r="O6713" i="33"/>
  <c r="O6712" i="33"/>
  <c r="O6711" i="33"/>
  <c r="K6709" i="33"/>
  <c r="K6714" i="33" s="1"/>
  <c r="P6714" i="33" s="1"/>
  <c r="N6701" i="33"/>
  <c r="H6701" i="33"/>
  <c r="O6701" i="33" s="1"/>
  <c r="N6700" i="33"/>
  <c r="H6700" i="33"/>
  <c r="O6700" i="33" s="1"/>
  <c r="O6698" i="33"/>
  <c r="O6695" i="33"/>
  <c r="O6694" i="33"/>
  <c r="O6693" i="33"/>
  <c r="O6692" i="33"/>
  <c r="O6691" i="33"/>
  <c r="K6689" i="33"/>
  <c r="K6695" i="33" s="1"/>
  <c r="P6695" i="33" s="1"/>
  <c r="N6681" i="33"/>
  <c r="H6681" i="33"/>
  <c r="O6681" i="33" s="1"/>
  <c r="N6680" i="33"/>
  <c r="H6680" i="33"/>
  <c r="O6680" i="33" s="1"/>
  <c r="O6678" i="33"/>
  <c r="O6675" i="33"/>
  <c r="O6674" i="33"/>
  <c r="O6673" i="33"/>
  <c r="O6672" i="33"/>
  <c r="O6671" i="33"/>
  <c r="K6669" i="33"/>
  <c r="K6675" i="33" s="1"/>
  <c r="O6657" i="33"/>
  <c r="O6655" i="33" s="1"/>
  <c r="K6655" i="33"/>
  <c r="K6657" i="33" s="1"/>
  <c r="P6657" i="33" s="1"/>
  <c r="R6655" i="33" s="1"/>
  <c r="K6650" i="33"/>
  <c r="K6649" i="33"/>
  <c r="O6647" i="33"/>
  <c r="O6646" i="33"/>
  <c r="K6643" i="33"/>
  <c r="K6640" i="33"/>
  <c r="K6646" i="33" s="1"/>
  <c r="P6646" i="33" s="1"/>
  <c r="K6635" i="33"/>
  <c r="K6634" i="33"/>
  <c r="O6631" i="33"/>
  <c r="O6625" i="33" s="1"/>
  <c r="K6628" i="33"/>
  <c r="K6625" i="33"/>
  <c r="K6631" i="33" s="1"/>
  <c r="K6620" i="33"/>
  <c r="K6619" i="33"/>
  <c r="O6617" i="33"/>
  <c r="O6616" i="33"/>
  <c r="K6613" i="33"/>
  <c r="K6610" i="33"/>
  <c r="K6616" i="33" s="1"/>
  <c r="K6605" i="33"/>
  <c r="K6604" i="33"/>
  <c r="K6602" i="33"/>
  <c r="O6601" i="33"/>
  <c r="O6595" i="33" s="1"/>
  <c r="K6598" i="33"/>
  <c r="K6595" i="33"/>
  <c r="K6601" i="33" s="1"/>
  <c r="P6601" i="33" s="1"/>
  <c r="R6595" i="33" s="1"/>
  <c r="K6593" i="33"/>
  <c r="N6592" i="33"/>
  <c r="H6592" i="33"/>
  <c r="O6592" i="33" s="1"/>
  <c r="N6591" i="33"/>
  <c r="H6591" i="33"/>
  <c r="O6589" i="33"/>
  <c r="K6589" i="33"/>
  <c r="P6589" i="33" s="1"/>
  <c r="O6588" i="33"/>
  <c r="K6588" i="33"/>
  <c r="P6588" i="33" s="1"/>
  <c r="O6571" i="33"/>
  <c r="O6567" i="33"/>
  <c r="O6566" i="33"/>
  <c r="O6565" i="33"/>
  <c r="K6563" i="33"/>
  <c r="K6567" i="33" s="1"/>
  <c r="P6567" i="33" s="1"/>
  <c r="O6555" i="33"/>
  <c r="O6551" i="33"/>
  <c r="O6550" i="33"/>
  <c r="K6548" i="33"/>
  <c r="N6542" i="33"/>
  <c r="H6542" i="33"/>
  <c r="O6542" i="33" s="1"/>
  <c r="N6541" i="33"/>
  <c r="H6541" i="33"/>
  <c r="O6541" i="33" s="1"/>
  <c r="N6536" i="33"/>
  <c r="H6536" i="33"/>
  <c r="O6536" i="33" s="1"/>
  <c r="N6535" i="33"/>
  <c r="H6535" i="33"/>
  <c r="N6534" i="33"/>
  <c r="H6534" i="33"/>
  <c r="O6534" i="33" s="1"/>
  <c r="N6533" i="33"/>
  <c r="H6533" i="33"/>
  <c r="K6530" i="33"/>
  <c r="O6523" i="33"/>
  <c r="O6522" i="33"/>
  <c r="O6519" i="33"/>
  <c r="O6518" i="33"/>
  <c r="O6517" i="33"/>
  <c r="O6516" i="33"/>
  <c r="K6514" i="33"/>
  <c r="K6490" i="33"/>
  <c r="K6489" i="33"/>
  <c r="K6488" i="33"/>
  <c r="N6487" i="33"/>
  <c r="H6487" i="33"/>
  <c r="N6486" i="33"/>
  <c r="H6486" i="33"/>
  <c r="O6486" i="33" s="1"/>
  <c r="O6484" i="33"/>
  <c r="O6481" i="33"/>
  <c r="O6480" i="33"/>
  <c r="O6479" i="33"/>
  <c r="K6477" i="33"/>
  <c r="K6480" i="33" s="1"/>
  <c r="K6472" i="33"/>
  <c r="K6471" i="33"/>
  <c r="K6470" i="33"/>
  <c r="N6469" i="33"/>
  <c r="H6469" i="33"/>
  <c r="O6469" i="33" s="1"/>
  <c r="N6468" i="33"/>
  <c r="H6468" i="33"/>
  <c r="O6466" i="33"/>
  <c r="O6463" i="33"/>
  <c r="O6462" i="33"/>
  <c r="O6461" i="33"/>
  <c r="O6460" i="33"/>
  <c r="O6459" i="33"/>
  <c r="O6458" i="33"/>
  <c r="K6456" i="33"/>
  <c r="K6463" i="33" s="1"/>
  <c r="K6451" i="33"/>
  <c r="K6450" i="33"/>
  <c r="K6449" i="33"/>
  <c r="N6448" i="33"/>
  <c r="H6448" i="33"/>
  <c r="N6447" i="33"/>
  <c r="H6447" i="33"/>
  <c r="O6447" i="33" s="1"/>
  <c r="O6445" i="33"/>
  <c r="O6442" i="33"/>
  <c r="O6441" i="33"/>
  <c r="O6440" i="33"/>
  <c r="O6439" i="33"/>
  <c r="K6437" i="33"/>
  <c r="K6442" i="33" s="1"/>
  <c r="K6432" i="33"/>
  <c r="K6431" i="33"/>
  <c r="K6430" i="33"/>
  <c r="N6429" i="33"/>
  <c r="H6429" i="33"/>
  <c r="N6428" i="33"/>
  <c r="H6428" i="33"/>
  <c r="O6426" i="33"/>
  <c r="O6423" i="33"/>
  <c r="O6422" i="33"/>
  <c r="O6421" i="33"/>
  <c r="O6420" i="33"/>
  <c r="K6418" i="33"/>
  <c r="K6423" i="33" s="1"/>
  <c r="P6423" i="33" s="1"/>
  <c r="K6413" i="33"/>
  <c r="K6412" i="33"/>
  <c r="K6411" i="33"/>
  <c r="N6410" i="33"/>
  <c r="H6410" i="33"/>
  <c r="O6410" i="33" s="1"/>
  <c r="N6409" i="33"/>
  <c r="H6409" i="33"/>
  <c r="O6409" i="33" s="1"/>
  <c r="O6407" i="33"/>
  <c r="O6404" i="33"/>
  <c r="O6403" i="33"/>
  <c r="O6402" i="33"/>
  <c r="O6401" i="33"/>
  <c r="K6399" i="33"/>
  <c r="K6404" i="33" s="1"/>
  <c r="K6394" i="33"/>
  <c r="K6393" i="33"/>
  <c r="K6392" i="33"/>
  <c r="N6391" i="33"/>
  <c r="H6391" i="33"/>
  <c r="O6391" i="33" s="1"/>
  <c r="N6390" i="33"/>
  <c r="H6390" i="33"/>
  <c r="O6388" i="33"/>
  <c r="O6385" i="33"/>
  <c r="O6384" i="33"/>
  <c r="O6383" i="33"/>
  <c r="O6382" i="33"/>
  <c r="K6380" i="33"/>
  <c r="K6384" i="33" s="1"/>
  <c r="P6384" i="33" s="1"/>
  <c r="K6375" i="33"/>
  <c r="K6374" i="33"/>
  <c r="K6373" i="33"/>
  <c r="N6372" i="33"/>
  <c r="H6372" i="33"/>
  <c r="N6371" i="33"/>
  <c r="H6371" i="33"/>
  <c r="O6371" i="33" s="1"/>
  <c r="O6369" i="33"/>
  <c r="O6366" i="33"/>
  <c r="O6365" i="33"/>
  <c r="O6364" i="33"/>
  <c r="O6363" i="33"/>
  <c r="K6361" i="33"/>
  <c r="K6366" i="33" s="1"/>
  <c r="P6366" i="33" s="1"/>
  <c r="K6356" i="33"/>
  <c r="K6355" i="33"/>
  <c r="O6353" i="33"/>
  <c r="K6350" i="33"/>
  <c r="O6349" i="33"/>
  <c r="K6347" i="33"/>
  <c r="K6353" i="33" s="1"/>
  <c r="K6342" i="33"/>
  <c r="K6341" i="33"/>
  <c r="O6339" i="33"/>
  <c r="K6336" i="33"/>
  <c r="O6335" i="33"/>
  <c r="K6333" i="33"/>
  <c r="K6328" i="33"/>
  <c r="K6327" i="33"/>
  <c r="L6328" i="33" s="1"/>
  <c r="O6325" i="33"/>
  <c r="K6322" i="33"/>
  <c r="O6321" i="33"/>
  <c r="K6319" i="33"/>
  <c r="K6314" i="33"/>
  <c r="K6313" i="33"/>
  <c r="O6311" i="33"/>
  <c r="K6308" i="33"/>
  <c r="O6307" i="33"/>
  <c r="K6305" i="33"/>
  <c r="K6311" i="33" s="1"/>
  <c r="K6300" i="33"/>
  <c r="K6299" i="33"/>
  <c r="O6297" i="33"/>
  <c r="K6294" i="33"/>
  <c r="O6293" i="33"/>
  <c r="K6291" i="33"/>
  <c r="K6297" i="33" s="1"/>
  <c r="P6297" i="33" s="1"/>
  <c r="K6286" i="33"/>
  <c r="K6285" i="33"/>
  <c r="O6283" i="33"/>
  <c r="K6280" i="33"/>
  <c r="O6279" i="33"/>
  <c r="K6277" i="33"/>
  <c r="K6272" i="33"/>
  <c r="K6271" i="33"/>
  <c r="O6269" i="33"/>
  <c r="O6262" i="33" s="1"/>
  <c r="K6265" i="33"/>
  <c r="K6262" i="33"/>
  <c r="K6257" i="33"/>
  <c r="K6256" i="33"/>
  <c r="K6254" i="33"/>
  <c r="O6253" i="33"/>
  <c r="O6247" i="33" s="1"/>
  <c r="K6250" i="33"/>
  <c r="K6247" i="33"/>
  <c r="K6253" i="33" s="1"/>
  <c r="P6253" i="33" s="1"/>
  <c r="R6247" i="33" s="1"/>
  <c r="K6245" i="33"/>
  <c r="N6244" i="33"/>
  <c r="H6244" i="33"/>
  <c r="K6244" i="33" s="1"/>
  <c r="P6244" i="33" s="1"/>
  <c r="N6243" i="33"/>
  <c r="H6243" i="33"/>
  <c r="O6241" i="33"/>
  <c r="K6241" i="33"/>
  <c r="P6241" i="33" s="1"/>
  <c r="O6240" i="33"/>
  <c r="K6240" i="33"/>
  <c r="P6240" i="33" s="1"/>
  <c r="O6224" i="33"/>
  <c r="O6220" i="33"/>
  <c r="O6219" i="33"/>
  <c r="O6218" i="33"/>
  <c r="K6216" i="33"/>
  <c r="K6224" i="33" s="1"/>
  <c r="O6208" i="33"/>
  <c r="O6204" i="33"/>
  <c r="O6203" i="33"/>
  <c r="K6201" i="33"/>
  <c r="K6204" i="33" s="1"/>
  <c r="K6196" i="33"/>
  <c r="K6195" i="33"/>
  <c r="O6193" i="33"/>
  <c r="O6192" i="33"/>
  <c r="O6188" i="33"/>
  <c r="O6187" i="33"/>
  <c r="K6185" i="33"/>
  <c r="K6192" i="33" s="1"/>
  <c r="P6192" i="33" s="1"/>
  <c r="K6180" i="33"/>
  <c r="K6179" i="33"/>
  <c r="O6177" i="33"/>
  <c r="O6173" i="33"/>
  <c r="O6172" i="33"/>
  <c r="K6170" i="33"/>
  <c r="K6173" i="33" s="1"/>
  <c r="K6165" i="33"/>
  <c r="K6164" i="33"/>
  <c r="O6162" i="33"/>
  <c r="O6159" i="33"/>
  <c r="O6158" i="33"/>
  <c r="O6157" i="33"/>
  <c r="K6155" i="33"/>
  <c r="K6159" i="33" s="1"/>
  <c r="K6150" i="33"/>
  <c r="K6149" i="33"/>
  <c r="N6148" i="33"/>
  <c r="H6148" i="33"/>
  <c r="N6147" i="33"/>
  <c r="H6147" i="33"/>
  <c r="O6147" i="33" s="1"/>
  <c r="N6145" i="33"/>
  <c r="H6145" i="33"/>
  <c r="O6145" i="33" s="1"/>
  <c r="N6144" i="33"/>
  <c r="H6144" i="33"/>
  <c r="O6144" i="33" s="1"/>
  <c r="O6140" i="33"/>
  <c r="O6139" i="33"/>
  <c r="O6138" i="33"/>
  <c r="K6136" i="33"/>
  <c r="K6131" i="33"/>
  <c r="K6130" i="33"/>
  <c r="N6129" i="33"/>
  <c r="H6129" i="33"/>
  <c r="O6129" i="33" s="1"/>
  <c r="N6128" i="33"/>
  <c r="H6128" i="33"/>
  <c r="O6128" i="33" s="1"/>
  <c r="N6126" i="33"/>
  <c r="H6126" i="33"/>
  <c r="N6125" i="33"/>
  <c r="H6125" i="33"/>
  <c r="O6125" i="33" s="1"/>
  <c r="O6121" i="33"/>
  <c r="O6120" i="33"/>
  <c r="O6119" i="33"/>
  <c r="K6117" i="33"/>
  <c r="K6120" i="33" s="1"/>
  <c r="K6112" i="33"/>
  <c r="K6111" i="33"/>
  <c r="N6110" i="33"/>
  <c r="H6110" i="33"/>
  <c r="N6109" i="33"/>
  <c r="H6109" i="33"/>
  <c r="N6107" i="33"/>
  <c r="H6107" i="33"/>
  <c r="O6107" i="33" s="1"/>
  <c r="N6106" i="33"/>
  <c r="H6106" i="33"/>
  <c r="O6106" i="33" s="1"/>
  <c r="O6102" i="33"/>
  <c r="O6101" i="33"/>
  <c r="O6100" i="33"/>
  <c r="K6098" i="33"/>
  <c r="K6101" i="33" s="1"/>
  <c r="K6093" i="33"/>
  <c r="O6091" i="33"/>
  <c r="O6088" i="33"/>
  <c r="O6087" i="33"/>
  <c r="O6086" i="33"/>
  <c r="O6085" i="33"/>
  <c r="K6083" i="33"/>
  <c r="K6088" i="33" s="1"/>
  <c r="K6078" i="33"/>
  <c r="O6076" i="33"/>
  <c r="O6073" i="33"/>
  <c r="O6072" i="33"/>
  <c r="O6071" i="33"/>
  <c r="K6069" i="33"/>
  <c r="K6076" i="33" s="1"/>
  <c r="K6064" i="33"/>
  <c r="N6062" i="33"/>
  <c r="H6062" i="33"/>
  <c r="N6061" i="33"/>
  <c r="H6061" i="33"/>
  <c r="O6059" i="33"/>
  <c r="O6056" i="33"/>
  <c r="O6055" i="33"/>
  <c r="O6054" i="33"/>
  <c r="O6053" i="33"/>
  <c r="O6052" i="33"/>
  <c r="K6050" i="33"/>
  <c r="K6056" i="33" s="1"/>
  <c r="K6045" i="33"/>
  <c r="N6043" i="33"/>
  <c r="H6043" i="33"/>
  <c r="O6043" i="33" s="1"/>
  <c r="N6042" i="33"/>
  <c r="H6042" i="33"/>
  <c r="O6042" i="33" s="1"/>
  <c r="O6040" i="33"/>
  <c r="O6037" i="33"/>
  <c r="O6036" i="33"/>
  <c r="O6035" i="33"/>
  <c r="O6034" i="33"/>
  <c r="O6033" i="33"/>
  <c r="K6031" i="33"/>
  <c r="K6040" i="33" s="1"/>
  <c r="I6029" i="33"/>
  <c r="O6013" i="33"/>
  <c r="O6009" i="33"/>
  <c r="O6008" i="33"/>
  <c r="O6007" i="33"/>
  <c r="K6005" i="33"/>
  <c r="K6013" i="33" s="1"/>
  <c r="P6013" i="33" s="1"/>
  <c r="O5997" i="33"/>
  <c r="O5993" i="33"/>
  <c r="O5992" i="33"/>
  <c r="K5990" i="33"/>
  <c r="K5993" i="33" s="1"/>
  <c r="P5993" i="33" s="1"/>
  <c r="K5985" i="33"/>
  <c r="K5984" i="33"/>
  <c r="O5982" i="33"/>
  <c r="O5981" i="33"/>
  <c r="O5977" i="33"/>
  <c r="O5976" i="33"/>
  <c r="K5974" i="33"/>
  <c r="K5982" i="33" s="1"/>
  <c r="P5982" i="33" s="1"/>
  <c r="K5969" i="33"/>
  <c r="K5968" i="33"/>
  <c r="O5967" i="33"/>
  <c r="O5966" i="33"/>
  <c r="O5963" i="33"/>
  <c r="O5962" i="33"/>
  <c r="O5961" i="33"/>
  <c r="O5960" i="33"/>
  <c r="K5958" i="33"/>
  <c r="K5966" i="33" s="1"/>
  <c r="P5966" i="33" s="1"/>
  <c r="K5953" i="33"/>
  <c r="K5952" i="33"/>
  <c r="N5951" i="33"/>
  <c r="H5951" i="33"/>
  <c r="O5951" i="33" s="1"/>
  <c r="N5950" i="33"/>
  <c r="H5950" i="33"/>
  <c r="O5950" i="33" s="1"/>
  <c r="N5948" i="33"/>
  <c r="H5948" i="33"/>
  <c r="N5947" i="33"/>
  <c r="H5947" i="33"/>
  <c r="O5943" i="33"/>
  <c r="O5942" i="33"/>
  <c r="O5941" i="33"/>
  <c r="O5940" i="33"/>
  <c r="O5939" i="33"/>
  <c r="K5937" i="33"/>
  <c r="K5943" i="33" s="1"/>
  <c r="K5932" i="33"/>
  <c r="K5931" i="33"/>
  <c r="O5930" i="33"/>
  <c r="O5929" i="33"/>
  <c r="O5928" i="33"/>
  <c r="O5927" i="33"/>
  <c r="O5923" i="33"/>
  <c r="O5922" i="33"/>
  <c r="O5921" i="33"/>
  <c r="K5919" i="33"/>
  <c r="K5914" i="33"/>
  <c r="K5913" i="33"/>
  <c r="O5912" i="33"/>
  <c r="O5911" i="33"/>
  <c r="O5910" i="33"/>
  <c r="O5909" i="33"/>
  <c r="O5905" i="33"/>
  <c r="O5904" i="33"/>
  <c r="O5903" i="33"/>
  <c r="K5901" i="33"/>
  <c r="K5911" i="33" s="1"/>
  <c r="P5911" i="33" s="1"/>
  <c r="K5896" i="33"/>
  <c r="K5895" i="33"/>
  <c r="O5894" i="33"/>
  <c r="O5893" i="33"/>
  <c r="O5892" i="33"/>
  <c r="O5891" i="33"/>
  <c r="O5888" i="33"/>
  <c r="O5887" i="33"/>
  <c r="O5886" i="33"/>
  <c r="O5885" i="33"/>
  <c r="K5883" i="33"/>
  <c r="K5893" i="33" s="1"/>
  <c r="P5893" i="33" s="1"/>
  <c r="I5881" i="33"/>
  <c r="K5828" i="33"/>
  <c r="K5827" i="33"/>
  <c r="N5826" i="33"/>
  <c r="N5825" i="33"/>
  <c r="O5825" i="33"/>
  <c r="N5821" i="33"/>
  <c r="O5821" i="33"/>
  <c r="N5820" i="33"/>
  <c r="O5820" i="33"/>
  <c r="N5819" i="33"/>
  <c r="N5818" i="33"/>
  <c r="O5818" i="33"/>
  <c r="O5816" i="33"/>
  <c r="K5814" i="33"/>
  <c r="K5809" i="33"/>
  <c r="K5808" i="33"/>
  <c r="N5807" i="33"/>
  <c r="H5807" i="33"/>
  <c r="O5807" i="33" s="1"/>
  <c r="N5806" i="33"/>
  <c r="H5806" i="33"/>
  <c r="O5806" i="33" s="1"/>
  <c r="N5801" i="33"/>
  <c r="H5801" i="33"/>
  <c r="N5800" i="33"/>
  <c r="H5800" i="33"/>
  <c r="O5800" i="33" s="1"/>
  <c r="N5799" i="33"/>
  <c r="H5799" i="33"/>
  <c r="O5799" i="33" s="1"/>
  <c r="N5798" i="33"/>
  <c r="H5798" i="33"/>
  <c r="O5796" i="33"/>
  <c r="O5795" i="33"/>
  <c r="K5793" i="33"/>
  <c r="K5768" i="33"/>
  <c r="K5767" i="33"/>
  <c r="N5766" i="33"/>
  <c r="H5766" i="33"/>
  <c r="N5765" i="33"/>
  <c r="H5765" i="33"/>
  <c r="N5760" i="33"/>
  <c r="H5760" i="33"/>
  <c r="O5760" i="33" s="1"/>
  <c r="N5759" i="33"/>
  <c r="H5759" i="33"/>
  <c r="O5759" i="33" s="1"/>
  <c r="N5758" i="33"/>
  <c r="H5758" i="33"/>
  <c r="O5758" i="33" s="1"/>
  <c r="N5757" i="33"/>
  <c r="H5757" i="33"/>
  <c r="O5757" i="33" s="1"/>
  <c r="O5755" i="33"/>
  <c r="K5753" i="33"/>
  <c r="K5866" i="33"/>
  <c r="K5865" i="33"/>
  <c r="N5864" i="33"/>
  <c r="H5864" i="33"/>
  <c r="O5864" i="33" s="1"/>
  <c r="N5863" i="33"/>
  <c r="H5863" i="33"/>
  <c r="O5863" i="33" s="1"/>
  <c r="N5858" i="33"/>
  <c r="H5858" i="33"/>
  <c r="N5857" i="33"/>
  <c r="H5857" i="33"/>
  <c r="N5856" i="33"/>
  <c r="H5856" i="33"/>
  <c r="O5856" i="33" s="1"/>
  <c r="N5855" i="33"/>
  <c r="H5855" i="33"/>
  <c r="O5853" i="33"/>
  <c r="K5851" i="33"/>
  <c r="K5853" i="33" s="1"/>
  <c r="K5748" i="33"/>
  <c r="K5747" i="33"/>
  <c r="N5746" i="33"/>
  <c r="H5746" i="33"/>
  <c r="N5745" i="33"/>
  <c r="H5745" i="33"/>
  <c r="O5740" i="33"/>
  <c r="O5739" i="33"/>
  <c r="O5738" i="33"/>
  <c r="K5736" i="33"/>
  <c r="K5738" i="33" s="1"/>
  <c r="O5732" i="33"/>
  <c r="K5731" i="33"/>
  <c r="K5730" i="33"/>
  <c r="O5728" i="33"/>
  <c r="O5727" i="33"/>
  <c r="K5721" i="33"/>
  <c r="K5713" i="33"/>
  <c r="O5710" i="33"/>
  <c r="O5706" i="33"/>
  <c r="O5705" i="33"/>
  <c r="K5703" i="33"/>
  <c r="K5710" i="33" s="1"/>
  <c r="K5698" i="33"/>
  <c r="N5696" i="33"/>
  <c r="H5696" i="33"/>
  <c r="O5696" i="33" s="1"/>
  <c r="N5695" i="33"/>
  <c r="H5695" i="33"/>
  <c r="O5695" i="33" s="1"/>
  <c r="O5693" i="33"/>
  <c r="N5690" i="33"/>
  <c r="H5690" i="33"/>
  <c r="O5690" i="33" s="1"/>
  <c r="N5689" i="33"/>
  <c r="H5689" i="33"/>
  <c r="O5689" i="33" s="1"/>
  <c r="N5688" i="33"/>
  <c r="H5688" i="33"/>
  <c r="O5688" i="33" s="1"/>
  <c r="N5687" i="33"/>
  <c r="H5687" i="33"/>
  <c r="O5687" i="33" s="1"/>
  <c r="N5686" i="33"/>
  <c r="H5686" i="33"/>
  <c r="O5686" i="33" s="1"/>
  <c r="O5684" i="33"/>
  <c r="O5683" i="33"/>
  <c r="O5682" i="33"/>
  <c r="O5681" i="33"/>
  <c r="K5679" i="33"/>
  <c r="K5674" i="33"/>
  <c r="K5673" i="33"/>
  <c r="O5672" i="33"/>
  <c r="O5671" i="33"/>
  <c r="O5667" i="33"/>
  <c r="K5665" i="33"/>
  <c r="K5671" i="33" s="1"/>
  <c r="K5660" i="33"/>
  <c r="K5659" i="33"/>
  <c r="N5658" i="33"/>
  <c r="H5658" i="33"/>
  <c r="N5657" i="33"/>
  <c r="H5657" i="33"/>
  <c r="O5657" i="33" s="1"/>
  <c r="N5653" i="33"/>
  <c r="H5653" i="33"/>
  <c r="N5652" i="33"/>
  <c r="H5652" i="33"/>
  <c r="N5651" i="33"/>
  <c r="H5651" i="33"/>
  <c r="O5651" i="33" s="1"/>
  <c r="N5650" i="33"/>
  <c r="H5650" i="33"/>
  <c r="O5650" i="33" s="1"/>
  <c r="O5648" i="33"/>
  <c r="O5647" i="33"/>
  <c r="O5646" i="33"/>
  <c r="K5644" i="33"/>
  <c r="K5648" i="33" s="1"/>
  <c r="P5648" i="33" s="1"/>
  <c r="K5639" i="33"/>
  <c r="K5638" i="33"/>
  <c r="O5636" i="33"/>
  <c r="O5635" i="33"/>
  <c r="K5629" i="33"/>
  <c r="K5635" i="33" s="1"/>
  <c r="P5635" i="33" s="1"/>
  <c r="K5380" i="33"/>
  <c r="O5377" i="33"/>
  <c r="O5373" i="33"/>
  <c r="O5372" i="33"/>
  <c r="K5370" i="33"/>
  <c r="K5377" i="33" s="1"/>
  <c r="P5377" i="33" s="1"/>
  <c r="K5365" i="33"/>
  <c r="O5363" i="33"/>
  <c r="O5362" i="33"/>
  <c r="O5358" i="33"/>
  <c r="G5357" i="33"/>
  <c r="K5355" i="33"/>
  <c r="K5358" i="33" s="1"/>
  <c r="P5358" i="33" s="1"/>
  <c r="K5350" i="33"/>
  <c r="N5348" i="33"/>
  <c r="H5348" i="33"/>
  <c r="N5347" i="33"/>
  <c r="H5347" i="33"/>
  <c r="O5347" i="33" s="1"/>
  <c r="O5345" i="33"/>
  <c r="N5342" i="33"/>
  <c r="H5342" i="33"/>
  <c r="N5341" i="33"/>
  <c r="H5341" i="33"/>
  <c r="N5340" i="33"/>
  <c r="H5340" i="33"/>
  <c r="N5339" i="33"/>
  <c r="H5339" i="33"/>
  <c r="O5339" i="33" s="1"/>
  <c r="N5338" i="33"/>
  <c r="H5338" i="33"/>
  <c r="O5336" i="33"/>
  <c r="O5335" i="33"/>
  <c r="O5334" i="33"/>
  <c r="O5333" i="33"/>
  <c r="K5331" i="33"/>
  <c r="K5326" i="33"/>
  <c r="K5325" i="33"/>
  <c r="O5324" i="33"/>
  <c r="O5323" i="33"/>
  <c r="O5319" i="33"/>
  <c r="K5317" i="33"/>
  <c r="K5319" i="33" s="1"/>
  <c r="P5319" i="33" s="1"/>
  <c r="K5312" i="33"/>
  <c r="K5311" i="33"/>
  <c r="N5310" i="33"/>
  <c r="H5310" i="33"/>
  <c r="O5310" i="33" s="1"/>
  <c r="N5309" i="33"/>
  <c r="H5309" i="33"/>
  <c r="O5309" i="33" s="1"/>
  <c r="N5305" i="33"/>
  <c r="H5305" i="33"/>
  <c r="N5304" i="33"/>
  <c r="H5304" i="33"/>
  <c r="O5304" i="33" s="1"/>
  <c r="N5303" i="33"/>
  <c r="H5303" i="33"/>
  <c r="O5303" i="33" s="1"/>
  <c r="N5302" i="33"/>
  <c r="H5302" i="33"/>
  <c r="O5302" i="33" s="1"/>
  <c r="O5300" i="33"/>
  <c r="K5298" i="33"/>
  <c r="K5293" i="33"/>
  <c r="K5292" i="33"/>
  <c r="N5291" i="33"/>
  <c r="H5291" i="33"/>
  <c r="N5290" i="33"/>
  <c r="H5290" i="33"/>
  <c r="N5286" i="33"/>
  <c r="H5286" i="33"/>
  <c r="O5286" i="33" s="1"/>
  <c r="N5285" i="33"/>
  <c r="H5285" i="33"/>
  <c r="O5285" i="33" s="1"/>
  <c r="N5284" i="33"/>
  <c r="H5284" i="33"/>
  <c r="O5284" i="33" s="1"/>
  <c r="N5283" i="33"/>
  <c r="H5283" i="33"/>
  <c r="O5283" i="33" s="1"/>
  <c r="O5281" i="33"/>
  <c r="O5280" i="33"/>
  <c r="O5279" i="33"/>
  <c r="K5277" i="33"/>
  <c r="K5272" i="33"/>
  <c r="K5271" i="33"/>
  <c r="N5270" i="33"/>
  <c r="H5270" i="33"/>
  <c r="O5270" i="33" s="1"/>
  <c r="N5269" i="33"/>
  <c r="H5269" i="33"/>
  <c r="O5269" i="33" s="1"/>
  <c r="N5264" i="33"/>
  <c r="H5264" i="33"/>
  <c r="N5263" i="33"/>
  <c r="H5263" i="33"/>
  <c r="O5263" i="33" s="1"/>
  <c r="N5262" i="33"/>
  <c r="H5262" i="33"/>
  <c r="O5262" i="33" s="1"/>
  <c r="N5261" i="33"/>
  <c r="H5261" i="33"/>
  <c r="O5261" i="33" s="1"/>
  <c r="O5259" i="33"/>
  <c r="O5258" i="33"/>
  <c r="K5256" i="33"/>
  <c r="K5251" i="33"/>
  <c r="K5250" i="33"/>
  <c r="N5249" i="33"/>
  <c r="H5249" i="33"/>
  <c r="N5248" i="33"/>
  <c r="H5248" i="33"/>
  <c r="N5243" i="33"/>
  <c r="H5243" i="33"/>
  <c r="O5243" i="33" s="1"/>
  <c r="N5242" i="33"/>
  <c r="H5242" i="33"/>
  <c r="O5242" i="33" s="1"/>
  <c r="N5241" i="33"/>
  <c r="H5241" i="33"/>
  <c r="O5241" i="33" s="1"/>
  <c r="N5240" i="33"/>
  <c r="H5240" i="33"/>
  <c r="O5240" i="33" s="1"/>
  <c r="O5238" i="33"/>
  <c r="K5236" i="33"/>
  <c r="K5231" i="33"/>
  <c r="K5230" i="33"/>
  <c r="N5229" i="33"/>
  <c r="H5229" i="33"/>
  <c r="N5228" i="33"/>
  <c r="H5228" i="33"/>
  <c r="N5223" i="33"/>
  <c r="H5223" i="33"/>
  <c r="O5223" i="33" s="1"/>
  <c r="N5222" i="33"/>
  <c r="H5222" i="33"/>
  <c r="O5222" i="33" s="1"/>
  <c r="N5221" i="33"/>
  <c r="H5221" i="33"/>
  <c r="O5221" i="33" s="1"/>
  <c r="N5220" i="33"/>
  <c r="H5220" i="33"/>
  <c r="O5220" i="33" s="1"/>
  <c r="O5218" i="33"/>
  <c r="K5216" i="33"/>
  <c r="K5211" i="33"/>
  <c r="K5210" i="33"/>
  <c r="N5209" i="33"/>
  <c r="H5209" i="33"/>
  <c r="N5208" i="33"/>
  <c r="H5208" i="33"/>
  <c r="O5208" i="33" s="1"/>
  <c r="O5203" i="33"/>
  <c r="O5202" i="33"/>
  <c r="O5201" i="33"/>
  <c r="K5199" i="33"/>
  <c r="K5194" i="33"/>
  <c r="K5193" i="33"/>
  <c r="O5191" i="33"/>
  <c r="O5190" i="33"/>
  <c r="K5184" i="33"/>
  <c r="K5190" i="33" s="1"/>
  <c r="I5182" i="33"/>
  <c r="O5169" i="33"/>
  <c r="O5165" i="33"/>
  <c r="O5164" i="33"/>
  <c r="K5162" i="33"/>
  <c r="K5165" i="33" s="1"/>
  <c r="O5154" i="33"/>
  <c r="O5153" i="33"/>
  <c r="N5150" i="33"/>
  <c r="H5150" i="33"/>
  <c r="O5150" i="33" s="1"/>
  <c r="N5149" i="33"/>
  <c r="H5149" i="33"/>
  <c r="O5149" i="33" s="1"/>
  <c r="N5148" i="33"/>
  <c r="H5148" i="33"/>
  <c r="O5148" i="33" s="1"/>
  <c r="N5147" i="33"/>
  <c r="H5147" i="33"/>
  <c r="O5147" i="33" s="1"/>
  <c r="N5145" i="33"/>
  <c r="H5145" i="33"/>
  <c r="N5144" i="33"/>
  <c r="H5144" i="33"/>
  <c r="N5143" i="33"/>
  <c r="H5143" i="33"/>
  <c r="O5143" i="33" s="1"/>
  <c r="O5141" i="33"/>
  <c r="O5140" i="33"/>
  <c r="K5138" i="33"/>
  <c r="K5154" i="33" s="1"/>
  <c r="P5154" i="33" s="1"/>
  <c r="N5131" i="33"/>
  <c r="H5131" i="33"/>
  <c r="O5131" i="33" s="1"/>
  <c r="N5130" i="33"/>
  <c r="H5130" i="33"/>
  <c r="O5130" i="33" s="1"/>
  <c r="O5128" i="33"/>
  <c r="N5125" i="33"/>
  <c r="H5125" i="33"/>
  <c r="N5124" i="33"/>
  <c r="H5124" i="33"/>
  <c r="N5123" i="33"/>
  <c r="H5123" i="33"/>
  <c r="O5123" i="33" s="1"/>
  <c r="N5122" i="33"/>
  <c r="H5122" i="33"/>
  <c r="N5121" i="33"/>
  <c r="H5121" i="33"/>
  <c r="O5119" i="33"/>
  <c r="O5118" i="33"/>
  <c r="O5117" i="33"/>
  <c r="O5116" i="33"/>
  <c r="K5114" i="33"/>
  <c r="K5118" i="33" s="1"/>
  <c r="P5118" i="33" s="1"/>
  <c r="O5106" i="33"/>
  <c r="O5105" i="33"/>
  <c r="O5101" i="33"/>
  <c r="K5099" i="33"/>
  <c r="K5105" i="33" s="1"/>
  <c r="P5105" i="33" s="1"/>
  <c r="N5092" i="33"/>
  <c r="H5092" i="33"/>
  <c r="O5092" i="33" s="1"/>
  <c r="N5091" i="33"/>
  <c r="H5091" i="33"/>
  <c r="O5091" i="33" s="1"/>
  <c r="O5089" i="33"/>
  <c r="O5085" i="33"/>
  <c r="O5084" i="33"/>
  <c r="O5083" i="33"/>
  <c r="O5082" i="33"/>
  <c r="K5080" i="33"/>
  <c r="K5085" i="33" s="1"/>
  <c r="K5075" i="33"/>
  <c r="K5074" i="33"/>
  <c r="O5072" i="33"/>
  <c r="O5071" i="33"/>
  <c r="K5065" i="33"/>
  <c r="K5072" i="33" s="1"/>
  <c r="O5052" i="33"/>
  <c r="O5048" i="33"/>
  <c r="O5047" i="33"/>
  <c r="K5045" i="33"/>
  <c r="K5048" i="33" s="1"/>
  <c r="N5038" i="33"/>
  <c r="H5038" i="33"/>
  <c r="O5038" i="33" s="1"/>
  <c r="N5037" i="33"/>
  <c r="H5037" i="33"/>
  <c r="O5037" i="33" s="1"/>
  <c r="O5035" i="33"/>
  <c r="N5032" i="33"/>
  <c r="H5032" i="33"/>
  <c r="O5032" i="33" s="1"/>
  <c r="N5031" i="33"/>
  <c r="H5031" i="33"/>
  <c r="O5031" i="33" s="1"/>
  <c r="N5030" i="33"/>
  <c r="H5030" i="33"/>
  <c r="N5029" i="33"/>
  <c r="H5029" i="33"/>
  <c r="N5028" i="33"/>
  <c r="H5028" i="33"/>
  <c r="O5028" i="33" s="1"/>
  <c r="O5026" i="33"/>
  <c r="O5025" i="33"/>
  <c r="O5024" i="33"/>
  <c r="O5023" i="33"/>
  <c r="K5021" i="33"/>
  <c r="L5017" i="33"/>
  <c r="O5013" i="33"/>
  <c r="O5012" i="33"/>
  <c r="O5008" i="33"/>
  <c r="K5006" i="33"/>
  <c r="K5012" i="33" s="1"/>
  <c r="P5012" i="33" s="1"/>
  <c r="O4998" i="33"/>
  <c r="O4997" i="33"/>
  <c r="N4994" i="33"/>
  <c r="H4994" i="33"/>
  <c r="O4994" i="33" s="1"/>
  <c r="N4993" i="33"/>
  <c r="H4993" i="33"/>
  <c r="O4993" i="33" s="1"/>
  <c r="N4992" i="33"/>
  <c r="H4992" i="33"/>
  <c r="O4992" i="33" s="1"/>
  <c r="N4991" i="33"/>
  <c r="H4991" i="33"/>
  <c r="O4991" i="33" s="1"/>
  <c r="N4989" i="33"/>
  <c r="H4989" i="33"/>
  <c r="N4988" i="33"/>
  <c r="H4988" i="33"/>
  <c r="N4987" i="33"/>
  <c r="H4987" i="33"/>
  <c r="O4987" i="33" s="1"/>
  <c r="N4986" i="33"/>
  <c r="H4986" i="33"/>
  <c r="N4985" i="33"/>
  <c r="H4985" i="33"/>
  <c r="O4983" i="33"/>
  <c r="O4982" i="33"/>
  <c r="K4980" i="33"/>
  <c r="K4998" i="33" s="1"/>
  <c r="K4975" i="33"/>
  <c r="K4974" i="33"/>
  <c r="K4973" i="33"/>
  <c r="O4972" i="33"/>
  <c r="O4966" i="33" s="1"/>
  <c r="K4968" i="33"/>
  <c r="K4966" i="33"/>
  <c r="K4972" i="33" s="1"/>
  <c r="O4953" i="33"/>
  <c r="O4949" i="33"/>
  <c r="O4948" i="33"/>
  <c r="K4946" i="33"/>
  <c r="K4949" i="33" s="1"/>
  <c r="O4938" i="33"/>
  <c r="O4937" i="33"/>
  <c r="N4934" i="33"/>
  <c r="H4934" i="33"/>
  <c r="O4934" i="33" s="1"/>
  <c r="N4933" i="33"/>
  <c r="H4933" i="33"/>
  <c r="O4933" i="33" s="1"/>
  <c r="N4932" i="33"/>
  <c r="H4932" i="33"/>
  <c r="O4932" i="33" s="1"/>
  <c r="N4931" i="33"/>
  <c r="H4931" i="33"/>
  <c r="O4931" i="33" s="1"/>
  <c r="N4929" i="33"/>
  <c r="H4929" i="33"/>
  <c r="O4929" i="33" s="1"/>
  <c r="N4928" i="33"/>
  <c r="H4928" i="33"/>
  <c r="O4928" i="33" s="1"/>
  <c r="N4927" i="33"/>
  <c r="H4927" i="33"/>
  <c r="O4925" i="33"/>
  <c r="O4924" i="33"/>
  <c r="K4922" i="33"/>
  <c r="K4938" i="33" s="1"/>
  <c r="P4938" i="33" s="1"/>
  <c r="N4915" i="33"/>
  <c r="H4915" i="33"/>
  <c r="O4915" i="33" s="1"/>
  <c r="N4914" i="33"/>
  <c r="H4914" i="33"/>
  <c r="O4914" i="33" s="1"/>
  <c r="O4912" i="33"/>
  <c r="N4909" i="33"/>
  <c r="H4909" i="33"/>
  <c r="O4909" i="33" s="1"/>
  <c r="N4908" i="33"/>
  <c r="H4908" i="33"/>
  <c r="N4907" i="33"/>
  <c r="H4907" i="33"/>
  <c r="N4906" i="33"/>
  <c r="H4906" i="33"/>
  <c r="N4905" i="33"/>
  <c r="H4905" i="33"/>
  <c r="O4905" i="33" s="1"/>
  <c r="O4903" i="33"/>
  <c r="O4902" i="33"/>
  <c r="O4901" i="33"/>
  <c r="O4900" i="33"/>
  <c r="K4898" i="33"/>
  <c r="O4890" i="33"/>
  <c r="O4889" i="33"/>
  <c r="O4885" i="33"/>
  <c r="K4883" i="33"/>
  <c r="K4889" i="33" s="1"/>
  <c r="P4889" i="33" s="1"/>
  <c r="K4878" i="33"/>
  <c r="K4877" i="33"/>
  <c r="O4875" i="33"/>
  <c r="O4869" i="33" s="1"/>
  <c r="K4869" i="33"/>
  <c r="K4875" i="33" s="1"/>
  <c r="O4708" i="33"/>
  <c r="O4704" i="33"/>
  <c r="O4703" i="33"/>
  <c r="K4701" i="33"/>
  <c r="K4708" i="33" s="1"/>
  <c r="P4708" i="33" s="1"/>
  <c r="O4693" i="33"/>
  <c r="O4692" i="33"/>
  <c r="N4689" i="33"/>
  <c r="H4689" i="33"/>
  <c r="N4688" i="33"/>
  <c r="H4688" i="33"/>
  <c r="O4688" i="33" s="1"/>
  <c r="N4687" i="33"/>
  <c r="H4687" i="33"/>
  <c r="N4686" i="33"/>
  <c r="H4686" i="33"/>
  <c r="N4684" i="33"/>
  <c r="H4684" i="33"/>
  <c r="O4684" i="33" s="1"/>
  <c r="N4683" i="33"/>
  <c r="H4683" i="33"/>
  <c r="O4683" i="33" s="1"/>
  <c r="N4682" i="33"/>
  <c r="H4682" i="33"/>
  <c r="O4682" i="33" s="1"/>
  <c r="O4680" i="33"/>
  <c r="O4679" i="33"/>
  <c r="K4677" i="33"/>
  <c r="K4693" i="33" s="1"/>
  <c r="O4669" i="33"/>
  <c r="O4668" i="33"/>
  <c r="O4664" i="33"/>
  <c r="G4663" i="33"/>
  <c r="K4661" i="33"/>
  <c r="K4669" i="33" s="1"/>
  <c r="P4669" i="33" s="1"/>
  <c r="N4654" i="33"/>
  <c r="H4654" i="33"/>
  <c r="N4653" i="33"/>
  <c r="H4653" i="33"/>
  <c r="O4653" i="33" s="1"/>
  <c r="O4651" i="33"/>
  <c r="N4648" i="33"/>
  <c r="H4648" i="33"/>
  <c r="O4648" i="33" s="1"/>
  <c r="N4647" i="33"/>
  <c r="H4647" i="33"/>
  <c r="O4647" i="33" s="1"/>
  <c r="N4646" i="33"/>
  <c r="H4646" i="33"/>
  <c r="O4646" i="33" s="1"/>
  <c r="N4645" i="33"/>
  <c r="H4645" i="33"/>
  <c r="O4645" i="33" s="1"/>
  <c r="N4644" i="33"/>
  <c r="H4644" i="33"/>
  <c r="O4644" i="33" s="1"/>
  <c r="O4642" i="33"/>
  <c r="O4641" i="33"/>
  <c r="O4640" i="33"/>
  <c r="O4639" i="33"/>
  <c r="K4637" i="33"/>
  <c r="O4629" i="33"/>
  <c r="O4628" i="33"/>
  <c r="O4624" i="33"/>
  <c r="K4622" i="33"/>
  <c r="K4628" i="33" s="1"/>
  <c r="P4628" i="33" s="1"/>
  <c r="O4614" i="33"/>
  <c r="O4613" i="33"/>
  <c r="N4610" i="33"/>
  <c r="H4610" i="33"/>
  <c r="O4610" i="33" s="1"/>
  <c r="N4609" i="33"/>
  <c r="H4609" i="33"/>
  <c r="O4609" i="33" s="1"/>
  <c r="N4608" i="33"/>
  <c r="H4608" i="33"/>
  <c r="N4607" i="33"/>
  <c r="H4607" i="33"/>
  <c r="O4607" i="33" s="1"/>
  <c r="N4605" i="33"/>
  <c r="H4605" i="33"/>
  <c r="O4605" i="33" s="1"/>
  <c r="N4604" i="33"/>
  <c r="H4604" i="33"/>
  <c r="N4603" i="33"/>
  <c r="H4603" i="33"/>
  <c r="O4603" i="33" s="1"/>
  <c r="N4602" i="33"/>
  <c r="H4602" i="33"/>
  <c r="O4602" i="33" s="1"/>
  <c r="N4601" i="33"/>
  <c r="H4601" i="33"/>
  <c r="O4601" i="33" s="1"/>
  <c r="O4599" i="33"/>
  <c r="O4598" i="33"/>
  <c r="K4596" i="33"/>
  <c r="N4589" i="33"/>
  <c r="H4589" i="33"/>
  <c r="N4588" i="33"/>
  <c r="H4588" i="33"/>
  <c r="O4588" i="33" s="1"/>
  <c r="O4586" i="33"/>
  <c r="O4582" i="33"/>
  <c r="O4581" i="33"/>
  <c r="O4580" i="33"/>
  <c r="O4579" i="33"/>
  <c r="K4577" i="33"/>
  <c r="K4582" i="33" s="1"/>
  <c r="K4572" i="33"/>
  <c r="K4571" i="33"/>
  <c r="K4570" i="33"/>
  <c r="O4569" i="33"/>
  <c r="O4563" i="33" s="1"/>
  <c r="K4563" i="33"/>
  <c r="K4569" i="33" s="1"/>
  <c r="P4569" i="33" s="1"/>
  <c r="R4563" i="33" s="1"/>
  <c r="O4543" i="33"/>
  <c r="O4539" i="33"/>
  <c r="O4538" i="33"/>
  <c r="O4537" i="33"/>
  <c r="K4535" i="33"/>
  <c r="O4527" i="33"/>
  <c r="O4526" i="33"/>
  <c r="O4522" i="33"/>
  <c r="K4520" i="33"/>
  <c r="K4527" i="33" s="1"/>
  <c r="P4527" i="33" s="1"/>
  <c r="O4512" i="33"/>
  <c r="O4511" i="33"/>
  <c r="O4508" i="33"/>
  <c r="O4507" i="33"/>
  <c r="O4506" i="33"/>
  <c r="O4505" i="33"/>
  <c r="O4504" i="33"/>
  <c r="K4502" i="33"/>
  <c r="K4506" i="33" s="1"/>
  <c r="P4506" i="33" s="1"/>
  <c r="O4494" i="33"/>
  <c r="O4488" i="33" s="1"/>
  <c r="K4488" i="33"/>
  <c r="K4494" i="33" s="1"/>
  <c r="P4494" i="33" s="1"/>
  <c r="R4488" i="33" s="1"/>
  <c r="O4313" i="33"/>
  <c r="O4309" i="33"/>
  <c r="O4308" i="33"/>
  <c r="O4307" i="33"/>
  <c r="K4305" i="33"/>
  <c r="O4297" i="33"/>
  <c r="N4294" i="33"/>
  <c r="H4294" i="33"/>
  <c r="O4294" i="33" s="1"/>
  <c r="N4293" i="33"/>
  <c r="H4293" i="33"/>
  <c r="O4293" i="33" s="1"/>
  <c r="N4292" i="33"/>
  <c r="H4292" i="33"/>
  <c r="N4290" i="33"/>
  <c r="H4290" i="33"/>
  <c r="N4289" i="33"/>
  <c r="H4289" i="33"/>
  <c r="O4289" i="33" s="1"/>
  <c r="N4288" i="33"/>
  <c r="H4288" i="33"/>
  <c r="K4285" i="33"/>
  <c r="K4297" i="33" s="1"/>
  <c r="P4297" i="33" s="1"/>
  <c r="O4278" i="33"/>
  <c r="O4277" i="33"/>
  <c r="O4273" i="33"/>
  <c r="O4272" i="33"/>
  <c r="O4271" i="33"/>
  <c r="O4270" i="33"/>
  <c r="K4268" i="33"/>
  <c r="N4261" i="33"/>
  <c r="H4261" i="33"/>
  <c r="O4261" i="33" s="1"/>
  <c r="N4260" i="33"/>
  <c r="H4260" i="33"/>
  <c r="O4260" i="33" s="1"/>
  <c r="K4258" i="33"/>
  <c r="K4257" i="33"/>
  <c r="N4255" i="33"/>
  <c r="H4255" i="33"/>
  <c r="N4254" i="33"/>
  <c r="H4254" i="33"/>
  <c r="N4253" i="33"/>
  <c r="H4253" i="33"/>
  <c r="N4252" i="33"/>
  <c r="H4252" i="33"/>
  <c r="K4249" i="33"/>
  <c r="O4242" i="33"/>
  <c r="O4241" i="33"/>
  <c r="O4240" i="33"/>
  <c r="N4237" i="33"/>
  <c r="H4237" i="33"/>
  <c r="N4236" i="33"/>
  <c r="H4236" i="33"/>
  <c r="N4235" i="33"/>
  <c r="H4235" i="33"/>
  <c r="N4234" i="33"/>
  <c r="H4234" i="33"/>
  <c r="O4234" i="33" s="1"/>
  <c r="N4233" i="33"/>
  <c r="H4233" i="33"/>
  <c r="O4233" i="33" s="1"/>
  <c r="N4231" i="33"/>
  <c r="H4231" i="33"/>
  <c r="O4231" i="33" s="1"/>
  <c r="N4230" i="33"/>
  <c r="H4230" i="33"/>
  <c r="O4230" i="33" s="1"/>
  <c r="N4229" i="33"/>
  <c r="H4229" i="33"/>
  <c r="O4229" i="33" s="1"/>
  <c r="N4227" i="33"/>
  <c r="H4227" i="33"/>
  <c r="N4226" i="33"/>
  <c r="H4226" i="33"/>
  <c r="N4225" i="33"/>
  <c r="H4225" i="33"/>
  <c r="O4223" i="33"/>
  <c r="O4222" i="33"/>
  <c r="O4221" i="33"/>
  <c r="K4219" i="33"/>
  <c r="K4222" i="33" s="1"/>
  <c r="P4222" i="33" s="1"/>
  <c r="O4211" i="33"/>
  <c r="N4208" i="33"/>
  <c r="H4208" i="33"/>
  <c r="N4207" i="33"/>
  <c r="H4207" i="33"/>
  <c r="O4207" i="33" s="1"/>
  <c r="N4206" i="33"/>
  <c r="H4206" i="33"/>
  <c r="O4206" i="33" s="1"/>
  <c r="N4205" i="33"/>
  <c r="H4205" i="33"/>
  <c r="O4205" i="33" s="1"/>
  <c r="N4204" i="33"/>
  <c r="H4204" i="33"/>
  <c r="O4204" i="33" s="1"/>
  <c r="N4202" i="33"/>
  <c r="H4202" i="33"/>
  <c r="O4202" i="33" s="1"/>
  <c r="N4201" i="33"/>
  <c r="H4201" i="33"/>
  <c r="O4201" i="33" s="1"/>
  <c r="N4200" i="33"/>
  <c r="H4200" i="33"/>
  <c r="N4198" i="33"/>
  <c r="H4198" i="33"/>
  <c r="O4198" i="33" s="1"/>
  <c r="N4197" i="33"/>
  <c r="H4197" i="33"/>
  <c r="O4197" i="33" s="1"/>
  <c r="N4196" i="33"/>
  <c r="H4196" i="33"/>
  <c r="O4196" i="33" s="1"/>
  <c r="O4194" i="33"/>
  <c r="O4193" i="33"/>
  <c r="K4191" i="33"/>
  <c r="K4211" i="33" s="1"/>
  <c r="O4184" i="33"/>
  <c r="O4183" i="33"/>
  <c r="O4178" i="33"/>
  <c r="O4177" i="33"/>
  <c r="O4176" i="33"/>
  <c r="O4175" i="33"/>
  <c r="K4173" i="33"/>
  <c r="K4184" i="33" s="1"/>
  <c r="O4165" i="33"/>
  <c r="O4159" i="33" s="1"/>
  <c r="K4159" i="33"/>
  <c r="K4165" i="33" s="1"/>
  <c r="O4151" i="33"/>
  <c r="O4145" i="33" s="1"/>
  <c r="K4145" i="33"/>
  <c r="K4151" i="33" s="1"/>
  <c r="O4129" i="33"/>
  <c r="O4125" i="33"/>
  <c r="O4124" i="33"/>
  <c r="O4123" i="33"/>
  <c r="K4121" i="33"/>
  <c r="O4113" i="33"/>
  <c r="N4110" i="33"/>
  <c r="H4110" i="33"/>
  <c r="O4110" i="33" s="1"/>
  <c r="N4109" i="33"/>
  <c r="H4109" i="33"/>
  <c r="N4108" i="33"/>
  <c r="H4108" i="33"/>
  <c r="N4106" i="33"/>
  <c r="H4106" i="33"/>
  <c r="O4106" i="33" s="1"/>
  <c r="N4105" i="33"/>
  <c r="H4105" i="33"/>
  <c r="N4104" i="33"/>
  <c r="H4104" i="33"/>
  <c r="O4104" i="33" s="1"/>
  <c r="K4101" i="33"/>
  <c r="K4113" i="33" s="1"/>
  <c r="O4094" i="33"/>
  <c r="O4093" i="33"/>
  <c r="O4089" i="33"/>
  <c r="O4088" i="33"/>
  <c r="O4087" i="33"/>
  <c r="O4086" i="33"/>
  <c r="K4084" i="33"/>
  <c r="K1106" i="33" s="1"/>
  <c r="P1106" i="33" s="1"/>
  <c r="N4077" i="33"/>
  <c r="H4077" i="33"/>
  <c r="N4076" i="33"/>
  <c r="H4076" i="33"/>
  <c r="K4074" i="33"/>
  <c r="K4073" i="33"/>
  <c r="N4071" i="33"/>
  <c r="H4071" i="33"/>
  <c r="N4070" i="33"/>
  <c r="H4070" i="33"/>
  <c r="O4070" i="33" s="1"/>
  <c r="N4069" i="33"/>
  <c r="H4069" i="33"/>
  <c r="O4069" i="33" s="1"/>
  <c r="N4068" i="33"/>
  <c r="H4068" i="33"/>
  <c r="K4065" i="33"/>
  <c r="O4058" i="33"/>
  <c r="N4054" i="33"/>
  <c r="H4054" i="33"/>
  <c r="O4054" i="33" s="1"/>
  <c r="N4053" i="33"/>
  <c r="H4053" i="33"/>
  <c r="O4053" i="33" s="1"/>
  <c r="N4052" i="33"/>
  <c r="H4052" i="33"/>
  <c r="O4052" i="33" s="1"/>
  <c r="N4050" i="33"/>
  <c r="H4050" i="33"/>
  <c r="N4049" i="33"/>
  <c r="H4049" i="33"/>
  <c r="N4048" i="33"/>
  <c r="H4048" i="33"/>
  <c r="O4048" i="33" s="1"/>
  <c r="O4046" i="33"/>
  <c r="K4044" i="33"/>
  <c r="K4058" i="33" s="1"/>
  <c r="O4036" i="33"/>
  <c r="O4030" i="33" s="1"/>
  <c r="K4030" i="33"/>
  <c r="K4036" i="33" s="1"/>
  <c r="P4036" i="33" s="1"/>
  <c r="R4030" i="33" s="1"/>
  <c r="O4022" i="33"/>
  <c r="O4016" i="33" s="1"/>
  <c r="K4016" i="33"/>
  <c r="K4022" i="33" s="1"/>
  <c r="O3999" i="33"/>
  <c r="O3995" i="33"/>
  <c r="O3994" i="33"/>
  <c r="O3993" i="33"/>
  <c r="K3991" i="33"/>
  <c r="K3999" i="33" s="1"/>
  <c r="P3999" i="33" s="1"/>
  <c r="O3987" i="33"/>
  <c r="O3983" i="33"/>
  <c r="O3979" i="33"/>
  <c r="O3978" i="33"/>
  <c r="K3976" i="33"/>
  <c r="K3983" i="33" s="1"/>
  <c r="P3983" i="33" s="1"/>
  <c r="O3968" i="33"/>
  <c r="N3965" i="33"/>
  <c r="H3965" i="33"/>
  <c r="O3965" i="33" s="1"/>
  <c r="N3964" i="33"/>
  <c r="H3964" i="33"/>
  <c r="O3964" i="33" s="1"/>
  <c r="N3963" i="33"/>
  <c r="H3963" i="33"/>
  <c r="O3963" i="33" s="1"/>
  <c r="N3961" i="33"/>
  <c r="H3961" i="33"/>
  <c r="O3961" i="33" s="1"/>
  <c r="N3960" i="33"/>
  <c r="H3960" i="33"/>
  <c r="O3960" i="33" s="1"/>
  <c r="N3959" i="33"/>
  <c r="H3959" i="33"/>
  <c r="K3956" i="33"/>
  <c r="K3968" i="33" s="1"/>
  <c r="P3968" i="33" s="1"/>
  <c r="O3952" i="33"/>
  <c r="O3948" i="33"/>
  <c r="K3947" i="33"/>
  <c r="K3946" i="33"/>
  <c r="O3944" i="33"/>
  <c r="O3943" i="33"/>
  <c r="O3942" i="33"/>
  <c r="K3940" i="33"/>
  <c r="K3943" i="33" s="1"/>
  <c r="P3943" i="33" s="1"/>
  <c r="O3936" i="33"/>
  <c r="O3932" i="33"/>
  <c r="O3931" i="33"/>
  <c r="O3927" i="33"/>
  <c r="K3925" i="33"/>
  <c r="K3936" i="33" s="1"/>
  <c r="P3936" i="33" s="1"/>
  <c r="O3921" i="33"/>
  <c r="O3920" i="33"/>
  <c r="O3916" i="33"/>
  <c r="O3915" i="33"/>
  <c r="K3909" i="33"/>
  <c r="K3921" i="33" s="1"/>
  <c r="P3921" i="33" s="1"/>
  <c r="O3905" i="33"/>
  <c r="O3904" i="33"/>
  <c r="O3900" i="33"/>
  <c r="O3899" i="33"/>
  <c r="K3893" i="33"/>
  <c r="K3905" i="33" s="1"/>
  <c r="P3905" i="33" s="1"/>
  <c r="O3885" i="33"/>
  <c r="O3879" i="33" s="1"/>
  <c r="K3879" i="33"/>
  <c r="K3885" i="33" s="1"/>
  <c r="P3885" i="33" s="1"/>
  <c r="R3879" i="33" s="1"/>
  <c r="O3875" i="33"/>
  <c r="O3871" i="33"/>
  <c r="K3865" i="33"/>
  <c r="K3871" i="33" s="1"/>
  <c r="P3871" i="33" s="1"/>
  <c r="O3851" i="33"/>
  <c r="O3847" i="33"/>
  <c r="O3846" i="33"/>
  <c r="O3845" i="33"/>
  <c r="K3843" i="33"/>
  <c r="K3851" i="33" s="1"/>
  <c r="O3839" i="33"/>
  <c r="O3835" i="33"/>
  <c r="O3831" i="33"/>
  <c r="O3830" i="33"/>
  <c r="K3828" i="33"/>
  <c r="K3831" i="33" s="1"/>
  <c r="O3824" i="33"/>
  <c r="O3820" i="33"/>
  <c r="K3819" i="33"/>
  <c r="K3818" i="33"/>
  <c r="O3816" i="33"/>
  <c r="O3815" i="33"/>
  <c r="O3814" i="33"/>
  <c r="K3812" i="33"/>
  <c r="K3815" i="33" s="1"/>
  <c r="P3815" i="33" s="1"/>
  <c r="O3808" i="33"/>
  <c r="O3804" i="33"/>
  <c r="O3803" i="33"/>
  <c r="O3799" i="33"/>
  <c r="K3797" i="33"/>
  <c r="O3789" i="33"/>
  <c r="O3788" i="33"/>
  <c r="O3784" i="33"/>
  <c r="K3782" i="33"/>
  <c r="O3774" i="33"/>
  <c r="O3773" i="33"/>
  <c r="O3770" i="33"/>
  <c r="O3769" i="33"/>
  <c r="O3768" i="33"/>
  <c r="O3767" i="33"/>
  <c r="O3766" i="33"/>
  <c r="K3764" i="33"/>
  <c r="K3773" i="33" s="1"/>
  <c r="O3756" i="33"/>
  <c r="O3750" i="33" s="1"/>
  <c r="K3750" i="33"/>
  <c r="K3756" i="33" s="1"/>
  <c r="P3756" i="33" s="1"/>
  <c r="R3750" i="33" s="1"/>
  <c r="O3746" i="33"/>
  <c r="O3742" i="33"/>
  <c r="K3736" i="33"/>
  <c r="K3746" i="33" s="1"/>
  <c r="P3746" i="33" s="1"/>
  <c r="O3276" i="33"/>
  <c r="O3272" i="33"/>
  <c r="O3271" i="33"/>
  <c r="O3270" i="33"/>
  <c r="K3268" i="33"/>
  <c r="N3260" i="33"/>
  <c r="H3260" i="33"/>
  <c r="O3260" i="33" s="1"/>
  <c r="N3259" i="33"/>
  <c r="H3259" i="33"/>
  <c r="N3254" i="33"/>
  <c r="H3254" i="33"/>
  <c r="O3254" i="33" s="1"/>
  <c r="N3253" i="33"/>
  <c r="H3253" i="33"/>
  <c r="O3253" i="33" s="1"/>
  <c r="N3252" i="33"/>
  <c r="H3252" i="33"/>
  <c r="N3250" i="33"/>
  <c r="H3250" i="33"/>
  <c r="O3250" i="33" s="1"/>
  <c r="N3249" i="33"/>
  <c r="H3249" i="33"/>
  <c r="N3248" i="33"/>
  <c r="H3248" i="33"/>
  <c r="N3247" i="33"/>
  <c r="H3247" i="33"/>
  <c r="O3247" i="33" s="1"/>
  <c r="N3246" i="33"/>
  <c r="H3246" i="33"/>
  <c r="O3246" i="33" s="1"/>
  <c r="O3244" i="33"/>
  <c r="K3242" i="33"/>
  <c r="N3234" i="33"/>
  <c r="H3234" i="33"/>
  <c r="O3234" i="33" s="1"/>
  <c r="N3233" i="33"/>
  <c r="H3233" i="33"/>
  <c r="O3233" i="33" s="1"/>
  <c r="N3228" i="33"/>
  <c r="H3228" i="33"/>
  <c r="N3227" i="33"/>
  <c r="H3227" i="33"/>
  <c r="O3227" i="33" s="1"/>
  <c r="N3226" i="33"/>
  <c r="H3226" i="33"/>
  <c r="O3226" i="33" s="1"/>
  <c r="N3224" i="33"/>
  <c r="H3224" i="33"/>
  <c r="N3223" i="33"/>
  <c r="H3223" i="33"/>
  <c r="N3222" i="33"/>
  <c r="H3222" i="33"/>
  <c r="N3221" i="33"/>
  <c r="H3221" i="33"/>
  <c r="O3221" i="33" s="1"/>
  <c r="N3220" i="33"/>
  <c r="H3220" i="33"/>
  <c r="O3218" i="33"/>
  <c r="O3217" i="33"/>
  <c r="K3215" i="33"/>
  <c r="O3207" i="33"/>
  <c r="N3204" i="33"/>
  <c r="H3204" i="33"/>
  <c r="O3204" i="33" s="1"/>
  <c r="N3203" i="33"/>
  <c r="H3203" i="33"/>
  <c r="O3203" i="33" s="1"/>
  <c r="N3202" i="33"/>
  <c r="H3202" i="33"/>
  <c r="N3200" i="33"/>
  <c r="H3200" i="33"/>
  <c r="O3200" i="33" s="1"/>
  <c r="N3199" i="33"/>
  <c r="H3199" i="33"/>
  <c r="O3199" i="33" s="1"/>
  <c r="N3198" i="33"/>
  <c r="H3198" i="33"/>
  <c r="O3198" i="33" s="1"/>
  <c r="K3195" i="33"/>
  <c r="O3188" i="33"/>
  <c r="O3187" i="33"/>
  <c r="N3184" i="33"/>
  <c r="H3184" i="33"/>
  <c r="O3184" i="33" s="1"/>
  <c r="N3183" i="33"/>
  <c r="H3183" i="33"/>
  <c r="N3182" i="33"/>
  <c r="H3182" i="33"/>
  <c r="N3180" i="33"/>
  <c r="H3180" i="33"/>
  <c r="O3180" i="33" s="1"/>
  <c r="N3179" i="33"/>
  <c r="H3179" i="33"/>
  <c r="O3179" i="33" s="1"/>
  <c r="N3178" i="33"/>
  <c r="H3178" i="33"/>
  <c r="N3177" i="33"/>
  <c r="H3177" i="33"/>
  <c r="O3177" i="33" s="1"/>
  <c r="O3175" i="33"/>
  <c r="K3173" i="33"/>
  <c r="O3166" i="33"/>
  <c r="O3165" i="33"/>
  <c r="O3161" i="33"/>
  <c r="O3160" i="33"/>
  <c r="O3159" i="33"/>
  <c r="O3158" i="33"/>
  <c r="K3156" i="33"/>
  <c r="N3149" i="33"/>
  <c r="H3149" i="33"/>
  <c r="N3148" i="33"/>
  <c r="H3148" i="33"/>
  <c r="O3148" i="33" s="1"/>
  <c r="K3146" i="33"/>
  <c r="K3145" i="33"/>
  <c r="N3143" i="33"/>
  <c r="H3143" i="33"/>
  <c r="N3142" i="33"/>
  <c r="H3142" i="33"/>
  <c r="N3141" i="33"/>
  <c r="H3141" i="33"/>
  <c r="O3141" i="33" s="1"/>
  <c r="N3140" i="33"/>
  <c r="H3140" i="33"/>
  <c r="O3140" i="33" s="1"/>
  <c r="K3137" i="33"/>
  <c r="O3133" i="33"/>
  <c r="O3130" i="33"/>
  <c r="O3129" i="33"/>
  <c r="O3125" i="33"/>
  <c r="O3124" i="33"/>
  <c r="O3123" i="33"/>
  <c r="O3122" i="33"/>
  <c r="O3121" i="33"/>
  <c r="O3115" i="33"/>
  <c r="O3112" i="33"/>
  <c r="O3111" i="33"/>
  <c r="O3107" i="33"/>
  <c r="O3106" i="33"/>
  <c r="K3104" i="33"/>
  <c r="O3097" i="33"/>
  <c r="O3096" i="33"/>
  <c r="O3095" i="33"/>
  <c r="N3092" i="33"/>
  <c r="H3092" i="33"/>
  <c r="O3092" i="33" s="1"/>
  <c r="N3091" i="33"/>
  <c r="H3091" i="33"/>
  <c r="O3091" i="33" s="1"/>
  <c r="N3090" i="33"/>
  <c r="H3090" i="33"/>
  <c r="O3090" i="33" s="1"/>
  <c r="N3089" i="33"/>
  <c r="H3089" i="33"/>
  <c r="O3089" i="33" s="1"/>
  <c r="N3088" i="33"/>
  <c r="H3088" i="33"/>
  <c r="O3088" i="33" s="1"/>
  <c r="N3086" i="33"/>
  <c r="H3086" i="33"/>
  <c r="O3086" i="33" s="1"/>
  <c r="N3085" i="33"/>
  <c r="H3085" i="33"/>
  <c r="O3085" i="33" s="1"/>
  <c r="N3084" i="33"/>
  <c r="H3084" i="33"/>
  <c r="O3084" i="33" s="1"/>
  <c r="N3082" i="33"/>
  <c r="H3082" i="33"/>
  <c r="O3082" i="33" s="1"/>
  <c r="N3081" i="33"/>
  <c r="H3081" i="33"/>
  <c r="O3081" i="33" s="1"/>
  <c r="N3080" i="33"/>
  <c r="H3080" i="33"/>
  <c r="O3080" i="33" s="1"/>
  <c r="O3078" i="33"/>
  <c r="O3077" i="33"/>
  <c r="K3075" i="33"/>
  <c r="O3068" i="33"/>
  <c r="O3067" i="33"/>
  <c r="O3066" i="33"/>
  <c r="N3063" i="33"/>
  <c r="H3063" i="33"/>
  <c r="O3063" i="33" s="1"/>
  <c r="N3062" i="33"/>
  <c r="H3062" i="33"/>
  <c r="O3062" i="33" s="1"/>
  <c r="N3061" i="33"/>
  <c r="H3061" i="33"/>
  <c r="O3061" i="33" s="1"/>
  <c r="N3060" i="33"/>
  <c r="H3060" i="33"/>
  <c r="O3060" i="33" s="1"/>
  <c r="N3059" i="33"/>
  <c r="H3059" i="33"/>
  <c r="O3059" i="33" s="1"/>
  <c r="N3057" i="33"/>
  <c r="H3057" i="33"/>
  <c r="O3057" i="33" s="1"/>
  <c r="N3056" i="33"/>
  <c r="H3056" i="33"/>
  <c r="N3055" i="33"/>
  <c r="H3055" i="33"/>
  <c r="N3053" i="33"/>
  <c r="H3053" i="33"/>
  <c r="O3053" i="33" s="1"/>
  <c r="N3052" i="33"/>
  <c r="H3052" i="33"/>
  <c r="N3051" i="33"/>
  <c r="H3051" i="33"/>
  <c r="O3051" i="33" s="1"/>
  <c r="O3049" i="33"/>
  <c r="O3048" i="33"/>
  <c r="K3046" i="33"/>
  <c r="O3039" i="33"/>
  <c r="O3038" i="33"/>
  <c r="O3037" i="33"/>
  <c r="N3034" i="33"/>
  <c r="H3034" i="33"/>
  <c r="O3034" i="33" s="1"/>
  <c r="N3033" i="33"/>
  <c r="H3033" i="33"/>
  <c r="O3033" i="33" s="1"/>
  <c r="N3032" i="33"/>
  <c r="H3032" i="33"/>
  <c r="O3032" i="33" s="1"/>
  <c r="N3031" i="33"/>
  <c r="H3031" i="33"/>
  <c r="O3031" i="33" s="1"/>
  <c r="N3030" i="33"/>
  <c r="H3030" i="33"/>
  <c r="O3030" i="33" s="1"/>
  <c r="N3028" i="33"/>
  <c r="H3028" i="33"/>
  <c r="N3027" i="33"/>
  <c r="H3027" i="33"/>
  <c r="O3027" i="33" s="1"/>
  <c r="N3026" i="33"/>
  <c r="H3026" i="33"/>
  <c r="O3026" i="33" s="1"/>
  <c r="N3024" i="33"/>
  <c r="H3024" i="33"/>
  <c r="O3024" i="33" s="1"/>
  <c r="N3023" i="33"/>
  <c r="H3023" i="33"/>
  <c r="O3023" i="33" s="1"/>
  <c r="N3022" i="33"/>
  <c r="H3022" i="33"/>
  <c r="O3022" i="33" s="1"/>
  <c r="O3020" i="33"/>
  <c r="O3019" i="33"/>
  <c r="O3018" i="33"/>
  <c r="K3016" i="33"/>
  <c r="O3008" i="33"/>
  <c r="N3005" i="33"/>
  <c r="H3005" i="33"/>
  <c r="N3004" i="33"/>
  <c r="H3004" i="33"/>
  <c r="O3004" i="33" s="1"/>
  <c r="N3003" i="33"/>
  <c r="H3003" i="33"/>
  <c r="N3002" i="33"/>
  <c r="H3002" i="33"/>
  <c r="N3001" i="33"/>
  <c r="H3001" i="33"/>
  <c r="N2999" i="33"/>
  <c r="H2999" i="33"/>
  <c r="O2999" i="33" s="1"/>
  <c r="N2998" i="33"/>
  <c r="H2998" i="33"/>
  <c r="O2998" i="33" s="1"/>
  <c r="N2997" i="33"/>
  <c r="H2997" i="33"/>
  <c r="O2997" i="33" s="1"/>
  <c r="N2995" i="33"/>
  <c r="H2995" i="33"/>
  <c r="O2995" i="33" s="1"/>
  <c r="N2994" i="33"/>
  <c r="H2994" i="33"/>
  <c r="O2994" i="33" s="1"/>
  <c r="N2993" i="33"/>
  <c r="H2993" i="33"/>
  <c r="O2991" i="33"/>
  <c r="O2990" i="33"/>
  <c r="K2988" i="33"/>
  <c r="O2984" i="33"/>
  <c r="O2980" i="33"/>
  <c r="O2979" i="33"/>
  <c r="N2977" i="33"/>
  <c r="H2977" i="33"/>
  <c r="O2977" i="33" s="1"/>
  <c r="N2976" i="33"/>
  <c r="H2976" i="33"/>
  <c r="O2976" i="33" s="1"/>
  <c r="N2975" i="33"/>
  <c r="H2975" i="33"/>
  <c r="O2975" i="33" s="1"/>
  <c r="N2974" i="33"/>
  <c r="H2974" i="33"/>
  <c r="O2974" i="33" s="1"/>
  <c r="N2973" i="33"/>
  <c r="H2973" i="33"/>
  <c r="O2973" i="33" s="1"/>
  <c r="O2971" i="33"/>
  <c r="O2970" i="33"/>
  <c r="O2969" i="33"/>
  <c r="K2967" i="33"/>
  <c r="O2963" i="33"/>
  <c r="O2959" i="33"/>
  <c r="O2958" i="33"/>
  <c r="N2955" i="33"/>
  <c r="H2955" i="33"/>
  <c r="N2954" i="33"/>
  <c r="H2954" i="33"/>
  <c r="N2953" i="33"/>
  <c r="H2953" i="33"/>
  <c r="O2953" i="33" s="1"/>
  <c r="N2952" i="33"/>
  <c r="H2952" i="33"/>
  <c r="N2951" i="33"/>
  <c r="H2951" i="33"/>
  <c r="O2949" i="33"/>
  <c r="O2948" i="33"/>
  <c r="K2946" i="33"/>
  <c r="O2939" i="33"/>
  <c r="O2938" i="33"/>
  <c r="O2933" i="33"/>
  <c r="O2932" i="33"/>
  <c r="O2931" i="33"/>
  <c r="O2930" i="33"/>
  <c r="K2928" i="33"/>
  <c r="K2939" i="33" s="1"/>
  <c r="O2920" i="33"/>
  <c r="O2914" i="33" s="1"/>
  <c r="K2914" i="33"/>
  <c r="K2920" i="33" s="1"/>
  <c r="O2906" i="33"/>
  <c r="O2900" i="33" s="1"/>
  <c r="K2900" i="33"/>
  <c r="K2906" i="33" s="1"/>
  <c r="O2892" i="33"/>
  <c r="O2886" i="33" s="1"/>
  <c r="K2886" i="33"/>
  <c r="K2892" i="33" s="1"/>
  <c r="O2882" i="33"/>
  <c r="O2878" i="33"/>
  <c r="K2872" i="33"/>
  <c r="K2878" i="33" s="1"/>
  <c r="P2878" i="33" s="1"/>
  <c r="O2864" i="33"/>
  <c r="O2858" i="33" s="1"/>
  <c r="K2858" i="33"/>
  <c r="K2864" i="33" s="1"/>
  <c r="P2864" i="33" s="1"/>
  <c r="R2858" i="33" s="1"/>
  <c r="O2850" i="33"/>
  <c r="O2844" i="33" s="1"/>
  <c r="K2844" i="33"/>
  <c r="K2850" i="33" s="1"/>
  <c r="P2850" i="33" s="1"/>
  <c r="R2844" i="33" s="1"/>
  <c r="O2831" i="33"/>
  <c r="O2827" i="33"/>
  <c r="O2826" i="33"/>
  <c r="O2825" i="33"/>
  <c r="K2823" i="33"/>
  <c r="K2831" i="33" s="1"/>
  <c r="O2819" i="33"/>
  <c r="O2815" i="33"/>
  <c r="O2812" i="33"/>
  <c r="O2811" i="33"/>
  <c r="K2809" i="33"/>
  <c r="K2815" i="33" s="1"/>
  <c r="N2801" i="33"/>
  <c r="H2801" i="33"/>
  <c r="N2800" i="33"/>
  <c r="H2800" i="33"/>
  <c r="N2795" i="33"/>
  <c r="H2795" i="33"/>
  <c r="O2795" i="33" s="1"/>
  <c r="N2794" i="33"/>
  <c r="H2794" i="33"/>
  <c r="N2793" i="33"/>
  <c r="H2793" i="33"/>
  <c r="O2793" i="33" s="1"/>
  <c r="N2791" i="33"/>
  <c r="H2791" i="33"/>
  <c r="N2790" i="33"/>
  <c r="H2790" i="33"/>
  <c r="N2789" i="33"/>
  <c r="H2789" i="33"/>
  <c r="O2789" i="33" s="1"/>
  <c r="N2788" i="33"/>
  <c r="H2788" i="33"/>
  <c r="N2787" i="33"/>
  <c r="H2787" i="33"/>
  <c r="O2785" i="33"/>
  <c r="K2783" i="33"/>
  <c r="N2775" i="33"/>
  <c r="H2775" i="33"/>
  <c r="N2774" i="33"/>
  <c r="H2774" i="33"/>
  <c r="N2769" i="33"/>
  <c r="H2769" i="33"/>
  <c r="O2769" i="33" s="1"/>
  <c r="N2768" i="33"/>
  <c r="H2768" i="33"/>
  <c r="O2768" i="33" s="1"/>
  <c r="N2767" i="33"/>
  <c r="H2767" i="33"/>
  <c r="O2767" i="33" s="1"/>
  <c r="N2765" i="33"/>
  <c r="H2765" i="33"/>
  <c r="O2765" i="33" s="1"/>
  <c r="N2764" i="33"/>
  <c r="H2764" i="33"/>
  <c r="O2764" i="33" s="1"/>
  <c r="N2763" i="33"/>
  <c r="H2763" i="33"/>
  <c r="N2762" i="33"/>
  <c r="H2762" i="33"/>
  <c r="N2761" i="33"/>
  <c r="H2761" i="33"/>
  <c r="O2761" i="33" s="1"/>
  <c r="O2759" i="33"/>
  <c r="O2758" i="33"/>
  <c r="K2756" i="33"/>
  <c r="O2748" i="33"/>
  <c r="N2745" i="33"/>
  <c r="H2745" i="33"/>
  <c r="O2745" i="33" s="1"/>
  <c r="N2744" i="33"/>
  <c r="H2744" i="33"/>
  <c r="O2744" i="33" s="1"/>
  <c r="N2743" i="33"/>
  <c r="H2743" i="33"/>
  <c r="O2743" i="33" s="1"/>
  <c r="N2741" i="33"/>
  <c r="H2741" i="33"/>
  <c r="O2741" i="33" s="1"/>
  <c r="N2740" i="33"/>
  <c r="H2740" i="33"/>
  <c r="N2739" i="33"/>
  <c r="H2739" i="33"/>
  <c r="K2736" i="33"/>
  <c r="K2748" i="33" s="1"/>
  <c r="P2748" i="33" s="1"/>
  <c r="O2729" i="33"/>
  <c r="O2728" i="33"/>
  <c r="N2725" i="33"/>
  <c r="H2725" i="33"/>
  <c r="O2725" i="33" s="1"/>
  <c r="N2724" i="33"/>
  <c r="H2724" i="33"/>
  <c r="O2724" i="33" s="1"/>
  <c r="N2723" i="33"/>
  <c r="H2723" i="33"/>
  <c r="O2723" i="33" s="1"/>
  <c r="N2721" i="33"/>
  <c r="H2721" i="33"/>
  <c r="N2720" i="33"/>
  <c r="H2720" i="33"/>
  <c r="N2719" i="33"/>
  <c r="H2719" i="33"/>
  <c r="O2719" i="33" s="1"/>
  <c r="N2718" i="33"/>
  <c r="H2718" i="33"/>
  <c r="O2716" i="33"/>
  <c r="K2714" i="33"/>
  <c r="K2729" i="33" s="1"/>
  <c r="N2708" i="33"/>
  <c r="H2708" i="33"/>
  <c r="O2708" i="33" s="1"/>
  <c r="N2707" i="33"/>
  <c r="H2707" i="33"/>
  <c r="O2707" i="33" s="1"/>
  <c r="K2705" i="33"/>
  <c r="K2704" i="33"/>
  <c r="N2702" i="33"/>
  <c r="H2702" i="33"/>
  <c r="N2701" i="33"/>
  <c r="H2701" i="33"/>
  <c r="O2701" i="33" s="1"/>
  <c r="N2700" i="33"/>
  <c r="H2700" i="33"/>
  <c r="N2699" i="33"/>
  <c r="H2699" i="33"/>
  <c r="K2696" i="33"/>
  <c r="O2692" i="33"/>
  <c r="O2688" i="33"/>
  <c r="K2687" i="33"/>
  <c r="K2686" i="33"/>
  <c r="O2684" i="33"/>
  <c r="O2683" i="33"/>
  <c r="O2682" i="33"/>
  <c r="K2680" i="33"/>
  <c r="K2683" i="33" s="1"/>
  <c r="O2676" i="33"/>
  <c r="N2673" i="33"/>
  <c r="H2673" i="33"/>
  <c r="O2673" i="33" s="1"/>
  <c r="N2672" i="33"/>
  <c r="H2672" i="33"/>
  <c r="O2672" i="33" s="1"/>
  <c r="K2670" i="33"/>
  <c r="K2669" i="33"/>
  <c r="O2667" i="33"/>
  <c r="K2665" i="33"/>
  <c r="K2676" i="33" s="1"/>
  <c r="P2676" i="33" s="1"/>
  <c r="O2661" i="33"/>
  <c r="N2659" i="33"/>
  <c r="H2659" i="33"/>
  <c r="O2659" i="33" s="1"/>
  <c r="N2658" i="33"/>
  <c r="H2658" i="33"/>
  <c r="K2656" i="33"/>
  <c r="K2655" i="33"/>
  <c r="N2653" i="33"/>
  <c r="H2653" i="33"/>
  <c r="O2653" i="33" s="1"/>
  <c r="N2652" i="33"/>
  <c r="H2652" i="33"/>
  <c r="O2652" i="33" s="1"/>
  <c r="N2651" i="33"/>
  <c r="H2651" i="33"/>
  <c r="O2651" i="33" s="1"/>
  <c r="N2650" i="33"/>
  <c r="H2650" i="33"/>
  <c r="O2650" i="33" s="1"/>
  <c r="K2647" i="33"/>
  <c r="O2640" i="33"/>
  <c r="O2639" i="33"/>
  <c r="O2635" i="33"/>
  <c r="O2634" i="33"/>
  <c r="O2633" i="33"/>
  <c r="O2632" i="33"/>
  <c r="K2630" i="33"/>
  <c r="K2640" i="33" s="1"/>
  <c r="O2623" i="33"/>
  <c r="O2622" i="33"/>
  <c r="O2618" i="33"/>
  <c r="O2617" i="33"/>
  <c r="K2615" i="33"/>
  <c r="K2623" i="33" s="1"/>
  <c r="P2623" i="33" s="1"/>
  <c r="O2608" i="33"/>
  <c r="O2607" i="33"/>
  <c r="O2606" i="33"/>
  <c r="N2603" i="33"/>
  <c r="H2603" i="33"/>
  <c r="N2602" i="33"/>
  <c r="H2602" i="33"/>
  <c r="O2602" i="33" s="1"/>
  <c r="N2601" i="33"/>
  <c r="H2601" i="33"/>
  <c r="N2600" i="33"/>
  <c r="H2600" i="33"/>
  <c r="N2599" i="33"/>
  <c r="H2599" i="33"/>
  <c r="N2597" i="33"/>
  <c r="H2597" i="33"/>
  <c r="O2597" i="33" s="1"/>
  <c r="N2596" i="33"/>
  <c r="H2596" i="33"/>
  <c r="O2596" i="33" s="1"/>
  <c r="N2595" i="33"/>
  <c r="H2595" i="33"/>
  <c r="O2595" i="33" s="1"/>
  <c r="N2593" i="33"/>
  <c r="H2593" i="33"/>
  <c r="O2593" i="33" s="1"/>
  <c r="N2592" i="33"/>
  <c r="H2592" i="33"/>
  <c r="N2591" i="33"/>
  <c r="H2591" i="33"/>
  <c r="O2589" i="33"/>
  <c r="O2588" i="33"/>
  <c r="K2586" i="33"/>
  <c r="K2589" i="33" s="1"/>
  <c r="P2589" i="33" s="1"/>
  <c r="L2582" i="33"/>
  <c r="O2579" i="33"/>
  <c r="O2578" i="33"/>
  <c r="O2577" i="33"/>
  <c r="N2574" i="33"/>
  <c r="H2574" i="33"/>
  <c r="O2574" i="33" s="1"/>
  <c r="N2573" i="33"/>
  <c r="H2573" i="33"/>
  <c r="O2573" i="33" s="1"/>
  <c r="N2572" i="33"/>
  <c r="H2572" i="33"/>
  <c r="O2572" i="33" s="1"/>
  <c r="N2571" i="33"/>
  <c r="H2571" i="33"/>
  <c r="O2571" i="33" s="1"/>
  <c r="N2570" i="33"/>
  <c r="H2570" i="33"/>
  <c r="O2570" i="33" s="1"/>
  <c r="N2568" i="33"/>
  <c r="H2568" i="33"/>
  <c r="O2568" i="33" s="1"/>
  <c r="N2567" i="33"/>
  <c r="H2567" i="33"/>
  <c r="N2566" i="33"/>
  <c r="H2566" i="33"/>
  <c r="N2564" i="33"/>
  <c r="H2564" i="33"/>
  <c r="O2564" i="33" s="1"/>
  <c r="N2563" i="33"/>
  <c r="H2563" i="33"/>
  <c r="O2563" i="33" s="1"/>
  <c r="N2562" i="33"/>
  <c r="H2562" i="33"/>
  <c r="O2562" i="33" s="1"/>
  <c r="O2560" i="33"/>
  <c r="O2559" i="33"/>
  <c r="K2557" i="33"/>
  <c r="O2550" i="33"/>
  <c r="O2549" i="33"/>
  <c r="O2548" i="33"/>
  <c r="N2545" i="33"/>
  <c r="H2545" i="33"/>
  <c r="N2544" i="33"/>
  <c r="H2544" i="33"/>
  <c r="N2543" i="33"/>
  <c r="H2543" i="33"/>
  <c r="O2543" i="33" s="1"/>
  <c r="N2542" i="33"/>
  <c r="H2542" i="33"/>
  <c r="N2541" i="33"/>
  <c r="H2541" i="33"/>
  <c r="N2539" i="33"/>
  <c r="H2539" i="33"/>
  <c r="O2539" i="33" s="1"/>
  <c r="N2538" i="33"/>
  <c r="H2538" i="33"/>
  <c r="O2538" i="33" s="1"/>
  <c r="N2537" i="33"/>
  <c r="H2537" i="33"/>
  <c r="O2537" i="33" s="1"/>
  <c r="N2535" i="33"/>
  <c r="H2535" i="33"/>
  <c r="N2534" i="33"/>
  <c r="H2534" i="33"/>
  <c r="N2533" i="33"/>
  <c r="H2533" i="33"/>
  <c r="O2531" i="33"/>
  <c r="O2530" i="33"/>
  <c r="O2529" i="33"/>
  <c r="K2527" i="33"/>
  <c r="K2531" i="33" s="1"/>
  <c r="P2531" i="33" s="1"/>
  <c r="O2519" i="33"/>
  <c r="N2516" i="33"/>
  <c r="H2516" i="33"/>
  <c r="O2516" i="33" s="1"/>
  <c r="N2515" i="33"/>
  <c r="H2515" i="33"/>
  <c r="O2515" i="33" s="1"/>
  <c r="N2514" i="33"/>
  <c r="H2514" i="33"/>
  <c r="O2514" i="33" s="1"/>
  <c r="N2513" i="33"/>
  <c r="H2513" i="33"/>
  <c r="N2512" i="33"/>
  <c r="H2512" i="33"/>
  <c r="O2512" i="33" s="1"/>
  <c r="N2510" i="33"/>
  <c r="H2510" i="33"/>
  <c r="O2510" i="33" s="1"/>
  <c r="N2509" i="33"/>
  <c r="H2509" i="33"/>
  <c r="N2508" i="33"/>
  <c r="H2508" i="33"/>
  <c r="O2508" i="33" s="1"/>
  <c r="N2506" i="33"/>
  <c r="H2506" i="33"/>
  <c r="O2506" i="33" s="1"/>
  <c r="N2505" i="33"/>
  <c r="H2505" i="33"/>
  <c r="O2505" i="33" s="1"/>
  <c r="N2504" i="33"/>
  <c r="H2504" i="33"/>
  <c r="O2504" i="33" s="1"/>
  <c r="O2502" i="33"/>
  <c r="O2501" i="33"/>
  <c r="K2499" i="33"/>
  <c r="K2519" i="33" s="1"/>
  <c r="O2495" i="33"/>
  <c r="O2491" i="33"/>
  <c r="O2490" i="33"/>
  <c r="N2487" i="33"/>
  <c r="H2487" i="33"/>
  <c r="O2487" i="33" s="1"/>
  <c r="N2486" i="33"/>
  <c r="H2486" i="33"/>
  <c r="O2486" i="33" s="1"/>
  <c r="N2485" i="33"/>
  <c r="H2485" i="33"/>
  <c r="N2484" i="33"/>
  <c r="H2484" i="33"/>
  <c r="O2484" i="33" s="1"/>
  <c r="N2483" i="33"/>
  <c r="H2483" i="33"/>
  <c r="O2483" i="33" s="1"/>
  <c r="O2481" i="33"/>
  <c r="O2480" i="33"/>
  <c r="O2479" i="33"/>
  <c r="K2477" i="33"/>
  <c r="K2480" i="33" s="1"/>
  <c r="P2480" i="33" s="1"/>
  <c r="O2473" i="33"/>
  <c r="O2469" i="33"/>
  <c r="O2468" i="33"/>
  <c r="N2465" i="33"/>
  <c r="H2465" i="33"/>
  <c r="O2465" i="33" s="1"/>
  <c r="N2464" i="33"/>
  <c r="H2464" i="33"/>
  <c r="O2464" i="33" s="1"/>
  <c r="N2463" i="33"/>
  <c r="H2463" i="33"/>
  <c r="O2463" i="33" s="1"/>
  <c r="N2462" i="33"/>
  <c r="H2462" i="33"/>
  <c r="O2462" i="33" s="1"/>
  <c r="N2461" i="33"/>
  <c r="H2461" i="33"/>
  <c r="O2461" i="33" s="1"/>
  <c r="O2459" i="33"/>
  <c r="O2458" i="33"/>
  <c r="K2456" i="33"/>
  <c r="O2449" i="33"/>
  <c r="O2448" i="33"/>
  <c r="O2443" i="33"/>
  <c r="O2442" i="33"/>
  <c r="O2441" i="33"/>
  <c r="O2440" i="33"/>
  <c r="K2438" i="33"/>
  <c r="K2449" i="33" s="1"/>
  <c r="O2430" i="33"/>
  <c r="O2424" i="33" s="1"/>
  <c r="K2424" i="33"/>
  <c r="K2430" i="33" s="1"/>
  <c r="P2430" i="33" s="1"/>
  <c r="R2424" i="33" s="1"/>
  <c r="O2416" i="33"/>
  <c r="O2410" i="33" s="1"/>
  <c r="K2410" i="33"/>
  <c r="K2416" i="33" s="1"/>
  <c r="P2416" i="33" s="1"/>
  <c r="R2410" i="33" s="1"/>
  <c r="O2402" i="33"/>
  <c r="O2396" i="33" s="1"/>
  <c r="K2396" i="33"/>
  <c r="K2402" i="33" s="1"/>
  <c r="P2402" i="33" s="1"/>
  <c r="R2396" i="33" s="1"/>
  <c r="O2392" i="33"/>
  <c r="O2388" i="33"/>
  <c r="K2382" i="33"/>
  <c r="K3327" i="33" s="1"/>
  <c r="P3327" i="33" s="1"/>
  <c r="O2374" i="33"/>
  <c r="O2368" i="33" s="1"/>
  <c r="K2368" i="33"/>
  <c r="K2374" i="33" s="1"/>
  <c r="P2374" i="33" s="1"/>
  <c r="R2368" i="33" s="1"/>
  <c r="O2360" i="33"/>
  <c r="O2354" i="33" s="1"/>
  <c r="K2354" i="33"/>
  <c r="Q2352" i="33" s="1"/>
  <c r="O2341" i="33"/>
  <c r="O2336" i="33"/>
  <c r="O2335" i="33"/>
  <c r="O2334" i="33"/>
  <c r="K2332" i="33"/>
  <c r="O2328" i="33"/>
  <c r="O2324" i="33"/>
  <c r="K2318" i="33"/>
  <c r="K2324" i="33" s="1"/>
  <c r="O2314" i="33"/>
  <c r="O2310" i="33"/>
  <c r="O2306" i="33"/>
  <c r="O2305" i="33"/>
  <c r="K2303" i="33"/>
  <c r="K2314" i="33" s="1"/>
  <c r="O2295" i="33"/>
  <c r="N2292" i="33"/>
  <c r="H2292" i="33"/>
  <c r="O2292" i="33" s="1"/>
  <c r="N2291" i="33"/>
  <c r="H2291" i="33"/>
  <c r="O2291" i="33" s="1"/>
  <c r="N2290" i="33"/>
  <c r="H2290" i="33"/>
  <c r="N2288" i="33"/>
  <c r="H2288" i="33"/>
  <c r="O2288" i="33" s="1"/>
  <c r="N2287" i="33"/>
  <c r="H2287" i="33"/>
  <c r="O2287" i="33" s="1"/>
  <c r="N2286" i="33"/>
  <c r="H2286" i="33"/>
  <c r="K2283" i="33"/>
  <c r="K2295" i="33" s="1"/>
  <c r="O2276" i="33"/>
  <c r="O2275" i="33"/>
  <c r="O2271" i="33"/>
  <c r="O2270" i="33"/>
  <c r="O2269" i="33"/>
  <c r="O2268" i="33"/>
  <c r="K2266" i="33"/>
  <c r="K2269" i="33" s="1"/>
  <c r="O2262" i="33"/>
  <c r="N2259" i="33"/>
  <c r="H2259" i="33"/>
  <c r="N2258" i="33"/>
  <c r="H2258" i="33"/>
  <c r="O2258" i="33" s="1"/>
  <c r="K2256" i="33"/>
  <c r="K2255" i="33"/>
  <c r="N2253" i="33"/>
  <c r="H2253" i="33"/>
  <c r="O2253" i="33" s="1"/>
  <c r="N2252" i="33"/>
  <c r="H2252" i="33"/>
  <c r="O2252" i="33" s="1"/>
  <c r="N2251" i="33"/>
  <c r="H2251" i="33"/>
  <c r="O2251" i="33" s="1"/>
  <c r="N2250" i="33"/>
  <c r="H2250" i="33"/>
  <c r="O2250" i="33" s="1"/>
  <c r="C2249" i="33"/>
  <c r="K2247" i="33"/>
  <c r="N2240" i="33"/>
  <c r="H2240" i="33"/>
  <c r="N2239" i="33"/>
  <c r="H2239" i="33"/>
  <c r="O2239" i="33" s="1"/>
  <c r="K2237" i="33"/>
  <c r="K2236" i="33"/>
  <c r="N2234" i="33"/>
  <c r="H2234" i="33"/>
  <c r="O2234" i="33" s="1"/>
  <c r="N2233" i="33"/>
  <c r="H2233" i="33"/>
  <c r="O2233" i="33" s="1"/>
  <c r="N2232" i="33"/>
  <c r="H2232" i="33"/>
  <c r="O2232" i="33" s="1"/>
  <c r="N2231" i="33"/>
  <c r="H2231" i="33"/>
  <c r="O2231" i="33" s="1"/>
  <c r="N2230" i="33"/>
  <c r="H2230" i="33"/>
  <c r="O2230" i="33" s="1"/>
  <c r="K2227" i="33"/>
  <c r="N2220" i="33"/>
  <c r="H2220" i="33"/>
  <c r="N2219" i="33"/>
  <c r="H2219" i="33"/>
  <c r="O2219" i="33" s="1"/>
  <c r="K2217" i="33"/>
  <c r="K2216" i="33"/>
  <c r="N2214" i="33"/>
  <c r="H2214" i="33"/>
  <c r="N2213" i="33"/>
  <c r="H2213" i="33"/>
  <c r="O2213" i="33" s="1"/>
  <c r="N2212" i="33"/>
  <c r="H2212" i="33"/>
  <c r="O2212" i="33" s="1"/>
  <c r="N2211" i="33"/>
  <c r="H2211" i="33"/>
  <c r="K2208" i="33"/>
  <c r="O2201" i="33"/>
  <c r="O2200" i="33"/>
  <c r="O2199" i="33"/>
  <c r="N2196" i="33"/>
  <c r="H2196" i="33"/>
  <c r="N2195" i="33"/>
  <c r="H2195" i="33"/>
  <c r="N2194" i="33"/>
  <c r="H2194" i="33"/>
  <c r="O2194" i="33" s="1"/>
  <c r="N2193" i="33"/>
  <c r="H2193" i="33"/>
  <c r="N2192" i="33"/>
  <c r="H2192" i="33"/>
  <c r="N2190" i="33"/>
  <c r="H2190" i="33"/>
  <c r="N2189" i="33"/>
  <c r="H2189" i="33"/>
  <c r="O2189" i="33" s="1"/>
  <c r="N2188" i="33"/>
  <c r="H2188" i="33"/>
  <c r="O2188" i="33" s="1"/>
  <c r="N2186" i="33"/>
  <c r="H2186" i="33"/>
  <c r="N2185" i="33"/>
  <c r="H2185" i="33"/>
  <c r="N2184" i="33"/>
  <c r="H2184" i="33"/>
  <c r="O2182" i="33"/>
  <c r="O2181" i="33"/>
  <c r="K2179" i="33"/>
  <c r="K2182" i="33" s="1"/>
  <c r="P2182" i="33" s="1"/>
  <c r="O2172" i="33"/>
  <c r="O2171" i="33"/>
  <c r="O2170" i="33"/>
  <c r="N2167" i="33"/>
  <c r="H2167" i="33"/>
  <c r="O2167" i="33" s="1"/>
  <c r="N2166" i="33"/>
  <c r="H2166" i="33"/>
  <c r="N2165" i="33"/>
  <c r="H2165" i="33"/>
  <c r="N2164" i="33"/>
  <c r="H2164" i="33"/>
  <c r="O2164" i="33" s="1"/>
  <c r="N2163" i="33"/>
  <c r="H2163" i="33"/>
  <c r="X2161" i="33"/>
  <c r="N2161" i="33"/>
  <c r="H2161" i="33"/>
  <c r="O2161" i="33" s="1"/>
  <c r="X2160" i="33"/>
  <c r="N2160" i="33"/>
  <c r="H2160" i="33"/>
  <c r="O2160" i="33" s="1"/>
  <c r="X2159" i="33"/>
  <c r="N2159" i="33"/>
  <c r="H2159" i="33"/>
  <c r="O2159" i="33" s="1"/>
  <c r="X2158" i="33"/>
  <c r="X2157" i="33"/>
  <c r="N2157" i="33"/>
  <c r="H2157" i="33"/>
  <c r="O2157" i="33" s="1"/>
  <c r="X2156" i="33"/>
  <c r="N2156" i="33"/>
  <c r="H2156" i="33"/>
  <c r="O2156" i="33" s="1"/>
  <c r="X2155" i="33"/>
  <c r="N2155" i="33"/>
  <c r="H2155" i="33"/>
  <c r="O2155" i="33" s="1"/>
  <c r="X2154" i="33"/>
  <c r="O2153" i="33"/>
  <c r="O2152" i="33"/>
  <c r="K2150" i="33"/>
  <c r="K2201" i="33" s="1"/>
  <c r="P2201" i="33" s="1"/>
  <c r="O2143" i="33"/>
  <c r="O2142" i="33"/>
  <c r="O2141" i="33"/>
  <c r="N2138" i="33"/>
  <c r="H2138" i="33"/>
  <c r="O2138" i="33" s="1"/>
  <c r="N2137" i="33"/>
  <c r="H2137" i="33"/>
  <c r="O2137" i="33" s="1"/>
  <c r="N2136" i="33"/>
  <c r="H2136" i="33"/>
  <c r="O2136" i="33" s="1"/>
  <c r="N2135" i="33"/>
  <c r="H2135" i="33"/>
  <c r="O2135" i="33" s="1"/>
  <c r="N2134" i="33"/>
  <c r="H2134" i="33"/>
  <c r="O2134" i="33" s="1"/>
  <c r="N2132" i="33"/>
  <c r="H2132" i="33"/>
  <c r="O2132" i="33" s="1"/>
  <c r="N2131" i="33"/>
  <c r="H2131" i="33"/>
  <c r="N2130" i="33"/>
  <c r="H2130" i="33"/>
  <c r="N2128" i="33"/>
  <c r="H2128" i="33"/>
  <c r="O2128" i="33" s="1"/>
  <c r="N2127" i="33"/>
  <c r="H2127" i="33"/>
  <c r="O2127" i="33" s="1"/>
  <c r="N2126" i="33"/>
  <c r="H2126" i="33"/>
  <c r="O2126" i="33" s="1"/>
  <c r="O2124" i="33"/>
  <c r="O2123" i="33"/>
  <c r="O2122" i="33"/>
  <c r="K2120" i="33"/>
  <c r="K2142" i="33" s="1"/>
  <c r="P2142" i="33" s="1"/>
  <c r="O2112" i="33"/>
  <c r="N2109" i="33"/>
  <c r="H2109" i="33"/>
  <c r="O2109" i="33" s="1"/>
  <c r="N2108" i="33"/>
  <c r="H2108" i="33"/>
  <c r="O2108" i="33" s="1"/>
  <c r="N2107" i="33"/>
  <c r="H2107" i="33"/>
  <c r="N2106" i="33"/>
  <c r="H2106" i="33"/>
  <c r="N2105" i="33"/>
  <c r="H2105" i="33"/>
  <c r="O2105" i="33" s="1"/>
  <c r="N2103" i="33"/>
  <c r="H2103" i="33"/>
  <c r="O2103" i="33" s="1"/>
  <c r="N2102" i="33"/>
  <c r="H2102" i="33"/>
  <c r="O2102" i="33" s="1"/>
  <c r="N2101" i="33"/>
  <c r="H2101" i="33"/>
  <c r="O2101" i="33" s="1"/>
  <c r="N2099" i="33"/>
  <c r="H2099" i="33"/>
  <c r="N2098" i="33"/>
  <c r="H2098" i="33"/>
  <c r="N2097" i="33"/>
  <c r="H2097" i="33"/>
  <c r="O2095" i="33"/>
  <c r="O2094" i="33"/>
  <c r="K2092" i="33"/>
  <c r="K2094" i="33" s="1"/>
  <c r="P2094" i="33" s="1"/>
  <c r="O2088" i="33"/>
  <c r="O2084" i="33"/>
  <c r="O2083" i="33"/>
  <c r="N2080" i="33"/>
  <c r="H2080" i="33"/>
  <c r="O2080" i="33" s="1"/>
  <c r="N2079" i="33"/>
  <c r="H2079" i="33"/>
  <c r="O2079" i="33" s="1"/>
  <c r="N2078" i="33"/>
  <c r="H2078" i="33"/>
  <c r="O2078" i="33" s="1"/>
  <c r="N2077" i="33"/>
  <c r="H2077" i="33"/>
  <c r="O2077" i="33" s="1"/>
  <c r="N2076" i="33"/>
  <c r="H2076" i="33"/>
  <c r="O2076" i="33" s="1"/>
  <c r="O2074" i="33"/>
  <c r="O2073" i="33"/>
  <c r="O2072" i="33"/>
  <c r="K2070" i="33"/>
  <c r="K2495" i="33" s="1"/>
  <c r="O2066" i="33"/>
  <c r="O2062" i="33"/>
  <c r="O2061" i="33"/>
  <c r="N2058" i="33"/>
  <c r="H2058" i="33"/>
  <c r="O2058" i="33" s="1"/>
  <c r="N2057" i="33"/>
  <c r="H2057" i="33"/>
  <c r="O2057" i="33" s="1"/>
  <c r="N2056" i="33"/>
  <c r="H2056" i="33"/>
  <c r="N2055" i="33"/>
  <c r="H2055" i="33"/>
  <c r="N2054" i="33"/>
  <c r="H2054" i="33"/>
  <c r="O2054" i="33" s="1"/>
  <c r="O2052" i="33"/>
  <c r="O2051" i="33"/>
  <c r="K2049" i="33"/>
  <c r="O2042" i="33"/>
  <c r="O2041" i="33"/>
  <c r="O2036" i="33"/>
  <c r="O2035" i="33"/>
  <c r="O2034" i="33"/>
  <c r="O2033" i="33"/>
  <c r="K2031" i="33"/>
  <c r="K2042" i="33" s="1"/>
  <c r="P2042" i="33" s="1"/>
  <c r="O2023" i="33"/>
  <c r="O2017" i="33" s="1"/>
  <c r="K2017" i="33"/>
  <c r="K2023" i="33" s="1"/>
  <c r="O2009" i="33"/>
  <c r="O2003" i="33" s="1"/>
  <c r="K2003" i="33"/>
  <c r="K2009" i="33" s="1"/>
  <c r="O1999" i="33"/>
  <c r="O1995" i="33"/>
  <c r="K1989" i="33"/>
  <c r="K1999" i="33" s="1"/>
  <c r="O1974" i="33"/>
  <c r="O1970" i="33"/>
  <c r="O1969" i="33"/>
  <c r="O1968" i="33"/>
  <c r="K1966" i="33"/>
  <c r="K1970" i="33" s="1"/>
  <c r="P1970" i="33" s="1"/>
  <c r="O1962" i="33"/>
  <c r="O1958" i="33"/>
  <c r="O1954" i="33"/>
  <c r="O1953" i="33"/>
  <c r="K1951" i="33"/>
  <c r="K1962" i="33" s="1"/>
  <c r="O1943" i="33"/>
  <c r="N1940" i="33"/>
  <c r="H1940" i="33"/>
  <c r="N1939" i="33"/>
  <c r="H1939" i="33"/>
  <c r="O1939" i="33" s="1"/>
  <c r="N1938" i="33"/>
  <c r="H1938" i="33"/>
  <c r="O1938" i="33" s="1"/>
  <c r="N1936" i="33"/>
  <c r="H1936" i="33"/>
  <c r="N1935" i="33"/>
  <c r="H1935" i="33"/>
  <c r="N1934" i="33"/>
  <c r="H1934" i="33"/>
  <c r="O1934" i="33" s="1"/>
  <c r="K1931" i="33"/>
  <c r="O1924" i="33"/>
  <c r="O1923" i="33"/>
  <c r="O1919" i="33"/>
  <c r="O1918" i="33"/>
  <c r="O1917" i="33"/>
  <c r="O1916" i="33"/>
  <c r="K1914" i="33"/>
  <c r="K1924" i="33" s="1"/>
  <c r="P1924" i="33" s="1"/>
  <c r="N1908" i="33"/>
  <c r="H1908" i="33"/>
  <c r="N1907" i="33"/>
  <c r="H1907" i="33"/>
  <c r="K1905" i="33"/>
  <c r="K1904" i="33"/>
  <c r="N1902" i="33"/>
  <c r="H1902" i="33"/>
  <c r="O1902" i="33" s="1"/>
  <c r="N1901" i="33"/>
  <c r="H1901" i="33"/>
  <c r="O1901" i="33" s="1"/>
  <c r="N1900" i="33"/>
  <c r="H1900" i="33"/>
  <c r="O1900" i="33" s="1"/>
  <c r="N1899" i="33"/>
  <c r="H1899" i="33"/>
  <c r="O1899" i="33" s="1"/>
  <c r="N1898" i="33"/>
  <c r="H1898" i="33"/>
  <c r="O1898" i="33" s="1"/>
  <c r="K1895" i="33"/>
  <c r="N1889" i="33"/>
  <c r="H1889" i="33"/>
  <c r="O1889" i="33" s="1"/>
  <c r="N1888" i="33"/>
  <c r="H1888" i="33"/>
  <c r="O1888" i="33" s="1"/>
  <c r="K1886" i="33"/>
  <c r="N1883" i="33"/>
  <c r="H1883" i="33"/>
  <c r="N1882" i="33"/>
  <c r="H1882" i="33"/>
  <c r="N1881" i="33"/>
  <c r="H1881" i="33"/>
  <c r="N1880" i="33"/>
  <c r="H1880" i="33"/>
  <c r="K1877" i="33"/>
  <c r="O1870" i="33"/>
  <c r="N1866" i="33"/>
  <c r="H1866" i="33"/>
  <c r="O1866" i="33" s="1"/>
  <c r="N1865" i="33"/>
  <c r="H1865" i="33"/>
  <c r="N1864" i="33"/>
  <c r="H1864" i="33"/>
  <c r="O1864" i="33" s="1"/>
  <c r="N1862" i="33"/>
  <c r="H1862" i="33"/>
  <c r="N1861" i="33"/>
  <c r="H1861" i="33"/>
  <c r="N1860" i="33"/>
  <c r="H1860" i="33"/>
  <c r="O1858" i="33"/>
  <c r="K1856" i="33"/>
  <c r="K1858" i="33" s="1"/>
  <c r="O1852" i="33"/>
  <c r="O1848" i="33"/>
  <c r="O1847" i="33"/>
  <c r="N1844" i="33"/>
  <c r="H1844" i="33"/>
  <c r="O1844" i="33" s="1"/>
  <c r="N1843" i="33"/>
  <c r="H1843" i="33"/>
  <c r="O1843" i="33" s="1"/>
  <c r="N1842" i="33"/>
  <c r="H1842" i="33"/>
  <c r="N1841" i="33"/>
  <c r="H1841" i="33"/>
  <c r="O1841" i="33" s="1"/>
  <c r="N1840" i="33"/>
  <c r="H1840" i="33"/>
  <c r="O1840" i="33" s="1"/>
  <c r="O1838" i="33"/>
  <c r="K1836" i="33"/>
  <c r="O1828" i="33"/>
  <c r="K1822" i="33"/>
  <c r="K1828" i="33" s="1"/>
  <c r="O1814" i="33"/>
  <c r="K1808" i="33"/>
  <c r="K1814" i="33" s="1"/>
  <c r="O1804" i="33"/>
  <c r="O1801" i="33"/>
  <c r="K1795" i="33"/>
  <c r="K1804" i="33" s="1"/>
  <c r="O1778" i="33"/>
  <c r="O1774" i="33"/>
  <c r="O1773" i="33"/>
  <c r="O1772" i="33"/>
  <c r="K1770" i="33"/>
  <c r="K1778" i="33" s="1"/>
  <c r="O1762" i="33"/>
  <c r="O1759" i="33"/>
  <c r="O1758" i="33"/>
  <c r="O1757" i="33"/>
  <c r="O1756" i="33"/>
  <c r="O1755" i="33"/>
  <c r="O1754" i="33"/>
  <c r="O1753" i="33"/>
  <c r="O1752" i="33"/>
  <c r="O1751" i="33"/>
  <c r="O1750" i="33"/>
  <c r="K1748" i="33"/>
  <c r="K1759" i="33" s="1"/>
  <c r="O1741" i="33"/>
  <c r="O1740" i="33"/>
  <c r="N1736" i="33"/>
  <c r="H1736" i="33"/>
  <c r="N1735" i="33"/>
  <c r="H1735" i="33"/>
  <c r="N1734" i="33"/>
  <c r="H1734" i="33"/>
  <c r="N1732" i="33"/>
  <c r="H1732" i="33"/>
  <c r="O1732" i="33" s="1"/>
  <c r="N1731" i="33"/>
  <c r="H1731" i="33"/>
  <c r="O1731" i="33" s="1"/>
  <c r="N1730" i="33"/>
  <c r="H1730" i="33"/>
  <c r="N1729" i="33"/>
  <c r="H1729" i="33"/>
  <c r="O1729" i="33" s="1"/>
  <c r="O1727" i="33"/>
  <c r="K1725" i="33"/>
  <c r="K1740" i="33" s="1"/>
  <c r="O1717" i="33"/>
  <c r="O1713" i="33"/>
  <c r="O1712" i="33"/>
  <c r="K1710" i="33"/>
  <c r="K1713" i="33" s="1"/>
  <c r="O1703" i="33"/>
  <c r="O1702" i="33"/>
  <c r="O1698" i="33"/>
  <c r="O1697" i="33"/>
  <c r="O1696" i="33"/>
  <c r="O1695" i="33"/>
  <c r="K1693" i="33"/>
  <c r="K1703" i="33" s="1"/>
  <c r="N1687" i="33"/>
  <c r="H1687" i="33"/>
  <c r="O1687" i="33" s="1"/>
  <c r="N1686" i="33"/>
  <c r="H1686" i="33"/>
  <c r="O1686" i="33" s="1"/>
  <c r="K1684" i="33"/>
  <c r="K1683" i="33"/>
  <c r="N1681" i="33"/>
  <c r="H1681" i="33"/>
  <c r="N1680" i="33"/>
  <c r="H1680" i="33"/>
  <c r="O1680" i="33" s="1"/>
  <c r="N1679" i="33"/>
  <c r="H1679" i="33"/>
  <c r="N1678" i="33"/>
  <c r="H1678" i="33"/>
  <c r="K1675" i="33"/>
  <c r="N1668" i="33"/>
  <c r="H1668" i="33"/>
  <c r="N1667" i="33"/>
  <c r="H1667" i="33"/>
  <c r="O1662" i="33"/>
  <c r="K1660" i="33"/>
  <c r="K1662" i="33" s="1"/>
  <c r="O1653" i="33"/>
  <c r="O1652" i="33"/>
  <c r="N1649" i="33"/>
  <c r="H1649" i="33"/>
  <c r="O1649" i="33" s="1"/>
  <c r="N1648" i="33"/>
  <c r="H1648" i="33"/>
  <c r="O1648" i="33" s="1"/>
  <c r="N1647" i="33"/>
  <c r="H1647" i="33"/>
  <c r="O1647" i="33" s="1"/>
  <c r="N1646" i="33"/>
  <c r="H1646" i="33"/>
  <c r="N1645" i="33"/>
  <c r="H1645" i="33"/>
  <c r="O1645" i="33" s="1"/>
  <c r="O1643" i="33"/>
  <c r="K1641" i="33"/>
  <c r="K1653" i="33" s="1"/>
  <c r="P1653" i="33" s="1"/>
  <c r="O1633" i="33"/>
  <c r="O1632" i="33"/>
  <c r="N1628" i="33"/>
  <c r="H1628" i="33"/>
  <c r="O1628" i="33" s="1"/>
  <c r="N1627" i="33"/>
  <c r="H1627" i="33"/>
  <c r="O1627" i="33" s="1"/>
  <c r="N1626" i="33"/>
  <c r="H1626" i="33"/>
  <c r="N1625" i="33"/>
  <c r="H1625" i="33"/>
  <c r="N1624" i="33"/>
  <c r="H1624" i="33"/>
  <c r="O1624" i="33" s="1"/>
  <c r="O1622" i="33"/>
  <c r="K1620" i="33"/>
  <c r="O1612" i="33"/>
  <c r="O1606" i="33" s="1"/>
  <c r="K1606" i="33"/>
  <c r="K1612" i="33" s="1"/>
  <c r="P1612" i="33" s="1"/>
  <c r="R1606" i="33" s="1"/>
  <c r="O1598" i="33"/>
  <c r="O1592" i="33" s="1"/>
  <c r="K1592" i="33"/>
  <c r="K1598" i="33" s="1"/>
  <c r="O1584" i="33"/>
  <c r="O1578" i="33" s="1"/>
  <c r="K1578" i="33"/>
  <c r="K1584" i="33" s="1"/>
  <c r="O1570" i="33"/>
  <c r="O1564" i="33" s="1"/>
  <c r="K1564" i="33"/>
  <c r="K1570" i="33" s="1"/>
  <c r="K1559" i="33"/>
  <c r="K1558" i="33"/>
  <c r="K1556" i="33"/>
  <c r="O1555" i="33"/>
  <c r="O1549" i="33" s="1"/>
  <c r="K1549" i="33"/>
  <c r="K1555" i="33" s="1"/>
  <c r="P1555" i="33" s="1"/>
  <c r="R1549" i="33" s="1"/>
  <c r="O1535" i="33"/>
  <c r="O1529" i="33"/>
  <c r="O1528" i="33"/>
  <c r="O1527" i="33"/>
  <c r="K1525" i="33"/>
  <c r="K1535" i="33" s="1"/>
  <c r="O1517" i="33"/>
  <c r="N1514" i="33"/>
  <c r="H1514" i="33"/>
  <c r="O1514" i="33" s="1"/>
  <c r="N1513" i="33"/>
  <c r="H1513" i="33"/>
  <c r="O1513" i="33" s="1"/>
  <c r="N1512" i="33"/>
  <c r="H1512" i="33"/>
  <c r="O1512" i="33" s="1"/>
  <c r="N1510" i="33"/>
  <c r="H1510" i="33"/>
  <c r="O1510" i="33" s="1"/>
  <c r="N1509" i="33"/>
  <c r="H1509" i="33"/>
  <c r="O1509" i="33" s="1"/>
  <c r="N1508" i="33"/>
  <c r="H1508" i="33"/>
  <c r="O1508" i="33" s="1"/>
  <c r="K1505" i="33"/>
  <c r="K1517" i="33" s="1"/>
  <c r="P1517" i="33" s="1"/>
  <c r="O1498" i="33"/>
  <c r="O1497" i="33"/>
  <c r="O1494" i="33"/>
  <c r="O1493" i="33"/>
  <c r="O1492" i="33"/>
  <c r="O1491" i="33"/>
  <c r="K1489" i="33"/>
  <c r="K1497" i="33" s="1"/>
  <c r="P1497" i="33" s="1"/>
  <c r="N1482" i="33"/>
  <c r="H1482" i="33"/>
  <c r="O1482" i="33" s="1"/>
  <c r="N1481" i="33"/>
  <c r="H1481" i="33"/>
  <c r="K1479" i="33"/>
  <c r="N1476" i="33"/>
  <c r="H1476" i="33"/>
  <c r="O1476" i="33" s="1"/>
  <c r="N1475" i="33"/>
  <c r="H1475" i="33"/>
  <c r="O1475" i="33" s="1"/>
  <c r="N1474" i="33"/>
  <c r="H1474" i="33"/>
  <c r="O1474" i="33" s="1"/>
  <c r="N1473" i="33"/>
  <c r="H1473" i="33"/>
  <c r="O1473" i="33" s="1"/>
  <c r="K1470" i="33"/>
  <c r="O1463" i="33"/>
  <c r="O1462" i="33"/>
  <c r="O1461" i="33"/>
  <c r="N1458" i="33"/>
  <c r="H1458" i="33"/>
  <c r="O1458" i="33" s="1"/>
  <c r="N1457" i="33"/>
  <c r="H1457" i="33"/>
  <c r="O1457" i="33" s="1"/>
  <c r="N1456" i="33"/>
  <c r="H1456" i="33"/>
  <c r="O1456" i="33" s="1"/>
  <c r="N1455" i="33"/>
  <c r="H1455" i="33"/>
  <c r="O1455" i="33" s="1"/>
  <c r="N1454" i="33"/>
  <c r="H1454" i="33"/>
  <c r="O1454" i="33" s="1"/>
  <c r="N1452" i="33"/>
  <c r="H1452" i="33"/>
  <c r="O1452" i="33" s="1"/>
  <c r="N1451" i="33"/>
  <c r="H1451" i="33"/>
  <c r="N1450" i="33"/>
  <c r="H1450" i="33"/>
  <c r="N1448" i="33"/>
  <c r="H1448" i="33"/>
  <c r="O1448" i="33" s="1"/>
  <c r="N1447" i="33"/>
  <c r="H1447" i="33"/>
  <c r="O1447" i="33" s="1"/>
  <c r="N1446" i="33"/>
  <c r="H1446" i="33"/>
  <c r="O1446" i="33" s="1"/>
  <c r="O1444" i="33"/>
  <c r="O1443" i="33"/>
  <c r="O1442" i="33"/>
  <c r="K1440" i="33"/>
  <c r="K1461" i="33" s="1"/>
  <c r="P1461" i="33" s="1"/>
  <c r="O1432" i="33"/>
  <c r="N1429" i="33"/>
  <c r="H1429" i="33"/>
  <c r="N1428" i="33"/>
  <c r="H1428" i="33"/>
  <c r="O1428" i="33" s="1"/>
  <c r="N1427" i="33"/>
  <c r="H1427" i="33"/>
  <c r="O1427" i="33" s="1"/>
  <c r="N1426" i="33"/>
  <c r="H1426" i="33"/>
  <c r="O1426" i="33" s="1"/>
  <c r="N1425" i="33"/>
  <c r="H1425" i="33"/>
  <c r="N1423" i="33"/>
  <c r="H1423" i="33"/>
  <c r="O1423" i="33" s="1"/>
  <c r="N1422" i="33"/>
  <c r="H1422" i="33"/>
  <c r="O1422" i="33" s="1"/>
  <c r="N1421" i="33"/>
  <c r="H1421" i="33"/>
  <c r="O1421" i="33" s="1"/>
  <c r="N1419" i="33"/>
  <c r="H1419" i="33"/>
  <c r="O1419" i="33" s="1"/>
  <c r="N1418" i="33"/>
  <c r="H1418" i="33"/>
  <c r="O1418" i="33" s="1"/>
  <c r="N1417" i="33"/>
  <c r="H1417" i="33"/>
  <c r="O1417" i="33" s="1"/>
  <c r="O1415" i="33"/>
  <c r="O1414" i="33"/>
  <c r="K1412" i="33"/>
  <c r="O1404" i="33"/>
  <c r="O1398" i="33" s="1"/>
  <c r="K1398" i="33"/>
  <c r="K1404" i="33" s="1"/>
  <c r="K1393" i="33"/>
  <c r="K1392" i="33"/>
  <c r="K1391" i="33"/>
  <c r="O1390" i="33"/>
  <c r="O1384" i="33" s="1"/>
  <c r="K1384" i="33"/>
  <c r="K1390" i="33" s="1"/>
  <c r="P1390" i="33" s="1"/>
  <c r="R1384" i="33" s="1"/>
  <c r="O1370" i="33"/>
  <c r="O1366" i="33"/>
  <c r="O1365" i="33"/>
  <c r="O1364" i="33"/>
  <c r="K1362" i="33"/>
  <c r="K1370" i="33" s="1"/>
  <c r="P1370" i="33" s="1"/>
  <c r="O1354" i="33"/>
  <c r="N1351" i="33"/>
  <c r="H1351" i="33"/>
  <c r="O1351" i="33" s="1"/>
  <c r="N1350" i="33"/>
  <c r="H1350" i="33"/>
  <c r="O1350" i="33" s="1"/>
  <c r="N1349" i="33"/>
  <c r="H1349" i="33"/>
  <c r="O1349" i="33" s="1"/>
  <c r="N1347" i="33"/>
  <c r="H1347" i="33"/>
  <c r="N1346" i="33"/>
  <c r="H1346" i="33"/>
  <c r="N1345" i="33"/>
  <c r="H1345" i="33"/>
  <c r="K1342" i="33"/>
  <c r="O1335" i="33"/>
  <c r="O1334" i="33"/>
  <c r="O1330" i="33"/>
  <c r="O1329" i="33"/>
  <c r="O1328" i="33"/>
  <c r="O1327" i="33"/>
  <c r="K1325" i="33"/>
  <c r="K1335" i="33" s="1"/>
  <c r="N1318" i="33"/>
  <c r="H1318" i="33"/>
  <c r="O1318" i="33" s="1"/>
  <c r="N1317" i="33"/>
  <c r="H1317" i="33"/>
  <c r="O1317" i="33" s="1"/>
  <c r="K1315" i="33"/>
  <c r="N1312" i="33"/>
  <c r="H1312" i="33"/>
  <c r="N1311" i="33"/>
  <c r="H1311" i="33"/>
  <c r="N1310" i="33"/>
  <c r="H1310" i="33"/>
  <c r="N1309" i="33"/>
  <c r="H1309" i="33"/>
  <c r="K1306" i="33"/>
  <c r="O1299" i="33"/>
  <c r="N1295" i="33"/>
  <c r="H1295" i="33"/>
  <c r="N1294" i="33"/>
  <c r="H1294" i="33"/>
  <c r="O1294" i="33" s="1"/>
  <c r="N1293" i="33"/>
  <c r="H1293" i="33"/>
  <c r="O1293" i="33" s="1"/>
  <c r="N1291" i="33"/>
  <c r="H1291" i="33"/>
  <c r="N1290" i="33"/>
  <c r="H1290" i="33"/>
  <c r="N1289" i="33"/>
  <c r="H1289" i="33"/>
  <c r="O1289" i="33" s="1"/>
  <c r="O1287" i="33"/>
  <c r="K1285" i="33"/>
  <c r="K1287" i="33" s="1"/>
  <c r="P1287" i="33" s="1"/>
  <c r="O1277" i="33"/>
  <c r="O1271" i="33" s="1"/>
  <c r="K1271" i="33"/>
  <c r="K1277" i="33" s="1"/>
  <c r="K1266" i="33"/>
  <c r="K1265" i="33"/>
  <c r="K1264" i="33"/>
  <c r="O1263" i="33"/>
  <c r="O1257" i="33" s="1"/>
  <c r="K1257" i="33"/>
  <c r="K1263" i="33" s="1"/>
  <c r="P1263" i="33" s="1"/>
  <c r="R1257" i="33" s="1"/>
  <c r="O1236" i="33"/>
  <c r="O1231" i="33"/>
  <c r="O1230" i="33"/>
  <c r="K1228" i="33"/>
  <c r="K1231" i="33" s="1"/>
  <c r="P1231" i="33" s="1"/>
  <c r="O1221" i="33"/>
  <c r="O1220" i="33"/>
  <c r="K1219" i="33"/>
  <c r="K1218" i="33"/>
  <c r="N1216" i="33"/>
  <c r="H1216" i="33"/>
  <c r="O1216" i="33" s="1"/>
  <c r="N1215" i="33"/>
  <c r="H1215" i="33"/>
  <c r="O1215" i="33" s="1"/>
  <c r="N1214" i="33"/>
  <c r="H1214" i="33"/>
  <c r="O1214" i="33" s="1"/>
  <c r="N1213" i="33"/>
  <c r="H1213" i="33"/>
  <c r="O1213" i="33" s="1"/>
  <c r="N1211" i="33"/>
  <c r="H1211" i="33"/>
  <c r="N1210" i="33"/>
  <c r="H1210" i="33"/>
  <c r="O1210" i="33" s="1"/>
  <c r="N1209" i="33"/>
  <c r="H1209" i="33"/>
  <c r="O1207" i="33"/>
  <c r="O1206" i="33"/>
  <c r="K1204" i="33"/>
  <c r="K1221" i="33" s="1"/>
  <c r="O1200" i="33"/>
  <c r="O1198" i="33"/>
  <c r="O1197" i="33"/>
  <c r="O1193" i="33"/>
  <c r="O1192" i="33"/>
  <c r="K1190" i="33"/>
  <c r="K1193" i="33" s="1"/>
  <c r="O1182" i="33"/>
  <c r="O1178" i="33"/>
  <c r="O1177" i="33"/>
  <c r="K1175" i="33"/>
  <c r="K1178" i="33" s="1"/>
  <c r="P1178" i="33" s="1"/>
  <c r="O1172" i="33"/>
  <c r="O1171" i="33"/>
  <c r="K1170" i="33"/>
  <c r="K1169" i="33"/>
  <c r="K1168" i="33"/>
  <c r="G1167" i="33"/>
  <c r="O1167" i="33" s="1"/>
  <c r="K1161" i="33"/>
  <c r="K1171" i="33" s="1"/>
  <c r="P1171" i="33" s="1"/>
  <c r="O1141" i="33"/>
  <c r="O1137" i="33"/>
  <c r="O1136" i="33"/>
  <c r="O1135" i="33"/>
  <c r="K1133" i="33"/>
  <c r="K1136" i="33" s="1"/>
  <c r="O1125" i="33"/>
  <c r="O1121" i="33"/>
  <c r="O1120" i="33"/>
  <c r="K1118" i="33"/>
  <c r="K1121" i="33" s="1"/>
  <c r="P1121" i="33" s="1"/>
  <c r="O1111" i="33"/>
  <c r="O1110" i="33"/>
  <c r="O1106" i="33"/>
  <c r="O1105" i="33"/>
  <c r="O1104" i="33"/>
  <c r="O1103" i="33"/>
  <c r="K1101" i="33"/>
  <c r="K1111" i="33" s="1"/>
  <c r="P1111" i="33" s="1"/>
  <c r="N1095" i="33"/>
  <c r="H1095" i="33"/>
  <c r="N1094" i="33"/>
  <c r="H1094" i="33"/>
  <c r="O1094" i="33" s="1"/>
  <c r="N1089" i="33"/>
  <c r="H1089" i="33"/>
  <c r="O1089" i="33" s="1"/>
  <c r="N1088" i="33"/>
  <c r="H1088" i="33"/>
  <c r="O1088" i="33" s="1"/>
  <c r="N1087" i="33"/>
  <c r="H1087" i="33"/>
  <c r="N1086" i="33"/>
  <c r="H1086" i="33"/>
  <c r="K1083" i="33"/>
  <c r="O1076" i="33"/>
  <c r="O1075" i="33"/>
  <c r="N1071" i="33"/>
  <c r="H1071" i="33"/>
  <c r="O1071" i="33" s="1"/>
  <c r="N1070" i="33"/>
  <c r="H1070" i="33"/>
  <c r="O1070" i="33" s="1"/>
  <c r="N1069" i="33"/>
  <c r="H1069" i="33"/>
  <c r="O1069" i="33" s="1"/>
  <c r="N1068" i="33"/>
  <c r="H1068" i="33"/>
  <c r="N1067" i="33"/>
  <c r="H1067" i="33"/>
  <c r="O1067" i="33" s="1"/>
  <c r="O1065" i="33"/>
  <c r="K1063" i="33"/>
  <c r="K1075" i="33" s="1"/>
  <c r="N1057" i="33"/>
  <c r="H1057" i="33"/>
  <c r="N1056" i="33"/>
  <c r="H1056" i="33"/>
  <c r="O1056" i="33" s="1"/>
  <c r="O1051" i="33"/>
  <c r="O1050" i="33"/>
  <c r="O1049" i="33"/>
  <c r="K1047" i="33"/>
  <c r="K1051" i="33" s="1"/>
  <c r="I1044" i="33"/>
  <c r="I1043" i="33" s="1"/>
  <c r="I1042" i="33"/>
  <c r="N1041" i="33"/>
  <c r="H1041" i="33"/>
  <c r="O1041" i="33" s="1"/>
  <c r="N1040" i="33"/>
  <c r="H1040" i="33"/>
  <c r="O1040" i="33" s="1"/>
  <c r="O1038" i="33"/>
  <c r="K1036" i="33"/>
  <c r="O1035" i="33"/>
  <c r="O1034" i="33"/>
  <c r="O1033" i="33"/>
  <c r="O1032" i="33"/>
  <c r="K1030" i="33"/>
  <c r="K1035" i="33" s="1"/>
  <c r="I1028" i="33"/>
  <c r="I1027" i="33" s="1"/>
  <c r="O1024" i="33"/>
  <c r="O1023" i="33"/>
  <c r="K1022" i="33"/>
  <c r="K1021" i="33"/>
  <c r="K1020" i="33"/>
  <c r="K1019" i="33"/>
  <c r="K1017" i="33"/>
  <c r="K1023" i="33" s="1"/>
  <c r="I1015" i="33"/>
  <c r="I1014" i="33" s="1"/>
  <c r="O1009" i="33"/>
  <c r="O1003" i="33" s="1"/>
  <c r="K1003" i="33"/>
  <c r="K1009" i="33" s="1"/>
  <c r="I1001" i="33"/>
  <c r="K1001" i="33" s="1"/>
  <c r="O996" i="33"/>
  <c r="O990" i="33" s="1"/>
  <c r="I994" i="33"/>
  <c r="K990" i="33"/>
  <c r="K996" i="33" s="1"/>
  <c r="O983" i="33"/>
  <c r="O982" i="33"/>
  <c r="I980" i="33"/>
  <c r="K980" i="33" s="1"/>
  <c r="I979" i="33"/>
  <c r="K979" i="33" s="1"/>
  <c r="K976" i="33"/>
  <c r="K982" i="33" s="1"/>
  <c r="O963" i="33"/>
  <c r="K963" i="33"/>
  <c r="P963" i="33" s="1"/>
  <c r="O959" i="33"/>
  <c r="K959" i="33"/>
  <c r="P959" i="33" s="1"/>
  <c r="O958" i="33"/>
  <c r="K958" i="33"/>
  <c r="P958" i="33" s="1"/>
  <c r="O957" i="33"/>
  <c r="K957" i="33"/>
  <c r="P957" i="33" s="1"/>
  <c r="O947" i="33"/>
  <c r="K947" i="33"/>
  <c r="P947" i="33" s="1"/>
  <c r="O943" i="33"/>
  <c r="K943" i="33"/>
  <c r="P943" i="33" s="1"/>
  <c r="O942" i="33"/>
  <c r="K942" i="33"/>
  <c r="P942" i="33" s="1"/>
  <c r="O933" i="33"/>
  <c r="K933" i="33"/>
  <c r="P933" i="33" s="1"/>
  <c r="O932" i="33"/>
  <c r="K932" i="33"/>
  <c r="P932" i="33" s="1"/>
  <c r="O928" i="33"/>
  <c r="O927" i="33"/>
  <c r="K927" i="33"/>
  <c r="P927" i="33" s="1"/>
  <c r="O926" i="33"/>
  <c r="K926" i="33"/>
  <c r="P926" i="33" s="1"/>
  <c r="O925" i="33"/>
  <c r="K925" i="33"/>
  <c r="P925" i="33" s="1"/>
  <c r="N917" i="33"/>
  <c r="H917" i="33"/>
  <c r="K917" i="33" s="1"/>
  <c r="P917" i="33" s="1"/>
  <c r="N916" i="33"/>
  <c r="H916" i="33"/>
  <c r="O916" i="33" s="1"/>
  <c r="N911" i="33"/>
  <c r="H911" i="33"/>
  <c r="O911" i="33" s="1"/>
  <c r="N910" i="33"/>
  <c r="H910" i="33"/>
  <c r="O910" i="33" s="1"/>
  <c r="N909" i="33"/>
  <c r="H909" i="33"/>
  <c r="O909" i="33" s="1"/>
  <c r="N908" i="33"/>
  <c r="H908" i="33"/>
  <c r="K908" i="33" s="1"/>
  <c r="O898" i="33"/>
  <c r="K898" i="33"/>
  <c r="P898" i="33" s="1"/>
  <c r="O897" i="33"/>
  <c r="K897" i="33"/>
  <c r="P897" i="33" s="1"/>
  <c r="N893" i="33"/>
  <c r="H893" i="33"/>
  <c r="O893" i="33" s="1"/>
  <c r="N892" i="33"/>
  <c r="H892" i="33"/>
  <c r="O892" i="33" s="1"/>
  <c r="N891" i="33"/>
  <c r="H891" i="33"/>
  <c r="K891" i="33" s="1"/>
  <c r="N890" i="33"/>
  <c r="H890" i="33"/>
  <c r="O890" i="33" s="1"/>
  <c r="N889" i="33"/>
  <c r="H889" i="33"/>
  <c r="O889" i="33" s="1"/>
  <c r="O887" i="33"/>
  <c r="K887" i="33"/>
  <c r="P887" i="33" s="1"/>
  <c r="N879" i="33"/>
  <c r="H879" i="33"/>
  <c r="O879" i="33" s="1"/>
  <c r="N878" i="33"/>
  <c r="H878" i="33"/>
  <c r="O878" i="33" s="1"/>
  <c r="O873" i="33"/>
  <c r="K873" i="33"/>
  <c r="P873" i="33" s="1"/>
  <c r="O872" i="33"/>
  <c r="K872" i="33"/>
  <c r="P872" i="33" s="1"/>
  <c r="O871" i="33"/>
  <c r="K871" i="33"/>
  <c r="O870" i="33"/>
  <c r="K870" i="33"/>
  <c r="P870" i="33" s="1"/>
  <c r="I865" i="33"/>
  <c r="I864" i="33"/>
  <c r="I863" i="33" s="1"/>
  <c r="N862" i="33"/>
  <c r="H862" i="33"/>
  <c r="N861" i="33"/>
  <c r="H861" i="33"/>
  <c r="O861" i="33" s="1"/>
  <c r="O859" i="33"/>
  <c r="K857" i="33"/>
  <c r="O856" i="33"/>
  <c r="O855" i="33"/>
  <c r="O854" i="33"/>
  <c r="O853" i="33"/>
  <c r="K851" i="33"/>
  <c r="K856" i="33" s="1"/>
  <c r="I849" i="33"/>
  <c r="I848" i="33" s="1"/>
  <c r="O845" i="33"/>
  <c r="O844" i="33"/>
  <c r="K843" i="33"/>
  <c r="K842" i="33"/>
  <c r="K841" i="33"/>
  <c r="K840" i="33"/>
  <c r="K838" i="33"/>
  <c r="K844" i="33" s="1"/>
  <c r="I836" i="33"/>
  <c r="I835" i="33" s="1"/>
  <c r="O830" i="33"/>
  <c r="O824" i="33" s="1"/>
  <c r="K824" i="33"/>
  <c r="K830" i="33" s="1"/>
  <c r="I822" i="33"/>
  <c r="K822" i="33" s="1"/>
  <c r="O817" i="33"/>
  <c r="O811" i="33" s="1"/>
  <c r="I815" i="33"/>
  <c r="K815" i="33" s="1"/>
  <c r="I814" i="33" s="1"/>
  <c r="K811" i="33"/>
  <c r="K817" i="33" s="1"/>
  <c r="O804" i="33"/>
  <c r="O803" i="33"/>
  <c r="I801" i="33"/>
  <c r="K797" i="33"/>
  <c r="K804" i="33" s="1"/>
  <c r="I789" i="33"/>
  <c r="I788" i="33" s="1"/>
  <c r="I787" i="33"/>
  <c r="O785" i="33"/>
  <c r="O784" i="33"/>
  <c r="K782" i="33"/>
  <c r="K781" i="33"/>
  <c r="N780" i="33"/>
  <c r="H780" i="33"/>
  <c r="O780" i="33" s="1"/>
  <c r="N779" i="33"/>
  <c r="H779" i="33"/>
  <c r="O779" i="33" s="1"/>
  <c r="N778" i="33"/>
  <c r="H778" i="33"/>
  <c r="O778" i="33" s="1"/>
  <c r="N777" i="33"/>
  <c r="H777" i="33"/>
  <c r="N775" i="33"/>
  <c r="H775" i="33"/>
  <c r="N774" i="33"/>
  <c r="H774" i="33"/>
  <c r="O774" i="33" s="1"/>
  <c r="N773" i="33"/>
  <c r="H773" i="33"/>
  <c r="O773" i="33" s="1"/>
  <c r="O771" i="33"/>
  <c r="O770" i="33"/>
  <c r="K768" i="33"/>
  <c r="K770" i="33" s="1"/>
  <c r="I766" i="33"/>
  <c r="I765" i="33"/>
  <c r="O764" i="33"/>
  <c r="O761" i="33"/>
  <c r="O760" i="33"/>
  <c r="O759" i="33"/>
  <c r="K758" i="33"/>
  <c r="K757" i="33"/>
  <c r="K756" i="33"/>
  <c r="O755" i="33"/>
  <c r="O754" i="33"/>
  <c r="O753" i="33"/>
  <c r="O752" i="33"/>
  <c r="O751" i="33"/>
  <c r="O750" i="33"/>
  <c r="O749" i="33"/>
  <c r="K747" i="33"/>
  <c r="K754" i="33" s="1"/>
  <c r="I745" i="33"/>
  <c r="I744" i="33" s="1"/>
  <c r="N740" i="33"/>
  <c r="H740" i="33"/>
  <c r="N739" i="33"/>
  <c r="H739" i="33"/>
  <c r="O739" i="33" s="1"/>
  <c r="O737" i="33"/>
  <c r="O733" i="33"/>
  <c r="O732" i="33"/>
  <c r="O731" i="33"/>
  <c r="O730" i="33"/>
  <c r="K728" i="33"/>
  <c r="K733" i="33" s="1"/>
  <c r="I726" i="33"/>
  <c r="K726" i="33" s="1"/>
  <c r="O725" i="33"/>
  <c r="O724" i="33"/>
  <c r="O723" i="33"/>
  <c r="N720" i="33"/>
  <c r="H720" i="33"/>
  <c r="O720" i="33" s="1"/>
  <c r="N719" i="33"/>
  <c r="H719" i="33"/>
  <c r="O719" i="33" s="1"/>
  <c r="I716" i="33"/>
  <c r="K716" i="33" s="1"/>
  <c r="I715" i="33"/>
  <c r="K715" i="33" s="1"/>
  <c r="O714" i="33"/>
  <c r="I714" i="33"/>
  <c r="K712" i="33"/>
  <c r="K725" i="33" s="1"/>
  <c r="O709" i="33"/>
  <c r="O708" i="33"/>
  <c r="O707" i="33"/>
  <c r="G703" i="33"/>
  <c r="O703" i="33" s="1"/>
  <c r="I701" i="33"/>
  <c r="K697" i="33"/>
  <c r="K709" i="33" s="1"/>
  <c r="P709" i="33" s="1"/>
  <c r="I689" i="33"/>
  <c r="I688" i="33"/>
  <c r="I687" i="33" s="1"/>
  <c r="O685" i="33"/>
  <c r="O684" i="33"/>
  <c r="K682" i="33"/>
  <c r="K681" i="33"/>
  <c r="N680" i="33"/>
  <c r="H680" i="33"/>
  <c r="O680" i="33" s="1"/>
  <c r="N679" i="33"/>
  <c r="H679" i="33"/>
  <c r="O679" i="33" s="1"/>
  <c r="N678" i="33"/>
  <c r="H678" i="33"/>
  <c r="O678" i="33" s="1"/>
  <c r="N677" i="33"/>
  <c r="H677" i="33"/>
  <c r="O677" i="33" s="1"/>
  <c r="N675" i="33"/>
  <c r="H675" i="33"/>
  <c r="O675" i="33" s="1"/>
  <c r="N674" i="33"/>
  <c r="H674" i="33"/>
  <c r="O674" i="33" s="1"/>
  <c r="N673" i="33"/>
  <c r="H673" i="33"/>
  <c r="O673" i="33" s="1"/>
  <c r="O671" i="33"/>
  <c r="O670" i="33"/>
  <c r="K668" i="33"/>
  <c r="K684" i="33" s="1"/>
  <c r="P684" i="33" s="1"/>
  <c r="I666" i="33"/>
  <c r="I665" i="33"/>
  <c r="O664" i="33"/>
  <c r="O661" i="33"/>
  <c r="O660" i="33"/>
  <c r="O659" i="33"/>
  <c r="K658" i="33"/>
  <c r="K657" i="33"/>
  <c r="K656" i="33"/>
  <c r="O655" i="33"/>
  <c r="O654" i="33"/>
  <c r="O653" i="33"/>
  <c r="O652" i="33"/>
  <c r="O651" i="33"/>
  <c r="O650" i="33"/>
  <c r="O649" i="33"/>
  <c r="K647" i="33"/>
  <c r="K654" i="33" s="1"/>
  <c r="P654" i="33" s="1"/>
  <c r="I645" i="33"/>
  <c r="I644" i="33" s="1"/>
  <c r="N640" i="33"/>
  <c r="H640" i="33"/>
  <c r="O640" i="33" s="1"/>
  <c r="N639" i="33"/>
  <c r="H639" i="33"/>
  <c r="O639" i="33" s="1"/>
  <c r="O637" i="33"/>
  <c r="O633" i="33"/>
  <c r="O632" i="33"/>
  <c r="K630" i="33"/>
  <c r="K633" i="33" s="1"/>
  <c r="I628" i="33"/>
  <c r="K628" i="33" s="1"/>
  <c r="O627" i="33"/>
  <c r="O626" i="33"/>
  <c r="O625" i="33"/>
  <c r="N622" i="33"/>
  <c r="H622" i="33"/>
  <c r="N621" i="33"/>
  <c r="H621" i="33"/>
  <c r="O621" i="33" s="1"/>
  <c r="I618" i="33"/>
  <c r="K618" i="33" s="1"/>
  <c r="O617" i="33"/>
  <c r="I617" i="33"/>
  <c r="K615" i="33"/>
  <c r="K626" i="33" s="1"/>
  <c r="P626" i="33" s="1"/>
  <c r="O612" i="33"/>
  <c r="O611" i="33"/>
  <c r="O610" i="33"/>
  <c r="G606" i="33"/>
  <c r="O606" i="33" s="1"/>
  <c r="I604" i="33"/>
  <c r="K604" i="33" s="1"/>
  <c r="I603" i="33" s="1"/>
  <c r="K603" i="33" s="1"/>
  <c r="K600" i="33"/>
  <c r="K610" i="33" s="1"/>
  <c r="I592" i="33"/>
  <c r="I591" i="33"/>
  <c r="I590" i="33" s="1"/>
  <c r="O588" i="33"/>
  <c r="O587" i="33"/>
  <c r="K585" i="33"/>
  <c r="K584" i="33"/>
  <c r="N583" i="33"/>
  <c r="H583" i="33"/>
  <c r="O583" i="33" s="1"/>
  <c r="N582" i="33"/>
  <c r="H582" i="33"/>
  <c r="O582" i="33" s="1"/>
  <c r="N581" i="33"/>
  <c r="H581" i="33"/>
  <c r="N580" i="33"/>
  <c r="H580" i="33"/>
  <c r="N578" i="33"/>
  <c r="H578" i="33"/>
  <c r="O578" i="33" s="1"/>
  <c r="N577" i="33"/>
  <c r="H577" i="33"/>
  <c r="O577" i="33" s="1"/>
  <c r="N576" i="33"/>
  <c r="H576" i="33"/>
  <c r="O576" i="33" s="1"/>
  <c r="O574" i="33"/>
  <c r="O573" i="33"/>
  <c r="K571" i="33"/>
  <c r="K587" i="33" s="1"/>
  <c r="P587" i="33" s="1"/>
  <c r="I569" i="33"/>
  <c r="I568" i="33" s="1"/>
  <c r="O567" i="33"/>
  <c r="O565" i="33"/>
  <c r="O564" i="33"/>
  <c r="O563" i="33"/>
  <c r="K562" i="33"/>
  <c r="K561" i="33"/>
  <c r="K560" i="33"/>
  <c r="O559" i="33"/>
  <c r="O558" i="33"/>
  <c r="O557" i="33"/>
  <c r="O556" i="33"/>
  <c r="O555" i="33"/>
  <c r="O554" i="33"/>
  <c r="O553" i="33"/>
  <c r="K551" i="33"/>
  <c r="K559" i="33" s="1"/>
  <c r="P559" i="33" s="1"/>
  <c r="I549" i="33"/>
  <c r="I548" i="33" s="1"/>
  <c r="N544" i="33"/>
  <c r="H544" i="33"/>
  <c r="O544" i="33" s="1"/>
  <c r="N543" i="33"/>
  <c r="H543" i="33"/>
  <c r="O543" i="33" s="1"/>
  <c r="O541" i="33"/>
  <c r="O537" i="33"/>
  <c r="O536" i="33"/>
  <c r="O535" i="33"/>
  <c r="O534" i="33"/>
  <c r="K532" i="33"/>
  <c r="K541" i="33" s="1"/>
  <c r="I530" i="33"/>
  <c r="K530" i="33" s="1"/>
  <c r="O529" i="33"/>
  <c r="O528" i="33"/>
  <c r="O527" i="33"/>
  <c r="N524" i="33"/>
  <c r="H524" i="33"/>
  <c r="N523" i="33"/>
  <c r="H523" i="33"/>
  <c r="O523" i="33" s="1"/>
  <c r="I520" i="33"/>
  <c r="O518" i="33"/>
  <c r="I518" i="33"/>
  <c r="K516" i="33"/>
  <c r="K528" i="33" s="1"/>
  <c r="P528" i="33" s="1"/>
  <c r="O513" i="33"/>
  <c r="O512" i="33"/>
  <c r="O511" i="33"/>
  <c r="G507" i="33"/>
  <c r="O507" i="33" s="1"/>
  <c r="I505" i="33"/>
  <c r="K505" i="33" s="1"/>
  <c r="L505" i="33" s="1"/>
  <c r="I504" i="33"/>
  <c r="K504" i="33" s="1"/>
  <c r="L504" i="33" s="1"/>
  <c r="K501" i="33"/>
  <c r="K511" i="33" s="1"/>
  <c r="I490" i="33"/>
  <c r="I489" i="33"/>
  <c r="I488" i="33" s="1"/>
  <c r="O486" i="33"/>
  <c r="O485" i="33"/>
  <c r="K483" i="33"/>
  <c r="K482" i="33"/>
  <c r="N481" i="33"/>
  <c r="H481" i="33"/>
  <c r="O481" i="33" s="1"/>
  <c r="N480" i="33"/>
  <c r="H480" i="33"/>
  <c r="O480" i="33" s="1"/>
  <c r="N479" i="33"/>
  <c r="H479" i="33"/>
  <c r="N478" i="33"/>
  <c r="H478" i="33"/>
  <c r="N476" i="33"/>
  <c r="H476" i="33"/>
  <c r="O476" i="33" s="1"/>
  <c r="N475" i="33"/>
  <c r="H475" i="33"/>
  <c r="O475" i="33" s="1"/>
  <c r="N474" i="33"/>
  <c r="H474" i="33"/>
  <c r="O474" i="33" s="1"/>
  <c r="O472" i="33"/>
  <c r="O471" i="33"/>
  <c r="K469" i="33"/>
  <c r="I467" i="33"/>
  <c r="I466" i="33"/>
  <c r="O465" i="33"/>
  <c r="O462" i="33"/>
  <c r="O461" i="33"/>
  <c r="O460" i="33"/>
  <c r="K459" i="33"/>
  <c r="K458" i="33"/>
  <c r="K457" i="33"/>
  <c r="O456" i="33"/>
  <c r="O455" i="33"/>
  <c r="O454" i="33"/>
  <c r="O453" i="33"/>
  <c r="O452" i="33"/>
  <c r="O451" i="33"/>
  <c r="O450" i="33"/>
  <c r="K448" i="33"/>
  <c r="K455" i="33" s="1"/>
  <c r="P455" i="33" s="1"/>
  <c r="I446" i="33"/>
  <c r="I445" i="33" s="1"/>
  <c r="O440" i="33"/>
  <c r="O439" i="33"/>
  <c r="O435" i="33"/>
  <c r="N435" i="33"/>
  <c r="H435" i="33"/>
  <c r="O434" i="33"/>
  <c r="N434" i="33"/>
  <c r="H434" i="33"/>
  <c r="O433" i="33"/>
  <c r="N433" i="33"/>
  <c r="H433" i="33"/>
  <c r="N432" i="33"/>
  <c r="H432" i="33"/>
  <c r="O432" i="33" s="1"/>
  <c r="N430" i="33"/>
  <c r="H430" i="33"/>
  <c r="O430" i="33" s="1"/>
  <c r="N429" i="33"/>
  <c r="H429" i="33"/>
  <c r="N428" i="33"/>
  <c r="H428" i="33"/>
  <c r="O428" i="33" s="1"/>
  <c r="N427" i="33"/>
  <c r="H427" i="33"/>
  <c r="O427" i="33" s="1"/>
  <c r="G425" i="33"/>
  <c r="O425" i="33" s="1"/>
  <c r="K423" i="33"/>
  <c r="I421" i="33"/>
  <c r="K421" i="33" s="1"/>
  <c r="O420" i="33"/>
  <c r="O419" i="33"/>
  <c r="O418" i="33"/>
  <c r="G414" i="33"/>
  <c r="O414" i="33" s="1"/>
  <c r="I412" i="33"/>
  <c r="K412" i="33" s="1"/>
  <c r="L412" i="33" s="1"/>
  <c r="K408" i="33"/>
  <c r="K420" i="33" s="1"/>
  <c r="P420" i="33" s="1"/>
  <c r="I400" i="33"/>
  <c r="I399" i="33" s="1"/>
  <c r="I398" i="33"/>
  <c r="O396" i="33"/>
  <c r="O395" i="33"/>
  <c r="K393" i="33"/>
  <c r="K392" i="33"/>
  <c r="N391" i="33"/>
  <c r="H391" i="33"/>
  <c r="N390" i="33"/>
  <c r="H390" i="33"/>
  <c r="N389" i="33"/>
  <c r="H389" i="33"/>
  <c r="N388" i="33"/>
  <c r="H388" i="33"/>
  <c r="O388" i="33" s="1"/>
  <c r="N386" i="33"/>
  <c r="H386" i="33"/>
  <c r="O386" i="33" s="1"/>
  <c r="N385" i="33"/>
  <c r="H385" i="33"/>
  <c r="O385" i="33" s="1"/>
  <c r="N384" i="33"/>
  <c r="H384" i="33"/>
  <c r="O384" i="33" s="1"/>
  <c r="O382" i="33"/>
  <c r="O381" i="33"/>
  <c r="K379" i="33"/>
  <c r="K395" i="33" s="1"/>
  <c r="I377" i="33"/>
  <c r="I376" i="33" s="1"/>
  <c r="O375" i="33"/>
  <c r="O373" i="33"/>
  <c r="O372" i="33"/>
  <c r="O371" i="33"/>
  <c r="K370" i="33"/>
  <c r="K369" i="33"/>
  <c r="K368" i="33"/>
  <c r="O367" i="33"/>
  <c r="O366" i="33"/>
  <c r="O365" i="33"/>
  <c r="O364" i="33"/>
  <c r="O363" i="33"/>
  <c r="O362" i="33"/>
  <c r="O361" i="33"/>
  <c r="K359" i="33"/>
  <c r="K366" i="33" s="1"/>
  <c r="P366" i="33" s="1"/>
  <c r="I357" i="33"/>
  <c r="I356" i="33"/>
  <c r="O355" i="33"/>
  <c r="N353" i="33"/>
  <c r="H353" i="33"/>
  <c r="N352" i="33"/>
  <c r="H352" i="33"/>
  <c r="O352" i="33" s="1"/>
  <c r="O350" i="33"/>
  <c r="O349" i="33"/>
  <c r="K348" i="33"/>
  <c r="K347" i="33"/>
  <c r="K346" i="33"/>
  <c r="O345" i="33"/>
  <c r="O344" i="33"/>
  <c r="O343" i="33"/>
  <c r="O342" i="33"/>
  <c r="K340" i="33"/>
  <c r="K345" i="33" s="1"/>
  <c r="I338" i="33"/>
  <c r="I337" i="33" s="1"/>
  <c r="N334" i="33"/>
  <c r="H334" i="33"/>
  <c r="O334" i="33" s="1"/>
  <c r="N333" i="33"/>
  <c r="H333" i="33"/>
  <c r="O333" i="33" s="1"/>
  <c r="O331" i="33"/>
  <c r="N327" i="33"/>
  <c r="H327" i="33"/>
  <c r="O327" i="33" s="1"/>
  <c r="N326" i="33"/>
  <c r="H326" i="33"/>
  <c r="N325" i="33"/>
  <c r="H325" i="33"/>
  <c r="O325" i="33" s="1"/>
  <c r="N324" i="33"/>
  <c r="H324" i="33"/>
  <c r="O324" i="33" s="1"/>
  <c r="N322" i="33"/>
  <c r="H322" i="33"/>
  <c r="O322" i="33" s="1"/>
  <c r="N321" i="33"/>
  <c r="H321" i="33"/>
  <c r="O321" i="33" s="1"/>
  <c r="N320" i="33"/>
  <c r="H320" i="33"/>
  <c r="O320" i="33" s="1"/>
  <c r="N319" i="33"/>
  <c r="H319" i="33"/>
  <c r="O319" i="33" s="1"/>
  <c r="O317" i="33"/>
  <c r="O316" i="33"/>
  <c r="O315" i="33"/>
  <c r="K313" i="33"/>
  <c r="K316" i="33" s="1"/>
  <c r="I311" i="33"/>
  <c r="K311" i="33" s="1"/>
  <c r="O310" i="33"/>
  <c r="O309" i="33"/>
  <c r="O308" i="33"/>
  <c r="G304" i="33"/>
  <c r="O304" i="33" s="1"/>
  <c r="I302" i="33"/>
  <c r="K302" i="33" s="1"/>
  <c r="L302" i="33" s="1"/>
  <c r="K298" i="33"/>
  <c r="K309" i="33" s="1"/>
  <c r="L291" i="33"/>
  <c r="L290" i="33"/>
  <c r="L289" i="33"/>
  <c r="L287" i="33"/>
  <c r="O286" i="33"/>
  <c r="O285" i="33"/>
  <c r="K284" i="33"/>
  <c r="N282" i="33"/>
  <c r="H282" i="33"/>
  <c r="O282" i="33" s="1"/>
  <c r="N281" i="33"/>
  <c r="H281" i="33"/>
  <c r="O281" i="33" s="1"/>
  <c r="N280" i="33"/>
  <c r="H280" i="33"/>
  <c r="O280" i="33" s="1"/>
  <c r="N279" i="33"/>
  <c r="H279" i="33"/>
  <c r="O279" i="33" s="1"/>
  <c r="N277" i="33"/>
  <c r="H277" i="33"/>
  <c r="O277" i="33" s="1"/>
  <c r="N276" i="33"/>
  <c r="H276" i="33"/>
  <c r="O276" i="33" s="1"/>
  <c r="N275" i="33"/>
  <c r="H275" i="33"/>
  <c r="O275" i="33" s="1"/>
  <c r="O273" i="33"/>
  <c r="O272" i="33"/>
  <c r="K270" i="33"/>
  <c r="L268" i="33"/>
  <c r="L267" i="33"/>
  <c r="O266" i="33"/>
  <c r="K265" i="33"/>
  <c r="O264" i="33"/>
  <c r="O263" i="33"/>
  <c r="O262" i="33"/>
  <c r="K261" i="33"/>
  <c r="K260" i="33"/>
  <c r="K259" i="33"/>
  <c r="O258" i="33"/>
  <c r="O257" i="33"/>
  <c r="O256" i="33"/>
  <c r="O255" i="33"/>
  <c r="O254" i="33"/>
  <c r="O253" i="33"/>
  <c r="O252" i="33"/>
  <c r="K250" i="33"/>
  <c r="K266" i="33" s="1"/>
  <c r="P266" i="33" s="1"/>
  <c r="L248" i="33"/>
  <c r="O247" i="33"/>
  <c r="O246" i="33"/>
  <c r="K245" i="33"/>
  <c r="N244" i="33"/>
  <c r="N243" i="33"/>
  <c r="H242" i="33"/>
  <c r="H243" i="33" s="1"/>
  <c r="H241" i="33"/>
  <c r="O241" i="33" s="1"/>
  <c r="K240" i="33"/>
  <c r="N239" i="33"/>
  <c r="H239" i="33"/>
  <c r="O239" i="33" s="1"/>
  <c r="N238" i="33"/>
  <c r="H238" i="33"/>
  <c r="O238" i="33" s="1"/>
  <c r="N237" i="33"/>
  <c r="H237" i="33"/>
  <c r="N236" i="33"/>
  <c r="H236" i="33"/>
  <c r="O236" i="33" s="1"/>
  <c r="N234" i="33"/>
  <c r="H234" i="33"/>
  <c r="N233" i="33"/>
  <c r="H233" i="33"/>
  <c r="O233" i="33" s="1"/>
  <c r="N232" i="33"/>
  <c r="H232" i="33"/>
  <c r="O232" i="33" s="1"/>
  <c r="N231" i="33"/>
  <c r="H231" i="33"/>
  <c r="O231" i="33" s="1"/>
  <c r="O229" i="33"/>
  <c r="O228" i="33"/>
  <c r="O227" i="33"/>
  <c r="O226" i="33"/>
  <c r="O225" i="33"/>
  <c r="K223" i="33"/>
  <c r="L221" i="33"/>
  <c r="L220" i="33"/>
  <c r="O219" i="33"/>
  <c r="N216" i="33"/>
  <c r="H216" i="33"/>
  <c r="O216" i="33" s="1"/>
  <c r="N215" i="33"/>
  <c r="H215" i="33"/>
  <c r="O215" i="33" s="1"/>
  <c r="G213" i="33"/>
  <c r="O213" i="33" s="1"/>
  <c r="K212" i="33"/>
  <c r="N210" i="33"/>
  <c r="H210" i="33"/>
  <c r="O210" i="33" s="1"/>
  <c r="N209" i="33"/>
  <c r="H209" i="33"/>
  <c r="O209" i="33" s="1"/>
  <c r="N208" i="33"/>
  <c r="H208" i="33"/>
  <c r="O208" i="33" s="1"/>
  <c r="N207" i="33"/>
  <c r="H207" i="33"/>
  <c r="O207" i="33" s="1"/>
  <c r="N205" i="33"/>
  <c r="H205" i="33"/>
  <c r="O205" i="33" s="1"/>
  <c r="N204" i="33"/>
  <c r="H204" i="33"/>
  <c r="O204" i="33" s="1"/>
  <c r="N203" i="33"/>
  <c r="H203" i="33"/>
  <c r="O203" i="33" s="1"/>
  <c r="N202" i="33"/>
  <c r="H202" i="33"/>
  <c r="O202" i="33" s="1"/>
  <c r="O200" i="33"/>
  <c r="O199" i="33"/>
  <c r="O198" i="33"/>
  <c r="O197" i="33"/>
  <c r="K195" i="33"/>
  <c r="O191" i="33"/>
  <c r="N188" i="33"/>
  <c r="N187" i="33"/>
  <c r="H186" i="33"/>
  <c r="H187" i="33" s="1"/>
  <c r="G185" i="33"/>
  <c r="O185" i="33" s="1"/>
  <c r="K184" i="33"/>
  <c r="N182" i="33"/>
  <c r="H182" i="33"/>
  <c r="O182" i="33" s="1"/>
  <c r="N181" i="33"/>
  <c r="H181" i="33"/>
  <c r="O181" i="33" s="1"/>
  <c r="N180" i="33"/>
  <c r="H180" i="33"/>
  <c r="O180" i="33" s="1"/>
  <c r="N179" i="33"/>
  <c r="H179" i="33"/>
  <c r="O179" i="33" s="1"/>
  <c r="N177" i="33"/>
  <c r="H177" i="33"/>
  <c r="O177" i="33" s="1"/>
  <c r="N176" i="33"/>
  <c r="H176" i="33"/>
  <c r="O176" i="33" s="1"/>
  <c r="N175" i="33"/>
  <c r="H175" i="33"/>
  <c r="N174" i="33"/>
  <c r="H174" i="33"/>
  <c r="O174" i="33" s="1"/>
  <c r="O172" i="33"/>
  <c r="O171" i="33"/>
  <c r="K169" i="33"/>
  <c r="O166" i="33"/>
  <c r="O165" i="33"/>
  <c r="O164" i="33"/>
  <c r="K163" i="33"/>
  <c r="K162" i="33"/>
  <c r="K161" i="33"/>
  <c r="G160" i="33"/>
  <c r="O160" i="33" s="1"/>
  <c r="S157" i="33"/>
  <c r="T156" i="33"/>
  <c r="S156" i="33"/>
  <c r="K156" i="33"/>
  <c r="K154" i="33"/>
  <c r="K164" i="33" s="1"/>
  <c r="P164" i="33" s="1"/>
  <c r="K140" i="33"/>
  <c r="M140" i="33" s="1"/>
  <c r="O140" i="33" s="1"/>
  <c r="O139" i="33"/>
  <c r="O138" i="33"/>
  <c r="O137" i="33"/>
  <c r="K136" i="33"/>
  <c r="M136" i="33" s="1"/>
  <c r="O136" i="33" s="1"/>
  <c r="K135" i="33"/>
  <c r="M135" i="33" s="1"/>
  <c r="O135" i="33" s="1"/>
  <c r="O134" i="33"/>
  <c r="O133" i="33"/>
  <c r="O132" i="33"/>
  <c r="K132" i="33"/>
  <c r="K131" i="33"/>
  <c r="M131" i="33" s="1"/>
  <c r="K130" i="33"/>
  <c r="M130" i="33" s="1"/>
  <c r="O129" i="33"/>
  <c r="O128" i="33"/>
  <c r="K127" i="33"/>
  <c r="M127" i="33" s="1"/>
  <c r="K126" i="33"/>
  <c r="K134" i="33" s="1"/>
  <c r="K124" i="33"/>
  <c r="M124" i="33" s="1"/>
  <c r="O124" i="33" s="1"/>
  <c r="O123" i="33"/>
  <c r="O122" i="33"/>
  <c r="O121" i="33"/>
  <c r="K120" i="33"/>
  <c r="M120" i="33" s="1"/>
  <c r="O120" i="33" s="1"/>
  <c r="O118" i="33"/>
  <c r="O117" i="33"/>
  <c r="O116" i="33"/>
  <c r="K116" i="33"/>
  <c r="K115" i="33"/>
  <c r="M115" i="33" s="1"/>
  <c r="O115" i="33" s="1"/>
  <c r="K114" i="33"/>
  <c r="M114" i="33" s="1"/>
  <c r="O114" i="33" s="1"/>
  <c r="O113" i="33"/>
  <c r="O112" i="33"/>
  <c r="K111" i="33"/>
  <c r="M111" i="33" s="1"/>
  <c r="K110" i="33"/>
  <c r="K122" i="33" s="1"/>
  <c r="K108" i="33"/>
  <c r="M108" i="33" s="1"/>
  <c r="O108" i="33" s="1"/>
  <c r="K107" i="33"/>
  <c r="M107" i="33" s="1"/>
  <c r="O107" i="33" s="1"/>
  <c r="O106" i="33"/>
  <c r="K105" i="33"/>
  <c r="M105" i="33" s="1"/>
  <c r="O105" i="33" s="1"/>
  <c r="K104" i="33"/>
  <c r="M104" i="33" s="1"/>
  <c r="O104" i="33" s="1"/>
  <c r="O103" i="33"/>
  <c r="O102" i="33"/>
  <c r="O101" i="33"/>
  <c r="K101" i="33"/>
  <c r="K100" i="33"/>
  <c r="M100" i="33" s="1"/>
  <c r="O100" i="33" s="1"/>
  <c r="K99" i="33"/>
  <c r="M99" i="33" s="1"/>
  <c r="O99" i="33" s="1"/>
  <c r="K98" i="33"/>
  <c r="M98" i="33" s="1"/>
  <c r="O98" i="33" s="1"/>
  <c r="K97" i="33"/>
  <c r="M97" i="33" s="1"/>
  <c r="O97" i="33" s="1"/>
  <c r="K96" i="33"/>
  <c r="K102" i="33" s="1"/>
  <c r="K92" i="33"/>
  <c r="M92" i="33" s="1"/>
  <c r="O92" i="33" s="1"/>
  <c r="O91" i="33"/>
  <c r="K90" i="33"/>
  <c r="M90" i="33" s="1"/>
  <c r="O90" i="33" s="1"/>
  <c r="K89" i="33"/>
  <c r="M89" i="33" s="1"/>
  <c r="O89" i="33" s="1"/>
  <c r="O88" i="33"/>
  <c r="O87" i="33"/>
  <c r="O86" i="33"/>
  <c r="K86" i="33"/>
  <c r="K85" i="33"/>
  <c r="M85" i="33" s="1"/>
  <c r="O85" i="33" s="1"/>
  <c r="K84" i="33"/>
  <c r="M84" i="33" s="1"/>
  <c r="O84" i="33" s="1"/>
  <c r="K83" i="33"/>
  <c r="M83" i="33" s="1"/>
  <c r="O83" i="33" s="1"/>
  <c r="K82" i="33"/>
  <c r="M82" i="33" s="1"/>
  <c r="O82" i="33" s="1"/>
  <c r="K81" i="33"/>
  <c r="K91" i="33" s="1"/>
  <c r="K77" i="33"/>
  <c r="M77" i="33" s="1"/>
  <c r="O77" i="33" s="1"/>
  <c r="O76" i="33"/>
  <c r="K75" i="33"/>
  <c r="M75" i="33" s="1"/>
  <c r="O75" i="33" s="1"/>
  <c r="K74" i="33"/>
  <c r="M74" i="33" s="1"/>
  <c r="O74" i="33" s="1"/>
  <c r="K73" i="33"/>
  <c r="M73" i="33" s="1"/>
  <c r="O73" i="33" s="1"/>
  <c r="O72" i="33"/>
  <c r="O71" i="33"/>
  <c r="K71" i="33"/>
  <c r="K70" i="33"/>
  <c r="M70" i="33" s="1"/>
  <c r="O70" i="33" s="1"/>
  <c r="K69" i="33"/>
  <c r="M69" i="33" s="1"/>
  <c r="O69" i="33" s="1"/>
  <c r="K68" i="33"/>
  <c r="M68" i="33" s="1"/>
  <c r="O68" i="33" s="1"/>
  <c r="K67" i="33"/>
  <c r="M67" i="33" s="1"/>
  <c r="O67" i="33" s="1"/>
  <c r="K66" i="33"/>
  <c r="K76" i="33" s="1"/>
  <c r="H5" i="33"/>
  <c r="P8131" i="33" l="1"/>
  <c r="P8133" i="33"/>
  <c r="P8134" i="33"/>
  <c r="P5853" i="33"/>
  <c r="K5819" i="33"/>
  <c r="K5816" i="33"/>
  <c r="K5821" i="33"/>
  <c r="K5820" i="33"/>
  <c r="K5818" i="33"/>
  <c r="K5825" i="33"/>
  <c r="K5826" i="33"/>
  <c r="K5796" i="33"/>
  <c r="P5796" i="33" s="1"/>
  <c r="K5335" i="33"/>
  <c r="P5335" i="33" s="1"/>
  <c r="K5203" i="33"/>
  <c r="P5203" i="33" s="1"/>
  <c r="K4539" i="33"/>
  <c r="P4539" i="33" s="1"/>
  <c r="K3605" i="33"/>
  <c r="P3605" i="33" s="1"/>
  <c r="K3606" i="33"/>
  <c r="P3606" i="33" s="1"/>
  <c r="K3611" i="33"/>
  <c r="P3611" i="33" s="1"/>
  <c r="K3604" i="33"/>
  <c r="P3604" i="33" s="1"/>
  <c r="K3610" i="33"/>
  <c r="P3610" i="33" s="1"/>
  <c r="K3603" i="33"/>
  <c r="P3603" i="33" s="1"/>
  <c r="K3403" i="33"/>
  <c r="P3403" i="33" s="1"/>
  <c r="K3393" i="33"/>
  <c r="P3393" i="33" s="1"/>
  <c r="K3396" i="33"/>
  <c r="P3396" i="33" s="1"/>
  <c r="K3408" i="33"/>
  <c r="P3408" i="33" s="1"/>
  <c r="K3394" i="33"/>
  <c r="P3394" i="33" s="1"/>
  <c r="K3404" i="33"/>
  <c r="P3404" i="33" s="1"/>
  <c r="K3397" i="33"/>
  <c r="P3397" i="33" s="1"/>
  <c r="K3400" i="33"/>
  <c r="P3400" i="33" s="1"/>
  <c r="K3398" i="33"/>
  <c r="P3398" i="33" s="1"/>
  <c r="K3399" i="33"/>
  <c r="P3399" i="33" s="1"/>
  <c r="K3429" i="33"/>
  <c r="P3429" i="33" s="1"/>
  <c r="K3414" i="33"/>
  <c r="P3414" i="33" s="1"/>
  <c r="K3418" i="33"/>
  <c r="P3418" i="33" s="1"/>
  <c r="K3425" i="33"/>
  <c r="P3425" i="33" s="1"/>
  <c r="K3416" i="33"/>
  <c r="P3416" i="33" s="1"/>
  <c r="K3424" i="33"/>
  <c r="P3424" i="33" s="1"/>
  <c r="K3415" i="33"/>
  <c r="P3415" i="33" s="1"/>
  <c r="K3419" i="33"/>
  <c r="P3419" i="33" s="1"/>
  <c r="K3421" i="33"/>
  <c r="P3421" i="33" s="1"/>
  <c r="K3422" i="33"/>
  <c r="P3422" i="33" s="1"/>
  <c r="K3420" i="33"/>
  <c r="P3420" i="33" s="1"/>
  <c r="K3513" i="33"/>
  <c r="P3513" i="33" s="1"/>
  <c r="K3494" i="33"/>
  <c r="P3494" i="33" s="1"/>
  <c r="K3512" i="33"/>
  <c r="P3512" i="33" s="1"/>
  <c r="K3493" i="33"/>
  <c r="P3493" i="33" s="1"/>
  <c r="K3511" i="33"/>
  <c r="P3511" i="33" s="1"/>
  <c r="K3502" i="33"/>
  <c r="P3502" i="33" s="1"/>
  <c r="K3508" i="33"/>
  <c r="P3508" i="33" s="1"/>
  <c r="K3498" i="33"/>
  <c r="P3498" i="33" s="1"/>
  <c r="K3500" i="33"/>
  <c r="P3500" i="33" s="1"/>
  <c r="K3506" i="33"/>
  <c r="P3506" i="33" s="1"/>
  <c r="K3505" i="33"/>
  <c r="P3505" i="33" s="1"/>
  <c r="K3501" i="33"/>
  <c r="P3501" i="33" s="1"/>
  <c r="K3507" i="33"/>
  <c r="P3507" i="33" s="1"/>
  <c r="K3496" i="33"/>
  <c r="P3496" i="33" s="1"/>
  <c r="K3497" i="33"/>
  <c r="P3497" i="33" s="1"/>
  <c r="K3504" i="33"/>
  <c r="P3504" i="33" s="1"/>
  <c r="K3557" i="33"/>
  <c r="P3557" i="33" s="1"/>
  <c r="K3556" i="33"/>
  <c r="P3556" i="33" s="1"/>
  <c r="K3551" i="33"/>
  <c r="P3551" i="33" s="1"/>
  <c r="K3552" i="33"/>
  <c r="P3552" i="33" s="1"/>
  <c r="K3652" i="33"/>
  <c r="P3652" i="33" s="1"/>
  <c r="K3643" i="33"/>
  <c r="P3643" i="33" s="1"/>
  <c r="K3648" i="33"/>
  <c r="P3648" i="33" s="1"/>
  <c r="K3645" i="33"/>
  <c r="P3645" i="33" s="1"/>
  <c r="K3649" i="33"/>
  <c r="P3649" i="33" s="1"/>
  <c r="K3644" i="33"/>
  <c r="P3644" i="33" s="1"/>
  <c r="K3647" i="33"/>
  <c r="P3647" i="33" s="1"/>
  <c r="K3436" i="33"/>
  <c r="P3436" i="33" s="1"/>
  <c r="K3435" i="33"/>
  <c r="P3435" i="33" s="1"/>
  <c r="K3438" i="33"/>
  <c r="P3438" i="33" s="1"/>
  <c r="K3453" i="33"/>
  <c r="P3453" i="33" s="1"/>
  <c r="K3447" i="33"/>
  <c r="P3447" i="33" s="1"/>
  <c r="K3449" i="33"/>
  <c r="P3449" i="33" s="1"/>
  <c r="K3443" i="33"/>
  <c r="P3443" i="33" s="1"/>
  <c r="K3446" i="33"/>
  <c r="P3446" i="33" s="1"/>
  <c r="K3442" i="33"/>
  <c r="P3442" i="33" s="1"/>
  <c r="K3439" i="33"/>
  <c r="P3439" i="33" s="1"/>
  <c r="K3450" i="33"/>
  <c r="P3450" i="33" s="1"/>
  <c r="K3440" i="33"/>
  <c r="P3440" i="33" s="1"/>
  <c r="K3444" i="33"/>
  <c r="P3444" i="33" s="1"/>
  <c r="K3448" i="33"/>
  <c r="P3448" i="33" s="1"/>
  <c r="K3585" i="33"/>
  <c r="P3585" i="33" s="1"/>
  <c r="K3588" i="33"/>
  <c r="P3588" i="33" s="1"/>
  <c r="K3587" i="33"/>
  <c r="P3587" i="33" s="1"/>
  <c r="K3586" i="33"/>
  <c r="P3586" i="33" s="1"/>
  <c r="K3594" i="33"/>
  <c r="P3594" i="33" s="1"/>
  <c r="K3593" i="33"/>
  <c r="P3593" i="33" s="1"/>
  <c r="K3484" i="33"/>
  <c r="P3484" i="33" s="1"/>
  <c r="K3464" i="33"/>
  <c r="P3464" i="33" s="1"/>
  <c r="K3483" i="33"/>
  <c r="P3483" i="33" s="1"/>
  <c r="K3465" i="33"/>
  <c r="P3465" i="33" s="1"/>
  <c r="K3463" i="33"/>
  <c r="P3463" i="33" s="1"/>
  <c r="K3482" i="33"/>
  <c r="P3482" i="33" s="1"/>
  <c r="K3473" i="33"/>
  <c r="P3473" i="33" s="1"/>
  <c r="K3476" i="33"/>
  <c r="P3476" i="33" s="1"/>
  <c r="K3472" i="33"/>
  <c r="P3472" i="33" s="1"/>
  <c r="K3468" i="33"/>
  <c r="P3468" i="33" s="1"/>
  <c r="K3479" i="33"/>
  <c r="P3479" i="33" s="1"/>
  <c r="K3467" i="33"/>
  <c r="P3467" i="33" s="1"/>
  <c r="K3471" i="33"/>
  <c r="P3471" i="33" s="1"/>
  <c r="K3478" i="33"/>
  <c r="P3478" i="33" s="1"/>
  <c r="K3477" i="33"/>
  <c r="P3477" i="33" s="1"/>
  <c r="K3475" i="33"/>
  <c r="P3475" i="33" s="1"/>
  <c r="K3469" i="33"/>
  <c r="P3469" i="33" s="1"/>
  <c r="K3533" i="33"/>
  <c r="P3533" i="33" s="1"/>
  <c r="K3542" i="33"/>
  <c r="P3542" i="33" s="1"/>
  <c r="K3522" i="33"/>
  <c r="P3522" i="33" s="1"/>
  <c r="K3541" i="33"/>
  <c r="P3541" i="33" s="1"/>
  <c r="K3523" i="33"/>
  <c r="P3523" i="33" s="1"/>
  <c r="K3540" i="33"/>
  <c r="P3540" i="33" s="1"/>
  <c r="K3525" i="33"/>
  <c r="P3525" i="33" s="1"/>
  <c r="K3530" i="33"/>
  <c r="P3530" i="33" s="1"/>
  <c r="K3531" i="33"/>
  <c r="P3531" i="33" s="1"/>
  <c r="K3536" i="33"/>
  <c r="P3536" i="33" s="1"/>
  <c r="K3534" i="33"/>
  <c r="P3534" i="33" s="1"/>
  <c r="K3537" i="33"/>
  <c r="P3537" i="33" s="1"/>
  <c r="K3527" i="33"/>
  <c r="P3527" i="33" s="1"/>
  <c r="K3526" i="33"/>
  <c r="P3526" i="33" s="1"/>
  <c r="K3529" i="33"/>
  <c r="P3529" i="33" s="1"/>
  <c r="K3535" i="33"/>
  <c r="P3535" i="33" s="1"/>
  <c r="K3620" i="33"/>
  <c r="P3620" i="33" s="1"/>
  <c r="K3633" i="33"/>
  <c r="P3633" i="33" s="1"/>
  <c r="K3632" i="33"/>
  <c r="P3632" i="33" s="1"/>
  <c r="K3624" i="33"/>
  <c r="P3624" i="33" s="1"/>
  <c r="K3629" i="33"/>
  <c r="P3629" i="33" s="1"/>
  <c r="K3627" i="33"/>
  <c r="P3627" i="33" s="1"/>
  <c r="K3628" i="33"/>
  <c r="P3628" i="33" s="1"/>
  <c r="K3625" i="33"/>
  <c r="P3625" i="33" s="1"/>
  <c r="K3622" i="33"/>
  <c r="P3622" i="33" s="1"/>
  <c r="K3623" i="33"/>
  <c r="P3623" i="33" s="1"/>
  <c r="K3671" i="33"/>
  <c r="K3663" i="33"/>
  <c r="K3666" i="33"/>
  <c r="K3668" i="33"/>
  <c r="K3662" i="33"/>
  <c r="K3678" i="33"/>
  <c r="K3667" i="33"/>
  <c r="K3672" i="33"/>
  <c r="K3665" i="33"/>
  <c r="K3669" i="33"/>
  <c r="K3679" i="33"/>
  <c r="K3673" i="33"/>
  <c r="K3705" i="33"/>
  <c r="K3692" i="33"/>
  <c r="K3696" i="33"/>
  <c r="K3689" i="33"/>
  <c r="K3694" i="33"/>
  <c r="K3704" i="33"/>
  <c r="K3698" i="33"/>
  <c r="K3699" i="33"/>
  <c r="K3697" i="33"/>
  <c r="K3693" i="33"/>
  <c r="K3691" i="33"/>
  <c r="K3695" i="33"/>
  <c r="K3715" i="33"/>
  <c r="K3721" i="33"/>
  <c r="K3717" i="33"/>
  <c r="K3716" i="33"/>
  <c r="K11303" i="33"/>
  <c r="K11302" i="33"/>
  <c r="K11206" i="33"/>
  <c r="K11209" i="33"/>
  <c r="P11209" i="33" s="1"/>
  <c r="K11208" i="33"/>
  <c r="P11208" i="33" s="1"/>
  <c r="K11211" i="33"/>
  <c r="P11211" i="33" s="1"/>
  <c r="K11210" i="33"/>
  <c r="P11210" i="33" s="1"/>
  <c r="K11167" i="33"/>
  <c r="P11167" i="33" s="1"/>
  <c r="K11174" i="33"/>
  <c r="K11172" i="33"/>
  <c r="P11172" i="33" s="1"/>
  <c r="K11171" i="33"/>
  <c r="P11171" i="33" s="1"/>
  <c r="K11170" i="33"/>
  <c r="P11170" i="33" s="1"/>
  <c r="K11169" i="33"/>
  <c r="P11169" i="33" s="1"/>
  <c r="K11168" i="33"/>
  <c r="P11168" i="33" s="1"/>
  <c r="K11176" i="33"/>
  <c r="K11177" i="33"/>
  <c r="K2758" i="33"/>
  <c r="P2758" i="33" s="1"/>
  <c r="P11002" i="33"/>
  <c r="P11005" i="33"/>
  <c r="P11001" i="33"/>
  <c r="P11003" i="33"/>
  <c r="P11004" i="33"/>
  <c r="P10994" i="33"/>
  <c r="P10993" i="33"/>
  <c r="P10991" i="33"/>
  <c r="P10992" i="33"/>
  <c r="O10927" i="33"/>
  <c r="P10927" i="33" s="1"/>
  <c r="K10932" i="33"/>
  <c r="K10941" i="33"/>
  <c r="P10941" i="33" s="1"/>
  <c r="K10940" i="33"/>
  <c r="P10940" i="33" s="1"/>
  <c r="K10936" i="33"/>
  <c r="K10935" i="33"/>
  <c r="K10937" i="33"/>
  <c r="K10938" i="33"/>
  <c r="K10934" i="33"/>
  <c r="P10932" i="33"/>
  <c r="O10869" i="33"/>
  <c r="K928" i="33"/>
  <c r="P928" i="33" s="1"/>
  <c r="K10694" i="33"/>
  <c r="P10694" i="33" s="1"/>
  <c r="K10698" i="33"/>
  <c r="P10698" i="33" s="1"/>
  <c r="K2785" i="33"/>
  <c r="K10419" i="33"/>
  <c r="K1633" i="33"/>
  <c r="K4105" i="33"/>
  <c r="N7172" i="33"/>
  <c r="P1271" i="33"/>
  <c r="P2368" i="33"/>
  <c r="K3803" i="33"/>
  <c r="P3803" i="33" s="1"/>
  <c r="N6485" i="33"/>
  <c r="P811" i="33"/>
  <c r="O2872" i="33"/>
  <c r="O5629" i="33"/>
  <c r="K434" i="33"/>
  <c r="P434" i="33" s="1"/>
  <c r="P1398" i="33"/>
  <c r="P2410" i="33"/>
  <c r="N6105" i="33"/>
  <c r="N6679" i="33"/>
  <c r="K9580" i="33"/>
  <c r="K9494" i="33"/>
  <c r="N6699" i="33"/>
  <c r="C18" i="5"/>
  <c r="C27" i="5"/>
  <c r="C36" i="5"/>
  <c r="C45" i="5"/>
  <c r="C53" i="5"/>
  <c r="C70" i="5"/>
  <c r="C79" i="5"/>
  <c r="C88" i="5"/>
  <c r="C108" i="5"/>
  <c r="C116" i="5"/>
  <c r="C124" i="5"/>
  <c r="C132" i="5"/>
  <c r="C149" i="5"/>
  <c r="C168" i="5"/>
  <c r="D62" i="31"/>
  <c r="D22" i="7"/>
  <c r="C19" i="5"/>
  <c r="C28" i="5"/>
  <c r="C38" i="5"/>
  <c r="C46" i="5"/>
  <c r="C71" i="5"/>
  <c r="C89" i="5"/>
  <c r="C109" i="5"/>
  <c r="C117" i="5"/>
  <c r="C125" i="5"/>
  <c r="C133" i="5"/>
  <c r="C142" i="5"/>
  <c r="C160" i="5"/>
  <c r="C171" i="5"/>
  <c r="D9" i="7"/>
  <c r="D106" i="31"/>
  <c r="C8" i="5"/>
  <c r="C20" i="5"/>
  <c r="C39" i="5"/>
  <c r="C47" i="5"/>
  <c r="C55" i="5"/>
  <c r="C63" i="5"/>
  <c r="C90" i="5"/>
  <c r="C102" i="5"/>
  <c r="C110" i="5"/>
  <c r="C118" i="5"/>
  <c r="C126" i="5"/>
  <c r="C134" i="5"/>
  <c r="C143" i="5"/>
  <c r="C151" i="5"/>
  <c r="C161" i="5"/>
  <c r="C172" i="5"/>
  <c r="D325" i="31"/>
  <c r="D5" i="7"/>
  <c r="C9" i="5"/>
  <c r="C21" i="5"/>
  <c r="C30" i="5"/>
  <c r="C40" i="5"/>
  <c r="C64" i="5"/>
  <c r="C73" i="5"/>
  <c r="C83" i="5"/>
  <c r="C92" i="5"/>
  <c r="C103" i="5"/>
  <c r="C119" i="5"/>
  <c r="C127" i="5"/>
  <c r="C144" i="5"/>
  <c r="C152" i="5"/>
  <c r="C162" i="5"/>
  <c r="C173" i="5"/>
  <c r="D81" i="31"/>
  <c r="D320" i="31"/>
  <c r="D79" i="31"/>
  <c r="C22" i="5"/>
  <c r="C31" i="5"/>
  <c r="C41" i="5"/>
  <c r="C57" i="5"/>
  <c r="C66" i="5"/>
  <c r="C74" i="5"/>
  <c r="C84" i="5"/>
  <c r="C93" i="5"/>
  <c r="C104" i="5"/>
  <c r="C112" i="5"/>
  <c r="C120" i="5"/>
  <c r="C128" i="5"/>
  <c r="C136" i="5"/>
  <c r="C145" i="5"/>
  <c r="C153" i="5"/>
  <c r="C163" i="5"/>
  <c r="D339" i="31"/>
  <c r="D306" i="31"/>
  <c r="C14" i="5"/>
  <c r="C23" i="5"/>
  <c r="C32" i="5"/>
  <c r="C50" i="5"/>
  <c r="C67" i="5"/>
  <c r="C76" i="5"/>
  <c r="C85" i="5"/>
  <c r="C105" i="5"/>
  <c r="C113" i="5"/>
  <c r="C121" i="5"/>
  <c r="C129" i="5"/>
  <c r="C137" i="5"/>
  <c r="C146" i="5"/>
  <c r="C154" i="5"/>
  <c r="D338" i="31"/>
  <c r="D302" i="31"/>
  <c r="D101" i="31"/>
  <c r="D78" i="31"/>
  <c r="C15" i="5"/>
  <c r="C77" i="5"/>
  <c r="C86" i="5"/>
  <c r="C114" i="5"/>
  <c r="C122" i="5"/>
  <c r="C130" i="5"/>
  <c r="C138" i="5"/>
  <c r="C165" i="5"/>
  <c r="D337" i="31"/>
  <c r="D178" i="31"/>
  <c r="D129" i="31"/>
  <c r="C17" i="5"/>
  <c r="C26" i="5"/>
  <c r="C35" i="5"/>
  <c r="C52" i="5"/>
  <c r="C78" i="5"/>
  <c r="C87" i="5"/>
  <c r="C115" i="5"/>
  <c r="C123" i="5"/>
  <c r="C148" i="5"/>
  <c r="C157" i="5"/>
  <c r="D229" i="31"/>
  <c r="D96" i="31"/>
  <c r="D25" i="31"/>
  <c r="D26" i="31"/>
  <c r="D16" i="7"/>
  <c r="D94" i="31"/>
  <c r="D125" i="31"/>
  <c r="D232" i="31"/>
  <c r="K1349" i="33"/>
  <c r="P1349" i="33" s="1"/>
  <c r="P2396" i="33"/>
  <c r="O10703" i="33"/>
  <c r="P10703" i="33" s="1"/>
  <c r="K2058" i="33"/>
  <c r="P2058" i="33" s="1"/>
  <c r="K8499" i="33"/>
  <c r="P8499" i="33" s="1"/>
  <c r="K8491" i="33"/>
  <c r="P8491" i="33" s="1"/>
  <c r="K9131" i="33"/>
  <c r="P9131" i="33" s="1"/>
  <c r="K3276" i="33"/>
  <c r="P3276" i="33" s="1"/>
  <c r="N11261" i="33"/>
  <c r="K2392" i="33"/>
  <c r="P2392" i="33" s="1"/>
  <c r="K3187" i="33"/>
  <c r="P3187" i="33" s="1"/>
  <c r="K3130" i="33"/>
  <c r="P3130" i="33" s="1"/>
  <c r="K3159" i="33"/>
  <c r="P3159" i="33" s="1"/>
  <c r="P1592" i="33"/>
  <c r="K2949" i="33"/>
  <c r="P2949" i="33" s="1"/>
  <c r="K2975" i="33"/>
  <c r="P2975" i="33" s="1"/>
  <c r="K3067" i="33"/>
  <c r="P3067" i="33" s="1"/>
  <c r="K3115" i="33"/>
  <c r="P3115" i="33" s="1"/>
  <c r="K3008" i="33"/>
  <c r="P3008" i="33" s="1"/>
  <c r="N6124" i="33"/>
  <c r="P2914" i="33"/>
  <c r="K3788" i="33"/>
  <c r="P3788" i="33" s="1"/>
  <c r="K3804" i="33"/>
  <c r="P3804" i="33" s="1"/>
  <c r="K3993" i="33"/>
  <c r="P3993" i="33" s="1"/>
  <c r="K2699" i="33"/>
  <c r="P2699" i="33" s="1"/>
  <c r="K3789" i="33"/>
  <c r="P3789" i="33" s="1"/>
  <c r="N2996" i="33"/>
  <c r="K3032" i="33"/>
  <c r="P3032" i="33" s="1"/>
  <c r="K3808" i="33"/>
  <c r="P3808" i="33" s="1"/>
  <c r="N2742" i="33"/>
  <c r="K3799" i="33"/>
  <c r="P3799" i="33" s="1"/>
  <c r="O2382" i="33"/>
  <c r="P2382" i="33" s="1"/>
  <c r="K3784" i="33"/>
  <c r="P3784" i="33" s="1"/>
  <c r="P2017" i="33"/>
  <c r="K2258" i="33"/>
  <c r="P2258" i="33" s="1"/>
  <c r="K2718" i="33"/>
  <c r="P2718" i="33" s="1"/>
  <c r="K7146" i="33"/>
  <c r="P7146" i="33" s="1"/>
  <c r="N1420" i="33"/>
  <c r="P1549" i="33"/>
  <c r="K6533" i="33"/>
  <c r="P6533" i="33" s="1"/>
  <c r="K4261" i="33"/>
  <c r="P4261" i="33" s="1"/>
  <c r="K5657" i="33"/>
  <c r="P5657" i="33" s="1"/>
  <c r="N186" i="33"/>
  <c r="O1989" i="33"/>
  <c r="P1989" i="33" s="1"/>
  <c r="O1966" i="33"/>
  <c r="N5207" i="33"/>
  <c r="N5227" i="33"/>
  <c r="K5363" i="33"/>
  <c r="P5363" i="33" s="1"/>
  <c r="N6041" i="33"/>
  <c r="N6127" i="33"/>
  <c r="N6146" i="33"/>
  <c r="N351" i="33"/>
  <c r="N542" i="33"/>
  <c r="O838" i="33"/>
  <c r="P838" i="33" s="1"/>
  <c r="N2238" i="33"/>
  <c r="N2257" i="33"/>
  <c r="P2354" i="33"/>
  <c r="K909" i="33"/>
  <c r="P909" i="33" s="1"/>
  <c r="K1880" i="33"/>
  <c r="P1880" i="33" s="1"/>
  <c r="O5065" i="33"/>
  <c r="P5065" i="33" s="1"/>
  <c r="O6319" i="33"/>
  <c r="P6319" i="33" s="1"/>
  <c r="N6370" i="33"/>
  <c r="P6909" i="33"/>
  <c r="K1730" i="33"/>
  <c r="P1730" i="33" s="1"/>
  <c r="K1735" i="33"/>
  <c r="P1735" i="33" s="1"/>
  <c r="N718" i="33"/>
  <c r="K3270" i="33"/>
  <c r="P3270" i="33" s="1"/>
  <c r="K3839" i="33"/>
  <c r="P3839" i="33" s="1"/>
  <c r="P6247" i="33"/>
  <c r="K9110" i="33"/>
  <c r="P9110" i="33" s="1"/>
  <c r="N2158" i="33"/>
  <c r="O1017" i="33"/>
  <c r="P1017" i="33" s="1"/>
  <c r="O1951" i="33"/>
  <c r="P1951" i="33" s="1"/>
  <c r="K2072" i="33"/>
  <c r="P2072" i="33" s="1"/>
  <c r="K8915" i="33"/>
  <c r="P8915" i="33" s="1"/>
  <c r="P1966" i="33"/>
  <c r="P2424" i="33"/>
  <c r="P2886" i="33"/>
  <c r="N6143" i="33"/>
  <c r="N5090" i="33"/>
  <c r="N7818" i="33"/>
  <c r="K215" i="33"/>
  <c r="P215" i="33" s="1"/>
  <c r="N907" i="33"/>
  <c r="P2900" i="33"/>
  <c r="O6640" i="33"/>
  <c r="P6640" i="33" s="1"/>
  <c r="K7785" i="33"/>
  <c r="P7785" i="33" s="1"/>
  <c r="N2722" i="33"/>
  <c r="N6737" i="33"/>
  <c r="O6291" i="33"/>
  <c r="P6291" i="33" s="1"/>
  <c r="O797" i="33"/>
  <c r="P797" i="33" s="1"/>
  <c r="K7148" i="33"/>
  <c r="P7148" i="33" s="1"/>
  <c r="N4259" i="33"/>
  <c r="K4885" i="33"/>
  <c r="P4885" i="33" s="1"/>
  <c r="O4946" i="33"/>
  <c r="P4946" i="33" s="1"/>
  <c r="N5268" i="33"/>
  <c r="N7349" i="33"/>
  <c r="O7875" i="33"/>
  <c r="O7863" i="33" s="1"/>
  <c r="P7863" i="33" s="1"/>
  <c r="O8415" i="33"/>
  <c r="O8405" i="33" s="1"/>
  <c r="P8405" i="33" s="1"/>
  <c r="N8814" i="33"/>
  <c r="N2053" i="33"/>
  <c r="N2249" i="33"/>
  <c r="N2649" i="33"/>
  <c r="N6718" i="33"/>
  <c r="P2858" i="33"/>
  <c r="K6269" i="33"/>
  <c r="K6268" i="33"/>
  <c r="P6268" i="33" s="1"/>
  <c r="O7125" i="33"/>
  <c r="K7165" i="33"/>
  <c r="P7165" i="33" s="1"/>
  <c r="K8470" i="33"/>
  <c r="P8470" i="33" s="1"/>
  <c r="O917" i="33"/>
  <c r="O915" i="33" s="1"/>
  <c r="K1679" i="33"/>
  <c r="P1679" i="33" s="1"/>
  <c r="N3181" i="33"/>
  <c r="P4488" i="33"/>
  <c r="K7331" i="33"/>
  <c r="P7331" i="33" s="1"/>
  <c r="O9673" i="33"/>
  <c r="P9673" i="33" s="1"/>
  <c r="N5694" i="33"/>
  <c r="N6590" i="33"/>
  <c r="N3054" i="33"/>
  <c r="O4622" i="33"/>
  <c r="P4622" i="33" s="1"/>
  <c r="K7681" i="33"/>
  <c r="P7681" i="33" s="1"/>
  <c r="N8497" i="33"/>
  <c r="K9713" i="33"/>
  <c r="P9713" i="33" s="1"/>
  <c r="K1421" i="33"/>
  <c r="P1421" i="33" s="1"/>
  <c r="O2303" i="33"/>
  <c r="P2303" i="33" s="1"/>
  <c r="N5949" i="33"/>
  <c r="O6347" i="33"/>
  <c r="P6347" i="33" s="1"/>
  <c r="N214" i="33"/>
  <c r="O2031" i="33"/>
  <c r="P2031" i="33" s="1"/>
  <c r="N2590" i="33"/>
  <c r="N4199" i="33"/>
  <c r="K4253" i="33"/>
  <c r="P4253" i="33" s="1"/>
  <c r="P2844" i="33"/>
  <c r="N6408" i="33"/>
  <c r="K8798" i="33"/>
  <c r="O1175" i="33"/>
  <c r="P1175" i="33" s="1"/>
  <c r="N3025" i="33"/>
  <c r="K7248" i="33"/>
  <c r="P7248" i="33" s="1"/>
  <c r="K7953" i="33"/>
  <c r="P7953" i="33" s="1"/>
  <c r="K8055" i="33"/>
  <c r="P8055" i="33" s="1"/>
  <c r="P2003" i="33"/>
  <c r="K2740" i="33"/>
  <c r="P2740" i="33" s="1"/>
  <c r="N7191" i="33"/>
  <c r="K7625" i="33"/>
  <c r="P7625" i="33" s="1"/>
  <c r="N11192" i="33"/>
  <c r="N2460" i="33"/>
  <c r="P2872" i="33"/>
  <c r="P4016" i="33"/>
  <c r="K670" i="33"/>
  <c r="P670" i="33" s="1"/>
  <c r="N672" i="33"/>
  <c r="O5099" i="33"/>
  <c r="P5099" i="33" s="1"/>
  <c r="K6946" i="33"/>
  <c r="P6946" i="33" s="1"/>
  <c r="N7088" i="33"/>
  <c r="N7630" i="33"/>
  <c r="N1424" i="33"/>
  <c r="N1445" i="33"/>
  <c r="N2285" i="33"/>
  <c r="O4259" i="33"/>
  <c r="K5071" i="33"/>
  <c r="P5071" i="33" s="1"/>
  <c r="N5219" i="33"/>
  <c r="N6389" i="33"/>
  <c r="K11204" i="33"/>
  <c r="P11204" i="33" s="1"/>
  <c r="K238" i="33"/>
  <c r="P238" i="33" s="1"/>
  <c r="K3198" i="33"/>
  <c r="P3198" i="33" s="1"/>
  <c r="N3201" i="33"/>
  <c r="K4986" i="33"/>
  <c r="P4986" i="33" s="1"/>
  <c r="O5006" i="33"/>
  <c r="P5006" i="33" s="1"/>
  <c r="K5291" i="33"/>
  <c r="P5291" i="33" s="1"/>
  <c r="N6882" i="33"/>
  <c r="K7952" i="33"/>
  <c r="P7952" i="33" s="1"/>
  <c r="N8434" i="33"/>
  <c r="K361" i="33"/>
  <c r="P361" i="33" s="1"/>
  <c r="O1133" i="33"/>
  <c r="P1133" i="33" s="1"/>
  <c r="K1888" i="33"/>
  <c r="P1888" i="33" s="1"/>
  <c r="N1937" i="33"/>
  <c r="K4076" i="33"/>
  <c r="P4076" i="33" s="1"/>
  <c r="N4652" i="33"/>
  <c r="O5184" i="33"/>
  <c r="P5184" i="33" s="1"/>
  <c r="K5940" i="33"/>
  <c r="P5940" i="33" s="1"/>
  <c r="N5946" i="33"/>
  <c r="N6532" i="33"/>
  <c r="N6861" i="33"/>
  <c r="N7913" i="33"/>
  <c r="O9625" i="33"/>
  <c r="P9625" i="33" s="1"/>
  <c r="N860" i="33"/>
  <c r="N2536" i="33"/>
  <c r="K5961" i="33"/>
  <c r="P5961" i="33" s="1"/>
  <c r="K175" i="33"/>
  <c r="P175" i="33" s="1"/>
  <c r="N1480" i="33"/>
  <c r="K2219" i="33"/>
  <c r="P2219" i="33" s="1"/>
  <c r="N2482" i="33"/>
  <c r="K3932" i="33"/>
  <c r="P3932" i="33" s="1"/>
  <c r="N6060" i="33"/>
  <c r="K7945" i="33"/>
  <c r="P7945" i="33" s="1"/>
  <c r="N8797" i="33"/>
  <c r="K234" i="33"/>
  <c r="P234" i="33" s="1"/>
  <c r="K2286" i="33"/>
  <c r="P2286" i="33" s="1"/>
  <c r="N5260" i="33"/>
  <c r="K5348" i="33"/>
  <c r="P5348" i="33" s="1"/>
  <c r="K5962" i="33"/>
  <c r="P5962" i="33" s="1"/>
  <c r="O408" i="33"/>
  <c r="P408" i="33" s="1"/>
  <c r="K1309" i="33"/>
  <c r="P1309" i="33" s="1"/>
  <c r="O1525" i="33"/>
  <c r="P1525" i="33" s="1"/>
  <c r="K7575" i="33"/>
  <c r="P7575" i="33" s="1"/>
  <c r="K7645" i="33"/>
  <c r="P7645" i="33" s="1"/>
  <c r="N7744" i="33"/>
  <c r="O8959" i="33"/>
  <c r="P8959" i="33" s="1"/>
  <c r="K1105" i="33"/>
  <c r="P1105" i="33" s="1"/>
  <c r="N2598" i="33"/>
  <c r="N2992" i="33"/>
  <c r="K6791" i="33"/>
  <c r="P6791" i="33" s="1"/>
  <c r="P6795" i="33"/>
  <c r="K8336" i="33"/>
  <c r="P8336" i="33" s="1"/>
  <c r="N178" i="33"/>
  <c r="K375" i="33"/>
  <c r="P375" i="33" s="1"/>
  <c r="N431" i="33"/>
  <c r="K452" i="33"/>
  <c r="P452" i="33" s="1"/>
  <c r="K621" i="33"/>
  <c r="P621" i="33" s="1"/>
  <c r="P1384" i="33"/>
  <c r="K2591" i="33"/>
  <c r="P2591" i="33" s="1"/>
  <c r="O2809" i="33"/>
  <c r="P2809" i="33" s="1"/>
  <c r="N3147" i="33"/>
  <c r="N3225" i="33"/>
  <c r="N3232" i="33"/>
  <c r="O3797" i="33"/>
  <c r="P3797" i="33" s="1"/>
  <c r="K4109" i="33"/>
  <c r="P4109" i="33" s="1"/>
  <c r="K5164" i="33"/>
  <c r="P5164" i="33" s="1"/>
  <c r="O5370" i="33"/>
  <c r="P5370" i="33" s="1"/>
  <c r="K6091" i="33"/>
  <c r="P6091" i="33" s="1"/>
  <c r="K6927" i="33"/>
  <c r="P6927" i="33" s="1"/>
  <c r="N6955" i="33"/>
  <c r="K9118" i="33"/>
  <c r="P9118" i="33" s="1"/>
  <c r="K9384" i="33"/>
  <c r="P9384" i="33" s="1"/>
  <c r="K254" i="33"/>
  <c r="P254" i="33" s="1"/>
  <c r="K1645" i="33"/>
  <c r="P1645" i="33" s="1"/>
  <c r="K2533" i="33"/>
  <c r="P2533" i="33" s="1"/>
  <c r="K3142" i="33"/>
  <c r="P3142" i="33" s="1"/>
  <c r="K3742" i="33"/>
  <c r="P3742" i="33" s="1"/>
  <c r="R3736" i="33" s="1"/>
  <c r="O3782" i="33"/>
  <c r="P3782" i="33" s="1"/>
  <c r="N4904" i="33"/>
  <c r="K4988" i="33"/>
  <c r="P4988" i="33" s="1"/>
  <c r="K5191" i="33"/>
  <c r="P5191" i="33" s="1"/>
  <c r="K5264" i="33"/>
  <c r="P5264" i="33" s="1"/>
  <c r="N5656" i="33"/>
  <c r="N5862" i="33"/>
  <c r="N5824" i="33"/>
  <c r="K5967" i="33"/>
  <c r="P5967" i="33" s="1"/>
  <c r="K6033" i="33"/>
  <c r="P6033" i="33" s="1"/>
  <c r="K6428" i="33"/>
  <c r="P6428" i="33" s="1"/>
  <c r="K7154" i="33"/>
  <c r="P7154" i="33" s="1"/>
  <c r="K7632" i="33"/>
  <c r="P7632" i="33" s="1"/>
  <c r="K7671" i="33"/>
  <c r="P7671" i="33" s="1"/>
  <c r="O7752" i="33"/>
  <c r="N7894" i="33"/>
  <c r="K9031" i="33"/>
  <c r="P9031" i="33" s="1"/>
  <c r="O10688" i="33"/>
  <c r="P10688" i="33" s="1"/>
  <c r="K10766" i="33"/>
  <c r="P10766" i="33" s="1"/>
  <c r="N10797" i="33"/>
  <c r="O1118" i="33"/>
  <c r="P1118" i="33" s="1"/>
  <c r="N2104" i="33"/>
  <c r="O2286" i="33"/>
  <c r="O2285" i="33" s="1"/>
  <c r="N2532" i="33"/>
  <c r="N2565" i="33"/>
  <c r="N2671" i="33"/>
  <c r="K2700" i="33"/>
  <c r="P2700" i="33" s="1"/>
  <c r="K3048" i="33"/>
  <c r="P3048" i="33" s="1"/>
  <c r="K3133" i="33"/>
  <c r="P3133" i="33" s="1"/>
  <c r="O3736" i="33"/>
  <c r="P3736" i="33" s="1"/>
  <c r="N4600" i="33"/>
  <c r="P5819" i="33"/>
  <c r="K6220" i="33"/>
  <c r="P6220" i="33" s="1"/>
  <c r="N6427" i="33"/>
  <c r="K6522" i="33"/>
  <c r="P6522" i="33" s="1"/>
  <c r="K6516" i="33"/>
  <c r="P6516" i="33" s="1"/>
  <c r="O6540" i="33"/>
  <c r="K9045" i="33"/>
  <c r="P9045" i="33" s="1"/>
  <c r="K9053" i="33"/>
  <c r="P9053" i="33" s="1"/>
  <c r="K9052" i="33"/>
  <c r="P9052" i="33" s="1"/>
  <c r="K9049" i="33"/>
  <c r="P9049" i="33" s="1"/>
  <c r="K9050" i="33"/>
  <c r="P9050" i="33" s="1"/>
  <c r="P10717" i="33"/>
  <c r="K11090" i="33"/>
  <c r="P11090" i="33" s="1"/>
  <c r="O9416" i="33"/>
  <c r="P9416" i="33" s="1"/>
  <c r="P9611" i="33"/>
  <c r="P824" i="33"/>
  <c r="K845" i="33"/>
  <c r="P845" i="33" s="1"/>
  <c r="N1472" i="33"/>
  <c r="K2534" i="33"/>
  <c r="P2534" i="33" s="1"/>
  <c r="N3021" i="33"/>
  <c r="K3106" i="33"/>
  <c r="P3106" i="33" s="1"/>
  <c r="K5030" i="33"/>
  <c r="P5030" i="33" s="1"/>
  <c r="K6429" i="33"/>
  <c r="P6429" i="33" s="1"/>
  <c r="K7155" i="33"/>
  <c r="P7155" i="33" s="1"/>
  <c r="O8898" i="33"/>
  <c r="P8898" i="33" s="1"/>
  <c r="O9137" i="33"/>
  <c r="O9126" i="33" s="1"/>
  <c r="P9126" i="33" s="1"/>
  <c r="K9386" i="33"/>
  <c r="P9386" i="33" s="1"/>
  <c r="K181" i="33"/>
  <c r="P181" i="33" s="1"/>
  <c r="N332" i="33"/>
  <c r="K625" i="33"/>
  <c r="P625" i="33" s="1"/>
  <c r="K1086" i="33"/>
  <c r="P1086" i="33" s="1"/>
  <c r="K1717" i="33"/>
  <c r="P1717" i="33" s="1"/>
  <c r="K1736" i="33"/>
  <c r="P1736" i="33" s="1"/>
  <c r="N1933" i="33"/>
  <c r="K1968" i="33"/>
  <c r="P1968" i="33" s="1"/>
  <c r="K2051" i="33"/>
  <c r="P2051" i="33" s="1"/>
  <c r="K3916" i="33"/>
  <c r="P3916" i="33" s="1"/>
  <c r="P6262" i="33"/>
  <c r="O6563" i="33"/>
  <c r="P6563" i="33" s="1"/>
  <c r="K7971" i="33"/>
  <c r="P7971" i="33" s="1"/>
  <c r="O7979" i="33"/>
  <c r="P7979" i="33" s="1"/>
  <c r="O8913" i="33"/>
  <c r="P8913" i="33" s="1"/>
  <c r="O8974" i="33"/>
  <c r="P8974" i="33" s="1"/>
  <c r="O9042" i="33"/>
  <c r="P9042" i="33" s="1"/>
  <c r="K11147" i="33"/>
  <c r="P11147" i="33" s="1"/>
  <c r="N11155" i="33"/>
  <c r="K11309" i="33"/>
  <c r="P11309" i="33" s="1"/>
  <c r="N274" i="33"/>
  <c r="N278" i="33"/>
  <c r="N772" i="33"/>
  <c r="N1085" i="33"/>
  <c r="K1310" i="33"/>
  <c r="P1310" i="33" s="1"/>
  <c r="N2738" i="33"/>
  <c r="K3124" i="33"/>
  <c r="P3124" i="33" s="1"/>
  <c r="K3899" i="33"/>
  <c r="P3899" i="33" s="1"/>
  <c r="O3909" i="33"/>
  <c r="P3909" i="33" s="1"/>
  <c r="O4076" i="33"/>
  <c r="N4103" i="33"/>
  <c r="O4883" i="33"/>
  <c r="P4883" i="33" s="1"/>
  <c r="K4991" i="33"/>
  <c r="P4991" i="33" s="1"/>
  <c r="K5038" i="33"/>
  <c r="P5038" i="33" s="1"/>
  <c r="N5247" i="33"/>
  <c r="O6127" i="33"/>
  <c r="O6429" i="33"/>
  <c r="N6540" i="33"/>
  <c r="K7361" i="33"/>
  <c r="P7361" i="33" s="1"/>
  <c r="K7376" i="33"/>
  <c r="P7376" i="33" s="1"/>
  <c r="P7543" i="33"/>
  <c r="K7778" i="33"/>
  <c r="P7778" i="33" s="1"/>
  <c r="P8379" i="33"/>
  <c r="N8456" i="33"/>
  <c r="N8477" i="33"/>
  <c r="K534" i="33"/>
  <c r="P534" i="33" s="1"/>
  <c r="O1161" i="33"/>
  <c r="P1161" i="33" s="1"/>
  <c r="N3251" i="33"/>
  <c r="O3991" i="33"/>
  <c r="P3991" i="33" s="1"/>
  <c r="O5308" i="33"/>
  <c r="N5346" i="33"/>
  <c r="K5745" i="33"/>
  <c r="P5745" i="33" s="1"/>
  <c r="N6242" i="33"/>
  <c r="K6935" i="33"/>
  <c r="P6935" i="33" s="1"/>
  <c r="N7311" i="33"/>
  <c r="I7738" i="33"/>
  <c r="I7737" i="33" s="1"/>
  <c r="K414" i="33"/>
  <c r="P414" i="33" s="1"/>
  <c r="K476" i="33"/>
  <c r="P476" i="33" s="1"/>
  <c r="K627" i="33"/>
  <c r="P627" i="33" s="1"/>
  <c r="K1318" i="33"/>
  <c r="P1318" i="33" s="1"/>
  <c r="O1362" i="33"/>
  <c r="P1362" i="33" s="1"/>
  <c r="N1677" i="33"/>
  <c r="K1908" i="33"/>
  <c r="P1908" i="33" s="1"/>
  <c r="N2594" i="33"/>
  <c r="N2760" i="33"/>
  <c r="N2766" i="33"/>
  <c r="K3052" i="33"/>
  <c r="P3052" i="33" s="1"/>
  <c r="K3248" i="33"/>
  <c r="P3248" i="33" s="1"/>
  <c r="N4107" i="33"/>
  <c r="O4305" i="33"/>
  <c r="P4305" i="33" s="1"/>
  <c r="N5027" i="33"/>
  <c r="N5301" i="33"/>
  <c r="K5798" i="33"/>
  <c r="P5798" i="33" s="1"/>
  <c r="N6997" i="33"/>
  <c r="K8040" i="33"/>
  <c r="P8040" i="33" s="1"/>
  <c r="P8366" i="33"/>
  <c r="O448" i="33"/>
  <c r="P448" i="33" s="1"/>
  <c r="K5242" i="33"/>
  <c r="P5242" i="33" s="1"/>
  <c r="K5032" i="33"/>
  <c r="P5032" i="33" s="1"/>
  <c r="K4909" i="33"/>
  <c r="P4909" i="33" s="1"/>
  <c r="K2571" i="33"/>
  <c r="P2571" i="33" s="1"/>
  <c r="K5856" i="33"/>
  <c r="K2234" i="33"/>
  <c r="P2234" i="33" s="1"/>
  <c r="K3091" i="33"/>
  <c r="P3091" i="33" s="1"/>
  <c r="K2701" i="33"/>
  <c r="P2701" i="33" s="1"/>
  <c r="O110" i="33"/>
  <c r="P110" i="33" s="1"/>
  <c r="K1939" i="33"/>
  <c r="P1939" i="33" s="1"/>
  <c r="O4105" i="33"/>
  <c r="O4103" i="33" s="1"/>
  <c r="K2464" i="33"/>
  <c r="P2464" i="33" s="1"/>
  <c r="O1511" i="33"/>
  <c r="K225" i="33"/>
  <c r="P225" i="33" s="1"/>
  <c r="K567" i="33"/>
  <c r="P567" i="33" s="1"/>
  <c r="N620" i="33"/>
  <c r="K732" i="33"/>
  <c r="P732" i="33" s="1"/>
  <c r="K740" i="33"/>
  <c r="P740" i="33" s="1"/>
  <c r="O1039" i="33"/>
  <c r="O1030" i="33" s="1"/>
  <c r="P1030" i="33" s="1"/>
  <c r="K1095" i="33"/>
  <c r="P1095" i="33" s="1"/>
  <c r="K1210" i="33"/>
  <c r="P1210" i="33" s="1"/>
  <c r="K1347" i="33"/>
  <c r="P1347" i="33" s="1"/>
  <c r="O1693" i="33"/>
  <c r="P1693" i="33" s="1"/>
  <c r="K1861" i="33"/>
  <c r="P1861" i="33" s="1"/>
  <c r="K1866" i="33"/>
  <c r="P1866" i="33" s="1"/>
  <c r="N1887" i="33"/>
  <c r="K128" i="33"/>
  <c r="P128" i="33" s="1"/>
  <c r="H188" i="33"/>
  <c r="O188" i="33" s="1"/>
  <c r="O214" i="33"/>
  <c r="K252" i="33"/>
  <c r="P252" i="33" s="1"/>
  <c r="K327" i="33"/>
  <c r="P327" i="33" s="1"/>
  <c r="K462" i="33"/>
  <c r="P462" i="33" s="1"/>
  <c r="N477" i="33"/>
  <c r="K520" i="33"/>
  <c r="I519" i="33" s="1"/>
  <c r="K519" i="33" s="1"/>
  <c r="K537" i="33"/>
  <c r="P537" i="33" s="1"/>
  <c r="N579" i="33"/>
  <c r="K286" i="33"/>
  <c r="P286" i="33" s="1"/>
  <c r="K577" i="33"/>
  <c r="P577" i="33" s="1"/>
  <c r="O647" i="33"/>
  <c r="P647" i="33" s="1"/>
  <c r="K1110" i="33"/>
  <c r="P1110" i="33" s="1"/>
  <c r="O1348" i="33"/>
  <c r="O1445" i="33"/>
  <c r="K1513" i="33"/>
  <c r="P1513" i="33" s="1"/>
  <c r="K1527" i="33"/>
  <c r="P1527" i="33" s="1"/>
  <c r="K1649" i="33"/>
  <c r="P1649" i="33" s="1"/>
  <c r="K1940" i="33"/>
  <c r="P1940" i="33" s="1"/>
  <c r="K227" i="33"/>
  <c r="P227" i="33" s="1"/>
  <c r="K325" i="33"/>
  <c r="P325" i="33" s="1"/>
  <c r="K385" i="33"/>
  <c r="P385" i="33" s="1"/>
  <c r="N387" i="33"/>
  <c r="O638" i="33"/>
  <c r="O630" i="33" s="1"/>
  <c r="P630" i="33" s="1"/>
  <c r="K674" i="33"/>
  <c r="P674" i="33" s="1"/>
  <c r="O908" i="33"/>
  <c r="O907" i="33" s="1"/>
  <c r="K1103" i="33"/>
  <c r="P1103" i="33" s="1"/>
  <c r="K1215" i="33"/>
  <c r="P1215" i="33" s="1"/>
  <c r="K1317" i="33"/>
  <c r="P1317" i="33" s="1"/>
  <c r="K1427" i="33"/>
  <c r="K1455" i="33"/>
  <c r="P1455" i="33" s="1"/>
  <c r="K1447" i="33"/>
  <c r="P1447" i="33" s="1"/>
  <c r="N1453" i="33"/>
  <c r="P1564" i="33"/>
  <c r="P1606" i="33"/>
  <c r="N1623" i="33"/>
  <c r="K1646" i="33"/>
  <c r="P1646" i="33" s="1"/>
  <c r="N1666" i="33"/>
  <c r="O1679" i="33"/>
  <c r="N1685" i="33"/>
  <c r="K1901" i="33"/>
  <c r="P1901" i="33" s="1"/>
  <c r="O332" i="33"/>
  <c r="K707" i="33"/>
  <c r="P707" i="33" s="1"/>
  <c r="K861" i="33"/>
  <c r="P861" i="33" s="1"/>
  <c r="K916" i="33"/>
  <c r="P916" i="33" s="1"/>
  <c r="P915" i="33" s="1"/>
  <c r="O976" i="33"/>
  <c r="P976" i="33" s="1"/>
  <c r="P1003" i="33"/>
  <c r="O1101" i="33"/>
  <c r="P1101" i="33" s="1"/>
  <c r="N1416" i="33"/>
  <c r="K1442" i="33"/>
  <c r="P1442" i="33" s="1"/>
  <c r="K1652" i="33"/>
  <c r="P1652" i="33" s="1"/>
  <c r="K1883" i="33"/>
  <c r="P1883" i="33" s="1"/>
  <c r="O1940" i="33"/>
  <c r="O1937" i="33" s="1"/>
  <c r="O431" i="33"/>
  <c r="K435" i="33"/>
  <c r="P435" i="33" s="1"/>
  <c r="K543" i="33"/>
  <c r="P543" i="33" s="1"/>
  <c r="K573" i="33"/>
  <c r="P573" i="33" s="1"/>
  <c r="K739" i="33"/>
  <c r="P739" i="33" s="1"/>
  <c r="O1190" i="33"/>
  <c r="P1190" i="33" s="1"/>
  <c r="K1213" i="33"/>
  <c r="P1213" i="33" s="1"/>
  <c r="K1329" i="33"/>
  <c r="P1329" i="33" s="1"/>
  <c r="K1346" i="33"/>
  <c r="P1346" i="33" s="1"/>
  <c r="K1350" i="33"/>
  <c r="P1350" i="33" s="1"/>
  <c r="N1863" i="33"/>
  <c r="N173" i="33"/>
  <c r="K326" i="33"/>
  <c r="P326" i="33" s="1"/>
  <c r="K578" i="33"/>
  <c r="P578" i="33" s="1"/>
  <c r="K640" i="33"/>
  <c r="P640" i="33" s="1"/>
  <c r="N738" i="33"/>
  <c r="N1212" i="33"/>
  <c r="K1294" i="33"/>
  <c r="P1294" i="33" s="1"/>
  <c r="N1348" i="33"/>
  <c r="K1454" i="33"/>
  <c r="P1454" i="33" s="1"/>
  <c r="K1508" i="33"/>
  <c r="P1508" i="33" s="1"/>
  <c r="K1643" i="33"/>
  <c r="P1643" i="33" s="1"/>
  <c r="K1712" i="33"/>
  <c r="P1712" i="33" s="1"/>
  <c r="K1729" i="33"/>
  <c r="P1729" i="33" s="1"/>
  <c r="K1756" i="33"/>
  <c r="P1756" i="33" s="1"/>
  <c r="N1839" i="33"/>
  <c r="N206" i="33"/>
  <c r="K308" i="33"/>
  <c r="P308" i="33" s="1"/>
  <c r="K388" i="33"/>
  <c r="P388" i="33" s="1"/>
  <c r="K433" i="33"/>
  <c r="P433" i="33" s="1"/>
  <c r="K471" i="33"/>
  <c r="P471" i="33" s="1"/>
  <c r="K536" i="33"/>
  <c r="P536" i="33" s="1"/>
  <c r="K664" i="33"/>
  <c r="P664" i="33" s="1"/>
  <c r="N676" i="33"/>
  <c r="K862" i="33"/>
  <c r="P862" i="33" s="1"/>
  <c r="N877" i="33"/>
  <c r="O940" i="33"/>
  <c r="P940" i="33" s="1"/>
  <c r="N1066" i="33"/>
  <c r="N1093" i="33"/>
  <c r="K1214" i="33"/>
  <c r="P1214" i="33" s="1"/>
  <c r="O1346" i="33"/>
  <c r="N1728" i="33"/>
  <c r="K1750" i="33"/>
  <c r="P1750" i="33" s="1"/>
  <c r="N1859" i="33"/>
  <c r="O1880" i="33"/>
  <c r="K1899" i="33"/>
  <c r="P1899" i="33" s="1"/>
  <c r="O1914" i="33"/>
  <c r="P1914" i="33" s="1"/>
  <c r="N2133" i="33"/>
  <c r="N2183" i="33"/>
  <c r="O2534" i="33"/>
  <c r="K2543" i="33"/>
  <c r="P2543" i="33" s="1"/>
  <c r="K2592" i="33"/>
  <c r="P2592" i="33" s="1"/>
  <c r="K2790" i="33"/>
  <c r="P2790" i="33" s="1"/>
  <c r="K3847" i="33"/>
  <c r="P3847" i="33" s="1"/>
  <c r="K3904" i="33"/>
  <c r="P3904" i="33" s="1"/>
  <c r="K4537" i="33"/>
  <c r="P4537" i="33" s="1"/>
  <c r="K5124" i="33"/>
  <c r="P5124" i="33" s="1"/>
  <c r="K5144" i="33"/>
  <c r="P5144" i="33" s="1"/>
  <c r="K5341" i="33"/>
  <c r="P5341" i="33" s="1"/>
  <c r="K5689" i="33"/>
  <c r="P5689" i="33" s="1"/>
  <c r="K6439" i="33"/>
  <c r="P6439" i="33" s="1"/>
  <c r="N6446" i="33"/>
  <c r="K6458" i="33"/>
  <c r="P6458" i="33" s="1"/>
  <c r="K6518" i="33"/>
  <c r="P6518" i="33" s="1"/>
  <c r="O6533" i="33"/>
  <c r="N6841" i="33"/>
  <c r="K6999" i="33"/>
  <c r="P6999" i="33" s="1"/>
  <c r="N7041" i="33"/>
  <c r="K7052" i="33"/>
  <c r="P7052" i="33" s="1"/>
  <c r="O7231" i="33"/>
  <c r="P7231" i="33" s="1"/>
  <c r="K7267" i="33"/>
  <c r="P7267" i="33" s="1"/>
  <c r="O7419" i="33"/>
  <c r="P7419" i="33" s="1"/>
  <c r="K7448" i="33"/>
  <c r="P7448" i="33" s="1"/>
  <c r="P7452" i="33"/>
  <c r="P7465" i="33"/>
  <c r="N7722" i="33"/>
  <c r="K7972" i="33"/>
  <c r="P7972" i="33" s="1"/>
  <c r="K8060" i="33"/>
  <c r="P8060" i="33" s="1"/>
  <c r="K8435" i="33"/>
  <c r="P8435" i="33" s="1"/>
  <c r="K8527" i="33"/>
  <c r="P8527" i="33" s="1"/>
  <c r="K8647" i="33"/>
  <c r="P8647" i="33" s="1"/>
  <c r="O8708" i="33"/>
  <c r="P8708" i="33" s="1"/>
  <c r="K8808" i="33"/>
  <c r="P8808" i="33" s="1"/>
  <c r="O8854" i="33"/>
  <c r="P8854" i="33" s="1"/>
  <c r="O8883" i="33"/>
  <c r="P8883" i="33" s="1"/>
  <c r="K2185" i="33"/>
  <c r="P2185" i="33" s="1"/>
  <c r="K2190" i="33"/>
  <c r="P2190" i="33" s="1"/>
  <c r="K2601" i="33"/>
  <c r="P2601" i="33" s="1"/>
  <c r="K3020" i="33"/>
  <c r="P3020" i="33" s="1"/>
  <c r="N3079" i="33"/>
  <c r="N3139" i="33"/>
  <c r="N3197" i="33"/>
  <c r="N3219" i="33"/>
  <c r="K4687" i="33"/>
  <c r="P4687" i="33" s="1"/>
  <c r="K4994" i="33"/>
  <c r="P4994" i="33" s="1"/>
  <c r="O5090" i="33"/>
  <c r="O5080" i="33" s="1"/>
  <c r="P5080" i="33" s="1"/>
  <c r="N6467" i="33"/>
  <c r="K6730" i="33"/>
  <c r="P6730" i="33" s="1"/>
  <c r="O6747" i="33"/>
  <c r="P6747" i="33" s="1"/>
  <c r="K6884" i="33"/>
  <c r="P6884" i="33" s="1"/>
  <c r="K6933" i="33"/>
  <c r="P6933" i="33" s="1"/>
  <c r="K7325" i="33"/>
  <c r="P7325" i="33" s="1"/>
  <c r="O7331" i="33"/>
  <c r="O7330" i="33" s="1"/>
  <c r="O7321" i="33" s="1"/>
  <c r="P7321" i="33" s="1"/>
  <c r="O7744" i="33"/>
  <c r="K7780" i="33"/>
  <c r="P7780" i="33" s="1"/>
  <c r="K7895" i="33"/>
  <c r="P7895" i="33" s="1"/>
  <c r="O8038" i="33"/>
  <c r="P8038" i="33" s="1"/>
  <c r="O8499" i="33"/>
  <c r="O8544" i="33"/>
  <c r="P8544" i="33" s="1"/>
  <c r="K8680" i="33"/>
  <c r="P8680" i="33" s="1"/>
  <c r="K8963" i="33"/>
  <c r="P8963" i="33" s="1"/>
  <c r="K10839" i="33"/>
  <c r="P10839" i="33" s="1"/>
  <c r="P9074" i="33"/>
  <c r="K2288" i="33"/>
  <c r="P2288" i="33" s="1"/>
  <c r="N2561" i="33"/>
  <c r="O2592" i="33"/>
  <c r="K2634" i="33"/>
  <c r="P2634" i="33" s="1"/>
  <c r="O2790" i="33"/>
  <c r="K2973" i="33"/>
  <c r="P2973" i="33" s="1"/>
  <c r="N3000" i="33"/>
  <c r="K3222" i="33"/>
  <c r="P3222" i="33" s="1"/>
  <c r="O3268" i="33"/>
  <c r="P3268" i="33" s="1"/>
  <c r="O3764" i="33"/>
  <c r="P3764" i="33" s="1"/>
  <c r="O3962" i="33"/>
  <c r="K4288" i="33"/>
  <c r="P4288" i="33" s="1"/>
  <c r="K4538" i="33"/>
  <c r="P4538" i="33" s="1"/>
  <c r="N4913" i="33"/>
  <c r="N4926" i="33"/>
  <c r="N5036" i="33"/>
  <c r="K5047" i="33"/>
  <c r="P5047" i="33" s="1"/>
  <c r="K5091" i="33"/>
  <c r="P5091" i="33" s="1"/>
  <c r="O5124" i="33"/>
  <c r="O5144" i="33"/>
  <c r="K5285" i="33"/>
  <c r="P5285" i="33" s="1"/>
  <c r="N5308" i="33"/>
  <c r="K5963" i="33"/>
  <c r="P5963" i="33" s="1"/>
  <c r="O5974" i="33"/>
  <c r="P5974" i="33" s="1"/>
  <c r="K6037" i="33"/>
  <c r="P6037" i="33" s="1"/>
  <c r="K6365" i="33"/>
  <c r="P6365" i="33" s="1"/>
  <c r="K6534" i="33"/>
  <c r="P6534" i="33" s="1"/>
  <c r="N6790" i="33"/>
  <c r="K6950" i="33"/>
  <c r="P6950" i="33" s="1"/>
  <c r="K6970" i="33"/>
  <c r="P6970" i="33" s="1"/>
  <c r="K7043" i="33"/>
  <c r="P7043" i="33" s="1"/>
  <c r="N7153" i="33"/>
  <c r="P7288" i="33"/>
  <c r="K8496" i="33"/>
  <c r="P8496" i="33" s="1"/>
  <c r="O8614" i="33"/>
  <c r="P8614" i="33" s="1"/>
  <c r="K8731" i="33"/>
  <c r="P8731" i="33" s="1"/>
  <c r="K8872" i="33"/>
  <c r="P8872" i="33" s="1"/>
  <c r="K8917" i="33"/>
  <c r="P8917" i="33" s="1"/>
  <c r="O10837" i="33"/>
  <c r="P10837" i="33" s="1"/>
  <c r="K10871" i="33"/>
  <c r="P10871" i="33" s="1"/>
  <c r="K11149" i="33"/>
  <c r="P11149" i="33" s="1"/>
  <c r="K9391" i="33"/>
  <c r="P9391" i="33" s="1"/>
  <c r="K9418" i="33"/>
  <c r="P9418" i="33" s="1"/>
  <c r="K9675" i="33"/>
  <c r="P9675" i="33" s="1"/>
  <c r="K2131" i="33"/>
  <c r="P2131" i="33" s="1"/>
  <c r="O2190" i="33"/>
  <c r="O2187" i="33" s="1"/>
  <c r="N2229" i="33"/>
  <c r="K2658" i="33"/>
  <c r="K2667" i="33"/>
  <c r="P2667" i="33" s="1"/>
  <c r="N2698" i="33"/>
  <c r="P3879" i="33"/>
  <c r="N3958" i="33"/>
  <c r="P4030" i="33"/>
  <c r="K4070" i="33"/>
  <c r="P4070" i="33" s="1"/>
  <c r="K4193" i="33"/>
  <c r="P4193" i="33" s="1"/>
  <c r="K4198" i="33"/>
  <c r="P4198" i="33" s="1"/>
  <c r="N4287" i="33"/>
  <c r="K4608" i="33"/>
  <c r="P4608" i="33" s="1"/>
  <c r="K4647" i="33"/>
  <c r="P4647" i="33" s="1"/>
  <c r="P4966" i="33"/>
  <c r="O4988" i="33"/>
  <c r="O5045" i="33"/>
  <c r="P5045" i="33" s="1"/>
  <c r="O5291" i="33"/>
  <c r="N5337" i="33"/>
  <c r="N5685" i="33"/>
  <c r="N5797" i="33"/>
  <c r="O5819" i="33"/>
  <c r="O5817" i="33" s="1"/>
  <c r="K5948" i="33"/>
  <c r="P5948" i="33" s="1"/>
  <c r="K6203" i="33"/>
  <c r="P6203" i="33" s="1"/>
  <c r="K6441" i="33"/>
  <c r="P6441" i="33" s="1"/>
  <c r="K6681" i="33"/>
  <c r="P6681" i="33" s="1"/>
  <c r="O7098" i="33"/>
  <c r="P7098" i="33" s="1"/>
  <c r="O7154" i="33"/>
  <c r="N7447" i="33"/>
  <c r="P7478" i="33"/>
  <c r="O7592" i="33"/>
  <c r="O7583" i="33" s="1"/>
  <c r="P7583" i="33" s="1"/>
  <c r="N7669" i="33"/>
  <c r="P7823" i="33"/>
  <c r="K8010" i="33"/>
  <c r="P8010" i="33" s="1"/>
  <c r="N8335" i="33"/>
  <c r="I8355" i="33"/>
  <c r="N8415" i="33"/>
  <c r="K8489" i="33"/>
  <c r="P8489" i="33" s="1"/>
  <c r="K8517" i="33"/>
  <c r="P8517" i="33" s="1"/>
  <c r="K8529" i="33"/>
  <c r="P8529" i="33" s="1"/>
  <c r="K8606" i="33"/>
  <c r="P8606" i="33" s="1"/>
  <c r="N8761" i="33"/>
  <c r="K11031" i="33"/>
  <c r="P11031" i="33" s="1"/>
  <c r="O9091" i="33"/>
  <c r="O9088" i="33" s="1"/>
  <c r="P9088" i="33" s="1"/>
  <c r="K2290" i="33"/>
  <c r="P2290" i="33" s="1"/>
  <c r="K2305" i="33"/>
  <c r="P2305" i="33" s="1"/>
  <c r="O2700" i="33"/>
  <c r="K2721" i="33"/>
  <c r="P2721" i="33" s="1"/>
  <c r="K3022" i="33"/>
  <c r="P3022" i="33" s="1"/>
  <c r="K3166" i="33"/>
  <c r="P3166" i="33" s="1"/>
  <c r="O3222" i="33"/>
  <c r="K3814" i="33"/>
  <c r="P3814" i="33" s="1"/>
  <c r="K3960" i="33"/>
  <c r="P3960" i="33" s="1"/>
  <c r="N4251" i="33"/>
  <c r="K5345" i="33"/>
  <c r="P5345" i="33" s="1"/>
  <c r="N5756" i="33"/>
  <c r="K5887" i="33"/>
  <c r="P5887" i="33" s="1"/>
  <c r="N6108" i="33"/>
  <c r="O6143" i="33"/>
  <c r="O6185" i="33"/>
  <c r="P6185" i="33" s="1"/>
  <c r="O7708" i="33"/>
  <c r="O7698" i="33" s="1"/>
  <c r="P7698" i="33" s="1"/>
  <c r="K7819" i="33"/>
  <c r="P7819" i="33" s="1"/>
  <c r="K7896" i="33"/>
  <c r="P7896" i="33" s="1"/>
  <c r="K11024" i="33"/>
  <c r="P11024" i="33" s="1"/>
  <c r="K9138" i="33"/>
  <c r="P9138" i="33" s="1"/>
  <c r="K9407" i="33"/>
  <c r="P9407" i="33" s="1"/>
  <c r="O2249" i="33"/>
  <c r="N2289" i="33"/>
  <c r="K2501" i="33"/>
  <c r="P2501" i="33" s="1"/>
  <c r="K2954" i="33"/>
  <c r="P2954" i="33" s="1"/>
  <c r="K3223" i="33"/>
  <c r="P3223" i="33" s="1"/>
  <c r="K4068" i="33"/>
  <c r="P4068" i="33" s="1"/>
  <c r="K4200" i="33"/>
  <c r="P4200" i="33" s="1"/>
  <c r="K4225" i="33"/>
  <c r="P4225" i="33" s="1"/>
  <c r="K4679" i="33"/>
  <c r="P4679" i="33" s="1"/>
  <c r="K4684" i="33"/>
  <c r="P4684" i="33" s="1"/>
  <c r="K5092" i="33"/>
  <c r="P5092" i="33" s="1"/>
  <c r="K5261" i="33"/>
  <c r="P5261" i="33" s="1"/>
  <c r="K5357" i="33"/>
  <c r="P5357" i="33" s="1"/>
  <c r="O5703" i="33"/>
  <c r="P5703" i="33" s="1"/>
  <c r="O6548" i="33"/>
  <c r="P6548" i="33" s="1"/>
  <c r="K7055" i="33"/>
  <c r="P7055" i="33" s="1"/>
  <c r="O7063" i="33"/>
  <c r="P7063" i="33" s="1"/>
  <c r="K7262" i="33"/>
  <c r="P7262" i="33" s="1"/>
  <c r="K7329" i="33"/>
  <c r="P7329" i="33" s="1"/>
  <c r="O7359" i="33"/>
  <c r="P7359" i="33" s="1"/>
  <c r="O7374" i="33"/>
  <c r="P7374" i="33" s="1"/>
  <c r="K7612" i="33"/>
  <c r="P7612" i="33" s="1"/>
  <c r="K7888" i="33"/>
  <c r="P7888" i="33" s="1"/>
  <c r="K7933" i="33"/>
  <c r="P7933" i="33" s="1"/>
  <c r="K7943" i="33"/>
  <c r="P7943" i="33" s="1"/>
  <c r="K7950" i="33"/>
  <c r="P7950" i="33" s="1"/>
  <c r="O7953" i="33"/>
  <c r="O7951" i="33" s="1"/>
  <c r="O7941" i="33" s="1"/>
  <c r="P7941" i="33" s="1"/>
  <c r="K8025" i="33"/>
  <c r="P8025" i="33" s="1"/>
  <c r="O8068" i="33"/>
  <c r="P8068" i="33" s="1"/>
  <c r="O8507" i="33"/>
  <c r="P8507" i="33" s="1"/>
  <c r="K10798" i="33"/>
  <c r="P10798" i="33" s="1"/>
  <c r="K9117" i="33"/>
  <c r="P9117" i="33" s="1"/>
  <c r="N9137" i="33"/>
  <c r="K9392" i="33"/>
  <c r="P9392" i="33" s="1"/>
  <c r="K9664" i="33"/>
  <c r="P9664" i="33" s="1"/>
  <c r="K9677" i="33"/>
  <c r="P9677" i="33" s="1"/>
  <c r="N9717" i="33"/>
  <c r="K2056" i="33"/>
  <c r="P2056" i="33" s="1"/>
  <c r="K2061" i="33"/>
  <c r="P2061" i="33" s="1"/>
  <c r="N2569" i="33"/>
  <c r="O2823" i="33"/>
  <c r="P2823" i="33" s="1"/>
  <c r="K3018" i="33"/>
  <c r="P3018" i="33" s="1"/>
  <c r="K3062" i="33"/>
  <c r="P3062" i="33" s="1"/>
  <c r="K3227" i="33"/>
  <c r="P3227" i="33" s="1"/>
  <c r="P3750" i="33"/>
  <c r="K4053" i="33"/>
  <c r="P4053" i="33" s="1"/>
  <c r="N4067" i="33"/>
  <c r="K4077" i="33"/>
  <c r="P4077" i="33" s="1"/>
  <c r="K4208" i="33"/>
  <c r="P4208" i="33" s="1"/>
  <c r="K4993" i="33"/>
  <c r="P4993" i="33" s="1"/>
  <c r="N5142" i="33"/>
  <c r="K5208" i="33"/>
  <c r="P5208" i="33" s="1"/>
  <c r="K5304" i="33"/>
  <c r="P5304" i="33" s="1"/>
  <c r="K5340" i="33"/>
  <c r="P5340" i="33" s="1"/>
  <c r="O6005" i="33"/>
  <c r="P6005" i="33" s="1"/>
  <c r="K6905" i="33"/>
  <c r="P6905" i="33" s="1"/>
  <c r="O7040" i="33"/>
  <c r="K7081" i="33"/>
  <c r="P7081" i="33" s="1"/>
  <c r="O7155" i="33"/>
  <c r="K7323" i="33"/>
  <c r="P7323" i="33" s="1"/>
  <c r="P7504" i="33"/>
  <c r="N7875" i="33"/>
  <c r="K8015" i="33"/>
  <c r="P8015" i="33" s="1"/>
  <c r="K8678" i="33"/>
  <c r="P8678" i="33" s="1"/>
  <c r="K8961" i="33"/>
  <c r="P8961" i="33" s="1"/>
  <c r="O10773" i="33"/>
  <c r="P10773" i="33" s="1"/>
  <c r="N11213" i="33"/>
  <c r="N11307" i="33"/>
  <c r="K9368" i="33"/>
  <c r="P9368" i="33" s="1"/>
  <c r="K9649" i="33"/>
  <c r="P9649" i="33" s="1"/>
  <c r="K1995" i="33"/>
  <c r="P1995" i="33" s="1"/>
  <c r="N2162" i="33"/>
  <c r="K2184" i="33"/>
  <c r="P2184" i="33" s="1"/>
  <c r="N2191" i="33"/>
  <c r="K2513" i="33"/>
  <c r="P2513" i="33" s="1"/>
  <c r="K2538" i="33"/>
  <c r="P2538" i="33" s="1"/>
  <c r="K2617" i="33"/>
  <c r="P2617" i="33" s="1"/>
  <c r="O2718" i="33"/>
  <c r="K2794" i="33"/>
  <c r="P2794" i="33" s="1"/>
  <c r="O2928" i="33"/>
  <c r="P2928" i="33" s="1"/>
  <c r="O2954" i="33"/>
  <c r="N3083" i="33"/>
  <c r="K3112" i="33"/>
  <c r="P3112" i="33" s="1"/>
  <c r="O3223" i="33"/>
  <c r="K3247" i="33"/>
  <c r="P3247" i="33" s="1"/>
  <c r="K3816" i="33"/>
  <c r="P3816" i="33" s="1"/>
  <c r="K4069" i="33"/>
  <c r="P4069" i="33" s="1"/>
  <c r="K4201" i="33"/>
  <c r="P4201" i="33" s="1"/>
  <c r="O4225" i="33"/>
  <c r="O4913" i="33"/>
  <c r="K5089" i="33"/>
  <c r="P5089" i="33" s="1"/>
  <c r="N5129" i="33"/>
  <c r="K5263" i="33"/>
  <c r="P5263" i="33" s="1"/>
  <c r="K5305" i="33"/>
  <c r="P5305" i="33" s="1"/>
  <c r="N5744" i="33"/>
  <c r="P5818" i="33"/>
  <c r="K5904" i="33"/>
  <c r="P5904" i="33" s="1"/>
  <c r="O6155" i="33"/>
  <c r="P6155" i="33" s="1"/>
  <c r="K6363" i="33"/>
  <c r="P6363" i="33" s="1"/>
  <c r="K6371" i="33"/>
  <c r="P6371" i="33" s="1"/>
  <c r="K6447" i="33"/>
  <c r="P6447" i="33" s="1"/>
  <c r="N6934" i="33"/>
  <c r="K6948" i="33"/>
  <c r="P6948" i="33" s="1"/>
  <c r="K7746" i="33"/>
  <c r="P7746" i="33" s="1"/>
  <c r="O7760" i="33"/>
  <c r="P7760" i="33" s="1"/>
  <c r="O7776" i="33"/>
  <c r="P7776" i="33" s="1"/>
  <c r="O7792" i="33"/>
  <c r="P7792" i="33" s="1"/>
  <c r="K7820" i="33"/>
  <c r="P7820" i="33" s="1"/>
  <c r="P7849" i="33"/>
  <c r="O7933" i="33"/>
  <c r="N7970" i="33"/>
  <c r="K8448" i="33"/>
  <c r="P8448" i="33" s="1"/>
  <c r="K8511" i="33"/>
  <c r="P8511" i="33" s="1"/>
  <c r="O8676" i="33"/>
  <c r="P8676" i="33" s="1"/>
  <c r="K8726" i="33"/>
  <c r="P8726" i="33" s="1"/>
  <c r="K8757" i="33"/>
  <c r="P8757" i="33" s="1"/>
  <c r="K8856" i="33"/>
  <c r="P8856" i="33" s="1"/>
  <c r="K8870" i="33"/>
  <c r="P8870" i="33" s="1"/>
  <c r="O10745" i="33"/>
  <c r="P10745" i="33" s="1"/>
  <c r="K11156" i="33"/>
  <c r="P11156" i="33" s="1"/>
  <c r="O11213" i="33"/>
  <c r="O9365" i="33"/>
  <c r="O9362" i="33" s="1"/>
  <c r="P9362" i="33" s="1"/>
  <c r="K9681" i="33"/>
  <c r="P9681" i="33" s="1"/>
  <c r="P9694" i="33"/>
  <c r="O383" i="33"/>
  <c r="R940" i="33"/>
  <c r="K87" i="33"/>
  <c r="P87" i="33" s="1"/>
  <c r="K117" i="33"/>
  <c r="P117" i="33" s="1"/>
  <c r="K137" i="33"/>
  <c r="P137" i="33" s="1"/>
  <c r="K165" i="33"/>
  <c r="P165" i="33" s="1"/>
  <c r="N201" i="33"/>
  <c r="K208" i="33"/>
  <c r="P208" i="33" s="1"/>
  <c r="K231" i="33"/>
  <c r="P231" i="33" s="1"/>
  <c r="N242" i="33"/>
  <c r="K258" i="33"/>
  <c r="P258" i="33" s="1"/>
  <c r="K277" i="33"/>
  <c r="P277" i="33" s="1"/>
  <c r="K285" i="33"/>
  <c r="P285" i="33" s="1"/>
  <c r="K474" i="33"/>
  <c r="P474" i="33" s="1"/>
  <c r="K486" i="33"/>
  <c r="P486" i="33" s="1"/>
  <c r="K565" i="33"/>
  <c r="P565" i="33" s="1"/>
  <c r="K611" i="33"/>
  <c r="P611" i="33" s="1"/>
  <c r="K678" i="33"/>
  <c r="P678" i="33" s="1"/>
  <c r="K775" i="33"/>
  <c r="P775" i="33" s="1"/>
  <c r="K1088" i="33"/>
  <c r="P1088" i="33" s="1"/>
  <c r="K1177" i="33"/>
  <c r="P1177" i="33" s="1"/>
  <c r="K1209" i="33"/>
  <c r="P1209" i="33" s="1"/>
  <c r="N1288" i="33"/>
  <c r="K1293" i="33"/>
  <c r="P1293" i="33" s="1"/>
  <c r="O1310" i="33"/>
  <c r="K1327" i="33"/>
  <c r="P1327" i="33" s="1"/>
  <c r="K1334" i="33"/>
  <c r="P1334" i="33" s="1"/>
  <c r="K1354" i="33"/>
  <c r="P1354" i="33" s="1"/>
  <c r="K1366" i="33"/>
  <c r="P1366" i="33" s="1"/>
  <c r="K1423" i="33"/>
  <c r="P1423" i="33" s="1"/>
  <c r="K1446" i="33"/>
  <c r="P1446" i="33" s="1"/>
  <c r="K1510" i="33"/>
  <c r="P1510" i="33" s="1"/>
  <c r="O1646" i="33"/>
  <c r="O1644" i="33" s="1"/>
  <c r="O1641" i="33" s="1"/>
  <c r="P1641" i="33" s="1"/>
  <c r="O1730" i="33"/>
  <c r="O1728" i="33" s="1"/>
  <c r="N1733" i="33"/>
  <c r="K1754" i="33"/>
  <c r="P1754" i="33" s="1"/>
  <c r="K88" i="33"/>
  <c r="P88" i="33" s="1"/>
  <c r="K123" i="33"/>
  <c r="P123" i="33" s="1"/>
  <c r="K133" i="33"/>
  <c r="P133" i="33" s="1"/>
  <c r="O154" i="33"/>
  <c r="P154" i="33" s="1"/>
  <c r="O178" i="33"/>
  <c r="O234" i="33"/>
  <c r="O230" i="33" s="1"/>
  <c r="O274" i="33"/>
  <c r="O298" i="33"/>
  <c r="P298" i="33" s="1"/>
  <c r="K320" i="33"/>
  <c r="P320" i="33" s="1"/>
  <c r="K324" i="33"/>
  <c r="P324" i="33" s="1"/>
  <c r="K342" i="33"/>
  <c r="P342" i="33" s="1"/>
  <c r="K373" i="33"/>
  <c r="P373" i="33" s="1"/>
  <c r="K461" i="33"/>
  <c r="P461" i="33" s="1"/>
  <c r="N473" i="33"/>
  <c r="I503" i="33"/>
  <c r="K503" i="33" s="1"/>
  <c r="L503" i="33" s="1"/>
  <c r="K535" i="33"/>
  <c r="P535" i="33" s="1"/>
  <c r="K581" i="33"/>
  <c r="P581" i="33" s="1"/>
  <c r="K632" i="33"/>
  <c r="P632" i="33" s="1"/>
  <c r="K661" i="33"/>
  <c r="P661" i="33" s="1"/>
  <c r="K703" i="33"/>
  <c r="P703" i="33" s="1"/>
  <c r="N776" i="33"/>
  <c r="O955" i="33"/>
  <c r="P955" i="33" s="1"/>
  <c r="K1094" i="33"/>
  <c r="P1094" i="33" s="1"/>
  <c r="K1311" i="33"/>
  <c r="P1311" i="33" s="1"/>
  <c r="N1344" i="33"/>
  <c r="K1456" i="33"/>
  <c r="P1456" i="33" s="1"/>
  <c r="K1762" i="33"/>
  <c r="P1762" i="33" s="1"/>
  <c r="K113" i="33"/>
  <c r="P113" i="33" s="1"/>
  <c r="K129" i="33"/>
  <c r="P129" i="33" s="1"/>
  <c r="K138" i="33"/>
  <c r="P138" i="33" s="1"/>
  <c r="K166" i="33"/>
  <c r="P166" i="33" s="1"/>
  <c r="K203" i="33"/>
  <c r="P203" i="33" s="1"/>
  <c r="K239" i="33"/>
  <c r="P239" i="33" s="1"/>
  <c r="K281" i="33"/>
  <c r="P281" i="33" s="1"/>
  <c r="K353" i="33"/>
  <c r="P353" i="33" s="1"/>
  <c r="O359" i="33"/>
  <c r="P359" i="33" s="1"/>
  <c r="K382" i="33"/>
  <c r="P382" i="33" s="1"/>
  <c r="K389" i="33"/>
  <c r="P389" i="33" s="1"/>
  <c r="K418" i="33"/>
  <c r="P418" i="33" s="1"/>
  <c r="K432" i="33"/>
  <c r="P432" i="33" s="1"/>
  <c r="K456" i="33"/>
  <c r="P456" i="33" s="1"/>
  <c r="K478" i="33"/>
  <c r="P478" i="33" s="1"/>
  <c r="K481" i="33"/>
  <c r="P481" i="33" s="1"/>
  <c r="K523" i="33"/>
  <c r="P523" i="33" s="1"/>
  <c r="K529" i="33"/>
  <c r="P529" i="33" s="1"/>
  <c r="O551" i="33"/>
  <c r="P551" i="33" s="1"/>
  <c r="O575" i="33"/>
  <c r="K612" i="33"/>
  <c r="P612" i="33" s="1"/>
  <c r="K649" i="33"/>
  <c r="P649" i="33" s="1"/>
  <c r="K653" i="33"/>
  <c r="P653" i="33" s="1"/>
  <c r="K675" i="33"/>
  <c r="P675" i="33" s="1"/>
  <c r="O747" i="33"/>
  <c r="P747" i="33" s="1"/>
  <c r="K777" i="33"/>
  <c r="P777" i="33" s="1"/>
  <c r="O891" i="33"/>
  <c r="O888" i="33" s="1"/>
  <c r="O885" i="33" s="1"/>
  <c r="P885" i="33" s="1"/>
  <c r="O923" i="33"/>
  <c r="P923" i="33" s="1"/>
  <c r="K1024" i="33"/>
  <c r="P1024" i="33" s="1"/>
  <c r="K1056" i="33"/>
  <c r="P1056" i="33" s="1"/>
  <c r="K1418" i="33"/>
  <c r="P1418" i="33" s="1"/>
  <c r="O1420" i="33"/>
  <c r="O1865" i="33"/>
  <c r="O1863" i="33" s="1"/>
  <c r="K1865" i="33"/>
  <c r="P1865" i="33" s="1"/>
  <c r="K103" i="33"/>
  <c r="P103" i="33" s="1"/>
  <c r="K118" i="33"/>
  <c r="P118" i="33" s="1"/>
  <c r="K207" i="33"/>
  <c r="P207" i="33" s="1"/>
  <c r="K236" i="33"/>
  <c r="P236" i="33" s="1"/>
  <c r="O672" i="33"/>
  <c r="O1507" i="33"/>
  <c r="O1685" i="33"/>
  <c r="P4022" i="33"/>
  <c r="R4016" i="33" s="1"/>
  <c r="O126" i="33"/>
  <c r="P126" i="33" s="1"/>
  <c r="O175" i="33"/>
  <c r="O173" i="33" s="1"/>
  <c r="N230" i="33"/>
  <c r="N235" i="33"/>
  <c r="K276" i="33"/>
  <c r="P276" i="33" s="1"/>
  <c r="O278" i="33"/>
  <c r="K334" i="33"/>
  <c r="P334" i="33" s="1"/>
  <c r="K349" i="33"/>
  <c r="P349" i="33" s="1"/>
  <c r="O353" i="33"/>
  <c r="O351" i="33" s="1"/>
  <c r="O340" i="33" s="1"/>
  <c r="P340" i="33" s="1"/>
  <c r="K363" i="33"/>
  <c r="P363" i="33" s="1"/>
  <c r="O389" i="33"/>
  <c r="K396" i="33"/>
  <c r="P396" i="33" s="1"/>
  <c r="K419" i="33"/>
  <c r="P419" i="33" s="1"/>
  <c r="K425" i="33"/>
  <c r="K563" i="33"/>
  <c r="P563" i="33" s="1"/>
  <c r="N575" i="33"/>
  <c r="K582" i="33"/>
  <c r="P582" i="33" s="1"/>
  <c r="K606" i="33"/>
  <c r="P606" i="33" s="1"/>
  <c r="K637" i="33"/>
  <c r="P637" i="33" s="1"/>
  <c r="N638" i="33"/>
  <c r="K679" i="33"/>
  <c r="P679" i="33" s="1"/>
  <c r="O697" i="33"/>
  <c r="P697" i="33" s="1"/>
  <c r="O777" i="33"/>
  <c r="O776" i="33" s="1"/>
  <c r="P871" i="33"/>
  <c r="K878" i="33"/>
  <c r="P878" i="33" s="1"/>
  <c r="K892" i="33"/>
  <c r="P892" i="33" s="1"/>
  <c r="K1040" i="33"/>
  <c r="P1040" i="33" s="1"/>
  <c r="K1049" i="33"/>
  <c r="P1049" i="33" s="1"/>
  <c r="O1086" i="33"/>
  <c r="K1089" i="33"/>
  <c r="P1089" i="33" s="1"/>
  <c r="K1172" i="33"/>
  <c r="P1172" i="33" s="1"/>
  <c r="K1182" i="33"/>
  <c r="P1182" i="33" s="1"/>
  <c r="N1208" i="33"/>
  <c r="K1230" i="33"/>
  <c r="P1230" i="33" s="1"/>
  <c r="K1291" i="33"/>
  <c r="P1291" i="33" s="1"/>
  <c r="K1364" i="33"/>
  <c r="P1364" i="33" s="1"/>
  <c r="K1422" i="33"/>
  <c r="P1422" i="33" s="1"/>
  <c r="K1451" i="33"/>
  <c r="P1451" i="33" s="1"/>
  <c r="P1578" i="33"/>
  <c r="K1632" i="33"/>
  <c r="P1632" i="33" s="1"/>
  <c r="N1644" i="33"/>
  <c r="K1686" i="33"/>
  <c r="P1686" i="33" s="1"/>
  <c r="K1772" i="33"/>
  <c r="P1772" i="33" s="1"/>
  <c r="O1881" i="33"/>
  <c r="K1881" i="33"/>
  <c r="P1881" i="33" s="1"/>
  <c r="K139" i="33"/>
  <c r="P139" i="33" s="1"/>
  <c r="K204" i="33"/>
  <c r="P204" i="33" s="1"/>
  <c r="K229" i="33"/>
  <c r="P229" i="33" s="1"/>
  <c r="K237" i="33"/>
  <c r="P237" i="33" s="1"/>
  <c r="K256" i="33"/>
  <c r="P256" i="33" s="1"/>
  <c r="K272" i="33"/>
  <c r="P272" i="33" s="1"/>
  <c r="K310" i="33"/>
  <c r="P310" i="33" s="1"/>
  <c r="K319" i="33"/>
  <c r="P319" i="33" s="1"/>
  <c r="K344" i="33"/>
  <c r="P344" i="33" s="1"/>
  <c r="K371" i="33"/>
  <c r="P371" i="33" s="1"/>
  <c r="K472" i="33"/>
  <c r="P472" i="33" s="1"/>
  <c r="K524" i="33"/>
  <c r="P524" i="33" s="1"/>
  <c r="K659" i="33"/>
  <c r="P659" i="33" s="1"/>
  <c r="K685" i="33"/>
  <c r="P685" i="33" s="1"/>
  <c r="K708" i="33"/>
  <c r="P708" i="33" s="1"/>
  <c r="K737" i="33"/>
  <c r="P737" i="33" s="1"/>
  <c r="K859" i="33"/>
  <c r="P859" i="33" s="1"/>
  <c r="N888" i="33"/>
  <c r="P990" i="33"/>
  <c r="N1039" i="33"/>
  <c r="K1057" i="33"/>
  <c r="P1057" i="33" s="1"/>
  <c r="O1095" i="33"/>
  <c r="O1093" i="33" s="1"/>
  <c r="P1257" i="33"/>
  <c r="K1295" i="33"/>
  <c r="P1295" i="33" s="1"/>
  <c r="K1345" i="33"/>
  <c r="P1345" i="33" s="1"/>
  <c r="K1429" i="33"/>
  <c r="P1429" i="33" s="1"/>
  <c r="K1444" i="33"/>
  <c r="P1444" i="33" s="1"/>
  <c r="N1449" i="33"/>
  <c r="K1457" i="33"/>
  <c r="P1457" i="33" s="1"/>
  <c r="K1463" i="33"/>
  <c r="P1463" i="33" s="1"/>
  <c r="K1509" i="33"/>
  <c r="P1509" i="33" s="1"/>
  <c r="K1512" i="33"/>
  <c r="P1512" i="33" s="1"/>
  <c r="K1514" i="33"/>
  <c r="P1514" i="33" s="1"/>
  <c r="K1528" i="33"/>
  <c r="P1528" i="33" s="1"/>
  <c r="K1732" i="33"/>
  <c r="P1732" i="33" s="1"/>
  <c r="O1736" i="33"/>
  <c r="K1752" i="33"/>
  <c r="P1752" i="33" s="1"/>
  <c r="O1887" i="33"/>
  <c r="K121" i="33"/>
  <c r="P121" i="33" s="1"/>
  <c r="O250" i="33"/>
  <c r="P250" i="33" s="1"/>
  <c r="K280" i="33"/>
  <c r="P280" i="33" s="1"/>
  <c r="N318" i="33"/>
  <c r="N323" i="33"/>
  <c r="K331" i="33"/>
  <c r="P331" i="33" s="1"/>
  <c r="K384" i="33"/>
  <c r="P384" i="33" s="1"/>
  <c r="I411" i="33"/>
  <c r="K411" i="33" s="1"/>
  <c r="L411" i="33" s="1"/>
  <c r="K454" i="33"/>
  <c r="K465" i="33"/>
  <c r="P465" i="33" s="1"/>
  <c r="K480" i="33"/>
  <c r="P480" i="33" s="1"/>
  <c r="N522" i="33"/>
  <c r="K544" i="33"/>
  <c r="P544" i="33" s="1"/>
  <c r="K564" i="33"/>
  <c r="P564" i="33" s="1"/>
  <c r="K576" i="33"/>
  <c r="K651" i="33"/>
  <c r="P651" i="33" s="1"/>
  <c r="N1055" i="33"/>
  <c r="K1141" i="33"/>
  <c r="P1141" i="33" s="1"/>
  <c r="K1167" i="33"/>
  <c r="P1167" i="33" s="1"/>
  <c r="K1211" i="33"/>
  <c r="P1211" i="33" s="1"/>
  <c r="O1228" i="33"/>
  <c r="P1228" i="33" s="1"/>
  <c r="K1351" i="33"/>
  <c r="P1351" i="33" s="1"/>
  <c r="K1417" i="33"/>
  <c r="P1417" i="33" s="1"/>
  <c r="N1511" i="33"/>
  <c r="K1627" i="33"/>
  <c r="P1627" i="33" s="1"/>
  <c r="K1648" i="33"/>
  <c r="P1648" i="33" s="1"/>
  <c r="K1680" i="33"/>
  <c r="P1680" i="33" s="1"/>
  <c r="K1687" i="33"/>
  <c r="P1687" i="33" s="1"/>
  <c r="K1758" i="33"/>
  <c r="P1758" i="33" s="1"/>
  <c r="K1801" i="33"/>
  <c r="P1801" i="33" s="1"/>
  <c r="O1842" i="33"/>
  <c r="O1839" i="33" s="1"/>
  <c r="O1836" i="33" s="1"/>
  <c r="K1842" i="33"/>
  <c r="P1842" i="33" s="1"/>
  <c r="K112" i="33"/>
  <c r="P112" i="33" s="1"/>
  <c r="O201" i="33"/>
  <c r="K216" i="33"/>
  <c r="P216" i="33" s="1"/>
  <c r="O318" i="33"/>
  <c r="K372" i="33"/>
  <c r="P372" i="33" s="1"/>
  <c r="K391" i="33"/>
  <c r="P391" i="33" s="1"/>
  <c r="N426" i="33"/>
  <c r="K450" i="33"/>
  <c r="P450" i="33" s="1"/>
  <c r="K460" i="33"/>
  <c r="P460" i="33" s="1"/>
  <c r="O473" i="33"/>
  <c r="O501" i="33"/>
  <c r="P501" i="33" s="1"/>
  <c r="K527" i="33"/>
  <c r="P527" i="33" s="1"/>
  <c r="K583" i="33"/>
  <c r="P583" i="33" s="1"/>
  <c r="K588" i="33"/>
  <c r="P588" i="33" s="1"/>
  <c r="K639" i="33"/>
  <c r="P639" i="33" s="1"/>
  <c r="K655" i="33"/>
  <c r="P655" i="33" s="1"/>
  <c r="K660" i="33"/>
  <c r="P660" i="33" s="1"/>
  <c r="K673" i="33"/>
  <c r="P673" i="33" s="1"/>
  <c r="K730" i="33"/>
  <c r="P730" i="33" s="1"/>
  <c r="O877" i="33"/>
  <c r="O868" i="33" s="1"/>
  <c r="P868" i="33" s="1"/>
  <c r="N915" i="33"/>
  <c r="O1057" i="33"/>
  <c r="O1055" i="33" s="1"/>
  <c r="O1047" i="33" s="1"/>
  <c r="P1047" i="33" s="1"/>
  <c r="K1236" i="33"/>
  <c r="P1236" i="33" s="1"/>
  <c r="K1289" i="33"/>
  <c r="P1289" i="33" s="1"/>
  <c r="O1295" i="33"/>
  <c r="O1292" i="33" s="1"/>
  <c r="N1316" i="33"/>
  <c r="O1429" i="33"/>
  <c r="K1448" i="33"/>
  <c r="P1448" i="33" s="1"/>
  <c r="K1529" i="33"/>
  <c r="P1529" i="33" s="1"/>
  <c r="K1647" i="33"/>
  <c r="P1647" i="33" s="1"/>
  <c r="K1727" i="33"/>
  <c r="P1727" i="33" s="1"/>
  <c r="K1741" i="33"/>
  <c r="P1741" i="33" s="1"/>
  <c r="K1774" i="33"/>
  <c r="P1774" i="33" s="1"/>
  <c r="O1795" i="33"/>
  <c r="P1795" i="33" s="1"/>
  <c r="O2158" i="33"/>
  <c r="K1864" i="33"/>
  <c r="P1864" i="33" s="1"/>
  <c r="N1879" i="33"/>
  <c r="O1897" i="33"/>
  <c r="K1907" i="33"/>
  <c r="P1907" i="33" s="1"/>
  <c r="K2066" i="33"/>
  <c r="P2066" i="33" s="1"/>
  <c r="K2098" i="33"/>
  <c r="P2098" i="33" s="1"/>
  <c r="K2109" i="33"/>
  <c r="P2109" i="33" s="1"/>
  <c r="K2136" i="33"/>
  <c r="P2136" i="33" s="1"/>
  <c r="K2192" i="33"/>
  <c r="P2192" i="33" s="1"/>
  <c r="K2200" i="33"/>
  <c r="P2200" i="33" s="1"/>
  <c r="K2253" i="33"/>
  <c r="P2253" i="33" s="1"/>
  <c r="K2360" i="33"/>
  <c r="P2360" i="33" s="1"/>
  <c r="R2354" i="33" s="1"/>
  <c r="K2448" i="33"/>
  <c r="P2448" i="33" s="1"/>
  <c r="K2542" i="33"/>
  <c r="P2542" i="33" s="1"/>
  <c r="K2574" i="33"/>
  <c r="P2574" i="33" s="1"/>
  <c r="K2579" i="33"/>
  <c r="P2579" i="33" s="1"/>
  <c r="O2649" i="33"/>
  <c r="O2680" i="33"/>
  <c r="P2680" i="33" s="1"/>
  <c r="N2773" i="33"/>
  <c r="K2788" i="33"/>
  <c r="P2788" i="33" s="1"/>
  <c r="K2801" i="33"/>
  <c r="P2801" i="33" s="1"/>
  <c r="K2993" i="33"/>
  <c r="P2993" i="33" s="1"/>
  <c r="K3003" i="33"/>
  <c r="P3003" i="33" s="1"/>
  <c r="O3058" i="33"/>
  <c r="K3061" i="33"/>
  <c r="P3061" i="33" s="1"/>
  <c r="K3068" i="33"/>
  <c r="P3068" i="33" s="1"/>
  <c r="K3088" i="33"/>
  <c r="P3088" i="33" s="1"/>
  <c r="K3177" i="33"/>
  <c r="P3177" i="33" s="1"/>
  <c r="K3180" i="33"/>
  <c r="P3180" i="33" s="1"/>
  <c r="K3204" i="33"/>
  <c r="P3204" i="33" s="1"/>
  <c r="K3226" i="33"/>
  <c r="P3226" i="33" s="1"/>
  <c r="O3248" i="33"/>
  <c r="K3260" i="33"/>
  <c r="P3260" i="33" s="1"/>
  <c r="K3272" i="33"/>
  <c r="P3272" i="33" s="1"/>
  <c r="O3925" i="33"/>
  <c r="P3925" i="33" s="1"/>
  <c r="O3940" i="33"/>
  <c r="P3940" i="33" s="1"/>
  <c r="K4050" i="33"/>
  <c r="P4050" i="33" s="1"/>
  <c r="N4051" i="33"/>
  <c r="K2076" i="33"/>
  <c r="P2076" i="33" s="1"/>
  <c r="O2125" i="33"/>
  <c r="K2130" i="33"/>
  <c r="P2130" i="33" s="1"/>
  <c r="K2155" i="33"/>
  <c r="P2155" i="33" s="1"/>
  <c r="O2185" i="33"/>
  <c r="N2218" i="33"/>
  <c r="K2275" i="33"/>
  <c r="P2275" i="33" s="1"/>
  <c r="K2484" i="33"/>
  <c r="P2484" i="33" s="1"/>
  <c r="N2503" i="33"/>
  <c r="K2510" i="33"/>
  <c r="P2510" i="33" s="1"/>
  <c r="O2513" i="33"/>
  <c r="O2511" i="33" s="1"/>
  <c r="N2540" i="33"/>
  <c r="K2597" i="33"/>
  <c r="P2597" i="33" s="1"/>
  <c r="O2601" i="33"/>
  <c r="K2607" i="33"/>
  <c r="P2607" i="33" s="1"/>
  <c r="K2632" i="33"/>
  <c r="P2632" i="33" s="1"/>
  <c r="N2657" i="33"/>
  <c r="K2673" i="33"/>
  <c r="P2673" i="33" s="1"/>
  <c r="K2724" i="33"/>
  <c r="O2794" i="33"/>
  <c r="O2792" i="33" s="1"/>
  <c r="N2799" i="33"/>
  <c r="K2959" i="33"/>
  <c r="P2959" i="33" s="1"/>
  <c r="K2971" i="33"/>
  <c r="P2971" i="33" s="1"/>
  <c r="K2977" i="33"/>
  <c r="P2977" i="33" s="1"/>
  <c r="K2984" i="33"/>
  <c r="P2984" i="33" s="1"/>
  <c r="O2996" i="33"/>
  <c r="K2999" i="33"/>
  <c r="P2999" i="33" s="1"/>
  <c r="O3052" i="33"/>
  <c r="O3050" i="33" s="1"/>
  <c r="K3056" i="33"/>
  <c r="P3056" i="33" s="1"/>
  <c r="K3059" i="33"/>
  <c r="O3119" i="33"/>
  <c r="P3119" i="33" s="1"/>
  <c r="O3142" i="33"/>
  <c r="N3176" i="33"/>
  <c r="K3199" i="33"/>
  <c r="P3199" i="33" s="1"/>
  <c r="K2099" i="33"/>
  <c r="P2099" i="33" s="1"/>
  <c r="K2102" i="33"/>
  <c r="P2102" i="33" s="1"/>
  <c r="K2107" i="33"/>
  <c r="P2107" i="33" s="1"/>
  <c r="N2154" i="33"/>
  <c r="O2154" i="33"/>
  <c r="K2189" i="33"/>
  <c r="P2189" i="33" s="1"/>
  <c r="K2193" i="33"/>
  <c r="P2193" i="33" s="1"/>
  <c r="K2220" i="33"/>
  <c r="P2220" i="33" s="1"/>
  <c r="K2440" i="33"/>
  <c r="P2440" i="33" s="1"/>
  <c r="K2462" i="33"/>
  <c r="P2462" i="33" s="1"/>
  <c r="K2535" i="33"/>
  <c r="P2535" i="33" s="1"/>
  <c r="K2572" i="33"/>
  <c r="P2572" i="33" s="1"/>
  <c r="K2595" i="33"/>
  <c r="P2595" i="33" s="1"/>
  <c r="O2615" i="33"/>
  <c r="P2615" i="33" s="1"/>
  <c r="K2650" i="33"/>
  <c r="O2658" i="33"/>
  <c r="O2657" i="33" s="1"/>
  <c r="N2717" i="33"/>
  <c r="K2743" i="33"/>
  <c r="P2743" i="33" s="1"/>
  <c r="K2775" i="33"/>
  <c r="P2775" i="33" s="1"/>
  <c r="K2789" i="33"/>
  <c r="P2789" i="33" s="1"/>
  <c r="K2825" i="33"/>
  <c r="P2825" i="33" s="1"/>
  <c r="N2950" i="33"/>
  <c r="K2994" i="33"/>
  <c r="P2994" i="33" s="1"/>
  <c r="K2997" i="33"/>
  <c r="O3003" i="33"/>
  <c r="K3066" i="33"/>
  <c r="P3066" i="33" s="1"/>
  <c r="O3104" i="33"/>
  <c r="P3104" i="33" s="1"/>
  <c r="K3122" i="33"/>
  <c r="P3122" i="33" s="1"/>
  <c r="O3232" i="33"/>
  <c r="N3962" i="33"/>
  <c r="K4129" i="33"/>
  <c r="P4129" i="33" s="1"/>
  <c r="K4123" i="33"/>
  <c r="P4123" i="33" s="1"/>
  <c r="K4125" i="33"/>
  <c r="P4125" i="33" s="1"/>
  <c r="K2171" i="33"/>
  <c r="P2171" i="33" s="1"/>
  <c r="K2548" i="33"/>
  <c r="P2548" i="33" s="1"/>
  <c r="K2563" i="33"/>
  <c r="P2563" i="33" s="1"/>
  <c r="K2567" i="33"/>
  <c r="P2567" i="33" s="1"/>
  <c r="K2577" i="33"/>
  <c r="P2577" i="33" s="1"/>
  <c r="K2795" i="33"/>
  <c r="P2795" i="33" s="1"/>
  <c r="K2952" i="33"/>
  <c r="K2963" i="33"/>
  <c r="P2963" i="33" s="1"/>
  <c r="K2979" i="33"/>
  <c r="P2979" i="33" s="1"/>
  <c r="K3023" i="33"/>
  <c r="P3023" i="33" s="1"/>
  <c r="K3031" i="33"/>
  <c r="P3031" i="33" s="1"/>
  <c r="K3053" i="33"/>
  <c r="P3053" i="33" s="1"/>
  <c r="O3056" i="33"/>
  <c r="K3077" i="33"/>
  <c r="P3077" i="33" s="1"/>
  <c r="N3087" i="33"/>
  <c r="K3188" i="33"/>
  <c r="P3188" i="33" s="1"/>
  <c r="K3203" i="33"/>
  <c r="K3207" i="33"/>
  <c r="P3207" i="33" s="1"/>
  <c r="K3875" i="33"/>
  <c r="P3875" i="33" s="1"/>
  <c r="R3865" i="33" s="1"/>
  <c r="O3976" i="33"/>
  <c r="P3976" i="33" s="1"/>
  <c r="K4048" i="33"/>
  <c r="P4048" i="33" s="1"/>
  <c r="K4052" i="33"/>
  <c r="P4052" i="33" s="1"/>
  <c r="O4077" i="33"/>
  <c r="K4104" i="33"/>
  <c r="P4104" i="33" s="1"/>
  <c r="K4106" i="33"/>
  <c r="P4106" i="33" s="1"/>
  <c r="O4109" i="33"/>
  <c r="O4121" i="33"/>
  <c r="P4121" i="33" s="1"/>
  <c r="P4145" i="33"/>
  <c r="K1862" i="33"/>
  <c r="P1862" i="33" s="1"/>
  <c r="K1870" i="33"/>
  <c r="P1870" i="33" s="1"/>
  <c r="K1902" i="33"/>
  <c r="P1902" i="33" s="1"/>
  <c r="K1900" i="33"/>
  <c r="P1900" i="33" s="1"/>
  <c r="N1906" i="33"/>
  <c r="K1936" i="33"/>
  <c r="P1936" i="33" s="1"/>
  <c r="K2077" i="33"/>
  <c r="P2077" i="33" s="1"/>
  <c r="O2099" i="33"/>
  <c r="K2105" i="33"/>
  <c r="P2105" i="33" s="1"/>
  <c r="K2108" i="33"/>
  <c r="P2108" i="33" s="1"/>
  <c r="K2127" i="33"/>
  <c r="P2127" i="33" s="1"/>
  <c r="N2129" i="33"/>
  <c r="K2152" i="33"/>
  <c r="P2152" i="33" s="1"/>
  <c r="K2160" i="33"/>
  <c r="P2160" i="33" s="1"/>
  <c r="O2193" i="33"/>
  <c r="K2196" i="33"/>
  <c r="P2196" i="33" s="1"/>
  <c r="K2211" i="33"/>
  <c r="P2211" i="33" s="1"/>
  <c r="O2220" i="33"/>
  <c r="O2218" i="33" s="1"/>
  <c r="K2465" i="33"/>
  <c r="P2465" i="33" s="1"/>
  <c r="K2490" i="33"/>
  <c r="P2490" i="33" s="1"/>
  <c r="O2533" i="33"/>
  <c r="K2539" i="33"/>
  <c r="P2539" i="33" s="1"/>
  <c r="K2559" i="33"/>
  <c r="K2570" i="33"/>
  <c r="K2653" i="33"/>
  <c r="P2653" i="33" s="1"/>
  <c r="K2725" i="33"/>
  <c r="K2763" i="33"/>
  <c r="P2763" i="33" s="1"/>
  <c r="K2769" i="33"/>
  <c r="P2769" i="33" s="1"/>
  <c r="N2792" i="33"/>
  <c r="N3050" i="33"/>
  <c r="K3767" i="33"/>
  <c r="P3767" i="33" s="1"/>
  <c r="O3865" i="33"/>
  <c r="P3865" i="33" s="1"/>
  <c r="K4270" i="33"/>
  <c r="P4270" i="33" s="1"/>
  <c r="K4273" i="33"/>
  <c r="N1897" i="33"/>
  <c r="K1934" i="33"/>
  <c r="P1934" i="33" s="1"/>
  <c r="K2057" i="33"/>
  <c r="P2057" i="33" s="1"/>
  <c r="K2062" i="33"/>
  <c r="P2062" i="33" s="1"/>
  <c r="N2075" i="33"/>
  <c r="K2080" i="33"/>
  <c r="P2080" i="33" s="1"/>
  <c r="O2131" i="33"/>
  <c r="K2163" i="33"/>
  <c r="P2163" i="33" s="1"/>
  <c r="K2166" i="33"/>
  <c r="P2166" i="33" s="1"/>
  <c r="O2184" i="33"/>
  <c r="K2252" i="33"/>
  <c r="P2252" i="33" s="1"/>
  <c r="K2442" i="33"/>
  <c r="P2442" i="33" s="1"/>
  <c r="N2507" i="33"/>
  <c r="N2511" i="33"/>
  <c r="K2515" i="33"/>
  <c r="P2515" i="33" s="1"/>
  <c r="O2536" i="33"/>
  <c r="O2567" i="33"/>
  <c r="K2573" i="33"/>
  <c r="P2573" i="33" s="1"/>
  <c r="K2600" i="33"/>
  <c r="P2600" i="33" s="1"/>
  <c r="K2707" i="33"/>
  <c r="K2719" i="33"/>
  <c r="P2719" i="33" s="1"/>
  <c r="K2723" i="33"/>
  <c r="P2723" i="33" s="1"/>
  <c r="K2744" i="33"/>
  <c r="P2744" i="33" s="1"/>
  <c r="K2800" i="33"/>
  <c r="P2800" i="33" s="1"/>
  <c r="K2948" i="33"/>
  <c r="P2948" i="33" s="1"/>
  <c r="K3002" i="33"/>
  <c r="K3057" i="33"/>
  <c r="P3057" i="33" s="1"/>
  <c r="N3058" i="33"/>
  <c r="K3086" i="33"/>
  <c r="P3086" i="33" s="1"/>
  <c r="K3175" i="33"/>
  <c r="P3175" i="33" s="1"/>
  <c r="K3200" i="33"/>
  <c r="P3200" i="33" s="1"/>
  <c r="O3812" i="33"/>
  <c r="P3812" i="33" s="1"/>
  <c r="K3995" i="33"/>
  <c r="P3995" i="33" s="1"/>
  <c r="K4110" i="33"/>
  <c r="P4110" i="33" s="1"/>
  <c r="P4159" i="33"/>
  <c r="O1862" i="33"/>
  <c r="K2074" i="33"/>
  <c r="P2074" i="33" s="1"/>
  <c r="K2101" i="33"/>
  <c r="P2101" i="33" s="1"/>
  <c r="K2188" i="33"/>
  <c r="P2188" i="33" s="1"/>
  <c r="N2187" i="33"/>
  <c r="K2194" i="33"/>
  <c r="P2194" i="33" s="1"/>
  <c r="K2199" i="33"/>
  <c r="P2199" i="33" s="1"/>
  <c r="K2212" i="33"/>
  <c r="P2212" i="33" s="1"/>
  <c r="O2229" i="33"/>
  <c r="K2233" i="33"/>
  <c r="P2233" i="33" s="1"/>
  <c r="K2250" i="33"/>
  <c r="P2250" i="33" s="1"/>
  <c r="O2266" i="33"/>
  <c r="P2266" i="33" s="1"/>
  <c r="K2486" i="33"/>
  <c r="P2486" i="33" s="1"/>
  <c r="K2491" i="33"/>
  <c r="P2491" i="33" s="1"/>
  <c r="K2550" i="33"/>
  <c r="P2550" i="33" s="1"/>
  <c r="K2564" i="33"/>
  <c r="K2578" i="33"/>
  <c r="P2578" i="33" s="1"/>
  <c r="N2706" i="33"/>
  <c r="K2716" i="33"/>
  <c r="P2716" i="33" s="1"/>
  <c r="K2741" i="33"/>
  <c r="P2741" i="33" s="1"/>
  <c r="K2764" i="33"/>
  <c r="P2764" i="33" s="1"/>
  <c r="K2767" i="33"/>
  <c r="P2767" i="33" s="1"/>
  <c r="K2827" i="33"/>
  <c r="P2827" i="33" s="1"/>
  <c r="K2953" i="33"/>
  <c r="P2953" i="33" s="1"/>
  <c r="K2969" i="33"/>
  <c r="P2969" i="33" s="1"/>
  <c r="K2976" i="33"/>
  <c r="P2976" i="33" s="1"/>
  <c r="K2980" i="33"/>
  <c r="N3029" i="33"/>
  <c r="K3055" i="33"/>
  <c r="O3156" i="33"/>
  <c r="P3156" i="33" s="1"/>
  <c r="O3197" i="33"/>
  <c r="K3217" i="33"/>
  <c r="P3217" i="33" s="1"/>
  <c r="N3258" i="33"/>
  <c r="K3961" i="33"/>
  <c r="P3961" i="33" s="1"/>
  <c r="K3965" i="33"/>
  <c r="P3965" i="33" s="1"/>
  <c r="O4084" i="33"/>
  <c r="P4084" i="33" s="1"/>
  <c r="K1938" i="33"/>
  <c r="P1938" i="33" s="1"/>
  <c r="N2096" i="33"/>
  <c r="N2100" i="33"/>
  <c r="K2103" i="33"/>
  <c r="P2103" i="33" s="1"/>
  <c r="N2125" i="33"/>
  <c r="K2159" i="33"/>
  <c r="P2159" i="33" s="1"/>
  <c r="O2163" i="33"/>
  <c r="K2167" i="33"/>
  <c r="P2167" i="33" s="1"/>
  <c r="K2181" i="33"/>
  <c r="P2181" i="33" s="1"/>
  <c r="N2210" i="33"/>
  <c r="K2310" i="33"/>
  <c r="P2310" i="33" s="1"/>
  <c r="O2332" i="33"/>
  <c r="P2332" i="33" s="1"/>
  <c r="K2461" i="33"/>
  <c r="P2461" i="33" s="1"/>
  <c r="K2568" i="33"/>
  <c r="P2568" i="33" s="1"/>
  <c r="K2606" i="33"/>
  <c r="P2606" i="33" s="1"/>
  <c r="K2639" i="33"/>
  <c r="P2639" i="33" s="1"/>
  <c r="O2671" i="33"/>
  <c r="O2665" i="33" s="1"/>
  <c r="P2665" i="33" s="1"/>
  <c r="K2708" i="33"/>
  <c r="N2786" i="33"/>
  <c r="K2958" i="33"/>
  <c r="P2958" i="33" s="1"/>
  <c r="K2974" i="33"/>
  <c r="K3026" i="33"/>
  <c r="P3026" i="33" s="1"/>
  <c r="K3060" i="33"/>
  <c r="P3060" i="33" s="1"/>
  <c r="K3063" i="33"/>
  <c r="O3079" i="33"/>
  <c r="O3083" i="33"/>
  <c r="O3087" i="33"/>
  <c r="K3148" i="33"/>
  <c r="P3148" i="33" s="1"/>
  <c r="K3184" i="33"/>
  <c r="P3184" i="33" s="1"/>
  <c r="N3245" i="33"/>
  <c r="K3769" i="33"/>
  <c r="P3769" i="33" s="1"/>
  <c r="K3845" i="33"/>
  <c r="P3845" i="33" s="1"/>
  <c r="K3927" i="33"/>
  <c r="P3927" i="33" s="1"/>
  <c r="K4046" i="33"/>
  <c r="P4046" i="33" s="1"/>
  <c r="N4047" i="33"/>
  <c r="N4075" i="33"/>
  <c r="K4108" i="33"/>
  <c r="P4108" i="33" s="1"/>
  <c r="N4195" i="33"/>
  <c r="K4207" i="33"/>
  <c r="P4207" i="33" s="1"/>
  <c r="K4229" i="33"/>
  <c r="P4229" i="33" s="1"/>
  <c r="K4233" i="33"/>
  <c r="P4233" i="33" s="1"/>
  <c r="O4268" i="33"/>
  <c r="P4268" i="33" s="1"/>
  <c r="K4292" i="33"/>
  <c r="P4292" i="33" s="1"/>
  <c r="P4563" i="33"/>
  <c r="K4642" i="33"/>
  <c r="P4642" i="33" s="1"/>
  <c r="K4664" i="33"/>
  <c r="P4664" i="33" s="1"/>
  <c r="O4687" i="33"/>
  <c r="K4692" i="33"/>
  <c r="P4692" i="33" s="1"/>
  <c r="K4902" i="33"/>
  <c r="K4987" i="33"/>
  <c r="P4987" i="33" s="1"/>
  <c r="K4992" i="33"/>
  <c r="P4992" i="33" s="1"/>
  <c r="K5023" i="33"/>
  <c r="K5123" i="33"/>
  <c r="P5123" i="33" s="1"/>
  <c r="K5147" i="33"/>
  <c r="P5147" i="33" s="1"/>
  <c r="N5146" i="33"/>
  <c r="K5222" i="33"/>
  <c r="P5222" i="33" s="1"/>
  <c r="K5248" i="33"/>
  <c r="P5248" i="33" s="1"/>
  <c r="K5258" i="33"/>
  <c r="P5258" i="33" s="1"/>
  <c r="K5284" i="33"/>
  <c r="P5284" i="33" s="1"/>
  <c r="K5286" i="33"/>
  <c r="P5286" i="33" s="1"/>
  <c r="K5651" i="33"/>
  <c r="P5651" i="33" s="1"/>
  <c r="K5667" i="33"/>
  <c r="P5667" i="33" s="1"/>
  <c r="K5690" i="33"/>
  <c r="P5690" i="33" s="1"/>
  <c r="K5759" i="33"/>
  <c r="P5759" i="33" s="1"/>
  <c r="O5883" i="33"/>
  <c r="P5883" i="33" s="1"/>
  <c r="K5947" i="33"/>
  <c r="P5947" i="33" s="1"/>
  <c r="K6218" i="33"/>
  <c r="P6218" i="33" s="1"/>
  <c r="O6333" i="33"/>
  <c r="P6333" i="33" s="1"/>
  <c r="K6469" i="33"/>
  <c r="P6469" i="33" s="1"/>
  <c r="K6678" i="33"/>
  <c r="P6678" i="33" s="1"/>
  <c r="K6701" i="33"/>
  <c r="P6701" i="33" s="1"/>
  <c r="K6719" i="33"/>
  <c r="P6719" i="33" s="1"/>
  <c r="K6836" i="33"/>
  <c r="P6836" i="33" s="1"/>
  <c r="K6842" i="33"/>
  <c r="K6863" i="33"/>
  <c r="K6975" i="33"/>
  <c r="P6975" i="33" s="1"/>
  <c r="N7018" i="33"/>
  <c r="N4203" i="33"/>
  <c r="N4232" i="33"/>
  <c r="K4236" i="33"/>
  <c r="P4236" i="33" s="1"/>
  <c r="O4253" i="33"/>
  <c r="O4608" i="33"/>
  <c r="O4606" i="33" s="1"/>
  <c r="K4927" i="33"/>
  <c r="P4927" i="33" s="1"/>
  <c r="K5031" i="33"/>
  <c r="P5031" i="33" s="1"/>
  <c r="K5052" i="33"/>
  <c r="P5052" i="33" s="1"/>
  <c r="K5082" i="33"/>
  <c r="P5082" i="33" s="1"/>
  <c r="K5241" i="33"/>
  <c r="P5241" i="33" s="1"/>
  <c r="O5264" i="33"/>
  <c r="O5260" i="33" s="1"/>
  <c r="K5281" i="33"/>
  <c r="P5281" i="33" s="1"/>
  <c r="N5282" i="33"/>
  <c r="O5305" i="33"/>
  <c r="O5301" i="33" s="1"/>
  <c r="K5339" i="33"/>
  <c r="P5339" i="33" s="1"/>
  <c r="O5341" i="33"/>
  <c r="O5665" i="33"/>
  <c r="P5665" i="33" s="1"/>
  <c r="K5739" i="33"/>
  <c r="P5739" i="33" s="1"/>
  <c r="O5745" i="33"/>
  <c r="K5863" i="33"/>
  <c r="K5799" i="33"/>
  <c r="P5799" i="33" s="1"/>
  <c r="K5903" i="33"/>
  <c r="P5903" i="33" s="1"/>
  <c r="K6085" i="33"/>
  <c r="P6085" i="33" s="1"/>
  <c r="O6216" i="33"/>
  <c r="P6216" i="33" s="1"/>
  <c r="K6407" i="33"/>
  <c r="P6407" i="33" s="1"/>
  <c r="K6462" i="33"/>
  <c r="P6462" i="33" s="1"/>
  <c r="K6536" i="33"/>
  <c r="P6536" i="33" s="1"/>
  <c r="K6565" i="33"/>
  <c r="P6565" i="33" s="1"/>
  <c r="P6595" i="33"/>
  <c r="O6610" i="33"/>
  <c r="P6610" i="33" s="1"/>
  <c r="K6750" i="33"/>
  <c r="P6750" i="33" s="1"/>
  <c r="K6821" i="33"/>
  <c r="P6821" i="33" s="1"/>
  <c r="K6856" i="33"/>
  <c r="P6856" i="33" s="1"/>
  <c r="O6904" i="33"/>
  <c r="K6925" i="33"/>
  <c r="P6925" i="33" s="1"/>
  <c r="O6999" i="33"/>
  <c r="K4607" i="33"/>
  <c r="P4607" i="33" s="1"/>
  <c r="K4629" i="33"/>
  <c r="P4629" i="33" s="1"/>
  <c r="K4688" i="33"/>
  <c r="P4688" i="33" s="1"/>
  <c r="K4907" i="33"/>
  <c r="K4915" i="33"/>
  <c r="K4934" i="33"/>
  <c r="O5036" i="33"/>
  <c r="K5128" i="33"/>
  <c r="P5128" i="33" s="1"/>
  <c r="K5150" i="33"/>
  <c r="P5150" i="33" s="1"/>
  <c r="K5249" i="33"/>
  <c r="P5249" i="33" s="1"/>
  <c r="K5290" i="33"/>
  <c r="P5290" i="33" s="1"/>
  <c r="O5721" i="33"/>
  <c r="P5721" i="33" s="1"/>
  <c r="K5855" i="33"/>
  <c r="K5806" i="33"/>
  <c r="P5806" i="33" s="1"/>
  <c r="P5821" i="33"/>
  <c r="P5825" i="33"/>
  <c r="O6083" i="33"/>
  <c r="P6083" i="33" s="1"/>
  <c r="K6550" i="33"/>
  <c r="P6550" i="33" s="1"/>
  <c r="O6718" i="33"/>
  <c r="O6709" i="33" s="1"/>
  <c r="P6709" i="33" s="1"/>
  <c r="K6837" i="33"/>
  <c r="P6837" i="33" s="1"/>
  <c r="K4202" i="33"/>
  <c r="P4202" i="33" s="1"/>
  <c r="K4237" i="33"/>
  <c r="P4237" i="33" s="1"/>
  <c r="K4252" i="33"/>
  <c r="P4252" i="33" s="1"/>
  <c r="K4289" i="33"/>
  <c r="P4289" i="33" s="1"/>
  <c r="K4598" i="33"/>
  <c r="P4598" i="33" s="1"/>
  <c r="K4644" i="33"/>
  <c r="P4644" i="33" s="1"/>
  <c r="K4668" i="33"/>
  <c r="P4668" i="33" s="1"/>
  <c r="N4681" i="33"/>
  <c r="K4912" i="33"/>
  <c r="P4912" i="33" s="1"/>
  <c r="K4928" i="33"/>
  <c r="P4928" i="33" s="1"/>
  <c r="N4930" i="33"/>
  <c r="K5037" i="33"/>
  <c r="P5037" i="33" s="1"/>
  <c r="O5162" i="33"/>
  <c r="P5162" i="33" s="1"/>
  <c r="K5201" i="33"/>
  <c r="P5201" i="33" s="1"/>
  <c r="O5268" i="33"/>
  <c r="N5289" i="33"/>
  <c r="K5650" i="33"/>
  <c r="K5672" i="33"/>
  <c r="O5694" i="33"/>
  <c r="K5740" i="33"/>
  <c r="P5740" i="33" s="1"/>
  <c r="N5854" i="33"/>
  <c r="N5805" i="33"/>
  <c r="O6105" i="33"/>
  <c r="O6170" i="33"/>
  <c r="P6170" i="33" s="1"/>
  <c r="K6382" i="33"/>
  <c r="P6382" i="33" s="1"/>
  <c r="K6592" i="33"/>
  <c r="P6592" i="33" s="1"/>
  <c r="K6754" i="33"/>
  <c r="P6754" i="33" s="1"/>
  <c r="O6790" i="33"/>
  <c r="K6852" i="33"/>
  <c r="P6852" i="33" s="1"/>
  <c r="K6977" i="33"/>
  <c r="P6977" i="33" s="1"/>
  <c r="K6998" i="33"/>
  <c r="P6998" i="33" s="1"/>
  <c r="K4206" i="33"/>
  <c r="P4206" i="33" s="1"/>
  <c r="O4208" i="33"/>
  <c r="O4203" i="33" s="1"/>
  <c r="K4223" i="33"/>
  <c r="P4223" i="33" s="1"/>
  <c r="N4224" i="33"/>
  <c r="K4230" i="33"/>
  <c r="P4230" i="33" s="1"/>
  <c r="K4234" i="33"/>
  <c r="P4234" i="33" s="1"/>
  <c r="K4255" i="33"/>
  <c r="P4255" i="33" s="1"/>
  <c r="O4502" i="33"/>
  <c r="P4502" i="33" s="1"/>
  <c r="N4587" i="33"/>
  <c r="N4643" i="33"/>
  <c r="O4701" i="33"/>
  <c r="P4701" i="33" s="1"/>
  <c r="N4984" i="33"/>
  <c r="N4990" i="33"/>
  <c r="K5025" i="33"/>
  <c r="K5084" i="33"/>
  <c r="P5084" i="33" s="1"/>
  <c r="K5148" i="33"/>
  <c r="P5148" i="33" s="1"/>
  <c r="N5239" i="33"/>
  <c r="O5249" i="33"/>
  <c r="K5269" i="33"/>
  <c r="P5269" i="33" s="1"/>
  <c r="K5279" i="33"/>
  <c r="P5279" i="33" s="1"/>
  <c r="O5282" i="33"/>
  <c r="K5300" i="33"/>
  <c r="P5300" i="33" s="1"/>
  <c r="O5855" i="33"/>
  <c r="K5858" i="33"/>
  <c r="O5901" i="33"/>
  <c r="P5901" i="33" s="1"/>
  <c r="O5948" i="33"/>
  <c r="K6042" i="33"/>
  <c r="P6042" i="33" s="1"/>
  <c r="K6062" i="33"/>
  <c r="K6087" i="33"/>
  <c r="P6087" i="33" s="1"/>
  <c r="K6107" i="33"/>
  <c r="P6107" i="33" s="1"/>
  <c r="K6391" i="33"/>
  <c r="P6391" i="33" s="1"/>
  <c r="K6402" i="33"/>
  <c r="P6402" i="33" s="1"/>
  <c r="K6409" i="33"/>
  <c r="P6409" i="33" s="1"/>
  <c r="O6428" i="33"/>
  <c r="K6541" i="33"/>
  <c r="P6541" i="33" s="1"/>
  <c r="K6680" i="33"/>
  <c r="P6680" i="33" s="1"/>
  <c r="K6717" i="33"/>
  <c r="P6717" i="33" s="1"/>
  <c r="O6737" i="33"/>
  <c r="O6728" i="33" s="1"/>
  <c r="P6728" i="33" s="1"/>
  <c r="K6792" i="33"/>
  <c r="P6792" i="33" s="1"/>
  <c r="K6840" i="33"/>
  <c r="P6840" i="33" s="1"/>
  <c r="K4197" i="33"/>
  <c r="P4197" i="33" s="1"/>
  <c r="K4227" i="33"/>
  <c r="P4227" i="33" s="1"/>
  <c r="N4228" i="33"/>
  <c r="O4237" i="33"/>
  <c r="O4252" i="33"/>
  <c r="K4599" i="33"/>
  <c r="P4599" i="33" s="1"/>
  <c r="K4610" i="33"/>
  <c r="P4610" i="33" s="1"/>
  <c r="K4648" i="33"/>
  <c r="P4648" i="33" s="1"/>
  <c r="P4869" i="33"/>
  <c r="K4900" i="33"/>
  <c r="P4900" i="33" s="1"/>
  <c r="K4908" i="33"/>
  <c r="N5120" i="33"/>
  <c r="K5130" i="33"/>
  <c r="P5130" i="33" s="1"/>
  <c r="K5143" i="33"/>
  <c r="P5143" i="33" s="1"/>
  <c r="K5169" i="33"/>
  <c r="P5169" i="33" s="1"/>
  <c r="K5283" i="33"/>
  <c r="P5283" i="33" s="1"/>
  <c r="O5317" i="33"/>
  <c r="P5317" i="33" s="1"/>
  <c r="O5340" i="33"/>
  <c r="N5649" i="33"/>
  <c r="N5764" i="33"/>
  <c r="K5807" i="33"/>
  <c r="P5807" i="33" s="1"/>
  <c r="O5958" i="33"/>
  <c r="P5958" i="33" s="1"/>
  <c r="K5976" i="33"/>
  <c r="P5976" i="33" s="1"/>
  <c r="K6035" i="33"/>
  <c r="P6035" i="33" s="1"/>
  <c r="K6129" i="33"/>
  <c r="P6129" i="33" s="1"/>
  <c r="K6208" i="33"/>
  <c r="P6208" i="33" s="1"/>
  <c r="O6277" i="33"/>
  <c r="P6277" i="33" s="1"/>
  <c r="O6305" i="33"/>
  <c r="P6305" i="33" s="1"/>
  <c r="K6445" i="33"/>
  <c r="P6445" i="33" s="1"/>
  <c r="K6542" i="33"/>
  <c r="K6555" i="33"/>
  <c r="P6555" i="33" s="1"/>
  <c r="P6655" i="33"/>
  <c r="K6732" i="33"/>
  <c r="P6732" i="33" s="1"/>
  <c r="K6739" i="33"/>
  <c r="P6739" i="33" s="1"/>
  <c r="P6833" i="33"/>
  <c r="O6884" i="33"/>
  <c r="O6882" i="33" s="1"/>
  <c r="O6871" i="33" s="1"/>
  <c r="P6871" i="33" s="1"/>
  <c r="K6906" i="33"/>
  <c r="P6906" i="33" s="1"/>
  <c r="K6957" i="33"/>
  <c r="P6957" i="33" s="1"/>
  <c r="K6978" i="33"/>
  <c r="P6978" i="33" s="1"/>
  <c r="O6998" i="33"/>
  <c r="P7484" i="33"/>
  <c r="R7478" i="33" s="1"/>
  <c r="K5122" i="33"/>
  <c r="P5122" i="33" s="1"/>
  <c r="O6041" i="33"/>
  <c r="O6031" i="33" s="1"/>
  <c r="P6031" i="33" s="1"/>
  <c r="K6369" i="33"/>
  <c r="P6369" i="33" s="1"/>
  <c r="K6460" i="33"/>
  <c r="P6460" i="33" s="1"/>
  <c r="O6514" i="33"/>
  <c r="P6514" i="33" s="1"/>
  <c r="O6679" i="33"/>
  <c r="O6669" i="33" s="1"/>
  <c r="P6669" i="33" s="1"/>
  <c r="O6699" i="33"/>
  <c r="O6689" i="33" s="1"/>
  <c r="P6689" i="33" s="1"/>
  <c r="K6854" i="33"/>
  <c r="P6854" i="33" s="1"/>
  <c r="N6904" i="33"/>
  <c r="K6968" i="33"/>
  <c r="P6968" i="33" s="1"/>
  <c r="N6976" i="33"/>
  <c r="K7014" i="33"/>
  <c r="P7014" i="33" s="1"/>
  <c r="K7011" i="33"/>
  <c r="P7011" i="33" s="1"/>
  <c r="K7017" i="33"/>
  <c r="P7017" i="33" s="1"/>
  <c r="K7013" i="33"/>
  <c r="P7013" i="33" s="1"/>
  <c r="K4221" i="33"/>
  <c r="P4221" i="33" s="1"/>
  <c r="K4241" i="33"/>
  <c r="P4241" i="33" s="1"/>
  <c r="K4543" i="33"/>
  <c r="P4543" i="33" s="1"/>
  <c r="K4624" i="33"/>
  <c r="P4624" i="33" s="1"/>
  <c r="K4683" i="33"/>
  <c r="P4683" i="33" s="1"/>
  <c r="N4685" i="33"/>
  <c r="O4908" i="33"/>
  <c r="K4914" i="33"/>
  <c r="P4914" i="33" s="1"/>
  <c r="K4933" i="33"/>
  <c r="P4933" i="33" s="1"/>
  <c r="O4990" i="33"/>
  <c r="K5035" i="33"/>
  <c r="P5035" i="33" s="1"/>
  <c r="K5131" i="33"/>
  <c r="P5131" i="33" s="1"/>
  <c r="K5149" i="33"/>
  <c r="P5149" i="33" s="1"/>
  <c r="K5280" i="33"/>
  <c r="P5280" i="33" s="1"/>
  <c r="K5310" i="33"/>
  <c r="P5310" i="33" s="1"/>
  <c r="O5357" i="33"/>
  <c r="O5355" i="33" s="1"/>
  <c r="P5355" i="33" s="1"/>
  <c r="P5629" i="33"/>
  <c r="O5805" i="33"/>
  <c r="O5919" i="33"/>
  <c r="P5919" i="33" s="1"/>
  <c r="O5990" i="33"/>
  <c r="P5990" i="33" s="1"/>
  <c r="O6762" i="33"/>
  <c r="P6762" i="33" s="1"/>
  <c r="K6883" i="33"/>
  <c r="P6883" i="33" s="1"/>
  <c r="K6929" i="33"/>
  <c r="P6929" i="33" s="1"/>
  <c r="O6978" i="33"/>
  <c r="O6976" i="33" s="1"/>
  <c r="O6965" i="33" s="1"/>
  <c r="P6965" i="33" s="1"/>
  <c r="K7009" i="33"/>
  <c r="P7009" i="33" s="1"/>
  <c r="K7019" i="33"/>
  <c r="P7019" i="33" s="1"/>
  <c r="K7631" i="33"/>
  <c r="P7631" i="33" s="1"/>
  <c r="K7652" i="33"/>
  <c r="P7652" i="33" s="1"/>
  <c r="K7709" i="33"/>
  <c r="P7709" i="33" s="1"/>
  <c r="K7753" i="33"/>
  <c r="P7753" i="33" s="1"/>
  <c r="K7794" i="33"/>
  <c r="P7794" i="33" s="1"/>
  <c r="K8417" i="33"/>
  <c r="P8417" i="33" s="1"/>
  <c r="K8700" i="33"/>
  <c r="P8700" i="33" s="1"/>
  <c r="K8997" i="33"/>
  <c r="P8997" i="33" s="1"/>
  <c r="K9035" i="33"/>
  <c r="P9035" i="33" s="1"/>
  <c r="P11174" i="33"/>
  <c r="K9093" i="33"/>
  <c r="P9093" i="33" s="1"/>
  <c r="K9367" i="33"/>
  <c r="P9367" i="33" s="1"/>
  <c r="K9730" i="33"/>
  <c r="P9730" i="33" s="1"/>
  <c r="K7149" i="33"/>
  <c r="K7171" i="33"/>
  <c r="P7171" i="33" s="1"/>
  <c r="O7191" i="33"/>
  <c r="O7182" i="33" s="1"/>
  <c r="P7182" i="33" s="1"/>
  <c r="K7203" i="33"/>
  <c r="P7203" i="33" s="1"/>
  <c r="K7218" i="33"/>
  <c r="P7218" i="33" s="1"/>
  <c r="K7247" i="33"/>
  <c r="P7247" i="33" s="1"/>
  <c r="K7304" i="33"/>
  <c r="P7304" i="33" s="1"/>
  <c r="O7449" i="33"/>
  <c r="O7447" i="33" s="1"/>
  <c r="K7593" i="33"/>
  <c r="P7593" i="33" s="1"/>
  <c r="N7611" i="33"/>
  <c r="K7623" i="33"/>
  <c r="P7623" i="33" s="1"/>
  <c r="K7649" i="33"/>
  <c r="N7650" i="33"/>
  <c r="O7671" i="33"/>
  <c r="O7669" i="33" s="1"/>
  <c r="O7660" i="33" s="1"/>
  <c r="P7660" i="33" s="1"/>
  <c r="K7747" i="33"/>
  <c r="P7747" i="33" s="1"/>
  <c r="K7915" i="33"/>
  <c r="P7915" i="33" s="1"/>
  <c r="K7964" i="33"/>
  <c r="P7964" i="33" s="1"/>
  <c r="O8008" i="33"/>
  <c r="P8008" i="33" s="1"/>
  <c r="O8337" i="33"/>
  <c r="O8335" i="33" s="1"/>
  <c r="P8392" i="33"/>
  <c r="K8458" i="33"/>
  <c r="P8458" i="33" s="1"/>
  <c r="K8531" i="33"/>
  <c r="P8531" i="33" s="1"/>
  <c r="K8652" i="33"/>
  <c r="P8652" i="33" s="1"/>
  <c r="O8661" i="33"/>
  <c r="P8661" i="33" s="1"/>
  <c r="O8814" i="33"/>
  <c r="O8806" i="33" s="1"/>
  <c r="P8806" i="33" s="1"/>
  <c r="N8831" i="33"/>
  <c r="K9009" i="33"/>
  <c r="P9009" i="33" s="1"/>
  <c r="N9033" i="33"/>
  <c r="K10755" i="33"/>
  <c r="P10755" i="33" s="1"/>
  <c r="K10800" i="33"/>
  <c r="P10800" i="33" s="1"/>
  <c r="K10877" i="33"/>
  <c r="P10877" i="33" s="1"/>
  <c r="N11029" i="33"/>
  <c r="K11217" i="33"/>
  <c r="P11217" i="33" s="1"/>
  <c r="N11252" i="33"/>
  <c r="K11257" i="33"/>
  <c r="P11257" i="33" s="1"/>
  <c r="K11304" i="33"/>
  <c r="P11304" i="33" s="1"/>
  <c r="K9112" i="33"/>
  <c r="P9112" i="33" s="1"/>
  <c r="K7083" i="33"/>
  <c r="P7083" i="33" s="1"/>
  <c r="O7088" i="33"/>
  <c r="O7079" i="33" s="1"/>
  <c r="P7079" i="33" s="1"/>
  <c r="K7127" i="33"/>
  <c r="P7127" i="33" s="1"/>
  <c r="O7216" i="33"/>
  <c r="P7216" i="33" s="1"/>
  <c r="K7312" i="33"/>
  <c r="P7312" i="33" s="1"/>
  <c r="K7332" i="33"/>
  <c r="P7332" i="33" s="1"/>
  <c r="K7421" i="33"/>
  <c r="P7421" i="33" s="1"/>
  <c r="P7517" i="33"/>
  <c r="P7530" i="33"/>
  <c r="O7569" i="33"/>
  <c r="P7569" i="33" s="1"/>
  <c r="K7587" i="33"/>
  <c r="P7587" i="33" s="1"/>
  <c r="N7592" i="33"/>
  <c r="O7612" i="33"/>
  <c r="O7611" i="33" s="1"/>
  <c r="O7602" i="33" s="1"/>
  <c r="P7602" i="33" s="1"/>
  <c r="O7631" i="33"/>
  <c r="K7642" i="33"/>
  <c r="P7642" i="33" s="1"/>
  <c r="O7652" i="33"/>
  <c r="O7650" i="33" s="1"/>
  <c r="O7640" i="33" s="1"/>
  <c r="P7640" i="33" s="1"/>
  <c r="K7668" i="33"/>
  <c r="P7668" i="33" s="1"/>
  <c r="K7702" i="33"/>
  <c r="P7702" i="33" s="1"/>
  <c r="K7710" i="33"/>
  <c r="P7710" i="33" s="1"/>
  <c r="K7745" i="33"/>
  <c r="P7745" i="33" s="1"/>
  <c r="O7971" i="33"/>
  <c r="O7970" i="33" s="1"/>
  <c r="O7960" i="33" s="1"/>
  <c r="P7960" i="33" s="1"/>
  <c r="K8045" i="33"/>
  <c r="P8045" i="33" s="1"/>
  <c r="K8414" i="33"/>
  <c r="P8414" i="33" s="1"/>
  <c r="K8429" i="33"/>
  <c r="P8429" i="33" s="1"/>
  <c r="K8455" i="33"/>
  <c r="P8455" i="33" s="1"/>
  <c r="K8567" i="33"/>
  <c r="P8567" i="33" s="1"/>
  <c r="I8603" i="33"/>
  <c r="O8929" i="33"/>
  <c r="P8929" i="33" s="1"/>
  <c r="K8976" i="33"/>
  <c r="P8976" i="33" s="1"/>
  <c r="K9030" i="33"/>
  <c r="P9030" i="33" s="1"/>
  <c r="K10841" i="33"/>
  <c r="P10841" i="33" s="1"/>
  <c r="K10930" i="33"/>
  <c r="P10930" i="33" s="1"/>
  <c r="K11028" i="33"/>
  <c r="P11028" i="33" s="1"/>
  <c r="P11165" i="33"/>
  <c r="N11216" i="33"/>
  <c r="K9139" i="33"/>
  <c r="K7056" i="33"/>
  <c r="P7056" i="33" s="1"/>
  <c r="K7090" i="33"/>
  <c r="P7090" i="33" s="1"/>
  <c r="N7125" i="33"/>
  <c r="K7166" i="33"/>
  <c r="P7166" i="33" s="1"/>
  <c r="O7201" i="33"/>
  <c r="P7201" i="33" s="1"/>
  <c r="K7219" i="33"/>
  <c r="P7219" i="33" s="1"/>
  <c r="N7330" i="33"/>
  <c r="K7381" i="33"/>
  <c r="P7381" i="33" s="1"/>
  <c r="O7389" i="33"/>
  <c r="P7389" i="33" s="1"/>
  <c r="K7411" i="33"/>
  <c r="P7411" i="33" s="1"/>
  <c r="N7708" i="33"/>
  <c r="K7796" i="33"/>
  <c r="P7796" i="33" s="1"/>
  <c r="P7836" i="33"/>
  <c r="K7867" i="33"/>
  <c r="P7867" i="33" s="1"/>
  <c r="O7915" i="33"/>
  <c r="O8779" i="33"/>
  <c r="O8771" i="33" s="1"/>
  <c r="P8771" i="33" s="1"/>
  <c r="K8860" i="33"/>
  <c r="P8860" i="33" s="1"/>
  <c r="N9091" i="33"/>
  <c r="K9136" i="33"/>
  <c r="P9136" i="33" s="1"/>
  <c r="O9146" i="33"/>
  <c r="P9146" i="33" s="1"/>
  <c r="N9365" i="33"/>
  <c r="K9423" i="33"/>
  <c r="P9423" i="33" s="1"/>
  <c r="O9640" i="33"/>
  <c r="P9640" i="33" s="1"/>
  <c r="K9718" i="33"/>
  <c r="P9718" i="33" s="1"/>
  <c r="K7588" i="33"/>
  <c r="P7588" i="33" s="1"/>
  <c r="K7748" i="33"/>
  <c r="P7748" i="33" s="1"/>
  <c r="N7752" i="33"/>
  <c r="P8340" i="33"/>
  <c r="K8407" i="33"/>
  <c r="P8407" i="33" s="1"/>
  <c r="O8525" i="33"/>
  <c r="P8525" i="33" s="1"/>
  <c r="K8536" i="33"/>
  <c r="P8536" i="33" s="1"/>
  <c r="K8791" i="33"/>
  <c r="P8791" i="33" s="1"/>
  <c r="K8816" i="33"/>
  <c r="P8816" i="33" s="1"/>
  <c r="K8992" i="33"/>
  <c r="P8992" i="33" s="1"/>
  <c r="K10761" i="33"/>
  <c r="P10761" i="33" s="1"/>
  <c r="N10792" i="33"/>
  <c r="K10856" i="33"/>
  <c r="P10856" i="33" s="1"/>
  <c r="K11022" i="33"/>
  <c r="P11022" i="33" s="1"/>
  <c r="O11029" i="33"/>
  <c r="O11020" i="33" s="1"/>
  <c r="P11020" i="33" s="1"/>
  <c r="K11118" i="33"/>
  <c r="P11118" i="33" s="1"/>
  <c r="O11130" i="33"/>
  <c r="P11130" i="33" s="1"/>
  <c r="K11308" i="33"/>
  <c r="P11308" i="33" s="1"/>
  <c r="K9617" i="33"/>
  <c r="P9617" i="33" s="1"/>
  <c r="R9611" i="33" s="1"/>
  <c r="K9728" i="33"/>
  <c r="P9728" i="33" s="1"/>
  <c r="K9735" i="33"/>
  <c r="P9735" i="33" s="1"/>
  <c r="P7130" i="33"/>
  <c r="K7167" i="33"/>
  <c r="P7167" i="33" s="1"/>
  <c r="N7283" i="33"/>
  <c r="K7307" i="33"/>
  <c r="P7307" i="33" s="1"/>
  <c r="K7594" i="33"/>
  <c r="P7594" i="33" s="1"/>
  <c r="K7644" i="33"/>
  <c r="P7644" i="33" s="1"/>
  <c r="K7651" i="33"/>
  <c r="K7670" i="33"/>
  <c r="P7670" i="33" s="1"/>
  <c r="K7689" i="33"/>
  <c r="P7689" i="33" s="1"/>
  <c r="K7707" i="33"/>
  <c r="P7707" i="33" s="1"/>
  <c r="K7886" i="33"/>
  <c r="P7886" i="33" s="1"/>
  <c r="K7893" i="33"/>
  <c r="P7893" i="33" s="1"/>
  <c r="K7962" i="33"/>
  <c r="P7962" i="33" s="1"/>
  <c r="K7969" i="33"/>
  <c r="P7969" i="33" s="1"/>
  <c r="K8416" i="33"/>
  <c r="P8416" i="33" s="1"/>
  <c r="K8457" i="33"/>
  <c r="P8457" i="33" s="1"/>
  <c r="K8695" i="33"/>
  <c r="P8695" i="33" s="1"/>
  <c r="O8868" i="33"/>
  <c r="P8868" i="33" s="1"/>
  <c r="K8981" i="33"/>
  <c r="P8981" i="33" s="1"/>
  <c r="O8990" i="33"/>
  <c r="P8990" i="33" s="1"/>
  <c r="K9007" i="33"/>
  <c r="P9007" i="33" s="1"/>
  <c r="P10710" i="33"/>
  <c r="O10731" i="33"/>
  <c r="P10731" i="33" s="1"/>
  <c r="O10759" i="33"/>
  <c r="P10759" i="33" s="1"/>
  <c r="K10799" i="33"/>
  <c r="P10799" i="33" s="1"/>
  <c r="K10846" i="33"/>
  <c r="P10846" i="33" s="1"/>
  <c r="O10853" i="33"/>
  <c r="P10853" i="33" s="1"/>
  <c r="K11030" i="33"/>
  <c r="P11030" i="33" s="1"/>
  <c r="O11116" i="33"/>
  <c r="P11116" i="33" s="1"/>
  <c r="P9348" i="33"/>
  <c r="O9726" i="33"/>
  <c r="P9726" i="33" s="1"/>
  <c r="O7260" i="33"/>
  <c r="P7260" i="33" s="1"/>
  <c r="O7284" i="33"/>
  <c r="O7283" i="33" s="1"/>
  <c r="P7491" i="33"/>
  <c r="P7556" i="33"/>
  <c r="K7589" i="33"/>
  <c r="P7589" i="33" s="1"/>
  <c r="O7632" i="33"/>
  <c r="N7688" i="33"/>
  <c r="K7700" i="33"/>
  <c r="N7726" i="33"/>
  <c r="K7869" i="33"/>
  <c r="P7869" i="33" s="1"/>
  <c r="O8023" i="33"/>
  <c r="P8023" i="33" s="1"/>
  <c r="P8353" i="33"/>
  <c r="O8434" i="33"/>
  <c r="O8425" i="33" s="1"/>
  <c r="P8425" i="33" s="1"/>
  <c r="K8601" i="33"/>
  <c r="P8601" i="33" s="1"/>
  <c r="O8645" i="33"/>
  <c r="P8645" i="33" s="1"/>
  <c r="K8682" i="33"/>
  <c r="P8682" i="33" s="1"/>
  <c r="K8725" i="33"/>
  <c r="P8725" i="33" s="1"/>
  <c r="K8810" i="33"/>
  <c r="P8810" i="33" s="1"/>
  <c r="O8831" i="33"/>
  <c r="O8823" i="33" s="1"/>
  <c r="P8823" i="33" s="1"/>
  <c r="K8885" i="33"/>
  <c r="O9005" i="33"/>
  <c r="P9005" i="33" s="1"/>
  <c r="K9046" i="33"/>
  <c r="P9046" i="33" s="1"/>
  <c r="K10737" i="33"/>
  <c r="P10737" i="33" s="1"/>
  <c r="O11088" i="33"/>
  <c r="P11088" i="33" s="1"/>
  <c r="O11155" i="33"/>
  <c r="O11144" i="33" s="1"/>
  <c r="P11144" i="33" s="1"/>
  <c r="K11253" i="33"/>
  <c r="P11253" i="33" s="1"/>
  <c r="P11302" i="33"/>
  <c r="O9108" i="33"/>
  <c r="P9108" i="33" s="1"/>
  <c r="O9382" i="33"/>
  <c r="P9382" i="33" s="1"/>
  <c r="O9657" i="33"/>
  <c r="P9657" i="33" s="1"/>
  <c r="N7054" i="33"/>
  <c r="K7089" i="33"/>
  <c r="P7089" i="33" s="1"/>
  <c r="K7126" i="33"/>
  <c r="P7126" i="33" s="1"/>
  <c r="K7136" i="33"/>
  <c r="P7136" i="33" s="1"/>
  <c r="R7130" i="33" s="1"/>
  <c r="O7245" i="33"/>
  <c r="P7245" i="33" s="1"/>
  <c r="O7349" i="33"/>
  <c r="O7340" i="33" s="1"/>
  <c r="P7340" i="33" s="1"/>
  <c r="O7688" i="33"/>
  <c r="O7679" i="33" s="1"/>
  <c r="P7679" i="33" s="1"/>
  <c r="K7865" i="33"/>
  <c r="K7877" i="33" s="1"/>
  <c r="N7932" i="33"/>
  <c r="N7951" i="33"/>
  <c r="K8030" i="33"/>
  <c r="P8030" i="33" s="1"/>
  <c r="K8409" i="33"/>
  <c r="P8409" i="33" s="1"/>
  <c r="K8427" i="33"/>
  <c r="P8427" i="33" s="1"/>
  <c r="K8446" i="33"/>
  <c r="P8446" i="33" s="1"/>
  <c r="K8450" i="33"/>
  <c r="P8450" i="33" s="1"/>
  <c r="O8457" i="33"/>
  <c r="O8456" i="33" s="1"/>
  <c r="O8444" i="33" s="1"/>
  <c r="P8444" i="33" s="1"/>
  <c r="K8755" i="33"/>
  <c r="P8755" i="33" s="1"/>
  <c r="K8793" i="33"/>
  <c r="P8793" i="33" s="1"/>
  <c r="O11261" i="33"/>
  <c r="K5981" i="33"/>
  <c r="P5981" i="33" s="1"/>
  <c r="P91" i="33"/>
  <c r="O243" i="33"/>
  <c r="K243" i="33"/>
  <c r="P243" i="33" s="1"/>
  <c r="P395" i="33"/>
  <c r="P511" i="33"/>
  <c r="P316" i="33"/>
  <c r="O81" i="33"/>
  <c r="P81" i="33" s="1"/>
  <c r="O96" i="33"/>
  <c r="P96" i="33" s="1"/>
  <c r="P76" i="33"/>
  <c r="P122" i="33"/>
  <c r="P134" i="33"/>
  <c r="O187" i="33"/>
  <c r="K187" i="33"/>
  <c r="P187" i="33" s="1"/>
  <c r="O206" i="33"/>
  <c r="P309" i="33"/>
  <c r="I301" i="33"/>
  <c r="P541" i="33"/>
  <c r="O66" i="33"/>
  <c r="P66" i="33" s="1"/>
  <c r="P102" i="33"/>
  <c r="P345" i="33"/>
  <c r="K180" i="33"/>
  <c r="P180" i="33" s="1"/>
  <c r="K209" i="33"/>
  <c r="P209" i="33" s="1"/>
  <c r="K72" i="33"/>
  <c r="K177" i="33"/>
  <c r="P177" i="33" s="1"/>
  <c r="K198" i="33"/>
  <c r="P198" i="33" s="1"/>
  <c r="K200" i="33"/>
  <c r="P200" i="33" s="1"/>
  <c r="K202" i="33"/>
  <c r="P202" i="33" s="1"/>
  <c r="K246" i="33"/>
  <c r="P246" i="33" s="1"/>
  <c r="K262" i="33"/>
  <c r="P262" i="33" s="1"/>
  <c r="K264" i="33"/>
  <c r="P264" i="33" s="1"/>
  <c r="K315" i="33"/>
  <c r="K317" i="33"/>
  <c r="K428" i="33"/>
  <c r="O542" i="33"/>
  <c r="O532" i="33" s="1"/>
  <c r="P633" i="33"/>
  <c r="P725" i="33"/>
  <c r="R923" i="33"/>
  <c r="P1136" i="33"/>
  <c r="K174" i="33"/>
  <c r="P174" i="33" s="1"/>
  <c r="H244" i="33"/>
  <c r="O391" i="33"/>
  <c r="O581" i="33"/>
  <c r="P817" i="33"/>
  <c r="R811" i="33" s="1"/>
  <c r="P996" i="33"/>
  <c r="R990" i="33" s="1"/>
  <c r="K179" i="33"/>
  <c r="P179" i="33" s="1"/>
  <c r="K160" i="33"/>
  <c r="P160" i="33" s="1"/>
  <c r="K171" i="33"/>
  <c r="P171" i="33" s="1"/>
  <c r="K176" i="33"/>
  <c r="P176" i="33" s="1"/>
  <c r="K191" i="33"/>
  <c r="P191" i="33" s="1"/>
  <c r="K205" i="33"/>
  <c r="P205" i="33" s="1"/>
  <c r="K219" i="33"/>
  <c r="P219" i="33" s="1"/>
  <c r="K226" i="33"/>
  <c r="P226" i="33" s="1"/>
  <c r="K228" i="33"/>
  <c r="P228" i="33" s="1"/>
  <c r="K233" i="33"/>
  <c r="P233" i="33" s="1"/>
  <c r="O237" i="33"/>
  <c r="O235" i="33" s="1"/>
  <c r="K241" i="33"/>
  <c r="P241" i="33" s="1"/>
  <c r="K253" i="33"/>
  <c r="P253" i="33" s="1"/>
  <c r="K255" i="33"/>
  <c r="P255" i="33" s="1"/>
  <c r="K257" i="33"/>
  <c r="P257" i="33" s="1"/>
  <c r="K279" i="33"/>
  <c r="P279" i="33" s="1"/>
  <c r="K304" i="33"/>
  <c r="K322" i="33"/>
  <c r="O326" i="33"/>
  <c r="O323" i="33" s="1"/>
  <c r="K333" i="33"/>
  <c r="K350" i="33"/>
  <c r="K352" i="33"/>
  <c r="O390" i="33"/>
  <c r="K390" i="33"/>
  <c r="O580" i="33"/>
  <c r="K580" i="33"/>
  <c r="O600" i="33"/>
  <c r="P600" i="33" s="1"/>
  <c r="P982" i="33"/>
  <c r="P1023" i="33"/>
  <c r="K172" i="33"/>
  <c r="P172" i="33" s="1"/>
  <c r="O429" i="33"/>
  <c r="O426" i="33" s="1"/>
  <c r="K429" i="33"/>
  <c r="O524" i="33"/>
  <c r="O522" i="33" s="1"/>
  <c r="O516" i="33" s="1"/>
  <c r="P516" i="33" s="1"/>
  <c r="P844" i="33"/>
  <c r="K106" i="33"/>
  <c r="K182" i="33"/>
  <c r="P182" i="33" s="1"/>
  <c r="K197" i="33"/>
  <c r="P197" i="33" s="1"/>
  <c r="K199" i="33"/>
  <c r="P199" i="33" s="1"/>
  <c r="K232" i="33"/>
  <c r="P232" i="33" s="1"/>
  <c r="K247" i="33"/>
  <c r="P247" i="33" s="1"/>
  <c r="K263" i="33"/>
  <c r="P263" i="33" s="1"/>
  <c r="K282" i="33"/>
  <c r="P282" i="33" s="1"/>
  <c r="K321" i="33"/>
  <c r="K440" i="33"/>
  <c r="K439" i="33"/>
  <c r="K427" i="33"/>
  <c r="K485" i="33"/>
  <c r="K475" i="33"/>
  <c r="P804" i="33"/>
  <c r="K814" i="33"/>
  <c r="I813" i="33" s="1"/>
  <c r="K813" i="33" s="1"/>
  <c r="P1035" i="33"/>
  <c r="K185" i="33"/>
  <c r="P185" i="33" s="1"/>
  <c r="K210" i="33"/>
  <c r="P210" i="33" s="1"/>
  <c r="K213" i="33"/>
  <c r="K273" i="33"/>
  <c r="P273" i="33" s="1"/>
  <c r="K275" i="33"/>
  <c r="P275" i="33" s="1"/>
  <c r="K355" i="33"/>
  <c r="K7734" i="33"/>
  <c r="K7729" i="33"/>
  <c r="K7735" i="33"/>
  <c r="K7721" i="33"/>
  <c r="K7730" i="33"/>
  <c r="K386" i="33"/>
  <c r="K381" i="33"/>
  <c r="O478" i="33"/>
  <c r="P610" i="33"/>
  <c r="O676" i="33"/>
  <c r="O718" i="33"/>
  <c r="O712" i="33" s="1"/>
  <c r="P712" i="33" s="1"/>
  <c r="P733" i="33"/>
  <c r="P908" i="33"/>
  <c r="P1193" i="33"/>
  <c r="O479" i="33"/>
  <c r="K479" i="33"/>
  <c r="O622" i="33"/>
  <c r="O620" i="33" s="1"/>
  <c r="O615" i="33" s="1"/>
  <c r="P615" i="33" s="1"/>
  <c r="K622" i="33"/>
  <c r="K701" i="33"/>
  <c r="L701" i="33" s="1"/>
  <c r="P754" i="33"/>
  <c r="K801" i="33"/>
  <c r="L801" i="33" s="1"/>
  <c r="P856" i="33"/>
  <c r="P1009" i="33"/>
  <c r="R1003" i="33" s="1"/>
  <c r="K343" i="33"/>
  <c r="N383" i="33"/>
  <c r="K430" i="33"/>
  <c r="K512" i="33"/>
  <c r="K507" i="33"/>
  <c r="K513" i="33"/>
  <c r="I602" i="33"/>
  <c r="K602" i="33" s="1"/>
  <c r="P770" i="33"/>
  <c r="P830" i="33"/>
  <c r="R824" i="33" s="1"/>
  <c r="P891" i="33"/>
  <c r="R955" i="33"/>
  <c r="K365" i="33"/>
  <c r="K367" i="33"/>
  <c r="K554" i="33"/>
  <c r="K556" i="33"/>
  <c r="K558" i="33"/>
  <c r="K650" i="33"/>
  <c r="K652" i="33"/>
  <c r="K714" i="33"/>
  <c r="K803" i="33"/>
  <c r="K853" i="33"/>
  <c r="K855" i="33"/>
  <c r="K1125" i="33"/>
  <c r="K1120" i="33"/>
  <c r="N1308" i="33"/>
  <c r="O1316" i="33"/>
  <c r="O1325" i="33"/>
  <c r="P1325" i="33" s="1"/>
  <c r="P1404" i="33"/>
  <c r="R1398" i="33" s="1"/>
  <c r="P1535" i="33"/>
  <c r="K759" i="33"/>
  <c r="K761" i="33"/>
  <c r="K774" i="33"/>
  <c r="K784" i="33"/>
  <c r="P1051" i="33"/>
  <c r="K1068" i="33"/>
  <c r="K1071" i="33"/>
  <c r="K1198" i="33"/>
  <c r="P1221" i="33"/>
  <c r="O1425" i="33"/>
  <c r="K1425" i="33"/>
  <c r="K451" i="33"/>
  <c r="K453" i="33"/>
  <c r="K518" i="33"/>
  <c r="K677" i="33"/>
  <c r="K720" i="33"/>
  <c r="O740" i="33"/>
  <c r="O738" i="33" s="1"/>
  <c r="O728" i="33" s="1"/>
  <c r="P728" i="33" s="1"/>
  <c r="K749" i="33"/>
  <c r="K751" i="33"/>
  <c r="K753" i="33"/>
  <c r="K755" i="33"/>
  <c r="O775" i="33"/>
  <c r="O772" i="33" s="1"/>
  <c r="K780" i="33"/>
  <c r="O862" i="33"/>
  <c r="O860" i="33" s="1"/>
  <c r="O851" i="33" s="1"/>
  <c r="P851" i="33" s="1"/>
  <c r="K890" i="33"/>
  <c r="K911" i="33"/>
  <c r="I978" i="33"/>
  <c r="K978" i="33" s="1"/>
  <c r="K994" i="33"/>
  <c r="K1041" i="33"/>
  <c r="K1050" i="33"/>
  <c r="O1291" i="33"/>
  <c r="K724" i="33"/>
  <c r="K771" i="33"/>
  <c r="K773" i="33"/>
  <c r="K983" i="33"/>
  <c r="K1032" i="33"/>
  <c r="K1034" i="33"/>
  <c r="K1137" i="33"/>
  <c r="K1135" i="33"/>
  <c r="O1290" i="33"/>
  <c r="K1290" i="33"/>
  <c r="K362" i="33"/>
  <c r="K364" i="33"/>
  <c r="K553" i="33"/>
  <c r="K555" i="33"/>
  <c r="K557" i="33"/>
  <c r="K617" i="33"/>
  <c r="K680" i="33"/>
  <c r="K719" i="33"/>
  <c r="K779" i="33"/>
  <c r="K854" i="33"/>
  <c r="K879" i="33"/>
  <c r="K889" i="33"/>
  <c r="K893" i="33"/>
  <c r="K910" i="33"/>
  <c r="K1038" i="33"/>
  <c r="K1067" i="33"/>
  <c r="O1068" i="33"/>
  <c r="O1066" i="33" s="1"/>
  <c r="O1063" i="33" s="1"/>
  <c r="P1063" i="33" s="1"/>
  <c r="O1087" i="33"/>
  <c r="K1087" i="33"/>
  <c r="O1212" i="33"/>
  <c r="O1309" i="33"/>
  <c r="O1311" i="33"/>
  <c r="O1416" i="33"/>
  <c r="K574" i="33"/>
  <c r="K671" i="33"/>
  <c r="K731" i="33"/>
  <c r="K760" i="33"/>
  <c r="K764" i="33"/>
  <c r="K785" i="33"/>
  <c r="K1065" i="33"/>
  <c r="K1070" i="33"/>
  <c r="O1209" i="33"/>
  <c r="O1211" i="33"/>
  <c r="O1312" i="33"/>
  <c r="K1312" i="33"/>
  <c r="P1335" i="33"/>
  <c r="O1345" i="33"/>
  <c r="O1347" i="33"/>
  <c r="K1474" i="33"/>
  <c r="K1473" i="33"/>
  <c r="K1476" i="33"/>
  <c r="K1475" i="33"/>
  <c r="K750" i="33"/>
  <c r="K752" i="33"/>
  <c r="K778" i="33"/>
  <c r="P1075" i="33"/>
  <c r="K1200" i="33"/>
  <c r="K1197" i="33"/>
  <c r="K1192" i="33"/>
  <c r="P1277" i="33"/>
  <c r="R1271" i="33" s="1"/>
  <c r="O1450" i="33"/>
  <c r="K1450" i="33"/>
  <c r="K723" i="33"/>
  <c r="K1033" i="33"/>
  <c r="K1069" i="33"/>
  <c r="K1076" i="33"/>
  <c r="K1216" i="33"/>
  <c r="N1292" i="33"/>
  <c r="K1207" i="33"/>
  <c r="K1220" i="33"/>
  <c r="K1415" i="33"/>
  <c r="K1426" i="33"/>
  <c r="K1432" i="33"/>
  <c r="K1481" i="33"/>
  <c r="O1489" i="33"/>
  <c r="O1710" i="33"/>
  <c r="P1710" i="33" s="1"/>
  <c r="P1759" i="33"/>
  <c r="P1814" i="33"/>
  <c r="O1882" i="33"/>
  <c r="K1882" i="33"/>
  <c r="P2269" i="33"/>
  <c r="K2485" i="33"/>
  <c r="O2485" i="33"/>
  <c r="O2482" i="33" s="1"/>
  <c r="O2477" i="33" s="1"/>
  <c r="P2477" i="33" s="1"/>
  <c r="O3001" i="33"/>
  <c r="K3001" i="33"/>
  <c r="P7306" i="33"/>
  <c r="P1633" i="33"/>
  <c r="O1667" i="33"/>
  <c r="K1667" i="33"/>
  <c r="K1678" i="33"/>
  <c r="O1678" i="33"/>
  <c r="P2314" i="33"/>
  <c r="K1104" i="33"/>
  <c r="K1299" i="33"/>
  <c r="K1365" i="33"/>
  <c r="O1451" i="33"/>
  <c r="O1481" i="33"/>
  <c r="O1480" i="33" s="1"/>
  <c r="P1570" i="33"/>
  <c r="R1564" i="33" s="1"/>
  <c r="O1625" i="33"/>
  <c r="K1625" i="33"/>
  <c r="O1748" i="33"/>
  <c r="P1748" i="33" s="1"/>
  <c r="P1778" i="33"/>
  <c r="P1828" i="33"/>
  <c r="P2009" i="33"/>
  <c r="R2003" i="33" s="1"/>
  <c r="O2106" i="33"/>
  <c r="K2106" i="33"/>
  <c r="O2133" i="33"/>
  <c r="O2214" i="33"/>
  <c r="K2214" i="33"/>
  <c r="O2240" i="33"/>
  <c r="O2238" i="33" s="1"/>
  <c r="K2240" i="33"/>
  <c r="P2324" i="33"/>
  <c r="P2449" i="33"/>
  <c r="P2831" i="33"/>
  <c r="K1668" i="33"/>
  <c r="O1668" i="33"/>
  <c r="O1681" i="33"/>
  <c r="K1681" i="33"/>
  <c r="P1858" i="33"/>
  <c r="O2186" i="33"/>
  <c r="K2186" i="33"/>
  <c r="K1206" i="33"/>
  <c r="K1328" i="33"/>
  <c r="K1330" i="33"/>
  <c r="K1414" i="33"/>
  <c r="K1419" i="33"/>
  <c r="K1428" i="33"/>
  <c r="K1452" i="33"/>
  <c r="P1598" i="33"/>
  <c r="R1592" i="33" s="1"/>
  <c r="K1626" i="33"/>
  <c r="O1626" i="33"/>
  <c r="P1662" i="33"/>
  <c r="P1740" i="33"/>
  <c r="O1770" i="33"/>
  <c r="P1770" i="33" s="1"/>
  <c r="P1804" i="33"/>
  <c r="K1843" i="33"/>
  <c r="K1848" i="33"/>
  <c r="K1844" i="33"/>
  <c r="K1840" i="33"/>
  <c r="K1838" i="33"/>
  <c r="K1841" i="33"/>
  <c r="K1852" i="33"/>
  <c r="K1847" i="33"/>
  <c r="P1999" i="33"/>
  <c r="O2195" i="33"/>
  <c r="K2195" i="33"/>
  <c r="O2259" i="33"/>
  <c r="O2257" i="33" s="1"/>
  <c r="K2259" i="33"/>
  <c r="O2438" i="33"/>
  <c r="P2438" i="33" s="1"/>
  <c r="K2509" i="33"/>
  <c r="O2509" i="33"/>
  <c r="O2507" i="33" s="1"/>
  <c r="P2815" i="33"/>
  <c r="K1443" i="33"/>
  <c r="O1453" i="33"/>
  <c r="K1458" i="33"/>
  <c r="K1462" i="33"/>
  <c r="O1472" i="33"/>
  <c r="K1482" i="33"/>
  <c r="N1507" i="33"/>
  <c r="O1734" i="33"/>
  <c r="K1734" i="33"/>
  <c r="O1935" i="33"/>
  <c r="K1935" i="33"/>
  <c r="P2023" i="33"/>
  <c r="R2017" i="33" s="1"/>
  <c r="O2055" i="33"/>
  <c r="K2055" i="33"/>
  <c r="O2075" i="33"/>
  <c r="O2070" i="33" s="1"/>
  <c r="P2070" i="33" s="1"/>
  <c r="O2100" i="33"/>
  <c r="P1584" i="33"/>
  <c r="R1578" i="33" s="1"/>
  <c r="P1703" i="33"/>
  <c r="P1713" i="33"/>
  <c r="O1860" i="33"/>
  <c r="K1860" i="33"/>
  <c r="P1962" i="33"/>
  <c r="O2097" i="33"/>
  <c r="K2097" i="33"/>
  <c r="K2544" i="33"/>
  <c r="O2544" i="33"/>
  <c r="P2495" i="33"/>
  <c r="O2165" i="33"/>
  <c r="K2165" i="33"/>
  <c r="P2729" i="33"/>
  <c r="O3224" i="33"/>
  <c r="K3224" i="33"/>
  <c r="K1492" i="33"/>
  <c r="K1494" i="33"/>
  <c r="K1498" i="33"/>
  <c r="K1889" i="33"/>
  <c r="O1908" i="33"/>
  <c r="K1943" i="33"/>
  <c r="K1953" i="33"/>
  <c r="K1958" i="33"/>
  <c r="K2341" i="33"/>
  <c r="K2335" i="33"/>
  <c r="K2336" i="33"/>
  <c r="K2334" i="33"/>
  <c r="K1969" i="33"/>
  <c r="K1974" i="33"/>
  <c r="K2084" i="33"/>
  <c r="K2095" i="33"/>
  <c r="K2112" i="33"/>
  <c r="K2262" i="33"/>
  <c r="P2262" i="33" s="1"/>
  <c r="K2270" i="33"/>
  <c r="K2469" i="33"/>
  <c r="K2473" i="33"/>
  <c r="K2468" i="33"/>
  <c r="K2463" i="33"/>
  <c r="K2458" i="33"/>
  <c r="O2460" i="33"/>
  <c r="O2456" i="33" s="1"/>
  <c r="P2456" i="33" s="1"/>
  <c r="K2516" i="33"/>
  <c r="K2514" i="33"/>
  <c r="K2505" i="33"/>
  <c r="K2504" i="33"/>
  <c r="K2506" i="33"/>
  <c r="K2512" i="33"/>
  <c r="O2542" i="33"/>
  <c r="O2561" i="33"/>
  <c r="O2630" i="33"/>
  <c r="P2630" i="33" s="1"/>
  <c r="O2774" i="33"/>
  <c r="K2774" i="33"/>
  <c r="O2787" i="33"/>
  <c r="K2787" i="33"/>
  <c r="K1695" i="33"/>
  <c r="K1697" i="33"/>
  <c r="K1702" i="33"/>
  <c r="K1731" i="33"/>
  <c r="O1735" i="33"/>
  <c r="K1751" i="33"/>
  <c r="K1753" i="33"/>
  <c r="K1755" i="33"/>
  <c r="K1757" i="33"/>
  <c r="K1773" i="33"/>
  <c r="O1861" i="33"/>
  <c r="O1883" i="33"/>
  <c r="K1898" i="33"/>
  <c r="O1907" i="33"/>
  <c r="O1936" i="33"/>
  <c r="O2056" i="33"/>
  <c r="K2079" i="33"/>
  <c r="O2098" i="33"/>
  <c r="O2107" i="33"/>
  <c r="K2122" i="33"/>
  <c r="K2124" i="33"/>
  <c r="K2126" i="33"/>
  <c r="O2130" i="33"/>
  <c r="K2135" i="33"/>
  <c r="K2157" i="33"/>
  <c r="O2166" i="33"/>
  <c r="O2192" i="33"/>
  <c r="O2196" i="33"/>
  <c r="O2211" i="33"/>
  <c r="K2232" i="33"/>
  <c r="K2251" i="33"/>
  <c r="K2268" i="33"/>
  <c r="O2290" i="33"/>
  <c r="O2289" i="33" s="1"/>
  <c r="K2292" i="33"/>
  <c r="O2702" i="33"/>
  <c r="K2702" i="33"/>
  <c r="P2906" i="33"/>
  <c r="R2900" i="33" s="1"/>
  <c r="O3029" i="33"/>
  <c r="K1622" i="33"/>
  <c r="K1624" i="33"/>
  <c r="K1628" i="33"/>
  <c r="K1916" i="33"/>
  <c r="K1918" i="33"/>
  <c r="K1923" i="33"/>
  <c r="K2033" i="33"/>
  <c r="K2035" i="33"/>
  <c r="K2041" i="33"/>
  <c r="K2052" i="33"/>
  <c r="K2054" i="33"/>
  <c r="K2132" i="33"/>
  <c r="K2141" i="33"/>
  <c r="K2143" i="33"/>
  <c r="K2153" i="33"/>
  <c r="K2156" i="33"/>
  <c r="K2161" i="33"/>
  <c r="K2164" i="33"/>
  <c r="K2213" i="33"/>
  <c r="K2239" i="33"/>
  <c r="O2503" i="33"/>
  <c r="K2541" i="33"/>
  <c r="O2541" i="33"/>
  <c r="K2545" i="33"/>
  <c r="O2545" i="33"/>
  <c r="K2566" i="33"/>
  <c r="O2566" i="33"/>
  <c r="O2720" i="33"/>
  <c r="K2720" i="33"/>
  <c r="O2722" i="33"/>
  <c r="O2762" i="33"/>
  <c r="K2762" i="33"/>
  <c r="O2951" i="33"/>
  <c r="K2951" i="33"/>
  <c r="O3005" i="33"/>
  <c r="K3005" i="33"/>
  <c r="P3851" i="33"/>
  <c r="P4058" i="33"/>
  <c r="K2073" i="33"/>
  <c r="K2078" i="33"/>
  <c r="K2134" i="33"/>
  <c r="K2138" i="33"/>
  <c r="K2170" i="33"/>
  <c r="K2231" i="33"/>
  <c r="K2276" i="33"/>
  <c r="K2287" i="33"/>
  <c r="O2318" i="33"/>
  <c r="P2318" i="33" s="1"/>
  <c r="P2519" i="33"/>
  <c r="O2599" i="33"/>
  <c r="K2599" i="33"/>
  <c r="P2683" i="33"/>
  <c r="O3028" i="33"/>
  <c r="O3025" i="33" s="1"/>
  <c r="K3028" i="33"/>
  <c r="O4235" i="33"/>
  <c r="K4235" i="33"/>
  <c r="K1491" i="33"/>
  <c r="K1493" i="33"/>
  <c r="K1954" i="33"/>
  <c r="K2083" i="33"/>
  <c r="K2088" i="33"/>
  <c r="K2172" i="33"/>
  <c r="K2271" i="33"/>
  <c r="K2291" i="33"/>
  <c r="K2459" i="33"/>
  <c r="K2502" i="33"/>
  <c r="K2508" i="33"/>
  <c r="O2535" i="33"/>
  <c r="O2594" i="33"/>
  <c r="O2791" i="33"/>
  <c r="K2791" i="33"/>
  <c r="P2939" i="33"/>
  <c r="O2972" i="33"/>
  <c r="O2967" i="33" s="1"/>
  <c r="P2967" i="33" s="1"/>
  <c r="O3021" i="33"/>
  <c r="O3178" i="33"/>
  <c r="O3176" i="33" s="1"/>
  <c r="K3178" i="33"/>
  <c r="P3773" i="33"/>
  <c r="K1696" i="33"/>
  <c r="K1698" i="33"/>
  <c r="K2123" i="33"/>
  <c r="K2128" i="33"/>
  <c r="K2137" i="33"/>
  <c r="K2230" i="33"/>
  <c r="K2388" i="33"/>
  <c r="K2882" i="33"/>
  <c r="P2785" i="33"/>
  <c r="P2892" i="33"/>
  <c r="R2886" i="33" s="1"/>
  <c r="P2920" i="33"/>
  <c r="R2914" i="33" s="1"/>
  <c r="O4071" i="33"/>
  <c r="K4071" i="33"/>
  <c r="K1917" i="33"/>
  <c r="K1919" i="33"/>
  <c r="K2034" i="33"/>
  <c r="K2036" i="33"/>
  <c r="P2295" i="33"/>
  <c r="O2569" i="33"/>
  <c r="O2603" i="33"/>
  <c r="K2603" i="33"/>
  <c r="P2640" i="33"/>
  <c r="O2706" i="33"/>
  <c r="O2739" i="33"/>
  <c r="K2739" i="33"/>
  <c r="O2742" i="33"/>
  <c r="O2766" i="33"/>
  <c r="O2955" i="33"/>
  <c r="K2955" i="33"/>
  <c r="N2972" i="33"/>
  <c r="K2328" i="33"/>
  <c r="K2530" i="33"/>
  <c r="K2608" i="33"/>
  <c r="K2692" i="33"/>
  <c r="K2728" i="33"/>
  <c r="O2801" i="33"/>
  <c r="K2930" i="33"/>
  <c r="K2932" i="33"/>
  <c r="K2938" i="33"/>
  <c r="K3037" i="33"/>
  <c r="K3095" i="33"/>
  <c r="K3141" i="33"/>
  <c r="K3165" i="33"/>
  <c r="K3160" i="33"/>
  <c r="K3158" i="33"/>
  <c r="K3161" i="33"/>
  <c r="O3220" i="33"/>
  <c r="K3220" i="33"/>
  <c r="O3249" i="33"/>
  <c r="K3249" i="33"/>
  <c r="O3252" i="33"/>
  <c r="O3251" i="33" s="1"/>
  <c r="K3252" i="33"/>
  <c r="K3254" i="33"/>
  <c r="K3835" i="33"/>
  <c r="K3830" i="33"/>
  <c r="K3948" i="33"/>
  <c r="P3948" i="33" s="1"/>
  <c r="K3944" i="33"/>
  <c r="P3944" i="33" s="1"/>
  <c r="K3942" i="33"/>
  <c r="P3942" i="33" s="1"/>
  <c r="K3952" i="33"/>
  <c r="P3952" i="33" s="1"/>
  <c r="P4105" i="33"/>
  <c r="K4588" i="33"/>
  <c r="K4586" i="33"/>
  <c r="K4581" i="33"/>
  <c r="K4579" i="33"/>
  <c r="K4580" i="33"/>
  <c r="K2441" i="33"/>
  <c r="K2443" i="33"/>
  <c r="K2537" i="33"/>
  <c r="K2549" i="33"/>
  <c r="K2560" i="33"/>
  <c r="K2562" i="33"/>
  <c r="O2591" i="33"/>
  <c r="K2596" i="33"/>
  <c r="O2600" i="33"/>
  <c r="K2622" i="33"/>
  <c r="K2633" i="33"/>
  <c r="K2635" i="33"/>
  <c r="K2652" i="33"/>
  <c r="K2672" i="33"/>
  <c r="K2682" i="33"/>
  <c r="K2684" i="33"/>
  <c r="O2699" i="33"/>
  <c r="O2721" i="33"/>
  <c r="O2740" i="33"/>
  <c r="K2745" i="33"/>
  <c r="O2763" i="33"/>
  <c r="K2768" i="33"/>
  <c r="O2788" i="33"/>
  <c r="K2793" i="33"/>
  <c r="O2800" i="33"/>
  <c r="O2952" i="33"/>
  <c r="K2970" i="33"/>
  <c r="O2993" i="33"/>
  <c r="O2992" i="33" s="1"/>
  <c r="K2998" i="33"/>
  <c r="O3002" i="33"/>
  <c r="K3030" i="33"/>
  <c r="K3034" i="33"/>
  <c r="K3039" i="33"/>
  <c r="K3049" i="33"/>
  <c r="K3051" i="33"/>
  <c r="O3055" i="33"/>
  <c r="K3081" i="33"/>
  <c r="K3090" i="33"/>
  <c r="K3097" i="33"/>
  <c r="K3125" i="33"/>
  <c r="K3123" i="33"/>
  <c r="K3121" i="33"/>
  <c r="K3129" i="33"/>
  <c r="O3143" i="33"/>
  <c r="K3143" i="33"/>
  <c r="K3774" i="33"/>
  <c r="K3770" i="33"/>
  <c r="K3768" i="33"/>
  <c r="K3766" i="33"/>
  <c r="O3828" i="33"/>
  <c r="P3828" i="33" s="1"/>
  <c r="K3920" i="33"/>
  <c r="P3920" i="33" s="1"/>
  <c r="K3915" i="33"/>
  <c r="P3915" i="33" s="1"/>
  <c r="O4049" i="33"/>
  <c r="K4049" i="33"/>
  <c r="O4051" i="33"/>
  <c r="O4173" i="33"/>
  <c r="P4173" i="33" s="1"/>
  <c r="O4195" i="33"/>
  <c r="O4226" i="33"/>
  <c r="K4226" i="33"/>
  <c r="O4228" i="33"/>
  <c r="K2479" i="33"/>
  <c r="K2481" i="33"/>
  <c r="K2483" i="33"/>
  <c r="K2487" i="33"/>
  <c r="K2588" i="33"/>
  <c r="K2593" i="33"/>
  <c r="K2602" i="33"/>
  <c r="K2661" i="33"/>
  <c r="P2661" i="33" s="1"/>
  <c r="K2688" i="33"/>
  <c r="K2759" i="33"/>
  <c r="K2761" i="33"/>
  <c r="K2765" i="33"/>
  <c r="O2775" i="33"/>
  <c r="K2812" i="33"/>
  <c r="K2819" i="33"/>
  <c r="K2990" i="33"/>
  <c r="K2995" i="33"/>
  <c r="K3004" i="33"/>
  <c r="K3027" i="33"/>
  <c r="K3085" i="33"/>
  <c r="K3202" i="33"/>
  <c r="O3202" i="33"/>
  <c r="O3201" i="33" s="1"/>
  <c r="P3831" i="33"/>
  <c r="O3843" i="33"/>
  <c r="P3843" i="33" s="1"/>
  <c r="K3959" i="33"/>
  <c r="P3959" i="33" s="1"/>
  <c r="O3959" i="33"/>
  <c r="O3958" i="33" s="1"/>
  <c r="P4113" i="33"/>
  <c r="P4165" i="33"/>
  <c r="R4159" i="33" s="1"/>
  <c r="K4309" i="33"/>
  <c r="K4308" i="33"/>
  <c r="K4313" i="33"/>
  <c r="K4307" i="33"/>
  <c r="P4949" i="33"/>
  <c r="P5072" i="33"/>
  <c r="K2618" i="33"/>
  <c r="K2651" i="33"/>
  <c r="K2659" i="33"/>
  <c r="K3019" i="33"/>
  <c r="K3024" i="33"/>
  <c r="K3033" i="33"/>
  <c r="K3078" i="33"/>
  <c r="K3080" i="33"/>
  <c r="K3092" i="33"/>
  <c r="K3149" i="33"/>
  <c r="O3182" i="33"/>
  <c r="K3182" i="33"/>
  <c r="O3228" i="33"/>
  <c r="O3225" i="33" s="1"/>
  <c r="K3228" i="33"/>
  <c r="K2306" i="33"/>
  <c r="K2529" i="33"/>
  <c r="K2931" i="33"/>
  <c r="K2933" i="33"/>
  <c r="K3038" i="33"/>
  <c r="K3089" i="33"/>
  <c r="K3096" i="33"/>
  <c r="K3140" i="33"/>
  <c r="O3259" i="33"/>
  <c r="O3258" i="33" s="1"/>
  <c r="K3259" i="33"/>
  <c r="O3893" i="33"/>
  <c r="P3893" i="33" s="1"/>
  <c r="K4508" i="33"/>
  <c r="P4508" i="33" s="1"/>
  <c r="K4505" i="33"/>
  <c r="P4505" i="33" s="1"/>
  <c r="K4512" i="33"/>
  <c r="P4512" i="33" s="1"/>
  <c r="K4507" i="33"/>
  <c r="P4507" i="33" s="1"/>
  <c r="K4504" i="33"/>
  <c r="P4504" i="33" s="1"/>
  <c r="K4511" i="33"/>
  <c r="P4511" i="33" s="1"/>
  <c r="P4582" i="33"/>
  <c r="K3084" i="33"/>
  <c r="K3183" i="33"/>
  <c r="O3183" i="33"/>
  <c r="O4254" i="33"/>
  <c r="K4254" i="33"/>
  <c r="O4290" i="33"/>
  <c r="K4290" i="33"/>
  <c r="O4604" i="33"/>
  <c r="O4600" i="33" s="1"/>
  <c r="K4604" i="33"/>
  <c r="K2811" i="33"/>
  <c r="K2826" i="33"/>
  <c r="K2991" i="33"/>
  <c r="K3082" i="33"/>
  <c r="O3149" i="33"/>
  <c r="O3147" i="33" s="1"/>
  <c r="K3251" i="33"/>
  <c r="K3253" i="33"/>
  <c r="K3250" i="33"/>
  <c r="K3246" i="33"/>
  <c r="K3244" i="33"/>
  <c r="P4151" i="33"/>
  <c r="R4145" i="33" s="1"/>
  <c r="P4184" i="33"/>
  <c r="P4211" i="33"/>
  <c r="P5943" i="33"/>
  <c r="K3234" i="33"/>
  <c r="K3979" i="33"/>
  <c r="P3979" i="33" s="1"/>
  <c r="K3987" i="33"/>
  <c r="P3987" i="33" s="1"/>
  <c r="O4288" i="33"/>
  <c r="N4291" i="33"/>
  <c r="K4294" i="33"/>
  <c r="K4522" i="33"/>
  <c r="P4522" i="33" s="1"/>
  <c r="K4640" i="33"/>
  <c r="O4689" i="33"/>
  <c r="K4689" i="33"/>
  <c r="P4998" i="33"/>
  <c r="O5146" i="33"/>
  <c r="O5756" i="33"/>
  <c r="O6061" i="33"/>
  <c r="K6061" i="33"/>
  <c r="K3111" i="33"/>
  <c r="K3179" i="33"/>
  <c r="K3221" i="33"/>
  <c r="K3233" i="33"/>
  <c r="K3824" i="33"/>
  <c r="K3900" i="33"/>
  <c r="P3900" i="33" s="1"/>
  <c r="K3931" i="33"/>
  <c r="P3931" i="33" s="1"/>
  <c r="K3964" i="33"/>
  <c r="P3964" i="33" s="1"/>
  <c r="O4050" i="33"/>
  <c r="O4068" i="33"/>
  <c r="K4086" i="33"/>
  <c r="K4088" i="33"/>
  <c r="K4093" i="33"/>
  <c r="O4108" i="33"/>
  <c r="K4175" i="33"/>
  <c r="K4177" i="33"/>
  <c r="K4183" i="33"/>
  <c r="K4194" i="33"/>
  <c r="K4196" i="33"/>
  <c r="O4200" i="33"/>
  <c r="O4199" i="33" s="1"/>
  <c r="K4205" i="33"/>
  <c r="O4227" i="33"/>
  <c r="O4236" i="33"/>
  <c r="O4255" i="33"/>
  <c r="K4271" i="33"/>
  <c r="O4292" i="33"/>
  <c r="O4291" i="33" s="1"/>
  <c r="O4520" i="33"/>
  <c r="P4520" i="33" s="1"/>
  <c r="K4589" i="33"/>
  <c r="K4663" i="33"/>
  <c r="O4663" i="33"/>
  <c r="O4661" i="33" s="1"/>
  <c r="P4661" i="33" s="1"/>
  <c r="O4930" i="33"/>
  <c r="P4972" i="33"/>
  <c r="R4966" i="33" s="1"/>
  <c r="P5085" i="33"/>
  <c r="O5121" i="33"/>
  <c r="K5121" i="33"/>
  <c r="O5209" i="33"/>
  <c r="O5207" i="33" s="1"/>
  <c r="O5199" i="33" s="1"/>
  <c r="P5199" i="33" s="1"/>
  <c r="K5209" i="33"/>
  <c r="K4277" i="33"/>
  <c r="K4613" i="33"/>
  <c r="K4609" i="33"/>
  <c r="K4602" i="33"/>
  <c r="K4614" i="33"/>
  <c r="O4906" i="33"/>
  <c r="K4906" i="33"/>
  <c r="O5029" i="33"/>
  <c r="K5029" i="33"/>
  <c r="O5129" i="33"/>
  <c r="P5165" i="33"/>
  <c r="O5219" i="33"/>
  <c r="O5239" i="33"/>
  <c r="K6140" i="33"/>
  <c r="K6138" i="33"/>
  <c r="K6147" i="33"/>
  <c r="K6145" i="33"/>
  <c r="K6139" i="33"/>
  <c r="P6480" i="33"/>
  <c r="K3107" i="33"/>
  <c r="K3218" i="33"/>
  <c r="K3820" i="33"/>
  <c r="K3846" i="33"/>
  <c r="K3963" i="33"/>
  <c r="P3963" i="33" s="1"/>
  <c r="K4054" i="33"/>
  <c r="K4124" i="33"/>
  <c r="K4204" i="33"/>
  <c r="K4231" i="33"/>
  <c r="K4240" i="33"/>
  <c r="K4260" i="33"/>
  <c r="K4293" i="33"/>
  <c r="K4526" i="33"/>
  <c r="P4526" i="33" s="1"/>
  <c r="K4605" i="33"/>
  <c r="N4606" i="33"/>
  <c r="O4681" i="33"/>
  <c r="O4989" i="33"/>
  <c r="K4989" i="33"/>
  <c r="K3271" i="33"/>
  <c r="K3978" i="33"/>
  <c r="P3978" i="33" s="1"/>
  <c r="K3994" i="33"/>
  <c r="P3994" i="33" s="1"/>
  <c r="K4242" i="33"/>
  <c r="K4272" i="33"/>
  <c r="O4535" i="33"/>
  <c r="P4535" i="33" s="1"/>
  <c r="O4589" i="33"/>
  <c r="O4587" i="33" s="1"/>
  <c r="O4577" i="33" s="1"/>
  <c r="P4577" i="33" s="1"/>
  <c r="K4601" i="33"/>
  <c r="K4603" i="33"/>
  <c r="K4645" i="33"/>
  <c r="K4653" i="33"/>
  <c r="K4651" i="33"/>
  <c r="K4646" i="33"/>
  <c r="K4641" i="33"/>
  <c r="K4639" i="33"/>
  <c r="O4654" i="33"/>
  <c r="O4652" i="33" s="1"/>
  <c r="K4654" i="33"/>
  <c r="K4686" i="33"/>
  <c r="O4686" i="33"/>
  <c r="P5048" i="33"/>
  <c r="O5228" i="33"/>
  <c r="K5228" i="33"/>
  <c r="O5801" i="33"/>
  <c r="K5801" i="33"/>
  <c r="K4087" i="33"/>
  <c r="K4089" i="33"/>
  <c r="K4094" i="33"/>
  <c r="K4176" i="33"/>
  <c r="K4178" i="33"/>
  <c r="K4278" i="33"/>
  <c r="O4643" i="33"/>
  <c r="P4693" i="33"/>
  <c r="O5145" i="33"/>
  <c r="K5145" i="33"/>
  <c r="K5223" i="33"/>
  <c r="K5220" i="33"/>
  <c r="K5218" i="33"/>
  <c r="K5221" i="33"/>
  <c r="O4985" i="33"/>
  <c r="K4985" i="33"/>
  <c r="O5125" i="33"/>
  <c r="K5125" i="33"/>
  <c r="P5190" i="33"/>
  <c r="K5229" i="33"/>
  <c r="P6173" i="33"/>
  <c r="K4704" i="33"/>
  <c r="P4875" i="33"/>
  <c r="R4869" i="33" s="1"/>
  <c r="K4890" i="33"/>
  <c r="K4983" i="33"/>
  <c r="K4997" i="33"/>
  <c r="K5117" i="33"/>
  <c r="K5119" i="33"/>
  <c r="K5140" i="33"/>
  <c r="K5153" i="33"/>
  <c r="K5323" i="33"/>
  <c r="K5653" i="33"/>
  <c r="O5653" i="33"/>
  <c r="P5710" i="33"/>
  <c r="P5738" i="33"/>
  <c r="N5817" i="33"/>
  <c r="O5826" i="33"/>
  <c r="O5824" i="33" s="1"/>
  <c r="O5949" i="33"/>
  <c r="K6110" i="33"/>
  <c r="P6159" i="33"/>
  <c r="O6201" i="33"/>
  <c r="P6201" i="33" s="1"/>
  <c r="R6239" i="33"/>
  <c r="K4680" i="33"/>
  <c r="K4682" i="33"/>
  <c r="O4907" i="33"/>
  <c r="O4927" i="33"/>
  <c r="O4926" i="33" s="1"/>
  <c r="K4932" i="33"/>
  <c r="K4948" i="33"/>
  <c r="K4953" i="33"/>
  <c r="O4986" i="33"/>
  <c r="O5030" i="33"/>
  <c r="O5122" i="33"/>
  <c r="O5229" i="33"/>
  <c r="K5238" i="33"/>
  <c r="K5240" i="33"/>
  <c r="O5248" i="33"/>
  <c r="K5262" i="33"/>
  <c r="O5290" i="33"/>
  <c r="K5303" i="33"/>
  <c r="K5309" i="33"/>
  <c r="K5373" i="33"/>
  <c r="O5658" i="33"/>
  <c r="O5656" i="33" s="1"/>
  <c r="O5644" i="33" s="1"/>
  <c r="P5644" i="33" s="1"/>
  <c r="K5658" i="33"/>
  <c r="O5765" i="33"/>
  <c r="K5765" i="33"/>
  <c r="K5930" i="33"/>
  <c r="P5930" i="33" s="1"/>
  <c r="K5928" i="33"/>
  <c r="P5928" i="33" s="1"/>
  <c r="K5923" i="33"/>
  <c r="P5923" i="33" s="1"/>
  <c r="K5921" i="33"/>
  <c r="P5921" i="33" s="1"/>
  <c r="K5929" i="33"/>
  <c r="P5929" i="33" s="1"/>
  <c r="K5927" i="33"/>
  <c r="P5927" i="33" s="1"/>
  <c r="K5922" i="33"/>
  <c r="P5922" i="33" s="1"/>
  <c r="O6069" i="33"/>
  <c r="P6069" i="33" s="1"/>
  <c r="P6101" i="33"/>
  <c r="O6126" i="33"/>
  <c r="O6124" i="33" s="1"/>
  <c r="K6126" i="33"/>
  <c r="K4901" i="33"/>
  <c r="K4903" i="33"/>
  <c r="K4905" i="33"/>
  <c r="K4924" i="33"/>
  <c r="K4929" i="33"/>
  <c r="K4937" i="33"/>
  <c r="K5008" i="33"/>
  <c r="K5013" i="33"/>
  <c r="K5024" i="33"/>
  <c r="K5026" i="33"/>
  <c r="K5028" i="33"/>
  <c r="K5101" i="33"/>
  <c r="K5106" i="33"/>
  <c r="K5202" i="33"/>
  <c r="K5270" i="33"/>
  <c r="P6040" i="33"/>
  <c r="K4931" i="33"/>
  <c r="K5083" i="33"/>
  <c r="K5243" i="33"/>
  <c r="K5259" i="33"/>
  <c r="K5324" i="33"/>
  <c r="O5862" i="33"/>
  <c r="K4703" i="33"/>
  <c r="K4982" i="33"/>
  <c r="K5116" i="33"/>
  <c r="K5141" i="33"/>
  <c r="K5302" i="33"/>
  <c r="O5338" i="33"/>
  <c r="K5338" i="33"/>
  <c r="O5342" i="33"/>
  <c r="K5342" i="33"/>
  <c r="K5347" i="33"/>
  <c r="O5857" i="33"/>
  <c r="K5857" i="33"/>
  <c r="K5760" i="33"/>
  <c r="K5755" i="33"/>
  <c r="K5758" i="33"/>
  <c r="K5766" i="33"/>
  <c r="P5816" i="33"/>
  <c r="P6224" i="33"/>
  <c r="O6243" i="33"/>
  <c r="K6243" i="33"/>
  <c r="P6311" i="33"/>
  <c r="K6335" i="33"/>
  <c r="K6339" i="33"/>
  <c r="O5685" i="33"/>
  <c r="K5728" i="33"/>
  <c r="K5732" i="33"/>
  <c r="K5727" i="33"/>
  <c r="O5746" i="33"/>
  <c r="K5746" i="33"/>
  <c r="P6056" i="33"/>
  <c r="K6177" i="33"/>
  <c r="K6172" i="33"/>
  <c r="K6283" i="33"/>
  <c r="K6279" i="33"/>
  <c r="K6321" i="33"/>
  <c r="K6325" i="33"/>
  <c r="P6874" i="33"/>
  <c r="K4925" i="33"/>
  <c r="K5372" i="33"/>
  <c r="O5652" i="33"/>
  <c r="K5652" i="33"/>
  <c r="P5671" i="33"/>
  <c r="P6076" i="33"/>
  <c r="P6088" i="33"/>
  <c r="O6109" i="33"/>
  <c r="K6109" i="33"/>
  <c r="K6128" i="33"/>
  <c r="P6120" i="33"/>
  <c r="O6148" i="33"/>
  <c r="O6146" i="33" s="1"/>
  <c r="K6148" i="33"/>
  <c r="P6204" i="33"/>
  <c r="P6404" i="33"/>
  <c r="K5334" i="33"/>
  <c r="K5336" i="33"/>
  <c r="O5348" i="33"/>
  <c r="O5346" i="33" s="1"/>
  <c r="K5647" i="33"/>
  <c r="K5706" i="33"/>
  <c r="K5864" i="33"/>
  <c r="K5886" i="33"/>
  <c r="P5886" i="33" s="1"/>
  <c r="K5905" i="33"/>
  <c r="P5905" i="33" s="1"/>
  <c r="K5910" i="33"/>
  <c r="P5910" i="33" s="1"/>
  <c r="K5912" i="33"/>
  <c r="P5912" i="33" s="1"/>
  <c r="K5960" i="33"/>
  <c r="P5960" i="33" s="1"/>
  <c r="K6053" i="33"/>
  <c r="K6055" i="33"/>
  <c r="K6059" i="33"/>
  <c r="K6158" i="33"/>
  <c r="K6162" i="33"/>
  <c r="P6353" i="33"/>
  <c r="K6403" i="33"/>
  <c r="K6401" i="33"/>
  <c r="K6410" i="33"/>
  <c r="P6675" i="33"/>
  <c r="P7068" i="33"/>
  <c r="K5362" i="33"/>
  <c r="K5636" i="33"/>
  <c r="K5681" i="33"/>
  <c r="K5683" i="33"/>
  <c r="K5688" i="33"/>
  <c r="O5858" i="33"/>
  <c r="O5798" i="33"/>
  <c r="K5942" i="33"/>
  <c r="P5942" i="33" s="1"/>
  <c r="O5947" i="33"/>
  <c r="K5992" i="33"/>
  <c r="P5992" i="33" s="1"/>
  <c r="K5997" i="33"/>
  <c r="P5997" i="33" s="1"/>
  <c r="K6007" i="33"/>
  <c r="P6007" i="33" s="1"/>
  <c r="K6009" i="33"/>
  <c r="P6009" i="33" s="1"/>
  <c r="K6043" i="33"/>
  <c r="O6062" i="33"/>
  <c r="K6071" i="33"/>
  <c r="K6073" i="33"/>
  <c r="K6100" i="33"/>
  <c r="K6102" i="33"/>
  <c r="K6106" i="33"/>
  <c r="O6110" i="33"/>
  <c r="K6219" i="33"/>
  <c r="O6244" i="33"/>
  <c r="K6307" i="33"/>
  <c r="O6448" i="33"/>
  <c r="O6446" i="33" s="1"/>
  <c r="O6437" i="33" s="1"/>
  <c r="P6437" i="33" s="1"/>
  <c r="K6448" i="33"/>
  <c r="P6819" i="33"/>
  <c r="K5696" i="33"/>
  <c r="O5766" i="33"/>
  <c r="K5795" i="33"/>
  <c r="K5800" i="33"/>
  <c r="K5892" i="33"/>
  <c r="P5892" i="33" s="1"/>
  <c r="K5894" i="33"/>
  <c r="P5894" i="33" s="1"/>
  <c r="K5939" i="33"/>
  <c r="P5939" i="33" s="1"/>
  <c r="K6119" i="33"/>
  <c r="K6121" i="33"/>
  <c r="K6125" i="33"/>
  <c r="K6188" i="33"/>
  <c r="K6193" i="33"/>
  <c r="O6487" i="33"/>
  <c r="O6485" i="33" s="1"/>
  <c r="O6477" i="33" s="1"/>
  <c r="P6477" i="33" s="1"/>
  <c r="K6487" i="33"/>
  <c r="O6591" i="33"/>
  <c r="O6590" i="33" s="1"/>
  <c r="K6591" i="33"/>
  <c r="O7020" i="33"/>
  <c r="O7018" i="33" s="1"/>
  <c r="O7007" i="33" s="1"/>
  <c r="P7007" i="33" s="1"/>
  <c r="K7020" i="33"/>
  <c r="P7038" i="33"/>
  <c r="O7042" i="33"/>
  <c r="O7041" i="33" s="1"/>
  <c r="K7042" i="33"/>
  <c r="K5687" i="33"/>
  <c r="K5693" i="33"/>
  <c r="K5695" i="33"/>
  <c r="K5757" i="33"/>
  <c r="K5885" i="33"/>
  <c r="K5951" i="33"/>
  <c r="P5951" i="33" s="1"/>
  <c r="K6034" i="33"/>
  <c r="K6036" i="33"/>
  <c r="K6086" i="33"/>
  <c r="K6144" i="33"/>
  <c r="O6372" i="33"/>
  <c r="O6370" i="33" s="1"/>
  <c r="O6361" i="33" s="1"/>
  <c r="P6361" i="33" s="1"/>
  <c r="K6372" i="33"/>
  <c r="O6535" i="33"/>
  <c r="K6535" i="33"/>
  <c r="P6733" i="33"/>
  <c r="P6765" i="33"/>
  <c r="K5333" i="33"/>
  <c r="K5646" i="33"/>
  <c r="K5705" i="33"/>
  <c r="K5909" i="33"/>
  <c r="P5909" i="33" s="1"/>
  <c r="K5941" i="33"/>
  <c r="P5941" i="33" s="1"/>
  <c r="K6052" i="33"/>
  <c r="K6054" i="33"/>
  <c r="K6157" i="33"/>
  <c r="O6408" i="33"/>
  <c r="O6399" i="33" s="1"/>
  <c r="P6399" i="33" s="1"/>
  <c r="O6468" i="33"/>
  <c r="O6467" i="33" s="1"/>
  <c r="O6456" i="33" s="1"/>
  <c r="P6456" i="33" s="1"/>
  <c r="K6468" i="33"/>
  <c r="O6820" i="33"/>
  <c r="O6809" i="33" s="1"/>
  <c r="P6809" i="33" s="1"/>
  <c r="K5682" i="33"/>
  <c r="K5684" i="33"/>
  <c r="K5686" i="33"/>
  <c r="K5950" i="33"/>
  <c r="P5950" i="33" s="1"/>
  <c r="K6008" i="33"/>
  <c r="P6008" i="33" s="1"/>
  <c r="K6072" i="33"/>
  <c r="P6631" i="33"/>
  <c r="R6625" i="33" s="1"/>
  <c r="K5891" i="33"/>
  <c r="K5977" i="33"/>
  <c r="P5977" i="33" s="1"/>
  <c r="K6187" i="33"/>
  <c r="K6293" i="33"/>
  <c r="O6390" i="33"/>
  <c r="O6389" i="33" s="1"/>
  <c r="O6380" i="33" s="1"/>
  <c r="P6380" i="33" s="1"/>
  <c r="K6390" i="33"/>
  <c r="P6442" i="33"/>
  <c r="P6463" i="33"/>
  <c r="K6481" i="33"/>
  <c r="K6479" i="33"/>
  <c r="K6486" i="33"/>
  <c r="K6484" i="33"/>
  <c r="P6616" i="33"/>
  <c r="P6625" i="33"/>
  <c r="K6388" i="33"/>
  <c r="K6466" i="33"/>
  <c r="K6523" i="33"/>
  <c r="K6617" i="33"/>
  <c r="K6672" i="33"/>
  <c r="K6674" i="33"/>
  <c r="K6711" i="33"/>
  <c r="K6713" i="33"/>
  <c r="K6812" i="33"/>
  <c r="K6834" i="33"/>
  <c r="O6862" i="33"/>
  <c r="O6861" i="33" s="1"/>
  <c r="O6850" i="33" s="1"/>
  <c r="P6850" i="33" s="1"/>
  <c r="K6862" i="33"/>
  <c r="P6930" i="33"/>
  <c r="K6971" i="33"/>
  <c r="K6969" i="33"/>
  <c r="K6967" i="33"/>
  <c r="O7054" i="33"/>
  <c r="O7046" i="33" s="1"/>
  <c r="P7046" i="33" s="1"/>
  <c r="P7343" i="33"/>
  <c r="K6383" i="33"/>
  <c r="K6385" i="33"/>
  <c r="K6420" i="33"/>
  <c r="K6422" i="33"/>
  <c r="K6459" i="33"/>
  <c r="K6461" i="33"/>
  <c r="K6517" i="33"/>
  <c r="K6519" i="33"/>
  <c r="P6519" i="33" s="1"/>
  <c r="K6720" i="33"/>
  <c r="K6736" i="33"/>
  <c r="K6738" i="33"/>
  <c r="K6766" i="33"/>
  <c r="N6820" i="33"/>
  <c r="K6832" i="33"/>
  <c r="K6878" i="33"/>
  <c r="P7124" i="33"/>
  <c r="K7186" i="33"/>
  <c r="K7184" i="33"/>
  <c r="K7192" i="33"/>
  <c r="K7185" i="33"/>
  <c r="K7187" i="33"/>
  <c r="K7190" i="33"/>
  <c r="K6551" i="33"/>
  <c r="K6566" i="33"/>
  <c r="K6571" i="33"/>
  <c r="K6647" i="33"/>
  <c r="K6692" i="33"/>
  <c r="K6694" i="33"/>
  <c r="K6731" i="33"/>
  <c r="K6764" i="33"/>
  <c r="K6815" i="33"/>
  <c r="K6813" i="33"/>
  <c r="K6811" i="33"/>
  <c r="P7223" i="33"/>
  <c r="P7965" i="33"/>
  <c r="K6364" i="33"/>
  <c r="K6440" i="33"/>
  <c r="K6835" i="33"/>
  <c r="K6843" i="33"/>
  <c r="K6877" i="33"/>
  <c r="K6875" i="33"/>
  <c r="K6873" i="33"/>
  <c r="O6936" i="33"/>
  <c r="O6934" i="33" s="1"/>
  <c r="O6923" i="33" s="1"/>
  <c r="P6923" i="33" s="1"/>
  <c r="K6936" i="33"/>
  <c r="K7105" i="33"/>
  <c r="K7100" i="33"/>
  <c r="K7104" i="33"/>
  <c r="K7396" i="33"/>
  <c r="K7391" i="33"/>
  <c r="K7392" i="33"/>
  <c r="P7629" i="33"/>
  <c r="K6349" i="33"/>
  <c r="K6426" i="33"/>
  <c r="K6671" i="33"/>
  <c r="K6673" i="33"/>
  <c r="K6712" i="33"/>
  <c r="K6770" i="33"/>
  <c r="K6816" i="33"/>
  <c r="K6822" i="33"/>
  <c r="K6876" i="33"/>
  <c r="K6881" i="33"/>
  <c r="P6903" i="33"/>
  <c r="O7174" i="33"/>
  <c r="O7172" i="33" s="1"/>
  <c r="O7163" i="33" s="1"/>
  <c r="P7163" i="33" s="1"/>
  <c r="K7174" i="33"/>
  <c r="K6421" i="33"/>
  <c r="K6698" i="33"/>
  <c r="K6700" i="33"/>
  <c r="O6843" i="33"/>
  <c r="O6841" i="33" s="1"/>
  <c r="O6830" i="33" s="1"/>
  <c r="P6830" i="33" s="1"/>
  <c r="O6956" i="33"/>
  <c r="O6955" i="33" s="1"/>
  <c r="O6944" i="33" s="1"/>
  <c r="P6944" i="33" s="1"/>
  <c r="K6956" i="33"/>
  <c r="P7084" i="33"/>
  <c r="K7313" i="33"/>
  <c r="O7313" i="33"/>
  <c r="O7311" i="33" s="1"/>
  <c r="O7302" i="33" s="1"/>
  <c r="P7302" i="33" s="1"/>
  <c r="P7605" i="33"/>
  <c r="K6691" i="33"/>
  <c r="K6693" i="33"/>
  <c r="K6814" i="33"/>
  <c r="P7053" i="33"/>
  <c r="K6860" i="33"/>
  <c r="K6954" i="33"/>
  <c r="K7048" i="33"/>
  <c r="K7072" i="33"/>
  <c r="P7362" i="33"/>
  <c r="P7449" i="33"/>
  <c r="P7536" i="33"/>
  <c r="R7530" i="33" s="1"/>
  <c r="P7549" i="33"/>
  <c r="R7543" i="33" s="1"/>
  <c r="P7703" i="33"/>
  <c r="K7725" i="33"/>
  <c r="P8830" i="33"/>
  <c r="K6853" i="33"/>
  <c r="K6855" i="33"/>
  <c r="K6947" i="33"/>
  <c r="K6949" i="33"/>
  <c r="K6988" i="33"/>
  <c r="K6990" i="33"/>
  <c r="K6992" i="33"/>
  <c r="K7065" i="33"/>
  <c r="K7067" i="33"/>
  <c r="K7087" i="33"/>
  <c r="K7147" i="33"/>
  <c r="K7238" i="33"/>
  <c r="K7305" i="33"/>
  <c r="P7643" i="33"/>
  <c r="K7723" i="33"/>
  <c r="P7842" i="33"/>
  <c r="R7836" i="33" s="1"/>
  <c r="K7082" i="33"/>
  <c r="K7351" i="33"/>
  <c r="P7497" i="33"/>
  <c r="R7491" i="33" s="1"/>
  <c r="P7663" i="33"/>
  <c r="K6926" i="33"/>
  <c r="K6928" i="33"/>
  <c r="K7010" i="33"/>
  <c r="K7012" i="33"/>
  <c r="K7173" i="33"/>
  <c r="K7193" i="33"/>
  <c r="K7285" i="33"/>
  <c r="K7310" i="33"/>
  <c r="P7471" i="33"/>
  <c r="R7465" i="33" s="1"/>
  <c r="P7510" i="33"/>
  <c r="R7504" i="33" s="1"/>
  <c r="P7996" i="33"/>
  <c r="P8011" i="33"/>
  <c r="K6996" i="33"/>
  <c r="K7049" i="33"/>
  <c r="K7071" i="33"/>
  <c r="K7234" i="33"/>
  <c r="P7377" i="33"/>
  <c r="P7458" i="33"/>
  <c r="R7452" i="33" s="1"/>
  <c r="P7720" i="33"/>
  <c r="K6989" i="33"/>
  <c r="K6991" i="33"/>
  <c r="K7066" i="33"/>
  <c r="O7404" i="33"/>
  <c r="P7404" i="33" s="1"/>
  <c r="P7422" i="33"/>
  <c r="K7768" i="33"/>
  <c r="K7764" i="33"/>
  <c r="K7762" i="33"/>
  <c r="K7769" i="33"/>
  <c r="K7763" i="33"/>
  <c r="K7765" i="33"/>
  <c r="K7345" i="33"/>
  <c r="K7348" i="33"/>
  <c r="K7344" i="33"/>
  <c r="K7342" i="33"/>
  <c r="K7350" i="33"/>
  <c r="K7610" i="33"/>
  <c r="K7606" i="33"/>
  <c r="K7604" i="33"/>
  <c r="K7613" i="33"/>
  <c r="K7607" i="33"/>
  <c r="O7728" i="33"/>
  <c r="K7728" i="33"/>
  <c r="K7208" i="33"/>
  <c r="K7324" i="33"/>
  <c r="K7406" i="33"/>
  <c r="K7580" i="33"/>
  <c r="P7580" i="33" s="1"/>
  <c r="K7662" i="33"/>
  <c r="K7683" i="33"/>
  <c r="O7993" i="33"/>
  <c r="P7993" i="33" s="1"/>
  <c r="P8372" i="33"/>
  <c r="R8366" i="33" s="1"/>
  <c r="P8385" i="33"/>
  <c r="R8379" i="33" s="1"/>
  <c r="P8451" i="33"/>
  <c r="P8564" i="33"/>
  <c r="P8711" i="33"/>
  <c r="P8730" i="33"/>
  <c r="K7366" i="33"/>
  <c r="K7426" i="33"/>
  <c r="K7585" i="33"/>
  <c r="P7585" i="33" s="1"/>
  <c r="K7591" i="33"/>
  <c r="K7664" i="33"/>
  <c r="P8333" i="33"/>
  <c r="O8477" i="33"/>
  <c r="O8466" i="33" s="1"/>
  <c r="P8466" i="33" s="1"/>
  <c r="K7578" i="33"/>
  <c r="P7578" i="33" s="1"/>
  <c r="K7624" i="33"/>
  <c r="K7690" i="33"/>
  <c r="K7701" i="33"/>
  <c r="P7816" i="33"/>
  <c r="P8056" i="33"/>
  <c r="P8346" i="33"/>
  <c r="R8340" i="33" s="1"/>
  <c r="K8745" i="33"/>
  <c r="K8740" i="33"/>
  <c r="K8741" i="33"/>
  <c r="K8775" i="33"/>
  <c r="K8773" i="33"/>
  <c r="K8778" i="33"/>
  <c r="K8781" i="33"/>
  <c r="K8774" i="33"/>
  <c r="K8780" i="33"/>
  <c r="K7682" i="33"/>
  <c r="K7727" i="33"/>
  <c r="K7934" i="33"/>
  <c r="O7934" i="33"/>
  <c r="P8398" i="33"/>
  <c r="R8392" i="33" s="1"/>
  <c r="P8663" i="33"/>
  <c r="O7722" i="33"/>
  <c r="K7754" i="33"/>
  <c r="O7818" i="33"/>
  <c r="I7839" i="33"/>
  <c r="P8026" i="33"/>
  <c r="O8053" i="33"/>
  <c r="P8053" i="33" s="1"/>
  <c r="P8410" i="33"/>
  <c r="K8762" i="33"/>
  <c r="O8762" i="33"/>
  <c r="O7727" i="33"/>
  <c r="O7895" i="33"/>
  <c r="O7894" i="33" s="1"/>
  <c r="O7884" i="33" s="1"/>
  <c r="P7884" i="33" s="1"/>
  <c r="P8359" i="33"/>
  <c r="R8353" i="33" s="1"/>
  <c r="K8498" i="33"/>
  <c r="O8498" i="33"/>
  <c r="K7724" i="33"/>
  <c r="K7914" i="33"/>
  <c r="O7914" i="33"/>
  <c r="K8000" i="33"/>
  <c r="K7995" i="33"/>
  <c r="P8337" i="33"/>
  <c r="P8617" i="33"/>
  <c r="K7887" i="33"/>
  <c r="K7924" i="33"/>
  <c r="K7926" i="33"/>
  <c r="K7931" i="33"/>
  <c r="K7963" i="33"/>
  <c r="K8070" i="33"/>
  <c r="K8075" i="33"/>
  <c r="I8382" i="33"/>
  <c r="K8436" i="33"/>
  <c r="K8468" i="33"/>
  <c r="K8478" i="33"/>
  <c r="K8512" i="33"/>
  <c r="K8565" i="33"/>
  <c r="K8571" i="33"/>
  <c r="P8602" i="33"/>
  <c r="K8664" i="33"/>
  <c r="O8693" i="33"/>
  <c r="P8693" i="33" s="1"/>
  <c r="P8921" i="33"/>
  <c r="P10861" i="33"/>
  <c r="K7779" i="33"/>
  <c r="K7795" i="33"/>
  <c r="K8408" i="33"/>
  <c r="K8476" i="33"/>
  <c r="K8510" i="33"/>
  <c r="O8562" i="33"/>
  <c r="P8562" i="33" s="1"/>
  <c r="O8738" i="33"/>
  <c r="P8738" i="33" s="1"/>
  <c r="P9029" i="33"/>
  <c r="P10751" i="33"/>
  <c r="K7906" i="33"/>
  <c r="K7908" i="33"/>
  <c r="K7982" i="33"/>
  <c r="K8471" i="33"/>
  <c r="K8668" i="33"/>
  <c r="K8763" i="33"/>
  <c r="O8763" i="33"/>
  <c r="N8779" i="33"/>
  <c r="P8847" i="33"/>
  <c r="K8428" i="33"/>
  <c r="K8433" i="33"/>
  <c r="K8469" i="33"/>
  <c r="K8566" i="33"/>
  <c r="K8637" i="33"/>
  <c r="K8632" i="33"/>
  <c r="P8813" i="33"/>
  <c r="K8833" i="33"/>
  <c r="K8827" i="33"/>
  <c r="K8825" i="33"/>
  <c r="K8832" i="33"/>
  <c r="P8875" i="33"/>
  <c r="P11094" i="33"/>
  <c r="K7925" i="33"/>
  <c r="K8513" i="33"/>
  <c r="O8599" i="33"/>
  <c r="P8599" i="33" s="1"/>
  <c r="K8622" i="33"/>
  <c r="K8621" i="33"/>
  <c r="K8616" i="33"/>
  <c r="O8840" i="33"/>
  <c r="P8840" i="33" s="1"/>
  <c r="P8890" i="33"/>
  <c r="K8479" i="33"/>
  <c r="O8630" i="33"/>
  <c r="P8630" i="33" s="1"/>
  <c r="P8696" i="33"/>
  <c r="O8797" i="33"/>
  <c r="O8789" i="33" s="1"/>
  <c r="P8789" i="33" s="1"/>
  <c r="K8826" i="33"/>
  <c r="P8962" i="33"/>
  <c r="K7866" i="33"/>
  <c r="K7868" i="33"/>
  <c r="K7905" i="33"/>
  <c r="K7907" i="33"/>
  <c r="K7944" i="33"/>
  <c r="K7981" i="33"/>
  <c r="K8633" i="33"/>
  <c r="O8723" i="33"/>
  <c r="P8723" i="33" s="1"/>
  <c r="K8447" i="33"/>
  <c r="K8449" i="33"/>
  <c r="K8490" i="33"/>
  <c r="K8546" i="33"/>
  <c r="K8548" i="33"/>
  <c r="K8550" i="33"/>
  <c r="K8648" i="33"/>
  <c r="K8710" i="33"/>
  <c r="K8715" i="33"/>
  <c r="K8756" i="33"/>
  <c r="K8901" i="33"/>
  <c r="K8932" i="33"/>
  <c r="O8944" i="33"/>
  <c r="P8944" i="33" s="1"/>
  <c r="K8967" i="33"/>
  <c r="O9035" i="33"/>
  <c r="O9033" i="33" s="1"/>
  <c r="O9027" i="33" s="1"/>
  <c r="P9027" i="33" s="1"/>
  <c r="P10733" i="33"/>
  <c r="K11136" i="33"/>
  <c r="P9628" i="33"/>
  <c r="K8528" i="33"/>
  <c r="K8530" i="33"/>
  <c r="K8799" i="33"/>
  <c r="K8809" i="33"/>
  <c r="K8815" i="33"/>
  <c r="K8842" i="33"/>
  <c r="K8846" i="33"/>
  <c r="P8993" i="33"/>
  <c r="K9034" i="33"/>
  <c r="P10765" i="33"/>
  <c r="O10797" i="33"/>
  <c r="P11025" i="33"/>
  <c r="K8679" i="33"/>
  <c r="K8681" i="33"/>
  <c r="K8886" i="33"/>
  <c r="K8916" i="33"/>
  <c r="K10862" i="33"/>
  <c r="K10857" i="33"/>
  <c r="K10855" i="33"/>
  <c r="K8792" i="33"/>
  <c r="K8796" i="33"/>
  <c r="K8871" i="33"/>
  <c r="P8947" i="33"/>
  <c r="H10795" i="33"/>
  <c r="O10793" i="33"/>
  <c r="K10793" i="33"/>
  <c r="P9676" i="33"/>
  <c r="K8547" i="33"/>
  <c r="K8549" i="33"/>
  <c r="K8857" i="33"/>
  <c r="K8900" i="33"/>
  <c r="K8931" i="33"/>
  <c r="K8951" i="33"/>
  <c r="P10845" i="33"/>
  <c r="K10931" i="33"/>
  <c r="K10929" i="33"/>
  <c r="K11193" i="33"/>
  <c r="K11191" i="33"/>
  <c r="K11187" i="33"/>
  <c r="K11194" i="33"/>
  <c r="K11186" i="33"/>
  <c r="P9403" i="33"/>
  <c r="K8843" i="33"/>
  <c r="K10794" i="33"/>
  <c r="O10794" i="33"/>
  <c r="K8946" i="33"/>
  <c r="P10878" i="33"/>
  <c r="P11122" i="33"/>
  <c r="P11132" i="33"/>
  <c r="K9008" i="33"/>
  <c r="K10775" i="33"/>
  <c r="K10777" i="33"/>
  <c r="K10782" i="33"/>
  <c r="K10872" i="33"/>
  <c r="K11148" i="33"/>
  <c r="K11157" i="33"/>
  <c r="K11214" i="33"/>
  <c r="K11207" i="33"/>
  <c r="K11205" i="33"/>
  <c r="K11203" i="33"/>
  <c r="K11215" i="33"/>
  <c r="P9373" i="33"/>
  <c r="K8977" i="33"/>
  <c r="K11151" i="33"/>
  <c r="O11192" i="33"/>
  <c r="O11183" i="33" s="1"/>
  <c r="P11183" i="33" s="1"/>
  <c r="P11206" i="33"/>
  <c r="K9712" i="33"/>
  <c r="K9710" i="33"/>
  <c r="K10747" i="33"/>
  <c r="K10796" i="33"/>
  <c r="K10840" i="33"/>
  <c r="K11146" i="33"/>
  <c r="K11254" i="33"/>
  <c r="K11262" i="33"/>
  <c r="K11260" i="33"/>
  <c r="K11250" i="33"/>
  <c r="K11248" i="33"/>
  <c r="K11263" i="33"/>
  <c r="O11256" i="33"/>
  <c r="O11252" i="33" s="1"/>
  <c r="K11256" i="33"/>
  <c r="O9400" i="33"/>
  <c r="P9400" i="33" s="1"/>
  <c r="P9419" i="33"/>
  <c r="P9731" i="33"/>
  <c r="K11023" i="33"/>
  <c r="K11251" i="33"/>
  <c r="P9113" i="33"/>
  <c r="P9700" i="33"/>
  <c r="R9694" i="33" s="1"/>
  <c r="P9711" i="33"/>
  <c r="K10776" i="33"/>
  <c r="K10778" i="33"/>
  <c r="P11303" i="33"/>
  <c r="P9387" i="33"/>
  <c r="O9719" i="33"/>
  <c r="O9717" i="33" s="1"/>
  <c r="O9708" i="33" s="1"/>
  <c r="P9708" i="33" s="1"/>
  <c r="K9719" i="33"/>
  <c r="K11150" i="33"/>
  <c r="O11218" i="33"/>
  <c r="O11216" i="33" s="1"/>
  <c r="K11218" i="33"/>
  <c r="K11249" i="33"/>
  <c r="K11255" i="33"/>
  <c r="O11307" i="33"/>
  <c r="O11300" i="33" s="1"/>
  <c r="P11300" i="33" s="1"/>
  <c r="K9111" i="33"/>
  <c r="K9128" i="33"/>
  <c r="K9130" i="33"/>
  <c r="K9132" i="33"/>
  <c r="K9385" i="33"/>
  <c r="K9402" i="33"/>
  <c r="K9642" i="33"/>
  <c r="K9644" i="33"/>
  <c r="K9659" i="33"/>
  <c r="K9729" i="33"/>
  <c r="K9090" i="33"/>
  <c r="K9092" i="33"/>
  <c r="K9100" i="33"/>
  <c r="K9364" i="33"/>
  <c r="K9366" i="33"/>
  <c r="K9374" i="33"/>
  <c r="K9408" i="33"/>
  <c r="K9148" i="33"/>
  <c r="K9627" i="33"/>
  <c r="K9095" i="33"/>
  <c r="K9369" i="33"/>
  <c r="K9129" i="33"/>
  <c r="K9643" i="33"/>
  <c r="K9094" i="33"/>
  <c r="K9099" i="33"/>
  <c r="K9153" i="33"/>
  <c r="K9632" i="33"/>
  <c r="P8132" i="33" l="1"/>
  <c r="P8130" i="33" s="1"/>
  <c r="P5863" i="33"/>
  <c r="P5856" i="33"/>
  <c r="P5785" i="33"/>
  <c r="P5777" i="33"/>
  <c r="P5786" i="33"/>
  <c r="P5780" i="33"/>
  <c r="P5779" i="33"/>
  <c r="P5778" i="33"/>
  <c r="P5604" i="33"/>
  <c r="P5502" i="33"/>
  <c r="P5541" i="33"/>
  <c r="P5566" i="33"/>
  <c r="P5564" i="33" s="1"/>
  <c r="P5504" i="33"/>
  <c r="P5539" i="33"/>
  <c r="P5451" i="33"/>
  <c r="P5470" i="33"/>
  <c r="P5540" i="33"/>
  <c r="P5561" i="33"/>
  <c r="P5450" i="33"/>
  <c r="P5465" i="33"/>
  <c r="P5547" i="33"/>
  <c r="P5560" i="33"/>
  <c r="P5509" i="33"/>
  <c r="P5463" i="33"/>
  <c r="P5546" i="33"/>
  <c r="P5559" i="33"/>
  <c r="P5503" i="33"/>
  <c r="P5464" i="33"/>
  <c r="P5538" i="33"/>
  <c r="P5558" i="33"/>
  <c r="P5510" i="33"/>
  <c r="P5471" i="33"/>
  <c r="P5526" i="33"/>
  <c r="P5603" i="33"/>
  <c r="P5602" i="33" s="1"/>
  <c r="R5587" i="33" s="1"/>
  <c r="P5501" i="33"/>
  <c r="P5462" i="33"/>
  <c r="P5527" i="33"/>
  <c r="P4473" i="33"/>
  <c r="P4467" i="33"/>
  <c r="P4468" i="33"/>
  <c r="P4469" i="33"/>
  <c r="P3437" i="33"/>
  <c r="P3417" i="33"/>
  <c r="P3470" i="33"/>
  <c r="P3441" i="33"/>
  <c r="P3466" i="33"/>
  <c r="P3646" i="33"/>
  <c r="P3592" i="33"/>
  <c r="P3395" i="33"/>
  <c r="P3584" i="33"/>
  <c r="P3621" i="33"/>
  <c r="P3532" i="33"/>
  <c r="P3445" i="33"/>
  <c r="P3499" i="33"/>
  <c r="P3528" i="33"/>
  <c r="P3503" i="33"/>
  <c r="P3524" i="33"/>
  <c r="P3626" i="33"/>
  <c r="P3474" i="33"/>
  <c r="P3642" i="33"/>
  <c r="P3495" i="33"/>
  <c r="P3672" i="33"/>
  <c r="P3667" i="33"/>
  <c r="P3678" i="33"/>
  <c r="P3662" i="33"/>
  <c r="P3673" i="33"/>
  <c r="P3668" i="33"/>
  <c r="P3679" i="33"/>
  <c r="P3666" i="33"/>
  <c r="P3669" i="33"/>
  <c r="P3663" i="33"/>
  <c r="P3665" i="33"/>
  <c r="P3671" i="33"/>
  <c r="P3699" i="33"/>
  <c r="P3698" i="33"/>
  <c r="P3704" i="33"/>
  <c r="P3694" i="33"/>
  <c r="P3695" i="33"/>
  <c r="P3689" i="33"/>
  <c r="P3691" i="33"/>
  <c r="P3693" i="33"/>
  <c r="P3692" i="33"/>
  <c r="P3697" i="33"/>
  <c r="P3705" i="33"/>
  <c r="P3716" i="33"/>
  <c r="P3717" i="33"/>
  <c r="P3721" i="33"/>
  <c r="P3715" i="33"/>
  <c r="O11201" i="33"/>
  <c r="P11201" i="33" s="1"/>
  <c r="P11176" i="33"/>
  <c r="P11177" i="33"/>
  <c r="P10999" i="33"/>
  <c r="P10996" i="33"/>
  <c r="P10998" i="33"/>
  <c r="P10997" i="33"/>
  <c r="P10990" i="33"/>
  <c r="P11000" i="33"/>
  <c r="P10419" i="33"/>
  <c r="P10414" i="33" s="1"/>
  <c r="R10411" i="33" s="1"/>
  <c r="P10314" i="33"/>
  <c r="P10310" i="33"/>
  <c r="P10313" i="33"/>
  <c r="P10311" i="33"/>
  <c r="P10312" i="33"/>
  <c r="P1906" i="33"/>
  <c r="O6136" i="33"/>
  <c r="P6136" i="33" s="1"/>
  <c r="O2247" i="33"/>
  <c r="P2247" i="33" s="1"/>
  <c r="R3782" i="33"/>
  <c r="O5142" i="33"/>
  <c r="O5138" i="33" s="1"/>
  <c r="P5138" i="33" s="1"/>
  <c r="R3991" i="33"/>
  <c r="O2183" i="33"/>
  <c r="R838" i="33"/>
  <c r="P5289" i="33"/>
  <c r="R5277" i="33" s="1"/>
  <c r="P860" i="33"/>
  <c r="L6541" i="33"/>
  <c r="P7951" i="33"/>
  <c r="O4075" i="33"/>
  <c r="P1316" i="33"/>
  <c r="O6427" i="33"/>
  <c r="O6418" i="33" s="1"/>
  <c r="P6418" i="33" s="1"/>
  <c r="M9692" i="33"/>
  <c r="P8335" i="33"/>
  <c r="O2532" i="33"/>
  <c r="O5298" i="33"/>
  <c r="P5298" i="33" s="1"/>
  <c r="O5247" i="33"/>
  <c r="R3893" i="33"/>
  <c r="P7669" i="33"/>
  <c r="P8415" i="33"/>
  <c r="P5036" i="33"/>
  <c r="P5946" i="33"/>
  <c r="P7970" i="33"/>
  <c r="P6790" i="33"/>
  <c r="O4232" i="33"/>
  <c r="R3797" i="33"/>
  <c r="P9494" i="33"/>
  <c r="R9486" i="33" s="1"/>
  <c r="P9580" i="33"/>
  <c r="R9572" i="33" s="1"/>
  <c r="O5946" i="33"/>
  <c r="O5937" i="33" s="1"/>
  <c r="P5937" i="33" s="1"/>
  <c r="M5881" i="33" s="1"/>
  <c r="P542" i="33"/>
  <c r="R532" i="33" s="1"/>
  <c r="O313" i="33"/>
  <c r="P313" i="33" s="1"/>
  <c r="P2532" i="33"/>
  <c r="R5184" i="33"/>
  <c r="O5289" i="33"/>
  <c r="O5277" i="33" s="1"/>
  <c r="P5277" i="33" s="1"/>
  <c r="P6679" i="33"/>
  <c r="P7153" i="33"/>
  <c r="O6532" i="33"/>
  <c r="O6530" i="33" s="1"/>
  <c r="P6530" i="33" s="1"/>
  <c r="O270" i="33"/>
  <c r="P270" i="33" s="1"/>
  <c r="M9072" i="33"/>
  <c r="P9184" i="33"/>
  <c r="P9185" i="33"/>
  <c r="P9182" i="33"/>
  <c r="P9183" i="33"/>
  <c r="P9229" i="33"/>
  <c r="P9228" i="33"/>
  <c r="R3317" i="33"/>
  <c r="O2565" i="33"/>
  <c r="O2557" i="33" s="1"/>
  <c r="P2557" i="33" s="1"/>
  <c r="P1445" i="33"/>
  <c r="O2698" i="33"/>
  <c r="O2696" i="33" s="1"/>
  <c r="P2696" i="33" s="1"/>
  <c r="P2100" i="33"/>
  <c r="R154" i="33"/>
  <c r="P5247" i="33"/>
  <c r="P2799" i="33"/>
  <c r="P274" i="33"/>
  <c r="O186" i="33"/>
  <c r="O3139" i="33"/>
  <c r="O3137" i="33" s="1"/>
  <c r="P3137" i="33" s="1"/>
  <c r="O668" i="33"/>
  <c r="P668" i="33" s="1"/>
  <c r="M598" i="33" s="1"/>
  <c r="O7742" i="33"/>
  <c r="P7742" i="33" s="1"/>
  <c r="O195" i="33"/>
  <c r="P195" i="33" s="1"/>
  <c r="P1685" i="33"/>
  <c r="O1879" i="33"/>
  <c r="O1877" i="33" s="1"/>
  <c r="P1877" i="33" s="1"/>
  <c r="O7913" i="33"/>
  <c r="O7903" i="33" s="1"/>
  <c r="P7903" i="33" s="1"/>
  <c r="R3925" i="33"/>
  <c r="O1085" i="33"/>
  <c r="O1083" i="33" s="1"/>
  <c r="P1083" i="33" s="1"/>
  <c r="M974" i="33" s="1"/>
  <c r="K188" i="33"/>
  <c r="P188" i="33" s="1"/>
  <c r="P186" i="33" s="1"/>
  <c r="O1505" i="33"/>
  <c r="P1505" i="33" s="1"/>
  <c r="P672" i="33"/>
  <c r="P7125" i="33"/>
  <c r="P1507" i="33"/>
  <c r="R8599" i="33"/>
  <c r="P6976" i="33"/>
  <c r="R6747" i="33"/>
  <c r="R697" i="33"/>
  <c r="O3054" i="33"/>
  <c r="O3046" i="33" s="1"/>
  <c r="P3046" i="33" s="1"/>
  <c r="M9025" i="33"/>
  <c r="P1511" i="33"/>
  <c r="O7932" i="33"/>
  <c r="O7922" i="33" s="1"/>
  <c r="P7922" i="33" s="1"/>
  <c r="P7447" i="33"/>
  <c r="O905" i="33"/>
  <c r="P905" i="33" s="1"/>
  <c r="M795" i="33" s="1"/>
  <c r="P1348" i="33"/>
  <c r="O11246" i="33"/>
  <c r="P11246" i="33" s="1"/>
  <c r="O423" i="33"/>
  <c r="R11116" i="33"/>
  <c r="O3219" i="33"/>
  <c r="O3215" i="33" s="1"/>
  <c r="P3215" i="33" s="1"/>
  <c r="P5090" i="33"/>
  <c r="P235" i="33"/>
  <c r="M9346" i="33"/>
  <c r="O3195" i="33"/>
  <c r="P3195" i="33" s="1"/>
  <c r="R8038" i="33"/>
  <c r="M9609" i="33"/>
  <c r="R5065" i="33"/>
  <c r="P1208" i="33"/>
  <c r="R1017" i="33"/>
  <c r="R4622" i="33"/>
  <c r="R1161" i="33"/>
  <c r="R8008" i="33"/>
  <c r="R110" i="33"/>
  <c r="R4535" i="33"/>
  <c r="O3956" i="33"/>
  <c r="P3956" i="33" s="1"/>
  <c r="M3863" i="33" s="1"/>
  <c r="R7260" i="33"/>
  <c r="P7592" i="33"/>
  <c r="O6117" i="33"/>
  <c r="P6117" i="33" s="1"/>
  <c r="P738" i="33"/>
  <c r="P10709" i="33"/>
  <c r="R10703" i="33" s="1"/>
  <c r="R7245" i="33"/>
  <c r="P3958" i="33"/>
  <c r="O579" i="33"/>
  <c r="O571" i="33" s="1"/>
  <c r="P571" i="33" s="1"/>
  <c r="P7330" i="33"/>
  <c r="O4067" i="33"/>
  <c r="P214" i="33"/>
  <c r="R7216" i="33"/>
  <c r="P4908" i="33"/>
  <c r="P4107" i="33"/>
  <c r="O2129" i="33"/>
  <c r="O2120" i="33" s="1"/>
  <c r="P2120" i="33" s="1"/>
  <c r="O5679" i="33"/>
  <c r="P5679" i="33" s="1"/>
  <c r="M5627" i="33" s="1"/>
  <c r="P11307" i="33"/>
  <c r="R11300" i="33" s="1"/>
  <c r="P7818" i="33"/>
  <c r="R7569" i="33"/>
  <c r="O5649" i="33"/>
  <c r="O2283" i="33"/>
  <c r="P2283" i="33" s="1"/>
  <c r="P2658" i="33"/>
  <c r="R1175" i="33"/>
  <c r="O768" i="33"/>
  <c r="P768" i="33" s="1"/>
  <c r="M695" i="33" s="1"/>
  <c r="P6542" i="33"/>
  <c r="P6540" i="33" s="1"/>
  <c r="R5958" i="33"/>
  <c r="P4934" i="33"/>
  <c r="P2564" i="33"/>
  <c r="P230" i="33"/>
  <c r="P7630" i="33"/>
  <c r="P5855" i="33"/>
  <c r="P2650" i="33"/>
  <c r="R1525" i="33"/>
  <c r="P1344" i="33"/>
  <c r="O8497" i="33"/>
  <c r="O8487" i="33" s="1"/>
  <c r="P8487" i="33" s="1"/>
  <c r="P6904" i="33"/>
  <c r="O5814" i="33"/>
  <c r="P5814" i="33" s="1"/>
  <c r="O5744" i="33"/>
  <c r="O5736" i="33" s="1"/>
  <c r="P5736" i="33" s="1"/>
  <c r="O2227" i="33"/>
  <c r="P2227" i="33" s="1"/>
  <c r="O1424" i="33"/>
  <c r="O1412" i="33" s="1"/>
  <c r="P1412" i="33" s="1"/>
  <c r="R126" i="33"/>
  <c r="R81" i="33"/>
  <c r="P8798" i="33"/>
  <c r="O3245" i="33"/>
  <c r="O3242" i="33" s="1"/>
  <c r="P3242" i="33" s="1"/>
  <c r="R1989" i="33"/>
  <c r="P431" i="33"/>
  <c r="R5974" i="33"/>
  <c r="P6427" i="33"/>
  <c r="P2559" i="33"/>
  <c r="P2218" i="33"/>
  <c r="R8990" i="33"/>
  <c r="P2707" i="33"/>
  <c r="P1863" i="33"/>
  <c r="P323" i="33"/>
  <c r="P9051" i="33"/>
  <c r="R11088" i="33"/>
  <c r="M3734" i="33"/>
  <c r="R7374" i="33"/>
  <c r="O4922" i="33"/>
  <c r="P4922" i="33" s="1"/>
  <c r="P7744" i="33"/>
  <c r="O7726" i="33"/>
  <c r="O7718" i="33" s="1"/>
  <c r="P7718" i="33" s="1"/>
  <c r="R1228" i="33"/>
  <c r="P8456" i="33"/>
  <c r="O6997" i="33"/>
  <c r="O6986" i="33" s="1"/>
  <c r="P6986" i="33" s="1"/>
  <c r="O5256" i="33"/>
  <c r="P5256" i="33" s="1"/>
  <c r="P10797" i="33"/>
  <c r="O1906" i="33"/>
  <c r="O1895" i="33" s="1"/>
  <c r="P1895" i="33" s="1"/>
  <c r="P1292" i="33"/>
  <c r="P1093" i="33"/>
  <c r="O2499" i="33"/>
  <c r="P2499" i="33" s="1"/>
  <c r="P9048" i="33"/>
  <c r="R8023" i="33"/>
  <c r="R5045" i="33"/>
  <c r="O3075" i="33"/>
  <c r="P3075" i="33" s="1"/>
  <c r="P2724" i="33"/>
  <c r="P4199" i="33"/>
  <c r="O2717" i="33"/>
  <c r="O2714" i="33" s="1"/>
  <c r="P2714" i="33" s="1"/>
  <c r="P1427" i="33"/>
  <c r="P4273" i="33"/>
  <c r="O5797" i="33"/>
  <c r="O5793" i="33" s="1"/>
  <c r="P5793" i="33" s="1"/>
  <c r="O2590" i="33"/>
  <c r="P2708" i="33"/>
  <c r="O4107" i="33"/>
  <c r="O4101" i="33" s="1"/>
  <c r="P4101" i="33" s="1"/>
  <c r="I8369" i="33"/>
  <c r="P3962" i="33"/>
  <c r="I700" i="33"/>
  <c r="K700" i="33" s="1"/>
  <c r="L700" i="33" s="1"/>
  <c r="R5990" i="33"/>
  <c r="R3909" i="33"/>
  <c r="P7894" i="33"/>
  <c r="R5919" i="33"/>
  <c r="R1710" i="33"/>
  <c r="R9673" i="33"/>
  <c r="P5805" i="33"/>
  <c r="O7153" i="33"/>
  <c r="O7144" i="33" s="1"/>
  <c r="P7144" i="33" s="1"/>
  <c r="O1666" i="33"/>
  <c r="O1660" i="33" s="1"/>
  <c r="P1660" i="33" s="1"/>
  <c r="O1449" i="33"/>
  <c r="O1440" i="33" s="1"/>
  <c r="P1440" i="33" s="1"/>
  <c r="O1288" i="33"/>
  <c r="O1285" i="33" s="1"/>
  <c r="P1285" i="33" s="1"/>
  <c r="R5901" i="33"/>
  <c r="O5337" i="33"/>
  <c r="O5331" i="33" s="1"/>
  <c r="P5331" i="33" s="1"/>
  <c r="O4904" i="33"/>
  <c r="O4898" i="33" s="1"/>
  <c r="P4898" i="33" s="1"/>
  <c r="O4596" i="33"/>
  <c r="P4596" i="33" s="1"/>
  <c r="O1933" i="33"/>
  <c r="O1931" i="33" s="1"/>
  <c r="P1931" i="33" s="1"/>
  <c r="R1795" i="33"/>
  <c r="M64" i="33"/>
  <c r="O169" i="33"/>
  <c r="P169" i="33" s="1"/>
  <c r="K7876" i="33"/>
  <c r="K7874" i="33"/>
  <c r="P7874" i="33" s="1"/>
  <c r="P7865" i="33"/>
  <c r="P6062" i="33"/>
  <c r="P3055" i="33"/>
  <c r="P3054" i="33" s="1"/>
  <c r="O2760" i="33"/>
  <c r="O2786" i="33"/>
  <c r="P522" i="33"/>
  <c r="P206" i="33"/>
  <c r="P7700" i="33"/>
  <c r="P7651" i="33"/>
  <c r="P7650" i="33" s="1"/>
  <c r="P2974" i="33"/>
  <c r="P2972" i="33" s="1"/>
  <c r="P2725" i="33"/>
  <c r="P3203" i="33"/>
  <c r="R10731" i="33"/>
  <c r="P5129" i="33"/>
  <c r="R4502" i="33"/>
  <c r="I410" i="33"/>
  <c r="K410" i="33" s="1"/>
  <c r="L410" i="33" s="1"/>
  <c r="P8885" i="33"/>
  <c r="P5672" i="33"/>
  <c r="R5665" i="33" s="1"/>
  <c r="P2980" i="33"/>
  <c r="O2053" i="33"/>
  <c r="O2049" i="33" s="1"/>
  <c r="P2049" i="33" s="1"/>
  <c r="P638" i="33"/>
  <c r="R630" i="33" s="1"/>
  <c r="R250" i="33"/>
  <c r="P7649" i="33"/>
  <c r="P5650" i="33"/>
  <c r="P4902" i="33"/>
  <c r="P2570" i="33"/>
  <c r="P2569" i="33" s="1"/>
  <c r="P2952" i="33"/>
  <c r="P454" i="33"/>
  <c r="P425" i="33"/>
  <c r="R5162" i="33"/>
  <c r="O4251" i="33"/>
  <c r="O4249" i="33" s="1"/>
  <c r="P4249" i="33" s="1"/>
  <c r="P173" i="33"/>
  <c r="P5858" i="33"/>
  <c r="P4915" i="33"/>
  <c r="P4913" i="33" s="1"/>
  <c r="O2647" i="33"/>
  <c r="P2647" i="33" s="1"/>
  <c r="I8589" i="33"/>
  <c r="O5854" i="33"/>
  <c r="O5851" i="33" s="1"/>
  <c r="P5851" i="33" s="1"/>
  <c r="P3197" i="33"/>
  <c r="P4907" i="33"/>
  <c r="P6863" i="33"/>
  <c r="P3059" i="33"/>
  <c r="P576" i="33"/>
  <c r="P575" i="33" s="1"/>
  <c r="R9416" i="33"/>
  <c r="O5236" i="33"/>
  <c r="P5236" i="33" s="1"/>
  <c r="O2162" i="33"/>
  <c r="O2150" i="33" s="1"/>
  <c r="P2150" i="33" s="1"/>
  <c r="P201" i="33"/>
  <c r="P9139" i="33"/>
  <c r="P9137" i="33" s="1"/>
  <c r="P5025" i="33"/>
  <c r="P6842" i="33"/>
  <c r="P3063" i="33"/>
  <c r="P2997" i="33"/>
  <c r="M4486" i="33"/>
  <c r="O4191" i="33"/>
  <c r="P4191" i="33" s="1"/>
  <c r="O2738" i="33"/>
  <c r="O2736" i="33" s="1"/>
  <c r="P2736" i="33" s="1"/>
  <c r="O3016" i="33"/>
  <c r="P3016" i="33" s="1"/>
  <c r="O387" i="33"/>
  <c r="O379" i="33" s="1"/>
  <c r="P379" i="33" s="1"/>
  <c r="O7630" i="33"/>
  <c r="O7621" i="33" s="1"/>
  <c r="P7621" i="33" s="1"/>
  <c r="P7149" i="33"/>
  <c r="P5023" i="33"/>
  <c r="P3002" i="33"/>
  <c r="M6785" i="33"/>
  <c r="P1836" i="33"/>
  <c r="O1822" i="33"/>
  <c r="P8843" i="33"/>
  <c r="P10793" i="33"/>
  <c r="P8916" i="33"/>
  <c r="R8913" i="33" s="1"/>
  <c r="P9408" i="33"/>
  <c r="P9130" i="33"/>
  <c r="P11148" i="33"/>
  <c r="P8931" i="33"/>
  <c r="K10795" i="33"/>
  <c r="O10795" i="33"/>
  <c r="O10792" i="33" s="1"/>
  <c r="O10790" i="33" s="1"/>
  <c r="P10790" i="33" s="1"/>
  <c r="P8681" i="33"/>
  <c r="P7905" i="33"/>
  <c r="P8513" i="33"/>
  <c r="P8566" i="33"/>
  <c r="P8668" i="33"/>
  <c r="P8510" i="33"/>
  <c r="P7963" i="33"/>
  <c r="R7960" i="33" s="1"/>
  <c r="P9094" i="33"/>
  <c r="P9374" i="33"/>
  <c r="P9729" i="33"/>
  <c r="R9726" i="33" s="1"/>
  <c r="P9128" i="33"/>
  <c r="P11150" i="33"/>
  <c r="P11251" i="33"/>
  <c r="P11263" i="33"/>
  <c r="P11146" i="33"/>
  <c r="P8900" i="33"/>
  <c r="P8679" i="33"/>
  <c r="P8815" i="33"/>
  <c r="P8814" i="33" s="1"/>
  <c r="P8967" i="33"/>
  <c r="R8959" i="33" s="1"/>
  <c r="P8710" i="33"/>
  <c r="P7868" i="33"/>
  <c r="P8471" i="33"/>
  <c r="P8476" i="33"/>
  <c r="P8436" i="33"/>
  <c r="P8434" i="33" s="1"/>
  <c r="P7931" i="33"/>
  <c r="P8778" i="33"/>
  <c r="P7624" i="33"/>
  <c r="R8693" i="33"/>
  <c r="P7662" i="33"/>
  <c r="P7610" i="33"/>
  <c r="P7762" i="33"/>
  <c r="P7066" i="33"/>
  <c r="K7075" i="33"/>
  <c r="P7234" i="33"/>
  <c r="P7285" i="33"/>
  <c r="P7283" i="33" s="1"/>
  <c r="M7278" i="33" s="1"/>
  <c r="P6928" i="33"/>
  <c r="P7087" i="33"/>
  <c r="P6855" i="33"/>
  <c r="P6822" i="33"/>
  <c r="P6820" i="33" s="1"/>
  <c r="P6426" i="33"/>
  <c r="P7396" i="33"/>
  <c r="P7105" i="33"/>
  <c r="P6936" i="33"/>
  <c r="P6934" i="33" s="1"/>
  <c r="P6764" i="33"/>
  <c r="I7455" i="33"/>
  <c r="P7192" i="33"/>
  <c r="P7054" i="33"/>
  <c r="P6878" i="33"/>
  <c r="P6711" i="33"/>
  <c r="P6882" i="33"/>
  <c r="P5333" i="33"/>
  <c r="P7042" i="33"/>
  <c r="P7041" i="33" s="1"/>
  <c r="M7035" i="33" s="1"/>
  <c r="P6487" i="33"/>
  <c r="P6121" i="33"/>
  <c r="P5696" i="33"/>
  <c r="P6219" i="33"/>
  <c r="R6216" i="33" s="1"/>
  <c r="P6043" i="33"/>
  <c r="P6041" i="33" s="1"/>
  <c r="P5362" i="33"/>
  <c r="R5355" i="33" s="1"/>
  <c r="P6158" i="33"/>
  <c r="P6148" i="33"/>
  <c r="P6283" i="33"/>
  <c r="P5732" i="33"/>
  <c r="P5766" i="33"/>
  <c r="P5338" i="33"/>
  <c r="P4982" i="33"/>
  <c r="P5324" i="33"/>
  <c r="P5106" i="33"/>
  <c r="P4937" i="33"/>
  <c r="P5765" i="33"/>
  <c r="P5373" i="33"/>
  <c r="P5262" i="33"/>
  <c r="P5260" i="33" s="1"/>
  <c r="P4601" i="33"/>
  <c r="P3846" i="33"/>
  <c r="R3843" i="33" s="1"/>
  <c r="P6147" i="33"/>
  <c r="O5027" i="33"/>
  <c r="O5021" i="33" s="1"/>
  <c r="P5021" i="33" s="1"/>
  <c r="P4602" i="33"/>
  <c r="P4663" i="33"/>
  <c r="R4661" i="33" s="1"/>
  <c r="P4183" i="33"/>
  <c r="P4075" i="33"/>
  <c r="P3233" i="33"/>
  <c r="O6060" i="33"/>
  <c r="O6050" i="33" s="1"/>
  <c r="P6050" i="33" s="1"/>
  <c r="P4689" i="33"/>
  <c r="P2826" i="33"/>
  <c r="R2823" i="33" s="1"/>
  <c r="P3183" i="33"/>
  <c r="P3038" i="33"/>
  <c r="P3092" i="33"/>
  <c r="P4309" i="33"/>
  <c r="P3027" i="33"/>
  <c r="P2765" i="33"/>
  <c r="P2487" i="33"/>
  <c r="P3143" i="33"/>
  <c r="P3090" i="33"/>
  <c r="P3034" i="33"/>
  <c r="P2970" i="33"/>
  <c r="P2684" i="33"/>
  <c r="P2596" i="33"/>
  <c r="P2594" i="33" s="1"/>
  <c r="P2441" i="33"/>
  <c r="P3835" i="33"/>
  <c r="P3160" i="33"/>
  <c r="P2955" i="33"/>
  <c r="P2034" i="33"/>
  <c r="P2882" i="33"/>
  <c r="R2872" i="33" s="1"/>
  <c r="P2134" i="33"/>
  <c r="P2951" i="33"/>
  <c r="P2143" i="33"/>
  <c r="P1923" i="33"/>
  <c r="P2702" i="33"/>
  <c r="P2698" i="33" s="1"/>
  <c r="O2191" i="33"/>
  <c r="P2122" i="33"/>
  <c r="P1773" i="33"/>
  <c r="R1770" i="33" s="1"/>
  <c r="P1702" i="33"/>
  <c r="P2787" i="33"/>
  <c r="P2505" i="33"/>
  <c r="P2469" i="33"/>
  <c r="P1969" i="33"/>
  <c r="P1492" i="33"/>
  <c r="P2165" i="33"/>
  <c r="P2097" i="33"/>
  <c r="P2096" i="33" s="1"/>
  <c r="P1443" i="33"/>
  <c r="P1847" i="33"/>
  <c r="P1843" i="33"/>
  <c r="P1414" i="33"/>
  <c r="P2214" i="33"/>
  <c r="P1299" i="33"/>
  <c r="P1481" i="33"/>
  <c r="P1076" i="33"/>
  <c r="P1450" i="33"/>
  <c r="P1200" i="33"/>
  <c r="P1473" i="33"/>
  <c r="P1312" i="33"/>
  <c r="P1308" i="33" s="1"/>
  <c r="P785" i="33"/>
  <c r="P719" i="33"/>
  <c r="P555" i="33"/>
  <c r="P724" i="33"/>
  <c r="P1041" i="33"/>
  <c r="P1039" i="33" s="1"/>
  <c r="P911" i="33"/>
  <c r="P855" i="33"/>
  <c r="P365" i="33"/>
  <c r="P429" i="33"/>
  <c r="P390" i="33"/>
  <c r="P387" i="33" s="1"/>
  <c r="O244" i="33"/>
  <c r="O242" i="33" s="1"/>
  <c r="O223" i="33" s="1"/>
  <c r="P223" i="33" s="1"/>
  <c r="K244" i="33"/>
  <c r="P72" i="33"/>
  <c r="R66" i="33" s="1"/>
  <c r="P9111" i="33"/>
  <c r="R9108" i="33" s="1"/>
  <c r="P8857" i="33"/>
  <c r="R8854" i="33" s="1"/>
  <c r="R10759" i="33"/>
  <c r="P8809" i="33"/>
  <c r="P8648" i="33"/>
  <c r="R8645" i="33" s="1"/>
  <c r="P7866" i="33"/>
  <c r="P8832" i="33"/>
  <c r="P8469" i="33"/>
  <c r="P7926" i="33"/>
  <c r="R8053" i="33"/>
  <c r="P7727" i="33"/>
  <c r="P8773" i="33"/>
  <c r="P7350" i="33"/>
  <c r="P7764" i="33"/>
  <c r="P6991" i="33"/>
  <c r="P7193" i="33"/>
  <c r="P6926" i="33"/>
  <c r="P7067" i="33"/>
  <c r="P6853" i="33"/>
  <c r="P7072" i="33"/>
  <c r="P6816" i="33"/>
  <c r="P6349" i="33"/>
  <c r="R6347" i="33" s="1"/>
  <c r="P6835" i="33"/>
  <c r="P6731" i="33"/>
  <c r="P7184" i="33"/>
  <c r="P6517" i="33"/>
  <c r="P6862" i="33"/>
  <c r="P6674" i="33"/>
  <c r="P5891" i="33"/>
  <c r="P6157" i="33"/>
  <c r="P6144" i="33"/>
  <c r="P5820" i="33"/>
  <c r="P5817" i="33" s="1"/>
  <c r="P6119" i="33"/>
  <c r="P6448" i="33"/>
  <c r="P6446" i="33" s="1"/>
  <c r="P6059" i="33"/>
  <c r="P5864" i="33"/>
  <c r="P5862" i="33" s="1"/>
  <c r="P5372" i="33"/>
  <c r="P6172" i="33"/>
  <c r="P5728" i="33"/>
  <c r="P6243" i="33"/>
  <c r="P6242" i="33" s="1"/>
  <c r="M6237" i="33" s="1"/>
  <c r="P5758" i="33"/>
  <c r="P4703" i="33"/>
  <c r="P5101" i="33"/>
  <c r="P4929" i="33"/>
  <c r="P4926" i="33" s="1"/>
  <c r="O5764" i="33"/>
  <c r="O5753" i="33" s="1"/>
  <c r="P5753" i="33" s="1"/>
  <c r="P4682" i="33"/>
  <c r="P4681" i="33" s="1"/>
  <c r="P5653" i="33"/>
  <c r="P4985" i="33"/>
  <c r="P5146" i="33"/>
  <c r="P4278" i="33"/>
  <c r="P4990" i="33"/>
  <c r="P4639" i="33"/>
  <c r="P4989" i="33"/>
  <c r="P4260" i="33"/>
  <c r="P4259" i="33" s="1"/>
  <c r="P4124" i="33"/>
  <c r="R4121" i="33" s="1"/>
  <c r="P3820" i="33"/>
  <c r="P6138" i="33"/>
  <c r="P4609" i="33"/>
  <c r="P4606" i="33" s="1"/>
  <c r="P5209" i="33"/>
  <c r="P5207" i="33" s="1"/>
  <c r="P4177" i="33"/>
  <c r="P3221" i="33"/>
  <c r="P2811" i="33"/>
  <c r="P3140" i="33"/>
  <c r="P2933" i="33"/>
  <c r="P3080" i="33"/>
  <c r="P3202" i="33"/>
  <c r="P3004" i="33"/>
  <c r="P2761" i="33"/>
  <c r="P2483" i="33"/>
  <c r="P4226" i="33"/>
  <c r="P4224" i="33" s="1"/>
  <c r="P3081" i="33"/>
  <c r="P3030" i="33"/>
  <c r="P2745" i="33"/>
  <c r="P2742" i="33" s="1"/>
  <c r="P2682" i="33"/>
  <c r="P3254" i="33"/>
  <c r="P3165" i="33"/>
  <c r="P1919" i="33"/>
  <c r="P2388" i="33"/>
  <c r="R2382" i="33" s="1"/>
  <c r="P2791" i="33"/>
  <c r="P2088" i="33"/>
  <c r="P3028" i="33"/>
  <c r="P2078" i="33"/>
  <c r="O2950" i="33"/>
  <c r="O2946" i="33" s="1"/>
  <c r="P2946" i="33" s="1"/>
  <c r="P2720" i="33"/>
  <c r="P2717" i="33" s="1"/>
  <c r="P2566" i="33"/>
  <c r="P2565" i="33" s="1"/>
  <c r="P2141" i="33"/>
  <c r="P1918" i="33"/>
  <c r="P1757" i="33"/>
  <c r="P1697" i="33"/>
  <c r="P2514" i="33"/>
  <c r="P2270" i="33"/>
  <c r="P2334" i="33"/>
  <c r="P1889" i="33"/>
  <c r="P1887" i="33" s="1"/>
  <c r="O2096" i="33"/>
  <c r="P1860" i="33"/>
  <c r="P1859" i="33" s="1"/>
  <c r="P1852" i="33"/>
  <c r="P1330" i="33"/>
  <c r="P1668" i="33"/>
  <c r="P1104" i="33"/>
  <c r="R1101" i="33" s="1"/>
  <c r="P3001" i="33"/>
  <c r="P2485" i="33"/>
  <c r="P1882" i="33"/>
  <c r="P1879" i="33" s="1"/>
  <c r="P1069" i="33"/>
  <c r="P1474" i="33"/>
  <c r="P764" i="33"/>
  <c r="P553" i="33"/>
  <c r="P780" i="33"/>
  <c r="P518" i="33"/>
  <c r="P784" i="33"/>
  <c r="P853" i="33"/>
  <c r="P652" i="33"/>
  <c r="P381" i="33"/>
  <c r="P355" i="33"/>
  <c r="P427" i="33"/>
  <c r="P304" i="33"/>
  <c r="R298" i="33" s="1"/>
  <c r="P9659" i="33"/>
  <c r="R9657" i="33" s="1"/>
  <c r="P10872" i="33"/>
  <c r="R10869" i="33" s="1"/>
  <c r="P8946" i="33"/>
  <c r="P8633" i="33"/>
  <c r="P7982" i="33"/>
  <c r="P8571" i="33"/>
  <c r="P7724" i="33"/>
  <c r="P9129" i="33"/>
  <c r="P9364" i="33"/>
  <c r="P9644" i="33"/>
  <c r="P10778" i="33"/>
  <c r="P11023" i="33"/>
  <c r="P11250" i="33"/>
  <c r="P10796" i="33"/>
  <c r="P11203" i="33"/>
  <c r="P10782" i="33"/>
  <c r="P11186" i="33"/>
  <c r="P11029" i="33"/>
  <c r="P8549" i="33"/>
  <c r="P9034" i="33"/>
  <c r="P9033" i="33" s="1"/>
  <c r="R9027" i="33" s="1"/>
  <c r="P8799" i="33"/>
  <c r="P8797" i="33" s="1"/>
  <c r="P8932" i="33"/>
  <c r="P8550" i="33"/>
  <c r="P7925" i="33"/>
  <c r="P8825" i="33"/>
  <c r="P8433" i="33"/>
  <c r="P7908" i="33"/>
  <c r="P8408" i="33"/>
  <c r="P8565" i="33"/>
  <c r="P7924" i="33"/>
  <c r="P7995" i="33"/>
  <c r="P8498" i="33"/>
  <c r="P8497" i="33" s="1"/>
  <c r="O8761" i="33"/>
  <c r="O8753" i="33" s="1"/>
  <c r="P8753" i="33" s="1"/>
  <c r="M8584" i="33" s="1"/>
  <c r="P7682" i="33"/>
  <c r="P8775" i="33"/>
  <c r="P7406" i="33"/>
  <c r="R7404" i="33" s="1"/>
  <c r="P7342" i="33"/>
  <c r="I7826" i="33"/>
  <c r="P7768" i="33"/>
  <c r="P6989" i="33"/>
  <c r="P7708" i="33"/>
  <c r="P7071" i="33"/>
  <c r="P7173" i="33"/>
  <c r="P7082" i="33"/>
  <c r="P7305" i="33"/>
  <c r="P7065" i="33"/>
  <c r="P7048" i="33"/>
  <c r="P6956" i="33"/>
  <c r="P6955" i="33" s="1"/>
  <c r="P6700" i="33"/>
  <c r="P6699" i="33" s="1"/>
  <c r="P6694" i="33"/>
  <c r="P7186" i="33"/>
  <c r="P6832" i="33"/>
  <c r="P6461" i="33"/>
  <c r="P6672" i="33"/>
  <c r="P6072" i="33"/>
  <c r="P6054" i="33"/>
  <c r="P6086" i="33"/>
  <c r="R6083" i="33" s="1"/>
  <c r="P6106" i="33"/>
  <c r="P6105" i="33" s="1"/>
  <c r="P6269" i="33"/>
  <c r="R6262" i="33" s="1"/>
  <c r="P6055" i="33"/>
  <c r="P5706" i="33"/>
  <c r="P6177" i="33"/>
  <c r="O6242" i="33"/>
  <c r="P5755" i="33"/>
  <c r="P5302" i="33"/>
  <c r="P5028" i="33"/>
  <c r="P4924" i="33"/>
  <c r="P5309" i="33"/>
  <c r="P5308" i="33" s="1"/>
  <c r="P5240" i="33"/>
  <c r="P4680" i="33"/>
  <c r="P5826" i="33"/>
  <c r="P5824" i="33" s="1"/>
  <c r="P4997" i="33"/>
  <c r="O4984" i="33"/>
  <c r="O4980" i="33" s="1"/>
  <c r="P4980" i="33" s="1"/>
  <c r="P5145" i="33"/>
  <c r="P5142" i="33" s="1"/>
  <c r="P4178" i="33"/>
  <c r="P4641" i="33"/>
  <c r="P3218" i="33"/>
  <c r="P6140" i="33"/>
  <c r="P4906" i="33"/>
  <c r="P4613" i="33"/>
  <c r="P4589" i="33"/>
  <c r="P4175" i="33"/>
  <c r="P3179" i="33"/>
  <c r="P4640" i="33"/>
  <c r="P4604" i="33"/>
  <c r="P2931" i="33"/>
  <c r="P3078" i="33"/>
  <c r="P2995" i="33"/>
  <c r="P2992" i="33" s="1"/>
  <c r="P2759" i="33"/>
  <c r="P2481" i="33"/>
  <c r="O4224" i="33"/>
  <c r="O4219" i="33" s="1"/>
  <c r="P4219" i="33" s="1"/>
  <c r="P4049" i="33"/>
  <c r="P4047" i="33" s="1"/>
  <c r="P3766" i="33"/>
  <c r="P2672" i="33"/>
  <c r="P2671" i="33" s="1"/>
  <c r="R2665" i="33" s="1"/>
  <c r="P3252" i="33"/>
  <c r="P3220" i="33"/>
  <c r="P3141" i="33"/>
  <c r="P2938" i="33"/>
  <c r="P1917" i="33"/>
  <c r="P2230" i="33"/>
  <c r="P2083" i="33"/>
  <c r="P2073" i="33"/>
  <c r="P2239" i="33"/>
  <c r="P2132" i="33"/>
  <c r="P2129" i="33" s="1"/>
  <c r="P1916" i="33"/>
  <c r="P2268" i="33"/>
  <c r="P1755" i="33"/>
  <c r="P1695" i="33"/>
  <c r="P2774" i="33"/>
  <c r="P2773" i="33" s="1"/>
  <c r="P2516" i="33"/>
  <c r="P2336" i="33"/>
  <c r="O1859" i="33"/>
  <c r="O1856" i="33" s="1"/>
  <c r="P1856" i="33" s="1"/>
  <c r="P1644" i="33"/>
  <c r="R1641" i="33" s="1"/>
  <c r="P1935" i="33"/>
  <c r="P1933" i="33" s="1"/>
  <c r="P1734" i="33"/>
  <c r="P1733" i="33" s="1"/>
  <c r="P1328" i="33"/>
  <c r="P1937" i="33"/>
  <c r="O1677" i="33"/>
  <c r="O1675" i="33" s="1"/>
  <c r="P1675" i="33" s="1"/>
  <c r="O3000" i="33"/>
  <c r="O2988" i="33" s="1"/>
  <c r="P2988" i="33" s="1"/>
  <c r="P1033" i="33"/>
  <c r="P760" i="33"/>
  <c r="P1087" i="33"/>
  <c r="P1085" i="33" s="1"/>
  <c r="P910" i="33"/>
  <c r="P364" i="33"/>
  <c r="P453" i="33"/>
  <c r="P774" i="33"/>
  <c r="P803" i="33"/>
  <c r="R797" i="33" s="1"/>
  <c r="P650" i="33"/>
  <c r="P430" i="33"/>
  <c r="P479" i="33"/>
  <c r="P477" i="33" s="1"/>
  <c r="P386" i="33"/>
  <c r="P383" i="33" s="1"/>
  <c r="P439" i="33"/>
  <c r="I993" i="33"/>
  <c r="P352" i="33"/>
  <c r="P351" i="33" s="1"/>
  <c r="P278" i="33"/>
  <c r="R270" i="33" s="1"/>
  <c r="P317" i="33"/>
  <c r="K301" i="33"/>
  <c r="L301" i="33" s="1"/>
  <c r="P9643" i="33"/>
  <c r="P10840" i="33"/>
  <c r="R10837" i="33" s="1"/>
  <c r="P11215" i="33"/>
  <c r="P9100" i="33"/>
  <c r="P11249" i="33"/>
  <c r="P10776" i="33"/>
  <c r="P10747" i="33"/>
  <c r="R10745" i="33" s="1"/>
  <c r="P11205" i="33"/>
  <c r="P8547" i="33"/>
  <c r="P8901" i="33"/>
  <c r="P8827" i="33"/>
  <c r="P8428" i="33"/>
  <c r="P7906" i="33"/>
  <c r="P7795" i="33"/>
  <c r="R7792" i="33" s="1"/>
  <c r="P8000" i="33"/>
  <c r="P8762" i="33"/>
  <c r="P7754" i="33"/>
  <c r="P7752" i="33" s="1"/>
  <c r="R7742" i="33" s="1"/>
  <c r="P8741" i="33"/>
  <c r="P7664" i="33"/>
  <c r="P7324" i="33"/>
  <c r="P7049" i="33"/>
  <c r="P6992" i="33"/>
  <c r="P6954" i="33"/>
  <c r="P6698" i="33"/>
  <c r="P7174" i="33"/>
  <c r="P6770" i="33"/>
  <c r="P6873" i="33"/>
  <c r="P6692" i="33"/>
  <c r="P6459" i="33"/>
  <c r="P6967" i="33"/>
  <c r="P6617" i="33"/>
  <c r="R6610" i="33" s="1"/>
  <c r="P6052" i="33"/>
  <c r="P6036" i="33"/>
  <c r="P5757" i="33"/>
  <c r="P6102" i="33"/>
  <c r="R6005" i="33"/>
  <c r="P6053" i="33"/>
  <c r="P6128" i="33"/>
  <c r="P6127" i="33" s="1"/>
  <c r="P5760" i="33"/>
  <c r="P5026" i="33"/>
  <c r="P4905" i="33"/>
  <c r="P5303" i="33"/>
  <c r="P5238" i="33"/>
  <c r="P4953" i="33"/>
  <c r="P5153" i="33"/>
  <c r="P4983" i="33"/>
  <c r="P5221" i="33"/>
  <c r="O4637" i="33"/>
  <c r="P4637" i="33" s="1"/>
  <c r="P4176" i="33"/>
  <c r="P5228" i="33"/>
  <c r="P4646" i="33"/>
  <c r="P4272" i="33"/>
  <c r="P4240" i="33"/>
  <c r="P3107" i="33"/>
  <c r="P5282" i="33"/>
  <c r="P5121" i="33"/>
  <c r="P4205" i="33"/>
  <c r="P3111" i="33"/>
  <c r="P3244" i="33"/>
  <c r="P3182" i="33"/>
  <c r="P2659" i="33"/>
  <c r="P2990" i="33"/>
  <c r="P2688" i="33"/>
  <c r="P2479" i="33"/>
  <c r="O4047" i="33"/>
  <c r="O4044" i="33" s="1"/>
  <c r="P4044" i="33" s="1"/>
  <c r="P3768" i="33"/>
  <c r="P3129" i="33"/>
  <c r="O2799" i="33"/>
  <c r="P2652" i="33"/>
  <c r="P2562" i="33"/>
  <c r="P4580" i="33"/>
  <c r="P3095" i="33"/>
  <c r="P2932" i="33"/>
  <c r="P2603" i="33"/>
  <c r="P2137" i="33"/>
  <c r="P1954" i="33"/>
  <c r="P2287" i="33"/>
  <c r="P2285" i="33" s="1"/>
  <c r="P2213" i="33"/>
  <c r="P2054" i="33"/>
  <c r="P1628" i="33"/>
  <c r="P2157" i="33"/>
  <c r="P1753" i="33"/>
  <c r="O2773" i="33"/>
  <c r="P2335" i="33"/>
  <c r="P3224" i="33"/>
  <c r="O1733" i="33"/>
  <c r="O1725" i="33" s="1"/>
  <c r="P1725" i="33" s="1"/>
  <c r="P1482" i="33"/>
  <c r="P1841" i="33"/>
  <c r="P1206" i="33"/>
  <c r="P1678" i="33"/>
  <c r="P1432" i="33"/>
  <c r="P723" i="33"/>
  <c r="P778" i="33"/>
  <c r="P731" i="33"/>
  <c r="R728" i="33" s="1"/>
  <c r="P893" i="33"/>
  <c r="P362" i="33"/>
  <c r="P1034" i="33"/>
  <c r="P755" i="33"/>
  <c r="P451" i="33"/>
  <c r="P1198" i="33"/>
  <c r="P761" i="33"/>
  <c r="P1120" i="33"/>
  <c r="P714" i="33"/>
  <c r="P513" i="33"/>
  <c r="P7730" i="33"/>
  <c r="P440" i="33"/>
  <c r="P350" i="33"/>
  <c r="P315" i="33"/>
  <c r="P9627" i="33"/>
  <c r="P9366" i="33"/>
  <c r="P11255" i="33"/>
  <c r="P11248" i="33"/>
  <c r="P8826" i="33"/>
  <c r="P9369" i="33"/>
  <c r="P9642" i="33"/>
  <c r="P9719" i="33"/>
  <c r="P9717" i="33" s="1"/>
  <c r="P11260" i="33"/>
  <c r="P10777" i="33"/>
  <c r="P11194" i="33"/>
  <c r="P8871" i="33"/>
  <c r="R8868" i="33" s="1"/>
  <c r="P8530" i="33"/>
  <c r="P8548" i="33"/>
  <c r="P8616" i="33"/>
  <c r="P8632" i="33"/>
  <c r="P8763" i="33"/>
  <c r="P7887" i="33"/>
  <c r="P7344" i="33"/>
  <c r="P9095" i="33"/>
  <c r="P9092" i="33"/>
  <c r="P9402" i="33"/>
  <c r="P11218" i="33"/>
  <c r="P11216" i="33" s="1"/>
  <c r="P11262" i="33"/>
  <c r="P9710" i="33"/>
  <c r="P11207" i="33"/>
  <c r="P10775" i="33"/>
  <c r="P10794" i="33"/>
  <c r="P11185" i="33"/>
  <c r="P10929" i="33"/>
  <c r="P8796" i="33"/>
  <c r="P10869" i="33"/>
  <c r="P8528" i="33"/>
  <c r="P8546" i="33"/>
  <c r="P7981" i="33"/>
  <c r="P8479" i="33"/>
  <c r="P8621" i="33"/>
  <c r="P8833" i="33"/>
  <c r="P8637" i="33"/>
  <c r="P7779" i="33"/>
  <c r="R7776" i="33" s="1"/>
  <c r="P8512" i="33"/>
  <c r="P8740" i="33"/>
  <c r="P7591" i="33"/>
  <c r="P7208" i="33"/>
  <c r="R7201" i="33" s="1"/>
  <c r="P7607" i="33"/>
  <c r="P7348" i="33"/>
  <c r="P6996" i="33"/>
  <c r="P7238" i="33"/>
  <c r="P6990" i="33"/>
  <c r="P7725" i="33"/>
  <c r="P6860" i="33"/>
  <c r="P6814" i="33"/>
  <c r="P7313" i="33"/>
  <c r="P7311" i="33" s="1"/>
  <c r="P6421" i="33"/>
  <c r="P6875" i="33"/>
  <c r="P6440" i="33"/>
  <c r="P7088" i="33"/>
  <c r="P6647" i="33"/>
  <c r="R6640" i="33" s="1"/>
  <c r="P6766" i="33"/>
  <c r="P6422" i="33"/>
  <c r="P6969" i="33"/>
  <c r="P6834" i="33"/>
  <c r="P6523" i="33"/>
  <c r="P6484" i="33"/>
  <c r="P6390" i="33"/>
  <c r="P6389" i="33" s="1"/>
  <c r="P5949" i="33"/>
  <c r="P6468" i="33"/>
  <c r="P6467" i="33" s="1"/>
  <c r="P6034" i="33"/>
  <c r="P5695" i="33"/>
  <c r="P7020" i="33"/>
  <c r="P7018" i="33" s="1"/>
  <c r="P6591" i="33"/>
  <c r="P6590" i="33" s="1"/>
  <c r="M6585" i="33" s="1"/>
  <c r="P6100" i="33"/>
  <c r="P5688" i="33"/>
  <c r="P5647" i="33"/>
  <c r="P6109" i="33"/>
  <c r="P6339" i="33"/>
  <c r="P5857" i="33"/>
  <c r="P5347" i="33"/>
  <c r="P5346" i="33" s="1"/>
  <c r="P5259" i="33"/>
  <c r="P5024" i="33"/>
  <c r="P4903" i="33"/>
  <c r="P4948" i="33"/>
  <c r="P6110" i="33"/>
  <c r="P5140" i="33"/>
  <c r="P4890" i="33"/>
  <c r="R4883" i="33" s="1"/>
  <c r="P5125" i="33"/>
  <c r="P5218" i="33"/>
  <c r="P4094" i="33"/>
  <c r="O5227" i="33"/>
  <c r="O5216" i="33" s="1"/>
  <c r="P5216" i="33" s="1"/>
  <c r="O4685" i="33"/>
  <c r="O4677" i="33" s="1"/>
  <c r="P4677" i="33" s="1"/>
  <c r="P4651" i="33"/>
  <c r="P4242" i="33"/>
  <c r="P4277" i="33"/>
  <c r="O5120" i="33"/>
  <c r="O5114" i="33" s="1"/>
  <c r="P5114" i="33" s="1"/>
  <c r="M5063" i="33" s="1"/>
  <c r="R4520" i="33"/>
  <c r="P3234" i="33"/>
  <c r="P3246" i="33"/>
  <c r="P4290" i="33"/>
  <c r="P4287" i="33" s="1"/>
  <c r="P3084" i="33"/>
  <c r="P3259" i="33"/>
  <c r="P3258" i="33" s="1"/>
  <c r="P4103" i="33"/>
  <c r="O3181" i="33"/>
  <c r="O3173" i="33" s="1"/>
  <c r="P3173" i="33" s="1"/>
  <c r="P2651" i="33"/>
  <c r="P3770" i="33"/>
  <c r="P3121" i="33"/>
  <c r="P2998" i="33"/>
  <c r="P2635" i="33"/>
  <c r="P2560" i="33"/>
  <c r="P4579" i="33"/>
  <c r="R3940" i="33"/>
  <c r="P3249" i="33"/>
  <c r="P2930" i="33"/>
  <c r="P2608" i="33"/>
  <c r="P2739" i="33"/>
  <c r="P2738" i="33" s="1"/>
  <c r="P2128" i="33"/>
  <c r="P2459" i="33"/>
  <c r="P1493" i="33"/>
  <c r="P2599" i="33"/>
  <c r="P2276" i="33"/>
  <c r="P2762" i="33"/>
  <c r="P2164" i="33"/>
  <c r="P2052" i="33"/>
  <c r="P1624" i="33"/>
  <c r="P2251" i="33"/>
  <c r="P2249" i="33" s="1"/>
  <c r="P2135" i="33"/>
  <c r="P2079" i="33"/>
  <c r="P1898" i="33"/>
  <c r="P1897" i="33" s="1"/>
  <c r="P1751" i="33"/>
  <c r="P2458" i="33"/>
  <c r="P2112" i="33"/>
  <c r="P2341" i="33"/>
  <c r="P2055" i="33"/>
  <c r="O1470" i="33"/>
  <c r="P1470" i="33" s="1"/>
  <c r="P2195" i="33"/>
  <c r="P2191" i="33" s="1"/>
  <c r="P1838" i="33"/>
  <c r="P1452" i="33"/>
  <c r="P1667" i="33"/>
  <c r="P1426" i="33"/>
  <c r="P752" i="33"/>
  <c r="O1208" i="33"/>
  <c r="O1204" i="33" s="1"/>
  <c r="P1204" i="33" s="1"/>
  <c r="M1159" i="33" s="1"/>
  <c r="P671" i="33"/>
  <c r="P889" i="33"/>
  <c r="P680" i="33"/>
  <c r="P1032" i="33"/>
  <c r="P890" i="33"/>
  <c r="P753" i="33"/>
  <c r="P720" i="33"/>
  <c r="P1425" i="33"/>
  <c r="P1071" i="33"/>
  <c r="P759" i="33"/>
  <c r="P1125" i="33"/>
  <c r="P558" i="33"/>
  <c r="P507" i="33"/>
  <c r="P7721" i="33"/>
  <c r="K190" i="33"/>
  <c r="P213" i="33"/>
  <c r="P333" i="33"/>
  <c r="P332" i="33" s="1"/>
  <c r="P178" i="33"/>
  <c r="P428" i="33"/>
  <c r="P9385" i="33"/>
  <c r="R9382" i="33" s="1"/>
  <c r="P11254" i="33"/>
  <c r="P10931" i="33"/>
  <c r="P11136" i="33"/>
  <c r="R11130" i="33" s="1"/>
  <c r="P8490" i="33"/>
  <c r="P8075" i="33"/>
  <c r="P8745" i="33"/>
  <c r="P7613" i="33"/>
  <c r="P7611" i="33" s="1"/>
  <c r="P7345" i="33"/>
  <c r="P7765" i="33"/>
  <c r="P7351" i="33"/>
  <c r="P6988" i="33"/>
  <c r="P6693" i="33"/>
  <c r="P6881" i="33"/>
  <c r="P6712" i="33"/>
  <c r="P6877" i="33"/>
  <c r="P6364" i="33"/>
  <c r="P6811" i="33"/>
  <c r="P6571" i="33"/>
  <c r="P7190" i="33"/>
  <c r="P6738" i="33"/>
  <c r="P6737" i="33" s="1"/>
  <c r="P6420" i="33"/>
  <c r="P6971" i="33"/>
  <c r="P6812" i="33"/>
  <c r="P6466" i="33"/>
  <c r="P6486" i="33"/>
  <c r="P5686" i="33"/>
  <c r="P5693" i="33"/>
  <c r="P6193" i="33"/>
  <c r="P5800" i="33"/>
  <c r="P6073" i="33"/>
  <c r="P5683" i="33"/>
  <c r="P6410" i="33"/>
  <c r="P6408" i="33" s="1"/>
  <c r="O6108" i="33"/>
  <c r="O6098" i="33" s="1"/>
  <c r="P6098" i="33" s="1"/>
  <c r="P6325" i="33"/>
  <c r="P5746" i="33"/>
  <c r="P5744" i="33" s="1"/>
  <c r="R5736" i="33" s="1"/>
  <c r="P6335" i="33"/>
  <c r="P5342" i="33"/>
  <c r="P5243" i="33"/>
  <c r="P5013" i="33"/>
  <c r="P4901" i="33"/>
  <c r="P5658" i="33"/>
  <c r="P5656" i="33" s="1"/>
  <c r="P5220" i="33"/>
  <c r="P4089" i="33"/>
  <c r="P4686" i="33"/>
  <c r="P4653" i="33"/>
  <c r="P4605" i="33"/>
  <c r="P4231" i="33"/>
  <c r="P4228" i="33" s="1"/>
  <c r="P4054" i="33"/>
  <c r="P4051" i="33" s="1"/>
  <c r="P4271" i="33"/>
  <c r="P4093" i="33"/>
  <c r="P4294" i="33"/>
  <c r="P3250" i="33"/>
  <c r="P3096" i="33"/>
  <c r="P2529" i="33"/>
  <c r="P3033" i="33"/>
  <c r="P2618" i="33"/>
  <c r="P4307" i="33"/>
  <c r="P2819" i="33"/>
  <c r="P2602" i="33"/>
  <c r="P3774" i="33"/>
  <c r="P3123" i="33"/>
  <c r="P3051" i="33"/>
  <c r="P3050" i="33" s="1"/>
  <c r="P2793" i="33"/>
  <c r="P2792" i="33" s="1"/>
  <c r="P2633" i="33"/>
  <c r="P2549" i="33"/>
  <c r="P4581" i="33"/>
  <c r="P3037" i="33"/>
  <c r="P2123" i="33"/>
  <c r="P2291" i="33"/>
  <c r="P1491" i="33"/>
  <c r="O2598" i="33"/>
  <c r="P2231" i="33"/>
  <c r="P2545" i="33"/>
  <c r="P2161" i="33"/>
  <c r="P2158" i="33" s="1"/>
  <c r="P2041" i="33"/>
  <c r="P1622" i="33"/>
  <c r="P2232" i="33"/>
  <c r="P2512" i="33"/>
  <c r="P2463" i="33"/>
  <c r="P2460" i="33" s="1"/>
  <c r="P2095" i="33"/>
  <c r="P1958" i="33"/>
  <c r="P2544" i="33"/>
  <c r="P1462" i="33"/>
  <c r="P2259" i="33"/>
  <c r="P2257" i="33" s="1"/>
  <c r="P1840" i="33"/>
  <c r="P1428" i="33"/>
  <c r="P1415" i="33"/>
  <c r="P1216" i="33"/>
  <c r="P1212" i="33" s="1"/>
  <c r="P750" i="33"/>
  <c r="P574" i="33"/>
  <c r="O1308" i="33"/>
  <c r="O1306" i="33" s="1"/>
  <c r="P1306" i="33" s="1"/>
  <c r="P1067" i="33"/>
  <c r="P879" i="33"/>
  <c r="P877" i="33" s="1"/>
  <c r="R868" i="33" s="1"/>
  <c r="P1290" i="33"/>
  <c r="P1288" i="33" s="1"/>
  <c r="P983" i="33"/>
  <c r="R976" i="33" s="1"/>
  <c r="P751" i="33"/>
  <c r="P1068" i="33"/>
  <c r="P1420" i="33"/>
  <c r="P556" i="33"/>
  <c r="P512" i="33"/>
  <c r="O477" i="33"/>
  <c r="O469" i="33" s="1"/>
  <c r="P469" i="33" s="1"/>
  <c r="P7735" i="33"/>
  <c r="P580" i="33"/>
  <c r="P579" i="33" s="1"/>
  <c r="R408" i="33"/>
  <c r="P9090" i="33"/>
  <c r="P9712" i="33"/>
  <c r="P11214" i="33"/>
  <c r="P11187" i="33"/>
  <c r="P8792" i="33"/>
  <c r="P7944" i="33"/>
  <c r="R7941" i="33" s="1"/>
  <c r="P8622" i="33"/>
  <c r="P8780" i="33"/>
  <c r="P9153" i="33"/>
  <c r="P9148" i="33"/>
  <c r="P9132" i="33"/>
  <c r="P11256" i="33"/>
  <c r="P8977" i="33"/>
  <c r="R8974" i="33" s="1"/>
  <c r="P11157" i="33"/>
  <c r="P11155" i="33" s="1"/>
  <c r="P11191" i="33"/>
  <c r="P8951" i="33"/>
  <c r="P10857" i="33"/>
  <c r="P8886" i="33"/>
  <c r="P8846" i="33"/>
  <c r="P8756" i="33"/>
  <c r="P8449" i="33"/>
  <c r="P7907" i="33"/>
  <c r="R8723" i="33"/>
  <c r="P8664" i="33"/>
  <c r="P8478" i="33"/>
  <c r="P8070" i="33"/>
  <c r="P7914" i="33"/>
  <c r="P7913" i="33" s="1"/>
  <c r="I8602" i="33"/>
  <c r="P7934" i="33"/>
  <c r="P7932" i="33" s="1"/>
  <c r="P8774" i="33"/>
  <c r="P7701" i="33"/>
  <c r="P7426" i="33"/>
  <c r="R7419" i="33" s="1"/>
  <c r="I8395" i="33"/>
  <c r="P7877" i="33"/>
  <c r="I8343" i="33"/>
  <c r="P7604" i="33"/>
  <c r="P7763" i="33"/>
  <c r="P7012" i="33"/>
  <c r="P7723" i="33"/>
  <c r="P6949" i="33"/>
  <c r="P6691" i="33"/>
  <c r="P6876" i="33"/>
  <c r="P6673" i="33"/>
  <c r="P7392" i="33"/>
  <c r="P7104" i="33"/>
  <c r="P6997" i="33"/>
  <c r="P6813" i="33"/>
  <c r="P6566" i="33"/>
  <c r="P7187" i="33"/>
  <c r="P6736" i="33"/>
  <c r="P6385" i="33"/>
  <c r="P6388" i="33"/>
  <c r="P6479" i="33"/>
  <c r="P6293" i="33"/>
  <c r="R6291" i="33" s="1"/>
  <c r="P5684" i="33"/>
  <c r="P5705" i="33"/>
  <c r="P5687" i="33"/>
  <c r="P6188" i="33"/>
  <c r="P5795" i="33"/>
  <c r="P6307" i="33"/>
  <c r="R6305" i="33" s="1"/>
  <c r="P6071" i="33"/>
  <c r="P5681" i="33"/>
  <c r="P6401" i="33"/>
  <c r="R6201" i="33"/>
  <c r="P5336" i="33"/>
  <c r="P5652" i="33"/>
  <c r="P4925" i="33"/>
  <c r="P6321" i="33"/>
  <c r="P5141" i="33"/>
  <c r="P5083" i="33"/>
  <c r="P5270" i="33"/>
  <c r="P5268" i="33" s="1"/>
  <c r="P5008" i="33"/>
  <c r="P6126" i="33"/>
  <c r="P4932" i="33"/>
  <c r="P5119" i="33"/>
  <c r="P4704" i="33"/>
  <c r="P5229" i="33"/>
  <c r="P5223" i="33"/>
  <c r="P4087" i="33"/>
  <c r="P4645" i="33"/>
  <c r="R3976" i="33"/>
  <c r="P6139" i="33"/>
  <c r="P4196" i="33"/>
  <c r="P4195" i="33" s="1"/>
  <c r="P4088" i="33"/>
  <c r="P3253" i="33"/>
  <c r="P3082" i="33"/>
  <c r="P4254" i="33"/>
  <c r="P4251" i="33" s="1"/>
  <c r="P3089" i="33"/>
  <c r="P2306" i="33"/>
  <c r="R2303" i="33" s="1"/>
  <c r="P3228" i="33"/>
  <c r="P3225" i="33" s="1"/>
  <c r="P3149" i="33"/>
  <c r="P3147" i="33" s="1"/>
  <c r="P3024" i="33"/>
  <c r="P3021" i="33" s="1"/>
  <c r="P4313" i="33"/>
  <c r="P2812" i="33"/>
  <c r="P2593" i="33"/>
  <c r="P2590" i="33" s="1"/>
  <c r="P3125" i="33"/>
  <c r="P3049" i="33"/>
  <c r="P2622" i="33"/>
  <c r="P2537" i="33"/>
  <c r="P2536" i="33" s="1"/>
  <c r="P4586" i="33"/>
  <c r="P3161" i="33"/>
  <c r="P2728" i="33"/>
  <c r="P2530" i="33"/>
  <c r="P1698" i="33"/>
  <c r="P3178" i="33"/>
  <c r="P2508" i="33"/>
  <c r="P2271" i="33"/>
  <c r="P4235" i="33"/>
  <c r="P4232" i="33" s="1"/>
  <c r="P2170" i="33"/>
  <c r="P3005" i="33"/>
  <c r="O2540" i="33"/>
  <c r="O2527" i="33" s="1"/>
  <c r="P2527" i="33" s="1"/>
  <c r="P2156" i="33"/>
  <c r="P2035" i="33"/>
  <c r="O2210" i="33"/>
  <c r="O2208" i="33" s="1"/>
  <c r="P2208" i="33" s="1"/>
  <c r="P2126" i="33"/>
  <c r="P1731" i="33"/>
  <c r="P1728" i="33" s="1"/>
  <c r="P2506" i="33"/>
  <c r="P2468" i="33"/>
  <c r="P2084" i="33"/>
  <c r="P1953" i="33"/>
  <c r="P1498" i="33"/>
  <c r="P1458" i="33"/>
  <c r="P1453" i="33" s="1"/>
  <c r="P1844" i="33"/>
  <c r="P1626" i="33"/>
  <c r="P2187" i="33"/>
  <c r="P1681" i="33"/>
  <c r="P2240" i="33"/>
  <c r="P2106" i="33"/>
  <c r="P2104" i="33" s="1"/>
  <c r="P1625" i="33"/>
  <c r="P1220" i="33"/>
  <c r="P1192" i="33"/>
  <c r="P1475" i="33"/>
  <c r="O1344" i="33"/>
  <c r="O1342" i="33" s="1"/>
  <c r="P1342" i="33" s="1"/>
  <c r="P1070" i="33"/>
  <c r="P1038" i="33"/>
  <c r="P854" i="33"/>
  <c r="P617" i="33"/>
  <c r="P1135" i="33"/>
  <c r="P773" i="33"/>
  <c r="P1055" i="33"/>
  <c r="P749" i="33"/>
  <c r="P677" i="33"/>
  <c r="P554" i="33"/>
  <c r="I800" i="33"/>
  <c r="P7729" i="33"/>
  <c r="P475" i="33"/>
  <c r="P473" i="33" s="1"/>
  <c r="P321" i="33"/>
  <c r="P106" i="33"/>
  <c r="R96" i="33" s="1"/>
  <c r="P9632" i="33"/>
  <c r="P11151" i="33"/>
  <c r="P10855" i="33"/>
  <c r="P9099" i="33"/>
  <c r="P9008" i="33"/>
  <c r="R9005" i="33" s="1"/>
  <c r="P11193" i="33"/>
  <c r="P10862" i="33"/>
  <c r="P8842" i="33"/>
  <c r="P8715" i="33"/>
  <c r="P8447" i="33"/>
  <c r="P8468" i="33"/>
  <c r="P8781" i="33"/>
  <c r="P7690" i="33"/>
  <c r="P7688" i="33" s="1"/>
  <c r="P7366" i="33"/>
  <c r="R7359" i="33" s="1"/>
  <c r="P7683" i="33"/>
  <c r="P7728" i="33"/>
  <c r="P7606" i="33"/>
  <c r="P7769" i="33"/>
  <c r="P7310" i="33"/>
  <c r="P7010" i="33"/>
  <c r="P7147" i="33"/>
  <c r="P6947" i="33"/>
  <c r="P6671" i="33"/>
  <c r="P7391" i="33"/>
  <c r="P7100" i="33"/>
  <c r="P6843" i="33"/>
  <c r="P6841" i="33" s="1"/>
  <c r="P6815" i="33"/>
  <c r="P6551" i="33"/>
  <c r="R6548" i="33" s="1"/>
  <c r="P7185" i="33"/>
  <c r="P6720" i="33"/>
  <c r="P6718" i="33" s="1"/>
  <c r="P6383" i="33"/>
  <c r="P6713" i="33"/>
  <c r="P6481" i="33"/>
  <c r="P6187" i="33"/>
  <c r="P5682" i="33"/>
  <c r="P5646" i="33"/>
  <c r="P6535" i="33"/>
  <c r="P6532" i="33" s="1"/>
  <c r="P6372" i="33"/>
  <c r="P6370" i="33" s="1"/>
  <c r="P5885" i="33"/>
  <c r="K5888" i="33"/>
  <c r="P6125" i="33"/>
  <c r="P5636" i="33"/>
  <c r="R5629" i="33" s="1"/>
  <c r="P6403" i="33"/>
  <c r="P6162" i="33"/>
  <c r="P5334" i="33"/>
  <c r="P6279" i="33"/>
  <c r="P5727" i="33"/>
  <c r="P5116" i="33"/>
  <c r="P4931" i="33"/>
  <c r="P5202" i="33"/>
  <c r="P5323" i="33"/>
  <c r="P5117" i="33"/>
  <c r="P5801" i="33"/>
  <c r="P4654" i="33"/>
  <c r="P4603" i="33"/>
  <c r="P3271" i="33"/>
  <c r="R3268" i="33" s="1"/>
  <c r="P4293" i="33"/>
  <c r="P4204" i="33"/>
  <c r="P6145" i="33"/>
  <c r="P5029" i="33"/>
  <c r="P4614" i="33"/>
  <c r="P4194" i="33"/>
  <c r="P4086" i="33"/>
  <c r="P3824" i="33"/>
  <c r="P6061" i="33"/>
  <c r="O4287" i="33"/>
  <c r="O4285" i="33" s="1"/>
  <c r="P4285" i="33" s="1"/>
  <c r="P2991" i="33"/>
  <c r="P3019" i="33"/>
  <c r="P4308" i="33"/>
  <c r="P3085" i="33"/>
  <c r="P2588" i="33"/>
  <c r="P3097" i="33"/>
  <c r="P3039" i="33"/>
  <c r="P2768" i="33"/>
  <c r="P2766" i="33" s="1"/>
  <c r="P2443" i="33"/>
  <c r="P4588" i="33"/>
  <c r="P3830" i="33"/>
  <c r="P3158" i="33"/>
  <c r="P2692" i="33"/>
  <c r="P2328" i="33"/>
  <c r="R2318" i="33" s="1"/>
  <c r="P2036" i="33"/>
  <c r="P4071" i="33"/>
  <c r="P4067" i="33" s="1"/>
  <c r="P1696" i="33"/>
  <c r="P2502" i="33"/>
  <c r="P2172" i="33"/>
  <c r="P2138" i="33"/>
  <c r="P2541" i="33"/>
  <c r="P2153" i="33"/>
  <c r="P2033" i="33"/>
  <c r="P2292" i="33"/>
  <c r="P2124" i="33"/>
  <c r="P2504" i="33"/>
  <c r="P2473" i="33"/>
  <c r="P1974" i="33"/>
  <c r="P1943" i="33"/>
  <c r="P1494" i="33"/>
  <c r="P2509" i="33"/>
  <c r="P1848" i="33"/>
  <c r="P1419" i="33"/>
  <c r="P1416" i="33" s="1"/>
  <c r="P2186" i="33"/>
  <c r="P2183" i="33" s="1"/>
  <c r="O2104" i="33"/>
  <c r="O1623" i="33"/>
  <c r="O1620" i="33" s="1"/>
  <c r="P1620" i="33" s="1"/>
  <c r="P1365" i="33"/>
  <c r="R1362" i="33" s="1"/>
  <c r="P1207" i="33"/>
  <c r="P1197" i="33"/>
  <c r="P1476" i="33"/>
  <c r="P1065" i="33"/>
  <c r="P779" i="33"/>
  <c r="P557" i="33"/>
  <c r="P1137" i="33"/>
  <c r="P771" i="33"/>
  <c r="P1050" i="33"/>
  <c r="P367" i="33"/>
  <c r="P343" i="33"/>
  <c r="P622" i="33"/>
  <c r="P620" i="33" s="1"/>
  <c r="P7734" i="33"/>
  <c r="P485" i="33"/>
  <c r="P322" i="33"/>
  <c r="R600" i="33"/>
  <c r="M7441" i="33" l="1"/>
  <c r="M1255" i="33"/>
  <c r="M152" i="33"/>
  <c r="M4143" i="33"/>
  <c r="M296" i="33"/>
  <c r="P2561" i="33"/>
  <c r="P8137" i="33"/>
  <c r="P8139" i="33"/>
  <c r="P8136" i="33"/>
  <c r="P8138" i="33"/>
  <c r="P8140" i="33"/>
  <c r="M5834" i="33"/>
  <c r="M5719" i="33"/>
  <c r="R7037" i="33"/>
  <c r="P7075" i="33"/>
  <c r="R7063" i="33" s="1"/>
  <c r="P5776" i="33"/>
  <c r="P5784" i="33"/>
  <c r="P5500" i="33"/>
  <c r="P5537" i="33"/>
  <c r="P5557" i="33"/>
  <c r="R5554" i="33" s="1"/>
  <c r="P5508" i="33"/>
  <c r="P5449" i="33"/>
  <c r="R5439" i="33" s="1"/>
  <c r="P5525" i="33"/>
  <c r="R5517" i="33" s="1"/>
  <c r="P5545" i="33"/>
  <c r="P5461" i="33"/>
  <c r="P5469" i="33"/>
  <c r="M10671" i="33"/>
  <c r="R8487" i="33"/>
  <c r="M4867" i="33"/>
  <c r="R4465" i="33"/>
  <c r="R6277" i="33"/>
  <c r="P6485" i="33"/>
  <c r="R6477" i="33" s="1"/>
  <c r="R8661" i="33"/>
  <c r="P2162" i="33"/>
  <c r="R4249" i="33"/>
  <c r="P3677" i="33"/>
  <c r="P3664" i="33"/>
  <c r="P3670" i="33"/>
  <c r="P3703" i="33"/>
  <c r="P3690" i="33"/>
  <c r="P3696" i="33"/>
  <c r="R5099" i="33"/>
  <c r="R1895" i="33"/>
  <c r="R3956" i="33"/>
  <c r="P11175" i="33"/>
  <c r="R11165" i="33" s="1"/>
  <c r="R1856" i="33"/>
  <c r="P907" i="33"/>
  <c r="R905" i="33" s="1"/>
  <c r="R1285" i="33"/>
  <c r="P772" i="33"/>
  <c r="R8405" i="33"/>
  <c r="P10995" i="33"/>
  <c r="R10980" i="33" s="1"/>
  <c r="R516" i="33"/>
  <c r="M8330" i="33"/>
  <c r="R7884" i="33"/>
  <c r="P532" i="33"/>
  <c r="M499" i="33" s="1"/>
  <c r="P11213" i="33"/>
  <c r="R11201" i="33" s="1"/>
  <c r="P2996" i="33"/>
  <c r="R5937" i="33"/>
  <c r="P10935" i="33"/>
  <c r="P10938" i="33"/>
  <c r="P10936" i="33"/>
  <c r="P10934" i="33"/>
  <c r="P10937" i="33"/>
  <c r="M7120" i="33"/>
  <c r="P3201" i="33"/>
  <c r="R3195" i="33" s="1"/>
  <c r="R7979" i="33"/>
  <c r="P10309" i="33"/>
  <c r="R10306" i="33" s="1"/>
  <c r="O4065" i="33"/>
  <c r="P4065" i="33" s="1"/>
  <c r="M4014" i="33" s="1"/>
  <c r="R7583" i="33"/>
  <c r="R1725" i="33"/>
  <c r="O2179" i="33"/>
  <c r="P2179" i="33" s="1"/>
  <c r="R1306" i="33"/>
  <c r="R8562" i="33"/>
  <c r="P4291" i="33"/>
  <c r="R4285" i="33" s="1"/>
  <c r="P4643" i="33"/>
  <c r="P3025" i="33"/>
  <c r="M4964" i="33"/>
  <c r="R4065" i="33"/>
  <c r="P5694" i="33"/>
  <c r="P3176" i="33"/>
  <c r="P6060" i="33"/>
  <c r="R4101" i="33"/>
  <c r="M7813" i="33"/>
  <c r="M1547" i="33"/>
  <c r="R7621" i="33"/>
  <c r="R7321" i="33"/>
  <c r="R5317" i="33"/>
  <c r="R5080" i="33"/>
  <c r="P6861" i="33"/>
  <c r="R6850" i="33" s="1"/>
  <c r="R3713" i="33"/>
  <c r="P9227" i="33"/>
  <c r="R9216" i="33" s="1"/>
  <c r="P9181" i="33"/>
  <c r="R9178" i="33" s="1"/>
  <c r="R9042" i="33"/>
  <c r="P2722" i="33"/>
  <c r="R2714" i="33" s="1"/>
  <c r="O2756" i="33"/>
  <c r="P2756" i="33" s="1"/>
  <c r="P4930" i="33"/>
  <c r="R4922" i="33" s="1"/>
  <c r="R3412" i="33"/>
  <c r="R3549" i="33"/>
  <c r="R6418" i="33"/>
  <c r="R3391" i="33"/>
  <c r="R3104" i="33"/>
  <c r="R3564" i="33"/>
  <c r="R3601" i="33"/>
  <c r="M6899" i="33"/>
  <c r="P2657" i="33"/>
  <c r="O2783" i="33"/>
  <c r="P2783" i="33" s="1"/>
  <c r="R5370" i="33"/>
  <c r="R6333" i="33"/>
  <c r="M5182" i="33"/>
  <c r="R5721" i="33"/>
  <c r="R169" i="33"/>
  <c r="R1505" i="33"/>
  <c r="P4587" i="33"/>
  <c r="R4577" i="33" s="1"/>
  <c r="R7698" i="33"/>
  <c r="R1047" i="33"/>
  <c r="O2586" i="33"/>
  <c r="P2586" i="33" s="1"/>
  <c r="R195" i="33"/>
  <c r="P2706" i="33"/>
  <c r="R2696" i="33" s="1"/>
  <c r="P776" i="33"/>
  <c r="P5649" i="33"/>
  <c r="P2511" i="33"/>
  <c r="P1666" i="33"/>
  <c r="R1660" i="33" s="1"/>
  <c r="R3156" i="33"/>
  <c r="P3181" i="33"/>
  <c r="R340" i="33"/>
  <c r="R3828" i="33"/>
  <c r="R5006" i="33"/>
  <c r="R5703" i="33"/>
  <c r="R6689" i="33"/>
  <c r="R8883" i="33"/>
  <c r="R6923" i="33"/>
  <c r="R1822" i="33"/>
  <c r="P2649" i="33"/>
  <c r="P11261" i="33"/>
  <c r="R1342" i="33"/>
  <c r="R6530" i="33"/>
  <c r="R7144" i="33"/>
  <c r="P2950" i="33"/>
  <c r="R2946" i="33" s="1"/>
  <c r="P7722" i="33"/>
  <c r="R1083" i="33"/>
  <c r="R747" i="33"/>
  <c r="P4203" i="33"/>
  <c r="R4191" i="33" s="1"/>
  <c r="R6437" i="33"/>
  <c r="R9400" i="33"/>
  <c r="P2154" i="33"/>
  <c r="P3087" i="33"/>
  <c r="P4685" i="33"/>
  <c r="R4677" i="33" s="1"/>
  <c r="P5854" i="33"/>
  <c r="R5851" i="33" s="1"/>
  <c r="R647" i="33"/>
  <c r="R2557" i="33"/>
  <c r="P6124" i="33"/>
  <c r="R6117" i="33" s="1"/>
  <c r="R2179" i="33"/>
  <c r="P2503" i="33"/>
  <c r="R8840" i="33"/>
  <c r="P676" i="33"/>
  <c r="R668" i="33" s="1"/>
  <c r="R2630" i="33"/>
  <c r="P4904" i="33"/>
  <c r="R4898" i="33" s="1"/>
  <c r="R6944" i="33"/>
  <c r="P11192" i="33"/>
  <c r="R11183" i="33" s="1"/>
  <c r="R2928" i="33"/>
  <c r="R4946" i="33"/>
  <c r="P2210" i="33"/>
  <c r="R2208" i="33" s="1"/>
  <c r="R7863" i="33"/>
  <c r="P2075" i="33"/>
  <c r="R2070" i="33" s="1"/>
  <c r="R1951" i="33"/>
  <c r="R6319" i="33"/>
  <c r="R9640" i="33"/>
  <c r="R8444" i="33"/>
  <c r="R5814" i="33"/>
  <c r="R8806" i="33"/>
  <c r="R8425" i="33"/>
  <c r="P5764" i="33"/>
  <c r="R6669" i="33"/>
  <c r="R6563" i="33"/>
  <c r="R2967" i="33"/>
  <c r="P6146" i="33"/>
  <c r="P8477" i="33"/>
  <c r="R8466" i="33" s="1"/>
  <c r="R10688" i="33"/>
  <c r="R1325" i="33"/>
  <c r="R9146" i="33"/>
  <c r="R6380" i="33"/>
  <c r="R7098" i="33"/>
  <c r="M6029" i="33"/>
  <c r="R1748" i="33"/>
  <c r="R448" i="33"/>
  <c r="P2540" i="33"/>
  <c r="R2527" i="33" s="1"/>
  <c r="R1877" i="33"/>
  <c r="P2125" i="33"/>
  <c r="R2736" i="33"/>
  <c r="R4084" i="33"/>
  <c r="P3058" i="33"/>
  <c r="R3046" i="33" s="1"/>
  <c r="R6069" i="33"/>
  <c r="R10853" i="33"/>
  <c r="R6399" i="33"/>
  <c r="R4268" i="33"/>
  <c r="R11020" i="33"/>
  <c r="P318" i="33"/>
  <c r="R313" i="33" s="1"/>
  <c r="P11252" i="33"/>
  <c r="R5256" i="33"/>
  <c r="R1914" i="33"/>
  <c r="R2092" i="33"/>
  <c r="R501" i="33"/>
  <c r="I8588" i="33"/>
  <c r="R571" i="33"/>
  <c r="R469" i="33"/>
  <c r="R8789" i="33"/>
  <c r="R2615" i="33"/>
  <c r="R7046" i="33"/>
  <c r="P7172" i="33"/>
  <c r="R7163" i="33" s="1"/>
  <c r="P4984" i="33"/>
  <c r="R4980" i="33" s="1"/>
  <c r="R7007" i="33"/>
  <c r="R7679" i="33"/>
  <c r="P6108" i="33"/>
  <c r="R6098" i="33" s="1"/>
  <c r="R6031" i="33"/>
  <c r="R7640" i="33"/>
  <c r="P7876" i="33"/>
  <c r="P7875" i="33" s="1"/>
  <c r="R6361" i="33"/>
  <c r="M4561" i="33"/>
  <c r="P5219" i="33"/>
  <c r="P888" i="33"/>
  <c r="R885" i="33" s="1"/>
  <c r="R2247" i="33"/>
  <c r="P9365" i="33"/>
  <c r="R9362" i="33" s="1"/>
  <c r="R1118" i="33"/>
  <c r="P2229" i="33"/>
  <c r="P5027" i="33"/>
  <c r="R5021" i="33" s="1"/>
  <c r="R7993" i="33"/>
  <c r="R2332" i="33"/>
  <c r="P3139" i="33"/>
  <c r="R3137" i="33" s="1"/>
  <c r="R6514" i="33"/>
  <c r="P1472" i="33"/>
  <c r="P3232" i="33"/>
  <c r="R11144" i="33"/>
  <c r="R5644" i="33"/>
  <c r="R7389" i="33"/>
  <c r="R1190" i="33"/>
  <c r="P1839" i="33"/>
  <c r="R1836" i="33" s="1"/>
  <c r="P3083" i="33"/>
  <c r="R8738" i="33"/>
  <c r="R8544" i="33"/>
  <c r="P9091" i="33"/>
  <c r="R9088" i="33" s="1"/>
  <c r="I699" i="33"/>
  <c r="K699" i="33" s="1"/>
  <c r="L699" i="33" s="1"/>
  <c r="P1677" i="33"/>
  <c r="R1675" i="33" s="1"/>
  <c r="P5756" i="33"/>
  <c r="R6965" i="33"/>
  <c r="P3219" i="33"/>
  <c r="R3764" i="33"/>
  <c r="P5301" i="33"/>
  <c r="R5298" i="33" s="1"/>
  <c r="R7079" i="33"/>
  <c r="R7922" i="33"/>
  <c r="P7349" i="33"/>
  <c r="R7340" i="33" s="1"/>
  <c r="P7191" i="33"/>
  <c r="R7182" i="33" s="1"/>
  <c r="R7760" i="33"/>
  <c r="R8676" i="33"/>
  <c r="P10795" i="33"/>
  <c r="P10792" i="33" s="1"/>
  <c r="R10790" i="33" s="1"/>
  <c r="R1931" i="33"/>
  <c r="R1489" i="33"/>
  <c r="P1489" i="33"/>
  <c r="M1382" i="33" s="1"/>
  <c r="R5138" i="33"/>
  <c r="R9625" i="33"/>
  <c r="P5239" i="33"/>
  <c r="R5236" i="33" s="1"/>
  <c r="P426" i="33"/>
  <c r="R551" i="33"/>
  <c r="R2680" i="33"/>
  <c r="R4219" i="33"/>
  <c r="R3812" i="33"/>
  <c r="P718" i="33"/>
  <c r="R712" i="33" s="1"/>
  <c r="P1480" i="33"/>
  <c r="R8708" i="33"/>
  <c r="R8898" i="33"/>
  <c r="R9126" i="33"/>
  <c r="R8929" i="33"/>
  <c r="P1066" i="33"/>
  <c r="R1063" i="33" s="1"/>
  <c r="P4652" i="33"/>
  <c r="P5685" i="33"/>
  <c r="R3119" i="33"/>
  <c r="R9708" i="33"/>
  <c r="R1204" i="33"/>
  <c r="R2266" i="33"/>
  <c r="P2238" i="33"/>
  <c r="P3251" i="33"/>
  <c r="R4044" i="33"/>
  <c r="R851" i="33"/>
  <c r="P244" i="33"/>
  <c r="P242" i="33" s="1"/>
  <c r="R223" i="33" s="1"/>
  <c r="P5337" i="33"/>
  <c r="R5331" i="33" s="1"/>
  <c r="R6762" i="33"/>
  <c r="P5888" i="33"/>
  <c r="R5883" i="33" s="1"/>
  <c r="R1133" i="33"/>
  <c r="P2507" i="33"/>
  <c r="R7602" i="33"/>
  <c r="P5797" i="33"/>
  <c r="R5793" i="33" s="1"/>
  <c r="R6986" i="33"/>
  <c r="P1623" i="33"/>
  <c r="R1620" i="33" s="1"/>
  <c r="R8525" i="33"/>
  <c r="R8630" i="33"/>
  <c r="R359" i="33"/>
  <c r="P2053" i="33"/>
  <c r="R2049" i="33" s="1"/>
  <c r="P5120" i="33"/>
  <c r="R5114" i="33" s="1"/>
  <c r="R6456" i="33"/>
  <c r="P8761" i="33"/>
  <c r="R8753" i="33" s="1"/>
  <c r="R6830" i="33"/>
  <c r="O2092" i="33"/>
  <c r="P2092" i="33" s="1"/>
  <c r="P2482" i="33"/>
  <c r="R2477" i="33" s="1"/>
  <c r="P3079" i="33"/>
  <c r="R2809" i="33"/>
  <c r="R4701" i="33"/>
  <c r="P6143" i="33"/>
  <c r="R6728" i="33"/>
  <c r="P2786" i="33"/>
  <c r="R2783" i="33" s="1"/>
  <c r="R2438" i="33"/>
  <c r="R6709" i="33"/>
  <c r="R7231" i="33"/>
  <c r="R8507" i="33"/>
  <c r="R7903" i="33"/>
  <c r="R2031" i="33"/>
  <c r="R5199" i="33"/>
  <c r="R6185" i="33"/>
  <c r="R8068" i="33"/>
  <c r="P2289" i="33"/>
  <c r="R2283" i="33" s="1"/>
  <c r="R1030" i="33"/>
  <c r="R2456" i="33"/>
  <c r="P3245" i="33"/>
  <c r="R10773" i="33"/>
  <c r="R8614" i="33"/>
  <c r="R6050" i="33"/>
  <c r="K993" i="33"/>
  <c r="P7726" i="33"/>
  <c r="P1449" i="33"/>
  <c r="R1440" i="33" s="1"/>
  <c r="P4600" i="33"/>
  <c r="R4596" i="33" s="1"/>
  <c r="R7660" i="33"/>
  <c r="P1822" i="33"/>
  <c r="R1808" i="33" s="1"/>
  <c r="O1808" i="33"/>
  <c r="P1808" i="33" s="1"/>
  <c r="R615" i="33"/>
  <c r="P5227" i="33"/>
  <c r="R4173" i="33"/>
  <c r="R7302" i="33"/>
  <c r="R8944" i="33"/>
  <c r="R379" i="33"/>
  <c r="M2842" i="33"/>
  <c r="P3029" i="33"/>
  <c r="P2760" i="33"/>
  <c r="R2756" i="33" s="1"/>
  <c r="R1966" i="33"/>
  <c r="P2133" i="33"/>
  <c r="K800" i="33"/>
  <c r="L800" i="33" s="1"/>
  <c r="P8779" i="33"/>
  <c r="R8771" i="33" s="1"/>
  <c r="R4305" i="33"/>
  <c r="R6809" i="33"/>
  <c r="P1424" i="33"/>
  <c r="R1412" i="33" s="1"/>
  <c r="P2598" i="33"/>
  <c r="R2586" i="33" s="1"/>
  <c r="R6871" i="33"/>
  <c r="I300" i="33"/>
  <c r="K300" i="33" s="1"/>
  <c r="L300" i="33" s="1"/>
  <c r="R1693" i="33"/>
  <c r="P3000" i="33"/>
  <c r="R6170" i="33"/>
  <c r="R6155" i="33"/>
  <c r="P8831" i="33"/>
  <c r="R8823" i="33" s="1"/>
  <c r="M1793" i="33" l="1"/>
  <c r="M2352" i="33"/>
  <c r="P8135" i="33"/>
  <c r="R8122" i="33" s="1"/>
  <c r="R5496" i="33"/>
  <c r="R5773" i="33"/>
  <c r="R5458" i="33"/>
  <c r="R5534" i="33"/>
  <c r="R2150" i="33"/>
  <c r="R4637" i="33"/>
  <c r="R3016" i="33"/>
  <c r="R2988" i="33"/>
  <c r="R768" i="33"/>
  <c r="P10933" i="33"/>
  <c r="R10927" i="33" s="1"/>
  <c r="R3582" i="33"/>
  <c r="M1987" i="33"/>
  <c r="R5679" i="33"/>
  <c r="R3173" i="33"/>
  <c r="R3433" i="33"/>
  <c r="R2647" i="33"/>
  <c r="R5216" i="33"/>
  <c r="R7718" i="33"/>
  <c r="R2499" i="33"/>
  <c r="R3618" i="33"/>
  <c r="R3640" i="33"/>
  <c r="R3461" i="33"/>
  <c r="R3687" i="33"/>
  <c r="R3520" i="33"/>
  <c r="R3491" i="33"/>
  <c r="R3660" i="33"/>
  <c r="R11246" i="33"/>
  <c r="R2120" i="33"/>
  <c r="R5753" i="33"/>
  <c r="R3075" i="33"/>
  <c r="R6136" i="33"/>
  <c r="R3242" i="33"/>
  <c r="R2227" i="33"/>
  <c r="P423" i="33"/>
  <c r="M406" i="33" s="1"/>
  <c r="R423" i="33"/>
  <c r="R3215" i="33"/>
  <c r="I992" i="33"/>
  <c r="K992" i="33" s="1"/>
  <c r="R1470" i="33"/>
  <c r="I799" i="33"/>
  <c r="K799" i="33" s="1"/>
  <c r="L799" i="33" s="1"/>
  <c r="I2" i="23" l="1"/>
  <c r="C2" i="23"/>
  <c r="I38" i="23"/>
  <c r="M49" i="30" l="1"/>
  <c r="M48" i="30"/>
  <c r="M47" i="30"/>
  <c r="B25" i="28"/>
  <c r="M36" i="7" l="1"/>
  <c r="M34" i="7"/>
  <c r="M32" i="7"/>
  <c r="M30" i="7"/>
  <c r="U10" i="6"/>
  <c r="U13" i="6" s="1"/>
  <c r="P33" i="32"/>
  <c r="P28" i="32"/>
  <c r="D66" i="32" l="1"/>
  <c r="F64" i="32"/>
  <c r="I62" i="32"/>
  <c r="J62" i="32" s="1"/>
  <c r="F60" i="32"/>
  <c r="I61" i="32"/>
  <c r="J61" i="32" s="1"/>
  <c r="F59" i="32"/>
  <c r="I60" i="32"/>
  <c r="J60" i="32" s="1"/>
  <c r="I59" i="32"/>
  <c r="J59" i="32" s="1"/>
  <c r="F57" i="32"/>
  <c r="F52" i="32"/>
  <c r="J53" i="32"/>
  <c r="F51" i="32"/>
  <c r="I53" i="32" s="1"/>
  <c r="J52" i="32"/>
  <c r="F50" i="32"/>
  <c r="I52" i="32" s="1"/>
  <c r="J51" i="32"/>
  <c r="F49" i="32"/>
  <c r="J50" i="32"/>
  <c r="F48" i="32"/>
  <c r="I50" i="32" s="1"/>
  <c r="J49" i="32"/>
  <c r="F47" i="32"/>
  <c r="I49" i="32" s="1"/>
  <c r="I40" i="32"/>
  <c r="F45" i="32"/>
  <c r="F40" i="32"/>
  <c r="F37" i="32"/>
  <c r="F36" i="32"/>
  <c r="F35" i="32"/>
  <c r="P34" i="32"/>
  <c r="J34" i="32"/>
  <c r="K34" i="32" s="1"/>
  <c r="L34" i="32" s="1"/>
  <c r="F34" i="32"/>
  <c r="J33" i="32"/>
  <c r="K33" i="32" s="1"/>
  <c r="L33" i="32" s="1"/>
  <c r="F33" i="32"/>
  <c r="P32" i="32"/>
  <c r="J32" i="32"/>
  <c r="K32" i="32" s="1"/>
  <c r="L32" i="32" s="1"/>
  <c r="P31" i="32"/>
  <c r="J31" i="32"/>
  <c r="K31" i="32" s="1"/>
  <c r="L31" i="32" s="1"/>
  <c r="P30" i="32"/>
  <c r="J30" i="32"/>
  <c r="K30" i="32" s="1"/>
  <c r="L30" i="32" s="1"/>
  <c r="T30" i="32" s="1"/>
  <c r="F29" i="32"/>
  <c r="J28" i="32"/>
  <c r="K28" i="32" s="1"/>
  <c r="L28" i="32" s="1"/>
  <c r="F28" i="32"/>
  <c r="I18" i="32"/>
  <c r="I17" i="32"/>
  <c r="I16" i="32"/>
  <c r="F13" i="32"/>
  <c r="I12" i="32"/>
  <c r="J12" i="32" s="1"/>
  <c r="F12" i="32"/>
  <c r="I11" i="32"/>
  <c r="J11" i="32" s="1"/>
  <c r="F11" i="32"/>
  <c r="I10" i="32"/>
  <c r="J10" i="32" s="1"/>
  <c r="F10" i="32"/>
  <c r="I9" i="32"/>
  <c r="J9" i="32" s="1"/>
  <c r="F9" i="32"/>
  <c r="P35" i="32" l="1"/>
  <c r="J13" i="32"/>
  <c r="J63" i="32"/>
  <c r="L35" i="32"/>
  <c r="M15" i="7" s="1"/>
  <c r="F27" i="32"/>
  <c r="F26" i="32" s="1"/>
  <c r="F8" i="32"/>
  <c r="K52" i="32"/>
  <c r="K49" i="32"/>
  <c r="K50" i="32"/>
  <c r="K53" i="32"/>
  <c r="I51" i="32"/>
  <c r="K51" i="32" s="1"/>
  <c r="F55" i="32"/>
  <c r="F39" i="32"/>
  <c r="F46" i="32"/>
  <c r="F62" i="32"/>
  <c r="K54" i="32" l="1"/>
  <c r="F38" i="32"/>
  <c r="G73" i="28" l="1"/>
  <c r="B69" i="28"/>
  <c r="G66" i="28"/>
  <c r="E66" i="28"/>
  <c r="G65" i="28"/>
  <c r="E65" i="28"/>
  <c r="B65" i="28"/>
  <c r="B67" i="28" s="1"/>
  <c r="G64" i="28"/>
  <c r="E64" i="28"/>
  <c r="G63" i="28"/>
  <c r="G67" i="28" s="1"/>
  <c r="E63" i="28"/>
  <c r="B50" i="28"/>
  <c r="G51" i="28" s="1"/>
  <c r="G47" i="28"/>
  <c r="E47" i="28"/>
  <c r="B46" i="28"/>
  <c r="G46" i="28" s="1"/>
  <c r="G48" i="28" s="1"/>
  <c r="G45" i="28"/>
  <c r="E45" i="28"/>
  <c r="G44" i="28"/>
  <c r="E44" i="28"/>
  <c r="G33" i="28"/>
  <c r="G32" i="28"/>
  <c r="E32" i="28"/>
  <c r="G31" i="28"/>
  <c r="E31" i="28"/>
  <c r="B31" i="28"/>
  <c r="B29" i="28"/>
  <c r="G28" i="28"/>
  <c r="B27" i="28"/>
  <c r="E27" i="28" s="1"/>
  <c r="G26" i="28"/>
  <c r="E26" i="28"/>
  <c r="G25" i="28"/>
  <c r="E25" i="28"/>
  <c r="B13" i="28"/>
  <c r="E11" i="28"/>
  <c r="E12" i="28"/>
  <c r="E10" i="28"/>
  <c r="E9" i="28"/>
  <c r="G13" i="28"/>
  <c r="G11" i="28"/>
  <c r="G12" i="28"/>
  <c r="G10" i="28"/>
  <c r="G9" i="28"/>
  <c r="B11" i="28"/>
  <c r="G47" i="31"/>
  <c r="E47" i="31"/>
  <c r="E49" i="31"/>
  <c r="E48" i="31"/>
  <c r="F48" i="31" s="1"/>
  <c r="AB52" i="30"/>
  <c r="AB50" i="30"/>
  <c r="G27" i="28" l="1"/>
  <c r="G29" i="28" s="1"/>
  <c r="G34" i="28" s="1"/>
  <c r="E28" i="28"/>
  <c r="E69" i="28"/>
  <c r="G69" i="28"/>
  <c r="G71" i="28" s="1"/>
  <c r="E51" i="28"/>
  <c r="B48" i="28"/>
  <c r="E50" i="28"/>
  <c r="E46" i="28"/>
  <c r="G50" i="28"/>
  <c r="G52" i="28" s="1"/>
  <c r="G211" i="31" l="1"/>
  <c r="G206" i="31"/>
  <c r="G205" i="31"/>
  <c r="J185" i="30"/>
  <c r="J179" i="30"/>
  <c r="M179" i="30"/>
  <c r="M111" i="30"/>
  <c r="M112" i="30"/>
  <c r="M113" i="30"/>
  <c r="M110" i="30"/>
  <c r="M101" i="30"/>
  <c r="V6" i="6" l="1"/>
  <c r="U8" i="6"/>
  <c r="U7" i="6"/>
  <c r="AX4" i="31"/>
  <c r="AY4" i="31"/>
  <c r="AV5" i="31"/>
  <c r="AX5" i="31"/>
  <c r="AY5" i="31"/>
  <c r="AV7" i="31"/>
  <c r="AX7" i="31"/>
  <c r="AY7" i="31"/>
  <c r="AX9" i="31"/>
  <c r="AY9" i="31"/>
  <c r="AV38" i="31"/>
  <c r="B373" i="31"/>
  <c r="B357" i="31"/>
  <c r="AY6" i="31" l="1"/>
  <c r="AY8" i="31" s="1"/>
  <c r="AY10" i="31" s="1"/>
  <c r="AX6" i="31"/>
  <c r="AX8" i="31" s="1"/>
  <c r="AX10" i="31" s="1"/>
  <c r="G325" i="31" l="1"/>
  <c r="G94" i="31"/>
  <c r="G95" i="31"/>
  <c r="G96" i="31"/>
  <c r="G100" i="31"/>
  <c r="G101" i="31"/>
  <c r="G105" i="31"/>
  <c r="G106" i="31"/>
  <c r="G107" i="31"/>
  <c r="G108" i="31"/>
  <c r="G109" i="31"/>
  <c r="G113" i="31"/>
  <c r="G114" i="31"/>
  <c r="G115" i="31"/>
  <c r="G116" i="31"/>
  <c r="G117" i="31"/>
  <c r="G118" i="31"/>
  <c r="G119" i="31"/>
  <c r="G120" i="31"/>
  <c r="G124" i="31"/>
  <c r="G125" i="31"/>
  <c r="G126" i="31"/>
  <c r="G127" i="31"/>
  <c r="G128" i="31"/>
  <c r="G129" i="31"/>
  <c r="G130" i="31"/>
  <c r="G131" i="31"/>
  <c r="G132" i="31"/>
  <c r="G133" i="31"/>
  <c r="G134" i="31"/>
  <c r="E138" i="31"/>
  <c r="G138" i="31"/>
  <c r="E139" i="31"/>
  <c r="G139" i="31"/>
  <c r="G140" i="31"/>
  <c r="G141" i="31"/>
  <c r="G142" i="31"/>
  <c r="G143" i="31"/>
  <c r="G144" i="31"/>
  <c r="G145" i="31"/>
  <c r="G146" i="31"/>
  <c r="G147" i="31"/>
  <c r="G148" i="31"/>
  <c r="G149" i="31"/>
  <c r="G150" i="31"/>
  <c r="G151" i="31"/>
  <c r="G152" i="31"/>
  <c r="G153" i="31"/>
  <c r="G154" i="31"/>
  <c r="G155" i="31"/>
  <c r="G156" i="31"/>
  <c r="G157" i="31"/>
  <c r="G158" i="31"/>
  <c r="G159" i="31"/>
  <c r="G160" i="31"/>
  <c r="E161" i="31"/>
  <c r="G161" i="31"/>
  <c r="E162" i="31"/>
  <c r="G162" i="31"/>
  <c r="G166" i="31"/>
  <c r="G167" i="31"/>
  <c r="G168" i="31"/>
  <c r="G172" i="31"/>
  <c r="G176" i="31"/>
  <c r="G177" i="31"/>
  <c r="G178" i="31"/>
  <c r="G179" i="31"/>
  <c r="G180" i="31"/>
  <c r="G181" i="31"/>
  <c r="G182" i="31"/>
  <c r="G183" i="31"/>
  <c r="G184" i="31"/>
  <c r="G188" i="31"/>
  <c r="G189" i="31"/>
  <c r="G190" i="31"/>
  <c r="G191" i="31"/>
  <c r="G192" i="31"/>
  <c r="G193" i="31"/>
  <c r="G194" i="31"/>
  <c r="G195" i="31"/>
  <c r="G196" i="31"/>
  <c r="G197" i="31"/>
  <c r="G198" i="31"/>
  <c r="G202" i="31"/>
  <c r="G203" i="31"/>
  <c r="G204" i="31"/>
  <c r="G207" i="31"/>
  <c r="G208" i="31"/>
  <c r="G209" i="31"/>
  <c r="G210" i="31"/>
  <c r="E211" i="31"/>
  <c r="G236" i="31"/>
  <c r="G237" i="31"/>
  <c r="G238" i="31"/>
  <c r="G239" i="31"/>
  <c r="G310" i="31"/>
  <c r="G311" i="31"/>
  <c r="G312" i="31"/>
  <c r="G313" i="31"/>
  <c r="G314" i="31"/>
  <c r="G315" i="31"/>
  <c r="G316" i="31"/>
  <c r="G317" i="31"/>
  <c r="G318" i="31"/>
  <c r="G319" i="31"/>
  <c r="G320" i="31"/>
  <c r="G321" i="31"/>
  <c r="G215" i="31"/>
  <c r="G219" i="31"/>
  <c r="G220" i="31"/>
  <c r="G221" i="31"/>
  <c r="G222" i="31"/>
  <c r="G223" i="31"/>
  <c r="G224" i="31"/>
  <c r="G225" i="31"/>
  <c r="G226" i="31"/>
  <c r="G227" i="31"/>
  <c r="G228" i="31"/>
  <c r="G229" i="31"/>
  <c r="G230" i="31"/>
  <c r="G231" i="31"/>
  <c r="G232" i="31"/>
  <c r="G243" i="31"/>
  <c r="G244" i="31"/>
  <c r="G245" i="31"/>
  <c r="G246" i="31"/>
  <c r="G247" i="31"/>
  <c r="G248" i="31"/>
  <c r="G249"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E289" i="31"/>
  <c r="G289" i="31"/>
  <c r="G290" i="31"/>
  <c r="G291" i="31"/>
  <c r="G295" i="31"/>
  <c r="G296" i="31"/>
  <c r="G297" i="31"/>
  <c r="G298" i="31"/>
  <c r="E302" i="31"/>
  <c r="G302" i="31"/>
  <c r="E306" i="31"/>
  <c r="G306" i="31"/>
  <c r="G326" i="31"/>
  <c r="G330" i="31"/>
  <c r="G334" i="31"/>
  <c r="E335" i="31"/>
  <c r="G335" i="31"/>
  <c r="G336" i="31"/>
  <c r="G337" i="31"/>
  <c r="G338" i="31"/>
  <c r="G339" i="31"/>
  <c r="E340" i="31"/>
  <c r="G340" i="31"/>
  <c r="E341" i="31"/>
  <c r="G341" i="31"/>
  <c r="E342" i="31"/>
  <c r="G342" i="31"/>
  <c r="G343" i="31"/>
  <c r="G344" i="31"/>
  <c r="E345" i="31"/>
  <c r="G345" i="31"/>
  <c r="E346" i="31"/>
  <c r="G346" i="31"/>
  <c r="E347" i="31"/>
  <c r="G347" i="31"/>
  <c r="G348" i="31"/>
  <c r="G349" i="31"/>
  <c r="G90" i="31"/>
  <c r="G89" i="31"/>
  <c r="G77" i="31"/>
  <c r="G78" i="31"/>
  <c r="G79" i="31"/>
  <c r="G80" i="31"/>
  <c r="G81" i="31"/>
  <c r="G82" i="31"/>
  <c r="G83" i="31"/>
  <c r="G84" i="31"/>
  <c r="G85" i="31"/>
  <c r="G76" i="31"/>
  <c r="L5" i="31"/>
  <c r="N5" i="31"/>
  <c r="P5" i="31"/>
  <c r="R5" i="31"/>
  <c r="T5" i="31"/>
  <c r="V5" i="31"/>
  <c r="X5" i="31"/>
  <c r="Z5" i="31"/>
  <c r="AB5" i="31"/>
  <c r="AD5" i="31"/>
  <c r="AF5" i="31"/>
  <c r="L6" i="31"/>
  <c r="N6" i="31"/>
  <c r="R6" i="31"/>
  <c r="V6" i="31"/>
  <c r="AD6" i="31"/>
  <c r="AF6" i="31"/>
  <c r="L7" i="31"/>
  <c r="N7" i="31"/>
  <c r="R7" i="31"/>
  <c r="T7" i="31"/>
  <c r="V7" i="31"/>
  <c r="X7" i="31"/>
  <c r="Z7" i="31"/>
  <c r="AB7" i="31"/>
  <c r="AD7" i="31"/>
  <c r="AF7" i="31"/>
  <c r="L8" i="31"/>
  <c r="N8" i="31"/>
  <c r="P8" i="31"/>
  <c r="T8" i="31"/>
  <c r="V8" i="31"/>
  <c r="X8" i="31"/>
  <c r="Z8" i="31"/>
  <c r="AB8" i="31"/>
  <c r="AD8" i="31"/>
  <c r="AF8" i="31"/>
  <c r="L9" i="31"/>
  <c r="N9" i="31"/>
  <c r="P9" i="31"/>
  <c r="R9" i="31"/>
  <c r="T9" i="31"/>
  <c r="V9" i="31"/>
  <c r="X9" i="31"/>
  <c r="Z9" i="31"/>
  <c r="AB9" i="31"/>
  <c r="AD9" i="31"/>
  <c r="AF9" i="31"/>
  <c r="L10" i="31"/>
  <c r="N10" i="31"/>
  <c r="P10" i="31"/>
  <c r="R10" i="31"/>
  <c r="T10" i="31"/>
  <c r="V10" i="31"/>
  <c r="X10" i="31"/>
  <c r="Z10" i="31"/>
  <c r="AB10" i="31"/>
  <c r="AD10" i="31"/>
  <c r="AF10" i="31"/>
  <c r="L11" i="31"/>
  <c r="N11" i="31"/>
  <c r="P11" i="31"/>
  <c r="T11" i="31"/>
  <c r="V11" i="31"/>
  <c r="X11" i="31"/>
  <c r="Z11" i="31"/>
  <c r="AB11" i="31"/>
  <c r="AD11" i="31"/>
  <c r="AF11" i="31"/>
  <c r="L12" i="31"/>
  <c r="P12" i="31"/>
  <c r="R12" i="31"/>
  <c r="T12" i="31"/>
  <c r="V12" i="31"/>
  <c r="X12" i="31"/>
  <c r="Z12" i="31"/>
  <c r="AB12" i="31"/>
  <c r="AD12" i="31"/>
  <c r="AF12" i="31"/>
  <c r="L13" i="31"/>
  <c r="N13" i="31"/>
  <c r="P13" i="31"/>
  <c r="R13" i="31"/>
  <c r="T13" i="31"/>
  <c r="V13" i="31"/>
  <c r="X13" i="31"/>
  <c r="Z13" i="31"/>
  <c r="AB13" i="31"/>
  <c r="AD13" i="31"/>
  <c r="AF13" i="31"/>
  <c r="L14" i="31"/>
  <c r="N14" i="31"/>
  <c r="P14" i="31"/>
  <c r="R14" i="31"/>
  <c r="V14" i="31"/>
  <c r="AD14" i="31"/>
  <c r="AF14" i="31"/>
  <c r="L15" i="31"/>
  <c r="N15" i="31"/>
  <c r="P15" i="31"/>
  <c r="R15" i="31"/>
  <c r="T15" i="31"/>
  <c r="V15" i="31"/>
  <c r="X15" i="31"/>
  <c r="Z15" i="31"/>
  <c r="AB15" i="31"/>
  <c r="AD15" i="31"/>
  <c r="AF15" i="31"/>
  <c r="L16" i="31"/>
  <c r="N16" i="31"/>
  <c r="P16" i="31"/>
  <c r="R16" i="31"/>
  <c r="T16" i="31"/>
  <c r="V16" i="31"/>
  <c r="X16" i="31"/>
  <c r="Z16" i="31"/>
  <c r="AB16" i="31"/>
  <c r="AD16" i="31"/>
  <c r="AF16" i="31"/>
  <c r="L17" i="31"/>
  <c r="N17" i="31"/>
  <c r="P17" i="31"/>
  <c r="R17" i="31"/>
  <c r="T17" i="31"/>
  <c r="V17" i="31"/>
  <c r="X17" i="31"/>
  <c r="Z17" i="31"/>
  <c r="AB17" i="31"/>
  <c r="AD17" i="31"/>
  <c r="AF17" i="31"/>
  <c r="L18" i="31"/>
  <c r="N18" i="31"/>
  <c r="P18" i="31"/>
  <c r="R18" i="31"/>
  <c r="T18" i="31"/>
  <c r="V18" i="31"/>
  <c r="X18" i="31"/>
  <c r="Z18" i="31"/>
  <c r="AB18" i="31"/>
  <c r="AD18" i="31"/>
  <c r="AF18" i="31"/>
  <c r="L19" i="31"/>
  <c r="N19" i="31"/>
  <c r="P19" i="31"/>
  <c r="R19" i="31"/>
  <c r="T19" i="31"/>
  <c r="V19" i="31"/>
  <c r="X19" i="31"/>
  <c r="Z19" i="31"/>
  <c r="AB19" i="31"/>
  <c r="AD19" i="31"/>
  <c r="AF19" i="31"/>
  <c r="L20" i="31"/>
  <c r="N20" i="31"/>
  <c r="P20" i="31"/>
  <c r="R20" i="31"/>
  <c r="T20" i="31"/>
  <c r="V20" i="31"/>
  <c r="X20" i="31"/>
  <c r="Z20" i="31"/>
  <c r="AB20" i="31"/>
  <c r="AD20" i="31"/>
  <c r="AF20" i="31"/>
  <c r="L21" i="31"/>
  <c r="N21" i="31"/>
  <c r="P21" i="31"/>
  <c r="R21" i="31"/>
  <c r="T21" i="31"/>
  <c r="V21" i="31"/>
  <c r="X21" i="31"/>
  <c r="Z21" i="31"/>
  <c r="AB21" i="31"/>
  <c r="AD21" i="31"/>
  <c r="AF21" i="31"/>
  <c r="L22" i="31"/>
  <c r="N22" i="31"/>
  <c r="P22" i="31"/>
  <c r="R22" i="31"/>
  <c r="T22" i="31"/>
  <c r="V22" i="31"/>
  <c r="X22" i="31"/>
  <c r="Z22" i="31"/>
  <c r="AB22" i="31"/>
  <c r="AD22" i="31"/>
  <c r="AF22" i="31"/>
  <c r="U75" i="31"/>
  <c r="AA75" i="31"/>
  <c r="AE75" i="31"/>
  <c r="L76" i="31"/>
  <c r="N76" i="31"/>
  <c r="P76" i="31"/>
  <c r="R76" i="31"/>
  <c r="T76" i="31"/>
  <c r="V76" i="31"/>
  <c r="X76" i="31"/>
  <c r="Z76" i="31"/>
  <c r="AB76" i="31"/>
  <c r="AD76" i="31"/>
  <c r="AF76" i="31"/>
  <c r="L77" i="31"/>
  <c r="N77" i="31"/>
  <c r="P77" i="31"/>
  <c r="R77" i="31"/>
  <c r="T77" i="31"/>
  <c r="V77" i="31"/>
  <c r="X77" i="31"/>
  <c r="Z77" i="31"/>
  <c r="AB77" i="31"/>
  <c r="AD77" i="31"/>
  <c r="AF77" i="31"/>
  <c r="L78" i="31"/>
  <c r="N78" i="31"/>
  <c r="P78" i="31"/>
  <c r="R78" i="31"/>
  <c r="T78" i="31"/>
  <c r="V78" i="31"/>
  <c r="X78" i="31"/>
  <c r="Z78" i="31"/>
  <c r="AB78" i="31"/>
  <c r="AD78" i="31"/>
  <c r="AF78" i="31"/>
  <c r="L79" i="31"/>
  <c r="N79" i="31"/>
  <c r="P79" i="31"/>
  <c r="R79" i="31"/>
  <c r="T79" i="31"/>
  <c r="V79" i="31"/>
  <c r="X79" i="31"/>
  <c r="Z79" i="31"/>
  <c r="AB79" i="31"/>
  <c r="AD79" i="31"/>
  <c r="AF79" i="31"/>
  <c r="L83" i="31"/>
  <c r="N83" i="31"/>
  <c r="P83" i="31"/>
  <c r="R83" i="31"/>
  <c r="T83" i="31"/>
  <c r="V83" i="31"/>
  <c r="X83" i="31"/>
  <c r="Z83" i="31"/>
  <c r="AB83" i="31"/>
  <c r="AD83" i="31"/>
  <c r="AF83" i="31"/>
  <c r="L84" i="31"/>
  <c r="N84" i="31"/>
  <c r="P84" i="31"/>
  <c r="R84" i="31"/>
  <c r="T84" i="31"/>
  <c r="V84" i="31"/>
  <c r="X84" i="31"/>
  <c r="Z84" i="31"/>
  <c r="AB84" i="31"/>
  <c r="AD84" i="31"/>
  <c r="AF84" i="31"/>
  <c r="L85" i="31"/>
  <c r="N85" i="31"/>
  <c r="P85" i="31"/>
  <c r="R85" i="31"/>
  <c r="T85" i="31"/>
  <c r="V85" i="31"/>
  <c r="X85" i="31"/>
  <c r="Z85" i="31"/>
  <c r="AB85" i="31"/>
  <c r="AD85" i="31"/>
  <c r="AF8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5" i="31"/>
  <c r="E15" i="31"/>
  <c r="E16" i="31"/>
  <c r="N84" i="30"/>
  <c r="T84" i="30"/>
  <c r="X84" i="30"/>
  <c r="D85" i="30"/>
  <c r="J85" i="30"/>
  <c r="M85" i="30" s="1"/>
  <c r="E89" i="31" s="1"/>
  <c r="D86" i="30"/>
  <c r="J86" i="30"/>
  <c r="M86" i="30" s="1"/>
  <c r="E90" i="31" s="1"/>
  <c r="J101" i="30"/>
  <c r="E113" i="31" s="1"/>
  <c r="M114" i="30"/>
  <c r="E128" i="31" s="1"/>
  <c r="AH15" i="31" l="1"/>
  <c r="M15" i="31"/>
  <c r="U15" i="31"/>
  <c r="AL16" i="31"/>
  <c r="S16" i="31"/>
  <c r="AA16" i="31"/>
  <c r="O16" i="31"/>
  <c r="Q16" i="31"/>
  <c r="Y16" i="31"/>
  <c r="AG16" i="31"/>
  <c r="U16" i="31"/>
  <c r="M16" i="31"/>
  <c r="AC16" i="31"/>
  <c r="AA15" i="31"/>
  <c r="Y15" i="31"/>
  <c r="W15" i="31"/>
  <c r="W16" i="31"/>
  <c r="S15" i="31"/>
  <c r="AG15" i="31"/>
  <c r="Q15" i="31"/>
  <c r="AF4" i="31"/>
  <c r="AE15" i="31"/>
  <c r="O15" i="31"/>
  <c r="AE16" i="31"/>
  <c r="AC15" i="31"/>
  <c r="AS16" i="31"/>
  <c r="AK16" i="31"/>
  <c r="AO15" i="31"/>
  <c r="AR16" i="31"/>
  <c r="AJ16" i="31"/>
  <c r="AN15" i="31"/>
  <c r="AQ16" i="31"/>
  <c r="AI16" i="31"/>
  <c r="AM15" i="31"/>
  <c r="AP16" i="31"/>
  <c r="AH16" i="31"/>
  <c r="AL15" i="31"/>
  <c r="AO16" i="31"/>
  <c r="AS15" i="31"/>
  <c r="AK15" i="31"/>
  <c r="AN16" i="31"/>
  <c r="AR15" i="31"/>
  <c r="AJ15" i="31"/>
  <c r="AM16" i="31"/>
  <c r="AQ15" i="31"/>
  <c r="AI15" i="31"/>
  <c r="AP15" i="31"/>
  <c r="T86" i="30"/>
  <c r="T85" i="30"/>
  <c r="N86" i="30"/>
  <c r="N85" i="30"/>
  <c r="X85" i="30"/>
  <c r="X86" i="30"/>
  <c r="J129" i="30"/>
  <c r="J130" i="30"/>
  <c r="J131" i="30"/>
  <c r="J132" i="30"/>
  <c r="J128" i="30"/>
  <c r="J127" i="30"/>
  <c r="J126" i="30"/>
  <c r="M118" i="30"/>
  <c r="E132" i="31" s="1"/>
  <c r="M69" i="30" l="1"/>
  <c r="E69" i="31" s="1"/>
  <c r="M13" i="30"/>
  <c r="E13" i="31" s="1"/>
  <c r="M115" i="30"/>
  <c r="E129" i="31" s="1"/>
  <c r="M149" i="30"/>
  <c r="E167" i="31" s="1"/>
  <c r="M148" i="30"/>
  <c r="E166" i="31" s="1"/>
  <c r="M93" i="30"/>
  <c r="E101" i="31" s="1"/>
  <c r="M92" i="30"/>
  <c r="E100" i="31" s="1"/>
  <c r="M95" i="30"/>
  <c r="E105" i="31" s="1"/>
  <c r="J257" i="30"/>
  <c r="M257" i="30" s="1"/>
  <c r="E295" i="31" s="1"/>
  <c r="M209" i="30"/>
  <c r="E243" i="31" s="1"/>
  <c r="M187" i="30"/>
  <c r="E215" i="31" s="1"/>
  <c r="E205" i="31"/>
  <c r="M277" i="30"/>
  <c r="E321" i="31" s="1"/>
  <c r="M276" i="30"/>
  <c r="E320" i="31" s="1"/>
  <c r="M275" i="30"/>
  <c r="E319" i="31" s="1"/>
  <c r="M274" i="30"/>
  <c r="E318" i="31" s="1"/>
  <c r="M273" i="30"/>
  <c r="E317" i="31" s="1"/>
  <c r="M270" i="30"/>
  <c r="E314" i="31" s="1"/>
  <c r="M271" i="30"/>
  <c r="E315" i="31" s="1"/>
  <c r="M272" i="30"/>
  <c r="E316" i="31" s="1"/>
  <c r="M269" i="30"/>
  <c r="E313" i="31" s="1"/>
  <c r="M266" i="30"/>
  <c r="E310" i="31" s="1"/>
  <c r="M103" i="30"/>
  <c r="E115" i="31" s="1"/>
  <c r="M102" i="30"/>
  <c r="E114" i="31" s="1"/>
  <c r="J106" i="30"/>
  <c r="M106" i="30" s="1"/>
  <c r="E118" i="31" s="1"/>
  <c r="M105" i="30"/>
  <c r="E117" i="31" s="1"/>
  <c r="M104" i="30"/>
  <c r="E116" i="31" s="1"/>
  <c r="J204" i="30"/>
  <c r="M204" i="30" s="1"/>
  <c r="E236" i="31" s="1"/>
  <c r="J144" i="30"/>
  <c r="M144" i="30" s="1"/>
  <c r="E160" i="31" s="1"/>
  <c r="J138" i="30"/>
  <c r="M138" i="30" s="1"/>
  <c r="E154" i="31" s="1"/>
  <c r="J137" i="30"/>
  <c r="M137" i="30" s="1"/>
  <c r="E153" i="31" s="1"/>
  <c r="M135" i="30"/>
  <c r="E151" i="31" s="1"/>
  <c r="M134" i="30"/>
  <c r="E150" i="31" s="1"/>
  <c r="M132" i="30"/>
  <c r="E148" i="31" s="1"/>
  <c r="M130" i="30"/>
  <c r="E146" i="31" s="1"/>
  <c r="M127" i="30"/>
  <c r="E143" i="31" s="1"/>
  <c r="M126" i="30"/>
  <c r="E142" i="31" s="1"/>
  <c r="M131" i="30"/>
  <c r="E147" i="31" s="1"/>
  <c r="M129" i="30"/>
  <c r="E145" i="31" s="1"/>
  <c r="J116" i="30"/>
  <c r="M116" i="30" s="1"/>
  <c r="E130" i="31" s="1"/>
  <c r="J57" i="30"/>
  <c r="M57" i="30" s="1"/>
  <c r="E57" i="31" s="1"/>
  <c r="J56" i="30"/>
  <c r="M56" i="30" s="1"/>
  <c r="E56" i="31" s="1"/>
  <c r="M51" i="30"/>
  <c r="E51" i="31" s="1"/>
  <c r="M50" i="30"/>
  <c r="E50" i="31" s="1"/>
  <c r="J27" i="30"/>
  <c r="M27" i="30" s="1"/>
  <c r="E27" i="31" s="1"/>
  <c r="J26" i="30"/>
  <c r="M26" i="30" s="1"/>
  <c r="E26" i="31" s="1"/>
  <c r="J17" i="30"/>
  <c r="M17" i="30" s="1"/>
  <c r="E17" i="31" s="1"/>
  <c r="J18" i="30"/>
  <c r="M18" i="30" s="1"/>
  <c r="E18" i="31" s="1"/>
  <c r="J19" i="30"/>
  <c r="M19" i="30" s="1"/>
  <c r="E19" i="31" s="1"/>
  <c r="J20" i="30"/>
  <c r="M20" i="30" s="1"/>
  <c r="E20" i="31" s="1"/>
  <c r="J21" i="30"/>
  <c r="M21" i="30" s="1"/>
  <c r="E21" i="31" s="1"/>
  <c r="J22" i="30"/>
  <c r="M22" i="30" s="1"/>
  <c r="E22" i="31" s="1"/>
  <c r="J23" i="30"/>
  <c r="M23" i="30" s="1"/>
  <c r="E23" i="31" s="1"/>
  <c r="J24" i="30"/>
  <c r="M24" i="30" s="1"/>
  <c r="E24" i="31" s="1"/>
  <c r="J25" i="30"/>
  <c r="M25" i="30" s="1"/>
  <c r="E25" i="31" s="1"/>
  <c r="J28" i="30"/>
  <c r="M28" i="30" s="1"/>
  <c r="E28" i="31" s="1"/>
  <c r="J29" i="30"/>
  <c r="M29" i="30" s="1"/>
  <c r="E29" i="31" s="1"/>
  <c r="J30" i="30"/>
  <c r="M30" i="30" s="1"/>
  <c r="E30" i="31" s="1"/>
  <c r="J31" i="30"/>
  <c r="M31" i="30" s="1"/>
  <c r="E31" i="31" s="1"/>
  <c r="J32" i="30"/>
  <c r="M32" i="30" s="1"/>
  <c r="E32" i="31" s="1"/>
  <c r="J33" i="30"/>
  <c r="M33" i="30" s="1"/>
  <c r="E33" i="31" s="1"/>
  <c r="J34" i="30"/>
  <c r="M34" i="30" s="1"/>
  <c r="E34" i="31" s="1"/>
  <c r="J35" i="30"/>
  <c r="M35" i="30" s="1"/>
  <c r="E35" i="31" s="1"/>
  <c r="J36" i="30"/>
  <c r="M36" i="30" s="1"/>
  <c r="E36" i="31" s="1"/>
  <c r="J37" i="30"/>
  <c r="M37" i="30" s="1"/>
  <c r="E37" i="31" s="1"/>
  <c r="J38" i="30"/>
  <c r="M38" i="30" s="1"/>
  <c r="E38" i="31" s="1"/>
  <c r="J39" i="30"/>
  <c r="M39" i="30" s="1"/>
  <c r="E39" i="31" s="1"/>
  <c r="J40" i="30"/>
  <c r="M40" i="30" s="1"/>
  <c r="E40" i="31" s="1"/>
  <c r="J41" i="30"/>
  <c r="M41" i="30" s="1"/>
  <c r="E41" i="31" s="1"/>
  <c r="J42" i="30"/>
  <c r="M42" i="30" s="1"/>
  <c r="E42" i="31" s="1"/>
  <c r="J43" i="30"/>
  <c r="M43" i="30" s="1"/>
  <c r="E43" i="31" s="1"/>
  <c r="J44" i="30"/>
  <c r="M44" i="30" s="1"/>
  <c r="E44" i="31" s="1"/>
  <c r="J45" i="30"/>
  <c r="M45" i="30" s="1"/>
  <c r="E45" i="31" s="1"/>
  <c r="J46" i="30"/>
  <c r="M46" i="30" s="1"/>
  <c r="E46" i="31" s="1"/>
  <c r="J52" i="30"/>
  <c r="M52" i="30" s="1"/>
  <c r="E52" i="31" s="1"/>
  <c r="J53" i="30"/>
  <c r="M53" i="30" s="1"/>
  <c r="E53" i="31" s="1"/>
  <c r="J54" i="30"/>
  <c r="M54" i="30" s="1"/>
  <c r="E54" i="31" s="1"/>
  <c r="J55" i="30"/>
  <c r="M55" i="30" s="1"/>
  <c r="E55" i="31" s="1"/>
  <c r="J61" i="30"/>
  <c r="M61" i="30" s="1"/>
  <c r="E61" i="31" s="1"/>
  <c r="J62" i="30"/>
  <c r="M62" i="30" s="1"/>
  <c r="E62" i="31" s="1"/>
  <c r="J63" i="30"/>
  <c r="M63" i="30" s="1"/>
  <c r="E63" i="31" s="1"/>
  <c r="J64" i="30"/>
  <c r="M64" i="30" s="1"/>
  <c r="E64" i="31" s="1"/>
  <c r="J65" i="30"/>
  <c r="M65" i="30" s="1"/>
  <c r="E65" i="31" s="1"/>
  <c r="J66" i="30"/>
  <c r="M66" i="30" s="1"/>
  <c r="E66" i="31" s="1"/>
  <c r="J67" i="30"/>
  <c r="M67" i="30" s="1"/>
  <c r="E67" i="31" s="1"/>
  <c r="J68" i="30"/>
  <c r="M68" i="30" s="1"/>
  <c r="E68" i="31" s="1"/>
  <c r="J70" i="30"/>
  <c r="M70" i="30" s="1"/>
  <c r="E70" i="31" s="1"/>
  <c r="J71" i="30"/>
  <c r="M71" i="30" s="1"/>
  <c r="E71" i="31" s="1"/>
  <c r="J72" i="30"/>
  <c r="M72" i="30" s="1"/>
  <c r="E72" i="31" s="1"/>
  <c r="J152" i="30"/>
  <c r="M152" i="30" s="1"/>
  <c r="E172" i="31" s="1"/>
  <c r="J154" i="30"/>
  <c r="M154" i="30" s="1"/>
  <c r="E176" i="31" s="1"/>
  <c r="J155" i="30"/>
  <c r="M155" i="30" s="1"/>
  <c r="E177" i="31" s="1"/>
  <c r="J156" i="30"/>
  <c r="M156" i="30" s="1"/>
  <c r="E178" i="31" s="1"/>
  <c r="J157" i="30"/>
  <c r="M157" i="30" s="1"/>
  <c r="E179" i="31" s="1"/>
  <c r="J158" i="30"/>
  <c r="M158" i="30" s="1"/>
  <c r="E180" i="31" s="1"/>
  <c r="J159" i="30"/>
  <c r="M159" i="30" s="1"/>
  <c r="E181" i="31" s="1"/>
  <c r="J160" i="30"/>
  <c r="M160" i="30" s="1"/>
  <c r="E182" i="31" s="1"/>
  <c r="J161" i="30"/>
  <c r="M161" i="30" s="1"/>
  <c r="E183" i="31" s="1"/>
  <c r="J162" i="30"/>
  <c r="M162" i="30" s="1"/>
  <c r="E184" i="31" s="1"/>
  <c r="J110" i="30"/>
  <c r="E124" i="31" s="1"/>
  <c r="J111" i="30"/>
  <c r="E125" i="31" s="1"/>
  <c r="J112" i="30"/>
  <c r="E126" i="31" s="1"/>
  <c r="J113" i="30"/>
  <c r="E127" i="31" s="1"/>
  <c r="J117" i="30"/>
  <c r="M117" i="30" s="1"/>
  <c r="E131" i="31" s="1"/>
  <c r="J119" i="30"/>
  <c r="M119" i="30" s="1"/>
  <c r="E133" i="31" s="1"/>
  <c r="J120" i="30"/>
  <c r="M120" i="30" s="1"/>
  <c r="E134" i="31" s="1"/>
  <c r="J150" i="30"/>
  <c r="M150" i="30" s="1"/>
  <c r="E168" i="31" s="1"/>
  <c r="J124" i="30"/>
  <c r="M124" i="30" s="1"/>
  <c r="E140" i="31" s="1"/>
  <c r="J125" i="30"/>
  <c r="M125" i="30" s="1"/>
  <c r="E141" i="31" s="1"/>
  <c r="J136" i="30"/>
  <c r="M136" i="30" s="1"/>
  <c r="E152" i="31" s="1"/>
  <c r="J139" i="30"/>
  <c r="M139" i="30" s="1"/>
  <c r="E155" i="31" s="1"/>
  <c r="J140" i="30"/>
  <c r="M140" i="30" s="1"/>
  <c r="E156" i="31" s="1"/>
  <c r="J141" i="30"/>
  <c r="M141" i="30" s="1"/>
  <c r="E157" i="31" s="1"/>
  <c r="J142" i="30"/>
  <c r="M142" i="30" s="1"/>
  <c r="E158" i="31" s="1"/>
  <c r="J143" i="30"/>
  <c r="M143" i="30" s="1"/>
  <c r="E159" i="31" s="1"/>
  <c r="J205" i="30"/>
  <c r="M205" i="30" s="1"/>
  <c r="E237" i="31" s="1"/>
  <c r="J206" i="30"/>
  <c r="M206" i="30" s="1"/>
  <c r="E238" i="31" s="1"/>
  <c r="J207" i="30"/>
  <c r="M207" i="30" s="1"/>
  <c r="E239" i="31" s="1"/>
  <c r="J107" i="30"/>
  <c r="M107" i="30" s="1"/>
  <c r="E119" i="31" s="1"/>
  <c r="J108" i="30"/>
  <c r="M108" i="30" s="1"/>
  <c r="E120" i="31" s="1"/>
  <c r="J176" i="30"/>
  <c r="M176" i="30" s="1"/>
  <c r="E202" i="31" s="1"/>
  <c r="J177" i="30"/>
  <c r="M177" i="30" s="1"/>
  <c r="E203" i="31" s="1"/>
  <c r="J178" i="30"/>
  <c r="M178" i="30" s="1"/>
  <c r="E204" i="31" s="1"/>
  <c r="J180" i="30"/>
  <c r="J181" i="30"/>
  <c r="M181" i="30" s="1"/>
  <c r="E207" i="31" s="1"/>
  <c r="J182" i="30"/>
  <c r="M182" i="30" s="1"/>
  <c r="E208" i="31" s="1"/>
  <c r="J183" i="30"/>
  <c r="M183" i="30" s="1"/>
  <c r="E209" i="31" s="1"/>
  <c r="J184" i="30"/>
  <c r="M184" i="30" s="1"/>
  <c r="E210" i="31" s="1"/>
  <c r="J164" i="30"/>
  <c r="M164" i="30" s="1"/>
  <c r="E188" i="31" s="1"/>
  <c r="J165" i="30"/>
  <c r="M165" i="30" s="1"/>
  <c r="E189" i="31" s="1"/>
  <c r="J166" i="30"/>
  <c r="M166" i="30" s="1"/>
  <c r="E190" i="31" s="1"/>
  <c r="J167" i="30"/>
  <c r="M167" i="30" s="1"/>
  <c r="E191" i="31" s="1"/>
  <c r="J168" i="30"/>
  <c r="M168" i="30" s="1"/>
  <c r="E192" i="31" s="1"/>
  <c r="J169" i="30"/>
  <c r="M169" i="30" s="1"/>
  <c r="E193" i="31" s="1"/>
  <c r="J170" i="30"/>
  <c r="M170" i="30" s="1"/>
  <c r="E194" i="31" s="1"/>
  <c r="J171" i="30"/>
  <c r="M171" i="30" s="1"/>
  <c r="E195" i="31" s="1"/>
  <c r="J172" i="30"/>
  <c r="M172" i="30" s="1"/>
  <c r="E196" i="31" s="1"/>
  <c r="J173" i="30"/>
  <c r="M173" i="30" s="1"/>
  <c r="E197" i="31" s="1"/>
  <c r="J174" i="30"/>
  <c r="M174" i="30" s="1"/>
  <c r="E198" i="31" s="1"/>
  <c r="J74" i="30"/>
  <c r="M74" i="30" s="1"/>
  <c r="E76" i="31" s="1"/>
  <c r="J75" i="30"/>
  <c r="M75" i="30" s="1"/>
  <c r="E77" i="31" s="1"/>
  <c r="J76" i="30"/>
  <c r="M76" i="30" s="1"/>
  <c r="E78" i="31" s="1"/>
  <c r="J77" i="30"/>
  <c r="M77" i="30" s="1"/>
  <c r="E79" i="31" s="1"/>
  <c r="J78" i="30"/>
  <c r="M78" i="30" s="1"/>
  <c r="E80" i="31" s="1"/>
  <c r="J79" i="30"/>
  <c r="M79" i="30" s="1"/>
  <c r="E81" i="31" s="1"/>
  <c r="J80" i="30"/>
  <c r="M80" i="30" s="1"/>
  <c r="E82" i="31" s="1"/>
  <c r="J81" i="30"/>
  <c r="M81" i="30" s="1"/>
  <c r="E83" i="31" s="1"/>
  <c r="J82" i="30"/>
  <c r="M82" i="30" s="1"/>
  <c r="E84" i="31" s="1"/>
  <c r="J83" i="30"/>
  <c r="M83" i="30" s="1"/>
  <c r="E85" i="31" s="1"/>
  <c r="J258" i="30"/>
  <c r="M258" i="30" s="1"/>
  <c r="E296" i="31" s="1"/>
  <c r="J279" i="30"/>
  <c r="M279" i="30" s="1"/>
  <c r="E325" i="31" s="1"/>
  <c r="J280" i="30"/>
  <c r="M280" i="30" s="1"/>
  <c r="E326" i="31" s="1"/>
  <c r="J97" i="30"/>
  <c r="M97" i="30" s="1"/>
  <c r="E107" i="31" s="1"/>
  <c r="J98" i="30"/>
  <c r="M98" i="30" s="1"/>
  <c r="E108" i="31" s="1"/>
  <c r="J99" i="30"/>
  <c r="M99" i="30" s="1"/>
  <c r="E109" i="31" s="1"/>
  <c r="J282" i="30"/>
  <c r="M282" i="30" s="1"/>
  <c r="E330" i="31" s="1"/>
  <c r="J284" i="30"/>
  <c r="M284" i="30" s="1"/>
  <c r="E334" i="31" s="1"/>
  <c r="J287" i="30"/>
  <c r="M287" i="30" s="1"/>
  <c r="E337" i="31" s="1"/>
  <c r="J288" i="30"/>
  <c r="M288" i="30" s="1"/>
  <c r="E338" i="31" s="1"/>
  <c r="J289" i="30"/>
  <c r="M289" i="30" s="1"/>
  <c r="E339" i="31" s="1"/>
  <c r="J293" i="30"/>
  <c r="M293" i="30" s="1"/>
  <c r="E343" i="31" s="1"/>
  <c r="J294" i="30"/>
  <c r="M294" i="30" s="1"/>
  <c r="E344" i="31" s="1"/>
  <c r="J298" i="30"/>
  <c r="M298" i="30" s="1"/>
  <c r="E348" i="31" s="1"/>
  <c r="J299" i="30"/>
  <c r="M299" i="30" s="1"/>
  <c r="E349" i="31" s="1"/>
  <c r="J14" i="30"/>
  <c r="M14" i="30" s="1"/>
  <c r="E14" i="31" s="1"/>
  <c r="J12" i="30"/>
  <c r="M12" i="30" s="1"/>
  <c r="E12" i="31" s="1"/>
  <c r="M5" i="30"/>
  <c r="E5" i="31" s="1"/>
  <c r="Q14" i="31" l="1"/>
  <c r="W14" i="31"/>
  <c r="AE14" i="31"/>
  <c r="AS14" i="31"/>
  <c r="AG14" i="31"/>
  <c r="AK14" i="31"/>
  <c r="AR14" i="31"/>
  <c r="S14" i="31"/>
  <c r="M14" i="31"/>
  <c r="AH14" i="31"/>
  <c r="AJ14" i="31"/>
  <c r="AM14" i="31"/>
  <c r="O14" i="31"/>
  <c r="AQ14" i="31"/>
  <c r="AI14" i="31"/>
  <c r="M22" i="31"/>
  <c r="U22" i="31"/>
  <c r="AS22" i="31"/>
  <c r="O22" i="31"/>
  <c r="AJ22" i="31"/>
  <c r="W22" i="31"/>
  <c r="AO22" i="31"/>
  <c r="AE22" i="31"/>
  <c r="Q22" i="31"/>
  <c r="S22" i="31"/>
  <c r="AQ22" i="31"/>
  <c r="Y22" i="31"/>
  <c r="AA22" i="31"/>
  <c r="AN22" i="31"/>
  <c r="AH22" i="31"/>
  <c r="AK22" i="31"/>
  <c r="AG22" i="31"/>
  <c r="AP22" i="31"/>
  <c r="AL22" i="31"/>
  <c r="AR22" i="31"/>
  <c r="AI22" i="31"/>
  <c r="AC22" i="31"/>
  <c r="Q17" i="31"/>
  <c r="W17" i="31"/>
  <c r="AL17" i="31"/>
  <c r="AE17" i="31"/>
  <c r="Y17" i="31"/>
  <c r="AS17" i="31"/>
  <c r="O17" i="31"/>
  <c r="AH17" i="31"/>
  <c r="U17" i="31"/>
  <c r="AC17" i="31"/>
  <c r="AO17" i="31"/>
  <c r="AJ17" i="31"/>
  <c r="S17" i="31"/>
  <c r="M17" i="31"/>
  <c r="AN17" i="31"/>
  <c r="AQ17" i="31"/>
  <c r="AA17" i="31"/>
  <c r="AP17" i="31"/>
  <c r="AG17" i="31"/>
  <c r="AM17" i="31"/>
  <c r="AI17" i="31"/>
  <c r="AR17" i="31"/>
  <c r="AK17" i="31"/>
  <c r="Y21" i="31"/>
  <c r="O21" i="31"/>
  <c r="M21" i="31"/>
  <c r="AI21" i="31"/>
  <c r="AG21" i="31"/>
  <c r="AO21" i="31"/>
  <c r="AJ21" i="31"/>
  <c r="AR21" i="31"/>
  <c r="W21" i="31"/>
  <c r="Q21" i="31"/>
  <c r="U21" i="31"/>
  <c r="AL21" i="31"/>
  <c r="AA21" i="31"/>
  <c r="AS21" i="31"/>
  <c r="AP21" i="31"/>
  <c r="AN21" i="31"/>
  <c r="AC21" i="31"/>
  <c r="AK21" i="31"/>
  <c r="AE21" i="31"/>
  <c r="AQ21" i="31"/>
  <c r="S21" i="31"/>
  <c r="AH21" i="31"/>
  <c r="AJ12" i="31"/>
  <c r="M12" i="31"/>
  <c r="U12" i="31"/>
  <c r="AA12" i="31"/>
  <c r="W12" i="31"/>
  <c r="AC12" i="31"/>
  <c r="AN12" i="31"/>
  <c r="AE12" i="31"/>
  <c r="Q12" i="31"/>
  <c r="Y12" i="31"/>
  <c r="AQ12" i="31"/>
  <c r="AS12" i="31"/>
  <c r="AG12" i="31"/>
  <c r="AH12" i="31"/>
  <c r="AP12" i="31"/>
  <c r="AK12" i="31"/>
  <c r="S12" i="31"/>
  <c r="AL12" i="31"/>
  <c r="AR12" i="31"/>
  <c r="AO12" i="31"/>
  <c r="W20" i="31"/>
  <c r="AE20" i="31"/>
  <c r="AK20" i="31"/>
  <c r="AS20" i="31"/>
  <c r="M20" i="31"/>
  <c r="AJ20" i="31"/>
  <c r="AR20" i="31"/>
  <c r="AN20" i="31"/>
  <c r="U20" i="31"/>
  <c r="S20" i="31"/>
  <c r="AC20" i="31"/>
  <c r="Y20" i="31"/>
  <c r="AH20" i="31"/>
  <c r="AL20" i="31"/>
  <c r="Q20" i="31"/>
  <c r="AP20" i="31"/>
  <c r="AA20" i="31"/>
  <c r="AI20" i="31"/>
  <c r="O20" i="31"/>
  <c r="AO20" i="31"/>
  <c r="AQ20" i="31"/>
  <c r="AG20" i="31"/>
  <c r="Y13" i="31"/>
  <c r="AJ13" i="31"/>
  <c r="AP13" i="31"/>
  <c r="W13" i="31"/>
  <c r="AR13" i="31"/>
  <c r="S13" i="31"/>
  <c r="AA13" i="31"/>
  <c r="U13" i="31"/>
  <c r="AE13" i="31"/>
  <c r="M13" i="31"/>
  <c r="AL13" i="31"/>
  <c r="AH13" i="31"/>
  <c r="AG13" i="31"/>
  <c r="O13" i="31"/>
  <c r="AC13" i="31"/>
  <c r="AN13" i="31"/>
  <c r="AI13" i="31"/>
  <c r="Q13" i="31"/>
  <c r="AO13" i="31"/>
  <c r="AS13" i="31"/>
  <c r="AK13" i="31"/>
  <c r="AQ13" i="31"/>
  <c r="Y19" i="31"/>
  <c r="Q19" i="31"/>
  <c r="AE19" i="31"/>
  <c r="U19" i="31"/>
  <c r="S19" i="31"/>
  <c r="AR19" i="31"/>
  <c r="O19" i="31"/>
  <c r="AO19" i="31"/>
  <c r="AJ19" i="31"/>
  <c r="AP19" i="31"/>
  <c r="AH19" i="31"/>
  <c r="AC19" i="31"/>
  <c r="M19" i="31"/>
  <c r="AA19" i="31"/>
  <c r="AL19" i="31"/>
  <c r="W19" i="31"/>
  <c r="AQ19" i="31"/>
  <c r="AN19" i="31"/>
  <c r="AI19" i="31"/>
  <c r="AK19" i="31"/>
  <c r="AG19" i="31"/>
  <c r="AS19" i="31"/>
  <c r="U5" i="31"/>
  <c r="AA5" i="31"/>
  <c r="AL5" i="31"/>
  <c r="AH5" i="31"/>
  <c r="Y5" i="31"/>
  <c r="O5" i="31"/>
  <c r="AG5" i="31"/>
  <c r="AR5" i="31"/>
  <c r="W5" i="31"/>
  <c r="S5" i="31"/>
  <c r="Q5" i="31"/>
  <c r="AO5" i="31"/>
  <c r="AJ5" i="31"/>
  <c r="AC5" i="31"/>
  <c r="AK5" i="31"/>
  <c r="M5" i="31"/>
  <c r="AP5" i="31"/>
  <c r="AN5" i="31"/>
  <c r="AQ5" i="31"/>
  <c r="AS5" i="31"/>
  <c r="AE5" i="31"/>
  <c r="AI5" i="31"/>
  <c r="U18" i="31"/>
  <c r="AC18" i="31"/>
  <c r="AG18" i="31"/>
  <c r="AO18" i="31"/>
  <c r="S18" i="31"/>
  <c r="Q18" i="31"/>
  <c r="AA18" i="31"/>
  <c r="Y18" i="31"/>
  <c r="O18" i="31"/>
  <c r="AE18" i="31"/>
  <c r="AJ18" i="31"/>
  <c r="AQ18" i="31"/>
  <c r="AM18" i="31"/>
  <c r="AL18" i="31"/>
  <c r="W18" i="31"/>
  <c r="AI18" i="31"/>
  <c r="AP18" i="31"/>
  <c r="AM19" i="31"/>
  <c r="M18" i="31"/>
  <c r="AR18" i="31"/>
  <c r="AS18" i="31"/>
  <c r="AK18" i="31"/>
  <c r="AN18" i="31"/>
  <c r="AH18" i="31"/>
  <c r="BI7" i="31"/>
  <c r="BH7" i="31"/>
  <c r="BG7" i="31"/>
  <c r="BF7" i="31"/>
  <c r="BE7" i="31"/>
  <c r="BD7" i="31"/>
  <c r="BC7" i="31"/>
  <c r="BB7" i="31"/>
  <c r="BA7" i="31"/>
  <c r="AZ7" i="31"/>
  <c r="BI5" i="31"/>
  <c r="BH5" i="31"/>
  <c r="BG5" i="31"/>
  <c r="BF5" i="31"/>
  <c r="BE5" i="31"/>
  <c r="BD5" i="31"/>
  <c r="BC5" i="31"/>
  <c r="BB5" i="31"/>
  <c r="BA5" i="31"/>
  <c r="AZ5" i="31"/>
  <c r="C2" i="31"/>
  <c r="N5" i="30"/>
  <c r="D6" i="30"/>
  <c r="M6" i="30"/>
  <c r="E6" i="31" s="1"/>
  <c r="D7" i="30"/>
  <c r="M7" i="30"/>
  <c r="E7" i="31" s="1"/>
  <c r="D8" i="30"/>
  <c r="M8" i="30"/>
  <c r="E8" i="31" s="1"/>
  <c r="M9" i="30"/>
  <c r="M10" i="30"/>
  <c r="T10" i="30" s="1"/>
  <c r="D11" i="30"/>
  <c r="M11" i="30"/>
  <c r="E11" i="31" s="1"/>
  <c r="D12" i="30"/>
  <c r="N12" i="30" s="1"/>
  <c r="T13" i="30"/>
  <c r="N13" i="30"/>
  <c r="N14" i="30"/>
  <c r="N15" i="30"/>
  <c r="T15" i="30"/>
  <c r="X15" i="30"/>
  <c r="N16" i="30"/>
  <c r="T16" i="30"/>
  <c r="X16" i="30"/>
  <c r="T17" i="30"/>
  <c r="X17" i="30"/>
  <c r="X18" i="30"/>
  <c r="T19" i="30"/>
  <c r="X20" i="30"/>
  <c r="T20" i="30"/>
  <c r="T21" i="30"/>
  <c r="X22" i="30"/>
  <c r="T23" i="30"/>
  <c r="X24" i="30"/>
  <c r="T25" i="30"/>
  <c r="X26" i="30"/>
  <c r="T27" i="30"/>
  <c r="D28" i="30"/>
  <c r="T28" i="30" s="1"/>
  <c r="N29" i="30"/>
  <c r="D30" i="30"/>
  <c r="D31" i="30"/>
  <c r="D32" i="30"/>
  <c r="X33" i="30"/>
  <c r="T34" i="30"/>
  <c r="X35" i="30"/>
  <c r="T36" i="30"/>
  <c r="D37" i="30"/>
  <c r="T37" i="30" s="1"/>
  <c r="D38" i="30"/>
  <c r="D39" i="30"/>
  <c r="D40" i="30"/>
  <c r="D41" i="30"/>
  <c r="N41" i="30" s="1"/>
  <c r="T42" i="30"/>
  <c r="D43" i="30"/>
  <c r="D44" i="30"/>
  <c r="X44" i="30" s="1"/>
  <c r="D45" i="30"/>
  <c r="D46" i="30"/>
  <c r="N47" i="30"/>
  <c r="T47" i="30"/>
  <c r="X47" i="30"/>
  <c r="N48" i="30"/>
  <c r="T48" i="30"/>
  <c r="X48" i="30"/>
  <c r="N49" i="30"/>
  <c r="T49" i="30"/>
  <c r="X49" i="30"/>
  <c r="N50" i="30"/>
  <c r="N51" i="30"/>
  <c r="T51" i="30"/>
  <c r="X51" i="30"/>
  <c r="T52" i="30"/>
  <c r="N53" i="30"/>
  <c r="N54" i="30"/>
  <c r="N55" i="30"/>
  <c r="N56" i="30"/>
  <c r="N57" i="30"/>
  <c r="M58" i="30"/>
  <c r="M59" i="30"/>
  <c r="M60" i="30"/>
  <c r="D61" i="30"/>
  <c r="N61" i="30" s="1"/>
  <c r="N62" i="30"/>
  <c r="D63" i="30"/>
  <c r="D64" i="30"/>
  <c r="N65" i="30"/>
  <c r="T66" i="30"/>
  <c r="N67" i="30"/>
  <c r="D68" i="30"/>
  <c r="T68" i="30" s="1"/>
  <c r="D69" i="30"/>
  <c r="N70" i="30"/>
  <c r="N71" i="30"/>
  <c r="N72" i="30"/>
  <c r="N151" i="30"/>
  <c r="T151" i="30"/>
  <c r="X151" i="30"/>
  <c r="D152" i="30"/>
  <c r="N152" i="30" s="1"/>
  <c r="N153" i="30"/>
  <c r="T153" i="30"/>
  <c r="X153" i="30"/>
  <c r="D154" i="30"/>
  <c r="D155" i="30"/>
  <c r="D156" i="30"/>
  <c r="N157" i="30"/>
  <c r="N158" i="30"/>
  <c r="D159" i="30"/>
  <c r="T159" i="30" s="1"/>
  <c r="D160" i="30"/>
  <c r="N161" i="30"/>
  <c r="N109" i="30"/>
  <c r="T109" i="30"/>
  <c r="X109" i="30"/>
  <c r="D110" i="30"/>
  <c r="D111" i="30"/>
  <c r="X111" i="30" s="1"/>
  <c r="D112" i="30"/>
  <c r="N113" i="30"/>
  <c r="N114" i="30"/>
  <c r="D115" i="30"/>
  <c r="T115" i="30" s="1"/>
  <c r="N116" i="30"/>
  <c r="D117" i="30"/>
  <c r="D118" i="30"/>
  <c r="T118" i="30" s="1"/>
  <c r="D119" i="30"/>
  <c r="D120" i="30"/>
  <c r="N120" i="30" s="1"/>
  <c r="N147" i="30"/>
  <c r="T147" i="30"/>
  <c r="X147" i="30"/>
  <c r="D148" i="30"/>
  <c r="N148" i="30" s="1"/>
  <c r="D149" i="30"/>
  <c r="D150" i="30"/>
  <c r="N121" i="30"/>
  <c r="T121" i="30"/>
  <c r="X121" i="30"/>
  <c r="N122" i="30"/>
  <c r="T122" i="30"/>
  <c r="X122" i="30"/>
  <c r="N123" i="30"/>
  <c r="T123" i="30"/>
  <c r="X123" i="30"/>
  <c r="N124" i="30"/>
  <c r="T124" i="30"/>
  <c r="N125" i="30"/>
  <c r="N126" i="30"/>
  <c r="N127" i="30"/>
  <c r="M128" i="30"/>
  <c r="D129" i="30"/>
  <c r="X129" i="30" s="1"/>
  <c r="N130" i="30"/>
  <c r="D131" i="30"/>
  <c r="N131" i="30" s="1"/>
  <c r="D132" i="30"/>
  <c r="T132" i="30" s="1"/>
  <c r="D133" i="30"/>
  <c r="M133" i="30"/>
  <c r="E149" i="31" s="1"/>
  <c r="D134" i="30"/>
  <c r="N134" i="30" s="1"/>
  <c r="D135" i="30"/>
  <c r="D136" i="30"/>
  <c r="T136" i="30" s="1"/>
  <c r="N137" i="30"/>
  <c r="T138" i="30"/>
  <c r="N139" i="30"/>
  <c r="T140" i="30"/>
  <c r="N141" i="30"/>
  <c r="T142" i="30"/>
  <c r="N143" i="30"/>
  <c r="T144" i="30"/>
  <c r="N145" i="30"/>
  <c r="T145" i="30"/>
  <c r="X145" i="30"/>
  <c r="N146" i="30"/>
  <c r="T146" i="30"/>
  <c r="X146" i="30"/>
  <c r="T91" i="30"/>
  <c r="X91" i="30"/>
  <c r="D92" i="30"/>
  <c r="X92" i="30" s="1"/>
  <c r="T93" i="30"/>
  <c r="T203" i="30"/>
  <c r="X203" i="30"/>
  <c r="N204" i="30"/>
  <c r="N205" i="30"/>
  <c r="N206" i="30"/>
  <c r="N207" i="30"/>
  <c r="T100" i="30"/>
  <c r="X100" i="30"/>
  <c r="N101" i="30"/>
  <c r="D102" i="30"/>
  <c r="T102" i="30" s="1"/>
  <c r="D103" i="30"/>
  <c r="N104" i="30"/>
  <c r="T104" i="30"/>
  <c r="X104" i="30"/>
  <c r="N105" i="30"/>
  <c r="T105" i="30"/>
  <c r="X105" i="30"/>
  <c r="N106" i="30"/>
  <c r="N107" i="30"/>
  <c r="N108" i="30"/>
  <c r="T265" i="30"/>
  <c r="X265" i="30"/>
  <c r="D266" i="30"/>
  <c r="X266" i="30" s="1"/>
  <c r="D267" i="30"/>
  <c r="M267" i="30"/>
  <c r="E311" i="31" s="1"/>
  <c r="M268" i="30"/>
  <c r="E312" i="31" s="1"/>
  <c r="N269" i="30"/>
  <c r="T269" i="30"/>
  <c r="X269" i="30"/>
  <c r="N271" i="30"/>
  <c r="D272" i="30"/>
  <c r="T273" i="30"/>
  <c r="N274" i="30"/>
  <c r="T275" i="30"/>
  <c r="N276" i="30"/>
  <c r="D277" i="30"/>
  <c r="N175" i="30"/>
  <c r="T175" i="30"/>
  <c r="X175" i="30"/>
  <c r="T176" i="30"/>
  <c r="N177" i="30"/>
  <c r="D178" i="30"/>
  <c r="N179" i="30"/>
  <c r="D180" i="30"/>
  <c r="K180" i="30"/>
  <c r="M180" i="30" s="1"/>
  <c r="E206" i="31" s="1"/>
  <c r="D181" i="30"/>
  <c r="D182" i="30"/>
  <c r="T182" i="30" s="1"/>
  <c r="N183" i="30"/>
  <c r="D184" i="30"/>
  <c r="N185" i="30"/>
  <c r="N163" i="30"/>
  <c r="T163" i="30"/>
  <c r="X163" i="30"/>
  <c r="N164" i="30"/>
  <c r="T164" i="30"/>
  <c r="N165" i="30"/>
  <c r="N166" i="30"/>
  <c r="N167" i="30"/>
  <c r="D168" i="30"/>
  <c r="N168" i="30" s="1"/>
  <c r="N169" i="30"/>
  <c r="N170" i="30"/>
  <c r="D171" i="30"/>
  <c r="D172" i="30"/>
  <c r="D173" i="30"/>
  <c r="N186" i="30"/>
  <c r="T186" i="30"/>
  <c r="X186" i="30"/>
  <c r="D187" i="30"/>
  <c r="N73" i="30"/>
  <c r="T73" i="30"/>
  <c r="X73" i="30"/>
  <c r="N74" i="30"/>
  <c r="D75" i="30"/>
  <c r="X76" i="30"/>
  <c r="N77" i="30"/>
  <c r="D78" i="30"/>
  <c r="N79" i="30"/>
  <c r="D80" i="30"/>
  <c r="D81" i="30"/>
  <c r="T82" i="30"/>
  <c r="N83" i="30"/>
  <c r="N208" i="30"/>
  <c r="T208" i="30"/>
  <c r="X208" i="30"/>
  <c r="D209" i="30"/>
  <c r="D210" i="30"/>
  <c r="M210" i="30"/>
  <c r="E244" i="31" s="1"/>
  <c r="D211" i="30"/>
  <c r="M211" i="30"/>
  <c r="E245" i="31" s="1"/>
  <c r="D212" i="30"/>
  <c r="M212" i="30"/>
  <c r="E246" i="31" s="1"/>
  <c r="D213" i="30"/>
  <c r="M213" i="30"/>
  <c r="E247" i="31" s="1"/>
  <c r="D214" i="30"/>
  <c r="M214" i="30"/>
  <c r="E248" i="31" s="1"/>
  <c r="M215" i="30"/>
  <c r="N216" i="30"/>
  <c r="T216" i="30"/>
  <c r="X216" i="30"/>
  <c r="M217" i="30"/>
  <c r="M218" i="30"/>
  <c r="M219" i="30"/>
  <c r="M220" i="30"/>
  <c r="M221" i="30"/>
  <c r="M222" i="30"/>
  <c r="D223" i="30"/>
  <c r="M223" i="30"/>
  <c r="E259" i="31" s="1"/>
  <c r="M224" i="30"/>
  <c r="M225" i="30"/>
  <c r="M226" i="30"/>
  <c r="M227" i="30"/>
  <c r="M228" i="30"/>
  <c r="M229" i="30"/>
  <c r="M230" i="30"/>
  <c r="M231" i="30"/>
  <c r="M232" i="30"/>
  <c r="M233" i="30"/>
  <c r="M234" i="30"/>
  <c r="M235" i="30"/>
  <c r="D236" i="30"/>
  <c r="M236" i="30"/>
  <c r="E272" i="31" s="1"/>
  <c r="D237" i="30"/>
  <c r="M237" i="30"/>
  <c r="E273" i="31" s="1"/>
  <c r="D238" i="30"/>
  <c r="M238" i="30"/>
  <c r="E274" i="31" s="1"/>
  <c r="D239" i="30"/>
  <c r="M239" i="30"/>
  <c r="E275" i="31" s="1"/>
  <c r="D240" i="30"/>
  <c r="M240" i="30"/>
  <c r="E276" i="31" s="1"/>
  <c r="M241" i="30"/>
  <c r="D242" i="30"/>
  <c r="M242" i="30"/>
  <c r="E278" i="31" s="1"/>
  <c r="D243" i="30"/>
  <c r="M243" i="30"/>
  <c r="E279" i="31" s="1"/>
  <c r="D244" i="30"/>
  <c r="M244" i="30"/>
  <c r="E280" i="31" s="1"/>
  <c r="D245" i="30"/>
  <c r="M245" i="30"/>
  <c r="E281" i="31" s="1"/>
  <c r="D246" i="30"/>
  <c r="M246" i="30"/>
  <c r="E282" i="31" s="1"/>
  <c r="D247" i="30"/>
  <c r="M247" i="30"/>
  <c r="E283" i="31" s="1"/>
  <c r="D248" i="30"/>
  <c r="M248" i="30"/>
  <c r="E284" i="31" s="1"/>
  <c r="M249" i="30"/>
  <c r="M250" i="30"/>
  <c r="D251" i="30"/>
  <c r="M251" i="30"/>
  <c r="E287" i="31" s="1"/>
  <c r="D252" i="30"/>
  <c r="M252" i="30"/>
  <c r="E288" i="31" s="1"/>
  <c r="N253" i="30"/>
  <c r="T253" i="30"/>
  <c r="X253" i="30"/>
  <c r="D254" i="30"/>
  <c r="M254" i="30"/>
  <c r="E290" i="31" s="1"/>
  <c r="D255" i="30"/>
  <c r="M255" i="30"/>
  <c r="E291" i="31" s="1"/>
  <c r="N256" i="30"/>
  <c r="T256" i="30"/>
  <c r="X256" i="30"/>
  <c r="N257" i="30"/>
  <c r="N258" i="30"/>
  <c r="D259" i="30"/>
  <c r="M259" i="30"/>
  <c r="E297" i="31" s="1"/>
  <c r="D260" i="30"/>
  <c r="M260" i="30"/>
  <c r="E298" i="31" s="1"/>
  <c r="N261" i="30"/>
  <c r="T261" i="30"/>
  <c r="X261" i="30"/>
  <c r="N262" i="30"/>
  <c r="T262" i="30"/>
  <c r="X262" i="30"/>
  <c r="N263" i="30"/>
  <c r="T263" i="30"/>
  <c r="X263" i="30"/>
  <c r="N264" i="30"/>
  <c r="T264" i="30"/>
  <c r="X264" i="30"/>
  <c r="N188" i="30"/>
  <c r="T188" i="30"/>
  <c r="X188" i="30"/>
  <c r="M189" i="30"/>
  <c r="D190" i="30"/>
  <c r="M190" i="30"/>
  <c r="E220" i="31" s="1"/>
  <c r="D191" i="30"/>
  <c r="M191" i="30"/>
  <c r="E221" i="31" s="1"/>
  <c r="D192" i="30"/>
  <c r="M192" i="30"/>
  <c r="E222" i="31" s="1"/>
  <c r="M193" i="30"/>
  <c r="D194" i="30"/>
  <c r="M194" i="30"/>
  <c r="E224" i="31" s="1"/>
  <c r="M195" i="30"/>
  <c r="M196" i="30"/>
  <c r="M197" i="30"/>
  <c r="D198" i="30"/>
  <c r="M198" i="30"/>
  <c r="E228" i="31" s="1"/>
  <c r="M199" i="30"/>
  <c r="D200" i="30"/>
  <c r="M200" i="30"/>
  <c r="E230" i="31" s="1"/>
  <c r="M201" i="30"/>
  <c r="M202" i="30"/>
  <c r="N278" i="30"/>
  <c r="T278" i="30"/>
  <c r="X278" i="30"/>
  <c r="N279" i="30"/>
  <c r="D280" i="30"/>
  <c r="N94" i="30"/>
  <c r="T94" i="30"/>
  <c r="X94" i="30"/>
  <c r="T95" i="30"/>
  <c r="D96" i="30"/>
  <c r="M96" i="30"/>
  <c r="E106" i="31" s="1"/>
  <c r="D97" i="30"/>
  <c r="N97" i="30" s="1"/>
  <c r="D98" i="30"/>
  <c r="T98" i="30" s="1"/>
  <c r="N99" i="30"/>
  <c r="T99" i="30"/>
  <c r="X99" i="30"/>
  <c r="N87" i="30"/>
  <c r="T87" i="30"/>
  <c r="X87" i="30"/>
  <c r="D88" i="30"/>
  <c r="M88" i="30"/>
  <c r="E94" i="31" s="1"/>
  <c r="D89" i="30"/>
  <c r="M89" i="30"/>
  <c r="E95" i="31" s="1"/>
  <c r="M90" i="30"/>
  <c r="N281" i="30"/>
  <c r="T281" i="30"/>
  <c r="X281" i="30"/>
  <c r="T282" i="30"/>
  <c r="N283" i="30"/>
  <c r="T283" i="30"/>
  <c r="X283" i="30"/>
  <c r="D284" i="30"/>
  <c r="O308" i="30" s="1"/>
  <c r="Y308" i="30" s="1"/>
  <c r="N285" i="30"/>
  <c r="T285" i="30"/>
  <c r="X285" i="30"/>
  <c r="M286" i="30"/>
  <c r="N287" i="30"/>
  <c r="N288" i="30"/>
  <c r="N289" i="30"/>
  <c r="N290" i="30"/>
  <c r="T290" i="30"/>
  <c r="X290" i="30"/>
  <c r="N291" i="30"/>
  <c r="T291" i="30"/>
  <c r="X291" i="30"/>
  <c r="N292" i="30"/>
  <c r="T292" i="30"/>
  <c r="X292" i="30"/>
  <c r="N293" i="30"/>
  <c r="X293" i="30"/>
  <c r="N294" i="30"/>
  <c r="N295" i="30"/>
  <c r="T295" i="30"/>
  <c r="X295" i="30"/>
  <c r="N296" i="30"/>
  <c r="T296" i="30"/>
  <c r="X296" i="30"/>
  <c r="N297" i="30"/>
  <c r="T297" i="30"/>
  <c r="X297" i="30"/>
  <c r="D298" i="30"/>
  <c r="T298" i="30" s="1"/>
  <c r="D299" i="30"/>
  <c r="T232" i="30" l="1"/>
  <c r="E268" i="31"/>
  <c r="N225" i="30"/>
  <c r="E261" i="31"/>
  <c r="N218" i="30"/>
  <c r="E254" i="31"/>
  <c r="N128" i="30"/>
  <c r="E144" i="31"/>
  <c r="N58" i="30"/>
  <c r="E58" i="31"/>
  <c r="X6" i="30"/>
  <c r="N193" i="30"/>
  <c r="E223" i="31"/>
  <c r="T219" i="30"/>
  <c r="E255" i="31"/>
  <c r="N231" i="30"/>
  <c r="E267" i="31"/>
  <c r="T224" i="30"/>
  <c r="E260" i="31"/>
  <c r="T217" i="30"/>
  <c r="E253" i="31"/>
  <c r="X10" i="30"/>
  <c r="E10" i="31"/>
  <c r="T197" i="30"/>
  <c r="E227" i="31"/>
  <c r="N250" i="30"/>
  <c r="E286" i="31"/>
  <c r="N241" i="30"/>
  <c r="E277" i="31"/>
  <c r="T230" i="30"/>
  <c r="E266" i="31"/>
  <c r="T9" i="30"/>
  <c r="E9" i="31"/>
  <c r="N90" i="30"/>
  <c r="E96" i="31"/>
  <c r="N202" i="30"/>
  <c r="E232" i="31"/>
  <c r="T196" i="30"/>
  <c r="E226" i="31"/>
  <c r="T249" i="30"/>
  <c r="E285" i="31"/>
  <c r="N229" i="30"/>
  <c r="E265" i="31"/>
  <c r="O8" i="31"/>
  <c r="W8" i="31"/>
  <c r="AQ8" i="31"/>
  <c r="AO8" i="31"/>
  <c r="AE8" i="31"/>
  <c r="AN8" i="31"/>
  <c r="AH8" i="31"/>
  <c r="Q8" i="31"/>
  <c r="AA8" i="31"/>
  <c r="Y8" i="31"/>
  <c r="M8" i="31"/>
  <c r="AG8" i="31"/>
  <c r="AS8" i="31"/>
  <c r="U8" i="31"/>
  <c r="AJ8" i="31"/>
  <c r="AI8" i="31"/>
  <c r="AC8" i="31"/>
  <c r="AR8" i="31"/>
  <c r="AL8" i="31"/>
  <c r="AP8" i="31"/>
  <c r="T226" i="30"/>
  <c r="E262" i="31"/>
  <c r="N201" i="30"/>
  <c r="E231" i="31"/>
  <c r="N195" i="30"/>
  <c r="E225" i="31"/>
  <c r="T228" i="30"/>
  <c r="E264" i="31"/>
  <c r="X222" i="30"/>
  <c r="E258" i="31"/>
  <c r="AM5" i="31"/>
  <c r="N286" i="30"/>
  <c r="E336" i="31"/>
  <c r="T199" i="30"/>
  <c r="E229" i="31"/>
  <c r="N59" i="30"/>
  <c r="E59" i="31"/>
  <c r="M6" i="31"/>
  <c r="AH6" i="31"/>
  <c r="O6" i="31"/>
  <c r="W6" i="31"/>
  <c r="AG6" i="31"/>
  <c r="AE6" i="31"/>
  <c r="AK6" i="31"/>
  <c r="AS6" i="31"/>
  <c r="S6" i="31"/>
  <c r="AR6" i="31"/>
  <c r="AQ6" i="31"/>
  <c r="AI6" i="31"/>
  <c r="N235" i="30"/>
  <c r="E271" i="31"/>
  <c r="N227" i="30"/>
  <c r="E263" i="31"/>
  <c r="T221" i="30"/>
  <c r="E257" i="31"/>
  <c r="N215" i="30"/>
  <c r="E249" i="31"/>
  <c r="AA7" i="31"/>
  <c r="AI7" i="31"/>
  <c r="AL7" i="31"/>
  <c r="M7" i="31"/>
  <c r="AE7" i="31"/>
  <c r="AC7" i="31"/>
  <c r="U7" i="31"/>
  <c r="Y7" i="31"/>
  <c r="W7" i="31"/>
  <c r="AO7" i="31"/>
  <c r="AH7" i="31"/>
  <c r="AR7" i="31"/>
  <c r="AK7" i="31"/>
  <c r="AQ7" i="31"/>
  <c r="AN7" i="31"/>
  <c r="O7" i="31"/>
  <c r="AG7" i="31"/>
  <c r="S7" i="31"/>
  <c r="AP7" i="31"/>
  <c r="AS7" i="31"/>
  <c r="N233" i="30"/>
  <c r="E269" i="31"/>
  <c r="T286" i="30"/>
  <c r="X189" i="30"/>
  <c r="E219" i="31"/>
  <c r="T234" i="30"/>
  <c r="E270" i="31"/>
  <c r="X226" i="30"/>
  <c r="N220" i="30"/>
  <c r="E256" i="31"/>
  <c r="N60" i="30"/>
  <c r="E60" i="31"/>
  <c r="O11" i="31"/>
  <c r="AR11" i="31"/>
  <c r="AI11" i="31"/>
  <c r="W11" i="31"/>
  <c r="AN11" i="31"/>
  <c r="Q11" i="31"/>
  <c r="AP11" i="31"/>
  <c r="Y11" i="31"/>
  <c r="AA11" i="31"/>
  <c r="U11" i="31"/>
  <c r="AC11" i="31"/>
  <c r="AL11" i="31"/>
  <c r="AG11" i="31"/>
  <c r="AS11" i="31"/>
  <c r="M11" i="31"/>
  <c r="AJ11" i="31"/>
  <c r="AE11" i="31"/>
  <c r="AO11" i="31"/>
  <c r="AH11" i="31"/>
  <c r="AQ11" i="31"/>
  <c r="AC85" i="31"/>
  <c r="M85" i="31"/>
  <c r="Y85" i="31"/>
  <c r="W85" i="31"/>
  <c r="S85" i="31"/>
  <c r="U85" i="31"/>
  <c r="AG85" i="31"/>
  <c r="AA85" i="31"/>
  <c r="AE85" i="31"/>
  <c r="O85" i="31"/>
  <c r="Q85" i="31"/>
  <c r="Q78" i="31"/>
  <c r="Y78" i="31"/>
  <c r="AG78" i="31"/>
  <c r="M78" i="31"/>
  <c r="O78" i="31"/>
  <c r="W78" i="31"/>
  <c r="AE78" i="31"/>
  <c r="AA78" i="31"/>
  <c r="S78" i="31"/>
  <c r="AC78" i="31"/>
  <c r="U78" i="31"/>
  <c r="U79" i="31"/>
  <c r="AA79" i="31"/>
  <c r="AC79" i="31"/>
  <c r="M79" i="31"/>
  <c r="Y79" i="31"/>
  <c r="AG79" i="31"/>
  <c r="Q79" i="31"/>
  <c r="W79" i="31"/>
  <c r="S79" i="31"/>
  <c r="AE79" i="31"/>
  <c r="O79" i="31"/>
  <c r="AE83" i="31"/>
  <c r="Y83" i="31"/>
  <c r="O83" i="31"/>
  <c r="AG83" i="31"/>
  <c r="Q83" i="31"/>
  <c r="AC83" i="31"/>
  <c r="M83" i="31"/>
  <c r="AA83" i="31"/>
  <c r="W83" i="31"/>
  <c r="U83" i="31"/>
  <c r="S83" i="31"/>
  <c r="O76" i="31"/>
  <c r="W76" i="31"/>
  <c r="AE76" i="31"/>
  <c r="M76" i="31"/>
  <c r="U76" i="31"/>
  <c r="AC76" i="31"/>
  <c r="Q76" i="31"/>
  <c r="AG76" i="31"/>
  <c r="Y76" i="31"/>
  <c r="AA76" i="31"/>
  <c r="S76" i="31"/>
  <c r="Q84" i="31"/>
  <c r="Y84" i="31"/>
  <c r="AG84" i="31"/>
  <c r="M84" i="31"/>
  <c r="U84" i="31"/>
  <c r="O84" i="31"/>
  <c r="W84" i="31"/>
  <c r="AE84" i="31"/>
  <c r="AA84" i="31"/>
  <c r="S84" i="31"/>
  <c r="AC84" i="31"/>
  <c r="M77" i="31"/>
  <c r="AA77" i="31"/>
  <c r="Y77" i="31"/>
  <c r="U77" i="31"/>
  <c r="AE77" i="31"/>
  <c r="O77" i="31"/>
  <c r="AG77" i="31"/>
  <c r="AC77" i="31"/>
  <c r="S77" i="31"/>
  <c r="Q77" i="31"/>
  <c r="W77" i="31"/>
  <c r="X197" i="30"/>
  <c r="N197" i="30"/>
  <c r="N196" i="30"/>
  <c r="N11" i="30"/>
  <c r="T192" i="30"/>
  <c r="N251" i="30"/>
  <c r="N242" i="30"/>
  <c r="X7" i="30"/>
  <c r="X286" i="30"/>
  <c r="N194" i="30"/>
  <c r="X234" i="30"/>
  <c r="X221" i="30"/>
  <c r="N212" i="30"/>
  <c r="N133" i="30"/>
  <c r="N10" i="30"/>
  <c r="X267" i="30"/>
  <c r="X9" i="30"/>
  <c r="X195" i="30"/>
  <c r="T195" i="30"/>
  <c r="X214" i="30"/>
  <c r="X59" i="30"/>
  <c r="N217" i="30"/>
  <c r="T59" i="30"/>
  <c r="T191" i="30"/>
  <c r="T245" i="30"/>
  <c r="N248" i="30"/>
  <c r="T244" i="30"/>
  <c r="X148" i="30"/>
  <c r="T260" i="30"/>
  <c r="T243" i="30"/>
  <c r="X259" i="30"/>
  <c r="T242" i="30"/>
  <c r="T284" i="30"/>
  <c r="N89" i="30"/>
  <c r="T200" i="30"/>
  <c r="T194" i="30"/>
  <c r="T148" i="30"/>
  <c r="T236" i="30"/>
  <c r="T223" i="30"/>
  <c r="T41" i="30"/>
  <c r="N198" i="30"/>
  <c r="X255" i="30"/>
  <c r="T211" i="30"/>
  <c r="X134" i="30"/>
  <c r="X210" i="30"/>
  <c r="T254" i="30"/>
  <c r="T214" i="30"/>
  <c r="T189" i="30"/>
  <c r="N150" i="30"/>
  <c r="N115" i="30"/>
  <c r="N189" i="30"/>
  <c r="N237" i="30"/>
  <c r="X225" i="30"/>
  <c r="N75" i="30"/>
  <c r="X164" i="30"/>
  <c r="N184" i="30"/>
  <c r="X118" i="30"/>
  <c r="X37" i="30"/>
  <c r="T225" i="30"/>
  <c r="X106" i="30"/>
  <c r="N142" i="30"/>
  <c r="X120" i="30"/>
  <c r="N159" i="30"/>
  <c r="N260" i="30"/>
  <c r="T106" i="30"/>
  <c r="T120" i="30"/>
  <c r="T18" i="30"/>
  <c r="T259" i="30"/>
  <c r="X243" i="30"/>
  <c r="N228" i="30"/>
  <c r="N112" i="30"/>
  <c r="N252" i="30"/>
  <c r="N239" i="30"/>
  <c r="X77" i="30"/>
  <c r="X115" i="30"/>
  <c r="X193" i="30"/>
  <c r="N190" i="30"/>
  <c r="N259" i="30"/>
  <c r="N255" i="30"/>
  <c r="N243" i="30"/>
  <c r="N92" i="30"/>
  <c r="N246" i="30"/>
  <c r="N102" i="30"/>
  <c r="X204" i="30"/>
  <c r="N119" i="30"/>
  <c r="N245" i="30"/>
  <c r="X229" i="30"/>
  <c r="T210" i="30"/>
  <c r="T170" i="30"/>
  <c r="N93" i="30"/>
  <c r="X142" i="30"/>
  <c r="N138" i="30"/>
  <c r="T38" i="30"/>
  <c r="X34" i="30"/>
  <c r="N30" i="30"/>
  <c r="N282" i="30"/>
  <c r="N238" i="30"/>
  <c r="X233" i="30"/>
  <c r="T229" i="30"/>
  <c r="X131" i="30"/>
  <c r="X149" i="30"/>
  <c r="N118" i="30"/>
  <c r="X294" i="30"/>
  <c r="N96" i="30"/>
  <c r="N200" i="30"/>
  <c r="T252" i="30"/>
  <c r="N244" i="30"/>
  <c r="X241" i="30"/>
  <c r="T233" i="30"/>
  <c r="N277" i="30"/>
  <c r="N272" i="30"/>
  <c r="X130" i="30"/>
  <c r="T294" i="30"/>
  <c r="N284" i="30"/>
  <c r="N88" i="30"/>
  <c r="N95" i="30"/>
  <c r="N199" i="30"/>
  <c r="X196" i="30"/>
  <c r="X194" i="30"/>
  <c r="X215" i="30"/>
  <c r="X271" i="30"/>
  <c r="T130" i="30"/>
  <c r="X192" i="30"/>
  <c r="X254" i="30"/>
  <c r="N247" i="30"/>
  <c r="X211" i="30"/>
  <c r="N209" i="30"/>
  <c r="N81" i="30"/>
  <c r="X275" i="30"/>
  <c r="T271" i="30"/>
  <c r="X108" i="30"/>
  <c r="N140" i="30"/>
  <c r="X61" i="30"/>
  <c r="X13" i="30"/>
  <c r="N240" i="30"/>
  <c r="N236" i="30"/>
  <c r="N80" i="30"/>
  <c r="N171" i="30"/>
  <c r="N275" i="30"/>
  <c r="T108" i="30"/>
  <c r="N103" i="30"/>
  <c r="N132" i="30"/>
  <c r="X72" i="30"/>
  <c r="T61" i="30"/>
  <c r="T26" i="30"/>
  <c r="N299" i="30"/>
  <c r="T293" i="30"/>
  <c r="X97" i="30"/>
  <c r="N191" i="30"/>
  <c r="N254" i="30"/>
  <c r="X230" i="30"/>
  <c r="X102" i="30"/>
  <c r="X93" i="30"/>
  <c r="T131" i="30"/>
  <c r="T112" i="30"/>
  <c r="X158" i="30"/>
  <c r="N43" i="30"/>
  <c r="T35" i="30"/>
  <c r="N26" i="30"/>
  <c r="N20" i="30"/>
  <c r="N9" i="30"/>
  <c r="T97" i="30"/>
  <c r="X201" i="30"/>
  <c r="N249" i="30"/>
  <c r="N211" i="30"/>
  <c r="X170" i="30"/>
  <c r="X107" i="30"/>
  <c r="X138" i="30"/>
  <c r="X152" i="30"/>
  <c r="T64" i="30"/>
  <c r="X80" i="30"/>
  <c r="X168" i="30"/>
  <c r="N181" i="30"/>
  <c r="X176" i="30"/>
  <c r="T107" i="30"/>
  <c r="X206" i="30"/>
  <c r="N129" i="30"/>
  <c r="T152" i="30"/>
  <c r="T72" i="30"/>
  <c r="X64" i="30"/>
  <c r="X57" i="30"/>
  <c r="X53" i="30"/>
  <c r="X43" i="30"/>
  <c r="X38" i="30"/>
  <c r="N35" i="30"/>
  <c r="X32" i="30"/>
  <c r="N28" i="30"/>
  <c r="T24" i="30"/>
  <c r="X21" i="30"/>
  <c r="N18" i="30"/>
  <c r="X288" i="30"/>
  <c r="N98" i="30"/>
  <c r="X258" i="30"/>
  <c r="X79" i="30"/>
  <c r="N176" i="30"/>
  <c r="T206" i="30"/>
  <c r="X128" i="30"/>
  <c r="X124" i="30"/>
  <c r="T57" i="30"/>
  <c r="T53" i="30"/>
  <c r="X27" i="30"/>
  <c r="N24" i="30"/>
  <c r="T288" i="30"/>
  <c r="T79" i="30"/>
  <c r="N172" i="30"/>
  <c r="X166" i="30"/>
  <c r="X183" i="30"/>
  <c r="X144" i="30"/>
  <c r="X140" i="30"/>
  <c r="X136" i="30"/>
  <c r="T128" i="30"/>
  <c r="N37" i="30"/>
  <c r="X284" i="30"/>
  <c r="X282" i="30"/>
  <c r="X257" i="30"/>
  <c r="T171" i="30"/>
  <c r="X169" i="30"/>
  <c r="T166" i="30"/>
  <c r="T183" i="30"/>
  <c r="N144" i="30"/>
  <c r="X161" i="30"/>
  <c r="N68" i="30"/>
  <c r="N52" i="30"/>
  <c r="N46" i="30"/>
  <c r="T43" i="30"/>
  <c r="X23" i="30"/>
  <c r="T257" i="30"/>
  <c r="T169" i="30"/>
  <c r="X185" i="30"/>
  <c r="N136" i="30"/>
  <c r="T161" i="30"/>
  <c r="T158" i="30"/>
  <c r="X70" i="30"/>
  <c r="X55" i="30"/>
  <c r="X42" i="30"/>
  <c r="T33" i="30"/>
  <c r="T80" i="30"/>
  <c r="T185" i="30"/>
  <c r="X273" i="30"/>
  <c r="T204" i="30"/>
  <c r="X126" i="30"/>
  <c r="X116" i="30"/>
  <c r="X113" i="30"/>
  <c r="T70" i="30"/>
  <c r="X66" i="30"/>
  <c r="T55" i="30"/>
  <c r="N42" i="30"/>
  <c r="X39" i="30"/>
  <c r="X36" i="30"/>
  <c r="N33" i="30"/>
  <c r="T29" i="30"/>
  <c r="T22" i="30"/>
  <c r="X19" i="30"/>
  <c r="N298" i="30"/>
  <c r="N280" i="30"/>
  <c r="N78" i="30"/>
  <c r="X171" i="30"/>
  <c r="N182" i="30"/>
  <c r="N178" i="30"/>
  <c r="N273" i="30"/>
  <c r="T126" i="30"/>
  <c r="T113" i="30"/>
  <c r="X25" i="30"/>
  <c r="N22" i="30"/>
  <c r="T89" i="30"/>
  <c r="X251" i="30"/>
  <c r="T247" i="30"/>
  <c r="X237" i="30"/>
  <c r="T213" i="30"/>
  <c r="T277" i="30"/>
  <c r="N267" i="30"/>
  <c r="T251" i="30"/>
  <c r="X242" i="30"/>
  <c r="T239" i="30"/>
  <c r="T173" i="30"/>
  <c r="T168" i="30"/>
  <c r="T111" i="30"/>
  <c r="T46" i="30"/>
  <c r="N38" i="30"/>
  <c r="X88" i="30"/>
  <c r="T149" i="30"/>
  <c r="T88" i="30"/>
  <c r="T255" i="30"/>
  <c r="X246" i="30"/>
  <c r="X238" i="30"/>
  <c r="X236" i="30"/>
  <c r="X212" i="30"/>
  <c r="T272" i="30"/>
  <c r="T266" i="30"/>
  <c r="X133" i="30"/>
  <c r="N149" i="30"/>
  <c r="T119" i="30"/>
  <c r="T32" i="30"/>
  <c r="X28" i="30"/>
  <c r="N6" i="30"/>
  <c r="X299" i="30"/>
  <c r="X280" i="30"/>
  <c r="T246" i="30"/>
  <c r="T238" i="30"/>
  <c r="T75" i="30"/>
  <c r="X184" i="30"/>
  <c r="X181" i="30"/>
  <c r="X178" i="30"/>
  <c r="N266" i="30"/>
  <c r="X103" i="30"/>
  <c r="T133" i="30"/>
  <c r="T12" i="30"/>
  <c r="T6" i="30"/>
  <c r="T299" i="30"/>
  <c r="T96" i="30"/>
  <c r="T280" i="30"/>
  <c r="T190" i="30"/>
  <c r="X252" i="30"/>
  <c r="X75" i="30"/>
  <c r="T178" i="30"/>
  <c r="T240" i="30"/>
  <c r="T181" i="30"/>
  <c r="T11" i="30"/>
  <c r="X277" i="30"/>
  <c r="T267" i="30"/>
  <c r="X68" i="30"/>
  <c r="T30" i="30"/>
  <c r="X11" i="30"/>
  <c r="N110" i="30"/>
  <c r="T110" i="30"/>
  <c r="X110" i="30"/>
  <c r="X89" i="30"/>
  <c r="X95" i="30"/>
  <c r="T201" i="30"/>
  <c r="X199" i="30"/>
  <c r="N192" i="30"/>
  <c r="X190" i="30"/>
  <c r="X260" i="30"/>
  <c r="X249" i="30"/>
  <c r="X244" i="30"/>
  <c r="T241" i="30"/>
  <c r="X239" i="30"/>
  <c r="N234" i="30"/>
  <c r="X231" i="30"/>
  <c r="N226" i="30"/>
  <c r="X223" i="30"/>
  <c r="N221" i="30"/>
  <c r="T218" i="30"/>
  <c r="X218" i="30"/>
  <c r="T215" i="30"/>
  <c r="T77" i="30"/>
  <c r="T172" i="30"/>
  <c r="X172" i="30"/>
  <c r="X40" i="30"/>
  <c r="N63" i="30"/>
  <c r="T63" i="30"/>
  <c r="X63" i="30"/>
  <c r="X98" i="30"/>
  <c r="X247" i="30"/>
  <c r="T231" i="30"/>
  <c r="X228" i="30"/>
  <c r="X217" i="30"/>
  <c r="T212" i="30"/>
  <c r="T81" i="30"/>
  <c r="X81" i="30"/>
  <c r="T74" i="30"/>
  <c r="X74" i="30"/>
  <c r="N160" i="30"/>
  <c r="T160" i="30"/>
  <c r="X160" i="30"/>
  <c r="X45" i="30"/>
  <c r="N40" i="30"/>
  <c r="T40" i="30"/>
  <c r="X289" i="30"/>
  <c r="N174" i="30"/>
  <c r="T174" i="30"/>
  <c r="X174" i="30"/>
  <c r="N268" i="30"/>
  <c r="T268" i="30"/>
  <c r="X268" i="30"/>
  <c r="N135" i="30"/>
  <c r="T135" i="30"/>
  <c r="X135" i="30"/>
  <c r="N45" i="30"/>
  <c r="T45" i="30"/>
  <c r="N31" i="30"/>
  <c r="T31" i="30"/>
  <c r="X31" i="30"/>
  <c r="X202" i="30"/>
  <c r="T193" i="30"/>
  <c r="X191" i="30"/>
  <c r="X240" i="30"/>
  <c r="T237" i="30"/>
  <c r="X235" i="30"/>
  <c r="T220" i="30"/>
  <c r="X220" i="30"/>
  <c r="X78" i="30"/>
  <c r="N76" i="30"/>
  <c r="T76" i="30"/>
  <c r="X173" i="30"/>
  <c r="N155" i="30"/>
  <c r="T69" i="30"/>
  <c r="X69" i="30"/>
  <c r="X287" i="30"/>
  <c r="X298" i="30"/>
  <c r="T289" i="30"/>
  <c r="T287" i="30"/>
  <c r="X96" i="30"/>
  <c r="X200" i="30"/>
  <c r="T258" i="30"/>
  <c r="X245" i="30"/>
  <c r="N223" i="30"/>
  <c r="X90" i="30"/>
  <c r="X279" i="30"/>
  <c r="T202" i="30"/>
  <c r="X198" i="30"/>
  <c r="X250" i="30"/>
  <c r="X248" i="30"/>
  <c r="T235" i="30"/>
  <c r="N230" i="30"/>
  <c r="X227" i="30"/>
  <c r="T222" i="30"/>
  <c r="X219" i="30"/>
  <c r="N214" i="30"/>
  <c r="N210" i="30"/>
  <c r="T83" i="30"/>
  <c r="X83" i="30"/>
  <c r="T78" i="30"/>
  <c r="N180" i="30"/>
  <c r="T180" i="30"/>
  <c r="X180" i="30"/>
  <c r="T150" i="30"/>
  <c r="N162" i="30"/>
  <c r="T162" i="30"/>
  <c r="X162" i="30"/>
  <c r="X154" i="30"/>
  <c r="T154" i="30"/>
  <c r="X8" i="30"/>
  <c r="T90" i="30"/>
  <c r="T279" i="30"/>
  <c r="T198" i="30"/>
  <c r="T250" i="30"/>
  <c r="T248" i="30"/>
  <c r="X232" i="30"/>
  <c r="T227" i="30"/>
  <c r="X224" i="30"/>
  <c r="N222" i="30"/>
  <c r="N219" i="30"/>
  <c r="X213" i="30"/>
  <c r="X82" i="30"/>
  <c r="T187" i="30"/>
  <c r="X187" i="30"/>
  <c r="N270" i="30"/>
  <c r="T270" i="30"/>
  <c r="X270" i="30"/>
  <c r="N117" i="30"/>
  <c r="T117" i="30"/>
  <c r="X117" i="30"/>
  <c r="N8" i="30"/>
  <c r="T8" i="30"/>
  <c r="N232" i="30"/>
  <c r="N224" i="30"/>
  <c r="N213" i="30"/>
  <c r="T209" i="30"/>
  <c r="X209" i="30"/>
  <c r="N82" i="30"/>
  <c r="N187" i="30"/>
  <c r="N173" i="30"/>
  <c r="N111" i="30"/>
  <c r="X159" i="30"/>
  <c r="X71" i="30"/>
  <c r="N66" i="30"/>
  <c r="N64" i="30"/>
  <c r="X62" i="30"/>
  <c r="X50" i="30"/>
  <c r="T44" i="30"/>
  <c r="T39" i="30"/>
  <c r="N36" i="30"/>
  <c r="N34" i="30"/>
  <c r="N32" i="30"/>
  <c r="X30" i="30"/>
  <c r="N27" i="30"/>
  <c r="N25" i="30"/>
  <c r="N23" i="30"/>
  <c r="N21" i="30"/>
  <c r="N19" i="30"/>
  <c r="N17" i="30"/>
  <c r="X14" i="30"/>
  <c r="X12" i="30"/>
  <c r="T7" i="30"/>
  <c r="X167" i="30"/>
  <c r="X165" i="30"/>
  <c r="T184" i="30"/>
  <c r="X182" i="30"/>
  <c r="X179" i="30"/>
  <c r="T103" i="30"/>
  <c r="X207" i="30"/>
  <c r="X205" i="30"/>
  <c r="T92" i="30"/>
  <c r="T134" i="30"/>
  <c r="T129" i="30"/>
  <c r="X127" i="30"/>
  <c r="X125" i="30"/>
  <c r="X119" i="30"/>
  <c r="T116" i="30"/>
  <c r="X114" i="30"/>
  <c r="X112" i="30"/>
  <c r="X157" i="30"/>
  <c r="N154" i="30"/>
  <c r="T71" i="30"/>
  <c r="T62" i="30"/>
  <c r="X60" i="30"/>
  <c r="X58" i="30"/>
  <c r="X56" i="30"/>
  <c r="X54" i="30"/>
  <c r="X52" i="30"/>
  <c r="T50" i="30"/>
  <c r="N44" i="30"/>
  <c r="N39" i="30"/>
  <c r="T14" i="30"/>
  <c r="N7" i="30"/>
  <c r="X5" i="30"/>
  <c r="T167" i="30"/>
  <c r="T165" i="30"/>
  <c r="T179" i="30"/>
  <c r="X177" i="30"/>
  <c r="X276" i="30"/>
  <c r="X274" i="30"/>
  <c r="X272" i="30"/>
  <c r="X101" i="30"/>
  <c r="T207" i="30"/>
  <c r="T205" i="30"/>
  <c r="X143" i="30"/>
  <c r="X141" i="30"/>
  <c r="X139" i="30"/>
  <c r="X137" i="30"/>
  <c r="X132" i="30"/>
  <c r="T127" i="30"/>
  <c r="T125" i="30"/>
  <c r="X150" i="30"/>
  <c r="T114" i="30"/>
  <c r="T157" i="30"/>
  <c r="N69" i="30"/>
  <c r="X67" i="30"/>
  <c r="X65" i="30"/>
  <c r="T60" i="30"/>
  <c r="T58" i="30"/>
  <c r="T56" i="30"/>
  <c r="T54" i="30"/>
  <c r="T5" i="30"/>
  <c r="T177" i="30"/>
  <c r="T276" i="30"/>
  <c r="T274" i="30"/>
  <c r="T101" i="30"/>
  <c r="T143" i="30"/>
  <c r="T141" i="30"/>
  <c r="T139" i="30"/>
  <c r="T137" i="30"/>
  <c r="T67" i="30"/>
  <c r="T65" i="30"/>
  <c r="X46" i="30"/>
  <c r="X41" i="30"/>
  <c r="X29" i="30"/>
  <c r="M23" i="7"/>
  <c r="M21" i="7"/>
  <c r="M19" i="7"/>
  <c r="M17" i="7"/>
  <c r="P24" i="7"/>
  <c r="P18" i="7"/>
  <c r="M6" i="7"/>
  <c r="M9" i="7"/>
  <c r="M7" i="7"/>
  <c r="AC9" i="31" l="1"/>
  <c r="AG9" i="31"/>
  <c r="AE9" i="31"/>
  <c r="M9" i="31"/>
  <c r="AJ9" i="31"/>
  <c r="AR9" i="31"/>
  <c r="Y9" i="31"/>
  <c r="Q9" i="31"/>
  <c r="AI9" i="31"/>
  <c r="AQ9" i="31"/>
  <c r="AL9" i="31"/>
  <c r="AK9" i="31"/>
  <c r="O9" i="31"/>
  <c r="AO9" i="31"/>
  <c r="U9" i="31"/>
  <c r="AA9" i="31"/>
  <c r="AP9" i="31"/>
  <c r="AH9" i="31"/>
  <c r="AS9" i="31"/>
  <c r="W9" i="31"/>
  <c r="S9" i="31"/>
  <c r="AN9" i="31"/>
  <c r="M10" i="31"/>
  <c r="AA10" i="31"/>
  <c r="Y10" i="31"/>
  <c r="U10" i="31"/>
  <c r="AG10" i="31"/>
  <c r="AN10" i="31"/>
  <c r="AI10" i="31"/>
  <c r="AC10" i="31"/>
  <c r="O10" i="31"/>
  <c r="W10" i="31"/>
  <c r="AE10" i="31"/>
  <c r="AK10" i="31"/>
  <c r="Q10" i="31"/>
  <c r="AS10" i="31"/>
  <c r="AQ10" i="31"/>
  <c r="AL10" i="31"/>
  <c r="AO10" i="31"/>
  <c r="AR10" i="31"/>
  <c r="AH10" i="31"/>
  <c r="AJ10" i="31"/>
  <c r="S10" i="31"/>
  <c r="AP10" i="31"/>
  <c r="Q82" i="31"/>
  <c r="AG82" i="31"/>
  <c r="S82" i="31"/>
  <c r="O82" i="31"/>
  <c r="U82" i="31"/>
  <c r="Y82" i="31"/>
  <c r="W82" i="31"/>
  <c r="AE82" i="31"/>
  <c r="AA82" i="31"/>
  <c r="M82" i="31"/>
  <c r="AC82" i="31"/>
  <c r="X156" i="30"/>
  <c r="T156" i="30"/>
  <c r="N156" i="30"/>
  <c r="N300" i="30" s="1"/>
  <c r="T155" i="30"/>
  <c r="X155" i="30"/>
  <c r="AE4" i="31" l="1"/>
  <c r="M4" i="31"/>
  <c r="AG4" i="31"/>
  <c r="W4" i="31"/>
  <c r="BG4" i="31"/>
  <c r="BG6" i="31" s="1"/>
  <c r="T300" i="30"/>
  <c r="O304" i="30" s="1"/>
  <c r="Y304" i="30" s="1"/>
  <c r="BB4" i="31"/>
  <c r="BB6" i="31" s="1"/>
  <c r="X300" i="30"/>
  <c r="S372" i="31"/>
  <c r="S377" i="31" s="1"/>
  <c r="S381" i="31" s="1"/>
  <c r="BH4" i="31"/>
  <c r="BH6" i="31" s="1"/>
  <c r="BH8" i="31" s="1"/>
  <c r="BA4" i="31"/>
  <c r="BA6" i="31" s="1"/>
  <c r="BF4" i="31"/>
  <c r="BF6" i="31" s="1"/>
  <c r="BF8" i="31" s="1"/>
  <c r="BE4" i="31"/>
  <c r="BE6" i="31" s="1"/>
  <c r="BE8" i="31" s="1"/>
  <c r="BI4" i="31"/>
  <c r="BI6" i="31" s="1"/>
  <c r="BI8" i="31" s="1"/>
  <c r="BD4" i="31"/>
  <c r="BD6" i="31" s="1"/>
  <c r="BC4" i="31"/>
  <c r="BC6" i="31" s="1"/>
  <c r="BG8" i="31" l="1"/>
  <c r="BA8" i="31"/>
  <c r="R372" i="31"/>
  <c r="BD8" i="31"/>
  <c r="BC8" i="31"/>
  <c r="BB8" i="31"/>
  <c r="BA9" i="31" l="1"/>
  <c r="BA10" i="31" s="1"/>
  <c r="BC9" i="31"/>
  <c r="BC10" i="31" s="1"/>
  <c r="BG9" i="31"/>
  <c r="BG10" i="31" s="1"/>
  <c r="R377" i="31"/>
  <c r="R381" i="31" s="1"/>
  <c r="BI9" i="31"/>
  <c r="BI10" i="31" s="1"/>
  <c r="BD9" i="31"/>
  <c r="BD10" i="31" s="1"/>
  <c r="BF9" i="31"/>
  <c r="BF10" i="31" s="1"/>
  <c r="BB9" i="31"/>
  <c r="BB10" i="31" s="1"/>
  <c r="BH9" i="31"/>
  <c r="BH10" i="31" s="1"/>
  <c r="BE9" i="31" l="1"/>
  <c r="BE10" i="31" s="1"/>
  <c r="P14" i="6" l="1"/>
  <c r="O14" i="6"/>
  <c r="N14" i="6"/>
  <c r="M14" i="6"/>
  <c r="L14" i="6"/>
  <c r="K14" i="6"/>
  <c r="J14" i="6"/>
  <c r="I14" i="6"/>
  <c r="H14" i="6"/>
  <c r="G14" i="6"/>
  <c r="F14" i="6"/>
  <c r="E14" i="6"/>
  <c r="P15" i="6"/>
  <c r="O15" i="6"/>
  <c r="N15" i="6"/>
  <c r="M15" i="6"/>
  <c r="L15" i="6"/>
  <c r="K15" i="6"/>
  <c r="J15" i="6"/>
  <c r="I15" i="6"/>
  <c r="H15" i="6"/>
  <c r="G15" i="6"/>
  <c r="F15" i="6"/>
  <c r="E15" i="6"/>
  <c r="E11" i="6"/>
  <c r="F11" i="6"/>
  <c r="G11" i="6"/>
  <c r="H11" i="6"/>
  <c r="I11" i="6"/>
  <c r="J11" i="6"/>
  <c r="K11" i="6"/>
  <c r="L11" i="6"/>
  <c r="M11" i="6"/>
  <c r="N11" i="6"/>
  <c r="O11" i="6"/>
  <c r="P11" i="6"/>
  <c r="P25" i="6" l="1"/>
  <c r="O25" i="6"/>
  <c r="N25" i="6"/>
  <c r="M25" i="6"/>
  <c r="L25" i="6"/>
  <c r="K25" i="6"/>
  <c r="J25" i="6"/>
  <c r="I25" i="6"/>
  <c r="H25" i="6"/>
  <c r="G25" i="6"/>
  <c r="F25" i="6"/>
  <c r="E25" i="6"/>
  <c r="P5" i="6"/>
  <c r="O5" i="6"/>
  <c r="N5" i="6"/>
  <c r="M5" i="6"/>
  <c r="L5" i="6"/>
  <c r="K5" i="6"/>
  <c r="J5" i="6"/>
  <c r="I5" i="6"/>
  <c r="H5" i="6"/>
  <c r="G5" i="6"/>
  <c r="F5" i="6"/>
  <c r="E5" i="6"/>
  <c r="Z14" i="31" l="1"/>
  <c r="X14" i="31"/>
  <c r="AO14" i="31" l="1"/>
  <c r="AA14" i="31"/>
  <c r="Y14" i="31"/>
  <c r="AN14" i="31"/>
  <c r="F320" i="31" l="1"/>
  <c r="F78" i="31"/>
  <c r="F49" i="31"/>
  <c r="F325" i="31"/>
  <c r="F302" i="31"/>
  <c r="F101" i="31"/>
  <c r="F232" i="31"/>
  <c r="F94" i="31"/>
  <c r="F129" i="31"/>
  <c r="F306" i="31"/>
  <c r="F125" i="31"/>
  <c r="F229" i="31"/>
  <c r="F81" i="31"/>
  <c r="F62" i="31"/>
  <c r="F106" i="31"/>
  <c r="F47" i="31"/>
  <c r="H47" i="31" s="1"/>
  <c r="F96" i="31"/>
  <c r="F178" i="31"/>
  <c r="F79" i="31"/>
  <c r="K94" i="31" l="1"/>
  <c r="H94" i="31"/>
  <c r="I94" i="31" s="1"/>
  <c r="K232" i="31"/>
  <c r="H232" i="31"/>
  <c r="I232" i="31" s="1"/>
  <c r="H79" i="31"/>
  <c r="I79" i="31" s="1"/>
  <c r="K79" i="31"/>
  <c r="I47" i="31"/>
  <c r="K47" i="31"/>
  <c r="H62" i="31"/>
  <c r="I62" i="31" s="1"/>
  <c r="K62" i="31"/>
  <c r="H48" i="31"/>
  <c r="K48" i="31"/>
  <c r="H106" i="31"/>
  <c r="I106" i="31" s="1"/>
  <c r="K106" i="31"/>
  <c r="K125" i="31"/>
  <c r="H125" i="31"/>
  <c r="I125" i="31" s="1"/>
  <c r="H101" i="31"/>
  <c r="I101" i="31" s="1"/>
  <c r="K101" i="31"/>
  <c r="K49" i="31"/>
  <c r="H49" i="31"/>
  <c r="I49" i="31" s="1"/>
  <c r="K178" i="31"/>
  <c r="H178" i="31"/>
  <c r="I178" i="31" s="1"/>
  <c r="H229" i="31"/>
  <c r="I229" i="31" s="1"/>
  <c r="K229" i="31"/>
  <c r="K96" i="31"/>
  <c r="H96" i="31"/>
  <c r="F307" i="31"/>
  <c r="D686" i="31" s="1"/>
  <c r="H306" i="31"/>
  <c r="K306" i="31"/>
  <c r="K307" i="31" s="1"/>
  <c r="K686" i="31" s="1"/>
  <c r="K691" i="31" s="1"/>
  <c r="K695" i="31" s="1"/>
  <c r="H129" i="31"/>
  <c r="I129" i="31" s="1"/>
  <c r="K129" i="31"/>
  <c r="K78" i="31"/>
  <c r="H78" i="31"/>
  <c r="I78" i="31" s="1"/>
  <c r="H302" i="31"/>
  <c r="F303" i="31"/>
  <c r="D671" i="31" s="1"/>
  <c r="K302" i="31"/>
  <c r="K303" i="31" s="1"/>
  <c r="K671" i="31" s="1"/>
  <c r="K676" i="31" s="1"/>
  <c r="K680" i="31" s="1"/>
  <c r="K325" i="31"/>
  <c r="H325" i="31"/>
  <c r="K81" i="31"/>
  <c r="H81" i="31"/>
  <c r="I81" i="31" s="1"/>
  <c r="H320" i="31"/>
  <c r="I320" i="31" s="1"/>
  <c r="K320" i="31"/>
  <c r="AT50" i="31" l="1"/>
  <c r="I48" i="31"/>
  <c r="H307" i="31"/>
  <c r="I307" i="31" s="1"/>
  <c r="I306" i="31"/>
  <c r="H303" i="31"/>
  <c r="I303" i="31" s="1"/>
  <c r="I302" i="31"/>
  <c r="D691" i="31"/>
  <c r="D695" i="31" s="1"/>
  <c r="E686" i="31"/>
  <c r="E691" i="31" s="1"/>
  <c r="E695" i="31" s="1"/>
  <c r="D676" i="31"/>
  <c r="D680" i="31" s="1"/>
  <c r="E671" i="31"/>
  <c r="E676" i="31" s="1"/>
  <c r="E680" i="31" s="1"/>
  <c r="I325" i="31"/>
  <c r="E50" i="26" l="1"/>
  <c r="G5881" i="33" s="1"/>
  <c r="E64" i="26"/>
  <c r="G2" i="9" l="1"/>
  <c r="C2" i="6"/>
  <c r="C2" i="12"/>
  <c r="D2" i="7"/>
  <c r="C2" i="5"/>
  <c r="G13" i="9"/>
  <c r="G12" i="9"/>
  <c r="Z6" i="31" l="1"/>
  <c r="AO6" i="31" l="1"/>
  <c r="AA6" i="31"/>
  <c r="AA4" i="31" s="1"/>
  <c r="AQ15" i="23" l="1"/>
  <c r="AO15" i="23"/>
  <c r="F7" i="6" l="1"/>
  <c r="F8" i="6"/>
  <c r="F19" i="6"/>
  <c r="F20" i="6"/>
  <c r="F21" i="6"/>
  <c r="F9" i="6"/>
  <c r="F22" i="6"/>
  <c r="F23" i="6"/>
  <c r="F12" i="6"/>
  <c r="F24" i="6"/>
  <c r="F13" i="6"/>
  <c r="F16" i="6"/>
  <c r="F17" i="6"/>
  <c r="F18" i="6"/>
  <c r="F10" i="6"/>
  <c r="F6" i="6"/>
  <c r="H7" i="6"/>
  <c r="H8" i="6"/>
  <c r="H19" i="6"/>
  <c r="H20" i="6"/>
  <c r="H21" i="6"/>
  <c r="H9" i="6"/>
  <c r="H22" i="6"/>
  <c r="H23" i="6"/>
  <c r="H24" i="6"/>
  <c r="H13" i="6"/>
  <c r="H16" i="6"/>
  <c r="H18" i="6"/>
  <c r="H10" i="6"/>
  <c r="H27" i="6"/>
  <c r="H6" i="6"/>
  <c r="G19" i="6"/>
  <c r="G20" i="6"/>
  <c r="G21" i="6"/>
  <c r="G9" i="6"/>
  <c r="G22" i="6"/>
  <c r="G23" i="6"/>
  <c r="G16" i="6"/>
  <c r="G10" i="6"/>
  <c r="G27" i="6"/>
  <c r="G6" i="6"/>
  <c r="F123" i="7"/>
  <c r="D211" i="7"/>
  <c r="F211" i="7" s="1"/>
  <c r="D193" i="7"/>
  <c r="F193" i="7" s="1"/>
  <c r="D157" i="7"/>
  <c r="F157" i="7" s="1"/>
  <c r="J173" i="5"/>
  <c r="J171" i="5"/>
  <c r="J169" i="5"/>
  <c r="J168" i="5"/>
  <c r="J166" i="5"/>
  <c r="J165" i="5"/>
  <c r="J164" i="5"/>
  <c r="J163" i="5"/>
  <c r="J161" i="5"/>
  <c r="J159" i="5"/>
  <c r="J158" i="5"/>
  <c r="J157" i="5"/>
  <c r="J156" i="5"/>
  <c r="J155" i="5"/>
  <c r="J154" i="5"/>
  <c r="J153" i="5"/>
  <c r="J152" i="5"/>
  <c r="J151" i="5"/>
  <c r="J150" i="5"/>
  <c r="J149" i="5"/>
  <c r="J148" i="5"/>
  <c r="J147" i="5"/>
  <c r="J146" i="5"/>
  <c r="J144" i="5"/>
  <c r="J142" i="5"/>
  <c r="J141" i="5"/>
  <c r="J140" i="5"/>
  <c r="J139" i="5"/>
  <c r="J138" i="5"/>
  <c r="J137" i="5"/>
  <c r="J135" i="5"/>
  <c r="J134" i="5"/>
  <c r="J133" i="5"/>
  <c r="J129" i="5"/>
  <c r="J128" i="5"/>
  <c r="J127" i="5"/>
  <c r="J126" i="5"/>
  <c r="J124" i="5"/>
  <c r="J123" i="5"/>
  <c r="J122" i="5"/>
  <c r="J121" i="5"/>
  <c r="J120" i="5"/>
  <c r="J119" i="5"/>
  <c r="J118" i="5"/>
  <c r="J117" i="5"/>
  <c r="J116" i="5"/>
  <c r="J115" i="5"/>
  <c r="J113" i="5"/>
  <c r="J112" i="5"/>
  <c r="J111" i="5"/>
  <c r="J110" i="5"/>
  <c r="J109" i="5"/>
  <c r="J108" i="5"/>
  <c r="J107" i="5"/>
  <c r="J106" i="5"/>
  <c r="J104" i="5"/>
  <c r="J103" i="5"/>
  <c r="J102" i="5"/>
  <c r="J101" i="5"/>
  <c r="J100" i="5"/>
  <c r="J99" i="5"/>
  <c r="J98" i="5"/>
  <c r="J97" i="5"/>
  <c r="J96" i="5"/>
  <c r="J95" i="5"/>
  <c r="J94" i="5"/>
  <c r="J92" i="5"/>
  <c r="J91" i="5"/>
  <c r="J90" i="5"/>
  <c r="J89" i="5"/>
  <c r="J88" i="5"/>
  <c r="J87" i="5"/>
  <c r="J86" i="5"/>
  <c r="J84" i="5"/>
  <c r="J83" i="5"/>
  <c r="J82" i="5"/>
  <c r="J80" i="5"/>
  <c r="J79" i="5"/>
  <c r="J78" i="5"/>
  <c r="J77" i="5"/>
  <c r="J76" i="5"/>
  <c r="J74" i="5"/>
  <c r="J72" i="5"/>
  <c r="J70" i="5"/>
  <c r="J69" i="5"/>
  <c r="J68" i="5"/>
  <c r="J67" i="5"/>
  <c r="J65" i="5"/>
  <c r="J64" i="5"/>
  <c r="J62" i="5"/>
  <c r="J61" i="5"/>
  <c r="J60" i="5"/>
  <c r="J59" i="5"/>
  <c r="J58" i="5"/>
  <c r="J57" i="5"/>
  <c r="J56" i="5"/>
  <c r="J54" i="5"/>
  <c r="J53" i="5"/>
  <c r="J52" i="5"/>
  <c r="J50" i="5"/>
  <c r="J49" i="5"/>
  <c r="J48" i="5"/>
  <c r="J47" i="5"/>
  <c r="J46" i="5"/>
  <c r="J45" i="5"/>
  <c r="J44" i="5"/>
  <c r="J43" i="5"/>
  <c r="J42" i="5"/>
  <c r="J40" i="5"/>
  <c r="J39" i="5"/>
  <c r="J38" i="5"/>
  <c r="J37" i="5"/>
  <c r="J36" i="5"/>
  <c r="J35" i="5"/>
  <c r="J33" i="5"/>
  <c r="J32" i="5"/>
  <c r="J31" i="5"/>
  <c r="J30" i="5"/>
  <c r="J29" i="5"/>
  <c r="J27" i="5"/>
  <c r="J26" i="5"/>
  <c r="J6" i="5"/>
  <c r="J7" i="5"/>
  <c r="J8" i="5"/>
  <c r="J9" i="5"/>
  <c r="J10" i="5"/>
  <c r="J11" i="5"/>
  <c r="J12" i="5"/>
  <c r="J14" i="5"/>
  <c r="J15" i="5"/>
  <c r="J16" i="5"/>
  <c r="J17" i="5"/>
  <c r="J18" i="5"/>
  <c r="J19" i="5"/>
  <c r="J20" i="5"/>
  <c r="J21" i="5"/>
  <c r="J22" i="5"/>
  <c r="J5" i="5"/>
  <c r="F173" i="5"/>
  <c r="F171" i="5"/>
  <c r="F170" i="5"/>
  <c r="F169" i="5"/>
  <c r="F168" i="5"/>
  <c r="F167" i="5"/>
  <c r="F166" i="5"/>
  <c r="F165" i="5"/>
  <c r="F164" i="5"/>
  <c r="F163" i="5"/>
  <c r="F161" i="5"/>
  <c r="F159" i="5"/>
  <c r="F158" i="5"/>
  <c r="F157" i="5"/>
  <c r="F156" i="5"/>
  <c r="F155" i="5"/>
  <c r="F154" i="5"/>
  <c r="F153" i="5"/>
  <c r="F152" i="5"/>
  <c r="F151" i="5"/>
  <c r="F150" i="5"/>
  <c r="F149" i="5"/>
  <c r="F148" i="5"/>
  <c r="F147" i="5"/>
  <c r="F146" i="5"/>
  <c r="F144" i="5"/>
  <c r="F142" i="5"/>
  <c r="F141" i="5"/>
  <c r="F140" i="5"/>
  <c r="F139" i="5"/>
  <c r="F138" i="5"/>
  <c r="F137" i="5"/>
  <c r="F135" i="5"/>
  <c r="F134" i="5"/>
  <c r="F133" i="5"/>
  <c r="F131" i="5"/>
  <c r="F130" i="5"/>
  <c r="F129" i="5"/>
  <c r="F128" i="5"/>
  <c r="F127" i="5"/>
  <c r="F126" i="5"/>
  <c r="F124" i="5"/>
  <c r="F123" i="5"/>
  <c r="F122" i="5"/>
  <c r="F121" i="5"/>
  <c r="F120" i="5"/>
  <c r="F119" i="5"/>
  <c r="F118" i="5"/>
  <c r="F117" i="5"/>
  <c r="F116" i="5"/>
  <c r="F115" i="5"/>
  <c r="F113" i="5"/>
  <c r="F112" i="5"/>
  <c r="F111" i="5"/>
  <c r="F110" i="5"/>
  <c r="F109" i="5"/>
  <c r="F108" i="5"/>
  <c r="F107" i="5"/>
  <c r="F106" i="5"/>
  <c r="F104" i="5"/>
  <c r="F103" i="5"/>
  <c r="F102" i="5"/>
  <c r="F101" i="5"/>
  <c r="F100" i="5"/>
  <c r="F99" i="5"/>
  <c r="F98" i="5"/>
  <c r="F97" i="5"/>
  <c r="F96" i="5"/>
  <c r="F95" i="5"/>
  <c r="F94" i="5"/>
  <c r="F92" i="5"/>
  <c r="F91" i="5"/>
  <c r="F90" i="5"/>
  <c r="F89" i="5"/>
  <c r="F88" i="5"/>
  <c r="F87" i="5"/>
  <c r="F86" i="5"/>
  <c r="F84" i="5"/>
  <c r="F83" i="5"/>
  <c r="F82" i="5"/>
  <c r="F80" i="5"/>
  <c r="F79" i="5"/>
  <c r="F78" i="5"/>
  <c r="F77" i="5"/>
  <c r="F76" i="5"/>
  <c r="F74" i="5"/>
  <c r="F72" i="5"/>
  <c r="F70" i="5"/>
  <c r="F69" i="5"/>
  <c r="F68" i="5"/>
  <c r="F67" i="5"/>
  <c r="F65" i="5"/>
  <c r="F64" i="5"/>
  <c r="F62" i="5"/>
  <c r="F61" i="5"/>
  <c r="F60" i="5"/>
  <c r="F59" i="5"/>
  <c r="F58" i="5"/>
  <c r="F57" i="5"/>
  <c r="F56" i="5"/>
  <c r="F54" i="5"/>
  <c r="F53" i="5"/>
  <c r="F52" i="5"/>
  <c r="F51" i="5"/>
  <c r="F50" i="5"/>
  <c r="F49" i="5"/>
  <c r="F48" i="5"/>
  <c r="F47" i="5"/>
  <c r="F46" i="5"/>
  <c r="F45" i="5"/>
  <c r="F44" i="5"/>
  <c r="F43" i="5"/>
  <c r="F42" i="5"/>
  <c r="F40" i="5"/>
  <c r="F39" i="5"/>
  <c r="F38" i="5"/>
  <c r="F37" i="5"/>
  <c r="F36" i="5"/>
  <c r="F35" i="5"/>
  <c r="F34" i="5"/>
  <c r="F33" i="5"/>
  <c r="F32" i="5"/>
  <c r="F31" i="5"/>
  <c r="F30" i="5"/>
  <c r="F29" i="5"/>
  <c r="F27" i="5"/>
  <c r="F26" i="5"/>
  <c r="F25" i="5"/>
  <c r="F24" i="5"/>
  <c r="F6" i="5"/>
  <c r="F7" i="5"/>
  <c r="F8" i="5"/>
  <c r="F9" i="5"/>
  <c r="F10" i="5"/>
  <c r="F11" i="5"/>
  <c r="F12" i="5"/>
  <c r="F13" i="5"/>
  <c r="F14" i="5"/>
  <c r="F15" i="5"/>
  <c r="F16" i="5"/>
  <c r="F17" i="5"/>
  <c r="F18" i="5"/>
  <c r="F19" i="5"/>
  <c r="F20" i="5"/>
  <c r="F21" i="5"/>
  <c r="F22" i="5"/>
  <c r="F5" i="5"/>
  <c r="H173" i="5"/>
  <c r="H171" i="5"/>
  <c r="H168" i="5"/>
  <c r="H165" i="5"/>
  <c r="H163" i="5"/>
  <c r="H161" i="5"/>
  <c r="H159" i="5"/>
  <c r="H157" i="5"/>
  <c r="H156" i="5"/>
  <c r="H155" i="5"/>
  <c r="H154" i="5"/>
  <c r="H153" i="5"/>
  <c r="H152" i="5"/>
  <c r="H151" i="5"/>
  <c r="H150" i="5"/>
  <c r="H149" i="5"/>
  <c r="H148" i="5"/>
  <c r="H147" i="5"/>
  <c r="H146" i="5"/>
  <c r="H144" i="5"/>
  <c r="H142" i="5"/>
  <c r="H141" i="5"/>
  <c r="H140" i="5"/>
  <c r="H139" i="5"/>
  <c r="H138" i="5"/>
  <c r="H137" i="5"/>
  <c r="H135" i="5"/>
  <c r="H134" i="5"/>
  <c r="H133" i="5"/>
  <c r="H130" i="5"/>
  <c r="H129" i="5"/>
  <c r="H128" i="5"/>
  <c r="H127" i="5"/>
  <c r="H126" i="5"/>
  <c r="H124" i="5"/>
  <c r="H123" i="5"/>
  <c r="H122" i="5"/>
  <c r="H121" i="5"/>
  <c r="H120" i="5"/>
  <c r="H119" i="5"/>
  <c r="H118" i="5"/>
  <c r="H117" i="5"/>
  <c r="H116" i="5"/>
  <c r="H115" i="5"/>
  <c r="H113" i="5"/>
  <c r="H112" i="5"/>
  <c r="H111" i="5"/>
  <c r="H110" i="5"/>
  <c r="H109" i="5"/>
  <c r="H108" i="5"/>
  <c r="H107" i="5"/>
  <c r="H106" i="5"/>
  <c r="H104" i="5"/>
  <c r="H103" i="5"/>
  <c r="H102" i="5"/>
  <c r="H101" i="5"/>
  <c r="H100" i="5"/>
  <c r="H99" i="5"/>
  <c r="H98" i="5"/>
  <c r="H97" i="5"/>
  <c r="H96" i="5"/>
  <c r="H94" i="5"/>
  <c r="H92" i="5"/>
  <c r="H91" i="5"/>
  <c r="H90" i="5"/>
  <c r="H89" i="5"/>
  <c r="H88" i="5"/>
  <c r="H87" i="5"/>
  <c r="H86" i="5"/>
  <c r="H84" i="5"/>
  <c r="H83" i="5"/>
  <c r="H79" i="5"/>
  <c r="H78" i="5"/>
  <c r="H77" i="5"/>
  <c r="H76" i="5"/>
  <c r="H74" i="5"/>
  <c r="H72" i="5"/>
  <c r="H70" i="5"/>
  <c r="H69" i="5"/>
  <c r="H68" i="5"/>
  <c r="H67" i="5"/>
  <c r="H65" i="5"/>
  <c r="H64" i="5"/>
  <c r="H62" i="5"/>
  <c r="H60" i="5"/>
  <c r="H58" i="5"/>
  <c r="H57" i="5"/>
  <c r="H56" i="5"/>
  <c r="H54" i="5"/>
  <c r="H53" i="5"/>
  <c r="H52" i="5"/>
  <c r="H50" i="5"/>
  <c r="H49" i="5"/>
  <c r="H47" i="5"/>
  <c r="H46" i="5"/>
  <c r="H45" i="5"/>
  <c r="H44" i="5"/>
  <c r="H40" i="5"/>
  <c r="H39" i="5"/>
  <c r="H38" i="5"/>
  <c r="H36" i="5"/>
  <c r="H35" i="5"/>
  <c r="H33" i="5"/>
  <c r="H32" i="5"/>
  <c r="H31" i="5"/>
  <c r="H30" i="5"/>
  <c r="H27" i="5"/>
  <c r="H26" i="5"/>
  <c r="H8" i="5"/>
  <c r="H9" i="5"/>
  <c r="H10" i="5"/>
  <c r="H11" i="5"/>
  <c r="H12" i="5"/>
  <c r="H13" i="5"/>
  <c r="H14" i="5"/>
  <c r="H15" i="5"/>
  <c r="H16" i="5"/>
  <c r="H17" i="5"/>
  <c r="H18" i="5"/>
  <c r="H19" i="5"/>
  <c r="H20" i="5"/>
  <c r="H21" i="5"/>
  <c r="H22" i="5"/>
  <c r="H5" i="5"/>
  <c r="AE75" i="5"/>
  <c r="AB75" i="5"/>
  <c r="AE69" i="5"/>
  <c r="AB69" i="5"/>
  <c r="F35" i="19"/>
  <c r="T173" i="5"/>
  <c r="T171" i="5"/>
  <c r="T168" i="5"/>
  <c r="T166" i="5"/>
  <c r="T165" i="5"/>
  <c r="T164" i="5"/>
  <c r="T163" i="5"/>
  <c r="T161" i="5"/>
  <c r="T157" i="5"/>
  <c r="T156" i="5"/>
  <c r="T155" i="5"/>
  <c r="T154" i="5"/>
  <c r="T153" i="5"/>
  <c r="T152" i="5"/>
  <c r="T151" i="5"/>
  <c r="T150" i="5"/>
  <c r="T149" i="5"/>
  <c r="T148" i="5"/>
  <c r="T147" i="5"/>
  <c r="T146" i="5"/>
  <c r="T144" i="5"/>
  <c r="T142" i="5"/>
  <c r="T141" i="5"/>
  <c r="T140" i="5"/>
  <c r="T138" i="5"/>
  <c r="T137" i="5"/>
  <c r="T135" i="5"/>
  <c r="T134" i="5"/>
  <c r="T133" i="5"/>
  <c r="T131" i="5"/>
  <c r="T130" i="5"/>
  <c r="T129" i="5"/>
  <c r="T128" i="5"/>
  <c r="T127" i="5"/>
  <c r="T126" i="5"/>
  <c r="T124" i="5"/>
  <c r="T123" i="5"/>
  <c r="T122" i="5"/>
  <c r="T121" i="5"/>
  <c r="T120" i="5"/>
  <c r="T119" i="5"/>
  <c r="T118" i="5"/>
  <c r="T117" i="5"/>
  <c r="T116" i="5"/>
  <c r="T115" i="5"/>
  <c r="T113" i="5"/>
  <c r="T112" i="5"/>
  <c r="T111" i="5"/>
  <c r="T110" i="5"/>
  <c r="T109" i="5"/>
  <c r="T108" i="5"/>
  <c r="T107" i="5"/>
  <c r="T106" i="5"/>
  <c r="T104" i="5"/>
  <c r="T103" i="5"/>
  <c r="T102" i="5"/>
  <c r="T101" i="5"/>
  <c r="T100" i="5"/>
  <c r="T99" i="5"/>
  <c r="T98" i="5"/>
  <c r="T97" i="5"/>
  <c r="T96" i="5"/>
  <c r="T95" i="5"/>
  <c r="T94" i="5"/>
  <c r="T92" i="5"/>
  <c r="T91" i="5"/>
  <c r="T90" i="5"/>
  <c r="T89" i="5"/>
  <c r="T88" i="5"/>
  <c r="T87" i="5"/>
  <c r="T86" i="5"/>
  <c r="T84" i="5"/>
  <c r="T83" i="5"/>
  <c r="T82" i="5"/>
  <c r="T79" i="5"/>
  <c r="T78" i="5"/>
  <c r="T77" i="5"/>
  <c r="T76" i="5"/>
  <c r="T74" i="5"/>
  <c r="T72" i="5"/>
  <c r="T70" i="5"/>
  <c r="T68" i="5"/>
  <c r="T67" i="5"/>
  <c r="T65" i="5"/>
  <c r="T64" i="5"/>
  <c r="T61" i="5"/>
  <c r="T59" i="5"/>
  <c r="T58" i="5"/>
  <c r="T57" i="5"/>
  <c r="T56" i="5"/>
  <c r="T54" i="5"/>
  <c r="T53" i="5"/>
  <c r="T52" i="5"/>
  <c r="T51" i="5"/>
  <c r="T50" i="5"/>
  <c r="T47" i="5"/>
  <c r="T46" i="5"/>
  <c r="T45" i="5"/>
  <c r="T44" i="5"/>
  <c r="T43" i="5"/>
  <c r="T42" i="5"/>
  <c r="T40" i="5"/>
  <c r="T39" i="5"/>
  <c r="T38" i="5"/>
  <c r="T37" i="5"/>
  <c r="T36" i="5"/>
  <c r="T35" i="5"/>
  <c r="T34" i="5"/>
  <c r="T33" i="5"/>
  <c r="T32" i="5"/>
  <c r="T31" i="5"/>
  <c r="T30" i="5"/>
  <c r="T29" i="5"/>
  <c r="T27" i="5"/>
  <c r="T26" i="5"/>
  <c r="T24" i="5"/>
  <c r="T7" i="5"/>
  <c r="T8" i="5"/>
  <c r="T9" i="5"/>
  <c r="T10" i="5"/>
  <c r="T11" i="5"/>
  <c r="T12" i="5"/>
  <c r="T13" i="5"/>
  <c r="T14" i="5"/>
  <c r="T15" i="5"/>
  <c r="T16" i="5"/>
  <c r="T17" i="5"/>
  <c r="T18" i="5"/>
  <c r="T19" i="5"/>
  <c r="T20" i="5"/>
  <c r="T21" i="5"/>
  <c r="T22" i="5"/>
  <c r="T5" i="5"/>
  <c r="AB48" i="5"/>
  <c r="AE48" i="5"/>
  <c r="D48" i="5"/>
  <c r="R48" i="5"/>
  <c r="V48" i="5"/>
  <c r="X48" i="5"/>
  <c r="Z48" i="5"/>
  <c r="AE81" i="5"/>
  <c r="AB81" i="5"/>
  <c r="AE62" i="5"/>
  <c r="AB62" i="5"/>
  <c r="AE60" i="5"/>
  <c r="AB60" i="5"/>
  <c r="F27" i="19"/>
  <c r="AK143" i="5"/>
  <c r="AI143" i="5"/>
  <c r="D60" i="5"/>
  <c r="N60" i="5"/>
  <c r="R60" i="5"/>
  <c r="V60" i="5"/>
  <c r="X60" i="5"/>
  <c r="Z60" i="5"/>
  <c r="D61" i="5"/>
  <c r="N61" i="5"/>
  <c r="R61" i="5"/>
  <c r="V61" i="5"/>
  <c r="X61" i="5"/>
  <c r="Z61" i="5"/>
  <c r="AB61" i="5"/>
  <c r="AE61" i="5"/>
  <c r="D62" i="5"/>
  <c r="N62" i="5"/>
  <c r="R62" i="5"/>
  <c r="V62" i="5"/>
  <c r="X62" i="5"/>
  <c r="Z62" i="5"/>
  <c r="D69" i="5"/>
  <c r="N69" i="5"/>
  <c r="R69" i="5"/>
  <c r="V69" i="5"/>
  <c r="X69" i="5"/>
  <c r="Z69" i="5"/>
  <c r="D70" i="5"/>
  <c r="N70" i="5"/>
  <c r="R70" i="5"/>
  <c r="V70" i="5"/>
  <c r="X70" i="5"/>
  <c r="Z70" i="5"/>
  <c r="AB70" i="5"/>
  <c r="AE70" i="5"/>
  <c r="D75" i="5"/>
  <c r="R75" i="5"/>
  <c r="V75" i="5"/>
  <c r="X75" i="5"/>
  <c r="Z75" i="5"/>
  <c r="U61" i="5" l="1"/>
  <c r="AH61" i="5"/>
  <c r="K48" i="5"/>
  <c r="AN48" i="5"/>
  <c r="Y48" i="5"/>
  <c r="G48" i="5"/>
  <c r="W48" i="5"/>
  <c r="E48" i="5"/>
  <c r="AH48" i="5"/>
  <c r="AG48" i="5"/>
  <c r="S48" i="5"/>
  <c r="AR48" i="5"/>
  <c r="AJ48" i="5"/>
  <c r="AQ48" i="5"/>
  <c r="AA48" i="5"/>
  <c r="AP48" i="5"/>
  <c r="W61" i="5"/>
  <c r="AN61" i="5"/>
  <c r="AR60" i="5"/>
  <c r="AJ70" i="5"/>
  <c r="AH60" i="5"/>
  <c r="E61" i="5"/>
  <c r="I70" i="5"/>
  <c r="AN70" i="5"/>
  <c r="U70" i="5"/>
  <c r="K60" i="5"/>
  <c r="AA61" i="5"/>
  <c r="K61" i="5"/>
  <c r="AG70" i="5"/>
  <c r="AP61" i="5"/>
  <c r="Y61" i="5"/>
  <c r="AA60" i="5"/>
  <c r="AO61" i="5"/>
  <c r="AQ61" i="5"/>
  <c r="G61" i="5"/>
  <c r="AR70" i="5"/>
  <c r="Y70" i="5"/>
  <c r="AH70" i="5"/>
  <c r="AN62" i="5"/>
  <c r="AG61" i="5"/>
  <c r="AJ62" i="5"/>
  <c r="AL60" i="5"/>
  <c r="Y62" i="5"/>
  <c r="AR69" i="5"/>
  <c r="I69" i="5"/>
  <c r="AP62" i="5"/>
  <c r="AH62" i="5"/>
  <c r="S61" i="5"/>
  <c r="AQ60" i="5"/>
  <c r="W60" i="5"/>
  <c r="I60" i="5"/>
  <c r="AA62" i="5"/>
  <c r="AG69" i="5"/>
  <c r="AG62" i="5"/>
  <c r="AL61" i="5"/>
  <c r="AN60" i="5"/>
  <c r="G60" i="5"/>
  <c r="Y60" i="5"/>
  <c r="S62" i="5"/>
  <c r="AJ60" i="5"/>
  <c r="S60" i="5"/>
  <c r="E60" i="5"/>
  <c r="K62" i="5"/>
  <c r="I62" i="5"/>
  <c r="G62" i="5"/>
  <c r="AL62" i="5"/>
  <c r="W62" i="5"/>
  <c r="O62" i="5"/>
  <c r="AI60" i="5"/>
  <c r="AP60" i="5"/>
  <c r="E62" i="5"/>
  <c r="O61" i="5"/>
  <c r="AG60" i="5"/>
  <c r="AR62" i="5"/>
  <c r="AQ62" i="5"/>
  <c r="AI62" i="5"/>
  <c r="O60" i="5"/>
  <c r="AR61" i="5"/>
  <c r="AJ61" i="5"/>
  <c r="AO70" i="5"/>
  <c r="AP70" i="5"/>
  <c r="E70" i="5"/>
  <c r="AN69" i="5"/>
  <c r="AJ69" i="5"/>
  <c r="O69" i="5"/>
  <c r="AL69" i="5"/>
  <c r="AL70" i="5"/>
  <c r="Y69" i="5"/>
  <c r="G69" i="5"/>
  <c r="AR75" i="5"/>
  <c r="AP75" i="5"/>
  <c r="K70" i="5"/>
  <c r="W69" i="5"/>
  <c r="E69" i="5"/>
  <c r="AQ69" i="5"/>
  <c r="AI69" i="5"/>
  <c r="AA69" i="5"/>
  <c r="S69" i="5"/>
  <c r="K69" i="5"/>
  <c r="W70" i="5"/>
  <c r="O70" i="5"/>
  <c r="G70" i="5"/>
  <c r="AP69" i="5"/>
  <c r="AH69" i="5"/>
  <c r="AQ70" i="5"/>
  <c r="AI70" i="5"/>
  <c r="AA70" i="5"/>
  <c r="S70" i="5"/>
  <c r="AN75" i="5"/>
  <c r="Y75" i="5"/>
  <c r="AG75" i="5"/>
  <c r="W75" i="5"/>
  <c r="E75" i="5"/>
  <c r="AQ75" i="5"/>
  <c r="AA75" i="5"/>
  <c r="S75" i="5"/>
  <c r="F102" i="29" l="1"/>
  <c r="F101" i="29"/>
  <c r="F100" i="29"/>
  <c r="F93" i="29"/>
  <c r="F92" i="29"/>
  <c r="F91" i="29"/>
  <c r="F84" i="29"/>
  <c r="F83" i="29"/>
  <c r="F82" i="29"/>
  <c r="F81" i="29"/>
  <c r="F80" i="29"/>
  <c r="F73" i="29"/>
  <c r="F72" i="29"/>
  <c r="F71" i="29"/>
  <c r="F70" i="29"/>
  <c r="F63" i="29"/>
  <c r="F62" i="29"/>
  <c r="F61" i="29"/>
  <c r="F60" i="29"/>
  <c r="F59" i="29"/>
  <c r="F52" i="29"/>
  <c r="F51" i="29"/>
  <c r="F50" i="29"/>
  <c r="F49" i="29"/>
  <c r="F53" i="29" s="1"/>
  <c r="F42" i="29"/>
  <c r="F41" i="29"/>
  <c r="F40" i="29"/>
  <c r="F39" i="29"/>
  <c r="F31" i="29"/>
  <c r="F30" i="29"/>
  <c r="F29" i="29"/>
  <c r="I18" i="29"/>
  <c r="F18" i="29"/>
  <c r="F17" i="29"/>
  <c r="F19" i="29" s="1"/>
  <c r="F10" i="29"/>
  <c r="F9" i="29"/>
  <c r="F103" i="29" l="1"/>
  <c r="F94" i="29"/>
  <c r="F85" i="29"/>
  <c r="F32" i="29"/>
  <c r="F74" i="29"/>
  <c r="F11" i="29"/>
  <c r="F43" i="29"/>
  <c r="F64" i="29"/>
  <c r="I19" i="6"/>
  <c r="I16" i="6"/>
  <c r="I27" i="6"/>
  <c r="I24" i="6"/>
  <c r="I9" i="6"/>
  <c r="I10" i="6"/>
  <c r="I22" i="6"/>
  <c r="I23" i="6"/>
  <c r="I13" i="6"/>
  <c r="I12" i="6"/>
  <c r="I21" i="6"/>
  <c r="I6" i="6"/>
  <c r="L173" i="5"/>
  <c r="L171" i="5"/>
  <c r="L164" i="5"/>
  <c r="L163" i="5"/>
  <c r="L166" i="5"/>
  <c r="L168" i="5"/>
  <c r="L165" i="5"/>
  <c r="L161" i="5"/>
  <c r="L159" i="5"/>
  <c r="L155" i="5"/>
  <c r="L151" i="5"/>
  <c r="L147" i="5"/>
  <c r="L153" i="5"/>
  <c r="L154" i="5"/>
  <c r="L156" i="5"/>
  <c r="L146" i="5"/>
  <c r="L157" i="5"/>
  <c r="L152" i="5"/>
  <c r="L148" i="5"/>
  <c r="L149" i="5"/>
  <c r="L144" i="5"/>
  <c r="L142" i="5"/>
  <c r="L141" i="5"/>
  <c r="L140" i="5"/>
  <c r="L139" i="5"/>
  <c r="L138" i="5"/>
  <c r="L137" i="5"/>
  <c r="L135" i="5"/>
  <c r="L134" i="5"/>
  <c r="L133" i="5"/>
  <c r="L131" i="5"/>
  <c r="L130" i="5"/>
  <c r="L129" i="5"/>
  <c r="L128" i="5"/>
  <c r="L127" i="5"/>
  <c r="L126" i="5"/>
  <c r="L124" i="5"/>
  <c r="L118" i="5"/>
  <c r="L116" i="5"/>
  <c r="L117" i="5"/>
  <c r="L123" i="5"/>
  <c r="L115" i="5"/>
  <c r="L122" i="5"/>
  <c r="L121" i="5"/>
  <c r="L120" i="5"/>
  <c r="L119" i="5"/>
  <c r="L113" i="5"/>
  <c r="L112" i="5"/>
  <c r="L110" i="5"/>
  <c r="L109" i="5"/>
  <c r="L108" i="5"/>
  <c r="L104" i="5"/>
  <c r="L103" i="5"/>
  <c r="L95" i="5"/>
  <c r="L102" i="5"/>
  <c r="L94" i="5"/>
  <c r="L100" i="5"/>
  <c r="L92" i="5"/>
  <c r="L91" i="5"/>
  <c r="L90" i="5"/>
  <c r="L89" i="5"/>
  <c r="L88" i="5"/>
  <c r="L87" i="5"/>
  <c r="L86" i="5"/>
  <c r="L84" i="5"/>
  <c r="L79" i="5"/>
  <c r="L76" i="5"/>
  <c r="L78" i="5"/>
  <c r="L83" i="5"/>
  <c r="L77" i="5"/>
  <c r="L82" i="5"/>
  <c r="L74" i="5"/>
  <c r="L72" i="5"/>
  <c r="L70" i="5"/>
  <c r="L68" i="5"/>
  <c r="L67" i="5"/>
  <c r="L65" i="5"/>
  <c r="L64" i="5"/>
  <c r="L58" i="5"/>
  <c r="L57" i="5"/>
  <c r="L56" i="5"/>
  <c r="L54" i="5"/>
  <c r="L50" i="5"/>
  <c r="L46" i="5"/>
  <c r="L42" i="5"/>
  <c r="L53" i="5"/>
  <c r="L45" i="5"/>
  <c r="L47" i="5"/>
  <c r="L52" i="5"/>
  <c r="L49" i="5"/>
  <c r="L44" i="5"/>
  <c r="L51" i="5"/>
  <c r="L40" i="5"/>
  <c r="L36" i="5"/>
  <c r="L32" i="5"/>
  <c r="L35" i="5"/>
  <c r="L39" i="5"/>
  <c r="L34" i="5"/>
  <c r="L31" i="5"/>
  <c r="L33" i="5"/>
  <c r="L38" i="5"/>
  <c r="L30" i="5"/>
  <c r="L29" i="5"/>
  <c r="L37" i="5"/>
  <c r="L27" i="5"/>
  <c r="L26" i="5"/>
  <c r="L24" i="5"/>
  <c r="L9" i="5"/>
  <c r="L20" i="5"/>
  <c r="L14" i="5"/>
  <c r="L17" i="5"/>
  <c r="L22" i="5"/>
  <c r="L13" i="5"/>
  <c r="L18" i="5"/>
  <c r="L7" i="5"/>
  <c r="L10" i="5"/>
  <c r="L15" i="5"/>
  <c r="L8" i="5"/>
  <c r="L11" i="5"/>
  <c r="L21" i="5"/>
  <c r="L16" i="5"/>
  <c r="L19" i="5"/>
  <c r="L12" i="5"/>
  <c r="L5" i="5"/>
  <c r="D174" i="7"/>
  <c r="F174" i="7" s="1"/>
  <c r="P70" i="5"/>
  <c r="M70" i="5" l="1"/>
  <c r="AK70" i="5"/>
  <c r="AD70" i="5"/>
  <c r="Q70" i="5"/>
  <c r="AM70" i="5"/>
  <c r="AS70" i="5" l="1"/>
  <c r="AC70" i="5"/>
  <c r="N48" i="5" l="1"/>
  <c r="O48" i="5" l="1"/>
  <c r="AL48" i="5"/>
  <c r="X6" i="31"/>
  <c r="Y6" i="31" l="1"/>
  <c r="Y4" i="31" s="1"/>
  <c r="AN6" i="31"/>
  <c r="P62" i="5" l="1"/>
  <c r="AM62" i="5" s="1"/>
  <c r="P48" i="5"/>
  <c r="Q48" i="5" s="1"/>
  <c r="Q62" i="5" l="1"/>
  <c r="P60" i="5"/>
  <c r="Q60" i="5" s="1"/>
  <c r="AM48" i="5"/>
  <c r="AM60" i="5" l="1"/>
  <c r="P61" i="5" l="1"/>
  <c r="AM61" i="5" l="1"/>
  <c r="Q61" i="5"/>
  <c r="N75" i="5" l="1"/>
  <c r="AL75" i="5" l="1"/>
  <c r="O75" i="5"/>
  <c r="D131" i="5" l="1"/>
  <c r="D81" i="5"/>
  <c r="D51" i="5"/>
  <c r="D7" i="5"/>
  <c r="AF130" i="5"/>
  <c r="AC130" i="5"/>
  <c r="AA130" i="5"/>
  <c r="Y130" i="5"/>
  <c r="U130" i="5"/>
  <c r="S130" i="5"/>
  <c r="Q130" i="5"/>
  <c r="O130" i="5"/>
  <c r="M130" i="5"/>
  <c r="K130" i="5"/>
  <c r="I130" i="5"/>
  <c r="G130" i="5"/>
  <c r="E130" i="5"/>
  <c r="AE51" i="5" l="1"/>
  <c r="AB51" i="5"/>
  <c r="Z51" i="5"/>
  <c r="X51" i="5"/>
  <c r="V51" i="5"/>
  <c r="U51" i="5"/>
  <c r="R51" i="5"/>
  <c r="P51" i="5"/>
  <c r="Q51" i="5" s="1"/>
  <c r="N51" i="5"/>
  <c r="E51" i="5"/>
  <c r="AE7" i="5"/>
  <c r="AB7" i="5"/>
  <c r="E7" i="5" s="1"/>
  <c r="Z7" i="5"/>
  <c r="X7" i="5"/>
  <c r="V7" i="5"/>
  <c r="R7" i="5"/>
  <c r="P7" i="5"/>
  <c r="N7" i="5"/>
  <c r="AE25" i="5"/>
  <c r="AB25" i="5"/>
  <c r="Z25" i="5"/>
  <c r="X25" i="5"/>
  <c r="V25" i="5"/>
  <c r="R25" i="5"/>
  <c r="N25" i="5"/>
  <c r="D25" i="5"/>
  <c r="E25" i="5" s="1"/>
  <c r="E81" i="5"/>
  <c r="Z81" i="5"/>
  <c r="X81" i="5"/>
  <c r="V81" i="5"/>
  <c r="R81" i="5"/>
  <c r="N81" i="5"/>
  <c r="AH51" i="5" l="1"/>
  <c r="U7" i="5"/>
  <c r="AQ25" i="5"/>
  <c r="AK7" i="5"/>
  <c r="AM7" i="5"/>
  <c r="AQ7" i="5"/>
  <c r="AG7" i="5"/>
  <c r="AK51" i="5"/>
  <c r="AQ51" i="5"/>
  <c r="AH25" i="5"/>
  <c r="S25" i="5"/>
  <c r="W25" i="5"/>
  <c r="AR25" i="5"/>
  <c r="G7" i="5"/>
  <c r="AJ7" i="5"/>
  <c r="AN7" i="5"/>
  <c r="W7" i="5"/>
  <c r="AR7" i="5"/>
  <c r="O51" i="5"/>
  <c r="S51" i="5"/>
  <c r="AP51" i="5"/>
  <c r="AR51" i="5"/>
  <c r="AL51" i="5"/>
  <c r="G51" i="5"/>
  <c r="W51" i="5"/>
  <c r="AM51" i="5"/>
  <c r="AN51" i="5"/>
  <c r="Y51" i="5"/>
  <c r="AG51" i="5"/>
  <c r="AO51" i="5"/>
  <c r="AA51" i="5"/>
  <c r="M51" i="5"/>
  <c r="O7" i="5"/>
  <c r="O25" i="5"/>
  <c r="AO7" i="5"/>
  <c r="Q7" i="5"/>
  <c r="Y7" i="5"/>
  <c r="AP7" i="5"/>
  <c r="AH7" i="5"/>
  <c r="K7" i="5"/>
  <c r="S7" i="5"/>
  <c r="AA7" i="5"/>
  <c r="M7" i="5"/>
  <c r="S81" i="5"/>
  <c r="O81" i="5"/>
  <c r="AP81" i="5"/>
  <c r="AQ81" i="5"/>
  <c r="AR81" i="5"/>
  <c r="Y25" i="5"/>
  <c r="AG25" i="5"/>
  <c r="AP25" i="5"/>
  <c r="G25" i="5"/>
  <c r="AN25" i="5"/>
  <c r="AA25" i="5"/>
  <c r="AL81" i="5"/>
  <c r="W81" i="5"/>
  <c r="AN81" i="5"/>
  <c r="Y81" i="5"/>
  <c r="AG81" i="5"/>
  <c r="AA81" i="5"/>
  <c r="E65" i="26" l="1"/>
  <c r="G9692" i="33" s="1"/>
  <c r="E63" i="26"/>
  <c r="E61" i="26"/>
  <c r="E60" i="26"/>
  <c r="G8330" i="33" s="1"/>
  <c r="E59" i="26"/>
  <c r="G8084" i="33" s="1"/>
  <c r="E58" i="26"/>
  <c r="G7441" i="33" s="1"/>
  <c r="E57" i="26"/>
  <c r="G7278" i="33" s="1"/>
  <c r="E56" i="26"/>
  <c r="G7035" i="33" s="1"/>
  <c r="E55" i="26"/>
  <c r="G6899" i="33" s="1"/>
  <c r="E54" i="26"/>
  <c r="G6785" i="33" s="1"/>
  <c r="E53" i="26"/>
  <c r="E52" i="26"/>
  <c r="E51" i="26"/>
  <c r="G6029" i="33" s="1"/>
  <c r="E44" i="26"/>
  <c r="E39" i="26"/>
  <c r="E34" i="26"/>
  <c r="G4325" i="33" s="1"/>
  <c r="E29" i="26"/>
  <c r="G3287" i="33" s="1"/>
  <c r="E26" i="26"/>
  <c r="G1547" i="33" s="1"/>
  <c r="E24" i="26"/>
  <c r="E23" i="26"/>
  <c r="E22" i="26"/>
  <c r="E21" i="26"/>
  <c r="E20" i="26"/>
  <c r="E18" i="26"/>
  <c r="E17" i="26"/>
  <c r="G695" i="33" s="1"/>
  <c r="E16" i="26"/>
  <c r="G406" i="33" s="1"/>
  <c r="E14" i="26"/>
  <c r="G64" i="33" s="1"/>
  <c r="L10" i="26"/>
  <c r="E69" i="26" s="1"/>
  <c r="G10059" i="33" s="1"/>
  <c r="K10059" i="33" s="1"/>
  <c r="L10224" i="33" s="1"/>
  <c r="L8" i="26"/>
  <c r="E4" i="26"/>
  <c r="G4867" i="33" l="1"/>
  <c r="G4717" i="33"/>
  <c r="G5386" i="33"/>
  <c r="G5834" i="33"/>
  <c r="G5627" i="33"/>
  <c r="G5719" i="33"/>
  <c r="G9518" i="33"/>
  <c r="G9252" i="33"/>
  <c r="J8084" i="33"/>
  <c r="K8084" i="33" s="1"/>
  <c r="J5834" i="33"/>
  <c r="J5386" i="33"/>
  <c r="J4325" i="33"/>
  <c r="K4325" i="33" s="1"/>
  <c r="J4717" i="33"/>
  <c r="J4867" i="33"/>
  <c r="J3287" i="33"/>
  <c r="K3287" i="33" s="1"/>
  <c r="Q3287" i="33" s="1"/>
  <c r="J10473" i="33"/>
  <c r="J10256" i="33"/>
  <c r="J9753" i="33"/>
  <c r="J10059" i="33"/>
  <c r="J9432" i="33"/>
  <c r="K9432" i="33" s="1"/>
  <c r="Q9432" i="33" s="1"/>
  <c r="J9518" i="33"/>
  <c r="J9252" i="33"/>
  <c r="J9162" i="33"/>
  <c r="K9162" i="33" s="1"/>
  <c r="Q9162" i="33" s="1"/>
  <c r="G9346" i="33"/>
  <c r="L16" i="26"/>
  <c r="Q14" i="26"/>
  <c r="D82" i="10"/>
  <c r="D90" i="10" s="1"/>
  <c r="Q13" i="26"/>
  <c r="C6" i="34"/>
  <c r="C32" i="10" s="1"/>
  <c r="G598" i="33"/>
  <c r="G499" i="33"/>
  <c r="G974" i="33"/>
  <c r="G795" i="33"/>
  <c r="G4014" i="33"/>
  <c r="G4486" i="33"/>
  <c r="L14" i="26"/>
  <c r="C7" i="34"/>
  <c r="C33" i="10" s="1"/>
  <c r="G9072" i="33"/>
  <c r="G5063" i="33"/>
  <c r="G4561" i="33"/>
  <c r="G4964" i="33"/>
  <c r="G9609" i="33"/>
  <c r="G1159" i="33"/>
  <c r="J9346" i="33"/>
  <c r="J5881" i="33"/>
  <c r="K5881" i="33" s="1"/>
  <c r="J5627" i="33"/>
  <c r="J4561" i="33"/>
  <c r="J2842" i="33"/>
  <c r="K2842" i="33" s="1"/>
  <c r="J1987" i="33"/>
  <c r="K1987" i="33" s="1"/>
  <c r="L1995" i="33" s="1"/>
  <c r="J296" i="33"/>
  <c r="K296" i="33" s="1"/>
  <c r="J9692" i="33"/>
  <c r="J7441" i="33"/>
  <c r="K7441" i="33" s="1"/>
  <c r="J6899" i="33"/>
  <c r="K6899" i="33" s="1"/>
  <c r="J3734" i="33"/>
  <c r="J7813" i="33"/>
  <c r="K7813" i="33" s="1"/>
  <c r="J6237" i="33"/>
  <c r="J795" i="33"/>
  <c r="J598" i="33"/>
  <c r="J499" i="33"/>
  <c r="J152" i="33"/>
  <c r="K152" i="33" s="1"/>
  <c r="J64" i="33"/>
  <c r="J5063" i="33"/>
  <c r="J1382" i="33"/>
  <c r="J9609" i="33"/>
  <c r="J9072" i="33"/>
  <c r="J9025" i="33"/>
  <c r="K9025" i="33" s="1"/>
  <c r="J8584" i="33"/>
  <c r="K8584" i="33" s="1"/>
  <c r="J8330" i="33"/>
  <c r="K8330" i="33" s="1"/>
  <c r="J7278" i="33"/>
  <c r="K7278" i="33" s="1"/>
  <c r="J7035" i="33"/>
  <c r="K7035" i="33" s="1"/>
  <c r="J5719" i="33"/>
  <c r="J4964" i="33"/>
  <c r="J4014" i="33"/>
  <c r="J2352" i="33"/>
  <c r="K2352" i="33" s="1"/>
  <c r="J1159" i="33"/>
  <c r="J974" i="33"/>
  <c r="J695" i="33"/>
  <c r="K695" i="33" s="1"/>
  <c r="J406" i="33"/>
  <c r="K406" i="33" s="1"/>
  <c r="J6585" i="33"/>
  <c r="J4486" i="33"/>
  <c r="J6029" i="33"/>
  <c r="J5182" i="33"/>
  <c r="J4143" i="33"/>
  <c r="K4143" i="33" s="1"/>
  <c r="J3863" i="33"/>
  <c r="J1547" i="33"/>
  <c r="K1547" i="33" s="1"/>
  <c r="J7120" i="33"/>
  <c r="K7120" i="33" s="1"/>
  <c r="Q7120" i="33" s="1"/>
  <c r="J6785" i="33"/>
  <c r="K6785" i="33" s="1"/>
  <c r="J1255" i="33"/>
  <c r="J1793" i="33"/>
  <c r="G6237" i="33"/>
  <c r="G1382" i="33"/>
  <c r="G1255" i="33"/>
  <c r="G6585" i="33"/>
  <c r="G1793" i="33"/>
  <c r="G3734" i="33"/>
  <c r="G3863" i="33"/>
  <c r="G4" i="32"/>
  <c r="D24" i="32" s="1"/>
  <c r="J24" i="32" s="1"/>
  <c r="F64" i="26"/>
  <c r="G32" i="9"/>
  <c r="G19" i="9"/>
  <c r="G14" i="9"/>
  <c r="C4" i="12"/>
  <c r="BB28" i="23"/>
  <c r="BB18" i="23"/>
  <c r="BB27" i="23"/>
  <c r="BB26" i="23"/>
  <c r="F17" i="26"/>
  <c r="F52" i="26"/>
  <c r="F18" i="26"/>
  <c r="F29" i="26"/>
  <c r="F53" i="26"/>
  <c r="F60" i="26"/>
  <c r="F14" i="26"/>
  <c r="F20" i="26"/>
  <c r="F34" i="26"/>
  <c r="F21" i="26"/>
  <c r="F22" i="26"/>
  <c r="F39" i="26"/>
  <c r="F54" i="26"/>
  <c r="F61" i="26"/>
  <c r="F23" i="26"/>
  <c r="F55" i="26"/>
  <c r="F24" i="26"/>
  <c r="F44" i="26"/>
  <c r="F56" i="26"/>
  <c r="F65" i="26"/>
  <c r="F16" i="26"/>
  <c r="F50" i="26"/>
  <c r="F57" i="26"/>
  <c r="F58" i="26"/>
  <c r="F63" i="26"/>
  <c r="F26" i="26"/>
  <c r="F51" i="26"/>
  <c r="F59" i="26"/>
  <c r="D68" i="25"/>
  <c r="K5719" i="33" l="1"/>
  <c r="K5627" i="33"/>
  <c r="K5834" i="33"/>
  <c r="L5847" i="33" s="1"/>
  <c r="K4867" i="33"/>
  <c r="Q4867" i="33" s="1"/>
  <c r="K5386" i="33"/>
  <c r="L5489" i="33" s="1"/>
  <c r="K9518" i="33"/>
  <c r="Q9518" i="33" s="1"/>
  <c r="K4717" i="33"/>
  <c r="L4736" i="33" s="1"/>
  <c r="K9252" i="33"/>
  <c r="Q9252" i="33" s="1"/>
  <c r="L4457" i="33"/>
  <c r="L4407" i="33"/>
  <c r="L4338" i="33"/>
  <c r="L4437" i="33"/>
  <c r="L4370" i="33"/>
  <c r="L4364" i="33"/>
  <c r="L4363" i="33"/>
  <c r="L4328" i="33"/>
  <c r="L4352" i="33"/>
  <c r="L4401" i="33"/>
  <c r="L4427" i="33"/>
  <c r="L4365" i="33"/>
  <c r="L4419" i="33"/>
  <c r="L4443" i="33"/>
  <c r="L4403" i="33"/>
  <c r="L4452" i="33"/>
  <c r="L4400" i="33"/>
  <c r="Q4325" i="33"/>
  <c r="L4399" i="33"/>
  <c r="L4329" i="33"/>
  <c r="L4421" i="33"/>
  <c r="L4439" i="33"/>
  <c r="L4397" i="33"/>
  <c r="L4428" i="33"/>
  <c r="L4388" i="33"/>
  <c r="L4402" i="33"/>
  <c r="L4438" i="33"/>
  <c r="L4436" i="33"/>
  <c r="L4408" i="33"/>
  <c r="L4453" i="33"/>
  <c r="L4422" i="33"/>
  <c r="L4420" i="33"/>
  <c r="L4371" i="33"/>
  <c r="L4362" i="33"/>
  <c r="L4442" i="33"/>
  <c r="L4469" i="33"/>
  <c r="L4473" i="33"/>
  <c r="L4467" i="33"/>
  <c r="L4468" i="33"/>
  <c r="L5556" i="33"/>
  <c r="L5395" i="33"/>
  <c r="L5579" i="33"/>
  <c r="L5527" i="33"/>
  <c r="L5547" i="33"/>
  <c r="L5546" i="33"/>
  <c r="L5539" i="33"/>
  <c r="L5565" i="33"/>
  <c r="L5561" i="33"/>
  <c r="L5560" i="33"/>
  <c r="L5559" i="33"/>
  <c r="L5558" i="33"/>
  <c r="L5541" i="33"/>
  <c r="L5501" i="33"/>
  <c r="L5451" i="33"/>
  <c r="L5450" i="33"/>
  <c r="L5509" i="33"/>
  <c r="L5503" i="33"/>
  <c r="L5510" i="33"/>
  <c r="L5566" i="33"/>
  <c r="L5462" i="33"/>
  <c r="L5470" i="33"/>
  <c r="L5465" i="33"/>
  <c r="L5463" i="33"/>
  <c r="L5464" i="33"/>
  <c r="L5471" i="33"/>
  <c r="Q5386" i="33"/>
  <c r="L4839" i="33"/>
  <c r="L4740" i="33"/>
  <c r="L4851" i="33"/>
  <c r="L4792" i="33"/>
  <c r="L4780" i="33"/>
  <c r="L4842" i="33"/>
  <c r="L4762" i="33"/>
  <c r="L5853" i="33"/>
  <c r="L5857" i="33"/>
  <c r="L5856" i="33"/>
  <c r="L5855" i="33"/>
  <c r="L5864" i="33"/>
  <c r="L5863" i="33"/>
  <c r="Q5834" i="33"/>
  <c r="L10331" i="33"/>
  <c r="L10350" i="33"/>
  <c r="L10340" i="33"/>
  <c r="L10367" i="33"/>
  <c r="L10417" i="33"/>
  <c r="L10314" i="33"/>
  <c r="L10317" i="33"/>
  <c r="L10383" i="33"/>
  <c r="L10371" i="33"/>
  <c r="L10352" i="33"/>
  <c r="L10264" i="33"/>
  <c r="L10370" i="33"/>
  <c r="L10297" i="33"/>
  <c r="L10312" i="33"/>
  <c r="L10329" i="33"/>
  <c r="L10328" i="33"/>
  <c r="L10339" i="33"/>
  <c r="L10396" i="33"/>
  <c r="L10456" i="33"/>
  <c r="L10282" i="33"/>
  <c r="L10332" i="33"/>
  <c r="L10374" i="33"/>
  <c r="L10397" i="33"/>
  <c r="L10445" i="33"/>
  <c r="L10373" i="33"/>
  <c r="L10311" i="33"/>
  <c r="L10310" i="33"/>
  <c r="L10327" i="33"/>
  <c r="L10375" i="33"/>
  <c r="L10428" i="33"/>
  <c r="L10455" i="33"/>
  <c r="L10318" i="33"/>
  <c r="L10378" i="33"/>
  <c r="L10423" i="33"/>
  <c r="L10422" i="33"/>
  <c r="L10441" i="33"/>
  <c r="L10461" i="33"/>
  <c r="L10460" i="33"/>
  <c r="L10308" i="33"/>
  <c r="L10358" i="33"/>
  <c r="L10416" i="33"/>
  <c r="L10353" i="33"/>
  <c r="L10446" i="33"/>
  <c r="L10379" i="33"/>
  <c r="L10402" i="33"/>
  <c r="L10421" i="33"/>
  <c r="L10440" i="33"/>
  <c r="L10439" i="33"/>
  <c r="L10415" i="33"/>
  <c r="L10335" i="33"/>
  <c r="L10395" i="33"/>
  <c r="L10313" i="33"/>
  <c r="L10384" i="33"/>
  <c r="L10457" i="33"/>
  <c r="L10380" i="33"/>
  <c r="L10401" i="33"/>
  <c r="L10398" i="33"/>
  <c r="L10418" i="33"/>
  <c r="L10333" i="33"/>
  <c r="L10357" i="33"/>
  <c r="L10351" i="33"/>
  <c r="L10369" i="33"/>
  <c r="L10368" i="33"/>
  <c r="L10377" i="33"/>
  <c r="L10438" i="33"/>
  <c r="L10427" i="33"/>
  <c r="L10334" i="33"/>
  <c r="L10413" i="33"/>
  <c r="Q10256" i="33"/>
  <c r="L10419" i="33"/>
  <c r="L8137" i="33"/>
  <c r="L8140" i="33"/>
  <c r="L8139" i="33"/>
  <c r="L8136" i="33"/>
  <c r="L8138" i="33"/>
  <c r="L8090" i="33"/>
  <c r="L8088" i="33"/>
  <c r="L8087" i="33"/>
  <c r="L8091" i="33"/>
  <c r="Q8084" i="33"/>
  <c r="L8317" i="33"/>
  <c r="L8313" i="33"/>
  <c r="L8312" i="33"/>
  <c r="L8311" i="33"/>
  <c r="L8301" i="33"/>
  <c r="L8297" i="33"/>
  <c r="L8296" i="33"/>
  <c r="L8180" i="33"/>
  <c r="L8286" i="33"/>
  <c r="L8199" i="33"/>
  <c r="L8282" i="33"/>
  <c r="L8157" i="33"/>
  <c r="L8160" i="33"/>
  <c r="L8159" i="33"/>
  <c r="L8158" i="33"/>
  <c r="L8169" i="33"/>
  <c r="L8155" i="33"/>
  <c r="L8166" i="33"/>
  <c r="L8168" i="33"/>
  <c r="L8156" i="33"/>
  <c r="L8149" i="33"/>
  <c r="L8146" i="33"/>
  <c r="L8145" i="33"/>
  <c r="L8144" i="33"/>
  <c r="L8128" i="33"/>
  <c r="L8129" i="33"/>
  <c r="L8100" i="33"/>
  <c r="L8143" i="33"/>
  <c r="L8124" i="33"/>
  <c r="L8126" i="33"/>
  <c r="D221" i="31" s="1"/>
  <c r="F221" i="31" s="1"/>
  <c r="L8127" i="33"/>
  <c r="L8125" i="33"/>
  <c r="L8271" i="33"/>
  <c r="L8281" i="33"/>
  <c r="L8266" i="33"/>
  <c r="L8251" i="33"/>
  <c r="L8256" i="33"/>
  <c r="L8237" i="33"/>
  <c r="L8206" i="33"/>
  <c r="L8220" i="33"/>
  <c r="L8252" i="33"/>
  <c r="L8114" i="33"/>
  <c r="L8188" i="33"/>
  <c r="L8267" i="33"/>
  <c r="L8201" i="33"/>
  <c r="L8187" i="33"/>
  <c r="L8225" i="33"/>
  <c r="L8219" i="33"/>
  <c r="L8198" i="33"/>
  <c r="L8241" i="33"/>
  <c r="L8204" i="33"/>
  <c r="L8182" i="33"/>
  <c r="L8223" i="33"/>
  <c r="L8218" i="33"/>
  <c r="L8226" i="33"/>
  <c r="L8181" i="33"/>
  <c r="L8217" i="33"/>
  <c r="L8236" i="33"/>
  <c r="L8185" i="33"/>
  <c r="L8207" i="33"/>
  <c r="L8200" i="33"/>
  <c r="L8179" i="33"/>
  <c r="Q7035" i="33"/>
  <c r="L7075" i="33"/>
  <c r="L5777" i="33"/>
  <c r="L5755" i="33"/>
  <c r="L5727" i="33"/>
  <c r="L5775" i="33"/>
  <c r="L5746" i="33"/>
  <c r="L5766" i="33"/>
  <c r="L5745" i="33"/>
  <c r="L5765" i="33"/>
  <c r="L5740" i="33"/>
  <c r="L5738" i="33"/>
  <c r="L5779" i="33"/>
  <c r="L5732" i="33"/>
  <c r="L5757" i="33"/>
  <c r="L5760" i="33"/>
  <c r="L5739" i="33"/>
  <c r="L5759" i="33"/>
  <c r="L5758" i="33"/>
  <c r="L5778" i="33"/>
  <c r="L5728" i="33"/>
  <c r="L5785" i="33"/>
  <c r="L5786" i="33"/>
  <c r="L5780" i="33"/>
  <c r="L2882" i="33"/>
  <c r="L2878" i="33"/>
  <c r="L2864" i="33"/>
  <c r="L2850" i="33"/>
  <c r="L3652" i="33"/>
  <c r="L3611" i="33"/>
  <c r="L3568" i="33"/>
  <c r="L3453" i="33"/>
  <c r="L3632" i="33"/>
  <c r="L3605" i="33"/>
  <c r="L3464" i="33"/>
  <c r="L3443" i="33"/>
  <c r="L3422" i="33"/>
  <c r="L3414" i="33"/>
  <c r="L3570" i="33"/>
  <c r="L3540" i="33"/>
  <c r="L3533" i="33"/>
  <c r="L3436" i="33"/>
  <c r="L3393" i="33"/>
  <c r="L3513" i="33"/>
  <c r="L3610" i="33"/>
  <c r="L3522" i="33"/>
  <c r="L3512" i="33"/>
  <c r="L3416" i="33"/>
  <c r="L3396" i="33"/>
  <c r="L3649" i="33"/>
  <c r="L3604" i="33"/>
  <c r="L3588" i="33"/>
  <c r="L3556" i="33"/>
  <c r="L3542" i="33"/>
  <c r="L3463" i="33"/>
  <c r="L3398" i="33"/>
  <c r="L3603" i="33"/>
  <c r="L3472" i="33"/>
  <c r="L3469" i="33"/>
  <c r="L3449" i="33"/>
  <c r="L3447" i="33"/>
  <c r="L3438" i="33"/>
  <c r="L3606" i="33"/>
  <c r="L3566" i="33"/>
  <c r="L3537" i="33"/>
  <c r="L3531" i="33"/>
  <c r="L3504" i="33"/>
  <c r="L3478" i="33"/>
  <c r="L3465" i="33"/>
  <c r="L3415" i="33"/>
  <c r="L3418" i="33"/>
  <c r="L3534" i="33"/>
  <c r="L3378" i="33"/>
  <c r="L3625" i="33"/>
  <c r="L3523" i="33"/>
  <c r="L3397" i="33"/>
  <c r="L3497" i="33"/>
  <c r="L3365" i="33"/>
  <c r="L3429" i="33"/>
  <c r="L3569" i="33"/>
  <c r="L3337" i="33"/>
  <c r="L3483" i="33"/>
  <c r="L3529" i="33"/>
  <c r="L3421" i="33"/>
  <c r="L3501" i="33"/>
  <c r="L3574" i="33"/>
  <c r="L3505" i="33"/>
  <c r="L3408" i="33"/>
  <c r="L3473" i="33"/>
  <c r="L3384" i="33"/>
  <c r="L3541" i="33"/>
  <c r="L3404" i="33"/>
  <c r="L3383" i="33"/>
  <c r="L3567" i="33"/>
  <c r="L3508" i="33"/>
  <c r="L3620" i="33"/>
  <c r="L3507" i="33"/>
  <c r="L3633" i="33"/>
  <c r="L3444" i="33"/>
  <c r="L3484" i="33"/>
  <c r="L3327" i="33"/>
  <c r="L3506" i="33"/>
  <c r="L3309" i="33"/>
  <c r="L3475" i="33"/>
  <c r="L3493" i="33"/>
  <c r="L3624" i="33"/>
  <c r="L3643" i="33"/>
  <c r="L3295" i="33"/>
  <c r="L3627" i="33"/>
  <c r="L3511" i="33"/>
  <c r="L3494" i="33"/>
  <c r="L3525" i="33"/>
  <c r="L3578" i="33"/>
  <c r="L3552" i="33"/>
  <c r="L3440" i="33"/>
  <c r="L3502" i="33"/>
  <c r="L3394" i="33"/>
  <c r="L3593" i="33"/>
  <c r="L3551" i="33"/>
  <c r="L3376" i="33"/>
  <c r="L3375" i="33"/>
  <c r="L3471" i="33"/>
  <c r="L3476" i="33"/>
  <c r="L3403" i="33"/>
  <c r="L3482" i="33"/>
  <c r="L3479" i="33"/>
  <c r="L3351" i="33"/>
  <c r="L3323" i="33"/>
  <c r="L3400" i="33"/>
  <c r="L3446" i="33"/>
  <c r="L3435" i="33"/>
  <c r="L3585" i="33"/>
  <c r="L3450" i="33"/>
  <c r="L3575" i="33"/>
  <c r="L3425" i="33"/>
  <c r="L3496" i="33"/>
  <c r="L3377" i="33"/>
  <c r="L3420" i="33"/>
  <c r="L3557" i="33"/>
  <c r="L3424" i="33"/>
  <c r="L3498" i="33"/>
  <c r="L3622" i="33"/>
  <c r="L3645" i="33"/>
  <c r="L3530" i="33"/>
  <c r="L3439" i="33"/>
  <c r="L3448" i="33"/>
  <c r="L3628" i="33"/>
  <c r="L3477" i="33"/>
  <c r="L3399" i="33"/>
  <c r="L3623" i="33"/>
  <c r="L3500" i="33"/>
  <c r="L3647" i="33"/>
  <c r="L3594" i="33"/>
  <c r="L3535" i="33"/>
  <c r="L3586" i="33"/>
  <c r="L3526" i="33"/>
  <c r="L3442" i="33"/>
  <c r="L3648" i="33"/>
  <c r="L3419" i="33"/>
  <c r="L3536" i="33"/>
  <c r="L3468" i="33"/>
  <c r="L3644" i="33"/>
  <c r="L3587" i="33"/>
  <c r="L3527" i="33"/>
  <c r="L3629" i="33"/>
  <c r="L3467" i="33"/>
  <c r="L3672" i="33"/>
  <c r="L3673" i="33"/>
  <c r="L3692" i="33"/>
  <c r="L3669" i="33"/>
  <c r="L3699" i="33"/>
  <c r="L3695" i="33"/>
  <c r="L3717" i="33"/>
  <c r="L3697" i="33"/>
  <c r="L3667" i="33"/>
  <c r="L3668" i="33"/>
  <c r="L3663" i="33"/>
  <c r="L3698" i="33"/>
  <c r="L3689" i="33"/>
  <c r="L3721" i="33"/>
  <c r="L3678" i="33"/>
  <c r="L3704" i="33"/>
  <c r="L3679" i="33"/>
  <c r="L3665" i="33"/>
  <c r="L3691" i="33"/>
  <c r="L3705" i="33"/>
  <c r="L3715" i="33"/>
  <c r="L3666" i="33"/>
  <c r="L3694" i="33"/>
  <c r="L3662" i="33"/>
  <c r="L3671" i="33"/>
  <c r="L3693" i="33"/>
  <c r="L3716" i="33"/>
  <c r="L7586" i="33"/>
  <c r="D192" i="31" s="1"/>
  <c r="F192" i="31" s="1"/>
  <c r="L7589" i="33"/>
  <c r="L7587" i="33"/>
  <c r="D245" i="31" s="1"/>
  <c r="F245" i="31" s="1"/>
  <c r="L7588" i="33"/>
  <c r="L7585" i="33"/>
  <c r="K6237" i="33"/>
  <c r="Q10059" i="33"/>
  <c r="L10244" i="33"/>
  <c r="L10221" i="33"/>
  <c r="L10191" i="33"/>
  <c r="L10179" i="33"/>
  <c r="L10160" i="33"/>
  <c r="L10139" i="33"/>
  <c r="L10119" i="33"/>
  <c r="L10188" i="33"/>
  <c r="L10240" i="33"/>
  <c r="L10138" i="33"/>
  <c r="L10239" i="33"/>
  <c r="L10209" i="33"/>
  <c r="L10187" i="33"/>
  <c r="L10177" i="33"/>
  <c r="L10149" i="33"/>
  <c r="L10137" i="33"/>
  <c r="L10116" i="33"/>
  <c r="L10068" i="33"/>
  <c r="L10238" i="33"/>
  <c r="L10206" i="33"/>
  <c r="L10186" i="33"/>
  <c r="L10167" i="33"/>
  <c r="L10148" i="33"/>
  <c r="L10135" i="33"/>
  <c r="L10229" i="33"/>
  <c r="L10205" i="33"/>
  <c r="L10185" i="33"/>
  <c r="L10166" i="33"/>
  <c r="L10144" i="33"/>
  <c r="L10126" i="33"/>
  <c r="L10114" i="33"/>
  <c r="L10158" i="33"/>
  <c r="L10228" i="33"/>
  <c r="L10204" i="33"/>
  <c r="L10183" i="33"/>
  <c r="L10163" i="33"/>
  <c r="L10143" i="33"/>
  <c r="L10125" i="33"/>
  <c r="L10112" i="33"/>
  <c r="L10223" i="33"/>
  <c r="L10203" i="33"/>
  <c r="L10182" i="33"/>
  <c r="L10162" i="33"/>
  <c r="L10142" i="33"/>
  <c r="L10121" i="33"/>
  <c r="L10111" i="33"/>
  <c r="L10222" i="33"/>
  <c r="L10192" i="33"/>
  <c r="L10181" i="33"/>
  <c r="L10161" i="33"/>
  <c r="L10141" i="33"/>
  <c r="L10120" i="33"/>
  <c r="L10100" i="33"/>
  <c r="L10085" i="33"/>
  <c r="L10210" i="33"/>
  <c r="L10178" i="33"/>
  <c r="L10118" i="33"/>
  <c r="L10069" i="33"/>
  <c r="L10115" i="33"/>
  <c r="L9808" i="33"/>
  <c r="L9776" i="33"/>
  <c r="L10032" i="33"/>
  <c r="L9981" i="33"/>
  <c r="L9918" i="33"/>
  <c r="L10033" i="33"/>
  <c r="L9944" i="33"/>
  <c r="L9934" i="33"/>
  <c r="L9948" i="33"/>
  <c r="L9962" i="33"/>
  <c r="L9761" i="33"/>
  <c r="L9867" i="33"/>
  <c r="L10048" i="33"/>
  <c r="L10002" i="33"/>
  <c r="L10043" i="33"/>
  <c r="L10005" i="33"/>
  <c r="L9985" i="33"/>
  <c r="L9900" i="33"/>
  <c r="L9971" i="33"/>
  <c r="L9938" i="33"/>
  <c r="L9841" i="33"/>
  <c r="L9825" i="33"/>
  <c r="L9869" i="33"/>
  <c r="L9836" i="33"/>
  <c r="L10001" i="33"/>
  <c r="L9935" i="33"/>
  <c r="L10026" i="33"/>
  <c r="L9958" i="33"/>
  <c r="L9961" i="33"/>
  <c r="L9967" i="33"/>
  <c r="L9966" i="33"/>
  <c r="L9858" i="33"/>
  <c r="L9829" i="33"/>
  <c r="L10044" i="33"/>
  <c r="L10010" i="33"/>
  <c r="L10025" i="33"/>
  <c r="L9943" i="33"/>
  <c r="L9941" i="33"/>
  <c r="L9949" i="33"/>
  <c r="L9983" i="33"/>
  <c r="L9942" i="33"/>
  <c r="L9835" i="33"/>
  <c r="L9874" i="33"/>
  <c r="L10009" i="33"/>
  <c r="L10004" i="33"/>
  <c r="L10008" i="33"/>
  <c r="L9917" i="33"/>
  <c r="L9884" i="33"/>
  <c r="L9885" i="33"/>
  <c r="L9986" i="33"/>
  <c r="L9894" i="33"/>
  <c r="L9868" i="33"/>
  <c r="L9870" i="33"/>
  <c r="L9907" i="33"/>
  <c r="L9891" i="33"/>
  <c r="L10006" i="33"/>
  <c r="L9964" i="33"/>
  <c r="L9972" i="33"/>
  <c r="L9939" i="33"/>
  <c r="L9965" i="33"/>
  <c r="L9872" i="33"/>
  <c r="L9793" i="33"/>
  <c r="L9777" i="33"/>
  <c r="L10042" i="33"/>
  <c r="L10011" i="33"/>
  <c r="L10015" i="33"/>
  <c r="L9937" i="33"/>
  <c r="L9901" i="33"/>
  <c r="L9989" i="33"/>
  <c r="L9990" i="33"/>
  <c r="L9837" i="33"/>
  <c r="L9857" i="33"/>
  <c r="L9871" i="33"/>
  <c r="L10000" i="33"/>
  <c r="L10027" i="33"/>
  <c r="L10014" i="33"/>
  <c r="L9924" i="33"/>
  <c r="L9890" i="33"/>
  <c r="L9984" i="33"/>
  <c r="L9960" i="33"/>
  <c r="L9875" i="33"/>
  <c r="Q9753" i="33"/>
  <c r="K9346" i="33"/>
  <c r="L9354" i="33" s="1"/>
  <c r="K4486" i="33"/>
  <c r="L4539" i="33" s="1"/>
  <c r="K598" i="33"/>
  <c r="L660" i="33" s="1"/>
  <c r="K3863" i="33"/>
  <c r="L3932" i="33" s="1"/>
  <c r="J10671" i="33"/>
  <c r="K10671" i="33" s="1"/>
  <c r="L11028" i="33" s="1"/>
  <c r="K974" i="33"/>
  <c r="K4014" i="33"/>
  <c r="L4077" i="33" s="1"/>
  <c r="K499" i="33"/>
  <c r="L536" i="33" s="1"/>
  <c r="K795" i="33"/>
  <c r="L910" i="33" s="1"/>
  <c r="K1382" i="33"/>
  <c r="K6585" i="33"/>
  <c r="L6754" i="33" s="1"/>
  <c r="K3734" i="33"/>
  <c r="L3831" i="33" s="1"/>
  <c r="E8" i="26"/>
  <c r="C8" i="34"/>
  <c r="C34" i="10" s="1"/>
  <c r="K9692" i="33"/>
  <c r="L9730" i="33" s="1"/>
  <c r="K1793" i="33"/>
  <c r="L1870" i="33" s="1"/>
  <c r="K4561" i="33"/>
  <c r="L4663" i="33" s="1"/>
  <c r="K5063" i="33"/>
  <c r="L5128" i="33" s="1"/>
  <c r="L777" i="33"/>
  <c r="L732" i="33"/>
  <c r="L754" i="33"/>
  <c r="L709" i="33"/>
  <c r="L707" i="33"/>
  <c r="L703" i="33"/>
  <c r="L725" i="33"/>
  <c r="L730" i="33"/>
  <c r="L775" i="33"/>
  <c r="L737" i="33"/>
  <c r="L740" i="33"/>
  <c r="L733" i="33"/>
  <c r="L708" i="33"/>
  <c r="L739" i="33"/>
  <c r="L770" i="33"/>
  <c r="L764" i="33"/>
  <c r="L784" i="33"/>
  <c r="L724" i="33"/>
  <c r="L785" i="33"/>
  <c r="L719" i="33"/>
  <c r="L761" i="33"/>
  <c r="L753" i="33"/>
  <c r="L759" i="33"/>
  <c r="L731" i="33"/>
  <c r="D120" i="31" s="1"/>
  <c r="L755" i="33"/>
  <c r="L720" i="33"/>
  <c r="L760" i="33"/>
  <c r="L714" i="33"/>
  <c r="L752" i="33"/>
  <c r="L751" i="33"/>
  <c r="L780" i="33"/>
  <c r="L723" i="33"/>
  <c r="L750" i="33"/>
  <c r="L771" i="33"/>
  <c r="L778" i="33"/>
  <c r="L773" i="33"/>
  <c r="L779" i="33"/>
  <c r="L774" i="33"/>
  <c r="L749" i="33"/>
  <c r="Q695" i="33"/>
  <c r="L6927" i="33"/>
  <c r="L6968" i="33"/>
  <c r="L7017" i="33"/>
  <c r="L6936" i="33"/>
  <c r="L6991" i="33"/>
  <c r="L6905" i="33"/>
  <c r="L6930" i="33"/>
  <c r="L6933" i="33"/>
  <c r="L6975" i="33"/>
  <c r="L6998" i="33"/>
  <c r="L6926" i="33"/>
  <c r="L6989" i="33"/>
  <c r="L6948" i="33"/>
  <c r="L7013" i="33"/>
  <c r="L6929" i="33"/>
  <c r="L6903" i="33"/>
  <c r="L6951" i="33"/>
  <c r="L6902" i="33"/>
  <c r="L6972" i="33"/>
  <c r="L6993" i="33"/>
  <c r="L6977" i="33"/>
  <c r="L6915" i="33"/>
  <c r="L6928" i="33"/>
  <c r="L6996" i="33"/>
  <c r="L7019" i="33"/>
  <c r="L7009" i="33"/>
  <c r="L7020" i="33"/>
  <c r="L6971" i="33"/>
  <c r="L7011" i="33"/>
  <c r="L6950" i="33"/>
  <c r="L6946" i="33"/>
  <c r="L6999" i="33"/>
  <c r="L6967" i="33"/>
  <c r="L6970" i="33"/>
  <c r="L6906" i="33"/>
  <c r="L6992" i="33"/>
  <c r="L6988" i="33"/>
  <c r="L6957" i="33"/>
  <c r="L6925" i="33"/>
  <c r="L6954" i="33"/>
  <c r="L6990" i="33"/>
  <c r="L6969" i="33"/>
  <c r="L6949" i="33"/>
  <c r="L6956" i="33"/>
  <c r="L7014" i="33"/>
  <c r="L6935" i="33"/>
  <c r="L6947" i="33"/>
  <c r="D255" i="31" s="1"/>
  <c r="F255" i="31" s="1"/>
  <c r="L7012" i="33"/>
  <c r="D257" i="31" s="1"/>
  <c r="F257" i="31" s="1"/>
  <c r="L6978" i="33"/>
  <c r="L7010" i="33"/>
  <c r="Q6899" i="33"/>
  <c r="L4297" i="33"/>
  <c r="L4270" i="33"/>
  <c r="L4151" i="33"/>
  <c r="L4229" i="33"/>
  <c r="L4292" i="33"/>
  <c r="L4252" i="33"/>
  <c r="L4198" i="33"/>
  <c r="L4206" i="33"/>
  <c r="L4211" i="33"/>
  <c r="L4273" i="33"/>
  <c r="L4261" i="33"/>
  <c r="L4253" i="33"/>
  <c r="L4207" i="33"/>
  <c r="L4202" i="33"/>
  <c r="L4230" i="33"/>
  <c r="L4237" i="33"/>
  <c r="L4289" i="33"/>
  <c r="L4234" i="33"/>
  <c r="L4165" i="33"/>
  <c r="L4200" i="33"/>
  <c r="L4241" i="33"/>
  <c r="L4227" i="33"/>
  <c r="L4208" i="33"/>
  <c r="L4233" i="33"/>
  <c r="L4288" i="33"/>
  <c r="L4225" i="33"/>
  <c r="L4222" i="33"/>
  <c r="L4221" i="33"/>
  <c r="L4236" i="33"/>
  <c r="L4197" i="33"/>
  <c r="L4184" i="33"/>
  <c r="L4201" i="33"/>
  <c r="L4193" i="33"/>
  <c r="L4223" i="33"/>
  <c r="L4255" i="33"/>
  <c r="L4260" i="33"/>
  <c r="L4183" i="33"/>
  <c r="L4278" i="33"/>
  <c r="L4309" i="33"/>
  <c r="L4226" i="33"/>
  <c r="L4177" i="33"/>
  <c r="L4178" i="33"/>
  <c r="L4277" i="33"/>
  <c r="L4290" i="33"/>
  <c r="L4176" i="33"/>
  <c r="L4271" i="33"/>
  <c r="L4313" i="33"/>
  <c r="L4272" i="33"/>
  <c r="L4242" i="33"/>
  <c r="L4307" i="33"/>
  <c r="L4175" i="33"/>
  <c r="L4231" i="33"/>
  <c r="L4240" i="33"/>
  <c r="L4254" i="33"/>
  <c r="L4204" i="33"/>
  <c r="L4308" i="33"/>
  <c r="L4205" i="33"/>
  <c r="L4196" i="33"/>
  <c r="L4293" i="33"/>
  <c r="L4235" i="33"/>
  <c r="L4194" i="33"/>
  <c r="L4294" i="33"/>
  <c r="Q4143" i="33"/>
  <c r="L8472" i="33"/>
  <c r="L8417" i="33"/>
  <c r="L8455" i="33"/>
  <c r="L8470" i="33"/>
  <c r="D35" i="31" s="1"/>
  <c r="F35" i="31" s="1"/>
  <c r="L8385" i="33"/>
  <c r="L8491" i="33"/>
  <c r="L8334" i="33"/>
  <c r="L8527" i="33"/>
  <c r="D319" i="31" s="1"/>
  <c r="F319" i="31" s="1"/>
  <c r="L8416" i="33"/>
  <c r="L8448" i="33"/>
  <c r="D317" i="31" s="1"/>
  <c r="F317" i="31" s="1"/>
  <c r="L8554" i="33"/>
  <c r="L8511" i="33"/>
  <c r="D189" i="31" s="1"/>
  <c r="F189" i="31" s="1"/>
  <c r="L8429" i="33"/>
  <c r="L8446" i="33"/>
  <c r="L8529" i="33"/>
  <c r="L8567" i="33"/>
  <c r="L8410" i="33"/>
  <c r="L8333" i="33"/>
  <c r="L8450" i="33"/>
  <c r="L8336" i="33"/>
  <c r="L8509" i="33"/>
  <c r="L8372" i="33"/>
  <c r="L8489" i="33"/>
  <c r="D29" i="31" s="1"/>
  <c r="F29" i="31" s="1"/>
  <c r="L8407" i="33"/>
  <c r="L8427" i="33"/>
  <c r="D33" i="31" s="1"/>
  <c r="F33" i="31" s="1"/>
  <c r="L8359" i="33"/>
  <c r="L8564" i="33"/>
  <c r="D190" i="31" s="1"/>
  <c r="F190" i="31" s="1"/>
  <c r="L8531" i="33"/>
  <c r="L8451" i="33"/>
  <c r="L8346" i="33"/>
  <c r="L8409" i="33"/>
  <c r="L8536" i="33"/>
  <c r="L8435" i="33"/>
  <c r="L8513" i="33"/>
  <c r="L8398" i="33"/>
  <c r="L8476" i="33"/>
  <c r="L8499" i="33"/>
  <c r="L8566" i="33"/>
  <c r="L8436" i="33"/>
  <c r="L8549" i="33"/>
  <c r="L8433" i="33"/>
  <c r="L8517" i="33"/>
  <c r="L8496" i="33"/>
  <c r="L8469" i="33"/>
  <c r="L8458" i="33"/>
  <c r="L8414" i="33"/>
  <c r="L8510" i="33"/>
  <c r="L8571" i="33"/>
  <c r="L8408" i="33"/>
  <c r="D236" i="31" s="1"/>
  <c r="F236" i="31" s="1"/>
  <c r="L8498" i="33"/>
  <c r="L8337" i="33"/>
  <c r="L8528" i="33"/>
  <c r="L8512" i="33"/>
  <c r="L8546" i="33"/>
  <c r="L8532" i="33"/>
  <c r="L8565" i="33"/>
  <c r="D318" i="31" s="1"/>
  <c r="F318" i="31" s="1"/>
  <c r="L8490" i="33"/>
  <c r="L8449" i="33"/>
  <c r="L8457" i="33"/>
  <c r="L8550" i="33"/>
  <c r="L8492" i="33"/>
  <c r="L8471" i="33"/>
  <c r="L8428" i="33"/>
  <c r="L8530" i="33"/>
  <c r="D191" i="31" s="1"/>
  <c r="F191" i="31" s="1"/>
  <c r="L8547" i="33"/>
  <c r="L8548" i="33"/>
  <c r="D188" i="31" s="1"/>
  <c r="F188" i="31" s="1"/>
  <c r="L8479" i="33"/>
  <c r="L8447" i="33"/>
  <c r="D237" i="31" s="1"/>
  <c r="F237" i="31" s="1"/>
  <c r="L8478" i="33"/>
  <c r="L8468" i="33"/>
  <c r="D239" i="31" s="1"/>
  <c r="F239" i="31" s="1"/>
  <c r="Q8330" i="33"/>
  <c r="L225" i="33"/>
  <c r="L181" i="33"/>
  <c r="L238" i="33"/>
  <c r="L281" i="33"/>
  <c r="L231" i="33"/>
  <c r="L239" i="33"/>
  <c r="L208" i="33"/>
  <c r="L164" i="33"/>
  <c r="L215" i="33"/>
  <c r="L175" i="33"/>
  <c r="L207" i="33"/>
  <c r="L242" i="33"/>
  <c r="L165" i="33"/>
  <c r="L236" i="33"/>
  <c r="L256" i="33"/>
  <c r="L229" i="33"/>
  <c r="D66" i="31" s="1"/>
  <c r="L286" i="33"/>
  <c r="L258" i="33"/>
  <c r="L213" i="33"/>
  <c r="L189" i="33"/>
  <c r="L237" i="33"/>
  <c r="L280" i="33"/>
  <c r="L254" i="33"/>
  <c r="L246" i="33"/>
  <c r="D7" i="7" s="1"/>
  <c r="L200" i="33"/>
  <c r="L234" i="33"/>
  <c r="L166" i="33"/>
  <c r="L266" i="33"/>
  <c r="L204" i="33"/>
  <c r="L243" i="33"/>
  <c r="L188" i="33"/>
  <c r="L227" i="33"/>
  <c r="D198" i="31" s="1"/>
  <c r="L277" i="33"/>
  <c r="L276" i="33"/>
  <c r="L272" i="33"/>
  <c r="L264" i="33"/>
  <c r="L177" i="33"/>
  <c r="L197" i="33"/>
  <c r="L174" i="33"/>
  <c r="L203" i="33"/>
  <c r="L205" i="33"/>
  <c r="L219" i="33"/>
  <c r="L199" i="33"/>
  <c r="L252" i="33"/>
  <c r="L241" i="33"/>
  <c r="L263" i="33"/>
  <c r="L180" i="33"/>
  <c r="L275" i="33"/>
  <c r="L253" i="33"/>
  <c r="L257" i="33"/>
  <c r="L202" i="33"/>
  <c r="L228" i="33"/>
  <c r="L216" i="33"/>
  <c r="L209" i="33"/>
  <c r="L182" i="33"/>
  <c r="L160" i="33"/>
  <c r="L285" i="33"/>
  <c r="L198" i="33"/>
  <c r="L273" i="33"/>
  <c r="L279" i="33"/>
  <c r="L255" i="33"/>
  <c r="L185" i="33"/>
  <c r="L226" i="33"/>
  <c r="L233" i="33"/>
  <c r="L172" i="33"/>
  <c r="L282" i="33"/>
  <c r="L262" i="33"/>
  <c r="L247" i="33"/>
  <c r="L179" i="33"/>
  <c r="L171" i="33"/>
  <c r="L191" i="33"/>
  <c r="L187" i="33"/>
  <c r="L176" i="33"/>
  <c r="L210" i="33"/>
  <c r="L232" i="33"/>
  <c r="Q152" i="33"/>
  <c r="L244" i="33"/>
  <c r="L7484" i="33"/>
  <c r="L7594" i="33"/>
  <c r="L7720" i="33"/>
  <c r="L7605" i="33"/>
  <c r="L7670" i="33"/>
  <c r="L7778" i="33"/>
  <c r="L7681" i="33"/>
  <c r="L7652" i="33"/>
  <c r="L7642" i="33"/>
  <c r="L7536" i="33"/>
  <c r="L7709" i="33"/>
  <c r="L7710" i="33"/>
  <c r="L7449" i="33"/>
  <c r="L7562" i="33"/>
  <c r="L7702" i="33"/>
  <c r="L7753" i="33"/>
  <c r="L7745" i="33"/>
  <c r="L7671" i="33"/>
  <c r="L7644" i="33"/>
  <c r="L7523" i="33"/>
  <c r="L7458" i="33"/>
  <c r="L7687" i="33"/>
  <c r="L7593" i="33"/>
  <c r="L7800" i="33"/>
  <c r="L7794" i="33"/>
  <c r="L7445" i="33"/>
  <c r="L7612" i="33"/>
  <c r="L7784" i="33"/>
  <c r="C11" i="6" s="1"/>
  <c r="Q11" i="6" s="1"/>
  <c r="L7707" i="33"/>
  <c r="L7629" i="33"/>
  <c r="L7780" i="33"/>
  <c r="L7625" i="33"/>
  <c r="L7448" i="33"/>
  <c r="L7645" i="33"/>
  <c r="L7549" i="33"/>
  <c r="L7643" i="33"/>
  <c r="L7746" i="33"/>
  <c r="L7623" i="33"/>
  <c r="L7632" i="33"/>
  <c r="L7703" i="33"/>
  <c r="L7510" i="33"/>
  <c r="L7471" i="33"/>
  <c r="L7631" i="33"/>
  <c r="L7748" i="33"/>
  <c r="L7785" i="33"/>
  <c r="L7444" i="33"/>
  <c r="L7663" i="33"/>
  <c r="L7689" i="33"/>
  <c r="L7649" i="33"/>
  <c r="L7768" i="33"/>
  <c r="L7497" i="33"/>
  <c r="L7747" i="33"/>
  <c r="L7700" i="33"/>
  <c r="L7575" i="33"/>
  <c r="L7662" i="33"/>
  <c r="D279" i="31" s="1"/>
  <c r="F279" i="31" s="1"/>
  <c r="L7610" i="33"/>
  <c r="L7796" i="33"/>
  <c r="L7446" i="33"/>
  <c r="L7651" i="33"/>
  <c r="L7668" i="33"/>
  <c r="L7624" i="33"/>
  <c r="L7727" i="33"/>
  <c r="L7724" i="33"/>
  <c r="L7795" i="33"/>
  <c r="L7591" i="33"/>
  <c r="L7762" i="33"/>
  <c r="L7730" i="33"/>
  <c r="L7721" i="33"/>
  <c r="L7682" i="33"/>
  <c r="L7664" i="33"/>
  <c r="L7613" i="33"/>
  <c r="L7723" i="33"/>
  <c r="L7764" i="33"/>
  <c r="L7607" i="33"/>
  <c r="L7779" i="33"/>
  <c r="C58" i="5" s="1"/>
  <c r="L7725" i="33"/>
  <c r="L7735" i="33"/>
  <c r="L7701" i="33"/>
  <c r="L7604" i="33"/>
  <c r="L7690" i="33"/>
  <c r="L7606" i="33"/>
  <c r="L7734" i="33"/>
  <c r="L7728" i="33"/>
  <c r="L7769" i="33"/>
  <c r="L7765" i="33"/>
  <c r="L7729" i="33"/>
  <c r="L7683" i="33"/>
  <c r="L7754" i="33"/>
  <c r="L7763" i="33"/>
  <c r="Q7441" i="33"/>
  <c r="L5966" i="33"/>
  <c r="L5963" i="33"/>
  <c r="L5967" i="33"/>
  <c r="L5976" i="33"/>
  <c r="L5948" i="33"/>
  <c r="L5903" i="33"/>
  <c r="D138" i="31" s="1"/>
  <c r="F138" i="31" s="1"/>
  <c r="L5961" i="33"/>
  <c r="L5982" i="33"/>
  <c r="L6013" i="33"/>
  <c r="L5941" i="33"/>
  <c r="D109" i="31" s="1"/>
  <c r="F109" i="31" s="1"/>
  <c r="L5977" i="33"/>
  <c r="L5930" i="33"/>
  <c r="L5943" i="33"/>
  <c r="L5940" i="33"/>
  <c r="D141" i="31" s="1"/>
  <c r="F141" i="31" s="1"/>
  <c r="L5947" i="33"/>
  <c r="L5929" i="33"/>
  <c r="L5904" i="33"/>
  <c r="L6007" i="33"/>
  <c r="L5911" i="33"/>
  <c r="L5962" i="33"/>
  <c r="L5885" i="33"/>
  <c r="D16" i="31" s="1"/>
  <c r="F16" i="31" s="1"/>
  <c r="L5922" i="33"/>
  <c r="L5887" i="33"/>
  <c r="L5893" i="33"/>
  <c r="L5923" i="33"/>
  <c r="L5942" i="33"/>
  <c r="L5960" i="33"/>
  <c r="L5891" i="33"/>
  <c r="L5927" i="33"/>
  <c r="L5892" i="33"/>
  <c r="L5951" i="33"/>
  <c r="L5993" i="33"/>
  <c r="L5894" i="33"/>
  <c r="L5939" i="33"/>
  <c r="D140" i="31" s="1"/>
  <c r="F140" i="31" s="1"/>
  <c r="L5905" i="33"/>
  <c r="L5909" i="33"/>
  <c r="L6008" i="33"/>
  <c r="L6009" i="33"/>
  <c r="L5950" i="33"/>
  <c r="L5992" i="33"/>
  <c r="L5886" i="33"/>
  <c r="D336" i="31" s="1"/>
  <c r="F336" i="31" s="1"/>
  <c r="L5928" i="33"/>
  <c r="L5921" i="33"/>
  <c r="D139" i="31" s="1"/>
  <c r="F139" i="31" s="1"/>
  <c r="L5912" i="33"/>
  <c r="L5910" i="33"/>
  <c r="L5981" i="33"/>
  <c r="L5997" i="33"/>
  <c r="L5888" i="33"/>
  <c r="Q5881" i="33"/>
  <c r="K9609" i="33"/>
  <c r="L5710" i="33"/>
  <c r="L5651" i="33"/>
  <c r="L5689" i="33"/>
  <c r="L5671" i="33"/>
  <c r="L5657" i="33"/>
  <c r="L5648" i="33"/>
  <c r="L5667" i="33"/>
  <c r="L5672" i="33"/>
  <c r="L5635" i="33"/>
  <c r="L5690" i="33"/>
  <c r="L5650" i="33"/>
  <c r="L5653" i="33"/>
  <c r="L5706" i="33"/>
  <c r="L5686" i="33"/>
  <c r="L5647" i="33"/>
  <c r="L5687" i="33"/>
  <c r="L5693" i="33"/>
  <c r="L5683" i="33"/>
  <c r="L5652" i="33"/>
  <c r="L5695" i="33"/>
  <c r="L5696" i="33"/>
  <c r="L5688" i="33"/>
  <c r="L5684" i="33"/>
  <c r="L5682" i="33"/>
  <c r="L5646" i="33"/>
  <c r="L5705" i="33"/>
  <c r="L5636" i="33"/>
  <c r="L5681" i="33"/>
  <c r="L5658" i="33"/>
  <c r="Q5627" i="33"/>
  <c r="L1901" i="33"/>
  <c r="L1968" i="33"/>
  <c r="L1969" i="33"/>
  <c r="L434" i="33"/>
  <c r="L456" i="33"/>
  <c r="L418" i="33"/>
  <c r="L433" i="33"/>
  <c r="L481" i="33"/>
  <c r="L462" i="33"/>
  <c r="L452" i="33"/>
  <c r="L471" i="33"/>
  <c r="Q406" i="33"/>
  <c r="L474" i="33"/>
  <c r="L480" i="33"/>
  <c r="L486" i="33"/>
  <c r="L432" i="33"/>
  <c r="L476" i="33"/>
  <c r="L461" i="33"/>
  <c r="L472" i="33"/>
  <c r="L460" i="33"/>
  <c r="L478" i="33"/>
  <c r="L465" i="33"/>
  <c r="L450" i="33"/>
  <c r="L420" i="33"/>
  <c r="L454" i="33"/>
  <c r="L455" i="33"/>
  <c r="L429" i="33"/>
  <c r="L419" i="33"/>
  <c r="L425" i="33"/>
  <c r="L435" i="33"/>
  <c r="L414" i="33"/>
  <c r="L427" i="33"/>
  <c r="L428" i="33"/>
  <c r="L439" i="33"/>
  <c r="L440" i="33"/>
  <c r="L451" i="33"/>
  <c r="L453" i="33"/>
  <c r="L430" i="33"/>
  <c r="L479" i="33"/>
  <c r="L485" i="33"/>
  <c r="L475" i="33"/>
  <c r="L535" i="33"/>
  <c r="L543" i="33"/>
  <c r="L529" i="33"/>
  <c r="L527" i="33"/>
  <c r="L511" i="33"/>
  <c r="L523" i="33"/>
  <c r="L573" i="33"/>
  <c r="L518" i="33"/>
  <c r="L558" i="33"/>
  <c r="L557" i="33"/>
  <c r="Q499" i="33"/>
  <c r="L10930" i="33"/>
  <c r="L9386" i="33"/>
  <c r="L9392" i="33"/>
  <c r="L9373" i="33"/>
  <c r="L7381" i="33"/>
  <c r="L7421" i="33"/>
  <c r="L7376" i="33"/>
  <c r="L7294" i="33"/>
  <c r="L7325" i="33"/>
  <c r="L7307" i="33"/>
  <c r="L7422" i="33"/>
  <c r="L7343" i="33"/>
  <c r="L7411" i="33"/>
  <c r="L7312" i="33"/>
  <c r="L7331" i="33"/>
  <c r="L7377" i="33"/>
  <c r="L7282" i="33"/>
  <c r="L7407" i="33"/>
  <c r="L7332" i="33"/>
  <c r="L7323" i="33"/>
  <c r="L7326" i="33"/>
  <c r="L7329" i="33"/>
  <c r="L7361" i="33"/>
  <c r="L7362" i="33"/>
  <c r="L7304" i="33"/>
  <c r="L7281" i="33"/>
  <c r="L7284" i="33"/>
  <c r="L7350" i="33"/>
  <c r="L7305" i="33"/>
  <c r="L7396" i="33"/>
  <c r="L7406" i="33"/>
  <c r="L7306" i="33"/>
  <c r="L7285" i="33"/>
  <c r="L7351" i="33"/>
  <c r="L7344" i="33"/>
  <c r="L7324" i="33"/>
  <c r="L7313" i="33"/>
  <c r="L7345" i="33"/>
  <c r="L7348" i="33"/>
  <c r="L7392" i="33"/>
  <c r="L7426" i="33"/>
  <c r="L7366" i="33"/>
  <c r="L7310" i="33"/>
  <c r="L7342" i="33"/>
  <c r="L7391" i="33"/>
  <c r="Q7278" i="33"/>
  <c r="L2767" i="33"/>
  <c r="L2568" i="33"/>
  <c r="L2788" i="33"/>
  <c r="L2699" i="33"/>
  <c r="L2729" i="33"/>
  <c r="L2490" i="33"/>
  <c r="L2595" i="33"/>
  <c r="L2484" i="33"/>
  <c r="L2653" i="33"/>
  <c r="L2548" i="33"/>
  <c r="L2790" i="33"/>
  <c r="L2574" i="33"/>
  <c r="L2534" i="33"/>
  <c r="L2758" i="33"/>
  <c r="L2533" i="33"/>
  <c r="L2573" i="33"/>
  <c r="L2723" i="33"/>
  <c r="L2634" i="33"/>
  <c r="L2486" i="33"/>
  <c r="L2741" i="33"/>
  <c r="L2769" i="33"/>
  <c r="L2607" i="33"/>
  <c r="L2448" i="33"/>
  <c r="L2623" i="33"/>
  <c r="L2572" i="33"/>
  <c r="L2449" i="33"/>
  <c r="L2360" i="33"/>
  <c r="L2550" i="33"/>
  <c r="L2480" i="33"/>
  <c r="L2601" i="33"/>
  <c r="L2501" i="33"/>
  <c r="L2513" i="33"/>
  <c r="L2617" i="33"/>
  <c r="L2491" i="33"/>
  <c r="L2592" i="33"/>
  <c r="L2801" i="33"/>
  <c r="L2632" i="33"/>
  <c r="L2539" i="33"/>
  <c r="L2763" i="33"/>
  <c r="L2543" i="33"/>
  <c r="L2402" i="33"/>
  <c r="L2571" i="33"/>
  <c r="L2683" i="33"/>
  <c r="L2785" i="33"/>
  <c r="L2600" i="33"/>
  <c r="L2800" i="33"/>
  <c r="L2416" i="33"/>
  <c r="L2827" i="33"/>
  <c r="L2589" i="33"/>
  <c r="L2440" i="33"/>
  <c r="L2748" i="33"/>
  <c r="L2392" i="33"/>
  <c r="L2495" i="33"/>
  <c r="L2519" i="33"/>
  <c r="L2775" i="33"/>
  <c r="L2789" i="33"/>
  <c r="L2794" i="33"/>
  <c r="L2591" i="33"/>
  <c r="L2831" i="33"/>
  <c r="L2815" i="33"/>
  <c r="L2825" i="33"/>
  <c r="L2531" i="33"/>
  <c r="L2374" i="33"/>
  <c r="L2795" i="33"/>
  <c r="L2606" i="33"/>
  <c r="L2465" i="33"/>
  <c r="L2535" i="33"/>
  <c r="L2538" i="33"/>
  <c r="L2700" i="33"/>
  <c r="L2464" i="33"/>
  <c r="L2764" i="33"/>
  <c r="L2577" i="33"/>
  <c r="L2430" i="33"/>
  <c r="L2740" i="33"/>
  <c r="L2718" i="33"/>
  <c r="L2639" i="33"/>
  <c r="L2542" i="33"/>
  <c r="L2640" i="33"/>
  <c r="L2707" i="33"/>
  <c r="L2743" i="33"/>
  <c r="L2667" i="33"/>
  <c r="D310" i="31" s="1"/>
  <c r="F310" i="31" s="1"/>
  <c r="L2597" i="33"/>
  <c r="L2579" i="33"/>
  <c r="L2658" i="33"/>
  <c r="L2559" i="33"/>
  <c r="L2515" i="33"/>
  <c r="L2701" i="33"/>
  <c r="L2650" i="33"/>
  <c r="L2716" i="33"/>
  <c r="L2510" i="33"/>
  <c r="L2567" i="33"/>
  <c r="L2724" i="33"/>
  <c r="L2673" i="33"/>
  <c r="L2442" i="33"/>
  <c r="L2708" i="33"/>
  <c r="L2744" i="33"/>
  <c r="L2721" i="33"/>
  <c r="L2564" i="33"/>
  <c r="L2462" i="33"/>
  <c r="L2719" i="33"/>
  <c r="L2563" i="33"/>
  <c r="L2461" i="33"/>
  <c r="L2725" i="33"/>
  <c r="L2765" i="33"/>
  <c r="L2441" i="33"/>
  <c r="L2505" i="33"/>
  <c r="L2720" i="33"/>
  <c r="L2761" i="33"/>
  <c r="L2487" i="33"/>
  <c r="L2566" i="33"/>
  <c r="L2485" i="33"/>
  <c r="L2578" i="33"/>
  <c r="L2469" i="33"/>
  <c r="L2483" i="33"/>
  <c r="L2745" i="33"/>
  <c r="L2826" i="33"/>
  <c r="L2684" i="33"/>
  <c r="L2811" i="33"/>
  <c r="L2514" i="33"/>
  <c r="L2682" i="33"/>
  <c r="L2388" i="33"/>
  <c r="L2787" i="33"/>
  <c r="L2791" i="33"/>
  <c r="L2596" i="33"/>
  <c r="L2793" i="33"/>
  <c r="L2759" i="33"/>
  <c r="L2774" i="33"/>
  <c r="L2739" i="33"/>
  <c r="L2599" i="33"/>
  <c r="L2570" i="33"/>
  <c r="L2672" i="33"/>
  <c r="L2651" i="33"/>
  <c r="L2458" i="33"/>
  <c r="L2633" i="33"/>
  <c r="L2588" i="33"/>
  <c r="L2443" i="33"/>
  <c r="L2692" i="33"/>
  <c r="L2481" i="33"/>
  <c r="L2516" i="33"/>
  <c r="L2688" i="33"/>
  <c r="L2479" i="33"/>
  <c r="L2635" i="33"/>
  <c r="L2549" i="33"/>
  <c r="L2545" i="33"/>
  <c r="L2652" i="33"/>
  <c r="L2459" i="33"/>
  <c r="L2762" i="33"/>
  <c r="L2529" i="33"/>
  <c r="L2819" i="33"/>
  <c r="L2702" i="33"/>
  <c r="L2659" i="33"/>
  <c r="L2562" i="33"/>
  <c r="L2560" i="33"/>
  <c r="L2512" i="33"/>
  <c r="L2593" i="33"/>
  <c r="L2602" i="33"/>
  <c r="L2622" i="33"/>
  <c r="L2728" i="33"/>
  <c r="L2508" i="33"/>
  <c r="L2541" i="33"/>
  <c r="L2603" i="33"/>
  <c r="L2544" i="33"/>
  <c r="L2537" i="33"/>
  <c r="L2530" i="33"/>
  <c r="L2506" i="33"/>
  <c r="L2509" i="33"/>
  <c r="L2608" i="33"/>
  <c r="L2463" i="33"/>
  <c r="L2812" i="33"/>
  <c r="L2473" i="33"/>
  <c r="L2504" i="33"/>
  <c r="L2618" i="33"/>
  <c r="L2468" i="33"/>
  <c r="L2768" i="33"/>
  <c r="L2502" i="33"/>
  <c r="L9045" i="33"/>
  <c r="L9031" i="33"/>
  <c r="L9035" i="33"/>
  <c r="L9044" i="33"/>
  <c r="L9046" i="33"/>
  <c r="L9029" i="33"/>
  <c r="D15" i="31" s="1"/>
  <c r="F15" i="31" s="1"/>
  <c r="L9030" i="33"/>
  <c r="Q9025" i="33"/>
  <c r="L9049" i="33"/>
  <c r="L9050" i="33"/>
  <c r="L9034" i="33"/>
  <c r="K5182" i="33"/>
  <c r="K4964" i="33"/>
  <c r="L4608" i="33"/>
  <c r="L326" i="33"/>
  <c r="L396" i="33"/>
  <c r="L385" i="33"/>
  <c r="L389" i="33"/>
  <c r="L345" i="33"/>
  <c r="L325" i="33"/>
  <c r="L344" i="33"/>
  <c r="L395" i="33"/>
  <c r="L334" i="33"/>
  <c r="L309" i="33"/>
  <c r="L371" i="33"/>
  <c r="L331" i="33"/>
  <c r="L373" i="33"/>
  <c r="L375" i="33"/>
  <c r="L308" i="33"/>
  <c r="L363" i="33"/>
  <c r="L388" i="33"/>
  <c r="L342" i="33"/>
  <c r="L382" i="33"/>
  <c r="L361" i="33"/>
  <c r="L316" i="33"/>
  <c r="L384" i="33"/>
  <c r="L310" i="33"/>
  <c r="L319" i="33"/>
  <c r="L353" i="33"/>
  <c r="L324" i="33"/>
  <c r="L349" i="33"/>
  <c r="L320" i="33"/>
  <c r="L391" i="33"/>
  <c r="L366" i="33"/>
  <c r="L372" i="33"/>
  <c r="L327" i="33"/>
  <c r="L355" i="33"/>
  <c r="L390" i="33"/>
  <c r="L365" i="33"/>
  <c r="L386" i="33"/>
  <c r="L304" i="33"/>
  <c r="L317" i="33"/>
  <c r="L315" i="33"/>
  <c r="L364" i="33"/>
  <c r="L367" i="33"/>
  <c r="L381" i="33"/>
  <c r="L352" i="33"/>
  <c r="L362" i="33"/>
  <c r="L322" i="33"/>
  <c r="L333" i="33"/>
  <c r="L343" i="33"/>
  <c r="L350" i="33"/>
  <c r="L321" i="33"/>
  <c r="Q296" i="33"/>
  <c r="K64" i="33"/>
  <c r="L6789" i="33"/>
  <c r="L6819" i="33"/>
  <c r="L6792" i="33"/>
  <c r="L6840" i="33"/>
  <c r="L6852" i="33"/>
  <c r="L6884" i="33"/>
  <c r="L6788" i="33"/>
  <c r="L6836" i="33"/>
  <c r="L6801" i="33"/>
  <c r="L6833" i="33"/>
  <c r="D263" i="31" s="1"/>
  <c r="F263" i="31" s="1"/>
  <c r="L6874" i="33"/>
  <c r="L6854" i="33"/>
  <c r="L6856" i="33"/>
  <c r="L6842" i="33"/>
  <c r="L6821" i="33"/>
  <c r="L6837" i="33"/>
  <c r="L6878" i="33"/>
  <c r="L6853" i="33"/>
  <c r="D271" i="31" s="1"/>
  <c r="F271" i="31" s="1"/>
  <c r="L6835" i="33"/>
  <c r="L6862" i="33"/>
  <c r="L6883" i="33"/>
  <c r="L6863" i="33"/>
  <c r="L6855" i="33"/>
  <c r="L6816" i="33"/>
  <c r="L6832" i="33"/>
  <c r="L6791" i="33"/>
  <c r="L6857" i="33"/>
  <c r="L6822" i="33"/>
  <c r="L6860" i="33"/>
  <c r="L6875" i="33"/>
  <c r="L6877" i="33"/>
  <c r="L6876" i="33"/>
  <c r="L6814" i="33"/>
  <c r="L6812" i="33"/>
  <c r="L6873" i="33"/>
  <c r="L6811" i="33"/>
  <c r="L6881" i="33"/>
  <c r="L6843" i="33"/>
  <c r="L6834" i="33"/>
  <c r="L6815" i="33"/>
  <c r="L6813" i="33"/>
  <c r="Q6785" i="33"/>
  <c r="L2042" i="33"/>
  <c r="L2109" i="33"/>
  <c r="L2275" i="33"/>
  <c r="L2185" i="33"/>
  <c r="L2152" i="33"/>
  <c r="L2295" i="33"/>
  <c r="L2167" i="33"/>
  <c r="L1999" i="33"/>
  <c r="L2163" i="33"/>
  <c r="L2108" i="33"/>
  <c r="L2058" i="33"/>
  <c r="L2305" i="33"/>
  <c r="L2094" i="33"/>
  <c r="L2201" i="33"/>
  <c r="L2077" i="33"/>
  <c r="L2181" i="33"/>
  <c r="L2099" i="33"/>
  <c r="L2080" i="33"/>
  <c r="L2056" i="33"/>
  <c r="L2286" i="33"/>
  <c r="L2193" i="33"/>
  <c r="L2131" i="33"/>
  <c r="L2182" i="33"/>
  <c r="L2136" i="33"/>
  <c r="L2192" i="33"/>
  <c r="L2103" i="33"/>
  <c r="L2188" i="33"/>
  <c r="L2066" i="33"/>
  <c r="L2102" i="33"/>
  <c r="L2057" i="33"/>
  <c r="L2324" i="33"/>
  <c r="L2252" i="33"/>
  <c r="L2219" i="33"/>
  <c r="L2074" i="33"/>
  <c r="L2142" i="33"/>
  <c r="L2062" i="33"/>
  <c r="L2160" i="33"/>
  <c r="L2101" i="33"/>
  <c r="L2211" i="33"/>
  <c r="L2190" i="33"/>
  <c r="L2220" i="33"/>
  <c r="L2166" i="33"/>
  <c r="L2076" i="33"/>
  <c r="L2105" i="33"/>
  <c r="L2258" i="33"/>
  <c r="L2290" i="33"/>
  <c r="L2155" i="33"/>
  <c r="L2098" i="33"/>
  <c r="L2233" i="33"/>
  <c r="L2009" i="33"/>
  <c r="L2310" i="33"/>
  <c r="L2288" i="33"/>
  <c r="L2314" i="33"/>
  <c r="L2189" i="33"/>
  <c r="L2194" i="33"/>
  <c r="L2253" i="33"/>
  <c r="L2072" i="33"/>
  <c r="L2051" i="33"/>
  <c r="L2269" i="33"/>
  <c r="L2107" i="33"/>
  <c r="L2199" i="33"/>
  <c r="L2130" i="33"/>
  <c r="L2184" i="33"/>
  <c r="L2171" i="33"/>
  <c r="L2127" i="33"/>
  <c r="L2212" i="33"/>
  <c r="L2234" i="33"/>
  <c r="L2200" i="33"/>
  <c r="L2196" i="33"/>
  <c r="L2159" i="33"/>
  <c r="L2023" i="33"/>
  <c r="L2061" i="33"/>
  <c r="L2250" i="33"/>
  <c r="L2034" i="33"/>
  <c r="L2143" i="33"/>
  <c r="L2088" i="33"/>
  <c r="L2334" i="33"/>
  <c r="L2122" i="33"/>
  <c r="L2165" i="33"/>
  <c r="L2083" i="33"/>
  <c r="L2134" i="33"/>
  <c r="L2097" i="33"/>
  <c r="L2078" i="33"/>
  <c r="L2141" i="33"/>
  <c r="L2214" i="33"/>
  <c r="L2270" i="33"/>
  <c r="L2213" i="33"/>
  <c r="L2157" i="33"/>
  <c r="L2055" i="33"/>
  <c r="L2231" i="33"/>
  <c r="L2041" i="33"/>
  <c r="L2073" i="33"/>
  <c r="L2137" i="33"/>
  <c r="L2052" i="33"/>
  <c r="L2135" i="33"/>
  <c r="L2054" i="33"/>
  <c r="L2128" i="33"/>
  <c r="L2170" i="33"/>
  <c r="L2239" i="33"/>
  <c r="L2268" i="33"/>
  <c r="L2276" i="33"/>
  <c r="L2079" i="33"/>
  <c r="L2195" i="33"/>
  <c r="L2095" i="33"/>
  <c r="L2336" i="33"/>
  <c r="L2335" i="33"/>
  <c r="L2112" i="33"/>
  <c r="L2291" i="33"/>
  <c r="L2232" i="33"/>
  <c r="L2230" i="33"/>
  <c r="L2132" i="33"/>
  <c r="L2287" i="33"/>
  <c r="L2341" i="33"/>
  <c r="L2161" i="33"/>
  <c r="L2271" i="33"/>
  <c r="L2126" i="33"/>
  <c r="L2084" i="33"/>
  <c r="L2036" i="33"/>
  <c r="L2172" i="33"/>
  <c r="L2153" i="33"/>
  <c r="L2124" i="33"/>
  <c r="L2138" i="33"/>
  <c r="L2292" i="33"/>
  <c r="L2251" i="33"/>
  <c r="L2306" i="33"/>
  <c r="L2156" i="33"/>
  <c r="L2033" i="33"/>
  <c r="L2106" i="33"/>
  <c r="L2123" i="33"/>
  <c r="L2035" i="33"/>
  <c r="L2186" i="33"/>
  <c r="L2164" i="33"/>
  <c r="L2240" i="33"/>
  <c r="L2328" i="33"/>
  <c r="L2259" i="33"/>
  <c r="Q1987" i="33"/>
  <c r="K1159" i="33"/>
  <c r="Q1159" i="33" s="1"/>
  <c r="L803" i="33"/>
  <c r="L8905" i="33"/>
  <c r="L8963" i="33"/>
  <c r="L8808" i="33"/>
  <c r="D159" i="31" s="1"/>
  <c r="F159" i="31" s="1"/>
  <c r="L9009" i="33"/>
  <c r="L8798" i="33"/>
  <c r="L8860" i="33"/>
  <c r="L8810" i="33"/>
  <c r="L8647" i="33"/>
  <c r="D65" i="31" s="1"/>
  <c r="F65" i="31" s="1"/>
  <c r="L8760" i="33"/>
  <c r="L8653" i="33"/>
  <c r="L8602" i="33"/>
  <c r="L9013" i="33"/>
  <c r="L8730" i="33"/>
  <c r="L8872" i="33"/>
  <c r="L8680" i="33"/>
  <c r="D53" i="31" s="1"/>
  <c r="F53" i="31" s="1"/>
  <c r="L8592" i="33"/>
  <c r="L8916" i="33"/>
  <c r="D342" i="31" s="1"/>
  <c r="F342" i="31" s="1"/>
  <c r="L8681" i="33"/>
  <c r="D52" i="31" s="1"/>
  <c r="F52" i="31" s="1"/>
  <c r="L8668" i="33"/>
  <c r="L8663" i="33"/>
  <c r="D51" i="31" s="1"/>
  <c r="F51" i="31" s="1"/>
  <c r="L8993" i="33"/>
  <c r="L8981" i="33"/>
  <c r="L8696" i="33"/>
  <c r="L8695" i="33"/>
  <c r="D54" i="31" s="1"/>
  <c r="F54" i="31" s="1"/>
  <c r="L9007" i="33"/>
  <c r="L8711" i="33"/>
  <c r="L8682" i="33"/>
  <c r="L8725" i="33"/>
  <c r="D161" i="31" s="1"/>
  <c r="F161" i="31" s="1"/>
  <c r="L8997" i="33"/>
  <c r="L8813" i="33"/>
  <c r="L9052" i="33"/>
  <c r="L8791" i="33"/>
  <c r="D158" i="31" s="1"/>
  <c r="F158" i="31" s="1"/>
  <c r="L8936" i="33"/>
  <c r="L8976" i="33"/>
  <c r="D347" i="31" s="1"/>
  <c r="F347" i="31" s="1"/>
  <c r="L8830" i="33"/>
  <c r="L8870" i="33"/>
  <c r="D57" i="31" s="1"/>
  <c r="F57" i="31" s="1"/>
  <c r="L8816" i="33"/>
  <c r="L8601" i="33"/>
  <c r="D50" i="31" s="1"/>
  <c r="F50" i="31" s="1"/>
  <c r="L8843" i="33"/>
  <c r="L8931" i="33"/>
  <c r="L8861" i="33"/>
  <c r="L8755" i="33"/>
  <c r="D156" i="31" s="1"/>
  <c r="F156" i="31" s="1"/>
  <c r="L8890" i="33"/>
  <c r="L8606" i="33"/>
  <c r="L8607" i="33"/>
  <c r="L8915" i="33"/>
  <c r="L8887" i="33"/>
  <c r="L8917" i="33"/>
  <c r="L8962" i="33"/>
  <c r="L8847" i="33"/>
  <c r="L8726" i="33"/>
  <c r="L8731" i="33"/>
  <c r="L8652" i="33"/>
  <c r="L8967" i="33"/>
  <c r="L8685" i="33"/>
  <c r="L8875" i="33"/>
  <c r="L9053" i="33"/>
  <c r="L8885" i="33"/>
  <c r="D286" i="31" s="1"/>
  <c r="F286" i="31" s="1"/>
  <c r="L8900" i="33"/>
  <c r="D56" i="31" s="1"/>
  <c r="F56" i="31" s="1"/>
  <c r="L8710" i="33"/>
  <c r="D55" i="31" s="1"/>
  <c r="F55" i="31" s="1"/>
  <c r="L8832" i="33"/>
  <c r="L8932" i="33"/>
  <c r="L8700" i="33"/>
  <c r="L8921" i="33"/>
  <c r="L8773" i="33"/>
  <c r="D157" i="31" s="1"/>
  <c r="F157" i="31" s="1"/>
  <c r="L8947" i="33"/>
  <c r="L8961" i="33"/>
  <c r="D27" i="31" s="1"/>
  <c r="F27" i="31" s="1"/>
  <c r="L8778" i="33"/>
  <c r="L8809" i="33"/>
  <c r="L8856" i="33"/>
  <c r="D285" i="31" s="1"/>
  <c r="F285" i="31" s="1"/>
  <c r="L8679" i="33"/>
  <c r="D343" i="31" s="1"/>
  <c r="F343" i="31" s="1"/>
  <c r="L8648" i="33"/>
  <c r="L8757" i="33"/>
  <c r="L8678" i="33"/>
  <c r="D344" i="31" s="1"/>
  <c r="F344" i="31" s="1"/>
  <c r="L8793" i="33"/>
  <c r="L8982" i="33"/>
  <c r="L8992" i="33"/>
  <c r="L8857" i="33"/>
  <c r="L8946" i="33"/>
  <c r="D194" i="31" s="1"/>
  <c r="F194" i="31" s="1"/>
  <c r="L8799" i="33"/>
  <c r="L8825" i="33"/>
  <c r="D160" i="31" s="1"/>
  <c r="F160" i="31" s="1"/>
  <c r="L8901" i="33"/>
  <c r="L8741" i="33"/>
  <c r="L8616" i="33"/>
  <c r="D345" i="31" s="1"/>
  <c r="F345" i="31" s="1"/>
  <c r="L8621" i="33"/>
  <c r="L8833" i="33"/>
  <c r="L8617" i="33"/>
  <c r="L8827" i="33"/>
  <c r="L8826" i="33"/>
  <c r="L9008" i="33"/>
  <c r="L8715" i="33"/>
  <c r="L8871" i="33"/>
  <c r="L8632" i="33"/>
  <c r="D340" i="31" s="1"/>
  <c r="F340" i="31" s="1"/>
  <c r="L8740" i="33"/>
  <c r="D346" i="31" s="1"/>
  <c r="F346" i="31" s="1"/>
  <c r="L8775" i="33"/>
  <c r="L8637" i="33"/>
  <c r="L8780" i="33"/>
  <c r="L8762" i="33"/>
  <c r="L8763" i="33"/>
  <c r="L8796" i="33"/>
  <c r="L8633" i="33"/>
  <c r="L8792" i="33"/>
  <c r="L8977" i="33"/>
  <c r="L8951" i="33"/>
  <c r="L8846" i="33"/>
  <c r="L8664" i="33"/>
  <c r="L8756" i="33"/>
  <c r="L8774" i="33"/>
  <c r="L8842" i="33"/>
  <c r="D341" i="31" s="1"/>
  <c r="F341" i="31" s="1"/>
  <c r="L8622" i="33"/>
  <c r="L8815" i="33"/>
  <c r="L8745" i="33"/>
  <c r="L8781" i="33"/>
  <c r="L8886" i="33"/>
  <c r="Q8584" i="33"/>
  <c r="L5807" i="33"/>
  <c r="L5819" i="33"/>
  <c r="L5821" i="33"/>
  <c r="L5799" i="33"/>
  <c r="L5818" i="33"/>
  <c r="L5798" i="33"/>
  <c r="L5816" i="33"/>
  <c r="L5806" i="33"/>
  <c r="L5825" i="33"/>
  <c r="L5796" i="33"/>
  <c r="L5820" i="33"/>
  <c r="L5800" i="33"/>
  <c r="L5826" i="33"/>
  <c r="L5795" i="33"/>
  <c r="L5801" i="33"/>
  <c r="Q5719" i="33"/>
  <c r="L7820" i="33"/>
  <c r="L8060" i="33"/>
  <c r="L8025" i="33"/>
  <c r="D41" i="31" s="1"/>
  <c r="F41" i="31" s="1"/>
  <c r="L7851" i="33"/>
  <c r="D46" i="31" s="1"/>
  <c r="F46" i="31" s="1"/>
  <c r="L8030" i="33"/>
  <c r="L8026" i="33"/>
  <c r="L7972" i="33"/>
  <c r="L7895" i="33"/>
  <c r="L7953" i="33"/>
  <c r="L7819" i="33"/>
  <c r="L7842" i="33"/>
  <c r="L8041" i="33"/>
  <c r="L7986" i="33"/>
  <c r="L7869" i="33"/>
  <c r="D172" i="31" s="1"/>
  <c r="F172" i="31" s="1"/>
  <c r="L8011" i="33"/>
  <c r="L7965" i="33"/>
  <c r="L7931" i="33"/>
  <c r="L7893" i="33"/>
  <c r="L7952" i="33"/>
  <c r="L7927" i="33"/>
  <c r="L7874" i="33"/>
  <c r="L7946" i="33"/>
  <c r="L7915" i="33"/>
  <c r="L8071" i="33"/>
  <c r="L7865" i="33"/>
  <c r="L7886" i="33"/>
  <c r="L7817" i="33"/>
  <c r="L7943" i="33"/>
  <c r="D283" i="31" s="1"/>
  <c r="F283" i="31" s="1"/>
  <c r="L8010" i="33"/>
  <c r="L7908" i="33"/>
  <c r="L7995" i="33"/>
  <c r="L8055" i="33"/>
  <c r="D44" i="31" s="1"/>
  <c r="F44" i="31" s="1"/>
  <c r="L7889" i="33"/>
  <c r="L7868" i="33"/>
  <c r="L8045" i="33"/>
  <c r="L7867" i="33"/>
  <c r="D31" i="31" s="1"/>
  <c r="F31" i="31" s="1"/>
  <c r="L7964" i="33"/>
  <c r="L7996" i="33"/>
  <c r="L7926" i="33"/>
  <c r="L7925" i="33"/>
  <c r="L7816" i="33"/>
  <c r="L7963" i="33"/>
  <c r="L8040" i="33"/>
  <c r="D40" i="31" s="1"/>
  <c r="F40" i="31" s="1"/>
  <c r="L7971" i="33"/>
  <c r="L7950" i="33"/>
  <c r="L7912" i="33"/>
  <c r="L7829" i="33"/>
  <c r="L7969" i="33"/>
  <c r="L7945" i="33"/>
  <c r="L7888" i="33"/>
  <c r="L7866" i="33"/>
  <c r="D273" i="31" s="1"/>
  <c r="F273" i="31" s="1"/>
  <c r="L8015" i="33"/>
  <c r="L7982" i="33"/>
  <c r="L7962" i="33"/>
  <c r="D284" i="31" s="1"/>
  <c r="F284" i="31" s="1"/>
  <c r="L7870" i="33"/>
  <c r="L7933" i="33"/>
  <c r="L7896" i="33"/>
  <c r="L7934" i="33"/>
  <c r="L7905" i="33"/>
  <c r="L8000" i="33"/>
  <c r="L7924" i="33"/>
  <c r="L7981" i="33"/>
  <c r="L8056" i="33"/>
  <c r="L8075" i="33"/>
  <c r="L7906" i="33"/>
  <c r="L7887" i="33"/>
  <c r="L7907" i="33"/>
  <c r="L7877" i="33"/>
  <c r="L7944" i="33"/>
  <c r="L8070" i="33"/>
  <c r="D45" i="31" s="1"/>
  <c r="F45" i="31" s="1"/>
  <c r="L7914" i="33"/>
  <c r="L7876" i="33"/>
  <c r="Q7813" i="33"/>
  <c r="L3130" i="33"/>
  <c r="L3187" i="33"/>
  <c r="L2976" i="33"/>
  <c r="L2949" i="33"/>
  <c r="L3124" i="33"/>
  <c r="L2906" i="33"/>
  <c r="L3133" i="33"/>
  <c r="L2892" i="33"/>
  <c r="L2993" i="33"/>
  <c r="L3052" i="33"/>
  <c r="L3023" i="33"/>
  <c r="L2963" i="33"/>
  <c r="L3198" i="33"/>
  <c r="L2977" i="33"/>
  <c r="L2984" i="33"/>
  <c r="L2979" i="33"/>
  <c r="L3180" i="33"/>
  <c r="L3177" i="33"/>
  <c r="L3061" i="33"/>
  <c r="L2920" i="33"/>
  <c r="L2953" i="33"/>
  <c r="L2994" i="33"/>
  <c r="L3159" i="33"/>
  <c r="L2973" i="33"/>
  <c r="L3057" i="33"/>
  <c r="L2939" i="33"/>
  <c r="L3204" i="33"/>
  <c r="L2975" i="33"/>
  <c r="L4683" i="33"/>
  <c r="L2948" i="33"/>
  <c r="L3166" i="33"/>
  <c r="L3091" i="33"/>
  <c r="L3270" i="33"/>
  <c r="L3115" i="33"/>
  <c r="L3022" i="33"/>
  <c r="L3217" i="33"/>
  <c r="L3184" i="33"/>
  <c r="L3086" i="33"/>
  <c r="L3002" i="33"/>
  <c r="L3003" i="33"/>
  <c r="L3088" i="33"/>
  <c r="L3188" i="33"/>
  <c r="L3020" i="33"/>
  <c r="L2959" i="33"/>
  <c r="L3106" i="33"/>
  <c r="L3008" i="33"/>
  <c r="L3207" i="33"/>
  <c r="L3018" i="33"/>
  <c r="L3077" i="33"/>
  <c r="L3227" i="33"/>
  <c r="L3067" i="33"/>
  <c r="L3068" i="33"/>
  <c r="L3062" i="33"/>
  <c r="L2954" i="33"/>
  <c r="L2974" i="33"/>
  <c r="L2952" i="33"/>
  <c r="L3063" i="33"/>
  <c r="L3048" i="33"/>
  <c r="L3222" i="33"/>
  <c r="L3247" i="33"/>
  <c r="L3056" i="33"/>
  <c r="L3122" i="33"/>
  <c r="D72" i="31" s="1"/>
  <c r="F72" i="31" s="1"/>
  <c r="L3248" i="33"/>
  <c r="L4684" i="33"/>
  <c r="L3032" i="33"/>
  <c r="L3272" i="33"/>
  <c r="L3223" i="33"/>
  <c r="L3276" i="33"/>
  <c r="L3031" i="33"/>
  <c r="L2997" i="33"/>
  <c r="L3066" i="33"/>
  <c r="L3112" i="33"/>
  <c r="L3055" i="33"/>
  <c r="L3203" i="33"/>
  <c r="L3034" i="33"/>
  <c r="L3001" i="33"/>
  <c r="L2971" i="33"/>
  <c r="L3148" i="33"/>
  <c r="L3092" i="33"/>
  <c r="L3221" i="33"/>
  <c r="L3080" i="33"/>
  <c r="L3030" i="33"/>
  <c r="L3165" i="33"/>
  <c r="L2995" i="33"/>
  <c r="L3175" i="33"/>
  <c r="L2999" i="33"/>
  <c r="L2970" i="33"/>
  <c r="L3028" i="33"/>
  <c r="L3053" i="33"/>
  <c r="L2969" i="33"/>
  <c r="L3143" i="33"/>
  <c r="L3160" i="33"/>
  <c r="L4682" i="33"/>
  <c r="L2931" i="33"/>
  <c r="L3199" i="33"/>
  <c r="L2958" i="33"/>
  <c r="L3183" i="33"/>
  <c r="L3090" i="33"/>
  <c r="L3140" i="33"/>
  <c r="L3202" i="33"/>
  <c r="L3060" i="33"/>
  <c r="L3226" i="33"/>
  <c r="L3200" i="33"/>
  <c r="L3038" i="33"/>
  <c r="L2933" i="33"/>
  <c r="L3004" i="33"/>
  <c r="L3254" i="33"/>
  <c r="L3142" i="33"/>
  <c r="L2980" i="33"/>
  <c r="L3141" i="33"/>
  <c r="L3037" i="33"/>
  <c r="L3111" i="33"/>
  <c r="L2990" i="33"/>
  <c r="L3250" i="33"/>
  <c r="L2951" i="33"/>
  <c r="L2938" i="33"/>
  <c r="L3129" i="33"/>
  <c r="L3084" i="33"/>
  <c r="L2998" i="33"/>
  <c r="L3249" i="33"/>
  <c r="L3096" i="33"/>
  <c r="L3123" i="33"/>
  <c r="D71" i="31" s="1"/>
  <c r="F71" i="31" s="1"/>
  <c r="L3253" i="33"/>
  <c r="L3049" i="33"/>
  <c r="L3271" i="33"/>
  <c r="L2991" i="33"/>
  <c r="L3252" i="33"/>
  <c r="L3244" i="33"/>
  <c r="L3095" i="33"/>
  <c r="L3081" i="33"/>
  <c r="L3218" i="33"/>
  <c r="L2955" i="33"/>
  <c r="L3220" i="33"/>
  <c r="L3182" i="33"/>
  <c r="L2932" i="33"/>
  <c r="L3234" i="33"/>
  <c r="L2930" i="33"/>
  <c r="L3051" i="33"/>
  <c r="L3233" i="33"/>
  <c r="L3078" i="33"/>
  <c r="L3246" i="33"/>
  <c r="L3259" i="33"/>
  <c r="L3033" i="33"/>
  <c r="L3149" i="33"/>
  <c r="L3039" i="33"/>
  <c r="L3260" i="33"/>
  <c r="L3089" i="33"/>
  <c r="L3158" i="33"/>
  <c r="L3121" i="33"/>
  <c r="L3097" i="33"/>
  <c r="L3082" i="33"/>
  <c r="L3179" i="33"/>
  <c r="L3107" i="33"/>
  <c r="L3026" i="33"/>
  <c r="L3019" i="33"/>
  <c r="L3161" i="33"/>
  <c r="L3027" i="33"/>
  <c r="L3085" i="33"/>
  <c r="L3228" i="33"/>
  <c r="L3125" i="33"/>
  <c r="L3224" i="33"/>
  <c r="L3178" i="33"/>
  <c r="L3059" i="33"/>
  <c r="L3024" i="33"/>
  <c r="L3005" i="33"/>
  <c r="Q2842" i="33"/>
  <c r="K9072" i="33"/>
  <c r="K1255" i="33"/>
  <c r="Q1255" i="33" s="1"/>
  <c r="K6029" i="33"/>
  <c r="L1741" i="33"/>
  <c r="L1756" i="33"/>
  <c r="L1687" i="33"/>
  <c r="L1730" i="33"/>
  <c r="L1679" i="33"/>
  <c r="L1555" i="33"/>
  <c r="L1647" i="33"/>
  <c r="L1627" i="33"/>
  <c r="L1632" i="33"/>
  <c r="L1570" i="33"/>
  <c r="L1649" i="33"/>
  <c r="L1752" i="33"/>
  <c r="L1598" i="33"/>
  <c r="L1653" i="33"/>
  <c r="L1713" i="33"/>
  <c r="L1680" i="33"/>
  <c r="L1736" i="33"/>
  <c r="L1645" i="33"/>
  <c r="L1759" i="33"/>
  <c r="L1648" i="33"/>
  <c r="L1646" i="33"/>
  <c r="L1717" i="33"/>
  <c r="L1762" i="33"/>
  <c r="L1652" i="33"/>
  <c r="L1633" i="33"/>
  <c r="L1712" i="33"/>
  <c r="L1584" i="33"/>
  <c r="L1612" i="33"/>
  <c r="L1662" i="33"/>
  <c r="L1703" i="33"/>
  <c r="L1774" i="33"/>
  <c r="L1740" i="33"/>
  <c r="L1732" i="33"/>
  <c r="L1643" i="33"/>
  <c r="L1758" i="33"/>
  <c r="L1778" i="33"/>
  <c r="L1772" i="33"/>
  <c r="L1757" i="33"/>
  <c r="L1735" i="33"/>
  <c r="L1686" i="33"/>
  <c r="L1727" i="33"/>
  <c r="L1750" i="33"/>
  <c r="L1754" i="33"/>
  <c r="L1773" i="33"/>
  <c r="L1697" i="33"/>
  <c r="L1668" i="33"/>
  <c r="L1702" i="33"/>
  <c r="L1729" i="33"/>
  <c r="L1678" i="33"/>
  <c r="L1667" i="33"/>
  <c r="L1753" i="33"/>
  <c r="L1696" i="33"/>
  <c r="L1734" i="33"/>
  <c r="L1624" i="33"/>
  <c r="L1628" i="33"/>
  <c r="L1755" i="33"/>
  <c r="L1626" i="33"/>
  <c r="L1731" i="33"/>
  <c r="L1625" i="33"/>
  <c r="L1622" i="33"/>
  <c r="L1681" i="33"/>
  <c r="L1751" i="33"/>
  <c r="L1698" i="33"/>
  <c r="L1695" i="33"/>
  <c r="Q1547" i="33"/>
  <c r="L7081" i="33"/>
  <c r="L7166" i="33"/>
  <c r="L7089" i="33"/>
  <c r="L7203" i="33"/>
  <c r="L7146" i="33"/>
  <c r="L7165" i="33"/>
  <c r="L7248" i="33"/>
  <c r="L7127" i="33"/>
  <c r="L7056" i="33"/>
  <c r="L7039" i="33"/>
  <c r="L7262" i="33"/>
  <c r="L7052" i="33"/>
  <c r="L7233" i="33"/>
  <c r="L7090" i="33"/>
  <c r="L7068" i="33"/>
  <c r="L7223" i="33"/>
  <c r="L7043" i="33"/>
  <c r="L7252" i="33"/>
  <c r="L7204" i="33"/>
  <c r="L7136" i="33"/>
  <c r="L7167" i="33"/>
  <c r="L7152" i="33"/>
  <c r="L7154" i="33"/>
  <c r="L7267" i="33"/>
  <c r="L7083" i="33"/>
  <c r="L7053" i="33"/>
  <c r="L7038" i="33"/>
  <c r="L7055" i="33"/>
  <c r="L7084" i="33"/>
  <c r="L7263" i="33"/>
  <c r="L7168" i="33"/>
  <c r="L7155" i="33"/>
  <c r="L7124" i="33"/>
  <c r="L7148" i="33"/>
  <c r="L7123" i="33"/>
  <c r="L7219" i="33"/>
  <c r="L7247" i="33"/>
  <c r="L7171" i="33"/>
  <c r="L7126" i="33"/>
  <c r="L7149" i="33"/>
  <c r="L7042" i="33"/>
  <c r="L7193" i="33"/>
  <c r="L7186" i="33"/>
  <c r="L7087" i="33"/>
  <c r="L7072" i="33"/>
  <c r="L7234" i="33"/>
  <c r="L7184" i="33"/>
  <c r="L7218" i="33"/>
  <c r="L7071" i="33"/>
  <c r="L7066" i="33"/>
  <c r="D152" i="31" s="1"/>
  <c r="F152" i="31" s="1"/>
  <c r="L7082" i="33"/>
  <c r="L7049" i="33"/>
  <c r="L7174" i="33"/>
  <c r="L7067" i="33"/>
  <c r="L7208" i="33"/>
  <c r="L7185" i="33"/>
  <c r="L7192" i="33"/>
  <c r="L7065" i="33"/>
  <c r="D43" i="31" s="1"/>
  <c r="F43" i="31" s="1"/>
  <c r="L7238" i="33"/>
  <c r="L7190" i="33"/>
  <c r="L7048" i="33"/>
  <c r="L7105" i="33"/>
  <c r="L7173" i="33"/>
  <c r="L7147" i="33"/>
  <c r="L7100" i="33"/>
  <c r="L7104" i="33"/>
  <c r="L7187" i="33"/>
  <c r="L9728" i="33"/>
  <c r="L9700" i="33"/>
  <c r="D21" i="32"/>
  <c r="F21" i="32" s="1"/>
  <c r="D22" i="32"/>
  <c r="F22" i="32" s="1"/>
  <c r="D53" i="32"/>
  <c r="J44" i="32" s="1"/>
  <c r="K44" i="32" s="1"/>
  <c r="D18" i="32"/>
  <c r="F18" i="32" s="1"/>
  <c r="D16" i="32"/>
  <c r="F16" i="32" s="1"/>
  <c r="D17" i="32"/>
  <c r="F17" i="32" s="1"/>
  <c r="D23" i="32"/>
  <c r="F23" i="32" s="1"/>
  <c r="T139" i="5"/>
  <c r="F26" i="31"/>
  <c r="F339" i="31"/>
  <c r="F337" i="31"/>
  <c r="F25" i="31"/>
  <c r="F338" i="31"/>
  <c r="D114" i="7"/>
  <c r="J34" i="5"/>
  <c r="H17" i="6"/>
  <c r="H12" i="6"/>
  <c r="J24" i="5"/>
  <c r="J51" i="5"/>
  <c r="H26" i="6"/>
  <c r="J13" i="5"/>
  <c r="J25" i="5"/>
  <c r="H61" i="5"/>
  <c r="G13" i="6"/>
  <c r="D113" i="25"/>
  <c r="D114" i="25"/>
  <c r="D2" i="25"/>
  <c r="D148" i="25"/>
  <c r="D147" i="25"/>
  <c r="D145" i="25"/>
  <c r="D141" i="25"/>
  <c r="D138" i="25"/>
  <c r="D137" i="25"/>
  <c r="D134" i="25"/>
  <c r="D133" i="25"/>
  <c r="D132" i="25"/>
  <c r="D126" i="25"/>
  <c r="D125" i="25"/>
  <c r="D153" i="25" s="1"/>
  <c r="D123" i="25"/>
  <c r="D122" i="25"/>
  <c r="D121" i="25"/>
  <c r="D120" i="25"/>
  <c r="D119" i="25"/>
  <c r="D118" i="25"/>
  <c r="D117" i="25"/>
  <c r="D116" i="25"/>
  <c r="D108" i="25"/>
  <c r="D105" i="25"/>
  <c r="D102" i="25"/>
  <c r="D99" i="25"/>
  <c r="D96" i="25"/>
  <c r="D93" i="25"/>
  <c r="D90" i="25"/>
  <c r="D87" i="25"/>
  <c r="D84" i="25"/>
  <c r="D81" i="25"/>
  <c r="D78" i="25"/>
  <c r="D77" i="25"/>
  <c r="D76" i="25"/>
  <c r="D75" i="25"/>
  <c r="D62" i="25"/>
  <c r="D63" i="25" s="1"/>
  <c r="D65" i="25" s="1"/>
  <c r="D45" i="25"/>
  <c r="D44" i="25"/>
  <c r="D53" i="25" s="1"/>
  <c r="D39" i="25"/>
  <c r="D38" i="25"/>
  <c r="D37" i="25"/>
  <c r="D35" i="25"/>
  <c r="D34" i="25"/>
  <c r="D33" i="25"/>
  <c r="D32" i="25"/>
  <c r="D31" i="25"/>
  <c r="D27" i="25"/>
  <c r="D24" i="25"/>
  <c r="D20" i="25"/>
  <c r="D18" i="25"/>
  <c r="D17" i="25"/>
  <c r="D16" i="25"/>
  <c r="D15" i="25"/>
  <c r="D12" i="25"/>
  <c r="D11" i="25"/>
  <c r="L8" i="25"/>
  <c r="K38" i="23" s="1"/>
  <c r="D9" i="25"/>
  <c r="D8" i="25"/>
  <c r="L6" i="25"/>
  <c r="E68" i="25" s="1"/>
  <c r="D7" i="25"/>
  <c r="L5411" i="33" l="1"/>
  <c r="L5422" i="33"/>
  <c r="L5526" i="33"/>
  <c r="L5446" i="33"/>
  <c r="L5538" i="33"/>
  <c r="L5479" i="33"/>
  <c r="L5490" i="33"/>
  <c r="L5445" i="33"/>
  <c r="L5842" i="33"/>
  <c r="L5520" i="33"/>
  <c r="L5426" i="33"/>
  <c r="L5614" i="33"/>
  <c r="L5421" i="33"/>
  <c r="L5499" i="33"/>
  <c r="L5481" i="33"/>
  <c r="L5858" i="33"/>
  <c r="L5843" i="33"/>
  <c r="L4742" i="33"/>
  <c r="C68" i="5" s="1"/>
  <c r="L4830" i="33"/>
  <c r="L5521" i="33"/>
  <c r="L5540" i="33"/>
  <c r="L5484" i="33"/>
  <c r="L5423" i="33"/>
  <c r="L5427" i="33"/>
  <c r="L5460" i="33"/>
  <c r="L5502" i="33"/>
  <c r="L5504" i="33"/>
  <c r="L5429" i="33"/>
  <c r="L5441" i="33"/>
  <c r="L5425" i="33"/>
  <c r="L5394" i="33"/>
  <c r="L5432" i="33"/>
  <c r="L5618" i="33"/>
  <c r="L5536" i="33"/>
  <c r="L5519" i="33"/>
  <c r="L5482" i="33"/>
  <c r="L1899" i="33"/>
  <c r="L1861" i="33"/>
  <c r="L1828" i="33"/>
  <c r="L1840" i="33"/>
  <c r="L1841" i="33"/>
  <c r="L4738" i="33"/>
  <c r="L4787" i="33"/>
  <c r="L4757" i="33"/>
  <c r="L4808" i="33"/>
  <c r="L4776" i="33"/>
  <c r="L4749" i="33"/>
  <c r="L4819" i="33"/>
  <c r="L4860" i="33"/>
  <c r="L4841" i="33"/>
  <c r="L4765" i="33"/>
  <c r="L4755" i="33"/>
  <c r="L4833" i="33"/>
  <c r="L4782" i="33"/>
  <c r="L4764" i="33"/>
  <c r="L4856" i="33"/>
  <c r="L4829" i="33"/>
  <c r="L4737" i="33"/>
  <c r="L4812" i="33"/>
  <c r="L4756" i="33"/>
  <c r="L4777" i="33"/>
  <c r="L4816" i="33"/>
  <c r="L4774" i="33"/>
  <c r="L4807" i="33"/>
  <c r="L4835" i="33"/>
  <c r="L4811" i="33"/>
  <c r="L4746" i="33"/>
  <c r="L4775" i="33"/>
  <c r="L4747" i="33"/>
  <c r="L4779" i="33"/>
  <c r="L4806" i="33"/>
  <c r="L4739" i="33"/>
  <c r="L4828" i="33"/>
  <c r="L4745" i="33"/>
  <c r="L4795" i="33"/>
  <c r="L4786" i="33"/>
  <c r="L4760" i="33"/>
  <c r="L5498" i="33"/>
  <c r="L5483" i="33"/>
  <c r="L4735" i="33"/>
  <c r="L4791" i="33"/>
  <c r="L4785" i="33"/>
  <c r="L4852" i="33"/>
  <c r="L4810" i="33"/>
  <c r="L4761" i="33"/>
  <c r="L4758" i="33"/>
  <c r="L4725" i="33"/>
  <c r="L4751" i="33"/>
  <c r="L5580" i="33"/>
  <c r="L4744" i="33"/>
  <c r="L4813" i="33"/>
  <c r="L4781" i="33"/>
  <c r="L4754" i="33"/>
  <c r="L4834" i="33"/>
  <c r="L4793" i="33"/>
  <c r="L4752" i="33"/>
  <c r="L4750" i="33"/>
  <c r="L4836" i="33"/>
  <c r="L5428" i="33"/>
  <c r="L5443" i="33"/>
  <c r="L5433" i="33"/>
  <c r="L4831" i="33"/>
  <c r="L4805" i="33"/>
  <c r="L4773" i="33"/>
  <c r="L4788" i="33"/>
  <c r="L4818" i="33"/>
  <c r="L4784" i="33"/>
  <c r="L4796" i="33"/>
  <c r="L4741" i="33"/>
  <c r="L5444" i="33"/>
  <c r="L5613" i="33"/>
  <c r="L5617" i="33"/>
  <c r="L5575" i="33"/>
  <c r="L6518" i="33"/>
  <c r="L9385" i="33"/>
  <c r="L9403" i="33"/>
  <c r="L9387" i="33"/>
  <c r="D30" i="31"/>
  <c r="F30" i="31" s="1"/>
  <c r="L6542" i="33"/>
  <c r="L9369" i="33"/>
  <c r="L9418" i="33"/>
  <c r="L9419" i="33"/>
  <c r="L6533" i="33"/>
  <c r="L9366" i="33"/>
  <c r="L9368" i="33"/>
  <c r="L9407" i="33"/>
  <c r="L804" i="33"/>
  <c r="L4581" i="33"/>
  <c r="Q9346" i="33"/>
  <c r="L9391" i="33"/>
  <c r="L9423" i="33"/>
  <c r="L957" i="33"/>
  <c r="L4651" i="33"/>
  <c r="L9364" i="33"/>
  <c r="L9374" i="33"/>
  <c r="L4602" i="33"/>
  <c r="L9408" i="33"/>
  <c r="L9367" i="33"/>
  <c r="L9402" i="33"/>
  <c r="L9384" i="33"/>
  <c r="L1404" i="33"/>
  <c r="Q1382" i="33"/>
  <c r="D32" i="31"/>
  <c r="F32" i="31" s="1"/>
  <c r="D154" i="31"/>
  <c r="F154" i="31" s="1"/>
  <c r="D155" i="31"/>
  <c r="F155" i="31" s="1"/>
  <c r="D244" i="31"/>
  <c r="F244" i="31" s="1"/>
  <c r="H244" i="31" s="1"/>
  <c r="I244" i="31" s="1"/>
  <c r="L8134" i="33"/>
  <c r="L8131" i="33"/>
  <c r="L8133" i="33"/>
  <c r="L8132" i="33"/>
  <c r="K221" i="31"/>
  <c r="H221" i="31"/>
  <c r="I221" i="31" s="1"/>
  <c r="D153" i="31"/>
  <c r="F153" i="31" s="1"/>
  <c r="L5598" i="33"/>
  <c r="L5601" i="33"/>
  <c r="L5594" i="33"/>
  <c r="L5592" i="33"/>
  <c r="L5595" i="33"/>
  <c r="L5597" i="33"/>
  <c r="L5590" i="33"/>
  <c r="L5589" i="33"/>
  <c r="L5591" i="33"/>
  <c r="L5596" i="33"/>
  <c r="L5604" i="33"/>
  <c r="L5603" i="33"/>
  <c r="D70" i="31"/>
  <c r="F70" i="31" s="1"/>
  <c r="K70" i="31" s="1"/>
  <c r="Q598" i="33"/>
  <c r="L626" i="33"/>
  <c r="L6698" i="33"/>
  <c r="L659" i="33"/>
  <c r="L6770" i="33"/>
  <c r="L6674" i="33"/>
  <c r="L6749" i="33"/>
  <c r="L637" i="33"/>
  <c r="Q6585" i="33"/>
  <c r="L6738" i="33"/>
  <c r="L6732" i="33"/>
  <c r="L6731" i="33"/>
  <c r="L6695" i="33"/>
  <c r="L617" i="33"/>
  <c r="L640" i="33"/>
  <c r="L679" i="33"/>
  <c r="L621" i="33"/>
  <c r="L6713" i="33"/>
  <c r="L6693" i="33"/>
  <c r="D147" i="31" s="1"/>
  <c r="F147" i="31" s="1"/>
  <c r="K147" i="31" s="1"/>
  <c r="L6712" i="33"/>
  <c r="D151" i="31" s="1"/>
  <c r="F151" i="31" s="1"/>
  <c r="K151" i="31" s="1"/>
  <c r="L6672" i="33"/>
  <c r="D150" i="31" s="1"/>
  <c r="F150" i="31" s="1"/>
  <c r="K150" i="31" s="1"/>
  <c r="L6719" i="33"/>
  <c r="L622" i="33"/>
  <c r="L611" i="33"/>
  <c r="L670" i="33"/>
  <c r="L684" i="33"/>
  <c r="L6694" i="33"/>
  <c r="L6681" i="33"/>
  <c r="L6730" i="33"/>
  <c r="L6646" i="33"/>
  <c r="L6765" i="33"/>
  <c r="L677" i="33"/>
  <c r="L649" i="33"/>
  <c r="L685" i="33"/>
  <c r="L633" i="33"/>
  <c r="D184" i="31" s="1"/>
  <c r="F184" i="31" s="1"/>
  <c r="H184" i="31" s="1"/>
  <c r="I184" i="31" s="1"/>
  <c r="L6691" i="33"/>
  <c r="D321" i="31" s="1"/>
  <c r="F321" i="31" s="1"/>
  <c r="H321" i="31" s="1"/>
  <c r="I321" i="31" s="1"/>
  <c r="L6736" i="33"/>
  <c r="L6717" i="33"/>
  <c r="L6631" i="33"/>
  <c r="L6678" i="33"/>
  <c r="L650" i="33"/>
  <c r="L625" i="33"/>
  <c r="L673" i="33"/>
  <c r="L654" i="33"/>
  <c r="L6692" i="33"/>
  <c r="D148" i="31" s="1"/>
  <c r="F148" i="31" s="1"/>
  <c r="K148" i="31" s="1"/>
  <c r="L6673" i="33"/>
  <c r="D259" i="31" s="1"/>
  <c r="F259" i="31" s="1"/>
  <c r="H259" i="31" s="1"/>
  <c r="I259" i="31" s="1"/>
  <c r="L6750" i="33"/>
  <c r="L6733" i="33"/>
  <c r="L6675" i="33"/>
  <c r="L652" i="33"/>
  <c r="L653" i="33"/>
  <c r="L632" i="33"/>
  <c r="L6720" i="33"/>
  <c r="L6657" i="33"/>
  <c r="D77" i="31" s="1"/>
  <c r="F77" i="31" s="1"/>
  <c r="K77" i="31" s="1"/>
  <c r="L6739" i="33"/>
  <c r="L6680" i="33"/>
  <c r="L606" i="33"/>
  <c r="L675" i="33"/>
  <c r="L664" i="33"/>
  <c r="L6671" i="33"/>
  <c r="D272" i="31" s="1"/>
  <c r="F272" i="31" s="1"/>
  <c r="H272" i="31" s="1"/>
  <c r="I272" i="31" s="1"/>
  <c r="L6591" i="33"/>
  <c r="L6700" i="33"/>
  <c r="L6714" i="33"/>
  <c r="L651" i="33"/>
  <c r="L639" i="33"/>
  <c r="L678" i="33"/>
  <c r="L6462" i="33"/>
  <c r="L6592" i="33"/>
  <c r="L6617" i="33"/>
  <c r="L6766" i="33"/>
  <c r="L6711" i="33"/>
  <c r="D270" i="31" s="1"/>
  <c r="F270" i="31" s="1"/>
  <c r="K270" i="31" s="1"/>
  <c r="L6701" i="33"/>
  <c r="L6616" i="33"/>
  <c r="L680" i="33"/>
  <c r="L627" i="33"/>
  <c r="L655" i="33"/>
  <c r="L661" i="33"/>
  <c r="L610" i="33"/>
  <c r="L6647" i="33"/>
  <c r="L6589" i="33"/>
  <c r="L6588" i="33"/>
  <c r="L6601" i="33"/>
  <c r="L6764" i="33"/>
  <c r="L671" i="33"/>
  <c r="L674" i="33"/>
  <c r="L612" i="33"/>
  <c r="L4644" i="33"/>
  <c r="L6240" i="33"/>
  <c r="Q4486" i="33"/>
  <c r="L6503" i="33"/>
  <c r="L4527" i="33"/>
  <c r="L4494" i="33"/>
  <c r="L6459" i="33"/>
  <c r="D267" i="31" s="1"/>
  <c r="F267" i="31" s="1"/>
  <c r="K267" i="31" s="1"/>
  <c r="L4508" i="33"/>
  <c r="L6487" i="33"/>
  <c r="L4511" i="33"/>
  <c r="L6469" i="33"/>
  <c r="L6311" i="33"/>
  <c r="L4543" i="33"/>
  <c r="L6486" i="33"/>
  <c r="L6366" i="33"/>
  <c r="D38" i="31"/>
  <c r="F38" i="31" s="1"/>
  <c r="L4537" i="33"/>
  <c r="L6335" i="33"/>
  <c r="L6448" i="33"/>
  <c r="L6481" i="33"/>
  <c r="L6403" i="33"/>
  <c r="L6401" i="33"/>
  <c r="L6363" i="33"/>
  <c r="L6339" i="33"/>
  <c r="L6325" i="33"/>
  <c r="L6439" i="33"/>
  <c r="L6243" i="33"/>
  <c r="L6442" i="33"/>
  <c r="L6506" i="33"/>
  <c r="L6321" i="33"/>
  <c r="L6388" i="33"/>
  <c r="L6385" i="33"/>
  <c r="L6550" i="33"/>
  <c r="L6440" i="33"/>
  <c r="L6571" i="33"/>
  <c r="L6407" i="33"/>
  <c r="L6283" i="33"/>
  <c r="L6268" i="33"/>
  <c r="L6429" i="33"/>
  <c r="L6279" i="33"/>
  <c r="D266" i="31" s="1"/>
  <c r="F266" i="31" s="1"/>
  <c r="K266" i="31" s="1"/>
  <c r="L6307" i="33"/>
  <c r="L6480" i="33"/>
  <c r="L6293" i="33"/>
  <c r="L6461" i="33"/>
  <c r="D261" i="31" s="1"/>
  <c r="F261" i="31" s="1"/>
  <c r="K261" i="31" s="1"/>
  <c r="L6555" i="33"/>
  <c r="L6269" i="33"/>
  <c r="L6441" i="33"/>
  <c r="L6371" i="33"/>
  <c r="L6402" i="33"/>
  <c r="L6551" i="33"/>
  <c r="L6383" i="33"/>
  <c r="L6390" i="33"/>
  <c r="L6364" i="33"/>
  <c r="L6479" i="33"/>
  <c r="L6384" i="33"/>
  <c r="L6353" i="33"/>
  <c r="L6458" i="33"/>
  <c r="D295" i="31" s="1"/>
  <c r="L6365" i="33"/>
  <c r="L6409" i="33"/>
  <c r="L6297" i="33"/>
  <c r="L6420" i="33"/>
  <c r="L6241" i="33"/>
  <c r="L6484" i="33"/>
  <c r="L6428" i="33"/>
  <c r="L6391" i="33"/>
  <c r="L6244" i="33"/>
  <c r="L6460" i="33"/>
  <c r="D265" i="31" s="1"/>
  <c r="F265" i="31" s="1"/>
  <c r="K265" i="31" s="1"/>
  <c r="L6445" i="33"/>
  <c r="L6502" i="33"/>
  <c r="L6349" i="33"/>
  <c r="D264" i="31" s="1"/>
  <c r="F264" i="31" s="1"/>
  <c r="K264" i="31" s="1"/>
  <c r="L6421" i="33"/>
  <c r="L6410" i="33"/>
  <c r="L6422" i="33"/>
  <c r="L6468" i="33"/>
  <c r="L6567" i="33"/>
  <c r="L6565" i="33"/>
  <c r="L6253" i="33"/>
  <c r="L6505" i="33"/>
  <c r="L6404" i="33"/>
  <c r="Q6237" i="33"/>
  <c r="L6372" i="33"/>
  <c r="L6566" i="33"/>
  <c r="L6466" i="33"/>
  <c r="L6382" i="33"/>
  <c r="L6423" i="33"/>
  <c r="L6463" i="33"/>
  <c r="L6447" i="33"/>
  <c r="L6426" i="33"/>
  <c r="L6369" i="33"/>
  <c r="L10656" i="33"/>
  <c r="L10652" i="33"/>
  <c r="L10650" i="33"/>
  <c r="L10651" i="33"/>
  <c r="L10640" i="33"/>
  <c r="L10635" i="33"/>
  <c r="L10636" i="33"/>
  <c r="L1121" i="33"/>
  <c r="L982" i="33"/>
  <c r="L11208" i="33"/>
  <c r="L11327" i="33"/>
  <c r="L11277" i="33"/>
  <c r="L11003" i="33"/>
  <c r="L10993" i="33"/>
  <c r="L10963" i="33"/>
  <c r="L10937" i="33"/>
  <c r="L10888" i="33"/>
  <c r="L10823" i="33"/>
  <c r="L11209" i="33"/>
  <c r="L11323" i="33"/>
  <c r="L11273" i="33"/>
  <c r="L11002" i="33"/>
  <c r="L10992" i="33"/>
  <c r="L10962" i="33"/>
  <c r="L10936" i="33"/>
  <c r="L10841" i="33"/>
  <c r="L10822" i="33"/>
  <c r="L11210" i="33"/>
  <c r="L11319" i="33"/>
  <c r="L11272" i="33"/>
  <c r="L11001" i="33"/>
  <c r="L10991" i="33"/>
  <c r="L10961" i="33"/>
  <c r="L10935" i="33"/>
  <c r="L10840" i="33"/>
  <c r="L10821" i="33"/>
  <c r="L11211" i="33"/>
  <c r="L11318" i="33"/>
  <c r="L11010" i="33"/>
  <c r="L10999" i="33"/>
  <c r="L10970" i="33"/>
  <c r="L10959" i="33"/>
  <c r="L10934" i="33"/>
  <c r="L10839" i="33"/>
  <c r="D9" i="31" s="1"/>
  <c r="L10819" i="33"/>
  <c r="L11339" i="33"/>
  <c r="L11292" i="33"/>
  <c r="L11009" i="33"/>
  <c r="L10998" i="33"/>
  <c r="L10969" i="33"/>
  <c r="L10958" i="33"/>
  <c r="L10892" i="33"/>
  <c r="L10829" i="33"/>
  <c r="L10818" i="33"/>
  <c r="L11335" i="33"/>
  <c r="L11289" i="33"/>
  <c r="L11008" i="33"/>
  <c r="L10997" i="33"/>
  <c r="L10968" i="33"/>
  <c r="L10957" i="33"/>
  <c r="L10891" i="33"/>
  <c r="L10828" i="33"/>
  <c r="L10817" i="33"/>
  <c r="L11334" i="33"/>
  <c r="L11288" i="33"/>
  <c r="L11005" i="33"/>
  <c r="L10996" i="33"/>
  <c r="L10965" i="33"/>
  <c r="L10956" i="33"/>
  <c r="L10890" i="33"/>
  <c r="L10826" i="33"/>
  <c r="L10816" i="33"/>
  <c r="L11333" i="33"/>
  <c r="L11287" i="33"/>
  <c r="L11004" i="33"/>
  <c r="L10994" i="33"/>
  <c r="L10964" i="33"/>
  <c r="L10938" i="33"/>
  <c r="L10889" i="33"/>
  <c r="L10824" i="33"/>
  <c r="L10679" i="33"/>
  <c r="Q10671" i="33"/>
  <c r="H245" i="31"/>
  <c r="I245" i="31" s="1"/>
  <c r="K245" i="31"/>
  <c r="H192" i="31"/>
  <c r="I192" i="31" s="1"/>
  <c r="K192" i="31"/>
  <c r="L871" i="33"/>
  <c r="D195" i="31" s="1"/>
  <c r="F195" i="31" s="1"/>
  <c r="H195" i="31" s="1"/>
  <c r="I195" i="31" s="1"/>
  <c r="L11150" i="33"/>
  <c r="L11236" i="33"/>
  <c r="L11229" i="33"/>
  <c r="L11231" i="33"/>
  <c r="L11230" i="33"/>
  <c r="L11235" i="33"/>
  <c r="L11176" i="33"/>
  <c r="L11177" i="33"/>
  <c r="L11186" i="33"/>
  <c r="D262" i="31" s="1"/>
  <c r="L10778" i="33"/>
  <c r="L11022" i="33"/>
  <c r="L11108" i="33"/>
  <c r="L11104" i="33"/>
  <c r="L11185" i="33"/>
  <c r="D258" i="31" s="1"/>
  <c r="F258" i="31" s="1"/>
  <c r="L10846" i="33"/>
  <c r="L11254" i="33"/>
  <c r="L11309" i="33"/>
  <c r="L11249" i="33"/>
  <c r="L11203" i="33"/>
  <c r="L10710" i="33"/>
  <c r="L11080" i="33"/>
  <c r="L11076" i="33"/>
  <c r="L11170" i="33"/>
  <c r="L11061" i="33"/>
  <c r="L11048" i="33"/>
  <c r="L11064" i="33"/>
  <c r="L11040" i="33"/>
  <c r="L11058" i="33"/>
  <c r="L11060" i="33"/>
  <c r="L11043" i="33"/>
  <c r="L11046" i="33"/>
  <c r="L11049" i="33"/>
  <c r="L11041" i="33"/>
  <c r="L11066" i="33"/>
  <c r="L11067" i="33"/>
  <c r="L11059" i="33"/>
  <c r="L11042" i="33"/>
  <c r="L10793" i="33"/>
  <c r="L10796" i="33"/>
  <c r="L10794" i="33"/>
  <c r="L11262" i="33"/>
  <c r="L11148" i="33"/>
  <c r="L11251" i="33"/>
  <c r="L11253" i="33"/>
  <c r="L10800" i="33"/>
  <c r="L10871" i="33"/>
  <c r="D13" i="31" s="1"/>
  <c r="L10877" i="33"/>
  <c r="L11156" i="33"/>
  <c r="L10737" i="33"/>
  <c r="L10694" i="33"/>
  <c r="L10862" i="33"/>
  <c r="L11151" i="33"/>
  <c r="L10777" i="33"/>
  <c r="L11248" i="33"/>
  <c r="L11218" i="33"/>
  <c r="L10782" i="33"/>
  <c r="L10709" i="33"/>
  <c r="L11031" i="33"/>
  <c r="L10856" i="33"/>
  <c r="L11174" i="33"/>
  <c r="L11090" i="33"/>
  <c r="L10733" i="33"/>
  <c r="L10878" i="33"/>
  <c r="D130" i="31"/>
  <c r="F130" i="31" s="1"/>
  <c r="K130" i="31" s="1"/>
  <c r="L10855" i="33"/>
  <c r="D10" i="31" s="1"/>
  <c r="L11214" i="33"/>
  <c r="L10747" i="33"/>
  <c r="L10776" i="33"/>
  <c r="L11136" i="33"/>
  <c r="L11194" i="33"/>
  <c r="L11023" i="33"/>
  <c r="L11146" i="33"/>
  <c r="L11132" i="33"/>
  <c r="L11094" i="33"/>
  <c r="L11304" i="33"/>
  <c r="L10751" i="33"/>
  <c r="L11122" i="33"/>
  <c r="L10795" i="33"/>
  <c r="L10857" i="33"/>
  <c r="L11193" i="33"/>
  <c r="L11191" i="33"/>
  <c r="L11256" i="33"/>
  <c r="L10929" i="33"/>
  <c r="L11154" i="33"/>
  <c r="L10766" i="33"/>
  <c r="L10940" i="33"/>
  <c r="L10799" i="33"/>
  <c r="L10798" i="33"/>
  <c r="D179" i="31" s="1"/>
  <c r="L10845" i="33"/>
  <c r="L11308" i="33"/>
  <c r="D256" i="31"/>
  <c r="L10775" i="33"/>
  <c r="L11257" i="33"/>
  <c r="L10727" i="33"/>
  <c r="L11149" i="33"/>
  <c r="L11118" i="33"/>
  <c r="D146" i="31"/>
  <c r="L11147" i="33"/>
  <c r="L11030" i="33"/>
  <c r="L10931" i="33"/>
  <c r="L11187" i="33"/>
  <c r="L11255" i="33"/>
  <c r="L11250" i="33"/>
  <c r="L11025" i="33"/>
  <c r="L10765" i="33"/>
  <c r="L11302" i="33"/>
  <c r="L10861" i="33"/>
  <c r="L11204" i="33"/>
  <c r="L10941" i="33"/>
  <c r="L11207" i="33"/>
  <c r="L11157" i="33"/>
  <c r="L11215" i="33"/>
  <c r="L11260" i="33"/>
  <c r="L11205" i="33"/>
  <c r="L10872" i="33"/>
  <c r="L11263" i="33"/>
  <c r="L10761" i="33"/>
  <c r="L11206" i="33"/>
  <c r="L11024" i="33"/>
  <c r="L10755" i="33"/>
  <c r="D15" i="7" s="1"/>
  <c r="L11217" i="33"/>
  <c r="L10783" i="33"/>
  <c r="C10" i="6" s="1"/>
  <c r="Q10" i="6" s="1"/>
  <c r="L11303" i="33"/>
  <c r="L10986" i="33"/>
  <c r="L10973" i="33"/>
  <c r="L10950" i="33"/>
  <c r="L10953" i="33"/>
  <c r="L10954" i="33"/>
  <c r="L10972" i="33"/>
  <c r="L10951" i="33"/>
  <c r="L10952" i="33"/>
  <c r="L10932" i="33"/>
  <c r="L11012" i="33"/>
  <c r="L11013" i="33"/>
  <c r="L10983" i="33"/>
  <c r="L10984" i="33"/>
  <c r="L10982" i="33"/>
  <c r="L10985" i="33"/>
  <c r="L10914" i="33"/>
  <c r="L10909" i="33"/>
  <c r="D105" i="31" s="1"/>
  <c r="L10913" i="33"/>
  <c r="L10918" i="33"/>
  <c r="L10907" i="33"/>
  <c r="L10911" i="33"/>
  <c r="D85" i="31" s="1"/>
  <c r="L10908" i="33"/>
  <c r="D296" i="31" s="1"/>
  <c r="L10910" i="33"/>
  <c r="D84" i="31" s="1"/>
  <c r="L10919" i="33"/>
  <c r="L10912" i="33"/>
  <c r="D67" i="31" s="1"/>
  <c r="L10886" i="33"/>
  <c r="C44" i="5" s="1"/>
  <c r="L10896" i="33"/>
  <c r="L10897" i="33"/>
  <c r="L10814" i="33"/>
  <c r="D127" i="31" s="1"/>
  <c r="L10813" i="33"/>
  <c r="Q9746" i="33"/>
  <c r="L10683" i="33"/>
  <c r="L10698" i="33"/>
  <c r="L574" i="33"/>
  <c r="L587" i="33"/>
  <c r="L534" i="33"/>
  <c r="L578" i="33"/>
  <c r="Q1793" i="33"/>
  <c r="L1842" i="33"/>
  <c r="L1938" i="33"/>
  <c r="L507" i="33"/>
  <c r="L524" i="33"/>
  <c r="L583" i="33"/>
  <c r="L528" i="33"/>
  <c r="L1974" i="33"/>
  <c r="L1889" i="33"/>
  <c r="L1881" i="33"/>
  <c r="L513" i="33"/>
  <c r="L541" i="33"/>
  <c r="L559" i="33"/>
  <c r="L1848" i="33"/>
  <c r="L1865" i="33"/>
  <c r="L1862" i="33"/>
  <c r="L512" i="33"/>
  <c r="L553" i="33"/>
  <c r="L537" i="33"/>
  <c r="L567" i="33"/>
  <c r="L1917" i="33"/>
  <c r="L1936" i="33"/>
  <c r="L556" i="33"/>
  <c r="L544" i="33"/>
  <c r="L577" i="33"/>
  <c r="L565" i="33"/>
  <c r="L1847" i="33"/>
  <c r="L1866" i="33"/>
  <c r="L4669" i="33"/>
  <c r="L4664" i="33"/>
  <c r="L4507" i="33"/>
  <c r="L4526" i="33"/>
  <c r="L4522" i="33"/>
  <c r="D275" i="31"/>
  <c r="F275" i="31" s="1"/>
  <c r="L4504" i="33"/>
  <c r="L4512" i="33"/>
  <c r="L4505" i="33"/>
  <c r="L4538" i="33"/>
  <c r="D291" i="31"/>
  <c r="F291" i="31" s="1"/>
  <c r="L5169" i="33"/>
  <c r="L4506" i="33"/>
  <c r="D290" i="31"/>
  <c r="F290" i="31" s="1"/>
  <c r="D282" i="31"/>
  <c r="F282" i="31" s="1"/>
  <c r="L6535" i="33"/>
  <c r="L6523" i="33"/>
  <c r="L932" i="33"/>
  <c r="L916" i="33"/>
  <c r="L926" i="33"/>
  <c r="L917" i="33"/>
  <c r="L6534" i="33"/>
  <c r="L4588" i="33"/>
  <c r="L4629" i="33"/>
  <c r="L4704" i="33"/>
  <c r="L4653" i="33"/>
  <c r="L4680" i="33"/>
  <c r="L4641" i="33"/>
  <c r="L4679" i="33"/>
  <c r="L879" i="33"/>
  <c r="L891" i="33"/>
  <c r="L6536" i="33"/>
  <c r="L933" i="33"/>
  <c r="L6522" i="33"/>
  <c r="L878" i="33"/>
  <c r="L963" i="33"/>
  <c r="L4586" i="33"/>
  <c r="L4692" i="33"/>
  <c r="L4605" i="33"/>
  <c r="L4580" i="33"/>
  <c r="L4639" i="33"/>
  <c r="L4693" i="33"/>
  <c r="L4598" i="33"/>
  <c r="L854" i="33"/>
  <c r="L855" i="33"/>
  <c r="L947" i="33"/>
  <c r="L887" i="33"/>
  <c r="L925" i="33"/>
  <c r="L897" i="33"/>
  <c r="L870" i="33"/>
  <c r="D246" i="31" s="1"/>
  <c r="F246" i="31" s="1"/>
  <c r="H246" i="31" s="1"/>
  <c r="I246" i="31" s="1"/>
  <c r="D14" i="31"/>
  <c r="L4686" i="33"/>
  <c r="L4668" i="33"/>
  <c r="L4599" i="33"/>
  <c r="L4646" i="33"/>
  <c r="L4601" i="33"/>
  <c r="L4648" i="33"/>
  <c r="D182" i="31"/>
  <c r="F182" i="31" s="1"/>
  <c r="K182" i="31" s="1"/>
  <c r="D39" i="31"/>
  <c r="F39" i="31" s="1"/>
  <c r="L890" i="33"/>
  <c r="L853" i="33"/>
  <c r="L861" i="33"/>
  <c r="L859" i="33"/>
  <c r="L873" i="33"/>
  <c r="L844" i="33"/>
  <c r="L927" i="33"/>
  <c r="L4688" i="33"/>
  <c r="L4614" i="33"/>
  <c r="L4582" i="33"/>
  <c r="L4607" i="33"/>
  <c r="L4703" i="33"/>
  <c r="L4628" i="33"/>
  <c r="L6517" i="33"/>
  <c r="L909" i="33"/>
  <c r="L928" i="33"/>
  <c r="L892" i="33"/>
  <c r="L908" i="33"/>
  <c r="L959" i="33"/>
  <c r="L872" i="33"/>
  <c r="L4654" i="33"/>
  <c r="L4569" i="33"/>
  <c r="L4610" i="33"/>
  <c r="L4579" i="33"/>
  <c r="L4609" i="33"/>
  <c r="L4708" i="33"/>
  <c r="D124" i="31"/>
  <c r="L893" i="33"/>
  <c r="L911" i="33"/>
  <c r="L845" i="33"/>
  <c r="L943" i="33"/>
  <c r="L6516" i="33"/>
  <c r="L856" i="33"/>
  <c r="L862" i="33"/>
  <c r="L4647" i="33"/>
  <c r="L4624" i="33"/>
  <c r="L4604" i="33"/>
  <c r="L4687" i="33"/>
  <c r="L4689" i="33"/>
  <c r="L4642" i="33"/>
  <c r="Q795" i="33"/>
  <c r="L889" i="33"/>
  <c r="L898" i="33"/>
  <c r="L958" i="33"/>
  <c r="L942" i="33"/>
  <c r="L817" i="33"/>
  <c r="L830" i="33"/>
  <c r="Q4561" i="33"/>
  <c r="L4603" i="33"/>
  <c r="L4645" i="33"/>
  <c r="L4589" i="33"/>
  <c r="L4640" i="33"/>
  <c r="L4613" i="33"/>
  <c r="D243" i="31"/>
  <c r="F243" i="31" s="1"/>
  <c r="K243" i="31" s="1"/>
  <c r="D131" i="31"/>
  <c r="F131" i="31" s="1"/>
  <c r="L580" i="33"/>
  <c r="L588" i="33"/>
  <c r="L576" i="33"/>
  <c r="L563" i="33"/>
  <c r="L582" i="33"/>
  <c r="L1918" i="33"/>
  <c r="L1919" i="33"/>
  <c r="L1902" i="33"/>
  <c r="L554" i="33"/>
  <c r="C7" i="5" s="1"/>
  <c r="L555" i="33"/>
  <c r="D113" i="31" s="1"/>
  <c r="L581" i="33"/>
  <c r="L564" i="33"/>
  <c r="L1844" i="33"/>
  <c r="L1935" i="33"/>
  <c r="L1804" i="33"/>
  <c r="L1900" i="33"/>
  <c r="D278" i="31"/>
  <c r="F278" i="31" s="1"/>
  <c r="H278" i="31" s="1"/>
  <c r="I278" i="31" s="1"/>
  <c r="D280" i="31"/>
  <c r="F280" i="31" s="1"/>
  <c r="L3942" i="33"/>
  <c r="D34" i="31"/>
  <c r="F34" i="31" s="1"/>
  <c r="D274" i="31"/>
  <c r="F274" i="31" s="1"/>
  <c r="H274" i="31" s="1"/>
  <c r="I274" i="31" s="1"/>
  <c r="L3871" i="33"/>
  <c r="D95" i="31"/>
  <c r="F95" i="31" s="1"/>
  <c r="C166" i="5"/>
  <c r="C72" i="5"/>
  <c r="D238" i="31"/>
  <c r="F238" i="31" s="1"/>
  <c r="F240" i="31" s="1"/>
  <c r="D608" i="31" s="1"/>
  <c r="D298" i="31"/>
  <c r="F298" i="31" s="1"/>
  <c r="H298" i="31" s="1"/>
  <c r="C139" i="5"/>
  <c r="D196" i="31"/>
  <c r="C111" i="5"/>
  <c r="D149" i="31"/>
  <c r="D315" i="31"/>
  <c r="C56" i="5"/>
  <c r="D168" i="31"/>
  <c r="F168" i="31" s="1"/>
  <c r="K168" i="31" s="1"/>
  <c r="D183" i="31"/>
  <c r="C29" i="5"/>
  <c r="D42" i="31"/>
  <c r="F42" i="31" s="1"/>
  <c r="D276" i="31"/>
  <c r="F276" i="31" s="1"/>
  <c r="C99" i="5"/>
  <c r="D210" i="31"/>
  <c r="D208" i="31"/>
  <c r="F208" i="31" s="1"/>
  <c r="C96" i="5"/>
  <c r="D64" i="31"/>
  <c r="C107" i="5"/>
  <c r="D206" i="31"/>
  <c r="C97" i="5"/>
  <c r="C140" i="5"/>
  <c r="D254" i="31"/>
  <c r="F254" i="31" s="1"/>
  <c r="D249" i="31"/>
  <c r="F249" i="31" s="1"/>
  <c r="C131" i="5"/>
  <c r="D36" i="31"/>
  <c r="F36" i="31" s="1"/>
  <c r="K36" i="31" s="1"/>
  <c r="C101" i="5"/>
  <c r="D207" i="31"/>
  <c r="D126" i="31"/>
  <c r="D281" i="31"/>
  <c r="F281" i="31" s="1"/>
  <c r="D277" i="31"/>
  <c r="F277" i="31" s="1"/>
  <c r="H277" i="31" s="1"/>
  <c r="I277" i="31" s="1"/>
  <c r="D193" i="31"/>
  <c r="F193" i="31" s="1"/>
  <c r="D181" i="31"/>
  <c r="F181" i="31" s="1"/>
  <c r="K181" i="31" s="1"/>
  <c r="D269" i="31"/>
  <c r="C106" i="5"/>
  <c r="D197" i="31"/>
  <c r="F197" i="31" s="1"/>
  <c r="D204" i="31"/>
  <c r="F204" i="31" s="1"/>
  <c r="C98" i="5"/>
  <c r="L9591" i="33"/>
  <c r="L9505" i="33"/>
  <c r="L9595" i="33"/>
  <c r="L9590" i="33"/>
  <c r="L9504" i="33"/>
  <c r="L9509" i="33"/>
  <c r="C14" i="6"/>
  <c r="Q14" i="6" s="1"/>
  <c r="D316" i="31"/>
  <c r="L9538" i="33"/>
  <c r="L9526" i="33"/>
  <c r="L9564" i="33"/>
  <c r="L9545" i="33"/>
  <c r="L9563" i="33"/>
  <c r="L9579" i="33"/>
  <c r="L9541" i="33"/>
  <c r="L9546" i="33"/>
  <c r="L9539" i="33"/>
  <c r="L9556" i="33"/>
  <c r="L9557" i="33"/>
  <c r="L9575" i="33"/>
  <c r="L9559" i="33"/>
  <c r="L9558" i="33"/>
  <c r="L9536" i="33"/>
  <c r="L9574" i="33"/>
  <c r="L9540" i="33"/>
  <c r="L9452" i="33"/>
  <c r="L9440" i="33"/>
  <c r="L9473" i="33"/>
  <c r="L9488" i="33"/>
  <c r="L9460" i="33"/>
  <c r="L9470" i="33"/>
  <c r="L9472" i="33"/>
  <c r="L9471" i="33"/>
  <c r="L9477" i="33"/>
  <c r="L9459" i="33"/>
  <c r="L9478" i="33"/>
  <c r="L9454" i="33"/>
  <c r="L9455" i="33"/>
  <c r="L9493" i="33"/>
  <c r="L9489" i="33"/>
  <c r="L9450" i="33"/>
  <c r="L9453" i="33"/>
  <c r="L9580" i="33"/>
  <c r="L9494" i="33"/>
  <c r="C65" i="5"/>
  <c r="D142" i="31"/>
  <c r="C155" i="5"/>
  <c r="D219" i="31"/>
  <c r="C5" i="5"/>
  <c r="D5" i="31"/>
  <c r="C94" i="5"/>
  <c r="D202" i="31"/>
  <c r="C12" i="5"/>
  <c r="D60" i="31"/>
  <c r="C141" i="5"/>
  <c r="D260" i="31"/>
  <c r="L9272" i="33"/>
  <c r="L9297" i="33"/>
  <c r="L9273" i="33"/>
  <c r="L9309" i="33"/>
  <c r="L9312" i="33"/>
  <c r="L9292" i="33"/>
  <c r="L9311" i="33"/>
  <c r="L9279" i="33"/>
  <c r="L9318" i="33"/>
  <c r="L9293" i="33"/>
  <c r="L9275" i="33"/>
  <c r="L9290" i="33"/>
  <c r="L9329" i="33"/>
  <c r="L9298" i="33"/>
  <c r="L9316" i="33"/>
  <c r="L9274" i="33"/>
  <c r="L9270" i="33"/>
  <c r="L9280" i="33"/>
  <c r="L9310" i="33"/>
  <c r="L9328" i="33"/>
  <c r="L9333" i="33"/>
  <c r="L9319" i="33"/>
  <c r="L9291" i="33"/>
  <c r="L9308" i="33"/>
  <c r="L9202" i="33"/>
  <c r="L9222" i="33"/>
  <c r="L9239" i="33"/>
  <c r="L9180" i="33"/>
  <c r="L9203" i="33"/>
  <c r="L9243" i="33"/>
  <c r="L9190" i="33"/>
  <c r="L9207" i="33"/>
  <c r="L9208" i="33"/>
  <c r="L9226" i="33"/>
  <c r="L9218" i="33"/>
  <c r="L9219" i="33"/>
  <c r="L9200" i="33"/>
  <c r="L9220" i="33"/>
  <c r="L9221" i="33"/>
  <c r="L9201" i="33"/>
  <c r="L9189" i="33"/>
  <c r="L9238" i="33"/>
  <c r="L9229" i="33"/>
  <c r="L9184" i="33"/>
  <c r="L9228" i="33"/>
  <c r="L9185" i="33"/>
  <c r="L9182" i="33"/>
  <c r="L9183" i="33"/>
  <c r="L3979" i="33"/>
  <c r="L3875" i="33"/>
  <c r="L3936" i="33"/>
  <c r="L3994" i="33"/>
  <c r="L3885" i="33"/>
  <c r="L3968" i="33"/>
  <c r="L3944" i="33"/>
  <c r="L4108" i="33"/>
  <c r="L3905" i="33"/>
  <c r="L3931" i="33"/>
  <c r="L3915" i="33"/>
  <c r="L3904" i="33"/>
  <c r="L3943" i="33"/>
  <c r="L3999" i="33"/>
  <c r="L3978" i="33"/>
  <c r="L3987" i="33"/>
  <c r="L3916" i="33"/>
  <c r="L1512" i="33"/>
  <c r="L3900" i="33"/>
  <c r="L3960" i="33"/>
  <c r="L3921" i="33"/>
  <c r="L1034" i="33"/>
  <c r="L3963" i="33"/>
  <c r="L3927" i="33"/>
  <c r="L3965" i="33"/>
  <c r="L3959" i="33"/>
  <c r="L3983" i="33"/>
  <c r="L3995" i="33"/>
  <c r="L4070" i="33"/>
  <c r="L4069" i="33"/>
  <c r="L3964" i="33"/>
  <c r="L3948" i="33"/>
  <c r="L3961" i="33"/>
  <c r="L3899" i="33"/>
  <c r="Q3863" i="33"/>
  <c r="L3952" i="33"/>
  <c r="L3920" i="33"/>
  <c r="L3993" i="33"/>
  <c r="L9731" i="33"/>
  <c r="L1067" i="33"/>
  <c r="L9719" i="33"/>
  <c r="L9713" i="33"/>
  <c r="L1141" i="33"/>
  <c r="L9735" i="33"/>
  <c r="L9711" i="33"/>
  <c r="D59" i="31" s="1"/>
  <c r="L1024" i="33"/>
  <c r="L9718" i="33"/>
  <c r="Q9692" i="33"/>
  <c r="L9712" i="33"/>
  <c r="L9729" i="33"/>
  <c r="L9710" i="33"/>
  <c r="L1071" i="33"/>
  <c r="L1104" i="33"/>
  <c r="D84" i="7"/>
  <c r="L983" i="33"/>
  <c r="L1094" i="33"/>
  <c r="F120" i="31"/>
  <c r="K120" i="31" s="1"/>
  <c r="Q974" i="33"/>
  <c r="L1111" i="33"/>
  <c r="D82" i="7"/>
  <c r="D83" i="7"/>
  <c r="D86" i="7"/>
  <c r="D85" i="7"/>
  <c r="L1943" i="33"/>
  <c r="L1838" i="33"/>
  <c r="L1858" i="33"/>
  <c r="L1923" i="33"/>
  <c r="L1880" i="33"/>
  <c r="L1801" i="33"/>
  <c r="L1934" i="33"/>
  <c r="L1916" i="33"/>
  <c r="L1898" i="33"/>
  <c r="L1908" i="33"/>
  <c r="L1864" i="33"/>
  <c r="L1907" i="33"/>
  <c r="L1939" i="33"/>
  <c r="L1883" i="33"/>
  <c r="L1953" i="33"/>
  <c r="L1924" i="33"/>
  <c r="L1882" i="33"/>
  <c r="L1852" i="33"/>
  <c r="L1970" i="33"/>
  <c r="L1962" i="33"/>
  <c r="L1940" i="33"/>
  <c r="L1958" i="33"/>
  <c r="L1860" i="33"/>
  <c r="L1954" i="33"/>
  <c r="L1888" i="33"/>
  <c r="L1843" i="33"/>
  <c r="L1814" i="33"/>
  <c r="L1050" i="33"/>
  <c r="L1135" i="33"/>
  <c r="L1110" i="33"/>
  <c r="L1088" i="33"/>
  <c r="L1057" i="33"/>
  <c r="L1068" i="33"/>
  <c r="L1070" i="33"/>
  <c r="L1076" i="33"/>
  <c r="L1009" i="33"/>
  <c r="L1032" i="33"/>
  <c r="L1087" i="33"/>
  <c r="L1125" i="33"/>
  <c r="L1049" i="33"/>
  <c r="D119" i="31" s="1"/>
  <c r="F119" i="31" s="1"/>
  <c r="H119" i="31" s="1"/>
  <c r="I119" i="31" s="1"/>
  <c r="L1086" i="33"/>
  <c r="L1137" i="33"/>
  <c r="L1035" i="33"/>
  <c r="L1120" i="33"/>
  <c r="L1095" i="33"/>
  <c r="L1023" i="33"/>
  <c r="L1038" i="33"/>
  <c r="L1105" i="33"/>
  <c r="L1069" i="33"/>
  <c r="L1056" i="33"/>
  <c r="L1106" i="33"/>
  <c r="L1065" i="33"/>
  <c r="C43" i="5" s="1"/>
  <c r="L1033" i="33"/>
  <c r="L1075" i="33"/>
  <c r="L1103" i="33"/>
  <c r="L4106" i="33"/>
  <c r="L4087" i="33"/>
  <c r="L4049" i="33"/>
  <c r="L4104" i="33"/>
  <c r="L4053" i="33"/>
  <c r="L1041" i="33"/>
  <c r="L1040" i="33"/>
  <c r="L1051" i="33"/>
  <c r="L996" i="33"/>
  <c r="L3768" i="33"/>
  <c r="L4086" i="33"/>
  <c r="L1136" i="33"/>
  <c r="L1089" i="33"/>
  <c r="L1535" i="33"/>
  <c r="L1529" i="33"/>
  <c r="L1448" i="33"/>
  <c r="L1458" i="33"/>
  <c r="L1491" i="33"/>
  <c r="L1473" i="33"/>
  <c r="G29" i="35"/>
  <c r="Q29" i="35" s="1"/>
  <c r="G70" i="35"/>
  <c r="Q70" i="35" s="1"/>
  <c r="Q49" i="35" s="1"/>
  <c r="H87" i="34" s="1"/>
  <c r="G94" i="34" s="1"/>
  <c r="L1498" i="33"/>
  <c r="L1432" i="33"/>
  <c r="L1481" i="33"/>
  <c r="L1417" i="33"/>
  <c r="L1423" i="33"/>
  <c r="L1508" i="33"/>
  <c r="L1454" i="33"/>
  <c r="L1428" i="33"/>
  <c r="L1425" i="33"/>
  <c r="L1474" i="33"/>
  <c r="L1427" i="33"/>
  <c r="L1510" i="33"/>
  <c r="L1429" i="33"/>
  <c r="L1513" i="33"/>
  <c r="L1493" i="33"/>
  <c r="L1426" i="33"/>
  <c r="L1461" i="33"/>
  <c r="L1517" i="33"/>
  <c r="L1418" i="33"/>
  <c r="L1514" i="33"/>
  <c r="L1497" i="33"/>
  <c r="L1476" i="33"/>
  <c r="L1492" i="33"/>
  <c r="L1482" i="33"/>
  <c r="L1442" i="33"/>
  <c r="L1444" i="33"/>
  <c r="L1527" i="33"/>
  <c r="L1463" i="33"/>
  <c r="L1462" i="33"/>
  <c r="L1419" i="33"/>
  <c r="L1443" i="33"/>
  <c r="L1456" i="33"/>
  <c r="L1528" i="33"/>
  <c r="L1390" i="33"/>
  <c r="L1447" i="33"/>
  <c r="L1494" i="33"/>
  <c r="L1475" i="33"/>
  <c r="L1450" i="33"/>
  <c r="L1509" i="33"/>
  <c r="L1451" i="33"/>
  <c r="L1421" i="33"/>
  <c r="L1457" i="33"/>
  <c r="L1415" i="33"/>
  <c r="L1452" i="33"/>
  <c r="L1414" i="33"/>
  <c r="L1455" i="33"/>
  <c r="L1422" i="33"/>
  <c r="L1446" i="33"/>
  <c r="L4094" i="33"/>
  <c r="L4123" i="33"/>
  <c r="L4022" i="33"/>
  <c r="L4036" i="33"/>
  <c r="L4093" i="33"/>
  <c r="L4046" i="33"/>
  <c r="Q4014" i="33"/>
  <c r="L4129" i="33"/>
  <c r="L4089" i="33"/>
  <c r="L4048" i="33"/>
  <c r="L4125" i="33"/>
  <c r="L4110" i="33"/>
  <c r="L4088" i="33"/>
  <c r="L4124" i="33"/>
  <c r="L4076" i="33"/>
  <c r="L4109" i="33"/>
  <c r="L4068" i="33"/>
  <c r="L4054" i="33"/>
  <c r="L4052" i="33"/>
  <c r="L4058" i="33"/>
  <c r="L4105" i="33"/>
  <c r="L4071" i="33"/>
  <c r="L4050" i="33"/>
  <c r="L4113" i="33"/>
  <c r="F27" i="6"/>
  <c r="D104" i="7"/>
  <c r="L3799" i="33"/>
  <c r="L5092" i="33"/>
  <c r="L5071" i="33"/>
  <c r="L5072" i="33"/>
  <c r="L5116" i="33"/>
  <c r="L3803" i="33"/>
  <c r="L3784" i="33"/>
  <c r="L3746" i="33"/>
  <c r="L3804" i="33"/>
  <c r="L3774" i="33"/>
  <c r="L3788" i="33"/>
  <c r="L3820" i="33"/>
  <c r="L3816" i="33"/>
  <c r="L3773" i="33"/>
  <c r="Q3734" i="33"/>
  <c r="L3789" i="33"/>
  <c r="L3839" i="33"/>
  <c r="L3769" i="33"/>
  <c r="D223" i="31" s="1"/>
  <c r="F223" i="31" s="1"/>
  <c r="L3824" i="33"/>
  <c r="L3835" i="33"/>
  <c r="L3851" i="33"/>
  <c r="L3845" i="33"/>
  <c r="L3830" i="33"/>
  <c r="L3846" i="33"/>
  <c r="L3815" i="33"/>
  <c r="L3814" i="33"/>
  <c r="L3770" i="33"/>
  <c r="L3756" i="33"/>
  <c r="L3742" i="33"/>
  <c r="L3847" i="33"/>
  <c r="L3766" i="33"/>
  <c r="L3767" i="33"/>
  <c r="D162" i="31" s="1"/>
  <c r="F162" i="31" s="1"/>
  <c r="H162" i="31" s="1"/>
  <c r="I162" i="31" s="1"/>
  <c r="L3808" i="33"/>
  <c r="L5150" i="33"/>
  <c r="L5145" i="33"/>
  <c r="L5153" i="33"/>
  <c r="L5148" i="33"/>
  <c r="L5143" i="33"/>
  <c r="L5083" i="33"/>
  <c r="L5124" i="33"/>
  <c r="L5122" i="33"/>
  <c r="L5105" i="33"/>
  <c r="L5085" i="33"/>
  <c r="L5147" i="33"/>
  <c r="L5149" i="33"/>
  <c r="L5165" i="33"/>
  <c r="L5123" i="33"/>
  <c r="L5091" i="33"/>
  <c r="L5154" i="33"/>
  <c r="L5164" i="33"/>
  <c r="L5117" i="33"/>
  <c r="L5106" i="33"/>
  <c r="L5131" i="33"/>
  <c r="L5130" i="33"/>
  <c r="L5121" i="33"/>
  <c r="L5082" i="33"/>
  <c r="L5089" i="33"/>
  <c r="L5118" i="33"/>
  <c r="L5119" i="33"/>
  <c r="L5144" i="33"/>
  <c r="L5084" i="33"/>
  <c r="L5101" i="33"/>
  <c r="Q5063" i="33"/>
  <c r="L5141" i="33"/>
  <c r="L5140" i="33"/>
  <c r="L5125" i="33"/>
  <c r="L1364" i="33"/>
  <c r="C150" i="5" s="1"/>
  <c r="L1335" i="33"/>
  <c r="L1310" i="33"/>
  <c r="L1291" i="33"/>
  <c r="L1277" i="33"/>
  <c r="L1287" i="33"/>
  <c r="L1351" i="33"/>
  <c r="L1289" i="33"/>
  <c r="L1346" i="33"/>
  <c r="L1263" i="33"/>
  <c r="L1330" i="33"/>
  <c r="L1318" i="33"/>
  <c r="L1294" i="33"/>
  <c r="L1309" i="33"/>
  <c r="L1312" i="33"/>
  <c r="L1311" i="33"/>
  <c r="L1293" i="33"/>
  <c r="L1299" i="33"/>
  <c r="L1345" i="33"/>
  <c r="L1329" i="33"/>
  <c r="L1334" i="33"/>
  <c r="L1347" i="33"/>
  <c r="L1350" i="33"/>
  <c r="L1328" i="33"/>
  <c r="L1354" i="33"/>
  <c r="L1317" i="33"/>
  <c r="L1327" i="33"/>
  <c r="L1370" i="33"/>
  <c r="L1365" i="33"/>
  <c r="L1366" i="33"/>
  <c r="L1295" i="33"/>
  <c r="L1349" i="33"/>
  <c r="L1290" i="33"/>
  <c r="L5012" i="33"/>
  <c r="L5038" i="33"/>
  <c r="L4993" i="33"/>
  <c r="L5048" i="33"/>
  <c r="L4991" i="33"/>
  <c r="L4998" i="33"/>
  <c r="L4992" i="33"/>
  <c r="L4986" i="33"/>
  <c r="L4994" i="33"/>
  <c r="L4987" i="33"/>
  <c r="L5035" i="33"/>
  <c r="L5052" i="33"/>
  <c r="L5037" i="33"/>
  <c r="L4988" i="33"/>
  <c r="L5031" i="33"/>
  <c r="L5030" i="33"/>
  <c r="L5025" i="33"/>
  <c r="L5032" i="33"/>
  <c r="L4972" i="33"/>
  <c r="L5023" i="33"/>
  <c r="L4985" i="33"/>
  <c r="L4989" i="33"/>
  <c r="L4997" i="33"/>
  <c r="L5047" i="33"/>
  <c r="L4982" i="33"/>
  <c r="D134" i="31" s="1"/>
  <c r="L5026" i="33"/>
  <c r="L5028" i="33"/>
  <c r="L5024" i="33"/>
  <c r="L5013" i="33"/>
  <c r="L4983" i="33"/>
  <c r="L5008" i="33"/>
  <c r="L5029" i="33"/>
  <c r="Q4964" i="33"/>
  <c r="Q9072" i="33"/>
  <c r="L9113" i="33"/>
  <c r="L9136" i="33"/>
  <c r="L9110" i="33"/>
  <c r="L9149" i="33"/>
  <c r="L9138" i="33"/>
  <c r="L9112" i="33"/>
  <c r="L9117" i="33"/>
  <c r="L9118" i="33"/>
  <c r="L9131" i="33"/>
  <c r="L9080" i="33"/>
  <c r="L9093" i="33"/>
  <c r="L9139" i="33"/>
  <c r="L9130" i="33"/>
  <c r="L9128" i="33"/>
  <c r="L9111" i="33"/>
  <c r="L9094" i="33"/>
  <c r="L9095" i="33"/>
  <c r="L9129" i="33"/>
  <c r="L9092" i="33"/>
  <c r="L9153" i="33"/>
  <c r="L9099" i="33"/>
  <c r="L9148" i="33"/>
  <c r="L9132" i="33"/>
  <c r="L9100" i="33"/>
  <c r="L9090" i="33"/>
  <c r="L5300" i="33"/>
  <c r="L5377" i="33"/>
  <c r="L5319" i="33"/>
  <c r="L5279" i="33"/>
  <c r="L5345" i="33"/>
  <c r="L5310" i="33"/>
  <c r="L5305" i="33"/>
  <c r="L5191" i="33"/>
  <c r="L5340" i="33"/>
  <c r="L5283" i="33"/>
  <c r="L5264" i="33"/>
  <c r="L5222" i="33"/>
  <c r="L5341" i="33"/>
  <c r="L5190" i="33"/>
  <c r="L5249" i="33"/>
  <c r="L5258" i="33"/>
  <c r="D330" i="31" s="1"/>
  <c r="F330" i="31" s="1"/>
  <c r="H330" i="31" s="1"/>
  <c r="L5339" i="33"/>
  <c r="L5208" i="33"/>
  <c r="L5291" i="33"/>
  <c r="L5241" i="33"/>
  <c r="L5285" i="33"/>
  <c r="L5269" i="33"/>
  <c r="L5281" i="33"/>
  <c r="L5358" i="33"/>
  <c r="L5280" i="33"/>
  <c r="L5357" i="33"/>
  <c r="D297" i="31" s="1"/>
  <c r="F297" i="31" s="1"/>
  <c r="L5263" i="33"/>
  <c r="L5242" i="33"/>
  <c r="L5363" i="33"/>
  <c r="L5373" i="33"/>
  <c r="L5309" i="33"/>
  <c r="L5248" i="33"/>
  <c r="L5262" i="33"/>
  <c r="L5240" i="33"/>
  <c r="L5261" i="33"/>
  <c r="L5362" i="33"/>
  <c r="L5338" i="33"/>
  <c r="L5372" i="33"/>
  <c r="L5209" i="33"/>
  <c r="L5324" i="33"/>
  <c r="L5201" i="33"/>
  <c r="D118" i="31" s="1"/>
  <c r="F118" i="31" s="1"/>
  <c r="H118" i="31" s="1"/>
  <c r="I118" i="31" s="1"/>
  <c r="L5342" i="33"/>
  <c r="L5333" i="33"/>
  <c r="L5259" i="33"/>
  <c r="L5203" i="33"/>
  <c r="L5243" i="33"/>
  <c r="L5218" i="33"/>
  <c r="L5290" i="33"/>
  <c r="L5220" i="33"/>
  <c r="L5336" i="33"/>
  <c r="L5335" i="33"/>
  <c r="L5303" i="33"/>
  <c r="L5228" i="33"/>
  <c r="L5304" i="33"/>
  <c r="L5284" i="33"/>
  <c r="L6052" i="33"/>
  <c r="L5347" i="33"/>
  <c r="L5348" i="33"/>
  <c r="L5323" i="33"/>
  <c r="L5334" i="33"/>
  <c r="L5270" i="33"/>
  <c r="L5221" i="33"/>
  <c r="L5302" i="33"/>
  <c r="L5229" i="33"/>
  <c r="L5238" i="33"/>
  <c r="L5286" i="33"/>
  <c r="L5223" i="33"/>
  <c r="L5202" i="33"/>
  <c r="Q5182" i="33"/>
  <c r="L123" i="33"/>
  <c r="L76" i="33"/>
  <c r="D10" i="7" s="1"/>
  <c r="F10" i="7" s="1"/>
  <c r="L139" i="33"/>
  <c r="L128" i="33"/>
  <c r="L112" i="33"/>
  <c r="L102" i="33"/>
  <c r="L138" i="33"/>
  <c r="L118" i="33"/>
  <c r="L134" i="33"/>
  <c r="L91" i="33"/>
  <c r="D13" i="7" s="1"/>
  <c r="F13" i="7" s="1"/>
  <c r="L113" i="33"/>
  <c r="L117" i="33"/>
  <c r="L133" i="33"/>
  <c r="L103" i="33"/>
  <c r="L122" i="33"/>
  <c r="D11" i="7" s="1"/>
  <c r="L137" i="33"/>
  <c r="L129" i="33"/>
  <c r="L87" i="33"/>
  <c r="L121" i="33"/>
  <c r="L88" i="33"/>
  <c r="L72" i="33"/>
  <c r="L106" i="33"/>
  <c r="D14" i="7" s="1"/>
  <c r="F14" i="7" s="1"/>
  <c r="Q64" i="33"/>
  <c r="L9664" i="33"/>
  <c r="C16" i="6" s="1"/>
  <c r="Q16" i="6" s="1"/>
  <c r="L9681" i="33"/>
  <c r="Q9609" i="33"/>
  <c r="L9628" i="33"/>
  <c r="L9645" i="33"/>
  <c r="L9659" i="33"/>
  <c r="L9660" i="33"/>
  <c r="L9644" i="33"/>
  <c r="L9643" i="33"/>
  <c r="L9676" i="33"/>
  <c r="L9649" i="33"/>
  <c r="L9677" i="33"/>
  <c r="D231" i="31" s="1"/>
  <c r="F231" i="31" s="1"/>
  <c r="L9627" i="33"/>
  <c r="L9642" i="33"/>
  <c r="L9675" i="33"/>
  <c r="L9632" i="33"/>
  <c r="L9617" i="33"/>
  <c r="L1193" i="33"/>
  <c r="L1167" i="33"/>
  <c r="L1230" i="33"/>
  <c r="L1182" i="33"/>
  <c r="L1214" i="33"/>
  <c r="L1178" i="33"/>
  <c r="D8" i="31" s="1"/>
  <c r="F8" i="31" s="1"/>
  <c r="L1221" i="33"/>
  <c r="L1171" i="33"/>
  <c r="D8" i="7" s="1"/>
  <c r="L1236" i="33"/>
  <c r="L1200" i="33"/>
  <c r="D23" i="7" s="1"/>
  <c r="L1215" i="33"/>
  <c r="L1211" i="33"/>
  <c r="L1210" i="33"/>
  <c r="L1172" i="33"/>
  <c r="L1177" i="33"/>
  <c r="L1209" i="33"/>
  <c r="L1197" i="33"/>
  <c r="L1213" i="33"/>
  <c r="L1231" i="33"/>
  <c r="L1216" i="33"/>
  <c r="L1206" i="33"/>
  <c r="L1198" i="33"/>
  <c r="L1207" i="33"/>
  <c r="C51" i="5" s="1"/>
  <c r="L1220" i="33"/>
  <c r="L1192" i="33"/>
  <c r="C34" i="5" s="1"/>
  <c r="L6192" i="33"/>
  <c r="L6129" i="33"/>
  <c r="L6101" i="33"/>
  <c r="L6085" i="33"/>
  <c r="D24" i="31" s="1"/>
  <c r="F24" i="31" s="1"/>
  <c r="K24" i="31" s="1"/>
  <c r="L6035" i="33"/>
  <c r="D17" i="31" s="1"/>
  <c r="F17" i="31" s="1"/>
  <c r="K17" i="31" s="1"/>
  <c r="L6107" i="33"/>
  <c r="L6208" i="33"/>
  <c r="L6091" i="33"/>
  <c r="L6203" i="33"/>
  <c r="L6088" i="33"/>
  <c r="L6224" i="33"/>
  <c r="L6087" i="33"/>
  <c r="L6033" i="33"/>
  <c r="L6173" i="33"/>
  <c r="L6220" i="33"/>
  <c r="L6037" i="33"/>
  <c r="L6159" i="33"/>
  <c r="L6219" i="33"/>
  <c r="L6148" i="33"/>
  <c r="L6059" i="33"/>
  <c r="L6138" i="33"/>
  <c r="D23" i="31" s="1"/>
  <c r="F23" i="31" s="1"/>
  <c r="H23" i="31" s="1"/>
  <c r="I23" i="31" s="1"/>
  <c r="L6043" i="33"/>
  <c r="L6040" i="33"/>
  <c r="L6042" i="33"/>
  <c r="L6121" i="33"/>
  <c r="L6147" i="33"/>
  <c r="L6119" i="33"/>
  <c r="D22" i="31" s="1"/>
  <c r="F22" i="31" s="1"/>
  <c r="K22" i="31" s="1"/>
  <c r="L6054" i="33"/>
  <c r="D18" i="31" s="1"/>
  <c r="F18" i="31" s="1"/>
  <c r="H18" i="31" s="1"/>
  <c r="I18" i="31" s="1"/>
  <c r="L6056" i="33"/>
  <c r="L6218" i="33"/>
  <c r="L6157" i="33"/>
  <c r="D19" i="31" s="1"/>
  <c r="F19" i="31" s="1"/>
  <c r="H19" i="31" s="1"/>
  <c r="I19" i="31" s="1"/>
  <c r="L6076" i="33"/>
  <c r="L6120" i="33"/>
  <c r="L6144" i="33"/>
  <c r="L6086" i="33"/>
  <c r="D335" i="31" s="1"/>
  <c r="F335" i="31" s="1"/>
  <c r="K335" i="31" s="1"/>
  <c r="L6036" i="33"/>
  <c r="L6053" i="33"/>
  <c r="L6110" i="33"/>
  <c r="L6172" i="33"/>
  <c r="D37" i="31" s="1"/>
  <c r="F37" i="31" s="1"/>
  <c r="L6073" i="33"/>
  <c r="L6158" i="33"/>
  <c r="L6177" i="33"/>
  <c r="L6062" i="33"/>
  <c r="L6106" i="33"/>
  <c r="L6128" i="33"/>
  <c r="L6034" i="33"/>
  <c r="L6100" i="33"/>
  <c r="D21" i="31" s="1"/>
  <c r="F21" i="31" s="1"/>
  <c r="K21" i="31" s="1"/>
  <c r="L6109" i="33"/>
  <c r="L6204" i="33"/>
  <c r="L6072" i="33"/>
  <c r="L6140" i="33"/>
  <c r="L6102" i="33"/>
  <c r="L6193" i="33"/>
  <c r="L6061" i="33"/>
  <c r="L6187" i="33"/>
  <c r="D289" i="31" s="1"/>
  <c r="F289" i="31" s="1"/>
  <c r="H289" i="31" s="1"/>
  <c r="I289" i="31" s="1"/>
  <c r="L6125" i="33"/>
  <c r="L6139" i="33"/>
  <c r="L6162" i="33"/>
  <c r="L6126" i="33"/>
  <c r="L6071" i="33"/>
  <c r="D253" i="31" s="1"/>
  <c r="F253" i="31" s="1"/>
  <c r="H253" i="31" s="1"/>
  <c r="I253" i="31" s="1"/>
  <c r="L6145" i="33"/>
  <c r="L6055" i="33"/>
  <c r="L6188" i="33"/>
  <c r="Q6029" i="33"/>
  <c r="Q5874" i="33" s="1"/>
  <c r="L4885" i="33"/>
  <c r="L4914" i="33"/>
  <c r="L4949" i="33"/>
  <c r="L4889" i="33"/>
  <c r="L4900" i="33"/>
  <c r="L4928" i="33"/>
  <c r="L4875" i="33"/>
  <c r="L4912" i="33"/>
  <c r="L4933" i="33"/>
  <c r="L4934" i="33"/>
  <c r="L4927" i="33"/>
  <c r="L4938" i="33"/>
  <c r="L4909" i="33"/>
  <c r="L4907" i="33"/>
  <c r="L4908" i="33"/>
  <c r="L4902" i="33"/>
  <c r="L4915" i="33"/>
  <c r="L4929" i="33"/>
  <c r="L4937" i="33"/>
  <c r="L4906" i="33"/>
  <c r="L4953" i="33"/>
  <c r="L4905" i="33"/>
  <c r="L4924" i="33"/>
  <c r="L4903" i="33"/>
  <c r="L4890" i="33"/>
  <c r="L4901" i="33"/>
  <c r="L4925" i="33"/>
  <c r="L4931" i="33"/>
  <c r="L4932" i="33"/>
  <c r="L4948" i="33"/>
  <c r="K337" i="31"/>
  <c r="H337" i="31"/>
  <c r="I337" i="31" s="1"/>
  <c r="H31" i="31"/>
  <c r="I31" i="31" s="1"/>
  <c r="K31" i="31"/>
  <c r="H190" i="31"/>
  <c r="I190" i="31" s="1"/>
  <c r="K190" i="31"/>
  <c r="K29" i="31"/>
  <c r="H29" i="31"/>
  <c r="I29" i="31" s="1"/>
  <c r="H139" i="31"/>
  <c r="I139" i="31" s="1"/>
  <c r="K139" i="31"/>
  <c r="H71" i="31"/>
  <c r="I71" i="31" s="1"/>
  <c r="K71" i="31"/>
  <c r="J17" i="32"/>
  <c r="K259" i="31"/>
  <c r="K184" i="31"/>
  <c r="H267" i="31"/>
  <c r="I267" i="31" s="1"/>
  <c r="K284" i="31"/>
  <c r="H284" i="31"/>
  <c r="I284" i="31" s="1"/>
  <c r="K45" i="31"/>
  <c r="H45" i="31"/>
  <c r="I45" i="31" s="1"/>
  <c r="H35" i="31"/>
  <c r="I35" i="31" s="1"/>
  <c r="K35" i="31"/>
  <c r="H336" i="31"/>
  <c r="I336" i="31" s="1"/>
  <c r="K336" i="31"/>
  <c r="H255" i="31"/>
  <c r="I255" i="31" s="1"/>
  <c r="K255" i="31"/>
  <c r="K153" i="31"/>
  <c r="H153" i="31"/>
  <c r="I153" i="31" s="1"/>
  <c r="K279" i="31"/>
  <c r="H279" i="31"/>
  <c r="I279" i="31" s="1"/>
  <c r="J16" i="32"/>
  <c r="F15" i="32"/>
  <c r="H166" i="5"/>
  <c r="R11" i="31"/>
  <c r="K25" i="31"/>
  <c r="H25" i="31"/>
  <c r="I25" i="31" s="1"/>
  <c r="K283" i="31"/>
  <c r="H283" i="31"/>
  <c r="I283" i="31" s="1"/>
  <c r="H140" i="31"/>
  <c r="I140" i="31" s="1"/>
  <c r="K140" i="31"/>
  <c r="H43" i="31"/>
  <c r="I43" i="31" s="1"/>
  <c r="K43" i="31"/>
  <c r="J18" i="32"/>
  <c r="K40" i="31"/>
  <c r="H40" i="31"/>
  <c r="I40" i="31" s="1"/>
  <c r="K318" i="31"/>
  <c r="H318" i="31"/>
  <c r="I318" i="31" s="1"/>
  <c r="H33" i="31"/>
  <c r="I33" i="31" s="1"/>
  <c r="K33" i="31"/>
  <c r="K188" i="31"/>
  <c r="H188" i="31"/>
  <c r="I188" i="31" s="1"/>
  <c r="H138" i="31"/>
  <c r="I138" i="31" s="1"/>
  <c r="K138" i="31"/>
  <c r="H257" i="31"/>
  <c r="I257" i="31" s="1"/>
  <c r="K257" i="31"/>
  <c r="H70" i="31"/>
  <c r="I70" i="31" s="1"/>
  <c r="H152" i="31"/>
  <c r="I152" i="31" s="1"/>
  <c r="K152" i="31"/>
  <c r="AB14" i="31"/>
  <c r="K44" i="31"/>
  <c r="H44" i="31"/>
  <c r="I44" i="31" s="1"/>
  <c r="H236" i="31"/>
  <c r="K236" i="31"/>
  <c r="K16" i="31"/>
  <c r="H16" i="31"/>
  <c r="I16" i="31" s="1"/>
  <c r="M28" i="7"/>
  <c r="K45" i="32"/>
  <c r="H148" i="31"/>
  <c r="I148" i="31" s="1"/>
  <c r="H30" i="31"/>
  <c r="I30" i="31" s="1"/>
  <c r="K30" i="31"/>
  <c r="H265" i="31"/>
  <c r="I265" i="31" s="1"/>
  <c r="R8" i="31"/>
  <c r="K32" i="31"/>
  <c r="H32" i="31"/>
  <c r="I32" i="31" s="1"/>
  <c r="K319" i="31"/>
  <c r="H319" i="31"/>
  <c r="I319" i="31" s="1"/>
  <c r="K191" i="31"/>
  <c r="H191" i="31"/>
  <c r="I191" i="31" s="1"/>
  <c r="H271" i="31"/>
  <c r="I271" i="31" s="1"/>
  <c r="K271" i="31"/>
  <c r="H109" i="31"/>
  <c r="K109" i="31"/>
  <c r="H141" i="31"/>
  <c r="I141" i="31" s="1"/>
  <c r="K141" i="31"/>
  <c r="H26" i="31"/>
  <c r="I26" i="31" s="1"/>
  <c r="K26" i="31"/>
  <c r="K154" i="31"/>
  <c r="H154" i="31"/>
  <c r="I154" i="31" s="1"/>
  <c r="H15" i="31"/>
  <c r="I15" i="31" s="1"/>
  <c r="K15" i="31"/>
  <c r="K46" i="31"/>
  <c r="H46" i="31"/>
  <c r="I46" i="31" s="1"/>
  <c r="N12" i="31"/>
  <c r="H339" i="31"/>
  <c r="I339" i="31" s="1"/>
  <c r="K339" i="31"/>
  <c r="K41" i="31"/>
  <c r="H41" i="31"/>
  <c r="I41" i="31" s="1"/>
  <c r="K172" i="31"/>
  <c r="K173" i="31" s="1"/>
  <c r="K513" i="31" s="1"/>
  <c r="K518" i="31" s="1"/>
  <c r="K522" i="31" s="1"/>
  <c r="H172" i="31"/>
  <c r="F173" i="31"/>
  <c r="D513" i="31" s="1"/>
  <c r="K273" i="31"/>
  <c r="H273" i="31"/>
  <c r="I273" i="31" s="1"/>
  <c r="H317" i="31"/>
  <c r="I317" i="31" s="1"/>
  <c r="K317" i="31"/>
  <c r="H189" i="31"/>
  <c r="I189" i="31" s="1"/>
  <c r="K189" i="31"/>
  <c r="H72" i="31"/>
  <c r="I72" i="31" s="1"/>
  <c r="K72" i="31"/>
  <c r="F20" i="32"/>
  <c r="K338" i="31"/>
  <c r="H338" i="31"/>
  <c r="I338" i="31" s="1"/>
  <c r="H237" i="31"/>
  <c r="I237" i="31" s="1"/>
  <c r="K237" i="31"/>
  <c r="K239" i="31"/>
  <c r="H239" i="31"/>
  <c r="I239" i="31" s="1"/>
  <c r="H263" i="31"/>
  <c r="I263" i="31" s="1"/>
  <c r="K263" i="31"/>
  <c r="K155" i="31"/>
  <c r="H155" i="31"/>
  <c r="I155" i="31" s="1"/>
  <c r="H57" i="31"/>
  <c r="I57" i="31" s="1"/>
  <c r="K57" i="31"/>
  <c r="K285" i="31"/>
  <c r="H285" i="31"/>
  <c r="H54" i="31"/>
  <c r="I54" i="31" s="1"/>
  <c r="K54" i="31"/>
  <c r="K65" i="31"/>
  <c r="H65" i="31"/>
  <c r="I65" i="31" s="1"/>
  <c r="H51" i="31"/>
  <c r="I51" i="31" s="1"/>
  <c r="K51" i="31"/>
  <c r="H27" i="31"/>
  <c r="I27" i="31" s="1"/>
  <c r="K27" i="31"/>
  <c r="H343" i="31"/>
  <c r="I343" i="31" s="1"/>
  <c r="K343" i="31"/>
  <c r="K347" i="31"/>
  <c r="H347" i="31"/>
  <c r="I347" i="31" s="1"/>
  <c r="K55" i="31"/>
  <c r="H55" i="31"/>
  <c r="I55" i="31" s="1"/>
  <c r="H342" i="31"/>
  <c r="I342" i="31" s="1"/>
  <c r="K342" i="31"/>
  <c r="K346" i="31"/>
  <c r="H346" i="31"/>
  <c r="I346" i="31" s="1"/>
  <c r="K56" i="31"/>
  <c r="H56" i="31"/>
  <c r="I56" i="31" s="1"/>
  <c r="K286" i="31"/>
  <c r="H286" i="31"/>
  <c r="I286" i="31" s="1"/>
  <c r="K160" i="31"/>
  <c r="H160" i="31"/>
  <c r="I160" i="31" s="1"/>
  <c r="K157" i="31"/>
  <c r="H157" i="31"/>
  <c r="I157" i="31" s="1"/>
  <c r="K161" i="31"/>
  <c r="H161" i="31"/>
  <c r="I161" i="31" s="1"/>
  <c r="H344" i="31"/>
  <c r="I344" i="31" s="1"/>
  <c r="K344" i="31"/>
  <c r="K345" i="31"/>
  <c r="H345" i="31"/>
  <c r="I345" i="31" s="1"/>
  <c r="K52" i="31"/>
  <c r="H52" i="31"/>
  <c r="I52" i="31" s="1"/>
  <c r="K50" i="31"/>
  <c r="H50" i="31"/>
  <c r="I50" i="31" s="1"/>
  <c r="H194" i="31"/>
  <c r="I194" i="31" s="1"/>
  <c r="K194" i="31"/>
  <c r="K159" i="31"/>
  <c r="H159" i="31"/>
  <c r="I159" i="31" s="1"/>
  <c r="K340" i="31"/>
  <c r="H340" i="31"/>
  <c r="I340" i="31" s="1"/>
  <c r="H158" i="31"/>
  <c r="I158" i="31" s="1"/>
  <c r="K158" i="31"/>
  <c r="K341" i="31"/>
  <c r="H341" i="31"/>
  <c r="I341" i="31" s="1"/>
  <c r="K53" i="31"/>
  <c r="H53" i="31"/>
  <c r="I53" i="31" s="1"/>
  <c r="K156" i="31"/>
  <c r="H156" i="31"/>
  <c r="K310" i="31"/>
  <c r="H310" i="31"/>
  <c r="L150" i="5"/>
  <c r="L43" i="5"/>
  <c r="F66" i="31"/>
  <c r="T6" i="5"/>
  <c r="T159" i="5"/>
  <c r="H59" i="5"/>
  <c r="L59" i="5"/>
  <c r="G18" i="6"/>
  <c r="G24" i="6"/>
  <c r="I17" i="6"/>
  <c r="J170" i="5"/>
  <c r="J167" i="5"/>
  <c r="G8" i="6"/>
  <c r="F26" i="6"/>
  <c r="H28" i="6"/>
  <c r="AJ51" i="5"/>
  <c r="K51" i="5"/>
  <c r="G7" i="6"/>
  <c r="F28" i="6"/>
  <c r="H158" i="5"/>
  <c r="H48" i="5"/>
  <c r="J75" i="5"/>
  <c r="J81" i="5"/>
  <c r="I20" i="6"/>
  <c r="F75" i="5"/>
  <c r="F81" i="5"/>
  <c r="H43" i="5"/>
  <c r="AI61" i="5"/>
  <c r="I61" i="5"/>
  <c r="H80" i="5"/>
  <c r="K25" i="5"/>
  <c r="AJ25" i="5"/>
  <c r="L61" i="5"/>
  <c r="D95" i="7"/>
  <c r="H170" i="5"/>
  <c r="G17" i="6"/>
  <c r="D96" i="7"/>
  <c r="F198" i="31"/>
  <c r="E114" i="25"/>
  <c r="E113" i="25"/>
  <c r="E133" i="25"/>
  <c r="D157" i="25"/>
  <c r="D160" i="25" s="1"/>
  <c r="E160" i="25" s="1"/>
  <c r="E15" i="25"/>
  <c r="E32" i="25"/>
  <c r="E7" i="25"/>
  <c r="E9" i="25"/>
  <c r="E11" i="25"/>
  <c r="E27" i="25"/>
  <c r="E39" i="25"/>
  <c r="E78" i="25"/>
  <c r="E102" i="25"/>
  <c r="E119" i="25"/>
  <c r="E12" i="25"/>
  <c r="E31" i="25"/>
  <c r="E44" i="25"/>
  <c r="E53" i="25" s="1"/>
  <c r="E81" i="25"/>
  <c r="E105" i="25"/>
  <c r="E120" i="25"/>
  <c r="E45" i="25"/>
  <c r="E84" i="25"/>
  <c r="E108" i="25"/>
  <c r="E137" i="25"/>
  <c r="E16" i="25"/>
  <c r="E33" i="25"/>
  <c r="E62" i="25"/>
  <c r="E63" i="25" s="1"/>
  <c r="E65" i="25" s="1"/>
  <c r="E87" i="25"/>
  <c r="E122" i="25"/>
  <c r="E138" i="25"/>
  <c r="E8" i="25"/>
  <c r="E17" i="25"/>
  <c r="E34" i="25"/>
  <c r="E90" i="25"/>
  <c r="E141" i="25"/>
  <c r="E18" i="25"/>
  <c r="E35" i="25"/>
  <c r="E75" i="25"/>
  <c r="E93" i="25"/>
  <c r="E116" i="25"/>
  <c r="E153" i="25"/>
  <c r="E145" i="25"/>
  <c r="E20" i="25"/>
  <c r="E37" i="25"/>
  <c r="E76" i="25"/>
  <c r="E96" i="25"/>
  <c r="E117" i="25"/>
  <c r="E24" i="25"/>
  <c r="E38" i="25"/>
  <c r="E77" i="25"/>
  <c r="E99" i="25"/>
  <c r="E118" i="25"/>
  <c r="E148" i="25"/>
  <c r="E125" i="25"/>
  <c r="E134" i="25"/>
  <c r="D152" i="25"/>
  <c r="E152" i="25" s="1"/>
  <c r="E121" i="25"/>
  <c r="E126" i="25"/>
  <c r="E158" i="25"/>
  <c r="E132" i="25"/>
  <c r="E147" i="25"/>
  <c r="E123" i="25"/>
  <c r="I55" i="14"/>
  <c r="I63" i="14"/>
  <c r="I46" i="14"/>
  <c r="I42" i="14"/>
  <c r="H261" i="31" l="1"/>
  <c r="I261" i="31" s="1"/>
  <c r="H150" i="31"/>
  <c r="I150" i="31" s="1"/>
  <c r="Q145" i="33"/>
  <c r="H16" i="34" s="1"/>
  <c r="G68" i="34" s="1"/>
  <c r="Q1247" i="33"/>
  <c r="H22" i="34" s="1"/>
  <c r="G70" i="34" s="1"/>
  <c r="Q31" i="33"/>
  <c r="H14" i="34" s="1"/>
  <c r="G67" i="34" s="1"/>
  <c r="Q1152" i="33"/>
  <c r="H20" i="34" s="1"/>
  <c r="G69" i="34" s="1"/>
  <c r="D145" i="31"/>
  <c r="C6" i="5"/>
  <c r="K272" i="31"/>
  <c r="H151" i="31"/>
  <c r="I151" i="31" s="1"/>
  <c r="H147" i="31"/>
  <c r="I147" i="31" s="1"/>
  <c r="D203" i="31"/>
  <c r="D6" i="7"/>
  <c r="C37" i="5"/>
  <c r="D313" i="31"/>
  <c r="C164" i="5"/>
  <c r="K321" i="31"/>
  <c r="H264" i="31"/>
  <c r="I264" i="31" s="1"/>
  <c r="C42" i="5"/>
  <c r="D117" i="31"/>
  <c r="F117" i="31" s="1"/>
  <c r="K117" i="31" s="1"/>
  <c r="D11" i="31"/>
  <c r="C91" i="5"/>
  <c r="C33" i="5"/>
  <c r="H266" i="31"/>
  <c r="I266" i="31" s="1"/>
  <c r="H77" i="31"/>
  <c r="I77" i="31" s="1"/>
  <c r="C23" i="6"/>
  <c r="Q23" i="6" s="1"/>
  <c r="H270" i="31"/>
  <c r="I270" i="31" s="1"/>
  <c r="D177" i="31"/>
  <c r="D28" i="31"/>
  <c r="F28" i="31" s="1"/>
  <c r="H28" i="31" s="1"/>
  <c r="I28" i="31" s="1"/>
  <c r="D314" i="31"/>
  <c r="F314" i="31" s="1"/>
  <c r="H314" i="31" s="1"/>
  <c r="I314" i="31" s="1"/>
  <c r="D144" i="31"/>
  <c r="F144" i="31" s="1"/>
  <c r="K144" i="31" s="1"/>
  <c r="D268" i="31"/>
  <c r="H130" i="31"/>
  <c r="I130" i="31" s="1"/>
  <c r="K195" i="31"/>
  <c r="D143" i="31"/>
  <c r="F143" i="31" s="1"/>
  <c r="H143" i="31" s="1"/>
  <c r="I143" i="31" s="1"/>
  <c r="C12" i="6"/>
  <c r="Q12" i="6" s="1"/>
  <c r="K258" i="31"/>
  <c r="H258" i="31"/>
  <c r="I258" i="31" s="1"/>
  <c r="D7" i="31"/>
  <c r="F7" i="31" s="1"/>
  <c r="C61" i="5"/>
  <c r="AD61" i="5" s="1"/>
  <c r="H182" i="31"/>
  <c r="I182" i="31" s="1"/>
  <c r="D180" i="31"/>
  <c r="F180" i="31" s="1"/>
  <c r="K246" i="31"/>
  <c r="K298" i="31"/>
  <c r="H168" i="31"/>
  <c r="I168" i="31" s="1"/>
  <c r="D222" i="31"/>
  <c r="F222" i="31" s="1"/>
  <c r="K222" i="31" s="1"/>
  <c r="D225" i="31"/>
  <c r="F225" i="31" s="1"/>
  <c r="H225" i="31" s="1"/>
  <c r="I225" i="31" s="1"/>
  <c r="C82" i="5"/>
  <c r="H238" i="31"/>
  <c r="I238" i="31" s="1"/>
  <c r="K119" i="31"/>
  <c r="K238" i="31"/>
  <c r="C6" i="6"/>
  <c r="Q6" i="6" s="1"/>
  <c r="C95" i="5"/>
  <c r="D132" i="31"/>
  <c r="F132" i="31" s="1"/>
  <c r="D226" i="31"/>
  <c r="F226" i="31" s="1"/>
  <c r="H226" i="31" s="1"/>
  <c r="I226" i="31" s="1"/>
  <c r="D107" i="31"/>
  <c r="C15" i="6"/>
  <c r="Q15" i="6" s="1"/>
  <c r="D76" i="31"/>
  <c r="F76" i="31" s="1"/>
  <c r="K76" i="31" s="1"/>
  <c r="C22" i="6"/>
  <c r="Q22" i="6" s="1"/>
  <c r="D287" i="31"/>
  <c r="D211" i="31"/>
  <c r="F211" i="31" s="1"/>
  <c r="H211" i="31" s="1"/>
  <c r="I211" i="31" s="1"/>
  <c r="H181" i="31"/>
  <c r="I181" i="31" s="1"/>
  <c r="F331" i="31"/>
  <c r="D737" i="31" s="1"/>
  <c r="E737" i="31" s="1"/>
  <c r="E742" i="31" s="1"/>
  <c r="E746" i="31" s="1"/>
  <c r="K330" i="31"/>
  <c r="K331" i="31" s="1"/>
  <c r="D248" i="31"/>
  <c r="F248" i="31" s="1"/>
  <c r="K248" i="31" s="1"/>
  <c r="H13" i="7"/>
  <c r="J13" i="7" s="1"/>
  <c r="H22" i="31"/>
  <c r="I22" i="31" s="1"/>
  <c r="D205" i="31"/>
  <c r="F205" i="31" s="1"/>
  <c r="K205" i="31" s="1"/>
  <c r="D215" i="31"/>
  <c r="F215" i="31" s="1"/>
  <c r="H215" i="31" s="1"/>
  <c r="K19" i="31"/>
  <c r="D108" i="31"/>
  <c r="D83" i="31"/>
  <c r="F83" i="31" s="1"/>
  <c r="K83" i="31" s="1"/>
  <c r="C100" i="5"/>
  <c r="C8" i="6"/>
  <c r="Q8" i="6" s="1"/>
  <c r="H17" i="31"/>
  <c r="I17" i="31" s="1"/>
  <c r="D312" i="31"/>
  <c r="F312" i="31" s="1"/>
  <c r="C9" i="6"/>
  <c r="Q9" i="6" s="1"/>
  <c r="D247" i="31"/>
  <c r="F247" i="31" s="1"/>
  <c r="H247" i="31" s="1"/>
  <c r="I247" i="31" s="1"/>
  <c r="D228" i="31"/>
  <c r="F228" i="31" s="1"/>
  <c r="K228" i="31" s="1"/>
  <c r="C24" i="5"/>
  <c r="C158" i="5"/>
  <c r="C59" i="5"/>
  <c r="C13" i="6"/>
  <c r="Q13" i="6" s="1"/>
  <c r="H24" i="31"/>
  <c r="I24" i="31" s="1"/>
  <c r="D68" i="31"/>
  <c r="F68" i="31" s="1"/>
  <c r="H68" i="31" s="1"/>
  <c r="I68" i="31" s="1"/>
  <c r="D17" i="7"/>
  <c r="K18" i="31"/>
  <c r="C135" i="5"/>
  <c r="D12" i="7"/>
  <c r="H12" i="7" s="1"/>
  <c r="D220" i="31"/>
  <c r="C25" i="6"/>
  <c r="Q25" i="6" s="1"/>
  <c r="C48" i="5"/>
  <c r="C19" i="6"/>
  <c r="Q19" i="6" s="1"/>
  <c r="C17" i="6"/>
  <c r="Q17" i="6" s="1"/>
  <c r="D21" i="7"/>
  <c r="C80" i="5"/>
  <c r="C24" i="6"/>
  <c r="Q24" i="6" s="1"/>
  <c r="C18" i="6"/>
  <c r="Q18" i="6" s="1"/>
  <c r="C7" i="6"/>
  <c r="Q7" i="6" s="1"/>
  <c r="D167" i="31"/>
  <c r="F167" i="31" s="1"/>
  <c r="K167" i="31" s="1"/>
  <c r="C60" i="5"/>
  <c r="AD60" i="5" s="1"/>
  <c r="D209" i="31"/>
  <c r="F209" i="31" s="1"/>
  <c r="K209" i="31" s="1"/>
  <c r="D89" i="31"/>
  <c r="F89" i="31" s="1"/>
  <c r="K253" i="31"/>
  <c r="H335" i="31"/>
  <c r="I335" i="31" s="1"/>
  <c r="H21" i="31"/>
  <c r="I21" i="31" s="1"/>
  <c r="D227" i="31"/>
  <c r="F227" i="31" s="1"/>
  <c r="H227" i="31" s="1"/>
  <c r="I227" i="31" s="1"/>
  <c r="C147" i="5"/>
  <c r="D288" i="31"/>
  <c r="F288" i="31" s="1"/>
  <c r="H288" i="31" s="1"/>
  <c r="I288" i="31" s="1"/>
  <c r="C13" i="5"/>
  <c r="D230" i="31"/>
  <c r="F230" i="31" s="1"/>
  <c r="H230" i="31" s="1"/>
  <c r="I230" i="31" s="1"/>
  <c r="D12" i="31"/>
  <c r="F12" i="31" s="1"/>
  <c r="K12" i="31" s="1"/>
  <c r="D6" i="31"/>
  <c r="C11" i="5"/>
  <c r="D133" i="31"/>
  <c r="F133" i="31" s="1"/>
  <c r="H133" i="31" s="1"/>
  <c r="I133" i="31" s="1"/>
  <c r="D114" i="31"/>
  <c r="F114" i="31" s="1"/>
  <c r="H114" i="31" s="1"/>
  <c r="C27" i="6"/>
  <c r="Q27" i="6" s="1"/>
  <c r="C54" i="5"/>
  <c r="D128" i="31"/>
  <c r="F128" i="31" s="1"/>
  <c r="H128" i="31" s="1"/>
  <c r="I128" i="31" s="1"/>
  <c r="C25" i="5"/>
  <c r="D116" i="31"/>
  <c r="F116" i="31" s="1"/>
  <c r="K116" i="31" s="1"/>
  <c r="D311" i="31"/>
  <c r="F311" i="31" s="1"/>
  <c r="K311" i="31" s="1"/>
  <c r="C10" i="5"/>
  <c r="D58" i="31"/>
  <c r="F58" i="31" s="1"/>
  <c r="K58" i="31" s="1"/>
  <c r="D349" i="31"/>
  <c r="K23" i="31"/>
  <c r="D20" i="31"/>
  <c r="F20" i="31" s="1"/>
  <c r="H20" i="31" s="1"/>
  <c r="I20" i="31" s="1"/>
  <c r="D326" i="31"/>
  <c r="F326" i="31" s="1"/>
  <c r="K326" i="31" s="1"/>
  <c r="K327" i="31" s="1"/>
  <c r="K720" i="31" s="1"/>
  <c r="K725" i="31" s="1"/>
  <c r="K729" i="31" s="1"/>
  <c r="D82" i="31"/>
  <c r="F82" i="31" s="1"/>
  <c r="K82" i="31" s="1"/>
  <c r="C62" i="5"/>
  <c r="D166" i="31"/>
  <c r="F166" i="31" s="1"/>
  <c r="H166" i="31" s="1"/>
  <c r="D224" i="31"/>
  <c r="F224" i="31" s="1"/>
  <c r="H224" i="31" s="1"/>
  <c r="I224" i="31" s="1"/>
  <c r="D176" i="31"/>
  <c r="F176" i="31" s="1"/>
  <c r="C49" i="5"/>
  <c r="C156" i="5"/>
  <c r="D100" i="31"/>
  <c r="C69" i="5"/>
  <c r="D69" i="31"/>
  <c r="F69" i="31" s="1"/>
  <c r="H69" i="31" s="1"/>
  <c r="I69" i="31" s="1"/>
  <c r="C21" i="6"/>
  <c r="Q21" i="6" s="1"/>
  <c r="C159" i="5"/>
  <c r="C26" i="6"/>
  <c r="Q26" i="6" s="1"/>
  <c r="C75" i="5"/>
  <c r="D80" i="31"/>
  <c r="F80" i="31" s="1"/>
  <c r="H80" i="31" s="1"/>
  <c r="I80" i="31" s="1"/>
  <c r="C28" i="6"/>
  <c r="Q28" i="6" s="1"/>
  <c r="C20" i="6"/>
  <c r="Q20" i="6" s="1"/>
  <c r="C170" i="5"/>
  <c r="D63" i="31"/>
  <c r="F63" i="31" s="1"/>
  <c r="H63" i="31" s="1"/>
  <c r="I63" i="31" s="1"/>
  <c r="D348" i="31"/>
  <c r="K162" i="31"/>
  <c r="C81" i="5"/>
  <c r="C5" i="6"/>
  <c r="Q5" i="6" s="1"/>
  <c r="D115" i="31"/>
  <c r="D90" i="31"/>
  <c r="C16" i="5"/>
  <c r="D61" i="31"/>
  <c r="F61" i="31" s="1"/>
  <c r="H61" i="31" s="1"/>
  <c r="I61" i="31" s="1"/>
  <c r="C169" i="5"/>
  <c r="K118" i="31"/>
  <c r="H10" i="7"/>
  <c r="J10" i="7" s="1"/>
  <c r="H41" i="34"/>
  <c r="G72" i="34" s="1"/>
  <c r="H120" i="31"/>
  <c r="I120" i="31" s="1"/>
  <c r="H223" i="31"/>
  <c r="I223" i="31" s="1"/>
  <c r="K223" i="31"/>
  <c r="H14" i="7"/>
  <c r="J14" i="7" s="1"/>
  <c r="D97" i="7"/>
  <c r="D140" i="7"/>
  <c r="R8" i="35"/>
  <c r="H83" i="34" s="1"/>
  <c r="G93" i="34" s="1"/>
  <c r="G96" i="34" s="1"/>
  <c r="Q90" i="35"/>
  <c r="H36" i="31"/>
  <c r="I36" i="31" s="1"/>
  <c r="Q9066" i="33"/>
  <c r="H54" i="34" s="1"/>
  <c r="G73" i="34" s="1"/>
  <c r="K289" i="31"/>
  <c r="H117" i="31"/>
  <c r="I117" i="31" s="1"/>
  <c r="K244" i="31"/>
  <c r="K278" i="31"/>
  <c r="K277" i="31"/>
  <c r="H243" i="31"/>
  <c r="I243" i="31" s="1"/>
  <c r="K274" i="31"/>
  <c r="I7" i="6"/>
  <c r="F183" i="31"/>
  <c r="H183" i="31" s="1"/>
  <c r="I183" i="31" s="1"/>
  <c r="F134" i="31"/>
  <c r="H134" i="31" s="1"/>
  <c r="I134" i="31" s="1"/>
  <c r="F124" i="31"/>
  <c r="H124" i="31" s="1"/>
  <c r="F127" i="31"/>
  <c r="K127" i="31" s="1"/>
  <c r="J19" i="32"/>
  <c r="K71" i="32" s="1"/>
  <c r="C31" i="6" s="1"/>
  <c r="AC14" i="31"/>
  <c r="AP14" i="31"/>
  <c r="K131" i="31"/>
  <c r="H131" i="31"/>
  <c r="I131" i="31" s="1"/>
  <c r="H297" i="31"/>
  <c r="I297" i="31" s="1"/>
  <c r="K297" i="31"/>
  <c r="K208" i="31"/>
  <c r="H208" i="31"/>
  <c r="I208" i="31" s="1"/>
  <c r="H204" i="31"/>
  <c r="I204" i="31" s="1"/>
  <c r="K204" i="31"/>
  <c r="F210" i="31"/>
  <c r="O12" i="31"/>
  <c r="O4" i="31" s="1"/>
  <c r="AI12" i="31"/>
  <c r="H280" i="31"/>
  <c r="I280" i="31" s="1"/>
  <c r="K280" i="31"/>
  <c r="E608" i="31"/>
  <c r="E613" i="31" s="1"/>
  <c r="E617" i="31" s="1"/>
  <c r="D613" i="31"/>
  <c r="D617" i="31" s="1"/>
  <c r="H6" i="5"/>
  <c r="P6" i="31"/>
  <c r="K198" i="31"/>
  <c r="H198" i="31"/>
  <c r="I198" i="31" s="1"/>
  <c r="H82" i="5"/>
  <c r="F113" i="31"/>
  <c r="F196" i="31"/>
  <c r="F199" i="31" s="1"/>
  <c r="D544" i="31" s="1"/>
  <c r="L107" i="5"/>
  <c r="F64" i="31"/>
  <c r="AB6" i="31"/>
  <c r="I236" i="31"/>
  <c r="K290" i="31"/>
  <c r="H290" i="31"/>
  <c r="I290" i="31" s="1"/>
  <c r="H39" i="31"/>
  <c r="I39" i="31" s="1"/>
  <c r="K39" i="31"/>
  <c r="K275" i="31"/>
  <c r="H275" i="31"/>
  <c r="I275" i="31" s="1"/>
  <c r="H24" i="5"/>
  <c r="H95" i="5"/>
  <c r="H164" i="5"/>
  <c r="H34" i="5"/>
  <c r="K8" i="31"/>
  <c r="H8" i="31"/>
  <c r="I8" i="31" s="1"/>
  <c r="K276" i="31"/>
  <c r="H276" i="31"/>
  <c r="I276" i="31" s="1"/>
  <c r="H34" i="31"/>
  <c r="I34" i="31" s="1"/>
  <c r="K34" i="31"/>
  <c r="S11" i="31"/>
  <c r="AK11" i="31"/>
  <c r="H197" i="31"/>
  <c r="I197" i="31" s="1"/>
  <c r="K197" i="31"/>
  <c r="F206" i="31"/>
  <c r="K254" i="31"/>
  <c r="H254" i="31"/>
  <c r="I254" i="31" s="1"/>
  <c r="E513" i="31"/>
  <c r="E518" i="31" s="1"/>
  <c r="E522" i="31" s="1"/>
  <c r="D518" i="31"/>
  <c r="D522" i="31" s="1"/>
  <c r="S8" i="31"/>
  <c r="AK8" i="31"/>
  <c r="K143" i="31"/>
  <c r="K42" i="31"/>
  <c r="H42" i="31"/>
  <c r="I42" i="31" s="1"/>
  <c r="F14" i="32"/>
  <c r="F7" i="32" s="1"/>
  <c r="T49" i="5"/>
  <c r="K249" i="31"/>
  <c r="H249" i="31"/>
  <c r="I249" i="31" s="1"/>
  <c r="K37" i="31"/>
  <c r="H37" i="31"/>
  <c r="I37" i="31" s="1"/>
  <c r="H66" i="31"/>
  <c r="I66" i="31" s="1"/>
  <c r="K66" i="31"/>
  <c r="H281" i="31"/>
  <c r="I281" i="31" s="1"/>
  <c r="K281" i="31"/>
  <c r="I172" i="31"/>
  <c r="H173" i="31"/>
  <c r="I173" i="31" s="1"/>
  <c r="P7" i="31"/>
  <c r="L101" i="5"/>
  <c r="F207" i="31"/>
  <c r="K282" i="31"/>
  <c r="H282" i="31"/>
  <c r="I282" i="31" s="1"/>
  <c r="K95" i="31"/>
  <c r="K97" i="31" s="1"/>
  <c r="K405" i="31" s="1"/>
  <c r="K410" i="31" s="1"/>
  <c r="K414" i="31" s="1"/>
  <c r="H95" i="31"/>
  <c r="F97" i="31"/>
  <c r="D405" i="31" s="1"/>
  <c r="K291" i="31"/>
  <c r="H291" i="31"/>
  <c r="I291" i="31" s="1"/>
  <c r="K240" i="31"/>
  <c r="K608" i="31" s="1"/>
  <c r="K613" i="31" s="1"/>
  <c r="K617" i="31" s="1"/>
  <c r="H38" i="31"/>
  <c r="I38" i="31" s="1"/>
  <c r="K38" i="31"/>
  <c r="I330" i="31"/>
  <c r="H331" i="31"/>
  <c r="I331" i="31" s="1"/>
  <c r="K231" i="31"/>
  <c r="H231" i="31"/>
  <c r="I231" i="31" s="1"/>
  <c r="I156" i="31"/>
  <c r="K193" i="31"/>
  <c r="H193" i="31"/>
  <c r="I285" i="31"/>
  <c r="F126" i="31"/>
  <c r="F14" i="31"/>
  <c r="T14" i="31"/>
  <c r="K655" i="31"/>
  <c r="K660" i="31" s="1"/>
  <c r="K664" i="31" s="1"/>
  <c r="I298" i="31"/>
  <c r="T6" i="31"/>
  <c r="I310" i="31"/>
  <c r="F11" i="7"/>
  <c r="H11" i="7"/>
  <c r="G12" i="6"/>
  <c r="I18" i="6"/>
  <c r="H169" i="5"/>
  <c r="L158" i="5"/>
  <c r="T60" i="5"/>
  <c r="U60" i="5" s="1"/>
  <c r="T169" i="5"/>
  <c r="T48" i="5"/>
  <c r="AO48" i="5" s="1"/>
  <c r="T80" i="5"/>
  <c r="T25" i="5"/>
  <c r="AO25" i="5" s="1"/>
  <c r="T69" i="5"/>
  <c r="AO69" i="5" s="1"/>
  <c r="L6" i="5"/>
  <c r="T81" i="5"/>
  <c r="U81" i="5" s="1"/>
  <c r="L170" i="5"/>
  <c r="L60" i="5"/>
  <c r="AK60" i="5" s="1"/>
  <c r="T75" i="5"/>
  <c r="AO75" i="5" s="1"/>
  <c r="L48" i="5"/>
  <c r="AK48" i="5" s="1"/>
  <c r="L99" i="5"/>
  <c r="L169" i="5"/>
  <c r="I8" i="6"/>
  <c r="L97" i="5"/>
  <c r="L80" i="5"/>
  <c r="I26" i="6"/>
  <c r="L111" i="5"/>
  <c r="L62" i="5"/>
  <c r="M62" i="5" s="1"/>
  <c r="H29" i="5"/>
  <c r="AF51" i="5"/>
  <c r="H51" i="5"/>
  <c r="G75" i="5"/>
  <c r="AH75" i="5"/>
  <c r="AJ81" i="5"/>
  <c r="K81" i="5"/>
  <c r="L96" i="5"/>
  <c r="AD7" i="5"/>
  <c r="H7" i="5"/>
  <c r="H42" i="5"/>
  <c r="H25" i="5"/>
  <c r="L98" i="5"/>
  <c r="AJ75" i="5"/>
  <c r="K75" i="5"/>
  <c r="AK61" i="5"/>
  <c r="AS61" i="5" s="1"/>
  <c r="M61" i="5"/>
  <c r="AC61" i="5" s="1"/>
  <c r="H37" i="5"/>
  <c r="H167" i="5"/>
  <c r="H81" i="5"/>
  <c r="H75" i="5"/>
  <c r="G28" i="6"/>
  <c r="H131" i="5"/>
  <c r="I48" i="5"/>
  <c r="AI48" i="5"/>
  <c r="G26" i="6"/>
  <c r="L106" i="5"/>
  <c r="AH81" i="5"/>
  <c r="G81" i="5"/>
  <c r="E157" i="25"/>
  <c r="D159" i="25"/>
  <c r="E159" i="25" s="1"/>
  <c r="D154" i="25"/>
  <c r="E154" i="25" s="1"/>
  <c r="D155" i="25"/>
  <c r="E155" i="25" s="1"/>
  <c r="H6" i="14"/>
  <c r="H7" i="14"/>
  <c r="H8" i="14"/>
  <c r="H5" i="14"/>
  <c r="I25" i="14"/>
  <c r="F6" i="14"/>
  <c r="E8" i="14" s="1"/>
  <c r="AE135" i="5"/>
  <c r="AE77" i="5"/>
  <c r="AL23" i="5"/>
  <c r="AL143" i="5"/>
  <c r="AG143" i="5"/>
  <c r="AH143" i="5"/>
  <c r="AJ143" i="5"/>
  <c r="AM143" i="5"/>
  <c r="AN143" i="5"/>
  <c r="AO143" i="5"/>
  <c r="AP143" i="5"/>
  <c r="AQ143" i="5"/>
  <c r="AR143" i="5"/>
  <c r="AF143" i="5"/>
  <c r="AB165" i="5"/>
  <c r="AE165" i="5"/>
  <c r="AE45" i="5"/>
  <c r="AE44" i="5"/>
  <c r="AE43" i="5"/>
  <c r="AX7" i="5"/>
  <c r="AY7" i="5"/>
  <c r="AZ7" i="5"/>
  <c r="BA7" i="5"/>
  <c r="BB7" i="5"/>
  <c r="BC7" i="5"/>
  <c r="BD7" i="5"/>
  <c r="BE7" i="5"/>
  <c r="BF7" i="5"/>
  <c r="BG7" i="5"/>
  <c r="BH7" i="5"/>
  <c r="BI7" i="5"/>
  <c r="BJ7" i="5"/>
  <c r="C201" i="5"/>
  <c r="C192" i="5"/>
  <c r="Z173" i="5"/>
  <c r="X173" i="5"/>
  <c r="V173" i="5"/>
  <c r="R173" i="5"/>
  <c r="P173" i="5"/>
  <c r="N173" i="5"/>
  <c r="Z161" i="5"/>
  <c r="V161" i="5"/>
  <c r="R161" i="5"/>
  <c r="P161" i="5"/>
  <c r="N161" i="5"/>
  <c r="Z149" i="5"/>
  <c r="Z155" i="5"/>
  <c r="Z157" i="5"/>
  <c r="Z159" i="5"/>
  <c r="X147" i="5"/>
  <c r="X148" i="5"/>
  <c r="X149" i="5"/>
  <c r="X150" i="5"/>
  <c r="X151" i="5"/>
  <c r="X152" i="5"/>
  <c r="AQ152" i="5" s="1"/>
  <c r="X153" i="5"/>
  <c r="AQ153" i="5" s="1"/>
  <c r="X154" i="5"/>
  <c r="X155" i="5"/>
  <c r="X156" i="5"/>
  <c r="X158" i="5"/>
  <c r="X159" i="5"/>
  <c r="X146" i="5"/>
  <c r="V147" i="5"/>
  <c r="V148" i="5"/>
  <c r="V149" i="5"/>
  <c r="V150" i="5"/>
  <c r="V151" i="5"/>
  <c r="V152" i="5"/>
  <c r="AP152" i="5" s="1"/>
  <c r="V153" i="5"/>
  <c r="AP153" i="5" s="1"/>
  <c r="V154" i="5"/>
  <c r="V155" i="5"/>
  <c r="V156" i="5"/>
  <c r="V157" i="5"/>
  <c r="V158" i="5"/>
  <c r="V146" i="5"/>
  <c r="AO152" i="5"/>
  <c r="AO153" i="5"/>
  <c r="R147" i="5"/>
  <c r="R148" i="5"/>
  <c r="R149" i="5"/>
  <c r="R150" i="5"/>
  <c r="R151" i="5"/>
  <c r="R152" i="5"/>
  <c r="AN152" i="5" s="1"/>
  <c r="R153" i="5"/>
  <c r="AN153" i="5" s="1"/>
  <c r="R154" i="5"/>
  <c r="R155" i="5"/>
  <c r="R156" i="5"/>
  <c r="R157" i="5"/>
  <c r="R158" i="5"/>
  <c r="R159" i="5"/>
  <c r="R146" i="5"/>
  <c r="P147" i="5"/>
  <c r="P148" i="5"/>
  <c r="P149" i="5"/>
  <c r="P150" i="5"/>
  <c r="P151" i="5"/>
  <c r="P152" i="5"/>
  <c r="AM152" i="5" s="1"/>
  <c r="P153" i="5"/>
  <c r="AM153" i="5" s="1"/>
  <c r="P154" i="5"/>
  <c r="P155" i="5"/>
  <c r="P156" i="5"/>
  <c r="P157" i="5"/>
  <c r="P158" i="5"/>
  <c r="P159" i="5"/>
  <c r="P146" i="5"/>
  <c r="N147" i="5"/>
  <c r="N148" i="5"/>
  <c r="N150" i="5"/>
  <c r="N151" i="5"/>
  <c r="N152" i="5"/>
  <c r="AL152" i="5" s="1"/>
  <c r="N153" i="5"/>
  <c r="AL153" i="5" s="1"/>
  <c r="N154" i="5"/>
  <c r="N155" i="5"/>
  <c r="N156" i="5"/>
  <c r="N157" i="5"/>
  <c r="N158" i="5"/>
  <c r="N159" i="5"/>
  <c r="N146" i="5"/>
  <c r="AK152" i="5"/>
  <c r="AK153" i="5"/>
  <c r="AJ152" i="5"/>
  <c r="AJ153" i="5"/>
  <c r="AI152" i="5"/>
  <c r="AI153" i="5"/>
  <c r="Z144" i="5"/>
  <c r="X144" i="5"/>
  <c r="V144" i="5"/>
  <c r="R144" i="5"/>
  <c r="P144" i="5"/>
  <c r="N144" i="5"/>
  <c r="Z138" i="5"/>
  <c r="Z139" i="5"/>
  <c r="Z140" i="5"/>
  <c r="Z141" i="5"/>
  <c r="Z142" i="5"/>
  <c r="Z137" i="5"/>
  <c r="X138" i="5"/>
  <c r="X139" i="5"/>
  <c r="X140" i="5"/>
  <c r="X141" i="5"/>
  <c r="X142" i="5"/>
  <c r="X137" i="5"/>
  <c r="V138" i="5"/>
  <c r="V139" i="5"/>
  <c r="V140" i="5"/>
  <c r="V141" i="5"/>
  <c r="V142" i="5"/>
  <c r="V137" i="5"/>
  <c r="R138" i="5"/>
  <c r="R140" i="5"/>
  <c r="R141" i="5"/>
  <c r="R142" i="5"/>
  <c r="P138" i="5"/>
  <c r="P139" i="5"/>
  <c r="P137" i="5"/>
  <c r="N139" i="5"/>
  <c r="N140" i="5"/>
  <c r="N141" i="5"/>
  <c r="N142" i="5"/>
  <c r="N137" i="5"/>
  <c r="Z127" i="5"/>
  <c r="Z128" i="5"/>
  <c r="Z129" i="5"/>
  <c r="Z126" i="5"/>
  <c r="X127" i="5"/>
  <c r="X128" i="5"/>
  <c r="X129" i="5"/>
  <c r="X126" i="5"/>
  <c r="V129" i="5"/>
  <c r="V126" i="5"/>
  <c r="R127" i="5"/>
  <c r="R128" i="5"/>
  <c r="R129" i="5"/>
  <c r="R126" i="5"/>
  <c r="P127" i="5"/>
  <c r="P128" i="5"/>
  <c r="P129" i="5"/>
  <c r="P126" i="5"/>
  <c r="N127" i="5"/>
  <c r="N128" i="5"/>
  <c r="N129" i="5"/>
  <c r="N126" i="5"/>
  <c r="K737" i="31" l="1"/>
  <c r="K742" i="31" s="1"/>
  <c r="K746" i="31" s="1"/>
  <c r="K314" i="31"/>
  <c r="K28" i="31"/>
  <c r="H144" i="31"/>
  <c r="I144" i="31" s="1"/>
  <c r="H76" i="31"/>
  <c r="I76" i="31" s="1"/>
  <c r="D742" i="31"/>
  <c r="D746" i="31" s="1"/>
  <c r="H240" i="31"/>
  <c r="I240" i="31" s="1"/>
  <c r="H248" i="31"/>
  <c r="I248" i="31" s="1"/>
  <c r="H222" i="31"/>
  <c r="I222" i="31" s="1"/>
  <c r="K211" i="31"/>
  <c r="K559" i="31" s="1"/>
  <c r="K564" i="31" s="1"/>
  <c r="K568" i="31" s="1"/>
  <c r="K133" i="31"/>
  <c r="K226" i="31"/>
  <c r="H209" i="31"/>
  <c r="I209" i="31" s="1"/>
  <c r="F12" i="7"/>
  <c r="H116" i="31"/>
  <c r="I116" i="31" s="1"/>
  <c r="F327" i="31"/>
  <c r="D720" i="31" s="1"/>
  <c r="E720" i="31" s="1"/>
  <c r="E725" i="31" s="1"/>
  <c r="E729" i="31" s="1"/>
  <c r="H326" i="31"/>
  <c r="I326" i="31" s="1"/>
  <c r="H205" i="31"/>
  <c r="I205" i="31" s="1"/>
  <c r="H12" i="31"/>
  <c r="I12" i="31" s="1"/>
  <c r="K20" i="31"/>
  <c r="H82" i="31"/>
  <c r="I82" i="31" s="1"/>
  <c r="H83" i="31"/>
  <c r="I83" i="31" s="1"/>
  <c r="H58" i="31"/>
  <c r="I58" i="31" s="1"/>
  <c r="K128" i="31"/>
  <c r="K69" i="31"/>
  <c r="K63" i="31"/>
  <c r="K80" i="31"/>
  <c r="K61" i="31"/>
  <c r="K134" i="31"/>
  <c r="M60" i="5"/>
  <c r="K215" i="31"/>
  <c r="K216" i="31" s="1"/>
  <c r="K576" i="31" s="1"/>
  <c r="K581" i="31" s="1"/>
  <c r="K585" i="31" s="1"/>
  <c r="F216" i="31"/>
  <c r="D576" i="31" s="1"/>
  <c r="E576" i="31" s="1"/>
  <c r="E581" i="31" s="1"/>
  <c r="E585" i="31" s="1"/>
  <c r="I215" i="31"/>
  <c r="H216" i="31"/>
  <c r="I216" i="31" s="1"/>
  <c r="H63" i="34"/>
  <c r="K124" i="31"/>
  <c r="K183" i="31"/>
  <c r="H127" i="31"/>
  <c r="I127" i="31" s="1"/>
  <c r="K225" i="31"/>
  <c r="K68" i="31"/>
  <c r="K227" i="31"/>
  <c r="H167" i="31"/>
  <c r="I167" i="31" s="1"/>
  <c r="K247" i="31"/>
  <c r="K250" i="31" s="1"/>
  <c r="K623" i="31" s="1"/>
  <c r="K628" i="31" s="1"/>
  <c r="K632" i="31" s="1"/>
  <c r="F250" i="31"/>
  <c r="D623" i="31" s="1"/>
  <c r="E623" i="31" s="1"/>
  <c r="E628" i="31" s="1"/>
  <c r="E632" i="31" s="1"/>
  <c r="K288" i="31"/>
  <c r="K114" i="31"/>
  <c r="H228" i="31"/>
  <c r="I228" i="31" s="1"/>
  <c r="K230" i="31"/>
  <c r="K224" i="31"/>
  <c r="H207" i="31"/>
  <c r="I207" i="31" s="1"/>
  <c r="K207" i="31"/>
  <c r="K64" i="31"/>
  <c r="H64" i="31"/>
  <c r="I64" i="31" s="1"/>
  <c r="AJ6" i="31"/>
  <c r="Q6" i="31"/>
  <c r="I95" i="31"/>
  <c r="H97" i="31"/>
  <c r="I97" i="31" s="1"/>
  <c r="K89" i="31"/>
  <c r="H89" i="31"/>
  <c r="I89" i="31" s="1"/>
  <c r="H210" i="31"/>
  <c r="I210" i="31" s="1"/>
  <c r="K210" i="31"/>
  <c r="K7" i="31"/>
  <c r="H7" i="31"/>
  <c r="I7" i="31" s="1"/>
  <c r="K196" i="31"/>
  <c r="K199" i="31" s="1"/>
  <c r="K544" i="31" s="1"/>
  <c r="K549" i="31" s="1"/>
  <c r="K553" i="31" s="1"/>
  <c r="H196" i="31"/>
  <c r="I196" i="31" s="1"/>
  <c r="Q7" i="31"/>
  <c r="AJ7" i="31"/>
  <c r="K132" i="31"/>
  <c r="H132" i="31"/>
  <c r="I132" i="31" s="1"/>
  <c r="H176" i="31"/>
  <c r="K176" i="31"/>
  <c r="AC6" i="31"/>
  <c r="AC4" i="31" s="1"/>
  <c r="AP6" i="31"/>
  <c r="K113" i="31"/>
  <c r="H113" i="31"/>
  <c r="I113" i="31" s="1"/>
  <c r="H311" i="31"/>
  <c r="I311" i="31" s="1"/>
  <c r="S4" i="31"/>
  <c r="H180" i="31"/>
  <c r="I180" i="31" s="1"/>
  <c r="K180" i="31"/>
  <c r="K206" i="31"/>
  <c r="H206" i="31"/>
  <c r="I206" i="31" s="1"/>
  <c r="E405" i="31"/>
  <c r="E410" i="31" s="1"/>
  <c r="E414" i="31" s="1"/>
  <c r="D410" i="31"/>
  <c r="D414" i="31" s="1"/>
  <c r="K312" i="31"/>
  <c r="H312" i="31"/>
  <c r="I312" i="31" s="1"/>
  <c r="F169" i="31"/>
  <c r="D497" i="31" s="1"/>
  <c r="E497" i="31" s="1"/>
  <c r="E502" i="31" s="1"/>
  <c r="E506" i="31" s="1"/>
  <c r="K166" i="31"/>
  <c r="K169" i="31" s="1"/>
  <c r="K497" i="31" s="1"/>
  <c r="K502" i="31" s="1"/>
  <c r="K506" i="31" s="1"/>
  <c r="E544" i="31"/>
  <c r="E549" i="31" s="1"/>
  <c r="E553" i="31" s="1"/>
  <c r="D549" i="31"/>
  <c r="D553" i="31" s="1"/>
  <c r="I193" i="31"/>
  <c r="I166" i="31"/>
  <c r="I114" i="31"/>
  <c r="AL14" i="31"/>
  <c r="U14" i="31"/>
  <c r="H14" i="31"/>
  <c r="I14" i="31" s="1"/>
  <c r="K14" i="31"/>
  <c r="U6" i="31"/>
  <c r="AL6" i="31"/>
  <c r="H126" i="31"/>
  <c r="I126" i="31" s="1"/>
  <c r="K126" i="31"/>
  <c r="I124" i="31"/>
  <c r="F135" i="31"/>
  <c r="D467" i="31" s="1"/>
  <c r="J12" i="7"/>
  <c r="J11" i="7"/>
  <c r="AO60" i="5"/>
  <c r="AS60" i="5" s="1"/>
  <c r="AC60" i="5"/>
  <c r="U48" i="5"/>
  <c r="U25" i="5"/>
  <c r="U69" i="5"/>
  <c r="M48" i="5"/>
  <c r="AO81" i="5"/>
  <c r="U75" i="5"/>
  <c r="AK62" i="5"/>
  <c r="AD51" i="5"/>
  <c r="AF7" i="5"/>
  <c r="I75" i="5"/>
  <c r="AI75" i="5"/>
  <c r="AI7" i="5"/>
  <c r="I7" i="5"/>
  <c r="AC7" i="5" s="1"/>
  <c r="I51" i="5"/>
  <c r="AC51" i="5" s="1"/>
  <c r="AI51" i="5"/>
  <c r="AS51" i="5" s="1"/>
  <c r="AI81" i="5"/>
  <c r="I81" i="5"/>
  <c r="AS48" i="5"/>
  <c r="AF48" i="5"/>
  <c r="AD48" i="5"/>
  <c r="I25" i="5"/>
  <c r="AI25" i="5"/>
  <c r="H45" i="14"/>
  <c r="H44" i="14"/>
  <c r="AS143" i="5"/>
  <c r="H250" i="31" l="1"/>
  <c r="I250" i="31" s="1"/>
  <c r="D725" i="31"/>
  <c r="D729" i="31" s="1"/>
  <c r="H327" i="31"/>
  <c r="I327" i="31" s="1"/>
  <c r="D581" i="31"/>
  <c r="D585" i="31" s="1"/>
  <c r="G112" i="34"/>
  <c r="G76" i="34"/>
  <c r="H169" i="31"/>
  <c r="I169" i="31" s="1"/>
  <c r="D628" i="31"/>
  <c r="D632" i="31" s="1"/>
  <c r="K135" i="31"/>
  <c r="K467" i="31" s="1"/>
  <c r="K472" i="31" s="1"/>
  <c r="K476" i="31" s="1"/>
  <c r="H199" i="31"/>
  <c r="I199" i="31" s="1"/>
  <c r="D502" i="31"/>
  <c r="D506" i="31" s="1"/>
  <c r="I176" i="31"/>
  <c r="Q4" i="31"/>
  <c r="H135" i="31"/>
  <c r="I135" i="31" s="1"/>
  <c r="U4" i="31"/>
  <c r="E467" i="31"/>
  <c r="E472" i="31" s="1"/>
  <c r="E476" i="31" s="1"/>
  <c r="D472" i="31"/>
  <c r="D476" i="31" s="1"/>
  <c r="AC48" i="5"/>
  <c r="H46" i="14"/>
  <c r="AB120" i="5"/>
  <c r="Z116" i="5"/>
  <c r="Z117" i="5"/>
  <c r="Z118" i="5"/>
  <c r="Z119" i="5"/>
  <c r="Z120" i="5"/>
  <c r="Z121" i="5"/>
  <c r="Z122" i="5"/>
  <c r="Z123" i="5"/>
  <c r="Z124" i="5"/>
  <c r="Z115" i="5"/>
  <c r="X116" i="5"/>
  <c r="X117" i="5"/>
  <c r="X118" i="5"/>
  <c r="X119" i="5"/>
  <c r="X120" i="5"/>
  <c r="X121" i="5"/>
  <c r="X122" i="5"/>
  <c r="X123" i="5"/>
  <c r="X124" i="5"/>
  <c r="X115" i="5"/>
  <c r="V116" i="5"/>
  <c r="V117" i="5"/>
  <c r="V118" i="5"/>
  <c r="V119" i="5"/>
  <c r="V120" i="5"/>
  <c r="V121" i="5"/>
  <c r="V122" i="5"/>
  <c r="V123" i="5"/>
  <c r="V124" i="5"/>
  <c r="V115" i="5"/>
  <c r="R116" i="5"/>
  <c r="R117" i="5"/>
  <c r="R118" i="5"/>
  <c r="R119" i="5"/>
  <c r="R120" i="5"/>
  <c r="R121" i="5"/>
  <c r="R122" i="5"/>
  <c r="R123" i="5"/>
  <c r="R124" i="5"/>
  <c r="R115" i="5"/>
  <c r="P116" i="5"/>
  <c r="P117" i="5"/>
  <c r="P118" i="5"/>
  <c r="P119" i="5"/>
  <c r="P120" i="5"/>
  <c r="AM120" i="5" s="1"/>
  <c r="P121" i="5"/>
  <c r="P122" i="5"/>
  <c r="P123" i="5"/>
  <c r="P124" i="5"/>
  <c r="P115" i="5"/>
  <c r="N116" i="5"/>
  <c r="N117" i="5"/>
  <c r="N118" i="5"/>
  <c r="N119" i="5"/>
  <c r="N120" i="5"/>
  <c r="N121" i="5"/>
  <c r="N122" i="5"/>
  <c r="N123" i="5"/>
  <c r="N124" i="5"/>
  <c r="N115" i="5"/>
  <c r="AK120" i="5"/>
  <c r="AJ120" i="5"/>
  <c r="AI120" i="5"/>
  <c r="AB135" i="5"/>
  <c r="Z134" i="5"/>
  <c r="Z135" i="5"/>
  <c r="Z133" i="5"/>
  <c r="X134" i="5"/>
  <c r="X135" i="5"/>
  <c r="X133" i="5"/>
  <c r="V134" i="5"/>
  <c r="V135" i="5"/>
  <c r="V133" i="5"/>
  <c r="R135" i="5"/>
  <c r="R133" i="5"/>
  <c r="P134" i="5"/>
  <c r="P135" i="5"/>
  <c r="P133" i="5"/>
  <c r="N134" i="5"/>
  <c r="N135" i="5"/>
  <c r="N133" i="5"/>
  <c r="Z164" i="5"/>
  <c r="Z165" i="5"/>
  <c r="AR165" i="5" s="1"/>
  <c r="Z166" i="5"/>
  <c r="Z167" i="5"/>
  <c r="Z168" i="5"/>
  <c r="Z169" i="5"/>
  <c r="Z171" i="5"/>
  <c r="Z163" i="5"/>
  <c r="X164" i="5"/>
  <c r="X165" i="5"/>
  <c r="AQ165" i="5" s="1"/>
  <c r="X166" i="5"/>
  <c r="X167" i="5"/>
  <c r="X168" i="5"/>
  <c r="X169" i="5"/>
  <c r="X170" i="5"/>
  <c r="X171" i="5"/>
  <c r="X163" i="5"/>
  <c r="V164" i="5"/>
  <c r="V165" i="5"/>
  <c r="AP165" i="5" s="1"/>
  <c r="V166" i="5"/>
  <c r="V167" i="5"/>
  <c r="V168" i="5"/>
  <c r="V163" i="5"/>
  <c r="AO165" i="5"/>
  <c r="R164" i="5"/>
  <c r="R165" i="5"/>
  <c r="AN165" i="5" s="1"/>
  <c r="R166" i="5"/>
  <c r="R167" i="5"/>
  <c r="R168" i="5"/>
  <c r="R169" i="5"/>
  <c r="R171" i="5"/>
  <c r="R163" i="5"/>
  <c r="P164" i="5"/>
  <c r="P165" i="5"/>
  <c r="AM165" i="5" s="1"/>
  <c r="P166" i="5"/>
  <c r="P168" i="5"/>
  <c r="P169" i="5"/>
  <c r="P170" i="5"/>
  <c r="P171" i="5"/>
  <c r="P163" i="5"/>
  <c r="N164" i="5"/>
  <c r="N165" i="5"/>
  <c r="AL165" i="5" s="1"/>
  <c r="N167" i="5"/>
  <c r="N168" i="5"/>
  <c r="N171" i="5"/>
  <c r="N163" i="5"/>
  <c r="AK165" i="5"/>
  <c r="AI165" i="5"/>
  <c r="Z107" i="5"/>
  <c r="Z108" i="5"/>
  <c r="Z109" i="5"/>
  <c r="Z110" i="5"/>
  <c r="Z111" i="5"/>
  <c r="Z112" i="5"/>
  <c r="Z113" i="5"/>
  <c r="Z106" i="5"/>
  <c r="X107" i="5"/>
  <c r="X108" i="5"/>
  <c r="X109" i="5"/>
  <c r="X110" i="5"/>
  <c r="X111" i="5"/>
  <c r="X112" i="5"/>
  <c r="X113" i="5"/>
  <c r="X106" i="5"/>
  <c r="V109" i="5"/>
  <c r="V112" i="5"/>
  <c r="R107" i="5"/>
  <c r="R108" i="5"/>
  <c r="R109" i="5"/>
  <c r="R110" i="5"/>
  <c r="R111" i="5"/>
  <c r="R112" i="5"/>
  <c r="R113" i="5"/>
  <c r="R106" i="5"/>
  <c r="P107" i="5"/>
  <c r="P108" i="5"/>
  <c r="P109" i="5"/>
  <c r="P110" i="5"/>
  <c r="P111" i="5"/>
  <c r="P112" i="5"/>
  <c r="P113" i="5"/>
  <c r="P106" i="5"/>
  <c r="N107" i="5"/>
  <c r="N108" i="5"/>
  <c r="N109" i="5"/>
  <c r="N110" i="5"/>
  <c r="N111" i="5"/>
  <c r="N112" i="5"/>
  <c r="N113" i="5"/>
  <c r="N106" i="5"/>
  <c r="Z95" i="5"/>
  <c r="Z96" i="5"/>
  <c r="Z97" i="5"/>
  <c r="Z98" i="5"/>
  <c r="Z99" i="5"/>
  <c r="Z100" i="5"/>
  <c r="Z101" i="5"/>
  <c r="Z102" i="5"/>
  <c r="Z103" i="5"/>
  <c r="AR103" i="5" s="1"/>
  <c r="Z104" i="5"/>
  <c r="Z94" i="5"/>
  <c r="X95" i="5"/>
  <c r="X96" i="5"/>
  <c r="X97" i="5"/>
  <c r="X98" i="5"/>
  <c r="X99" i="5"/>
  <c r="X100" i="5"/>
  <c r="X101" i="5"/>
  <c r="X102" i="5"/>
  <c r="X103" i="5"/>
  <c r="AQ103" i="5" s="1"/>
  <c r="X104" i="5"/>
  <c r="X94" i="5"/>
  <c r="V95" i="5"/>
  <c r="V102" i="5"/>
  <c r="V103" i="5"/>
  <c r="V94" i="5"/>
  <c r="R95" i="5"/>
  <c r="R96" i="5"/>
  <c r="R97" i="5"/>
  <c r="R98" i="5"/>
  <c r="R99" i="5"/>
  <c r="R100" i="5"/>
  <c r="R101" i="5"/>
  <c r="R102" i="5"/>
  <c r="R103" i="5"/>
  <c r="AN103" i="5" s="1"/>
  <c r="R104" i="5"/>
  <c r="R94" i="5"/>
  <c r="P95" i="5"/>
  <c r="P96" i="5"/>
  <c r="P97" i="5"/>
  <c r="P98" i="5"/>
  <c r="P99" i="5"/>
  <c r="P100" i="5"/>
  <c r="P101" i="5"/>
  <c r="P102" i="5"/>
  <c r="P103" i="5"/>
  <c r="AM103" i="5" s="1"/>
  <c r="P104" i="5"/>
  <c r="P94" i="5"/>
  <c r="N95" i="5"/>
  <c r="N96" i="5"/>
  <c r="N97" i="5"/>
  <c r="N98" i="5"/>
  <c r="N99" i="5"/>
  <c r="N100" i="5"/>
  <c r="N101" i="5"/>
  <c r="N102" i="5"/>
  <c r="N103" i="5"/>
  <c r="N104" i="5"/>
  <c r="N94" i="5"/>
  <c r="AK103" i="5"/>
  <c r="AJ103" i="5"/>
  <c r="AI103" i="5"/>
  <c r="Z87" i="5"/>
  <c r="Z88" i="5"/>
  <c r="Z89" i="5"/>
  <c r="Z90" i="5"/>
  <c r="Z91" i="5"/>
  <c r="Z92" i="5"/>
  <c r="Z86" i="5"/>
  <c r="X87" i="5"/>
  <c r="X88" i="5"/>
  <c r="X89" i="5"/>
  <c r="X90" i="5"/>
  <c r="X91" i="5"/>
  <c r="X92" i="5"/>
  <c r="X86" i="5"/>
  <c r="V87" i="5"/>
  <c r="V88" i="5"/>
  <c r="V89" i="5"/>
  <c r="V90" i="5"/>
  <c r="V91" i="5"/>
  <c r="V92" i="5"/>
  <c r="R87" i="5"/>
  <c r="R88" i="5"/>
  <c r="R89" i="5"/>
  <c r="R90" i="5"/>
  <c r="R91" i="5"/>
  <c r="R92" i="5"/>
  <c r="R86" i="5"/>
  <c r="P88" i="5"/>
  <c r="P89" i="5"/>
  <c r="P86" i="5"/>
  <c r="N87" i="5"/>
  <c r="N88" i="5"/>
  <c r="N89" i="5"/>
  <c r="N90" i="5"/>
  <c r="N91" i="5"/>
  <c r="N92" i="5"/>
  <c r="N86" i="5"/>
  <c r="Z76" i="5"/>
  <c r="Z77" i="5"/>
  <c r="Z78" i="5"/>
  <c r="Z79" i="5"/>
  <c r="Z80" i="5"/>
  <c r="Z82" i="5"/>
  <c r="Z83" i="5"/>
  <c r="Z84" i="5"/>
  <c r="Z74" i="5"/>
  <c r="X76" i="5"/>
  <c r="X77" i="5"/>
  <c r="X78" i="5"/>
  <c r="X79" i="5"/>
  <c r="X80" i="5"/>
  <c r="X82" i="5"/>
  <c r="X83" i="5"/>
  <c r="X84" i="5"/>
  <c r="X74" i="5"/>
  <c r="V76" i="5"/>
  <c r="V77" i="5"/>
  <c r="V78" i="5"/>
  <c r="V79" i="5"/>
  <c r="V80" i="5"/>
  <c r="V82" i="5"/>
  <c r="V83" i="5"/>
  <c r="V84" i="5"/>
  <c r="V74" i="5"/>
  <c r="R76" i="5"/>
  <c r="R77" i="5"/>
  <c r="R79" i="5"/>
  <c r="R80" i="5"/>
  <c r="R82" i="5"/>
  <c r="R83" i="5"/>
  <c r="R84" i="5"/>
  <c r="R74" i="5"/>
  <c r="P76" i="5"/>
  <c r="P77" i="5"/>
  <c r="P78" i="5"/>
  <c r="P79" i="5"/>
  <c r="P80" i="5"/>
  <c r="P82" i="5"/>
  <c r="P83" i="5"/>
  <c r="P84" i="5"/>
  <c r="P74" i="5"/>
  <c r="N76" i="5"/>
  <c r="N77" i="5"/>
  <c r="N80" i="5"/>
  <c r="N82" i="5"/>
  <c r="N83" i="5"/>
  <c r="N84" i="5"/>
  <c r="N74" i="5"/>
  <c r="Z72" i="5"/>
  <c r="X72" i="5"/>
  <c r="V72" i="5"/>
  <c r="R72" i="5"/>
  <c r="N72" i="5"/>
  <c r="Z68" i="5"/>
  <c r="X68" i="5"/>
  <c r="X67" i="5"/>
  <c r="V68" i="5"/>
  <c r="V67" i="5"/>
  <c r="R68" i="5"/>
  <c r="R67" i="5"/>
  <c r="P68" i="5"/>
  <c r="P67" i="5"/>
  <c r="N67" i="5"/>
  <c r="AH165" i="5"/>
  <c r="AH152" i="5"/>
  <c r="AH153" i="5"/>
  <c r="AH120" i="5"/>
  <c r="AH103" i="5"/>
  <c r="Z65" i="5"/>
  <c r="Z64" i="5"/>
  <c r="X65" i="5"/>
  <c r="X64" i="5"/>
  <c r="V65" i="5"/>
  <c r="V64" i="5"/>
  <c r="R65" i="5"/>
  <c r="R64" i="5"/>
  <c r="N65" i="5"/>
  <c r="N64" i="5"/>
  <c r="Z57" i="5"/>
  <c r="Z58" i="5"/>
  <c r="Z59" i="5"/>
  <c r="Z56" i="5"/>
  <c r="X57" i="5"/>
  <c r="X58" i="5"/>
  <c r="X59" i="5"/>
  <c r="X56" i="5"/>
  <c r="V57" i="5"/>
  <c r="V58" i="5"/>
  <c r="V59" i="5"/>
  <c r="V56" i="5"/>
  <c r="R57" i="5"/>
  <c r="R58" i="5"/>
  <c r="R59" i="5"/>
  <c r="R56" i="5"/>
  <c r="P57" i="5"/>
  <c r="P58" i="5"/>
  <c r="P59" i="5"/>
  <c r="P56" i="5"/>
  <c r="N57" i="5"/>
  <c r="N58" i="5"/>
  <c r="N56" i="5"/>
  <c r="AB50" i="5"/>
  <c r="AB47" i="5"/>
  <c r="AB45" i="5"/>
  <c r="AB44" i="5"/>
  <c r="AB43" i="5"/>
  <c r="AB46" i="5"/>
  <c r="Z43" i="5"/>
  <c r="Z44" i="5"/>
  <c r="Z45" i="5"/>
  <c r="Z46" i="5"/>
  <c r="Z47" i="5"/>
  <c r="Z49" i="5"/>
  <c r="Z50" i="5"/>
  <c r="Z52" i="5"/>
  <c r="AR52" i="5" s="1"/>
  <c r="Z53" i="5"/>
  <c r="AR53" i="5" s="1"/>
  <c r="Z54" i="5"/>
  <c r="Z42" i="5"/>
  <c r="X43" i="5"/>
  <c r="X44" i="5"/>
  <c r="X45" i="5"/>
  <c r="X46" i="5"/>
  <c r="X47" i="5"/>
  <c r="X49" i="5"/>
  <c r="X50" i="5"/>
  <c r="X52" i="5"/>
  <c r="AQ52" i="5" s="1"/>
  <c r="X53" i="5"/>
  <c r="AQ53" i="5" s="1"/>
  <c r="X54" i="5"/>
  <c r="X42" i="5"/>
  <c r="V54" i="5"/>
  <c r="V43" i="5"/>
  <c r="V44" i="5"/>
  <c r="V45" i="5"/>
  <c r="V46" i="5"/>
  <c r="V47" i="5"/>
  <c r="V49" i="5"/>
  <c r="V50" i="5"/>
  <c r="V52" i="5"/>
  <c r="AP52" i="5" s="1"/>
  <c r="V53" i="5"/>
  <c r="AP53" i="5" s="1"/>
  <c r="V42" i="5"/>
  <c r="AO43" i="5"/>
  <c r="AO52" i="5"/>
  <c r="AO53" i="5"/>
  <c r="R43" i="5"/>
  <c r="R44" i="5"/>
  <c r="R45" i="5"/>
  <c r="R46" i="5"/>
  <c r="R47" i="5"/>
  <c r="R49" i="5"/>
  <c r="R50" i="5"/>
  <c r="R52" i="5"/>
  <c r="AN52" i="5" s="1"/>
  <c r="R53" i="5"/>
  <c r="AN53" i="5" s="1"/>
  <c r="R54" i="5"/>
  <c r="R42" i="5"/>
  <c r="P43" i="5"/>
  <c r="P44" i="5"/>
  <c r="P45" i="5"/>
  <c r="P46" i="5"/>
  <c r="P47" i="5"/>
  <c r="P49" i="5"/>
  <c r="P50" i="5"/>
  <c r="P52" i="5"/>
  <c r="AM52" i="5" s="1"/>
  <c r="P53" i="5"/>
  <c r="AM53" i="5" s="1"/>
  <c r="P54" i="5"/>
  <c r="P42" i="5"/>
  <c r="N44" i="5"/>
  <c r="N45" i="5"/>
  <c r="N46" i="5"/>
  <c r="N47" i="5"/>
  <c r="N50" i="5"/>
  <c r="N52" i="5"/>
  <c r="AL52" i="5" s="1"/>
  <c r="N53" i="5"/>
  <c r="AL53" i="5" s="1"/>
  <c r="N42" i="5"/>
  <c r="AK52" i="5"/>
  <c r="AJ53" i="5"/>
  <c r="AI52" i="5"/>
  <c r="AI53" i="5"/>
  <c r="AH44" i="5"/>
  <c r="AH52" i="5"/>
  <c r="AH53" i="5"/>
  <c r="Z30" i="5"/>
  <c r="Z31" i="5"/>
  <c r="Z32" i="5"/>
  <c r="Z33" i="5"/>
  <c r="Z34" i="5"/>
  <c r="Z35" i="5"/>
  <c r="Z36" i="5"/>
  <c r="Z37" i="5"/>
  <c r="Z38" i="5"/>
  <c r="Z39" i="5"/>
  <c r="AR39" i="5" s="1"/>
  <c r="Z40" i="5"/>
  <c r="AR40" i="5" s="1"/>
  <c r="Z29" i="5"/>
  <c r="X30" i="5"/>
  <c r="X31" i="5"/>
  <c r="X32" i="5"/>
  <c r="X33" i="5"/>
  <c r="X34" i="5"/>
  <c r="X35" i="5"/>
  <c r="X36" i="5"/>
  <c r="X37" i="5"/>
  <c r="X38" i="5"/>
  <c r="X39" i="5"/>
  <c r="AQ39" i="5" s="1"/>
  <c r="X40" i="5"/>
  <c r="AQ40" i="5" s="1"/>
  <c r="X29" i="5"/>
  <c r="V30" i="5"/>
  <c r="V31" i="5"/>
  <c r="V32" i="5"/>
  <c r="V33" i="5"/>
  <c r="V34" i="5"/>
  <c r="V35" i="5"/>
  <c r="V36" i="5"/>
  <c r="V37" i="5"/>
  <c r="V38" i="5"/>
  <c r="V39" i="5"/>
  <c r="AP39" i="5" s="1"/>
  <c r="V40" i="5"/>
  <c r="AP40" i="5" s="1"/>
  <c r="V29" i="5"/>
  <c r="AO39" i="5"/>
  <c r="AO40" i="5"/>
  <c r="R30" i="5"/>
  <c r="R31" i="5"/>
  <c r="R32" i="5"/>
  <c r="R33" i="5"/>
  <c r="R34" i="5"/>
  <c r="R35" i="5"/>
  <c r="R36" i="5"/>
  <c r="R37" i="5"/>
  <c r="R38" i="5"/>
  <c r="R39" i="5"/>
  <c r="AN39" i="5" s="1"/>
  <c r="R40" i="5"/>
  <c r="AN40" i="5" s="1"/>
  <c r="R29" i="5"/>
  <c r="P30" i="5"/>
  <c r="P31" i="5"/>
  <c r="P32" i="5"/>
  <c r="P33" i="5"/>
  <c r="P34" i="5"/>
  <c r="P35" i="5"/>
  <c r="P36" i="5"/>
  <c r="P37" i="5"/>
  <c r="P38" i="5"/>
  <c r="P39" i="5"/>
  <c r="AM39" i="5" s="1"/>
  <c r="P40" i="5"/>
  <c r="AM40" i="5" s="1"/>
  <c r="P29" i="5"/>
  <c r="N30" i="5"/>
  <c r="N31" i="5"/>
  <c r="N32" i="5"/>
  <c r="N33" i="5"/>
  <c r="N34" i="5"/>
  <c r="N35" i="5"/>
  <c r="N36" i="5"/>
  <c r="N37" i="5"/>
  <c r="N38" i="5"/>
  <c r="N29" i="5"/>
  <c r="AK39" i="5"/>
  <c r="AK40" i="5"/>
  <c r="AB37" i="5"/>
  <c r="AB33" i="5"/>
  <c r="AB32" i="5"/>
  <c r="AB31" i="5"/>
  <c r="AB35" i="5"/>
  <c r="AB34" i="5"/>
  <c r="AJ33" i="5"/>
  <c r="AJ39" i="5"/>
  <c r="AJ40" i="5"/>
  <c r="AI39" i="5"/>
  <c r="AI40" i="5"/>
  <c r="AH39" i="5"/>
  <c r="AH40" i="5"/>
  <c r="AB72" i="5"/>
  <c r="Z26" i="5"/>
  <c r="Z27" i="5"/>
  <c r="AR27" i="5" s="1"/>
  <c r="Z24" i="5"/>
  <c r="X26" i="5"/>
  <c r="X27" i="5"/>
  <c r="AQ27" i="5" s="1"/>
  <c r="X24" i="5"/>
  <c r="V26" i="5"/>
  <c r="V27" i="5"/>
  <c r="AP27" i="5" s="1"/>
  <c r="V24" i="5"/>
  <c r="AO27" i="5"/>
  <c r="R26" i="5"/>
  <c r="R27" i="5"/>
  <c r="AN27" i="5" s="1"/>
  <c r="R24" i="5"/>
  <c r="P26" i="5"/>
  <c r="P27" i="5"/>
  <c r="AM27" i="5" s="1"/>
  <c r="P24" i="5"/>
  <c r="N26" i="5"/>
  <c r="N24" i="5"/>
  <c r="AK27" i="5"/>
  <c r="AJ27" i="5"/>
  <c r="AI27" i="5"/>
  <c r="AH27" i="5"/>
  <c r="Z6" i="5"/>
  <c r="Z8" i="5"/>
  <c r="Z9" i="5"/>
  <c r="Z10" i="5"/>
  <c r="Z11" i="5"/>
  <c r="Z12" i="5"/>
  <c r="Z13" i="5"/>
  <c r="Z14" i="5"/>
  <c r="Z15" i="5"/>
  <c r="Z16" i="5"/>
  <c r="Z17" i="5"/>
  <c r="Z18" i="5"/>
  <c r="Z19" i="5"/>
  <c r="Z20" i="5"/>
  <c r="AR20" i="5" s="1"/>
  <c r="Z21" i="5"/>
  <c r="AR21" i="5" s="1"/>
  <c r="Z22" i="5"/>
  <c r="AR22" i="5" s="1"/>
  <c r="Z5" i="5"/>
  <c r="X6" i="5"/>
  <c r="X8" i="5"/>
  <c r="X9" i="5"/>
  <c r="X10" i="5"/>
  <c r="X11" i="5"/>
  <c r="X12" i="5"/>
  <c r="X13" i="5"/>
  <c r="X14" i="5"/>
  <c r="X15" i="5"/>
  <c r="X16" i="5"/>
  <c r="X17" i="5"/>
  <c r="X18" i="5"/>
  <c r="X19" i="5"/>
  <c r="X20" i="5"/>
  <c r="AQ20" i="5" s="1"/>
  <c r="X21" i="5"/>
  <c r="AQ21" i="5" s="1"/>
  <c r="X22" i="5"/>
  <c r="AQ22" i="5" s="1"/>
  <c r="X5" i="5"/>
  <c r="R6" i="5"/>
  <c r="R8" i="5"/>
  <c r="R9" i="5"/>
  <c r="R10" i="5"/>
  <c r="R11" i="5"/>
  <c r="R12" i="5"/>
  <c r="R13" i="5"/>
  <c r="R14" i="5"/>
  <c r="R15" i="5"/>
  <c r="R16" i="5"/>
  <c r="R17" i="5"/>
  <c r="R18" i="5"/>
  <c r="R19" i="5"/>
  <c r="R20" i="5"/>
  <c r="AN20" i="5" s="1"/>
  <c r="R21" i="5"/>
  <c r="AN21" i="5" s="1"/>
  <c r="R22" i="5"/>
  <c r="AN22" i="5" s="1"/>
  <c r="R5" i="5"/>
  <c r="P6" i="5"/>
  <c r="P8" i="5"/>
  <c r="P9" i="5"/>
  <c r="P10" i="5"/>
  <c r="P11" i="5"/>
  <c r="P12" i="5"/>
  <c r="P13" i="5"/>
  <c r="P14" i="5"/>
  <c r="P15" i="5"/>
  <c r="P18" i="5"/>
  <c r="P19" i="5"/>
  <c r="P20" i="5"/>
  <c r="AM20" i="5" s="1"/>
  <c r="P21" i="5"/>
  <c r="AM21" i="5" s="1"/>
  <c r="P22" i="5"/>
  <c r="AM22" i="5" s="1"/>
  <c r="P5" i="5"/>
  <c r="N6" i="5"/>
  <c r="N8" i="5"/>
  <c r="N9" i="5"/>
  <c r="N10" i="5"/>
  <c r="N11" i="5"/>
  <c r="N12" i="5"/>
  <c r="N13" i="5"/>
  <c r="N14" i="5"/>
  <c r="N15" i="5"/>
  <c r="N16" i="5"/>
  <c r="N17" i="5"/>
  <c r="N18" i="5"/>
  <c r="N19" i="5"/>
  <c r="N20" i="5"/>
  <c r="N21" i="5"/>
  <c r="N22" i="5"/>
  <c r="N5" i="5"/>
  <c r="AK20" i="5"/>
  <c r="AK21" i="5"/>
  <c r="AK22" i="5"/>
  <c r="AI22" i="5"/>
  <c r="V6" i="5"/>
  <c r="V8" i="5"/>
  <c r="V13" i="5"/>
  <c r="V15" i="5"/>
  <c r="V17" i="5"/>
  <c r="V18" i="5"/>
  <c r="V19" i="5"/>
  <c r="V20" i="5"/>
  <c r="AP20" i="5" s="1"/>
  <c r="V21" i="5"/>
  <c r="AP21" i="5" s="1"/>
  <c r="V22" i="5"/>
  <c r="AP22" i="5" s="1"/>
  <c r="V5" i="5"/>
  <c r="AO20" i="5"/>
  <c r="AO21" i="5"/>
  <c r="AJ20" i="5"/>
  <c r="AJ21" i="5"/>
  <c r="AJ22" i="5"/>
  <c r="AH20" i="5"/>
  <c r="AH21" i="5"/>
  <c r="AH22" i="5"/>
  <c r="D173" i="5"/>
  <c r="D164" i="5"/>
  <c r="D165" i="5"/>
  <c r="AG165" i="5" s="1"/>
  <c r="D166" i="5"/>
  <c r="D168" i="5"/>
  <c r="D169" i="5"/>
  <c r="D170" i="5"/>
  <c r="D171" i="5"/>
  <c r="D163" i="5"/>
  <c r="D161" i="5"/>
  <c r="D147" i="5"/>
  <c r="D148" i="5"/>
  <c r="D149" i="5"/>
  <c r="D150" i="5"/>
  <c r="D151" i="5"/>
  <c r="D152" i="5"/>
  <c r="AG152" i="5" s="1"/>
  <c r="D153" i="5"/>
  <c r="AG153" i="5" s="1"/>
  <c r="D154" i="5"/>
  <c r="D155" i="5"/>
  <c r="D156" i="5"/>
  <c r="D157" i="5"/>
  <c r="D158" i="5"/>
  <c r="D159" i="5"/>
  <c r="D146" i="5"/>
  <c r="D144" i="5"/>
  <c r="D138" i="5"/>
  <c r="D139" i="5"/>
  <c r="D140" i="5"/>
  <c r="D141" i="5"/>
  <c r="D142" i="5"/>
  <c r="D137" i="5"/>
  <c r="D134" i="5"/>
  <c r="D135" i="5"/>
  <c r="D133" i="5"/>
  <c r="D127" i="5"/>
  <c r="D128" i="5"/>
  <c r="D129" i="5"/>
  <c r="D126" i="5"/>
  <c r="D116" i="5"/>
  <c r="D117" i="5"/>
  <c r="D118" i="5"/>
  <c r="D119" i="5"/>
  <c r="D120" i="5"/>
  <c r="AG120" i="5" s="1"/>
  <c r="D121" i="5"/>
  <c r="D122" i="5"/>
  <c r="D123" i="5"/>
  <c r="D124" i="5"/>
  <c r="D115" i="5"/>
  <c r="D107" i="5"/>
  <c r="D108" i="5"/>
  <c r="D109" i="5"/>
  <c r="D110" i="5"/>
  <c r="D111" i="5"/>
  <c r="D112" i="5"/>
  <c r="D113" i="5"/>
  <c r="D106" i="5"/>
  <c r="D87" i="5"/>
  <c r="D88" i="5"/>
  <c r="D89" i="5"/>
  <c r="D90" i="5"/>
  <c r="D91" i="5"/>
  <c r="D92" i="5"/>
  <c r="D86" i="5"/>
  <c r="D76" i="5"/>
  <c r="D77" i="5"/>
  <c r="D78" i="5"/>
  <c r="D79" i="5"/>
  <c r="D80" i="5"/>
  <c r="D82" i="5"/>
  <c r="D83" i="5"/>
  <c r="D84" i="5"/>
  <c r="D74" i="5"/>
  <c r="D72" i="5"/>
  <c r="D68" i="5"/>
  <c r="D67" i="5"/>
  <c r="D65" i="5"/>
  <c r="D64" i="5"/>
  <c r="D57" i="5"/>
  <c r="D58" i="5"/>
  <c r="D59" i="5"/>
  <c r="D56" i="5"/>
  <c r="D43" i="5"/>
  <c r="AG43" i="5" s="1"/>
  <c r="D44" i="5"/>
  <c r="D45" i="5"/>
  <c r="AG45" i="5" s="1"/>
  <c r="D46" i="5"/>
  <c r="D47" i="5"/>
  <c r="D49" i="5"/>
  <c r="D50" i="5"/>
  <c r="D52" i="5"/>
  <c r="AG52" i="5" s="1"/>
  <c r="D53" i="5"/>
  <c r="AG53" i="5" s="1"/>
  <c r="D54" i="5"/>
  <c r="D42" i="5"/>
  <c r="D30" i="5"/>
  <c r="D31" i="5"/>
  <c r="D32" i="5"/>
  <c r="D33" i="5"/>
  <c r="D34" i="5"/>
  <c r="AG34" i="5" s="1"/>
  <c r="D35" i="5"/>
  <c r="D36" i="5"/>
  <c r="D37" i="5"/>
  <c r="D38" i="5"/>
  <c r="D39" i="5"/>
  <c r="AG39" i="5" s="1"/>
  <c r="D40" i="5"/>
  <c r="AG40" i="5" s="1"/>
  <c r="D29" i="5"/>
  <c r="D26" i="5"/>
  <c r="D27" i="5"/>
  <c r="AG27" i="5" s="1"/>
  <c r="D24" i="5"/>
  <c r="D14" i="5"/>
  <c r="D15" i="5"/>
  <c r="D16" i="5"/>
  <c r="D17" i="5"/>
  <c r="D18" i="5"/>
  <c r="D19" i="5"/>
  <c r="D20" i="5"/>
  <c r="AG20" i="5" s="1"/>
  <c r="D21" i="5"/>
  <c r="AG21" i="5" s="1"/>
  <c r="D22" i="5"/>
  <c r="AG22" i="5" s="1"/>
  <c r="D6" i="5"/>
  <c r="D8" i="5"/>
  <c r="D9" i="5"/>
  <c r="D10" i="5"/>
  <c r="D11" i="5"/>
  <c r="D12" i="5"/>
  <c r="D13" i="5"/>
  <c r="D5" i="5"/>
  <c r="AZ4" i="31" l="1"/>
  <c r="AZ6" i="31" s="1"/>
  <c r="AK34" i="5"/>
  <c r="AL45" i="5"/>
  <c r="AN120" i="5"/>
  <c r="AP120" i="5"/>
  <c r="AG44" i="5"/>
  <c r="AI44" i="5"/>
  <c r="AJ44" i="5"/>
  <c r="AG33" i="5"/>
  <c r="AG31" i="5"/>
  <c r="AP44" i="5"/>
  <c r="AQ120" i="5"/>
  <c r="AL44" i="5"/>
  <c r="AR120" i="5"/>
  <c r="AM45" i="5"/>
  <c r="AH45" i="5"/>
  <c r="AH34" i="5"/>
  <c r="AI31" i="5"/>
  <c r="AG32" i="5"/>
  <c r="AG37" i="5"/>
  <c r="AG35" i="5"/>
  <c r="AM44" i="5"/>
  <c r="AR44" i="5"/>
  <c r="AI33" i="5"/>
  <c r="AO45" i="5"/>
  <c r="AP45" i="5"/>
  <c r="AJ32" i="5"/>
  <c r="AI34" i="5"/>
  <c r="AQ44" i="5"/>
  <c r="AM43" i="5"/>
  <c r="AP43" i="5"/>
  <c r="AH43" i="5"/>
  <c r="AI32" i="5"/>
  <c r="AI45" i="5"/>
  <c r="AN44" i="5"/>
  <c r="AQ45" i="5"/>
  <c r="AI43" i="5"/>
  <c r="AQ43" i="5"/>
  <c r="AO44" i="5"/>
  <c r="AJ31" i="5"/>
  <c r="AH37" i="5"/>
  <c r="AH35" i="5"/>
  <c r="AI35" i="5"/>
  <c r="AJ37" i="5"/>
  <c r="AK37" i="5"/>
  <c r="AK35" i="5"/>
  <c r="AJ45" i="5"/>
  <c r="AJ43" i="5"/>
  <c r="AN45" i="5"/>
  <c r="AN43" i="5"/>
  <c r="AK32" i="5"/>
  <c r="AM34" i="5"/>
  <c r="AM32" i="5"/>
  <c r="AN34" i="5"/>
  <c r="AN32" i="5"/>
  <c r="AO34" i="5"/>
  <c r="AO32" i="5"/>
  <c r="AP34" i="5"/>
  <c r="AP32" i="5"/>
  <c r="AQ34" i="5"/>
  <c r="AQ32" i="5"/>
  <c r="AR34" i="5"/>
  <c r="AR32" i="5"/>
  <c r="W103" i="5"/>
  <c r="AP103" i="5"/>
  <c r="AK33" i="5"/>
  <c r="AK31" i="5"/>
  <c r="AM37" i="5"/>
  <c r="AM35" i="5"/>
  <c r="AM33" i="5"/>
  <c r="AM31" i="5"/>
  <c r="AN37" i="5"/>
  <c r="AN35" i="5"/>
  <c r="AN33" i="5"/>
  <c r="AN31" i="5"/>
  <c r="AO35" i="5"/>
  <c r="AO33" i="5"/>
  <c r="AO31" i="5"/>
  <c r="AP37" i="5"/>
  <c r="AP35" i="5"/>
  <c r="AP33" i="5"/>
  <c r="AP31" i="5"/>
  <c r="AQ37" i="5"/>
  <c r="AQ35" i="5"/>
  <c r="AQ33" i="5"/>
  <c r="AQ31" i="5"/>
  <c r="AR37" i="5"/>
  <c r="AR35" i="5"/>
  <c r="AR33" i="5"/>
  <c r="AR31" i="5"/>
  <c r="AR45" i="5"/>
  <c r="AR43" i="5"/>
  <c r="R41" i="5"/>
  <c r="Z4" i="5"/>
  <c r="X4" i="5"/>
  <c r="D174" i="5"/>
  <c r="AA20" i="5"/>
  <c r="AA21" i="5"/>
  <c r="AA22" i="5"/>
  <c r="AA27" i="5"/>
  <c r="AA31" i="5"/>
  <c r="AA32" i="5"/>
  <c r="AA33" i="5"/>
  <c r="AA34" i="5"/>
  <c r="AA35" i="5"/>
  <c r="AA37" i="5"/>
  <c r="AA39" i="5"/>
  <c r="AA40" i="5"/>
  <c r="AA52" i="5"/>
  <c r="AA53" i="5"/>
  <c r="AA103" i="5"/>
  <c r="AA120" i="5"/>
  <c r="AA144" i="5"/>
  <c r="Y20" i="5"/>
  <c r="Y21" i="5"/>
  <c r="Y22" i="5"/>
  <c r="Y27" i="5"/>
  <c r="Y31" i="5"/>
  <c r="Y32" i="5"/>
  <c r="Y33" i="5"/>
  <c r="Y34" i="5"/>
  <c r="Y35" i="5"/>
  <c r="Y37" i="5"/>
  <c r="Y39" i="5"/>
  <c r="Y40" i="5"/>
  <c r="Y52" i="5"/>
  <c r="Y53" i="5"/>
  <c r="Y103" i="5"/>
  <c r="Y120" i="5"/>
  <c r="Y152" i="5"/>
  <c r="Y153" i="5"/>
  <c r="Y144" i="5"/>
  <c r="W152" i="5"/>
  <c r="W153" i="5"/>
  <c r="W144" i="5"/>
  <c r="W120" i="5"/>
  <c r="W52" i="5"/>
  <c r="W53" i="5"/>
  <c r="W31" i="5"/>
  <c r="W32" i="5"/>
  <c r="W33" i="5"/>
  <c r="W34" i="5"/>
  <c r="W35" i="5"/>
  <c r="W37" i="5"/>
  <c r="W39" i="5"/>
  <c r="W40" i="5"/>
  <c r="W27" i="5"/>
  <c r="W20" i="5"/>
  <c r="W21" i="5"/>
  <c r="W22" i="5"/>
  <c r="U152" i="5"/>
  <c r="U153" i="5"/>
  <c r="U144" i="5"/>
  <c r="U52" i="5"/>
  <c r="U53" i="5"/>
  <c r="U31" i="5"/>
  <c r="U32" i="5"/>
  <c r="U33" i="5"/>
  <c r="U34" i="5"/>
  <c r="U35" i="5"/>
  <c r="U39" i="5"/>
  <c r="U40" i="5"/>
  <c r="U27" i="5"/>
  <c r="U20" i="5"/>
  <c r="U21" i="5"/>
  <c r="S20" i="5"/>
  <c r="S21" i="5"/>
  <c r="S22" i="5"/>
  <c r="S27" i="5"/>
  <c r="S31" i="5"/>
  <c r="S32" i="5"/>
  <c r="S33" i="5"/>
  <c r="S34" i="5"/>
  <c r="S35" i="5"/>
  <c r="S37" i="5"/>
  <c r="S39" i="5"/>
  <c r="S40" i="5"/>
  <c r="S52" i="5"/>
  <c r="S53" i="5"/>
  <c r="S103" i="5"/>
  <c r="S120" i="5"/>
  <c r="S152" i="5"/>
  <c r="S153" i="5"/>
  <c r="S144" i="5"/>
  <c r="Q31" i="5"/>
  <c r="Q32" i="5"/>
  <c r="Q33" i="5"/>
  <c r="Q34" i="5"/>
  <c r="Q35" i="5"/>
  <c r="Q37" i="5"/>
  <c r="Q39" i="5"/>
  <c r="Q40" i="5"/>
  <c r="Q52" i="5"/>
  <c r="Q53" i="5"/>
  <c r="Q103" i="5"/>
  <c r="Q120" i="5"/>
  <c r="Q152" i="5"/>
  <c r="Q153" i="5"/>
  <c r="Q144" i="5"/>
  <c r="Q27" i="5"/>
  <c r="Q20" i="5"/>
  <c r="Q21" i="5"/>
  <c r="Q22" i="5"/>
  <c r="O152" i="5"/>
  <c r="O153" i="5"/>
  <c r="O120" i="5"/>
  <c r="O103" i="5"/>
  <c r="O52" i="5"/>
  <c r="O53" i="5"/>
  <c r="O31" i="5"/>
  <c r="O32" i="5"/>
  <c r="O33" i="5"/>
  <c r="O34" i="5"/>
  <c r="O35" i="5"/>
  <c r="O37" i="5"/>
  <c r="O20" i="5"/>
  <c r="O21" i="5"/>
  <c r="O22" i="5"/>
  <c r="O144" i="5"/>
  <c r="M20" i="5"/>
  <c r="M21" i="5"/>
  <c r="M22" i="5"/>
  <c r="M27" i="5"/>
  <c r="M31" i="5"/>
  <c r="M32" i="5"/>
  <c r="M33" i="5"/>
  <c r="M34" i="5"/>
  <c r="M35" i="5"/>
  <c r="M37" i="5"/>
  <c r="M39" i="5"/>
  <c r="M40" i="5"/>
  <c r="M52" i="5"/>
  <c r="M103" i="5"/>
  <c r="M120" i="5"/>
  <c r="M152" i="5"/>
  <c r="M153" i="5"/>
  <c r="M144" i="5"/>
  <c r="K27" i="5"/>
  <c r="K31" i="5"/>
  <c r="K32" i="5"/>
  <c r="K33" i="5"/>
  <c r="K37" i="5"/>
  <c r="K39" i="5"/>
  <c r="K40" i="5"/>
  <c r="K53" i="5"/>
  <c r="K103" i="5"/>
  <c r="K120" i="5"/>
  <c r="K152" i="5"/>
  <c r="K153" i="5"/>
  <c r="K144" i="5"/>
  <c r="K20" i="5"/>
  <c r="K21" i="5"/>
  <c r="K22" i="5"/>
  <c r="I27" i="5"/>
  <c r="I40" i="5"/>
  <c r="I31" i="5"/>
  <c r="I32" i="5"/>
  <c r="I33" i="5"/>
  <c r="I34" i="5"/>
  <c r="I35" i="5"/>
  <c r="I39" i="5"/>
  <c r="I52" i="5"/>
  <c r="I53" i="5"/>
  <c r="I103" i="5"/>
  <c r="I120" i="5"/>
  <c r="I152" i="5"/>
  <c r="I153" i="5"/>
  <c r="I22" i="5"/>
  <c r="G152" i="5"/>
  <c r="G153" i="5"/>
  <c r="G120" i="5"/>
  <c r="G103" i="5"/>
  <c r="G52" i="5"/>
  <c r="G53" i="5"/>
  <c r="G34" i="5"/>
  <c r="G35" i="5"/>
  <c r="G37" i="5"/>
  <c r="G39" i="5"/>
  <c r="G40" i="5"/>
  <c r="G27" i="5"/>
  <c r="G144" i="5"/>
  <c r="G20" i="5"/>
  <c r="G21" i="5"/>
  <c r="G22" i="5"/>
  <c r="E152" i="5"/>
  <c r="E153" i="5"/>
  <c r="E144" i="5"/>
  <c r="E120" i="5"/>
  <c r="E52" i="5"/>
  <c r="E53" i="5"/>
  <c r="E31" i="5"/>
  <c r="E32" i="5"/>
  <c r="E33" i="5"/>
  <c r="E34" i="5"/>
  <c r="E35" i="5"/>
  <c r="E37" i="5"/>
  <c r="E39" i="5"/>
  <c r="E40" i="5"/>
  <c r="E27" i="5"/>
  <c r="E20" i="5"/>
  <c r="E21" i="5"/>
  <c r="E22" i="5"/>
  <c r="U36" i="6"/>
  <c r="U37" i="6"/>
  <c r="AZ8" i="31" l="1"/>
  <c r="C202" i="5"/>
  <c r="AB139" i="5" l="1"/>
  <c r="AZ9" i="31" l="1"/>
  <c r="AZ10" i="31" s="1"/>
  <c r="AB6" i="5"/>
  <c r="AE6" i="5"/>
  <c r="AB8" i="5"/>
  <c r="AE8" i="5"/>
  <c r="AB9" i="5"/>
  <c r="AE9" i="5"/>
  <c r="AB10" i="5"/>
  <c r="AE10" i="5"/>
  <c r="AB11" i="5"/>
  <c r="AE11" i="5"/>
  <c r="AB12" i="5"/>
  <c r="AE12" i="5"/>
  <c r="AB13" i="5"/>
  <c r="AE13" i="5"/>
  <c r="AB5" i="5"/>
  <c r="AE5" i="5"/>
  <c r="AK5" i="5" l="1"/>
  <c r="AO5" i="5"/>
  <c r="AG5" i="5"/>
  <c r="AP5" i="5"/>
  <c r="AI5" i="5"/>
  <c r="AN5" i="5"/>
  <c r="AR5" i="5"/>
  <c r="AM5" i="5"/>
  <c r="AQ5" i="5"/>
  <c r="AO13" i="5"/>
  <c r="AP13" i="5"/>
  <c r="AG13" i="5"/>
  <c r="AI13" i="5"/>
  <c r="AN13" i="5"/>
  <c r="AR13" i="5"/>
  <c r="AK13" i="5"/>
  <c r="AM13" i="5"/>
  <c r="AQ13" i="5"/>
  <c r="AH12" i="5"/>
  <c r="AK12" i="5"/>
  <c r="AM12" i="5"/>
  <c r="AQ12" i="5"/>
  <c r="AI12" i="5"/>
  <c r="AN12" i="5"/>
  <c r="AR12" i="5"/>
  <c r="AJ12" i="5"/>
  <c r="AG12" i="5"/>
  <c r="AO12" i="5"/>
  <c r="AI11" i="5"/>
  <c r="AN11" i="5"/>
  <c r="AR11" i="5"/>
  <c r="AK11" i="5"/>
  <c r="AM11" i="5"/>
  <c r="AQ11" i="5"/>
  <c r="AG11" i="5"/>
  <c r="AH11" i="5"/>
  <c r="AO11" i="5"/>
  <c r="AJ11" i="5"/>
  <c r="AJ10" i="5"/>
  <c r="AG10" i="5"/>
  <c r="AO10" i="5"/>
  <c r="AH10" i="5"/>
  <c r="AK10" i="5"/>
  <c r="AM10" i="5"/>
  <c r="AQ10" i="5"/>
  <c r="AI10" i="5"/>
  <c r="AN10" i="5"/>
  <c r="AR10" i="5"/>
  <c r="AH9" i="5"/>
  <c r="AG9" i="5"/>
  <c r="AO9" i="5"/>
  <c r="AJ9" i="5"/>
  <c r="AI9" i="5"/>
  <c r="AN9" i="5"/>
  <c r="AR9" i="5"/>
  <c r="AK9" i="5"/>
  <c r="AM9" i="5"/>
  <c r="AQ9" i="5"/>
  <c r="AH8" i="5"/>
  <c r="AP8" i="5"/>
  <c r="AK8" i="5"/>
  <c r="AM8" i="5"/>
  <c r="AQ8" i="5"/>
  <c r="AI8" i="5"/>
  <c r="AN8" i="5"/>
  <c r="AR8" i="5"/>
  <c r="AG8" i="5"/>
  <c r="AO8" i="5"/>
  <c r="AG6" i="5"/>
  <c r="AI6" i="5"/>
  <c r="AN6" i="5"/>
  <c r="AR6" i="5"/>
  <c r="AP6" i="5"/>
  <c r="AK6" i="5"/>
  <c r="AM6" i="5"/>
  <c r="AQ6" i="5"/>
  <c r="AO6" i="5"/>
  <c r="AA9" i="5"/>
  <c r="Y9" i="5"/>
  <c r="U9" i="5"/>
  <c r="S9" i="5"/>
  <c r="Q9" i="5"/>
  <c r="AA8" i="5"/>
  <c r="Y8" i="5"/>
  <c r="U8" i="5"/>
  <c r="S8" i="5"/>
  <c r="Q8" i="5"/>
  <c r="W8" i="5"/>
  <c r="AA10" i="5"/>
  <c r="Y10" i="5"/>
  <c r="U10" i="5"/>
  <c r="S10" i="5"/>
  <c r="Q10" i="5"/>
  <c r="W13" i="5"/>
  <c r="AA13" i="5"/>
  <c r="Y13" i="5"/>
  <c r="S13" i="5"/>
  <c r="U13" i="5"/>
  <c r="Q13" i="5"/>
  <c r="AA12" i="5"/>
  <c r="Y12" i="5"/>
  <c r="U12" i="5"/>
  <c r="Q12" i="5"/>
  <c r="S12" i="5"/>
  <c r="S11" i="5"/>
  <c r="AA11" i="5"/>
  <c r="U11" i="5"/>
  <c r="Q11" i="5"/>
  <c r="Y11" i="5"/>
  <c r="W6" i="5"/>
  <c r="AA6" i="5"/>
  <c r="Y6" i="5"/>
  <c r="S6" i="5"/>
  <c r="Q6" i="5"/>
  <c r="U6" i="5"/>
  <c r="M10" i="5"/>
  <c r="O10" i="5"/>
  <c r="M13" i="5"/>
  <c r="O13" i="5"/>
  <c r="M8" i="5"/>
  <c r="O8" i="5"/>
  <c r="M9" i="5"/>
  <c r="O9" i="5"/>
  <c r="M12" i="5"/>
  <c r="O12" i="5"/>
  <c r="M11" i="5"/>
  <c r="O11" i="5"/>
  <c r="M6" i="5"/>
  <c r="O6" i="5"/>
  <c r="I8" i="5"/>
  <c r="I10" i="5"/>
  <c r="K10" i="5"/>
  <c r="I9" i="5"/>
  <c r="K9" i="5"/>
  <c r="I13" i="5"/>
  <c r="I12" i="5"/>
  <c r="K12" i="5"/>
  <c r="I11" i="5"/>
  <c r="K11" i="5"/>
  <c r="I6" i="5"/>
  <c r="E8" i="5"/>
  <c r="G8" i="5"/>
  <c r="E10" i="5"/>
  <c r="G10" i="5"/>
  <c r="E13" i="5"/>
  <c r="E9" i="5"/>
  <c r="G9" i="5"/>
  <c r="E12" i="5"/>
  <c r="G12" i="5"/>
  <c r="E11" i="5"/>
  <c r="G11" i="5"/>
  <c r="E6" i="5"/>
  <c r="AB90" i="5"/>
  <c r="AE90" i="5"/>
  <c r="AB91" i="5"/>
  <c r="AE91" i="5"/>
  <c r="F51" i="19"/>
  <c r="F50" i="19"/>
  <c r="AL91" i="5" l="1"/>
  <c r="AL90" i="5"/>
  <c r="AG90" i="5"/>
  <c r="AH90" i="5"/>
  <c r="AJ90" i="5"/>
  <c r="AN90" i="5"/>
  <c r="AR90" i="5"/>
  <c r="AK90" i="5"/>
  <c r="AO90" i="5"/>
  <c r="AP90" i="5"/>
  <c r="AI90" i="5"/>
  <c r="AQ90" i="5"/>
  <c r="AG91" i="5"/>
  <c r="AI91" i="5"/>
  <c r="AQ91" i="5"/>
  <c r="AH91" i="5"/>
  <c r="AJ91" i="5"/>
  <c r="AN91" i="5"/>
  <c r="AR91" i="5"/>
  <c r="AK91" i="5"/>
  <c r="AO91" i="5"/>
  <c r="AP91" i="5"/>
  <c r="W90" i="5"/>
  <c r="AA90" i="5"/>
  <c r="Y90" i="5"/>
  <c r="S90" i="5"/>
  <c r="U90" i="5"/>
  <c r="W91" i="5"/>
  <c r="U91" i="5"/>
  <c r="AA91" i="5"/>
  <c r="Y91" i="5"/>
  <c r="S91" i="5"/>
  <c r="M91" i="5"/>
  <c r="O91" i="5"/>
  <c r="M90" i="5"/>
  <c r="O90" i="5"/>
  <c r="I91" i="5"/>
  <c r="K91" i="5"/>
  <c r="I90" i="5"/>
  <c r="K90" i="5"/>
  <c r="E90" i="5"/>
  <c r="G90" i="5"/>
  <c r="E91" i="5"/>
  <c r="G91" i="5"/>
  <c r="AE104" i="5"/>
  <c r="AB104" i="5"/>
  <c r="AE102" i="5"/>
  <c r="AB102" i="5"/>
  <c r="U102" i="5" s="1"/>
  <c r="AE101" i="5"/>
  <c r="AB101" i="5"/>
  <c r="AA101" i="5" s="1"/>
  <c r="Q20" i="7"/>
  <c r="Q25" i="7" s="1"/>
  <c r="AB154" i="5"/>
  <c r="AE154" i="5"/>
  <c r="AE129" i="5"/>
  <c r="AB129" i="5"/>
  <c r="AE128" i="5"/>
  <c r="AB128" i="5"/>
  <c r="AB113" i="5"/>
  <c r="AB112" i="5"/>
  <c r="AE100" i="5"/>
  <c r="AB100" i="5"/>
  <c r="AE16" i="5"/>
  <c r="AB16" i="5"/>
  <c r="AE124" i="5"/>
  <c r="AB124" i="5"/>
  <c r="AE46" i="5"/>
  <c r="AL46" i="5" s="1"/>
  <c r="Q46" i="5"/>
  <c r="K46" i="5"/>
  <c r="AE119" i="5"/>
  <c r="AB119" i="5"/>
  <c r="AE118" i="5"/>
  <c r="AB118" i="5"/>
  <c r="AE117" i="5"/>
  <c r="AB117" i="5"/>
  <c r="K135" i="5"/>
  <c r="E135" i="5"/>
  <c r="AE84" i="5"/>
  <c r="AB84" i="5"/>
  <c r="AE50" i="5"/>
  <c r="AL50" i="5" s="1"/>
  <c r="Q50" i="5"/>
  <c r="K50" i="5"/>
  <c r="AE123" i="5"/>
  <c r="AB123" i="5"/>
  <c r="AE122" i="5"/>
  <c r="AB122" i="5"/>
  <c r="AE121" i="5"/>
  <c r="AB121" i="5"/>
  <c r="AE139" i="5"/>
  <c r="AL139" i="5" s="1"/>
  <c r="AA139" i="5"/>
  <c r="Y139" i="5"/>
  <c r="W139" i="5"/>
  <c r="U139" i="5"/>
  <c r="Q139" i="5"/>
  <c r="O139" i="5"/>
  <c r="M139" i="5"/>
  <c r="K139" i="5"/>
  <c r="I139" i="5"/>
  <c r="G139" i="5"/>
  <c r="E139" i="5"/>
  <c r="AE54" i="5"/>
  <c r="AB54" i="5"/>
  <c r="AE79" i="5"/>
  <c r="AB79" i="5"/>
  <c r="AE78" i="5"/>
  <c r="AB78" i="5"/>
  <c r="AA45" i="5"/>
  <c r="Y45" i="5"/>
  <c r="W45" i="5"/>
  <c r="U45" i="5"/>
  <c r="S45" i="5"/>
  <c r="Q45" i="5"/>
  <c r="G45" i="5"/>
  <c r="W44" i="5"/>
  <c r="U44" i="5"/>
  <c r="Q44" i="5"/>
  <c r="G44" i="5"/>
  <c r="G43" i="5"/>
  <c r="AB77" i="5"/>
  <c r="AL77" i="5" s="1"/>
  <c r="AE19" i="5"/>
  <c r="AB19" i="5"/>
  <c r="U165" i="5"/>
  <c r="AE95" i="5"/>
  <c r="AB95" i="5"/>
  <c r="AE173" i="5"/>
  <c r="AB173" i="5"/>
  <c r="Y173" i="5" s="1"/>
  <c r="Y172" i="5" s="1"/>
  <c r="AA173" i="5"/>
  <c r="AA172" i="5" s="1"/>
  <c r="AA102" i="5" l="1"/>
  <c r="M102" i="5"/>
  <c r="S101" i="5"/>
  <c r="Q101" i="5"/>
  <c r="O101" i="5"/>
  <c r="Y101" i="5"/>
  <c r="AL154" i="5"/>
  <c r="AL84" i="5"/>
  <c r="Q102" i="5"/>
  <c r="W19" i="5"/>
  <c r="AI19" i="5"/>
  <c r="AN19" i="5"/>
  <c r="AR19" i="5"/>
  <c r="AK19" i="5"/>
  <c r="AM19" i="5"/>
  <c r="AQ19" i="5"/>
  <c r="AH19" i="5"/>
  <c r="AO19" i="5"/>
  <c r="AG19" i="5"/>
  <c r="AP19" i="5"/>
  <c r="AG77" i="5"/>
  <c r="AJ77" i="5"/>
  <c r="AN77" i="5"/>
  <c r="AR77" i="5"/>
  <c r="AH77" i="5"/>
  <c r="AM77" i="5"/>
  <c r="AQ77" i="5"/>
  <c r="AI77" i="5"/>
  <c r="AP77" i="5"/>
  <c r="AO77" i="5"/>
  <c r="AA78" i="5"/>
  <c r="AG78" i="5"/>
  <c r="AK78" i="5"/>
  <c r="AJ78" i="5"/>
  <c r="AR78" i="5"/>
  <c r="AH78" i="5"/>
  <c r="AM78" i="5"/>
  <c r="AQ78" i="5"/>
  <c r="AI78" i="5"/>
  <c r="AP78" i="5"/>
  <c r="AA79" i="5"/>
  <c r="AI79" i="5"/>
  <c r="AP79" i="5"/>
  <c r="AK79" i="5"/>
  <c r="AO79" i="5"/>
  <c r="AG79" i="5"/>
  <c r="AJ79" i="5"/>
  <c r="AN79" i="5"/>
  <c r="AR79" i="5"/>
  <c r="AH79" i="5"/>
  <c r="AM79" i="5"/>
  <c r="AQ79" i="5"/>
  <c r="AA54" i="5"/>
  <c r="AN54" i="5"/>
  <c r="AM54" i="5"/>
  <c r="AO54" i="5"/>
  <c r="AP54" i="5"/>
  <c r="AG54" i="5"/>
  <c r="AH54" i="5"/>
  <c r="AJ54" i="5"/>
  <c r="AR54" i="5"/>
  <c r="AI54" i="5"/>
  <c r="AK54" i="5"/>
  <c r="AQ54" i="5"/>
  <c r="AJ139" i="5"/>
  <c r="AP139" i="5"/>
  <c r="AI139" i="5"/>
  <c r="AM139" i="5"/>
  <c r="AQ139" i="5"/>
  <c r="AH139" i="5"/>
  <c r="AR139" i="5"/>
  <c r="AK139" i="5"/>
  <c r="AO139" i="5"/>
  <c r="AG139" i="5"/>
  <c r="W84" i="5"/>
  <c r="AI84" i="5"/>
  <c r="AP84" i="5"/>
  <c r="AK84" i="5"/>
  <c r="AG84" i="5"/>
  <c r="AJ84" i="5"/>
  <c r="AN84" i="5"/>
  <c r="AR84" i="5"/>
  <c r="AH84" i="5"/>
  <c r="AM84" i="5"/>
  <c r="AQ84" i="5"/>
  <c r="AJ135" i="5"/>
  <c r="AN135" i="5"/>
  <c r="AR135" i="5"/>
  <c r="AK135" i="5"/>
  <c r="AG135" i="5"/>
  <c r="AH135" i="5"/>
  <c r="AP135" i="5"/>
  <c r="AI135" i="5"/>
  <c r="AM135" i="5"/>
  <c r="AQ135" i="5"/>
  <c r="Q124" i="5"/>
  <c r="AM124" i="5"/>
  <c r="AN124" i="5"/>
  <c r="AP124" i="5"/>
  <c r="AQ124" i="5"/>
  <c r="AR124" i="5"/>
  <c r="AG124" i="5"/>
  <c r="AH124" i="5"/>
  <c r="AI124" i="5"/>
  <c r="AJ124" i="5"/>
  <c r="AK124" i="5"/>
  <c r="AA16" i="5"/>
  <c r="AH16" i="5"/>
  <c r="AK16" i="5"/>
  <c r="AQ16" i="5"/>
  <c r="AI16" i="5"/>
  <c r="AN16" i="5"/>
  <c r="AR16" i="5"/>
  <c r="AJ16" i="5"/>
  <c r="AG16" i="5"/>
  <c r="AO16" i="5"/>
  <c r="Y112" i="5"/>
  <c r="AG112" i="5"/>
  <c r="AI112" i="5"/>
  <c r="AJ112" i="5"/>
  <c r="AK112" i="5"/>
  <c r="AM112" i="5"/>
  <c r="AN112" i="5"/>
  <c r="AO112" i="5"/>
  <c r="AP112" i="5"/>
  <c r="AQ112" i="5"/>
  <c r="AR112" i="5"/>
  <c r="AH112" i="5"/>
  <c r="M113" i="5"/>
  <c r="AI113" i="5"/>
  <c r="AJ113" i="5"/>
  <c r="AK113" i="5"/>
  <c r="AM113" i="5"/>
  <c r="AN113" i="5"/>
  <c r="AO113" i="5"/>
  <c r="AQ113" i="5"/>
  <c r="AR113" i="5"/>
  <c r="AG113" i="5"/>
  <c r="AH113" i="5"/>
  <c r="G128" i="5"/>
  <c r="AI128" i="5"/>
  <c r="AR128" i="5"/>
  <c r="AJ128" i="5"/>
  <c r="AM128" i="5"/>
  <c r="AN128" i="5"/>
  <c r="AQ128" i="5"/>
  <c r="AK128" i="5"/>
  <c r="AO128" i="5"/>
  <c r="AG128" i="5"/>
  <c r="AH128" i="5"/>
  <c r="G154" i="5"/>
  <c r="AI154" i="5"/>
  <c r="AJ154" i="5"/>
  <c r="AK154" i="5"/>
  <c r="AM154" i="5"/>
  <c r="AN154" i="5"/>
  <c r="AO154" i="5"/>
  <c r="AP154" i="5"/>
  <c r="AQ154" i="5"/>
  <c r="AG154" i="5"/>
  <c r="AH154" i="5"/>
  <c r="AN101" i="5"/>
  <c r="AR101" i="5"/>
  <c r="AH101" i="5"/>
  <c r="AI101" i="5"/>
  <c r="AK101" i="5"/>
  <c r="AM101" i="5"/>
  <c r="AO101" i="5"/>
  <c r="AQ101" i="5"/>
  <c r="AJ101" i="5"/>
  <c r="W102" i="5"/>
  <c r="AJ102" i="5"/>
  <c r="AN102" i="5"/>
  <c r="AP102" i="5"/>
  <c r="AR102" i="5"/>
  <c r="AH102" i="5"/>
  <c r="AI102" i="5"/>
  <c r="AK102" i="5"/>
  <c r="AM102" i="5"/>
  <c r="AO102" i="5"/>
  <c r="AQ102" i="5"/>
  <c r="AM104" i="5"/>
  <c r="AO104" i="5"/>
  <c r="AQ104" i="5"/>
  <c r="AJ104" i="5"/>
  <c r="AN104" i="5"/>
  <c r="AR104" i="5"/>
  <c r="AH104" i="5"/>
  <c r="AI104" i="5"/>
  <c r="AK104" i="5"/>
  <c r="AJ173" i="5"/>
  <c r="AJ172" i="5" s="1"/>
  <c r="W173" i="5"/>
  <c r="W172" i="5" s="1"/>
  <c r="AM173" i="5"/>
  <c r="AM172" i="5" s="1"/>
  <c r="AQ173" i="5"/>
  <c r="AQ172" i="5" s="1"/>
  <c r="AP173" i="5"/>
  <c r="AP172" i="5" s="1"/>
  <c r="AK173" i="5"/>
  <c r="AK172" i="5" s="1"/>
  <c r="AO173" i="5"/>
  <c r="AO172" i="5" s="1"/>
  <c r="AN173" i="5"/>
  <c r="AN172" i="5" s="1"/>
  <c r="AR173" i="5"/>
  <c r="AR172" i="5" s="1"/>
  <c r="AG173" i="5"/>
  <c r="AG172" i="5" s="1"/>
  <c r="AH173" i="5"/>
  <c r="AH172" i="5" s="1"/>
  <c r="W95" i="5"/>
  <c r="AH95" i="5"/>
  <c r="AI95" i="5"/>
  <c r="AK95" i="5"/>
  <c r="AM95" i="5"/>
  <c r="AO95" i="5"/>
  <c r="AQ95" i="5"/>
  <c r="AN95" i="5"/>
  <c r="AP95" i="5"/>
  <c r="AR95" i="5"/>
  <c r="Y121" i="5"/>
  <c r="AG121" i="5"/>
  <c r="AH121" i="5"/>
  <c r="AI121" i="5"/>
  <c r="AK121" i="5"/>
  <c r="AM121" i="5"/>
  <c r="AQ121" i="5"/>
  <c r="AJ121" i="5"/>
  <c r="AN121" i="5"/>
  <c r="AP121" i="5"/>
  <c r="AR121" i="5"/>
  <c r="M122" i="5"/>
  <c r="AG122" i="5"/>
  <c r="AH122" i="5"/>
  <c r="AI122" i="5"/>
  <c r="AJ122" i="5"/>
  <c r="AK122" i="5"/>
  <c r="AM122" i="5"/>
  <c r="AN122" i="5"/>
  <c r="AP122" i="5"/>
  <c r="AQ122" i="5"/>
  <c r="AR122" i="5"/>
  <c r="W123" i="5"/>
  <c r="AJ123" i="5"/>
  <c r="AN123" i="5"/>
  <c r="AP123" i="5"/>
  <c r="AR123" i="5"/>
  <c r="AG123" i="5"/>
  <c r="AH123" i="5"/>
  <c r="AI123" i="5"/>
  <c r="AK123" i="5"/>
  <c r="AM123" i="5"/>
  <c r="AQ123" i="5"/>
  <c r="AG50" i="5"/>
  <c r="AM50" i="5"/>
  <c r="AP50" i="5"/>
  <c r="AN50" i="5"/>
  <c r="AI50" i="5"/>
  <c r="AK50" i="5"/>
  <c r="AQ50" i="5"/>
  <c r="AH50" i="5"/>
  <c r="AJ50" i="5"/>
  <c r="AR50" i="5"/>
  <c r="Q117" i="5"/>
  <c r="AG117" i="5"/>
  <c r="AH117" i="5"/>
  <c r="AI117" i="5"/>
  <c r="AK117" i="5"/>
  <c r="AM117" i="5"/>
  <c r="AQ117" i="5"/>
  <c r="AJ117" i="5"/>
  <c r="AN117" i="5"/>
  <c r="AP117" i="5"/>
  <c r="AR117" i="5"/>
  <c r="W118" i="5"/>
  <c r="AM118" i="5"/>
  <c r="AN118" i="5"/>
  <c r="AP118" i="5"/>
  <c r="AQ118" i="5"/>
  <c r="AR118" i="5"/>
  <c r="AG118" i="5"/>
  <c r="AH118" i="5"/>
  <c r="AI118" i="5"/>
  <c r="AJ118" i="5"/>
  <c r="AK118" i="5"/>
  <c r="W119" i="5"/>
  <c r="AJ119" i="5"/>
  <c r="AN119" i="5"/>
  <c r="AP119" i="5"/>
  <c r="AR119" i="5"/>
  <c r="AG119" i="5"/>
  <c r="AH119" i="5"/>
  <c r="AI119" i="5"/>
  <c r="AK119" i="5"/>
  <c r="AM119" i="5"/>
  <c r="AQ119" i="5"/>
  <c r="AN46" i="5"/>
  <c r="AM46" i="5"/>
  <c r="AG46" i="5"/>
  <c r="AH46" i="5"/>
  <c r="AJ46" i="5"/>
  <c r="AR46" i="5"/>
  <c r="AI46" i="5"/>
  <c r="AK46" i="5"/>
  <c r="AP46" i="5"/>
  <c r="AQ46" i="5"/>
  <c r="AM100" i="5"/>
  <c r="AO100" i="5"/>
  <c r="AQ100" i="5"/>
  <c r="AJ100" i="5"/>
  <c r="AN100" i="5"/>
  <c r="AR100" i="5"/>
  <c r="AH100" i="5"/>
  <c r="AI100" i="5"/>
  <c r="AK100" i="5"/>
  <c r="Y129" i="5"/>
  <c r="AI129" i="5"/>
  <c r="AJ129" i="5"/>
  <c r="AK129" i="5"/>
  <c r="AM129" i="5"/>
  <c r="AN129" i="5"/>
  <c r="AO129" i="5"/>
  <c r="AP129" i="5"/>
  <c r="AQ129" i="5"/>
  <c r="AR129" i="5"/>
  <c r="AG129" i="5"/>
  <c r="AH129" i="5"/>
  <c r="M16" i="5"/>
  <c r="M129" i="5"/>
  <c r="U16" i="5"/>
  <c r="U129" i="5"/>
  <c r="E119" i="5"/>
  <c r="Q129" i="5"/>
  <c r="Q118" i="5"/>
  <c r="Q119" i="5"/>
  <c r="I16" i="5"/>
  <c r="Y16" i="5"/>
  <c r="I102" i="5"/>
  <c r="O102" i="5"/>
  <c r="S102" i="5"/>
  <c r="Y102" i="5"/>
  <c r="I121" i="5"/>
  <c r="M123" i="5"/>
  <c r="M112" i="5"/>
  <c r="M128" i="5"/>
  <c r="K117" i="5"/>
  <c r="E128" i="5"/>
  <c r="U128" i="5"/>
  <c r="M121" i="5"/>
  <c r="M118" i="5"/>
  <c r="K119" i="5"/>
  <c r="M124" i="5"/>
  <c r="Q123" i="5"/>
  <c r="I112" i="5"/>
  <c r="I128" i="5"/>
  <c r="Q128" i="5"/>
  <c r="Y128" i="5"/>
  <c r="M19" i="5"/>
  <c r="K78" i="5"/>
  <c r="I54" i="5"/>
  <c r="M173" i="5"/>
  <c r="M172" i="5" s="1"/>
  <c r="Q173" i="5"/>
  <c r="Q172" i="5" s="1"/>
  <c r="U173" i="5"/>
  <c r="U172" i="5" s="1"/>
  <c r="K79" i="5"/>
  <c r="S54" i="5"/>
  <c r="S95" i="5"/>
  <c r="Y78" i="5"/>
  <c r="Y79" i="5"/>
  <c r="M54" i="5"/>
  <c r="Y54" i="5"/>
  <c r="K100" i="5"/>
  <c r="M165" i="5"/>
  <c r="S19" i="5"/>
  <c r="Q84" i="5"/>
  <c r="U100" i="5"/>
  <c r="M95" i="5"/>
  <c r="Y95" i="5"/>
  <c r="Q19" i="5"/>
  <c r="E54" i="5"/>
  <c r="K54" i="5"/>
  <c r="U54" i="5"/>
  <c r="M84" i="5"/>
  <c r="O100" i="5"/>
  <c r="AA100" i="5"/>
  <c r="W129" i="5"/>
  <c r="W135" i="5"/>
  <c r="W154" i="5"/>
  <c r="S154" i="5"/>
  <c r="E173" i="5"/>
  <c r="E172" i="5" s="1"/>
  <c r="K173" i="5"/>
  <c r="K172" i="5" s="1"/>
  <c r="O173" i="5"/>
  <c r="O172" i="5" s="1"/>
  <c r="S173" i="5"/>
  <c r="S172" i="5" s="1"/>
  <c r="W78" i="5"/>
  <c r="W79" i="5"/>
  <c r="O121" i="5"/>
  <c r="E16" i="5"/>
  <c r="K16" i="5"/>
  <c r="O16" i="5"/>
  <c r="S16" i="5"/>
  <c r="K128" i="5"/>
  <c r="O128" i="5"/>
  <c r="S128" i="5"/>
  <c r="AA128" i="5"/>
  <c r="Y154" i="5"/>
  <c r="U154" i="5"/>
  <c r="Q154" i="5"/>
  <c r="I154" i="5"/>
  <c r="S43" i="5"/>
  <c r="Y122" i="5"/>
  <c r="Y50" i="5"/>
  <c r="Q135" i="5"/>
  <c r="Y117" i="5"/>
  <c r="Y46" i="5"/>
  <c r="S113" i="5"/>
  <c r="Y19" i="5"/>
  <c r="Y77" i="5"/>
  <c r="Q95" i="5"/>
  <c r="W165" i="5"/>
  <c r="AA19" i="5"/>
  <c r="AA77" i="5"/>
  <c r="U43" i="5"/>
  <c r="W121" i="5"/>
  <c r="AA122" i="5"/>
  <c r="AA50" i="5"/>
  <c r="S135" i="5"/>
  <c r="AA117" i="5"/>
  <c r="S119" i="5"/>
  <c r="AA46" i="5"/>
  <c r="Q112" i="5"/>
  <c r="U113" i="5"/>
  <c r="AA129" i="5"/>
  <c r="Y165" i="5"/>
  <c r="W43" i="5"/>
  <c r="S112" i="5"/>
  <c r="U95" i="5"/>
  <c r="AA165" i="5"/>
  <c r="Y43" i="5"/>
  <c r="S44" i="5"/>
  <c r="Q54" i="5"/>
  <c r="AA121" i="5"/>
  <c r="S123" i="5"/>
  <c r="S84" i="5"/>
  <c r="Y135" i="5"/>
  <c r="S118" i="5"/>
  <c r="Y119" i="5"/>
  <c r="S124" i="5"/>
  <c r="Q100" i="5"/>
  <c r="U112" i="5"/>
  <c r="Y113" i="5"/>
  <c r="AA43" i="5"/>
  <c r="Q122" i="5"/>
  <c r="AA135" i="5"/>
  <c r="AA119" i="5"/>
  <c r="S100" i="5"/>
  <c r="W112" i="5"/>
  <c r="AA113" i="5"/>
  <c r="S122" i="5"/>
  <c r="W124" i="5"/>
  <c r="S129" i="5"/>
  <c r="AA95" i="5"/>
  <c r="Q165" i="5"/>
  <c r="U19" i="5"/>
  <c r="Y44" i="5"/>
  <c r="W54" i="5"/>
  <c r="Q121" i="5"/>
  <c r="Y123" i="5"/>
  <c r="S50" i="5"/>
  <c r="Y84" i="5"/>
  <c r="S117" i="5"/>
  <c r="Y118" i="5"/>
  <c r="S46" i="5"/>
  <c r="Y124" i="5"/>
  <c r="Y100" i="5"/>
  <c r="AA112" i="5"/>
  <c r="S104" i="5"/>
  <c r="U104" i="5"/>
  <c r="Q104" i="5"/>
  <c r="AA104" i="5"/>
  <c r="Y104" i="5"/>
  <c r="S165" i="5"/>
  <c r="W77" i="5"/>
  <c r="Q43" i="5"/>
  <c r="AA44" i="5"/>
  <c r="S121" i="5"/>
  <c r="W122" i="5"/>
  <c r="AA123" i="5"/>
  <c r="W50" i="5"/>
  <c r="AA84" i="5"/>
  <c r="W117" i="5"/>
  <c r="AA118" i="5"/>
  <c r="W46" i="5"/>
  <c r="AA124" i="5"/>
  <c r="Q113" i="5"/>
  <c r="E121" i="5"/>
  <c r="K45" i="5"/>
  <c r="G78" i="5"/>
  <c r="G79" i="5"/>
  <c r="G173" i="5"/>
  <c r="G172" i="5" s="1"/>
  <c r="O165" i="5"/>
  <c r="O50" i="5"/>
  <c r="O117" i="5"/>
  <c r="O46" i="5"/>
  <c r="O113" i="5"/>
  <c r="M104" i="5"/>
  <c r="O104" i="5"/>
  <c r="O135" i="5"/>
  <c r="O119" i="5"/>
  <c r="O112" i="5"/>
  <c r="O95" i="5"/>
  <c r="O123" i="5"/>
  <c r="O84" i="5"/>
  <c r="O118" i="5"/>
  <c r="O124" i="5"/>
  <c r="O19" i="5"/>
  <c r="O122" i="5"/>
  <c r="O129" i="5"/>
  <c r="O154" i="5"/>
  <c r="M100" i="5"/>
  <c r="M101" i="5"/>
  <c r="M50" i="5"/>
  <c r="M46" i="5"/>
  <c r="I129" i="5"/>
  <c r="K101" i="5"/>
  <c r="K129" i="5"/>
  <c r="M117" i="5"/>
  <c r="G16" i="5"/>
  <c r="E123" i="5"/>
  <c r="M154" i="5"/>
  <c r="G77" i="5"/>
  <c r="G123" i="5"/>
  <c r="G84" i="5"/>
  <c r="G118" i="5"/>
  <c r="G124" i="5"/>
  <c r="M135" i="5"/>
  <c r="M119" i="5"/>
  <c r="G100" i="5"/>
  <c r="E129" i="5"/>
  <c r="G101" i="5"/>
  <c r="I100" i="5"/>
  <c r="G129" i="5"/>
  <c r="K44" i="5"/>
  <c r="K122" i="5"/>
  <c r="K121" i="5"/>
  <c r="K102" i="5"/>
  <c r="K113" i="5"/>
  <c r="K154" i="5"/>
  <c r="K77" i="5"/>
  <c r="K43" i="5"/>
  <c r="K112" i="5"/>
  <c r="I104" i="5"/>
  <c r="K104" i="5"/>
  <c r="K123" i="5"/>
  <c r="K84" i="5"/>
  <c r="K118" i="5"/>
  <c r="K124" i="5"/>
  <c r="I135" i="5"/>
  <c r="I119" i="5"/>
  <c r="I95" i="5"/>
  <c r="I123" i="5"/>
  <c r="I84" i="5"/>
  <c r="I118" i="5"/>
  <c r="I124" i="5"/>
  <c r="I122" i="5"/>
  <c r="I101" i="5"/>
  <c r="I19" i="5"/>
  <c r="I50" i="5"/>
  <c r="I117" i="5"/>
  <c r="I46" i="5"/>
  <c r="I165" i="5"/>
  <c r="I113" i="5"/>
  <c r="G112" i="5"/>
  <c r="G54" i="5"/>
  <c r="G104" i="5"/>
  <c r="E44" i="5"/>
  <c r="G122" i="5"/>
  <c r="E50" i="5"/>
  <c r="E117" i="5"/>
  <c r="E46" i="5"/>
  <c r="G50" i="5"/>
  <c r="G117" i="5"/>
  <c r="G46" i="5"/>
  <c r="G121" i="5"/>
  <c r="G102" i="5"/>
  <c r="G113" i="5"/>
  <c r="G165" i="5"/>
  <c r="G135" i="5"/>
  <c r="G119" i="5"/>
  <c r="E19" i="5"/>
  <c r="E154" i="5"/>
  <c r="E165" i="5"/>
  <c r="E113" i="5"/>
  <c r="E45" i="5"/>
  <c r="E112" i="5"/>
  <c r="E77" i="5"/>
  <c r="E43" i="5"/>
  <c r="E84" i="5"/>
  <c r="E118" i="5"/>
  <c r="E124" i="5"/>
  <c r="E78" i="5"/>
  <c r="E79" i="5"/>
  <c r="E122" i="5"/>
  <c r="V100" i="5"/>
  <c r="AP100" i="5" s="1"/>
  <c r="K27" i="9"/>
  <c r="W100" i="5" l="1"/>
  <c r="AS112" i="5"/>
  <c r="AC129" i="5"/>
  <c r="AC112" i="5"/>
  <c r="K33" i="9"/>
  <c r="K31" i="9"/>
  <c r="K30" i="9"/>
  <c r="K29" i="9"/>
  <c r="K26" i="9"/>
  <c r="K24" i="9"/>
  <c r="K22" i="9"/>
  <c r="Z15" i="23" l="1"/>
  <c r="AB15" i="23" l="1"/>
  <c r="HI154" i="22" l="1"/>
  <c r="HH154" i="22"/>
  <c r="HG154" i="22"/>
  <c r="HF154" i="22"/>
  <c r="HE154" i="22"/>
  <c r="HD154" i="22"/>
  <c r="GW148" i="22"/>
  <c r="HE148" i="22" s="1"/>
  <c r="HE147" i="22"/>
  <c r="HD147" i="22"/>
  <c r="FT109" i="22"/>
  <c r="FS109" i="22"/>
  <c r="FR109" i="22"/>
  <c r="FQ109" i="22"/>
  <c r="FP109" i="22"/>
  <c r="FO109" i="22"/>
  <c r="FL109" i="22"/>
  <c r="FK109" i="22"/>
  <c r="FJ109" i="22"/>
  <c r="FI109" i="22"/>
  <c r="FH109" i="22"/>
  <c r="FG109" i="22"/>
  <c r="FD109" i="22"/>
  <c r="FC109" i="22"/>
  <c r="FB109" i="22"/>
  <c r="FA109" i="22"/>
  <c r="EZ109" i="22"/>
  <c r="EY109" i="22"/>
  <c r="EV109" i="22"/>
  <c r="EU109" i="22"/>
  <c r="ET109" i="22"/>
  <c r="ES109" i="22"/>
  <c r="ER109" i="22"/>
  <c r="EQ109" i="22"/>
  <c r="EN109" i="22"/>
  <c r="EM109" i="22"/>
  <c r="EL109" i="22"/>
  <c r="EK109" i="22"/>
  <c r="EJ109" i="22"/>
  <c r="EI109" i="22"/>
  <c r="EF109" i="22"/>
  <c r="EE109" i="22"/>
  <c r="ED109" i="22"/>
  <c r="EC109" i="22"/>
  <c r="EB109" i="22"/>
  <c r="EA109" i="22"/>
  <c r="DX109" i="22"/>
  <c r="DW109" i="22"/>
  <c r="DV109" i="22"/>
  <c r="DU109" i="22"/>
  <c r="DT109" i="22"/>
  <c r="DS109" i="22"/>
  <c r="DP109" i="22"/>
  <c r="DO109" i="22"/>
  <c r="DN109" i="22"/>
  <c r="DM109" i="22"/>
  <c r="DL109" i="22"/>
  <c r="DK109" i="22"/>
  <c r="DH109" i="22"/>
  <c r="DG109" i="22"/>
  <c r="DF109" i="22"/>
  <c r="DE109" i="22"/>
  <c r="DD109" i="22"/>
  <c r="DC109" i="22"/>
  <c r="CZ109" i="22"/>
  <c r="CY109" i="22"/>
  <c r="CX109" i="22"/>
  <c r="CW109" i="22"/>
  <c r="CV109" i="22"/>
  <c r="CU109" i="22"/>
  <c r="CR109" i="22"/>
  <c r="CQ109" i="22"/>
  <c r="CP109" i="22"/>
  <c r="CO109" i="22"/>
  <c r="CN109" i="22"/>
  <c r="CM109" i="22"/>
  <c r="CJ109" i="22"/>
  <c r="CI109" i="22"/>
  <c r="CH109" i="22"/>
  <c r="CG109" i="22"/>
  <c r="CF109" i="22"/>
  <c r="CE109" i="22"/>
  <c r="CB109" i="22"/>
  <c r="CA109" i="22"/>
  <c r="BZ109" i="22"/>
  <c r="BY109" i="22"/>
  <c r="BX109" i="22"/>
  <c r="BW109" i="22"/>
  <c r="BT109" i="22"/>
  <c r="BS109" i="22"/>
  <c r="BR109" i="22"/>
  <c r="BQ109" i="22"/>
  <c r="BP109" i="22"/>
  <c r="BO109" i="22"/>
  <c r="BL109" i="22"/>
  <c r="BK109" i="22"/>
  <c r="BJ109" i="22"/>
  <c r="BI109" i="22"/>
  <c r="BH109" i="22"/>
  <c r="BG109" i="22"/>
  <c r="BD109" i="22"/>
  <c r="BC109" i="22"/>
  <c r="BB109" i="22"/>
  <c r="BA109" i="22"/>
  <c r="AZ109" i="22"/>
  <c r="AY109" i="22"/>
  <c r="AV109" i="22"/>
  <c r="AU109" i="22"/>
  <c r="AT109" i="22"/>
  <c r="AS109" i="22"/>
  <c r="AR109" i="22"/>
  <c r="AQ109" i="22"/>
  <c r="AN109" i="22"/>
  <c r="AM109" i="22"/>
  <c r="AL109" i="22"/>
  <c r="AK109" i="22"/>
  <c r="AJ109" i="22"/>
  <c r="AI109" i="22"/>
  <c r="AF109" i="22"/>
  <c r="AE109" i="22"/>
  <c r="AD109" i="22"/>
  <c r="AC109" i="22"/>
  <c r="AB109" i="22"/>
  <c r="AA109" i="22"/>
  <c r="X109" i="22"/>
  <c r="W109" i="22"/>
  <c r="V109" i="22"/>
  <c r="U109" i="22"/>
  <c r="T109" i="22"/>
  <c r="S109" i="22"/>
  <c r="P109" i="22"/>
  <c r="O109" i="22"/>
  <c r="N109" i="22"/>
  <c r="M109" i="22"/>
  <c r="L109" i="22"/>
  <c r="K109" i="22"/>
  <c r="H109" i="22"/>
  <c r="G109" i="22"/>
  <c r="F109" i="22"/>
  <c r="E109" i="22"/>
  <c r="D109" i="22"/>
  <c r="C109" i="22"/>
  <c r="GB108" i="22"/>
  <c r="GS130" i="22" s="1"/>
  <c r="FW107" i="22"/>
  <c r="FW106" i="22"/>
  <c r="HA122" i="22" s="1"/>
  <c r="HI122" i="22" s="1"/>
  <c r="FW105" i="22"/>
  <c r="GS126" i="22" s="1"/>
  <c r="FW104" i="22"/>
  <c r="GA103" i="22"/>
  <c r="GS119" i="22" s="1"/>
  <c r="FZ103" i="22"/>
  <c r="FZ109" i="22" s="1"/>
  <c r="FY103" i="22"/>
  <c r="FY109" i="22" s="1"/>
  <c r="FW103" i="22"/>
  <c r="HA140" i="22" s="1"/>
  <c r="FX102" i="22"/>
  <c r="HA148" i="22" s="1"/>
  <c r="FW101" i="22"/>
  <c r="HA124" i="22" s="1"/>
  <c r="HI124" i="22" s="1"/>
  <c r="FW100" i="22"/>
  <c r="GS124" i="22" s="1"/>
  <c r="FD91" i="22"/>
  <c r="FC91" i="22"/>
  <c r="FB91" i="22"/>
  <c r="FA91" i="22"/>
  <c r="EZ91" i="22"/>
  <c r="EY91" i="22"/>
  <c r="EV91" i="22"/>
  <c r="EU91" i="22"/>
  <c r="ET91" i="22"/>
  <c r="ES91" i="22"/>
  <c r="ER91" i="22"/>
  <c r="EQ91" i="22"/>
  <c r="EN91" i="22"/>
  <c r="EM91" i="22"/>
  <c r="EL91" i="22"/>
  <c r="EK91" i="22"/>
  <c r="EJ91" i="22"/>
  <c r="EI91" i="22"/>
  <c r="EF91" i="22"/>
  <c r="EE91" i="22"/>
  <c r="ED91" i="22"/>
  <c r="EC91" i="22"/>
  <c r="EB91" i="22"/>
  <c r="EA91" i="22"/>
  <c r="DX91" i="22"/>
  <c r="DW91" i="22"/>
  <c r="DV91" i="22"/>
  <c r="DU91" i="22"/>
  <c r="DT91" i="22"/>
  <c r="DS91" i="22"/>
  <c r="DP91" i="22"/>
  <c r="DO91" i="22"/>
  <c r="DN91" i="22"/>
  <c r="DM91" i="22"/>
  <c r="DL91" i="22"/>
  <c r="DK91" i="22"/>
  <c r="DH91" i="22"/>
  <c r="DG91" i="22"/>
  <c r="DF91" i="22"/>
  <c r="DE91" i="22"/>
  <c r="DD91" i="22"/>
  <c r="DC91" i="22"/>
  <c r="CZ91" i="22"/>
  <c r="CY91" i="22"/>
  <c r="CX91" i="22"/>
  <c r="CW91" i="22"/>
  <c r="CV91" i="22"/>
  <c r="CU91" i="22"/>
  <c r="CR91" i="22"/>
  <c r="CQ91" i="22"/>
  <c r="CP91" i="22"/>
  <c r="CO91" i="22"/>
  <c r="CN91" i="22"/>
  <c r="CM91" i="22"/>
  <c r="CJ91" i="22"/>
  <c r="CI91" i="22"/>
  <c r="CH91" i="22"/>
  <c r="CG91" i="22"/>
  <c r="CF91" i="22"/>
  <c r="CE91" i="22"/>
  <c r="CB91" i="22"/>
  <c r="CA91" i="22"/>
  <c r="BZ91" i="22"/>
  <c r="BY91" i="22"/>
  <c r="BX91" i="22"/>
  <c r="BW91" i="22"/>
  <c r="BT91" i="22"/>
  <c r="BS91" i="22"/>
  <c r="BR91" i="22"/>
  <c r="BQ91" i="22"/>
  <c r="BP91" i="22"/>
  <c r="BO91" i="22"/>
  <c r="BL91" i="22"/>
  <c r="BK91" i="22"/>
  <c r="BJ91" i="22"/>
  <c r="BI91" i="22"/>
  <c r="BH91" i="22"/>
  <c r="BG91" i="22"/>
  <c r="BD91" i="22"/>
  <c r="BC91" i="22"/>
  <c r="BB91" i="22"/>
  <c r="BA91" i="22"/>
  <c r="AZ91" i="22"/>
  <c r="AY91" i="22"/>
  <c r="AV91" i="22"/>
  <c r="AU91" i="22"/>
  <c r="AT91" i="22"/>
  <c r="AS91" i="22"/>
  <c r="AR91" i="22"/>
  <c r="AQ91" i="22"/>
  <c r="AN91" i="22"/>
  <c r="AM91" i="22"/>
  <c r="AL91" i="22"/>
  <c r="AK91" i="22"/>
  <c r="AJ91" i="22"/>
  <c r="AI91" i="22"/>
  <c r="AF91" i="22"/>
  <c r="AE91" i="22"/>
  <c r="AD91" i="22"/>
  <c r="AC91" i="22"/>
  <c r="AB91" i="22"/>
  <c r="AA91" i="22"/>
  <c r="X91" i="22"/>
  <c r="W91" i="22"/>
  <c r="V91" i="22"/>
  <c r="U91" i="22"/>
  <c r="T91" i="22"/>
  <c r="S91" i="22"/>
  <c r="P91" i="22"/>
  <c r="O91" i="22"/>
  <c r="N91" i="22"/>
  <c r="M91" i="22"/>
  <c r="L91" i="22"/>
  <c r="K91" i="22"/>
  <c r="H91" i="22"/>
  <c r="G91" i="22"/>
  <c r="F91" i="22"/>
  <c r="E91" i="22"/>
  <c r="D91" i="22"/>
  <c r="C91" i="22"/>
  <c r="GB90" i="22"/>
  <c r="GB91" i="22" s="1"/>
  <c r="FW89" i="22"/>
  <c r="GR127" i="22" s="1"/>
  <c r="FW88" i="22"/>
  <c r="GR123" i="22" s="1"/>
  <c r="GZ122" i="22" s="1"/>
  <c r="HH122" i="22" s="1"/>
  <c r="FW87" i="22"/>
  <c r="GR126" i="22" s="1"/>
  <c r="GZ125" i="22" s="1"/>
  <c r="HH125" i="22" s="1"/>
  <c r="FW86" i="22"/>
  <c r="GZ141" i="22" s="1"/>
  <c r="HH141" i="22" s="1"/>
  <c r="GA85" i="22"/>
  <c r="GA91" i="22" s="1"/>
  <c r="FZ85" i="22"/>
  <c r="GZ137" i="22" s="1"/>
  <c r="HH137" i="22" s="1"/>
  <c r="FY85" i="22"/>
  <c r="GR117" i="22" s="1"/>
  <c r="FW85" i="22"/>
  <c r="GR120" i="22" s="1"/>
  <c r="GZ120" i="22" s="1"/>
  <c r="FX84" i="22"/>
  <c r="GZ148" i="22" s="1"/>
  <c r="FW83" i="22"/>
  <c r="GR125" i="22" s="1"/>
  <c r="GZ124" i="22" s="1"/>
  <c r="HH124" i="22" s="1"/>
  <c r="FW82" i="22"/>
  <c r="GR124" i="22" s="1"/>
  <c r="GZ123" i="22" s="1"/>
  <c r="HH123" i="22" s="1"/>
  <c r="FT73" i="22"/>
  <c r="FS73" i="22"/>
  <c r="FR73" i="22"/>
  <c r="FQ73" i="22"/>
  <c r="FP73" i="22"/>
  <c r="FO73" i="22"/>
  <c r="FL73" i="22"/>
  <c r="FK73" i="22"/>
  <c r="FJ73" i="22"/>
  <c r="FI73" i="22"/>
  <c r="FH73" i="22"/>
  <c r="FG73" i="22"/>
  <c r="FD73" i="22"/>
  <c r="FC73" i="22"/>
  <c r="FB73" i="22"/>
  <c r="FA73" i="22"/>
  <c r="EZ73" i="22"/>
  <c r="EY73" i="22"/>
  <c r="EV73" i="22"/>
  <c r="EU73" i="22"/>
  <c r="ET73" i="22"/>
  <c r="ES73" i="22"/>
  <c r="ER73" i="22"/>
  <c r="EQ73" i="22"/>
  <c r="EN73" i="22"/>
  <c r="EM73" i="22"/>
  <c r="EL73" i="22"/>
  <c r="EK73" i="22"/>
  <c r="EJ73" i="22"/>
  <c r="EI73" i="22"/>
  <c r="EF73" i="22"/>
  <c r="EE73" i="22"/>
  <c r="ED73" i="22"/>
  <c r="EC73" i="22"/>
  <c r="EB73" i="22"/>
  <c r="EA73" i="22"/>
  <c r="DX73" i="22"/>
  <c r="DW73" i="22"/>
  <c r="DV73" i="22"/>
  <c r="DU73" i="22"/>
  <c r="DT73" i="22"/>
  <c r="DS73" i="22"/>
  <c r="DP73" i="22"/>
  <c r="DO73" i="22"/>
  <c r="DN73" i="22"/>
  <c r="DM73" i="22"/>
  <c r="DL73" i="22"/>
  <c r="DK73" i="22"/>
  <c r="DH73" i="22"/>
  <c r="DG73" i="22"/>
  <c r="DF73" i="22"/>
  <c r="DE73" i="22"/>
  <c r="DD73" i="22"/>
  <c r="DC73" i="22"/>
  <c r="CZ73" i="22"/>
  <c r="CY73" i="22"/>
  <c r="CX73" i="22"/>
  <c r="CW73" i="22"/>
  <c r="CV73" i="22"/>
  <c r="CU73" i="22"/>
  <c r="CR73" i="22"/>
  <c r="CQ73" i="22"/>
  <c r="CP73" i="22"/>
  <c r="CO73" i="22"/>
  <c r="CN73" i="22"/>
  <c r="CM73" i="22"/>
  <c r="CJ73" i="22"/>
  <c r="CI73" i="22"/>
  <c r="CH73" i="22"/>
  <c r="CG73" i="22"/>
  <c r="CF73" i="22"/>
  <c r="CE73" i="22"/>
  <c r="CB73" i="22"/>
  <c r="CA73" i="22"/>
  <c r="BZ73" i="22"/>
  <c r="BY73" i="22"/>
  <c r="BX73" i="22"/>
  <c r="BW73" i="22"/>
  <c r="BT73" i="22"/>
  <c r="BS73" i="22"/>
  <c r="BR73" i="22"/>
  <c r="BQ73" i="22"/>
  <c r="BP73" i="22"/>
  <c r="BO73" i="22"/>
  <c r="BL73" i="22"/>
  <c r="BK73" i="22"/>
  <c r="BJ73" i="22"/>
  <c r="BI73" i="22"/>
  <c r="BH73" i="22"/>
  <c r="BG73" i="22"/>
  <c r="BD73" i="22"/>
  <c r="BC73" i="22"/>
  <c r="BB73" i="22"/>
  <c r="BA73" i="22"/>
  <c r="AZ73" i="22"/>
  <c r="AY73" i="22"/>
  <c r="AV73" i="22"/>
  <c r="AU73" i="22"/>
  <c r="AT73" i="22"/>
  <c r="AS73" i="22"/>
  <c r="AR73" i="22"/>
  <c r="AQ73" i="22"/>
  <c r="AN73" i="22"/>
  <c r="AM73" i="22"/>
  <c r="AL73" i="22"/>
  <c r="AK73" i="22"/>
  <c r="AJ73" i="22"/>
  <c r="AI73" i="22"/>
  <c r="AF73" i="22"/>
  <c r="AE73" i="22"/>
  <c r="AD73" i="22"/>
  <c r="AC73" i="22"/>
  <c r="AB73" i="22"/>
  <c r="AA73" i="22"/>
  <c r="X73" i="22"/>
  <c r="W73" i="22"/>
  <c r="V73" i="22"/>
  <c r="U73" i="22"/>
  <c r="T73" i="22"/>
  <c r="S73" i="22"/>
  <c r="P73" i="22"/>
  <c r="O73" i="22"/>
  <c r="N73" i="22"/>
  <c r="M73" i="22"/>
  <c r="L73" i="22"/>
  <c r="K73" i="22"/>
  <c r="H73" i="22"/>
  <c r="G73" i="22"/>
  <c r="F73" i="22"/>
  <c r="E73" i="22"/>
  <c r="D73" i="22"/>
  <c r="C73" i="22"/>
  <c r="GB72" i="22"/>
  <c r="GB73" i="22" s="1"/>
  <c r="FW71" i="22"/>
  <c r="GQ127" i="22" s="1"/>
  <c r="FW70" i="22"/>
  <c r="GY142" i="22" s="1"/>
  <c r="HG142" i="22" s="1"/>
  <c r="FW69" i="22"/>
  <c r="GY146" i="22" s="1"/>
  <c r="HG146" i="22" s="1"/>
  <c r="FW68" i="22"/>
  <c r="GQ122" i="22" s="1"/>
  <c r="GA67" i="22"/>
  <c r="GY138" i="22" s="1"/>
  <c r="HG138" i="22" s="1"/>
  <c r="FZ67" i="22"/>
  <c r="GY137" i="22" s="1"/>
  <c r="HG137" i="22" s="1"/>
  <c r="FY67" i="22"/>
  <c r="GY136" i="22" s="1"/>
  <c r="FW67" i="22"/>
  <c r="GY140" i="22" s="1"/>
  <c r="FX66" i="22"/>
  <c r="GY148" i="22" s="1"/>
  <c r="FW65" i="22"/>
  <c r="GY144" i="22" s="1"/>
  <c r="HG144" i="22" s="1"/>
  <c r="FW64" i="22"/>
  <c r="GQ124" i="22" s="1"/>
  <c r="GY123" i="22" s="1"/>
  <c r="HG123" i="22" s="1"/>
  <c r="FT56" i="22"/>
  <c r="FS56" i="22"/>
  <c r="FR56" i="22"/>
  <c r="FQ56" i="22"/>
  <c r="FP56" i="22"/>
  <c r="FO56" i="22"/>
  <c r="FL56" i="22"/>
  <c r="FK56" i="22"/>
  <c r="FJ56" i="22"/>
  <c r="FI56" i="22"/>
  <c r="FH56" i="22"/>
  <c r="FG56" i="22"/>
  <c r="FD56" i="22"/>
  <c r="FC56" i="22"/>
  <c r="FB56" i="22"/>
  <c r="FA56" i="22"/>
  <c r="EZ56" i="22"/>
  <c r="EY56" i="22"/>
  <c r="EV56" i="22"/>
  <c r="EU56" i="22"/>
  <c r="ET56" i="22"/>
  <c r="ES56" i="22"/>
  <c r="ER56" i="22"/>
  <c r="EQ56" i="22"/>
  <c r="EN56" i="22"/>
  <c r="EM56" i="22"/>
  <c r="EL56" i="22"/>
  <c r="EK56" i="22"/>
  <c r="EJ56" i="22"/>
  <c r="EI56" i="22"/>
  <c r="EF56" i="22"/>
  <c r="EE56" i="22"/>
  <c r="ED56" i="22"/>
  <c r="EC56" i="22"/>
  <c r="EB56" i="22"/>
  <c r="EA56" i="22"/>
  <c r="DX56" i="22"/>
  <c r="DW56" i="22"/>
  <c r="DV56" i="22"/>
  <c r="DU56" i="22"/>
  <c r="DT56" i="22"/>
  <c r="DS56" i="22"/>
  <c r="DP56" i="22"/>
  <c r="DO56" i="22"/>
  <c r="DN56" i="22"/>
  <c r="DM56" i="22"/>
  <c r="DL56" i="22"/>
  <c r="DK56" i="22"/>
  <c r="DH56" i="22"/>
  <c r="DG56" i="22"/>
  <c r="DF56" i="22"/>
  <c r="DE56" i="22"/>
  <c r="DD56" i="22"/>
  <c r="DC56" i="22"/>
  <c r="CZ56" i="22"/>
  <c r="CY56" i="22"/>
  <c r="CX56" i="22"/>
  <c r="CW56" i="22"/>
  <c r="CV56" i="22"/>
  <c r="CU56" i="22"/>
  <c r="CR56" i="22"/>
  <c r="CQ56" i="22"/>
  <c r="CP56" i="22"/>
  <c r="CO56" i="22"/>
  <c r="CN56" i="22"/>
  <c r="CM56" i="22"/>
  <c r="CJ56" i="22"/>
  <c r="CI56" i="22"/>
  <c r="CH56" i="22"/>
  <c r="CG56" i="22"/>
  <c r="CF56" i="22"/>
  <c r="CE56" i="22"/>
  <c r="CB56" i="22"/>
  <c r="CA56" i="22"/>
  <c r="BZ56" i="22"/>
  <c r="BY56" i="22"/>
  <c r="BX56" i="22"/>
  <c r="BW56" i="22"/>
  <c r="BT56" i="22"/>
  <c r="BS56" i="22"/>
  <c r="BR56" i="22"/>
  <c r="BQ56" i="22"/>
  <c r="BP56" i="22"/>
  <c r="BO56" i="22"/>
  <c r="BL56" i="22"/>
  <c r="BK56" i="22"/>
  <c r="BJ56" i="22"/>
  <c r="BI56" i="22"/>
  <c r="BH56" i="22"/>
  <c r="BG56" i="22"/>
  <c r="BD56" i="22"/>
  <c r="BC56" i="22"/>
  <c r="BB56" i="22"/>
  <c r="BA56" i="22"/>
  <c r="AZ56" i="22"/>
  <c r="AY56" i="22"/>
  <c r="AV56" i="22"/>
  <c r="AU56" i="22"/>
  <c r="AT56" i="22"/>
  <c r="AS56" i="22"/>
  <c r="AR56" i="22"/>
  <c r="AQ56" i="22"/>
  <c r="AN56" i="22"/>
  <c r="AM56" i="22"/>
  <c r="AL56" i="22"/>
  <c r="AK56" i="22"/>
  <c r="AJ56" i="22"/>
  <c r="AI56" i="22"/>
  <c r="AF56" i="22"/>
  <c r="AE56" i="22"/>
  <c r="AD56" i="22"/>
  <c r="AC56" i="22"/>
  <c r="AB56" i="22"/>
  <c r="AA56" i="22"/>
  <c r="X56" i="22"/>
  <c r="W56" i="22"/>
  <c r="V56" i="22"/>
  <c r="U56" i="22"/>
  <c r="T56" i="22"/>
  <c r="S56" i="22"/>
  <c r="P56" i="22"/>
  <c r="O56" i="22"/>
  <c r="N56" i="22"/>
  <c r="M56" i="22"/>
  <c r="L56" i="22"/>
  <c r="K56" i="22"/>
  <c r="H56" i="22"/>
  <c r="G56" i="22"/>
  <c r="F56" i="22"/>
  <c r="E56" i="22"/>
  <c r="D56" i="22"/>
  <c r="C56" i="22"/>
  <c r="GB55" i="22"/>
  <c r="GP130" i="22" s="1"/>
  <c r="GX129" i="22" s="1"/>
  <c r="HF129" i="22" s="1"/>
  <c r="FW54" i="22"/>
  <c r="GP127" i="22" s="1"/>
  <c r="FW53" i="22"/>
  <c r="GX142" i="22" s="1"/>
  <c r="HF142" i="22" s="1"/>
  <c r="FW52" i="22"/>
  <c r="GX146" i="22" s="1"/>
  <c r="HF146" i="22" s="1"/>
  <c r="FW51" i="22"/>
  <c r="GP122" i="22" s="1"/>
  <c r="GA50" i="22"/>
  <c r="GA56" i="22" s="1"/>
  <c r="FZ50" i="22"/>
  <c r="GP118" i="22" s="1"/>
  <c r="GX117" i="22" s="1"/>
  <c r="HF117" i="22" s="1"/>
  <c r="FY50" i="22"/>
  <c r="GX136" i="22" s="1"/>
  <c r="FW50" i="22"/>
  <c r="GX140" i="22" s="1"/>
  <c r="FX49" i="22"/>
  <c r="GX148" i="22" s="1"/>
  <c r="FW48" i="22"/>
  <c r="GP125" i="22" s="1"/>
  <c r="GX124" i="22" s="1"/>
  <c r="HF124" i="22" s="1"/>
  <c r="FW47" i="22"/>
  <c r="GP124" i="22" s="1"/>
  <c r="GX123" i="22" s="1"/>
  <c r="HF123" i="22" s="1"/>
  <c r="P36" i="22"/>
  <c r="O36" i="22"/>
  <c r="N36" i="22"/>
  <c r="M36" i="22"/>
  <c r="L36" i="22"/>
  <c r="K36" i="22"/>
  <c r="H36" i="22"/>
  <c r="G36" i="22"/>
  <c r="F36" i="22"/>
  <c r="E36" i="22"/>
  <c r="D36" i="22"/>
  <c r="C36" i="22"/>
  <c r="GB35" i="22"/>
  <c r="GW149" i="22" s="1"/>
  <c r="HE149" i="22" s="1"/>
  <c r="FW34" i="22"/>
  <c r="GW126" i="22" s="1"/>
  <c r="HE126" i="22" s="1"/>
  <c r="FW33" i="22"/>
  <c r="GW142" i="22" s="1"/>
  <c r="HE142" i="22" s="1"/>
  <c r="FW32" i="22"/>
  <c r="GW146" i="22" s="1"/>
  <c r="HE146" i="22" s="1"/>
  <c r="FW31" i="22"/>
  <c r="GO122" i="22" s="1"/>
  <c r="GA30" i="22"/>
  <c r="GA36" i="22" s="1"/>
  <c r="FZ30" i="22"/>
  <c r="GO118" i="22" s="1"/>
  <c r="GW117" i="22" s="1"/>
  <c r="HE117" i="22" s="1"/>
  <c r="FY30" i="22"/>
  <c r="GW136" i="22" s="1"/>
  <c r="FW30" i="22"/>
  <c r="GW140" i="22" s="1"/>
  <c r="FX29" i="22"/>
  <c r="GO129" i="22" s="1"/>
  <c r="FW28" i="22"/>
  <c r="GO125" i="22" s="1"/>
  <c r="GW124" i="22" s="1"/>
  <c r="HE124" i="22" s="1"/>
  <c r="FW27" i="22"/>
  <c r="GO124" i="22" s="1"/>
  <c r="GW123" i="22" s="1"/>
  <c r="HE123" i="22" s="1"/>
  <c r="AF19" i="22"/>
  <c r="AE19" i="22"/>
  <c r="AD19" i="22"/>
  <c r="AC19" i="22"/>
  <c r="AB19" i="22"/>
  <c r="AA19" i="22"/>
  <c r="X19" i="22"/>
  <c r="W19" i="22"/>
  <c r="V19" i="22"/>
  <c r="U19" i="22"/>
  <c r="T19" i="22"/>
  <c r="S19" i="22"/>
  <c r="P19" i="22"/>
  <c r="O19" i="22"/>
  <c r="N19" i="22"/>
  <c r="M19" i="22"/>
  <c r="L19" i="22"/>
  <c r="K19" i="22"/>
  <c r="H19" i="22"/>
  <c r="G19" i="22"/>
  <c r="F19" i="22"/>
  <c r="E19" i="22"/>
  <c r="D19" i="22"/>
  <c r="C19" i="22"/>
  <c r="GB18" i="22"/>
  <c r="GV149" i="22" s="1"/>
  <c r="HD149" i="22" s="1"/>
  <c r="FW17" i="22"/>
  <c r="GV126" i="22" s="1"/>
  <c r="HD126" i="22" s="1"/>
  <c r="FW16" i="22"/>
  <c r="GN123" i="22" s="1"/>
  <c r="GV122" i="22" s="1"/>
  <c r="HD122" i="22" s="1"/>
  <c r="FW15" i="22"/>
  <c r="GV146" i="22" s="1"/>
  <c r="HD146" i="22" s="1"/>
  <c r="FW14" i="22"/>
  <c r="GN122" i="22" s="1"/>
  <c r="GA13" i="22"/>
  <c r="GV138" i="22" s="1"/>
  <c r="HD138" i="22" s="1"/>
  <c r="FZ13" i="22"/>
  <c r="GN118" i="22" s="1"/>
  <c r="GV117" i="22" s="1"/>
  <c r="HD117" i="22" s="1"/>
  <c r="FY13" i="22"/>
  <c r="GV136" i="22" s="1"/>
  <c r="FW13" i="22"/>
  <c r="GV140" i="22" s="1"/>
  <c r="FX12" i="22"/>
  <c r="GN129" i="22" s="1"/>
  <c r="FW11" i="22"/>
  <c r="GN125" i="22" s="1"/>
  <c r="GV124" i="22" s="1"/>
  <c r="HD124" i="22" s="1"/>
  <c r="FW10" i="22"/>
  <c r="GN124" i="22" s="1"/>
  <c r="GV123" i="22" s="1"/>
  <c r="HD123" i="22" s="1"/>
  <c r="GB19" i="22" l="1"/>
  <c r="FG57" i="22"/>
  <c r="BO74" i="22"/>
  <c r="CU74" i="22"/>
  <c r="EA74" i="22"/>
  <c r="FG74" i="22"/>
  <c r="CU92" i="22"/>
  <c r="EA92" i="22"/>
  <c r="DK110" i="22"/>
  <c r="K20" i="22"/>
  <c r="DS92" i="22"/>
  <c r="AA57" i="22"/>
  <c r="BG57" i="22"/>
  <c r="CM57" i="22"/>
  <c r="EY57" i="22"/>
  <c r="AA74" i="22"/>
  <c r="BG74" i="22"/>
  <c r="CM74" i="22"/>
  <c r="DS74" i="22"/>
  <c r="EY74" i="22"/>
  <c r="AA92" i="22"/>
  <c r="BG92" i="22"/>
  <c r="CM92" i="22"/>
  <c r="EY92" i="22"/>
  <c r="FW126" i="22"/>
  <c r="K110" i="22"/>
  <c r="AQ110" i="22"/>
  <c r="BW110" i="22"/>
  <c r="DC110" i="22"/>
  <c r="EI110" i="22"/>
  <c r="FO110" i="22"/>
  <c r="FW19" i="22"/>
  <c r="FZ36" i="22"/>
  <c r="DS57" i="22"/>
  <c r="CE57" i="22"/>
  <c r="DK57" i="22"/>
  <c r="S74" i="22"/>
  <c r="AY74" i="22"/>
  <c r="CE74" i="22"/>
  <c r="EQ74" i="22"/>
  <c r="S92" i="22"/>
  <c r="AY92" i="22"/>
  <c r="CE92" i="22"/>
  <c r="DK92" i="22"/>
  <c r="EQ92" i="22"/>
  <c r="C110" i="22"/>
  <c r="AI110" i="22"/>
  <c r="BO110" i="22"/>
  <c r="CU110" i="22"/>
  <c r="EA110" i="22"/>
  <c r="FG110" i="22"/>
  <c r="S57" i="22"/>
  <c r="AY57" i="22"/>
  <c r="EQ57" i="22"/>
  <c r="DK74" i="22"/>
  <c r="FY19" i="22"/>
  <c r="K37" i="22"/>
  <c r="FX19" i="22"/>
  <c r="FZ19" i="22"/>
  <c r="AA20" i="22"/>
  <c r="K57" i="22"/>
  <c r="AQ57" i="22"/>
  <c r="BW57" i="22"/>
  <c r="DC57" i="22"/>
  <c r="EI57" i="22"/>
  <c r="FO57" i="22"/>
  <c r="K74" i="22"/>
  <c r="AQ74" i="22"/>
  <c r="BW74" i="22"/>
  <c r="DC74" i="22"/>
  <c r="EI74" i="22"/>
  <c r="FO74" i="22"/>
  <c r="K92" i="22"/>
  <c r="AQ92" i="22"/>
  <c r="BW92" i="22"/>
  <c r="DC92" i="22"/>
  <c r="EI92" i="22"/>
  <c r="AA110" i="22"/>
  <c r="BG110" i="22"/>
  <c r="CM110" i="22"/>
  <c r="DS110" i="22"/>
  <c r="EY110" i="22"/>
  <c r="GA19" i="22"/>
  <c r="S20" i="22"/>
  <c r="C37" i="22"/>
  <c r="FW123" i="22"/>
  <c r="C57" i="22"/>
  <c r="AI57" i="22"/>
  <c r="BO57" i="22"/>
  <c r="CU57" i="22"/>
  <c r="EA57" i="22"/>
  <c r="C74" i="22"/>
  <c r="AI74" i="22"/>
  <c r="C92" i="22"/>
  <c r="AI92" i="22"/>
  <c r="BO92" i="22"/>
  <c r="S110" i="22"/>
  <c r="AY110" i="22"/>
  <c r="CE110" i="22"/>
  <c r="EQ110" i="22"/>
  <c r="C20" i="22"/>
  <c r="HH148" i="22"/>
  <c r="GZ147" i="22"/>
  <c r="HH147" i="22" s="1"/>
  <c r="GN128" i="22"/>
  <c r="GV127" i="22" s="1"/>
  <c r="HD127" i="22" s="1"/>
  <c r="GV128" i="22"/>
  <c r="HD128" i="22" s="1"/>
  <c r="HG136" i="22"/>
  <c r="GZ116" i="22"/>
  <c r="HD140" i="22"/>
  <c r="HI148" i="22"/>
  <c r="HA147" i="22"/>
  <c r="HI147" i="22" s="1"/>
  <c r="HD136" i="22"/>
  <c r="GX121" i="22"/>
  <c r="HF121" i="22" s="1"/>
  <c r="GY121" i="22"/>
  <c r="HG121" i="22" s="1"/>
  <c r="HI140" i="22"/>
  <c r="GW121" i="22"/>
  <c r="HE121" i="22" s="1"/>
  <c r="GV121" i="22"/>
  <c r="HD121" i="22" s="1"/>
  <c r="GO128" i="22"/>
  <c r="GW127" i="22" s="1"/>
  <c r="HE127" i="22" s="1"/>
  <c r="GW128" i="22"/>
  <c r="HE128" i="22" s="1"/>
  <c r="HG148" i="22"/>
  <c r="GY147" i="22"/>
  <c r="HG147" i="22" s="1"/>
  <c r="HE140" i="22"/>
  <c r="HE136" i="22"/>
  <c r="HF140" i="22"/>
  <c r="HG140" i="22"/>
  <c r="HH120" i="22"/>
  <c r="HF148" i="22"/>
  <c r="GX147" i="22"/>
  <c r="HF147" i="22" s="1"/>
  <c r="HF136" i="22"/>
  <c r="GB56" i="22"/>
  <c r="FW73" i="22"/>
  <c r="GA109" i="22"/>
  <c r="GS117" i="22"/>
  <c r="GQ118" i="22"/>
  <c r="GY117" i="22" s="1"/>
  <c r="HG117" i="22" s="1"/>
  <c r="HA118" i="22"/>
  <c r="HI118" i="22" s="1"/>
  <c r="GN119" i="22"/>
  <c r="GV118" i="22" s="1"/>
  <c r="HD118" i="22" s="1"/>
  <c r="GS120" i="22"/>
  <c r="HA120" i="22" s="1"/>
  <c r="FW122" i="22"/>
  <c r="GR122" i="22"/>
  <c r="GO123" i="22"/>
  <c r="GW122" i="22" s="1"/>
  <c r="HE122" i="22" s="1"/>
  <c r="GQ125" i="22"/>
  <c r="GY124" i="22" s="1"/>
  <c r="HG124" i="22" s="1"/>
  <c r="HA125" i="22"/>
  <c r="HI125" i="22" s="1"/>
  <c r="GN126" i="22"/>
  <c r="GV125" i="22" s="1"/>
  <c r="HD125" i="22" s="1"/>
  <c r="GX126" i="22"/>
  <c r="HF126" i="22" s="1"/>
  <c r="GS127" i="22"/>
  <c r="GP129" i="22"/>
  <c r="GN130" i="22"/>
  <c r="GV129" i="22" s="1"/>
  <c r="HD129" i="22" s="1"/>
  <c r="GZ136" i="22"/>
  <c r="GV137" i="22"/>
  <c r="HD137" i="22" s="1"/>
  <c r="GZ138" i="22"/>
  <c r="HH138" i="22" s="1"/>
  <c r="GZ140" i="22"/>
  <c r="GV141" i="22"/>
  <c r="HD141" i="22" s="1"/>
  <c r="GZ142" i="22"/>
  <c r="HH142" i="22" s="1"/>
  <c r="GV143" i="22"/>
  <c r="HD143" i="22" s="1"/>
  <c r="GZ144" i="22"/>
  <c r="HH144" i="22" s="1"/>
  <c r="GV145" i="22"/>
  <c r="HD145" i="22" s="1"/>
  <c r="GZ146" i="22"/>
  <c r="HH146" i="22" s="1"/>
  <c r="GX149" i="22"/>
  <c r="HF149" i="22" s="1"/>
  <c r="FX73" i="22"/>
  <c r="FW91" i="22"/>
  <c r="GB109" i="22"/>
  <c r="GR118" i="22"/>
  <c r="GZ117" i="22" s="1"/>
  <c r="HH117" i="22" s="1"/>
  <c r="GO119" i="22"/>
  <c r="GW118" i="22" s="1"/>
  <c r="HE118" i="22" s="1"/>
  <c r="HA121" i="22"/>
  <c r="HI121" i="22" s="1"/>
  <c r="FY122" i="22"/>
  <c r="FY128" i="22" s="1"/>
  <c r="GS122" i="22"/>
  <c r="GP123" i="22"/>
  <c r="GX122" i="22" s="1"/>
  <c r="HF122" i="22" s="1"/>
  <c r="FW124" i="22"/>
  <c r="GO126" i="22"/>
  <c r="GW125" i="22" s="1"/>
  <c r="HE125" i="22" s="1"/>
  <c r="GY126" i="22"/>
  <c r="HG126" i="22" s="1"/>
  <c r="GQ129" i="22"/>
  <c r="HA129" i="22"/>
  <c r="HI129" i="22" s="1"/>
  <c r="GO130" i="22"/>
  <c r="GW129" i="22" s="1"/>
  <c r="HE129" i="22" s="1"/>
  <c r="HA136" i="22"/>
  <c r="GW137" i="22"/>
  <c r="HE137" i="22" s="1"/>
  <c r="HA138" i="22"/>
  <c r="HI138" i="22" s="1"/>
  <c r="GW141" i="22"/>
  <c r="HE141" i="22" s="1"/>
  <c r="HA142" i="22"/>
  <c r="HI142" i="22" s="1"/>
  <c r="GW143" i="22"/>
  <c r="HE143" i="22" s="1"/>
  <c r="HA144" i="22"/>
  <c r="HI144" i="22" s="1"/>
  <c r="GW145" i="22"/>
  <c r="HE145" i="22" s="1"/>
  <c r="HA146" i="22"/>
  <c r="HI146" i="22" s="1"/>
  <c r="GY149" i="22"/>
  <c r="HG149" i="22" s="1"/>
  <c r="FW36" i="22"/>
  <c r="FY73" i="22"/>
  <c r="FX91" i="22"/>
  <c r="GS118" i="22"/>
  <c r="GP119" i="22"/>
  <c r="GX118" i="22" s="1"/>
  <c r="HF118" i="22" s="1"/>
  <c r="FW120" i="22"/>
  <c r="FZ122" i="22"/>
  <c r="FZ128" i="22" s="1"/>
  <c r="GQ123" i="22"/>
  <c r="GY122" i="22" s="1"/>
  <c r="HG122" i="22" s="1"/>
  <c r="HA123" i="22"/>
  <c r="HI123" i="22" s="1"/>
  <c r="GS125" i="22"/>
  <c r="GP126" i="22"/>
  <c r="GX125" i="22" s="1"/>
  <c r="HF125" i="22" s="1"/>
  <c r="GZ126" i="22"/>
  <c r="HH126" i="22" s="1"/>
  <c r="GB127" i="22"/>
  <c r="GB128" i="22" s="1"/>
  <c r="GR129" i="22"/>
  <c r="GX137" i="22"/>
  <c r="HF137" i="22" s="1"/>
  <c r="GX141" i="22"/>
  <c r="HF141" i="22" s="1"/>
  <c r="GX143" i="22"/>
  <c r="HF143" i="22" s="1"/>
  <c r="GX145" i="22"/>
  <c r="HF145" i="22" s="1"/>
  <c r="GV148" i="22"/>
  <c r="HD148" i="22" s="1"/>
  <c r="GZ149" i="22"/>
  <c r="HH149" i="22" s="1"/>
  <c r="FX36" i="22"/>
  <c r="FW56" i="22"/>
  <c r="FZ73" i="22"/>
  <c r="FY91" i="22"/>
  <c r="GN117" i="22"/>
  <c r="GQ119" i="22"/>
  <c r="GY118" i="22" s="1"/>
  <c r="HG118" i="22" s="1"/>
  <c r="GN120" i="22"/>
  <c r="GV120" i="22" s="1"/>
  <c r="GA122" i="22"/>
  <c r="GA128" i="22" s="1"/>
  <c r="GQ126" i="22"/>
  <c r="GY125" i="22" s="1"/>
  <c r="HG125" i="22" s="1"/>
  <c r="HA126" i="22"/>
  <c r="HI126" i="22" s="1"/>
  <c r="GN127" i="22"/>
  <c r="GS129" i="22"/>
  <c r="GS128" i="22" s="1"/>
  <c r="GQ130" i="22"/>
  <c r="GY129" i="22" s="1"/>
  <c r="HG129" i="22" s="1"/>
  <c r="GY141" i="22"/>
  <c r="HG141" i="22" s="1"/>
  <c r="GY143" i="22"/>
  <c r="HG143" i="22" s="1"/>
  <c r="GY145" i="22"/>
  <c r="HG145" i="22" s="1"/>
  <c r="HA149" i="22"/>
  <c r="HI149" i="22" s="1"/>
  <c r="FY36" i="22"/>
  <c r="FX56" i="22"/>
  <c r="GA73" i="22"/>
  <c r="FZ91" i="22"/>
  <c r="FW109" i="22"/>
  <c r="HA116" i="22"/>
  <c r="GO117" i="22"/>
  <c r="GR119" i="22"/>
  <c r="GZ118" i="22" s="1"/>
  <c r="HH118" i="22" s="1"/>
  <c r="GO120" i="22"/>
  <c r="GW120" i="22" s="1"/>
  <c r="GS123" i="22"/>
  <c r="FW125" i="22"/>
  <c r="GO127" i="22"/>
  <c r="GR130" i="22"/>
  <c r="GZ129" i="22" s="1"/>
  <c r="HH129" i="22" s="1"/>
  <c r="GV142" i="22"/>
  <c r="HD142" i="22" s="1"/>
  <c r="GZ143" i="22"/>
  <c r="HH143" i="22" s="1"/>
  <c r="GV144" i="22"/>
  <c r="HD144" i="22" s="1"/>
  <c r="GZ145" i="22"/>
  <c r="HH145" i="22" s="1"/>
  <c r="FY56" i="22"/>
  <c r="FX109" i="22"/>
  <c r="GP117" i="22"/>
  <c r="GP120" i="22"/>
  <c r="GX120" i="22" s="1"/>
  <c r="FX121" i="22"/>
  <c r="FX128" i="22" s="1"/>
  <c r="HA137" i="22"/>
  <c r="HI137" i="22" s="1"/>
  <c r="GW138" i="22"/>
  <c r="HE138" i="22" s="1"/>
  <c r="HA141" i="22"/>
  <c r="HI141" i="22" s="1"/>
  <c r="HA143" i="22"/>
  <c r="HI143" i="22" s="1"/>
  <c r="GW144" i="22"/>
  <c r="HE144" i="22" s="1"/>
  <c r="HA145" i="22"/>
  <c r="HI145" i="22" s="1"/>
  <c r="FZ56" i="22"/>
  <c r="GQ117" i="22"/>
  <c r="HA117" i="22"/>
  <c r="HI117" i="22" s="1"/>
  <c r="GQ120" i="22"/>
  <c r="GY120" i="22" s="1"/>
  <c r="HA128" i="22"/>
  <c r="GX138" i="22"/>
  <c r="HF138" i="22" s="1"/>
  <c r="GX144" i="22"/>
  <c r="HF144" i="22" s="1"/>
  <c r="GB36" i="22"/>
  <c r="FW119" i="22"/>
  <c r="BH5" i="5"/>
  <c r="BI5" i="5"/>
  <c r="BJ5" i="5"/>
  <c r="AZ5" i="5"/>
  <c r="AY5" i="5"/>
  <c r="BA5" i="5"/>
  <c r="BB5" i="5"/>
  <c r="BC5" i="5"/>
  <c r="BD5" i="5"/>
  <c r="BE5" i="5"/>
  <c r="BF5" i="5"/>
  <c r="BG5" i="5"/>
  <c r="AX5" i="5"/>
  <c r="AA5" i="5"/>
  <c r="Y5" i="5"/>
  <c r="U5" i="5"/>
  <c r="S5" i="5"/>
  <c r="Q5" i="5"/>
  <c r="O5" i="5"/>
  <c r="M5" i="5"/>
  <c r="AL5" i="5" s="1"/>
  <c r="I5" i="5"/>
  <c r="E5" i="5"/>
  <c r="V27" i="6"/>
  <c r="W27" i="6"/>
  <c r="X27" i="6"/>
  <c r="Y27" i="6"/>
  <c r="Z27" i="6"/>
  <c r="AA27" i="6"/>
  <c r="AB27" i="6"/>
  <c r="AC27" i="6"/>
  <c r="AD27" i="6"/>
  <c r="AE27" i="6"/>
  <c r="AF27" i="6"/>
  <c r="AG27" i="6"/>
  <c r="V30" i="6"/>
  <c r="W30" i="6"/>
  <c r="X30" i="6"/>
  <c r="Y30" i="6"/>
  <c r="Z30" i="6"/>
  <c r="AA30" i="6"/>
  <c r="AB30" i="6"/>
  <c r="AC30" i="6"/>
  <c r="AD30" i="6"/>
  <c r="AE30" i="6"/>
  <c r="AF30" i="6"/>
  <c r="AG30" i="6"/>
  <c r="V32" i="6"/>
  <c r="W32" i="6"/>
  <c r="X32" i="6"/>
  <c r="Y32" i="6"/>
  <c r="Z32" i="6"/>
  <c r="AA32" i="6"/>
  <c r="AB32" i="6"/>
  <c r="AC32" i="6"/>
  <c r="AD32" i="6"/>
  <c r="AE32" i="6"/>
  <c r="AF32" i="6"/>
  <c r="AG32" i="6"/>
  <c r="V34" i="6"/>
  <c r="W34" i="6"/>
  <c r="X34" i="6"/>
  <c r="Y34" i="6"/>
  <c r="Z34" i="6"/>
  <c r="AA34" i="6"/>
  <c r="AB34" i="6"/>
  <c r="AC34" i="6"/>
  <c r="AD34" i="6"/>
  <c r="AE34" i="6"/>
  <c r="AF34" i="6"/>
  <c r="AG34" i="6"/>
  <c r="V35" i="6"/>
  <c r="W35" i="6"/>
  <c r="X35" i="6"/>
  <c r="Y35" i="6"/>
  <c r="Z35" i="6"/>
  <c r="AA35" i="6"/>
  <c r="AB35" i="6"/>
  <c r="AC35" i="6"/>
  <c r="AD35" i="6"/>
  <c r="AE35" i="6"/>
  <c r="AF35" i="6"/>
  <c r="AG35" i="6"/>
  <c r="V36" i="6"/>
  <c r="W36" i="6"/>
  <c r="X36" i="6"/>
  <c r="Y36" i="6"/>
  <c r="Z36" i="6"/>
  <c r="AA36" i="6"/>
  <c r="AB36" i="6"/>
  <c r="AC36" i="6"/>
  <c r="AD36" i="6"/>
  <c r="AE36" i="6"/>
  <c r="AF36" i="6"/>
  <c r="AG36" i="6"/>
  <c r="V37" i="6"/>
  <c r="W37" i="6"/>
  <c r="X37" i="6"/>
  <c r="Y37" i="6"/>
  <c r="Z37" i="6"/>
  <c r="AA37" i="6"/>
  <c r="AB37" i="6"/>
  <c r="AC37" i="6"/>
  <c r="AD37" i="6"/>
  <c r="AE37" i="6"/>
  <c r="AF37" i="6"/>
  <c r="AG37" i="6"/>
  <c r="V39" i="6"/>
  <c r="W39" i="6"/>
  <c r="X39" i="6"/>
  <c r="Y39" i="6"/>
  <c r="Z39" i="6"/>
  <c r="AA39" i="6"/>
  <c r="AB39" i="6"/>
  <c r="AC39" i="6"/>
  <c r="AD39" i="6"/>
  <c r="AE39" i="6"/>
  <c r="AF39" i="6"/>
  <c r="AG39" i="6"/>
  <c r="V40" i="6"/>
  <c r="W40" i="6"/>
  <c r="X40" i="6"/>
  <c r="Y40" i="6"/>
  <c r="Z40" i="6"/>
  <c r="AA40" i="6"/>
  <c r="AB40" i="6"/>
  <c r="AC40" i="6"/>
  <c r="AD40" i="6"/>
  <c r="AE40" i="6"/>
  <c r="AF40" i="6"/>
  <c r="AG40" i="6"/>
  <c r="V41" i="6"/>
  <c r="W41" i="6"/>
  <c r="X41" i="6"/>
  <c r="Y41" i="6"/>
  <c r="Z41" i="6"/>
  <c r="AA41" i="6"/>
  <c r="AB41" i="6"/>
  <c r="AC41" i="6"/>
  <c r="AD41" i="6"/>
  <c r="AE41" i="6"/>
  <c r="AF41" i="6"/>
  <c r="AG41" i="6"/>
  <c r="V43" i="6"/>
  <c r="W43" i="6"/>
  <c r="X43" i="6"/>
  <c r="Y43" i="6"/>
  <c r="Z43" i="6"/>
  <c r="AA43" i="6"/>
  <c r="AB43" i="6"/>
  <c r="AC43" i="6"/>
  <c r="AD43" i="6"/>
  <c r="AE43" i="6"/>
  <c r="AF43" i="6"/>
  <c r="AG43" i="6"/>
  <c r="U43" i="6"/>
  <c r="U41" i="6"/>
  <c r="U40" i="6"/>
  <c r="U39" i="6"/>
  <c r="U35" i="6"/>
  <c r="U34" i="6"/>
  <c r="U32" i="6"/>
  <c r="U30" i="6"/>
  <c r="U27" i="6"/>
  <c r="V26" i="6"/>
  <c r="W26" i="6"/>
  <c r="X26" i="6"/>
  <c r="Y26" i="6"/>
  <c r="Z26" i="6"/>
  <c r="AA26" i="6"/>
  <c r="AB26" i="6"/>
  <c r="AC26" i="6"/>
  <c r="AD26" i="6"/>
  <c r="AE26" i="6"/>
  <c r="AF26" i="6"/>
  <c r="AG26" i="6"/>
  <c r="U26" i="6"/>
  <c r="V14" i="6"/>
  <c r="W14" i="6"/>
  <c r="X14" i="6"/>
  <c r="Y14" i="6"/>
  <c r="Z14" i="6"/>
  <c r="AA14" i="6"/>
  <c r="AB14" i="6"/>
  <c r="AC14" i="6"/>
  <c r="AD14" i="6"/>
  <c r="AE14" i="6"/>
  <c r="AF14" i="6"/>
  <c r="AG14" i="6"/>
  <c r="U14" i="6"/>
  <c r="P7" i="6"/>
  <c r="P8" i="6"/>
  <c r="P19" i="6"/>
  <c r="P21" i="6"/>
  <c r="P9" i="6"/>
  <c r="P22" i="6"/>
  <c r="P23" i="6"/>
  <c r="P12" i="6"/>
  <c r="P24" i="6"/>
  <c r="P13" i="6"/>
  <c r="P17" i="6"/>
  <c r="P18" i="6"/>
  <c r="P26" i="6"/>
  <c r="P10" i="6"/>
  <c r="P27" i="6"/>
  <c r="P6" i="6"/>
  <c r="O7" i="6"/>
  <c r="O8" i="6"/>
  <c r="O19" i="6"/>
  <c r="O21" i="6"/>
  <c r="O9" i="6"/>
  <c r="O23" i="6"/>
  <c r="O12" i="6"/>
  <c r="O24" i="6"/>
  <c r="O13" i="6"/>
  <c r="O16" i="6"/>
  <c r="O17" i="6"/>
  <c r="O18" i="6"/>
  <c r="O26" i="6"/>
  <c r="O10" i="6"/>
  <c r="O27" i="6"/>
  <c r="O6" i="6"/>
  <c r="N8" i="6"/>
  <c r="N19" i="6"/>
  <c r="N9" i="6"/>
  <c r="N22" i="6"/>
  <c r="N23" i="6"/>
  <c r="N12" i="6"/>
  <c r="N24" i="6"/>
  <c r="N13" i="6"/>
  <c r="N16" i="6"/>
  <c r="N17" i="6"/>
  <c r="N18" i="6"/>
  <c r="N10" i="6"/>
  <c r="N27" i="6"/>
  <c r="N6" i="6"/>
  <c r="M19" i="6"/>
  <c r="M21" i="6"/>
  <c r="M22" i="6"/>
  <c r="M23" i="6"/>
  <c r="M12" i="6"/>
  <c r="M24" i="6"/>
  <c r="M13" i="6"/>
  <c r="M16" i="6"/>
  <c r="M10" i="6"/>
  <c r="M6" i="6"/>
  <c r="L8" i="6"/>
  <c r="L19" i="6"/>
  <c r="L20" i="6"/>
  <c r="L21" i="6"/>
  <c r="L22" i="6"/>
  <c r="L23" i="6"/>
  <c r="L12" i="6"/>
  <c r="L24" i="6"/>
  <c r="L13" i="6"/>
  <c r="L16" i="6"/>
  <c r="L17" i="6"/>
  <c r="L18" i="6"/>
  <c r="L26" i="6"/>
  <c r="L10" i="6"/>
  <c r="L27" i="6"/>
  <c r="L6" i="6"/>
  <c r="K7" i="6"/>
  <c r="K8" i="6"/>
  <c r="K20" i="6"/>
  <c r="K9" i="6"/>
  <c r="K22" i="6"/>
  <c r="K12" i="6"/>
  <c r="K13" i="6"/>
  <c r="K16" i="6"/>
  <c r="K17" i="6"/>
  <c r="K18" i="6"/>
  <c r="K10" i="6"/>
  <c r="K27" i="6"/>
  <c r="J7" i="6"/>
  <c r="J8" i="6"/>
  <c r="J19" i="6"/>
  <c r="J20" i="6"/>
  <c r="J21" i="6"/>
  <c r="J9" i="6"/>
  <c r="J22" i="6"/>
  <c r="J23" i="6"/>
  <c r="J12" i="6"/>
  <c r="J24" i="6"/>
  <c r="J16" i="6"/>
  <c r="J18" i="6"/>
  <c r="J10" i="6"/>
  <c r="J27" i="6"/>
  <c r="J6" i="6"/>
  <c r="E7" i="6"/>
  <c r="E8" i="6"/>
  <c r="E19" i="6"/>
  <c r="E20" i="6"/>
  <c r="E21" i="6"/>
  <c r="E9" i="6"/>
  <c r="E22" i="6"/>
  <c r="E23" i="6"/>
  <c r="E12" i="6"/>
  <c r="E24" i="6"/>
  <c r="E13" i="6"/>
  <c r="E16" i="6"/>
  <c r="E17" i="6"/>
  <c r="E18" i="6"/>
  <c r="E26" i="6"/>
  <c r="E10" i="6"/>
  <c r="E27" i="6"/>
  <c r="E6" i="6"/>
  <c r="AC11" i="7"/>
  <c r="AC9" i="7"/>
  <c r="AC8" i="7"/>
  <c r="AB11" i="7"/>
  <c r="AB9" i="7"/>
  <c r="AB8" i="7"/>
  <c r="AA11" i="7"/>
  <c r="AA9" i="7"/>
  <c r="AA8" i="7"/>
  <c r="Z11" i="7"/>
  <c r="Z9" i="7"/>
  <c r="Z8" i="7"/>
  <c r="Y11" i="7"/>
  <c r="Y9" i="7"/>
  <c r="Y8" i="7"/>
  <c r="X11" i="7"/>
  <c r="X9" i="7"/>
  <c r="X8" i="7"/>
  <c r="W11" i="7"/>
  <c r="W9" i="7"/>
  <c r="W8" i="7"/>
  <c r="V11" i="7"/>
  <c r="V9" i="7"/>
  <c r="V8" i="7"/>
  <c r="U11" i="7"/>
  <c r="U9" i="7"/>
  <c r="U8" i="7"/>
  <c r="T11" i="7"/>
  <c r="T9" i="7"/>
  <c r="T8" i="7"/>
  <c r="S11" i="7"/>
  <c r="S9" i="7"/>
  <c r="S8" i="7"/>
  <c r="P8" i="7"/>
  <c r="R11" i="7"/>
  <c r="P11" i="7"/>
  <c r="R9" i="7"/>
  <c r="P9" i="7"/>
  <c r="R8" i="7"/>
  <c r="D200" i="7"/>
  <c r="F200" i="7" s="1"/>
  <c r="D201" i="7"/>
  <c r="D202" i="7"/>
  <c r="F202" i="7" s="1"/>
  <c r="D203" i="7"/>
  <c r="D206" i="7"/>
  <c r="D207" i="7"/>
  <c r="D208" i="7"/>
  <c r="D209" i="7"/>
  <c r="F209" i="7" s="1"/>
  <c r="D210" i="7"/>
  <c r="F210" i="7" s="1"/>
  <c r="D199" i="7"/>
  <c r="F199" i="7" s="1"/>
  <c r="D182" i="7"/>
  <c r="D183" i="7"/>
  <c r="D187" i="7"/>
  <c r="D188" i="7"/>
  <c r="D189" i="7"/>
  <c r="D190" i="7"/>
  <c r="D191" i="7"/>
  <c r="F191" i="7" s="1"/>
  <c r="D192" i="7"/>
  <c r="F192" i="7" s="1"/>
  <c r="D181" i="7"/>
  <c r="F181" i="7" s="1"/>
  <c r="D163" i="7"/>
  <c r="D164" i="7"/>
  <c r="D167" i="7"/>
  <c r="F167" i="7" s="1"/>
  <c r="D168" i="7"/>
  <c r="D169" i="7"/>
  <c r="D170" i="7"/>
  <c r="D171" i="7"/>
  <c r="D172" i="7"/>
  <c r="F172" i="7" s="1"/>
  <c r="D173" i="7"/>
  <c r="F173" i="7" s="1"/>
  <c r="D162" i="7"/>
  <c r="D146" i="7"/>
  <c r="D147" i="7"/>
  <c r="D150" i="7"/>
  <c r="F150" i="7" s="1"/>
  <c r="D151" i="7"/>
  <c r="D152" i="7"/>
  <c r="D153" i="7"/>
  <c r="D154" i="7"/>
  <c r="D155" i="7"/>
  <c r="F155" i="7" s="1"/>
  <c r="D156" i="7"/>
  <c r="F156" i="7" s="1"/>
  <c r="D145" i="7"/>
  <c r="F145" i="7" s="1"/>
  <c r="F114" i="7"/>
  <c r="F120" i="7"/>
  <c r="F111" i="7"/>
  <c r="F97" i="7"/>
  <c r="F106" i="7"/>
  <c r="F94" i="7"/>
  <c r="F80" i="7"/>
  <c r="GN121" i="22" l="1"/>
  <c r="F60" i="7"/>
  <c r="F162" i="7"/>
  <c r="D175" i="7"/>
  <c r="Z114" i="5"/>
  <c r="AD28" i="6"/>
  <c r="Z28" i="6"/>
  <c r="V28" i="6"/>
  <c r="AC28" i="6"/>
  <c r="FW110" i="22"/>
  <c r="AG28" i="6"/>
  <c r="Y28" i="6"/>
  <c r="FW20" i="22"/>
  <c r="U28" i="6"/>
  <c r="HH140" i="22"/>
  <c r="GZ139" i="22"/>
  <c r="HH139" i="22" s="1"/>
  <c r="GP121" i="22"/>
  <c r="HH116" i="22"/>
  <c r="HI136" i="22"/>
  <c r="GS121" i="22"/>
  <c r="GR116" i="22"/>
  <c r="HA127" i="22"/>
  <c r="HI127" i="22" s="1"/>
  <c r="HI128" i="22"/>
  <c r="GW119" i="22"/>
  <c r="HE119" i="22" s="1"/>
  <c r="HE120" i="22"/>
  <c r="FW57" i="22"/>
  <c r="GR128" i="22"/>
  <c r="GZ127" i="22" s="1"/>
  <c r="HH127" i="22" s="1"/>
  <c r="GZ128" i="22"/>
  <c r="HH128" i="22" s="1"/>
  <c r="GS116" i="22"/>
  <c r="GW139" i="22"/>
  <c r="HG120" i="22"/>
  <c r="GY119" i="22"/>
  <c r="HG119" i="22" s="1"/>
  <c r="HH136" i="22"/>
  <c r="GO121" i="22"/>
  <c r="GO116" i="22"/>
  <c r="GW116" i="22"/>
  <c r="GQ128" i="22"/>
  <c r="GY127" i="22" s="1"/>
  <c r="HG127" i="22" s="1"/>
  <c r="GY128" i="22"/>
  <c r="HG128" i="22" s="1"/>
  <c r="GR121" i="22"/>
  <c r="GZ121" i="22"/>
  <c r="FW74" i="22"/>
  <c r="GY139" i="22"/>
  <c r="HA139" i="22"/>
  <c r="HI139" i="22" s="1"/>
  <c r="GQ116" i="22"/>
  <c r="GY116" i="22"/>
  <c r="HI116" i="22"/>
  <c r="HD120" i="22"/>
  <c r="GV119" i="22"/>
  <c r="HD119" i="22" s="1"/>
  <c r="GP128" i="22"/>
  <c r="GX127" i="22" s="1"/>
  <c r="HF127" i="22" s="1"/>
  <c r="GX128" i="22"/>
  <c r="HF128" i="22" s="1"/>
  <c r="FW128" i="22"/>
  <c r="FW129" i="22" s="1"/>
  <c r="HF120" i="22"/>
  <c r="GX119" i="22"/>
  <c r="HF119" i="22" s="1"/>
  <c r="HI120" i="22"/>
  <c r="HA119" i="22"/>
  <c r="HI119" i="22" s="1"/>
  <c r="GX139" i="22"/>
  <c r="HF139" i="22" s="1"/>
  <c r="GQ121" i="22"/>
  <c r="GV139" i="22"/>
  <c r="HD139" i="22" s="1"/>
  <c r="HD150" i="22" s="1"/>
  <c r="HD155" i="22" s="1"/>
  <c r="GP116" i="22"/>
  <c r="GX116" i="22"/>
  <c r="GV116" i="22"/>
  <c r="GN116" i="22"/>
  <c r="GN131" i="22" s="1"/>
  <c r="GN133" i="22" s="1"/>
  <c r="FW37" i="22"/>
  <c r="FW92" i="22"/>
  <c r="AB28" i="6"/>
  <c r="AA28" i="6"/>
  <c r="AF28" i="6"/>
  <c r="X28" i="6"/>
  <c r="AE28" i="6"/>
  <c r="W28" i="6"/>
  <c r="T64" i="18"/>
  <c r="T65" i="18" s="1"/>
  <c r="Q52" i="18"/>
  <c r="HA130" i="22" l="1"/>
  <c r="HA132" i="22" s="1"/>
  <c r="GZ150" i="22"/>
  <c r="HH150" i="22" s="1"/>
  <c r="HH155" i="22" s="1"/>
  <c r="GS131" i="22"/>
  <c r="GS133" i="22" s="1"/>
  <c r="HI130" i="22"/>
  <c r="GP131" i="22"/>
  <c r="GP133" i="22" s="1"/>
  <c r="GO131" i="22"/>
  <c r="GO133" i="22" s="1"/>
  <c r="GX150" i="22"/>
  <c r="HF150" i="22" s="1"/>
  <c r="HF155" i="22" s="1"/>
  <c r="HH121" i="22"/>
  <c r="GZ119" i="22"/>
  <c r="GZ152" i="22"/>
  <c r="HA150" i="22"/>
  <c r="GV130" i="22"/>
  <c r="GV132" i="22" s="1"/>
  <c r="HD116" i="22"/>
  <c r="HD130" i="22" s="1"/>
  <c r="HF116" i="22"/>
  <c r="HF130" i="22" s="1"/>
  <c r="GX130" i="22"/>
  <c r="GX132" i="22" s="1"/>
  <c r="GY130" i="22"/>
  <c r="GY132" i="22" s="1"/>
  <c r="HG116" i="22"/>
  <c r="HG130" i="22" s="1"/>
  <c r="GQ131" i="22"/>
  <c r="GQ133" i="22" s="1"/>
  <c r="GW130" i="22"/>
  <c r="GW132" i="22" s="1"/>
  <c r="HE116" i="22"/>
  <c r="HE130" i="22" s="1"/>
  <c r="HE139" i="22"/>
  <c r="HE150" i="22" s="1"/>
  <c r="HE155" i="22" s="1"/>
  <c r="GW150" i="22"/>
  <c r="GW152" i="22" s="1"/>
  <c r="HG139" i="22"/>
  <c r="GY150" i="22"/>
  <c r="GV150" i="22"/>
  <c r="GV152" i="22" s="1"/>
  <c r="GR131" i="22"/>
  <c r="GR133" i="22" s="1"/>
  <c r="K19" i="18"/>
  <c r="K20" i="18"/>
  <c r="K21" i="18"/>
  <c r="K18" i="18"/>
  <c r="E17" i="18"/>
  <c r="E22" i="18" s="1"/>
  <c r="Q64" i="18"/>
  <c r="O64" i="18"/>
  <c r="R63" i="18"/>
  <c r="R62" i="18"/>
  <c r="O61" i="18"/>
  <c r="N61" i="18"/>
  <c r="Q60" i="18"/>
  <c r="P60" i="18"/>
  <c r="N59" i="18"/>
  <c r="R59" i="18" s="1"/>
  <c r="R64" i="18" l="1"/>
  <c r="R60" i="18"/>
  <c r="GX152" i="22"/>
  <c r="HI150" i="22"/>
  <c r="HI155" i="22" s="1"/>
  <c r="HA152" i="22"/>
  <c r="HG150" i="22"/>
  <c r="HG155" i="22" s="1"/>
  <c r="GY152" i="22"/>
  <c r="HH119" i="22"/>
  <c r="HH130" i="22" s="1"/>
  <c r="GZ130" i="22"/>
  <c r="GZ132" i="22" s="1"/>
  <c r="R61" i="18"/>
  <c r="K22" i="18"/>
  <c r="C11" i="18" s="1"/>
  <c r="AE127" i="5"/>
  <c r="AB127" i="5"/>
  <c r="AI127" i="5" l="1"/>
  <c r="AJ127" i="5"/>
  <c r="AK127" i="5"/>
  <c r="AM127" i="5"/>
  <c r="AN127" i="5"/>
  <c r="AO127" i="5"/>
  <c r="AQ127" i="5"/>
  <c r="AR127" i="5"/>
  <c r="AG127" i="5"/>
  <c r="AH127" i="5"/>
  <c r="Q127" i="5"/>
  <c r="Y127" i="5"/>
  <c r="S127" i="5"/>
  <c r="AA127" i="5"/>
  <c r="U127" i="5"/>
  <c r="M127" i="5"/>
  <c r="O127" i="5"/>
  <c r="I127" i="5"/>
  <c r="K127" i="5"/>
  <c r="E127" i="5"/>
  <c r="G127" i="5"/>
  <c r="R65" i="18"/>
  <c r="S61" i="18" s="1"/>
  <c r="DO171" i="11"/>
  <c r="DO172" i="11"/>
  <c r="J19" i="18"/>
  <c r="J20" i="18"/>
  <c r="J21" i="18"/>
  <c r="J18" i="18"/>
  <c r="D17" i="18"/>
  <c r="D22" i="18" s="1"/>
  <c r="R52" i="18"/>
  <c r="S52" i="18"/>
  <c r="P37" i="18"/>
  <c r="S37" i="18"/>
  <c r="Q37" i="18"/>
  <c r="P25" i="18"/>
  <c r="Q19" i="18" s="1"/>
  <c r="N25" i="18"/>
  <c r="O19" i="18" s="1"/>
  <c r="S59" i="18" l="1"/>
  <c r="S64" i="18"/>
  <c r="S62" i="18"/>
  <c r="S60" i="18"/>
  <c r="S63" i="18"/>
  <c r="J22" i="18"/>
  <c r="Q24" i="18"/>
  <c r="Q20" i="18"/>
  <c r="Q22" i="18"/>
  <c r="Q18" i="18"/>
  <c r="O24" i="18"/>
  <c r="O22" i="18"/>
  <c r="O20" i="18"/>
  <c r="O18" i="18"/>
  <c r="Q17" i="18"/>
  <c r="Q23" i="18"/>
  <c r="Q21" i="18"/>
  <c r="O17" i="18"/>
  <c r="O23" i="18"/>
  <c r="O21" i="18"/>
  <c r="H35" i="17"/>
  <c r="G35" i="17"/>
  <c r="F35" i="17"/>
  <c r="E35" i="17"/>
  <c r="D35" i="17"/>
  <c r="C35" i="17"/>
  <c r="S65" i="18" l="1"/>
  <c r="O25" i="18"/>
  <c r="Q25" i="18"/>
  <c r="P32" i="14"/>
  <c r="F119" i="11" l="1"/>
  <c r="DO124" i="11"/>
  <c r="DO125" i="11"/>
  <c r="DO126" i="11"/>
  <c r="DO127" i="11"/>
  <c r="DO128" i="11"/>
  <c r="DO129" i="11"/>
  <c r="DO130" i="11"/>
  <c r="DO131" i="11"/>
  <c r="DO132" i="11"/>
  <c r="DO133" i="11"/>
  <c r="DO134" i="11"/>
  <c r="DO135" i="11"/>
  <c r="DO136" i="11"/>
  <c r="DO137" i="11"/>
  <c r="DO138" i="11"/>
  <c r="DO139" i="11"/>
  <c r="DO140" i="11"/>
  <c r="DO141" i="11"/>
  <c r="DO142" i="11"/>
  <c r="DO143" i="11"/>
  <c r="DO144" i="11"/>
  <c r="DO145" i="11"/>
  <c r="DO146" i="11"/>
  <c r="DO147" i="11"/>
  <c r="DO148" i="11"/>
  <c r="DO149" i="11"/>
  <c r="DO150" i="11"/>
  <c r="DO151" i="11"/>
  <c r="DO152" i="11"/>
  <c r="DO153" i="11"/>
  <c r="DO154" i="11"/>
  <c r="DO155" i="11"/>
  <c r="DO156" i="11"/>
  <c r="DO157" i="11"/>
  <c r="DO158" i="11"/>
  <c r="DO159" i="11"/>
  <c r="DO160" i="11"/>
  <c r="DO161" i="11"/>
  <c r="DO162" i="11"/>
  <c r="DO163" i="11"/>
  <c r="DO164" i="11"/>
  <c r="DO165" i="11"/>
  <c r="DO166" i="11"/>
  <c r="DO167" i="11"/>
  <c r="DO168" i="11"/>
  <c r="DO169" i="11"/>
  <c r="DO170" i="11"/>
  <c r="DO173" i="11"/>
  <c r="DO174" i="11"/>
  <c r="DO175" i="11"/>
  <c r="DO176" i="11"/>
  <c r="DO177" i="11"/>
  <c r="DO178" i="11"/>
  <c r="DO179" i="11"/>
  <c r="DO180" i="11"/>
  <c r="DO181" i="11"/>
  <c r="DO123" i="11"/>
  <c r="C7" i="15"/>
  <c r="G33" i="14"/>
  <c r="G32" i="14"/>
  <c r="G46" i="14" s="1"/>
  <c r="G31" i="14"/>
  <c r="G45" i="14" s="1"/>
  <c r="G30" i="14"/>
  <c r="G44" i="14" s="1"/>
  <c r="G29" i="14"/>
  <c r="G28" i="14"/>
  <c r="G27" i="14"/>
  <c r="G26" i="14"/>
  <c r="G25" i="14"/>
  <c r="F33" i="14"/>
  <c r="F32" i="14"/>
  <c r="F31" i="14"/>
  <c r="F30" i="14"/>
  <c r="F29" i="14"/>
  <c r="F28" i="14"/>
  <c r="F27" i="14"/>
  <c r="F26" i="14"/>
  <c r="F25" i="14"/>
  <c r="K33" i="14"/>
  <c r="K31" i="14"/>
  <c r="K30" i="14"/>
  <c r="K29" i="14"/>
  <c r="K28" i="14"/>
  <c r="K27" i="14"/>
  <c r="J26" i="14"/>
  <c r="I32" i="14"/>
  <c r="O33" i="14"/>
  <c r="N33" i="14"/>
  <c r="O32" i="14"/>
  <c r="O31" i="14"/>
  <c r="N31" i="14"/>
  <c r="O30" i="14"/>
  <c r="N30" i="14"/>
  <c r="O29" i="14"/>
  <c r="N29" i="14"/>
  <c r="O28" i="14"/>
  <c r="N28" i="14"/>
  <c r="O27" i="14"/>
  <c r="N27" i="14"/>
  <c r="N26" i="14"/>
  <c r="O25" i="14"/>
  <c r="K23" i="14"/>
  <c r="I19" i="18"/>
  <c r="I20" i="18"/>
  <c r="I21" i="18"/>
  <c r="I18" i="18"/>
  <c r="C17" i="18"/>
  <c r="C22" i="18" s="1"/>
  <c r="C21" i="20"/>
  <c r="C26" i="20" s="1"/>
  <c r="G21" i="9"/>
  <c r="G22" i="9"/>
  <c r="G23" i="9"/>
  <c r="G24" i="9"/>
  <c r="G20" i="9"/>
  <c r="G30" i="9"/>
  <c r="M25" i="14" l="1"/>
  <c r="H40" i="14"/>
  <c r="G40" i="14" s="1"/>
  <c r="H61" i="14"/>
  <c r="G61" i="14" s="1"/>
  <c r="H63" i="14"/>
  <c r="G63" i="14" s="1"/>
  <c r="H58" i="14"/>
  <c r="G58" i="14" s="1"/>
  <c r="H59" i="14"/>
  <c r="G59" i="14" s="1"/>
  <c r="H60" i="14"/>
  <c r="G60" i="14" s="1"/>
  <c r="H62" i="14"/>
  <c r="G62" i="14" s="1"/>
  <c r="H57" i="14"/>
  <c r="G57" i="14" s="1"/>
  <c r="O26" i="14"/>
  <c r="O34" i="14" s="1"/>
  <c r="H49" i="14"/>
  <c r="G49" i="14" s="1"/>
  <c r="H51" i="14"/>
  <c r="G51" i="14" s="1"/>
  <c r="H55" i="14"/>
  <c r="G55" i="14" s="1"/>
  <c r="H50" i="14"/>
  <c r="G50" i="14" s="1"/>
  <c r="H52" i="14"/>
  <c r="G52" i="14" s="1"/>
  <c r="H54" i="14"/>
  <c r="G54" i="14" s="1"/>
  <c r="H53" i="14"/>
  <c r="G53" i="14" s="1"/>
  <c r="H39" i="14"/>
  <c r="H41" i="14"/>
  <c r="G41" i="14" s="1"/>
  <c r="N25" i="14"/>
  <c r="D45" i="14"/>
  <c r="D39" i="14"/>
  <c r="D41" i="14"/>
  <c r="D43" i="14"/>
  <c r="D44" i="14"/>
  <c r="D38" i="14"/>
  <c r="D40" i="14"/>
  <c r="D42" i="14"/>
  <c r="D37" i="14"/>
  <c r="L249" i="23"/>
  <c r="X7" i="7"/>
  <c r="S7" i="7"/>
  <c r="R7" i="7"/>
  <c r="AA7" i="7"/>
  <c r="V7" i="7"/>
  <c r="Y7" i="7"/>
  <c r="T7" i="7"/>
  <c r="AB7" i="7"/>
  <c r="W7" i="7"/>
  <c r="Z7" i="7"/>
  <c r="P7" i="7"/>
  <c r="AC7" i="7"/>
  <c r="U7" i="7"/>
  <c r="I22" i="18"/>
  <c r="P27" i="14"/>
  <c r="P29" i="14"/>
  <c r="P31" i="14"/>
  <c r="P28" i="14"/>
  <c r="P30" i="14"/>
  <c r="P33" i="14"/>
  <c r="M26" i="14"/>
  <c r="M32" i="14"/>
  <c r="N32" i="14"/>
  <c r="M27" i="14"/>
  <c r="M29" i="14"/>
  <c r="M31" i="14"/>
  <c r="M33" i="14"/>
  <c r="M28" i="14"/>
  <c r="M30" i="14"/>
  <c r="G64" i="14" l="1"/>
  <c r="H42" i="14"/>
  <c r="G42" i="14" s="1"/>
  <c r="G47" i="14" s="1"/>
  <c r="G39" i="14"/>
  <c r="D46" i="14"/>
  <c r="X5" i="6"/>
  <c r="AF5" i="6"/>
  <c r="Y5" i="6"/>
  <c r="AG5" i="6"/>
  <c r="Z5" i="6"/>
  <c r="AA5" i="6"/>
  <c r="AB5" i="6"/>
  <c r="AC5" i="6"/>
  <c r="V5" i="6"/>
  <c r="AD5" i="6"/>
  <c r="W5" i="6"/>
  <c r="AE5" i="6"/>
  <c r="U5" i="6"/>
  <c r="N34" i="14"/>
  <c r="P34" i="14"/>
  <c r="M34" i="14"/>
  <c r="F6" i="19"/>
  <c r="F7" i="19"/>
  <c r="F8" i="19"/>
  <c r="F9" i="19"/>
  <c r="F11" i="19"/>
  <c r="F12" i="19"/>
  <c r="F14" i="19"/>
  <c r="F15" i="19"/>
  <c r="F16" i="19"/>
  <c r="F17" i="19"/>
  <c r="F19" i="19"/>
  <c r="F20" i="19"/>
  <c r="F21" i="19"/>
  <c r="F23" i="19"/>
  <c r="F24" i="19"/>
  <c r="F25" i="19"/>
  <c r="F26" i="19"/>
  <c r="F30" i="19"/>
  <c r="F31" i="19"/>
  <c r="F33" i="19"/>
  <c r="F34" i="19"/>
  <c r="F37" i="19"/>
  <c r="F39" i="19"/>
  <c r="F40" i="19"/>
  <c r="F41" i="19"/>
  <c r="F43" i="19"/>
  <c r="F44" i="19"/>
  <c r="F46" i="19"/>
  <c r="F47" i="19"/>
  <c r="F48" i="19"/>
  <c r="F49" i="19"/>
  <c r="F52" i="19"/>
  <c r="F54" i="19"/>
  <c r="F55" i="19"/>
  <c r="F56" i="19"/>
  <c r="F57" i="19"/>
  <c r="F58" i="19"/>
  <c r="F59" i="19"/>
  <c r="F61" i="19"/>
  <c r="F62" i="19"/>
  <c r="F63" i="19"/>
  <c r="F64" i="19"/>
  <c r="F65" i="19"/>
  <c r="F66" i="19"/>
  <c r="F68" i="19"/>
  <c r="F69" i="19"/>
  <c r="F71" i="19"/>
  <c r="F74" i="19"/>
  <c r="F75" i="19"/>
  <c r="F77" i="19"/>
  <c r="F78" i="19"/>
  <c r="F79" i="19"/>
  <c r="F80" i="19"/>
  <c r="F81" i="19"/>
  <c r="F83" i="19"/>
  <c r="F84" i="19"/>
  <c r="F85" i="19"/>
  <c r="F86" i="19"/>
  <c r="F87" i="19"/>
  <c r="F88" i="19"/>
  <c r="F89" i="19"/>
  <c r="F90" i="19"/>
  <c r="F91" i="19"/>
  <c r="F92" i="19"/>
  <c r="F93" i="19"/>
  <c r="F94" i="19"/>
  <c r="F96" i="19"/>
  <c r="F98" i="19"/>
  <c r="F99" i="19"/>
  <c r="F100" i="19"/>
  <c r="F101" i="19"/>
  <c r="F102" i="19"/>
  <c r="F103" i="19"/>
  <c r="F104" i="19"/>
  <c r="F105" i="19"/>
  <c r="F5" i="19"/>
  <c r="AB6" i="6" l="1"/>
  <c r="AC6" i="6"/>
  <c r="AD6" i="6"/>
  <c r="W6" i="6"/>
  <c r="AE6" i="6"/>
  <c r="X6" i="6"/>
  <c r="AF6" i="6"/>
  <c r="Y6" i="6"/>
  <c r="AG6" i="6"/>
  <c r="Z6" i="6"/>
  <c r="U6" i="6"/>
  <c r="AA6" i="6"/>
  <c r="P35" i="14"/>
  <c r="G33" i="9"/>
  <c r="G5" i="9" l="1"/>
  <c r="C16" i="12"/>
  <c r="C5" i="12"/>
  <c r="P31" i="7"/>
  <c r="AE14" i="5"/>
  <c r="AE15" i="5"/>
  <c r="AE17" i="5"/>
  <c r="AE18" i="5"/>
  <c r="AE24" i="5"/>
  <c r="AE26" i="5"/>
  <c r="AE29" i="5"/>
  <c r="AE30" i="5"/>
  <c r="AE36" i="5"/>
  <c r="AE38" i="5"/>
  <c r="AE42" i="5"/>
  <c r="AE47" i="5"/>
  <c r="AL47" i="5" s="1"/>
  <c r="AE49" i="5"/>
  <c r="AE56" i="5"/>
  <c r="AE57" i="5"/>
  <c r="AE58" i="5"/>
  <c r="AE59" i="5"/>
  <c r="AE64" i="5"/>
  <c r="AE65" i="5"/>
  <c r="AE67" i="5"/>
  <c r="AE68" i="5"/>
  <c r="AE72" i="5"/>
  <c r="AE74" i="5"/>
  <c r="AE76" i="5"/>
  <c r="AE80" i="5"/>
  <c r="AE82" i="5"/>
  <c r="AE83" i="5"/>
  <c r="AE86" i="5"/>
  <c r="AE87" i="5"/>
  <c r="AE88" i="5"/>
  <c r="AE89" i="5"/>
  <c r="AE92" i="5"/>
  <c r="AE94" i="5"/>
  <c r="AE96" i="5"/>
  <c r="AE97" i="5"/>
  <c r="AE98" i="5"/>
  <c r="AE99" i="5"/>
  <c r="AE106" i="5"/>
  <c r="AE107" i="5"/>
  <c r="AE108" i="5"/>
  <c r="AE109" i="5"/>
  <c r="AE110" i="5"/>
  <c r="AE111" i="5"/>
  <c r="AE115" i="5"/>
  <c r="AE116" i="5"/>
  <c r="AE126" i="5"/>
  <c r="AE133" i="5"/>
  <c r="AE134" i="5"/>
  <c r="AE137" i="5"/>
  <c r="AE138" i="5"/>
  <c r="AE140" i="5"/>
  <c r="AE141" i="5"/>
  <c r="AE142" i="5"/>
  <c r="AE146" i="5"/>
  <c r="AE147" i="5"/>
  <c r="AE148" i="5"/>
  <c r="AE149" i="5"/>
  <c r="AE150" i="5"/>
  <c r="AE151" i="5"/>
  <c r="AE155" i="5"/>
  <c r="AE156" i="5"/>
  <c r="AE157" i="5"/>
  <c r="AE158" i="5"/>
  <c r="AE159" i="5"/>
  <c r="AE161" i="5"/>
  <c r="AE163" i="5"/>
  <c r="AE164" i="5"/>
  <c r="AE166" i="5"/>
  <c r="AE167" i="5"/>
  <c r="AE168" i="5"/>
  <c r="AE169" i="5"/>
  <c r="AE170" i="5"/>
  <c r="AE171" i="5"/>
  <c r="AB161" i="5"/>
  <c r="AB163" i="5"/>
  <c r="AB164" i="5"/>
  <c r="AB166" i="5"/>
  <c r="AB167" i="5"/>
  <c r="AB168" i="5"/>
  <c r="AB169" i="5"/>
  <c r="AB170" i="5"/>
  <c r="AB171" i="5"/>
  <c r="AB109" i="5"/>
  <c r="AB110" i="5"/>
  <c r="AB111" i="5"/>
  <c r="AB115" i="5"/>
  <c r="AB116" i="5"/>
  <c r="AB126" i="5"/>
  <c r="AB133" i="5"/>
  <c r="AF133" i="5" s="1"/>
  <c r="AB134" i="5"/>
  <c r="AB137" i="5"/>
  <c r="AB138" i="5"/>
  <c r="AB140" i="5"/>
  <c r="AB141" i="5"/>
  <c r="AB142" i="5"/>
  <c r="AB146" i="5"/>
  <c r="AB147" i="5"/>
  <c r="AL147" i="5" s="1"/>
  <c r="AB148" i="5"/>
  <c r="AB149" i="5"/>
  <c r="AB150" i="5"/>
  <c r="AB151" i="5"/>
  <c r="AB155" i="5"/>
  <c r="AB156" i="5"/>
  <c r="AB157" i="5"/>
  <c r="AB158" i="5"/>
  <c r="AL158" i="5" s="1"/>
  <c r="AB159" i="5"/>
  <c r="AB68" i="5"/>
  <c r="AB74" i="5"/>
  <c r="AL74" i="5" s="1"/>
  <c r="AB76" i="5"/>
  <c r="AB80" i="5"/>
  <c r="AB82" i="5"/>
  <c r="AB83" i="5"/>
  <c r="AB86" i="5"/>
  <c r="AB87" i="5"/>
  <c r="AB88" i="5"/>
  <c r="AB89" i="5"/>
  <c r="AL89" i="5" s="1"/>
  <c r="AB92" i="5"/>
  <c r="AB94" i="5"/>
  <c r="AB96" i="5"/>
  <c r="AB97" i="5"/>
  <c r="AB98" i="5"/>
  <c r="AB99" i="5"/>
  <c r="AB106" i="5"/>
  <c r="AB107" i="5"/>
  <c r="AB108" i="5"/>
  <c r="AB38" i="5"/>
  <c r="AB42" i="5"/>
  <c r="AB49" i="5"/>
  <c r="AB56" i="5"/>
  <c r="AL56" i="5" s="1"/>
  <c r="AB57" i="5"/>
  <c r="AL57" i="5" s="1"/>
  <c r="AB58" i="5"/>
  <c r="AB59" i="5"/>
  <c r="AB64" i="5"/>
  <c r="AB65" i="5"/>
  <c r="AB67" i="5"/>
  <c r="AB24" i="5"/>
  <c r="AB26" i="5"/>
  <c r="AB29" i="5"/>
  <c r="AB30" i="5"/>
  <c r="AB36" i="5"/>
  <c r="AB14" i="5"/>
  <c r="AB15" i="5"/>
  <c r="AB17" i="5"/>
  <c r="AB18" i="5"/>
  <c r="C8" i="16"/>
  <c r="AF61" i="5" l="1"/>
  <c r="AF60" i="5"/>
  <c r="AF70" i="5"/>
  <c r="AL87" i="5"/>
  <c r="AL151" i="5"/>
  <c r="AL140" i="5"/>
  <c r="AL164" i="5"/>
  <c r="AL92" i="5"/>
  <c r="AL76" i="5"/>
  <c r="AL159" i="5"/>
  <c r="AL148" i="5"/>
  <c r="AL86" i="5"/>
  <c r="AL42" i="5"/>
  <c r="AL83" i="5"/>
  <c r="AL80" i="5"/>
  <c r="AL155" i="5"/>
  <c r="AL141" i="5"/>
  <c r="AL157" i="5"/>
  <c r="AL146" i="5"/>
  <c r="AL82" i="5"/>
  <c r="AL156" i="5"/>
  <c r="AL142" i="5"/>
  <c r="AL150" i="5"/>
  <c r="AL58" i="5"/>
  <c r="AL88" i="5"/>
  <c r="AL137" i="5"/>
  <c r="AF109" i="5"/>
  <c r="AL163" i="5"/>
  <c r="AL168" i="5"/>
  <c r="AF168" i="5"/>
  <c r="AL167" i="5"/>
  <c r="AL171" i="5"/>
  <c r="AJ18" i="5"/>
  <c r="AG18" i="5"/>
  <c r="AP18" i="5"/>
  <c r="AO18" i="5"/>
  <c r="AK18" i="5"/>
  <c r="AM18" i="5"/>
  <c r="AQ18" i="5"/>
  <c r="AI18" i="5"/>
  <c r="AN18" i="5"/>
  <c r="AR18" i="5"/>
  <c r="AI15" i="5"/>
  <c r="AN15" i="5"/>
  <c r="AR15" i="5"/>
  <c r="AK15" i="5"/>
  <c r="AM15" i="5"/>
  <c r="AQ15" i="5"/>
  <c r="AG15" i="5"/>
  <c r="AH15" i="5"/>
  <c r="AO15" i="5"/>
  <c r="AP15" i="5"/>
  <c r="AJ15" i="5"/>
  <c r="AF15" i="5"/>
  <c r="AG36" i="5"/>
  <c r="AI36" i="5"/>
  <c r="AM36" i="5"/>
  <c r="AO36" i="5"/>
  <c r="AQ36" i="5"/>
  <c r="AJ36" i="5"/>
  <c r="AK36" i="5"/>
  <c r="AN36" i="5"/>
  <c r="AP36" i="5"/>
  <c r="AR36" i="5"/>
  <c r="AH29" i="5"/>
  <c r="AJ29" i="5"/>
  <c r="AM29" i="5"/>
  <c r="AO29" i="5"/>
  <c r="AQ29" i="5"/>
  <c r="AK29" i="5"/>
  <c r="AN29" i="5"/>
  <c r="AP29" i="5"/>
  <c r="AR29" i="5"/>
  <c r="AQ24" i="5"/>
  <c r="AP24" i="5"/>
  <c r="AR24" i="5"/>
  <c r="AG24" i="5"/>
  <c r="AK24" i="5"/>
  <c r="AM24" i="5"/>
  <c r="AH24" i="5"/>
  <c r="AJ24" i="5"/>
  <c r="AN24" i="5"/>
  <c r="AG65" i="5"/>
  <c r="AH65" i="5"/>
  <c r="AJ65" i="5"/>
  <c r="AN65" i="5"/>
  <c r="AP65" i="5"/>
  <c r="AR65" i="5"/>
  <c r="AI65" i="5"/>
  <c r="AK65" i="5"/>
  <c r="AO65" i="5"/>
  <c r="AQ65" i="5"/>
  <c r="AJ59" i="5"/>
  <c r="AN59" i="5"/>
  <c r="AR59" i="5"/>
  <c r="AI59" i="5"/>
  <c r="AM59" i="5"/>
  <c r="AQ59" i="5"/>
  <c r="AG59" i="5"/>
  <c r="AH59" i="5"/>
  <c r="AP59" i="5"/>
  <c r="AK59" i="5"/>
  <c r="AH57" i="5"/>
  <c r="AP57" i="5"/>
  <c r="AK57" i="5"/>
  <c r="AG57" i="5"/>
  <c r="AJ57" i="5"/>
  <c r="AN57" i="5"/>
  <c r="AR57" i="5"/>
  <c r="AI57" i="5"/>
  <c r="AM57" i="5"/>
  <c r="AQ57" i="5"/>
  <c r="AL126" i="5"/>
  <c r="AL127" i="5"/>
  <c r="AL173" i="5"/>
  <c r="AL172" i="5" s="1"/>
  <c r="AL128" i="5"/>
  <c r="AL129" i="5"/>
  <c r="AL161" i="5"/>
  <c r="AL160" i="5" s="1"/>
  <c r="AG49" i="5"/>
  <c r="AH49" i="5"/>
  <c r="AJ49" i="5"/>
  <c r="AR49" i="5"/>
  <c r="AL65" i="5"/>
  <c r="AL102" i="5"/>
  <c r="AL98" i="5"/>
  <c r="AL106" i="5"/>
  <c r="AL110" i="5"/>
  <c r="AL122" i="5"/>
  <c r="AL118" i="5"/>
  <c r="AI49" i="5"/>
  <c r="AK49" i="5"/>
  <c r="AP49" i="5"/>
  <c r="AQ49" i="5"/>
  <c r="AL64" i="5"/>
  <c r="AL94" i="5"/>
  <c r="AL101" i="5"/>
  <c r="AL97" i="5"/>
  <c r="AL113" i="5"/>
  <c r="AL109" i="5"/>
  <c r="AL134" i="5"/>
  <c r="AL123" i="5"/>
  <c r="AL119" i="5"/>
  <c r="AN49" i="5"/>
  <c r="AL67" i="5"/>
  <c r="AL72" i="5"/>
  <c r="AL71" i="5" s="1"/>
  <c r="AL104" i="5"/>
  <c r="AL100" i="5"/>
  <c r="AL96" i="5"/>
  <c r="AL112" i="5"/>
  <c r="AL108" i="5"/>
  <c r="AL135" i="5"/>
  <c r="AL124" i="5"/>
  <c r="AL120" i="5"/>
  <c r="AL116" i="5"/>
  <c r="AM49" i="5"/>
  <c r="AL103" i="5"/>
  <c r="AL99" i="5"/>
  <c r="AL95" i="5"/>
  <c r="AL111" i="5"/>
  <c r="AL107" i="5"/>
  <c r="AL133" i="5"/>
  <c r="AL115" i="5"/>
  <c r="AL121" i="5"/>
  <c r="AL117" i="5"/>
  <c r="AH38" i="5"/>
  <c r="AJ38" i="5"/>
  <c r="AK38" i="5"/>
  <c r="AN38" i="5"/>
  <c r="AP38" i="5"/>
  <c r="AR38" i="5"/>
  <c r="AG38" i="5"/>
  <c r="AM38" i="5"/>
  <c r="AO38" i="5"/>
  <c r="AQ38" i="5"/>
  <c r="AG107" i="5"/>
  <c r="AH107" i="5"/>
  <c r="AI107" i="5"/>
  <c r="AJ107" i="5"/>
  <c r="AK107" i="5"/>
  <c r="AM107" i="5"/>
  <c r="AN107" i="5"/>
  <c r="AO107" i="5"/>
  <c r="AQ107" i="5"/>
  <c r="AR107" i="5"/>
  <c r="AH99" i="5"/>
  <c r="AI99" i="5"/>
  <c r="AK99" i="5"/>
  <c r="AM99" i="5"/>
  <c r="AO99" i="5"/>
  <c r="AQ99" i="5"/>
  <c r="AJ99" i="5"/>
  <c r="AN99" i="5"/>
  <c r="AR99" i="5"/>
  <c r="AN97" i="5"/>
  <c r="AR97" i="5"/>
  <c r="AH97" i="5"/>
  <c r="AI97" i="5"/>
  <c r="AK97" i="5"/>
  <c r="AM97" i="5"/>
  <c r="AO97" i="5"/>
  <c r="AQ97" i="5"/>
  <c r="AJ97" i="5"/>
  <c r="AI94" i="5"/>
  <c r="AK94" i="5"/>
  <c r="AM94" i="5"/>
  <c r="AO94" i="5"/>
  <c r="AQ94" i="5"/>
  <c r="AN94" i="5"/>
  <c r="AP94" i="5"/>
  <c r="AR94" i="5"/>
  <c r="AK89" i="5"/>
  <c r="AO89" i="5"/>
  <c r="AP89" i="5"/>
  <c r="AG89" i="5"/>
  <c r="AM89" i="5"/>
  <c r="AQ89" i="5"/>
  <c r="AH89" i="5"/>
  <c r="AJ89" i="5"/>
  <c r="AN89" i="5"/>
  <c r="AR89" i="5"/>
  <c r="AG87" i="5"/>
  <c r="AI87" i="5"/>
  <c r="AQ87" i="5"/>
  <c r="AH87" i="5"/>
  <c r="AJ87" i="5"/>
  <c r="AN87" i="5"/>
  <c r="AR87" i="5"/>
  <c r="AK87" i="5"/>
  <c r="AO87" i="5"/>
  <c r="AP87" i="5"/>
  <c r="AJ83" i="5"/>
  <c r="AN83" i="5"/>
  <c r="AR83" i="5"/>
  <c r="AG83" i="5"/>
  <c r="AH83" i="5"/>
  <c r="AM83" i="5"/>
  <c r="AQ83" i="5"/>
  <c r="AI83" i="5"/>
  <c r="AP83" i="5"/>
  <c r="AG80" i="5"/>
  <c r="AH80" i="5"/>
  <c r="AM80" i="5"/>
  <c r="AQ80" i="5"/>
  <c r="AI80" i="5"/>
  <c r="AP80" i="5"/>
  <c r="AK80" i="5"/>
  <c r="AJ80" i="5"/>
  <c r="AN80" i="5"/>
  <c r="AR80" i="5"/>
  <c r="AH74" i="5"/>
  <c r="AI74" i="5"/>
  <c r="AM74" i="5"/>
  <c r="AQ74" i="5"/>
  <c r="AP74" i="5"/>
  <c r="AG74" i="5"/>
  <c r="AK74" i="5"/>
  <c r="AJ74" i="5"/>
  <c r="AN74" i="5"/>
  <c r="AR74" i="5"/>
  <c r="AM159" i="5"/>
  <c r="AN159" i="5"/>
  <c r="AO159" i="5"/>
  <c r="AQ159" i="5"/>
  <c r="AR159" i="5"/>
  <c r="AI159" i="5"/>
  <c r="AJ159" i="5"/>
  <c r="AK159" i="5"/>
  <c r="AG159" i="5"/>
  <c r="AH159" i="5"/>
  <c r="AI157" i="5"/>
  <c r="AJ157" i="5"/>
  <c r="AK157" i="5"/>
  <c r="AM157" i="5"/>
  <c r="AN157" i="5"/>
  <c r="AO157" i="5"/>
  <c r="AP157" i="5"/>
  <c r="AR157" i="5"/>
  <c r="AG157" i="5"/>
  <c r="AH157" i="5"/>
  <c r="AM155" i="5"/>
  <c r="AN155" i="5"/>
  <c r="AO155" i="5"/>
  <c r="AP155" i="5"/>
  <c r="AQ155" i="5"/>
  <c r="AR155" i="5"/>
  <c r="AI155" i="5"/>
  <c r="AK155" i="5"/>
  <c r="AG155" i="5"/>
  <c r="AM150" i="5"/>
  <c r="AN150" i="5"/>
  <c r="AO150" i="5"/>
  <c r="AP150" i="5"/>
  <c r="AQ150" i="5"/>
  <c r="AI150" i="5"/>
  <c r="AJ150" i="5"/>
  <c r="AK150" i="5"/>
  <c r="AG150" i="5"/>
  <c r="AH150" i="5"/>
  <c r="AI148" i="5"/>
  <c r="AJ148" i="5"/>
  <c r="AK148" i="5"/>
  <c r="AM148" i="5"/>
  <c r="AN148" i="5"/>
  <c r="AO148" i="5"/>
  <c r="AP148" i="5"/>
  <c r="AQ148" i="5"/>
  <c r="AG148" i="5"/>
  <c r="AH148" i="5"/>
  <c r="AM146" i="5"/>
  <c r="AN146" i="5"/>
  <c r="AO146" i="5"/>
  <c r="AP146" i="5"/>
  <c r="AQ146" i="5"/>
  <c r="AI146" i="5"/>
  <c r="AJ146" i="5"/>
  <c r="AK146" i="5"/>
  <c r="AG146" i="5"/>
  <c r="AH146" i="5"/>
  <c r="AK141" i="5"/>
  <c r="AO141" i="5"/>
  <c r="AQ141" i="5"/>
  <c r="AI141" i="5"/>
  <c r="AJ141" i="5"/>
  <c r="AN141" i="5"/>
  <c r="AP141" i="5"/>
  <c r="AR141" i="5"/>
  <c r="AG141" i="5"/>
  <c r="AH141" i="5"/>
  <c r="AJ138" i="5"/>
  <c r="AN138" i="5"/>
  <c r="AP138" i="5"/>
  <c r="AR138" i="5"/>
  <c r="AI138" i="5"/>
  <c r="AK138" i="5"/>
  <c r="AM138" i="5"/>
  <c r="AQ138" i="5"/>
  <c r="AG138" i="5"/>
  <c r="AH138" i="5"/>
  <c r="AG134" i="5"/>
  <c r="AK134" i="5"/>
  <c r="AO134" i="5"/>
  <c r="AH134" i="5"/>
  <c r="AP134" i="5"/>
  <c r="AI134" i="5"/>
  <c r="AM134" i="5"/>
  <c r="AQ134" i="5"/>
  <c r="AJ134" i="5"/>
  <c r="AR134" i="5"/>
  <c r="AM126" i="5"/>
  <c r="AM125" i="5" s="1"/>
  <c r="AN126" i="5"/>
  <c r="AN125" i="5" s="1"/>
  <c r="AP126" i="5"/>
  <c r="AQ126" i="5"/>
  <c r="AQ125" i="5" s="1"/>
  <c r="AK126" i="5"/>
  <c r="AO126" i="5"/>
  <c r="AO125" i="5" s="1"/>
  <c r="AR126" i="5"/>
  <c r="AR125" i="5" s="1"/>
  <c r="AI126" i="5"/>
  <c r="AJ126" i="5"/>
  <c r="AJ125" i="5" s="1"/>
  <c r="AG126" i="5"/>
  <c r="AG125" i="5" s="1"/>
  <c r="AH126" i="5"/>
  <c r="AH125" i="5" s="1"/>
  <c r="AG115" i="5"/>
  <c r="AH115" i="5"/>
  <c r="AI115" i="5"/>
  <c r="AK115" i="5"/>
  <c r="AM115" i="5"/>
  <c r="AQ115" i="5"/>
  <c r="AJ115" i="5"/>
  <c r="AN115" i="5"/>
  <c r="AP115" i="5"/>
  <c r="AR115" i="5"/>
  <c r="AG110" i="5"/>
  <c r="AI110" i="5"/>
  <c r="AJ110" i="5"/>
  <c r="AK110" i="5"/>
  <c r="AM110" i="5"/>
  <c r="AN110" i="5"/>
  <c r="AO110" i="5"/>
  <c r="AQ110" i="5"/>
  <c r="AR110" i="5"/>
  <c r="AH110" i="5"/>
  <c r="AN171" i="5"/>
  <c r="AQ171" i="5"/>
  <c r="AI171" i="5"/>
  <c r="AK171" i="5"/>
  <c r="AM171" i="5"/>
  <c r="AO171" i="5"/>
  <c r="AG171" i="5"/>
  <c r="AJ171" i="5"/>
  <c r="AH171" i="5"/>
  <c r="AR171" i="5"/>
  <c r="AG169" i="5"/>
  <c r="AR169" i="5"/>
  <c r="AH169" i="5"/>
  <c r="AN169" i="5"/>
  <c r="AQ169" i="5"/>
  <c r="AM169" i="5"/>
  <c r="AN167" i="5"/>
  <c r="AQ167" i="5"/>
  <c r="AI167" i="5"/>
  <c r="AR167" i="5"/>
  <c r="AH167" i="5"/>
  <c r="AP167" i="5"/>
  <c r="AI164" i="5"/>
  <c r="AK164" i="5"/>
  <c r="AQ164" i="5"/>
  <c r="AR164" i="5"/>
  <c r="AG164" i="5"/>
  <c r="AH164" i="5"/>
  <c r="AM164" i="5"/>
  <c r="AO164" i="5"/>
  <c r="AP164" i="5"/>
  <c r="AN164" i="5"/>
  <c r="AJ161" i="5"/>
  <c r="AJ160" i="5" s="1"/>
  <c r="AN161" i="5"/>
  <c r="AN160" i="5" s="1"/>
  <c r="AR161" i="5"/>
  <c r="AR160" i="5" s="1"/>
  <c r="AI161" i="5"/>
  <c r="AI160" i="5" s="1"/>
  <c r="AM161" i="5"/>
  <c r="AM160" i="5" s="1"/>
  <c r="AP161" i="5"/>
  <c r="AP160" i="5" s="1"/>
  <c r="AK161" i="5"/>
  <c r="AK160" i="5" s="1"/>
  <c r="AO161" i="5"/>
  <c r="AO160" i="5" s="1"/>
  <c r="AG161" i="5"/>
  <c r="AG160" i="5" s="1"/>
  <c r="AH161" i="5"/>
  <c r="AH160" i="5" s="1"/>
  <c r="AG72" i="5"/>
  <c r="AG71" i="5" s="1"/>
  <c r="AJ72" i="5"/>
  <c r="AJ71" i="5" s="1"/>
  <c r="AN72" i="5"/>
  <c r="AN71" i="5" s="1"/>
  <c r="AH72" i="5"/>
  <c r="AH71" i="5" s="1"/>
  <c r="AI72" i="5"/>
  <c r="AI71" i="5" s="1"/>
  <c r="AR72" i="5"/>
  <c r="AR71" i="5" s="1"/>
  <c r="AQ72" i="5"/>
  <c r="AQ71" i="5" s="1"/>
  <c r="AK72" i="5"/>
  <c r="AK71" i="5" s="1"/>
  <c r="AP72" i="5"/>
  <c r="AP71" i="5" s="1"/>
  <c r="AO72" i="5"/>
  <c r="AO71" i="5" s="1"/>
  <c r="AI47" i="5"/>
  <c r="AK47" i="5"/>
  <c r="AQ47" i="5"/>
  <c r="AH47" i="5"/>
  <c r="AJ47" i="5"/>
  <c r="AR47" i="5"/>
  <c r="AG47" i="5"/>
  <c r="AM47" i="5"/>
  <c r="AP47" i="5"/>
  <c r="AN47" i="5"/>
  <c r="AH17" i="5"/>
  <c r="AO17" i="5"/>
  <c r="AG17" i="5"/>
  <c r="AJ17" i="5"/>
  <c r="AP17" i="5"/>
  <c r="AI17" i="5"/>
  <c r="AN17" i="5"/>
  <c r="AR17" i="5"/>
  <c r="AK17" i="5"/>
  <c r="AQ17" i="5"/>
  <c r="AJ14" i="5"/>
  <c r="AG14" i="5"/>
  <c r="AO14" i="5"/>
  <c r="AH14" i="5"/>
  <c r="AK14" i="5"/>
  <c r="AM14" i="5"/>
  <c r="AQ14" i="5"/>
  <c r="AI14" i="5"/>
  <c r="AN14" i="5"/>
  <c r="AR14" i="5"/>
  <c r="AG30" i="5"/>
  <c r="AK30" i="5"/>
  <c r="AN30" i="5"/>
  <c r="AP30" i="5"/>
  <c r="AR30" i="5"/>
  <c r="AI30" i="5"/>
  <c r="AJ30" i="5"/>
  <c r="AM30" i="5"/>
  <c r="AO30" i="5"/>
  <c r="AQ30" i="5"/>
  <c r="AG26" i="5"/>
  <c r="AI26" i="5"/>
  <c r="AK26" i="5"/>
  <c r="AM26" i="5"/>
  <c r="AH26" i="5"/>
  <c r="AJ26" i="5"/>
  <c r="AN26" i="5"/>
  <c r="AQ26" i="5"/>
  <c r="AP26" i="5"/>
  <c r="AR26" i="5"/>
  <c r="AI67" i="5"/>
  <c r="AK67" i="5"/>
  <c r="AM67" i="5"/>
  <c r="AO67" i="5"/>
  <c r="AQ67" i="5"/>
  <c r="AG67" i="5"/>
  <c r="AJ67" i="5"/>
  <c r="AN67" i="5"/>
  <c r="AP67" i="5"/>
  <c r="AH67" i="5"/>
  <c r="AG64" i="5"/>
  <c r="AH64" i="5"/>
  <c r="AJ64" i="5"/>
  <c r="AN64" i="5"/>
  <c r="AP64" i="5"/>
  <c r="AR64" i="5"/>
  <c r="AI64" i="5"/>
  <c r="AK64" i="5"/>
  <c r="AO64" i="5"/>
  <c r="AQ64" i="5"/>
  <c r="AI58" i="5"/>
  <c r="AM58" i="5"/>
  <c r="AQ58" i="5"/>
  <c r="AH58" i="5"/>
  <c r="AP58" i="5"/>
  <c r="AG58" i="5"/>
  <c r="AK58" i="5"/>
  <c r="AJ58" i="5"/>
  <c r="AN58" i="5"/>
  <c r="AR58" i="5"/>
  <c r="AG56" i="5"/>
  <c r="AH56" i="5"/>
  <c r="AP56" i="5"/>
  <c r="AK56" i="5"/>
  <c r="AJ56" i="5"/>
  <c r="AN56" i="5"/>
  <c r="AR56" i="5"/>
  <c r="AI56" i="5"/>
  <c r="AM56" i="5"/>
  <c r="AQ56" i="5"/>
  <c r="AQ42" i="5"/>
  <c r="AH42" i="5"/>
  <c r="AJ42" i="5"/>
  <c r="AR42" i="5"/>
  <c r="AG42" i="5"/>
  <c r="AM42" i="5"/>
  <c r="AO42" i="5"/>
  <c r="AN42" i="5"/>
  <c r="AP42" i="5"/>
  <c r="AG108" i="5"/>
  <c r="AI108" i="5"/>
  <c r="AJ108" i="5"/>
  <c r="AK108" i="5"/>
  <c r="AM108" i="5"/>
  <c r="AN108" i="5"/>
  <c r="AO108" i="5"/>
  <c r="AQ108" i="5"/>
  <c r="AR108" i="5"/>
  <c r="AH108" i="5"/>
  <c r="AG106" i="5"/>
  <c r="AI106" i="5"/>
  <c r="AJ106" i="5"/>
  <c r="AK106" i="5"/>
  <c r="AM106" i="5"/>
  <c r="AN106" i="5"/>
  <c r="AO106" i="5"/>
  <c r="AQ106" i="5"/>
  <c r="AR106" i="5"/>
  <c r="AH106" i="5"/>
  <c r="AJ98" i="5"/>
  <c r="AN98" i="5"/>
  <c r="AR98" i="5"/>
  <c r="AH98" i="5"/>
  <c r="AI98" i="5"/>
  <c r="AK98" i="5"/>
  <c r="AM98" i="5"/>
  <c r="AO98" i="5"/>
  <c r="AQ98" i="5"/>
  <c r="AM96" i="5"/>
  <c r="AO96" i="5"/>
  <c r="AQ96" i="5"/>
  <c r="AJ96" i="5"/>
  <c r="AN96" i="5"/>
  <c r="AR96" i="5"/>
  <c r="AH96" i="5"/>
  <c r="AI96" i="5"/>
  <c r="AK96" i="5"/>
  <c r="AP92" i="5"/>
  <c r="AI92" i="5"/>
  <c r="AQ92" i="5"/>
  <c r="AG92" i="5"/>
  <c r="AH92" i="5"/>
  <c r="AJ92" i="5"/>
  <c r="AN92" i="5"/>
  <c r="AR92" i="5"/>
  <c r="AK92" i="5"/>
  <c r="AO92" i="5"/>
  <c r="AP88" i="5"/>
  <c r="AM88" i="5"/>
  <c r="AQ88" i="5"/>
  <c r="AG88" i="5"/>
  <c r="AH88" i="5"/>
  <c r="AJ88" i="5"/>
  <c r="AN88" i="5"/>
  <c r="AR88" i="5"/>
  <c r="AK88" i="5"/>
  <c r="AO88" i="5"/>
  <c r="AK86" i="5"/>
  <c r="AO86" i="5"/>
  <c r="AG86" i="5"/>
  <c r="AI86" i="5"/>
  <c r="AM86" i="5"/>
  <c r="AQ86" i="5"/>
  <c r="AH86" i="5"/>
  <c r="AJ86" i="5"/>
  <c r="AN86" i="5"/>
  <c r="AR86" i="5"/>
  <c r="AG82" i="5"/>
  <c r="AN82" i="5"/>
  <c r="AR82" i="5"/>
  <c r="AH82" i="5"/>
  <c r="AM82" i="5"/>
  <c r="AQ82" i="5"/>
  <c r="AI82" i="5"/>
  <c r="AP82" i="5"/>
  <c r="AK82" i="5"/>
  <c r="AO82" i="5"/>
  <c r="AH76" i="5"/>
  <c r="AM76" i="5"/>
  <c r="AQ76" i="5"/>
  <c r="AP76" i="5"/>
  <c r="AG76" i="5"/>
  <c r="AK76" i="5"/>
  <c r="AO76" i="5"/>
  <c r="AJ76" i="5"/>
  <c r="AN76" i="5"/>
  <c r="AR76" i="5"/>
  <c r="AG68" i="5"/>
  <c r="AJ68" i="5"/>
  <c r="AN68" i="5"/>
  <c r="AP68" i="5"/>
  <c r="AH68" i="5"/>
  <c r="AR68" i="5"/>
  <c r="AI68" i="5"/>
  <c r="AK68" i="5"/>
  <c r="AM68" i="5"/>
  <c r="AO68" i="5"/>
  <c r="AQ68" i="5"/>
  <c r="AI158" i="5"/>
  <c r="AJ158" i="5"/>
  <c r="AK158" i="5"/>
  <c r="AM158" i="5"/>
  <c r="AN158" i="5"/>
  <c r="AP158" i="5"/>
  <c r="AQ158" i="5"/>
  <c r="AG158" i="5"/>
  <c r="AH158" i="5"/>
  <c r="AM156" i="5"/>
  <c r="AN156" i="5"/>
  <c r="AO156" i="5"/>
  <c r="AP156" i="5"/>
  <c r="AQ156" i="5"/>
  <c r="AI156" i="5"/>
  <c r="AJ156" i="5"/>
  <c r="AK156" i="5"/>
  <c r="AG156" i="5"/>
  <c r="AH156" i="5"/>
  <c r="AI151" i="5"/>
  <c r="AJ151" i="5"/>
  <c r="AK151" i="5"/>
  <c r="AM151" i="5"/>
  <c r="AN151" i="5"/>
  <c r="AO151" i="5"/>
  <c r="AP151" i="5"/>
  <c r="AQ151" i="5"/>
  <c r="AG151" i="5"/>
  <c r="AH151" i="5"/>
  <c r="AM149" i="5"/>
  <c r="AN149" i="5"/>
  <c r="AO149" i="5"/>
  <c r="AP149" i="5"/>
  <c r="AQ149" i="5"/>
  <c r="AR149" i="5"/>
  <c r="AI149" i="5"/>
  <c r="AJ149" i="5"/>
  <c r="AK149" i="5"/>
  <c r="AG149" i="5"/>
  <c r="AH149" i="5"/>
  <c r="AI147" i="5"/>
  <c r="AJ147" i="5"/>
  <c r="AK147" i="5"/>
  <c r="AM147" i="5"/>
  <c r="AN147" i="5"/>
  <c r="AO147" i="5"/>
  <c r="AP147" i="5"/>
  <c r="AQ147" i="5"/>
  <c r="AG147" i="5"/>
  <c r="AH147" i="5"/>
  <c r="AJ142" i="5"/>
  <c r="AN142" i="5"/>
  <c r="AP142" i="5"/>
  <c r="AR142" i="5"/>
  <c r="AI142" i="5"/>
  <c r="AK142" i="5"/>
  <c r="AO142" i="5"/>
  <c r="AQ142" i="5"/>
  <c r="AG142" i="5"/>
  <c r="AH142" i="5"/>
  <c r="AI140" i="5"/>
  <c r="AK140" i="5"/>
  <c r="AO140" i="5"/>
  <c r="AQ140" i="5"/>
  <c r="AJ140" i="5"/>
  <c r="AN140" i="5"/>
  <c r="AP140" i="5"/>
  <c r="AR140" i="5"/>
  <c r="AG140" i="5"/>
  <c r="AH140" i="5"/>
  <c r="AJ137" i="5"/>
  <c r="AP137" i="5"/>
  <c r="AR137" i="5"/>
  <c r="AK137" i="5"/>
  <c r="AM137" i="5"/>
  <c r="AO137" i="5"/>
  <c r="AQ137" i="5"/>
  <c r="AI137" i="5"/>
  <c r="AG137" i="5"/>
  <c r="AH137" i="5"/>
  <c r="AI133" i="5"/>
  <c r="AM133" i="5"/>
  <c r="AQ133" i="5"/>
  <c r="AJ133" i="5"/>
  <c r="AN133" i="5"/>
  <c r="AR133" i="5"/>
  <c r="AG133" i="5"/>
  <c r="AK133" i="5"/>
  <c r="AO133" i="5"/>
  <c r="AH133" i="5"/>
  <c r="AP133" i="5"/>
  <c r="AG116" i="5"/>
  <c r="AH116" i="5"/>
  <c r="AI116" i="5"/>
  <c r="AJ116" i="5"/>
  <c r="AK116" i="5"/>
  <c r="AM116" i="5"/>
  <c r="AN116" i="5"/>
  <c r="AP116" i="5"/>
  <c r="AQ116" i="5"/>
  <c r="AR116" i="5"/>
  <c r="AG111" i="5"/>
  <c r="AH111" i="5"/>
  <c r="AI111" i="5"/>
  <c r="AJ111" i="5"/>
  <c r="AK111" i="5"/>
  <c r="AM111" i="5"/>
  <c r="AN111" i="5"/>
  <c r="AO111" i="5"/>
  <c r="AQ111" i="5"/>
  <c r="AR111" i="5"/>
  <c r="AI109" i="5"/>
  <c r="AJ109" i="5"/>
  <c r="AK109" i="5"/>
  <c r="AM109" i="5"/>
  <c r="AN109" i="5"/>
  <c r="AO109" i="5"/>
  <c r="AP109" i="5"/>
  <c r="AQ109" i="5"/>
  <c r="AR109" i="5"/>
  <c r="AG109" i="5"/>
  <c r="AH109" i="5"/>
  <c r="AG170" i="5"/>
  <c r="AM170" i="5"/>
  <c r="AK170" i="5"/>
  <c r="AQ170" i="5"/>
  <c r="AI168" i="5"/>
  <c r="AK168" i="5"/>
  <c r="AQ168" i="5"/>
  <c r="AR168" i="5"/>
  <c r="AG168" i="5"/>
  <c r="AH168" i="5"/>
  <c r="AM168" i="5"/>
  <c r="AO168" i="5"/>
  <c r="AP168" i="5"/>
  <c r="AJ168" i="5"/>
  <c r="AN168" i="5"/>
  <c r="AG166" i="5"/>
  <c r="AH166" i="5"/>
  <c r="AM166" i="5"/>
  <c r="AO166" i="5"/>
  <c r="AP166" i="5"/>
  <c r="AJ166" i="5"/>
  <c r="AN166" i="5"/>
  <c r="AI166" i="5"/>
  <c r="AK166" i="5"/>
  <c r="AQ166" i="5"/>
  <c r="AR166" i="5"/>
  <c r="AK163" i="5"/>
  <c r="AQ163" i="5"/>
  <c r="AG163" i="5"/>
  <c r="AH163" i="5"/>
  <c r="AM163" i="5"/>
  <c r="AO163" i="5"/>
  <c r="AR163" i="5"/>
  <c r="AJ163" i="5"/>
  <c r="AN163" i="5"/>
  <c r="AP163" i="5"/>
  <c r="AB28" i="5"/>
  <c r="S67" i="5"/>
  <c r="W67" i="5"/>
  <c r="Q67" i="5"/>
  <c r="Y67" i="5"/>
  <c r="U67" i="5"/>
  <c r="O83" i="5"/>
  <c r="Y83" i="5"/>
  <c r="W83" i="5"/>
  <c r="S83" i="5"/>
  <c r="Q83" i="5"/>
  <c r="AA83" i="5"/>
  <c r="O133" i="5"/>
  <c r="U133" i="5"/>
  <c r="Y133" i="5"/>
  <c r="W133" i="5"/>
  <c r="S133" i="5"/>
  <c r="AA133" i="5"/>
  <c r="O14" i="5"/>
  <c r="S14" i="5"/>
  <c r="Y14" i="5"/>
  <c r="U14" i="5"/>
  <c r="Q14" i="5"/>
  <c r="AA14" i="5"/>
  <c r="U64" i="5"/>
  <c r="S64" i="5"/>
  <c r="AA64" i="5"/>
  <c r="Y64" i="5"/>
  <c r="W64" i="5"/>
  <c r="O38" i="5"/>
  <c r="W38" i="5"/>
  <c r="Y38" i="5"/>
  <c r="U38" i="5"/>
  <c r="S38" i="5"/>
  <c r="AA38" i="5"/>
  <c r="Q38" i="5"/>
  <c r="Q94" i="5"/>
  <c r="W94" i="5"/>
  <c r="Y94" i="5"/>
  <c r="S94" i="5"/>
  <c r="AA94" i="5"/>
  <c r="U94" i="5"/>
  <c r="Q80" i="5"/>
  <c r="W80" i="5"/>
  <c r="S80" i="5"/>
  <c r="AA80" i="5"/>
  <c r="Y80" i="5"/>
  <c r="Y156" i="5"/>
  <c r="S156" i="5"/>
  <c r="Q156" i="5"/>
  <c r="W156" i="5"/>
  <c r="U156" i="5"/>
  <c r="S142" i="5"/>
  <c r="W142" i="5"/>
  <c r="U142" i="5"/>
  <c r="Y142" i="5"/>
  <c r="AA142" i="5"/>
  <c r="S116" i="5"/>
  <c r="W116" i="5"/>
  <c r="AA116" i="5"/>
  <c r="Q116" i="5"/>
  <c r="Y116" i="5"/>
  <c r="O168" i="5"/>
  <c r="S168" i="5"/>
  <c r="Y168" i="5"/>
  <c r="U168" i="5"/>
  <c r="AA168" i="5"/>
  <c r="W168" i="5"/>
  <c r="S47" i="5"/>
  <c r="W47" i="5"/>
  <c r="Y47" i="5"/>
  <c r="AA47" i="5"/>
  <c r="Q47" i="5"/>
  <c r="Y158" i="5"/>
  <c r="Q158" i="5"/>
  <c r="W158" i="5"/>
  <c r="S158" i="5"/>
  <c r="S36" i="5"/>
  <c r="AA36" i="5"/>
  <c r="Y36" i="5"/>
  <c r="W36" i="5"/>
  <c r="Q36" i="5"/>
  <c r="M59" i="5"/>
  <c r="Y59" i="5"/>
  <c r="AA59" i="5"/>
  <c r="Q59" i="5"/>
  <c r="S59" i="5"/>
  <c r="W59" i="5"/>
  <c r="U108" i="5"/>
  <c r="Q108" i="5"/>
  <c r="S108" i="5"/>
  <c r="Y108" i="5"/>
  <c r="AA108" i="5"/>
  <c r="W92" i="5"/>
  <c r="S92" i="5"/>
  <c r="Y92" i="5"/>
  <c r="AA92" i="5"/>
  <c r="U92" i="5"/>
  <c r="K76" i="5"/>
  <c r="W76" i="5"/>
  <c r="AA76" i="5"/>
  <c r="Y76" i="5"/>
  <c r="Q155" i="5"/>
  <c r="Y155" i="5"/>
  <c r="W155" i="5"/>
  <c r="AA155" i="5"/>
  <c r="U155" i="5"/>
  <c r="S155" i="5"/>
  <c r="U141" i="5"/>
  <c r="AA141" i="5"/>
  <c r="Y141" i="5"/>
  <c r="S141" i="5"/>
  <c r="W141" i="5"/>
  <c r="Q115" i="5"/>
  <c r="S115" i="5"/>
  <c r="AA115" i="5"/>
  <c r="W115" i="5"/>
  <c r="Y115" i="5"/>
  <c r="O167" i="5"/>
  <c r="S167" i="5"/>
  <c r="AA167" i="5"/>
  <c r="W167" i="5"/>
  <c r="Y167" i="5"/>
  <c r="W58" i="5"/>
  <c r="Q58" i="5"/>
  <c r="AA58" i="5"/>
  <c r="Y58" i="5"/>
  <c r="S58" i="5"/>
  <c r="O89" i="5"/>
  <c r="Y89" i="5"/>
  <c r="U89" i="5"/>
  <c r="W89" i="5"/>
  <c r="S89" i="5"/>
  <c r="AA89" i="5"/>
  <c r="S140" i="5"/>
  <c r="AA140" i="5"/>
  <c r="Y140" i="5"/>
  <c r="U140" i="5"/>
  <c r="W140" i="5"/>
  <c r="AA166" i="5"/>
  <c r="Y166" i="5"/>
  <c r="S166" i="5"/>
  <c r="W166" i="5"/>
  <c r="U166" i="5"/>
  <c r="Q166" i="5"/>
  <c r="O29" i="5"/>
  <c r="U29" i="5"/>
  <c r="W29" i="5"/>
  <c r="S29" i="5"/>
  <c r="Q29" i="5"/>
  <c r="AA29" i="5"/>
  <c r="Y29" i="5"/>
  <c r="W57" i="5"/>
  <c r="Q57" i="5"/>
  <c r="Y57" i="5"/>
  <c r="AA57" i="5"/>
  <c r="S57" i="5"/>
  <c r="U106" i="5"/>
  <c r="S106" i="5"/>
  <c r="AA106" i="5"/>
  <c r="Y106" i="5"/>
  <c r="Q106" i="5"/>
  <c r="O88" i="5"/>
  <c r="U88" i="5"/>
  <c r="AA88" i="5"/>
  <c r="W88" i="5"/>
  <c r="Y88" i="5"/>
  <c r="S88" i="5"/>
  <c r="Q88" i="5"/>
  <c r="AA72" i="5"/>
  <c r="AA71" i="5" s="1"/>
  <c r="Y72" i="5"/>
  <c r="Y71" i="5" s="1"/>
  <c r="U72" i="5"/>
  <c r="U71" i="5" s="1"/>
  <c r="S72" i="5"/>
  <c r="S71" i="5" s="1"/>
  <c r="W72" i="5"/>
  <c r="W71" i="5" s="1"/>
  <c r="W150" i="5"/>
  <c r="S150" i="5"/>
  <c r="U150" i="5"/>
  <c r="Q150" i="5"/>
  <c r="Y150" i="5"/>
  <c r="M138" i="5"/>
  <c r="Y138" i="5"/>
  <c r="S138" i="5"/>
  <c r="Q138" i="5"/>
  <c r="AA138" i="5"/>
  <c r="W138" i="5"/>
  <c r="S110" i="5"/>
  <c r="AA110" i="5"/>
  <c r="Y110" i="5"/>
  <c r="Q110" i="5"/>
  <c r="U110" i="5"/>
  <c r="O164" i="5"/>
  <c r="AA164" i="5"/>
  <c r="Q164" i="5"/>
  <c r="W164" i="5"/>
  <c r="S164" i="5"/>
  <c r="Y164" i="5"/>
  <c r="U164" i="5"/>
  <c r="S30" i="5"/>
  <c r="U30" i="5"/>
  <c r="Y30" i="5"/>
  <c r="W30" i="5"/>
  <c r="Q30" i="5"/>
  <c r="AA30" i="5"/>
  <c r="AA74" i="5"/>
  <c r="Q74" i="5"/>
  <c r="Y74" i="5"/>
  <c r="S74" i="5"/>
  <c r="Y111" i="5"/>
  <c r="Q111" i="5"/>
  <c r="AA111" i="5"/>
  <c r="U111" i="5"/>
  <c r="S111" i="5"/>
  <c r="W26" i="5"/>
  <c r="S26" i="5"/>
  <c r="Y26" i="5"/>
  <c r="AA26" i="5"/>
  <c r="Q26" i="5"/>
  <c r="AA56" i="5"/>
  <c r="Y56" i="5"/>
  <c r="Q56" i="5"/>
  <c r="W56" i="5"/>
  <c r="S56" i="5"/>
  <c r="U99" i="5"/>
  <c r="AA99" i="5"/>
  <c r="Y99" i="5"/>
  <c r="Q99" i="5"/>
  <c r="S99" i="5"/>
  <c r="W87" i="5"/>
  <c r="U87" i="5"/>
  <c r="Y87" i="5"/>
  <c r="AA87" i="5"/>
  <c r="S87" i="5"/>
  <c r="M68" i="5"/>
  <c r="S68" i="5"/>
  <c r="W68" i="5"/>
  <c r="Q68" i="5"/>
  <c r="Y68" i="5"/>
  <c r="AA68" i="5"/>
  <c r="M149" i="5"/>
  <c r="U149" i="5"/>
  <c r="Y149" i="5"/>
  <c r="AA149" i="5"/>
  <c r="S149" i="5"/>
  <c r="W149" i="5"/>
  <c r="Q149" i="5"/>
  <c r="AA137" i="5"/>
  <c r="W137" i="5"/>
  <c r="Q137" i="5"/>
  <c r="Y137" i="5"/>
  <c r="O109" i="5"/>
  <c r="AA109" i="5"/>
  <c r="S109" i="5"/>
  <c r="U109" i="5"/>
  <c r="W109" i="5"/>
  <c r="Y109" i="5"/>
  <c r="O163" i="5"/>
  <c r="U163" i="5"/>
  <c r="S163" i="5"/>
  <c r="AA163" i="5"/>
  <c r="W163" i="5"/>
  <c r="Y163" i="5"/>
  <c r="Q163" i="5"/>
  <c r="Q107" i="5"/>
  <c r="S107" i="5"/>
  <c r="U107" i="5"/>
  <c r="Y107" i="5"/>
  <c r="AA107" i="5"/>
  <c r="U151" i="5"/>
  <c r="S151" i="5"/>
  <c r="Y151" i="5"/>
  <c r="W151" i="5"/>
  <c r="Q151" i="5"/>
  <c r="AA18" i="5"/>
  <c r="U18" i="5"/>
  <c r="Q18" i="5"/>
  <c r="S18" i="5"/>
  <c r="Y18" i="5"/>
  <c r="W18" i="5"/>
  <c r="Q24" i="5"/>
  <c r="S24" i="5"/>
  <c r="W24" i="5"/>
  <c r="AA24" i="5"/>
  <c r="Y24" i="5"/>
  <c r="M49" i="5"/>
  <c r="Q49" i="5"/>
  <c r="S49" i="5"/>
  <c r="W49" i="5"/>
  <c r="AA49" i="5"/>
  <c r="Y49" i="5"/>
  <c r="AA98" i="5"/>
  <c r="U98" i="5"/>
  <c r="Y98" i="5"/>
  <c r="S98" i="5"/>
  <c r="Q98" i="5"/>
  <c r="AA86" i="5"/>
  <c r="Y86" i="5"/>
  <c r="S86" i="5"/>
  <c r="Q86" i="5"/>
  <c r="U86" i="5"/>
  <c r="Y159" i="5"/>
  <c r="U159" i="5"/>
  <c r="AA159" i="5"/>
  <c r="Q159" i="5"/>
  <c r="S159" i="5"/>
  <c r="Y148" i="5"/>
  <c r="S148" i="5"/>
  <c r="W148" i="5"/>
  <c r="Q148" i="5"/>
  <c r="U148" i="5"/>
  <c r="Q134" i="5"/>
  <c r="Y134" i="5"/>
  <c r="W134" i="5"/>
  <c r="AA134" i="5"/>
  <c r="AA171" i="5"/>
  <c r="Q171" i="5"/>
  <c r="S171" i="5"/>
  <c r="Y171" i="5"/>
  <c r="U171" i="5"/>
  <c r="S161" i="5"/>
  <c r="S160" i="5" s="1"/>
  <c r="Q161" i="5"/>
  <c r="Q160" i="5" s="1"/>
  <c r="W161" i="5"/>
  <c r="W160" i="5" s="1"/>
  <c r="U161" i="5"/>
  <c r="U160" i="5" s="1"/>
  <c r="AA161" i="5"/>
  <c r="AA160" i="5" s="1"/>
  <c r="W17" i="5"/>
  <c r="Y17" i="5"/>
  <c r="AA17" i="5"/>
  <c r="S17" i="5"/>
  <c r="U17" i="5"/>
  <c r="S97" i="5"/>
  <c r="Q97" i="5"/>
  <c r="AA97" i="5"/>
  <c r="Y97" i="5"/>
  <c r="U97" i="5"/>
  <c r="W147" i="5"/>
  <c r="S147" i="5"/>
  <c r="U147" i="5"/>
  <c r="Q147" i="5"/>
  <c r="Y147" i="5"/>
  <c r="O15" i="5"/>
  <c r="S15" i="5"/>
  <c r="Q15" i="5"/>
  <c r="AA15" i="5"/>
  <c r="U15" i="5"/>
  <c r="Y15" i="5"/>
  <c r="AA65" i="5"/>
  <c r="U65" i="5"/>
  <c r="S65" i="5"/>
  <c r="Y65" i="5"/>
  <c r="W65" i="5"/>
  <c r="K42" i="5"/>
  <c r="U42" i="5"/>
  <c r="S42" i="5"/>
  <c r="Y42" i="5"/>
  <c r="AA42" i="5"/>
  <c r="Q42" i="5"/>
  <c r="W42" i="5"/>
  <c r="AA96" i="5"/>
  <c r="Q96" i="5"/>
  <c r="S96" i="5"/>
  <c r="U96" i="5"/>
  <c r="Y96" i="5"/>
  <c r="O82" i="5"/>
  <c r="S82" i="5"/>
  <c r="Q82" i="5"/>
  <c r="AA82" i="5"/>
  <c r="Y82" i="5"/>
  <c r="U82" i="5"/>
  <c r="W82" i="5"/>
  <c r="W157" i="5"/>
  <c r="AA157" i="5"/>
  <c r="S157" i="5"/>
  <c r="Q157" i="5"/>
  <c r="U157" i="5"/>
  <c r="Q146" i="5"/>
  <c r="S146" i="5"/>
  <c r="W146" i="5"/>
  <c r="Y146" i="5"/>
  <c r="U146" i="5"/>
  <c r="O126" i="5"/>
  <c r="O125" i="5" s="1"/>
  <c r="Q126" i="5"/>
  <c r="Q125" i="5" s="1"/>
  <c r="AA126" i="5"/>
  <c r="AA125" i="5" s="1"/>
  <c r="W126" i="5"/>
  <c r="Y126" i="5"/>
  <c r="Y125" i="5" s="1"/>
  <c r="S126" i="5"/>
  <c r="S125" i="5" s="1"/>
  <c r="M18" i="5"/>
  <c r="O18" i="5"/>
  <c r="M17" i="5"/>
  <c r="O17" i="5"/>
  <c r="M47" i="5"/>
  <c r="O47" i="5"/>
  <c r="M158" i="5"/>
  <c r="O158" i="5"/>
  <c r="M157" i="5"/>
  <c r="O157" i="5"/>
  <c r="M146" i="5"/>
  <c r="O146" i="5"/>
  <c r="M64" i="5"/>
  <c r="O64" i="5"/>
  <c r="M94" i="5"/>
  <c r="O94" i="5"/>
  <c r="M80" i="5"/>
  <c r="O80" i="5"/>
  <c r="M156" i="5"/>
  <c r="O156" i="5"/>
  <c r="M142" i="5"/>
  <c r="O142" i="5"/>
  <c r="M116" i="5"/>
  <c r="O116" i="5"/>
  <c r="M36" i="5"/>
  <c r="O36" i="5"/>
  <c r="M92" i="5"/>
  <c r="O92" i="5"/>
  <c r="M155" i="5"/>
  <c r="O155" i="5"/>
  <c r="M141" i="5"/>
  <c r="O141" i="5"/>
  <c r="M115" i="5"/>
  <c r="O115" i="5"/>
  <c r="M151" i="5"/>
  <c r="O151" i="5"/>
  <c r="M140" i="5"/>
  <c r="O140" i="5"/>
  <c r="M111" i="5"/>
  <c r="O111" i="5"/>
  <c r="M166" i="5"/>
  <c r="M58" i="5"/>
  <c r="O58" i="5"/>
  <c r="M74" i="5"/>
  <c r="O74" i="5"/>
  <c r="M57" i="5"/>
  <c r="O57" i="5"/>
  <c r="M106" i="5"/>
  <c r="O106" i="5"/>
  <c r="M150" i="5"/>
  <c r="O150" i="5"/>
  <c r="M108" i="5"/>
  <c r="O108" i="5"/>
  <c r="M30" i="5"/>
  <c r="O30" i="5"/>
  <c r="M107" i="5"/>
  <c r="O107" i="5"/>
  <c r="M72" i="5"/>
  <c r="M71" i="5" s="1"/>
  <c r="O72" i="5"/>
  <c r="O71" i="5" s="1"/>
  <c r="M110" i="5"/>
  <c r="O110" i="5"/>
  <c r="M26" i="5"/>
  <c r="O26" i="5"/>
  <c r="M56" i="5"/>
  <c r="O56" i="5"/>
  <c r="M99" i="5"/>
  <c r="O99" i="5"/>
  <c r="M87" i="5"/>
  <c r="O87" i="5"/>
  <c r="M137" i="5"/>
  <c r="O137" i="5"/>
  <c r="M98" i="5"/>
  <c r="O98" i="5"/>
  <c r="M86" i="5"/>
  <c r="O86" i="5"/>
  <c r="M159" i="5"/>
  <c r="O159" i="5"/>
  <c r="M148" i="5"/>
  <c r="O148" i="5"/>
  <c r="M134" i="5"/>
  <c r="O134" i="5"/>
  <c r="M171" i="5"/>
  <c r="O171" i="5"/>
  <c r="M161" i="5"/>
  <c r="M160" i="5" s="1"/>
  <c r="O161" i="5"/>
  <c r="O160" i="5" s="1"/>
  <c r="M24" i="5"/>
  <c r="O24" i="5"/>
  <c r="M67" i="5"/>
  <c r="O67" i="5"/>
  <c r="M97" i="5"/>
  <c r="O97" i="5"/>
  <c r="M147" i="5"/>
  <c r="O147" i="5"/>
  <c r="M65" i="5"/>
  <c r="O65" i="5"/>
  <c r="M96" i="5"/>
  <c r="O96" i="5"/>
  <c r="K14" i="5"/>
  <c r="M14" i="5"/>
  <c r="K38" i="5"/>
  <c r="M38" i="5"/>
  <c r="K89" i="5"/>
  <c r="M89" i="5"/>
  <c r="K88" i="5"/>
  <c r="M88" i="5"/>
  <c r="K109" i="5"/>
  <c r="M109" i="5"/>
  <c r="K15" i="5"/>
  <c r="M15" i="5"/>
  <c r="I82" i="5"/>
  <c r="M82" i="5"/>
  <c r="K168" i="5"/>
  <c r="M168" i="5"/>
  <c r="I164" i="5"/>
  <c r="M164" i="5"/>
  <c r="K29" i="5"/>
  <c r="M29" i="5"/>
  <c r="K163" i="5"/>
  <c r="M163" i="5"/>
  <c r="K133" i="5"/>
  <c r="M133" i="5"/>
  <c r="E170" i="5"/>
  <c r="M170" i="5"/>
  <c r="K126" i="5"/>
  <c r="K125" i="5" s="1"/>
  <c r="M126" i="5"/>
  <c r="M125" i="5" s="1"/>
  <c r="I65" i="5"/>
  <c r="K65" i="5"/>
  <c r="I96" i="5"/>
  <c r="K96" i="5"/>
  <c r="I157" i="5"/>
  <c r="K157" i="5"/>
  <c r="I146" i="5"/>
  <c r="K146" i="5"/>
  <c r="I64" i="5"/>
  <c r="K64" i="5"/>
  <c r="I80" i="5"/>
  <c r="K80" i="5"/>
  <c r="I156" i="5"/>
  <c r="K156" i="5"/>
  <c r="I142" i="5"/>
  <c r="K142" i="5"/>
  <c r="I116" i="5"/>
  <c r="K116" i="5"/>
  <c r="E36" i="5"/>
  <c r="K36" i="5"/>
  <c r="I108" i="5"/>
  <c r="K108" i="5"/>
  <c r="I141" i="5"/>
  <c r="K141" i="5"/>
  <c r="I115" i="5"/>
  <c r="K115" i="5"/>
  <c r="I58" i="5"/>
  <c r="K58" i="5"/>
  <c r="I107" i="5"/>
  <c r="K107" i="5"/>
  <c r="I74" i="5"/>
  <c r="K74" i="5"/>
  <c r="I151" i="5"/>
  <c r="K151" i="5"/>
  <c r="I140" i="5"/>
  <c r="K140" i="5"/>
  <c r="I111" i="5"/>
  <c r="K111" i="5"/>
  <c r="I166" i="5"/>
  <c r="K166" i="5"/>
  <c r="I59" i="5"/>
  <c r="K59" i="5"/>
  <c r="I92" i="5"/>
  <c r="K92" i="5"/>
  <c r="I57" i="5"/>
  <c r="K57" i="5"/>
  <c r="I106" i="5"/>
  <c r="K106" i="5"/>
  <c r="I72" i="5"/>
  <c r="I71" i="5" s="1"/>
  <c r="K72" i="5"/>
  <c r="K71" i="5" s="1"/>
  <c r="I150" i="5"/>
  <c r="K150" i="5"/>
  <c r="I138" i="5"/>
  <c r="K138" i="5"/>
  <c r="I110" i="5"/>
  <c r="K110" i="5"/>
  <c r="I26" i="5"/>
  <c r="K26" i="5"/>
  <c r="I56" i="5"/>
  <c r="K56" i="5"/>
  <c r="I99" i="5"/>
  <c r="K99" i="5"/>
  <c r="I87" i="5"/>
  <c r="K87" i="5"/>
  <c r="I68" i="5"/>
  <c r="K68" i="5"/>
  <c r="I149" i="5"/>
  <c r="K149" i="5"/>
  <c r="I137" i="5"/>
  <c r="K137" i="5"/>
  <c r="K24" i="5"/>
  <c r="I49" i="5"/>
  <c r="K49" i="5"/>
  <c r="I98" i="5"/>
  <c r="K98" i="5"/>
  <c r="I86" i="5"/>
  <c r="K86" i="5"/>
  <c r="I159" i="5"/>
  <c r="K159" i="5"/>
  <c r="I148" i="5"/>
  <c r="K148" i="5"/>
  <c r="I134" i="5"/>
  <c r="K134" i="5"/>
  <c r="I171" i="5"/>
  <c r="K171" i="5"/>
  <c r="I161" i="5"/>
  <c r="I160" i="5" s="1"/>
  <c r="K161" i="5"/>
  <c r="K160" i="5" s="1"/>
  <c r="I17" i="5"/>
  <c r="K17" i="5"/>
  <c r="I67" i="5"/>
  <c r="K67" i="5"/>
  <c r="I47" i="5"/>
  <c r="K47" i="5"/>
  <c r="I97" i="5"/>
  <c r="K97" i="5"/>
  <c r="I83" i="5"/>
  <c r="K83" i="5"/>
  <c r="I158" i="5"/>
  <c r="K158" i="5"/>
  <c r="I147" i="5"/>
  <c r="K147" i="5"/>
  <c r="E18" i="5"/>
  <c r="I18" i="5"/>
  <c r="G15" i="5"/>
  <c r="I15" i="5"/>
  <c r="G126" i="5"/>
  <c r="G125" i="5" s="1"/>
  <c r="I126" i="5"/>
  <c r="I125" i="5" s="1"/>
  <c r="G14" i="5"/>
  <c r="I14" i="5"/>
  <c r="I94" i="5"/>
  <c r="G168" i="5"/>
  <c r="I168" i="5"/>
  <c r="E155" i="5"/>
  <c r="I155" i="5"/>
  <c r="G167" i="5"/>
  <c r="I167" i="5"/>
  <c r="E30" i="5"/>
  <c r="I30" i="5"/>
  <c r="G109" i="5"/>
  <c r="I109" i="5"/>
  <c r="G133" i="5"/>
  <c r="I133" i="5"/>
  <c r="E86" i="5"/>
  <c r="G86" i="5"/>
  <c r="E17" i="5"/>
  <c r="G17" i="5"/>
  <c r="E67" i="5"/>
  <c r="G67" i="5"/>
  <c r="G97" i="5"/>
  <c r="E83" i="5"/>
  <c r="G83" i="5"/>
  <c r="E158" i="5"/>
  <c r="G158" i="5"/>
  <c r="E147" i="5"/>
  <c r="G147" i="5"/>
  <c r="E65" i="5"/>
  <c r="G65" i="5"/>
  <c r="E42" i="5"/>
  <c r="G42" i="5"/>
  <c r="G96" i="5"/>
  <c r="E82" i="5"/>
  <c r="G82" i="5"/>
  <c r="E146" i="5"/>
  <c r="G146" i="5"/>
  <c r="E169" i="5"/>
  <c r="G169" i="5"/>
  <c r="E64" i="5"/>
  <c r="G64" i="5"/>
  <c r="E38" i="5"/>
  <c r="G38" i="5"/>
  <c r="E80" i="5"/>
  <c r="G80" i="5"/>
  <c r="E156" i="5"/>
  <c r="G156" i="5"/>
  <c r="E142" i="5"/>
  <c r="G142" i="5"/>
  <c r="E116" i="5"/>
  <c r="G116" i="5"/>
  <c r="E59" i="5"/>
  <c r="G59" i="5"/>
  <c r="E151" i="5"/>
  <c r="G151" i="5"/>
  <c r="E57" i="5"/>
  <c r="G57" i="5"/>
  <c r="E108" i="5"/>
  <c r="G108" i="5"/>
  <c r="E92" i="5"/>
  <c r="G92" i="5"/>
  <c r="E76" i="5"/>
  <c r="G76" i="5"/>
  <c r="E141" i="5"/>
  <c r="G141" i="5"/>
  <c r="E115" i="5"/>
  <c r="G115" i="5"/>
  <c r="E58" i="5"/>
  <c r="G58" i="5"/>
  <c r="E107" i="5"/>
  <c r="G107" i="5"/>
  <c r="E89" i="5"/>
  <c r="G89" i="5"/>
  <c r="E74" i="5"/>
  <c r="G74" i="5"/>
  <c r="E140" i="5"/>
  <c r="G140" i="5"/>
  <c r="E111" i="5"/>
  <c r="G111" i="5"/>
  <c r="E166" i="5"/>
  <c r="G166" i="5"/>
  <c r="E29" i="5"/>
  <c r="G29" i="5"/>
  <c r="E106" i="5"/>
  <c r="G106" i="5"/>
  <c r="E88" i="5"/>
  <c r="G88" i="5"/>
  <c r="E72" i="5"/>
  <c r="E71" i="5" s="1"/>
  <c r="G72" i="5"/>
  <c r="G71" i="5" s="1"/>
  <c r="E150" i="5"/>
  <c r="G150" i="5"/>
  <c r="E138" i="5"/>
  <c r="G138" i="5"/>
  <c r="E110" i="5"/>
  <c r="G110" i="5"/>
  <c r="E164" i="5"/>
  <c r="G164" i="5"/>
  <c r="E26" i="5"/>
  <c r="G26" i="5"/>
  <c r="E56" i="5"/>
  <c r="G56" i="5"/>
  <c r="G99" i="5"/>
  <c r="E87" i="5"/>
  <c r="G87" i="5"/>
  <c r="E68" i="5"/>
  <c r="G68" i="5"/>
  <c r="E149" i="5"/>
  <c r="G149" i="5"/>
  <c r="E137" i="5"/>
  <c r="G137" i="5"/>
  <c r="E163" i="5"/>
  <c r="G163" i="5"/>
  <c r="E24" i="5"/>
  <c r="G24" i="5"/>
  <c r="E159" i="5"/>
  <c r="G159" i="5"/>
  <c r="E148" i="5"/>
  <c r="G148" i="5"/>
  <c r="E134" i="5"/>
  <c r="G134" i="5"/>
  <c r="E171" i="5"/>
  <c r="G171" i="5"/>
  <c r="E161" i="5"/>
  <c r="G161" i="5"/>
  <c r="G160" i="5" s="1"/>
  <c r="E49" i="5"/>
  <c r="G49" i="5"/>
  <c r="G98" i="5"/>
  <c r="E47" i="5"/>
  <c r="G47" i="5"/>
  <c r="E157" i="5"/>
  <c r="G157" i="5"/>
  <c r="AD15" i="5"/>
  <c r="E15" i="5"/>
  <c r="AD126" i="5"/>
  <c r="E126" i="5"/>
  <c r="E14" i="5"/>
  <c r="AD168" i="5"/>
  <c r="E168" i="5"/>
  <c r="AD109" i="5"/>
  <c r="E109" i="5"/>
  <c r="AD133" i="5"/>
  <c r="E133" i="5"/>
  <c r="AL16" i="5"/>
  <c r="AL19" i="5"/>
  <c r="AL17" i="5"/>
  <c r="AL14" i="5"/>
  <c r="AL30" i="5"/>
  <c r="AL38" i="5"/>
  <c r="AL18" i="5"/>
  <c r="AL15" i="5"/>
  <c r="AL36" i="5"/>
  <c r="AL29" i="5"/>
  <c r="AG29" i="5"/>
  <c r="C6" i="12"/>
  <c r="C7" i="12"/>
  <c r="C8" i="12"/>
  <c r="C9" i="12"/>
  <c r="C11" i="12"/>
  <c r="C12" i="12"/>
  <c r="C13" i="12"/>
  <c r="P30" i="7"/>
  <c r="P28" i="7"/>
  <c r="P26" i="7"/>
  <c r="P22" i="7"/>
  <c r="P21" i="7"/>
  <c r="P19" i="7"/>
  <c r="P20" i="7" s="1"/>
  <c r="P17" i="7"/>
  <c r="P23" i="7" l="1"/>
  <c r="AI132" i="5"/>
  <c r="AI130" i="5" s="1"/>
  <c r="AI125" i="5" s="1"/>
  <c r="G114" i="5"/>
  <c r="AI63" i="5"/>
  <c r="AK63" i="5"/>
  <c r="AK132" i="5"/>
  <c r="AK130" i="5" s="1"/>
  <c r="AK125" i="5" s="1"/>
  <c r="AI136" i="5"/>
  <c r="AK28" i="5"/>
  <c r="AK85" i="5"/>
  <c r="AK55" i="5"/>
  <c r="AI66" i="5"/>
  <c r="AK145" i="5"/>
  <c r="AK93" i="5"/>
  <c r="AK114" i="5"/>
  <c r="AI93" i="5"/>
  <c r="AK136" i="5"/>
  <c r="AK105" i="5"/>
  <c r="AK4" i="5"/>
  <c r="AI114" i="5"/>
  <c r="AI145" i="5"/>
  <c r="AI55" i="5"/>
  <c r="AI105" i="5"/>
  <c r="AH41" i="5"/>
  <c r="AR63" i="5"/>
  <c r="AG4" i="5"/>
  <c r="K63" i="5"/>
  <c r="AJ63" i="5"/>
  <c r="AQ41" i="5"/>
  <c r="AP132" i="5"/>
  <c r="AP130" i="5" s="1"/>
  <c r="I114" i="5"/>
  <c r="I63" i="5"/>
  <c r="AO63" i="5"/>
  <c r="AQ63" i="5"/>
  <c r="AH63" i="5"/>
  <c r="AR132" i="5"/>
  <c r="AR130" i="5" s="1"/>
  <c r="G23" i="5"/>
  <c r="AH132" i="5"/>
  <c r="AH130" i="5" s="1"/>
  <c r="AN63" i="5"/>
  <c r="G55" i="5"/>
  <c r="AP63" i="5"/>
  <c r="AG63" i="5"/>
  <c r="E23" i="5"/>
  <c r="AR41" i="5"/>
  <c r="E55" i="5"/>
  <c r="W23" i="5"/>
  <c r="E41" i="5"/>
  <c r="G63" i="5"/>
  <c r="K114" i="5"/>
  <c r="AH136" i="5"/>
  <c r="AG28" i="5"/>
  <c r="AQ132" i="5"/>
  <c r="AQ130" i="5" s="1"/>
  <c r="AN41" i="5"/>
  <c r="AM41" i="5"/>
  <c r="AN55" i="5"/>
  <c r="AR4" i="5"/>
  <c r="K55" i="5"/>
  <c r="Y23" i="5"/>
  <c r="K66" i="5"/>
  <c r="K23" i="5"/>
  <c r="I66" i="5"/>
  <c r="AJ132" i="5"/>
  <c r="AJ130" i="5" s="1"/>
  <c r="AM132" i="5"/>
  <c r="AM130" i="5" s="1"/>
  <c r="AP136" i="5"/>
  <c r="AR85" i="5"/>
  <c r="AQ85" i="5"/>
  <c r="AM55" i="5"/>
  <c r="AJ55" i="5"/>
  <c r="AP55" i="5"/>
  <c r="AN4" i="5"/>
  <c r="AH85" i="5"/>
  <c r="AS168" i="5"/>
  <c r="I55" i="5"/>
  <c r="S114" i="5"/>
  <c r="AP41" i="5"/>
  <c r="AL132" i="5"/>
  <c r="AL130" i="5" s="1"/>
  <c r="S23" i="5"/>
  <c r="Q114" i="5"/>
  <c r="AS109" i="5"/>
  <c r="AQ55" i="5"/>
  <c r="E63" i="5"/>
  <c r="AJ85" i="5"/>
  <c r="AR55" i="5"/>
  <c r="AL28" i="5"/>
  <c r="E28" i="5"/>
  <c r="E73" i="5"/>
  <c r="M55" i="5"/>
  <c r="M114" i="5"/>
  <c r="AA23" i="5"/>
  <c r="AQ136" i="5"/>
  <c r="AG55" i="5"/>
  <c r="G136" i="5"/>
  <c r="K136" i="5"/>
  <c r="I136" i="5"/>
  <c r="AR136" i="5"/>
  <c r="AG85" i="5"/>
  <c r="AQ4" i="5"/>
  <c r="AQ162" i="5"/>
  <c r="AG132" i="5"/>
  <c r="AG130" i="5" s="1"/>
  <c r="AS133" i="5"/>
  <c r="AG136" i="5"/>
  <c r="AL63" i="5"/>
  <c r="G73" i="5"/>
  <c r="O114" i="5"/>
  <c r="AJ136" i="5"/>
  <c r="AN85" i="5"/>
  <c r="AL4" i="5"/>
  <c r="AL125" i="5"/>
  <c r="AL114" i="5"/>
  <c r="AL93" i="5"/>
  <c r="AL85" i="5"/>
  <c r="AL105" i="5"/>
  <c r="AG41" i="5"/>
  <c r="AO85" i="5"/>
  <c r="AH105" i="5"/>
  <c r="AQ105" i="5"/>
  <c r="AO105" i="5"/>
  <c r="AM105" i="5"/>
  <c r="AJ105" i="5"/>
  <c r="AG105" i="5"/>
  <c r="AH55" i="5"/>
  <c r="AH66" i="5"/>
  <c r="AN66" i="5"/>
  <c r="AG66" i="5"/>
  <c r="AO66" i="5"/>
  <c r="AR114" i="5"/>
  <c r="AN114" i="5"/>
  <c r="AQ114" i="5"/>
  <c r="AM114" i="5"/>
  <c r="AG114" i="5"/>
  <c r="AG145" i="5"/>
  <c r="AN145" i="5"/>
  <c r="AG73" i="5"/>
  <c r="AQ73" i="5"/>
  <c r="AR93" i="5"/>
  <c r="AN93" i="5"/>
  <c r="AQ93" i="5"/>
  <c r="AM93" i="5"/>
  <c r="AN23" i="5"/>
  <c r="AH23" i="5"/>
  <c r="AM23" i="5"/>
  <c r="AR23" i="5"/>
  <c r="AQ23" i="5"/>
  <c r="AP28" i="5"/>
  <c r="AQ28" i="5"/>
  <c r="AM28" i="5"/>
  <c r="AR105" i="5"/>
  <c r="AN105" i="5"/>
  <c r="AP66" i="5"/>
  <c r="AJ66" i="5"/>
  <c r="AQ66" i="5"/>
  <c r="AM66" i="5"/>
  <c r="AP114" i="5"/>
  <c r="AJ114" i="5"/>
  <c r="AH114" i="5"/>
  <c r="AM145" i="5"/>
  <c r="AR73" i="5"/>
  <c r="AP73" i="5"/>
  <c r="AH73" i="5"/>
  <c r="AJ23" i="5"/>
  <c r="AG23" i="5"/>
  <c r="AP23" i="5"/>
  <c r="AR28" i="5"/>
  <c r="AN28" i="5"/>
  <c r="K85" i="5"/>
  <c r="M28" i="5"/>
  <c r="O85" i="5"/>
  <c r="W41" i="5"/>
  <c r="AA85" i="5"/>
  <c r="W136" i="5"/>
  <c r="E4" i="5"/>
  <c r="M66" i="5"/>
  <c r="M136" i="5"/>
  <c r="S145" i="5"/>
  <c r="Q41" i="5"/>
  <c r="Y41" i="5"/>
  <c r="Y85" i="5"/>
  <c r="AA136" i="5"/>
  <c r="S55" i="5"/>
  <c r="Q55" i="5"/>
  <c r="W114" i="5"/>
  <c r="I132" i="5"/>
  <c r="AA41" i="5"/>
  <c r="I93" i="5"/>
  <c r="M132" i="5"/>
  <c r="Q145" i="5"/>
  <c r="S41" i="5"/>
  <c r="S85" i="5"/>
  <c r="Y136" i="5"/>
  <c r="W55" i="5"/>
  <c r="Y114" i="5"/>
  <c r="AA114" i="5"/>
  <c r="E125" i="5"/>
  <c r="Y28" i="5"/>
  <c r="Y132" i="5"/>
  <c r="O132" i="5"/>
  <c r="E132" i="5"/>
  <c r="E160" i="5"/>
  <c r="E136" i="5"/>
  <c r="E114" i="5"/>
  <c r="E145" i="5"/>
  <c r="E105" i="5"/>
  <c r="E66" i="5"/>
  <c r="E85" i="5"/>
  <c r="I145" i="5"/>
  <c r="K132" i="5"/>
  <c r="M85" i="5"/>
  <c r="M145" i="5"/>
  <c r="AA132" i="5"/>
  <c r="W132" i="5"/>
  <c r="W130" i="5" s="1"/>
  <c r="AA105" i="5"/>
  <c r="Y105" i="5"/>
  <c r="U105" i="5"/>
  <c r="S105" i="5"/>
  <c r="O105" i="5"/>
  <c r="M105" i="5"/>
  <c r="K105" i="5"/>
  <c r="I105" i="5"/>
  <c r="AA93" i="5"/>
  <c r="Y93" i="5"/>
  <c r="S93" i="5"/>
  <c r="Q93" i="5"/>
  <c r="O93" i="5"/>
  <c r="M93" i="5"/>
  <c r="U85" i="5"/>
  <c r="AA73" i="5"/>
  <c r="Y73" i="5"/>
  <c r="Y66" i="5"/>
  <c r="W66" i="5"/>
  <c r="S66" i="5"/>
  <c r="Q66" i="5"/>
  <c r="G132" i="5"/>
  <c r="G105" i="5"/>
  <c r="G85" i="5"/>
  <c r="G66" i="5"/>
  <c r="AA63" i="5"/>
  <c r="Y63" i="5"/>
  <c r="W63" i="5"/>
  <c r="U63" i="5"/>
  <c r="S63" i="5"/>
  <c r="O63" i="5"/>
  <c r="M63" i="5"/>
  <c r="AA55" i="5"/>
  <c r="Y55" i="5"/>
  <c r="G41" i="5"/>
  <c r="AA28" i="5"/>
  <c r="W28" i="5"/>
  <c r="S28" i="5"/>
  <c r="Q28" i="5"/>
  <c r="AA4" i="5"/>
  <c r="Y4" i="5"/>
  <c r="S4" i="5"/>
  <c r="O4" i="5"/>
  <c r="M4" i="5"/>
  <c r="G6" i="9" l="1"/>
  <c r="C10" i="12"/>
  <c r="G5" i="11" l="1"/>
  <c r="G7" i="11"/>
  <c r="G8" i="11"/>
  <c r="G9" i="11"/>
  <c r="AJ9" i="11" l="1"/>
  <c r="AI9" i="11" s="1"/>
  <c r="AH9" i="11" s="1"/>
  <c r="L115" i="11"/>
  <c r="AJ115" i="11" s="1"/>
  <c r="AI115" i="11" s="1"/>
  <c r="AH115" i="11" s="1"/>
  <c r="AG115" i="11" s="1"/>
  <c r="AF115" i="11" s="1"/>
  <c r="AE115" i="11" s="1"/>
  <c r="AD115" i="11" s="1"/>
  <c r="AC115" i="11" s="1"/>
  <c r="AB115" i="11" s="1"/>
  <c r="AA115" i="11" s="1"/>
  <c r="Z115" i="11" s="1"/>
  <c r="Y115" i="11" s="1"/>
  <c r="X115" i="11" s="1"/>
  <c r="W115" i="11" s="1"/>
  <c r="V115" i="11" s="1"/>
  <c r="U115" i="11" s="1"/>
  <c r="T115" i="11" s="1"/>
  <c r="S115" i="11" s="1"/>
  <c r="R115" i="11" s="1"/>
  <c r="Q115" i="11" s="1"/>
  <c r="P115" i="11" s="1"/>
  <c r="O115" i="11" s="1"/>
  <c r="N115" i="11" s="1"/>
  <c r="M115" i="11" s="1"/>
  <c r="G111" i="11" s="1"/>
  <c r="L116" i="11"/>
  <c r="AJ116" i="11" s="1"/>
  <c r="AI116" i="11" s="1"/>
  <c r="AH116" i="11" s="1"/>
  <c r="AG116" i="11" s="1"/>
  <c r="AF116" i="11" s="1"/>
  <c r="AE116" i="11" s="1"/>
  <c r="AD116" i="11" s="1"/>
  <c r="AC116" i="11" s="1"/>
  <c r="AB116" i="11" s="1"/>
  <c r="AA116" i="11" s="1"/>
  <c r="Z116" i="11" s="1"/>
  <c r="Y116" i="11" s="1"/>
  <c r="X116" i="11" s="1"/>
  <c r="W116" i="11" s="1"/>
  <c r="V116" i="11" s="1"/>
  <c r="U116" i="11" s="1"/>
  <c r="T116" i="11" s="1"/>
  <c r="S116" i="11" s="1"/>
  <c r="R116" i="11" s="1"/>
  <c r="Q116" i="11" s="1"/>
  <c r="P116" i="11" s="1"/>
  <c r="O116" i="11" s="1"/>
  <c r="N116" i="11" s="1"/>
  <c r="M116" i="11" s="1"/>
  <c r="G112" i="11" s="1"/>
  <c r="L117" i="11"/>
  <c r="AJ117" i="11" s="1"/>
  <c r="AI117" i="11" s="1"/>
  <c r="AH117" i="11" s="1"/>
  <c r="AG117" i="11" s="1"/>
  <c r="AF117" i="11" s="1"/>
  <c r="AE117" i="11" s="1"/>
  <c r="AD117" i="11" s="1"/>
  <c r="AC117" i="11" s="1"/>
  <c r="AB117" i="11" s="1"/>
  <c r="AA117" i="11" s="1"/>
  <c r="Z117" i="11" s="1"/>
  <c r="Y117" i="11" s="1"/>
  <c r="X117" i="11" s="1"/>
  <c r="W117" i="11" s="1"/>
  <c r="V117" i="11" s="1"/>
  <c r="U117" i="11" s="1"/>
  <c r="T117" i="11" s="1"/>
  <c r="S117" i="11" s="1"/>
  <c r="R117" i="11" s="1"/>
  <c r="Q117" i="11" s="1"/>
  <c r="P117" i="11" s="1"/>
  <c r="O117" i="11" s="1"/>
  <c r="N117" i="11" s="1"/>
  <c r="M117" i="11" s="1"/>
  <c r="G113" i="11" s="1"/>
  <c r="L110" i="11"/>
  <c r="AJ110" i="11" s="1"/>
  <c r="AI110" i="11" s="1"/>
  <c r="AH110" i="11" s="1"/>
  <c r="AG110" i="11" s="1"/>
  <c r="AF110" i="11" s="1"/>
  <c r="AE110" i="11" s="1"/>
  <c r="AD110" i="11" s="1"/>
  <c r="AC110" i="11" s="1"/>
  <c r="AB110" i="11" s="1"/>
  <c r="AA110" i="11" s="1"/>
  <c r="Z110" i="11" s="1"/>
  <c r="Y110" i="11" s="1"/>
  <c r="X110" i="11" s="1"/>
  <c r="W110" i="11" s="1"/>
  <c r="V110" i="11" s="1"/>
  <c r="U110" i="11" s="1"/>
  <c r="T110" i="11" s="1"/>
  <c r="S110" i="11" s="1"/>
  <c r="R110" i="11" s="1"/>
  <c r="Q110" i="11" s="1"/>
  <c r="P110" i="11" s="1"/>
  <c r="O110" i="11" s="1"/>
  <c r="N110" i="11" s="1"/>
  <c r="M110" i="11" s="1"/>
  <c r="G106" i="11" s="1"/>
  <c r="L111" i="11"/>
  <c r="AJ111" i="11" s="1"/>
  <c r="AI111" i="11" s="1"/>
  <c r="AH111" i="11" s="1"/>
  <c r="AG111" i="11" s="1"/>
  <c r="AF111" i="11" s="1"/>
  <c r="AE111" i="11" s="1"/>
  <c r="AD111" i="11" s="1"/>
  <c r="AC111" i="11" s="1"/>
  <c r="AB111" i="11" s="1"/>
  <c r="AA111" i="11" s="1"/>
  <c r="Z111" i="11" s="1"/>
  <c r="Y111" i="11" s="1"/>
  <c r="X111" i="11" s="1"/>
  <c r="W111" i="11" s="1"/>
  <c r="V111" i="11" s="1"/>
  <c r="U111" i="11" s="1"/>
  <c r="T111" i="11" s="1"/>
  <c r="S111" i="11" s="1"/>
  <c r="R111" i="11" s="1"/>
  <c r="Q111" i="11" s="1"/>
  <c r="P111" i="11" s="1"/>
  <c r="O111" i="11" s="1"/>
  <c r="N111" i="11" s="1"/>
  <c r="M111" i="11" s="1"/>
  <c r="G107" i="11" s="1"/>
  <c r="L112" i="11"/>
  <c r="AJ112" i="11" s="1"/>
  <c r="AI112" i="11" s="1"/>
  <c r="AH112" i="11" s="1"/>
  <c r="AG112" i="11" s="1"/>
  <c r="AF112" i="11" s="1"/>
  <c r="AE112" i="11" s="1"/>
  <c r="AD112" i="11" s="1"/>
  <c r="AC112" i="11" s="1"/>
  <c r="AB112" i="11" s="1"/>
  <c r="AA112" i="11" s="1"/>
  <c r="Z112" i="11" s="1"/>
  <c r="Y112" i="11" s="1"/>
  <c r="X112" i="11" s="1"/>
  <c r="W112" i="11" s="1"/>
  <c r="V112" i="11" s="1"/>
  <c r="U112" i="11" s="1"/>
  <c r="T112" i="11" s="1"/>
  <c r="S112" i="11" s="1"/>
  <c r="R112" i="11" s="1"/>
  <c r="Q112" i="11" s="1"/>
  <c r="P112" i="11" s="1"/>
  <c r="O112" i="11" s="1"/>
  <c r="N112" i="11" s="1"/>
  <c r="M112" i="11" s="1"/>
  <c r="G108" i="11" s="1"/>
  <c r="L113" i="11"/>
  <c r="AJ113" i="11" s="1"/>
  <c r="AI113" i="11" s="1"/>
  <c r="AH113" i="11" s="1"/>
  <c r="AG113" i="11" s="1"/>
  <c r="AF113" i="11" s="1"/>
  <c r="AE113" i="11" s="1"/>
  <c r="AD113" i="11" s="1"/>
  <c r="AC113" i="11" s="1"/>
  <c r="AB113" i="11" s="1"/>
  <c r="AA113" i="11" s="1"/>
  <c r="Z113" i="11" s="1"/>
  <c r="Y113" i="11" s="1"/>
  <c r="X113" i="11" s="1"/>
  <c r="W113" i="11" s="1"/>
  <c r="V113" i="11" s="1"/>
  <c r="U113" i="11" s="1"/>
  <c r="T113" i="11" s="1"/>
  <c r="S113" i="11" s="1"/>
  <c r="R113" i="11" s="1"/>
  <c r="Q113" i="11" s="1"/>
  <c r="P113" i="11" s="1"/>
  <c r="O113" i="11" s="1"/>
  <c r="N113" i="11" s="1"/>
  <c r="M113" i="11" s="1"/>
  <c r="G109" i="11" s="1"/>
  <c r="L114" i="11"/>
  <c r="AJ114" i="11" s="1"/>
  <c r="AI114" i="11" s="1"/>
  <c r="AH114" i="11" s="1"/>
  <c r="AG114" i="11" s="1"/>
  <c r="AF114" i="11" s="1"/>
  <c r="AE114" i="11" s="1"/>
  <c r="AD114" i="11" s="1"/>
  <c r="AC114" i="11" s="1"/>
  <c r="AB114" i="11" s="1"/>
  <c r="AA114" i="11" s="1"/>
  <c r="Z114" i="11" s="1"/>
  <c r="Y114" i="11" s="1"/>
  <c r="X114" i="11" s="1"/>
  <c r="W114" i="11" s="1"/>
  <c r="V114" i="11" s="1"/>
  <c r="U114" i="11" s="1"/>
  <c r="T114" i="11" s="1"/>
  <c r="S114" i="11" s="1"/>
  <c r="R114" i="11" s="1"/>
  <c r="Q114" i="11" s="1"/>
  <c r="P114" i="11" s="1"/>
  <c r="O114" i="11" s="1"/>
  <c r="N114" i="11" s="1"/>
  <c r="M114" i="11" s="1"/>
  <c r="G110" i="11" s="1"/>
  <c r="L9" i="11"/>
  <c r="L10" i="11"/>
  <c r="AJ10" i="11" s="1"/>
  <c r="AI10" i="11" s="1"/>
  <c r="AH10" i="11" s="1"/>
  <c r="AG10" i="11" s="1"/>
  <c r="AF10" i="11" s="1"/>
  <c r="AE10" i="11" s="1"/>
  <c r="AD10" i="11" s="1"/>
  <c r="AC10" i="11" s="1"/>
  <c r="AB10" i="11" s="1"/>
  <c r="AA10" i="11" s="1"/>
  <c r="Z10" i="11" s="1"/>
  <c r="Y10" i="11" s="1"/>
  <c r="X10" i="11" s="1"/>
  <c r="W10" i="11" s="1"/>
  <c r="V10" i="11" s="1"/>
  <c r="U10" i="11" s="1"/>
  <c r="T10" i="11" s="1"/>
  <c r="S10" i="11" s="1"/>
  <c r="R10" i="11" s="1"/>
  <c r="Q10" i="11" s="1"/>
  <c r="P10" i="11" s="1"/>
  <c r="O10" i="11" s="1"/>
  <c r="N10" i="11" s="1"/>
  <c r="M10" i="11" s="1"/>
  <c r="G6" i="11" s="1"/>
  <c r="L11" i="11"/>
  <c r="L12" i="11"/>
  <c r="L13" i="11"/>
  <c r="L14" i="11"/>
  <c r="AM14" i="11" s="1"/>
  <c r="AL14" i="11" s="1"/>
  <c r="AK14" i="11" s="1"/>
  <c r="AJ14" i="11" s="1"/>
  <c r="AI14" i="11" s="1"/>
  <c r="AH14" i="11" s="1"/>
  <c r="AG14" i="11" s="1"/>
  <c r="AF14" i="11" s="1"/>
  <c r="AE14" i="11" s="1"/>
  <c r="AD14" i="11" s="1"/>
  <c r="AC14" i="11" s="1"/>
  <c r="AB14" i="11" s="1"/>
  <c r="AA14" i="11" s="1"/>
  <c r="Z14" i="11" s="1"/>
  <c r="Y14" i="11" s="1"/>
  <c r="X14" i="11" s="1"/>
  <c r="W14" i="11" s="1"/>
  <c r="V14" i="11" s="1"/>
  <c r="U14" i="11" s="1"/>
  <c r="T14" i="11" s="1"/>
  <c r="S14" i="11" s="1"/>
  <c r="R14" i="11" s="1"/>
  <c r="Q14" i="11" s="1"/>
  <c r="P14" i="11" s="1"/>
  <c r="O14" i="11" s="1"/>
  <c r="N14" i="11" s="1"/>
  <c r="M14" i="11" s="1"/>
  <c r="G10" i="11" s="1"/>
  <c r="L15" i="11"/>
  <c r="AJ15" i="11" s="1"/>
  <c r="AI15" i="11" s="1"/>
  <c r="AH15" i="11" s="1"/>
  <c r="AG15" i="11" s="1"/>
  <c r="AF15" i="11" s="1"/>
  <c r="AE15" i="11" s="1"/>
  <c r="AD15" i="11" s="1"/>
  <c r="AC15" i="11" s="1"/>
  <c r="AB15" i="11" s="1"/>
  <c r="AA15" i="11" s="1"/>
  <c r="Z15" i="11" s="1"/>
  <c r="Y15" i="11" s="1"/>
  <c r="X15" i="11" s="1"/>
  <c r="W15" i="11" s="1"/>
  <c r="V15" i="11" s="1"/>
  <c r="U15" i="11" s="1"/>
  <c r="T15" i="11" s="1"/>
  <c r="S15" i="11" s="1"/>
  <c r="R15" i="11" s="1"/>
  <c r="Q15" i="11" s="1"/>
  <c r="P15" i="11" s="1"/>
  <c r="O15" i="11" s="1"/>
  <c r="N15" i="11" s="1"/>
  <c r="M15" i="11" s="1"/>
  <c r="G11" i="11" s="1"/>
  <c r="L16" i="11"/>
  <c r="AJ16" i="11" s="1"/>
  <c r="AI16" i="11" s="1"/>
  <c r="AH16" i="11" s="1"/>
  <c r="AG16" i="11" s="1"/>
  <c r="AF16" i="11" s="1"/>
  <c r="AE16" i="11" s="1"/>
  <c r="AD16" i="11" s="1"/>
  <c r="AC16" i="11" s="1"/>
  <c r="AB16" i="11" s="1"/>
  <c r="AA16" i="11" s="1"/>
  <c r="Z16" i="11" s="1"/>
  <c r="Y16" i="11" s="1"/>
  <c r="X16" i="11" s="1"/>
  <c r="W16" i="11" s="1"/>
  <c r="V16" i="11" s="1"/>
  <c r="U16" i="11" s="1"/>
  <c r="T16" i="11" s="1"/>
  <c r="S16" i="11" s="1"/>
  <c r="R16" i="11" s="1"/>
  <c r="Q16" i="11" s="1"/>
  <c r="P16" i="11" s="1"/>
  <c r="O16" i="11" s="1"/>
  <c r="N16" i="11" s="1"/>
  <c r="M16" i="11" s="1"/>
  <c r="G12" i="11" s="1"/>
  <c r="L17" i="11"/>
  <c r="AJ17" i="11" s="1"/>
  <c r="AI17" i="11" s="1"/>
  <c r="AH17" i="11" s="1"/>
  <c r="AG17" i="11" s="1"/>
  <c r="AF17" i="11" s="1"/>
  <c r="AE17" i="11" s="1"/>
  <c r="AD17" i="11" s="1"/>
  <c r="AC17" i="11" s="1"/>
  <c r="AB17" i="11" s="1"/>
  <c r="AA17" i="11" s="1"/>
  <c r="Z17" i="11" s="1"/>
  <c r="Y17" i="11" s="1"/>
  <c r="X17" i="11" s="1"/>
  <c r="W17" i="11" s="1"/>
  <c r="V17" i="11" s="1"/>
  <c r="U17" i="11" s="1"/>
  <c r="T17" i="11" s="1"/>
  <c r="S17" i="11" s="1"/>
  <c r="R17" i="11" s="1"/>
  <c r="Q17" i="11" s="1"/>
  <c r="P17" i="11" s="1"/>
  <c r="O17" i="11" s="1"/>
  <c r="N17" i="11" s="1"/>
  <c r="M17" i="11" s="1"/>
  <c r="G13" i="11" s="1"/>
  <c r="L18" i="11"/>
  <c r="AJ18" i="11" s="1"/>
  <c r="AI18" i="11" s="1"/>
  <c r="AH18" i="11" s="1"/>
  <c r="AG18" i="11" s="1"/>
  <c r="AF18" i="11" s="1"/>
  <c r="AE18" i="11" s="1"/>
  <c r="AD18" i="11" s="1"/>
  <c r="AC18" i="11" s="1"/>
  <c r="AB18" i="11" s="1"/>
  <c r="AA18" i="11" s="1"/>
  <c r="Z18" i="11" s="1"/>
  <c r="Y18" i="11" s="1"/>
  <c r="X18" i="11" s="1"/>
  <c r="W18" i="11" s="1"/>
  <c r="V18" i="11" s="1"/>
  <c r="U18" i="11" s="1"/>
  <c r="T18" i="11" s="1"/>
  <c r="S18" i="11" s="1"/>
  <c r="R18" i="11" s="1"/>
  <c r="Q18" i="11" s="1"/>
  <c r="P18" i="11" s="1"/>
  <c r="O18" i="11" s="1"/>
  <c r="N18" i="11" s="1"/>
  <c r="M18" i="11" s="1"/>
  <c r="G14" i="11" s="1"/>
  <c r="L19" i="11"/>
  <c r="AJ19" i="11" s="1"/>
  <c r="AI19" i="11" s="1"/>
  <c r="AH19" i="11" s="1"/>
  <c r="AG19" i="11" s="1"/>
  <c r="AF19" i="11" s="1"/>
  <c r="AE19" i="11" s="1"/>
  <c r="AD19" i="11" s="1"/>
  <c r="AC19" i="11" s="1"/>
  <c r="AB19" i="11" s="1"/>
  <c r="AA19" i="11" s="1"/>
  <c r="Z19" i="11" s="1"/>
  <c r="Y19" i="11" s="1"/>
  <c r="X19" i="11" s="1"/>
  <c r="W19" i="11" s="1"/>
  <c r="V19" i="11" s="1"/>
  <c r="U19" i="11" s="1"/>
  <c r="T19" i="11" s="1"/>
  <c r="S19" i="11" s="1"/>
  <c r="R19" i="11" s="1"/>
  <c r="Q19" i="11" s="1"/>
  <c r="P19" i="11" s="1"/>
  <c r="O19" i="11" s="1"/>
  <c r="N19" i="11" s="1"/>
  <c r="M19" i="11" s="1"/>
  <c r="G15" i="11" s="1"/>
  <c r="L20" i="11"/>
  <c r="AJ20" i="11" s="1"/>
  <c r="AI20" i="11" s="1"/>
  <c r="AH20" i="11" s="1"/>
  <c r="AG20" i="11" s="1"/>
  <c r="AF20" i="11" s="1"/>
  <c r="AE20" i="11" s="1"/>
  <c r="AD20" i="11" s="1"/>
  <c r="AC20" i="11" s="1"/>
  <c r="AB20" i="11" s="1"/>
  <c r="AA20" i="11" s="1"/>
  <c r="Z20" i="11" s="1"/>
  <c r="Y20" i="11" s="1"/>
  <c r="X20" i="11" s="1"/>
  <c r="W20" i="11" s="1"/>
  <c r="V20" i="11" s="1"/>
  <c r="U20" i="11" s="1"/>
  <c r="T20" i="11" s="1"/>
  <c r="S20" i="11" s="1"/>
  <c r="R20" i="11" s="1"/>
  <c r="Q20" i="11" s="1"/>
  <c r="P20" i="11" s="1"/>
  <c r="O20" i="11" s="1"/>
  <c r="N20" i="11" s="1"/>
  <c r="M20" i="11" s="1"/>
  <c r="G16" i="11" s="1"/>
  <c r="L21" i="11"/>
  <c r="AJ21" i="11" s="1"/>
  <c r="AI21" i="11" s="1"/>
  <c r="AH21" i="11" s="1"/>
  <c r="AG21" i="11" s="1"/>
  <c r="AF21" i="11" s="1"/>
  <c r="AE21" i="11" s="1"/>
  <c r="AD21" i="11" s="1"/>
  <c r="AC21" i="11" s="1"/>
  <c r="AB21" i="11" s="1"/>
  <c r="AA21" i="11" s="1"/>
  <c r="Z21" i="11" s="1"/>
  <c r="Y21" i="11" s="1"/>
  <c r="X21" i="11" s="1"/>
  <c r="W21" i="11" s="1"/>
  <c r="V21" i="11" s="1"/>
  <c r="U21" i="11" s="1"/>
  <c r="T21" i="11" s="1"/>
  <c r="S21" i="11" s="1"/>
  <c r="R21" i="11" s="1"/>
  <c r="Q21" i="11" s="1"/>
  <c r="P21" i="11" s="1"/>
  <c r="O21" i="11" s="1"/>
  <c r="N21" i="11" s="1"/>
  <c r="M21" i="11" s="1"/>
  <c r="G17" i="11" s="1"/>
  <c r="L22" i="11"/>
  <c r="AJ22" i="11" s="1"/>
  <c r="AI22" i="11" s="1"/>
  <c r="AH22" i="11" s="1"/>
  <c r="AG22" i="11" s="1"/>
  <c r="AF22" i="11" s="1"/>
  <c r="AE22" i="11" s="1"/>
  <c r="AD22" i="11" s="1"/>
  <c r="AC22" i="11" s="1"/>
  <c r="AB22" i="11" s="1"/>
  <c r="AA22" i="11" s="1"/>
  <c r="Z22" i="11" s="1"/>
  <c r="Y22" i="11" s="1"/>
  <c r="X22" i="11" s="1"/>
  <c r="W22" i="11" s="1"/>
  <c r="V22" i="11" s="1"/>
  <c r="U22" i="11" s="1"/>
  <c r="T22" i="11" s="1"/>
  <c r="S22" i="11" s="1"/>
  <c r="R22" i="11" s="1"/>
  <c r="Q22" i="11" s="1"/>
  <c r="P22" i="11" s="1"/>
  <c r="O22" i="11" s="1"/>
  <c r="N22" i="11" s="1"/>
  <c r="M22" i="11" s="1"/>
  <c r="G18" i="11" s="1"/>
  <c r="L23" i="11"/>
  <c r="AJ23" i="11" s="1"/>
  <c r="AI23" i="11" s="1"/>
  <c r="AH23" i="11" s="1"/>
  <c r="AG23" i="11" s="1"/>
  <c r="AF23" i="11" s="1"/>
  <c r="AE23" i="11" s="1"/>
  <c r="AD23" i="11" s="1"/>
  <c r="AC23" i="11" s="1"/>
  <c r="AB23" i="11" s="1"/>
  <c r="AA23" i="11" s="1"/>
  <c r="Z23" i="11" s="1"/>
  <c r="Y23" i="11" s="1"/>
  <c r="X23" i="11" s="1"/>
  <c r="W23" i="11" s="1"/>
  <c r="V23" i="11" s="1"/>
  <c r="U23" i="11" s="1"/>
  <c r="T23" i="11" s="1"/>
  <c r="S23" i="11" s="1"/>
  <c r="R23" i="11" s="1"/>
  <c r="Q23" i="11" s="1"/>
  <c r="P23" i="11" s="1"/>
  <c r="O23" i="11" s="1"/>
  <c r="N23" i="11" s="1"/>
  <c r="M23" i="11" s="1"/>
  <c r="G19" i="11" s="1"/>
  <c r="L24" i="11"/>
  <c r="AJ24" i="11" s="1"/>
  <c r="AI24" i="11" s="1"/>
  <c r="AH24" i="11" s="1"/>
  <c r="AG24" i="11" s="1"/>
  <c r="AF24" i="11" s="1"/>
  <c r="AE24" i="11" s="1"/>
  <c r="AD24" i="11" s="1"/>
  <c r="AC24" i="11" s="1"/>
  <c r="AB24" i="11" s="1"/>
  <c r="AA24" i="11" s="1"/>
  <c r="Z24" i="11" s="1"/>
  <c r="Y24" i="11" s="1"/>
  <c r="X24" i="11" s="1"/>
  <c r="W24" i="11" s="1"/>
  <c r="V24" i="11" s="1"/>
  <c r="U24" i="11" s="1"/>
  <c r="T24" i="11" s="1"/>
  <c r="S24" i="11" s="1"/>
  <c r="R24" i="11" s="1"/>
  <c r="Q24" i="11" s="1"/>
  <c r="P24" i="11" s="1"/>
  <c r="O24" i="11" s="1"/>
  <c r="N24" i="11" s="1"/>
  <c r="M24" i="11" s="1"/>
  <c r="G20" i="11" s="1"/>
  <c r="L25" i="11"/>
  <c r="AJ25" i="11" s="1"/>
  <c r="AI25" i="11" s="1"/>
  <c r="AH25" i="11" s="1"/>
  <c r="AG25" i="11" s="1"/>
  <c r="AF25" i="11" s="1"/>
  <c r="AE25" i="11" s="1"/>
  <c r="AD25" i="11" s="1"/>
  <c r="AC25" i="11" s="1"/>
  <c r="AB25" i="11" s="1"/>
  <c r="AA25" i="11" s="1"/>
  <c r="Z25" i="11" s="1"/>
  <c r="Y25" i="11" s="1"/>
  <c r="X25" i="11" s="1"/>
  <c r="W25" i="11" s="1"/>
  <c r="V25" i="11" s="1"/>
  <c r="U25" i="11" s="1"/>
  <c r="T25" i="11" s="1"/>
  <c r="S25" i="11" s="1"/>
  <c r="R25" i="11" s="1"/>
  <c r="Q25" i="11" s="1"/>
  <c r="P25" i="11" s="1"/>
  <c r="O25" i="11" s="1"/>
  <c r="N25" i="11" s="1"/>
  <c r="M25" i="11" s="1"/>
  <c r="G21" i="11" s="1"/>
  <c r="L26" i="11"/>
  <c r="AJ26" i="11" s="1"/>
  <c r="AI26" i="11" s="1"/>
  <c r="AH26" i="11" s="1"/>
  <c r="AG26" i="11" s="1"/>
  <c r="AF26" i="11" s="1"/>
  <c r="AE26" i="11" s="1"/>
  <c r="AD26" i="11" s="1"/>
  <c r="AC26" i="11" s="1"/>
  <c r="AB26" i="11" s="1"/>
  <c r="AA26" i="11" s="1"/>
  <c r="Z26" i="11" s="1"/>
  <c r="Y26" i="11" s="1"/>
  <c r="X26" i="11" s="1"/>
  <c r="W26" i="11" s="1"/>
  <c r="V26" i="11" s="1"/>
  <c r="U26" i="11" s="1"/>
  <c r="T26" i="11" s="1"/>
  <c r="S26" i="11" s="1"/>
  <c r="R26" i="11" s="1"/>
  <c r="Q26" i="11" s="1"/>
  <c r="P26" i="11" s="1"/>
  <c r="O26" i="11" s="1"/>
  <c r="N26" i="11" s="1"/>
  <c r="M26" i="11" s="1"/>
  <c r="G22" i="11" s="1"/>
  <c r="L27" i="11"/>
  <c r="AJ27" i="11" s="1"/>
  <c r="AI27" i="11" s="1"/>
  <c r="AH27" i="11" s="1"/>
  <c r="AG27" i="11" s="1"/>
  <c r="AF27" i="11" s="1"/>
  <c r="AE27" i="11" s="1"/>
  <c r="AD27" i="11" s="1"/>
  <c r="AC27" i="11" s="1"/>
  <c r="AB27" i="11" s="1"/>
  <c r="AA27" i="11" s="1"/>
  <c r="Z27" i="11" s="1"/>
  <c r="Y27" i="11" s="1"/>
  <c r="X27" i="11" s="1"/>
  <c r="W27" i="11" s="1"/>
  <c r="V27" i="11" s="1"/>
  <c r="U27" i="11" s="1"/>
  <c r="T27" i="11" s="1"/>
  <c r="S27" i="11" s="1"/>
  <c r="R27" i="11" s="1"/>
  <c r="Q27" i="11" s="1"/>
  <c r="P27" i="11" s="1"/>
  <c r="O27" i="11" s="1"/>
  <c r="N27" i="11" s="1"/>
  <c r="M27" i="11" s="1"/>
  <c r="G23" i="11" s="1"/>
  <c r="L28" i="11"/>
  <c r="AJ28" i="11" s="1"/>
  <c r="AI28" i="11" s="1"/>
  <c r="AH28" i="11" s="1"/>
  <c r="AG28" i="11" s="1"/>
  <c r="AF28" i="11" s="1"/>
  <c r="AE28" i="11" s="1"/>
  <c r="AD28" i="11" s="1"/>
  <c r="AC28" i="11" s="1"/>
  <c r="AB28" i="11" s="1"/>
  <c r="AA28" i="11" s="1"/>
  <c r="Z28" i="11" s="1"/>
  <c r="Y28" i="11" s="1"/>
  <c r="X28" i="11" s="1"/>
  <c r="W28" i="11" s="1"/>
  <c r="V28" i="11" s="1"/>
  <c r="U28" i="11" s="1"/>
  <c r="T28" i="11" s="1"/>
  <c r="S28" i="11" s="1"/>
  <c r="R28" i="11" s="1"/>
  <c r="Q28" i="11" s="1"/>
  <c r="P28" i="11" s="1"/>
  <c r="O28" i="11" s="1"/>
  <c r="N28" i="11" s="1"/>
  <c r="M28" i="11" s="1"/>
  <c r="G24" i="11" s="1"/>
  <c r="L29" i="11"/>
  <c r="AJ29" i="11" s="1"/>
  <c r="AI29" i="11" s="1"/>
  <c r="AH29" i="11" s="1"/>
  <c r="AG29" i="11" s="1"/>
  <c r="AF29" i="11" s="1"/>
  <c r="AE29" i="11" s="1"/>
  <c r="AD29" i="11" s="1"/>
  <c r="AC29" i="11" s="1"/>
  <c r="AB29" i="11" s="1"/>
  <c r="AA29" i="11" s="1"/>
  <c r="Z29" i="11" s="1"/>
  <c r="Y29" i="11" s="1"/>
  <c r="X29" i="11" s="1"/>
  <c r="W29" i="11" s="1"/>
  <c r="V29" i="11" s="1"/>
  <c r="U29" i="11" s="1"/>
  <c r="T29" i="11" s="1"/>
  <c r="S29" i="11" s="1"/>
  <c r="R29" i="11" s="1"/>
  <c r="Q29" i="11" s="1"/>
  <c r="P29" i="11" s="1"/>
  <c r="O29" i="11" s="1"/>
  <c r="N29" i="11" s="1"/>
  <c r="M29" i="11" s="1"/>
  <c r="G25" i="11" s="1"/>
  <c r="L30" i="11"/>
  <c r="AJ30" i="11" s="1"/>
  <c r="AI30" i="11" s="1"/>
  <c r="AH30" i="11" s="1"/>
  <c r="AG30" i="11" s="1"/>
  <c r="AF30" i="11" s="1"/>
  <c r="AE30" i="11" s="1"/>
  <c r="AD30" i="11" s="1"/>
  <c r="AC30" i="11" s="1"/>
  <c r="AB30" i="11" s="1"/>
  <c r="AA30" i="11" s="1"/>
  <c r="Z30" i="11" s="1"/>
  <c r="Y30" i="11" s="1"/>
  <c r="X30" i="11" s="1"/>
  <c r="W30" i="11" s="1"/>
  <c r="V30" i="11" s="1"/>
  <c r="U30" i="11" s="1"/>
  <c r="T30" i="11" s="1"/>
  <c r="S30" i="11" s="1"/>
  <c r="R30" i="11" s="1"/>
  <c r="Q30" i="11" s="1"/>
  <c r="P30" i="11" s="1"/>
  <c r="O30" i="11" s="1"/>
  <c r="N30" i="11" s="1"/>
  <c r="M30" i="11" s="1"/>
  <c r="G26" i="11" s="1"/>
  <c r="L31" i="11"/>
  <c r="AJ31" i="11" s="1"/>
  <c r="AI31" i="11" s="1"/>
  <c r="AH31" i="11" s="1"/>
  <c r="AG31" i="11" s="1"/>
  <c r="AF31" i="11" s="1"/>
  <c r="AE31" i="11" s="1"/>
  <c r="AD31" i="11" s="1"/>
  <c r="AC31" i="11" s="1"/>
  <c r="AB31" i="11" s="1"/>
  <c r="AA31" i="11" s="1"/>
  <c r="Z31" i="11" s="1"/>
  <c r="Y31" i="11" s="1"/>
  <c r="X31" i="11" s="1"/>
  <c r="W31" i="11" s="1"/>
  <c r="V31" i="11" s="1"/>
  <c r="U31" i="11" s="1"/>
  <c r="T31" i="11" s="1"/>
  <c r="S31" i="11" s="1"/>
  <c r="R31" i="11" s="1"/>
  <c r="Q31" i="11" s="1"/>
  <c r="P31" i="11" s="1"/>
  <c r="O31" i="11" s="1"/>
  <c r="N31" i="11" s="1"/>
  <c r="M31" i="11" s="1"/>
  <c r="G27" i="11" s="1"/>
  <c r="L32" i="11"/>
  <c r="AJ32" i="11" s="1"/>
  <c r="AI32" i="11" s="1"/>
  <c r="AH32" i="11" s="1"/>
  <c r="AG32" i="11" s="1"/>
  <c r="AF32" i="11" s="1"/>
  <c r="AE32" i="11" s="1"/>
  <c r="AD32" i="11" s="1"/>
  <c r="AC32" i="11" s="1"/>
  <c r="AB32" i="11" s="1"/>
  <c r="AA32" i="11" s="1"/>
  <c r="Z32" i="11" s="1"/>
  <c r="Y32" i="11" s="1"/>
  <c r="X32" i="11" s="1"/>
  <c r="W32" i="11" s="1"/>
  <c r="V32" i="11" s="1"/>
  <c r="U32" i="11" s="1"/>
  <c r="T32" i="11" s="1"/>
  <c r="S32" i="11" s="1"/>
  <c r="R32" i="11" s="1"/>
  <c r="Q32" i="11" s="1"/>
  <c r="P32" i="11" s="1"/>
  <c r="O32" i="11" s="1"/>
  <c r="N32" i="11" s="1"/>
  <c r="M32" i="11" s="1"/>
  <c r="G28" i="11" s="1"/>
  <c r="L33" i="11"/>
  <c r="AJ33" i="11" s="1"/>
  <c r="AI33" i="11" s="1"/>
  <c r="AH33" i="11" s="1"/>
  <c r="AG33" i="11" s="1"/>
  <c r="AF33" i="11" s="1"/>
  <c r="AE33" i="11" s="1"/>
  <c r="AD33" i="11" s="1"/>
  <c r="AC33" i="11" s="1"/>
  <c r="AB33" i="11" s="1"/>
  <c r="AA33" i="11" s="1"/>
  <c r="Z33" i="11" s="1"/>
  <c r="Y33" i="11" s="1"/>
  <c r="X33" i="11" s="1"/>
  <c r="W33" i="11" s="1"/>
  <c r="V33" i="11" s="1"/>
  <c r="U33" i="11" s="1"/>
  <c r="T33" i="11" s="1"/>
  <c r="S33" i="11" s="1"/>
  <c r="R33" i="11" s="1"/>
  <c r="Q33" i="11" s="1"/>
  <c r="P33" i="11" s="1"/>
  <c r="O33" i="11" s="1"/>
  <c r="N33" i="11" s="1"/>
  <c r="M33" i="11" s="1"/>
  <c r="G29" i="11" s="1"/>
  <c r="L34" i="11"/>
  <c r="AJ34" i="11" s="1"/>
  <c r="AI34" i="11" s="1"/>
  <c r="AH34" i="11" s="1"/>
  <c r="AG34" i="11" s="1"/>
  <c r="AF34" i="11" s="1"/>
  <c r="AE34" i="11" s="1"/>
  <c r="AD34" i="11" s="1"/>
  <c r="AC34" i="11" s="1"/>
  <c r="AB34" i="11" s="1"/>
  <c r="AA34" i="11" s="1"/>
  <c r="Z34" i="11" s="1"/>
  <c r="Y34" i="11" s="1"/>
  <c r="X34" i="11" s="1"/>
  <c r="W34" i="11" s="1"/>
  <c r="V34" i="11" s="1"/>
  <c r="U34" i="11" s="1"/>
  <c r="T34" i="11" s="1"/>
  <c r="S34" i="11" s="1"/>
  <c r="R34" i="11" s="1"/>
  <c r="Q34" i="11" s="1"/>
  <c r="P34" i="11" s="1"/>
  <c r="O34" i="11" s="1"/>
  <c r="N34" i="11" s="1"/>
  <c r="M34" i="11" s="1"/>
  <c r="G30" i="11" s="1"/>
  <c r="L35" i="11"/>
  <c r="AJ35" i="11" s="1"/>
  <c r="AI35" i="11" s="1"/>
  <c r="AH35" i="11" s="1"/>
  <c r="AG35" i="11" s="1"/>
  <c r="AF35" i="11" s="1"/>
  <c r="AE35" i="11" s="1"/>
  <c r="AD35" i="11" s="1"/>
  <c r="AC35" i="11" s="1"/>
  <c r="AB35" i="11" s="1"/>
  <c r="AA35" i="11" s="1"/>
  <c r="Z35" i="11" s="1"/>
  <c r="Y35" i="11" s="1"/>
  <c r="X35" i="11" s="1"/>
  <c r="W35" i="11" s="1"/>
  <c r="V35" i="11" s="1"/>
  <c r="U35" i="11" s="1"/>
  <c r="T35" i="11" s="1"/>
  <c r="S35" i="11" s="1"/>
  <c r="R35" i="11" s="1"/>
  <c r="Q35" i="11" s="1"/>
  <c r="P35" i="11" s="1"/>
  <c r="O35" i="11" s="1"/>
  <c r="N35" i="11" s="1"/>
  <c r="M35" i="11" s="1"/>
  <c r="G31" i="11" s="1"/>
  <c r="L36" i="11"/>
  <c r="AJ36" i="11" s="1"/>
  <c r="AI36" i="11" s="1"/>
  <c r="AH36" i="11" s="1"/>
  <c r="AG36" i="11" s="1"/>
  <c r="AF36" i="11" s="1"/>
  <c r="AE36" i="11" s="1"/>
  <c r="AD36" i="11" s="1"/>
  <c r="AC36" i="11" s="1"/>
  <c r="AB36" i="11" s="1"/>
  <c r="AA36" i="11" s="1"/>
  <c r="Z36" i="11" s="1"/>
  <c r="Y36" i="11" s="1"/>
  <c r="X36" i="11" s="1"/>
  <c r="W36" i="11" s="1"/>
  <c r="V36" i="11" s="1"/>
  <c r="U36" i="11" s="1"/>
  <c r="T36" i="11" s="1"/>
  <c r="S36" i="11" s="1"/>
  <c r="R36" i="11" s="1"/>
  <c r="Q36" i="11" s="1"/>
  <c r="P36" i="11" s="1"/>
  <c r="O36" i="11" s="1"/>
  <c r="N36" i="11" s="1"/>
  <c r="M36" i="11" s="1"/>
  <c r="G32" i="11" s="1"/>
  <c r="L37" i="11"/>
  <c r="AJ37" i="11" s="1"/>
  <c r="AI37" i="11" s="1"/>
  <c r="AH37" i="11" s="1"/>
  <c r="AG37" i="11" s="1"/>
  <c r="AF37" i="11" s="1"/>
  <c r="AE37" i="11" s="1"/>
  <c r="AD37" i="11" s="1"/>
  <c r="AC37" i="11" s="1"/>
  <c r="AB37" i="11" s="1"/>
  <c r="AA37" i="11" s="1"/>
  <c r="Z37" i="11" s="1"/>
  <c r="Y37" i="11" s="1"/>
  <c r="X37" i="11" s="1"/>
  <c r="W37" i="11" s="1"/>
  <c r="V37" i="11" s="1"/>
  <c r="U37" i="11" s="1"/>
  <c r="T37" i="11" s="1"/>
  <c r="S37" i="11" s="1"/>
  <c r="R37" i="11" s="1"/>
  <c r="Q37" i="11" s="1"/>
  <c r="P37" i="11" s="1"/>
  <c r="O37" i="11" s="1"/>
  <c r="N37" i="11" s="1"/>
  <c r="M37" i="11" s="1"/>
  <c r="G33" i="11" s="1"/>
  <c r="L38" i="11"/>
  <c r="AJ38" i="11" s="1"/>
  <c r="AI38" i="11" s="1"/>
  <c r="AH38" i="11" s="1"/>
  <c r="AG38" i="11" s="1"/>
  <c r="AF38" i="11" s="1"/>
  <c r="AE38" i="11" s="1"/>
  <c r="AD38" i="11" s="1"/>
  <c r="AC38" i="11" s="1"/>
  <c r="AB38" i="11" s="1"/>
  <c r="AA38" i="11" s="1"/>
  <c r="Z38" i="11" s="1"/>
  <c r="Y38" i="11" s="1"/>
  <c r="X38" i="11" s="1"/>
  <c r="W38" i="11" s="1"/>
  <c r="V38" i="11" s="1"/>
  <c r="U38" i="11" s="1"/>
  <c r="T38" i="11" s="1"/>
  <c r="S38" i="11" s="1"/>
  <c r="R38" i="11" s="1"/>
  <c r="Q38" i="11" s="1"/>
  <c r="P38" i="11" s="1"/>
  <c r="O38" i="11" s="1"/>
  <c r="N38" i="11" s="1"/>
  <c r="M38" i="11" s="1"/>
  <c r="G34" i="11" s="1"/>
  <c r="L39" i="11"/>
  <c r="AJ39" i="11" s="1"/>
  <c r="AI39" i="11" s="1"/>
  <c r="AH39" i="11" s="1"/>
  <c r="AG39" i="11" s="1"/>
  <c r="AF39" i="11" s="1"/>
  <c r="AE39" i="11" s="1"/>
  <c r="AD39" i="11" s="1"/>
  <c r="AC39" i="11" s="1"/>
  <c r="AB39" i="11" s="1"/>
  <c r="AA39" i="11" s="1"/>
  <c r="Z39" i="11" s="1"/>
  <c r="Y39" i="11" s="1"/>
  <c r="X39" i="11" s="1"/>
  <c r="W39" i="11" s="1"/>
  <c r="V39" i="11" s="1"/>
  <c r="U39" i="11" s="1"/>
  <c r="T39" i="11" s="1"/>
  <c r="S39" i="11" s="1"/>
  <c r="R39" i="11" s="1"/>
  <c r="Q39" i="11" s="1"/>
  <c r="P39" i="11" s="1"/>
  <c r="O39" i="11" s="1"/>
  <c r="N39" i="11" s="1"/>
  <c r="M39" i="11" s="1"/>
  <c r="G35" i="11" s="1"/>
  <c r="L40" i="11"/>
  <c r="AJ40" i="11" s="1"/>
  <c r="AI40" i="11" s="1"/>
  <c r="AH40" i="11" s="1"/>
  <c r="AG40" i="11" s="1"/>
  <c r="AF40" i="11" s="1"/>
  <c r="AE40" i="11" s="1"/>
  <c r="AD40" i="11" s="1"/>
  <c r="AC40" i="11" s="1"/>
  <c r="AB40" i="11" s="1"/>
  <c r="AA40" i="11" s="1"/>
  <c r="Z40" i="11" s="1"/>
  <c r="Y40" i="11" s="1"/>
  <c r="X40" i="11" s="1"/>
  <c r="W40" i="11" s="1"/>
  <c r="V40" i="11" s="1"/>
  <c r="U40" i="11" s="1"/>
  <c r="T40" i="11" s="1"/>
  <c r="S40" i="11" s="1"/>
  <c r="R40" i="11" s="1"/>
  <c r="Q40" i="11" s="1"/>
  <c r="P40" i="11" s="1"/>
  <c r="O40" i="11" s="1"/>
  <c r="N40" i="11" s="1"/>
  <c r="M40" i="11" s="1"/>
  <c r="G36" i="11" s="1"/>
  <c r="L41" i="11"/>
  <c r="AJ41" i="11" s="1"/>
  <c r="AI41" i="11" s="1"/>
  <c r="AH41" i="11" s="1"/>
  <c r="AG41" i="11" s="1"/>
  <c r="AF41" i="11" s="1"/>
  <c r="AE41" i="11" s="1"/>
  <c r="AD41" i="11" s="1"/>
  <c r="AC41" i="11" s="1"/>
  <c r="AB41" i="11" s="1"/>
  <c r="AA41" i="11" s="1"/>
  <c r="Z41" i="11" s="1"/>
  <c r="Y41" i="11" s="1"/>
  <c r="X41" i="11" s="1"/>
  <c r="W41" i="11" s="1"/>
  <c r="V41" i="11" s="1"/>
  <c r="U41" i="11" s="1"/>
  <c r="T41" i="11" s="1"/>
  <c r="S41" i="11" s="1"/>
  <c r="R41" i="11" s="1"/>
  <c r="Q41" i="11" s="1"/>
  <c r="P41" i="11" s="1"/>
  <c r="O41" i="11" s="1"/>
  <c r="N41" i="11" s="1"/>
  <c r="M41" i="11" s="1"/>
  <c r="G37" i="11" s="1"/>
  <c r="L42" i="11"/>
  <c r="AJ42" i="11" s="1"/>
  <c r="AI42" i="11" s="1"/>
  <c r="AH42" i="11" s="1"/>
  <c r="AG42" i="11" s="1"/>
  <c r="AF42" i="11" s="1"/>
  <c r="AE42" i="11" s="1"/>
  <c r="AD42" i="11" s="1"/>
  <c r="AC42" i="11" s="1"/>
  <c r="AB42" i="11" s="1"/>
  <c r="AA42" i="11" s="1"/>
  <c r="Z42" i="11" s="1"/>
  <c r="Y42" i="11" s="1"/>
  <c r="X42" i="11" s="1"/>
  <c r="W42" i="11" s="1"/>
  <c r="V42" i="11" s="1"/>
  <c r="U42" i="11" s="1"/>
  <c r="T42" i="11" s="1"/>
  <c r="S42" i="11" s="1"/>
  <c r="R42" i="11" s="1"/>
  <c r="Q42" i="11" s="1"/>
  <c r="P42" i="11" s="1"/>
  <c r="O42" i="11" s="1"/>
  <c r="N42" i="11" s="1"/>
  <c r="M42" i="11" s="1"/>
  <c r="G38" i="11" s="1"/>
  <c r="L43" i="11"/>
  <c r="AJ43" i="11" s="1"/>
  <c r="AI43" i="11" s="1"/>
  <c r="AH43" i="11" s="1"/>
  <c r="AG43" i="11" s="1"/>
  <c r="AF43" i="11" s="1"/>
  <c r="AE43" i="11" s="1"/>
  <c r="AD43" i="11" s="1"/>
  <c r="AC43" i="11" s="1"/>
  <c r="AB43" i="11" s="1"/>
  <c r="AA43" i="11" s="1"/>
  <c r="Z43" i="11" s="1"/>
  <c r="Y43" i="11" s="1"/>
  <c r="X43" i="11" s="1"/>
  <c r="W43" i="11" s="1"/>
  <c r="V43" i="11" s="1"/>
  <c r="U43" i="11" s="1"/>
  <c r="T43" i="11" s="1"/>
  <c r="S43" i="11" s="1"/>
  <c r="R43" i="11" s="1"/>
  <c r="Q43" i="11" s="1"/>
  <c r="P43" i="11" s="1"/>
  <c r="O43" i="11" s="1"/>
  <c r="N43" i="11" s="1"/>
  <c r="M43" i="11" s="1"/>
  <c r="G39" i="11" s="1"/>
  <c r="L44" i="11"/>
  <c r="AJ44" i="11" s="1"/>
  <c r="AI44" i="11" s="1"/>
  <c r="AH44" i="11" s="1"/>
  <c r="AG44" i="11" s="1"/>
  <c r="AF44" i="11" s="1"/>
  <c r="AE44" i="11" s="1"/>
  <c r="AD44" i="11" s="1"/>
  <c r="AC44" i="11" s="1"/>
  <c r="AB44" i="11" s="1"/>
  <c r="AA44" i="11" s="1"/>
  <c r="Z44" i="11" s="1"/>
  <c r="Y44" i="11" s="1"/>
  <c r="X44" i="11" s="1"/>
  <c r="W44" i="11" s="1"/>
  <c r="V44" i="11" s="1"/>
  <c r="U44" i="11" s="1"/>
  <c r="T44" i="11" s="1"/>
  <c r="S44" i="11" s="1"/>
  <c r="R44" i="11" s="1"/>
  <c r="Q44" i="11" s="1"/>
  <c r="P44" i="11" s="1"/>
  <c r="O44" i="11" s="1"/>
  <c r="N44" i="11" s="1"/>
  <c r="M44" i="11" s="1"/>
  <c r="G40" i="11" s="1"/>
  <c r="L45" i="11"/>
  <c r="AJ45" i="11" s="1"/>
  <c r="AI45" i="11" s="1"/>
  <c r="AH45" i="11" s="1"/>
  <c r="AG45" i="11" s="1"/>
  <c r="AF45" i="11" s="1"/>
  <c r="AE45" i="11" s="1"/>
  <c r="AD45" i="11" s="1"/>
  <c r="AC45" i="11" s="1"/>
  <c r="AB45" i="11" s="1"/>
  <c r="AA45" i="11" s="1"/>
  <c r="Z45" i="11" s="1"/>
  <c r="Y45" i="11" s="1"/>
  <c r="X45" i="11" s="1"/>
  <c r="W45" i="11" s="1"/>
  <c r="V45" i="11" s="1"/>
  <c r="U45" i="11" s="1"/>
  <c r="T45" i="11" s="1"/>
  <c r="S45" i="11" s="1"/>
  <c r="R45" i="11" s="1"/>
  <c r="Q45" i="11" s="1"/>
  <c r="P45" i="11" s="1"/>
  <c r="O45" i="11" s="1"/>
  <c r="N45" i="11" s="1"/>
  <c r="M45" i="11" s="1"/>
  <c r="G41" i="11" s="1"/>
  <c r="L46" i="11"/>
  <c r="AJ46" i="11" s="1"/>
  <c r="AI46" i="11" s="1"/>
  <c r="AH46" i="11" s="1"/>
  <c r="AG46" i="11" s="1"/>
  <c r="AF46" i="11" s="1"/>
  <c r="AE46" i="11" s="1"/>
  <c r="AD46" i="11" s="1"/>
  <c r="AC46" i="11" s="1"/>
  <c r="AB46" i="11" s="1"/>
  <c r="AA46" i="11" s="1"/>
  <c r="Z46" i="11" s="1"/>
  <c r="Y46" i="11" s="1"/>
  <c r="X46" i="11" s="1"/>
  <c r="W46" i="11" s="1"/>
  <c r="V46" i="11" s="1"/>
  <c r="U46" i="11" s="1"/>
  <c r="T46" i="11" s="1"/>
  <c r="S46" i="11" s="1"/>
  <c r="R46" i="11" s="1"/>
  <c r="Q46" i="11" s="1"/>
  <c r="P46" i="11" s="1"/>
  <c r="O46" i="11" s="1"/>
  <c r="N46" i="11" s="1"/>
  <c r="M46" i="11" s="1"/>
  <c r="G42" i="11" s="1"/>
  <c r="L47" i="11"/>
  <c r="AJ47" i="11" s="1"/>
  <c r="AI47" i="11" s="1"/>
  <c r="AH47" i="11" s="1"/>
  <c r="AG47" i="11" s="1"/>
  <c r="AF47" i="11" s="1"/>
  <c r="AE47" i="11" s="1"/>
  <c r="AD47" i="11" s="1"/>
  <c r="AC47" i="11" s="1"/>
  <c r="AB47" i="11" s="1"/>
  <c r="AA47" i="11" s="1"/>
  <c r="Z47" i="11" s="1"/>
  <c r="Y47" i="11" s="1"/>
  <c r="X47" i="11" s="1"/>
  <c r="W47" i="11" s="1"/>
  <c r="V47" i="11" s="1"/>
  <c r="U47" i="11" s="1"/>
  <c r="T47" i="11" s="1"/>
  <c r="S47" i="11" s="1"/>
  <c r="R47" i="11" s="1"/>
  <c r="Q47" i="11" s="1"/>
  <c r="P47" i="11" s="1"/>
  <c r="O47" i="11" s="1"/>
  <c r="N47" i="11" s="1"/>
  <c r="M47" i="11" s="1"/>
  <c r="G43" i="11" s="1"/>
  <c r="L48" i="11"/>
  <c r="AJ48" i="11" s="1"/>
  <c r="AI48" i="11" s="1"/>
  <c r="AH48" i="11" s="1"/>
  <c r="AG48" i="11" s="1"/>
  <c r="AF48" i="11" s="1"/>
  <c r="AE48" i="11" s="1"/>
  <c r="AD48" i="11" s="1"/>
  <c r="AC48" i="11" s="1"/>
  <c r="AB48" i="11" s="1"/>
  <c r="AA48" i="11" s="1"/>
  <c r="Z48" i="11" s="1"/>
  <c r="Y48" i="11" s="1"/>
  <c r="X48" i="11" s="1"/>
  <c r="W48" i="11" s="1"/>
  <c r="V48" i="11" s="1"/>
  <c r="U48" i="11" s="1"/>
  <c r="T48" i="11" s="1"/>
  <c r="S48" i="11" s="1"/>
  <c r="R48" i="11" s="1"/>
  <c r="Q48" i="11" s="1"/>
  <c r="P48" i="11" s="1"/>
  <c r="O48" i="11" s="1"/>
  <c r="N48" i="11" s="1"/>
  <c r="M48" i="11" s="1"/>
  <c r="G44" i="11" s="1"/>
  <c r="L49" i="11"/>
  <c r="AJ49" i="11" s="1"/>
  <c r="AI49" i="11" s="1"/>
  <c r="AH49" i="11" s="1"/>
  <c r="AG49" i="11" s="1"/>
  <c r="AF49" i="11" s="1"/>
  <c r="AE49" i="11" s="1"/>
  <c r="AD49" i="11" s="1"/>
  <c r="AC49" i="11" s="1"/>
  <c r="AB49" i="11" s="1"/>
  <c r="AA49" i="11" s="1"/>
  <c r="Z49" i="11" s="1"/>
  <c r="Y49" i="11" s="1"/>
  <c r="X49" i="11" s="1"/>
  <c r="W49" i="11" s="1"/>
  <c r="V49" i="11" s="1"/>
  <c r="U49" i="11" s="1"/>
  <c r="T49" i="11" s="1"/>
  <c r="S49" i="11" s="1"/>
  <c r="R49" i="11" s="1"/>
  <c r="Q49" i="11" s="1"/>
  <c r="P49" i="11" s="1"/>
  <c r="O49" i="11" s="1"/>
  <c r="N49" i="11" s="1"/>
  <c r="M49" i="11" s="1"/>
  <c r="G45" i="11" s="1"/>
  <c r="L50" i="11"/>
  <c r="AJ50" i="11" s="1"/>
  <c r="AI50" i="11" s="1"/>
  <c r="AH50" i="11" s="1"/>
  <c r="AG50" i="11" s="1"/>
  <c r="AF50" i="11" s="1"/>
  <c r="AE50" i="11" s="1"/>
  <c r="AD50" i="11" s="1"/>
  <c r="AC50" i="11" s="1"/>
  <c r="AB50" i="11" s="1"/>
  <c r="AA50" i="11" s="1"/>
  <c r="Z50" i="11" s="1"/>
  <c r="Y50" i="11" s="1"/>
  <c r="X50" i="11" s="1"/>
  <c r="W50" i="11" s="1"/>
  <c r="V50" i="11" s="1"/>
  <c r="U50" i="11" s="1"/>
  <c r="T50" i="11" s="1"/>
  <c r="S50" i="11" s="1"/>
  <c r="R50" i="11" s="1"/>
  <c r="Q50" i="11" s="1"/>
  <c r="P50" i="11" s="1"/>
  <c r="O50" i="11" s="1"/>
  <c r="N50" i="11" s="1"/>
  <c r="M50" i="11" s="1"/>
  <c r="G46" i="11" s="1"/>
  <c r="L51" i="11"/>
  <c r="AJ51" i="11" s="1"/>
  <c r="AI51" i="11" s="1"/>
  <c r="AH51" i="11" s="1"/>
  <c r="AG51" i="11" s="1"/>
  <c r="AF51" i="11" s="1"/>
  <c r="AE51" i="11" s="1"/>
  <c r="AD51" i="11" s="1"/>
  <c r="AC51" i="11" s="1"/>
  <c r="AB51" i="11" s="1"/>
  <c r="AA51" i="11" s="1"/>
  <c r="Z51" i="11" s="1"/>
  <c r="Y51" i="11" s="1"/>
  <c r="X51" i="11" s="1"/>
  <c r="W51" i="11" s="1"/>
  <c r="V51" i="11" s="1"/>
  <c r="U51" i="11" s="1"/>
  <c r="T51" i="11" s="1"/>
  <c r="S51" i="11" s="1"/>
  <c r="R51" i="11" s="1"/>
  <c r="Q51" i="11" s="1"/>
  <c r="P51" i="11" s="1"/>
  <c r="O51" i="11" s="1"/>
  <c r="N51" i="11" s="1"/>
  <c r="M51" i="11" s="1"/>
  <c r="G47" i="11" s="1"/>
  <c r="L52" i="11"/>
  <c r="AJ52" i="11" s="1"/>
  <c r="AI52" i="11" s="1"/>
  <c r="AH52" i="11" s="1"/>
  <c r="AG52" i="11" s="1"/>
  <c r="AF52" i="11" s="1"/>
  <c r="AE52" i="11" s="1"/>
  <c r="AD52" i="11" s="1"/>
  <c r="AC52" i="11" s="1"/>
  <c r="AB52" i="11" s="1"/>
  <c r="AA52" i="11" s="1"/>
  <c r="Z52" i="11" s="1"/>
  <c r="Y52" i="11" s="1"/>
  <c r="X52" i="11" s="1"/>
  <c r="W52" i="11" s="1"/>
  <c r="V52" i="11" s="1"/>
  <c r="U52" i="11" s="1"/>
  <c r="T52" i="11" s="1"/>
  <c r="S52" i="11" s="1"/>
  <c r="R52" i="11" s="1"/>
  <c r="Q52" i="11" s="1"/>
  <c r="P52" i="11" s="1"/>
  <c r="O52" i="11" s="1"/>
  <c r="N52" i="11" s="1"/>
  <c r="M52" i="11" s="1"/>
  <c r="G48" i="11" s="1"/>
  <c r="L53" i="11"/>
  <c r="AJ53" i="11" s="1"/>
  <c r="AI53" i="11" s="1"/>
  <c r="AH53" i="11" s="1"/>
  <c r="AG53" i="11" s="1"/>
  <c r="AF53" i="11" s="1"/>
  <c r="AE53" i="11" s="1"/>
  <c r="AD53" i="11" s="1"/>
  <c r="AC53" i="11" s="1"/>
  <c r="AB53" i="11" s="1"/>
  <c r="AA53" i="11" s="1"/>
  <c r="Z53" i="11" s="1"/>
  <c r="Y53" i="11" s="1"/>
  <c r="X53" i="11" s="1"/>
  <c r="W53" i="11" s="1"/>
  <c r="V53" i="11" s="1"/>
  <c r="U53" i="11" s="1"/>
  <c r="T53" i="11" s="1"/>
  <c r="S53" i="11" s="1"/>
  <c r="R53" i="11" s="1"/>
  <c r="Q53" i="11" s="1"/>
  <c r="P53" i="11" s="1"/>
  <c r="O53" i="11" s="1"/>
  <c r="N53" i="11" s="1"/>
  <c r="M53" i="11" s="1"/>
  <c r="G49" i="11" s="1"/>
  <c r="L54" i="11"/>
  <c r="AJ54" i="11" s="1"/>
  <c r="AI54" i="11" s="1"/>
  <c r="AH54" i="11" s="1"/>
  <c r="AG54" i="11" s="1"/>
  <c r="AF54" i="11" s="1"/>
  <c r="AE54" i="11" s="1"/>
  <c r="AD54" i="11" s="1"/>
  <c r="AC54" i="11" s="1"/>
  <c r="AB54" i="11" s="1"/>
  <c r="AA54" i="11" s="1"/>
  <c r="Z54" i="11" s="1"/>
  <c r="Y54" i="11" s="1"/>
  <c r="X54" i="11" s="1"/>
  <c r="W54" i="11" s="1"/>
  <c r="V54" i="11" s="1"/>
  <c r="U54" i="11" s="1"/>
  <c r="T54" i="11" s="1"/>
  <c r="S54" i="11" s="1"/>
  <c r="R54" i="11" s="1"/>
  <c r="Q54" i="11" s="1"/>
  <c r="P54" i="11" s="1"/>
  <c r="O54" i="11" s="1"/>
  <c r="N54" i="11" s="1"/>
  <c r="M54" i="11" s="1"/>
  <c r="G50" i="11" s="1"/>
  <c r="L55" i="11"/>
  <c r="AJ55" i="11" s="1"/>
  <c r="AI55" i="11" s="1"/>
  <c r="AH55" i="11" s="1"/>
  <c r="AG55" i="11" s="1"/>
  <c r="AF55" i="11" s="1"/>
  <c r="AE55" i="11" s="1"/>
  <c r="AD55" i="11" s="1"/>
  <c r="AC55" i="11" s="1"/>
  <c r="AB55" i="11" s="1"/>
  <c r="AA55" i="11" s="1"/>
  <c r="Z55" i="11" s="1"/>
  <c r="Y55" i="11" s="1"/>
  <c r="X55" i="11" s="1"/>
  <c r="W55" i="11" s="1"/>
  <c r="V55" i="11" s="1"/>
  <c r="U55" i="11" s="1"/>
  <c r="T55" i="11" s="1"/>
  <c r="S55" i="11" s="1"/>
  <c r="R55" i="11" s="1"/>
  <c r="Q55" i="11" s="1"/>
  <c r="P55" i="11" s="1"/>
  <c r="O55" i="11" s="1"/>
  <c r="N55" i="11" s="1"/>
  <c r="M55" i="11" s="1"/>
  <c r="G51" i="11" s="1"/>
  <c r="L56" i="11"/>
  <c r="AJ56" i="11" s="1"/>
  <c r="AI56" i="11" s="1"/>
  <c r="AH56" i="11" s="1"/>
  <c r="AG56" i="11" s="1"/>
  <c r="AF56" i="11" s="1"/>
  <c r="AE56" i="11" s="1"/>
  <c r="AD56" i="11" s="1"/>
  <c r="AC56" i="11" s="1"/>
  <c r="AB56" i="11" s="1"/>
  <c r="AA56" i="11" s="1"/>
  <c r="Z56" i="11" s="1"/>
  <c r="Y56" i="11" s="1"/>
  <c r="X56" i="11" s="1"/>
  <c r="W56" i="11" s="1"/>
  <c r="V56" i="11" s="1"/>
  <c r="U56" i="11" s="1"/>
  <c r="T56" i="11" s="1"/>
  <c r="S56" i="11" s="1"/>
  <c r="R56" i="11" s="1"/>
  <c r="Q56" i="11" s="1"/>
  <c r="P56" i="11" s="1"/>
  <c r="O56" i="11" s="1"/>
  <c r="N56" i="11" s="1"/>
  <c r="M56" i="11" s="1"/>
  <c r="G52" i="11" s="1"/>
  <c r="L57" i="11"/>
  <c r="AJ57" i="11" s="1"/>
  <c r="AI57" i="11" s="1"/>
  <c r="AH57" i="11" s="1"/>
  <c r="AG57" i="11" s="1"/>
  <c r="AF57" i="11" s="1"/>
  <c r="AE57" i="11" s="1"/>
  <c r="AD57" i="11" s="1"/>
  <c r="AC57" i="11" s="1"/>
  <c r="AB57" i="11" s="1"/>
  <c r="AA57" i="11" s="1"/>
  <c r="Z57" i="11" s="1"/>
  <c r="Y57" i="11" s="1"/>
  <c r="X57" i="11" s="1"/>
  <c r="W57" i="11" s="1"/>
  <c r="V57" i="11" s="1"/>
  <c r="U57" i="11" s="1"/>
  <c r="T57" i="11" s="1"/>
  <c r="S57" i="11" s="1"/>
  <c r="R57" i="11" s="1"/>
  <c r="Q57" i="11" s="1"/>
  <c r="P57" i="11" s="1"/>
  <c r="O57" i="11" s="1"/>
  <c r="N57" i="11" s="1"/>
  <c r="M57" i="11" s="1"/>
  <c r="G53" i="11" s="1"/>
  <c r="L58" i="11"/>
  <c r="AJ58" i="11" s="1"/>
  <c r="AI58" i="11" s="1"/>
  <c r="AH58" i="11" s="1"/>
  <c r="AG58" i="11" s="1"/>
  <c r="AF58" i="11" s="1"/>
  <c r="AE58" i="11" s="1"/>
  <c r="AD58" i="11" s="1"/>
  <c r="AC58" i="11" s="1"/>
  <c r="AB58" i="11" s="1"/>
  <c r="AA58" i="11" s="1"/>
  <c r="Z58" i="11" s="1"/>
  <c r="Y58" i="11" s="1"/>
  <c r="X58" i="11" s="1"/>
  <c r="W58" i="11" s="1"/>
  <c r="V58" i="11" s="1"/>
  <c r="U58" i="11" s="1"/>
  <c r="T58" i="11" s="1"/>
  <c r="S58" i="11" s="1"/>
  <c r="R58" i="11" s="1"/>
  <c r="Q58" i="11" s="1"/>
  <c r="P58" i="11" s="1"/>
  <c r="O58" i="11" s="1"/>
  <c r="N58" i="11" s="1"/>
  <c r="M58" i="11" s="1"/>
  <c r="G54" i="11" s="1"/>
  <c r="L59" i="11"/>
  <c r="AJ59" i="11" s="1"/>
  <c r="AI59" i="11" s="1"/>
  <c r="AH59" i="11" s="1"/>
  <c r="AG59" i="11" s="1"/>
  <c r="AF59" i="11" s="1"/>
  <c r="AE59" i="11" s="1"/>
  <c r="AD59" i="11" s="1"/>
  <c r="AC59" i="11" s="1"/>
  <c r="AB59" i="11" s="1"/>
  <c r="AA59" i="11" s="1"/>
  <c r="Z59" i="11" s="1"/>
  <c r="Y59" i="11" s="1"/>
  <c r="X59" i="11" s="1"/>
  <c r="W59" i="11" s="1"/>
  <c r="V59" i="11" s="1"/>
  <c r="U59" i="11" s="1"/>
  <c r="T59" i="11" s="1"/>
  <c r="S59" i="11" s="1"/>
  <c r="R59" i="11" s="1"/>
  <c r="Q59" i="11" s="1"/>
  <c r="P59" i="11" s="1"/>
  <c r="O59" i="11" s="1"/>
  <c r="N59" i="11" s="1"/>
  <c r="M59" i="11" s="1"/>
  <c r="G55" i="11" s="1"/>
  <c r="L60" i="11"/>
  <c r="AJ60" i="11" s="1"/>
  <c r="AI60" i="11" s="1"/>
  <c r="AH60" i="11" s="1"/>
  <c r="AG60" i="11" s="1"/>
  <c r="AF60" i="11" s="1"/>
  <c r="AE60" i="11" s="1"/>
  <c r="AD60" i="11" s="1"/>
  <c r="AC60" i="11" s="1"/>
  <c r="AB60" i="11" s="1"/>
  <c r="AA60" i="11" s="1"/>
  <c r="Z60" i="11" s="1"/>
  <c r="Y60" i="11" s="1"/>
  <c r="X60" i="11" s="1"/>
  <c r="W60" i="11" s="1"/>
  <c r="V60" i="11" s="1"/>
  <c r="U60" i="11" s="1"/>
  <c r="T60" i="11" s="1"/>
  <c r="S60" i="11" s="1"/>
  <c r="R60" i="11" s="1"/>
  <c r="Q60" i="11" s="1"/>
  <c r="P60" i="11" s="1"/>
  <c r="O60" i="11" s="1"/>
  <c r="N60" i="11" s="1"/>
  <c r="M60" i="11" s="1"/>
  <c r="G56" i="11" s="1"/>
  <c r="L61" i="11"/>
  <c r="AJ61" i="11" s="1"/>
  <c r="AI61" i="11" s="1"/>
  <c r="AH61" i="11" s="1"/>
  <c r="AG61" i="11" s="1"/>
  <c r="AF61" i="11" s="1"/>
  <c r="AE61" i="11" s="1"/>
  <c r="AD61" i="11" s="1"/>
  <c r="AC61" i="11" s="1"/>
  <c r="AB61" i="11" s="1"/>
  <c r="AA61" i="11" s="1"/>
  <c r="Z61" i="11" s="1"/>
  <c r="Y61" i="11" s="1"/>
  <c r="X61" i="11" s="1"/>
  <c r="W61" i="11" s="1"/>
  <c r="V61" i="11" s="1"/>
  <c r="U61" i="11" s="1"/>
  <c r="T61" i="11" s="1"/>
  <c r="S61" i="11" s="1"/>
  <c r="R61" i="11" s="1"/>
  <c r="Q61" i="11" s="1"/>
  <c r="P61" i="11" s="1"/>
  <c r="O61" i="11" s="1"/>
  <c r="N61" i="11" s="1"/>
  <c r="M61" i="11" s="1"/>
  <c r="G57" i="11" s="1"/>
  <c r="L62" i="11"/>
  <c r="AJ62" i="11" s="1"/>
  <c r="AI62" i="11" s="1"/>
  <c r="AH62" i="11" s="1"/>
  <c r="AG62" i="11" s="1"/>
  <c r="AF62" i="11" s="1"/>
  <c r="AE62" i="11" s="1"/>
  <c r="AD62" i="11" s="1"/>
  <c r="AC62" i="11" s="1"/>
  <c r="AB62" i="11" s="1"/>
  <c r="AA62" i="11" s="1"/>
  <c r="Z62" i="11" s="1"/>
  <c r="Y62" i="11" s="1"/>
  <c r="X62" i="11" s="1"/>
  <c r="W62" i="11" s="1"/>
  <c r="V62" i="11" s="1"/>
  <c r="U62" i="11" s="1"/>
  <c r="T62" i="11" s="1"/>
  <c r="S62" i="11" s="1"/>
  <c r="R62" i="11" s="1"/>
  <c r="Q62" i="11" s="1"/>
  <c r="P62" i="11" s="1"/>
  <c r="O62" i="11" s="1"/>
  <c r="N62" i="11" s="1"/>
  <c r="M62" i="11" s="1"/>
  <c r="G58" i="11" s="1"/>
  <c r="L63" i="11"/>
  <c r="AJ63" i="11" s="1"/>
  <c r="AI63" i="11" s="1"/>
  <c r="AH63" i="11" s="1"/>
  <c r="AG63" i="11" s="1"/>
  <c r="AF63" i="11" s="1"/>
  <c r="AE63" i="11" s="1"/>
  <c r="AD63" i="11" s="1"/>
  <c r="AC63" i="11" s="1"/>
  <c r="AB63" i="11" s="1"/>
  <c r="AA63" i="11" s="1"/>
  <c r="Z63" i="11" s="1"/>
  <c r="Y63" i="11" s="1"/>
  <c r="X63" i="11" s="1"/>
  <c r="W63" i="11" s="1"/>
  <c r="V63" i="11" s="1"/>
  <c r="U63" i="11" s="1"/>
  <c r="T63" i="11" s="1"/>
  <c r="S63" i="11" s="1"/>
  <c r="R63" i="11" s="1"/>
  <c r="Q63" i="11" s="1"/>
  <c r="P63" i="11" s="1"/>
  <c r="O63" i="11" s="1"/>
  <c r="N63" i="11" s="1"/>
  <c r="M63" i="11" s="1"/>
  <c r="G59" i="11" s="1"/>
  <c r="L64" i="11"/>
  <c r="AJ64" i="11" s="1"/>
  <c r="AI64" i="11" s="1"/>
  <c r="AH64" i="11" s="1"/>
  <c r="AG64" i="11" s="1"/>
  <c r="AF64" i="11" s="1"/>
  <c r="AE64" i="11" s="1"/>
  <c r="AD64" i="11" s="1"/>
  <c r="AC64" i="11" s="1"/>
  <c r="AB64" i="11" s="1"/>
  <c r="AA64" i="11" s="1"/>
  <c r="Z64" i="11" s="1"/>
  <c r="Y64" i="11" s="1"/>
  <c r="X64" i="11" s="1"/>
  <c r="W64" i="11" s="1"/>
  <c r="V64" i="11" s="1"/>
  <c r="U64" i="11" s="1"/>
  <c r="T64" i="11" s="1"/>
  <c r="S64" i="11" s="1"/>
  <c r="R64" i="11" s="1"/>
  <c r="Q64" i="11" s="1"/>
  <c r="P64" i="11" s="1"/>
  <c r="O64" i="11" s="1"/>
  <c r="N64" i="11" s="1"/>
  <c r="M64" i="11" s="1"/>
  <c r="G60" i="11" s="1"/>
  <c r="L65" i="11"/>
  <c r="AJ65" i="11" s="1"/>
  <c r="AI65" i="11" s="1"/>
  <c r="AH65" i="11" s="1"/>
  <c r="AG65" i="11" s="1"/>
  <c r="AF65" i="11" s="1"/>
  <c r="AE65" i="11" s="1"/>
  <c r="AD65" i="11" s="1"/>
  <c r="AC65" i="11" s="1"/>
  <c r="AB65" i="11" s="1"/>
  <c r="AA65" i="11" s="1"/>
  <c r="Z65" i="11" s="1"/>
  <c r="Y65" i="11" s="1"/>
  <c r="X65" i="11" s="1"/>
  <c r="W65" i="11" s="1"/>
  <c r="V65" i="11" s="1"/>
  <c r="U65" i="11" s="1"/>
  <c r="T65" i="11" s="1"/>
  <c r="S65" i="11" s="1"/>
  <c r="R65" i="11" s="1"/>
  <c r="Q65" i="11" s="1"/>
  <c r="P65" i="11" s="1"/>
  <c r="O65" i="11" s="1"/>
  <c r="N65" i="11" s="1"/>
  <c r="M65" i="11" s="1"/>
  <c r="G61" i="11" s="1"/>
  <c r="L66" i="11"/>
  <c r="AJ66" i="11" s="1"/>
  <c r="AI66" i="11" s="1"/>
  <c r="AH66" i="11" s="1"/>
  <c r="AG66" i="11" s="1"/>
  <c r="AF66" i="11" s="1"/>
  <c r="AE66" i="11" s="1"/>
  <c r="AD66" i="11" s="1"/>
  <c r="AC66" i="11" s="1"/>
  <c r="AB66" i="11" s="1"/>
  <c r="AA66" i="11" s="1"/>
  <c r="Z66" i="11" s="1"/>
  <c r="Y66" i="11" s="1"/>
  <c r="X66" i="11" s="1"/>
  <c r="W66" i="11" s="1"/>
  <c r="V66" i="11" s="1"/>
  <c r="U66" i="11" s="1"/>
  <c r="T66" i="11" s="1"/>
  <c r="S66" i="11" s="1"/>
  <c r="R66" i="11" s="1"/>
  <c r="Q66" i="11" s="1"/>
  <c r="P66" i="11" s="1"/>
  <c r="O66" i="11" s="1"/>
  <c r="N66" i="11" s="1"/>
  <c r="M66" i="11" s="1"/>
  <c r="G62" i="11" s="1"/>
  <c r="L67" i="11"/>
  <c r="AJ67" i="11" s="1"/>
  <c r="AI67" i="11" s="1"/>
  <c r="AH67" i="11" s="1"/>
  <c r="AG67" i="11" s="1"/>
  <c r="AF67" i="11" s="1"/>
  <c r="AE67" i="11" s="1"/>
  <c r="AD67" i="11" s="1"/>
  <c r="AC67" i="11" s="1"/>
  <c r="AB67" i="11" s="1"/>
  <c r="AA67" i="11" s="1"/>
  <c r="Z67" i="11" s="1"/>
  <c r="Y67" i="11" s="1"/>
  <c r="X67" i="11" s="1"/>
  <c r="W67" i="11" s="1"/>
  <c r="V67" i="11" s="1"/>
  <c r="U67" i="11" s="1"/>
  <c r="T67" i="11" s="1"/>
  <c r="S67" i="11" s="1"/>
  <c r="R67" i="11" s="1"/>
  <c r="Q67" i="11" s="1"/>
  <c r="P67" i="11" s="1"/>
  <c r="O67" i="11" s="1"/>
  <c r="N67" i="11" s="1"/>
  <c r="M67" i="11" s="1"/>
  <c r="G63" i="11" s="1"/>
  <c r="L68" i="11"/>
  <c r="AJ68" i="11" s="1"/>
  <c r="AI68" i="11" s="1"/>
  <c r="AH68" i="11" s="1"/>
  <c r="AG68" i="11" s="1"/>
  <c r="AF68" i="11" s="1"/>
  <c r="AE68" i="11" s="1"/>
  <c r="AD68" i="11" s="1"/>
  <c r="AC68" i="11" s="1"/>
  <c r="AB68" i="11" s="1"/>
  <c r="AA68" i="11" s="1"/>
  <c r="Z68" i="11" s="1"/>
  <c r="Y68" i="11" s="1"/>
  <c r="X68" i="11" s="1"/>
  <c r="W68" i="11" s="1"/>
  <c r="V68" i="11" s="1"/>
  <c r="U68" i="11" s="1"/>
  <c r="T68" i="11" s="1"/>
  <c r="S68" i="11" s="1"/>
  <c r="R68" i="11" s="1"/>
  <c r="Q68" i="11" s="1"/>
  <c r="P68" i="11" s="1"/>
  <c r="O68" i="11" s="1"/>
  <c r="N68" i="11" s="1"/>
  <c r="M68" i="11" s="1"/>
  <c r="G64" i="11" s="1"/>
  <c r="L69" i="11"/>
  <c r="AJ69" i="11" s="1"/>
  <c r="AI69" i="11" s="1"/>
  <c r="AH69" i="11" s="1"/>
  <c r="AG69" i="11" s="1"/>
  <c r="AF69" i="11" s="1"/>
  <c r="AE69" i="11" s="1"/>
  <c r="AD69" i="11" s="1"/>
  <c r="AC69" i="11" s="1"/>
  <c r="AB69" i="11" s="1"/>
  <c r="AA69" i="11" s="1"/>
  <c r="Z69" i="11" s="1"/>
  <c r="Y69" i="11" s="1"/>
  <c r="X69" i="11" s="1"/>
  <c r="W69" i="11" s="1"/>
  <c r="V69" i="11" s="1"/>
  <c r="U69" i="11" s="1"/>
  <c r="T69" i="11" s="1"/>
  <c r="S69" i="11" s="1"/>
  <c r="R69" i="11" s="1"/>
  <c r="Q69" i="11" s="1"/>
  <c r="P69" i="11" s="1"/>
  <c r="O69" i="11" s="1"/>
  <c r="N69" i="11" s="1"/>
  <c r="M69" i="11" s="1"/>
  <c r="G65" i="11" s="1"/>
  <c r="L70" i="11"/>
  <c r="AJ70" i="11" s="1"/>
  <c r="AI70" i="11" s="1"/>
  <c r="AH70" i="11" s="1"/>
  <c r="AG70" i="11" s="1"/>
  <c r="AF70" i="11" s="1"/>
  <c r="AE70" i="11" s="1"/>
  <c r="AD70" i="11" s="1"/>
  <c r="AC70" i="11" s="1"/>
  <c r="AB70" i="11" s="1"/>
  <c r="AA70" i="11" s="1"/>
  <c r="Z70" i="11" s="1"/>
  <c r="Y70" i="11" s="1"/>
  <c r="X70" i="11" s="1"/>
  <c r="W70" i="11" s="1"/>
  <c r="V70" i="11" s="1"/>
  <c r="U70" i="11" s="1"/>
  <c r="T70" i="11" s="1"/>
  <c r="S70" i="11" s="1"/>
  <c r="R70" i="11" s="1"/>
  <c r="Q70" i="11" s="1"/>
  <c r="P70" i="11" s="1"/>
  <c r="O70" i="11" s="1"/>
  <c r="N70" i="11" s="1"/>
  <c r="M70" i="11" s="1"/>
  <c r="G66" i="11" s="1"/>
  <c r="L71" i="11"/>
  <c r="AJ71" i="11" s="1"/>
  <c r="AI71" i="11" s="1"/>
  <c r="AH71" i="11" s="1"/>
  <c r="AG71" i="11" s="1"/>
  <c r="AF71" i="11" s="1"/>
  <c r="AE71" i="11" s="1"/>
  <c r="AD71" i="11" s="1"/>
  <c r="AC71" i="11" s="1"/>
  <c r="AB71" i="11" s="1"/>
  <c r="AA71" i="11" s="1"/>
  <c r="Z71" i="11" s="1"/>
  <c r="Y71" i="11" s="1"/>
  <c r="X71" i="11" s="1"/>
  <c r="W71" i="11" s="1"/>
  <c r="V71" i="11" s="1"/>
  <c r="U71" i="11" s="1"/>
  <c r="T71" i="11" s="1"/>
  <c r="S71" i="11" s="1"/>
  <c r="R71" i="11" s="1"/>
  <c r="Q71" i="11" s="1"/>
  <c r="P71" i="11" s="1"/>
  <c r="O71" i="11" s="1"/>
  <c r="N71" i="11" s="1"/>
  <c r="M71" i="11" s="1"/>
  <c r="G67" i="11" s="1"/>
  <c r="L72" i="11"/>
  <c r="AJ72" i="11" s="1"/>
  <c r="AI72" i="11" s="1"/>
  <c r="AH72" i="11" s="1"/>
  <c r="AG72" i="11" s="1"/>
  <c r="AF72" i="11" s="1"/>
  <c r="AE72" i="11" s="1"/>
  <c r="AD72" i="11" s="1"/>
  <c r="AC72" i="11" s="1"/>
  <c r="AB72" i="11" s="1"/>
  <c r="AA72" i="11" s="1"/>
  <c r="Z72" i="11" s="1"/>
  <c r="Y72" i="11" s="1"/>
  <c r="X72" i="11" s="1"/>
  <c r="W72" i="11" s="1"/>
  <c r="V72" i="11" s="1"/>
  <c r="U72" i="11" s="1"/>
  <c r="T72" i="11" s="1"/>
  <c r="S72" i="11" s="1"/>
  <c r="R72" i="11" s="1"/>
  <c r="Q72" i="11" s="1"/>
  <c r="P72" i="11" s="1"/>
  <c r="O72" i="11" s="1"/>
  <c r="N72" i="11" s="1"/>
  <c r="M72" i="11" s="1"/>
  <c r="G68" i="11" s="1"/>
  <c r="L73" i="11"/>
  <c r="AJ73" i="11" s="1"/>
  <c r="AI73" i="11" s="1"/>
  <c r="AH73" i="11" s="1"/>
  <c r="AG73" i="11" s="1"/>
  <c r="AF73" i="11" s="1"/>
  <c r="AE73" i="11" s="1"/>
  <c r="AD73" i="11" s="1"/>
  <c r="AC73" i="11" s="1"/>
  <c r="AB73" i="11" s="1"/>
  <c r="AA73" i="11" s="1"/>
  <c r="Z73" i="11" s="1"/>
  <c r="Y73" i="11" s="1"/>
  <c r="X73" i="11" s="1"/>
  <c r="W73" i="11" s="1"/>
  <c r="V73" i="11" s="1"/>
  <c r="U73" i="11" s="1"/>
  <c r="T73" i="11" s="1"/>
  <c r="S73" i="11" s="1"/>
  <c r="R73" i="11" s="1"/>
  <c r="Q73" i="11" s="1"/>
  <c r="P73" i="11" s="1"/>
  <c r="O73" i="11" s="1"/>
  <c r="N73" i="11" s="1"/>
  <c r="M73" i="11" s="1"/>
  <c r="G69" i="11" s="1"/>
  <c r="L74" i="11"/>
  <c r="AJ74" i="11" s="1"/>
  <c r="AI74" i="11" s="1"/>
  <c r="AH74" i="11" s="1"/>
  <c r="AG74" i="11" s="1"/>
  <c r="AF74" i="11" s="1"/>
  <c r="AE74" i="11" s="1"/>
  <c r="AD74" i="11" s="1"/>
  <c r="AC74" i="11" s="1"/>
  <c r="AB74" i="11" s="1"/>
  <c r="AA74" i="11" s="1"/>
  <c r="Z74" i="11" s="1"/>
  <c r="Y74" i="11" s="1"/>
  <c r="X74" i="11" s="1"/>
  <c r="W74" i="11" s="1"/>
  <c r="V74" i="11" s="1"/>
  <c r="U74" i="11" s="1"/>
  <c r="T74" i="11" s="1"/>
  <c r="S74" i="11" s="1"/>
  <c r="R74" i="11" s="1"/>
  <c r="Q74" i="11" s="1"/>
  <c r="P74" i="11" s="1"/>
  <c r="O74" i="11" s="1"/>
  <c r="N74" i="11" s="1"/>
  <c r="M74" i="11" s="1"/>
  <c r="G70" i="11" s="1"/>
  <c r="L75" i="11"/>
  <c r="AJ75" i="11" s="1"/>
  <c r="AI75" i="11" s="1"/>
  <c r="AH75" i="11" s="1"/>
  <c r="AG75" i="11" s="1"/>
  <c r="AF75" i="11" s="1"/>
  <c r="AE75" i="11" s="1"/>
  <c r="AD75" i="11" s="1"/>
  <c r="AC75" i="11" s="1"/>
  <c r="AB75" i="11" s="1"/>
  <c r="AA75" i="11" s="1"/>
  <c r="Z75" i="11" s="1"/>
  <c r="Y75" i="11" s="1"/>
  <c r="X75" i="11" s="1"/>
  <c r="W75" i="11" s="1"/>
  <c r="V75" i="11" s="1"/>
  <c r="U75" i="11" s="1"/>
  <c r="T75" i="11" s="1"/>
  <c r="S75" i="11" s="1"/>
  <c r="R75" i="11" s="1"/>
  <c r="Q75" i="11" s="1"/>
  <c r="P75" i="11" s="1"/>
  <c r="O75" i="11" s="1"/>
  <c r="N75" i="11" s="1"/>
  <c r="M75" i="11" s="1"/>
  <c r="G71" i="11" s="1"/>
  <c r="L76" i="11"/>
  <c r="AJ76" i="11" s="1"/>
  <c r="AI76" i="11" s="1"/>
  <c r="AH76" i="11" s="1"/>
  <c r="AG76" i="11" s="1"/>
  <c r="AF76" i="11" s="1"/>
  <c r="AE76" i="11" s="1"/>
  <c r="AD76" i="11" s="1"/>
  <c r="AC76" i="11" s="1"/>
  <c r="AB76" i="11" s="1"/>
  <c r="AA76" i="11" s="1"/>
  <c r="Z76" i="11" s="1"/>
  <c r="Y76" i="11" s="1"/>
  <c r="X76" i="11" s="1"/>
  <c r="W76" i="11" s="1"/>
  <c r="V76" i="11" s="1"/>
  <c r="U76" i="11" s="1"/>
  <c r="T76" i="11" s="1"/>
  <c r="S76" i="11" s="1"/>
  <c r="R76" i="11" s="1"/>
  <c r="Q76" i="11" s="1"/>
  <c r="P76" i="11" s="1"/>
  <c r="O76" i="11" s="1"/>
  <c r="N76" i="11" s="1"/>
  <c r="M76" i="11" s="1"/>
  <c r="G72" i="11" s="1"/>
  <c r="L77" i="11"/>
  <c r="AJ77" i="11" s="1"/>
  <c r="AI77" i="11" s="1"/>
  <c r="AH77" i="11" s="1"/>
  <c r="AG77" i="11" s="1"/>
  <c r="AF77" i="11" s="1"/>
  <c r="AE77" i="11" s="1"/>
  <c r="AD77" i="11" s="1"/>
  <c r="AC77" i="11" s="1"/>
  <c r="AB77" i="11" s="1"/>
  <c r="AA77" i="11" s="1"/>
  <c r="Z77" i="11" s="1"/>
  <c r="Y77" i="11" s="1"/>
  <c r="X77" i="11" s="1"/>
  <c r="W77" i="11" s="1"/>
  <c r="V77" i="11" s="1"/>
  <c r="U77" i="11" s="1"/>
  <c r="T77" i="11" s="1"/>
  <c r="S77" i="11" s="1"/>
  <c r="R77" i="11" s="1"/>
  <c r="Q77" i="11" s="1"/>
  <c r="P77" i="11" s="1"/>
  <c r="O77" i="11" s="1"/>
  <c r="N77" i="11" s="1"/>
  <c r="M77" i="11" s="1"/>
  <c r="G73" i="11" s="1"/>
  <c r="L78" i="11"/>
  <c r="AJ78" i="11" s="1"/>
  <c r="AI78" i="11" s="1"/>
  <c r="AH78" i="11" s="1"/>
  <c r="AG78" i="11" s="1"/>
  <c r="AF78" i="11" s="1"/>
  <c r="AE78" i="11" s="1"/>
  <c r="AD78" i="11" s="1"/>
  <c r="AC78" i="11" s="1"/>
  <c r="AB78" i="11" s="1"/>
  <c r="AA78" i="11" s="1"/>
  <c r="Z78" i="11" s="1"/>
  <c r="Y78" i="11" s="1"/>
  <c r="X78" i="11" s="1"/>
  <c r="W78" i="11" s="1"/>
  <c r="V78" i="11" s="1"/>
  <c r="U78" i="11" s="1"/>
  <c r="T78" i="11" s="1"/>
  <c r="S78" i="11" s="1"/>
  <c r="R78" i="11" s="1"/>
  <c r="Q78" i="11" s="1"/>
  <c r="P78" i="11" s="1"/>
  <c r="O78" i="11" s="1"/>
  <c r="N78" i="11" s="1"/>
  <c r="M78" i="11" s="1"/>
  <c r="G74" i="11" s="1"/>
  <c r="L79" i="11"/>
  <c r="AJ79" i="11" s="1"/>
  <c r="AI79" i="11" s="1"/>
  <c r="AH79" i="11" s="1"/>
  <c r="AG79" i="11" s="1"/>
  <c r="AF79" i="11" s="1"/>
  <c r="AE79" i="11" s="1"/>
  <c r="AD79" i="11" s="1"/>
  <c r="AC79" i="11" s="1"/>
  <c r="AB79" i="11" s="1"/>
  <c r="AA79" i="11" s="1"/>
  <c r="Z79" i="11" s="1"/>
  <c r="Y79" i="11" s="1"/>
  <c r="X79" i="11" s="1"/>
  <c r="W79" i="11" s="1"/>
  <c r="V79" i="11" s="1"/>
  <c r="U79" i="11" s="1"/>
  <c r="T79" i="11" s="1"/>
  <c r="S79" i="11" s="1"/>
  <c r="R79" i="11" s="1"/>
  <c r="Q79" i="11" s="1"/>
  <c r="P79" i="11" s="1"/>
  <c r="O79" i="11" s="1"/>
  <c r="N79" i="11" s="1"/>
  <c r="M79" i="11" s="1"/>
  <c r="G75" i="11" s="1"/>
  <c r="L80" i="11"/>
  <c r="AJ80" i="11" s="1"/>
  <c r="AI80" i="11" s="1"/>
  <c r="AH80" i="11" s="1"/>
  <c r="AG80" i="11" s="1"/>
  <c r="AF80" i="11" s="1"/>
  <c r="AE80" i="11" s="1"/>
  <c r="AD80" i="11" s="1"/>
  <c r="AC80" i="11" s="1"/>
  <c r="AB80" i="11" s="1"/>
  <c r="AA80" i="11" s="1"/>
  <c r="Z80" i="11" s="1"/>
  <c r="Y80" i="11" s="1"/>
  <c r="X80" i="11" s="1"/>
  <c r="W80" i="11" s="1"/>
  <c r="V80" i="11" s="1"/>
  <c r="U80" i="11" s="1"/>
  <c r="T80" i="11" s="1"/>
  <c r="S80" i="11" s="1"/>
  <c r="R80" i="11" s="1"/>
  <c r="Q80" i="11" s="1"/>
  <c r="P80" i="11" s="1"/>
  <c r="O80" i="11" s="1"/>
  <c r="N80" i="11" s="1"/>
  <c r="M80" i="11" s="1"/>
  <c r="G76" i="11" s="1"/>
  <c r="L81" i="11"/>
  <c r="AJ81" i="11" s="1"/>
  <c r="AI81" i="11" s="1"/>
  <c r="AH81" i="11" s="1"/>
  <c r="AG81" i="11" s="1"/>
  <c r="AF81" i="11" s="1"/>
  <c r="AE81" i="11" s="1"/>
  <c r="AD81" i="11" s="1"/>
  <c r="AC81" i="11" s="1"/>
  <c r="AB81" i="11" s="1"/>
  <c r="AA81" i="11" s="1"/>
  <c r="Z81" i="11" s="1"/>
  <c r="Y81" i="11" s="1"/>
  <c r="X81" i="11" s="1"/>
  <c r="W81" i="11" s="1"/>
  <c r="V81" i="11" s="1"/>
  <c r="U81" i="11" s="1"/>
  <c r="T81" i="11" s="1"/>
  <c r="S81" i="11" s="1"/>
  <c r="R81" i="11" s="1"/>
  <c r="Q81" i="11" s="1"/>
  <c r="P81" i="11" s="1"/>
  <c r="O81" i="11" s="1"/>
  <c r="N81" i="11" s="1"/>
  <c r="M81" i="11" s="1"/>
  <c r="G77" i="11" s="1"/>
  <c r="L82" i="11"/>
  <c r="AJ82" i="11" s="1"/>
  <c r="AI82" i="11" s="1"/>
  <c r="AH82" i="11" s="1"/>
  <c r="AG82" i="11" s="1"/>
  <c r="AF82" i="11" s="1"/>
  <c r="AE82" i="11" s="1"/>
  <c r="AD82" i="11" s="1"/>
  <c r="AC82" i="11" s="1"/>
  <c r="AB82" i="11" s="1"/>
  <c r="AA82" i="11" s="1"/>
  <c r="Z82" i="11" s="1"/>
  <c r="Y82" i="11" s="1"/>
  <c r="X82" i="11" s="1"/>
  <c r="W82" i="11" s="1"/>
  <c r="V82" i="11" s="1"/>
  <c r="U82" i="11" s="1"/>
  <c r="T82" i="11" s="1"/>
  <c r="S82" i="11" s="1"/>
  <c r="R82" i="11" s="1"/>
  <c r="Q82" i="11" s="1"/>
  <c r="P82" i="11" s="1"/>
  <c r="O82" i="11" s="1"/>
  <c r="N82" i="11" s="1"/>
  <c r="M82" i="11" s="1"/>
  <c r="G78" i="11" s="1"/>
  <c r="L83" i="11"/>
  <c r="AJ83" i="11" s="1"/>
  <c r="AI83" i="11" s="1"/>
  <c r="AH83" i="11" s="1"/>
  <c r="AG83" i="11" s="1"/>
  <c r="AF83" i="11" s="1"/>
  <c r="AE83" i="11" s="1"/>
  <c r="AD83" i="11" s="1"/>
  <c r="AC83" i="11" s="1"/>
  <c r="AB83" i="11" s="1"/>
  <c r="AA83" i="11" s="1"/>
  <c r="Z83" i="11" s="1"/>
  <c r="Y83" i="11" s="1"/>
  <c r="X83" i="11" s="1"/>
  <c r="W83" i="11" s="1"/>
  <c r="V83" i="11" s="1"/>
  <c r="U83" i="11" s="1"/>
  <c r="T83" i="11" s="1"/>
  <c r="S83" i="11" s="1"/>
  <c r="R83" i="11" s="1"/>
  <c r="Q83" i="11" s="1"/>
  <c r="P83" i="11" s="1"/>
  <c r="O83" i="11" s="1"/>
  <c r="N83" i="11" s="1"/>
  <c r="M83" i="11" s="1"/>
  <c r="G79" i="11" s="1"/>
  <c r="L84" i="11"/>
  <c r="AJ84" i="11" s="1"/>
  <c r="AI84" i="11" s="1"/>
  <c r="AH84" i="11" s="1"/>
  <c r="AG84" i="11" s="1"/>
  <c r="AF84" i="11" s="1"/>
  <c r="AE84" i="11" s="1"/>
  <c r="AD84" i="11" s="1"/>
  <c r="AC84" i="11" s="1"/>
  <c r="AB84" i="11" s="1"/>
  <c r="AA84" i="11" s="1"/>
  <c r="Z84" i="11" s="1"/>
  <c r="Y84" i="11" s="1"/>
  <c r="X84" i="11" s="1"/>
  <c r="W84" i="11" s="1"/>
  <c r="V84" i="11" s="1"/>
  <c r="U84" i="11" s="1"/>
  <c r="T84" i="11" s="1"/>
  <c r="S84" i="11" s="1"/>
  <c r="R84" i="11" s="1"/>
  <c r="Q84" i="11" s="1"/>
  <c r="P84" i="11" s="1"/>
  <c r="O84" i="11" s="1"/>
  <c r="N84" i="11" s="1"/>
  <c r="M84" i="11" s="1"/>
  <c r="G80" i="11" s="1"/>
  <c r="L85" i="11"/>
  <c r="AJ85" i="11" s="1"/>
  <c r="AI85" i="11" s="1"/>
  <c r="AH85" i="11" s="1"/>
  <c r="AG85" i="11" s="1"/>
  <c r="AF85" i="11" s="1"/>
  <c r="AE85" i="11" s="1"/>
  <c r="AD85" i="11" s="1"/>
  <c r="AC85" i="11" s="1"/>
  <c r="AB85" i="11" s="1"/>
  <c r="AA85" i="11" s="1"/>
  <c r="Z85" i="11" s="1"/>
  <c r="Y85" i="11" s="1"/>
  <c r="X85" i="11" s="1"/>
  <c r="W85" i="11" s="1"/>
  <c r="V85" i="11" s="1"/>
  <c r="U85" i="11" s="1"/>
  <c r="T85" i="11" s="1"/>
  <c r="S85" i="11" s="1"/>
  <c r="R85" i="11" s="1"/>
  <c r="Q85" i="11" s="1"/>
  <c r="P85" i="11" s="1"/>
  <c r="O85" i="11" s="1"/>
  <c r="N85" i="11" s="1"/>
  <c r="M85" i="11" s="1"/>
  <c r="G81" i="11" s="1"/>
  <c r="L86" i="11"/>
  <c r="AJ86" i="11" s="1"/>
  <c r="AI86" i="11" s="1"/>
  <c r="AH86" i="11" s="1"/>
  <c r="AG86" i="11" s="1"/>
  <c r="AF86" i="11" s="1"/>
  <c r="AE86" i="11" s="1"/>
  <c r="AD86" i="11" s="1"/>
  <c r="AC86" i="11" s="1"/>
  <c r="AB86" i="11" s="1"/>
  <c r="AA86" i="11" s="1"/>
  <c r="Z86" i="11" s="1"/>
  <c r="Y86" i="11" s="1"/>
  <c r="X86" i="11" s="1"/>
  <c r="W86" i="11" s="1"/>
  <c r="V86" i="11" s="1"/>
  <c r="U86" i="11" s="1"/>
  <c r="T86" i="11" s="1"/>
  <c r="S86" i="11" s="1"/>
  <c r="R86" i="11" s="1"/>
  <c r="Q86" i="11" s="1"/>
  <c r="P86" i="11" s="1"/>
  <c r="O86" i="11" s="1"/>
  <c r="N86" i="11" s="1"/>
  <c r="M86" i="11" s="1"/>
  <c r="G82" i="11" s="1"/>
  <c r="L87" i="11"/>
  <c r="AJ87" i="11" s="1"/>
  <c r="AI87" i="11" s="1"/>
  <c r="AH87" i="11" s="1"/>
  <c r="AG87" i="11" s="1"/>
  <c r="AF87" i="11" s="1"/>
  <c r="AE87" i="11" s="1"/>
  <c r="AD87" i="11" s="1"/>
  <c r="AC87" i="11" s="1"/>
  <c r="AB87" i="11" s="1"/>
  <c r="AA87" i="11" s="1"/>
  <c r="Z87" i="11" s="1"/>
  <c r="Y87" i="11" s="1"/>
  <c r="X87" i="11" s="1"/>
  <c r="W87" i="11" s="1"/>
  <c r="V87" i="11" s="1"/>
  <c r="U87" i="11" s="1"/>
  <c r="T87" i="11" s="1"/>
  <c r="S87" i="11" s="1"/>
  <c r="R87" i="11" s="1"/>
  <c r="Q87" i="11" s="1"/>
  <c r="P87" i="11" s="1"/>
  <c r="O87" i="11" s="1"/>
  <c r="N87" i="11" s="1"/>
  <c r="M87" i="11" s="1"/>
  <c r="G83" i="11" s="1"/>
  <c r="L88" i="11"/>
  <c r="AJ88" i="11" s="1"/>
  <c r="AI88" i="11" s="1"/>
  <c r="AH88" i="11" s="1"/>
  <c r="AG88" i="11" s="1"/>
  <c r="AF88" i="11" s="1"/>
  <c r="AE88" i="11" s="1"/>
  <c r="AD88" i="11" s="1"/>
  <c r="AC88" i="11" s="1"/>
  <c r="AB88" i="11" s="1"/>
  <c r="AA88" i="11" s="1"/>
  <c r="Z88" i="11" s="1"/>
  <c r="Y88" i="11" s="1"/>
  <c r="X88" i="11" s="1"/>
  <c r="W88" i="11" s="1"/>
  <c r="V88" i="11" s="1"/>
  <c r="U88" i="11" s="1"/>
  <c r="T88" i="11" s="1"/>
  <c r="S88" i="11" s="1"/>
  <c r="R88" i="11" s="1"/>
  <c r="Q88" i="11" s="1"/>
  <c r="P88" i="11" s="1"/>
  <c r="O88" i="11" s="1"/>
  <c r="N88" i="11" s="1"/>
  <c r="M88" i="11" s="1"/>
  <c r="G84" i="11" s="1"/>
  <c r="L89" i="11"/>
  <c r="AJ89" i="11" s="1"/>
  <c r="AI89" i="11" s="1"/>
  <c r="AH89" i="11" s="1"/>
  <c r="AG89" i="11" s="1"/>
  <c r="AF89" i="11" s="1"/>
  <c r="AE89" i="11" s="1"/>
  <c r="AD89" i="11" s="1"/>
  <c r="AC89" i="11" s="1"/>
  <c r="AB89" i="11" s="1"/>
  <c r="AA89" i="11" s="1"/>
  <c r="Z89" i="11" s="1"/>
  <c r="Y89" i="11" s="1"/>
  <c r="X89" i="11" s="1"/>
  <c r="W89" i="11" s="1"/>
  <c r="V89" i="11" s="1"/>
  <c r="U89" i="11" s="1"/>
  <c r="T89" i="11" s="1"/>
  <c r="S89" i="11" s="1"/>
  <c r="R89" i="11" s="1"/>
  <c r="Q89" i="11" s="1"/>
  <c r="P89" i="11" s="1"/>
  <c r="O89" i="11" s="1"/>
  <c r="N89" i="11" s="1"/>
  <c r="M89" i="11" s="1"/>
  <c r="G85" i="11" s="1"/>
  <c r="L90" i="11"/>
  <c r="AM90" i="11" s="1"/>
  <c r="AL90" i="11" s="1"/>
  <c r="AK90" i="11" s="1"/>
  <c r="AJ90" i="11" s="1"/>
  <c r="AI90" i="11" s="1"/>
  <c r="AH90" i="11" s="1"/>
  <c r="AG90" i="11" s="1"/>
  <c r="AF90" i="11" s="1"/>
  <c r="AE90" i="11" s="1"/>
  <c r="AD90" i="11" s="1"/>
  <c r="AC90" i="11" s="1"/>
  <c r="AB90" i="11" s="1"/>
  <c r="AA90" i="11" s="1"/>
  <c r="Z90" i="11" s="1"/>
  <c r="Y90" i="11" s="1"/>
  <c r="X90" i="11" s="1"/>
  <c r="W90" i="11" s="1"/>
  <c r="V90" i="11" s="1"/>
  <c r="U90" i="11" s="1"/>
  <c r="T90" i="11" s="1"/>
  <c r="S90" i="11" s="1"/>
  <c r="R90" i="11" s="1"/>
  <c r="Q90" i="11" s="1"/>
  <c r="P90" i="11" s="1"/>
  <c r="O90" i="11" s="1"/>
  <c r="N90" i="11" s="1"/>
  <c r="M90" i="11" s="1"/>
  <c r="G86" i="11" s="1"/>
  <c r="L91" i="11"/>
  <c r="AM91" i="11" s="1"/>
  <c r="AL91" i="11" s="1"/>
  <c r="AK91" i="11" s="1"/>
  <c r="AJ91" i="11" s="1"/>
  <c r="AI91" i="11" s="1"/>
  <c r="AH91" i="11" s="1"/>
  <c r="AG91" i="11" s="1"/>
  <c r="AF91" i="11" s="1"/>
  <c r="AE91" i="11" s="1"/>
  <c r="AD91" i="11" s="1"/>
  <c r="AC91" i="11" s="1"/>
  <c r="AB91" i="11" s="1"/>
  <c r="AA91" i="11" s="1"/>
  <c r="Z91" i="11" s="1"/>
  <c r="Y91" i="11" s="1"/>
  <c r="X91" i="11" s="1"/>
  <c r="W91" i="11" s="1"/>
  <c r="V91" i="11" s="1"/>
  <c r="U91" i="11" s="1"/>
  <c r="T91" i="11" s="1"/>
  <c r="S91" i="11" s="1"/>
  <c r="R91" i="11" s="1"/>
  <c r="Q91" i="11" s="1"/>
  <c r="P91" i="11" s="1"/>
  <c r="O91" i="11" s="1"/>
  <c r="N91" i="11" s="1"/>
  <c r="M91" i="11" s="1"/>
  <c r="G87" i="11" s="1"/>
  <c r="L92" i="11"/>
  <c r="AM92" i="11" s="1"/>
  <c r="AL92" i="11" s="1"/>
  <c r="AK92" i="11" s="1"/>
  <c r="AJ92" i="11" s="1"/>
  <c r="AI92" i="11" s="1"/>
  <c r="AH92" i="11" s="1"/>
  <c r="AG92" i="11" s="1"/>
  <c r="AF92" i="11" s="1"/>
  <c r="AE92" i="11" s="1"/>
  <c r="AD92" i="11" s="1"/>
  <c r="AC92" i="11" s="1"/>
  <c r="AB92" i="11" s="1"/>
  <c r="AA92" i="11" s="1"/>
  <c r="Z92" i="11" s="1"/>
  <c r="Y92" i="11" s="1"/>
  <c r="X92" i="11" s="1"/>
  <c r="W92" i="11" s="1"/>
  <c r="V92" i="11" s="1"/>
  <c r="U92" i="11" s="1"/>
  <c r="T92" i="11" s="1"/>
  <c r="S92" i="11" s="1"/>
  <c r="R92" i="11" s="1"/>
  <c r="Q92" i="11" s="1"/>
  <c r="P92" i="11" s="1"/>
  <c r="O92" i="11" s="1"/>
  <c r="N92" i="11" s="1"/>
  <c r="M92" i="11" s="1"/>
  <c r="G88" i="11" s="1"/>
  <c r="L93" i="11"/>
  <c r="AM93" i="11" s="1"/>
  <c r="AL93" i="11" s="1"/>
  <c r="AK93" i="11" s="1"/>
  <c r="AJ93" i="11" s="1"/>
  <c r="AI93" i="11" s="1"/>
  <c r="AH93" i="11" s="1"/>
  <c r="AG93" i="11" s="1"/>
  <c r="AF93" i="11" s="1"/>
  <c r="AE93" i="11" s="1"/>
  <c r="AD93" i="11" s="1"/>
  <c r="AC93" i="11" s="1"/>
  <c r="AB93" i="11" s="1"/>
  <c r="AA93" i="11" s="1"/>
  <c r="Z93" i="11" s="1"/>
  <c r="Y93" i="11" s="1"/>
  <c r="X93" i="11" s="1"/>
  <c r="W93" i="11" s="1"/>
  <c r="V93" i="11" s="1"/>
  <c r="U93" i="11" s="1"/>
  <c r="T93" i="11" s="1"/>
  <c r="S93" i="11" s="1"/>
  <c r="R93" i="11" s="1"/>
  <c r="Q93" i="11" s="1"/>
  <c r="P93" i="11" s="1"/>
  <c r="O93" i="11" s="1"/>
  <c r="N93" i="11" s="1"/>
  <c r="M93" i="11" s="1"/>
  <c r="G89" i="11" s="1"/>
  <c r="L94" i="11"/>
  <c r="AJ94" i="11" s="1"/>
  <c r="AI94" i="11" s="1"/>
  <c r="AH94" i="11" s="1"/>
  <c r="AG94" i="11" s="1"/>
  <c r="AF94" i="11" s="1"/>
  <c r="AE94" i="11" s="1"/>
  <c r="AD94" i="11" s="1"/>
  <c r="AC94" i="11" s="1"/>
  <c r="AB94" i="11" s="1"/>
  <c r="AA94" i="11" s="1"/>
  <c r="Z94" i="11" s="1"/>
  <c r="Y94" i="11" s="1"/>
  <c r="X94" i="11" s="1"/>
  <c r="W94" i="11" s="1"/>
  <c r="V94" i="11" s="1"/>
  <c r="U94" i="11" s="1"/>
  <c r="T94" i="11" s="1"/>
  <c r="S94" i="11" s="1"/>
  <c r="R94" i="11" s="1"/>
  <c r="Q94" i="11" s="1"/>
  <c r="P94" i="11" s="1"/>
  <c r="O94" i="11" s="1"/>
  <c r="N94" i="11" s="1"/>
  <c r="M94" i="11" s="1"/>
  <c r="G90" i="11" s="1"/>
  <c r="L95" i="11"/>
  <c r="AJ95" i="11" s="1"/>
  <c r="AI95" i="11" s="1"/>
  <c r="AH95" i="11" s="1"/>
  <c r="AG95" i="11" s="1"/>
  <c r="AF95" i="11" s="1"/>
  <c r="AE95" i="11" s="1"/>
  <c r="AD95" i="11" s="1"/>
  <c r="AC95" i="11" s="1"/>
  <c r="AB95" i="11" s="1"/>
  <c r="AA95" i="11" s="1"/>
  <c r="Z95" i="11" s="1"/>
  <c r="Y95" i="11" s="1"/>
  <c r="X95" i="11" s="1"/>
  <c r="W95" i="11" s="1"/>
  <c r="V95" i="11" s="1"/>
  <c r="U95" i="11" s="1"/>
  <c r="T95" i="11" s="1"/>
  <c r="S95" i="11" s="1"/>
  <c r="R95" i="11" s="1"/>
  <c r="Q95" i="11" s="1"/>
  <c r="P95" i="11" s="1"/>
  <c r="O95" i="11" s="1"/>
  <c r="N95" i="11" s="1"/>
  <c r="M95" i="11" s="1"/>
  <c r="G91" i="11" s="1"/>
  <c r="L96" i="11"/>
  <c r="AJ96" i="11" s="1"/>
  <c r="AI96" i="11" s="1"/>
  <c r="AH96" i="11" s="1"/>
  <c r="AG96" i="11" s="1"/>
  <c r="AF96" i="11" s="1"/>
  <c r="AE96" i="11" s="1"/>
  <c r="AD96" i="11" s="1"/>
  <c r="AC96" i="11" s="1"/>
  <c r="AB96" i="11" s="1"/>
  <c r="AA96" i="11" s="1"/>
  <c r="Z96" i="11" s="1"/>
  <c r="Y96" i="11" s="1"/>
  <c r="X96" i="11" s="1"/>
  <c r="W96" i="11" s="1"/>
  <c r="V96" i="11" s="1"/>
  <c r="U96" i="11" s="1"/>
  <c r="T96" i="11" s="1"/>
  <c r="S96" i="11" s="1"/>
  <c r="R96" i="11" s="1"/>
  <c r="Q96" i="11" s="1"/>
  <c r="P96" i="11" s="1"/>
  <c r="O96" i="11" s="1"/>
  <c r="N96" i="11" s="1"/>
  <c r="M96" i="11" s="1"/>
  <c r="G92" i="11" s="1"/>
  <c r="L97" i="11"/>
  <c r="AJ97" i="11" s="1"/>
  <c r="AI97" i="11" s="1"/>
  <c r="AH97" i="11" s="1"/>
  <c r="AG97" i="11" s="1"/>
  <c r="AF97" i="11" s="1"/>
  <c r="AE97" i="11" s="1"/>
  <c r="AD97" i="11" s="1"/>
  <c r="AC97" i="11" s="1"/>
  <c r="AB97" i="11" s="1"/>
  <c r="AA97" i="11" s="1"/>
  <c r="Z97" i="11" s="1"/>
  <c r="Y97" i="11" s="1"/>
  <c r="X97" i="11" s="1"/>
  <c r="W97" i="11" s="1"/>
  <c r="V97" i="11" s="1"/>
  <c r="U97" i="11" s="1"/>
  <c r="T97" i="11" s="1"/>
  <c r="S97" i="11" s="1"/>
  <c r="R97" i="11" s="1"/>
  <c r="Q97" i="11" s="1"/>
  <c r="P97" i="11" s="1"/>
  <c r="O97" i="11" s="1"/>
  <c r="N97" i="11" s="1"/>
  <c r="M97" i="11" s="1"/>
  <c r="G93" i="11" s="1"/>
  <c r="L98" i="11"/>
  <c r="AJ98" i="11" s="1"/>
  <c r="AI98" i="11" s="1"/>
  <c r="AH98" i="11" s="1"/>
  <c r="AG98" i="11" s="1"/>
  <c r="AF98" i="11" s="1"/>
  <c r="AE98" i="11" s="1"/>
  <c r="AD98" i="11" s="1"/>
  <c r="AC98" i="11" s="1"/>
  <c r="AB98" i="11" s="1"/>
  <c r="AA98" i="11" s="1"/>
  <c r="Z98" i="11" s="1"/>
  <c r="Y98" i="11" s="1"/>
  <c r="X98" i="11" s="1"/>
  <c r="W98" i="11" s="1"/>
  <c r="V98" i="11" s="1"/>
  <c r="U98" i="11" s="1"/>
  <c r="T98" i="11" s="1"/>
  <c r="S98" i="11" s="1"/>
  <c r="R98" i="11" s="1"/>
  <c r="Q98" i="11" s="1"/>
  <c r="P98" i="11" s="1"/>
  <c r="O98" i="11" s="1"/>
  <c r="N98" i="11" s="1"/>
  <c r="M98" i="11" s="1"/>
  <c r="G94" i="11" s="1"/>
  <c r="L99" i="11"/>
  <c r="AJ99" i="11" s="1"/>
  <c r="AI99" i="11" s="1"/>
  <c r="AH99" i="11" s="1"/>
  <c r="AG99" i="11" s="1"/>
  <c r="AF99" i="11" s="1"/>
  <c r="AE99" i="11" s="1"/>
  <c r="AD99" i="11" s="1"/>
  <c r="AC99" i="11" s="1"/>
  <c r="AB99" i="11" s="1"/>
  <c r="AA99" i="11" s="1"/>
  <c r="Z99" i="11" s="1"/>
  <c r="Y99" i="11" s="1"/>
  <c r="X99" i="11" s="1"/>
  <c r="W99" i="11" s="1"/>
  <c r="V99" i="11" s="1"/>
  <c r="U99" i="11" s="1"/>
  <c r="T99" i="11" s="1"/>
  <c r="S99" i="11" s="1"/>
  <c r="R99" i="11" s="1"/>
  <c r="Q99" i="11" s="1"/>
  <c r="P99" i="11" s="1"/>
  <c r="O99" i="11" s="1"/>
  <c r="N99" i="11" s="1"/>
  <c r="M99" i="11" s="1"/>
  <c r="G95" i="11" s="1"/>
  <c r="L100" i="11"/>
  <c r="AJ100" i="11" s="1"/>
  <c r="AI100" i="11" s="1"/>
  <c r="AH100" i="11" s="1"/>
  <c r="AG100" i="11" s="1"/>
  <c r="AF100" i="11" s="1"/>
  <c r="AE100" i="11" s="1"/>
  <c r="AD100" i="11" s="1"/>
  <c r="AC100" i="11" s="1"/>
  <c r="AB100" i="11" s="1"/>
  <c r="AA100" i="11" s="1"/>
  <c r="Z100" i="11" s="1"/>
  <c r="Y100" i="11" s="1"/>
  <c r="X100" i="11" s="1"/>
  <c r="W100" i="11" s="1"/>
  <c r="V100" i="11" s="1"/>
  <c r="U100" i="11" s="1"/>
  <c r="T100" i="11" s="1"/>
  <c r="S100" i="11" s="1"/>
  <c r="R100" i="11" s="1"/>
  <c r="Q100" i="11" s="1"/>
  <c r="P100" i="11" s="1"/>
  <c r="O100" i="11" s="1"/>
  <c r="N100" i="11" s="1"/>
  <c r="M100" i="11" s="1"/>
  <c r="G96" i="11" s="1"/>
  <c r="L101" i="11"/>
  <c r="AJ101" i="11" s="1"/>
  <c r="AI101" i="11" s="1"/>
  <c r="AH101" i="11" s="1"/>
  <c r="AG101" i="11" s="1"/>
  <c r="AF101" i="11" s="1"/>
  <c r="AE101" i="11" s="1"/>
  <c r="AD101" i="11" s="1"/>
  <c r="AC101" i="11" s="1"/>
  <c r="AB101" i="11" s="1"/>
  <c r="AA101" i="11" s="1"/>
  <c r="Z101" i="11" s="1"/>
  <c r="Y101" i="11" s="1"/>
  <c r="X101" i="11" s="1"/>
  <c r="W101" i="11" s="1"/>
  <c r="V101" i="11" s="1"/>
  <c r="U101" i="11" s="1"/>
  <c r="T101" i="11" s="1"/>
  <c r="S101" i="11" s="1"/>
  <c r="R101" i="11" s="1"/>
  <c r="Q101" i="11" s="1"/>
  <c r="P101" i="11" s="1"/>
  <c r="O101" i="11" s="1"/>
  <c r="N101" i="11" s="1"/>
  <c r="M101" i="11" s="1"/>
  <c r="G97" i="11" s="1"/>
  <c r="L102" i="11"/>
  <c r="AJ102" i="11" s="1"/>
  <c r="AI102" i="11" s="1"/>
  <c r="AH102" i="11" s="1"/>
  <c r="AG102" i="11" s="1"/>
  <c r="AF102" i="11" s="1"/>
  <c r="AE102" i="11" s="1"/>
  <c r="AD102" i="11" s="1"/>
  <c r="AC102" i="11" s="1"/>
  <c r="AB102" i="11" s="1"/>
  <c r="AA102" i="11" s="1"/>
  <c r="Z102" i="11" s="1"/>
  <c r="Y102" i="11" s="1"/>
  <c r="X102" i="11" s="1"/>
  <c r="W102" i="11" s="1"/>
  <c r="V102" i="11" s="1"/>
  <c r="U102" i="11" s="1"/>
  <c r="T102" i="11" s="1"/>
  <c r="S102" i="11" s="1"/>
  <c r="R102" i="11" s="1"/>
  <c r="Q102" i="11" s="1"/>
  <c r="P102" i="11" s="1"/>
  <c r="O102" i="11" s="1"/>
  <c r="N102" i="11" s="1"/>
  <c r="M102" i="11" s="1"/>
  <c r="G98" i="11" s="1"/>
  <c r="L103" i="11"/>
  <c r="AJ103" i="11" s="1"/>
  <c r="AI103" i="11" s="1"/>
  <c r="AH103" i="11" s="1"/>
  <c r="AG103" i="11" s="1"/>
  <c r="AF103" i="11" s="1"/>
  <c r="AE103" i="11" s="1"/>
  <c r="AD103" i="11" s="1"/>
  <c r="AC103" i="11" s="1"/>
  <c r="AB103" i="11" s="1"/>
  <c r="AA103" i="11" s="1"/>
  <c r="Z103" i="11" s="1"/>
  <c r="Y103" i="11" s="1"/>
  <c r="X103" i="11" s="1"/>
  <c r="W103" i="11" s="1"/>
  <c r="V103" i="11" s="1"/>
  <c r="U103" i="11" s="1"/>
  <c r="T103" i="11" s="1"/>
  <c r="S103" i="11" s="1"/>
  <c r="R103" i="11" s="1"/>
  <c r="Q103" i="11" s="1"/>
  <c r="P103" i="11" s="1"/>
  <c r="O103" i="11" s="1"/>
  <c r="N103" i="11" s="1"/>
  <c r="M103" i="11" s="1"/>
  <c r="G99" i="11" s="1"/>
  <c r="L104" i="11"/>
  <c r="AJ104" i="11" s="1"/>
  <c r="AI104" i="11" s="1"/>
  <c r="AH104" i="11" s="1"/>
  <c r="AG104" i="11" s="1"/>
  <c r="AF104" i="11" s="1"/>
  <c r="AE104" i="11" s="1"/>
  <c r="AD104" i="11" s="1"/>
  <c r="AC104" i="11" s="1"/>
  <c r="AB104" i="11" s="1"/>
  <c r="AA104" i="11" s="1"/>
  <c r="Z104" i="11" s="1"/>
  <c r="Y104" i="11" s="1"/>
  <c r="X104" i="11" s="1"/>
  <c r="W104" i="11" s="1"/>
  <c r="V104" i="11" s="1"/>
  <c r="U104" i="11" s="1"/>
  <c r="T104" i="11" s="1"/>
  <c r="S104" i="11" s="1"/>
  <c r="R104" i="11" s="1"/>
  <c r="Q104" i="11" s="1"/>
  <c r="P104" i="11" s="1"/>
  <c r="O104" i="11" s="1"/>
  <c r="N104" i="11" s="1"/>
  <c r="M104" i="11" s="1"/>
  <c r="G100" i="11" s="1"/>
  <c r="L105" i="11"/>
  <c r="AJ105" i="11" s="1"/>
  <c r="AI105" i="11" s="1"/>
  <c r="AH105" i="11" s="1"/>
  <c r="AG105" i="11" s="1"/>
  <c r="AF105" i="11" s="1"/>
  <c r="AE105" i="11" s="1"/>
  <c r="AD105" i="11" s="1"/>
  <c r="AC105" i="11" s="1"/>
  <c r="AB105" i="11" s="1"/>
  <c r="AA105" i="11" s="1"/>
  <c r="Z105" i="11" s="1"/>
  <c r="Y105" i="11" s="1"/>
  <c r="X105" i="11" s="1"/>
  <c r="W105" i="11" s="1"/>
  <c r="V105" i="11" s="1"/>
  <c r="U105" i="11" s="1"/>
  <c r="T105" i="11" s="1"/>
  <c r="S105" i="11" s="1"/>
  <c r="R105" i="11" s="1"/>
  <c r="Q105" i="11" s="1"/>
  <c r="P105" i="11" s="1"/>
  <c r="O105" i="11" s="1"/>
  <c r="N105" i="11" s="1"/>
  <c r="M105" i="11" s="1"/>
  <c r="G101" i="11" s="1"/>
  <c r="L106" i="11"/>
  <c r="AJ106" i="11" s="1"/>
  <c r="AI106" i="11" s="1"/>
  <c r="AH106" i="11" s="1"/>
  <c r="AG106" i="11" s="1"/>
  <c r="AF106" i="11" s="1"/>
  <c r="AE106" i="11" s="1"/>
  <c r="AD106" i="11" s="1"/>
  <c r="AC106" i="11" s="1"/>
  <c r="AB106" i="11" s="1"/>
  <c r="AA106" i="11" s="1"/>
  <c r="Z106" i="11" s="1"/>
  <c r="Y106" i="11" s="1"/>
  <c r="X106" i="11" s="1"/>
  <c r="W106" i="11" s="1"/>
  <c r="V106" i="11" s="1"/>
  <c r="U106" i="11" s="1"/>
  <c r="T106" i="11" s="1"/>
  <c r="S106" i="11" s="1"/>
  <c r="R106" i="11" s="1"/>
  <c r="Q106" i="11" s="1"/>
  <c r="P106" i="11" s="1"/>
  <c r="O106" i="11" s="1"/>
  <c r="N106" i="11" s="1"/>
  <c r="M106" i="11" s="1"/>
  <c r="G102" i="11" s="1"/>
  <c r="L107" i="11"/>
  <c r="AJ107" i="11" s="1"/>
  <c r="AI107" i="11" s="1"/>
  <c r="AH107" i="11" s="1"/>
  <c r="AG107" i="11" s="1"/>
  <c r="AF107" i="11" s="1"/>
  <c r="AE107" i="11" s="1"/>
  <c r="AD107" i="11" s="1"/>
  <c r="AC107" i="11" s="1"/>
  <c r="AB107" i="11" s="1"/>
  <c r="AA107" i="11" s="1"/>
  <c r="Z107" i="11" s="1"/>
  <c r="Y107" i="11" s="1"/>
  <c r="X107" i="11" s="1"/>
  <c r="W107" i="11" s="1"/>
  <c r="V107" i="11" s="1"/>
  <c r="U107" i="11" s="1"/>
  <c r="T107" i="11" s="1"/>
  <c r="S107" i="11" s="1"/>
  <c r="R107" i="11" s="1"/>
  <c r="Q107" i="11" s="1"/>
  <c r="P107" i="11" s="1"/>
  <c r="O107" i="11" s="1"/>
  <c r="N107" i="11" s="1"/>
  <c r="M107" i="11" s="1"/>
  <c r="G103" i="11" s="1"/>
  <c r="L108" i="11"/>
  <c r="AJ108" i="11" s="1"/>
  <c r="AI108" i="11" s="1"/>
  <c r="AH108" i="11" s="1"/>
  <c r="AG108" i="11" s="1"/>
  <c r="AF108" i="11" s="1"/>
  <c r="AE108" i="11" s="1"/>
  <c r="AD108" i="11" s="1"/>
  <c r="AC108" i="11" s="1"/>
  <c r="AB108" i="11" s="1"/>
  <c r="AA108" i="11" s="1"/>
  <c r="Z108" i="11" s="1"/>
  <c r="Y108" i="11" s="1"/>
  <c r="X108" i="11" s="1"/>
  <c r="W108" i="11" s="1"/>
  <c r="V108" i="11" s="1"/>
  <c r="U108" i="11" s="1"/>
  <c r="T108" i="11" s="1"/>
  <c r="S108" i="11" s="1"/>
  <c r="R108" i="11" s="1"/>
  <c r="Q108" i="11" s="1"/>
  <c r="P108" i="11" s="1"/>
  <c r="O108" i="11" s="1"/>
  <c r="N108" i="11" s="1"/>
  <c r="M108" i="11" s="1"/>
  <c r="G104" i="11" s="1"/>
  <c r="L109" i="11"/>
  <c r="AJ109" i="11" s="1"/>
  <c r="AI109" i="11" s="1"/>
  <c r="AH109" i="11" s="1"/>
  <c r="AG109" i="11" s="1"/>
  <c r="AF109" i="11" s="1"/>
  <c r="AE109" i="11" s="1"/>
  <c r="AD109" i="11" s="1"/>
  <c r="AC109" i="11" s="1"/>
  <c r="AB109" i="11" s="1"/>
  <c r="AA109" i="11" s="1"/>
  <c r="Z109" i="11" s="1"/>
  <c r="Y109" i="11" s="1"/>
  <c r="X109" i="11" s="1"/>
  <c r="W109" i="11" s="1"/>
  <c r="V109" i="11" s="1"/>
  <c r="U109" i="11" s="1"/>
  <c r="T109" i="11" s="1"/>
  <c r="S109" i="11" s="1"/>
  <c r="R109" i="11" s="1"/>
  <c r="Q109" i="11" s="1"/>
  <c r="P109" i="11" s="1"/>
  <c r="O109" i="11" s="1"/>
  <c r="N109" i="11" s="1"/>
  <c r="M109" i="11" s="1"/>
  <c r="G105" i="11" s="1"/>
  <c r="L8" i="11"/>
  <c r="AM8" i="11" s="1"/>
  <c r="AL8" i="11" s="1"/>
  <c r="AK8" i="11" s="1"/>
  <c r="AJ8" i="11" s="1"/>
  <c r="AI8" i="11" s="1"/>
  <c r="AH8" i="11" s="1"/>
  <c r="AG8" i="11" s="1"/>
  <c r="AF8" i="11" s="1"/>
  <c r="AE8" i="11" s="1"/>
  <c r="AD8" i="11" s="1"/>
  <c r="AC8" i="11" s="1"/>
  <c r="AB8" i="11" s="1"/>
  <c r="AA8" i="11" s="1"/>
  <c r="Z8" i="11" s="1"/>
  <c r="Y8" i="11" s="1"/>
  <c r="X8" i="11" s="1"/>
  <c r="W8" i="11" s="1"/>
  <c r="V8" i="11" s="1"/>
  <c r="U8" i="11" s="1"/>
  <c r="T8" i="11" s="1"/>
  <c r="S8" i="11" s="1"/>
  <c r="R8" i="11" s="1"/>
  <c r="Q8" i="11" s="1"/>
  <c r="P8" i="11" s="1"/>
  <c r="O8" i="11" s="1"/>
  <c r="N8" i="11" s="1"/>
  <c r="M8" i="11" s="1"/>
  <c r="G4" i="11" s="1"/>
  <c r="L7" i="11"/>
  <c r="D89" i="11"/>
  <c r="D88" i="11"/>
  <c r="D87" i="11"/>
  <c r="D86" i="11"/>
  <c r="D10" i="11"/>
  <c r="D4" i="11"/>
  <c r="L7" i="26" l="1"/>
  <c r="L5" i="25"/>
  <c r="L7" i="25" s="1"/>
  <c r="C14" i="12"/>
  <c r="C17" i="12" s="1"/>
  <c r="D46" i="10" s="1"/>
  <c r="D53" i="10" s="1"/>
  <c r="D54" i="10" s="1"/>
  <c r="N37" i="10" s="1"/>
  <c r="D119" i="11"/>
  <c r="G119" i="11"/>
  <c r="G34" i="9"/>
  <c r="H52" i="10" s="1"/>
  <c r="H53" i="10" s="1"/>
  <c r="H54" i="10" s="1"/>
  <c r="R37" i="10" s="1"/>
  <c r="F8" i="26" l="1"/>
  <c r="M7" i="26"/>
  <c r="N7" i="26" s="1"/>
  <c r="G102" i="34" s="1"/>
  <c r="H102" i="34" s="1"/>
  <c r="L9" i="26"/>
  <c r="G2" i="32"/>
  <c r="G26" i="9"/>
  <c r="W7" i="23" s="1"/>
  <c r="K20" i="9"/>
  <c r="K21" i="9" s="1"/>
  <c r="K23" i="9" s="1"/>
  <c r="K28" i="9" s="1"/>
  <c r="K32" i="9" s="1"/>
  <c r="K34" i="9" s="1"/>
  <c r="K246" i="23"/>
  <c r="M252" i="23" s="1"/>
  <c r="I14" i="23"/>
  <c r="M246" i="23"/>
  <c r="N252" i="23" s="1"/>
  <c r="I15" i="23"/>
  <c r="H18" i="10"/>
  <c r="H19" i="10" s="1"/>
  <c r="H20" i="10" s="1"/>
  <c r="H27" i="10" s="1"/>
  <c r="D12" i="10"/>
  <c r="D19" i="10" s="1"/>
  <c r="D20" i="10" s="1"/>
  <c r="D27" i="10" s="1"/>
  <c r="H68" i="34" l="1"/>
  <c r="H69" i="34"/>
  <c r="H67" i="34"/>
  <c r="H96" i="34"/>
  <c r="H114" i="34" s="1"/>
  <c r="H73" i="34"/>
  <c r="H72" i="34"/>
  <c r="H70" i="34"/>
  <c r="H76" i="34"/>
  <c r="H112" i="34" s="1"/>
  <c r="G114" i="34"/>
  <c r="G107" i="34"/>
  <c r="G40" i="32"/>
  <c r="G10" i="32"/>
  <c r="G36" i="32"/>
  <c r="G28" i="32"/>
  <c r="G34" i="32"/>
  <c r="G9" i="32"/>
  <c r="G57" i="32"/>
  <c r="G12" i="32"/>
  <c r="G13" i="32"/>
  <c r="G60" i="32"/>
  <c r="G48" i="32"/>
  <c r="G59" i="32"/>
  <c r="G45" i="32"/>
  <c r="G47" i="32"/>
  <c r="G11" i="32"/>
  <c r="G64" i="32"/>
  <c r="G62" i="32" s="1"/>
  <c r="G29" i="32"/>
  <c r="G37" i="32"/>
  <c r="G51" i="32"/>
  <c r="G49" i="32"/>
  <c r="G33" i="32"/>
  <c r="G50" i="32"/>
  <c r="G52" i="32"/>
  <c r="G35" i="32"/>
  <c r="G16" i="32"/>
  <c r="G22" i="32"/>
  <c r="G23" i="32"/>
  <c r="G18" i="32"/>
  <c r="G17" i="32"/>
  <c r="G21" i="32"/>
  <c r="C17" i="10"/>
  <c r="K227" i="23"/>
  <c r="AM20" i="23" s="1"/>
  <c r="BB20" i="23" s="1"/>
  <c r="G20" i="32" l="1"/>
  <c r="G56" i="32"/>
  <c r="G55" i="32" s="1"/>
  <c r="G46" i="32"/>
  <c r="G27" i="32"/>
  <c r="G26" i="32" s="1"/>
  <c r="G8" i="32"/>
  <c r="G15" i="32"/>
  <c r="G39" i="32"/>
  <c r="G38" i="32" s="1"/>
  <c r="G14" i="32" l="1"/>
  <c r="G7" i="32" s="1"/>
  <c r="V12" i="5"/>
  <c r="AP12" i="5" s="1"/>
  <c r="V113" i="5"/>
  <c r="AZ90" i="5"/>
  <c r="AZ91" i="5" s="1"/>
  <c r="W12" i="5" l="1"/>
  <c r="AC12" i="5" s="1"/>
  <c r="V11" i="5"/>
  <c r="AP11" i="5" s="1"/>
  <c r="AP113" i="5"/>
  <c r="AS113" i="5" s="1"/>
  <c r="W113" i="5"/>
  <c r="AC113" i="5" s="1"/>
  <c r="AJ94" i="5"/>
  <c r="W11" i="5" l="1"/>
  <c r="AC11" i="5" s="1"/>
  <c r="O20" i="6" l="1"/>
  <c r="O28" i="6"/>
  <c r="W74" i="5"/>
  <c r="W73" i="5" s="1"/>
  <c r="H22" i="7"/>
  <c r="R78" i="5"/>
  <c r="AN78" i="5" s="1"/>
  <c r="AN73" i="5" s="1"/>
  <c r="H5" i="7"/>
  <c r="H16" i="7"/>
  <c r="H9" i="7"/>
  <c r="H7" i="7"/>
  <c r="Y169" i="5" l="1"/>
  <c r="Y170" i="5"/>
  <c r="S79" i="5"/>
  <c r="S77" i="5"/>
  <c r="S78" i="5"/>
  <c r="M7" i="6"/>
  <c r="N7" i="6"/>
  <c r="P20" i="6"/>
  <c r="P28" i="6"/>
  <c r="S76" i="5"/>
  <c r="L7" i="6"/>
  <c r="D184" i="7"/>
  <c r="F184" i="7" s="1"/>
  <c r="S169" i="5"/>
  <c r="P87" i="5"/>
  <c r="AM87" i="5" s="1"/>
  <c r="AO57" i="5"/>
  <c r="AS57" i="5" s="1"/>
  <c r="K19" i="6"/>
  <c r="P142" i="5"/>
  <c r="AM142" i="5" s="1"/>
  <c r="AS142" i="5" s="1"/>
  <c r="AH36" i="5"/>
  <c r="AI76" i="5"/>
  <c r="AI73" i="5" s="1"/>
  <c r="AI89" i="5"/>
  <c r="AS89" i="5" s="1"/>
  <c r="AI88" i="5"/>
  <c r="K6" i="6"/>
  <c r="K21" i="6"/>
  <c r="P140" i="5"/>
  <c r="AM140" i="5" s="1"/>
  <c r="Q133" i="5"/>
  <c r="P92" i="5"/>
  <c r="AM92" i="5" s="1"/>
  <c r="AS92" i="5" s="1"/>
  <c r="P17" i="5"/>
  <c r="AM17" i="5" s="1"/>
  <c r="Q109" i="5"/>
  <c r="Q168" i="5"/>
  <c r="Z150" i="5"/>
  <c r="AR150" i="5" s="1"/>
  <c r="AS150" i="5" s="1"/>
  <c r="F86" i="7"/>
  <c r="AH18" i="5"/>
  <c r="AJ164" i="5"/>
  <c r="AJ82" i="5"/>
  <c r="AJ5" i="5"/>
  <c r="AJ19" i="5"/>
  <c r="AK83" i="5"/>
  <c r="AK169" i="5"/>
  <c r="AK43" i="5"/>
  <c r="AK42" i="5"/>
  <c r="N59" i="5"/>
  <c r="AL59" i="5" s="1"/>
  <c r="N43" i="5"/>
  <c r="AL43" i="5" s="1"/>
  <c r="N49" i="5"/>
  <c r="AL49" i="5" s="1"/>
  <c r="N170" i="5"/>
  <c r="AL170" i="5" s="1"/>
  <c r="N138" i="5"/>
  <c r="AL138" i="5" s="1"/>
  <c r="J17" i="6"/>
  <c r="AO50" i="5"/>
  <c r="AS50" i="5" s="1"/>
  <c r="M9" i="6"/>
  <c r="AO117" i="5"/>
  <c r="AO119" i="5"/>
  <c r="AO26" i="5"/>
  <c r="M27" i="6"/>
  <c r="AO116" i="5"/>
  <c r="U68" i="5"/>
  <c r="U66" i="5" s="1"/>
  <c r="AO46" i="5"/>
  <c r="AO115" i="5"/>
  <c r="U101" i="5"/>
  <c r="M20" i="6"/>
  <c r="V107" i="5"/>
  <c r="AP107" i="5" s="1"/>
  <c r="AS107" i="5" s="1"/>
  <c r="V110" i="5"/>
  <c r="AP110" i="5" s="1"/>
  <c r="AS110" i="5" s="1"/>
  <c r="V108" i="5"/>
  <c r="AP108" i="5" s="1"/>
  <c r="AS108" i="5" s="1"/>
  <c r="V14" i="5"/>
  <c r="AP14" i="5" s="1"/>
  <c r="V86" i="5"/>
  <c r="AP86" i="5" s="1"/>
  <c r="V171" i="5"/>
  <c r="AP171" i="5" s="1"/>
  <c r="AS171" i="5" s="1"/>
  <c r="X161" i="5"/>
  <c r="AQ161" i="5" s="1"/>
  <c r="AQ160" i="5" s="1"/>
  <c r="AS160" i="5" s="1"/>
  <c r="X157" i="5"/>
  <c r="AQ157" i="5" s="1"/>
  <c r="O22" i="6"/>
  <c r="O29" i="6" s="1"/>
  <c r="Z147" i="5"/>
  <c r="AR147" i="5" s="1"/>
  <c r="AS147" i="5" s="1"/>
  <c r="Z148" i="5"/>
  <c r="AR148" i="5" s="1"/>
  <c r="AS148" i="5" s="1"/>
  <c r="Z67" i="5"/>
  <c r="Z154" i="5"/>
  <c r="AR154" i="5" s="1"/>
  <c r="AS154" i="5" s="1"/>
  <c r="Z151" i="5"/>
  <c r="AR151" i="5" s="1"/>
  <c r="AS151" i="5" s="1"/>
  <c r="V9" i="5"/>
  <c r="AI85" i="5" l="1"/>
  <c r="AF102" i="5"/>
  <c r="AI163" i="5"/>
  <c r="D102" i="5"/>
  <c r="AG102" i="5" s="1"/>
  <c r="AS102" i="5" s="1"/>
  <c r="AF112" i="5"/>
  <c r="AD129" i="5"/>
  <c r="AD100" i="5"/>
  <c r="AF100" i="5"/>
  <c r="AF113" i="5"/>
  <c r="AD113" i="5"/>
  <c r="AI38" i="5"/>
  <c r="D97" i="5"/>
  <c r="D96" i="5"/>
  <c r="D103" i="5"/>
  <c r="D95" i="5"/>
  <c r="D100" i="5"/>
  <c r="D104" i="5"/>
  <c r="D99" i="5"/>
  <c r="D98" i="5"/>
  <c r="D101" i="5"/>
  <c r="D94" i="5"/>
  <c r="AJ169" i="5"/>
  <c r="P16" i="5"/>
  <c r="Q16" i="5" s="1"/>
  <c r="S73" i="5"/>
  <c r="V106" i="5"/>
  <c r="AP106" i="5" s="1"/>
  <c r="AS106" i="5" s="1"/>
  <c r="AO56" i="5"/>
  <c r="AS56" i="5" s="1"/>
  <c r="AO135" i="5"/>
  <c r="AS135" i="5" s="1"/>
  <c r="N166" i="5"/>
  <c r="O166" i="5" s="1"/>
  <c r="AC166" i="5" s="1"/>
  <c r="AO47" i="5"/>
  <c r="AS47" i="5" s="1"/>
  <c r="V111" i="5"/>
  <c r="AP111" i="5" s="1"/>
  <c r="AS111" i="5" s="1"/>
  <c r="N149" i="5"/>
  <c r="AL149" i="5" s="1"/>
  <c r="AL145" i="5" s="1"/>
  <c r="K34" i="5"/>
  <c r="AC34" i="5" s="1"/>
  <c r="AH94" i="5"/>
  <c r="AH93" i="5" s="1"/>
  <c r="AK77" i="5"/>
  <c r="AJ95" i="5"/>
  <c r="AJ93" i="5" s="1"/>
  <c r="AI170" i="5"/>
  <c r="P64" i="5"/>
  <c r="AM64" i="5" s="1"/>
  <c r="AH5" i="5"/>
  <c r="AI29" i="5"/>
  <c r="V99" i="5"/>
  <c r="AP99" i="5" s="1"/>
  <c r="AL55" i="5"/>
  <c r="V159" i="5"/>
  <c r="AP159" i="5" s="1"/>
  <c r="AF84" i="5"/>
  <c r="N169" i="5"/>
  <c r="AL169" i="5" s="1"/>
  <c r="AJ155" i="5"/>
  <c r="AJ145" i="5" s="1"/>
  <c r="AD52" i="5"/>
  <c r="AD31" i="5"/>
  <c r="AO49" i="5"/>
  <c r="AS49" i="5" s="1"/>
  <c r="AD20" i="5"/>
  <c r="AJ170" i="5"/>
  <c r="R134" i="5"/>
  <c r="AJ13" i="5"/>
  <c r="K13" i="5"/>
  <c r="AD128" i="5"/>
  <c r="V128" i="5"/>
  <c r="U138" i="5"/>
  <c r="AO138" i="5"/>
  <c r="AO136" i="5" s="1"/>
  <c r="AO58" i="5"/>
  <c r="AS58" i="5" s="1"/>
  <c r="AF173" i="5"/>
  <c r="AF172" i="5" s="1"/>
  <c r="Z158" i="5"/>
  <c r="AR158" i="5" s="1"/>
  <c r="V170" i="5"/>
  <c r="AP170" i="5" s="1"/>
  <c r="AD124" i="5"/>
  <c r="AF22" i="5"/>
  <c r="AF45" i="5"/>
  <c r="AK45" i="5"/>
  <c r="AS45" i="5" s="1"/>
  <c r="AF44" i="5"/>
  <c r="AK44" i="5"/>
  <c r="AS44" i="5" s="1"/>
  <c r="AH155" i="5"/>
  <c r="AO74" i="5"/>
  <c r="AD144" i="5"/>
  <c r="AD143" i="5" s="1"/>
  <c r="I144" i="5"/>
  <c r="AC144" i="5" s="1"/>
  <c r="AC143" i="5" s="1"/>
  <c r="P141" i="5"/>
  <c r="AM141" i="5" s="1"/>
  <c r="AS141" i="5" s="1"/>
  <c r="AF122" i="5"/>
  <c r="AS87" i="5"/>
  <c r="AD137" i="5"/>
  <c r="R137" i="5"/>
  <c r="AN137" i="5" s="1"/>
  <c r="V98" i="5"/>
  <c r="Z170" i="5"/>
  <c r="AR170" i="5" s="1"/>
  <c r="AR162" i="5" s="1"/>
  <c r="Z146" i="5"/>
  <c r="AR146" i="5" s="1"/>
  <c r="V96" i="5"/>
  <c r="AF103" i="5"/>
  <c r="D167" i="5"/>
  <c r="AG167" i="5" s="1"/>
  <c r="AF8" i="5"/>
  <c r="AF54" i="5"/>
  <c r="N54" i="5"/>
  <c r="AD21" i="5"/>
  <c r="AF10" i="5"/>
  <c r="V10" i="5"/>
  <c r="AS140" i="5"/>
  <c r="AJ34" i="5"/>
  <c r="AF139" i="5"/>
  <c r="R139" i="5"/>
  <c r="AF90" i="5"/>
  <c r="P90" i="5"/>
  <c r="AD30" i="5"/>
  <c r="AH30" i="5"/>
  <c r="AF118" i="5"/>
  <c r="AL136" i="5"/>
  <c r="AF39" i="5"/>
  <c r="N39" i="5"/>
  <c r="O39" i="5" s="1"/>
  <c r="AH6" i="5"/>
  <c r="G6" i="5"/>
  <c r="AO78" i="5"/>
  <c r="AF123" i="5"/>
  <c r="AI24" i="5"/>
  <c r="AI23" i="5" s="1"/>
  <c r="I24" i="5"/>
  <c r="I23" i="5" s="1"/>
  <c r="N79" i="5"/>
  <c r="AL79" i="5" s="1"/>
  <c r="AS79" i="5" s="1"/>
  <c r="AO169" i="5"/>
  <c r="R170" i="5"/>
  <c r="AN170" i="5" s="1"/>
  <c r="AN162" i="5" s="1"/>
  <c r="AF27" i="5"/>
  <c r="N27" i="5"/>
  <c r="O27" i="5" s="1"/>
  <c r="AS82" i="5"/>
  <c r="AJ73" i="5"/>
  <c r="Z156" i="5"/>
  <c r="AR156" i="5" s="1"/>
  <c r="AS156" i="5" s="1"/>
  <c r="AF53" i="5"/>
  <c r="AD121" i="5"/>
  <c r="AD127" i="5"/>
  <c r="V127" i="5"/>
  <c r="AP127" i="5" s="1"/>
  <c r="AD120" i="5"/>
  <c r="V101" i="5"/>
  <c r="V97" i="5"/>
  <c r="AS46" i="5"/>
  <c r="AD68" i="5"/>
  <c r="N68" i="5"/>
  <c r="AL68" i="5" s="1"/>
  <c r="AF165" i="5"/>
  <c r="AJ165" i="5"/>
  <c r="AS165" i="5" s="1"/>
  <c r="AD153" i="5"/>
  <c r="Z153" i="5"/>
  <c r="P91" i="5"/>
  <c r="AD32" i="5"/>
  <c r="AO80" i="5"/>
  <c r="AS80" i="5" s="1"/>
  <c r="AO59" i="5"/>
  <c r="AS59" i="5" s="1"/>
  <c r="V169" i="5"/>
  <c r="AP169" i="5" s="1"/>
  <c r="AO24" i="5"/>
  <c r="AO23" i="5" s="1"/>
  <c r="AS157" i="5"/>
  <c r="AQ145" i="5"/>
  <c r="AQ174" i="5" s="1"/>
  <c r="AF104" i="5"/>
  <c r="V104" i="5"/>
  <c r="N78" i="5"/>
  <c r="AL78" i="5" s="1"/>
  <c r="AS43" i="5"/>
  <c r="AS164" i="5"/>
  <c r="AD152" i="5"/>
  <c r="Z152" i="5"/>
  <c r="P65" i="5"/>
  <c r="AM65" i="5" s="1"/>
  <c r="AS88" i="5"/>
  <c r="AO83" i="5"/>
  <c r="AS83" i="5" s="1"/>
  <c r="U36" i="5"/>
  <c r="AD35" i="5"/>
  <c r="AP85" i="5"/>
  <c r="AS86" i="5"/>
  <c r="AD40" i="5"/>
  <c r="N40" i="5"/>
  <c r="O40" i="5" s="1"/>
  <c r="AC40" i="5" s="1"/>
  <c r="AS76" i="5"/>
  <c r="AI169" i="5"/>
  <c r="AD72" i="5"/>
  <c r="AD71" i="5" s="1"/>
  <c r="P72" i="5"/>
  <c r="AM72" i="5" s="1"/>
  <c r="AM71" i="5" s="1"/>
  <c r="AS71" i="5" s="1"/>
  <c r="AH170" i="5"/>
  <c r="W9" i="5"/>
  <c r="AC9" i="5" s="1"/>
  <c r="AP9" i="5"/>
  <c r="Z66" i="5"/>
  <c r="AR67" i="5"/>
  <c r="AF31" i="5"/>
  <c r="V16" i="5"/>
  <c r="AP16" i="5" s="1"/>
  <c r="U126" i="5"/>
  <c r="U137" i="5"/>
  <c r="Q132" i="5"/>
  <c r="AC133" i="5"/>
  <c r="Y162" i="5"/>
  <c r="AC168" i="5"/>
  <c r="AC109" i="5"/>
  <c r="Q105" i="5"/>
  <c r="AA169" i="5"/>
  <c r="O170" i="5"/>
  <c r="O59" i="5"/>
  <c r="M169" i="5"/>
  <c r="I79" i="5"/>
  <c r="AD56" i="5"/>
  <c r="AD159" i="5"/>
  <c r="Q17" i="5"/>
  <c r="Q140" i="5"/>
  <c r="Q142" i="5"/>
  <c r="AC142" i="5" s="1"/>
  <c r="AD142" i="5"/>
  <c r="AD64" i="5"/>
  <c r="Q92" i="5"/>
  <c r="AC92" i="5" s="1"/>
  <c r="Q87" i="5"/>
  <c r="AF166" i="5"/>
  <c r="AD156" i="5"/>
  <c r="W15" i="5"/>
  <c r="AC15" i="5" s="1"/>
  <c r="AF9" i="5"/>
  <c r="W108" i="5"/>
  <c r="AC108" i="5" s="1"/>
  <c r="W110" i="5"/>
  <c r="AC110" i="5" s="1"/>
  <c r="AA67" i="5"/>
  <c r="W86" i="5"/>
  <c r="W107" i="5"/>
  <c r="AC107" i="5" s="1"/>
  <c r="AF107" i="5"/>
  <c r="AF101" i="5"/>
  <c r="U116" i="5"/>
  <c r="AC116" i="5" s="1"/>
  <c r="AD116" i="5"/>
  <c r="U26" i="5"/>
  <c r="AC26" i="5" s="1"/>
  <c r="AF26" i="5"/>
  <c r="U57" i="5"/>
  <c r="AC57" i="5" s="1"/>
  <c r="AD57" i="5"/>
  <c r="AD58" i="5"/>
  <c r="U79" i="5"/>
  <c r="Q79" i="5"/>
  <c r="AF79" i="5"/>
  <c r="AD151" i="5"/>
  <c r="W171" i="5"/>
  <c r="AC171" i="5" s="1"/>
  <c r="AF171" i="5"/>
  <c r="W14" i="5"/>
  <c r="AC14" i="5" s="1"/>
  <c r="AD115" i="5"/>
  <c r="U46" i="5"/>
  <c r="AF46" i="5"/>
  <c r="U119" i="5"/>
  <c r="AC119" i="5" s="1"/>
  <c r="U117" i="5"/>
  <c r="AC117" i="5" s="1"/>
  <c r="AF135" i="5"/>
  <c r="U50" i="5"/>
  <c r="AC50" i="5" s="1"/>
  <c r="AF50" i="5"/>
  <c r="AD150" i="5"/>
  <c r="AD146" i="5"/>
  <c r="AF80" i="5"/>
  <c r="AF138" i="5"/>
  <c r="Q78" i="5"/>
  <c r="Q77" i="5"/>
  <c r="AF77" i="5"/>
  <c r="AF38" i="5"/>
  <c r="AF78" i="5"/>
  <c r="AF43" i="5"/>
  <c r="AF19" i="5"/>
  <c r="AF164" i="5"/>
  <c r="AF18" i="5"/>
  <c r="AF36" i="5"/>
  <c r="AF49" i="5"/>
  <c r="AF82" i="5"/>
  <c r="AF76" i="5"/>
  <c r="AD29" i="5"/>
  <c r="U77" i="5"/>
  <c r="AF170" i="5"/>
  <c r="AF59" i="5"/>
  <c r="AF95" i="5"/>
  <c r="AF89" i="5"/>
  <c r="W5" i="5"/>
  <c r="F85" i="7"/>
  <c r="J26" i="6"/>
  <c r="J13" i="6"/>
  <c r="K26" i="6"/>
  <c r="M18" i="6"/>
  <c r="Q170" i="5"/>
  <c r="M8" i="6"/>
  <c r="N21" i="6"/>
  <c r="N20" i="6"/>
  <c r="AF9" i="6"/>
  <c r="AF25" i="6"/>
  <c r="AF29" i="6" s="1"/>
  <c r="AF31" i="6" s="1"/>
  <c r="AF33" i="6" s="1"/>
  <c r="AF38" i="6" s="1"/>
  <c r="AF42" i="6" s="1"/>
  <c r="AF44" i="6" s="1"/>
  <c r="E28" i="6"/>
  <c r="E29" i="6" s="1"/>
  <c r="Q89" i="5"/>
  <c r="P16" i="6"/>
  <c r="P29" i="6" s="1"/>
  <c r="J28" i="6"/>
  <c r="M42" i="5"/>
  <c r="M26" i="6"/>
  <c r="M17" i="6"/>
  <c r="K28" i="6"/>
  <c r="K23" i="6"/>
  <c r="K24" i="6"/>
  <c r="U76" i="5"/>
  <c r="N26" i="6"/>
  <c r="Q169" i="5"/>
  <c r="F77" i="7"/>
  <c r="K5" i="5"/>
  <c r="L9" i="6"/>
  <c r="F119" i="7"/>
  <c r="N28" i="6"/>
  <c r="Q76" i="5"/>
  <c r="L28" i="6"/>
  <c r="F183" i="7"/>
  <c r="F147" i="7"/>
  <c r="F113" i="7"/>
  <c r="F79" i="7"/>
  <c r="F164" i="7"/>
  <c r="F96" i="7"/>
  <c r="F207" i="7"/>
  <c r="F189" i="7"/>
  <c r="F153" i="7"/>
  <c r="F117" i="7"/>
  <c r="F83" i="7"/>
  <c r="F170" i="7"/>
  <c r="F104" i="7"/>
  <c r="F203" i="7"/>
  <c r="F187" i="7"/>
  <c r="F151" i="7"/>
  <c r="F115" i="7"/>
  <c r="F81" i="7"/>
  <c r="F168" i="7"/>
  <c r="F102" i="7"/>
  <c r="F171" i="7"/>
  <c r="F105" i="7"/>
  <c r="F208" i="7"/>
  <c r="F190" i="7"/>
  <c r="F154" i="7"/>
  <c r="F118" i="7"/>
  <c r="F84" i="7"/>
  <c r="F169" i="7"/>
  <c r="F103" i="7"/>
  <c r="F206" i="7"/>
  <c r="F188" i="7"/>
  <c r="F152" i="7"/>
  <c r="F116" i="7"/>
  <c r="F82" i="7"/>
  <c r="F16" i="7"/>
  <c r="F9" i="7"/>
  <c r="J9" i="7" s="1"/>
  <c r="F7" i="7"/>
  <c r="J7" i="7" s="1"/>
  <c r="F22" i="7"/>
  <c r="D73" i="7" l="1"/>
  <c r="AS163" i="5"/>
  <c r="AI162" i="5"/>
  <c r="U58" i="5"/>
  <c r="AC58" i="5" s="1"/>
  <c r="I29" i="5"/>
  <c r="AC29" i="5" s="1"/>
  <c r="AS77" i="5"/>
  <c r="U78" i="5"/>
  <c r="AM16" i="5"/>
  <c r="AM4" i="5" s="1"/>
  <c r="AS138" i="5"/>
  <c r="K6" i="5"/>
  <c r="AC6" i="5" s="1"/>
  <c r="AD102" i="5"/>
  <c r="AF52" i="5"/>
  <c r="Q72" i="5"/>
  <c r="Q71" i="5" s="1"/>
  <c r="E102" i="5"/>
  <c r="AC102" i="5" s="1"/>
  <c r="W170" i="5"/>
  <c r="U80" i="5"/>
  <c r="AC80" i="5" s="1"/>
  <c r="U47" i="5"/>
  <c r="AC47" i="5" s="1"/>
  <c r="Q64" i="5"/>
  <c r="AC64" i="5" s="1"/>
  <c r="AD122" i="5"/>
  <c r="AS149" i="5"/>
  <c r="Q141" i="5"/>
  <c r="AC141" i="5" s="1"/>
  <c r="K169" i="5"/>
  <c r="U135" i="5"/>
  <c r="AC135" i="5" s="1"/>
  <c r="AD112" i="5"/>
  <c r="W169" i="5"/>
  <c r="S170" i="5"/>
  <c r="S162" i="5" s="1"/>
  <c r="AF129" i="5"/>
  <c r="AP105" i="5"/>
  <c r="AS105" i="5" s="1"/>
  <c r="AF56" i="5"/>
  <c r="U74" i="5"/>
  <c r="AC74" i="5" s="1"/>
  <c r="W106" i="5"/>
  <c r="AD173" i="5"/>
  <c r="AD172" i="5" s="1"/>
  <c r="AG104" i="5"/>
  <c r="E104" i="5"/>
  <c r="AG100" i="5"/>
  <c r="AS100" i="5" s="1"/>
  <c r="E100" i="5"/>
  <c r="AC100" i="5" s="1"/>
  <c r="AG95" i="5"/>
  <c r="AS95" i="5" s="1"/>
  <c r="E95" i="5"/>
  <c r="AG103" i="5"/>
  <c r="E103" i="5"/>
  <c r="AG94" i="5"/>
  <c r="E94" i="5"/>
  <c r="E96" i="5"/>
  <c r="AG96" i="5"/>
  <c r="AG101" i="5"/>
  <c r="E101" i="5"/>
  <c r="AG97" i="5"/>
  <c r="E97" i="5"/>
  <c r="AG98" i="5"/>
  <c r="E98" i="5"/>
  <c r="AG99" i="5"/>
  <c r="AS99" i="5" s="1"/>
  <c r="E99" i="5"/>
  <c r="AF156" i="5"/>
  <c r="AF159" i="5"/>
  <c r="AF128" i="5"/>
  <c r="AF142" i="5"/>
  <c r="AM63" i="5"/>
  <c r="AS63" i="5" s="1"/>
  <c r="AF20" i="5"/>
  <c r="AP162" i="5"/>
  <c r="U169" i="5"/>
  <c r="AD103" i="5"/>
  <c r="AF21" i="5"/>
  <c r="AD54" i="5"/>
  <c r="AD10" i="5"/>
  <c r="AD39" i="5"/>
  <c r="AO132" i="5"/>
  <c r="AO130" i="5" s="1"/>
  <c r="AF137" i="5"/>
  <c r="AF64" i="5"/>
  <c r="AF68" i="5"/>
  <c r="U24" i="5"/>
  <c r="U23" i="5" s="1"/>
  <c r="AF127" i="5"/>
  <c r="Q65" i="5"/>
  <c r="AC65" i="5" s="1"/>
  <c r="U56" i="5"/>
  <c r="AC56" i="5" s="1"/>
  <c r="W111" i="5"/>
  <c r="AC111" i="5" s="1"/>
  <c r="AF124" i="5"/>
  <c r="AD84" i="5"/>
  <c r="AD45" i="5"/>
  <c r="AD22" i="5"/>
  <c r="AL166" i="5"/>
  <c r="AS166" i="5" s="1"/>
  <c r="AD123" i="5"/>
  <c r="AD27" i="5"/>
  <c r="AF146" i="5"/>
  <c r="AF121" i="5"/>
  <c r="AD44" i="5"/>
  <c r="AD139" i="5"/>
  <c r="U136" i="5"/>
  <c r="AD53" i="5"/>
  <c r="AO41" i="5"/>
  <c r="AF116" i="5"/>
  <c r="AF58" i="5"/>
  <c r="AF57" i="5"/>
  <c r="AD118" i="5"/>
  <c r="AF30" i="5"/>
  <c r="AD165" i="5"/>
  <c r="U49" i="5"/>
  <c r="AF32" i="5"/>
  <c r="AS169" i="5"/>
  <c r="U83" i="5"/>
  <c r="W99" i="5"/>
  <c r="AD96" i="5"/>
  <c r="AF96" i="5"/>
  <c r="AD111" i="5"/>
  <c r="AF111" i="5"/>
  <c r="AD106" i="5"/>
  <c r="AF106" i="5"/>
  <c r="AF35" i="5"/>
  <c r="AF40" i="5"/>
  <c r="U59" i="5"/>
  <c r="G13" i="5"/>
  <c r="AC13" i="5" s="1"/>
  <c r="AH13" i="5"/>
  <c r="AH4" i="5" s="1"/>
  <c r="AM90" i="5"/>
  <c r="Q90" i="5"/>
  <c r="AC90" i="5" s="1"/>
  <c r="AM136" i="5"/>
  <c r="K8" i="5"/>
  <c r="AC8" i="5" s="1"/>
  <c r="AJ8" i="5"/>
  <c r="W98" i="5"/>
  <c r="AP98" i="5"/>
  <c r="AO124" i="5"/>
  <c r="U124" i="5"/>
  <c r="AC124" i="5" s="1"/>
  <c r="AN134" i="5"/>
  <c r="S134" i="5"/>
  <c r="S132" i="5" s="1"/>
  <c r="AH31" i="5"/>
  <c r="G31" i="5"/>
  <c r="AC31" i="5" s="1"/>
  <c r="AD108" i="5"/>
  <c r="AF108" i="5"/>
  <c r="W97" i="5"/>
  <c r="AP97" i="5"/>
  <c r="AK53" i="5"/>
  <c r="AK41" i="5" s="1"/>
  <c r="M53" i="5"/>
  <c r="AC53" i="5" s="1"/>
  <c r="W10" i="5"/>
  <c r="AC10" i="5" s="1"/>
  <c r="AP10" i="5"/>
  <c r="AP4" i="5" s="1"/>
  <c r="AD98" i="5"/>
  <c r="AF98" i="5"/>
  <c r="AD134" i="5"/>
  <c r="AF134" i="5"/>
  <c r="AF132" i="5" s="1"/>
  <c r="AD87" i="5"/>
  <c r="AF87" i="5"/>
  <c r="AD8" i="5"/>
  <c r="AO37" i="5"/>
  <c r="AO28" i="5" s="1"/>
  <c r="U37" i="5"/>
  <c r="U28" i="5" s="1"/>
  <c r="W101" i="5"/>
  <c r="AP101" i="5"/>
  <c r="U118" i="5"/>
  <c r="AC118" i="5" s="1"/>
  <c r="AO118" i="5"/>
  <c r="S139" i="5"/>
  <c r="AC139" i="5" s="1"/>
  <c r="AN139" i="5"/>
  <c r="AS139" i="5" s="1"/>
  <c r="AG162" i="5"/>
  <c r="AS137" i="5"/>
  <c r="AJ52" i="5"/>
  <c r="K52" i="5"/>
  <c r="AS159" i="5"/>
  <c r="AP145" i="5"/>
  <c r="AD94" i="5"/>
  <c r="AF94" i="5"/>
  <c r="AD99" i="5"/>
  <c r="AF99" i="5"/>
  <c r="AS68" i="5"/>
  <c r="AL66" i="5"/>
  <c r="AO120" i="5"/>
  <c r="U120" i="5"/>
  <c r="AC120" i="5" s="1"/>
  <c r="AI21" i="5"/>
  <c r="I21" i="5"/>
  <c r="AC21" i="5" s="1"/>
  <c r="AO103" i="5"/>
  <c r="U103" i="5"/>
  <c r="AD88" i="5"/>
  <c r="AF88" i="5"/>
  <c r="AD74" i="5"/>
  <c r="AF74" i="5"/>
  <c r="AD83" i="5"/>
  <c r="AF83" i="5"/>
  <c r="AD92" i="5"/>
  <c r="AF92" i="5"/>
  <c r="AD104" i="5"/>
  <c r="AH162" i="5"/>
  <c r="AH32" i="5"/>
  <c r="G32" i="5"/>
  <c r="AC32" i="5" s="1"/>
  <c r="AH33" i="5"/>
  <c r="G33" i="5"/>
  <c r="AC33" i="5" s="1"/>
  <c r="AP128" i="5"/>
  <c r="AP125" i="5" s="1"/>
  <c r="AS125" i="5" s="1"/>
  <c r="W128" i="5"/>
  <c r="AC128" i="5" s="1"/>
  <c r="AI20" i="5"/>
  <c r="I20" i="5"/>
  <c r="AD163" i="5"/>
  <c r="AF163" i="5"/>
  <c r="AD90" i="5"/>
  <c r="AR152" i="5"/>
  <c r="AS152" i="5" s="1"/>
  <c r="AA152" i="5"/>
  <c r="AC152" i="5" s="1"/>
  <c r="AS78" i="5"/>
  <c r="AL73" i="5"/>
  <c r="AL54" i="5"/>
  <c r="AS54" i="5" s="1"/>
  <c r="O54" i="5"/>
  <c r="AC54" i="5" s="1"/>
  <c r="AP96" i="5"/>
  <c r="W96" i="5"/>
  <c r="AI173" i="5"/>
  <c r="AI172" i="5" s="1"/>
  <c r="AS172" i="5" s="1"/>
  <c r="I173" i="5"/>
  <c r="AR66" i="5"/>
  <c r="AS67" i="5"/>
  <c r="AJ35" i="5"/>
  <c r="AJ28" i="5" s="1"/>
  <c r="K35" i="5"/>
  <c r="AC35" i="5" s="1"/>
  <c r="W104" i="5"/>
  <c r="AP104" i="5"/>
  <c r="Q91" i="5"/>
  <c r="AC91" i="5" s="1"/>
  <c r="AM91" i="5"/>
  <c r="AS91" i="5" s="1"/>
  <c r="AO55" i="5"/>
  <c r="AS55" i="5" s="1"/>
  <c r="AC27" i="5"/>
  <c r="O23" i="5"/>
  <c r="AO123" i="5"/>
  <c r="U123" i="5"/>
  <c r="AC123" i="5" s="1"/>
  <c r="AC39" i="5"/>
  <c r="O28" i="5"/>
  <c r="AS146" i="5"/>
  <c r="AS74" i="5"/>
  <c r="AO22" i="5"/>
  <c r="AO4" i="5" s="1"/>
  <c r="U22" i="5"/>
  <c r="U84" i="5"/>
  <c r="AC84" i="5" s="1"/>
  <c r="AO84" i="5"/>
  <c r="AS84" i="5" s="1"/>
  <c r="AD97" i="5"/>
  <c r="AF97" i="5"/>
  <c r="AD86" i="5"/>
  <c r="AF86" i="5"/>
  <c r="AD110" i="5"/>
  <c r="AF110" i="5"/>
  <c r="AR153" i="5"/>
  <c r="AS153" i="5" s="1"/>
  <c r="AA153" i="5"/>
  <c r="AC153" i="5" s="1"/>
  <c r="U121" i="5"/>
  <c r="AC121" i="5" s="1"/>
  <c r="AO121" i="5"/>
  <c r="I37" i="5"/>
  <c r="AI37" i="5"/>
  <c r="AI28" i="5" s="1"/>
  <c r="AO122" i="5"/>
  <c r="U122" i="5"/>
  <c r="AC122" i="5" s="1"/>
  <c r="AS155" i="5"/>
  <c r="AH145" i="5"/>
  <c r="AD42" i="5"/>
  <c r="AF42" i="5"/>
  <c r="AD24" i="5"/>
  <c r="AF24" i="5"/>
  <c r="AD47" i="5"/>
  <c r="AF47" i="5"/>
  <c r="AD166" i="5"/>
  <c r="AD16" i="5"/>
  <c r="AF16" i="5"/>
  <c r="AD34" i="5"/>
  <c r="AF34" i="5"/>
  <c r="AD14" i="5"/>
  <c r="AF14" i="5"/>
  <c r="AD171" i="5"/>
  <c r="AD17" i="5"/>
  <c r="AF17" i="5"/>
  <c r="AF150" i="5"/>
  <c r="W16" i="5"/>
  <c r="AC16" i="5" s="1"/>
  <c r="W127" i="5"/>
  <c r="S137" i="5"/>
  <c r="U115" i="5"/>
  <c r="Y157" i="5"/>
  <c r="AC140" i="5"/>
  <c r="U125" i="5"/>
  <c r="AC126" i="5"/>
  <c r="AA146" i="5"/>
  <c r="W159" i="5"/>
  <c r="U134" i="5"/>
  <c r="Y161" i="5"/>
  <c r="AD125" i="5"/>
  <c r="W85" i="5"/>
  <c r="AC86" i="5"/>
  <c r="AC87" i="5"/>
  <c r="AA66" i="5"/>
  <c r="AC67" i="5"/>
  <c r="O55" i="5"/>
  <c r="AC46" i="5"/>
  <c r="Q4" i="5"/>
  <c r="AC17" i="5"/>
  <c r="AA170" i="5"/>
  <c r="AA162" i="5" s="1"/>
  <c r="AA147" i="5"/>
  <c r="AC147" i="5" s="1"/>
  <c r="AA150" i="5"/>
  <c r="AC150" i="5" s="1"/>
  <c r="AA148" i="5"/>
  <c r="AC148" i="5" s="1"/>
  <c r="AA156" i="5"/>
  <c r="AC156" i="5" s="1"/>
  <c r="AA154" i="5"/>
  <c r="AC154" i="5" s="1"/>
  <c r="AA158" i="5"/>
  <c r="AA151" i="5"/>
  <c r="AC151" i="5" s="1"/>
  <c r="O78" i="5"/>
  <c r="O79" i="5"/>
  <c r="O138" i="5"/>
  <c r="O169" i="5"/>
  <c r="O162" i="5" s="1"/>
  <c r="O149" i="5"/>
  <c r="O43" i="5"/>
  <c r="O76" i="5"/>
  <c r="O45" i="5"/>
  <c r="O68" i="5"/>
  <c r="O44" i="5"/>
  <c r="O42" i="5"/>
  <c r="O49" i="5"/>
  <c r="O77" i="5"/>
  <c r="M44" i="5"/>
  <c r="M43" i="5"/>
  <c r="M79" i="5"/>
  <c r="M76" i="5"/>
  <c r="M77" i="5"/>
  <c r="M78" i="5"/>
  <c r="M83" i="5"/>
  <c r="M45" i="5"/>
  <c r="K164" i="5"/>
  <c r="K170" i="5"/>
  <c r="K82" i="5"/>
  <c r="K95" i="5"/>
  <c r="K155" i="5"/>
  <c r="K145" i="5" s="1"/>
  <c r="K165" i="5"/>
  <c r="AC165" i="5" s="1"/>
  <c r="K30" i="5"/>
  <c r="K94" i="5"/>
  <c r="K19" i="5"/>
  <c r="K18" i="5"/>
  <c r="I77" i="5"/>
  <c r="I76" i="5"/>
  <c r="I89" i="5"/>
  <c r="AC89" i="5" s="1"/>
  <c r="I88" i="5"/>
  <c r="I38" i="5"/>
  <c r="AC38" i="5" s="1"/>
  <c r="I169" i="5"/>
  <c r="I170" i="5"/>
  <c r="I163" i="5"/>
  <c r="I36" i="5"/>
  <c r="I45" i="5"/>
  <c r="I44" i="5"/>
  <c r="I78" i="5"/>
  <c r="I43" i="5"/>
  <c r="G170" i="5"/>
  <c r="G94" i="5"/>
  <c r="G95" i="5"/>
  <c r="G36" i="5"/>
  <c r="G30" i="5"/>
  <c r="G5" i="5"/>
  <c r="G19" i="5"/>
  <c r="G155" i="5"/>
  <c r="G18" i="5"/>
  <c r="E167" i="5"/>
  <c r="E162" i="5" s="1"/>
  <c r="AF151" i="5"/>
  <c r="AF115" i="5"/>
  <c r="AD49" i="5"/>
  <c r="AD78" i="5"/>
  <c r="AD135" i="5"/>
  <c r="AD76" i="5"/>
  <c r="AD19" i="5"/>
  <c r="AD161" i="5"/>
  <c r="AD160" i="5" s="1"/>
  <c r="AF154" i="5"/>
  <c r="AD154" i="5"/>
  <c r="AD59" i="5"/>
  <c r="AD36" i="5"/>
  <c r="AD77" i="5"/>
  <c r="AD79" i="5"/>
  <c r="AD89" i="5"/>
  <c r="AD170" i="5"/>
  <c r="AF117" i="5"/>
  <c r="AD117" i="5"/>
  <c r="AD101" i="5"/>
  <c r="AF147" i="5"/>
  <c r="AD147" i="5"/>
  <c r="AD18" i="5"/>
  <c r="AD43" i="5"/>
  <c r="AD38" i="5"/>
  <c r="AD138" i="5"/>
  <c r="AD95" i="5"/>
  <c r="AF119" i="5"/>
  <c r="AD119" i="5"/>
  <c r="AF149" i="5"/>
  <c r="AD149" i="5"/>
  <c r="AD107" i="5"/>
  <c r="AF148" i="5"/>
  <c r="AD148" i="5"/>
  <c r="AD82" i="5"/>
  <c r="AD80" i="5"/>
  <c r="AD50" i="5"/>
  <c r="AD46" i="5"/>
  <c r="AF157" i="5"/>
  <c r="AD157" i="5"/>
  <c r="AD67" i="5"/>
  <c r="AD66" i="5" s="1"/>
  <c r="AD9" i="5"/>
  <c r="AF140" i="5"/>
  <c r="AD140" i="5"/>
  <c r="AD164" i="5"/>
  <c r="AD26" i="5"/>
  <c r="AF67" i="5"/>
  <c r="AF29" i="5"/>
  <c r="J29" i="6"/>
  <c r="AA25" i="6" s="1"/>
  <c r="AA29" i="6" s="1"/>
  <c r="AA31" i="6" s="1"/>
  <c r="AA33" i="6" s="1"/>
  <c r="AA38" i="6" s="1"/>
  <c r="AA42" i="6" s="1"/>
  <c r="AA44" i="6" s="1"/>
  <c r="C173" i="23"/>
  <c r="N29" i="6"/>
  <c r="AE9" i="6" s="1"/>
  <c r="H29" i="6"/>
  <c r="Y25" i="6" s="1"/>
  <c r="Y29" i="6" s="1"/>
  <c r="K29" i="6"/>
  <c r="AB9" i="6" s="1"/>
  <c r="L29" i="6"/>
  <c r="AC25" i="6" s="1"/>
  <c r="AC29" i="6" s="1"/>
  <c r="AC31" i="6" s="1"/>
  <c r="AC33" i="6" s="1"/>
  <c r="AC38" i="6" s="1"/>
  <c r="AC42" i="6" s="1"/>
  <c r="AC44" i="6" s="1"/>
  <c r="AG9" i="6"/>
  <c r="AG25" i="6"/>
  <c r="AG29" i="6" s="1"/>
  <c r="AG31" i="6" s="1"/>
  <c r="AG33" i="6" s="1"/>
  <c r="AG38" i="6" s="1"/>
  <c r="AG42" i="6" s="1"/>
  <c r="AG44" i="6" s="1"/>
  <c r="V25" i="6"/>
  <c r="V29" i="6" s="1"/>
  <c r="V31" i="6" s="1"/>
  <c r="V33" i="6" s="1"/>
  <c r="V38" i="6" s="1"/>
  <c r="V42" i="6" s="1"/>
  <c r="V44" i="6" s="1"/>
  <c r="V9" i="6"/>
  <c r="AF126" i="5"/>
  <c r="AF161" i="5"/>
  <c r="AF72" i="5"/>
  <c r="AF71" i="5" s="1"/>
  <c r="F29" i="6"/>
  <c r="F78" i="7"/>
  <c r="D90" i="7"/>
  <c r="F146" i="7"/>
  <c r="D158" i="7"/>
  <c r="F201" i="7"/>
  <c r="D212" i="7"/>
  <c r="F112" i="7"/>
  <c r="D124" i="7"/>
  <c r="F95" i="7"/>
  <c r="D107" i="7"/>
  <c r="F163" i="7"/>
  <c r="F175" i="7" s="1"/>
  <c r="F182" i="7"/>
  <c r="D194" i="7"/>
  <c r="F5" i="7"/>
  <c r="J5" i="7" l="1"/>
  <c r="F107" i="7"/>
  <c r="T5" i="7" s="1"/>
  <c r="T6" i="7" s="1"/>
  <c r="T10" i="7" s="1"/>
  <c r="T12" i="7" s="1"/>
  <c r="AB5" i="7"/>
  <c r="AB6" i="7" s="1"/>
  <c r="AB10" i="7" s="1"/>
  <c r="AB12" i="7" s="1"/>
  <c r="Y5" i="7"/>
  <c r="Y6" i="7" s="1"/>
  <c r="Y10" i="7" s="1"/>
  <c r="Y12" i="7" s="1"/>
  <c r="Z5" i="7"/>
  <c r="Z6" i="7" s="1"/>
  <c r="Z10" i="7" s="1"/>
  <c r="Z12" i="7" s="1"/>
  <c r="F73" i="7"/>
  <c r="R5" i="7" s="1"/>
  <c r="R6" i="7" s="1"/>
  <c r="R10" i="7" s="1"/>
  <c r="R12" i="7" s="1"/>
  <c r="C39" i="23" s="1"/>
  <c r="F124" i="7"/>
  <c r="U5" i="7" s="1"/>
  <c r="U6" i="7" s="1"/>
  <c r="U10" i="7" s="1"/>
  <c r="U12" i="7" s="1"/>
  <c r="F158" i="7"/>
  <c r="W5" i="7" s="1"/>
  <c r="W6" i="7" s="1"/>
  <c r="W10" i="7" s="1"/>
  <c r="W12" i="7" s="1"/>
  <c r="F212" i="7"/>
  <c r="AC5" i="7" s="1"/>
  <c r="AC6" i="7" s="1"/>
  <c r="AC10" i="7" s="1"/>
  <c r="AC12" i="7" s="1"/>
  <c r="F90" i="7"/>
  <c r="S5" i="7" s="1"/>
  <c r="S6" i="7" s="1"/>
  <c r="S10" i="7" s="1"/>
  <c r="S12" i="7" s="1"/>
  <c r="F194" i="7"/>
  <c r="AA5" i="7" s="1"/>
  <c r="AA6" i="7" s="1"/>
  <c r="AA10" i="7" s="1"/>
  <c r="AA12" i="7" s="1"/>
  <c r="X5" i="7"/>
  <c r="X6" i="7" s="1"/>
  <c r="X10" i="7" s="1"/>
  <c r="X12" i="7" s="1"/>
  <c r="AI4" i="5"/>
  <c r="AF93" i="5"/>
  <c r="AT71" i="5"/>
  <c r="AJ6" i="5"/>
  <c r="AJ4" i="5" s="1"/>
  <c r="AT130" i="5"/>
  <c r="AC104" i="5"/>
  <c r="AC96" i="5"/>
  <c r="AC72" i="5"/>
  <c r="AC71" i="5" s="1"/>
  <c r="Q136" i="5"/>
  <c r="U41" i="5"/>
  <c r="W162" i="5"/>
  <c r="W105" i="5"/>
  <c r="AC106" i="5"/>
  <c r="AC105" i="5" s="1"/>
  <c r="AS101" i="5"/>
  <c r="AC99" i="5"/>
  <c r="AC98" i="5"/>
  <c r="AS97" i="5"/>
  <c r="AC101" i="5"/>
  <c r="AC97" i="5"/>
  <c r="Q63" i="5"/>
  <c r="AS104" i="5"/>
  <c r="AS98" i="5"/>
  <c r="E93" i="5"/>
  <c r="E174" i="5" s="1"/>
  <c r="E175" i="5" s="1"/>
  <c r="H192" i="5" s="1"/>
  <c r="H197" i="5" s="1"/>
  <c r="AG93" i="5"/>
  <c r="AG174" i="5" s="1"/>
  <c r="AS94" i="5"/>
  <c r="AL162" i="5"/>
  <c r="AC44" i="5"/>
  <c r="AC24" i="5"/>
  <c r="AC23" i="5" s="1"/>
  <c r="AC49" i="5"/>
  <c r="U55" i="5"/>
  <c r="AC63" i="5"/>
  <c r="AT55" i="5"/>
  <c r="AC59" i="5"/>
  <c r="AC55" i="5" s="1"/>
  <c r="AD23" i="5"/>
  <c r="AT105" i="5"/>
  <c r="AT132" i="5"/>
  <c r="AC83" i="5"/>
  <c r="AD105" i="5"/>
  <c r="AD93" i="5"/>
  <c r="AD132" i="5"/>
  <c r="AD130" i="5" s="1"/>
  <c r="U73" i="5"/>
  <c r="AC37" i="5"/>
  <c r="AH28" i="5"/>
  <c r="AH174" i="5" s="1"/>
  <c r="AZ4" i="5" s="1"/>
  <c r="AZ6" i="5" s="1"/>
  <c r="AC95" i="5"/>
  <c r="I28" i="5"/>
  <c r="AC77" i="5"/>
  <c r="AC79" i="5"/>
  <c r="K93" i="5"/>
  <c r="AO73" i="5"/>
  <c r="AC19" i="5"/>
  <c r="AC78" i="5"/>
  <c r="K28" i="5"/>
  <c r="AC43" i="5"/>
  <c r="AC169" i="5"/>
  <c r="AC22" i="5"/>
  <c r="U4" i="5"/>
  <c r="AS96" i="5"/>
  <c r="AP93" i="5"/>
  <c r="AP174" i="5" s="1"/>
  <c r="AC103" i="5"/>
  <c r="U93" i="5"/>
  <c r="AS103" i="5"/>
  <c r="AO93" i="5"/>
  <c r="AC52" i="5"/>
  <c r="K41" i="5"/>
  <c r="AO114" i="5"/>
  <c r="AS114" i="5" s="1"/>
  <c r="AC45" i="5"/>
  <c r="Q85" i="5"/>
  <c r="AR145" i="5"/>
  <c r="AS52" i="5"/>
  <c r="AJ41" i="5"/>
  <c r="AS53" i="5"/>
  <c r="AN132" i="5"/>
  <c r="AN130" i="5" s="1"/>
  <c r="AS130" i="5" s="1"/>
  <c r="AS134" i="5"/>
  <c r="I172" i="5"/>
  <c r="AC173" i="5"/>
  <c r="AC172" i="5" s="1"/>
  <c r="AC20" i="5"/>
  <c r="I4" i="5"/>
  <c r="AN136" i="5"/>
  <c r="AS136" i="5" s="1"/>
  <c r="AS90" i="5"/>
  <c r="AM85" i="5"/>
  <c r="AC18" i="5"/>
  <c r="AL41" i="5"/>
  <c r="AT125" i="5"/>
  <c r="AF125" i="5"/>
  <c r="AF105" i="5"/>
  <c r="AT160" i="5"/>
  <c r="AF160" i="5"/>
  <c r="AT66" i="5"/>
  <c r="AT114" i="5"/>
  <c r="AF114" i="5"/>
  <c r="AC36" i="5"/>
  <c r="K4" i="5"/>
  <c r="W4" i="5"/>
  <c r="AF41" i="5"/>
  <c r="AD114" i="5"/>
  <c r="AD55" i="5"/>
  <c r="AC5" i="5"/>
  <c r="G4" i="5"/>
  <c r="O145" i="5"/>
  <c r="AC149" i="5"/>
  <c r="AC138" i="5"/>
  <c r="O136" i="5"/>
  <c r="Y160" i="5"/>
  <c r="AC161" i="5"/>
  <c r="AC160" i="5" s="1"/>
  <c r="AC134" i="5"/>
  <c r="AC132" i="5" s="1"/>
  <c r="U132" i="5"/>
  <c r="W145" i="5"/>
  <c r="AC159" i="5"/>
  <c r="AA145" i="5"/>
  <c r="AA174" i="5" s="1"/>
  <c r="AA175" i="5" s="1"/>
  <c r="AD192" i="5" s="1"/>
  <c r="AD197" i="5" s="1"/>
  <c r="AD201" i="5" s="1"/>
  <c r="AC146" i="5"/>
  <c r="Y145" i="5"/>
  <c r="Y174" i="5" s="1"/>
  <c r="Y175" i="5" s="1"/>
  <c r="AB192" i="5" s="1"/>
  <c r="AB197" i="5" s="1"/>
  <c r="AB201" i="5" s="1"/>
  <c r="AC157" i="5"/>
  <c r="U114" i="5"/>
  <c r="AC115" i="5"/>
  <c r="AC114" i="5" s="1"/>
  <c r="S136" i="5"/>
  <c r="S174" i="5" s="1"/>
  <c r="S175" i="5" s="1"/>
  <c r="V192" i="5" s="1"/>
  <c r="V197" i="5" s="1"/>
  <c r="V201" i="5" s="1"/>
  <c r="AC137" i="5"/>
  <c r="AC127" i="5"/>
  <c r="AC125" i="5" s="1"/>
  <c r="W125" i="5"/>
  <c r="AC164" i="5"/>
  <c r="I162" i="5"/>
  <c r="AC163" i="5"/>
  <c r="W93" i="5"/>
  <c r="AC88" i="5"/>
  <c r="AC85" i="5" s="1"/>
  <c r="I85" i="5"/>
  <c r="O73" i="5"/>
  <c r="K73" i="5"/>
  <c r="AC82" i="5"/>
  <c r="AC76" i="5"/>
  <c r="I73" i="5"/>
  <c r="AC68" i="5"/>
  <c r="AC66" i="5" s="1"/>
  <c r="O66" i="5"/>
  <c r="G162" i="5"/>
  <c r="G145" i="5"/>
  <c r="AC155" i="5"/>
  <c r="G93" i="5"/>
  <c r="AC94" i="5"/>
  <c r="AD41" i="5"/>
  <c r="M41" i="5"/>
  <c r="O41" i="5"/>
  <c r="AC30" i="5"/>
  <c r="G28" i="5"/>
  <c r="AT93" i="5"/>
  <c r="AT41" i="5"/>
  <c r="Y9" i="6"/>
  <c r="D76" i="23" s="1"/>
  <c r="D79" i="23" s="1"/>
  <c r="AD26" i="23" s="1"/>
  <c r="AS26" i="23" s="1"/>
  <c r="AB25" i="6"/>
  <c r="AB29" i="6" s="1"/>
  <c r="AB31" i="6" s="1"/>
  <c r="AB33" i="6" s="1"/>
  <c r="AB38" i="6" s="1"/>
  <c r="AB42" i="6" s="1"/>
  <c r="AB44" i="6" s="1"/>
  <c r="C113" i="23" s="1"/>
  <c r="AA9" i="6"/>
  <c r="F160" i="23"/>
  <c r="BR9" i="23" s="1"/>
  <c r="BR12" i="23" s="1"/>
  <c r="E160" i="23"/>
  <c r="N195" i="23" s="1"/>
  <c r="D160" i="23"/>
  <c r="D163" i="23" s="1"/>
  <c r="AK26" i="23" s="1"/>
  <c r="AZ26" i="23" s="1"/>
  <c r="C160" i="23"/>
  <c r="C41" i="23"/>
  <c r="C101" i="23"/>
  <c r="C125" i="23"/>
  <c r="K208" i="23"/>
  <c r="BS10" i="23"/>
  <c r="AE25" i="6"/>
  <c r="AE29" i="6" s="1"/>
  <c r="AE31" i="6" s="1"/>
  <c r="AE33" i="6" s="1"/>
  <c r="AE38" i="6" s="1"/>
  <c r="AE42" i="6" s="1"/>
  <c r="AE44" i="6" s="1"/>
  <c r="AC9" i="6"/>
  <c r="W25" i="6"/>
  <c r="W9" i="6"/>
  <c r="Y31" i="6"/>
  <c r="Y33" i="6" s="1"/>
  <c r="Y38" i="6" s="1"/>
  <c r="Y42" i="6" s="1"/>
  <c r="C135" i="23" l="1"/>
  <c r="BG8" i="23" s="1"/>
  <c r="C75" i="23"/>
  <c r="AM8" i="23" s="1"/>
  <c r="C159" i="23"/>
  <c r="I195" i="23" s="1"/>
  <c r="C63" i="23"/>
  <c r="I85" i="23" s="1"/>
  <c r="I87" i="23" s="1"/>
  <c r="I89" i="23" s="1"/>
  <c r="AA8" i="23"/>
  <c r="AA18" i="23" s="1"/>
  <c r="AP18" i="23" s="1"/>
  <c r="C123" i="23"/>
  <c r="I156" i="23" s="1"/>
  <c r="C99" i="23"/>
  <c r="I130" i="23" s="1"/>
  <c r="C51" i="23"/>
  <c r="AE8" i="23" s="1"/>
  <c r="C171" i="23"/>
  <c r="I208" i="23" s="1"/>
  <c r="C147" i="23"/>
  <c r="BK8" i="23" s="1"/>
  <c r="C111" i="23"/>
  <c r="AY8" i="23" s="1"/>
  <c r="AY4" i="5"/>
  <c r="AY6" i="5" s="1"/>
  <c r="AZ8" i="5"/>
  <c r="C54" i="23" s="1"/>
  <c r="J72" i="23" s="1"/>
  <c r="AL174" i="5"/>
  <c r="AS28" i="5"/>
  <c r="AS93" i="5"/>
  <c r="AC4" i="5"/>
  <c r="AS85" i="5"/>
  <c r="AS132" i="5"/>
  <c r="AN174" i="5"/>
  <c r="AR174" i="5"/>
  <c r="AC93" i="5"/>
  <c r="AS4" i="5"/>
  <c r="AC28" i="5"/>
  <c r="U192" i="5"/>
  <c r="AA192" i="5"/>
  <c r="AT172" i="5"/>
  <c r="G174" i="5"/>
  <c r="G175" i="5" s="1"/>
  <c r="I192" i="5" s="1"/>
  <c r="W174" i="5"/>
  <c r="W175" i="5" s="1"/>
  <c r="Y192" i="5" s="1"/>
  <c r="AC136" i="5"/>
  <c r="AC192" i="5"/>
  <c r="O174" i="5"/>
  <c r="O175" i="5" s="1"/>
  <c r="R192" i="5" s="1"/>
  <c r="R197" i="5" s="1"/>
  <c r="R201" i="5" s="1"/>
  <c r="H201" i="5"/>
  <c r="G192" i="5"/>
  <c r="F100" i="23"/>
  <c r="C100" i="23"/>
  <c r="L130" i="23" s="1"/>
  <c r="M101" i="23"/>
  <c r="BQ9" i="23"/>
  <c r="BQ12" i="23" s="1"/>
  <c r="F163" i="23"/>
  <c r="AK28" i="23" s="1"/>
  <c r="AZ28" i="23" s="1"/>
  <c r="F124" i="23"/>
  <c r="O195" i="23"/>
  <c r="BP9" i="23"/>
  <c r="BP12" i="23" s="1"/>
  <c r="AN9" i="23"/>
  <c r="AN12" i="23" s="1"/>
  <c r="E163" i="23"/>
  <c r="AK27" i="23" s="1"/>
  <c r="AZ27" i="23" s="1"/>
  <c r="M195" i="23"/>
  <c r="C112" i="23"/>
  <c r="AY9" i="23" s="1"/>
  <c r="C40" i="23"/>
  <c r="L59" i="23" s="1"/>
  <c r="F148" i="23"/>
  <c r="O182" i="23" s="1"/>
  <c r="D148" i="23"/>
  <c r="M182" i="23" s="1"/>
  <c r="E148" i="23"/>
  <c r="N182" i="23" s="1"/>
  <c r="E100" i="23"/>
  <c r="F112" i="23"/>
  <c r="D40" i="23"/>
  <c r="F172" i="23"/>
  <c r="D172" i="23"/>
  <c r="C161" i="23"/>
  <c r="C149" i="23"/>
  <c r="K156" i="23"/>
  <c r="BC10" i="23"/>
  <c r="K130" i="23"/>
  <c r="AU10" i="23"/>
  <c r="AA10" i="23"/>
  <c r="K59" i="23"/>
  <c r="K143" i="23"/>
  <c r="AY10" i="23"/>
  <c r="D112" i="23"/>
  <c r="E112" i="23"/>
  <c r="F40" i="23"/>
  <c r="E40" i="23"/>
  <c r="C172" i="23"/>
  <c r="E172" i="23"/>
  <c r="C148" i="23"/>
  <c r="E124" i="23"/>
  <c r="L195" i="23"/>
  <c r="BO9" i="23"/>
  <c r="W29" i="6"/>
  <c r="Y44" i="6"/>
  <c r="AI8" i="23" l="1"/>
  <c r="AC18" i="23" s="1"/>
  <c r="AR18" i="23" s="1"/>
  <c r="BC8" i="23"/>
  <c r="AH18" i="23" s="1"/>
  <c r="AW18" i="23" s="1"/>
  <c r="BO8" i="23"/>
  <c r="AK18" i="23" s="1"/>
  <c r="AZ18" i="23" s="1"/>
  <c r="AU8" i="23"/>
  <c r="AF18" i="23" s="1"/>
  <c r="AU18" i="23" s="1"/>
  <c r="I169" i="23"/>
  <c r="I59" i="23"/>
  <c r="I101" i="23"/>
  <c r="I182" i="23"/>
  <c r="BS8" i="23"/>
  <c r="AL18" i="23" s="1"/>
  <c r="BA18" i="23" s="1"/>
  <c r="I72" i="23"/>
  <c r="I143" i="23"/>
  <c r="AY8" i="5"/>
  <c r="C42" i="23" s="1"/>
  <c r="AA11" i="23" s="1"/>
  <c r="M199" i="23"/>
  <c r="J192" i="5"/>
  <c r="J197" i="5" s="1"/>
  <c r="J201" i="5" s="1"/>
  <c r="U197" i="5"/>
  <c r="U201" i="5" s="1"/>
  <c r="M207" i="5"/>
  <c r="M212" i="5" s="1"/>
  <c r="M216" i="5" s="1"/>
  <c r="BF9" i="5" s="1"/>
  <c r="AC197" i="5"/>
  <c r="AC201" i="5" s="1"/>
  <c r="Q207" i="5"/>
  <c r="Q212" i="5" s="1"/>
  <c r="Q216" i="5" s="1"/>
  <c r="BJ9" i="5" s="1"/>
  <c r="Y197" i="5"/>
  <c r="Y201" i="5" s="1"/>
  <c r="O207" i="5"/>
  <c r="O212" i="5" s="1"/>
  <c r="O216" i="5" s="1"/>
  <c r="BH9" i="5" s="1"/>
  <c r="I197" i="5"/>
  <c r="I201" i="5" s="1"/>
  <c r="G207" i="5"/>
  <c r="G212" i="5" s="1"/>
  <c r="G216" i="5" s="1"/>
  <c r="AZ9" i="5" s="1"/>
  <c r="AZ10" i="5" s="1"/>
  <c r="AA197" i="5"/>
  <c r="AA201" i="5" s="1"/>
  <c r="P207" i="5"/>
  <c r="P212" i="5" s="1"/>
  <c r="P216" i="5" s="1"/>
  <c r="BI9" i="5" s="1"/>
  <c r="G197" i="5"/>
  <c r="G201" i="5" s="1"/>
  <c r="F207" i="5"/>
  <c r="Z192" i="5"/>
  <c r="Z197" i="5" s="1"/>
  <c r="Z201" i="5" s="1"/>
  <c r="Q192" i="5"/>
  <c r="F76" i="23"/>
  <c r="O101" i="23" s="1"/>
  <c r="E76" i="23"/>
  <c r="AO9" i="23" s="1"/>
  <c r="AO12" i="23" s="1"/>
  <c r="C76" i="23"/>
  <c r="L101" i="23" s="1"/>
  <c r="D100" i="23"/>
  <c r="AV9" i="23" s="1"/>
  <c r="AV12" i="23" s="1"/>
  <c r="L143" i="23"/>
  <c r="AE11" i="23"/>
  <c r="AB20" i="23" s="1"/>
  <c r="AQ20" i="23" s="1"/>
  <c r="BM9" i="23"/>
  <c r="BM12" i="23" s="1"/>
  <c r="E151" i="23"/>
  <c r="AJ27" i="23" s="1"/>
  <c r="AY27" i="23" s="1"/>
  <c r="AA9" i="23"/>
  <c r="AK19" i="23"/>
  <c r="AZ19" i="23" s="1"/>
  <c r="BN9" i="23"/>
  <c r="BN12" i="23" s="1"/>
  <c r="AU9" i="23"/>
  <c r="BL9" i="23"/>
  <c r="BL12" i="23" s="1"/>
  <c r="F151" i="23"/>
  <c r="AJ28" i="23" s="1"/>
  <c r="AY28" i="23" s="1"/>
  <c r="D151" i="23"/>
  <c r="AJ26" i="23" s="1"/>
  <c r="AY26" i="23" s="1"/>
  <c r="D52" i="23"/>
  <c r="AF9" i="23" s="1"/>
  <c r="AF12" i="23" s="1"/>
  <c r="C52" i="23"/>
  <c r="L72" i="23" s="1"/>
  <c r="C77" i="23"/>
  <c r="K101" i="23" s="1"/>
  <c r="F52" i="23"/>
  <c r="AH9" i="23" s="1"/>
  <c r="AH12" i="23" s="1"/>
  <c r="E52" i="23"/>
  <c r="N72" i="23" s="1"/>
  <c r="C124" i="23"/>
  <c r="L156" i="23" s="1"/>
  <c r="AJ18" i="23"/>
  <c r="AY18" i="23" s="1"/>
  <c r="N156" i="23"/>
  <c r="BE9" i="23"/>
  <c r="BE12" i="23" s="1"/>
  <c r="E127" i="23"/>
  <c r="AH27" i="23" s="1"/>
  <c r="AW27" i="23" s="1"/>
  <c r="E43" i="23"/>
  <c r="AA27" i="23" s="1"/>
  <c r="AP27" i="23" s="1"/>
  <c r="N59" i="23"/>
  <c r="AC9" i="23"/>
  <c r="AC12" i="23" s="1"/>
  <c r="F43" i="23"/>
  <c r="AA28" i="23" s="1"/>
  <c r="AP28" i="23" s="1"/>
  <c r="O59" i="23"/>
  <c r="AD9" i="23"/>
  <c r="AD12" i="23" s="1"/>
  <c r="N143" i="23"/>
  <c r="BA9" i="23"/>
  <c r="BA12" i="23" s="1"/>
  <c r="E115" i="23"/>
  <c r="AG27" i="23" s="1"/>
  <c r="AV27" i="23" s="1"/>
  <c r="AZ9" i="23"/>
  <c r="AZ12" i="23" s="1"/>
  <c r="D115" i="23"/>
  <c r="AG26" i="23" s="1"/>
  <c r="AV26" i="23" s="1"/>
  <c r="M143" i="23"/>
  <c r="O130" i="23"/>
  <c r="AX9" i="23"/>
  <c r="AX12" i="23" s="1"/>
  <c r="F103" i="23"/>
  <c r="AF28" i="23" s="1"/>
  <c r="AU28" i="23" s="1"/>
  <c r="O156" i="23"/>
  <c r="BF9" i="23"/>
  <c r="BF12" i="23" s="1"/>
  <c r="F127" i="23"/>
  <c r="AH28" i="23" s="1"/>
  <c r="AW28" i="23" s="1"/>
  <c r="AG18" i="23"/>
  <c r="AV18" i="23" s="1"/>
  <c r="K195" i="23"/>
  <c r="BO10" i="23"/>
  <c r="M186" i="23"/>
  <c r="D124" i="23"/>
  <c r="AI18" i="23"/>
  <c r="AX18" i="23" s="1"/>
  <c r="BK9" i="23"/>
  <c r="L182" i="23"/>
  <c r="N208" i="23"/>
  <c r="BU9" i="23"/>
  <c r="BU12" i="23" s="1"/>
  <c r="E175" i="23"/>
  <c r="AL27" i="23" s="1"/>
  <c r="BA27" i="23" s="1"/>
  <c r="L208" i="23"/>
  <c r="BS9" i="23"/>
  <c r="AB18" i="23"/>
  <c r="AQ18" i="23" s="1"/>
  <c r="K182" i="23"/>
  <c r="BK10" i="23"/>
  <c r="M208" i="23"/>
  <c r="BT9" i="23"/>
  <c r="BT12" i="23" s="1"/>
  <c r="D175" i="23"/>
  <c r="AL26" i="23" s="1"/>
  <c r="BA26" i="23" s="1"/>
  <c r="O208" i="23"/>
  <c r="BV9" i="23"/>
  <c r="BV12" i="23" s="1"/>
  <c r="F175" i="23"/>
  <c r="AL28" i="23" s="1"/>
  <c r="BA28" i="23" s="1"/>
  <c r="D43" i="23"/>
  <c r="AA26" i="23" s="1"/>
  <c r="AP26" i="23" s="1"/>
  <c r="M59" i="23"/>
  <c r="AB9" i="23"/>
  <c r="AB12" i="23" s="1"/>
  <c r="BB9" i="23"/>
  <c r="BB12" i="23" s="1"/>
  <c r="O143" i="23"/>
  <c r="F115" i="23"/>
  <c r="AG28" i="23" s="1"/>
  <c r="AV28" i="23" s="1"/>
  <c r="AW9" i="23"/>
  <c r="AW12" i="23" s="1"/>
  <c r="E103" i="23"/>
  <c r="AF27" i="23" s="1"/>
  <c r="AU27" i="23" s="1"/>
  <c r="N130" i="23"/>
  <c r="AD18" i="23"/>
  <c r="AS18" i="23" s="1"/>
  <c r="W31" i="6"/>
  <c r="W33" i="6" s="1"/>
  <c r="W38" i="6" s="1"/>
  <c r="W42" i="6" s="1"/>
  <c r="AA19" i="23" l="1"/>
  <c r="AP19" i="23" s="1"/>
  <c r="AA20" i="23"/>
  <c r="AP20" i="23" s="1"/>
  <c r="C43" i="23"/>
  <c r="AA12" i="23"/>
  <c r="AA13" i="23" s="1"/>
  <c r="J59" i="23"/>
  <c r="I61" i="23" s="1"/>
  <c r="Q197" i="5"/>
  <c r="Q201" i="5" s="1"/>
  <c r="K207" i="5"/>
  <c r="K212" i="5" s="1"/>
  <c r="K216" i="5" s="1"/>
  <c r="BD9" i="5" s="1"/>
  <c r="F212" i="5"/>
  <c r="BD4" i="5"/>
  <c r="BD6" i="5" s="1"/>
  <c r="AM9" i="23"/>
  <c r="AP9" i="23"/>
  <c r="AP12" i="23" s="1"/>
  <c r="N101" i="23"/>
  <c r="M105" i="23" s="1"/>
  <c r="F79" i="23"/>
  <c r="AD28" i="23" s="1"/>
  <c r="AS28" i="23" s="1"/>
  <c r="E79" i="23"/>
  <c r="AD27" i="23" s="1"/>
  <c r="AS27" i="23" s="1"/>
  <c r="M130" i="23"/>
  <c r="M134" i="23" s="1"/>
  <c r="D103" i="23"/>
  <c r="AF26" i="23" s="1"/>
  <c r="AU26" i="23" s="1"/>
  <c r="D55" i="23"/>
  <c r="AB26" i="23" s="1"/>
  <c r="AQ26" i="23" s="1"/>
  <c r="AG19" i="23"/>
  <c r="AV19" i="23" s="1"/>
  <c r="BC9" i="23"/>
  <c r="M72" i="23"/>
  <c r="F55" i="23"/>
  <c r="AB28" i="23" s="1"/>
  <c r="AQ28" i="23" s="1"/>
  <c r="AM10" i="23"/>
  <c r="AJ19" i="23"/>
  <c r="AY19" i="23" s="1"/>
  <c r="AE9" i="23"/>
  <c r="AG9" i="23"/>
  <c r="AG12" i="23" s="1"/>
  <c r="O72" i="23"/>
  <c r="E55" i="23"/>
  <c r="AB27" i="23" s="1"/>
  <c r="AQ27" i="23" s="1"/>
  <c r="AF19" i="23"/>
  <c r="AU19" i="23" s="1"/>
  <c r="M212" i="23"/>
  <c r="M63" i="23"/>
  <c r="M156" i="23"/>
  <c r="M160" i="23" s="1"/>
  <c r="BD9" i="23"/>
  <c r="BD12" i="23" s="1"/>
  <c r="D127" i="23"/>
  <c r="AH26" i="23" s="1"/>
  <c r="AW26" i="23" s="1"/>
  <c r="AL19" i="23"/>
  <c r="BA19" i="23" s="1"/>
  <c r="M147" i="23"/>
  <c r="W44" i="6"/>
  <c r="G3" i="11"/>
  <c r="AA25" i="23" l="1"/>
  <c r="AP25" i="23" s="1"/>
  <c r="AA21" i="23"/>
  <c r="AP21" i="23" s="1"/>
  <c r="C44" i="23"/>
  <c r="C45" i="23" s="1"/>
  <c r="I65" i="23"/>
  <c r="I66" i="23" s="1"/>
  <c r="BD8" i="5"/>
  <c r="BD10" i="5" s="1"/>
  <c r="F216" i="5"/>
  <c r="AY9" i="5" s="1"/>
  <c r="AY10" i="5" s="1"/>
  <c r="AD19" i="23"/>
  <c r="AS19" i="23" s="1"/>
  <c r="M76" i="23"/>
  <c r="AB19" i="23"/>
  <c r="C53" i="23"/>
  <c r="AE10" i="23" s="1"/>
  <c r="AE12" i="23" s="1"/>
  <c r="AE13" i="23" s="1"/>
  <c r="AH19" i="23"/>
  <c r="AW19" i="23" s="1"/>
  <c r="AB21" i="23" l="1"/>
  <c r="AQ21" i="23" s="1"/>
  <c r="AQ19" i="23"/>
  <c r="AA29" i="23"/>
  <c r="AP29" i="23" s="1"/>
  <c r="J7" i="23"/>
  <c r="C102" i="23"/>
  <c r="AU11" i="23" s="1"/>
  <c r="BF4" i="5"/>
  <c r="BF6" i="5" s="1"/>
  <c r="K72" i="23"/>
  <c r="I74" i="23" s="1"/>
  <c r="I78" i="23" s="1"/>
  <c r="I79" i="23" s="1"/>
  <c r="C55" i="23"/>
  <c r="C56" i="23" s="1"/>
  <c r="C57" i="23" s="1"/>
  <c r="J8" i="23" l="1"/>
  <c r="J130" i="23"/>
  <c r="C103" i="23"/>
  <c r="C104" i="23" s="1"/>
  <c r="C105" i="23" s="1"/>
  <c r="BF8" i="5"/>
  <c r="BF10" i="5" s="1"/>
  <c r="AF20" i="23"/>
  <c r="BI4" i="5"/>
  <c r="BI6" i="5" s="1"/>
  <c r="AB25" i="23"/>
  <c r="K7" i="23"/>
  <c r="I132" i="23" l="1"/>
  <c r="I136" i="23" s="1"/>
  <c r="I137" i="23" s="1"/>
  <c r="K8" i="23"/>
  <c r="AF21" i="23"/>
  <c r="AU21" i="23" s="1"/>
  <c r="AU20" i="23"/>
  <c r="AB29" i="23"/>
  <c r="AQ29" i="23" s="1"/>
  <c r="AQ25" i="23"/>
  <c r="AF25" i="23"/>
  <c r="C126" i="23"/>
  <c r="C127" i="23" s="1"/>
  <c r="BI8" i="5"/>
  <c r="BI10" i="5" s="1"/>
  <c r="BJ4" i="5"/>
  <c r="BH4" i="5"/>
  <c r="O7" i="23"/>
  <c r="AF29" i="23" l="1"/>
  <c r="AU29" i="23" s="1"/>
  <c r="AU25" i="23"/>
  <c r="O8" i="23"/>
  <c r="J156" i="23"/>
  <c r="I158" i="23" s="1"/>
  <c r="I162" i="23" s="1"/>
  <c r="I163" i="23" s="1"/>
  <c r="BC11" i="23"/>
  <c r="BC12" i="23" s="1"/>
  <c r="BC13" i="23" s="1"/>
  <c r="C162" i="23"/>
  <c r="BO11" i="23" s="1"/>
  <c r="BJ6" i="5"/>
  <c r="AH25" i="23"/>
  <c r="C128" i="23"/>
  <c r="C129" i="23" s="1"/>
  <c r="BH6" i="5"/>
  <c r="AH29" i="23" l="1"/>
  <c r="AW29" i="23" s="1"/>
  <c r="AW25" i="23"/>
  <c r="J195" i="23"/>
  <c r="I197" i="23" s="1"/>
  <c r="I201" i="23" s="1"/>
  <c r="I202" i="23" s="1"/>
  <c r="AH20" i="23"/>
  <c r="C163" i="23"/>
  <c r="C164" i="23" s="1"/>
  <c r="C165" i="23" s="1"/>
  <c r="BH8" i="5"/>
  <c r="BH10" i="5" s="1"/>
  <c r="BJ8" i="5"/>
  <c r="BJ10" i="5" s="1"/>
  <c r="Q7" i="23"/>
  <c r="AK20" i="23"/>
  <c r="BO12" i="23"/>
  <c r="BO13" i="23" s="1"/>
  <c r="AK21" i="23" l="1"/>
  <c r="AZ21" i="23" s="1"/>
  <c r="AZ20" i="23"/>
  <c r="AH21" i="23"/>
  <c r="AW21" i="23" s="1"/>
  <c r="AW20" i="23"/>
  <c r="Q8" i="23"/>
  <c r="AK25" i="23"/>
  <c r="C150" i="23"/>
  <c r="C151" i="23" s="1"/>
  <c r="C174" i="23"/>
  <c r="BS11" i="23" s="1"/>
  <c r="AL20" i="23" s="1"/>
  <c r="T7" i="23"/>
  <c r="AK29" i="23" l="1"/>
  <c r="AZ29" i="23" s="1"/>
  <c r="AZ25" i="23"/>
  <c r="T8" i="23"/>
  <c r="AL21" i="23"/>
  <c r="BA21" i="23" s="1"/>
  <c r="BA20" i="23"/>
  <c r="J182" i="23"/>
  <c r="I184" i="23" s="1"/>
  <c r="I188" i="23" s="1"/>
  <c r="I189" i="23" s="1"/>
  <c r="BK11" i="23"/>
  <c r="AJ20" i="23" s="1"/>
  <c r="BS12" i="23"/>
  <c r="BS13" i="23" s="1"/>
  <c r="C175" i="23"/>
  <c r="AL25" i="23" s="1"/>
  <c r="J208" i="23"/>
  <c r="I210" i="23" s="1"/>
  <c r="I214" i="23" s="1"/>
  <c r="I215" i="23" s="1"/>
  <c r="AJ25" i="23"/>
  <c r="C152" i="23"/>
  <c r="C153" i="23" s="1"/>
  <c r="AJ29" i="23" l="1"/>
  <c r="AY29" i="23" s="1"/>
  <c r="AY25" i="23"/>
  <c r="AL29" i="23"/>
  <c r="BA29" i="23" s="1"/>
  <c r="BA25" i="23"/>
  <c r="AJ21" i="23"/>
  <c r="AY21" i="23" s="1"/>
  <c r="AY20" i="23"/>
  <c r="C176" i="23"/>
  <c r="C177" i="23" s="1"/>
  <c r="S7" i="23"/>
  <c r="S8" i="23" l="1"/>
  <c r="U7" i="23"/>
  <c r="AI42" i="5"/>
  <c r="U8" i="23" l="1"/>
  <c r="AS42" i="5"/>
  <c r="AI41" i="5"/>
  <c r="AI174" i="5" s="1"/>
  <c r="I42" i="5"/>
  <c r="AC42" i="5" l="1"/>
  <c r="AC41" i="5" s="1"/>
  <c r="I41" i="5"/>
  <c r="BA4" i="5"/>
  <c r="AS41" i="5"/>
  <c r="I174" i="5" l="1"/>
  <c r="I175" i="5" s="1"/>
  <c r="BA6" i="5"/>
  <c r="K192" i="5" l="1"/>
  <c r="K197" i="5" s="1"/>
  <c r="L192" i="5"/>
  <c r="L197" i="5" s="1"/>
  <c r="L201" i="5" s="1"/>
  <c r="BA8" i="5"/>
  <c r="C66" i="23" l="1"/>
  <c r="AI11" i="23" s="1"/>
  <c r="H207" i="5"/>
  <c r="H212" i="5" s="1"/>
  <c r="K201" i="5"/>
  <c r="J85" i="23" l="1"/>
  <c r="J87" i="23" s="1"/>
  <c r="J89" i="23" s="1"/>
  <c r="H216" i="5"/>
  <c r="AC20" i="23"/>
  <c r="AR20" i="23" s="1"/>
  <c r="BA9" i="5" l="1"/>
  <c r="BA10" i="5" s="1"/>
  <c r="G29" i="6"/>
  <c r="X25" i="6" l="1"/>
  <c r="X9" i="6"/>
  <c r="X29" i="6" l="1"/>
  <c r="D64" i="23" l="1"/>
  <c r="X31" i="6"/>
  <c r="X33" i="6" s="1"/>
  <c r="X38" i="6" s="1"/>
  <c r="X42" i="6" s="1"/>
  <c r="E64" i="23"/>
  <c r="C64" i="23"/>
  <c r="F64" i="23"/>
  <c r="AI9" i="23" l="1"/>
  <c r="L85" i="23"/>
  <c r="L87" i="23" s="1"/>
  <c r="L89" i="23" s="1"/>
  <c r="X44" i="6"/>
  <c r="M85" i="23"/>
  <c r="M87" i="23" s="1"/>
  <c r="M89" i="23" s="1"/>
  <c r="D67" i="23"/>
  <c r="AC26" i="23" s="1"/>
  <c r="AR26" i="23" s="1"/>
  <c r="AJ9" i="23"/>
  <c r="AJ12" i="23" s="1"/>
  <c r="AL9" i="23"/>
  <c r="AL12" i="23" s="1"/>
  <c r="F67" i="23"/>
  <c r="AC28" i="23" s="1"/>
  <c r="AR28" i="23" s="1"/>
  <c r="O85" i="23"/>
  <c r="O87" i="23" s="1"/>
  <c r="O89" i="23" s="1"/>
  <c r="AK9" i="23"/>
  <c r="AK12" i="23" s="1"/>
  <c r="N85" i="23"/>
  <c r="N87" i="23" s="1"/>
  <c r="N89" i="23" s="1"/>
  <c r="E67" i="23"/>
  <c r="AC27" i="23" s="1"/>
  <c r="AR27" i="23" s="1"/>
  <c r="M92" i="23" l="1"/>
  <c r="C65" i="23"/>
  <c r="AC19" i="23"/>
  <c r="AC21" i="23" l="1"/>
  <c r="AR21" i="23" s="1"/>
  <c r="AR19" i="23"/>
  <c r="AI10" i="23"/>
  <c r="AI12" i="23" s="1"/>
  <c r="AI13" i="23" s="1"/>
  <c r="K85" i="23"/>
  <c r="K87" i="23" s="1"/>
  <c r="K89" i="23" s="1"/>
  <c r="C67" i="23"/>
  <c r="I90" i="23" l="1"/>
  <c r="C68" i="23"/>
  <c r="C69" i="23" s="1"/>
  <c r="AC25" i="23"/>
  <c r="AC29" i="23" l="1"/>
  <c r="AR29" i="23" s="1"/>
  <c r="AR25" i="23"/>
  <c r="I94" i="23"/>
  <c r="I95" i="23" s="1"/>
  <c r="L7" i="23"/>
  <c r="L8" i="23" l="1"/>
  <c r="AJ167" i="5" l="1"/>
  <c r="AJ162" i="5" l="1"/>
  <c r="K167" i="5"/>
  <c r="K162" i="5" l="1"/>
  <c r="K174" i="5" s="1"/>
  <c r="K175" i="5" s="1"/>
  <c r="AJ174" i="5"/>
  <c r="BB4" i="5" s="1"/>
  <c r="BB6" i="5" l="1"/>
  <c r="M192" i="5"/>
  <c r="N192" i="5"/>
  <c r="N197" i="5" s="1"/>
  <c r="I207" i="5" l="1"/>
  <c r="I212" i="5" s="1"/>
  <c r="M197" i="5"/>
  <c r="BB8" i="5"/>
  <c r="N201" i="5"/>
  <c r="I216" i="5" l="1"/>
  <c r="C78" i="23"/>
  <c r="M201" i="5"/>
  <c r="C79" i="23" l="1"/>
  <c r="AM11" i="23"/>
  <c r="J101" i="23"/>
  <c r="I103" i="23" s="1"/>
  <c r="BB9" i="5"/>
  <c r="BB10" i="5" s="1"/>
  <c r="AD25" i="23" l="1"/>
  <c r="C80" i="23"/>
  <c r="C81" i="23" s="1"/>
  <c r="I107" i="23"/>
  <c r="I108" i="23" s="1"/>
  <c r="AM12" i="23"/>
  <c r="AM13" i="23" s="1"/>
  <c r="AD20" i="23"/>
  <c r="AD29" i="23" l="1"/>
  <c r="AS29" i="23" s="1"/>
  <c r="AS25" i="23"/>
  <c r="AD21" i="23"/>
  <c r="AS21" i="23" s="1"/>
  <c r="AS20" i="23"/>
  <c r="M7" i="23"/>
  <c r="M8" i="23" l="1"/>
  <c r="P25" i="5" l="1"/>
  <c r="P167" i="5"/>
  <c r="Q167" i="5" s="1"/>
  <c r="L167" i="5" l="1"/>
  <c r="AK167" i="5" s="1"/>
  <c r="AK162" i="5" s="1"/>
  <c r="F100" i="31"/>
  <c r="AM25" i="5"/>
  <c r="Q25" i="5"/>
  <c r="Q162" i="5"/>
  <c r="P81" i="5"/>
  <c r="AM167" i="5"/>
  <c r="H100" i="31" l="1"/>
  <c r="F102" i="31"/>
  <c r="D420" i="31" s="1"/>
  <c r="K100" i="31"/>
  <c r="K102" i="31" s="1"/>
  <c r="K420" i="31" s="1"/>
  <c r="K425" i="31" s="1"/>
  <c r="K429" i="31" s="1"/>
  <c r="M167" i="5"/>
  <c r="M162" i="5" s="1"/>
  <c r="P75" i="5"/>
  <c r="AM75" i="5" s="1"/>
  <c r="L81" i="5"/>
  <c r="L75" i="5"/>
  <c r="L69" i="5"/>
  <c r="P69" i="5"/>
  <c r="Q81" i="5"/>
  <c r="AM81" i="5"/>
  <c r="AM162" i="5"/>
  <c r="Q23" i="5"/>
  <c r="E420" i="31" l="1"/>
  <c r="E425" i="31" s="1"/>
  <c r="E429" i="31" s="1"/>
  <c r="D425" i="31"/>
  <c r="D429" i="31" s="1"/>
  <c r="I100" i="31"/>
  <c r="H102" i="31"/>
  <c r="I102" i="31" s="1"/>
  <c r="I28" i="6"/>
  <c r="I29" i="6" s="1"/>
  <c r="Z25" i="6" s="1"/>
  <c r="Q75" i="5"/>
  <c r="Q73" i="5" s="1"/>
  <c r="Q174" i="5" s="1"/>
  <c r="Q175" i="5" s="1"/>
  <c r="L25" i="5"/>
  <c r="Q69" i="5"/>
  <c r="AM69" i="5"/>
  <c r="AK69" i="5"/>
  <c r="M69" i="5"/>
  <c r="AD69" i="5"/>
  <c r="AF69" i="5"/>
  <c r="AF66" i="5" s="1"/>
  <c r="AK75" i="5"/>
  <c r="M75" i="5"/>
  <c r="AK81" i="5"/>
  <c r="AS81" i="5" s="1"/>
  <c r="M81" i="5"/>
  <c r="AC81" i="5" s="1"/>
  <c r="AM73" i="5"/>
  <c r="Z9" i="6" l="1"/>
  <c r="AC69" i="5"/>
  <c r="AS75" i="5"/>
  <c r="AK73" i="5"/>
  <c r="AS73" i="5" s="1"/>
  <c r="Z29" i="6"/>
  <c r="M25" i="5"/>
  <c r="AK25" i="5"/>
  <c r="AK23" i="5" s="1"/>
  <c r="AS69" i="5"/>
  <c r="AK66" i="5"/>
  <c r="AS66" i="5" s="1"/>
  <c r="AC75" i="5"/>
  <c r="AC73" i="5" s="1"/>
  <c r="M73" i="5"/>
  <c r="AM174" i="5"/>
  <c r="BE4" i="5" s="1"/>
  <c r="T192" i="5"/>
  <c r="T197" i="5" s="1"/>
  <c r="S192" i="5"/>
  <c r="E88" i="23" l="1"/>
  <c r="C88" i="23"/>
  <c r="M23" i="5"/>
  <c r="M174" i="5" s="1"/>
  <c r="M175" i="5" s="1"/>
  <c r="AC25" i="5"/>
  <c r="Z31" i="6"/>
  <c r="Z33" i="6" s="1"/>
  <c r="Z38" i="6" s="1"/>
  <c r="Z42" i="6" s="1"/>
  <c r="D88" i="23"/>
  <c r="AS23" i="5"/>
  <c r="AK174" i="5"/>
  <c r="BC4" i="5" s="1"/>
  <c r="BC6" i="5" s="1"/>
  <c r="S197" i="5"/>
  <c r="L207" i="5"/>
  <c r="L212" i="5" s="1"/>
  <c r="T201" i="5"/>
  <c r="BE6" i="5"/>
  <c r="F88" i="23" l="1"/>
  <c r="O114" i="23" s="1"/>
  <c r="D91" i="23"/>
  <c r="AE26" i="23" s="1"/>
  <c r="AT26" i="23" s="1"/>
  <c r="AR9" i="23"/>
  <c r="AR12" i="23" s="1"/>
  <c r="M114" i="23"/>
  <c r="M116" i="23" s="1"/>
  <c r="S91" i="23" s="1"/>
  <c r="Z44" i="6"/>
  <c r="AQ9" i="23"/>
  <c r="L114" i="23"/>
  <c r="L116" i="23" s="1"/>
  <c r="E91" i="23"/>
  <c r="AE27" i="23" s="1"/>
  <c r="AT27" i="23" s="1"/>
  <c r="AS9" i="23"/>
  <c r="AS12" i="23" s="1"/>
  <c r="N114" i="23"/>
  <c r="BC8" i="5"/>
  <c r="P192" i="5"/>
  <c r="P197" i="5" s="1"/>
  <c r="O192" i="5"/>
  <c r="L216" i="5"/>
  <c r="BE8" i="5"/>
  <c r="S201" i="5"/>
  <c r="F91" i="23" l="1"/>
  <c r="AE28" i="23" s="1"/>
  <c r="AT28" i="23" s="1"/>
  <c r="AT9" i="23"/>
  <c r="N119" i="23"/>
  <c r="N116" i="23"/>
  <c r="T91" i="23" s="1"/>
  <c r="O119" i="23"/>
  <c r="O116" i="23"/>
  <c r="U91" i="23" s="1"/>
  <c r="M119" i="23"/>
  <c r="M121" i="23"/>
  <c r="C89" i="23"/>
  <c r="O197" i="5"/>
  <c r="J207" i="5"/>
  <c r="J212" i="5" s="1"/>
  <c r="P201" i="5"/>
  <c r="C90" i="23"/>
  <c r="C114" i="23"/>
  <c r="BE9" i="5"/>
  <c r="BE10" i="5" s="1"/>
  <c r="AT12" i="23" l="1"/>
  <c r="AU12" i="23"/>
  <c r="AU13" i="23" s="1"/>
  <c r="AE19" i="23"/>
  <c r="AT19" i="23" s="1"/>
  <c r="K114" i="23"/>
  <c r="K116" i="23" s="1"/>
  <c r="AQ10" i="23"/>
  <c r="J216" i="5"/>
  <c r="O201" i="5"/>
  <c r="J114" i="23"/>
  <c r="J116" i="23" s="1"/>
  <c r="AQ11" i="23"/>
  <c r="AE20" i="23" s="1"/>
  <c r="AT20" i="23" s="1"/>
  <c r="C115" i="23"/>
  <c r="J143" i="23"/>
  <c r="I145" i="23" s="1"/>
  <c r="AY11" i="23"/>
  <c r="BC9" i="5" l="1"/>
  <c r="BC10" i="5" s="1"/>
  <c r="AG20" i="23"/>
  <c r="AY12" i="23"/>
  <c r="AY13" i="23" s="1"/>
  <c r="I149" i="23"/>
  <c r="I150" i="23" s="1"/>
  <c r="AG25" i="23"/>
  <c r="C116" i="23"/>
  <c r="C117" i="23" s="1"/>
  <c r="AG29" i="23" l="1"/>
  <c r="AV29" i="23" s="1"/>
  <c r="AV25" i="23"/>
  <c r="AG21" i="23"/>
  <c r="AV21" i="23" s="1"/>
  <c r="AV20" i="23"/>
  <c r="P7" i="23"/>
  <c r="P8" i="23" l="1"/>
  <c r="F140" i="7"/>
  <c r="F135" i="7"/>
  <c r="F137" i="7"/>
  <c r="F138" i="7"/>
  <c r="F139" i="7"/>
  <c r="F130" i="7"/>
  <c r="F129" i="7"/>
  <c r="F131" i="7"/>
  <c r="F134" i="7"/>
  <c r="F136" i="7"/>
  <c r="D141" i="7"/>
  <c r="D237" i="7" s="1"/>
  <c r="F128" i="7"/>
  <c r="F141" i="7" l="1"/>
  <c r="V5" i="7" s="1"/>
  <c r="V6" i="7" s="1"/>
  <c r="V10" i="7" s="1"/>
  <c r="V12" i="7" s="1"/>
  <c r="F237" i="7" l="1"/>
  <c r="C87" i="23"/>
  <c r="AD12" i="7"/>
  <c r="I114" i="23" l="1"/>
  <c r="AQ8" i="23"/>
  <c r="C91" i="23"/>
  <c r="I119" i="23" l="1"/>
  <c r="I123" i="23" s="1"/>
  <c r="I124" i="23" s="1"/>
  <c r="I116" i="23"/>
  <c r="R91" i="23" s="1"/>
  <c r="AE18" i="23"/>
  <c r="AQ12" i="23"/>
  <c r="AQ13" i="23" s="1"/>
  <c r="C92" i="23"/>
  <c r="C93" i="23" s="1"/>
  <c r="AE25" i="23"/>
  <c r="AE29" i="23" l="1"/>
  <c r="AT29" i="23" s="1"/>
  <c r="AT25" i="23"/>
  <c r="AE21" i="23"/>
  <c r="AT21" i="23" s="1"/>
  <c r="AT18" i="23"/>
  <c r="N7" i="23"/>
  <c r="N8" i="23" l="1"/>
  <c r="M28" i="6" l="1"/>
  <c r="M29" i="6" s="1"/>
  <c r="R29" i="6" s="1"/>
  <c r="AD9" i="6" l="1"/>
  <c r="AD25" i="6"/>
  <c r="D136" i="23" l="1"/>
  <c r="E136" i="23"/>
  <c r="AD29" i="6"/>
  <c r="C136" i="23"/>
  <c r="F136" i="23" l="1"/>
  <c r="O169" i="23" s="1"/>
  <c r="I238" i="23" s="1"/>
  <c r="K252" i="23" s="1"/>
  <c r="AD31" i="6"/>
  <c r="AD33" i="6" s="1"/>
  <c r="AD38" i="6" s="1"/>
  <c r="AD42" i="6" s="1"/>
  <c r="BH9" i="23"/>
  <c r="BH12" i="23" s="1"/>
  <c r="M169" i="23"/>
  <c r="D139" i="23"/>
  <c r="AI26" i="23" s="1"/>
  <c r="AX26" i="23" s="1"/>
  <c r="N169" i="23"/>
  <c r="I237" i="23" s="1"/>
  <c r="J252" i="23" s="1"/>
  <c r="BI9" i="23"/>
  <c r="BI12" i="23" s="1"/>
  <c r="E139" i="23"/>
  <c r="AI27" i="23" s="1"/>
  <c r="AX27" i="23" s="1"/>
  <c r="L169" i="23"/>
  <c r="BG9" i="23"/>
  <c r="BJ9" i="23" l="1"/>
  <c r="AD44" i="6"/>
  <c r="F139" i="23"/>
  <c r="AI28" i="23" s="1"/>
  <c r="AX28" i="23" s="1"/>
  <c r="I236" i="23"/>
  <c r="I252" i="23" s="1"/>
  <c r="M173" i="23"/>
  <c r="I219" i="23" s="1"/>
  <c r="BJ12" i="23" l="1"/>
  <c r="BK12" i="23"/>
  <c r="BK13" i="23" s="1"/>
  <c r="C137" i="23"/>
  <c r="BG10" i="23" s="1"/>
  <c r="AI19" i="23"/>
  <c r="AX19" i="23" s="1"/>
  <c r="K169" i="23" l="1"/>
  <c r="T170" i="5" l="1"/>
  <c r="T158" i="5" l="1"/>
  <c r="U158" i="5" s="1"/>
  <c r="T167" i="5"/>
  <c r="AO170" i="5"/>
  <c r="AS170" i="5" s="1"/>
  <c r="U170" i="5"/>
  <c r="AC170" i="5" s="1"/>
  <c r="AF158" i="5"/>
  <c r="AD158" i="5"/>
  <c r="AO158" i="5" l="1"/>
  <c r="AS158" i="5" s="1"/>
  <c r="AC158" i="5"/>
  <c r="AC145" i="5" s="1"/>
  <c r="U145" i="5"/>
  <c r="U167" i="5"/>
  <c r="AO167" i="5"/>
  <c r="AO145" i="5" l="1"/>
  <c r="AS145" i="5" s="1"/>
  <c r="AS167" i="5"/>
  <c r="AO162" i="5"/>
  <c r="AS162" i="5" s="1"/>
  <c r="AC167" i="5"/>
  <c r="AC162" i="5" s="1"/>
  <c r="U162" i="5"/>
  <c r="U174" i="5" s="1"/>
  <c r="U175" i="5" s="1"/>
  <c r="AS174" i="5" l="1"/>
  <c r="AO174" i="5"/>
  <c r="BG4" i="5" s="1"/>
  <c r="BG6" i="5" s="1"/>
  <c r="X192" i="5"/>
  <c r="X197" i="5" s="1"/>
  <c r="W192" i="5"/>
  <c r="BK4" i="5" l="1"/>
  <c r="W197" i="5"/>
  <c r="N207" i="5"/>
  <c r="N212" i="5" s="1"/>
  <c r="X201" i="5"/>
  <c r="F202" i="5" s="1"/>
  <c r="F203" i="5"/>
  <c r="BG8" i="5"/>
  <c r="C138" i="23" l="1"/>
  <c r="N216" i="5"/>
  <c r="E218" i="5"/>
  <c r="E203" i="5"/>
  <c r="W201" i="5"/>
  <c r="E202" i="5" s="1"/>
  <c r="E217" i="5" l="1"/>
  <c r="BG9" i="5"/>
  <c r="BG10" i="5" s="1"/>
  <c r="BG11" i="23"/>
  <c r="J169" i="23"/>
  <c r="I171" i="23" s="1"/>
  <c r="I217" i="23" s="1"/>
  <c r="C139" i="23"/>
  <c r="I175" i="23" l="1"/>
  <c r="I176" i="23" s="1"/>
  <c r="BG12" i="23"/>
  <c r="BG13" i="23" s="1"/>
  <c r="AI20" i="23"/>
  <c r="AI25" i="23"/>
  <c r="C140" i="23"/>
  <c r="C141" i="23" s="1"/>
  <c r="R7" i="23" l="1"/>
  <c r="AX25" i="23"/>
  <c r="AI29" i="23"/>
  <c r="AX29" i="23" s="1"/>
  <c r="AX20" i="23"/>
  <c r="AI21" i="23"/>
  <c r="AX21" i="23" s="1"/>
  <c r="R8" i="23" l="1"/>
  <c r="X7" i="23"/>
  <c r="T62" i="5" l="1"/>
  <c r="AF62" i="5" l="1"/>
  <c r="AF55" i="5" s="1"/>
  <c r="AD62" i="5"/>
  <c r="AO62" i="5"/>
  <c r="AS62" i="5" s="1"/>
  <c r="U62" i="5"/>
  <c r="AC62" i="5" s="1"/>
  <c r="H17" i="7" l="1"/>
  <c r="J17" i="7" l="1"/>
  <c r="F17" i="7"/>
  <c r="J16" i="7" l="1"/>
  <c r="H15" i="7" l="1"/>
  <c r="J15" i="7" s="1"/>
  <c r="F149" i="31"/>
  <c r="F269" i="31"/>
  <c r="F220" i="31"/>
  <c r="F203" i="31"/>
  <c r="F262" i="31"/>
  <c r="F349" i="31"/>
  <c r="F146" i="31"/>
  <c r="F9" i="31"/>
  <c r="F13" i="31"/>
  <c r="F85" i="31"/>
  <c r="F256" i="31"/>
  <c r="F316" i="31"/>
  <c r="F296" i="31"/>
  <c r="F107" i="31"/>
  <c r="F105" i="31"/>
  <c r="F108" i="31"/>
  <c r="F145" i="31"/>
  <c r="F287" i="31"/>
  <c r="F10" i="31"/>
  <c r="F315" i="31"/>
  <c r="F295" i="31"/>
  <c r="F268" i="31"/>
  <c r="F202" i="31"/>
  <c r="F67" i="31"/>
  <c r="F84" i="31"/>
  <c r="F15" i="7" l="1"/>
  <c r="G74" i="34"/>
  <c r="H74" i="34" s="1"/>
  <c r="K287" i="31"/>
  <c r="H287" i="31"/>
  <c r="I287" i="31" s="1"/>
  <c r="F219" i="31"/>
  <c r="H256" i="31"/>
  <c r="K256" i="31"/>
  <c r="K220" i="31"/>
  <c r="H220" i="31"/>
  <c r="I220" i="31" s="1"/>
  <c r="K295" i="31"/>
  <c r="H295" i="31"/>
  <c r="F299" i="31"/>
  <c r="D655" i="31" s="1"/>
  <c r="F90" i="31"/>
  <c r="K108" i="31"/>
  <c r="H108" i="31"/>
  <c r="I108" i="31" s="1"/>
  <c r="F6" i="31"/>
  <c r="K315" i="31"/>
  <c r="H315" i="31"/>
  <c r="I315" i="31" s="1"/>
  <c r="F110" i="31"/>
  <c r="D436" i="31" s="1"/>
  <c r="K105" i="31"/>
  <c r="H105" i="31"/>
  <c r="K85" i="31"/>
  <c r="H85" i="31"/>
  <c r="I85" i="31" s="1"/>
  <c r="F59" i="31"/>
  <c r="K84" i="31"/>
  <c r="F86" i="31"/>
  <c r="D373" i="31" s="1"/>
  <c r="H84" i="31"/>
  <c r="K10" i="31"/>
  <c r="H10" i="31"/>
  <c r="I10" i="31" s="1"/>
  <c r="F5" i="31"/>
  <c r="K13" i="31"/>
  <c r="H13" i="31"/>
  <c r="I13" i="31" s="1"/>
  <c r="F177" i="31"/>
  <c r="F21" i="7"/>
  <c r="D24" i="7"/>
  <c r="D28" i="7" s="1"/>
  <c r="H21" i="7"/>
  <c r="K107" i="31"/>
  <c r="H107" i="31"/>
  <c r="I107" i="31" s="1"/>
  <c r="H23" i="7"/>
  <c r="F23" i="7"/>
  <c r="H8" i="7"/>
  <c r="F8" i="7"/>
  <c r="K296" i="31"/>
  <c r="H296" i="31"/>
  <c r="I296" i="31" s="1"/>
  <c r="H262" i="31"/>
  <c r="I262" i="31" s="1"/>
  <c r="K262" i="31"/>
  <c r="K269" i="31"/>
  <c r="H269" i="31"/>
  <c r="I269" i="31" s="1"/>
  <c r="K146" i="31"/>
  <c r="H146" i="31"/>
  <c r="I146" i="31" s="1"/>
  <c r="K202" i="31"/>
  <c r="F212" i="31"/>
  <c r="D560" i="31" s="1"/>
  <c r="H202" i="31"/>
  <c r="K145" i="31"/>
  <c r="H145" i="31"/>
  <c r="I145" i="31" s="1"/>
  <c r="F60" i="31"/>
  <c r="F179" i="31"/>
  <c r="K203" i="31"/>
  <c r="H203" i="31"/>
  <c r="I203" i="31" s="1"/>
  <c r="H149" i="31"/>
  <c r="I149" i="31" s="1"/>
  <c r="K149" i="31"/>
  <c r="K67" i="31"/>
  <c r="H67" i="31"/>
  <c r="I67" i="31" s="1"/>
  <c r="F348" i="31"/>
  <c r="K268" i="31"/>
  <c r="H268" i="31"/>
  <c r="I268" i="31" s="1"/>
  <c r="F142" i="31"/>
  <c r="F313" i="31"/>
  <c r="K349" i="31"/>
  <c r="H349" i="31"/>
  <c r="I349" i="31" s="1"/>
  <c r="K9" i="31"/>
  <c r="H9" i="31"/>
  <c r="I9" i="31" s="1"/>
  <c r="F115" i="31"/>
  <c r="F260" i="31"/>
  <c r="F292" i="31" s="1"/>
  <c r="D639" i="31" s="1"/>
  <c r="K316" i="31"/>
  <c r="H316" i="31"/>
  <c r="I316" i="31" s="1"/>
  <c r="F11" i="31"/>
  <c r="D18" i="7"/>
  <c r="F6" i="7"/>
  <c r="H6" i="7"/>
  <c r="F18" i="7" l="1"/>
  <c r="K86" i="31"/>
  <c r="K373" i="31" s="1"/>
  <c r="K378" i="31" s="1"/>
  <c r="K382" i="31" s="1"/>
  <c r="E639" i="31"/>
  <c r="E644" i="31" s="1"/>
  <c r="E648" i="31" s="1"/>
  <c r="D644" i="31"/>
  <c r="D648" i="31" s="1"/>
  <c r="AD141" i="5"/>
  <c r="AD136" i="5" s="1"/>
  <c r="AF141" i="5"/>
  <c r="K313" i="31"/>
  <c r="K322" i="31" s="1"/>
  <c r="K703" i="31" s="1"/>
  <c r="K708" i="31" s="1"/>
  <c r="K712" i="31" s="1"/>
  <c r="H313" i="31"/>
  <c r="F322" i="31"/>
  <c r="D703" i="31" s="1"/>
  <c r="K179" i="31"/>
  <c r="H179" i="31"/>
  <c r="I179" i="31" s="1"/>
  <c r="K212" i="31"/>
  <c r="D660" i="31"/>
  <c r="D664" i="31" s="1"/>
  <c r="E655" i="31"/>
  <c r="E660" i="31" s="1"/>
  <c r="E664" i="31" s="1"/>
  <c r="F233" i="31"/>
  <c r="D592" i="31" s="1"/>
  <c r="K219" i="31"/>
  <c r="K233" i="31" s="1"/>
  <c r="K592" i="31" s="1"/>
  <c r="K597" i="31" s="1"/>
  <c r="K601" i="31" s="1"/>
  <c r="H219" i="31"/>
  <c r="AF91" i="5"/>
  <c r="AD91" i="5"/>
  <c r="AD85" i="5" s="1"/>
  <c r="AF33" i="5"/>
  <c r="AD33" i="5"/>
  <c r="K59" i="31"/>
  <c r="H59" i="31"/>
  <c r="I59" i="31" s="1"/>
  <c r="I295" i="31"/>
  <c r="H299" i="31"/>
  <c r="I299" i="31" s="1"/>
  <c r="AD155" i="5"/>
  <c r="AD145" i="5" s="1"/>
  <c r="AF155" i="5"/>
  <c r="AF81" i="5"/>
  <c r="AD81" i="5"/>
  <c r="H5" i="31"/>
  <c r="K5" i="31"/>
  <c r="F73" i="31"/>
  <c r="AD11" i="5"/>
  <c r="AF11" i="5"/>
  <c r="K6" i="31"/>
  <c r="H6" i="31"/>
  <c r="I6" i="31" s="1"/>
  <c r="K299" i="31"/>
  <c r="C29" i="6"/>
  <c r="H18" i="7"/>
  <c r="J6" i="7"/>
  <c r="J18" i="7" s="1"/>
  <c r="M5" i="7" s="1"/>
  <c r="M8" i="7" s="1"/>
  <c r="M10" i="7" s="1"/>
  <c r="F238" i="7"/>
  <c r="P5" i="7"/>
  <c r="P6" i="7" s="1"/>
  <c r="D238" i="7"/>
  <c r="D27" i="7"/>
  <c r="D30" i="7" s="1"/>
  <c r="AF75" i="5"/>
  <c r="AD75" i="5"/>
  <c r="AD6" i="5"/>
  <c r="AF6" i="5"/>
  <c r="F163" i="31"/>
  <c r="D482" i="31" s="1"/>
  <c r="K142" i="31"/>
  <c r="K163" i="31" s="1"/>
  <c r="K482" i="31" s="1"/>
  <c r="K487" i="31" s="1"/>
  <c r="K491" i="31" s="1"/>
  <c r="H142" i="31"/>
  <c r="K60" i="31"/>
  <c r="H60" i="31"/>
  <c r="I60" i="31" s="1"/>
  <c r="AF65" i="5"/>
  <c r="AD65" i="5"/>
  <c r="AD63" i="5" s="1"/>
  <c r="AD13" i="5"/>
  <c r="AF13" i="5"/>
  <c r="K11" i="31"/>
  <c r="H11" i="31"/>
  <c r="I11" i="31" s="1"/>
  <c r="AD12" i="5"/>
  <c r="AF12" i="5"/>
  <c r="H24" i="7"/>
  <c r="M14" i="7" s="1"/>
  <c r="M16" i="7" s="1"/>
  <c r="M18" i="7" s="1"/>
  <c r="M20" i="7" s="1"/>
  <c r="M22" i="7" s="1"/>
  <c r="M24" i="7" s="1"/>
  <c r="AF5" i="5"/>
  <c r="AD5" i="5"/>
  <c r="Q29" i="6"/>
  <c r="H110" i="31"/>
  <c r="I110" i="31" s="1"/>
  <c r="I105" i="31"/>
  <c r="F121" i="31"/>
  <c r="D451" i="31" s="1"/>
  <c r="K115" i="31"/>
  <c r="K121" i="31" s="1"/>
  <c r="K451" i="31" s="1"/>
  <c r="K456" i="31" s="1"/>
  <c r="K460" i="31" s="1"/>
  <c r="H115" i="31"/>
  <c r="AD169" i="5"/>
  <c r="AF169" i="5"/>
  <c r="I202" i="31"/>
  <c r="H212" i="31"/>
  <c r="I212" i="31" s="1"/>
  <c r="AF37" i="5"/>
  <c r="AD37" i="5"/>
  <c r="H86" i="31"/>
  <c r="I86" i="31" s="1"/>
  <c r="I84" i="31"/>
  <c r="K110" i="31"/>
  <c r="K436" i="31" s="1"/>
  <c r="K441" i="31" s="1"/>
  <c r="K445" i="31" s="1"/>
  <c r="F91" i="31"/>
  <c r="D389" i="31" s="1"/>
  <c r="K90" i="31"/>
  <c r="K91" i="31" s="1"/>
  <c r="K389" i="31" s="1"/>
  <c r="K394" i="31" s="1"/>
  <c r="K398" i="31" s="1"/>
  <c r="H90" i="31"/>
  <c r="K260" i="31"/>
  <c r="K292" i="31" s="1"/>
  <c r="K639" i="31" s="1"/>
  <c r="K644" i="31" s="1"/>
  <c r="K648" i="31" s="1"/>
  <c r="H260" i="31"/>
  <c r="I260" i="31" s="1"/>
  <c r="K348" i="31"/>
  <c r="H348" i="31"/>
  <c r="I348" i="31" s="1"/>
  <c r="E560" i="31"/>
  <c r="E565" i="31" s="1"/>
  <c r="E569" i="31" s="1"/>
  <c r="D565" i="31"/>
  <c r="D569" i="31" s="1"/>
  <c r="K177" i="31"/>
  <c r="F185" i="31"/>
  <c r="D529" i="31" s="1"/>
  <c r="H177" i="31"/>
  <c r="D378" i="31"/>
  <c r="D382" i="31" s="1"/>
  <c r="D383" i="31" s="1"/>
  <c r="E373" i="31"/>
  <c r="E378" i="31" s="1"/>
  <c r="E436" i="31"/>
  <c r="E441" i="31" s="1"/>
  <c r="E445" i="31" s="1"/>
  <c r="D441" i="31"/>
  <c r="D445" i="31" s="1"/>
  <c r="AD25" i="5"/>
  <c r="AF25" i="5"/>
  <c r="I256" i="31"/>
  <c r="K185" i="31" l="1"/>
  <c r="K529" i="31" s="1"/>
  <c r="K534" i="31" s="1"/>
  <c r="K538" i="31" s="1"/>
  <c r="H292" i="31"/>
  <c r="I292" i="31" s="1"/>
  <c r="I177" i="31"/>
  <c r="H185" i="31"/>
  <c r="I185" i="31" s="1"/>
  <c r="K73" i="31"/>
  <c r="AF85" i="5"/>
  <c r="AT85" i="5"/>
  <c r="AF136" i="5"/>
  <c r="AT136" i="5"/>
  <c r="C44" i="10"/>
  <c r="D534" i="31"/>
  <c r="D538" i="31" s="1"/>
  <c r="E529" i="31"/>
  <c r="E534" i="31" s="1"/>
  <c r="E538" i="31" s="1"/>
  <c r="AD73" i="5"/>
  <c r="R30" i="6"/>
  <c r="U9" i="6"/>
  <c r="U25" i="6"/>
  <c r="U29" i="6" s="1"/>
  <c r="H73" i="31"/>
  <c r="I5" i="31"/>
  <c r="I219" i="31"/>
  <c r="H233" i="31"/>
  <c r="I233" i="31" s="1"/>
  <c r="D394" i="31"/>
  <c r="D398" i="31" s="1"/>
  <c r="E389" i="31"/>
  <c r="E394" i="31" s="1"/>
  <c r="E398" i="31" s="1"/>
  <c r="H163" i="31"/>
  <c r="I163" i="31" s="1"/>
  <c r="I142" i="31"/>
  <c r="AF73" i="5"/>
  <c r="AT73" i="5"/>
  <c r="D597" i="31"/>
  <c r="D601" i="31" s="1"/>
  <c r="E592" i="31"/>
  <c r="E597" i="31" s="1"/>
  <c r="E601" i="31" s="1"/>
  <c r="H121" i="31"/>
  <c r="I121" i="31" s="1"/>
  <c r="I115" i="31"/>
  <c r="D487" i="31"/>
  <c r="D491" i="31" s="1"/>
  <c r="E482" i="31"/>
  <c r="E487" i="31" s="1"/>
  <c r="E491" i="31" s="1"/>
  <c r="AF145" i="5"/>
  <c r="AT143" i="5" s="1"/>
  <c r="AT145" i="5"/>
  <c r="D357" i="31"/>
  <c r="H91" i="31"/>
  <c r="I91" i="31" s="1"/>
  <c r="I90" i="31"/>
  <c r="AD4" i="5"/>
  <c r="P10" i="7"/>
  <c r="P12" i="7" s="1"/>
  <c r="P16" i="7"/>
  <c r="P25" i="7" s="1"/>
  <c r="P27" i="7" s="1"/>
  <c r="P29" i="7" s="1"/>
  <c r="P32" i="7" s="1"/>
  <c r="AD28" i="5"/>
  <c r="D708" i="31"/>
  <c r="D712" i="31" s="1"/>
  <c r="E703" i="31"/>
  <c r="E708" i="31" s="1"/>
  <c r="E712" i="31" s="1"/>
  <c r="AF23" i="5"/>
  <c r="AT23" i="5"/>
  <c r="E382" i="31"/>
  <c r="E383" i="31" s="1"/>
  <c r="E451" i="31"/>
  <c r="E456" i="31" s="1"/>
  <c r="E460" i="31" s="1"/>
  <c r="D456" i="31"/>
  <c r="D460" i="31" s="1"/>
  <c r="AT4" i="5"/>
  <c r="AF4" i="5"/>
  <c r="AF63" i="5"/>
  <c r="AT63" i="5"/>
  <c r="AF28" i="5"/>
  <c r="AT28" i="5"/>
  <c r="I313" i="31"/>
  <c r="H322" i="31"/>
  <c r="I322" i="31" s="1"/>
  <c r="U16" i="6" l="1"/>
  <c r="U17" i="6"/>
  <c r="U11" i="6"/>
  <c r="U15" i="6" s="1"/>
  <c r="U19" i="6"/>
  <c r="U18" i="6"/>
  <c r="D362" i="31"/>
  <c r="E357" i="31"/>
  <c r="E362" i="31" s="1"/>
  <c r="E366" i="31" s="1"/>
  <c r="E769" i="31" s="1"/>
  <c r="I13" i="23"/>
  <c r="C11" i="10"/>
  <c r="I246" i="23"/>
  <c r="J257" i="23" s="1"/>
  <c r="AE12" i="7"/>
  <c r="C10" i="10"/>
  <c r="C7" i="23"/>
  <c r="I73" i="31"/>
  <c r="K357" i="31"/>
  <c r="K362" i="31" s="1"/>
  <c r="D42" i="32"/>
  <c r="U31" i="6"/>
  <c r="U33" i="6" s="1"/>
  <c r="U38" i="6" s="1"/>
  <c r="U42" i="6" s="1"/>
  <c r="U44" i="6" s="1"/>
  <c r="D41" i="32"/>
  <c r="G4" i="9"/>
  <c r="G7" i="9" s="1"/>
  <c r="J40" i="32" l="1"/>
  <c r="K40" i="32" s="1"/>
  <c r="M27" i="7" s="1"/>
  <c r="M29" i="7" s="1"/>
  <c r="M31" i="7" s="1"/>
  <c r="M33" i="7" s="1"/>
  <c r="M35" i="7" s="1"/>
  <c r="M37" i="7" s="1"/>
  <c r="C8" i="23"/>
  <c r="C47" i="10"/>
  <c r="U20" i="6"/>
  <c r="C13" i="10"/>
  <c r="C9" i="23"/>
  <c r="C14" i="10"/>
  <c r="C48" i="10"/>
  <c r="K366" i="31"/>
  <c r="G16" i="9"/>
  <c r="G17" i="9"/>
  <c r="G18" i="9"/>
  <c r="G15" i="9"/>
  <c r="D366" i="31"/>
  <c r="F47" i="10"/>
  <c r="F53" i="10" s="1"/>
  <c r="F54" i="10" s="1"/>
  <c r="P37" i="10" s="1"/>
  <c r="F13" i="10"/>
  <c r="F19" i="10" s="1"/>
  <c r="F20" i="10" s="1"/>
  <c r="F27" i="10" s="1"/>
  <c r="E8" i="23"/>
  <c r="E11" i="23" s="1"/>
  <c r="E16" i="23" s="1"/>
  <c r="F8" i="23"/>
  <c r="F11" i="23" s="1"/>
  <c r="F16" i="23" s="1"/>
  <c r="G47" i="10"/>
  <c r="G53" i="10" s="1"/>
  <c r="G54" i="10" s="1"/>
  <c r="Q37" i="10" s="1"/>
  <c r="G13" i="10"/>
  <c r="G19" i="10" s="1"/>
  <c r="G20" i="10" s="1"/>
  <c r="G27" i="10" s="1"/>
  <c r="E47" i="10"/>
  <c r="E53" i="10" s="1"/>
  <c r="E54" i="10" s="1"/>
  <c r="O37" i="10" s="1"/>
  <c r="D8" i="23"/>
  <c r="D11" i="23" s="1"/>
  <c r="D16" i="23" s="1"/>
  <c r="E13" i="10"/>
  <c r="E19" i="10" s="1"/>
  <c r="E20" i="10" s="1"/>
  <c r="E27" i="10" s="1"/>
  <c r="K41" i="32" l="1"/>
  <c r="G25" i="9"/>
  <c r="C49" i="10" s="1"/>
  <c r="C45" i="10"/>
  <c r="M38" i="7"/>
  <c r="C15" i="10" l="1"/>
  <c r="I227" i="23"/>
  <c r="I229" i="23" s="1"/>
  <c r="G27" i="9"/>
  <c r="V9" i="23" s="1"/>
  <c r="V7" i="23"/>
  <c r="AM19" i="23" l="1"/>
  <c r="AM25" i="23" s="1"/>
  <c r="I231" i="23"/>
  <c r="I234" i="23"/>
  <c r="AM21" i="23" l="1"/>
  <c r="BB21" i="23" s="1"/>
  <c r="BB19" i="23"/>
  <c r="BB25" i="23"/>
  <c r="AM29" i="23"/>
  <c r="BB29" i="23" s="1"/>
  <c r="I257" i="23"/>
  <c r="L252" i="23"/>
  <c r="I253" i="23" s="1"/>
  <c r="I254" i="23" s="1"/>
  <c r="K257" i="23" l="1"/>
  <c r="J258" i="23" s="1"/>
  <c r="I258" i="23" l="1"/>
  <c r="K258" i="23" s="1"/>
  <c r="P9872" i="33" l="1"/>
  <c r="R9865" i="33" s="1"/>
  <c r="P10542" i="33"/>
  <c r="P10541" i="33"/>
  <c r="P10539" i="33"/>
  <c r="P10579" i="33"/>
  <c r="P10580" i="33"/>
  <c r="P10597" i="33"/>
  <c r="P10594" i="33"/>
  <c r="R10592" i="33" s="1"/>
  <c r="R10537" i="33" l="1"/>
  <c r="R10577" i="33"/>
  <c r="L9079" i="33"/>
  <c r="L9353" i="33"/>
  <c r="L9439" i="33"/>
  <c r="L9616" i="33"/>
  <c r="Q4717" i="33" l="1"/>
  <c r="Q4554" i="33" s="1"/>
  <c r="H32" i="34" s="1"/>
  <c r="G71" i="34" s="1"/>
  <c r="H71" i="34" s="1"/>
  <c r="D334" i="31" l="1"/>
  <c r="F334" i="31" s="1"/>
  <c r="C167" i="5"/>
  <c r="AD167" i="5" l="1"/>
  <c r="AD162" i="5" s="1"/>
  <c r="AD174" i="5" s="1"/>
  <c r="AD175" i="5" s="1"/>
  <c r="E192" i="5" s="1"/>
  <c r="AF167" i="5"/>
  <c r="H334" i="31"/>
  <c r="F350" i="31"/>
  <c r="K334" i="31"/>
  <c r="K350" i="31" s="1"/>
  <c r="K754" i="31" l="1"/>
  <c r="K759" i="31" s="1"/>
  <c r="K351" i="31"/>
  <c r="AV35" i="31" s="1"/>
  <c r="AV47" i="31" s="1"/>
  <c r="I334" i="31"/>
  <c r="H350" i="31"/>
  <c r="F351" i="31"/>
  <c r="D754" i="31"/>
  <c r="AF162" i="5"/>
  <c r="AF174" i="5" s="1"/>
  <c r="AX4" i="5" s="1"/>
  <c r="AT162" i="5"/>
  <c r="F192" i="5"/>
  <c r="F197" i="5" s="1"/>
  <c r="F201" i="5" s="1"/>
  <c r="E207" i="5"/>
  <c r="E212" i="5" s="1"/>
  <c r="E216" i="5" s="1"/>
  <c r="AX9" i="5" s="1"/>
  <c r="E197" i="5"/>
  <c r="E201" i="5" s="1"/>
  <c r="BL4" i="5" l="1"/>
  <c r="AX6" i="5"/>
  <c r="AX8" i="5" s="1"/>
  <c r="AU162" i="5" s="1"/>
  <c r="D759" i="31"/>
  <c r="E754" i="31"/>
  <c r="E759" i="31" s="1"/>
  <c r="E763" i="31" s="1"/>
  <c r="I350" i="31"/>
  <c r="H351" i="31"/>
  <c r="K763" i="31"/>
  <c r="K769" i="31" s="1"/>
  <c r="K767" i="31"/>
  <c r="AV4" i="31" l="1"/>
  <c r="AV6" i="31" s="1"/>
  <c r="AV8" i="31" s="1"/>
  <c r="J350" i="31" s="1"/>
  <c r="I351" i="31"/>
  <c r="D767" i="31"/>
  <c r="D763" i="31"/>
  <c r="D769" i="31" s="1"/>
  <c r="AU136" i="5"/>
  <c r="AU66" i="5"/>
  <c r="AU130" i="5"/>
  <c r="AU41" i="5"/>
  <c r="AU105" i="5"/>
  <c r="AU28" i="5"/>
  <c r="AU23" i="5"/>
  <c r="AU63" i="5"/>
  <c r="AU132" i="5"/>
  <c r="AU160" i="5"/>
  <c r="AU4" i="5"/>
  <c r="AU143" i="5"/>
  <c r="AU172" i="5"/>
  <c r="C10" i="23"/>
  <c r="C11" i="23" s="1"/>
  <c r="AU71" i="5"/>
  <c r="AU85" i="5"/>
  <c r="AU145" i="5"/>
  <c r="AU55" i="5"/>
  <c r="AU93" i="5"/>
  <c r="AU125" i="5"/>
  <c r="AU114" i="5"/>
  <c r="AU73" i="5"/>
  <c r="AX10" i="5"/>
  <c r="C16" i="10" s="1"/>
  <c r="C19" i="10" s="1"/>
  <c r="AV48" i="31"/>
  <c r="C51" i="10" s="1"/>
  <c r="C12" i="23" l="1"/>
  <c r="C16" i="23"/>
  <c r="K771" i="31"/>
  <c r="AU174" i="5"/>
  <c r="J351" i="31"/>
  <c r="C21" i="10"/>
  <c r="C20" i="10"/>
  <c r="AV9" i="31"/>
  <c r="AV10" i="31" s="1"/>
  <c r="C50" i="10" s="1"/>
  <c r="C53" i="10" s="1"/>
  <c r="D771" i="31"/>
  <c r="J274" i="31"/>
  <c r="J100" i="31"/>
  <c r="J244" i="31"/>
  <c r="J207" i="31"/>
  <c r="J224" i="31"/>
  <c r="J246" i="31"/>
  <c r="J125" i="31"/>
  <c r="J287" i="31"/>
  <c r="J267" i="31"/>
  <c r="J131" i="31"/>
  <c r="J196" i="31"/>
  <c r="J172" i="31"/>
  <c r="J315" i="31"/>
  <c r="J258" i="31"/>
  <c r="J210" i="31"/>
  <c r="J341" i="31"/>
  <c r="J90" i="31"/>
  <c r="J77" i="31"/>
  <c r="J231" i="31"/>
  <c r="J232" i="31"/>
  <c r="J216" i="31"/>
  <c r="J22" i="31"/>
  <c r="J130" i="31"/>
  <c r="J61" i="31"/>
  <c r="J185" i="31"/>
  <c r="J159" i="31"/>
  <c r="J43" i="31"/>
  <c r="J129" i="31"/>
  <c r="J193" i="31"/>
  <c r="J320" i="31"/>
  <c r="J42" i="31"/>
  <c r="J35" i="31"/>
  <c r="J19" i="31"/>
  <c r="J52" i="31"/>
  <c r="J322" i="31"/>
  <c r="J153" i="31"/>
  <c r="J326" i="31"/>
  <c r="J27" i="31"/>
  <c r="J292" i="31"/>
  <c r="J45" i="31"/>
  <c r="J119" i="31"/>
  <c r="J54" i="31"/>
  <c r="J97" i="31"/>
  <c r="J182" i="31"/>
  <c r="J281" i="31"/>
  <c r="J67" i="31"/>
  <c r="J344" i="31"/>
  <c r="J272" i="31"/>
  <c r="J158" i="31"/>
  <c r="J113" i="31"/>
  <c r="J31" i="31"/>
  <c r="J209" i="31"/>
  <c r="J57" i="31"/>
  <c r="J299" i="31"/>
  <c r="J261" i="31"/>
  <c r="J70" i="31"/>
  <c r="J233" i="31"/>
  <c r="J188" i="31"/>
  <c r="J190" i="31"/>
  <c r="J180" i="31"/>
  <c r="J211" i="31"/>
  <c r="J346" i="31"/>
  <c r="J34" i="31"/>
  <c r="J72" i="31"/>
  <c r="J253" i="31"/>
  <c r="J105" i="31"/>
  <c r="J307" i="31"/>
  <c r="J338" i="31"/>
  <c r="J64" i="31"/>
  <c r="J340" i="31"/>
  <c r="J302" i="31"/>
  <c r="J14" i="31"/>
  <c r="J311" i="31"/>
  <c r="J134" i="31"/>
  <c r="J149" i="31"/>
  <c r="J303" i="31"/>
  <c r="J278" i="31"/>
  <c r="J62" i="31"/>
  <c r="J317" i="31"/>
  <c r="J85" i="31"/>
  <c r="J284" i="31"/>
  <c r="J264" i="31"/>
  <c r="J102" i="31"/>
  <c r="J316" i="31"/>
  <c r="J63" i="31"/>
  <c r="J298" i="31"/>
  <c r="J250" i="31"/>
  <c r="J310" i="31"/>
  <c r="J108" i="31"/>
  <c r="J94" i="31"/>
  <c r="J157" i="31"/>
  <c r="J38" i="31"/>
  <c r="J336" i="31"/>
  <c r="J189" i="31"/>
  <c r="J229" i="31"/>
  <c r="J118" i="31"/>
  <c r="J228" i="31"/>
  <c r="J227" i="31"/>
  <c r="J319" i="31"/>
  <c r="J257" i="31"/>
  <c r="J330" i="31"/>
  <c r="J91" i="31"/>
  <c r="J169" i="31"/>
  <c r="J6" i="31"/>
  <c r="J7" i="31"/>
  <c r="J146" i="31"/>
  <c r="J325" i="31"/>
  <c r="J127" i="31"/>
  <c r="J273" i="31"/>
  <c r="J183" i="31"/>
  <c r="J254" i="31"/>
  <c r="J37" i="31"/>
  <c r="J339" i="31"/>
  <c r="J81" i="31"/>
  <c r="J83" i="31"/>
  <c r="J306" i="31"/>
  <c r="J33" i="31"/>
  <c r="J179" i="31"/>
  <c r="J335" i="31"/>
  <c r="J342" i="31"/>
  <c r="J76" i="31"/>
  <c r="J192" i="31"/>
  <c r="J138" i="31"/>
  <c r="J50" i="31"/>
  <c r="J162" i="31"/>
  <c r="J176" i="31"/>
  <c r="J133" i="31"/>
  <c r="J141" i="31"/>
  <c r="J126" i="31"/>
  <c r="J255" i="31"/>
  <c r="J347" i="31"/>
  <c r="J280" i="31"/>
  <c r="J117" i="31"/>
  <c r="J212" i="31"/>
  <c r="J69" i="31"/>
  <c r="J247" i="31"/>
  <c r="J202" i="31"/>
  <c r="J249" i="31"/>
  <c r="J44" i="31"/>
  <c r="J82" i="31"/>
  <c r="J205" i="31"/>
  <c r="J124" i="31"/>
  <c r="J283" i="31"/>
  <c r="J168" i="31"/>
  <c r="J8" i="31"/>
  <c r="J47" i="31"/>
  <c r="J289" i="31"/>
  <c r="J135" i="31"/>
  <c r="J66" i="31"/>
  <c r="J327" i="31"/>
  <c r="J223" i="31"/>
  <c r="J17" i="31"/>
  <c r="J79" i="31"/>
  <c r="J314" i="31"/>
  <c r="J181" i="31"/>
  <c r="J198" i="31"/>
  <c r="J343" i="31"/>
  <c r="J155" i="31"/>
  <c r="J132" i="31"/>
  <c r="J245" i="31"/>
  <c r="J219" i="31"/>
  <c r="J95" i="31"/>
  <c r="J150" i="31"/>
  <c r="J156" i="31"/>
  <c r="J16" i="31"/>
  <c r="J5" i="31"/>
  <c r="J154" i="31"/>
  <c r="J277" i="31"/>
  <c r="J115" i="31"/>
  <c r="J73" i="31"/>
  <c r="J89" i="31"/>
  <c r="J262" i="31"/>
  <c r="J140" i="31"/>
  <c r="J197" i="31"/>
  <c r="J145" i="31"/>
  <c r="J236" i="31"/>
  <c r="J58" i="31"/>
  <c r="J24" i="31"/>
  <c r="J36" i="31"/>
  <c r="J46" i="31"/>
  <c r="J230" i="31"/>
  <c r="J296" i="31"/>
  <c r="J275" i="31"/>
  <c r="J191" i="31"/>
  <c r="J86" i="31"/>
  <c r="J237" i="31"/>
  <c r="J282" i="31"/>
  <c r="J107" i="31"/>
  <c r="J268" i="31"/>
  <c r="J15" i="31"/>
  <c r="J28" i="31"/>
  <c r="J240" i="31"/>
  <c r="J265" i="31"/>
  <c r="J84" i="31"/>
  <c r="J30" i="31"/>
  <c r="J184" i="31"/>
  <c r="J13" i="31"/>
  <c r="J161" i="31"/>
  <c r="J60" i="31"/>
  <c r="J225" i="31"/>
  <c r="J49" i="31"/>
  <c r="J139" i="31"/>
  <c r="J271" i="31"/>
  <c r="J349" i="31"/>
  <c r="J40" i="31"/>
  <c r="J276" i="31"/>
  <c r="J10" i="31"/>
  <c r="J248" i="31"/>
  <c r="J312" i="31"/>
  <c r="J11" i="31"/>
  <c r="J286" i="31"/>
  <c r="J313" i="31"/>
  <c r="J9" i="31"/>
  <c r="J32" i="31"/>
  <c r="J152" i="31"/>
  <c r="J226" i="31"/>
  <c r="J173" i="31"/>
  <c r="J321" i="31"/>
  <c r="J12" i="31"/>
  <c r="J114" i="31"/>
  <c r="J167" i="31"/>
  <c r="J78" i="31"/>
  <c r="J269" i="31"/>
  <c r="J18" i="31"/>
  <c r="J120" i="31"/>
  <c r="J163" i="31"/>
  <c r="J121" i="31"/>
  <c r="J215" i="31"/>
  <c r="J178" i="31"/>
  <c r="J208" i="31"/>
  <c r="J295" i="31"/>
  <c r="J331" i="31"/>
  <c r="J110" i="31"/>
  <c r="J144" i="31"/>
  <c r="J270" i="31"/>
  <c r="J177" i="31"/>
  <c r="J71" i="31"/>
  <c r="J348" i="31"/>
  <c r="J291" i="31"/>
  <c r="J259" i="31"/>
  <c r="J142" i="31"/>
  <c r="J68" i="31"/>
  <c r="J243" i="31"/>
  <c r="J263" i="31"/>
  <c r="J238" i="31"/>
  <c r="J25" i="31"/>
  <c r="J147" i="31"/>
  <c r="J55" i="31"/>
  <c r="J206" i="31"/>
  <c r="J80" i="31"/>
  <c r="J23" i="31"/>
  <c r="J53" i="31"/>
  <c r="J59" i="31"/>
  <c r="J290" i="31"/>
  <c r="J128" i="31"/>
  <c r="J106" i="31"/>
  <c r="J222" i="31"/>
  <c r="J239" i="31"/>
  <c r="J337" i="31"/>
  <c r="J41" i="31"/>
  <c r="J194" i="31"/>
  <c r="J148" i="31"/>
  <c r="J221" i="31"/>
  <c r="J195" i="31"/>
  <c r="J39" i="31"/>
  <c r="J288" i="31"/>
  <c r="J160" i="31"/>
  <c r="J143" i="31"/>
  <c r="J56" i="31"/>
  <c r="J101" i="31"/>
  <c r="J20" i="31"/>
  <c r="J204" i="31"/>
  <c r="J21" i="31"/>
  <c r="J65" i="31"/>
  <c r="J297" i="31"/>
  <c r="J318" i="31"/>
  <c r="J279" i="31"/>
  <c r="J266" i="31"/>
  <c r="J285" i="31"/>
  <c r="J166" i="31"/>
  <c r="J345" i="31"/>
  <c r="J51" i="31"/>
  <c r="J116" i="31"/>
  <c r="J151" i="31"/>
  <c r="J26" i="31"/>
  <c r="J48" i="31"/>
  <c r="J203" i="31"/>
  <c r="J256" i="31"/>
  <c r="J199" i="31"/>
  <c r="J260" i="31"/>
  <c r="J29" i="31"/>
  <c r="J220" i="31"/>
  <c r="J334" i="31"/>
  <c r="C13" i="23" l="1"/>
  <c r="H7" i="23"/>
  <c r="C27" i="10"/>
  <c r="C22" i="10"/>
  <c r="C54" i="10"/>
  <c r="C55" i="10"/>
  <c r="D88" i="10" s="1"/>
  <c r="O9" i="23" l="1"/>
  <c r="U9" i="23"/>
  <c r="N9" i="23"/>
  <c r="K9" i="23"/>
  <c r="S9" i="23"/>
  <c r="P9" i="23"/>
  <c r="M9" i="23"/>
  <c r="J9" i="23"/>
  <c r="R9" i="23"/>
  <c r="I16" i="23"/>
  <c r="L9" i="23"/>
  <c r="Q9" i="23"/>
  <c r="T9" i="23"/>
  <c r="H8" i="23"/>
  <c r="M37" i="10"/>
  <c r="C56" i="10"/>
  <c r="K5781" i="33" l="1"/>
  <c r="K5782" i="33"/>
  <c r="K5741" i="33"/>
  <c r="K5742" i="33"/>
  <c r="K5803" i="33"/>
  <c r="K5802" i="33"/>
  <c r="K5839" i="33"/>
  <c r="K5840" i="33"/>
  <c r="K5838" i="33"/>
  <c r="K5860" i="33"/>
  <c r="I9277" i="33"/>
  <c r="I1890" i="33"/>
  <c r="K5409" i="33"/>
  <c r="I5409" i="33"/>
  <c r="K6599" i="33"/>
  <c r="I6599" i="33"/>
  <c r="K5724" i="33"/>
  <c r="I5724" i="33"/>
  <c r="I6281" i="33"/>
  <c r="K6281" i="33"/>
  <c r="I6500" i="33"/>
  <c r="K6500" i="33"/>
  <c r="K5188" i="33"/>
  <c r="I5188" i="33"/>
  <c r="K6309" i="33"/>
  <c r="I6309" i="33"/>
  <c r="I1485" i="33"/>
  <c r="K5390" i="33"/>
  <c r="I5390" i="33"/>
  <c r="I4619" i="33"/>
  <c r="I3545" i="33"/>
  <c r="I9167" i="33"/>
  <c r="I3823" i="33"/>
  <c r="I1283" i="33"/>
  <c r="I1303" i="33"/>
  <c r="I5632" i="33"/>
  <c r="K5632" i="33"/>
  <c r="I3824" i="33"/>
  <c r="I4245" i="33"/>
  <c r="I8112" i="33"/>
  <c r="I3539" i="33"/>
  <c r="K1388" i="33"/>
  <c r="I1388" i="33"/>
  <c r="I6251" i="33"/>
  <c r="K6251" i="33"/>
  <c r="I3486" i="33"/>
  <c r="I289" i="33"/>
  <c r="I3573" i="33"/>
  <c r="I3515" i="33"/>
  <c r="I1410" i="33"/>
  <c r="I5112" i="33"/>
  <c r="I3538" i="33"/>
  <c r="I158" i="33"/>
  <c r="K158" i="33"/>
  <c r="I1165" i="33"/>
  <c r="K1165" i="33"/>
  <c r="I4208" i="33"/>
  <c r="I4944" i="33"/>
  <c r="I4073" i="33"/>
  <c r="I3559" i="33"/>
  <c r="I11172" i="33"/>
  <c r="I4257" i="33"/>
  <c r="K5506" i="33"/>
  <c r="I5506" i="33"/>
  <c r="I9097" i="33"/>
  <c r="I4943" i="33"/>
  <c r="I9229" i="33"/>
  <c r="I3596" i="33"/>
  <c r="I1589" i="33"/>
  <c r="I2148" i="33"/>
  <c r="I3818" i="33"/>
  <c r="K1260" i="33"/>
  <c r="I1260" i="33"/>
  <c r="I220" i="33"/>
  <c r="I1466" i="33"/>
  <c r="I7409" i="33"/>
  <c r="K4970" i="33"/>
  <c r="I4970" i="33"/>
  <c r="I4589" i="33"/>
  <c r="I7050" i="33"/>
  <c r="I3518" i="33"/>
  <c r="I1408" i="33"/>
  <c r="K5723" i="33"/>
  <c r="I5723" i="33"/>
  <c r="I2552" i="33"/>
  <c r="I190" i="33"/>
  <c r="I4080" i="33"/>
  <c r="I4634" i="33"/>
  <c r="I7292" i="33"/>
  <c r="I1639" i="33"/>
  <c r="I1484" i="33"/>
  <c r="I4736" i="33"/>
  <c r="I1892" i="33"/>
  <c r="I6734" i="33"/>
  <c r="I5095" i="33"/>
  <c r="K1163" i="33"/>
  <c r="I1163" i="33"/>
  <c r="I192" i="33"/>
  <c r="K1553" i="33"/>
  <c r="I1553" i="33"/>
  <c r="I3100" i="33"/>
  <c r="K6614" i="33"/>
  <c r="I6614" i="33"/>
  <c r="I3826" i="33"/>
  <c r="I4919" i="33"/>
  <c r="I291" i="33"/>
  <c r="I1468" i="33"/>
  <c r="I3517" i="33"/>
  <c r="I5391" i="33"/>
  <c r="K5391" i="33"/>
  <c r="I4214" i="33"/>
  <c r="I5447" i="33"/>
  <c r="K5447" i="33"/>
  <c r="I3820" i="33"/>
  <c r="I6337" i="33"/>
  <c r="K6337" i="33"/>
  <c r="I3112" i="33"/>
  <c r="K1164" i="33"/>
  <c r="I1164" i="33"/>
  <c r="F24" i="7"/>
  <c r="F30" i="7"/>
  <c r="I1684" i="33"/>
  <c r="I6879" i="33"/>
  <c r="I3590" i="33"/>
  <c r="I7250" i="33"/>
  <c r="K4723" i="33"/>
  <c r="I4723" i="33"/>
  <c r="I7188" i="33"/>
  <c r="I4915" i="33"/>
  <c r="I1304" i="33"/>
  <c r="I9134" i="33"/>
  <c r="I4721" i="33"/>
  <c r="K4721" i="33"/>
  <c r="I3546" i="33"/>
  <c r="I4958" i="33"/>
  <c r="I4593" i="33"/>
  <c r="I2554" i="33"/>
  <c r="I9076" i="33"/>
  <c r="I4698" i="33"/>
  <c r="I7150" i="33"/>
  <c r="K4969" i="33"/>
  <c r="I4969" i="33"/>
  <c r="I3954" i="33"/>
  <c r="I7379" i="33"/>
  <c r="I6858" i="33"/>
  <c r="I9139" i="33"/>
  <c r="I8254" i="33"/>
  <c r="I3093" i="33"/>
  <c r="I2139" i="33"/>
  <c r="I5042" i="33"/>
  <c r="K1387" i="33"/>
  <c r="I1387" i="33"/>
  <c r="I284" i="33"/>
  <c r="I1874" i="33"/>
  <c r="I5057" i="33"/>
  <c r="I184" i="33"/>
  <c r="I4063" i="33"/>
  <c r="I9077" i="33"/>
  <c r="I1658" i="33"/>
  <c r="I6696" i="33"/>
  <c r="I1687" i="33"/>
  <c r="I1673" i="33"/>
  <c r="I5762" i="33"/>
  <c r="K5762" i="33"/>
  <c r="I3487" i="33"/>
  <c r="I5017" i="33"/>
  <c r="I2555" i="33"/>
  <c r="I6952" i="33"/>
  <c r="I1588" i="33"/>
  <c r="K5266" i="33"/>
  <c r="I5266" i="33"/>
  <c r="I5205" i="33"/>
  <c r="K5205" i="33"/>
  <c r="I5041" i="33"/>
  <c r="I2801" i="33"/>
  <c r="I9204" i="33"/>
  <c r="I3591" i="33"/>
  <c r="I9241" i="33"/>
  <c r="I3094" i="33"/>
  <c r="I2140" i="33"/>
  <c r="I212" i="33"/>
  <c r="I2553" i="33"/>
  <c r="I6838" i="33"/>
  <c r="I9295" i="33"/>
  <c r="I7346" i="33"/>
  <c r="K6351" i="33"/>
  <c r="I6351" i="33"/>
  <c r="I5173" i="33"/>
  <c r="I1575" i="33"/>
  <c r="I3110" i="33"/>
  <c r="I8183" i="33"/>
  <c r="I5135" i="33"/>
  <c r="I3952" i="33"/>
  <c r="I5131" i="33"/>
  <c r="I5287" i="33"/>
  <c r="K5287" i="33"/>
  <c r="I3594" i="33"/>
  <c r="I3489" i="33"/>
  <c r="I4872" i="33"/>
  <c r="K4872" i="33"/>
  <c r="I1479" i="33"/>
  <c r="I4699" i="33"/>
  <c r="I5633" i="33"/>
  <c r="K5633" i="33"/>
  <c r="L5634" i="33"/>
  <c r="I4896" i="33"/>
  <c r="I4860" i="33"/>
  <c r="I5038" i="33"/>
  <c r="I4712" i="33"/>
  <c r="I7206" i="33"/>
  <c r="K1386" i="33"/>
  <c r="I1386" i="33"/>
  <c r="I6405" i="33"/>
  <c r="K6405" i="33"/>
  <c r="I6799" i="33"/>
  <c r="K4873" i="33"/>
  <c r="I4873" i="33"/>
  <c r="I4959" i="33"/>
  <c r="I1576" i="33"/>
  <c r="I1467" i="33"/>
  <c r="I5486" i="33"/>
  <c r="K5486" i="33"/>
  <c r="I4565" i="33"/>
  <c r="K4565" i="33"/>
  <c r="I1315" i="33"/>
  <c r="I6644" i="33"/>
  <c r="I4871" i="33"/>
  <c r="K4871" i="33"/>
  <c r="K5204" i="33"/>
  <c r="I5204" i="33"/>
  <c r="I5696" i="33"/>
  <c r="I5069" i="33"/>
  <c r="K5069" i="33"/>
  <c r="I1638" i="33"/>
  <c r="I6629" i="33"/>
  <c r="K6629" i="33"/>
  <c r="I1409" i="33"/>
  <c r="K6482" i="33"/>
  <c r="I6482" i="33"/>
  <c r="I4263" i="33"/>
  <c r="I5068" i="33"/>
  <c r="K5068" i="33"/>
  <c r="I6266" i="33"/>
  <c r="K6266" i="33"/>
  <c r="I7236" i="33"/>
  <c r="I2145" i="33"/>
  <c r="I5092" i="33"/>
  <c r="I5072" i="33"/>
  <c r="I4675" i="33"/>
  <c r="I9319" i="33"/>
  <c r="I5654" i="33"/>
  <c r="K5654" i="33"/>
  <c r="I4620" i="33"/>
  <c r="I1201" i="33"/>
  <c r="I1322" i="33"/>
  <c r="I6295" i="33"/>
  <c r="K6295" i="33"/>
  <c r="I5522" i="33"/>
  <c r="K5522" i="33"/>
  <c r="I1691" i="33"/>
  <c r="I4062" i="33"/>
  <c r="I1261" i="33"/>
  <c r="K1261" i="33"/>
  <c r="I5693" i="33"/>
  <c r="K6424" i="33"/>
  <c r="I6424" i="33"/>
  <c r="I4722" i="33"/>
  <c r="K4722" i="33"/>
  <c r="I7424" i="33"/>
  <c r="I5158" i="33"/>
  <c r="I5174" i="33"/>
  <c r="I1459" i="33"/>
  <c r="I5175" i="33"/>
  <c r="I4246" i="33"/>
  <c r="I2146" i="33"/>
  <c r="I3128" i="33"/>
  <c r="I2522" i="33"/>
  <c r="I9166" i="33"/>
  <c r="I1187" i="33"/>
  <c r="I1683" i="33"/>
  <c r="I7327" i="33"/>
  <c r="I3513" i="33"/>
  <c r="I9168" i="33"/>
  <c r="I6931" i="33"/>
  <c r="I1690" i="33"/>
  <c r="I9114" i="33"/>
  <c r="I9115" i="33"/>
  <c r="I1225" i="33"/>
  <c r="I4077" i="33"/>
  <c r="I5725" i="33"/>
  <c r="K5725" i="33"/>
  <c r="I3450" i="33"/>
  <c r="I4242" i="33"/>
  <c r="I1886" i="33"/>
  <c r="I268" i="33"/>
  <c r="I2516" i="33"/>
  <c r="I7015" i="33"/>
  <c r="I3946" i="33"/>
  <c r="I6443" i="33"/>
  <c r="K6443" i="33"/>
  <c r="I7703" i="33"/>
  <c r="I5002" i="33"/>
  <c r="I4079" i="33"/>
  <c r="I4894" i="33"/>
  <c r="I4659" i="33"/>
  <c r="I7645" i="33"/>
  <c r="I5019" i="33"/>
  <c r="I1487" i="33"/>
  <c r="I3132" i="33"/>
  <c r="I267" i="33"/>
  <c r="I3547" i="33"/>
  <c r="I3544" i="33"/>
  <c r="I4735" i="33"/>
  <c r="I5004" i="33"/>
  <c r="I4618" i="33"/>
  <c r="I7102" i="33"/>
  <c r="I3510" i="33"/>
  <c r="I4258" i="33"/>
  <c r="I1672" i="33"/>
  <c r="K5225" i="33"/>
  <c r="I5225" i="33"/>
  <c r="I9258" i="33"/>
  <c r="I1259" i="33"/>
  <c r="K1259" i="33"/>
  <c r="I5523" i="33"/>
  <c r="K5523" i="33"/>
  <c r="I5110" i="33"/>
  <c r="I288" i="33"/>
  <c r="I218" i="33"/>
  <c r="I4244" i="33"/>
  <c r="I3947" i="33"/>
  <c r="I5067" i="33"/>
  <c r="K5067" i="33"/>
  <c r="I4635" i="33"/>
  <c r="K157" i="33"/>
  <c r="I157" i="33"/>
  <c r="I1223" i="33"/>
  <c r="I4566" i="33"/>
  <c r="K4566" i="33"/>
  <c r="I9294" i="33"/>
  <c r="I4737" i="33"/>
  <c r="K5245" i="33"/>
  <c r="I5245" i="33"/>
  <c r="I3598" i="33"/>
  <c r="I3099" i="33"/>
  <c r="I1224" i="33"/>
  <c r="I3825" i="33"/>
  <c r="I260" i="33"/>
  <c r="I1893" i="33"/>
  <c r="I8098" i="33"/>
  <c r="I4957" i="33"/>
  <c r="I4081" i="33"/>
  <c r="I3516" i="33"/>
  <c r="I4082" i="33"/>
  <c r="I7221" i="33"/>
  <c r="I7364" i="33"/>
  <c r="K6323" i="33"/>
  <c r="I6323" i="33"/>
  <c r="I290" i="33"/>
  <c r="I1218" i="33"/>
  <c r="I5097" i="33"/>
  <c r="I3509" i="33"/>
  <c r="I6973" i="33"/>
  <c r="K1551" i="33"/>
  <c r="I1551" i="33"/>
  <c r="I4264" i="33"/>
  <c r="I1282" i="33"/>
  <c r="I2613" i="33"/>
  <c r="I1875" i="33"/>
  <c r="I2584" i="33"/>
  <c r="I1590" i="33"/>
  <c r="I1460" i="33"/>
  <c r="K5543" i="33"/>
  <c r="I5543" i="33"/>
  <c r="I3554" i="33"/>
  <c r="I287" i="33"/>
  <c r="I4265" i="33"/>
  <c r="I3456" i="33"/>
  <c r="I7308" i="33"/>
  <c r="K6367" i="33"/>
  <c r="I6367" i="33"/>
  <c r="I1552" i="33"/>
  <c r="K1552" i="33"/>
  <c r="K5631" i="33"/>
  <c r="I5631" i="33"/>
  <c r="K5186" i="33"/>
  <c r="I5186" i="33"/>
  <c r="K5187" i="33"/>
  <c r="I5187" i="33"/>
  <c r="I9224" i="33"/>
  <c r="I1323" i="33"/>
  <c r="I3481" i="33"/>
  <c r="I7169" i="33"/>
  <c r="I5467" i="33"/>
  <c r="K5467" i="33"/>
  <c r="I261" i="33"/>
  <c r="I5096" i="33"/>
  <c r="I5134" i="33"/>
  <c r="I8221" i="33"/>
  <c r="I4861" i="33"/>
  <c r="I1482" i="33"/>
  <c r="I3114" i="33"/>
  <c r="I3599" i="33"/>
  <c r="I5136" i="33"/>
  <c r="I6386" i="33"/>
  <c r="K6386" i="33"/>
  <c r="I1465" i="33"/>
  <c r="I4674" i="33"/>
  <c r="I5056" i="33"/>
  <c r="I4261" i="33"/>
  <c r="I1186" i="33"/>
  <c r="I4657" i="33"/>
  <c r="I5059" i="33"/>
  <c r="I8239" i="33"/>
  <c r="I4594" i="33"/>
  <c r="I5160" i="33"/>
  <c r="I2546" i="33"/>
  <c r="I4942" i="33"/>
  <c r="I7069" i="33"/>
  <c r="I9256" i="33"/>
  <c r="I3488" i="33"/>
  <c r="I8202" i="33"/>
  <c r="I2147" i="33"/>
  <c r="I9151" i="33"/>
  <c r="I4567" i="33"/>
  <c r="K4567" i="33"/>
  <c r="I2663" i="33"/>
  <c r="I4654" i="33"/>
  <c r="I1281" i="33"/>
  <c r="I7085" i="33"/>
  <c r="I1429" i="33"/>
  <c r="I3555" i="33"/>
  <c r="I4239" i="33"/>
  <c r="I1277" i="33"/>
  <c r="I1891" i="33"/>
  <c r="I2612" i="33"/>
  <c r="I9205" i="33"/>
  <c r="I7265" i="33"/>
  <c r="I3109" i="33"/>
  <c r="K6464" i="33"/>
  <c r="I6464" i="33"/>
  <c r="I1889" i="33"/>
  <c r="I3101" i="33"/>
  <c r="I3577" i="33"/>
  <c r="I193" i="33"/>
  <c r="I1688" i="33"/>
  <c r="I5392" i="33"/>
  <c r="K5392" i="33"/>
  <c r="I1320" i="33"/>
  <c r="I6676" i="33"/>
  <c r="K6676" i="33"/>
  <c r="I6817" i="33"/>
  <c r="I1657" i="33"/>
  <c r="I248" i="33"/>
  <c r="I1321" i="33"/>
  <c r="I221" i="33"/>
  <c r="I7683" i="33"/>
  <c r="I1463" i="33"/>
  <c r="I2550" i="33"/>
  <c r="I4713" i="33"/>
  <c r="I1671" i="33"/>
  <c r="I4074" i="33"/>
  <c r="I2775" i="33"/>
  <c r="I2611" i="33"/>
  <c r="I3948" i="33"/>
  <c r="I3953" i="33"/>
  <c r="I4918" i="33"/>
  <c r="I1202" i="33"/>
  <c r="I4238" i="33"/>
  <c r="I3951" i="33"/>
  <c r="I8128" i="33"/>
  <c r="I9186" i="33"/>
  <c r="I1222" i="33"/>
  <c r="I1182" i="33"/>
  <c r="I3484" i="33"/>
  <c r="I4658" i="33"/>
  <c r="I1219" i="33"/>
  <c r="I9257" i="33"/>
  <c r="I4266" i="33"/>
  <c r="I3819" i="33"/>
  <c r="I3480" i="33"/>
  <c r="I4920" i="33"/>
  <c r="I3597" i="33"/>
  <c r="I5003" i="33"/>
  <c r="I2547" i="33"/>
  <c r="I5728" i="33"/>
  <c r="I1486" i="33"/>
  <c r="I1188" i="33"/>
  <c r="I259" i="33"/>
  <c r="I7664" i="33"/>
  <c r="I4863" i="33"/>
  <c r="I1689" i="33"/>
  <c r="I4673" i="33"/>
  <c r="I1435" i="33"/>
  <c r="I7134" i="33"/>
  <c r="I4247" i="33"/>
  <c r="I5658" i="33"/>
  <c r="I5043" i="33"/>
  <c r="I3102" i="33"/>
  <c r="I9276" i="33"/>
  <c r="I5636" i="33"/>
  <c r="I9096" i="33"/>
</calcChain>
</file>

<file path=xl/comments1.xml><?xml version="1.0" encoding="utf-8"?>
<comments xmlns="http://schemas.openxmlformats.org/spreadsheetml/2006/main">
  <authors>
    <author>Patricia González Vallejo</author>
  </authors>
  <commentList>
    <comment ref="E68" authorId="0" shapeId="0">
      <text>
        <r>
          <rPr>
            <b/>
            <sz val="9"/>
            <color indexed="81"/>
            <rFont val="Tahoma"/>
            <family val="2"/>
          </rPr>
          <t>Patricia González Vallejo:</t>
        </r>
        <r>
          <rPr>
            <sz val="9"/>
            <color indexed="81"/>
            <rFont val="Tahoma"/>
            <family val="2"/>
          </rPr>
          <t xml:space="preserve">
en esta columna se introduce nº plantas o nº ascensores o superficie de rampa o nº porteros electrónicos
</t>
        </r>
      </text>
    </comment>
  </commentList>
</comments>
</file>

<file path=xl/comments2.xml><?xml version="1.0" encoding="utf-8"?>
<comments xmlns="http://schemas.openxmlformats.org/spreadsheetml/2006/main">
  <authors>
    <author>Usuario</author>
  </authors>
  <commentList>
    <comment ref="B29" authorId="0" shapeId="0">
      <text>
        <r>
          <rPr>
            <b/>
            <sz val="9"/>
            <color indexed="81"/>
            <rFont val="Tahoma"/>
            <family val="2"/>
          </rPr>
          <t xml:space="preserve">Dée:
</t>
        </r>
        <r>
          <rPr>
            <sz val="9"/>
            <color indexed="81"/>
            <rFont val="Tahoma"/>
            <family val="2"/>
          </rPr>
          <t>NUEVO precio. Alternativa de material de aislamiento. Lana de Oveja:</t>
        </r>
        <r>
          <rPr>
            <b/>
            <sz val="9"/>
            <color indexed="81"/>
            <rFont val="Tahoma"/>
            <family val="2"/>
          </rPr>
          <t xml:space="preserve">
</t>
        </r>
        <r>
          <rPr>
            <sz val="9"/>
            <color indexed="81"/>
            <rFont val="Tahoma"/>
            <family val="2"/>
          </rPr>
          <t>06RLR96013. REHABILITACIÓN ENERGÉTICA FACHADA POR EL EXT. LANA OVEJA, VENT. PLACA Y REPARACIÓN DE GRIETAS EN MURO DE CARGA</t>
        </r>
      </text>
    </comment>
    <comment ref="B43"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44"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52" authorId="0" shapeId="0">
      <text>
        <r>
          <rPr>
            <b/>
            <sz val="9"/>
            <color indexed="81"/>
            <rFont val="Tahoma"/>
            <family val="2"/>
          </rPr>
          <t>Dée:</t>
        </r>
        <r>
          <rPr>
            <sz val="9"/>
            <color indexed="81"/>
            <rFont val="Tahoma"/>
            <family val="2"/>
          </rPr>
          <t xml:space="preserve">
NUEVO precio. Alternativa de material de aislamiento. Lana de Oveja:
07RIR80551. REHABILITACIÓN ENERGÉTICA POR EL EXT. DE CUBIERTA INCLINADA DE TEJAS CURVAS, LÁMINA EPDM 1,2 MM Y LÁMINA DE OVEJA 60 MM</t>
        </r>
      </text>
    </comment>
    <comment ref="B57" authorId="0" shapeId="0">
      <text>
        <r>
          <rPr>
            <b/>
            <sz val="9"/>
            <color indexed="81"/>
            <rFont val="Tahoma"/>
            <family val="2"/>
          </rPr>
          <t xml:space="preserve">Dée:
</t>
        </r>
        <r>
          <rPr>
            <sz val="9"/>
            <color indexed="81"/>
            <rFont val="Tahoma"/>
            <family val="2"/>
          </rPr>
          <t>No hay precio de reparación de ramate</t>
        </r>
      </text>
    </comment>
    <comment ref="B76" authorId="0" shapeId="0">
      <text>
        <r>
          <rPr>
            <b/>
            <sz val="9"/>
            <color indexed="81"/>
            <rFont val="Tahoma"/>
            <family val="2"/>
          </rPr>
          <t>Dée:</t>
        </r>
        <r>
          <rPr>
            <sz val="9"/>
            <color indexed="81"/>
            <rFont val="Tahoma"/>
            <family val="2"/>
          </rPr>
          <t xml:space="preserve">
Eliminar </t>
        </r>
        <r>
          <rPr>
            <u/>
            <sz val="9"/>
            <color indexed="81"/>
            <rFont val="Tahoma"/>
            <family val="2"/>
          </rPr>
          <t>PVC</t>
        </r>
        <r>
          <rPr>
            <sz val="9"/>
            <color indexed="81"/>
            <rFont val="Tahoma"/>
            <family val="2"/>
          </rPr>
          <t xml:space="preserve"> de la descripción del pesplegable. Pat:ELIMINADO</t>
        </r>
      </text>
    </comment>
    <comment ref="B81" authorId="0" shapeId="0">
      <text>
        <r>
          <rPr>
            <b/>
            <sz val="9"/>
            <color indexed="81"/>
            <rFont val="Tahoma"/>
            <family val="2"/>
          </rPr>
          <t>Dée:</t>
        </r>
        <r>
          <rPr>
            <sz val="9"/>
            <color indexed="81"/>
            <rFont val="Tahoma"/>
            <family val="2"/>
          </rPr>
          <t xml:space="preserve">
Eliminar PVC de la descripción del pesplegable</t>
        </r>
      </text>
    </comment>
  </commentList>
</comments>
</file>

<file path=xl/comments3.xml><?xml version="1.0" encoding="utf-8"?>
<comments xmlns="http://schemas.openxmlformats.org/spreadsheetml/2006/main">
  <authors>
    <author>Autor</author>
  </authors>
  <commentList>
    <comment ref="DJ121" authorId="0" shapeId="0">
      <text>
        <r>
          <rPr>
            <b/>
            <sz val="9"/>
            <color indexed="81"/>
            <rFont val="Tahoma"/>
            <family val="2"/>
          </rPr>
          <t>Autor:</t>
        </r>
        <r>
          <rPr>
            <sz val="9"/>
            <color indexed="81"/>
            <rFont val="Tahoma"/>
            <family val="2"/>
          </rPr>
          <t xml:space="preserve">
Para que corresponadan con las 10 tipologías más construidas en España del 2007 a 2010, tienen 2 plantas de sótanos
</t>
        </r>
      </text>
    </comment>
  </commentList>
</comments>
</file>

<file path=xl/comments4.xml><?xml version="1.0" encoding="utf-8"?>
<comments xmlns="http://schemas.openxmlformats.org/spreadsheetml/2006/main">
  <authors>
    <author>Patricia González Vallejo</author>
  </authors>
  <commentList>
    <comment ref="D40" authorId="0" shapeId="0">
      <text>
        <r>
          <rPr>
            <b/>
            <sz val="9"/>
            <color indexed="81"/>
            <rFont val="Tahoma"/>
            <family val="2"/>
          </rPr>
          <t>Patricia González Vallejo:</t>
        </r>
        <r>
          <rPr>
            <sz val="9"/>
            <color indexed="81"/>
            <rFont val="Tahoma"/>
            <family val="2"/>
          </rPr>
          <t xml:space="preserve">
S/FREIRE 25 M2</t>
        </r>
      </text>
    </comment>
    <comment ref="D41" authorId="0" shapeId="0">
      <text>
        <r>
          <rPr>
            <b/>
            <sz val="9"/>
            <color indexed="81"/>
            <rFont val="Tahoma"/>
            <family val="2"/>
          </rPr>
          <t>Patricia González Vallejo:</t>
        </r>
        <r>
          <rPr>
            <sz val="9"/>
            <color indexed="81"/>
            <rFont val="Tahoma"/>
            <family val="2"/>
          </rPr>
          <t xml:space="preserve">
2m2 por trabajador.s/FREIRE no contabilizado
</t>
        </r>
      </text>
    </comment>
    <comment ref="D42" authorId="0" shapeId="0">
      <text>
        <r>
          <rPr>
            <b/>
            <sz val="9"/>
            <color indexed="81"/>
            <rFont val="Tahoma"/>
            <family val="2"/>
          </rPr>
          <t>Patricia González Vallejo:</t>
        </r>
        <r>
          <rPr>
            <sz val="9"/>
            <color indexed="81"/>
            <rFont val="Tahoma"/>
            <family val="2"/>
          </rPr>
          <t xml:space="preserve">
1,2 m2 por trabajador. S/Freire no contabilizado
</t>
        </r>
      </text>
    </comment>
  </commentList>
</comments>
</file>

<file path=xl/comments5.xml><?xml version="1.0" encoding="utf-8"?>
<comments xmlns="http://schemas.openxmlformats.org/spreadsheetml/2006/main">
  <authors>
    <author>Patricia González Vallejo</author>
  </authors>
  <commentList>
    <comment ref="A14" authorId="0" shapeId="0">
      <text>
        <r>
          <rPr>
            <b/>
            <sz val="9"/>
            <color indexed="81"/>
            <rFont val="Tahoma"/>
            <family val="2"/>
          </rPr>
          <t>Patricia González Vallejo:</t>
        </r>
        <r>
          <rPr>
            <sz val="9"/>
            <color indexed="81"/>
            <rFont val="Tahoma"/>
            <family val="2"/>
          </rPr>
          <t xml:space="preserve">
precio nuevo no existe en BCCA</t>
        </r>
      </text>
    </comment>
    <comment ref="A52" authorId="0" shapeId="0">
      <text>
        <r>
          <rPr>
            <b/>
            <sz val="9"/>
            <color indexed="81"/>
            <rFont val="Tahoma"/>
            <family val="2"/>
          </rPr>
          <t>Patricia González Vallejo:</t>
        </r>
        <r>
          <rPr>
            <sz val="9"/>
            <color indexed="81"/>
            <rFont val="Tahoma"/>
            <family val="2"/>
          </rPr>
          <t xml:space="preserve">
precio nuevo no existe en BCCA</t>
        </r>
      </text>
    </comment>
    <comment ref="A69" authorId="0" shapeId="0">
      <text>
        <r>
          <rPr>
            <b/>
            <sz val="9"/>
            <color indexed="81"/>
            <rFont val="Tahoma"/>
            <family val="2"/>
          </rPr>
          <t>Patricia González Vallejo:</t>
        </r>
        <r>
          <rPr>
            <sz val="9"/>
            <color indexed="81"/>
            <rFont val="Tahoma"/>
            <family val="2"/>
          </rPr>
          <t xml:space="preserve">
precio nuevo no existe en BCCA</t>
        </r>
      </text>
    </comment>
    <comment ref="A86" authorId="0" shapeId="0">
      <text>
        <r>
          <rPr>
            <b/>
            <sz val="9"/>
            <color indexed="81"/>
            <rFont val="Tahoma"/>
            <family val="2"/>
          </rPr>
          <t>Patricia González Vallejo:</t>
        </r>
        <r>
          <rPr>
            <sz val="9"/>
            <color indexed="81"/>
            <rFont val="Tahoma"/>
            <family val="2"/>
          </rPr>
          <t xml:space="preserve">
precio nuevo no existe en BCCA</t>
        </r>
      </text>
    </comment>
    <comment ref="A103" authorId="0" shapeId="0">
      <text>
        <r>
          <rPr>
            <b/>
            <sz val="9"/>
            <color indexed="81"/>
            <rFont val="Tahoma"/>
            <family val="2"/>
          </rPr>
          <t>Patricia González Vallejo:</t>
        </r>
        <r>
          <rPr>
            <sz val="9"/>
            <color indexed="81"/>
            <rFont val="Tahoma"/>
            <family val="2"/>
          </rPr>
          <t xml:space="preserve">
precio nuevo no existe en BCCA</t>
        </r>
      </text>
    </comment>
    <comment ref="A120" authorId="0" shapeId="0">
      <text>
        <r>
          <rPr>
            <b/>
            <sz val="9"/>
            <color indexed="81"/>
            <rFont val="Tahoma"/>
            <family val="2"/>
          </rPr>
          <t>Patricia González Vallejo:</t>
        </r>
        <r>
          <rPr>
            <sz val="9"/>
            <color indexed="81"/>
            <rFont val="Tahoma"/>
            <family val="2"/>
          </rPr>
          <t xml:space="preserve">
precio nuevo no existe en BCCA</t>
        </r>
      </text>
    </comment>
    <comment ref="A137" authorId="0" shapeId="0">
      <text>
        <r>
          <rPr>
            <b/>
            <sz val="9"/>
            <color indexed="81"/>
            <rFont val="Tahoma"/>
            <family val="2"/>
          </rPr>
          <t>Patricia González Vallejo:</t>
        </r>
        <r>
          <rPr>
            <sz val="9"/>
            <color indexed="81"/>
            <rFont val="Tahoma"/>
            <family val="2"/>
          </rPr>
          <t xml:space="preserve">
precio nuevo no existe en BCCA</t>
        </r>
      </text>
    </comment>
    <comment ref="A154" authorId="0" shapeId="0">
      <text>
        <r>
          <rPr>
            <b/>
            <sz val="9"/>
            <color indexed="81"/>
            <rFont val="Tahoma"/>
            <family val="2"/>
          </rPr>
          <t>Patricia González Vallejo:</t>
        </r>
        <r>
          <rPr>
            <sz val="9"/>
            <color indexed="81"/>
            <rFont val="Tahoma"/>
            <family val="2"/>
          </rPr>
          <t xml:space="preserve">
precio nuevo no existe en BCCA</t>
        </r>
      </text>
    </comment>
    <comment ref="A171" authorId="0" shapeId="0">
      <text>
        <r>
          <rPr>
            <b/>
            <sz val="9"/>
            <color indexed="81"/>
            <rFont val="Tahoma"/>
            <family val="2"/>
          </rPr>
          <t>Patricia González Vallejo:</t>
        </r>
        <r>
          <rPr>
            <sz val="9"/>
            <color indexed="81"/>
            <rFont val="Tahoma"/>
            <family val="2"/>
          </rPr>
          <t xml:space="preserve">
precio nuevo no existe en BCCA</t>
        </r>
      </text>
    </comment>
    <comment ref="A190" authorId="0" shapeId="0">
      <text>
        <r>
          <rPr>
            <b/>
            <sz val="9"/>
            <color indexed="81"/>
            <rFont val="Tahoma"/>
            <family val="2"/>
          </rPr>
          <t>Patricia González Vallejo:</t>
        </r>
        <r>
          <rPr>
            <sz val="9"/>
            <color indexed="81"/>
            <rFont val="Tahoma"/>
            <family val="2"/>
          </rPr>
          <t xml:space="preserve">
precio nuevo no existe en BCCA</t>
        </r>
      </text>
    </comment>
    <comment ref="A208" authorId="0" shapeId="0">
      <text>
        <r>
          <rPr>
            <b/>
            <sz val="9"/>
            <color indexed="81"/>
            <rFont val="Tahoma"/>
            <family val="2"/>
          </rPr>
          <t>Patricia González Vallejo:</t>
        </r>
        <r>
          <rPr>
            <sz val="9"/>
            <color indexed="81"/>
            <rFont val="Tahoma"/>
            <family val="2"/>
          </rPr>
          <t xml:space="preserve">
precio nuevo no existe en BCCA</t>
        </r>
      </text>
    </comment>
    <comment ref="A227" authorId="0" shapeId="0">
      <text>
        <r>
          <rPr>
            <b/>
            <sz val="9"/>
            <color indexed="81"/>
            <rFont val="Tahoma"/>
            <family val="2"/>
          </rPr>
          <t>Patricia González Vallejo:</t>
        </r>
        <r>
          <rPr>
            <sz val="9"/>
            <color indexed="81"/>
            <rFont val="Tahoma"/>
            <family val="2"/>
          </rPr>
          <t xml:space="preserve">
precio nuevo no existe en BCCA</t>
        </r>
      </text>
    </comment>
  </commentList>
</comments>
</file>

<file path=xl/comments6.xml><?xml version="1.0" encoding="utf-8"?>
<comments xmlns="http://schemas.openxmlformats.org/spreadsheetml/2006/main">
  <authors>
    <author>Patricia González Vallejo</author>
    <author>Usuario</author>
    <author>Autor</author>
  </authors>
  <commentList>
    <comment ref="K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AV32" authorId="2" shapeId="0">
      <text>
        <r>
          <rPr>
            <b/>
            <sz val="9"/>
            <color indexed="81"/>
            <rFont val="Tahoma"/>
            <family val="2"/>
          </rPr>
          <t>Autor:</t>
        </r>
        <r>
          <rPr>
            <sz val="9"/>
            <color indexed="81"/>
            <rFont val="Tahoma"/>
            <family val="2"/>
          </rPr>
          <t xml:space="preserve">
según tesis Jaime densidad entre 0.5-1.5 T/m3. Consideramos valor de 1
</t>
        </r>
      </text>
    </comment>
    <comment ref="AV33" authorId="2" shapeId="0">
      <text>
        <r>
          <rPr>
            <b/>
            <sz val="9"/>
            <color indexed="81"/>
            <rFont val="Tahoma"/>
            <family val="2"/>
          </rPr>
          <t>Autor:</t>
        </r>
        <r>
          <rPr>
            <sz val="9"/>
            <color indexed="81"/>
            <rFont val="Tahoma"/>
            <family val="2"/>
          </rPr>
          <t xml:space="preserve">
según tesis Jaime densidad entre 0.5-1.5 T/m3. Consideramos valor de 1
</t>
        </r>
      </text>
    </comment>
    <comment ref="AV40" authorId="2" shapeId="0">
      <text>
        <r>
          <rPr>
            <b/>
            <sz val="9"/>
            <color indexed="81"/>
            <rFont val="Tahoma"/>
            <family val="2"/>
          </rPr>
          <t>Autor:</t>
        </r>
        <r>
          <rPr>
            <sz val="9"/>
            <color indexed="81"/>
            <rFont val="Tahoma"/>
            <family val="2"/>
          </rPr>
          <t xml:space="preserve">
considerando ida y vuelta= 10km*2
</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K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77" authorId="1" shapeId="0">
      <text>
        <r>
          <rPr>
            <b/>
            <sz val="9"/>
            <color indexed="81"/>
            <rFont val="Tahoma"/>
            <family val="2"/>
          </rPr>
          <t>¿¿ELIMINAR??</t>
        </r>
        <r>
          <rPr>
            <sz val="9"/>
            <color indexed="81"/>
            <rFont val="Tahoma"/>
            <family val="2"/>
          </rPr>
          <t xml:space="preserve">
Estimo acometida de 4x120 aluminio
</t>
        </r>
      </text>
    </comment>
    <comment ref="K8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0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1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2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3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38" authorId="1" shapeId="0">
      <text>
        <r>
          <rPr>
            <sz val="9"/>
            <color indexed="81"/>
            <rFont val="Tahoma"/>
            <family val="2"/>
          </rPr>
          <t>El elemento está en el banco pero no con este código:</t>
        </r>
        <r>
          <rPr>
            <b/>
            <sz val="9"/>
            <color indexed="81"/>
            <rFont val="Tahoma"/>
            <family val="2"/>
          </rPr>
          <t xml:space="preserve">
IC37900</t>
        </r>
      </text>
    </comment>
    <comment ref="C139" authorId="1" shapeId="0">
      <text>
        <r>
          <rPr>
            <sz val="9"/>
            <color indexed="81"/>
            <rFont val="Tahoma"/>
            <family val="2"/>
          </rPr>
          <t>El elemento está en el banco pero no con este código:</t>
        </r>
        <r>
          <rPr>
            <b/>
            <sz val="9"/>
            <color indexed="81"/>
            <rFont val="Tahoma"/>
            <family val="2"/>
          </rPr>
          <t xml:space="preserve">
IC38100</t>
        </r>
      </text>
    </comment>
    <comment ref="K16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7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72" authorId="1" shapeId="0">
      <text>
        <r>
          <rPr>
            <sz val="9"/>
            <color indexed="81"/>
            <rFont val="Tahoma"/>
            <family val="2"/>
          </rPr>
          <t>2 filas de 1,5 metros de 20 cm de diametro y 1 cm de espesor</t>
        </r>
      </text>
    </comment>
    <comment ref="K1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80" authorId="1" shapeId="0">
      <text>
        <r>
          <rPr>
            <b/>
            <sz val="9"/>
            <color indexed="81"/>
            <rFont val="Tahoma"/>
            <family val="2"/>
          </rPr>
          <t xml:space="preserve">HORMIGÓN + ACERO
</t>
        </r>
        <r>
          <rPr>
            <sz val="9"/>
            <color indexed="81"/>
            <rFont val="Tahoma"/>
            <family val="2"/>
          </rPr>
          <t>En cuanto a volumen y peso tiene mucho hormigón que acero.</t>
        </r>
      </text>
    </comment>
    <comment ref="K18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93" authorId="1" shapeId="0">
      <text>
        <r>
          <rPr>
            <b/>
            <sz val="9"/>
            <color indexed="81"/>
            <rFont val="Tahoma"/>
            <family val="2"/>
          </rPr>
          <t>No está en el banco</t>
        </r>
      </text>
    </comment>
    <comment ref="K2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G205" authorId="0" shapeId="0">
      <text>
        <r>
          <rPr>
            <b/>
            <sz val="9"/>
            <color indexed="81"/>
            <rFont val="Tahoma"/>
            <family val="2"/>
          </rPr>
          <t>Patricia González Vallejo:</t>
        </r>
        <r>
          <rPr>
            <sz val="9"/>
            <color indexed="81"/>
            <rFont val="Tahoma"/>
            <family val="2"/>
          </rPr>
          <t xml:space="preserve">
DATO BEDEC VENTANA BA1115E5
</t>
        </r>
      </text>
    </comment>
    <comment ref="K21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1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3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4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249" authorId="1" shapeId="0">
      <text>
        <r>
          <rPr>
            <b/>
            <sz val="9"/>
            <color indexed="81"/>
            <rFont val="Tahoma"/>
            <family val="2"/>
          </rPr>
          <t>Usuario:</t>
        </r>
        <r>
          <rPr>
            <sz val="9"/>
            <color indexed="81"/>
            <rFont val="Tahoma"/>
            <family val="2"/>
          </rPr>
          <t xml:space="preserve">
comprobar datos y codigo BCCA, SW00900 es una válvula</t>
        </r>
      </text>
    </comment>
    <comment ref="K25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9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12" authorId="1" shapeId="0">
      <text>
        <r>
          <rPr>
            <sz val="9"/>
            <color indexed="81"/>
            <rFont val="Tahoma"/>
            <family val="2"/>
          </rPr>
          <t>NO ESTÁ EN EL BANCO.</t>
        </r>
        <r>
          <rPr>
            <b/>
            <sz val="9"/>
            <color indexed="81"/>
            <rFont val="Tahoma"/>
            <family val="2"/>
          </rPr>
          <t xml:space="preserve">
17 g/m2 ¿¿??</t>
        </r>
      </text>
    </comment>
    <comment ref="C313" authorId="1" shapeId="0">
      <text>
        <r>
          <rPr>
            <b/>
            <sz val="9"/>
            <color indexed="81"/>
            <rFont val="Tahoma"/>
            <family val="2"/>
          </rPr>
          <t>Usuario:</t>
        </r>
        <r>
          <rPr>
            <sz val="9"/>
            <color indexed="81"/>
            <rFont val="Tahoma"/>
            <family val="2"/>
          </rPr>
          <t xml:space="preserve">
Comrpobar diámetro con código…en BCCA es 13mm</t>
        </r>
      </text>
    </comment>
    <comment ref="BS319" authorId="2" shapeId="0">
      <text>
        <r>
          <rPr>
            <b/>
            <sz val="9"/>
            <color indexed="81"/>
            <rFont val="Tahoma"/>
            <family val="2"/>
          </rPr>
          <t>Autor:</t>
        </r>
        <r>
          <rPr>
            <sz val="9"/>
            <color indexed="81"/>
            <rFont val="Tahoma"/>
            <family val="2"/>
          </rPr>
          <t xml:space="preserve">
factor de productividad mundial de absorción carbono
</t>
        </r>
      </text>
    </comment>
    <comment ref="BT319" authorId="2" shapeId="0">
      <text>
        <r>
          <rPr>
            <b/>
            <sz val="9"/>
            <color indexed="81"/>
            <rFont val="Tahoma"/>
            <family val="2"/>
          </rPr>
          <t>Autor:</t>
        </r>
        <r>
          <rPr>
            <sz val="9"/>
            <color indexed="81"/>
            <rFont val="Tahoma"/>
            <family val="2"/>
          </rPr>
          <t xml:space="preserve">
factor de productividad mundial de absorción carbono
</t>
        </r>
      </text>
    </comment>
    <comment ref="K32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2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3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36" authorId="1" shapeId="0">
      <text>
        <r>
          <rPr>
            <b/>
            <sz val="9"/>
            <color indexed="81"/>
            <rFont val="Tahoma"/>
            <family val="2"/>
          </rPr>
          <t>No clasificable</t>
        </r>
      </text>
    </comment>
    <comment ref="C342" authorId="1" shapeId="0">
      <text>
        <r>
          <rPr>
            <b/>
            <sz val="9"/>
            <color indexed="81"/>
            <rFont val="Tahoma"/>
            <family val="2"/>
          </rPr>
          <t>No está en el banco</t>
        </r>
      </text>
    </comment>
    <comment ref="E364" authorId="2" shapeId="0">
      <text>
        <r>
          <rPr>
            <b/>
            <sz val="9"/>
            <color indexed="81"/>
            <rFont val="Tahoma"/>
            <family val="2"/>
          </rPr>
          <t>Autor:</t>
        </r>
        <r>
          <rPr>
            <sz val="9"/>
            <color indexed="81"/>
            <rFont val="Tahoma"/>
            <family val="2"/>
          </rPr>
          <t xml:space="preserve">
factor de productividad mundial de absorción carbono
</t>
        </r>
      </text>
    </comment>
    <comment ref="S379" authorId="2" shapeId="0">
      <text>
        <r>
          <rPr>
            <b/>
            <sz val="9"/>
            <color indexed="81"/>
            <rFont val="Tahoma"/>
            <family val="2"/>
          </rPr>
          <t>Autor:</t>
        </r>
        <r>
          <rPr>
            <sz val="9"/>
            <color indexed="81"/>
            <rFont val="Tahoma"/>
            <family val="2"/>
          </rPr>
          <t xml:space="preserve">
factor de productividad mundial de absorción carbono
</t>
        </r>
      </text>
    </comment>
    <comment ref="E380" authorId="2" shapeId="0">
      <text>
        <r>
          <rPr>
            <b/>
            <sz val="9"/>
            <color indexed="81"/>
            <rFont val="Tahoma"/>
            <family val="2"/>
          </rPr>
          <t>Autor:</t>
        </r>
        <r>
          <rPr>
            <sz val="9"/>
            <color indexed="81"/>
            <rFont val="Tahoma"/>
            <family val="2"/>
          </rPr>
          <t xml:space="preserve">
factor de productividad mundial de absorción carbono
</t>
        </r>
      </text>
    </comment>
    <comment ref="E396" authorId="2" shapeId="0">
      <text>
        <r>
          <rPr>
            <b/>
            <sz val="9"/>
            <color indexed="81"/>
            <rFont val="Tahoma"/>
            <family val="2"/>
          </rPr>
          <t>Autor:</t>
        </r>
        <r>
          <rPr>
            <sz val="9"/>
            <color indexed="81"/>
            <rFont val="Tahoma"/>
            <family val="2"/>
          </rPr>
          <t xml:space="preserve">
factor de productividad mundial de absorción carbono
</t>
        </r>
      </text>
    </comment>
    <comment ref="E412" authorId="2" shapeId="0">
      <text>
        <r>
          <rPr>
            <b/>
            <sz val="9"/>
            <color indexed="81"/>
            <rFont val="Tahoma"/>
            <family val="2"/>
          </rPr>
          <t>Autor:</t>
        </r>
        <r>
          <rPr>
            <sz val="9"/>
            <color indexed="81"/>
            <rFont val="Tahoma"/>
            <family val="2"/>
          </rPr>
          <t xml:space="preserve">
factor de productividad mundial de absorción carbono
</t>
        </r>
      </text>
    </comment>
    <comment ref="E427" authorId="2" shapeId="0">
      <text>
        <r>
          <rPr>
            <b/>
            <sz val="9"/>
            <color indexed="81"/>
            <rFont val="Tahoma"/>
            <family val="2"/>
          </rPr>
          <t>Autor:</t>
        </r>
        <r>
          <rPr>
            <sz val="9"/>
            <color indexed="81"/>
            <rFont val="Tahoma"/>
            <family val="2"/>
          </rPr>
          <t xml:space="preserve">
factor de productividad mundial de absorción carbono
</t>
        </r>
      </text>
    </comment>
    <comment ref="E443" authorId="2" shapeId="0">
      <text>
        <r>
          <rPr>
            <b/>
            <sz val="9"/>
            <color indexed="81"/>
            <rFont val="Tahoma"/>
            <family val="2"/>
          </rPr>
          <t>Autor:</t>
        </r>
        <r>
          <rPr>
            <sz val="9"/>
            <color indexed="81"/>
            <rFont val="Tahoma"/>
            <family val="2"/>
          </rPr>
          <t xml:space="preserve">
factor de productividad mundial de absorción carbono
</t>
        </r>
      </text>
    </comment>
    <comment ref="E458" authorId="2" shapeId="0">
      <text>
        <r>
          <rPr>
            <b/>
            <sz val="9"/>
            <color indexed="81"/>
            <rFont val="Tahoma"/>
            <family val="2"/>
          </rPr>
          <t>Autor:</t>
        </r>
        <r>
          <rPr>
            <sz val="9"/>
            <color indexed="81"/>
            <rFont val="Tahoma"/>
            <family val="2"/>
          </rPr>
          <t xml:space="preserve">
factor de productividad mundial de absorción carbono
</t>
        </r>
      </text>
    </comment>
    <comment ref="E474" authorId="2" shapeId="0">
      <text>
        <r>
          <rPr>
            <b/>
            <sz val="9"/>
            <color indexed="81"/>
            <rFont val="Tahoma"/>
            <family val="2"/>
          </rPr>
          <t>Autor:</t>
        </r>
        <r>
          <rPr>
            <sz val="9"/>
            <color indexed="81"/>
            <rFont val="Tahoma"/>
            <family val="2"/>
          </rPr>
          <t xml:space="preserve">
factor de productividad mundial de absorción carbono
</t>
        </r>
      </text>
    </comment>
    <comment ref="E489" authorId="2" shapeId="0">
      <text>
        <r>
          <rPr>
            <b/>
            <sz val="9"/>
            <color indexed="81"/>
            <rFont val="Tahoma"/>
            <family val="2"/>
          </rPr>
          <t>Autor:</t>
        </r>
        <r>
          <rPr>
            <sz val="9"/>
            <color indexed="81"/>
            <rFont val="Tahoma"/>
            <family val="2"/>
          </rPr>
          <t xml:space="preserve">
factor de productividad mundial de absorción carbono
</t>
        </r>
      </text>
    </comment>
    <comment ref="E504" authorId="2" shapeId="0">
      <text>
        <r>
          <rPr>
            <b/>
            <sz val="9"/>
            <color indexed="81"/>
            <rFont val="Tahoma"/>
            <family val="2"/>
          </rPr>
          <t>Autor:</t>
        </r>
        <r>
          <rPr>
            <sz val="9"/>
            <color indexed="81"/>
            <rFont val="Tahoma"/>
            <family val="2"/>
          </rPr>
          <t xml:space="preserve">
factor de productividad mundial de absorción carbono
</t>
        </r>
      </text>
    </comment>
    <comment ref="E520" authorId="2" shapeId="0">
      <text>
        <r>
          <rPr>
            <b/>
            <sz val="9"/>
            <color indexed="81"/>
            <rFont val="Tahoma"/>
            <family val="2"/>
          </rPr>
          <t>Autor:</t>
        </r>
        <r>
          <rPr>
            <sz val="9"/>
            <color indexed="81"/>
            <rFont val="Tahoma"/>
            <family val="2"/>
          </rPr>
          <t xml:space="preserve">
factor de productividad mundial de absorción carbono
</t>
        </r>
      </text>
    </comment>
    <comment ref="E536" authorId="2" shapeId="0">
      <text>
        <r>
          <rPr>
            <b/>
            <sz val="9"/>
            <color indexed="81"/>
            <rFont val="Tahoma"/>
            <family val="2"/>
          </rPr>
          <t>Autor:</t>
        </r>
        <r>
          <rPr>
            <sz val="9"/>
            <color indexed="81"/>
            <rFont val="Tahoma"/>
            <family val="2"/>
          </rPr>
          <t xml:space="preserve">
factor de productividad mundial de absorción carbono
</t>
        </r>
      </text>
    </comment>
    <comment ref="E551" authorId="2" shapeId="0">
      <text>
        <r>
          <rPr>
            <b/>
            <sz val="9"/>
            <color indexed="81"/>
            <rFont val="Tahoma"/>
            <family val="2"/>
          </rPr>
          <t>Autor:</t>
        </r>
        <r>
          <rPr>
            <sz val="9"/>
            <color indexed="81"/>
            <rFont val="Tahoma"/>
            <family val="2"/>
          </rPr>
          <t xml:space="preserve">
factor de productividad mundial de absorción carbono
</t>
        </r>
      </text>
    </comment>
    <comment ref="E567" authorId="2" shapeId="0">
      <text>
        <r>
          <rPr>
            <b/>
            <sz val="9"/>
            <color indexed="81"/>
            <rFont val="Tahoma"/>
            <family val="2"/>
          </rPr>
          <t>Autor:</t>
        </r>
        <r>
          <rPr>
            <sz val="9"/>
            <color indexed="81"/>
            <rFont val="Tahoma"/>
            <family val="2"/>
          </rPr>
          <t xml:space="preserve">
factor de productividad mundial de absorción carbono
</t>
        </r>
      </text>
    </comment>
    <comment ref="E583" authorId="2" shapeId="0">
      <text>
        <r>
          <rPr>
            <b/>
            <sz val="9"/>
            <color indexed="81"/>
            <rFont val="Tahoma"/>
            <family val="2"/>
          </rPr>
          <t>Autor:</t>
        </r>
        <r>
          <rPr>
            <sz val="9"/>
            <color indexed="81"/>
            <rFont val="Tahoma"/>
            <family val="2"/>
          </rPr>
          <t xml:space="preserve">
factor de productividad mundial de absorción carbono
</t>
        </r>
      </text>
    </comment>
    <comment ref="E599" authorId="2" shapeId="0">
      <text>
        <r>
          <rPr>
            <b/>
            <sz val="9"/>
            <color indexed="81"/>
            <rFont val="Tahoma"/>
            <family val="2"/>
          </rPr>
          <t>Autor:</t>
        </r>
        <r>
          <rPr>
            <sz val="9"/>
            <color indexed="81"/>
            <rFont val="Tahoma"/>
            <family val="2"/>
          </rPr>
          <t xml:space="preserve">
factor de productividad mundial de absorción carbono
</t>
        </r>
      </text>
    </comment>
    <comment ref="E615" authorId="2" shapeId="0">
      <text>
        <r>
          <rPr>
            <b/>
            <sz val="9"/>
            <color indexed="81"/>
            <rFont val="Tahoma"/>
            <family val="2"/>
          </rPr>
          <t>Autor:</t>
        </r>
        <r>
          <rPr>
            <sz val="9"/>
            <color indexed="81"/>
            <rFont val="Tahoma"/>
            <family val="2"/>
          </rPr>
          <t xml:space="preserve">
factor de productividad mundial de absorción carbono
</t>
        </r>
      </text>
    </comment>
    <comment ref="E630" authorId="2" shapeId="0">
      <text>
        <r>
          <rPr>
            <b/>
            <sz val="9"/>
            <color indexed="81"/>
            <rFont val="Tahoma"/>
            <family val="2"/>
          </rPr>
          <t>Autor:</t>
        </r>
        <r>
          <rPr>
            <sz val="9"/>
            <color indexed="81"/>
            <rFont val="Tahoma"/>
            <family val="2"/>
          </rPr>
          <t xml:space="preserve">
factor de productividad mundial de absorción carbono
</t>
        </r>
      </text>
    </comment>
    <comment ref="E646" authorId="2" shapeId="0">
      <text>
        <r>
          <rPr>
            <b/>
            <sz val="9"/>
            <color indexed="81"/>
            <rFont val="Tahoma"/>
            <family val="2"/>
          </rPr>
          <t>Autor:</t>
        </r>
        <r>
          <rPr>
            <sz val="9"/>
            <color indexed="81"/>
            <rFont val="Tahoma"/>
            <family val="2"/>
          </rPr>
          <t xml:space="preserve">
factor de productividad mundial de absorción carbono
</t>
        </r>
      </text>
    </comment>
    <comment ref="E662" authorId="2" shapeId="0">
      <text>
        <r>
          <rPr>
            <b/>
            <sz val="9"/>
            <color indexed="81"/>
            <rFont val="Tahoma"/>
            <family val="2"/>
          </rPr>
          <t>Autor:</t>
        </r>
        <r>
          <rPr>
            <sz val="9"/>
            <color indexed="81"/>
            <rFont val="Tahoma"/>
            <family val="2"/>
          </rPr>
          <t xml:space="preserve">
factor de productividad mundial de absorción carbono
</t>
        </r>
      </text>
    </comment>
    <comment ref="E678" authorId="2" shapeId="0">
      <text>
        <r>
          <rPr>
            <b/>
            <sz val="9"/>
            <color indexed="81"/>
            <rFont val="Tahoma"/>
            <family val="2"/>
          </rPr>
          <t>Autor:</t>
        </r>
        <r>
          <rPr>
            <sz val="9"/>
            <color indexed="81"/>
            <rFont val="Tahoma"/>
            <family val="2"/>
          </rPr>
          <t xml:space="preserve">
factor de productividad mundial de absorción carbono
</t>
        </r>
      </text>
    </comment>
    <comment ref="E693" authorId="2" shapeId="0">
      <text>
        <r>
          <rPr>
            <b/>
            <sz val="9"/>
            <color indexed="81"/>
            <rFont val="Tahoma"/>
            <family val="2"/>
          </rPr>
          <t>Autor:</t>
        </r>
        <r>
          <rPr>
            <sz val="9"/>
            <color indexed="81"/>
            <rFont val="Tahoma"/>
            <family val="2"/>
          </rPr>
          <t xml:space="preserve">
factor de productividad mundial de absorción carbono
</t>
        </r>
      </text>
    </comment>
    <comment ref="E710" authorId="2" shapeId="0">
      <text>
        <r>
          <rPr>
            <b/>
            <sz val="9"/>
            <color indexed="81"/>
            <rFont val="Tahoma"/>
            <family val="2"/>
          </rPr>
          <t>Autor:</t>
        </r>
        <r>
          <rPr>
            <sz val="9"/>
            <color indexed="81"/>
            <rFont val="Tahoma"/>
            <family val="2"/>
          </rPr>
          <t xml:space="preserve">
factor de productividad mundial de absorción carbono
</t>
        </r>
      </text>
    </comment>
    <comment ref="E727" authorId="2" shapeId="0">
      <text>
        <r>
          <rPr>
            <b/>
            <sz val="9"/>
            <color indexed="81"/>
            <rFont val="Tahoma"/>
            <family val="2"/>
          </rPr>
          <t>Autor:</t>
        </r>
        <r>
          <rPr>
            <sz val="9"/>
            <color indexed="81"/>
            <rFont val="Tahoma"/>
            <family val="2"/>
          </rPr>
          <t xml:space="preserve">
factor de productividad mundial de absorción carbono
</t>
        </r>
      </text>
    </comment>
    <comment ref="E744" authorId="2" shapeId="0">
      <text>
        <r>
          <rPr>
            <b/>
            <sz val="9"/>
            <color indexed="81"/>
            <rFont val="Tahoma"/>
            <family val="2"/>
          </rPr>
          <t>Autor:</t>
        </r>
        <r>
          <rPr>
            <sz val="9"/>
            <color indexed="81"/>
            <rFont val="Tahoma"/>
            <family val="2"/>
          </rPr>
          <t xml:space="preserve">
factor de productividad mundial de absorción carbono
</t>
        </r>
      </text>
    </comment>
    <comment ref="E761" authorId="2"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7.xml><?xml version="1.0" encoding="utf-8"?>
<comments xmlns="http://schemas.openxmlformats.org/spreadsheetml/2006/main">
  <authors>
    <author>Autor</author>
  </authors>
  <commentList>
    <comment ref="C186" authorId="0" shapeId="0">
      <text>
        <r>
          <rPr>
            <b/>
            <sz val="9"/>
            <color indexed="81"/>
            <rFont val="Tahoma"/>
            <family val="2"/>
          </rPr>
          <t>Autor:</t>
        </r>
        <r>
          <rPr>
            <sz val="9"/>
            <color indexed="81"/>
            <rFont val="Tahoma"/>
            <family val="2"/>
          </rPr>
          <t xml:space="preserve">
según tesis Jaime densidad entre 0.5-1.5 T/m3. Consideramos valor de 1
</t>
        </r>
      </text>
    </comment>
    <comment ref="C187" authorId="0" shapeId="0">
      <text>
        <r>
          <rPr>
            <b/>
            <sz val="9"/>
            <color indexed="81"/>
            <rFont val="Tahoma"/>
            <family val="2"/>
          </rPr>
          <t>Autor:</t>
        </r>
        <r>
          <rPr>
            <sz val="9"/>
            <color indexed="81"/>
            <rFont val="Tahoma"/>
            <family val="2"/>
          </rPr>
          <t xml:space="preserve">
según tesis Jaime densidad entre 0.5-1.5 T/m3. Consideramos valor de 1
</t>
        </r>
      </text>
    </comment>
    <comment ref="C194" authorId="0" shapeId="0">
      <text>
        <r>
          <rPr>
            <b/>
            <sz val="9"/>
            <color indexed="81"/>
            <rFont val="Tahoma"/>
            <family val="2"/>
          </rPr>
          <t>Autor:</t>
        </r>
        <r>
          <rPr>
            <sz val="9"/>
            <color indexed="81"/>
            <rFont val="Tahoma"/>
            <family val="2"/>
          </rPr>
          <t xml:space="preserve">
considerando ida y vuelta= 10km*2
</t>
        </r>
      </text>
    </comment>
    <comment ref="F199" authorId="0" shapeId="0">
      <text>
        <r>
          <rPr>
            <b/>
            <sz val="9"/>
            <color indexed="81"/>
            <rFont val="Tahoma"/>
            <family val="2"/>
          </rPr>
          <t>Autor:</t>
        </r>
        <r>
          <rPr>
            <sz val="9"/>
            <color indexed="81"/>
            <rFont val="Tahoma"/>
            <family val="2"/>
          </rPr>
          <t xml:space="preserve">
factor de productividad mundial de absorción carbono
</t>
        </r>
      </text>
    </comment>
    <comment ref="H199" authorId="0" shapeId="0">
      <text>
        <r>
          <rPr>
            <b/>
            <sz val="9"/>
            <color indexed="81"/>
            <rFont val="Tahoma"/>
            <family val="2"/>
          </rPr>
          <t>Autor:</t>
        </r>
        <r>
          <rPr>
            <sz val="9"/>
            <color indexed="81"/>
            <rFont val="Tahoma"/>
            <family val="2"/>
          </rPr>
          <t xml:space="preserve">
factor de productividad mundial de absorción carbono
</t>
        </r>
      </text>
    </comment>
    <comment ref="J199" authorId="0" shapeId="0">
      <text>
        <r>
          <rPr>
            <b/>
            <sz val="9"/>
            <color indexed="81"/>
            <rFont val="Tahoma"/>
            <family val="2"/>
          </rPr>
          <t>Autor:</t>
        </r>
        <r>
          <rPr>
            <sz val="9"/>
            <color indexed="81"/>
            <rFont val="Tahoma"/>
            <family val="2"/>
          </rPr>
          <t xml:space="preserve">
factor de productividad mundial de absorción carbono
</t>
        </r>
      </text>
    </comment>
    <comment ref="L199" authorId="0" shapeId="0">
      <text>
        <r>
          <rPr>
            <b/>
            <sz val="9"/>
            <color indexed="81"/>
            <rFont val="Tahoma"/>
            <family val="2"/>
          </rPr>
          <t>Autor:</t>
        </r>
        <r>
          <rPr>
            <sz val="9"/>
            <color indexed="81"/>
            <rFont val="Tahoma"/>
            <family val="2"/>
          </rPr>
          <t xml:space="preserve">
factor de productividad mundial de absorción carbono
</t>
        </r>
      </text>
    </comment>
    <comment ref="N199" authorId="0" shapeId="0">
      <text>
        <r>
          <rPr>
            <b/>
            <sz val="9"/>
            <color indexed="81"/>
            <rFont val="Tahoma"/>
            <family val="2"/>
          </rPr>
          <t>Autor:</t>
        </r>
        <r>
          <rPr>
            <sz val="9"/>
            <color indexed="81"/>
            <rFont val="Tahoma"/>
            <family val="2"/>
          </rPr>
          <t xml:space="preserve">
factor de productividad mundial de absorción carbono
</t>
        </r>
      </text>
    </comment>
    <comment ref="P199" authorId="0" shapeId="0">
      <text>
        <r>
          <rPr>
            <b/>
            <sz val="9"/>
            <color indexed="81"/>
            <rFont val="Tahoma"/>
            <family val="2"/>
          </rPr>
          <t>Autor:</t>
        </r>
        <r>
          <rPr>
            <sz val="9"/>
            <color indexed="81"/>
            <rFont val="Tahoma"/>
            <family val="2"/>
          </rPr>
          <t xml:space="preserve">
factor de productividad mundial de absorción carbono
</t>
        </r>
      </text>
    </comment>
    <comment ref="R199" authorId="0" shapeId="0">
      <text>
        <r>
          <rPr>
            <b/>
            <sz val="9"/>
            <color indexed="81"/>
            <rFont val="Tahoma"/>
            <family val="2"/>
          </rPr>
          <t>Autor:</t>
        </r>
        <r>
          <rPr>
            <sz val="9"/>
            <color indexed="81"/>
            <rFont val="Tahoma"/>
            <family val="2"/>
          </rPr>
          <t xml:space="preserve">
factor de productividad mundial de absorción carbono
</t>
        </r>
      </text>
    </comment>
    <comment ref="T199" authorId="0" shapeId="0">
      <text>
        <r>
          <rPr>
            <b/>
            <sz val="9"/>
            <color indexed="81"/>
            <rFont val="Tahoma"/>
            <family val="2"/>
          </rPr>
          <t>Autor:</t>
        </r>
        <r>
          <rPr>
            <sz val="9"/>
            <color indexed="81"/>
            <rFont val="Tahoma"/>
            <family val="2"/>
          </rPr>
          <t xml:space="preserve">
factor de productividad mundial de absorción carbono
</t>
        </r>
      </text>
    </comment>
    <comment ref="V199" authorId="0" shapeId="0">
      <text>
        <r>
          <rPr>
            <b/>
            <sz val="9"/>
            <color indexed="81"/>
            <rFont val="Tahoma"/>
            <family val="2"/>
          </rPr>
          <t>Autor:</t>
        </r>
        <r>
          <rPr>
            <sz val="9"/>
            <color indexed="81"/>
            <rFont val="Tahoma"/>
            <family val="2"/>
          </rPr>
          <t xml:space="preserve">
factor de productividad mundial de absorción carbono
</t>
        </r>
      </text>
    </comment>
    <comment ref="X199" authorId="0" shapeId="0">
      <text>
        <r>
          <rPr>
            <b/>
            <sz val="9"/>
            <color indexed="81"/>
            <rFont val="Tahoma"/>
            <family val="2"/>
          </rPr>
          <t>Autor:</t>
        </r>
        <r>
          <rPr>
            <sz val="9"/>
            <color indexed="81"/>
            <rFont val="Tahoma"/>
            <family val="2"/>
          </rPr>
          <t xml:space="preserve">
factor de productividad mundial de absorción carbono
</t>
        </r>
      </text>
    </comment>
    <comment ref="Z199" authorId="0" shapeId="0">
      <text>
        <r>
          <rPr>
            <b/>
            <sz val="9"/>
            <color indexed="81"/>
            <rFont val="Tahoma"/>
            <family val="2"/>
          </rPr>
          <t>Autor:</t>
        </r>
        <r>
          <rPr>
            <sz val="9"/>
            <color indexed="81"/>
            <rFont val="Tahoma"/>
            <family val="2"/>
          </rPr>
          <t xml:space="preserve">
factor de productividad mundial de absorción carbono
</t>
        </r>
      </text>
    </comment>
    <comment ref="AB199" authorId="0" shapeId="0">
      <text>
        <r>
          <rPr>
            <b/>
            <sz val="9"/>
            <color indexed="81"/>
            <rFont val="Tahoma"/>
            <family val="2"/>
          </rPr>
          <t>Autor:</t>
        </r>
        <r>
          <rPr>
            <sz val="9"/>
            <color indexed="81"/>
            <rFont val="Tahoma"/>
            <family val="2"/>
          </rPr>
          <t xml:space="preserve">
factor de productividad mundial de absorción carbono
</t>
        </r>
      </text>
    </comment>
    <comment ref="AD199" authorId="0"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8.xml><?xml version="1.0" encoding="utf-8"?>
<comments xmlns="http://schemas.openxmlformats.org/spreadsheetml/2006/main">
  <authors>
    <author>Patricia González Vallejo</author>
    <author>Usuario</author>
    <author>Antonio Freire Guerrero</author>
  </authors>
  <commentList>
    <comment ref="S5" authorId="0" shapeId="0">
      <text>
        <r>
          <rPr>
            <b/>
            <sz val="9"/>
            <color indexed="81"/>
            <rFont val="Tahoma"/>
            <family val="2"/>
          </rPr>
          <t>Patricia González Vallejo:</t>
        </r>
        <r>
          <rPr>
            <sz val="9"/>
            <color indexed="81"/>
            <rFont val="Tahoma"/>
            <family val="2"/>
          </rPr>
          <t xml:space="preserve">
tesis de Jaime 40, tesis Pmercader 38,80</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C75" authorId="1" shapeId="0">
      <text>
        <r>
          <rPr>
            <b/>
            <sz val="9"/>
            <color indexed="81"/>
            <rFont val="Tahoma"/>
            <family val="2"/>
          </rPr>
          <t>¿¿ELIMINAR??</t>
        </r>
        <r>
          <rPr>
            <sz val="9"/>
            <color indexed="81"/>
            <rFont val="Tahoma"/>
            <family val="2"/>
          </rPr>
          <t xml:space="preserve">
Estimo acometida de 4x120 aluminio
</t>
        </r>
      </text>
    </comment>
    <comment ref="G75" authorId="1" shapeId="0">
      <text>
        <r>
          <rPr>
            <sz val="9"/>
            <color indexed="81"/>
            <rFont val="Tahoma"/>
            <family val="2"/>
          </rPr>
          <t>mm2 --&gt; m2</t>
        </r>
      </text>
    </comment>
    <comment ref="L101" authorId="1" shapeId="0">
      <text>
        <r>
          <rPr>
            <b/>
            <sz val="9"/>
            <color indexed="81"/>
            <rFont val="Tahoma"/>
            <family val="2"/>
          </rPr>
          <t>Usuario:</t>
        </r>
        <r>
          <rPr>
            <sz val="9"/>
            <color indexed="81"/>
            <rFont val="Tahoma"/>
            <family val="2"/>
          </rPr>
          <t xml:space="preserve">
101,97 * 0,2 (%cemento)</t>
        </r>
      </text>
    </comment>
    <comment ref="L110" authorId="1" shapeId="0">
      <text>
        <r>
          <rPr>
            <sz val="9"/>
            <color indexed="81"/>
            <rFont val="Tahoma"/>
            <family val="2"/>
          </rPr>
          <t>1000 unidades x coef paso (101,97)</t>
        </r>
      </text>
    </comment>
    <comment ref="L111" authorId="1" shapeId="0">
      <text>
        <r>
          <rPr>
            <sz val="9"/>
            <color indexed="81"/>
            <rFont val="Tahoma"/>
            <family val="2"/>
          </rPr>
          <t>1000 unidades x coef paso (101,97)</t>
        </r>
      </text>
    </comment>
    <comment ref="L112" authorId="1" shapeId="0">
      <text>
        <r>
          <rPr>
            <sz val="9"/>
            <color indexed="81"/>
            <rFont val="Tahoma"/>
            <family val="2"/>
          </rPr>
          <t>1000 unidades x coef paso (101,97)</t>
        </r>
      </text>
    </comment>
    <comment ref="L113" authorId="1" shapeId="0">
      <text>
        <r>
          <rPr>
            <sz val="9"/>
            <color indexed="81"/>
            <rFont val="Tahoma"/>
            <family val="2"/>
          </rPr>
          <t>1000 unidades x coef paso (101,97)</t>
        </r>
      </text>
    </comment>
    <comment ref="S118" authorId="0" shapeId="0">
      <text>
        <r>
          <rPr>
            <b/>
            <sz val="9"/>
            <color indexed="81"/>
            <rFont val="Tahoma"/>
            <family val="2"/>
          </rPr>
          <t>Patricia González Vallejo:</t>
        </r>
        <r>
          <rPr>
            <sz val="9"/>
            <color indexed="81"/>
            <rFont val="Tahoma"/>
            <family val="2"/>
          </rPr>
          <t xml:space="preserve">
jaime 2.9 pmercader 2,32 el gres extruido 8,35
</t>
        </r>
      </text>
    </comment>
    <comment ref="S119" authorId="0" shapeId="0">
      <text>
        <r>
          <rPr>
            <b/>
            <sz val="9"/>
            <color indexed="81"/>
            <rFont val="Tahoma"/>
            <family val="2"/>
          </rPr>
          <t>Patricia González Vallejo:</t>
        </r>
        <r>
          <rPr>
            <sz val="9"/>
            <color indexed="81"/>
            <rFont val="Tahoma"/>
            <family val="2"/>
          </rPr>
          <t xml:space="preserve">
pmercader 7.2</t>
        </r>
      </text>
    </comment>
    <comment ref="G120" authorId="1" shapeId="0">
      <text>
        <r>
          <rPr>
            <b/>
            <sz val="9"/>
            <color indexed="81"/>
            <rFont val="Tahoma"/>
            <family val="2"/>
          </rPr>
          <t>Usuario:</t>
        </r>
        <r>
          <rPr>
            <sz val="9"/>
            <color indexed="81"/>
            <rFont val="Tahoma"/>
            <family val="2"/>
          </rPr>
          <t xml:space="preserve">
espesor = 0,002
mil unidades = 1000</t>
        </r>
      </text>
    </comment>
    <comment ref="K120" authorId="1" shapeId="0">
      <text>
        <r>
          <rPr>
            <sz val="9"/>
            <color indexed="81"/>
            <rFont val="Tahoma"/>
            <family val="2"/>
          </rPr>
          <t>Mil unidades x cambio unidad</t>
        </r>
      </text>
    </comment>
    <comment ref="C122" authorId="1" shapeId="0">
      <text>
        <r>
          <rPr>
            <sz val="9"/>
            <color indexed="81"/>
            <rFont val="Tahoma"/>
            <family val="2"/>
          </rPr>
          <t>El elemento está en el banco pero no con este código:</t>
        </r>
        <r>
          <rPr>
            <b/>
            <sz val="9"/>
            <color indexed="81"/>
            <rFont val="Tahoma"/>
            <family val="2"/>
          </rPr>
          <t xml:space="preserve">
IC37900</t>
        </r>
      </text>
    </comment>
    <comment ref="C123" authorId="1" shapeId="0">
      <text>
        <r>
          <rPr>
            <sz val="9"/>
            <color indexed="81"/>
            <rFont val="Tahoma"/>
            <family val="2"/>
          </rPr>
          <t>El elemento está en el banco pero no con este código:</t>
        </r>
        <r>
          <rPr>
            <b/>
            <sz val="9"/>
            <color indexed="81"/>
            <rFont val="Tahoma"/>
            <family val="2"/>
          </rPr>
          <t xml:space="preserve">
IC38100</t>
        </r>
      </text>
    </comment>
    <comment ref="G126" authorId="1" shapeId="0">
      <text>
        <r>
          <rPr>
            <sz val="9"/>
            <color indexed="81"/>
            <rFont val="Tahoma"/>
            <family val="2"/>
          </rPr>
          <t>mm2 --&gt; m2</t>
        </r>
      </text>
    </comment>
    <comment ref="G127" authorId="1" shapeId="0">
      <text>
        <r>
          <rPr>
            <sz val="9"/>
            <color indexed="81"/>
            <rFont val="Tahoma"/>
            <family val="2"/>
          </rPr>
          <t>mm2 --&gt; m2</t>
        </r>
      </text>
    </comment>
    <comment ref="G128" authorId="1" shapeId="0">
      <text>
        <r>
          <rPr>
            <sz val="9"/>
            <color indexed="81"/>
            <rFont val="Tahoma"/>
            <family val="2"/>
          </rPr>
          <t>mm2 --&gt; m2</t>
        </r>
      </text>
    </comment>
    <comment ref="G129" authorId="1" shapeId="0">
      <text>
        <r>
          <rPr>
            <sz val="9"/>
            <color indexed="81"/>
            <rFont val="Tahoma"/>
            <family val="2"/>
          </rPr>
          <t>mm2 --&gt; m2</t>
        </r>
      </text>
    </comment>
    <comment ref="G130" authorId="1" shapeId="0">
      <text>
        <r>
          <rPr>
            <sz val="9"/>
            <color indexed="81"/>
            <rFont val="Tahoma"/>
            <family val="2"/>
          </rPr>
          <t>mm2 --&gt; m2</t>
        </r>
      </text>
    </comment>
    <comment ref="G131" authorId="1" shapeId="0">
      <text>
        <r>
          <rPr>
            <sz val="9"/>
            <color indexed="81"/>
            <rFont val="Tahoma"/>
            <family val="2"/>
          </rPr>
          <t>mm2 --&gt; m2</t>
        </r>
      </text>
    </comment>
    <comment ref="G132" authorId="1" shapeId="0">
      <text>
        <r>
          <rPr>
            <sz val="9"/>
            <color indexed="81"/>
            <rFont val="Tahoma"/>
            <family val="2"/>
          </rPr>
          <t>mm2 --&gt; m2</t>
        </r>
      </text>
    </comment>
    <comment ref="F137" authorId="1" shapeId="0">
      <text>
        <r>
          <rPr>
            <b/>
            <sz val="9"/>
            <color indexed="81"/>
            <rFont val="Tahoma"/>
            <family val="2"/>
          </rPr>
          <t>Usuario:</t>
        </r>
        <r>
          <rPr>
            <sz val="9"/>
            <color indexed="81"/>
            <rFont val="Tahoma"/>
            <family val="2"/>
          </rPr>
          <t xml:space="preserve">
2 x pi x radio</t>
        </r>
      </text>
    </comment>
    <comment ref="G137" authorId="1" shapeId="0">
      <text>
        <r>
          <rPr>
            <b/>
            <sz val="9"/>
            <color indexed="81"/>
            <rFont val="Tahoma"/>
            <family val="2"/>
          </rPr>
          <t>Usuario:</t>
        </r>
        <r>
          <rPr>
            <sz val="9"/>
            <color indexed="81"/>
            <rFont val="Tahoma"/>
            <family val="2"/>
          </rPr>
          <t xml:space="preserve">
espesor</t>
        </r>
      </text>
    </comment>
    <comment ref="S137" authorId="0" shapeId="0">
      <text>
        <r>
          <rPr>
            <b/>
            <sz val="9"/>
            <color indexed="81"/>
            <rFont val="Tahoma"/>
            <family val="2"/>
          </rPr>
          <t>Patricia González Vallejo:</t>
        </r>
        <r>
          <rPr>
            <sz val="9"/>
            <color indexed="81"/>
            <rFont val="Tahoma"/>
            <family val="2"/>
          </rPr>
          <t xml:space="preserve">
s. tesis jaime 100, tesis p.mercader 150</t>
        </r>
      </text>
    </comment>
    <comment ref="F138" authorId="1" shapeId="0">
      <text>
        <r>
          <rPr>
            <b/>
            <sz val="9"/>
            <color indexed="81"/>
            <rFont val="Tahoma"/>
            <family val="2"/>
          </rPr>
          <t>Usuario:</t>
        </r>
        <r>
          <rPr>
            <sz val="9"/>
            <color indexed="81"/>
            <rFont val="Tahoma"/>
            <family val="2"/>
          </rPr>
          <t xml:space="preserve">
2 x pi x radio</t>
        </r>
      </text>
    </comment>
    <comment ref="G138" authorId="1" shapeId="0">
      <text>
        <r>
          <rPr>
            <b/>
            <sz val="9"/>
            <color indexed="81"/>
            <rFont val="Tahoma"/>
            <family val="2"/>
          </rPr>
          <t>Usuario:</t>
        </r>
        <r>
          <rPr>
            <sz val="9"/>
            <color indexed="81"/>
            <rFont val="Tahoma"/>
            <family val="2"/>
          </rPr>
          <t xml:space="preserve">
espesor</t>
        </r>
      </text>
    </comment>
    <comment ref="S138" authorId="0" shapeId="0">
      <text>
        <r>
          <rPr>
            <b/>
            <sz val="9"/>
            <color indexed="81"/>
            <rFont val="Tahoma"/>
            <family val="2"/>
          </rPr>
          <t>Patricia González Vallejo:</t>
        </r>
        <r>
          <rPr>
            <sz val="9"/>
            <color indexed="81"/>
            <rFont val="Tahoma"/>
            <family val="2"/>
          </rPr>
          <t xml:space="preserve">
s. tesis jaime 100, tesis p.mercader 150</t>
        </r>
      </text>
    </comment>
    <comment ref="F139" authorId="1" shapeId="0">
      <text>
        <r>
          <rPr>
            <b/>
            <sz val="9"/>
            <color indexed="81"/>
            <rFont val="Tahoma"/>
            <family val="2"/>
          </rPr>
          <t>Usuario:</t>
        </r>
        <r>
          <rPr>
            <sz val="9"/>
            <color indexed="81"/>
            <rFont val="Tahoma"/>
            <family val="2"/>
          </rPr>
          <t xml:space="preserve">
2 x pi x radio</t>
        </r>
      </text>
    </comment>
    <comment ref="G139" authorId="1" shapeId="0">
      <text>
        <r>
          <rPr>
            <b/>
            <sz val="9"/>
            <color indexed="81"/>
            <rFont val="Tahoma"/>
            <family val="2"/>
          </rPr>
          <t>Usuario:</t>
        </r>
        <r>
          <rPr>
            <sz val="9"/>
            <color indexed="81"/>
            <rFont val="Tahoma"/>
            <family val="2"/>
          </rPr>
          <t xml:space="preserve">
espesor</t>
        </r>
      </text>
    </comment>
    <comment ref="S139" authorId="0" shapeId="0">
      <text>
        <r>
          <rPr>
            <b/>
            <sz val="9"/>
            <color indexed="81"/>
            <rFont val="Tahoma"/>
            <family val="2"/>
          </rPr>
          <t>Patricia González Vallejo:</t>
        </r>
        <r>
          <rPr>
            <sz val="9"/>
            <color indexed="81"/>
            <rFont val="Tahoma"/>
            <family val="2"/>
          </rPr>
          <t xml:space="preserve">
s. tesis jaime 100, tesis p.mercader 150</t>
        </r>
      </text>
    </comment>
    <comment ref="S140" authorId="0" shapeId="0">
      <text>
        <r>
          <rPr>
            <b/>
            <sz val="9"/>
            <color indexed="81"/>
            <rFont val="Tahoma"/>
            <family val="2"/>
          </rPr>
          <t>Patricia González Vallejo:</t>
        </r>
        <r>
          <rPr>
            <sz val="9"/>
            <color indexed="81"/>
            <rFont val="Tahoma"/>
            <family val="2"/>
          </rPr>
          <t xml:space="preserve">
s. tesis jaime 100, tesis p.mercader 150</t>
        </r>
      </text>
    </comment>
    <comment ref="S141" authorId="0" shapeId="0">
      <text>
        <r>
          <rPr>
            <b/>
            <sz val="9"/>
            <color indexed="81"/>
            <rFont val="Tahoma"/>
            <family val="2"/>
          </rPr>
          <t>Patricia González Vallejo:</t>
        </r>
        <r>
          <rPr>
            <sz val="9"/>
            <color indexed="81"/>
            <rFont val="Tahoma"/>
            <family val="2"/>
          </rPr>
          <t xml:space="preserve">
s. tesis jaime 100, tesis p.mercader 150</t>
        </r>
      </text>
    </comment>
    <comment ref="S142" authorId="0" shapeId="0">
      <text>
        <r>
          <rPr>
            <b/>
            <sz val="9"/>
            <color indexed="81"/>
            <rFont val="Tahoma"/>
            <family val="2"/>
          </rPr>
          <t>Patricia González Vallejo:</t>
        </r>
        <r>
          <rPr>
            <sz val="9"/>
            <color indexed="81"/>
            <rFont val="Tahoma"/>
            <family val="2"/>
          </rPr>
          <t xml:space="preserve">
s. tesis jaime 100, tesis p.mercader 150</t>
        </r>
      </text>
    </comment>
    <comment ref="S143" authorId="0" shapeId="0">
      <text>
        <r>
          <rPr>
            <b/>
            <sz val="9"/>
            <color indexed="81"/>
            <rFont val="Tahoma"/>
            <family val="2"/>
          </rPr>
          <t>Patricia González Vallejo:</t>
        </r>
        <r>
          <rPr>
            <sz val="9"/>
            <color indexed="81"/>
            <rFont val="Tahoma"/>
            <family val="2"/>
          </rPr>
          <t xml:space="preserve">
s. tesis jaime 100, tesis p.mercader 150</t>
        </r>
      </text>
    </comment>
    <comment ref="S144" authorId="0" shapeId="0">
      <text>
        <r>
          <rPr>
            <b/>
            <sz val="9"/>
            <color indexed="81"/>
            <rFont val="Tahoma"/>
            <family val="2"/>
          </rPr>
          <t>Patricia González Vallejo:</t>
        </r>
        <r>
          <rPr>
            <sz val="9"/>
            <color indexed="81"/>
            <rFont val="Tahoma"/>
            <family val="2"/>
          </rPr>
          <t xml:space="preserve">
s. tesis jaime 100, tesis p.mercader 150</t>
        </r>
      </text>
    </comment>
    <comment ref="S148" authorId="0" shapeId="0">
      <text>
        <r>
          <rPr>
            <b/>
            <sz val="9"/>
            <color indexed="81"/>
            <rFont val="Tahoma"/>
            <family val="2"/>
          </rPr>
          <t>Patricia González Vallejo:</t>
        </r>
        <r>
          <rPr>
            <sz val="9"/>
            <color indexed="81"/>
            <rFont val="Tahoma"/>
            <family val="2"/>
          </rPr>
          <t xml:space="preserve">
tesis.J.Solis y P.Mercader</t>
        </r>
      </text>
    </comment>
    <comment ref="S149" authorId="0" shapeId="0">
      <text>
        <r>
          <rPr>
            <b/>
            <sz val="9"/>
            <color indexed="81"/>
            <rFont val="Tahoma"/>
            <family val="2"/>
          </rPr>
          <t>Patricia González Vallejo:</t>
        </r>
        <r>
          <rPr>
            <sz val="9"/>
            <color indexed="81"/>
            <rFont val="Tahoma"/>
            <family val="2"/>
          </rPr>
          <t xml:space="preserve">
tesis.J.Solis y P.Mercader</t>
        </r>
      </text>
    </comment>
    <comment ref="S150" authorId="0" shapeId="0">
      <text>
        <r>
          <rPr>
            <b/>
            <sz val="9"/>
            <color indexed="81"/>
            <rFont val="Tahoma"/>
            <family val="2"/>
          </rPr>
          <t>Patricia González Vallejo:</t>
        </r>
        <r>
          <rPr>
            <sz val="9"/>
            <color indexed="81"/>
            <rFont val="Tahoma"/>
            <family val="2"/>
          </rPr>
          <t xml:space="preserve">
t.p.mercader</t>
        </r>
      </text>
    </comment>
    <comment ref="C152" authorId="1" shapeId="0">
      <text>
        <r>
          <rPr>
            <sz val="9"/>
            <color indexed="81"/>
            <rFont val="Tahoma"/>
            <family val="2"/>
          </rPr>
          <t>2 filas de 1,5 metros de 20 cm de diametro y 1 cm de espesor</t>
        </r>
      </text>
    </comment>
    <comment ref="F152" authorId="1" shapeId="0">
      <text>
        <r>
          <rPr>
            <sz val="9"/>
            <color indexed="81"/>
            <rFont val="Tahoma"/>
            <family val="2"/>
          </rPr>
          <t>2*pi*r</t>
        </r>
      </text>
    </comment>
    <comment ref="C158" authorId="1" shapeId="0">
      <text>
        <r>
          <rPr>
            <b/>
            <sz val="9"/>
            <color indexed="81"/>
            <rFont val="Tahoma"/>
            <family val="2"/>
          </rPr>
          <t xml:space="preserve">HORMIGÓN + ACERO
</t>
        </r>
        <r>
          <rPr>
            <sz val="9"/>
            <color indexed="81"/>
            <rFont val="Tahoma"/>
            <family val="2"/>
          </rPr>
          <t>En cuanto a volumen y peso tiene mucho hormigón que acero.</t>
        </r>
      </text>
    </comment>
    <comment ref="S164" authorId="0" shapeId="0">
      <text>
        <r>
          <rPr>
            <b/>
            <sz val="9"/>
            <color indexed="81"/>
            <rFont val="Tahoma"/>
            <family val="2"/>
          </rPr>
          <t>Patricia González Vallejo:</t>
        </r>
        <r>
          <rPr>
            <sz val="9"/>
            <color indexed="81"/>
            <rFont val="Tahoma"/>
            <family val="2"/>
          </rPr>
          <t xml:space="preserve">
t.jaime 100, t.p.mercader 160
</t>
        </r>
      </text>
    </comment>
    <comment ref="S165" authorId="0" shapeId="0">
      <text>
        <r>
          <rPr>
            <b/>
            <sz val="9"/>
            <color indexed="81"/>
            <rFont val="Tahoma"/>
            <family val="2"/>
          </rPr>
          <t>Patricia González Vallejo:</t>
        </r>
        <r>
          <rPr>
            <sz val="9"/>
            <color indexed="81"/>
            <rFont val="Tahoma"/>
            <family val="2"/>
          </rPr>
          <t xml:space="preserve">
t.jaime 100, t.p.mercader 160
</t>
        </r>
      </text>
    </comment>
    <comment ref="S166" authorId="0" shapeId="0">
      <text>
        <r>
          <rPr>
            <b/>
            <sz val="9"/>
            <color indexed="81"/>
            <rFont val="Tahoma"/>
            <family val="2"/>
          </rPr>
          <t>Patricia González Vallejo:</t>
        </r>
        <r>
          <rPr>
            <sz val="9"/>
            <color indexed="81"/>
            <rFont val="Tahoma"/>
            <family val="2"/>
          </rPr>
          <t xml:space="preserve">
t.jaime 100, t.p.mercader 160
</t>
        </r>
      </text>
    </comment>
    <comment ref="S167" authorId="0" shapeId="0">
      <text>
        <r>
          <rPr>
            <b/>
            <sz val="9"/>
            <color indexed="81"/>
            <rFont val="Tahoma"/>
            <family val="2"/>
          </rPr>
          <t>Patricia González Vallejo:</t>
        </r>
        <r>
          <rPr>
            <sz val="9"/>
            <color indexed="81"/>
            <rFont val="Tahoma"/>
            <family val="2"/>
          </rPr>
          <t xml:space="preserve">
t.jaime 100, t.p.mercader 160
</t>
        </r>
      </text>
    </comment>
    <comment ref="S168" authorId="0" shapeId="0">
      <text>
        <r>
          <rPr>
            <b/>
            <sz val="9"/>
            <color indexed="81"/>
            <rFont val="Tahoma"/>
            <family val="2"/>
          </rPr>
          <t>Patricia González Vallejo:</t>
        </r>
        <r>
          <rPr>
            <sz val="9"/>
            <color indexed="81"/>
            <rFont val="Tahoma"/>
            <family val="2"/>
          </rPr>
          <t xml:space="preserve">
t.jaime 100, t.p.mercader 160
</t>
        </r>
      </text>
    </comment>
    <comment ref="C169" authorId="1" shapeId="0">
      <text>
        <r>
          <rPr>
            <b/>
            <sz val="9"/>
            <color indexed="81"/>
            <rFont val="Tahoma"/>
            <family val="2"/>
          </rPr>
          <t>No está en el banco</t>
        </r>
      </text>
    </comment>
    <comment ref="S169" authorId="0" shapeId="0">
      <text>
        <r>
          <rPr>
            <b/>
            <sz val="9"/>
            <color indexed="81"/>
            <rFont val="Tahoma"/>
            <family val="2"/>
          </rPr>
          <t>Patricia González Vallejo:</t>
        </r>
        <r>
          <rPr>
            <sz val="9"/>
            <color indexed="81"/>
            <rFont val="Tahoma"/>
            <family val="2"/>
          </rPr>
          <t xml:space="preserve">
t.jaime 100, t.p.mercader 160
</t>
        </r>
      </text>
    </comment>
    <comment ref="S170" authorId="0" shapeId="0">
      <text>
        <r>
          <rPr>
            <b/>
            <sz val="9"/>
            <color indexed="81"/>
            <rFont val="Tahoma"/>
            <family val="2"/>
          </rPr>
          <t>Patricia González Vallejo:</t>
        </r>
        <r>
          <rPr>
            <sz val="9"/>
            <color indexed="81"/>
            <rFont val="Tahoma"/>
            <family val="2"/>
          </rPr>
          <t xml:space="preserve">
t.jaime 100, t.p.mercader 160
</t>
        </r>
      </text>
    </comment>
    <comment ref="S171" authorId="0" shapeId="0">
      <text>
        <r>
          <rPr>
            <b/>
            <sz val="9"/>
            <color indexed="81"/>
            <rFont val="Tahoma"/>
            <family val="2"/>
          </rPr>
          <t>Patricia González Vallejo:</t>
        </r>
        <r>
          <rPr>
            <sz val="9"/>
            <color indexed="81"/>
            <rFont val="Tahoma"/>
            <family val="2"/>
          </rPr>
          <t xml:space="preserve">
t.jaime 100, t.p.mercader 160
</t>
        </r>
      </text>
    </comment>
    <comment ref="S172" authorId="0" shapeId="0">
      <text>
        <r>
          <rPr>
            <b/>
            <sz val="9"/>
            <color indexed="81"/>
            <rFont val="Tahoma"/>
            <family val="2"/>
          </rPr>
          <t>Patricia González Vallejo:</t>
        </r>
        <r>
          <rPr>
            <sz val="9"/>
            <color indexed="81"/>
            <rFont val="Tahoma"/>
            <family val="2"/>
          </rPr>
          <t xml:space="preserve">
t.jaime 100, t.p.mercader 160
</t>
        </r>
      </text>
    </comment>
    <comment ref="S173" authorId="0" shapeId="0">
      <text>
        <r>
          <rPr>
            <b/>
            <sz val="9"/>
            <color indexed="81"/>
            <rFont val="Tahoma"/>
            <family val="2"/>
          </rPr>
          <t>Patricia González Vallejo:</t>
        </r>
        <r>
          <rPr>
            <sz val="9"/>
            <color indexed="81"/>
            <rFont val="Tahoma"/>
            <family val="2"/>
          </rPr>
          <t xml:space="preserve">
t.jaime 100, t.p.mercader 160
</t>
        </r>
      </text>
    </comment>
    <comment ref="S174" authorId="0" shapeId="0">
      <text>
        <r>
          <rPr>
            <b/>
            <sz val="9"/>
            <color indexed="81"/>
            <rFont val="Tahoma"/>
            <family val="2"/>
          </rPr>
          <t>Patricia González Vallejo:</t>
        </r>
        <r>
          <rPr>
            <sz val="9"/>
            <color indexed="81"/>
            <rFont val="Tahoma"/>
            <family val="2"/>
          </rPr>
          <t xml:space="preserve">
t.jaime 100, t.p.mercader 160
</t>
        </r>
      </text>
    </comment>
    <comment ref="S176" authorId="0" shapeId="0">
      <text>
        <r>
          <rPr>
            <b/>
            <sz val="9"/>
            <color indexed="81"/>
            <rFont val="Tahoma"/>
            <family val="2"/>
          </rPr>
          <t>Patricia González Vallejo:</t>
        </r>
        <r>
          <rPr>
            <sz val="9"/>
            <color indexed="81"/>
            <rFont val="Tahoma"/>
            <family val="2"/>
          </rPr>
          <t xml:space="preserve">
t.jaime 3. t.p.mercader 2,1
</t>
        </r>
      </text>
    </comment>
    <comment ref="S177" authorId="0" shapeId="0">
      <text>
        <r>
          <rPr>
            <b/>
            <sz val="9"/>
            <color indexed="81"/>
            <rFont val="Tahoma"/>
            <family val="2"/>
          </rPr>
          <t>Patricia González Vallejo:</t>
        </r>
        <r>
          <rPr>
            <sz val="9"/>
            <color indexed="81"/>
            <rFont val="Tahoma"/>
            <family val="2"/>
          </rPr>
          <t xml:space="preserve">
t.jaime 3. t.p.mercader 2,1
</t>
        </r>
      </text>
    </comment>
    <comment ref="S178" authorId="0" shapeId="0">
      <text>
        <r>
          <rPr>
            <b/>
            <sz val="9"/>
            <color indexed="81"/>
            <rFont val="Tahoma"/>
            <family val="2"/>
          </rPr>
          <t>Patricia González Vallejo:</t>
        </r>
        <r>
          <rPr>
            <sz val="9"/>
            <color indexed="81"/>
            <rFont val="Tahoma"/>
            <family val="2"/>
          </rPr>
          <t xml:space="preserve">
t.jaime 3. t.p.mercader 2,1
</t>
        </r>
      </text>
    </comment>
    <comment ref="P179" authorId="2" shapeId="0">
      <text>
        <r>
          <rPr>
            <sz val="11"/>
            <color theme="1"/>
            <rFont val="Calibri"/>
            <family val="2"/>
            <scheme val="minor"/>
          </rPr>
          <t>Dato en m2</t>
        </r>
      </text>
    </comment>
    <comment ref="S179" authorId="0" shapeId="0">
      <text>
        <r>
          <rPr>
            <b/>
            <sz val="9"/>
            <color indexed="81"/>
            <rFont val="Tahoma"/>
            <family val="2"/>
          </rPr>
          <t>Patricia González Vallejo:</t>
        </r>
        <r>
          <rPr>
            <sz val="9"/>
            <color indexed="81"/>
            <rFont val="Tahoma"/>
            <family val="2"/>
          </rPr>
          <t xml:space="preserve">
dato sacado bedec BA115E5 VENTANA ROBLE
</t>
        </r>
      </text>
    </comment>
    <comment ref="P180" authorId="2" shapeId="0">
      <text>
        <r>
          <rPr>
            <sz val="11"/>
            <color theme="1"/>
            <rFont val="Calibri"/>
            <family val="2"/>
            <scheme val="minor"/>
          </rPr>
          <t>Datos en m2</t>
        </r>
      </text>
    </comment>
    <comment ref="P185" authorId="2" shapeId="0">
      <text>
        <r>
          <rPr>
            <sz val="11"/>
            <color theme="1"/>
            <rFont val="Calibri"/>
            <family val="2"/>
            <scheme val="minor"/>
          </rPr>
          <t>Dato en m2</t>
        </r>
      </text>
    </comment>
    <comment ref="S189" authorId="0" shapeId="0">
      <text>
        <r>
          <rPr>
            <b/>
            <sz val="9"/>
            <color indexed="81"/>
            <rFont val="Tahoma"/>
            <family val="2"/>
          </rPr>
          <t>Patricia González Vallejo:</t>
        </r>
        <r>
          <rPr>
            <sz val="9"/>
            <color indexed="81"/>
            <rFont val="Tahoma"/>
            <family val="2"/>
          </rPr>
          <t xml:space="preserve">
s.t.jaime 100
</t>
        </r>
      </text>
    </comment>
    <comment ref="S197" authorId="0" shapeId="0">
      <text>
        <r>
          <rPr>
            <b/>
            <sz val="9"/>
            <color indexed="81"/>
            <rFont val="Tahoma"/>
            <family val="2"/>
          </rPr>
          <t>Patricia González Vallejo:</t>
        </r>
        <r>
          <rPr>
            <sz val="9"/>
            <color indexed="81"/>
            <rFont val="Tahoma"/>
            <family val="2"/>
          </rPr>
          <t xml:space="preserve">
s.t.jaime 100
</t>
        </r>
      </text>
    </comment>
    <comment ref="S200" authorId="0" shapeId="0">
      <text>
        <r>
          <rPr>
            <b/>
            <sz val="9"/>
            <color indexed="81"/>
            <rFont val="Tahoma"/>
            <family val="2"/>
          </rPr>
          <t>Patricia González Vallejo:</t>
        </r>
        <r>
          <rPr>
            <sz val="9"/>
            <color indexed="81"/>
            <rFont val="Tahoma"/>
            <family val="2"/>
          </rPr>
          <t xml:space="preserve">
s.t.jaime 100
</t>
        </r>
      </text>
    </comment>
    <comment ref="S204" authorId="0" shapeId="0">
      <text>
        <r>
          <rPr>
            <b/>
            <sz val="9"/>
            <color indexed="81"/>
            <rFont val="Tahoma"/>
            <family val="2"/>
          </rPr>
          <t>Patricia González Vallejo:</t>
        </r>
        <r>
          <rPr>
            <sz val="9"/>
            <color indexed="81"/>
            <rFont val="Tahoma"/>
            <family val="2"/>
          </rPr>
          <t xml:space="preserve">
s.jaime 27.50 según P.Mercader 27.10
</t>
        </r>
      </text>
    </comment>
    <comment ref="S205" authorId="0" shapeId="0">
      <text>
        <r>
          <rPr>
            <b/>
            <sz val="9"/>
            <color indexed="81"/>
            <rFont val="Tahoma"/>
            <family val="2"/>
          </rPr>
          <t>Patricia González Vallejo:</t>
        </r>
        <r>
          <rPr>
            <sz val="9"/>
            <color indexed="81"/>
            <rFont val="Tahoma"/>
            <family val="2"/>
          </rPr>
          <t xml:space="preserve">
s.jaime 27.50 según P.Mercader 27.10
</t>
        </r>
      </text>
    </comment>
    <comment ref="S206" authorId="0" shapeId="0">
      <text>
        <r>
          <rPr>
            <b/>
            <sz val="9"/>
            <color indexed="81"/>
            <rFont val="Tahoma"/>
            <family val="2"/>
          </rPr>
          <t>Patricia González Vallejo:</t>
        </r>
        <r>
          <rPr>
            <sz val="9"/>
            <color indexed="81"/>
            <rFont val="Tahoma"/>
            <family val="2"/>
          </rPr>
          <t xml:space="preserve">
s.jaime 27.50 según P.Mercader 27.10
</t>
        </r>
      </text>
    </comment>
    <comment ref="S207" authorId="0" shapeId="0">
      <text>
        <r>
          <rPr>
            <b/>
            <sz val="9"/>
            <color indexed="81"/>
            <rFont val="Tahoma"/>
            <family val="2"/>
          </rPr>
          <t>Patricia González Vallejo:</t>
        </r>
        <r>
          <rPr>
            <sz val="9"/>
            <color indexed="81"/>
            <rFont val="Tahoma"/>
            <family val="2"/>
          </rPr>
          <t xml:space="preserve">
s.jaime 27.50 según P.Mercader 27.10
</t>
        </r>
      </text>
    </comment>
    <comment ref="F210" authorId="1" shapeId="0">
      <text>
        <r>
          <rPr>
            <sz val="9"/>
            <color indexed="81"/>
            <rFont val="Tahoma"/>
            <family val="2"/>
          </rPr>
          <t>2*pi*radio</t>
        </r>
      </text>
    </comment>
    <comment ref="C215" authorId="1" shapeId="0">
      <text>
        <r>
          <rPr>
            <b/>
            <sz val="9"/>
            <color indexed="81"/>
            <rFont val="Tahoma"/>
            <family val="2"/>
          </rPr>
          <t>Usuario:</t>
        </r>
        <r>
          <rPr>
            <sz val="9"/>
            <color indexed="81"/>
            <rFont val="Tahoma"/>
            <family val="2"/>
          </rPr>
          <t xml:space="preserve">
comprobar datos y codigo BCCA, SW00900 es una válvula</t>
        </r>
      </text>
    </comment>
    <comment ref="C268" authorId="1" shapeId="0">
      <text>
        <r>
          <rPr>
            <sz val="9"/>
            <color indexed="81"/>
            <rFont val="Tahoma"/>
            <family val="2"/>
          </rPr>
          <t>NO ESTÁ EN EL BANCO.</t>
        </r>
        <r>
          <rPr>
            <b/>
            <sz val="9"/>
            <color indexed="81"/>
            <rFont val="Tahoma"/>
            <family val="2"/>
          </rPr>
          <t xml:space="preserve">
17 g/m2 ¿¿??</t>
        </r>
      </text>
    </comment>
    <comment ref="C269" authorId="1" shapeId="0">
      <text>
        <r>
          <rPr>
            <b/>
            <sz val="9"/>
            <color indexed="81"/>
            <rFont val="Tahoma"/>
            <family val="2"/>
          </rPr>
          <t>Usuario:</t>
        </r>
        <r>
          <rPr>
            <sz val="9"/>
            <color indexed="81"/>
            <rFont val="Tahoma"/>
            <family val="2"/>
          </rPr>
          <t xml:space="preserve">
Comrpobar diámetro con código…en BCCA es 13mm</t>
        </r>
      </text>
    </comment>
    <comment ref="S269" authorId="0" shapeId="0">
      <text>
        <r>
          <rPr>
            <b/>
            <sz val="9"/>
            <color indexed="81"/>
            <rFont val="Tahoma"/>
            <family val="2"/>
          </rPr>
          <t>Patricia González Vallejo:</t>
        </r>
        <r>
          <rPr>
            <sz val="9"/>
            <color indexed="81"/>
            <rFont val="Tahoma"/>
            <family val="2"/>
          </rPr>
          <t xml:space="preserve">
t.jaime 80. t.p,mercader 70</t>
        </r>
      </text>
    </comment>
    <comment ref="L273" authorId="1" shapeId="0">
      <text>
        <r>
          <rPr>
            <b/>
            <sz val="9"/>
            <color indexed="81"/>
            <rFont val="Tahoma"/>
            <family val="2"/>
          </rPr>
          <t>Usuario:</t>
        </r>
        <r>
          <rPr>
            <sz val="9"/>
            <color indexed="81"/>
            <rFont val="Tahoma"/>
            <family val="2"/>
          </rPr>
          <t xml:space="preserve">
50% HUECO</t>
        </r>
      </text>
    </comment>
    <comment ref="F274" authorId="1" shapeId="0">
      <text>
        <r>
          <rPr>
            <b/>
            <sz val="9"/>
            <color indexed="81"/>
            <rFont val="Tahoma"/>
            <family val="2"/>
          </rPr>
          <t>Usuario:</t>
        </r>
        <r>
          <rPr>
            <sz val="9"/>
            <color indexed="81"/>
            <rFont val="Tahoma"/>
            <family val="2"/>
          </rPr>
          <t xml:space="preserve">
diámetro</t>
        </r>
      </text>
    </comment>
    <comment ref="G274" authorId="1" shapeId="0">
      <text>
        <r>
          <rPr>
            <b/>
            <sz val="9"/>
            <color indexed="81"/>
            <rFont val="Tahoma"/>
            <family val="2"/>
          </rPr>
          <t>Usuario:</t>
        </r>
        <r>
          <rPr>
            <sz val="9"/>
            <color indexed="81"/>
            <rFont val="Tahoma"/>
            <family val="2"/>
          </rPr>
          <t xml:space="preserve">
espesor</t>
        </r>
      </text>
    </comment>
    <comment ref="C286" authorId="1" shapeId="0">
      <text>
        <r>
          <rPr>
            <b/>
            <sz val="9"/>
            <color indexed="81"/>
            <rFont val="Tahoma"/>
            <family val="2"/>
          </rPr>
          <t>No clasificable</t>
        </r>
      </text>
    </comment>
    <comment ref="C292" authorId="1" shapeId="0">
      <text>
        <r>
          <rPr>
            <b/>
            <sz val="9"/>
            <color indexed="81"/>
            <rFont val="Tahoma"/>
            <family val="2"/>
          </rPr>
          <t>No está en el banco</t>
        </r>
      </text>
    </comment>
  </commentList>
</comments>
</file>

<file path=xl/comments9.xml><?xml version="1.0" encoding="utf-8"?>
<comments xmlns="http://schemas.openxmlformats.org/spreadsheetml/2006/main">
  <authors>
    <author>Autor</author>
  </authors>
  <commentList>
    <comment ref="B13" authorId="0" shapeId="0">
      <text>
        <r>
          <rPr>
            <b/>
            <sz val="9"/>
            <color indexed="81"/>
            <rFont val="Tahoma"/>
            <family val="2"/>
          </rPr>
          <t>Autor:</t>
        </r>
        <r>
          <rPr>
            <sz val="9"/>
            <color indexed="81"/>
            <rFont val="Tahoma"/>
            <family val="2"/>
          </rPr>
          <t xml:space="preserve">
comprobadohasta Informe Planeta vivo 2012
</t>
        </r>
      </text>
    </comment>
    <comment ref="C14" authorId="0" shapeId="0">
      <text>
        <r>
          <rPr>
            <b/>
            <sz val="9"/>
            <color indexed="81"/>
            <rFont val="Tahoma"/>
            <family val="2"/>
          </rPr>
          <t>Autor:</t>
        </r>
        <r>
          <rPr>
            <sz val="9"/>
            <color indexed="81"/>
            <rFont val="Tahoma"/>
            <family val="2"/>
          </rPr>
          <t xml:space="preserve">
Datos obtenidos:Informe Planeta Vivo 2006 (datos 2003)
</t>
        </r>
      </text>
    </comment>
    <comment ref="D14" authorId="0" shapeId="0">
      <text>
        <r>
          <rPr>
            <b/>
            <sz val="9"/>
            <color indexed="81"/>
            <rFont val="Tahoma"/>
            <family val="2"/>
          </rPr>
          <t>Autor:</t>
        </r>
        <r>
          <rPr>
            <sz val="9"/>
            <color indexed="81"/>
            <rFont val="Tahoma"/>
            <family val="2"/>
          </rPr>
          <t xml:space="preserve">
Datos obtenidos:National Footprint Accounts Method Paper 2010. (Datos de 2007)</t>
        </r>
      </text>
    </comment>
    <comment ref="E14" authorId="0" shapeId="0">
      <text>
        <r>
          <rPr>
            <b/>
            <sz val="9"/>
            <color indexed="81"/>
            <rFont val="Tahoma"/>
            <family val="2"/>
          </rPr>
          <t>Autor:</t>
        </r>
        <r>
          <rPr>
            <sz val="9"/>
            <color indexed="81"/>
            <rFont val="Tahoma"/>
            <family val="2"/>
          </rPr>
          <t xml:space="preserve">
Datos según Tesis Dr. Jaime Solis</t>
        </r>
      </text>
    </comment>
    <comment ref="B24" authorId="0" shapeId="0">
      <text>
        <r>
          <rPr>
            <b/>
            <sz val="9"/>
            <color indexed="81"/>
            <rFont val="Tahoma"/>
            <family val="2"/>
          </rPr>
          <t>Autor:</t>
        </r>
        <r>
          <rPr>
            <sz val="9"/>
            <color indexed="81"/>
            <rFont val="Tahoma"/>
            <family val="2"/>
          </rPr>
          <t xml:space="preserve">
comprobadohasta Informe Planeta vivo 2012
</t>
        </r>
      </text>
    </comment>
    <comment ref="C26"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comments10.xml><?xml version="1.0" encoding="utf-8"?>
<comments xmlns="http://schemas.openxmlformats.org/spreadsheetml/2006/main">
  <authors>
    <author>Autor</author>
  </authors>
  <commentList>
    <comment ref="C7" authorId="0" shapeId="0">
      <text>
        <r>
          <rPr>
            <b/>
            <sz val="9"/>
            <color indexed="81"/>
            <rFont val="Tahoma"/>
            <family val="2"/>
          </rPr>
          <t>Autor:</t>
        </r>
        <r>
          <rPr>
            <sz val="9"/>
            <color indexed="81"/>
            <rFont val="Tahoma"/>
            <family val="2"/>
          </rPr>
          <t xml:space="preserve">
Datos CORES 2012
</t>
        </r>
      </text>
    </comment>
    <comment ref="B15" authorId="0" shapeId="0">
      <text>
        <r>
          <rPr>
            <b/>
            <sz val="8"/>
            <color indexed="10"/>
            <rFont val="Tahoma"/>
            <family val="2"/>
          </rPr>
          <t xml:space="preserve">Datos obtenidos de la web:
http://www.cores.es/esp/portada.html
Corporación de reservas Estrategicas de Productos Petroliferos
</t>
        </r>
      </text>
    </comment>
    <comment ref="F16" authorId="0" shapeId="0">
      <text>
        <r>
          <rPr>
            <b/>
            <sz val="8"/>
            <color indexed="10"/>
            <rFont val="Tahoma"/>
            <family val="2"/>
          </rPr>
          <t>Datos a marzo de 2011</t>
        </r>
        <r>
          <rPr>
            <sz val="8"/>
            <color indexed="10"/>
            <rFont val="Tahoma"/>
            <family val="2"/>
          </rPr>
          <t xml:space="preserve">
</t>
        </r>
      </text>
    </comment>
    <comment ref="G16" authorId="0" shapeId="0">
      <text>
        <r>
          <rPr>
            <b/>
            <sz val="9"/>
            <color indexed="81"/>
            <rFont val="Tahoma"/>
            <family val="2"/>
          </rPr>
          <t>Autor:</t>
        </r>
        <r>
          <rPr>
            <sz val="9"/>
            <color indexed="81"/>
            <rFont val="Tahoma"/>
            <family val="2"/>
          </rPr>
          <t xml:space="preserve">
Datos según Informe CORES 2012</t>
        </r>
      </text>
    </comment>
    <comment ref="H16" authorId="0" shapeId="0">
      <text>
        <r>
          <rPr>
            <b/>
            <sz val="9"/>
            <color indexed="81"/>
            <rFont val="Tahoma"/>
            <family val="2"/>
          </rPr>
          <t>Autor:</t>
        </r>
        <r>
          <rPr>
            <sz val="9"/>
            <color indexed="81"/>
            <rFont val="Tahoma"/>
            <family val="2"/>
          </rPr>
          <t xml:space="preserve">
CORES 2013</t>
        </r>
      </text>
    </comment>
  </commentList>
</comments>
</file>

<file path=xl/comments11.xml><?xml version="1.0" encoding="utf-8"?>
<comments xmlns="http://schemas.openxmlformats.org/spreadsheetml/2006/main">
  <authors>
    <author>Autor</author>
  </authors>
  <commentList>
    <comment ref="C3" authorId="0" shapeId="0">
      <text>
        <r>
          <rPr>
            <b/>
            <sz val="9"/>
            <color indexed="81"/>
            <rFont val="Tahoma"/>
            <family val="2"/>
          </rPr>
          <t>Autor:</t>
        </r>
        <r>
          <rPr>
            <sz val="9"/>
            <color indexed="81"/>
            <rFont val="Tahoma"/>
            <family val="2"/>
          </rPr>
          <t xml:space="preserve">
Datos Factura ENDESA 2012
</t>
        </r>
      </text>
    </comment>
    <comment ref="K14" authorId="0" shapeId="0">
      <text>
        <r>
          <rPr>
            <b/>
            <sz val="9"/>
            <color indexed="81"/>
            <rFont val="Tahoma"/>
            <family val="2"/>
          </rPr>
          <t>Autor:</t>
        </r>
        <r>
          <rPr>
            <sz val="9"/>
            <color indexed="81"/>
            <rFont val="Tahoma"/>
            <family val="2"/>
          </rPr>
          <t xml:space="preserve">
a fecha Diciembre 2013 no hay otro informe más reciente</t>
        </r>
      </text>
    </comment>
    <comment ref="E15" authorId="0" shapeId="0">
      <text>
        <r>
          <rPr>
            <b/>
            <sz val="9"/>
            <color indexed="81"/>
            <rFont val="Tahoma"/>
            <family val="2"/>
          </rPr>
          <t>Autor:</t>
        </r>
        <r>
          <rPr>
            <sz val="9"/>
            <color indexed="81"/>
            <rFont val="Tahoma"/>
            <family val="2"/>
          </rPr>
          <t xml:space="preserve">
segú Ministerio Industria, Energía y Turismo</t>
        </r>
      </text>
    </comment>
  </commentList>
</comments>
</file>

<file path=xl/comments12.xml><?xml version="1.0" encoding="utf-8"?>
<comments xmlns="http://schemas.openxmlformats.org/spreadsheetml/2006/main">
  <authors>
    <author>Autor</author>
  </authors>
  <commentList>
    <comment ref="F3" authorId="0" shapeId="0">
      <text>
        <r>
          <rPr>
            <b/>
            <sz val="9"/>
            <color indexed="81"/>
            <rFont val="Tahoma"/>
            <family val="2"/>
          </rPr>
          <t>Autor:</t>
        </r>
        <r>
          <rPr>
            <sz val="9"/>
            <color indexed="81"/>
            <rFont val="Tahoma"/>
            <family val="2"/>
          </rPr>
          <t xml:space="preserve">
Según TFM Rocío Trigo Ledesma</t>
        </r>
      </text>
    </comment>
    <comment ref="I3" authorId="0" shapeId="0">
      <text>
        <r>
          <rPr>
            <b/>
            <sz val="9"/>
            <color indexed="81"/>
            <rFont val="Tahoma"/>
            <family val="2"/>
          </rPr>
          <t>Autor:</t>
        </r>
        <r>
          <rPr>
            <sz val="9"/>
            <color indexed="81"/>
            <rFont val="Tahoma"/>
            <family val="2"/>
          </rPr>
          <t xml:space="preserve">
Según TFM Rocío Trigo Ledesma</t>
        </r>
      </text>
    </comment>
    <comment ref="C15" authorId="0" shapeId="0">
      <text>
        <r>
          <rPr>
            <b/>
            <sz val="9"/>
            <color indexed="81"/>
            <rFont val="Tahoma"/>
            <family val="2"/>
          </rPr>
          <t>Autor:</t>
        </r>
        <r>
          <rPr>
            <sz val="9"/>
            <color indexed="81"/>
            <rFont val="Tahoma"/>
            <family val="2"/>
          </rPr>
          <t xml:space="preserve">
Según TFM Rocío Trigo Ledesma MEDIA con y sin sótano
</t>
        </r>
      </text>
    </comment>
  </commentList>
</comments>
</file>

<file path=xl/comments13.xml><?xml version="1.0" encoding="utf-8"?>
<comments xmlns="http://schemas.openxmlformats.org/spreadsheetml/2006/main">
  <authors>
    <author>Patricia González Vallejo</author>
    <author>Autor</author>
  </authors>
  <commentList>
    <comment ref="C5" authorId="0" shapeId="0">
      <text>
        <r>
          <rPr>
            <b/>
            <sz val="9"/>
            <color indexed="81"/>
            <rFont val="Tahoma"/>
            <family val="2"/>
          </rPr>
          <t>Patricia González Vallejo:</t>
        </r>
        <r>
          <rPr>
            <sz val="9"/>
            <color indexed="81"/>
            <rFont val="Tahoma"/>
            <family val="2"/>
          </rPr>
          <t xml:space="preserve">
DATOS DEF ALIM
</t>
        </r>
      </text>
    </comment>
    <comment ref="B24" authorId="1" shapeId="0">
      <text>
        <r>
          <rPr>
            <b/>
            <sz val="8"/>
            <color indexed="17"/>
            <rFont val="Tahoma"/>
            <family val="2"/>
          </rPr>
          <t>Alimentos, (Menú medio de empresa):
Doménech Quesada J. L. 2007. Huella Ecológica y Desarrollo sostenible. AENOR. Madrid. España</t>
        </r>
      </text>
    </comment>
    <comment ref="C24" authorId="1" shapeId="0">
      <text>
        <r>
          <rPr>
            <b/>
            <sz val="8"/>
            <color indexed="17"/>
            <rFont val="Tahoma"/>
            <family val="2"/>
          </rPr>
          <t>% Alimentos:
Doménech Quesada J. L. 2007. Huella Ecológica y Desarrollo sostenible. AENOR. Madrid. España</t>
        </r>
      </text>
    </comment>
    <comment ref="D24" authorId="1" shapeId="0">
      <text>
        <r>
          <rPr>
            <b/>
            <sz val="8"/>
            <color indexed="17"/>
            <rFont val="Tahoma"/>
            <family val="2"/>
          </rPr>
          <t>Consumos (t/1000€):
Doménech Quesada J. L. 2007. Huella Ecológica y Desarrollo sostenible. AENOR. Madrid. España</t>
        </r>
      </text>
    </comment>
    <comment ref="E24" authorId="1" shapeId="0">
      <text>
        <r>
          <rPr>
            <b/>
            <sz val="8"/>
            <color indexed="17"/>
            <rFont val="Tahoma"/>
            <family val="2"/>
          </rPr>
          <t>Intensidad energética (GJ/t):
Doménech Quesada J. L. 2007. Huella Ecológica y Desarrollo sostenible. AENOR. Madrid. España</t>
        </r>
      </text>
    </comment>
    <comment ref="H24" authorId="1" shapeId="0">
      <text>
        <r>
          <rPr>
            <b/>
            <sz val="8"/>
            <color indexed="17"/>
            <rFont val="Tahoma"/>
            <family val="2"/>
          </rPr>
          <t>Prod.natural (t/ha):
Doménech Quesada J. L. 2007. Huella Ecológica y Desarrollo sostenible. AENOR. Madrid. España</t>
        </r>
        <r>
          <rPr>
            <sz val="8"/>
            <color indexed="17"/>
            <rFont val="Tahoma"/>
            <family val="2"/>
          </rPr>
          <t xml:space="preserve">
</t>
        </r>
      </text>
    </comment>
    <comment ref="I37"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43"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47" authorId="1" shapeId="0">
      <text>
        <r>
          <rPr>
            <b/>
            <sz val="9"/>
            <color indexed="81"/>
            <rFont val="Tahoma"/>
            <family val="2"/>
          </rPr>
          <t>Autor:</t>
        </r>
        <r>
          <rPr>
            <sz val="9"/>
            <color indexed="81"/>
            <rFont val="Tahoma"/>
            <family val="2"/>
          </rPr>
          <t xml:space="preserve">
Si lo comparamos con el valor de Domenecq de Intensidad no hay diferencia prácticamente)</t>
        </r>
      </text>
    </comment>
    <comment ref="I48"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56"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 ref="L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List>
</comments>
</file>

<file path=xl/comments14.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datos IMA 2011 (NO HAY TODAVÍA INFORME 2012)</t>
        </r>
      </text>
    </comment>
  </commentList>
</comments>
</file>

<file path=xl/comments15.xml><?xml version="1.0" encoding="utf-8"?>
<comments xmlns="http://schemas.openxmlformats.org/spreadsheetml/2006/main">
  <authors>
    <author>Autor</author>
  </authors>
  <commentList>
    <comment ref="B2" authorId="0" shapeId="0">
      <text>
        <r>
          <rPr>
            <b/>
            <sz val="9"/>
            <color indexed="81"/>
            <rFont val="Tahoma"/>
            <family val="2"/>
          </rPr>
          <t>Autor:</t>
        </r>
        <r>
          <rPr>
            <sz val="9"/>
            <color indexed="81"/>
            <rFont val="Tahoma"/>
            <family val="2"/>
          </rPr>
          <t xml:space="preserve">
comprobadohasta Informe Planeta vivo 2012
</t>
        </r>
      </text>
    </comment>
    <comment ref="C3" authorId="0" shapeId="0">
      <text>
        <r>
          <rPr>
            <b/>
            <sz val="9"/>
            <color indexed="81"/>
            <rFont val="Tahoma"/>
            <family val="2"/>
          </rPr>
          <t>Autor:</t>
        </r>
        <r>
          <rPr>
            <sz val="9"/>
            <color indexed="81"/>
            <rFont val="Tahoma"/>
            <family val="2"/>
          </rPr>
          <t xml:space="preserve">
Datos obtenidos:Informe Planeta Vivo 2006 (datos 2003)
</t>
        </r>
      </text>
    </comment>
    <comment ref="D3" authorId="0" shapeId="0">
      <text>
        <r>
          <rPr>
            <b/>
            <sz val="9"/>
            <color indexed="81"/>
            <rFont val="Tahoma"/>
            <family val="2"/>
          </rPr>
          <t>Autor:</t>
        </r>
        <r>
          <rPr>
            <sz val="9"/>
            <color indexed="81"/>
            <rFont val="Tahoma"/>
            <family val="2"/>
          </rPr>
          <t xml:space="preserve">
Datos obtenidos: Análisis de la HE en España 2008. Ministerio de Medio Ambiente y Medio rural  y Marino</t>
        </r>
      </text>
    </comment>
    <comment ref="E3"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sharedStrings.xml><?xml version="1.0" encoding="utf-8"?>
<sst xmlns="http://schemas.openxmlformats.org/spreadsheetml/2006/main" count="36689" uniqueCount="3983">
  <si>
    <t>02E.01</t>
  </si>
  <si>
    <t>MATERIALES</t>
  </si>
  <si>
    <t>MANO DE OBRA</t>
  </si>
  <si>
    <t>MAQUINARIA</t>
  </si>
  <si>
    <t>02E.02</t>
  </si>
  <si>
    <t>h PEÓN ESPECIAL</t>
  </si>
  <si>
    <t>02R.01</t>
  </si>
  <si>
    <t>m3 AGUA POTABLE</t>
  </si>
  <si>
    <t>02R.02</t>
  </si>
  <si>
    <t>02T.01</t>
  </si>
  <si>
    <t>02T.02</t>
  </si>
  <si>
    <t>03A</t>
  </si>
  <si>
    <t xml:space="preserve">03A kg. Armaduras </t>
  </si>
  <si>
    <t>kg ACERO</t>
  </si>
  <si>
    <t>03P</t>
  </si>
  <si>
    <t>m.  Pilotes</t>
  </si>
  <si>
    <t>03E.01</t>
  </si>
  <si>
    <t>m2. Encofrados madera</t>
  </si>
  <si>
    <t>m3 MADERA</t>
  </si>
  <si>
    <t>u PEQUEÑO MATERIAL</t>
  </si>
  <si>
    <t>l  DESENCOFRANTE</t>
  </si>
  <si>
    <t>h OFICIAL 1ª ENCOFRADOR</t>
  </si>
  <si>
    <t>03E.02</t>
  </si>
  <si>
    <t>m2. Encofrados metálicos</t>
  </si>
  <si>
    <t>u PANEL METÁLICO</t>
  </si>
  <si>
    <t>03HA.01</t>
  </si>
  <si>
    <t>m3. Hormigones Armados Zapatas V/MANUAL</t>
  </si>
  <si>
    <t>03HA.02</t>
  </si>
  <si>
    <t>m3. Hormigones Armados Zapatas V/GRÚA</t>
  </si>
  <si>
    <t>03HA.03</t>
  </si>
  <si>
    <t>m3. Hormigones Armados Zapatas V/BOMBA</t>
  </si>
  <si>
    <t>03HM</t>
  </si>
  <si>
    <t xml:space="preserve">m3. Hormigones Masa </t>
  </si>
  <si>
    <t>m3 HORMIGÓN HM</t>
  </si>
  <si>
    <t>03H.01</t>
  </si>
  <si>
    <t>u MATERIAL COMPLEMENTARIO O PZAS. ESPECIALES</t>
  </si>
  <si>
    <t>h OF. 1ª FONTANERO</t>
  </si>
  <si>
    <t>h OFICIAL 1ª</t>
  </si>
  <si>
    <t>04A.02</t>
  </si>
  <si>
    <t xml:space="preserve">m CINTA SEÑALIZACION </t>
  </si>
  <si>
    <t>05AE</t>
  </si>
  <si>
    <t>kg. Acero Estructuras Metálicas</t>
  </si>
  <si>
    <t>h AYUDANTE ESPECIALISTA</t>
  </si>
  <si>
    <t>h OF. 1ª CERRAJERO-CHAPISTA</t>
  </si>
  <si>
    <t>u BOVEDILLA CERÁMICA</t>
  </si>
  <si>
    <t>m VIGUETA AUTORRESISTENTE PRETENSADA</t>
  </si>
  <si>
    <t>h OF. 1ª FERRALLISTA</t>
  </si>
  <si>
    <t>u BOVEDILLA MORTERO DE CEMENTO</t>
  </si>
  <si>
    <t>05AA</t>
  </si>
  <si>
    <t>kg. Armaduras</t>
  </si>
  <si>
    <t>05HA</t>
  </si>
  <si>
    <t>m3. Hormigones Armados</t>
  </si>
  <si>
    <t>06FB</t>
  </si>
  <si>
    <t>m2. Fcas. de Bloques</t>
  </si>
  <si>
    <t>h OF. 1ª ALBAÑILERÍA</t>
  </si>
  <si>
    <t>06DC</t>
  </si>
  <si>
    <t>m2. Distr. Tabiquería (Cámaras)</t>
  </si>
  <si>
    <t>06DSS00001</t>
  </si>
  <si>
    <t>06LE</t>
  </si>
  <si>
    <t>m2. Fcas. Exteriores de Ladrillo</t>
  </si>
  <si>
    <t>06LI</t>
  </si>
  <si>
    <t>m3 PASTA DE YESO NEGRO YG</t>
  </si>
  <si>
    <t>m3 HORMIGÓN CELULAR</t>
  </si>
  <si>
    <t>m2 MEMBRANA BETÚN MODIF. ARM. DOBLE POLIETILENO 4 mm</t>
  </si>
  <si>
    <t>kg PINTURA OXIASFALTO</t>
  </si>
  <si>
    <t>h OF. 1ª IMPERMEABILIZADOR</t>
  </si>
  <si>
    <t>m3 LECHADA DE CAL AÉREA CL 90</t>
  </si>
  <si>
    <t>m3 POLIESTIRENO PLANCHAS RIGIDAS, DENS. 12 kg/m3</t>
  </si>
  <si>
    <t>h OF. 1ª SOLADOR</t>
  </si>
  <si>
    <t>08CA</t>
  </si>
  <si>
    <t>u.  Aparatos Climatización</t>
  </si>
  <si>
    <t>08CR</t>
  </si>
  <si>
    <t>m2. Radiadores</t>
  </si>
  <si>
    <t>h OF. 1ª CALEFACTOR O MECÁNICO</t>
  </si>
  <si>
    <t>08EC</t>
  </si>
  <si>
    <t>m.  Circuitos</t>
  </si>
  <si>
    <t>m CABLE COBRE</t>
  </si>
  <si>
    <t>h OF. 1ª ELECTRICISTA</t>
  </si>
  <si>
    <t>08EL</t>
  </si>
  <si>
    <t>u.  Puntos de luz</t>
  </si>
  <si>
    <t>u CAJILLO UNIVERSAL ENLAZABLE</t>
  </si>
  <si>
    <t>u INTERRUPTOR SENCILLO</t>
  </si>
  <si>
    <t>08ET</t>
  </si>
  <si>
    <t>u.  Toma de corriente</t>
  </si>
  <si>
    <t>u BASE ENCHUFE II+T 10/16 A C/PLACA</t>
  </si>
  <si>
    <t>08EP</t>
  </si>
  <si>
    <t>m. Conductor de Puesta a Tierra</t>
  </si>
  <si>
    <t>m TUBO PVC</t>
  </si>
  <si>
    <t>u BOTE SIFÓNICO PVC</t>
  </si>
  <si>
    <t>m TUBO COBRE</t>
  </si>
  <si>
    <t>m TUBO CORRUGADO P/POLIETILENO</t>
  </si>
  <si>
    <t>08FG</t>
  </si>
  <si>
    <t>u.  Griferías</t>
  </si>
  <si>
    <t>u DESAGUE</t>
  </si>
  <si>
    <t>u EQUIPO GRIFERIA</t>
  </si>
  <si>
    <t>u JUEGO RAMALILLOS FLEXIBLES</t>
  </si>
  <si>
    <t>u APARATO SANITARIO</t>
  </si>
  <si>
    <t>08FT</t>
  </si>
  <si>
    <t>h OF. 1ª COLOCADOR</t>
  </si>
  <si>
    <t>m3 POLIESTIRENO</t>
  </si>
  <si>
    <t>t CEMENTO BLANCO BL II/A-L 42,5 R EN SACOS</t>
  </si>
  <si>
    <t>u AZULEJO BLANCO 15x15 cm</t>
  </si>
  <si>
    <t>h OF. 1ª ALICATADOR</t>
  </si>
  <si>
    <t>10CE</t>
  </si>
  <si>
    <t>m2. Enfoscados</t>
  </si>
  <si>
    <t>10CG</t>
  </si>
  <si>
    <t>m3 PASTA DE YESO BLANCO YF</t>
  </si>
  <si>
    <t>h OF. 1ª YESERO</t>
  </si>
  <si>
    <t>m3 MORTERO DE PERLITA Y ESCAYOLA</t>
  </si>
  <si>
    <t>m3 ARENA FINA</t>
  </si>
  <si>
    <t>m3 LECHADA DE CEMENTO CEM II/A-L 32,5 N</t>
  </si>
  <si>
    <t>m2 BALDOSA MÁRMOL</t>
  </si>
  <si>
    <t>10SS</t>
  </si>
  <si>
    <t>m2. Soleras</t>
  </si>
  <si>
    <t>h OFICIAL 2ª</t>
  </si>
  <si>
    <t>m3 PASTA DE ESCAYOLA</t>
  </si>
  <si>
    <t>m2 PLACA ESCAYOLA LISA</t>
  </si>
  <si>
    <t>h OF. 1ª ESCAYOLISTA</t>
  </si>
  <si>
    <t>m2 ENTRAMADO METÁLICO TECHO ESCAYOLA</t>
  </si>
  <si>
    <t>m REMATE PIEDRA CALIZA DE 7x5 cm</t>
  </si>
  <si>
    <t>h OF. 1ª CARPINTERÍA</t>
  </si>
  <si>
    <t>11CA</t>
  </si>
  <si>
    <t>m2. Carpintería Acero</t>
  </si>
  <si>
    <t>m2 ACERO</t>
  </si>
  <si>
    <t>m JUNTA DE SELLADO</t>
  </si>
  <si>
    <t>11CL</t>
  </si>
  <si>
    <t>m2. Carpintería Ligera</t>
  </si>
  <si>
    <t>11M</t>
  </si>
  <si>
    <t>m2. Carpintería Madera</t>
  </si>
  <si>
    <t>m CERCO SAPELLY 70X40 mm</t>
  </si>
  <si>
    <t>u HOJA NORMALIZADA SAPELLY 35 mm</t>
  </si>
  <si>
    <t>m LISTÓN PINO FLANDES 70X30 mm</t>
  </si>
  <si>
    <t>m3 MADERA SAPELLY</t>
  </si>
  <si>
    <t>m TAPAJUNTAS SAPELLY 60X15 mm</t>
  </si>
  <si>
    <t>u JUEGO DE POMOS O MANIVELAS DE LATON</t>
  </si>
  <si>
    <t>u PERNIOS DE LATÓN 11 cm</t>
  </si>
  <si>
    <t>u PICAPORTE DE RESBALÓN</t>
  </si>
  <si>
    <t>11MA</t>
  </si>
  <si>
    <t>m2. Armarios</t>
  </si>
  <si>
    <t>u AGARRADORES DE LATON 1ª CALIDAD</t>
  </si>
  <si>
    <t>u CERRADURA LLAVE PLANA</t>
  </si>
  <si>
    <t>11P</t>
  </si>
  <si>
    <t>m2. Persianas</t>
  </si>
  <si>
    <t>m GUIA ACERO ENROLLABLE PLÁSTICO</t>
  </si>
  <si>
    <t>u RULO Y MECANISMOS PERSIANA</t>
  </si>
  <si>
    <t>11R</t>
  </si>
  <si>
    <t>m2. Rejas</t>
  </si>
  <si>
    <t>12A</t>
  </si>
  <si>
    <t>m2. Acristalamientos</t>
  </si>
  <si>
    <t>m2 VIDRIO</t>
  </si>
  <si>
    <t>kg MASILLA PLASTICA</t>
  </si>
  <si>
    <t>h OF. 1ª CRISTALERO</t>
  </si>
  <si>
    <t>kg ESMALTE GRASO</t>
  </si>
  <si>
    <t>kg IMPRIMACIÓN ANTIOXIDANTE</t>
  </si>
  <si>
    <t>l DISOLVENTE</t>
  </si>
  <si>
    <t>kg PINTURA ELASTÓMERA ACRÍLICA LISA</t>
  </si>
  <si>
    <t>h OF. 1ª PINTOR</t>
  </si>
  <si>
    <t>kg CAL LECHADA</t>
  </si>
  <si>
    <t>kg WASH PRIMMER</t>
  </si>
  <si>
    <t>kg SELLADORA</t>
  </si>
  <si>
    <t>kg PINTURA PLÁSTICA</t>
  </si>
  <si>
    <t>kg TEMPLE</t>
  </si>
  <si>
    <t>CÓDIGO</t>
  </si>
  <si>
    <t>CONCEPTO</t>
  </si>
  <si>
    <t>02E</t>
  </si>
  <si>
    <t>m3.Excavaciones</t>
  </si>
  <si>
    <t>02R</t>
  </si>
  <si>
    <t>m3.Rellenos</t>
  </si>
  <si>
    <t>02T</t>
  </si>
  <si>
    <t>m3. Transporte Tierras</t>
  </si>
  <si>
    <t xml:space="preserve">kg. Armaduras </t>
  </si>
  <si>
    <t>03E</t>
  </si>
  <si>
    <t xml:space="preserve">m2. Encofrados </t>
  </si>
  <si>
    <t>03HA</t>
  </si>
  <si>
    <t>m3. Hormigones Armados Zapatas</t>
  </si>
  <si>
    <t>03H</t>
  </si>
  <si>
    <t>m3. Hormigones zunchos</t>
  </si>
  <si>
    <t>04A</t>
  </si>
  <si>
    <t xml:space="preserve">u.  Arquetas   </t>
  </si>
  <si>
    <t>04C</t>
  </si>
  <si>
    <t xml:space="preserve">m.  Colectores </t>
  </si>
  <si>
    <t>04B</t>
  </si>
  <si>
    <t>m.  Bajantes</t>
  </si>
  <si>
    <t>05F</t>
  </si>
  <si>
    <t>m2. Forjados</t>
  </si>
  <si>
    <t>05HE</t>
  </si>
  <si>
    <t>m2. Encofrados</t>
  </si>
  <si>
    <t>06DT</t>
  </si>
  <si>
    <t>m2. Distr. Tabiquería (Partic.)</t>
  </si>
  <si>
    <t xml:space="preserve">m2. Fcas. Interiores de Ladrillo </t>
  </si>
  <si>
    <t>07H</t>
  </si>
  <si>
    <t>m2. Cubiertas Horizontales</t>
  </si>
  <si>
    <t>07I</t>
  </si>
  <si>
    <t>m2. Cubiertas Inclinadas</t>
  </si>
  <si>
    <t>08CC</t>
  </si>
  <si>
    <t>m.  Conductos</t>
  </si>
  <si>
    <t>08ED</t>
  </si>
  <si>
    <t>m.  Líneas y Derivaciones</t>
  </si>
  <si>
    <t>08FC</t>
  </si>
  <si>
    <t>m.  Canalizaciones Agua Caliente</t>
  </si>
  <si>
    <t>08FD</t>
  </si>
  <si>
    <t>u.  Desagües</t>
  </si>
  <si>
    <t>08FF</t>
  </si>
  <si>
    <t>m.  Canalizaciones Agua Fría</t>
  </si>
  <si>
    <t>08FS</t>
  </si>
  <si>
    <t>u.  Aparatos Sanitarios</t>
  </si>
  <si>
    <t>u. Termos/calentadores</t>
  </si>
  <si>
    <t>09A</t>
  </si>
  <si>
    <t>m2. Aislamientos Acústicos</t>
  </si>
  <si>
    <t>09T</t>
  </si>
  <si>
    <t>m2. Aislamientos Térmicos</t>
  </si>
  <si>
    <t>10AA</t>
  </si>
  <si>
    <t>m2. Alicatados</t>
  </si>
  <si>
    <t>10AC</t>
  </si>
  <si>
    <t>m2. Chapados</t>
  </si>
  <si>
    <t>m2. Guarnecidos</t>
  </si>
  <si>
    <t>10S</t>
  </si>
  <si>
    <t>m2. Solados</t>
  </si>
  <si>
    <t>10T</t>
  </si>
  <si>
    <t>m2. Techos</t>
  </si>
  <si>
    <t>10R</t>
  </si>
  <si>
    <t>m.  Remates</t>
  </si>
  <si>
    <t xml:space="preserve">11MP </t>
  </si>
  <si>
    <t>m2. Puertas Madera</t>
  </si>
  <si>
    <t>11B</t>
  </si>
  <si>
    <t>m2. Barandillas</t>
  </si>
  <si>
    <t>13PE</t>
  </si>
  <si>
    <t>m2. Pinturas Exteriores</t>
  </si>
  <si>
    <t>13PI</t>
  </si>
  <si>
    <t>m2. Pinturas Interiores</t>
  </si>
  <si>
    <t>Madera</t>
  </si>
  <si>
    <t>Metálico</t>
  </si>
  <si>
    <t>PVC</t>
  </si>
  <si>
    <t>Hormigón</t>
  </si>
  <si>
    <t>Acero</t>
  </si>
  <si>
    <t>Bovedillas cerámicas</t>
  </si>
  <si>
    <t>Cobre</t>
  </si>
  <si>
    <t>Gas</t>
  </si>
  <si>
    <t>Poliestireno</t>
  </si>
  <si>
    <t>Polietileno</t>
  </si>
  <si>
    <t>Fibra de vidrio</t>
  </si>
  <si>
    <t>Con mortero</t>
  </si>
  <si>
    <t>Piedra artificial</t>
  </si>
  <si>
    <t>Piedra caliza</t>
  </si>
  <si>
    <t>-------------------------</t>
  </si>
  <si>
    <t xml:space="preserve">m3. Hormigones zunchos  </t>
  </si>
  <si>
    <t>Cerámica</t>
  </si>
  <si>
    <t>Cerámico</t>
  </si>
  <si>
    <t>Escayola</t>
  </si>
  <si>
    <t>Fij. Metálica</t>
  </si>
  <si>
    <t>Elastómera:</t>
  </si>
  <si>
    <t>Cal:</t>
  </si>
  <si>
    <t>S/ Carp. Madera:</t>
  </si>
  <si>
    <t>Porcelana</t>
  </si>
  <si>
    <t>Baldosa cerámica</t>
  </si>
  <si>
    <t>m2 TAPA DE HORMIGÓN ARMADO CON CERCO</t>
  </si>
  <si>
    <t>mu LADRILLO CERÁMICO</t>
  </si>
  <si>
    <t>m TUBO HORMIGÓN</t>
  </si>
  <si>
    <t>m BAJANTE CHAPA</t>
  </si>
  <si>
    <t>m BAJANTE PVC</t>
  </si>
  <si>
    <t>m3 HORMIGÓN</t>
  </si>
  <si>
    <t>m3 MORTERO DE CEMENTO</t>
  </si>
  <si>
    <t>m3 MORTERO BASTARDO</t>
  </si>
  <si>
    <t>m3 GRAVILLA</t>
  </si>
  <si>
    <t>u BALDOSA CERÁMICA</t>
  </si>
  <si>
    <t>u CALENTADOR ELÉCTRICO</t>
  </si>
  <si>
    <t>u BALDOSA GRES</t>
  </si>
  <si>
    <t xml:space="preserve">m3 GRAVA </t>
  </si>
  <si>
    <t>m2 LÁMINA POLIETILENO</t>
  </si>
  <si>
    <t>m2 BALDOSA TERRAZO</t>
  </si>
  <si>
    <t>u LADRILLO CERÁMICO</t>
  </si>
  <si>
    <t>m2 PERSIANA ENROLLABLE PVC</t>
  </si>
  <si>
    <t>m2 BALDOSA GRANITO</t>
  </si>
  <si>
    <t>Arena</t>
  </si>
  <si>
    <t>Escayolas - Yesos</t>
  </si>
  <si>
    <t>Cal</t>
  </si>
  <si>
    <t>Cemento</t>
  </si>
  <si>
    <t>Latón</t>
  </si>
  <si>
    <t>Piedra</t>
  </si>
  <si>
    <t>Aluminio</t>
  </si>
  <si>
    <t xml:space="preserve">Poliestireno  </t>
  </si>
  <si>
    <t>Pintura</t>
  </si>
  <si>
    <t>Vidrios</t>
  </si>
  <si>
    <t>Varios</t>
  </si>
  <si>
    <t>Cantidad</t>
  </si>
  <si>
    <t>S</t>
  </si>
  <si>
    <t>Materiales</t>
  </si>
  <si>
    <t>Eiem (MJ/kg)</t>
  </si>
  <si>
    <t>Cc (kg/u)</t>
  </si>
  <si>
    <t>Cantidad (u)</t>
  </si>
  <si>
    <t>Σ Eim (MJ)</t>
  </si>
  <si>
    <t>Superficie construida</t>
  </si>
  <si>
    <t>Vivienda</t>
  </si>
  <si>
    <t>c2</t>
  </si>
  <si>
    <t>Qi (u/m2)</t>
  </si>
  <si>
    <t>Maquinaria CD</t>
  </si>
  <si>
    <t>Coste (€)</t>
  </si>
  <si>
    <t>Coste (€/h)</t>
  </si>
  <si>
    <t>Coste gasoil A (€/l)</t>
  </si>
  <si>
    <t>Factor de conversión (MJ/l)</t>
  </si>
  <si>
    <t>HE consumo conbustible (ha)</t>
  </si>
  <si>
    <t>Productividad energética del petróleo (MJ/ha)</t>
  </si>
  <si>
    <t>TOTALES</t>
  </si>
  <si>
    <t>Consumo energía total (€)</t>
  </si>
  <si>
    <t>Consumo energía eléctrica (€)</t>
  </si>
  <si>
    <t>Consumo energía gasoil (€)</t>
  </si>
  <si>
    <t>Duración obra (días)</t>
  </si>
  <si>
    <t>Coste alquiler (€/día)</t>
  </si>
  <si>
    <t>Alquiler equipo A (coste x nº días)</t>
  </si>
  <si>
    <t>Potencia contratada (kW)</t>
  </si>
  <si>
    <t>Coste potencia contratada (€/kW)</t>
  </si>
  <si>
    <t>Coste potencia contratada Pe (€)</t>
  </si>
  <si>
    <t>Rendimiento instalaciones</t>
  </si>
  <si>
    <t>Factor de equivalencia (hag/ha)</t>
  </si>
  <si>
    <t>IPC</t>
  </si>
  <si>
    <t>IEM inicial</t>
  </si>
  <si>
    <t>Duración obra (meses)</t>
  </si>
  <si>
    <t>Concepto fijo de abastecimiento (€/mes)</t>
  </si>
  <si>
    <t>Concepto fijo de depuración (€/mes)</t>
  </si>
  <si>
    <t>Concepto variable de abastecimiento en función del consumo (€/m3)</t>
  </si>
  <si>
    <t>Concepto fijo de vertido (€/mes)</t>
  </si>
  <si>
    <t>Concepto variable de abastecimiento para canon de mejora y provincial (€/m3)</t>
  </si>
  <si>
    <t>Concepto variable de vertido en función del consumo (€/m3)</t>
  </si>
  <si>
    <t>Concepto variable de depuración en función del consumo (€/m3)</t>
  </si>
  <si>
    <t>Concepto variable de depuración para canon de mejora (€/m3)</t>
  </si>
  <si>
    <t>Productividad agua (m3/ha)</t>
  </si>
  <si>
    <t>Factor equivalencia (hag/ha)</t>
  </si>
  <si>
    <t>TOTAL</t>
  </si>
  <si>
    <t>Mano de obra CD</t>
  </si>
  <si>
    <t>Nh número total de horas trabajadas (h)</t>
  </si>
  <si>
    <t>HE fósil (hag/comida)</t>
  </si>
  <si>
    <t>HE pastos (hag/comida)</t>
  </si>
  <si>
    <t>HE mar (hag/comida)</t>
  </si>
  <si>
    <t>HE cultivo (hag/comida)</t>
  </si>
  <si>
    <t>Nt número de trabajadores</t>
  </si>
  <si>
    <t>O ocupación media por vehículo</t>
  </si>
  <si>
    <t>Nv número de vehículos empleados en la obra</t>
  </si>
  <si>
    <t>Dt distancia total recorrida (km)</t>
  </si>
  <si>
    <t>Consumo medio vehículo gasolina (litros/100 km)</t>
  </si>
  <si>
    <t>Mantenimiento (%)</t>
  </si>
  <si>
    <t>Productividad energética (MJ/ha)</t>
  </si>
  <si>
    <t>He consumo combustible (ha)</t>
  </si>
  <si>
    <t>HE pastos (hag)</t>
  </si>
  <si>
    <t>HE mar (hag)</t>
  </si>
  <si>
    <t>HE cultivo (hag)</t>
  </si>
  <si>
    <t>Consumo total (litros)</t>
  </si>
  <si>
    <t>Energía total (MJ)</t>
  </si>
  <si>
    <t>HE (ha)</t>
  </si>
  <si>
    <t>Factor de equivalencia bosques (hag/ha)</t>
  </si>
  <si>
    <t>Duración obra (años)</t>
  </si>
  <si>
    <t>Residuos urbanos por persona y año en España (t)</t>
  </si>
  <si>
    <t>Peso total RSU (t)</t>
  </si>
  <si>
    <t>Consumo orgánico (t)</t>
  </si>
  <si>
    <t>Consumo papel (t)</t>
  </si>
  <si>
    <t>Consumo plástico (t)</t>
  </si>
  <si>
    <t>Consumo vidrio (t)</t>
  </si>
  <si>
    <t>Índice de conversión orgánico (hag/t)</t>
  </si>
  <si>
    <t>Índice de conversión papel (hag/t)</t>
  </si>
  <si>
    <t>Índice de conversión plástico (hag/t)</t>
  </si>
  <si>
    <t>Índice de conversión vidrio (hag/t)</t>
  </si>
  <si>
    <t>Índice de conversión RCD (hag/t)</t>
  </si>
  <si>
    <t>Consumo RCD (t)</t>
  </si>
  <si>
    <t>Superficie consumida (ha)</t>
  </si>
  <si>
    <t>HUELLA TOTAL</t>
  </si>
  <si>
    <t>Impacto</t>
  </si>
  <si>
    <t>Maquinaria</t>
  </si>
  <si>
    <t>Electricidad</t>
  </si>
  <si>
    <t>Agua</t>
  </si>
  <si>
    <t>Alimentos</t>
  </si>
  <si>
    <t>Movilidad</t>
  </si>
  <si>
    <t>Ocupación directa</t>
  </si>
  <si>
    <t>Bosques</t>
  </si>
  <si>
    <t>Pastos</t>
  </si>
  <si>
    <t>Mar</t>
  </si>
  <si>
    <t>Cultivos</t>
  </si>
  <si>
    <t>c1</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</si>
  <si>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</si>
  <si>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</si>
  <si>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</si>
  <si>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</si>
  <si>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</si>
  <si>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</si>
  <si>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</si>
  <si>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</si>
  <si>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</si>
  <si>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</si>
  <si>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</si>
  <si>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</si>
  <si>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</si>
  <si>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</si>
  <si>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</si>
  <si>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</si>
  <si>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</si>
  <si>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</si>
  <si>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</si>
  <si>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</si>
  <si>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</si>
  <si>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</si>
  <si>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</si>
  <si>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</si>
  <si>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</si>
  <si>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</si>
  <si>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</si>
  <si>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</si>
  <si>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</si>
  <si>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</si>
  <si>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</si>
  <si>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</si>
  <si>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</si>
  <si>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</si>
  <si>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</si>
  <si>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</si>
  <si>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</si>
  <si>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</si>
  <si>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</si>
  <si>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</si>
  <si>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</si>
  <si>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</si>
  <si>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</si>
  <si>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</si>
  <si>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</si>
  <si>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</si>
  <si>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</si>
  <si>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</si>
  <si>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</si>
  <si>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</si>
  <si>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</si>
  <si>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</si>
  <si>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</si>
  <si>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</si>
  <si>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</si>
  <si>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</si>
  <si>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</si>
  <si>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</si>
  <si>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</si>
  <si>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</si>
  <si>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</si>
  <si>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</si>
  <si>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</si>
  <si>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</si>
  <si>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</si>
  <si>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</si>
  <si>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</si>
  <si>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</si>
  <si>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</si>
  <si>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</si>
  <si>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</si>
  <si>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</si>
  <si>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</si>
  <si>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</si>
  <si>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</si>
  <si>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</si>
  <si>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</si>
  <si>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</si>
  <si>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</si>
  <si>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</si>
  <si>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</si>
  <si>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</si>
  <si>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</si>
  <si>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</si>
  <si>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</si>
  <si>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</si>
  <si>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</si>
  <si>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</si>
  <si>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</si>
  <si>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</si>
  <si>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</si>
  <si>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</si>
  <si>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</si>
  <si>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</si>
  <si>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</si>
  <si>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</si>
  <si>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</si>
  <si>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</si>
  <si>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</si>
  <si>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</si>
  <si>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</si>
  <si>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</si>
  <si>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</si>
  <si>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</si>
  <si>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</si>
  <si>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</si>
  <si>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</si>
  <si>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</si>
  <si>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</si>
  <si>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VIVIENDA</t>
  </si>
  <si>
    <t>SUP. CONS.</t>
  </si>
  <si>
    <t>AÑO CONS.</t>
  </si>
  <si>
    <t>IEM ACTUALIZADO</t>
  </si>
  <si>
    <t>IEM actualizado</t>
  </si>
  <si>
    <t>TABLA ACTUALIZACIÓN IMPORTES</t>
  </si>
  <si>
    <t>DATOS</t>
  </si>
  <si>
    <t>Año</t>
  </si>
  <si>
    <t>Consumo medio vehículo gasoil (litros/100 km)</t>
  </si>
  <si>
    <t>Huella ecológica alimentos</t>
  </si>
  <si>
    <t>Huella ecológica de movilidad</t>
  </si>
  <si>
    <t>D duración obra en horas por trabajador (h)</t>
  </si>
  <si>
    <t>Consumo energía electríca (kWh)</t>
  </si>
  <si>
    <t>Coste del kWh (€/kWh)</t>
  </si>
  <si>
    <t>Factor de conversión (GJ/kWh)</t>
  </si>
  <si>
    <t>Consumo energía eléctrica (GJ)</t>
  </si>
  <si>
    <t>Consumo energía primaria (GJ)</t>
  </si>
  <si>
    <t>Factor equivalencia bosques</t>
  </si>
  <si>
    <t>Volumen de consumo final (m3)</t>
  </si>
  <si>
    <t>Número de plantas S/R</t>
  </si>
  <si>
    <t>Número plantas sobre rasante</t>
  </si>
  <si>
    <t/>
  </si>
  <si>
    <t xml:space="preserve">MEDICIÓN DEL PROYECTO </t>
  </si>
  <si>
    <t xml:space="preserve">Datos de cálculo de carácter general </t>
  </si>
  <si>
    <t>Datos generales del proyecto</t>
  </si>
  <si>
    <t>Coste menú trabajador (€)</t>
  </si>
  <si>
    <t>Datos relativos a la mano de obra</t>
  </si>
  <si>
    <t>Mantenimiento vehículos trabajadores (%)</t>
  </si>
  <si>
    <t>Datos relativos a la maquinaria</t>
  </si>
  <si>
    <t>Mantenimiento maquinaria (%)</t>
  </si>
  <si>
    <t>Factor de conversión combustible (MJ/l)</t>
  </si>
  <si>
    <t>Datos relativos al consumo de energía eléctrica</t>
  </si>
  <si>
    <t>Datos relativos al consumo de agua</t>
  </si>
  <si>
    <t>Coste alquiler equipo (€/día)</t>
  </si>
  <si>
    <t>Datos relativos a los residuos de obra</t>
  </si>
  <si>
    <t>Rendimiento instalaciones (%)</t>
  </si>
  <si>
    <t>Impuesto electricidad (€)</t>
  </si>
  <si>
    <t>Factor de equivalencia tierras agrícolas (hag/ha)</t>
  </si>
  <si>
    <t>Superficie consumida</t>
  </si>
  <si>
    <t>Tipo de huella (hag)</t>
  </si>
  <si>
    <t>Mediciones según Tipología Edificatoria</t>
  </si>
  <si>
    <t>Tipología c62</t>
  </si>
  <si>
    <t>Tipología c1</t>
  </si>
  <si>
    <t>Tipología c2</t>
  </si>
  <si>
    <t>Tipología c3</t>
  </si>
  <si>
    <t>Tipología c4</t>
  </si>
  <si>
    <t>Tipología c5</t>
  </si>
  <si>
    <t>Tipología c6</t>
  </si>
  <si>
    <t>Tipología c7</t>
  </si>
  <si>
    <t>Tipología c8</t>
  </si>
  <si>
    <t>Tipología c9</t>
  </si>
  <si>
    <t>Tipología c10</t>
  </si>
  <si>
    <t>Tipología c11</t>
  </si>
  <si>
    <t>Tipología c12</t>
  </si>
  <si>
    <t>Tipología c13</t>
  </si>
  <si>
    <t>Tipología c14</t>
  </si>
  <si>
    <t>Tipología c15</t>
  </si>
  <si>
    <t>Tipología c16</t>
  </si>
  <si>
    <t>Tipología c17</t>
  </si>
  <si>
    <t>Tipología c18</t>
  </si>
  <si>
    <t>Tipología c19</t>
  </si>
  <si>
    <t>Tipología c20</t>
  </si>
  <si>
    <t>Tipología c21</t>
  </si>
  <si>
    <t>Tipología c22</t>
  </si>
  <si>
    <t>Tipología c23</t>
  </si>
  <si>
    <t>Tipología c24</t>
  </si>
  <si>
    <t>Tipología c25</t>
  </si>
  <si>
    <t>Tipología c26</t>
  </si>
  <si>
    <t>Tipología c27</t>
  </si>
  <si>
    <t>Tipología c28</t>
  </si>
  <si>
    <t>Tipología c29</t>
  </si>
  <si>
    <t>Tipología c30</t>
  </si>
  <si>
    <t>Tipología c31</t>
  </si>
  <si>
    <t>Tipología c32</t>
  </si>
  <si>
    <t>Tipología c33</t>
  </si>
  <si>
    <t>Tipología c34</t>
  </si>
  <si>
    <t>Tipología c35</t>
  </si>
  <si>
    <t>Tipología c36</t>
  </si>
  <si>
    <t>Tipología c37</t>
  </si>
  <si>
    <t>Tipología c38</t>
  </si>
  <si>
    <t>Tipología c39</t>
  </si>
  <si>
    <t>Tipología c40</t>
  </si>
  <si>
    <t>Tipología c41</t>
  </si>
  <si>
    <t>Tipología c42</t>
  </si>
  <si>
    <t>Tipología c43</t>
  </si>
  <si>
    <t>Tipología c44</t>
  </si>
  <si>
    <t>Tipología c45</t>
  </si>
  <si>
    <t>Tipología c46</t>
  </si>
  <si>
    <t>Tipología c47</t>
  </si>
  <si>
    <t>Tipología c48</t>
  </si>
  <si>
    <t>Tipología c49</t>
  </si>
  <si>
    <t>Tipología c50</t>
  </si>
  <si>
    <t>Tipología c51</t>
  </si>
  <si>
    <t>Tipología c52</t>
  </si>
  <si>
    <t>Tipología c53</t>
  </si>
  <si>
    <t>Tipología c54</t>
  </si>
  <si>
    <t>Tipología c55</t>
  </si>
  <si>
    <t>Tipología c56</t>
  </si>
  <si>
    <t>Tipología c57</t>
  </si>
  <si>
    <t>Tipología c58</t>
  </si>
  <si>
    <t>Tipología c59</t>
  </si>
  <si>
    <t>Tipología c60</t>
  </si>
  <si>
    <t>Tipología c61</t>
  </si>
  <si>
    <t>Tipología c63</t>
  </si>
  <si>
    <t>Tipología c64</t>
  </si>
  <si>
    <t>Tipología c65</t>
  </si>
  <si>
    <t>Tipología c66</t>
  </si>
  <si>
    <t>Tipología c67</t>
  </si>
  <si>
    <t>Tipología c68</t>
  </si>
  <si>
    <t>Tipología c69</t>
  </si>
  <si>
    <t>Tipología c70</t>
  </si>
  <si>
    <t>Tipología c71</t>
  </si>
  <si>
    <t>Tipología c72</t>
  </si>
  <si>
    <t>Tipología c73</t>
  </si>
  <si>
    <t>Tipología c74</t>
  </si>
  <si>
    <t>Tipología c75</t>
  </si>
  <si>
    <t>Tipología c76</t>
  </si>
  <si>
    <t>Tipología c77</t>
  </si>
  <si>
    <t>Tipología c78</t>
  </si>
  <si>
    <t>Tipología c79</t>
  </si>
  <si>
    <t>Tipología c80</t>
  </si>
  <si>
    <t>Tipología c81</t>
  </si>
  <si>
    <t>Tipología c82</t>
  </si>
  <si>
    <t>Tipología c83</t>
  </si>
  <si>
    <t>Tipología c84</t>
  </si>
  <si>
    <t>Tipología c85</t>
  </si>
  <si>
    <t>Tipología c86</t>
  </si>
  <si>
    <t>Tipología c87</t>
  </si>
  <si>
    <t>Tipología c88</t>
  </si>
  <si>
    <t>Tipología c89</t>
  </si>
  <si>
    <t>Tipología c90</t>
  </si>
  <si>
    <t>Tipología c91</t>
  </si>
  <si>
    <t>Tipología c92</t>
  </si>
  <si>
    <t>Tipología c93</t>
  </si>
  <si>
    <t>Tipología c94</t>
  </si>
  <si>
    <t>Tipología c95</t>
  </si>
  <si>
    <t>Tipología c96</t>
  </si>
  <si>
    <t>Tipología c97</t>
  </si>
  <si>
    <t>Tipología c98</t>
  </si>
  <si>
    <t>Tipología c99</t>
  </si>
  <si>
    <t>Tipología c100</t>
  </si>
  <si>
    <t>Tipología c101</t>
  </si>
  <si>
    <t>Tipología c102</t>
  </si>
  <si>
    <t>Tipología c103</t>
  </si>
  <si>
    <t>Tipología c104</t>
  </si>
  <si>
    <t>Tipología c105</t>
  </si>
  <si>
    <t>Tipología c106</t>
  </si>
  <si>
    <t>Tipología c107</t>
  </si>
  <si>
    <t>Tipología c108</t>
  </si>
  <si>
    <t>Tipología c109</t>
  </si>
  <si>
    <t>Tipología c110</t>
  </si>
  <si>
    <t>Tipología c111</t>
  </si>
  <si>
    <t>PEM INICIAL</t>
  </si>
  <si>
    <t>PEM (€)</t>
  </si>
  <si>
    <t>Porcentaje orgánico (%)</t>
  </si>
  <si>
    <t>Porcentaje papel (%)</t>
  </si>
  <si>
    <t>Porcentaje plástico (%)</t>
  </si>
  <si>
    <t>Porcentaje vidrio (%)</t>
  </si>
  <si>
    <t>Energía</t>
  </si>
  <si>
    <t>HE Total (hag)</t>
  </si>
  <si>
    <t>HE parcial (hag)</t>
  </si>
  <si>
    <t>ANEXO VI. HOJA HUELLA ECOLÓGICA DE LA  ENERGÍA : ELECTRICIDAD Y COMBUSTIBLE</t>
  </si>
  <si>
    <t>ANEXO VI. HOJA HUELLA ECOLÓGICA  AGUA</t>
  </si>
  <si>
    <t>ANEXO VI. HOJA HUELLA ECOLÓGICA MANO DE OBRA:  ALIMENTOS Y MOVILIDAD</t>
  </si>
  <si>
    <r>
      <t>Cs</t>
    </r>
    <r>
      <rPr>
        <vertAlign val="subscript"/>
        <sz val="11"/>
        <color theme="1"/>
        <rFont val="Arial"/>
        <family val="2"/>
      </rPr>
      <t>ta</t>
    </r>
  </si>
  <si>
    <t>Productividad energética fuentes energía (ha/GJ)</t>
  </si>
  <si>
    <r>
      <t>h</t>
    </r>
    <r>
      <rPr>
        <vertAlign val="subscript"/>
        <sz val="11"/>
        <color theme="1"/>
        <rFont val="Arial"/>
        <family val="2"/>
      </rPr>
      <t>c</t>
    </r>
    <r>
      <rPr>
        <sz val="11"/>
        <color theme="1"/>
        <rFont val="Arial"/>
        <family val="2"/>
      </rPr>
      <t xml:space="preserve"> (h/comida)</t>
    </r>
  </si>
  <si>
    <r>
      <t>h</t>
    </r>
    <r>
      <rPr>
        <vertAlign val="subscript"/>
        <sz val="11"/>
        <color theme="1"/>
        <rFont val="Arial"/>
        <family val="2"/>
      </rPr>
      <t xml:space="preserve">e </t>
    </r>
    <r>
      <rPr>
        <sz val="11"/>
        <color theme="1"/>
        <rFont val="Arial"/>
        <family val="2"/>
      </rPr>
      <t>Horas efectivas trabajadas en un año (h)</t>
    </r>
  </si>
  <si>
    <r>
      <t>d</t>
    </r>
    <r>
      <rPr>
        <vertAlign val="subscript"/>
        <sz val="11"/>
        <color theme="1"/>
        <rFont val="Arial"/>
        <family val="2"/>
      </rPr>
      <t xml:space="preserve">m </t>
    </r>
    <r>
      <rPr>
        <sz val="11"/>
        <color theme="1"/>
        <rFont val="Arial"/>
        <family val="2"/>
      </rPr>
      <t>distancia media recorrida por cada vehículo (km)</t>
    </r>
  </si>
  <si>
    <r>
      <t>Emisiones medias CO</t>
    </r>
    <r>
      <rPr>
        <vertAlign val="subscript"/>
        <sz val="11"/>
        <color theme="1"/>
        <rFont val="Arial"/>
        <family val="2"/>
      </rPr>
      <t>2</t>
    </r>
    <r>
      <rPr>
        <sz val="11"/>
        <color theme="1"/>
        <rFont val="Arial"/>
        <family val="2"/>
      </rPr>
      <t xml:space="preserve"> gasolina (kg/litro)</t>
    </r>
  </si>
  <si>
    <r>
      <t>Emisiones medias CO</t>
    </r>
    <r>
      <rPr>
        <vertAlign val="subscript"/>
        <sz val="11"/>
        <color theme="1"/>
        <rFont val="Arial"/>
        <family val="2"/>
      </rPr>
      <t>2</t>
    </r>
    <r>
      <rPr>
        <sz val="11"/>
        <color theme="1"/>
        <rFont val="Arial"/>
        <family val="2"/>
      </rPr>
      <t xml:space="preserve"> gasoil (kg/litro)</t>
    </r>
  </si>
  <si>
    <t>ANEXO VI. HOJA HUELLA ECOLÓGICA MATERIALES</t>
  </si>
  <si>
    <t>Huella consumo combustible fósil  (hag)</t>
  </si>
  <si>
    <t>%HE parcial/      HE total</t>
  </si>
  <si>
    <t>ANEXO VI. HOJA HUELLA ECOLÓGICA RESIDUOS Y SUP. CONSUMIDA</t>
  </si>
  <si>
    <t>ANEXO VI. DATOS AUXILIARES GENERALES</t>
  </si>
  <si>
    <t>Datos actualizables</t>
  </si>
  <si>
    <t>ANEXO VI. DATOS AUXILIARES MAQUINARIA</t>
  </si>
  <si>
    <t>ANEXO VI. DATOS AUXILIARES ENERGÍA ELÉCTRICA</t>
  </si>
  <si>
    <r>
      <t>Productividad energética fuentes energía</t>
    </r>
    <r>
      <rPr>
        <sz val="11"/>
        <color theme="1"/>
        <rFont val="Arial"/>
        <family val="2"/>
      </rPr>
      <t xml:space="preserve"> (ha/GJ)</t>
    </r>
  </si>
  <si>
    <t>ANEXO VI. DATOS AUXILIARES AGUA</t>
  </si>
  <si>
    <t>ANEXO VI. DATOS AUXILIARES MANO DE OBRA</t>
  </si>
  <si>
    <r>
      <t>h</t>
    </r>
    <r>
      <rPr>
        <vertAlign val="subscript"/>
        <sz val="11"/>
        <color theme="1"/>
        <rFont val="Arial"/>
        <family val="2"/>
      </rPr>
      <t>c</t>
    </r>
    <r>
      <rPr>
        <sz val="11"/>
        <color theme="1"/>
        <rFont val="Arial"/>
        <family val="2"/>
      </rPr>
      <t xml:space="preserve"> Horas por cada comida (h/comida)</t>
    </r>
  </si>
  <si>
    <t>ANEXO VI. DATOS AUXILIARES MATERIALES</t>
  </si>
  <si>
    <t>ANEXO VI. DATOS AUXILIARES RESIDUOS</t>
  </si>
  <si>
    <t>Datos editables</t>
  </si>
  <si>
    <t xml:space="preserve">Proyecto tipo </t>
  </si>
  <si>
    <t>ANEXO VI. HOJA HUELLA ECOLÓGICA  SUP. CONSUMIDA</t>
  </si>
  <si>
    <t>m2 MEMBRANA BETÚN MODIF. ARM. DOBLE POLIET. 4 mm</t>
  </si>
  <si>
    <t xml:space="preserve">Proyecto tipo  </t>
  </si>
  <si>
    <t>Volumen tierras por m2 (m3/m2)</t>
  </si>
  <si>
    <t>Volumen tierras (m3)</t>
  </si>
  <si>
    <t>Volumen RCD mixto (m3/m2)</t>
  </si>
  <si>
    <t>Volumen de tierras por unidad de superficie (m2/m3)</t>
  </si>
  <si>
    <t>Volumen RCD mixto por unidad de superficie (m2/m3)</t>
  </si>
  <si>
    <t>VolumenTierras</t>
  </si>
  <si>
    <t>VolumenRCD</t>
  </si>
  <si>
    <t>Numero trabajadores</t>
  </si>
  <si>
    <t>código</t>
  </si>
  <si>
    <t>Volumen RCD mixtos m3</t>
  </si>
  <si>
    <t>Categoría de terreno productivo</t>
  </si>
  <si>
    <t xml:space="preserve">Cultivos </t>
  </si>
  <si>
    <t>Mar productivo</t>
  </si>
  <si>
    <t>Superficie artificializada</t>
  </si>
  <si>
    <t>Área de absorción de CO2</t>
  </si>
  <si>
    <t>(***)Datos obtenidos:National Footprint Accounts Method Paper 2010. (Datos de 2007)</t>
  </si>
  <si>
    <t>Tipo de generación</t>
  </si>
  <si>
    <t>Porcentaje</t>
  </si>
  <si>
    <t>Factor</t>
  </si>
  <si>
    <t xml:space="preserve">Fuentes de </t>
  </si>
  <si>
    <t>Productividad</t>
  </si>
  <si>
    <t>eficiencia</t>
  </si>
  <si>
    <t>energía</t>
  </si>
  <si>
    <t>energetica (GJ/ha)</t>
  </si>
  <si>
    <t>Térmicas fósiles</t>
  </si>
  <si>
    <t>Fósiles</t>
  </si>
  <si>
    <t>Carbón</t>
  </si>
  <si>
    <t>Petróleo</t>
  </si>
  <si>
    <t>Gas Natural</t>
  </si>
  <si>
    <t>Nuclear</t>
  </si>
  <si>
    <t>Total</t>
  </si>
  <si>
    <t>Tabla de conversiones</t>
  </si>
  <si>
    <t>Transformación de los consumos kWh a GJ</t>
  </si>
  <si>
    <t>Factor de conversión</t>
  </si>
  <si>
    <t>MJ/l</t>
  </si>
  <si>
    <t>????</t>
  </si>
  <si>
    <t>*</t>
  </si>
  <si>
    <t>***Según Informe anual 2012. Ministerio Medio Ambiente Marino y Rural. (valores del 2011)</t>
  </si>
  <si>
    <t>**Según Analisis y prospectiva serie de indicadores_26 Julio 2013. Ministerio Medio Ambiente Marino y Rural. Año 2009</t>
  </si>
  <si>
    <t>IMA 2008</t>
  </si>
  <si>
    <t>IMA 2010</t>
  </si>
  <si>
    <t xml:space="preserve">IMA 2011 </t>
  </si>
  <si>
    <t>*Según Informe IMA 2011. Junta de Andalucía (valores de Andalucía 2010)</t>
  </si>
  <si>
    <t>***2012</t>
  </si>
  <si>
    <t>**2009</t>
  </si>
  <si>
    <t>**2010</t>
  </si>
  <si>
    <t>Ministerio Medio Ambiente</t>
  </si>
  <si>
    <t>Junta Andalucía</t>
  </si>
  <si>
    <t>(*)Datos obtenidos:Informe Planeta Vivo 2006 (datos 2003)</t>
  </si>
  <si>
    <t>(**)Datos obtenidos: Análisis de la HE en España 2008. Ministerio de Medio Ambiente y Medio rural  y Marino</t>
  </si>
  <si>
    <t>2006*</t>
  </si>
  <si>
    <t>2008**</t>
  </si>
  <si>
    <t>2010***</t>
  </si>
  <si>
    <t>Factor de equivalencia hag/ha</t>
  </si>
  <si>
    <t>TFM</t>
  </si>
  <si>
    <t>* Datos según Informe CORES 2012</t>
  </si>
  <si>
    <t>HE energía (hag)</t>
  </si>
  <si>
    <t xml:space="preserve"> Huella Ecológica bosques (hag)</t>
  </si>
  <si>
    <r>
      <t>Productividad energética fuentes energía</t>
    </r>
    <r>
      <rPr>
        <b/>
        <sz val="11"/>
        <color theme="1"/>
        <rFont val="Arial"/>
        <family val="2"/>
      </rPr>
      <t xml:space="preserve"> (ha/GJ)</t>
    </r>
  </si>
  <si>
    <t>Productividad energética (GJ/ha)</t>
  </si>
  <si>
    <t>Fuentes de energía</t>
  </si>
  <si>
    <t>Factor eficiencia</t>
  </si>
  <si>
    <t xml:space="preserve">Coste menú: </t>
  </si>
  <si>
    <t>%
alim.</t>
  </si>
  <si>
    <t>Consumos
(t/1000€)</t>
  </si>
  <si>
    <t>Intens.energ
(GJ/t)</t>
  </si>
  <si>
    <t>FE bosques
(hag/ha)</t>
  </si>
  <si>
    <t>Prod.petróleo
(GJ/ha)</t>
  </si>
  <si>
    <t>Prod.natural
(t/ha)</t>
  </si>
  <si>
    <t>FE pastos</t>
  </si>
  <si>
    <t>FE mar</t>
  </si>
  <si>
    <t>FE cultivos</t>
  </si>
  <si>
    <t>HE fósil
(hag/comida)</t>
  </si>
  <si>
    <t>HE pastos
(hag/comida)</t>
  </si>
  <si>
    <t>HE mar
(hag/comida)</t>
  </si>
  <si>
    <t>HE cultivos
(hag/comida)</t>
  </si>
  <si>
    <t>Carnes</t>
  </si>
  <si>
    <t>Pescados</t>
  </si>
  <si>
    <t>Cereales</t>
  </si>
  <si>
    <t>Bebidas</t>
  </si>
  <si>
    <t>Legumbres</t>
  </si>
  <si>
    <t>Dulces</t>
  </si>
  <si>
    <t>Aceites</t>
  </si>
  <si>
    <t>Lácteos</t>
  </si>
  <si>
    <t>Café</t>
  </si>
  <si>
    <t>Factor equivalencia cultivos</t>
  </si>
  <si>
    <t>Factor equivalencia pastos</t>
  </si>
  <si>
    <t>Factor de equivalencia mar</t>
  </si>
  <si>
    <t>PVP gasolina y gasóleo de automoción</t>
  </si>
  <si>
    <t>Combustible</t>
  </si>
  <si>
    <t>PVP Gasolina 95 I.O. (c€/l)</t>
  </si>
  <si>
    <t>PVP Gasóleo automoción (c€/l)</t>
  </si>
  <si>
    <t>Datos calculados en esta hoja</t>
  </si>
  <si>
    <t>Datos auxiliares particulares de la energía</t>
  </si>
  <si>
    <t>Datos proyecto</t>
  </si>
  <si>
    <t>Datos auxiliares generales</t>
  </si>
  <si>
    <t>Datos auxiliares particulares del agua</t>
  </si>
  <si>
    <t>Datos variables en función del consumo del agua</t>
  </si>
  <si>
    <t>Huella Ecológica combustible</t>
  </si>
  <si>
    <t>Huella Ecológica energía eléctrica</t>
  </si>
  <si>
    <t>Huella Ecológica del consumo de agua</t>
  </si>
  <si>
    <t>Huella Ecológica materiales</t>
  </si>
  <si>
    <t>Huella Ecológica de los residuos</t>
  </si>
  <si>
    <t>Huella Ecológica de superficie consumida</t>
  </si>
  <si>
    <t>Huella Ecológica ocupación directa (hag)</t>
  </si>
  <si>
    <t>TFM Pat</t>
  </si>
  <si>
    <t>2010**</t>
  </si>
  <si>
    <t>Factor de equivalencia</t>
  </si>
  <si>
    <t>( hag/ha)</t>
  </si>
  <si>
    <t>Valores medios</t>
  </si>
  <si>
    <t xml:space="preserve"> 1 planta</t>
  </si>
  <si>
    <t>Vm 1 planta</t>
  </si>
  <si>
    <t>Consumo energía gasoil en obra (€) 20%</t>
  </si>
  <si>
    <t>Media consumos</t>
  </si>
  <si>
    <t>(m3/año/m2)</t>
  </si>
  <si>
    <t xml:space="preserve"> de plantas sobre rasante</t>
  </si>
  <si>
    <t>Tipologías según número</t>
  </si>
  <si>
    <t>ORGÁNICO</t>
  </si>
  <si>
    <t>PAPEL</t>
  </si>
  <si>
    <t>PLÁSTICO</t>
  </si>
  <si>
    <t>VIDRIO</t>
  </si>
  <si>
    <t>TIERRAS</t>
  </si>
  <si>
    <t>RCD</t>
  </si>
  <si>
    <t>Intensidad energética (GJ/t)</t>
  </si>
  <si>
    <t>Porcentaje reciclaje (%)</t>
  </si>
  <si>
    <t>Porcentaje energía (%)</t>
  </si>
  <si>
    <t>Productividad natural (t/ha)</t>
  </si>
  <si>
    <t>Organic</t>
  </si>
  <si>
    <t>Paper</t>
  </si>
  <si>
    <t>Plastic</t>
  </si>
  <si>
    <t>Glass</t>
  </si>
  <si>
    <t>CRx (gha/year/t)</t>
  </si>
  <si>
    <t>Gas natural</t>
  </si>
  <si>
    <t>Hidraúlica</t>
  </si>
  <si>
    <t>Eólica, solar y geotérmica</t>
  </si>
  <si>
    <t>Biomasa, carburantes y residuos</t>
  </si>
  <si>
    <t>Saldo emp-exp elect</t>
  </si>
  <si>
    <t>Datos según Ministerio de Industria Energía y Turismo_ Informe  la Energía en España 2011</t>
  </si>
  <si>
    <t>E renovables</t>
  </si>
  <si>
    <t xml:space="preserve">Datos según IDAE junio2102-julio2013 </t>
  </si>
  <si>
    <t>2012-2013</t>
  </si>
  <si>
    <t>Eólica</t>
  </si>
  <si>
    <t>Huella Ecológica energía (hag) RSU</t>
  </si>
  <si>
    <t>Huella Ecológica energía (hag) RCD</t>
  </si>
  <si>
    <t>Residuos RSU</t>
  </si>
  <si>
    <t>Residuos RCD</t>
  </si>
  <si>
    <t>Tipologías según número de plantas sobre rasante</t>
  </si>
  <si>
    <t xml:space="preserve">A= Edif.tipo residencial sin sótano (m3/year/m2) </t>
  </si>
  <si>
    <t>B= Edif. Tipo residencial con sótano (m3/year/m2)</t>
  </si>
  <si>
    <t>C= (A+B)/2 Media consumos con y sin sótano (m3/year/m2)</t>
  </si>
  <si>
    <t>Número de proyectos estudiados</t>
  </si>
  <si>
    <t xml:space="preserve">Datos según REE España </t>
  </si>
  <si>
    <t>Cogeneración y resto (Petróleo)</t>
  </si>
  <si>
    <t>Ciclo combinado (Gas)</t>
  </si>
  <si>
    <t>Térmica renovable</t>
  </si>
  <si>
    <t>Solar fotovoltaica</t>
  </si>
  <si>
    <t>Solar termoeléctrica</t>
  </si>
  <si>
    <t>(Datos según WWF España Enero2013 de REE)</t>
  </si>
  <si>
    <t xml:space="preserve">Porcentaje TD.Solís-Guzmán </t>
  </si>
  <si>
    <t>Porcentaje según ERR</t>
  </si>
  <si>
    <t>Media consumos edificios de viviendas sin sótano (m3/año/m2)</t>
  </si>
  <si>
    <t>Media consumos edificios de viviendas con sótano (m3/año/m2)</t>
  </si>
  <si>
    <t>Datos actualizables  2012</t>
  </si>
  <si>
    <t>Huella Ecológica residuos (hag)</t>
  </si>
  <si>
    <t>m2 Aluminio</t>
  </si>
  <si>
    <t>Porcentajes según Informe Energía 2011</t>
  </si>
  <si>
    <t>peninsular</t>
  </si>
  <si>
    <t>extrapeninsular</t>
  </si>
  <si>
    <t xml:space="preserve">ordinario </t>
  </si>
  <si>
    <t>especial</t>
  </si>
  <si>
    <t>ordinario</t>
  </si>
  <si>
    <t>PORCENTAJE</t>
  </si>
  <si>
    <t>carbon</t>
  </si>
  <si>
    <t>petroleo</t>
  </si>
  <si>
    <t>gn</t>
  </si>
  <si>
    <t>Hidroelectrica</t>
  </si>
  <si>
    <t>Renovable</t>
  </si>
  <si>
    <r>
      <t>Productividad energética fuentes energía</t>
    </r>
    <r>
      <rPr>
        <b/>
        <sz val="11"/>
        <color theme="1"/>
        <rFont val="Arial"/>
        <family val="2"/>
      </rPr>
      <t xml:space="preserve"> (ha/GJ) según ERR</t>
    </r>
  </si>
  <si>
    <r>
      <t>Productividad energética fuentes energía</t>
    </r>
    <r>
      <rPr>
        <b/>
        <sz val="11"/>
        <color theme="1"/>
        <rFont val="Arial"/>
        <family val="2"/>
      </rPr>
      <t xml:space="preserve"> (ha/GJ) según Informe Energía Ministerio</t>
    </r>
  </si>
  <si>
    <t>haciendo las medias de los regímenes ordinario y especial y peninsular y extrapeninsular</t>
  </si>
  <si>
    <t>Nota: aunque los datos de Red Eléctrica española son más recientes, tomamos los datos del Ministerio que son los mismos que se tomaron en la Tesis Solís, haciendo una media de regímenes y zonas de España</t>
  </si>
  <si>
    <t>SELECCIÓN PROYECTO</t>
  </si>
  <si>
    <t xml:space="preserve"> HOJA RESUMEN HUELLA ECOLÓGICA</t>
  </si>
  <si>
    <t>c148</t>
  </si>
  <si>
    <t>c135</t>
  </si>
  <si>
    <t>c122</t>
  </si>
  <si>
    <t>c07</t>
  </si>
  <si>
    <t>Nuevas tipologías</t>
  </si>
  <si>
    <t>c08</t>
  </si>
  <si>
    <t>c09</t>
  </si>
  <si>
    <t>c02</t>
  </si>
  <si>
    <t>c03</t>
  </si>
  <si>
    <t>c04</t>
  </si>
  <si>
    <t>c05</t>
  </si>
  <si>
    <t>c06</t>
  </si>
  <si>
    <t>c1B</t>
  </si>
  <si>
    <t>c01</t>
  </si>
  <si>
    <t>Datos Informe Energía España 2011. MIET</t>
  </si>
  <si>
    <t>HE Total (hag/m2)</t>
  </si>
  <si>
    <t>CAPITULO 02</t>
  </si>
  <si>
    <t>CAPITULO 03</t>
  </si>
  <si>
    <t>CAPITULO 04</t>
  </si>
  <si>
    <t>CAPITULO 05</t>
  </si>
  <si>
    <t>CAPITULO 06</t>
  </si>
  <si>
    <t>CAPITULO 07</t>
  </si>
  <si>
    <t>CAPITULO 08</t>
  </si>
  <si>
    <t>CAPITULO 09</t>
  </si>
  <si>
    <t>CAPITULO 10</t>
  </si>
  <si>
    <t>CAPITULO 11</t>
  </si>
  <si>
    <t>CAPITULO 12</t>
  </si>
  <si>
    <t>CAPITULO 13</t>
  </si>
  <si>
    <t>CAPÍTULO 02. EXCAVACIONES</t>
  </si>
  <si>
    <t>CAPÍTULO 03. CIMENTACIONES</t>
  </si>
  <si>
    <t>CAPÍTULO 04. SANEAMIENTO</t>
  </si>
  <si>
    <t>CAPÍTULO 05. ESTRUCTURAS</t>
  </si>
  <si>
    <t>CAPÍTULO 06. ALBAÑILERÍA</t>
  </si>
  <si>
    <t>CAPÍTULO 07. CUBIERTAS</t>
  </si>
  <si>
    <t>CAPÍTULO 08. INSTALACIONES</t>
  </si>
  <si>
    <t>CAPÍTULO 09. AISLAMIENTOS</t>
  </si>
  <si>
    <t>CAPÍTULO 10. REVESTIMIENTOS</t>
  </si>
  <si>
    <t>CAPÍTULO 11. CARPINTERÍA Y ELEMENTOS DE SEGURIDAD Y PROTECCIÓN</t>
  </si>
  <si>
    <t>CAPÍTULO 12. VIDRIOS</t>
  </si>
  <si>
    <t>CAPÍTULO 13. PINTURAS</t>
  </si>
  <si>
    <t>COMPROBACIÓN</t>
  </si>
  <si>
    <t>CAPÍTULO 02</t>
  </si>
  <si>
    <t>CAPÍTULO 04</t>
  </si>
  <si>
    <t>CAPÍTULO 05</t>
  </si>
  <si>
    <t>Precio (€/h)</t>
  </si>
  <si>
    <t>CAPÍTULO 03</t>
  </si>
  <si>
    <t>CAPÍTULO 06</t>
  </si>
  <si>
    <t>CAPÍTULO 07</t>
  </si>
  <si>
    <t>CAPÍTULO 08</t>
  </si>
  <si>
    <t>CAPÍTULO 09</t>
  </si>
  <si>
    <t>CAPÍTULO 10</t>
  </si>
  <si>
    <t>CAPÍTULO 11</t>
  </si>
  <si>
    <t>CAPÍTULO 12</t>
  </si>
  <si>
    <t>CAPÍTULO 13</t>
  </si>
  <si>
    <t>CAPÍTULO 9</t>
  </si>
  <si>
    <t>HE TOTAL</t>
  </si>
  <si>
    <t>Cantidad TOTAL (u)</t>
  </si>
  <si>
    <t>Eim TOTAL (MJ)</t>
  </si>
  <si>
    <t>EXCAVACIONES</t>
  </si>
  <si>
    <t>CIMENTACIONES</t>
  </si>
  <si>
    <t>SANEAMIENTO</t>
  </si>
  <si>
    <t>ALBAÑILERÍA</t>
  </si>
  <si>
    <t>INSTALACIONES</t>
  </si>
  <si>
    <t>REVESTIMIENTOS</t>
  </si>
  <si>
    <t>VIDRIOS</t>
  </si>
  <si>
    <t>PINTURAS</t>
  </si>
  <si>
    <t>ESTRUCTURAS</t>
  </si>
  <si>
    <t>CUBIERTAS</t>
  </si>
  <si>
    <t>AISLAMIENTOS</t>
  </si>
  <si>
    <t xml:space="preserve">CARPINTERÍA </t>
  </si>
  <si>
    <t>HE maquinaria + HE mano de obra + HE materiales (hag)</t>
  </si>
  <si>
    <r>
      <rPr>
        <b/>
        <sz val="8"/>
        <color theme="1"/>
        <rFont val="Arial"/>
        <family val="2"/>
      </rPr>
      <t>HE PARCIAL TOTAL</t>
    </r>
    <r>
      <rPr>
        <sz val="8"/>
        <color theme="1"/>
        <rFont val="Arial"/>
        <family val="2"/>
      </rPr>
      <t>:                                      HE maquinaria + HE mano de obra + HE materiales</t>
    </r>
  </si>
  <si>
    <t xml:space="preserve">PORCENTAJES  POR CAPÍTULO </t>
  </si>
  <si>
    <t>Mano de obra</t>
  </si>
  <si>
    <t>HE energía maquinaria</t>
  </si>
  <si>
    <t>HE energía materiales</t>
  </si>
  <si>
    <t>HE ALIMENTOS (hag)</t>
  </si>
  <si>
    <t>HE energía movilidad</t>
  </si>
  <si>
    <t>HE energía</t>
  </si>
  <si>
    <t>Tipo de huella según impactos (hag)</t>
  </si>
  <si>
    <t xml:space="preserve">HE energía alimentos </t>
  </si>
  <si>
    <t>HE pastos</t>
  </si>
  <si>
    <t>HE mar</t>
  </si>
  <si>
    <t>HE cultivos</t>
  </si>
  <si>
    <t>HE alimentos</t>
  </si>
  <si>
    <t>CARPINTERÍA</t>
  </si>
  <si>
    <t>CAPÍTULO 13    PINTURAS</t>
  </si>
  <si>
    <t>HE RSU (hag)</t>
  </si>
  <si>
    <t>HE RCD (hag)</t>
  </si>
  <si>
    <t>HE RESIDUOS= HE energía</t>
  </si>
  <si>
    <t>CAPÍTULO 17</t>
  </si>
  <si>
    <t>HE ELECTRICIDAD (hag)</t>
  </si>
  <si>
    <t>HE AGUA (hag)</t>
  </si>
  <si>
    <t>HE SUPERFICIE CONSUMIDA (hag)</t>
  </si>
  <si>
    <t>DATOS OBTENIDOS A PARTIR DEL PRESUPUESTO Y MEDICIONES DEL PROYECTO</t>
  </si>
  <si>
    <t>DATOS GENERALES DEL PROYECTO (NO INCLUIDOS EN EL PRESUPUESTO Y MEDICIONES)</t>
  </si>
  <si>
    <t>HE TOTAL(hag)</t>
  </si>
  <si>
    <t>CAPÍTULO 02_ EXCAVACIONES</t>
  </si>
  <si>
    <t>CAPÍTULO 03_ CIMENTACIONES</t>
  </si>
  <si>
    <t>CAPÍTULO 04_ SANEAMIENTO</t>
  </si>
  <si>
    <t>CAPÍTULO 05_ ESTRUCTURAS</t>
  </si>
  <si>
    <t>CAPÍTULO 06_ ALBAÑILERÍA</t>
  </si>
  <si>
    <t>CAPÍTULO 07_ CUBIERTAS</t>
  </si>
  <si>
    <t>CAPÍTULO 08_ INSTALACIONES</t>
  </si>
  <si>
    <t>CAPÍTULO 09_ AISLAMIENTOS</t>
  </si>
  <si>
    <t>CAPÍTULO 10_ REVESTIMIENTOS</t>
  </si>
  <si>
    <t>CAPÍTULO 11_ CARPINTERÍA Y ELEMTOS. DE SEGURIDAD Y PROTECCIÓN</t>
  </si>
  <si>
    <t>CAPÍTULO 12_ VIDRIOS</t>
  </si>
  <si>
    <t>CAPÍTULO 13_ PINTURAS</t>
  </si>
  <si>
    <t>ANÁLISIS DE HUELLA ECOLÓGICA POR CAPÍTULOS DE PROYECTO</t>
  </si>
  <si>
    <t xml:space="preserve">HE parcial </t>
  </si>
  <si>
    <t>HE parcial de los recursos de proyecto (hag)*</t>
  </si>
  <si>
    <t>HE parcial de los recursos de proyecto (hag/m2)*</t>
  </si>
  <si>
    <t>Número de plantas sobre rasante:</t>
  </si>
  <si>
    <t>Cimentación:</t>
  </si>
  <si>
    <t>Tipo de cubierta:</t>
  </si>
  <si>
    <t>HE energía residuos</t>
  </si>
  <si>
    <t>CAPÍTULO 17_ RESIDUOS</t>
  </si>
  <si>
    <t>HE parcial  (hag)</t>
  </si>
  <si>
    <t>Consumo de electricidad en obra</t>
  </si>
  <si>
    <t>Consumo agua en obra</t>
  </si>
  <si>
    <t>Superficie ocupada</t>
  </si>
  <si>
    <t>HE superficie consumida</t>
  </si>
  <si>
    <t>HE bosques</t>
  </si>
  <si>
    <t>Total HE energía recursos por capítulos (hag)</t>
  </si>
  <si>
    <t>Total HE alimentos recursos por capítulos (hag)</t>
  </si>
  <si>
    <t>Total HE energía recursos y residuos generados (hag)</t>
  </si>
  <si>
    <t>HE energía electricidad</t>
  </si>
  <si>
    <t>HE suerficie consumida</t>
  </si>
  <si>
    <t>Total HE pastos (hag)</t>
  </si>
  <si>
    <t>Total HE mar (hag)</t>
  </si>
  <si>
    <t>Total HE cultivos (hag)</t>
  </si>
  <si>
    <t xml:space="preserve">CÁLCULO DE LA HE TOTAL DEL PROYECTO </t>
  </si>
  <si>
    <t>vivendas 1 planta</t>
  </si>
  <si>
    <t>HUELLA TOTAL EDIFICIOS DE VIVIENDAS DE 1 PLANTA</t>
  </si>
  <si>
    <t>Impactos</t>
  </si>
  <si>
    <t>Fósil</t>
  </si>
  <si>
    <t>HE parciales</t>
  </si>
  <si>
    <t>HE parciales (hag)</t>
  </si>
  <si>
    <t>HE total (hag)</t>
  </si>
  <si>
    <t xml:space="preserve">viviendas 2 plantas  </t>
  </si>
  <si>
    <t>TOTAL MEDIA VIVIENDAS 2 PLANTAS</t>
  </si>
  <si>
    <t>HUELLA TOTAL EDIFICIOS DE VIVIENDAS DE 2 PLANTAS</t>
  </si>
  <si>
    <t>Sup. consum.</t>
  </si>
  <si>
    <t>vivendas 3 plantas</t>
  </si>
  <si>
    <t>TOTAL MEDIA VIVIENDAS 3 PLANTAS</t>
  </si>
  <si>
    <t>HUELLA TOTAL EDIFICIOS DE VIVIENDAS DE 3 PLANTAS</t>
  </si>
  <si>
    <t>Sup. consumida</t>
  </si>
  <si>
    <t>vivendas 4 plantas</t>
  </si>
  <si>
    <t>TOTAL MEDIA VIVIENDAS 4 PLANTAS</t>
  </si>
  <si>
    <t>HUELLA TOTAL EDIFICIOS DE VIVIENDAS DE 4 PLANTAS</t>
  </si>
  <si>
    <t>vivendas 5 plantas</t>
  </si>
  <si>
    <t>TOTAL MEDIA VIVIENDAS 5 PLANTAS</t>
  </si>
  <si>
    <t>HUELLA TOTAL EDIFICIOS DE VIVIENDAS DE 5 PLANTAS</t>
  </si>
  <si>
    <t>vivendas 10 plantas</t>
  </si>
  <si>
    <t>C107</t>
  </si>
  <si>
    <t>HUELLA TOTAL EDIFICIOS DE VIVIENDAS DE 10 PLANTAS</t>
  </si>
  <si>
    <t xml:space="preserve">Huella Ecológica </t>
  </si>
  <si>
    <t>Tipología según número de plantas sobre rasante</t>
  </si>
  <si>
    <t>Huella Ecológica  (hag)</t>
  </si>
  <si>
    <t>(hag)</t>
  </si>
  <si>
    <t>MEDIA HUELLA TOTAL EDIFICIOS DE VIVIENDAS DE 1 A 10 PLANTAS</t>
  </si>
  <si>
    <t>HE Alimentos</t>
  </si>
  <si>
    <t>HE Pastos</t>
  </si>
  <si>
    <t>HE Mar</t>
  </si>
  <si>
    <t>HE Cultivos</t>
  </si>
  <si>
    <t>HE Energía</t>
  </si>
  <si>
    <t>HE Bosques</t>
  </si>
  <si>
    <t>HE Ocup. directa</t>
  </si>
  <si>
    <t>HE total (hag/m2)</t>
  </si>
  <si>
    <t>Superficie media (m2)</t>
  </si>
  <si>
    <t>Superficie media por vivienda (m2 )</t>
  </si>
  <si>
    <t>Nº dormitorios</t>
  </si>
  <si>
    <t xml:space="preserve">Nº personas s/CTE DB HS3 </t>
  </si>
  <si>
    <t xml:space="preserve">Nº personas por unidad de superficie (m2) </t>
  </si>
  <si>
    <t>HE por persona (hag)</t>
  </si>
  <si>
    <t>HE total  por superficie  (hag/m2)</t>
  </si>
  <si>
    <t>HE energía por superficie (hag/m2)</t>
  </si>
  <si>
    <t>HE</t>
  </si>
  <si>
    <t>RESIDUOS</t>
  </si>
  <si>
    <t>Cerramientos: pintura elastómera lisa o pintura a la cal/ Rejas:  esmalte graso</t>
  </si>
  <si>
    <t>Rejas</t>
  </si>
  <si>
    <t>Paramentos interiores: pintura plástica lisa o temple liso/ Carpintería: barniz o esmalte</t>
  </si>
  <si>
    <t>Plástica lisa:</t>
  </si>
  <si>
    <t>Paramentos madera:</t>
  </si>
  <si>
    <t>Temple liso:</t>
  </si>
  <si>
    <t>Cerramientos</t>
  </si>
  <si>
    <t>Barniz</t>
  </si>
  <si>
    <t>Carp.met.ext.</t>
  </si>
  <si>
    <t>Esmalte</t>
  </si>
  <si>
    <t>13PE. Pintura Exterior</t>
  </si>
  <si>
    <t>13PI. Pintura Interior</t>
  </si>
  <si>
    <t>Esmalte graso</t>
  </si>
  <si>
    <t>Barniz graso</t>
  </si>
  <si>
    <t>Paramentos y techos interiores</t>
  </si>
  <si>
    <t>Total HE obtenida de mediciones</t>
  </si>
  <si>
    <t>Total HE obtenido de datos grales</t>
  </si>
  <si>
    <t>Total HE</t>
  </si>
  <si>
    <t>Porcentajes</t>
  </si>
  <si>
    <t>Nº camiones</t>
  </si>
  <si>
    <t>Camión RCD Capacidad (T):</t>
  </si>
  <si>
    <r>
      <t>Emisiones medias CO</t>
    </r>
    <r>
      <rPr>
        <vertAlign val="subscript"/>
        <sz val="11"/>
        <color theme="1"/>
        <rFont val="Arial"/>
        <family val="2"/>
      </rPr>
      <t>2</t>
    </r>
    <r>
      <rPr>
        <sz val="11"/>
        <color theme="1"/>
        <rFont val="Arial"/>
        <family val="2"/>
      </rPr>
      <t xml:space="preserve"> gasolina (kg/litro)*</t>
    </r>
  </si>
  <si>
    <t>datos anteriores según Tesis de Jaime</t>
  </si>
  <si>
    <r>
      <t>Emisiones medias CO</t>
    </r>
    <r>
      <rPr>
        <vertAlign val="subscript"/>
        <sz val="11"/>
        <color theme="1"/>
        <rFont val="Arial"/>
        <family val="2"/>
      </rPr>
      <t>2</t>
    </r>
    <r>
      <rPr>
        <sz val="11"/>
        <color theme="1"/>
        <rFont val="Arial"/>
        <family val="2"/>
      </rPr>
      <t xml:space="preserve"> gasoil (kg/litro)*</t>
    </r>
  </si>
  <si>
    <t>*Según Informe IDAE 2011.Factores de conversión de emisión de energía, energía primaria y de emisiones de CO2</t>
  </si>
  <si>
    <t>*Informe IDAE 2006.Guía para la gestión del combustible en las flotas de transporte por carretera.</t>
  </si>
  <si>
    <t>REVISAR</t>
  </si>
  <si>
    <t>Tipo de vehículo N2 camión de 20 Tn, recorrido a vertedero</t>
  </si>
  <si>
    <t>ME00300</t>
  </si>
  <si>
    <t>TP00100</t>
  </si>
  <si>
    <t>ME00400</t>
  </si>
  <si>
    <t>GW00100</t>
  </si>
  <si>
    <t>MR00200</t>
  </si>
  <si>
    <t>MK00200</t>
  </si>
  <si>
    <t>MR00400</t>
  </si>
  <si>
    <t>MK00100</t>
  </si>
  <si>
    <t>CA00220</t>
  </si>
  <si>
    <t>CA00320</t>
  </si>
  <si>
    <t>TO00600</t>
  </si>
  <si>
    <t>TO02100</t>
  </si>
  <si>
    <t>CH80150</t>
  </si>
  <si>
    <t>MP00600</t>
  </si>
  <si>
    <t>MC00100</t>
  </si>
  <si>
    <t>CM00200</t>
  </si>
  <si>
    <t>WW00400</t>
  </si>
  <si>
    <t>CW00600</t>
  </si>
  <si>
    <t>TO00400</t>
  </si>
  <si>
    <t>CM00500</t>
  </si>
  <si>
    <t>CH03020</t>
  </si>
  <si>
    <t>MV00100</t>
  </si>
  <si>
    <t>TO00200</t>
  </si>
  <si>
    <t>MB00200</t>
  </si>
  <si>
    <t>CA01700</t>
  </si>
  <si>
    <t>CH80060</t>
  </si>
  <si>
    <t>CH04120</t>
  </si>
  <si>
    <t>CH80020</t>
  </si>
  <si>
    <t>AA00200</t>
  </si>
  <si>
    <t>CH04020</t>
  </si>
  <si>
    <t>SA00200</t>
  </si>
  <si>
    <t>WW00300</t>
  </si>
  <si>
    <t>SA00700</t>
  </si>
  <si>
    <t>TO01900</t>
  </si>
  <si>
    <t>AGM00200</t>
  </si>
  <si>
    <t>FL01300</t>
  </si>
  <si>
    <t>SC00800</t>
  </si>
  <si>
    <t>IW04800</t>
  </si>
  <si>
    <t>SC02700</t>
  </si>
  <si>
    <t>SB00200</t>
  </si>
  <si>
    <t>SB00300</t>
  </si>
  <si>
    <t>SB00100</t>
  </si>
  <si>
    <t>CA01600</t>
  </si>
  <si>
    <t>SB00900</t>
  </si>
  <si>
    <t>TA00200</t>
  </si>
  <si>
    <t>TO01600</t>
  </si>
  <si>
    <t>CB00500</t>
  </si>
  <si>
    <t>CH02920</t>
  </si>
  <si>
    <t>CM00300</t>
  </si>
  <si>
    <t>CV00200</t>
  </si>
  <si>
    <t>CB00600</t>
  </si>
  <si>
    <t>CV00100</t>
  </si>
  <si>
    <t>CM00450</t>
  </si>
  <si>
    <t>AGM01600</t>
  </si>
  <si>
    <t>FB80010</t>
  </si>
  <si>
    <t>TO00100</t>
  </si>
  <si>
    <t>AGM00800</t>
  </si>
  <si>
    <t>FL00500</t>
  </si>
  <si>
    <t>FL00300</t>
  </si>
  <si>
    <t>FL00200</t>
  </si>
  <si>
    <t>AGL00200</t>
  </si>
  <si>
    <t>AGM00500</t>
  </si>
  <si>
    <t>AGY00100</t>
  </si>
  <si>
    <t>RS00600</t>
  </si>
  <si>
    <t>XI01800</t>
  </si>
  <si>
    <t>XI02700</t>
  </si>
  <si>
    <t>XT14000</t>
  </si>
  <si>
    <t>TO00700</t>
  </si>
  <si>
    <t>TO01100</t>
  </si>
  <si>
    <t>AG00700</t>
  </si>
  <si>
    <t>QW00100</t>
  </si>
  <si>
    <t>AGM00600</t>
  </si>
  <si>
    <t>QT00700</t>
  </si>
  <si>
    <t>QT00900</t>
  </si>
  <si>
    <t>TO00300</t>
  </si>
  <si>
    <t>XT13700</t>
  </si>
  <si>
    <t>XT13001</t>
  </si>
  <si>
    <t>XT15000</t>
  </si>
  <si>
    <t>MC00200</t>
  </si>
  <si>
    <t>GC00100</t>
  </si>
  <si>
    <t>RA00200</t>
  </si>
  <si>
    <t>GP00100</t>
  </si>
  <si>
    <t>RA04930</t>
  </si>
  <si>
    <t>RA05200</t>
  </si>
  <si>
    <t>RA04300</t>
  </si>
  <si>
    <t>RA03900</t>
  </si>
  <si>
    <t>AGY00200</t>
  </si>
  <si>
    <t>TO01200</t>
  </si>
  <si>
    <t>AGM01900</t>
  </si>
  <si>
    <t>AGL00100</t>
  </si>
  <si>
    <t>RS02504</t>
  </si>
  <si>
    <t>RS02600</t>
  </si>
  <si>
    <t>RS05250</t>
  </si>
  <si>
    <t>XI01100</t>
  </si>
  <si>
    <t>RW01650</t>
  </si>
  <si>
    <t>RS03000</t>
  </si>
  <si>
    <t>RS01650</t>
  </si>
  <si>
    <t>RS02010</t>
  </si>
  <si>
    <t>AG00400</t>
  </si>
  <si>
    <t>TO02200</t>
  </si>
  <si>
    <t>RS03600</t>
  </si>
  <si>
    <t>AGP00100</t>
  </si>
  <si>
    <t>RT01500</t>
  </si>
  <si>
    <t>TO00500</t>
  </si>
  <si>
    <t>RA05400</t>
  </si>
  <si>
    <t>RW01100</t>
  </si>
  <si>
    <t>RW03700</t>
  </si>
  <si>
    <t>TO01500</t>
  </si>
  <si>
    <t>KA03500</t>
  </si>
  <si>
    <t>RW01900</t>
  </si>
  <si>
    <t>KL80154</t>
  </si>
  <si>
    <t>KA01100</t>
  </si>
  <si>
    <t>KM01000</t>
  </si>
  <si>
    <t>KM02900</t>
  </si>
  <si>
    <t>KM04200</t>
  </si>
  <si>
    <t>KM05300</t>
  </si>
  <si>
    <t>KM08000</t>
  </si>
  <si>
    <t>KW02500</t>
  </si>
  <si>
    <t>KW03200</t>
  </si>
  <si>
    <t>KW03500</t>
  </si>
  <si>
    <t>KW01000</t>
  </si>
  <si>
    <t>KW01400</t>
  </si>
  <si>
    <t>KW04100</t>
  </si>
  <si>
    <t>KM05100</t>
  </si>
  <si>
    <t>m TAPAJUNTAS PINO 60X15 mm</t>
  </si>
  <si>
    <t>KM07400</t>
  </si>
  <si>
    <t>KW04200</t>
  </si>
  <si>
    <t>KA00100</t>
  </si>
  <si>
    <t>KA00200</t>
  </si>
  <si>
    <t>TO01000</t>
  </si>
  <si>
    <t>KA00500</t>
  </si>
  <si>
    <t>KS04000</t>
  </si>
  <si>
    <t>KS03900</t>
  </si>
  <si>
    <t>KS02800</t>
  </si>
  <si>
    <t>KS04600</t>
  </si>
  <si>
    <t>KS05700</t>
  </si>
  <si>
    <t>KS00500</t>
  </si>
  <si>
    <t>VL03300</t>
  </si>
  <si>
    <t>VW01100</t>
  </si>
  <si>
    <t>TO01700</t>
  </si>
  <si>
    <t>PE00100</t>
  </si>
  <si>
    <t>PI00300</t>
  </si>
  <si>
    <t>PW00100</t>
  </si>
  <si>
    <t>PA00600</t>
  </si>
  <si>
    <t>PC00100</t>
  </si>
  <si>
    <t>PEI00400</t>
  </si>
  <si>
    <t>PB00100</t>
  </si>
  <si>
    <t>PB00400</t>
  </si>
  <si>
    <t>PW00300</t>
  </si>
  <si>
    <t>PP00100</t>
  </si>
  <si>
    <t>PT00100</t>
  </si>
  <si>
    <t>kg ACERO ALAMBRE ATAR</t>
  </si>
  <si>
    <t>Poliester</t>
  </si>
  <si>
    <t>u ARQUETA POLIÉSTER</t>
  </si>
  <si>
    <t>Zinc</t>
  </si>
  <si>
    <t>m BAJANTE ZINC</t>
  </si>
  <si>
    <t>CH80040</t>
  </si>
  <si>
    <t>u BLOQUE ARCILLA ALIGERADA</t>
  </si>
  <si>
    <t>u TEJA CERÁMICA</t>
  </si>
  <si>
    <t>m TEJA HORMIGÓN COLOREADO</t>
  </si>
  <si>
    <t xml:space="preserve">m3 POLIESTIRENO </t>
  </si>
  <si>
    <t>m2 PLACA PIEDRA ARTIFICIAL</t>
  </si>
  <si>
    <t>m2 PLACA PIEDRA MÁRMOL</t>
  </si>
  <si>
    <t>m2 PLACA PIEDRA CALIZA DE 2 cm</t>
  </si>
  <si>
    <t>m2 PLACA PIEDRA GRANITO</t>
  </si>
  <si>
    <t>u BALDOSA HIDRAÚLICA</t>
  </si>
  <si>
    <t>m2 TARIMA MADERA MACIZA</t>
  </si>
  <si>
    <t>u CLIPS ACERO</t>
  </si>
  <si>
    <t>m2 BALDOSA P.CALIZA</t>
  </si>
  <si>
    <t>m CIMERA MÁRMOL ROJO</t>
  </si>
  <si>
    <t>m ACERO GALVANIZADO</t>
  </si>
  <si>
    <t>m MADERA PINO FLANDES</t>
  </si>
  <si>
    <t>u SISTEMA DESLIZAMIENTO</t>
  </si>
  <si>
    <t>IF17100</t>
  </si>
  <si>
    <t>m2 Aluminio ANODIZADO</t>
  </si>
  <si>
    <t>m CAJA ARROLLAMIENTO BARNIZAR</t>
  </si>
  <si>
    <t>kg BARNIZ GRASO</t>
  </si>
  <si>
    <t>kg BARNIZ TAPAPOROS</t>
  </si>
  <si>
    <t>IF28500</t>
  </si>
  <si>
    <t>IE01900</t>
  </si>
  <si>
    <t>IF29100</t>
  </si>
  <si>
    <t>m TUBO PVC DIÁM. 40 mm 4 kg/cm3</t>
  </si>
  <si>
    <t>m TUBO PVC 110 MM</t>
  </si>
  <si>
    <t>m TUBO PVC 40 MM</t>
  </si>
  <si>
    <t>m TUBO PVC 13 MM</t>
  </si>
  <si>
    <t>m TUBO PVC DIÁM. 13 mm 4 kg/cm3</t>
  </si>
  <si>
    <t>IE11900</t>
  </si>
  <si>
    <t>IF19600</t>
  </si>
  <si>
    <t>IF09600</t>
  </si>
  <si>
    <t>IE01300</t>
  </si>
  <si>
    <t>IE05200</t>
  </si>
  <si>
    <t>IE01100</t>
  </si>
  <si>
    <t>SS00300</t>
  </si>
  <si>
    <t>u SUMIDERO SIFÓNICO PVC 110 MM</t>
  </si>
  <si>
    <t>IF07800</t>
  </si>
  <si>
    <t>Huella de carbono de los residuos RCD</t>
  </si>
  <si>
    <t>Ri, Porcentaje reutilización tierras (%)</t>
  </si>
  <si>
    <t>Ri, Porcentaje reutilización RCD(%)</t>
  </si>
  <si>
    <t>Densidad tierras (T/m³)</t>
  </si>
  <si>
    <t>Densidad RCD (T/m³)</t>
  </si>
  <si>
    <t>Consumo RCD (m³)</t>
  </si>
  <si>
    <t>Volumen RCD (m³)</t>
  </si>
  <si>
    <t>Gi, Volumen tierras (T)</t>
  </si>
  <si>
    <t>Tw, Capacidad máxima camión (T)</t>
  </si>
  <si>
    <t>Td, Distancia media total a planta reciclaje (km)</t>
  </si>
  <si>
    <t>Tc, Consumo medio gasoil del camión (l/100km)</t>
  </si>
  <si>
    <t>Ef, Facto emisión gasoil</t>
  </si>
  <si>
    <t>Ef, Factor emisión gasolina</t>
  </si>
  <si>
    <t>Peso total (kg)</t>
  </si>
  <si>
    <t>Factor equivalencia bosques (hag/ha)</t>
  </si>
  <si>
    <t xml:space="preserve">Huella ecológica energía tierras (hag) </t>
  </si>
  <si>
    <t xml:space="preserve">Huella ecológica energía RCD (hag) </t>
  </si>
  <si>
    <t>Número de camiones</t>
  </si>
  <si>
    <t>capitulo 02</t>
  </si>
  <si>
    <t>opción 1</t>
  </si>
  <si>
    <t>opción 2</t>
  </si>
  <si>
    <t>PESO (kg) CAP. 02</t>
  </si>
  <si>
    <t>PESO TOTAL (KG)</t>
  </si>
  <si>
    <t>PESO TOTAL (T)</t>
  </si>
  <si>
    <t>PESO (kg) CAP. 03</t>
  </si>
  <si>
    <t>capitulo 03</t>
  </si>
  <si>
    <t>PESO (kg) CAP. 04</t>
  </si>
  <si>
    <t>capitulo 04</t>
  </si>
  <si>
    <t>PESO (kg) CAP. 05</t>
  </si>
  <si>
    <t>capitulo 05</t>
  </si>
  <si>
    <t>PESO (kg) CAP. 06</t>
  </si>
  <si>
    <t>capitulo 06</t>
  </si>
  <si>
    <t>PESO (kg) CAP. 07</t>
  </si>
  <si>
    <t>capitulo 07</t>
  </si>
  <si>
    <t>capitulo 08</t>
  </si>
  <si>
    <t>capitulo 09</t>
  </si>
  <si>
    <t>capitulo 10</t>
  </si>
  <si>
    <t>capitulo 11</t>
  </si>
  <si>
    <t>capitulo 12</t>
  </si>
  <si>
    <t>capitulo 13</t>
  </si>
  <si>
    <t>PESO (kg) CAP. 08</t>
  </si>
  <si>
    <t>PESO (kg) CAP. 09</t>
  </si>
  <si>
    <t>PESO (kg) CAP. 10</t>
  </si>
  <si>
    <t>PESO (kg) CAP. 11</t>
  </si>
  <si>
    <t>PESO (kg) CAP. 12</t>
  </si>
  <si>
    <t>PESO (kg) CAP. 13</t>
  </si>
  <si>
    <t>Cimentaciones</t>
  </si>
  <si>
    <t>Excavaciones</t>
  </si>
  <si>
    <t>Saneamiento</t>
  </si>
  <si>
    <t>Estructuras</t>
  </si>
  <si>
    <t>Albañilería</t>
  </si>
  <si>
    <t>Cubiertas</t>
  </si>
  <si>
    <t>Instalaciones</t>
  </si>
  <si>
    <t>Aislamientos</t>
  </si>
  <si>
    <t>Revestimientos</t>
  </si>
  <si>
    <t>Carpintería</t>
  </si>
  <si>
    <t>Pinturas</t>
  </si>
  <si>
    <t>Capacidad máxima camión (T)</t>
  </si>
  <si>
    <t>Distancia media total a fábrica o polvero (km)</t>
  </si>
  <si>
    <t>Consumo medio gasoil del camión (l/100km)</t>
  </si>
  <si>
    <t>Factor emisión gasoil</t>
  </si>
  <si>
    <t>HE de energía del transporte de materiales (hag)</t>
  </si>
  <si>
    <t>HE de energía del transporte de materiales desglosada por capítulos (hag)</t>
  </si>
  <si>
    <t>Volumen de materiales (T)</t>
  </si>
  <si>
    <t>Comprobación nº camiones por capítulos</t>
  </si>
  <si>
    <t>HE total (incluso transporte a obra) (hag)</t>
  </si>
  <si>
    <t>comprobación</t>
  </si>
  <si>
    <t>Código</t>
  </si>
  <si>
    <t>Cimentación</t>
  </si>
  <si>
    <t>Estructura</t>
  </si>
  <si>
    <t>Cubierta</t>
  </si>
  <si>
    <t>1 planta</t>
  </si>
  <si>
    <t>Zanjas corridas</t>
  </si>
  <si>
    <t>Muros fábrica ladrillo</t>
  </si>
  <si>
    <t>Horizontal</t>
  </si>
  <si>
    <t>Inclinada</t>
  </si>
  <si>
    <t>Zapatas aisladas</t>
  </si>
  <si>
    <t>Hormigón armado</t>
  </si>
  <si>
    <t>2 plantas</t>
  </si>
  <si>
    <t>Pilotes</t>
  </si>
  <si>
    <t>7*</t>
  </si>
  <si>
    <t>Losa armada</t>
  </si>
  <si>
    <t>135*</t>
  </si>
  <si>
    <t>148*</t>
  </si>
  <si>
    <t>122*</t>
  </si>
  <si>
    <t>Numero Plantas sobre rasante</t>
  </si>
  <si>
    <t>Numero Plantas bajo rasante</t>
  </si>
  <si>
    <t>Locales en Planta baja</t>
  </si>
  <si>
    <t>Si</t>
  </si>
  <si>
    <t>Viviendas en Planta baja</t>
  </si>
  <si>
    <t xml:space="preserve">3 plantas </t>
  </si>
  <si>
    <t>4 plantas</t>
  </si>
  <si>
    <t>5 plantas</t>
  </si>
  <si>
    <t>más de 5 plantas</t>
  </si>
  <si>
    <t>Número trabajadores</t>
  </si>
  <si>
    <t>Características de los Proyectos</t>
  </si>
  <si>
    <t>kg</t>
  </si>
  <si>
    <t>bosques</t>
  </si>
  <si>
    <t>construida</t>
  </si>
  <si>
    <t>gfn persona/año</t>
  </si>
  <si>
    <t>gfn persona/almuerzo</t>
  </si>
  <si>
    <t>datos calculos nuevo menu 161214</t>
  </si>
  <si>
    <t>% FAO</t>
  </si>
  <si>
    <t>Prod. natural mundial</t>
  </si>
  <si>
    <t>(t/hag/año)</t>
  </si>
  <si>
    <t>nuevos cálculos menú enero 2015</t>
  </si>
  <si>
    <t>hag/t</t>
  </si>
  <si>
    <t>t/ha</t>
  </si>
  <si>
    <t>hag/ha</t>
  </si>
  <si>
    <t>GJ/t</t>
  </si>
  <si>
    <t>total</t>
  </si>
  <si>
    <t>Prod.natural</t>
  </si>
  <si>
    <t>Intens.energética</t>
  </si>
  <si>
    <t>CARNE</t>
  </si>
  <si>
    <t>PESCADO</t>
  </si>
  <si>
    <t>Intensidad Cultivos</t>
  </si>
  <si>
    <t>Intensidad Pastos</t>
  </si>
  <si>
    <t>Intensidad Mar</t>
  </si>
  <si>
    <t>TOTAL CARNE (CULT+PAST)</t>
  </si>
  <si>
    <t>TOTAL PESCADO (CULT+MAR)</t>
  </si>
  <si>
    <t>Consumo kg</t>
  </si>
  <si>
    <t>comprobación según menú 10€ en kg de comida</t>
  </si>
  <si>
    <t>Comprobaciones con los datos de FAO y GFN 2015</t>
  </si>
  <si>
    <t>Recuperaciones</t>
  </si>
  <si>
    <t>03R.01</t>
  </si>
  <si>
    <t>03RZC00001</t>
  </si>
  <si>
    <t>03RZR00001</t>
  </si>
  <si>
    <t>03RZR00002</t>
  </si>
  <si>
    <t>03RZK00001</t>
  </si>
  <si>
    <t>03RZK00002</t>
  </si>
  <si>
    <t>MK00300</t>
  </si>
  <si>
    <t>MP80001</t>
  </si>
  <si>
    <t>MP80002</t>
  </si>
  <si>
    <t>GC00200</t>
  </si>
  <si>
    <t>CA80080</t>
  </si>
  <si>
    <t>MP80000</t>
  </si>
  <si>
    <t>Actuación</t>
  </si>
  <si>
    <t>Grado de actuación</t>
  </si>
  <si>
    <t>Seleccionar tipo de proyecto</t>
  </si>
  <si>
    <t>Sustitución y reposición</t>
  </si>
  <si>
    <t>30 a 60%</t>
  </si>
  <si>
    <t>0 a 30%</t>
  </si>
  <si>
    <t>60 a 100%</t>
  </si>
  <si>
    <t>Comentarios</t>
  </si>
  <si>
    <t>Opciones de actuación</t>
  </si>
  <si>
    <t>PVC/Polietileno</t>
  </si>
  <si>
    <t>Acero inoxidable</t>
  </si>
  <si>
    <t>Energía solar térmica+gas</t>
  </si>
  <si>
    <t>Energía solar térmica+electricidad</t>
  </si>
  <si>
    <t>Se definen opciones como tipos de material</t>
  </si>
  <si>
    <t>Se define la actuación a realizar</t>
  </si>
  <si>
    <t>Se define el porcentaje sobre el que se actúa, el cual se aplicará sobre el Qi correspondiente</t>
  </si>
  <si>
    <t>Ventana abatible+Aluminio RPT+vidrio doble acristalamiento</t>
  </si>
  <si>
    <t>Ventana abatible/tipo de vidrio/tamaño ventana. Hay que decidir: 1. Abatible o corredera. Hemos eliminado las correderas.2. Tipo material 3. Si incluimos el vidrio o no en este PUF. 4. Tamaño, hay varios tipos en BCCA (T.I/II./III/IV), decidimos dejar un tamaño medio</t>
  </si>
  <si>
    <t>Ventana abatible+Aluminio RPT+vidrio baja emisividad</t>
  </si>
  <si>
    <t>Ventana abatible+Aluminio RPT+vidrio control solar</t>
  </si>
  <si>
    <t>Ventana abatible+PVC +vidrio doble acristalamiento</t>
  </si>
  <si>
    <t>Ventana abatible+PVC +vidrio baja emisividad</t>
  </si>
  <si>
    <t>Ventana abatible+PVC+vidrio doble control solar</t>
  </si>
  <si>
    <t>No se considera</t>
  </si>
  <si>
    <t>No se considera porque está incluido en otros PUF</t>
  </si>
  <si>
    <t>Decidir si se incluye en el PUF de la carpintería de ventanas o se hace un PUF de persiana, hay que desmontar y colocar nuevo, rehacer el cajón de persina con el correcto aislamiento, etc.</t>
  </si>
  <si>
    <t>Propuesta: en este PUF incluimos elementos del CMP: interruptores magnetotérmico, diferenciales, fusibles, cuadro etc.</t>
  </si>
  <si>
    <t>Desmontado y reutilización</t>
  </si>
  <si>
    <t>Consideramos que las rejas sólo se desmontan en el caso de realizar mejoras de la envolvente por el exterior, donde sea necesario desmontar las rejas, hay dos opciones: retirar reja y sustituirla por otra nueva o colocar la misma (previa limpieza)</t>
  </si>
  <si>
    <t>Recalce de zapata</t>
  </si>
  <si>
    <t>Sólo desarrollamos este precio de cimentación. Hay que pasar los PUF de reclace de zapatas de unidad a metro lineal.</t>
  </si>
  <si>
    <t>DUDA: hay que hacer alguna reparación de forjado como se ha hecho en cimentación con el recalce?</t>
  </si>
  <si>
    <t>Arqueta nueva</t>
  </si>
  <si>
    <t>Ampliación de arqueta (fondo)</t>
  </si>
  <si>
    <t xml:space="preserve">Impermeabilización </t>
  </si>
  <si>
    <t>Reparación</t>
  </si>
  <si>
    <t>Incluimos otros materiales?</t>
  </si>
  <si>
    <t>06WB</t>
  </si>
  <si>
    <t xml:space="preserve">m2. Cerramientos de Ladrillo </t>
  </si>
  <si>
    <t>Se realiza un subcapítulo nuevo: cerramiento que tendría el Qi de Fábricas exteriores de ladrillo 06LE, el cual sustituye a 06DC y 06LE</t>
  </si>
  <si>
    <t>&lt; 60%</t>
  </si>
  <si>
    <t>&gt; 60%</t>
  </si>
  <si>
    <t>Reparación de fisuras</t>
  </si>
  <si>
    <t>Reparación grietas en sup.&lt;60%</t>
  </si>
  <si>
    <t>Reparaciones pueden ser: fisuras y grietas. Si son fisuras pueden ser en tres grados 30/60/100% de superficie de fachada. Si son grietas en una superficie de fachada &lt;60% se genera un PUF. Si son en una sup.&gt;60% se considera la mejora energética completa de fachada y por tanto otro PUF distinto.</t>
  </si>
  <si>
    <t>Reparación humedades capilaridad</t>
  </si>
  <si>
    <t xml:space="preserve">Reparación grietas </t>
  </si>
  <si>
    <t xml:space="preserve">Reparación humedades </t>
  </si>
  <si>
    <t>Filtraciones encuentro de forjado con cerramiento</t>
  </si>
  <si>
    <t>Reparaciones pueden ser: fisuras y grietas. Si son fisuras pueden ser en tres grados 30/60/100% de superficie de tabique. Si son grietas en una superficie de fachada &lt;60% se genera un PUF. Si el tabique tiene grietas en una sup.&gt;60% se considera  que se demuele el tabique y se construye nuevo.</t>
  </si>
  <si>
    <t>Se consideran las mismas reparaciones que en particiones de fisuras y grietas. En humedades solo consideramos capilaridad</t>
  </si>
  <si>
    <t>Filtraciones: capilaridad (cerramientos), encuentros de forjado (cerramientos), huecos de fachada (carpintería), cubierta (cubierta), rotura de instalaciones (instalaciones). En cerramientos, por tanto, consideramos humedades por capilaridad y en encuentros forjados, lo cual genera dos PUF distintos.</t>
  </si>
  <si>
    <t>06LIF</t>
  </si>
  <si>
    <t>06LIH</t>
  </si>
  <si>
    <t>m2. Fcas. Interiores de Ladrillo CON FISURAS O GRIETAS</t>
  </si>
  <si>
    <t>m2. Fcas. Interiores de Ladrillo CON HUMEDADES</t>
  </si>
  <si>
    <t>06WBF</t>
  </si>
  <si>
    <t>06WBH</t>
  </si>
  <si>
    <t>m2. Cerramientos de Ladrillo CON FISURAS O GRIETAS</t>
  </si>
  <si>
    <t>m2. Cerramientos de Ladrillo CON HUMEDADES</t>
  </si>
  <si>
    <t>DUDA: podemos tener simultáneamente en un cerramiento patología de fisuras y grietas y humedades, no? Hay que crear para ello Apartados dentro de los subcapítulos para poder seleccionar ambas patologías con un mismo Qi</t>
  </si>
  <si>
    <t>07HTF</t>
  </si>
  <si>
    <t>07HTE</t>
  </si>
  <si>
    <t>m2. Cubiertas Horizontales. Faldones</t>
  </si>
  <si>
    <t>m2. Cubiertas Horizontales. Encuentros</t>
  </si>
  <si>
    <t>Hay que considerar la opción transitable o no transitable? Y tejas de cerámica o de cemento?</t>
  </si>
  <si>
    <t>Reparación faldón</t>
  </si>
  <si>
    <t>Reparación encuentros cazoletas</t>
  </si>
  <si>
    <t>Reparación encuentros paramentos  verticales</t>
  </si>
  <si>
    <t>Reparación faldón &lt;60%</t>
  </si>
  <si>
    <t>Reparación faldón ≥60%, sustitución y reposición con mejora energética.</t>
  </si>
  <si>
    <t>Reparación remates</t>
  </si>
  <si>
    <t>Que hacemos con el canalón? Se puede incluir como parte del bajante?</t>
  </si>
  <si>
    <t>Son tres actuaciones: Reparación (impermeabilización o ampliación), demolición y ejecución de arqueta nueva, arqueta nueva.                                                                                                         DUDA: consideramos arqueta de poliester?</t>
  </si>
  <si>
    <t>Reparación grietas en sup.≥60% (superposición y reparación)</t>
  </si>
  <si>
    <r>
      <t>Reparación grietas en sup.</t>
    </r>
    <r>
      <rPr>
        <b/>
        <sz val="11"/>
        <color rgb="FF0070C0"/>
        <rFont val="Calibri"/>
        <family val="2"/>
      </rPr>
      <t>≥60% (superposición y reparación)</t>
    </r>
  </si>
  <si>
    <t>DUDA: incluimos los vidrios en el PUF de la ventana o no?</t>
  </si>
  <si>
    <t>En este PUF se considera desmontaje y reposición de 1 m de canalización, a continuación  el usuario decide el tipo de material de la canalización nueva y finalmente en que porcentaje de la vivienda se sustituye</t>
  </si>
  <si>
    <t>Ver las opciones de materiales que vamos a proponer en grifería</t>
  </si>
  <si>
    <t xml:space="preserve"> Actuación en zonas comunes del edificio</t>
  </si>
  <si>
    <t>Trabajo realizado semana 16 a 20 Febrero 2015</t>
  </si>
  <si>
    <t>No hay actuaciones</t>
  </si>
  <si>
    <t>Arquetas</t>
  </si>
  <si>
    <t>Reparación de impermeabilización</t>
  </si>
  <si>
    <t>Colectores</t>
  </si>
  <si>
    <t>Sustitución y reposición en hormigón</t>
  </si>
  <si>
    <t>Bajantes</t>
  </si>
  <si>
    <t>Particiones</t>
  </si>
  <si>
    <t>Reparación humedades filtraciones encuentro de forjado con cerramiento</t>
  </si>
  <si>
    <t>Fcas.interiores ladrillo</t>
  </si>
  <si>
    <r>
      <t xml:space="preserve">Reparación grietas en superficie </t>
    </r>
    <r>
      <rPr>
        <sz val="9"/>
        <rFont val="Calibri"/>
        <family val="2"/>
      </rPr>
      <t>≤60%</t>
    </r>
  </si>
  <si>
    <t>Reparación grietas en superficie &gt;60% (sustitución y reposición)</t>
  </si>
  <si>
    <t>Reparación encuentros paramentos verticales</t>
  </si>
  <si>
    <t>Faldón</t>
  </si>
  <si>
    <t>Remates</t>
  </si>
  <si>
    <t>Climatización</t>
  </si>
  <si>
    <t>Carpintería ligera</t>
  </si>
  <si>
    <t>Carpintería y elementos de seguridad y protección</t>
  </si>
  <si>
    <t>Fontanería</t>
  </si>
  <si>
    <t>01XFU90010</t>
  </si>
  <si>
    <t>04RAS90005</t>
  </si>
  <si>
    <t>04RAS90010</t>
  </si>
  <si>
    <t>04RAS90020</t>
  </si>
  <si>
    <t>05FUW90010</t>
  </si>
  <si>
    <t>Forjado sanitario unidireccional de hormigón en planta baja</t>
  </si>
  <si>
    <t>10SCS91010</t>
  </si>
  <si>
    <t>Solado con baldosas de gres tipo medio recibidas con mortero</t>
  </si>
  <si>
    <t>u</t>
  </si>
  <si>
    <t>Sustitución de arqueta a pie de bajante</t>
  </si>
  <si>
    <t>Sustitución de arqueta sifónica 1.00x1.00 m.</t>
  </si>
  <si>
    <t>m2</t>
  </si>
  <si>
    <t>h</t>
  </si>
  <si>
    <t>CAMIÓN BASCULANTE</t>
  </si>
  <si>
    <t>PALA CARGADORA</t>
  </si>
  <si>
    <t>COMPRESOR DOS MARTILLOS</t>
  </si>
  <si>
    <t>PEÓN ESPECIAL</t>
  </si>
  <si>
    <t>PUS</t>
  </si>
  <si>
    <t>PB</t>
  </si>
  <si>
    <t>Demolición con medios mecánicos de forjado sanitario</t>
  </si>
  <si>
    <t>Sustitución de arqueta de paso</t>
  </si>
  <si>
    <t>m3</t>
  </si>
  <si>
    <t>MORTERO DE CEMENTO M15 (1:3) CEM II/A-L 32,5 N</t>
  </si>
  <si>
    <t>MORTERO DE CEMENTO M5 (1:6) CEM II/A-L 32,5 N</t>
  </si>
  <si>
    <t>HORMIGÓN HM-20/P/20/I, SUMINISTRADO</t>
  </si>
  <si>
    <t>mu</t>
  </si>
  <si>
    <t>LADRILLO CERÁM. PERF. TALADRO PEQUEÑO REVESTIR 24x11,5x5 cm</t>
  </si>
  <si>
    <t>ATC00100</t>
  </si>
  <si>
    <t>CUADRILLA ALBAÑILERÍA, FORMADA POR OFICIAL 1ª Y PEÓN ESP.</t>
  </si>
  <si>
    <t>TAPA DE HORMIGÓN ARMADO CON CERCO</t>
  </si>
  <si>
    <t>SW00900</t>
  </si>
  <si>
    <t>m</t>
  </si>
  <si>
    <t xml:space="preserve">CODO PP DIÁM. 125 mm </t>
  </si>
  <si>
    <t>UA01000</t>
  </si>
  <si>
    <t>TAPA INTERIOR Y CADENILLA</t>
  </si>
  <si>
    <t>RETROEXCAVADORA</t>
  </si>
  <si>
    <t>ACERO B 500 S</t>
  </si>
  <si>
    <t>CA00520</t>
  </si>
  <si>
    <t>ACERO ELECTROSOLDADO ME B 500 S EN MALLA</t>
  </si>
  <si>
    <t>BOVEDILLLA DE MORTERO CEMENTO</t>
  </si>
  <si>
    <t>VIGUETA AUTORRESISTENTE PRETENSADA</t>
  </si>
  <si>
    <t>HORMIGÓN HA-25/P/20/IIa, SUMINISTRADO</t>
  </si>
  <si>
    <t>MADERA DE PINO EN TABLON</t>
  </si>
  <si>
    <t>OFICIAL 1ª</t>
  </si>
  <si>
    <t>OF. 1ª FERRALLISTA</t>
  </si>
  <si>
    <t>PEQUEÑO MATERIAL</t>
  </si>
  <si>
    <t>VIBRADOR</t>
  </si>
  <si>
    <t>ARENA FINA</t>
  </si>
  <si>
    <t>LECHADA DE CEMENTO CEM II/A-L 32,5 N</t>
  </si>
  <si>
    <t>RS90110</t>
  </si>
  <si>
    <t>BALDOSA GRES VIDRIADO TIPO MEDIO</t>
  </si>
  <si>
    <t>OF. 1ª SOLADOR</t>
  </si>
  <si>
    <t>Sustitución de arqueta, colocada bajo forjado sanitario</t>
  </si>
  <si>
    <t>Unidad</t>
  </si>
  <si>
    <t>Descripción</t>
  </si>
  <si>
    <t xml:space="preserve"> </t>
  </si>
  <si>
    <t>04RAW50010</t>
  </si>
  <si>
    <t>Impermeabilización de arqueta. Colocada bajo forjado sanitario</t>
  </si>
  <si>
    <t xml:space="preserve">Demolición de forjado sanitario unidireccional </t>
  </si>
  <si>
    <t>04RAW90010</t>
  </si>
  <si>
    <t>Impermeabilización de arqueta</t>
  </si>
  <si>
    <t>MEMBRANA BETUN</t>
  </si>
  <si>
    <t>OF. 1º IMPERMEABILIZADOR</t>
  </si>
  <si>
    <t>QM</t>
  </si>
  <si>
    <t>Fr</t>
  </si>
  <si>
    <t xml:space="preserve">Q Total </t>
  </si>
  <si>
    <t>IMPORTE PUS</t>
  </si>
  <si>
    <t>PRECIO PUS</t>
  </si>
  <si>
    <t>PRECIO PUF</t>
  </si>
  <si>
    <t>Ga (%)</t>
  </si>
  <si>
    <t>Medición</t>
  </si>
  <si>
    <t>Precios</t>
  </si>
  <si>
    <t>Cantidad Q PB (u/u)</t>
  </si>
  <si>
    <t>Q PUS (u)</t>
  </si>
  <si>
    <t>Cantidad Q PUF  (u)</t>
  </si>
  <si>
    <t>PRECIO PB</t>
  </si>
  <si>
    <t>Arquetas in situ</t>
  </si>
  <si>
    <t>PA</t>
  </si>
  <si>
    <t>Cantidad Q PA (u/u)</t>
  </si>
  <si>
    <t>Sup.(m2)</t>
  </si>
  <si>
    <t>AA00300</t>
  </si>
  <si>
    <t>t</t>
  </si>
  <si>
    <t>AGUA POTABLE</t>
  </si>
  <si>
    <t>CEMENTO CEM II/A-L 32,5 N EN SACOS</t>
  </si>
  <si>
    <t>ARENA GRUESA</t>
  </si>
  <si>
    <t>1 a 30</t>
  </si>
  <si>
    <t>31 a 60</t>
  </si>
  <si>
    <t>61 a 100</t>
  </si>
  <si>
    <t>hasta 60</t>
  </si>
  <si>
    <t>m3 ARENA GRUESA</t>
  </si>
  <si>
    <t>Poliestireno  PS</t>
  </si>
  <si>
    <t>Polietileno PE</t>
  </si>
  <si>
    <t>Polipropieno PP</t>
  </si>
  <si>
    <t>kg ACERO NUEVO</t>
  </si>
  <si>
    <t>u BALDOSA GRES VIDRIADO   NUEVO</t>
  </si>
  <si>
    <t>m CODO PP. DIAM. 125 mm.completar datos Eim</t>
  </si>
  <si>
    <t>TO01400</t>
  </si>
  <si>
    <t>TO01800</t>
  </si>
  <si>
    <t>DATOS ANTIGUOS HE MENÚ</t>
  </si>
  <si>
    <t>HE parcial /m2</t>
  </si>
  <si>
    <t>HE parcial (hag/m2)</t>
  </si>
  <si>
    <t>Grado de actuación (%)</t>
  </si>
  <si>
    <t>HEREVEA</t>
  </si>
  <si>
    <t>Porcentaje sobre el que se actúa, sobre el Qi correspondiente</t>
  </si>
  <si>
    <t>ACTUACIONES</t>
  </si>
  <si>
    <t>CAPÍTULOS</t>
  </si>
  <si>
    <t>SUBCAPÍTULOS</t>
  </si>
  <si>
    <t>Porcentaje del grado de actuación  (%)</t>
  </si>
  <si>
    <t>Micropilote "in situ" interior terrenos consistencia baja c/camisa acero D.60 mm.</t>
  </si>
  <si>
    <t>m³</t>
  </si>
  <si>
    <t xml:space="preserve"> Apertura de caja en acerado</t>
  </si>
  <si>
    <t>Perforación de zapata desde el exterior</t>
  </si>
  <si>
    <t>Perforación de zapata desde el interior</t>
  </si>
  <si>
    <t>Micropilote "in situ" exterior terrenos consistencia baja c/camisa acero D.60 mm.</t>
  </si>
  <si>
    <t>CARRETILLA MECÁNICA BASCULANTE</t>
  </si>
  <si>
    <t>OFICIAL 2ª</t>
  </si>
  <si>
    <t xml:space="preserve"> EQUIPO PERFORACIÓN C/MARTILLO DE FONDO</t>
  </si>
  <si>
    <t>CAMISA ACERO S 375 JR DIAM. 60 mm. Y ESP. 5.5 mm</t>
  </si>
  <si>
    <t>CEMENTO CEM II/A-L 42, 5R A GRANEL</t>
  </si>
  <si>
    <t>EQUIPO PERFORACIÓN MICROPILOTES</t>
  </si>
  <si>
    <t>EQUIPO PRFORACIÓN C/CORONA DIAMANTE</t>
  </si>
  <si>
    <t>m²</t>
  </si>
  <si>
    <t>Excavaciones pala</t>
  </si>
  <si>
    <t>Excavaciones retro</t>
  </si>
  <si>
    <t>Rellenos m. manuales</t>
  </si>
  <si>
    <t>Rellenos m. mecánicos</t>
  </si>
  <si>
    <t xml:space="preserve"> Transporte Tierras m. manuales</t>
  </si>
  <si>
    <t>Transporte Tierras m. mecánicos</t>
  </si>
  <si>
    <t>Ampliación de red de saneamiento mediante ejecución de arqueta de paso. Colocada bajo forjado sanitario. Medida la unidad ejecutada.</t>
  </si>
  <si>
    <t>04EAP90002</t>
  </si>
  <si>
    <t>ARQUETA DE PASO DE 63X63 cm 1 m PROF. EXC. EN TIERRAS.</t>
  </si>
  <si>
    <t>04ECW90109</t>
  </si>
  <si>
    <t>COLECTOR ENTERRADO TUBERIA POLIETILENO 200 mm.</t>
  </si>
  <si>
    <t>FORJADO SANITARIO UNIDIRECCIONAL DE HORMIGÓN EN PLANTA BAJA</t>
  </si>
  <si>
    <t>IF92960</t>
  </si>
  <si>
    <t>TUBO POLIETILENO ALTA DENSIDAD UNIÓN MEC. DIÁM 20X2 mm</t>
  </si>
  <si>
    <t>MATERIAL COMPLEMENTARIO O PZAS. ESPECIALES</t>
  </si>
  <si>
    <t>OF. 1ª FONTANERO</t>
  </si>
  <si>
    <t>PISÓN MECÁNICO MANUAL</t>
  </si>
  <si>
    <t>Recuperación de redes enterradas con Polietileno . Colocada bajo forjado sanitario</t>
  </si>
  <si>
    <t>01SEC00040</t>
  </si>
  <si>
    <t>DESMONTADO DE COLECTOR ENTERRADO DE FIBROCEMENTO</t>
  </si>
  <si>
    <t>ATC00500</t>
  </si>
  <si>
    <t>CUADRILLA ESPECIALIZADA RETIRADA DE AMIANTO</t>
  </si>
  <si>
    <t>Recuperación de redes enterradas con Hormigón . Colocada bajo forjado sanitario</t>
  </si>
  <si>
    <t>04ECH90001</t>
  </si>
  <si>
    <t>Sustitución y reposición en polietileno</t>
  </si>
  <si>
    <t>Sustitución y reposición en polipropileno</t>
  </si>
  <si>
    <t>Sustitución y reposición en fibrocemento NT</t>
  </si>
  <si>
    <t>04ECF90003</t>
  </si>
  <si>
    <t>SC02100</t>
  </si>
  <si>
    <t>TUBERÍA FIBROCEMENTO NT SANITARIO DIÁM. 200 mm</t>
  </si>
  <si>
    <t xml:space="preserve">COLECTOR ENTERR. FIBROCEMENTO DIÁM. 200 mm </t>
  </si>
  <si>
    <t>SC02800</t>
  </si>
  <si>
    <t>TUBO HORMIGÓN DIÁM. 200 mm</t>
  </si>
  <si>
    <t xml:space="preserve">COLECTOR ENTERR. HORM. DIÁM. 200 mm </t>
  </si>
  <si>
    <t>Recuperación de redes verticales con polipropileno.</t>
  </si>
  <si>
    <t>01SVC90010</t>
  </si>
  <si>
    <t>01RAA90001</t>
  </si>
  <si>
    <t>01ADS90002</t>
  </si>
  <si>
    <t>01SVB90030</t>
  </si>
  <si>
    <t>04VCC00031</t>
  </si>
  <si>
    <t>04VBW00115</t>
  </si>
  <si>
    <t>10CEE00006</t>
  </si>
  <si>
    <t>10AAL00004</t>
  </si>
  <si>
    <t>13IWW90011</t>
  </si>
  <si>
    <t>DEMOLICIÓN SELECTIVA M. MANUALES DE BAJANTE DE PVC</t>
  </si>
  <si>
    <t>OF. 1ª ALBAÑILERÍA</t>
  </si>
  <si>
    <t>DEMOLICIÓN SELECTIVA M. MANUALES DE PARAMENTOS ALICATADOS</t>
  </si>
  <si>
    <t>DEMOLICIÓN SELECTIVA M. MANUALES DE TABIQUE DE L/HUECO SENCILLO</t>
  </si>
  <si>
    <t>DEMOLICIÓN SELECTIVA M. MANUALES DE BAJANTE DE FIBROCEMENTO</t>
  </si>
  <si>
    <t>OFICIAL 1ª ALBAÑILERÍA</t>
  </si>
  <si>
    <t>CAZOLETA SIFÓNICA DE POLIPROPILENO CON REJILLA PLANA</t>
  </si>
  <si>
    <t>SS00500</t>
  </si>
  <si>
    <t>CAZOLETA SIFÓNICA POLIPROPILENO SALIDA DE DIÁM. 110 mm</t>
  </si>
  <si>
    <t>SW00550</t>
  </si>
  <si>
    <t>REJILLA PLANA DE POLIPROPILENO DE DIÁM. 200 mm</t>
  </si>
  <si>
    <t>BAJANTE DE POLIPROPILENO, DIÁM. 125 mm</t>
  </si>
  <si>
    <t>SB03420</t>
  </si>
  <si>
    <t>TUBO POLIPROPILENO PARED TRICAPA, DIÁM 125 mm, JUNTA ELASTICA</t>
  </si>
  <si>
    <t>IP03420</t>
  </si>
  <si>
    <t>ABRAZADERA BAJA INSONORIZACIÓN</t>
  </si>
  <si>
    <t>TABIQUE DE LADRILLO H/S C/MORTERO</t>
  </si>
  <si>
    <t>LADRILLO CERÁM. HUECO SENCILLO 24x11,5x4 cm</t>
  </si>
  <si>
    <t>AGL00800</t>
  </si>
  <si>
    <t>MORTERO DE CEMENTO M5 (1:6) CEM II/A-L 32,5 N + PLAST.</t>
  </si>
  <si>
    <t>GA00200</t>
  </si>
  <si>
    <t>l</t>
  </si>
  <si>
    <t>PLASTIFICANTE</t>
  </si>
  <si>
    <t>ENFOSCADO MAESTREADO FRATASADO Y RAYADO PARA ALICATADO</t>
  </si>
  <si>
    <t>MW00300</t>
  </si>
  <si>
    <t xml:space="preserve"> h </t>
  </si>
  <si>
    <t xml:space="preserve">PLATAFORMA ELEVADORA TELESCOPICA  </t>
  </si>
  <si>
    <t>ALICATADO AZULEJO COLOR LISO 15x15 cm ADHESIVO</t>
  </si>
  <si>
    <t>CEMENTO BLANCO BL II/A-L 42,5 R EN SACOS</t>
  </si>
  <si>
    <t>PASTA ADHESIVA</t>
  </si>
  <si>
    <t>RA00300</t>
  </si>
  <si>
    <t>AZULEJO COLOR LISO SUAVE 15x15 cm</t>
  </si>
  <si>
    <t>OF. 1ª ALICATADOR</t>
  </si>
  <si>
    <t>PASTA DE YESO NEGRO YG</t>
  </si>
  <si>
    <t>PASTA DE YESO BLANCO YF</t>
  </si>
  <si>
    <t>OF. 1ª YESERO</t>
  </si>
  <si>
    <t xml:space="preserve">PP00100 </t>
  </si>
  <si>
    <t xml:space="preserve">PINTURA PLÁSTICA </t>
  </si>
  <si>
    <t>SELLADORA</t>
  </si>
  <si>
    <t xml:space="preserve">WW00400 </t>
  </si>
  <si>
    <t xml:space="preserve">TO01000 </t>
  </si>
  <si>
    <t>OF. 1ª PINTOR</t>
  </si>
  <si>
    <t>FALTA LÁMINA</t>
  </si>
  <si>
    <t>04VBF00016</t>
  </si>
  <si>
    <t>PINTURA EN INTERIOR</t>
  </si>
  <si>
    <t>BAJANTE FIBROCEMENTO NT, DIÁM. 150 mm</t>
  </si>
  <si>
    <t>SB00600</t>
  </si>
  <si>
    <t>BAJANTE FIBROCEMENTO NT DIÁM. 150 mm</t>
  </si>
  <si>
    <t>Recuperación de redes enterradas con Fibrocemento NT. Colocada bajo forjado sanitario</t>
  </si>
  <si>
    <t>Recuperación de redes verticales con fibrocemento NT</t>
  </si>
  <si>
    <t>10CGG00008</t>
  </si>
  <si>
    <t>GUARNECIDO Y ENLUCIDO  MAESTREADO EN PAREDES, YESO</t>
  </si>
  <si>
    <t>GUARNECIDO Y ENLUCIDO MAESTREADO EN PAREDES, YESO</t>
  </si>
  <si>
    <t>01XFU90011</t>
  </si>
  <si>
    <t>13REL90004</t>
  </si>
  <si>
    <t>05HAM00011</t>
  </si>
  <si>
    <t>05HHL00003</t>
  </si>
  <si>
    <t>DEMOLICIÓN DE CAPA DE COMPRESIÓN DE FORJADO UNIDIRECCIONAL</t>
  </si>
  <si>
    <t>Forjados</t>
  </si>
  <si>
    <t>RECUPERACIÓN FORJADO UNIDIRECC.MEDIANTE REPOSICIÓN DE CAPA DE COMPRESIÓN</t>
  </si>
  <si>
    <t>ACERO ME B500T EN MALLAS ELECTROSOLDADAS</t>
  </si>
  <si>
    <t>ALAMBRE DE ATAR</t>
  </si>
  <si>
    <t>CA00620</t>
  </si>
  <si>
    <t>ACERO ELECTROSOLDADO ME B 500 T EN MALLA</t>
  </si>
  <si>
    <t>HORMIGÓN PARA ARMAR HA-25/P/20/IIa EN LOSAS</t>
  </si>
  <si>
    <t>TRATAMIENTO SUPERFICIAL LIMPIEZA ESTROPAJEADO FACH. O PAR A MANO</t>
  </si>
  <si>
    <t>WW00600</t>
  </si>
  <si>
    <t>MATERIAL AUXILIAR REVESTIMIENTO</t>
  </si>
  <si>
    <t>05F.</t>
  </si>
  <si>
    <t>Reparación capa compresión</t>
  </si>
  <si>
    <t>CAPÍTULO 06.ALBAÑILERÍA</t>
  </si>
  <si>
    <t>06DT.</t>
  </si>
  <si>
    <t>Distr. Tabiquería (Partic.)</t>
  </si>
  <si>
    <t>01RCG00001</t>
  </si>
  <si>
    <t>06LRL90011</t>
  </si>
  <si>
    <t>06RLR90012</t>
  </si>
  <si>
    <t>10CGG0008</t>
  </si>
  <si>
    <t>06LRL90010</t>
  </si>
  <si>
    <t>01RSC800002</t>
  </si>
  <si>
    <t>01ADS900002</t>
  </si>
  <si>
    <t>01ADT900004</t>
  </si>
  <si>
    <t>01KMP00001</t>
  </si>
  <si>
    <t>06DTD00002</t>
  </si>
  <si>
    <t>06RLW00030</t>
  </si>
  <si>
    <t>10SCR00001</t>
  </si>
  <si>
    <t>11MPB00151</t>
  </si>
  <si>
    <t>DESMONTADO DE RODAPIÉ DE BALDOSAS CERÁMICAS/GRES</t>
  </si>
  <si>
    <t>DEMOLICIÓN SELECTIVA M. MANUALES DE TABICÓN DE LADRILLO</t>
  </si>
  <si>
    <t>DESMONTADO DE PUERTA DE MADERA CON PRECERCO</t>
  </si>
  <si>
    <t>TABICÓN DE LADRILLO H/D 7 cm</t>
  </si>
  <si>
    <t>FL00400</t>
  </si>
  <si>
    <t>LADRILLO CERÁM. HUECO DOBLE 24x11,5x7 cm</t>
  </si>
  <si>
    <t>RECIBIDO DE CARPINTERIA DE MADERA EN PUERTAS</t>
  </si>
  <si>
    <t xml:space="preserve">ATC00100 </t>
  </si>
  <si>
    <t>RODAPIÉ BALDOSAS CERÁMICAS 10x20 cm MORTERO</t>
  </si>
  <si>
    <t>RS00500</t>
  </si>
  <si>
    <t>BALDOSA CERÁMICA 10x20 cm</t>
  </si>
  <si>
    <t>PUERTA PASO BARNIZAR 1 H. CIEGA ABAT. CERCO 70x40 mm</t>
  </si>
  <si>
    <t>PICAPORTE DE RESBALÓN</t>
  </si>
  <si>
    <t>PERNIOS DE LATÓN 11 cm</t>
  </si>
  <si>
    <t>JUEGO DE POMOS O MANIVELAS DE LATON</t>
  </si>
  <si>
    <t>TAPAJUNTAS SAPELLY 60X15 mm</t>
  </si>
  <si>
    <t>MADERA SAPELLY</t>
  </si>
  <si>
    <t>LISTÓN PINO FLANDES 70X30 mm</t>
  </si>
  <si>
    <t>HOJA NORMALIZADA SAPELLY 35 mm</t>
  </si>
  <si>
    <t>CERCO SAPELLY 70X40 mm</t>
  </si>
  <si>
    <t>OF. 1ª CARPINTERÍA</t>
  </si>
  <si>
    <t>REPARACIÓN DE GRIETAS EN TABIQUES Y TABICONES</t>
  </si>
  <si>
    <t>REPARACIÓN DE FISURAS EN TABIQUES Y TABICONES</t>
  </si>
  <si>
    <t>PICADO DE GUARNECIDO Y ENLUCIDO DE YESO EN PAREDES</t>
  </si>
  <si>
    <t>REPARACIÓN DE FISURA INTERIOR EN PARED CON MALLA Y RETACADO</t>
  </si>
  <si>
    <t>REPARACIÓN DE FISURA INTERIOR EN PARED CON GRAPA, MALLA Y RETACA</t>
  </si>
  <si>
    <t>REPARACIÓN DE FISURA INTERIOR EN PARED CON MALLA</t>
  </si>
  <si>
    <t>NOTA: 15 Abril 2015: he terminado de poner códigos de los 3 precios de albañileria y las descrpciones y módulos y FR, falta comprobar de los 3 los descompuestos, y fórmulas</t>
  </si>
  <si>
    <t>PRECIO PA</t>
  </si>
  <si>
    <t>GY90110</t>
  </si>
  <si>
    <t>MALLA FIBRA DE VIDRIO REV. PVC DE 17 g/m2</t>
  </si>
  <si>
    <t>GY00200</t>
  </si>
  <si>
    <t>YESO NEGRO YG</t>
  </si>
  <si>
    <t>GY00100</t>
  </si>
  <si>
    <t>YESO BLANCO YF</t>
  </si>
  <si>
    <t>OFICIAL 1ª YESERO</t>
  </si>
  <si>
    <t>FL00800</t>
  </si>
  <si>
    <t xml:space="preserve">LADRILLO MACIZO DE TEJAR 24x 11,5x 3,5 cm </t>
  </si>
  <si>
    <t>CW00410</t>
  </si>
  <si>
    <t xml:space="preserve">m2 </t>
  </si>
  <si>
    <t>MALLA FIBRA DE VIDRIO DE 217 g/m2</t>
  </si>
  <si>
    <t>27ABRIL2015 HE COMPROBADO DE AQUÍ HACIA ABAJO. SOLO FALTA COMPROBAR LOS DE ALBAÑILERIA DE AQUÍ HACIA RRIBA</t>
  </si>
  <si>
    <t>AGM001605</t>
  </si>
  <si>
    <t>MORTERO DE CEMENTO M5 (1:1:7) CEM II/A-L 32,5 N</t>
  </si>
  <si>
    <t>GK00100</t>
  </si>
  <si>
    <t>CAL AÉREA APAGADA EN POLVO EN SACOS</t>
  </si>
  <si>
    <t>no coinciden céntimos está todo bien</t>
  </si>
  <si>
    <t>M15</t>
  </si>
  <si>
    <t>06WB.</t>
  </si>
  <si>
    <t>Cerramientos de Ladrillo</t>
  </si>
  <si>
    <t>06RLR70020 (M15)</t>
  </si>
  <si>
    <t>REPARACIÓN DE FISURAS EN CERRAMIENTOS</t>
  </si>
  <si>
    <t>01RCE90100</t>
  </si>
  <si>
    <t>PICADO DE ENFOSCADO EN PAREDES EXTERIORES</t>
  </si>
  <si>
    <t xml:space="preserve">TP00100 </t>
  </si>
  <si>
    <t xml:space="preserve">h </t>
  </si>
  <si>
    <t xml:space="preserve">PEÓN ESPECIAL </t>
  </si>
  <si>
    <t>06RLR00001</t>
  </si>
  <si>
    <t xml:space="preserve">TO00100 </t>
  </si>
  <si>
    <t>REPARACIÓN DE FISURA EXTERIOR EN PARED CON MALLA DE FIBRA</t>
  </si>
  <si>
    <t>10CEE90010</t>
  </si>
  <si>
    <t>ENFOSCADO MORTERO BASTARDO</t>
  </si>
  <si>
    <t>13EPP90001</t>
  </si>
  <si>
    <t>PINTURA PÉTREA LISA AL CEMENTO EXTERIOR</t>
  </si>
  <si>
    <t>PA00200</t>
  </si>
  <si>
    <t xml:space="preserve">PASTA PÉTREA LISA </t>
  </si>
  <si>
    <t>Reparación de grietas</t>
  </si>
  <si>
    <t>06RLR00002</t>
  </si>
  <si>
    <t>REPARACIÓN DE FISURA EXTERIOR EN PARED CON MALLA Y RETACADO</t>
  </si>
  <si>
    <t xml:space="preserve">FL00800 </t>
  </si>
  <si>
    <t>h OFICIAL 1ª ALBAÑILERÍA</t>
  </si>
  <si>
    <t>06RLR00003</t>
  </si>
  <si>
    <t>REPARACIÓN DE FISURA EXTERIOR EN PARED CON ARMADO DE FÁBRICA, MALLA Y RETACADO</t>
  </si>
  <si>
    <t xml:space="preserve">OF. 1ª ALBAÑILERÍA </t>
  </si>
  <si>
    <t xml:space="preserve">ACERO B 500 S </t>
  </si>
  <si>
    <t>06RLR90013</t>
  </si>
  <si>
    <t>REPARACIÓN DE HUECO DE CATA EN PARED DE LADRILLO MENOR 0,50 M2</t>
  </si>
  <si>
    <t>LADRILLO CERÁM. HUECO DOBLE 24x 11,5x 7 cm</t>
  </si>
  <si>
    <t xml:space="preserve">TO01200 </t>
  </si>
  <si>
    <t xml:space="preserve">OF. 1ª YESERO </t>
  </si>
  <si>
    <t>06RLR90015</t>
  </si>
  <si>
    <t>REPARACIÓN DE TALADRO EN FACHADA</t>
  </si>
  <si>
    <t>LADRILLO MACIZO DE TEJAR 24x 11,5x 3,5 cm</t>
  </si>
  <si>
    <t xml:space="preserve">AGY00100 </t>
  </si>
  <si>
    <t xml:space="preserve">AGY00200 </t>
  </si>
  <si>
    <t xml:space="preserve">AGM00800 </t>
  </si>
  <si>
    <t xml:space="preserve">MORTERO DE CEMENTO M5 (1:6) CEM II/A-L 32,5 N + PLAST. </t>
  </si>
  <si>
    <t xml:space="preserve">PASTA DE YESO NEGRO YG </t>
  </si>
  <si>
    <t xml:space="preserve">PASTA DE YESO BLANCO YF </t>
  </si>
  <si>
    <t xml:space="preserve">FL00400 </t>
  </si>
  <si>
    <t xml:space="preserve">LADRILLO CERÁM. HUECO DOBLE 24x 11,5x 7 cm </t>
  </si>
  <si>
    <t>10CGW90011</t>
  </si>
  <si>
    <t>REPARACIÓN DE ENFOSCADO VERTICAL EXTERIOR, SUPERFICIE ENTRE 0.50 y 2 m2</t>
  </si>
  <si>
    <t>DESGLOSE DE PRECIOS AUXILIARES</t>
  </si>
  <si>
    <t>http://62.81.207.37:8080/</t>
  </si>
  <si>
    <t>Cuadrilla albañilería, formada por oficial 1ª y peón especial.</t>
  </si>
  <si>
    <t>UD</t>
  </si>
  <si>
    <t>CANTIDAD</t>
  </si>
  <si>
    <t>PRECIO</t>
  </si>
  <si>
    <t>IMPORTE</t>
  </si>
  <si>
    <t>Costes Directos</t>
  </si>
  <si>
    <t>Cuadrilla especializada, formada por oficial 1ª y peón especial.</t>
  </si>
  <si>
    <t xml:space="preserve">OF. 2ª </t>
  </si>
  <si>
    <t>Lechada de cemento CEM II/A-L 32,5 N, envasado, confeccionada a mano, según UNE-EN 197-1:2000.</t>
  </si>
  <si>
    <t>Mortero de cemento CEM II/A-L 32,5 N, tipo M15 (1:3), con una resistencia a compresión de 15 N/mm2, según UNE-EN 998-2:2004.</t>
  </si>
  <si>
    <t>Mortero de cemento CEM II/A-L 32,5 N, tipo M5 (1:6), con una resistencia a compresión de 5 N/mm2, según UNE-EN 998-2:2004.</t>
  </si>
  <si>
    <t>Mortero de cemento CEM II/A-L 32,5 N, tipo M5 (1:6), con adición de plastificante, con una resistencia a compresión de 5 N/mm2, según UNE-EN 998-2:2004.</t>
  </si>
  <si>
    <t>AGM01400</t>
  </si>
  <si>
    <t>MORTERO DE CAL HIDRÁULICA M10 (1:4)</t>
  </si>
  <si>
    <t>Mortero de cal hidráhulica y arena de río, tipo M10 (1:4), con una resistencia a compresión de 10 N/mm2, según UNE-EN 998-2:2004.</t>
  </si>
  <si>
    <t>GK00200</t>
  </si>
  <si>
    <t>CAL HIDRÁULICA APAGADA EN POLVO EN SACOS</t>
  </si>
  <si>
    <t>AGM01605</t>
  </si>
  <si>
    <t>MORTERO BASTARDO M5 (1:1:7) CEM II/A-L 32,5 N Y CAL</t>
  </si>
  <si>
    <t>Mortero bastardo de cemento CEM II/A-L 32,5 N, cal aérea apagada y arena de río, tipo M5 (1:1:7), con una resistencia a compresión de 10 N/mm2, según UNE-EN 998-2:2004.</t>
  </si>
  <si>
    <t>Pasta de yeso negro YG, confeccionada a mano, según UNE-EN 13279-1:2000.</t>
  </si>
  <si>
    <t>Pasta de yeso blanco YF, confeccionadaa mano, según UNE-EN 13279-1:2000.</t>
  </si>
  <si>
    <t>06RLR70010 (M14)</t>
  </si>
  <si>
    <t>t CEMENTO CEM II/A-L 32,5 N EN SACOS</t>
  </si>
  <si>
    <t>t CAL AÉREA APAGADA EN POLVO EN SACOS</t>
  </si>
  <si>
    <t>t CAL HIDRÁULICA APAGADA EN POLVO EN SACOS</t>
  </si>
  <si>
    <t>t YESO NEGRO YG</t>
  </si>
  <si>
    <t>Sevilla, 4 de Mayo de 2015</t>
  </si>
  <si>
    <t>t PASTA DE YESO NEGRO YG</t>
  </si>
  <si>
    <t>t PASTA DE YESO BLANCO YF</t>
  </si>
  <si>
    <t>t CEMENTO BL II/A-L 42,5 R EN SACOS</t>
  </si>
  <si>
    <t>u AZULEJO LISO SUAVE 15x15 cm</t>
  </si>
  <si>
    <t xml:space="preserve">HE </t>
  </si>
  <si>
    <t>cultivos</t>
  </si>
  <si>
    <t xml:space="preserve"> pastos </t>
  </si>
  <si>
    <t xml:space="preserve">mar </t>
  </si>
  <si>
    <t>AGM90500</t>
  </si>
  <si>
    <t xml:space="preserve">m3 </t>
  </si>
  <si>
    <t xml:space="preserve">MORTERO DE CEMENTO CEM II/A-L 32.5 Y ARENA DE RIO (1:6) </t>
  </si>
  <si>
    <t>CIE</t>
  </si>
  <si>
    <t>E*-03</t>
  </si>
  <si>
    <t>HE*10E-03</t>
  </si>
  <si>
    <t>13IWW90010</t>
  </si>
  <si>
    <t>RASCADO DE PINTURA EXTERIOR</t>
  </si>
  <si>
    <t>06RLR05013 (M13)</t>
  </si>
  <si>
    <t>01RWA90001</t>
  </si>
  <si>
    <t>LEVANTADO DE ALFEIZAR DE PIEDRA ARTIFICIAL</t>
  </si>
  <si>
    <t>01RWW90001</t>
  </si>
  <si>
    <t>LEVANTADO DE ALBARDILLA DE PIEDRA ARTIFICIAL</t>
  </si>
  <si>
    <t>01RSC80002</t>
  </si>
  <si>
    <t>09TPP00014</t>
  </si>
  <si>
    <t>AISLAMIENTO PAREDES PLANCHAS RIGIDAS POLIEST. 60 mm</t>
  </si>
  <si>
    <t>POLIESTIRENO PLANCHAS RIGIDAS, DENS. 15 kg/m3</t>
  </si>
  <si>
    <t xml:space="preserve">TO00300 </t>
  </si>
  <si>
    <t>OF. 1ª COLOCADOR</t>
  </si>
  <si>
    <t>10CEE00101</t>
  </si>
  <si>
    <t>ENFOSCADO SIN MAESTREAR Y FRATASADO EN PAREDES DE FACHADA</t>
  </si>
  <si>
    <t>PLATAFORMA ELEVADORA TELESCOPICA</t>
  </si>
  <si>
    <t>10CWW90021</t>
  </si>
  <si>
    <t>BANDA DE REFUERZO DE MALLA DE FIBRA DE VIDRIO EN FACHADA</t>
  </si>
  <si>
    <t>CW00310</t>
  </si>
  <si>
    <t>MALLA FIBRA DE VIDRIO DE 152 g/m2</t>
  </si>
  <si>
    <t>10CWW00005</t>
  </si>
  <si>
    <t>REVESTIMIENTO MONOCAPA CON ÁRIDOS SOBRE ENFOSCADO</t>
  </si>
  <si>
    <t>GR00300</t>
  </si>
  <si>
    <t>LIGANTE MORTERO MODIF. PLASTIF. Y RESINAS</t>
  </si>
  <si>
    <t>AM00200</t>
  </si>
  <si>
    <t>ÁRIDO MÁRMOL SELECCIONADO</t>
  </si>
  <si>
    <t>10SCR0001</t>
  </si>
  <si>
    <t>10WAA00001</t>
  </si>
  <si>
    <t>ALFÉIZAR DE PIEDRA ARTIFICIAL DE 30 cm CON GOTERÓN</t>
  </si>
  <si>
    <t>JUNTA DE SELLADO</t>
  </si>
  <si>
    <t>RW00600</t>
  </si>
  <si>
    <t>ALFÉIZAR PIEDRA ARTIFICIAL C/GOTERÓN 30x3 cm</t>
  </si>
  <si>
    <t>MORTERO BASTARDO M10 (1:0,5:4) CEM II/A-L 32,5 N Y CAL</t>
  </si>
  <si>
    <t>AGM80500</t>
  </si>
  <si>
    <t>LECHADA DE CEMENTO BLANCO BL II/A-L 42,5 R</t>
  </si>
  <si>
    <t>10WAA00002</t>
  </si>
  <si>
    <t>ALBARDILLA DE PIEDRA ARTIFICIAL DE 30 cm CON GOTERÓN</t>
  </si>
  <si>
    <t>RW01600</t>
  </si>
  <si>
    <t>CIMERA PIEDRA ARTIFICIAL 30x5 cm</t>
  </si>
  <si>
    <t>M11</t>
  </si>
  <si>
    <t>M12</t>
  </si>
  <si>
    <t>TRATAMIENTO DE HUMEDADES POR CAPILARIDAD</t>
  </si>
  <si>
    <t>06RLL04010 (M11)</t>
  </si>
  <si>
    <t>06RLL00500</t>
  </si>
  <si>
    <t>XW01000</t>
  </si>
  <si>
    <t>ELECTRODO SISTEMA ELECTRO-OSMOSIS-FORESIS</t>
  </si>
  <si>
    <t>IE11300</t>
  </si>
  <si>
    <t>PICA DE ACERO COBRIZADO (2 m) GRA.</t>
  </si>
  <si>
    <t>GW00300</t>
  </si>
  <si>
    <t>LÍQUIDO DE FORESIS</t>
  </si>
  <si>
    <t>GM01100</t>
  </si>
  <si>
    <t>MORTERO FORESIS</t>
  </si>
  <si>
    <t xml:space="preserve">TO00700 </t>
  </si>
  <si>
    <t>h OFICIAL 1ª IMPERMEABILIZADOR</t>
  </si>
  <si>
    <t>10CEE90007</t>
  </si>
  <si>
    <t>GM01000</t>
  </si>
  <si>
    <t>MORTERO DRAINING</t>
  </si>
  <si>
    <t>10CEE90008</t>
  </si>
  <si>
    <t>ENFOSCADO MAESTREADO CON MORTERO DE DRENADO EN EXTERIORES</t>
  </si>
  <si>
    <t>Reparación humedades por filtración</t>
  </si>
  <si>
    <t>TRATAMIENTO DE HUMEDADES POR FILTRACIÓN</t>
  </si>
  <si>
    <t>06RLL04020 (M12)</t>
  </si>
  <si>
    <t>01ALW00300</t>
  </si>
  <si>
    <t>REBAJE DE 10 cm, CON M. MECÁNICOS DE CERRAMIENTO DE OBRA DE FÁBRICA DE LADRILLOS</t>
  </si>
  <si>
    <t>01XFU00300</t>
  </si>
  <si>
    <t>REBAJE DE 10 cm, CON M. MECÁNICOS DE FRENTE DE FORJADO</t>
  </si>
  <si>
    <t>M18</t>
  </si>
  <si>
    <t>06RLR05015 (M13)</t>
  </si>
  <si>
    <t>BARRERA ANTIHUMEDAD CAPILAR SIST. TRABER. MUROS 60 cm.</t>
  </si>
  <si>
    <t xml:space="preserve">ENFOSCADO MAESTREADO CON MORTERO DE DRENADO </t>
  </si>
  <si>
    <t>OF. 1ª IMPERMEABILIZADOR</t>
  </si>
  <si>
    <t>REV. FACHADAS. VENT. PLACA CERÁMICA 28 mm</t>
  </si>
  <si>
    <t>WW80060</t>
  </si>
  <si>
    <t>ESCUADRA NIVELACIÓN INOX 4 mm</t>
  </si>
  <si>
    <t>WW80050</t>
  </si>
  <si>
    <t>PERFIL EN L 85x75x3 mm</t>
  </si>
  <si>
    <t>WW80040</t>
  </si>
  <si>
    <t>PERFIL EN T GUIADO 85x75x3 mm</t>
  </si>
  <si>
    <t>RA87000</t>
  </si>
  <si>
    <t>PLACA CERÁMICA 500x250 mm</t>
  </si>
  <si>
    <t xml:space="preserve">TA00100 </t>
  </si>
  <si>
    <t>AYUDANTE</t>
  </si>
  <si>
    <t>06RLR95013 (M13')</t>
  </si>
  <si>
    <t>06LI.</t>
  </si>
  <si>
    <t>Fábricas interiores de ladrillo</t>
  </si>
  <si>
    <t>06RLR90010</t>
  </si>
  <si>
    <t xml:space="preserve">m </t>
  </si>
  <si>
    <t>06RLR70021 (M18)</t>
  </si>
  <si>
    <t>06RLR70011 (M17)</t>
  </si>
  <si>
    <t>06RLR90011</t>
  </si>
  <si>
    <t>Reparación de humedades por capilaridad</t>
  </si>
  <si>
    <t>06RLR40011 (M16)</t>
  </si>
  <si>
    <t>M17</t>
  </si>
  <si>
    <t>M16</t>
  </si>
  <si>
    <t>SUSTITUCIÓN FALDÓN. REHABILITACIÓN ENERGÉTICA CUBIERTA</t>
  </si>
  <si>
    <t>01QHT90021</t>
  </si>
  <si>
    <t>LEVANTADO AZOTEA SOLERÍA GENERAL, CARGA MANUAL</t>
  </si>
  <si>
    <t>Cubiertas horizontales</t>
  </si>
  <si>
    <t>07RHR00152 (M22)</t>
  </si>
  <si>
    <t>07HTE00102</t>
  </si>
  <si>
    <t>ENC. FALDÓN CON PARAMENTO, CON ZABALETA</t>
  </si>
  <si>
    <t>RW04900</t>
  </si>
  <si>
    <t>BALDOSA CERÁMICA GOTERA</t>
  </si>
  <si>
    <t>BALDOSA CERÁMICA 14x28 cm</t>
  </si>
  <si>
    <t>09ISS00020</t>
  </si>
  <si>
    <t>IMPERMEAB. SUELOS, B. VAPOR LÁMINA POLIETILENO 0.2 mm</t>
  </si>
  <si>
    <t>LÁMINA POLIETILENO 0,2 mm</t>
  </si>
  <si>
    <t>M22</t>
  </si>
  <si>
    <t>M23</t>
  </si>
  <si>
    <t>M24</t>
  </si>
  <si>
    <t>M25</t>
  </si>
  <si>
    <t>AISLAMIENTO SUELOS P. RÍGIDAS POLIEST. EXTENDIDO 60 mm</t>
  </si>
  <si>
    <t>09TSS00013</t>
  </si>
  <si>
    <t>XT14500</t>
  </si>
  <si>
    <t>POLIESTIRENO PLANCHAS RIGIDAS, DENS. 50 kg/m3</t>
  </si>
  <si>
    <t>09ISS00120</t>
  </si>
  <si>
    <t>IMPERMEAB. SUELOS, FIELTRO GEOTEXTIL + LÁMINA EPDM 1,2 mm</t>
  </si>
  <si>
    <t>XI01400</t>
  </si>
  <si>
    <t>LÁMINA FLEXIBLE EPDM 1,2 mm</t>
  </si>
  <si>
    <t>XI00210</t>
  </si>
  <si>
    <t>ADHESIVO EPDM CINTA</t>
  </si>
  <si>
    <t>QW01000</t>
  </si>
  <si>
    <t>TEJIDO SEPARADOR 70 gr/m2</t>
  </si>
  <si>
    <t>10SCS00001</t>
  </si>
  <si>
    <t>SOLADO CON BALDOSAS CERÁMICA 14x28 cm</t>
  </si>
  <si>
    <t>REPARACIÓN ENCUENTROS CAZOLETAS</t>
  </si>
  <si>
    <t>01QHT90022</t>
  </si>
  <si>
    <t>LEVANTADO ENCUENTROS DE AZOTEA SOLERÍA CON PARAMENTO VERTICAL, CARGA MANUAL</t>
  </si>
  <si>
    <t>REPARACIÓN DE FALDÓN</t>
  </si>
  <si>
    <t>DESMONTADO DE CAZOLETA</t>
  </si>
  <si>
    <t>Encuentros cazoletas</t>
  </si>
  <si>
    <t>REPARACIÓN ENCUENTROS PARAMENTOS VERTICALES</t>
  </si>
  <si>
    <t>M26</t>
  </si>
  <si>
    <t>M27</t>
  </si>
  <si>
    <t>M28</t>
  </si>
  <si>
    <t xml:space="preserve">HE energía </t>
  </si>
  <si>
    <t>Energía maquinaria</t>
  </si>
  <si>
    <t>Energía materiales</t>
  </si>
  <si>
    <t>Energía movilidad</t>
  </si>
  <si>
    <t xml:space="preserve">Energía alimentos </t>
  </si>
  <si>
    <t>HE parcial *10E-5/m2</t>
  </si>
  <si>
    <t>07RIR80051 (M26)</t>
  </si>
  <si>
    <t>Cubiertas inclinadas</t>
  </si>
  <si>
    <t>01QHT80003</t>
  </si>
  <si>
    <t>DESMONTADO CUBIERTA COMPLETA DE TEJA CURVA CON RECUPERACIÓN</t>
  </si>
  <si>
    <t>07IFW00003</t>
  </si>
  <si>
    <t>CANALÓN VISTO DE FIBROCEMENTO</t>
  </si>
  <si>
    <t>QW01200</t>
  </si>
  <si>
    <t>CANALÓN FIBROCEMENTO DIÁM. 150 mm</t>
  </si>
  <si>
    <t>07ITE00002</t>
  </si>
  <si>
    <t>ENC. FALDÓN TEJAS PLANAS O CURVAS Y PARAM. LATERAL TEJAS</t>
  </si>
  <si>
    <t>TEJA CERÁMICA CURVA</t>
  </si>
  <si>
    <t>MORTERO DE CEMENTO M2,5 (1:8) CEM II/A-L 32,5 N</t>
  </si>
  <si>
    <t>07ITL00001</t>
  </si>
  <si>
    <t>CUMBRERA DE TEJAS CURVAS DE CERÁMICA PRIMERA CALIDAD</t>
  </si>
  <si>
    <t>07ITL00005</t>
  </si>
  <si>
    <t>LIMAHOYA FALDÓN TEJAS PLANAS O CURVAS, CON CHAPA DE CINC</t>
  </si>
  <si>
    <t>QP03000</t>
  </si>
  <si>
    <t>PLANCHA DE CINC 0,60 mm ESP.</t>
  </si>
  <si>
    <t xml:space="preserve">TEJA CERÁMICA CURVA </t>
  </si>
  <si>
    <t>MADERA DE PINO EN TABLA</t>
  </si>
  <si>
    <t>HE parcial unitaria(hag/m2)</t>
  </si>
  <si>
    <t>HE parciales (hag/m2)</t>
  </si>
  <si>
    <t>Huellas parciales</t>
  </si>
  <si>
    <t>07ITW00001</t>
  </si>
  <si>
    <t>ALERO DE TEJAS CURVAS DE CERÁMICA PRIMERA CALIDAD</t>
  </si>
  <si>
    <t>07RIR80061 (M27)</t>
  </si>
  <si>
    <t>07RIR80071 (M28)</t>
  </si>
  <si>
    <t>01QHT80004</t>
  </si>
  <si>
    <t>REPARACIÓN DE ENCUENTROS EN CUBIERTA INCLINADA</t>
  </si>
  <si>
    <t>M46</t>
  </si>
  <si>
    <t>SUSTITUCIÓN CARPINTERÍA EXTERIOR ABATIBLE ALUMINIO RPT, DOBLE ACRISTALAMIENTO, TIPO III.</t>
  </si>
  <si>
    <t>11RVS11022 (M46)</t>
  </si>
  <si>
    <t>06WWR80060</t>
  </si>
  <si>
    <t>RECIBIDO DE CERCOS EN CERRAM. EXTERIORES (FAB. REVESTIR)</t>
  </si>
  <si>
    <t>WW80010</t>
  </si>
  <si>
    <t>PUNTAS 20x100 cm</t>
  </si>
  <si>
    <t>TP00200</t>
  </si>
  <si>
    <t>TA00100</t>
  </si>
  <si>
    <t>11LVA80050</t>
  </si>
  <si>
    <t>VENTANA ABATIBLE ALUM. LACADO BLANCO C/R.P.T. TIPO III (1,50-3 m</t>
  </si>
  <si>
    <t>KL80300</t>
  </si>
  <si>
    <t>VENTANA ABATIBLE ALUMINIO LACADO BLANCO C/R.P.T.</t>
  </si>
  <si>
    <t>PRECERCO TUBO ACERO GALVANIZADO ABATIBLE O FIJO</t>
  </si>
  <si>
    <t>OF. 1ª CERRAJERO-CHAPISTA</t>
  </si>
  <si>
    <t>11SPL00001</t>
  </si>
  <si>
    <t>PERSIANA ENROLLABLE ALUM. ANODIZADO ACC. MANUAL</t>
  </si>
  <si>
    <t>KS02900</t>
  </si>
  <si>
    <t>GUIA ALUM. PERSIANA ENROLLABLE ALUMINIO</t>
  </si>
  <si>
    <t>KS04400</t>
  </si>
  <si>
    <t>PERSIANA ENROLLABLE ALUMINIO</t>
  </si>
  <si>
    <t>KS05600</t>
  </si>
  <si>
    <t>RULO Y MECANISMOS ENROLLABLE METALICO</t>
  </si>
  <si>
    <t>12LTI80016</t>
  </si>
  <si>
    <t>ACRIST. TERMOACÚSTICO DOS LUNAS PULIDAS INCOLORAS 6 mm</t>
  </si>
  <si>
    <t>VL04500</t>
  </si>
  <si>
    <t>DOBLE LUNA INCOLORA CON BAJA EMISIVIDAD 6 mm, CÁMARA AIRE 12 mm</t>
  </si>
  <si>
    <t>VW01500</t>
  </si>
  <si>
    <t>PERFIL EN "U" DE NEOPRENO</t>
  </si>
  <si>
    <t>11MV</t>
  </si>
  <si>
    <t>M47</t>
  </si>
  <si>
    <t>Ventana abatible+Madera+vidrio doble acristalamiento</t>
  </si>
  <si>
    <t>SE DECIDE ELIMINAR PVC</t>
  </si>
  <si>
    <t>Carpintería madera (ventanas)</t>
  </si>
  <si>
    <t>11RVS21022 (M47)</t>
  </si>
  <si>
    <t>VENTANA ABATIBLE MAD. PINO FLANDES 1ª TIPO III (1,50-3 m2)</t>
  </si>
  <si>
    <t>KM08500</t>
  </si>
  <si>
    <t>VENTANA ABATIBLE MAD. PINO FLANDES 1ª (T-III)</t>
  </si>
  <si>
    <t>TAPAJUNTAS PINO FLANDES 60X15 mm</t>
  </si>
  <si>
    <t>11MVW00001</t>
  </si>
  <si>
    <t>CONTRAVENTANA ABATIBLE MAD. PINO FLANDES 1ª, LAMAS FIJAS</t>
  </si>
  <si>
    <t>KM01900</t>
  </si>
  <si>
    <t>CONTRAVENTANA ABATIBLE MAD. PINO FLANDES 1ª CALIDAD, LAMAS FIJAS</t>
  </si>
  <si>
    <t>11RBL10010 (M44)</t>
  </si>
  <si>
    <t>01KSR90011</t>
  </si>
  <si>
    <t>TRATAMIENTO DE REJAS METÁLICAS EXTERIORES</t>
  </si>
  <si>
    <t>DESMONTAJE M. MANUALES DE REJA METÁLICA Y ACOPIO</t>
  </si>
  <si>
    <t>PINTURA ESMALTE SINTÉTICO S/CARP. METÁLICA</t>
  </si>
  <si>
    <t>13EEE00004</t>
  </si>
  <si>
    <t>IMPRIMACIÓN ANTIOXIDANTE</t>
  </si>
  <si>
    <t>PE00200</t>
  </si>
  <si>
    <t>ESMALTE SINTÉTICO</t>
  </si>
  <si>
    <t>DISOLVENTE</t>
  </si>
  <si>
    <t>13EEE90041</t>
  </si>
  <si>
    <t>PINT ANTICORROSIVA ANTIOX CON INCLUSION PARTÍCULAS METALICAS</t>
  </si>
  <si>
    <t>PE00300</t>
  </si>
  <si>
    <t>ESMALTE SINTÉTICO CON PARTÍCULAS METÁLICAS</t>
  </si>
  <si>
    <t>OF. 2ª PINTOR</t>
  </si>
  <si>
    <t>TO01005</t>
  </si>
  <si>
    <t>11SRW90011</t>
  </si>
  <si>
    <t>COLOCACIÓN DE REJAS EN VENTANAS</t>
  </si>
  <si>
    <t>13REL90002</t>
  </si>
  <si>
    <t>APLICACION DECAPANTES S/SUPERF METALICAS PINTURAS CADUCAS</t>
  </si>
  <si>
    <t>PW00330</t>
  </si>
  <si>
    <t>DECAPANTE PINTURAS</t>
  </si>
  <si>
    <t>SUSTITUCIÓN DE REJAS METÁLICAS EXTERIORES</t>
  </si>
  <si>
    <t>ACERO EN CUADRADILLOS MANUFACTURADO</t>
  </si>
  <si>
    <t>ACERO EN PLETINAS MANUFACTURADO</t>
  </si>
  <si>
    <t>11RBS10010 (M45)</t>
  </si>
  <si>
    <t>OK</t>
  </si>
  <si>
    <t>M45</t>
  </si>
  <si>
    <t>M44</t>
  </si>
  <si>
    <t>se elimina</t>
  </si>
  <si>
    <t>Falta Qi</t>
  </si>
  <si>
    <t>VALORES DE QI DE CLIMATIZACIÓN CALCUALDOS PARA 100M2 DE VIVIENDA HEREVEA 02062015</t>
  </si>
  <si>
    <t>NO HAY PQ LAS VIVIENDAS TIENEN POCA ALTURA PARA PODER BAJAR EL FALSO TECHO</t>
  </si>
  <si>
    <t>M29</t>
  </si>
  <si>
    <t>M29'</t>
  </si>
  <si>
    <t>VALORES CALCULADOS PARA UNA VIVIENDA DE 100 M2, 2M2 DE RADIADORES PARA UNA VIVIENDA</t>
  </si>
  <si>
    <t>calculado</t>
  </si>
  <si>
    <t>Aparatos de climatización</t>
  </si>
  <si>
    <t>2 DE JUNIO 2015</t>
  </si>
  <si>
    <t>Radiadores</t>
  </si>
  <si>
    <t xml:space="preserve"> m2</t>
  </si>
  <si>
    <t>Circuitos</t>
  </si>
  <si>
    <t xml:space="preserve"> m</t>
  </si>
  <si>
    <t>Líneas y derivaciones</t>
  </si>
  <si>
    <t>Puntos de luz</t>
  </si>
  <si>
    <t>Tomas de corriente</t>
  </si>
  <si>
    <t>Conductor de puesta a tierra</t>
  </si>
  <si>
    <t>08RES (M30)</t>
  </si>
  <si>
    <t>OF.1ª ELECTRICISTA</t>
  </si>
  <si>
    <t>01IEC90001</t>
  </si>
  <si>
    <t xml:space="preserve">DEMOLICIÓN MASIVA M. MAN. CIRCUITO ELÉC. CON SELECCIÓN DE COBRE </t>
  </si>
  <si>
    <t>08EID00012</t>
  </si>
  <si>
    <t>INTERRUPTOR DIFERENCIAL II, INT. N. 40 A SENS. 0,30 A</t>
  </si>
  <si>
    <t>IE08800</t>
  </si>
  <si>
    <t>INTERRUPTOR DIFERENCIAL II 40 A/300 mA TIPO AC</t>
  </si>
  <si>
    <t>08EIM00101</t>
  </si>
  <si>
    <t>INTERRUPTOR AUTOMÁTICO MAGNETOTÉRMICO BIPOLAR DE 10 A</t>
  </si>
  <si>
    <t>IE10300</t>
  </si>
  <si>
    <t>INTERRUPTOR MAGNETOTÉRMICO II, DE 10-32 A</t>
  </si>
  <si>
    <t>08EIM00102</t>
  </si>
  <si>
    <t>INTERRUPTOR AUTOMÁTICO MAGNETOTÉRMICO BIPOLAR DE 16 A</t>
  </si>
  <si>
    <t>08EIM00103</t>
  </si>
  <si>
    <t>INTERRUPTOR AUTOMÁTICO MAGNETOTÉRMICO BIPOLAR DE 20 A</t>
  </si>
  <si>
    <t>08EIM00104</t>
  </si>
  <si>
    <t>INTERRUPTOR AUTOMÁTICO MAGNETOTÉRMICO BIPOLAR DE 25 A</t>
  </si>
  <si>
    <t>08EIW00005</t>
  </si>
  <si>
    <t>IE07700</t>
  </si>
  <si>
    <t>INTERRUPTOR CONTROL POTENCIA, I+N, DE 10-35 A</t>
  </si>
  <si>
    <t>08ECC00001</t>
  </si>
  <si>
    <t>CIRCUITO DE ALUMBRADO 3x1,5 mm2</t>
  </si>
  <si>
    <t>TUBO PVC FLEXIBLE CORRUGADO DIÁM. 13 mm</t>
  </si>
  <si>
    <t>CABLE COBRE 1x1,5 mm2 H07V-K</t>
  </si>
  <si>
    <t>08ECC00002</t>
  </si>
  <si>
    <t>CIRCUITO DE OTROS USOS 3x2,5 mm2</t>
  </si>
  <si>
    <t>IE02000</t>
  </si>
  <si>
    <t>CABLE COBRE 1x2,5 mm2 H07V-K</t>
  </si>
  <si>
    <t>08ECC00003</t>
  </si>
  <si>
    <t>CIRCUITO LAVADORA, LAVAVAJILLAS, ETC. 3x4 mm2</t>
  </si>
  <si>
    <t>IE12000</t>
  </si>
  <si>
    <t>TUBO PVC FLEXIBLE CORRUGADO DIÁM. 16 mm</t>
  </si>
  <si>
    <t>IE02100</t>
  </si>
  <si>
    <t>CABLE COBRE 1x4 mm2 H07V-K</t>
  </si>
  <si>
    <t>08ECC00004</t>
  </si>
  <si>
    <t>CIRCUITO PARA COCINA 3x6 mm2</t>
  </si>
  <si>
    <t>IE12100</t>
  </si>
  <si>
    <t>TUBO PVC FLEXIBLE CORRUGADO DIÁM. 23 mm</t>
  </si>
  <si>
    <t>IE02200</t>
  </si>
  <si>
    <t>CABLE COBRE 1x6 mm2 H07V-K</t>
  </si>
  <si>
    <t>08ECC00005</t>
  </si>
  <si>
    <t>CIRCUITO PARA CLIMATIZACION 4x6 mm2</t>
  </si>
  <si>
    <t>08EWW00005</t>
  </si>
  <si>
    <t>CUADRO GENERAL MANDO Y PROTECCIÓN ALUMBRADO ESCALERA</t>
  </si>
  <si>
    <t>IE11800</t>
  </si>
  <si>
    <t>TABLERO AISLANTE</t>
  </si>
  <si>
    <t>IE09900</t>
  </si>
  <si>
    <t>INTERRUPTOR HORARIO AUTOMÁTICO</t>
  </si>
  <si>
    <t>IE08600</t>
  </si>
  <si>
    <t>INTERRUPTOR DIFERENCIAL II 40 A/30 mA TIPO AC</t>
  </si>
  <si>
    <t>IE06700</t>
  </si>
  <si>
    <t>CONMUTADOR ROTATIVO (TELERRUPTOR)</t>
  </si>
  <si>
    <t>08EWW00011</t>
  </si>
  <si>
    <t>CAJA CUADRO MANDO Y PROTECCIÓN 1 DIF. + 6 MAGN.</t>
  </si>
  <si>
    <t>IE04100</t>
  </si>
  <si>
    <t>CAJA DE CUADRO PROTEC. PARA 1DIF. Y 6 MAGNT.</t>
  </si>
  <si>
    <t>01IEA90001</t>
  </si>
  <si>
    <t>DEMOLICIÓN MASIVA M. MAN. DE ACOMETIDA ELÉCTRICA</t>
  </si>
  <si>
    <t>01IEK90001</t>
  </si>
  <si>
    <t>DEMOLICIÓN SELECTIVA M. MAN. DE INST. MODULAR DE CONTADOR ELÉC.</t>
  </si>
  <si>
    <t>01IER90001</t>
  </si>
  <si>
    <t>DEMOLICIÓN MASIVA M. MAN. DE LÍNEA GENERAL DE ALIMENTACIÓN</t>
  </si>
  <si>
    <t>01IEW00001</t>
  </si>
  <si>
    <t>DESMONTADO DE CUADRO GENERAL DE PROTECCIÓN</t>
  </si>
  <si>
    <t>08EAA00002</t>
  </si>
  <si>
    <t>ACOMETIDA DE ELECTRICIDAD UN BLOQUE</t>
  </si>
  <si>
    <t>IE13450</t>
  </si>
  <si>
    <t>ACOMETIDA ELECTRICA UN BLOQUE S/NORMA</t>
  </si>
  <si>
    <t>como cuantificamos lahuella de la acometida???????</t>
  </si>
  <si>
    <t>08EWW00104</t>
  </si>
  <si>
    <t>CAJA GENERAL DE PROTECCIÓN, PARA 160 A</t>
  </si>
  <si>
    <t>IE11600</t>
  </si>
  <si>
    <t>PUNTO DE PUESTA A TIERRA</t>
  </si>
  <si>
    <t>IE05600</t>
  </si>
  <si>
    <t>CARTUCHO FUSIBLE 160 A INTENSIDAD</t>
  </si>
  <si>
    <t>IE04700</t>
  </si>
  <si>
    <t>CAJA GENERAL PROTECCIÓN 160 A INTEN. NOM. C/BASES FUSIBLES</t>
  </si>
  <si>
    <t>08ERR00221</t>
  </si>
  <si>
    <t>LÍNEA GENERAL ALIMENT. 5x16 mm2 BAJO TUBO PVC</t>
  </si>
  <si>
    <t>UE04600</t>
  </si>
  <si>
    <t>TUBERÍA PVC LIGERA DIÁM. 60 mm PARA COND. CABLES</t>
  </si>
  <si>
    <t>IE02700</t>
  </si>
  <si>
    <t>CABLE COBRE 1x16 mm2 RZ1-K(AS)</t>
  </si>
  <si>
    <t>IE02600</t>
  </si>
  <si>
    <t>CABLE COBRE 1x16 mm2 H07V-K(AS)</t>
  </si>
  <si>
    <t>08EKK00001</t>
  </si>
  <si>
    <t>INSTALACIÓN MODULAR DE CONTADOR MONOFÁSICO CENTRALIZADO</t>
  </si>
  <si>
    <t>IE11200</t>
  </si>
  <si>
    <t>MODULO HOMOLOGADO PARA ALOJAMIENTO DE CONTADOR</t>
  </si>
  <si>
    <t>IE05900</t>
  </si>
  <si>
    <t>FUSIBLE CARTUCHO 50 AMP. S/CARTUCHO</t>
  </si>
  <si>
    <t>08EDD00002</t>
  </si>
  <si>
    <t>DERIVACIÓN INDIVIDUAL MONOFÁSICA, 3 COND. 6 mm2</t>
  </si>
  <si>
    <t>IE12200</t>
  </si>
  <si>
    <t>TUBO PVC FLEXIBLE CORRUGADO DIAN. 29 mm</t>
  </si>
  <si>
    <t>SUSTITUCIÓN DE PUNTOS DE LUZ</t>
  </si>
  <si>
    <t>01IEL90001</t>
  </si>
  <si>
    <t>DEMOLICIÓN MASIVA M. MAN. DE PUNTO DE LUZ CON SELECCIÓN DE COBRE</t>
  </si>
  <si>
    <t>PUNTO DE LUZ SENCILLO EMPOTRADO</t>
  </si>
  <si>
    <t>IE11000</t>
  </si>
  <si>
    <t>INTERRUPTOR SENCILLO</t>
  </si>
  <si>
    <t>CAJILLO UNIVERSAL ENLAZABLE</t>
  </si>
  <si>
    <t>08ELL00001</t>
  </si>
  <si>
    <t>08ELL00002</t>
  </si>
  <si>
    <t>PUNTO DE LUZ CONMUTADO EMPOTRADO</t>
  </si>
  <si>
    <t>IE07600</t>
  </si>
  <si>
    <t>INTERRUPTOR CONMUTADO NORMAL</t>
  </si>
  <si>
    <t>08ELL00003</t>
  </si>
  <si>
    <t>PUNTO DE LUZ DE ESCALERA EMPOTRADO</t>
  </si>
  <si>
    <t>IE11500</t>
  </si>
  <si>
    <t>PULSADOR</t>
  </si>
  <si>
    <t>08ELL00004</t>
  </si>
  <si>
    <t>PUNTO DE LUZ DE PORCHE EMPOTRADO</t>
  </si>
  <si>
    <t>SUSTITUCIÓN DE TOMAS DE CORRIENTE</t>
  </si>
  <si>
    <t>08ETT00002</t>
  </si>
  <si>
    <t>TOMA CORRIENTE EMPOTRADA 10/16 A CON 1,5 mm2</t>
  </si>
  <si>
    <t>BASE ENCHUFE II+T 10/16 A C/PLACA</t>
  </si>
  <si>
    <t>08ETT00003</t>
  </si>
  <si>
    <t>TOMA CORRIENTE EMPOTRADA 16 A CON 2,5 mm2</t>
  </si>
  <si>
    <t>IE01400</t>
  </si>
  <si>
    <t>BASE ENCHUFE II+T 16 A C/PLACA T.T. LATERAL</t>
  </si>
  <si>
    <t>08ETT00004</t>
  </si>
  <si>
    <t>TOMA CORRIENTE EMPOTRADA 20 A CON 4 mm2</t>
  </si>
  <si>
    <t>IE01600</t>
  </si>
  <si>
    <t>BASE ENCHUFE II+T 20 A C/PLACA T.T. LATERAL</t>
  </si>
  <si>
    <t>08ETT00005</t>
  </si>
  <si>
    <t>TOMA CORRIENTE EMPOTRADA 20 A CON 6 mm2</t>
  </si>
  <si>
    <t>08ETT00006</t>
  </si>
  <si>
    <t>TOMA CORRIENTE EMPOTRADA 25 A CON 6 mm2</t>
  </si>
  <si>
    <t>IE01700</t>
  </si>
  <si>
    <t>BASE ENCHUFE II+T 25 A C/PLACA</t>
  </si>
  <si>
    <t>AYUDANTE  ESPECIALISTA</t>
  </si>
  <si>
    <t>08EPP00005</t>
  </si>
  <si>
    <t>PICA DE PUESTA A TIERRA</t>
  </si>
  <si>
    <t>OF. 1ª ELECTRICISTA</t>
  </si>
  <si>
    <t>AYUDANTE ESPECIALISTA</t>
  </si>
  <si>
    <t xml:space="preserve">ATC00200 </t>
  </si>
  <si>
    <t>CUADRILLA ALBAÑILERÍA, FORMADA POR OFICIAL 2ª Y PEÓN ESP.</t>
  </si>
  <si>
    <t>08EPP00006</t>
  </si>
  <si>
    <t>PUESTA A TIERRA CÓN PLACA DE COBRE DESNUDO ESP. 3 mm</t>
  </si>
  <si>
    <t>IF27500</t>
  </si>
  <si>
    <t>TUBO ACERO GALVANIZADO DIÁM. 2 1/4"</t>
  </si>
  <si>
    <t>IE11400</t>
  </si>
  <si>
    <t>PLACA DE COBRE PARA TOMA TIERRA</t>
  </si>
  <si>
    <t>08EPP00101</t>
  </si>
  <si>
    <t>LÍNEA PRINCIPAL PUESTA TIERRA, 16 mm2 EMPOTRADA</t>
  </si>
  <si>
    <t>IE03800</t>
  </si>
  <si>
    <t>CABLE DE COBRE DESNUDO</t>
  </si>
  <si>
    <t>08EPP00152</t>
  </si>
  <si>
    <t>CONDUCCIÓN PUESTA TIERRA, COND. COBRE DESNUDO 35 mm2</t>
  </si>
  <si>
    <t>Canalizaciones Agua Caliente</t>
  </si>
  <si>
    <t>01IFF90001</t>
  </si>
  <si>
    <t>DEMOLICIÓN MASIVA M. MAN. DE CANALIZACIÓN DE HIERRO GALVANIZADO</t>
  </si>
  <si>
    <t>08RFS30010 (M35)</t>
  </si>
  <si>
    <t>08FFP90300</t>
  </si>
  <si>
    <t>CANALIZACIÓN MULTICAPA PE-X, EMPOTRADA, DIÁM. 16x2 mm</t>
  </si>
  <si>
    <t>IF93001</t>
  </si>
  <si>
    <t>TUBO MULTICAPA PE-X DIÁM. 16x2 mm</t>
  </si>
  <si>
    <t>IF92974</t>
  </si>
  <si>
    <t>TUBO CORRUGADO P/POLIETILENO DIÁM. 25 mm</t>
  </si>
  <si>
    <t>08FFP90310</t>
  </si>
  <si>
    <t>CANALIZACIÓN MULTICAPA PE-X, EMPOTRADA, DIÁM. 20x2 mm</t>
  </si>
  <si>
    <t>IF93002</t>
  </si>
  <si>
    <t>TUBO MULTICAPA PE-X DIÁM. 20x2 mm</t>
  </si>
  <si>
    <t>IF92975</t>
  </si>
  <si>
    <t>TUBO CORRUGADO P/POLIETILENO DIÁM. 32 mm</t>
  </si>
  <si>
    <t>08FFP90320</t>
  </si>
  <si>
    <t>CANALIZACIÓN MULTICAPA PE-X, EMPOTRADA, DIÁM. 25x2,5 mm</t>
  </si>
  <si>
    <t>IF93003</t>
  </si>
  <si>
    <t>TUBO MULTICAPA PE-X DIÁM. 25x2,5 mm</t>
  </si>
  <si>
    <t>08FVL00001</t>
  </si>
  <si>
    <t>LLAVE PASO DIÁM. 1/2" (10/15 mm)</t>
  </si>
  <si>
    <t>IF21100</t>
  </si>
  <si>
    <t>08FVL00003</t>
  </si>
  <si>
    <t>LLAVE PASO DIÁM. 3/4" (15/20 mm)</t>
  </si>
  <si>
    <t>IF21500</t>
  </si>
  <si>
    <t>08FVL00004</t>
  </si>
  <si>
    <t>LLAVE PASO DIÁM. 1" (22/25 mm)</t>
  </si>
  <si>
    <t>IF21900</t>
  </si>
  <si>
    <t>09TCC90001</t>
  </si>
  <si>
    <t>COQUILLA ESPESOR 19x18 TEMP. 150º C</t>
  </si>
  <si>
    <t>XT80500</t>
  </si>
  <si>
    <t>09TCC90002</t>
  </si>
  <si>
    <t>COQUILLA ESPESOR 19x35 TEMP. 150º C</t>
  </si>
  <si>
    <t>XT80510</t>
  </si>
  <si>
    <t>REPOSICIÓN DE REDES DE AGUA CALIENTE SANITARIA (PE-X)</t>
  </si>
  <si>
    <t>REPOSICIÓN DE REDES DE AGUA CALIENTE SANITARIA (COBRE)</t>
  </si>
  <si>
    <t>08RFS30020 (M36)</t>
  </si>
  <si>
    <t>08FCC00052</t>
  </si>
  <si>
    <t>CANALIZACIÓN COBRE CALORIFUGADA, EMPOTRADA 18 mm</t>
  </si>
  <si>
    <t>XT00900</t>
  </si>
  <si>
    <t>COQUILLA ESP. ELAST. POLIET. 0,040 W/mºC 28x10 mm DIÁM. x ESP.</t>
  </si>
  <si>
    <t>IF28200</t>
  </si>
  <si>
    <t>TUBO COBRE DIÁM. 16/18 mm</t>
  </si>
  <si>
    <t>08FCC00053</t>
  </si>
  <si>
    <t>CANALIZACIÓN COBRE CALORIFUGADA, EMPOTRADA 22 mm</t>
  </si>
  <si>
    <t>IF28300</t>
  </si>
  <si>
    <t>TUBO COBRE DIÁM. 20/22 mm</t>
  </si>
  <si>
    <t>08FCC00054</t>
  </si>
  <si>
    <t>CANALIZACIÓN COBRE CALORIFUGADA, EMPOTRADA 28 mm</t>
  </si>
  <si>
    <t>IF28400</t>
  </si>
  <si>
    <t>TUBO COBRE DIÁM. 26/28 mm</t>
  </si>
  <si>
    <t>Desagües</t>
  </si>
  <si>
    <t>08RFS30030 (M37)</t>
  </si>
  <si>
    <t>01RSC90001</t>
  </si>
  <si>
    <t>LEVANTADO DE SOLADO Y RODAPIÉ DE BALDOSAS CERÁMICAS</t>
  </si>
  <si>
    <t>OF.1ª SOLADOR</t>
  </si>
  <si>
    <t>01IFD90002</t>
  </si>
  <si>
    <t>DESMONTADO DE DESAGÜE DE BAÑERA CON TUBO DE PLOMO</t>
  </si>
  <si>
    <t>DESMONTADO DE DESAGÜE DE FREGADERO CON TUBO DE PLOMO</t>
  </si>
  <si>
    <t>01IFD90004</t>
  </si>
  <si>
    <t>01IFD90005</t>
  </si>
  <si>
    <t>DESMONTADO DE DESAGÜE DE INODORO, MANGUETÓN DE PLOMO</t>
  </si>
  <si>
    <t>01IFD90006</t>
  </si>
  <si>
    <t>DESMONTADO DE DESAGÜE DE LAVABO CON TUBO DE PLOMO</t>
  </si>
  <si>
    <t>01IFD90007</t>
  </si>
  <si>
    <t>DESMONTADO DE DESAGÜE DE BIDE CON TUBO DE PLOMO</t>
  </si>
  <si>
    <t>DEMOLICIÓN DE FORJADO SANITARIO UNIDIRECCIONAL</t>
  </si>
  <si>
    <t>08FDP05011</t>
  </si>
  <si>
    <t>IF93005</t>
  </si>
  <si>
    <t>TUBO MULTICAPA PE-X DIÁM. 40x3,5 mm</t>
  </si>
  <si>
    <t>IF92977</t>
  </si>
  <si>
    <t>TUBO CORRUGADO P/POLIETILENO DIÁM. 50 mm</t>
  </si>
  <si>
    <t>08FFP90340</t>
  </si>
  <si>
    <t>BOTE SIFÓNICO POLIPROPILENO 125 mm CON TUBO PVC DIÁM. 40x3,7 mm</t>
  </si>
  <si>
    <t>IF92993</t>
  </si>
  <si>
    <t>TUBO POLIPROPILENO DIÁM. 40x3,7 mm</t>
  </si>
  <si>
    <t>IF26400</t>
  </si>
  <si>
    <t>TAPA LATÓN ROSCADA</t>
  </si>
  <si>
    <t>IF92400</t>
  </si>
  <si>
    <t>BOTE SIFÓNICO POLIPROPILENO DIÁM. 125 mm</t>
  </si>
  <si>
    <t>08FDP05051</t>
  </si>
  <si>
    <t>DESAGÜE BAÑERA CON TUBO DE POLIPROPILENO DIÁM. 40x3,7 mm</t>
  </si>
  <si>
    <t>IF29000</t>
  </si>
  <si>
    <t>TUBO POLIPROPILENO DIÁM. 32x2,9 mm</t>
  </si>
  <si>
    <t>08FDP05061</t>
  </si>
  <si>
    <t>DESAGÜE BIDÉ, CON TUBO DE POLIPROPILENO DIÁM. 32x2,9 mm</t>
  </si>
  <si>
    <t>08FDP05081</t>
  </si>
  <si>
    <t>DESAGÜE FREGADERO UN SENO, CON SIFÓN IND. CON POLIPROPILENO 40x3,7 mm</t>
  </si>
  <si>
    <t>IF92100</t>
  </si>
  <si>
    <t>SIFÓN BOTELLA INDIVIDUAL POLIPROPILENO DIÁM. 43 mm</t>
  </si>
  <si>
    <t>08FDP05091</t>
  </si>
  <si>
    <t>DESAGÜE DE INODORO VERTEDERO CON MANGUETÓN POLIPROPILENO 90 mm</t>
  </si>
  <si>
    <t>IF92997</t>
  </si>
  <si>
    <t>TUBO POLIPROPILENO DIÁM. 90x8,2 mm</t>
  </si>
  <si>
    <t>08FDP05101</t>
  </si>
  <si>
    <t>DESAGÜE LAVABO UN SENO CON POLIPROPILENO DIÁM. 32x2,9 mm</t>
  </si>
  <si>
    <t>08FDP05131</t>
  </si>
  <si>
    <t>DESAGÜE LAVADORA LAVAVAJILLAS CON SIFÓN IND. CON POLIPROPILENO DIÁM. 40x1,9 mm</t>
  </si>
  <si>
    <t>10TET00004</t>
  </si>
  <si>
    <t>TECHO CONTINUO PLACAS DE ESCAYOLA LISA, FIJ. METÁLICA</t>
  </si>
  <si>
    <t>PLACA ESCAYOLA LISA</t>
  </si>
  <si>
    <t>PASTA DE ESCAYOLA</t>
  </si>
  <si>
    <t>OF. 1ª ESCAYOLISTA</t>
  </si>
  <si>
    <t>13IPP90016</t>
  </si>
  <si>
    <t>PINTURA PLASTICA LISA</t>
  </si>
  <si>
    <t>La grifería se va a eliminar y se incluye en el aparato, para no duplicar medición de grifo</t>
  </si>
  <si>
    <t>08RFS30040 (M38)</t>
  </si>
  <si>
    <t>REPOSICIÓN DE REDES DE AGUA FRÍA (PE-X)</t>
  </si>
  <si>
    <t>OF.1ª FONTANERÍA</t>
  </si>
  <si>
    <t>01IFA00101</t>
  </si>
  <si>
    <t xml:space="preserve"> DESMONTADO DE CONTADOR DE AGUA</t>
  </si>
  <si>
    <t>08FAA90002</t>
  </si>
  <si>
    <t>ACOMETIDA DE AGUA DE 40 A 50 mm</t>
  </si>
  <si>
    <t>IF91650</t>
  </si>
  <si>
    <t>ACOMETIDA AGUA DE 40 A 50 mm S/NORMAS</t>
  </si>
  <si>
    <t>QUE HACER CON LAS ACOMETIDAS</t>
  </si>
  <si>
    <t>CANALIZACIÓN MULTICAPA PE-X, EMPOTRADA, DIÁM. 25x2 mm</t>
  </si>
  <si>
    <t>08FFP90330</t>
  </si>
  <si>
    <t>CANALIZACIÓN MULTICAPA PE-X, EMPOTRADA, DIÁM. 32x2 mm</t>
  </si>
  <si>
    <t>IF93004</t>
  </si>
  <si>
    <t>TUBO MULTICAPA PE-X DIÁM. 32x3 mm</t>
  </si>
  <si>
    <t>CANALIZACIÓN MULTICAPA PE-X, EMPOTRADA, DIÁM. 40x2 mm</t>
  </si>
  <si>
    <t>08FVL00052</t>
  </si>
  <si>
    <t>LLAVE PASO CON GRIFO DE VACIADO 1 1/4"</t>
  </si>
  <si>
    <t>IF22500</t>
  </si>
  <si>
    <t>LLAVE PASO CON GRIFO VACIADO 1 1/4"</t>
  </si>
  <si>
    <t>08FVL00053</t>
  </si>
  <si>
    <t>LLAVE PASO CON GRIFO DE VACIADO 1 1/2"</t>
  </si>
  <si>
    <t>IF22400</t>
  </si>
  <si>
    <t>LLAVE PASO CON GRIFO VACIADO 1 1/2"</t>
  </si>
  <si>
    <t>08FVL00002</t>
  </si>
  <si>
    <t>VÁLVULA RETENCIÓN 2 2/4" (28/32 mm) DE DIÁM.</t>
  </si>
  <si>
    <t>IF31200</t>
  </si>
  <si>
    <t>VÁLVULA RETENCIÓN DIÁM. 1 1/4" (28/32 mm)</t>
  </si>
  <si>
    <t>VÁLVULA RETENCIÓN 1 1/2" (36/40 mm) DE DIÁM.</t>
  </si>
  <si>
    <t>IF31300</t>
  </si>
  <si>
    <t>VÁLVULA RETENCIÓN DIÁM. 1 1/2" (36/40 mm)</t>
  </si>
  <si>
    <t>08FAC00410</t>
  </si>
  <si>
    <t>BATERÍA PARA 20 CONTADORES DIVISIONARIOS AGUA</t>
  </si>
  <si>
    <t>IF06275</t>
  </si>
  <si>
    <t>TUBO FLEXIBLE DE 3/4"X 50 cm</t>
  </si>
  <si>
    <t>IF06271</t>
  </si>
  <si>
    <t>VÁLVULA SALIDA BATERIA CONTADORES DN 13/15 mm</t>
  </si>
  <si>
    <t>IF06270</t>
  </si>
  <si>
    <t>VÁLVULA ENTRADA BATERIA CONTADORES DN 13/15 mm ORIENTABLE</t>
  </si>
  <si>
    <t>IF06250</t>
  </si>
  <si>
    <t>BATERIA DE HIERRO GALVANIZADO PARA 20 CONTADORES DIVIS. AGUA</t>
  </si>
  <si>
    <t>IF06278</t>
  </si>
  <si>
    <t>PLACA IDENTIFICACION</t>
  </si>
  <si>
    <t>01IFS09001</t>
  </si>
  <si>
    <t>08RFS30070 (M41)</t>
  </si>
  <si>
    <t>01IFS09003</t>
  </si>
  <si>
    <t xml:space="preserve"> DEMOLICIÓN SELECTIVA M. MANUALES DE FREGADERO Y EQ. GRIFERÍA</t>
  </si>
  <si>
    <t>01IFS09005</t>
  </si>
  <si>
    <t>DEMOLICIÓN SELECTIVA M. MANUALES DE INODORO DE TANQUE ALTO</t>
  </si>
  <si>
    <t>01IFS09006</t>
  </si>
  <si>
    <t>DEMOLICIÓN SELECTIVA M. MAN. DE LAVABO PEDESTAL Y EQ. GRIFERÍA</t>
  </si>
  <si>
    <t>01IFS09007</t>
  </si>
  <si>
    <t>DEMOLICIÓN SELECTIVA M. MANUALES DE BIDÉ Y EQ. GRIFERÍA</t>
  </si>
  <si>
    <t>08FSB00001</t>
  </si>
  <si>
    <t>BIDÉ PORCELANA VITRIFICADA, COLOR BLANCO, C. MEDIA</t>
  </si>
  <si>
    <t>IF17200</t>
  </si>
  <si>
    <t>JUEGO TORNILLOS FIJACIÓN CROMADOS CAL. MEDIA</t>
  </si>
  <si>
    <t>IF04500</t>
  </si>
  <si>
    <t>BIDÉ DE PORCELANA C. BLANCO CALIDAD MEDIA</t>
  </si>
  <si>
    <t>08FSF00091</t>
  </si>
  <si>
    <t>FREGADERO 1 SENO CON ESCURRIDOR ACERO INOXIDABLE</t>
  </si>
  <si>
    <t>IF11500</t>
  </si>
  <si>
    <t>FREGADERO UN SENO Y ESCR. AC. INOX. DE 1,00 m</t>
  </si>
  <si>
    <t>08FSI00001</t>
  </si>
  <si>
    <t>INODORO TANQUE BAJO, PORCELANA VITRIFICADA BLANCO</t>
  </si>
  <si>
    <t>IF15100</t>
  </si>
  <si>
    <t>INODORO CON TANQUE BAJO C. BLANCO CAL. MEDIA</t>
  </si>
  <si>
    <t>IF00600</t>
  </si>
  <si>
    <t>ASIENTO Y TAPA PVC</t>
  </si>
  <si>
    <t>IF22600</t>
  </si>
  <si>
    <t>LLAVE PASO ESCUADRA DIÁM. 1/2"</t>
  </si>
  <si>
    <t>08FSL00002</t>
  </si>
  <si>
    <t>LAVABO PEDESTAL PORC. VITRIF. 0,60x0,50 m BLANCO</t>
  </si>
  <si>
    <t>IF23100</t>
  </si>
  <si>
    <t>PEDESTAL PORCELANA C. BLANCO CALIDAD MEDIA</t>
  </si>
  <si>
    <t>LAVABO PORCELANA C. BLANCO DE 0,60 m CAL. MEDIA</t>
  </si>
  <si>
    <t>IF16800</t>
  </si>
  <si>
    <t>JUEGO ESCUADRAS ACERO INOXIDABLE</t>
  </si>
  <si>
    <t>08FSN00004</t>
  </si>
  <si>
    <t>BAÑERA CHAPA ACERO C. BLANCO 1,40x0,70 m</t>
  </si>
  <si>
    <t>IF02700</t>
  </si>
  <si>
    <t>BAÑERA CHAPA ACERO ESMAL. C. BLANCO DE 1,40 m</t>
  </si>
  <si>
    <t>08FGB00006</t>
  </si>
  <si>
    <t>EQUIPO GRIFERÍA BIDÉ MONOMANDO PRIMERA CALIDAD</t>
  </si>
  <si>
    <t>IF16700</t>
  </si>
  <si>
    <t>JUEGO DE RAMALILLOS</t>
  </si>
  <si>
    <t>IF10104</t>
  </si>
  <si>
    <t>EQUIPO GRIFERIA MONOMANDO BIDÉ 1ª CAL.</t>
  </si>
  <si>
    <t>08FGB00008</t>
  </si>
  <si>
    <t>EQUIPO GRIFERÍA FREGADERO UN SENO MONOMANDO PRIMERA CALIDAD</t>
  </si>
  <si>
    <t>IF30400</t>
  </si>
  <si>
    <t>VÁLVULA DESAGUE FREGADERO C/ TAPÓN Y CADENILLA</t>
  </si>
  <si>
    <t>IF10108</t>
  </si>
  <si>
    <t>EQUIPO GRIFERIA MONOMANDO FREGADERO 1ª CAL.</t>
  </si>
  <si>
    <t>08FGL00009</t>
  </si>
  <si>
    <t>EQUIPO GRIFERÍA LAVABO MONOMANDO PRIMERA CALIDAD</t>
  </si>
  <si>
    <t>IF10102</t>
  </si>
  <si>
    <t>EQUIPO GRIFERIA MONOMANDO LAVABO 1ª CAL.</t>
  </si>
  <si>
    <t>08FGN00003</t>
  </si>
  <si>
    <t>EQUIPO GRIFERÍA BAÑO-DUCHA MONOMANDO PRIMERA CALIDAD</t>
  </si>
  <si>
    <t>IF10106</t>
  </si>
  <si>
    <t>EQUIPO GRIFERIA MONOMANDO BAÑO-DUCHA 1ª CAL.</t>
  </si>
  <si>
    <t>IF07900</t>
  </si>
  <si>
    <t>DESAGUE BAÑERA 1 1/4" C/REBOSADERO</t>
  </si>
  <si>
    <t>01IFT90001</t>
  </si>
  <si>
    <t>DEMOLICIóN SELECTIVA M. MANUALES DE CALENTADOR INDIVIDUAL</t>
  </si>
  <si>
    <t>08NAA90101</t>
  </si>
  <si>
    <t>INTERACUMULADOR SOLAR CON SERPENTÍN FIJO DE CAPACIDAD 150 LITROS</t>
  </si>
  <si>
    <t>IN00110</t>
  </si>
  <si>
    <t>08RFS30090 (M42')</t>
  </si>
  <si>
    <t>08NCC90002</t>
  </si>
  <si>
    <t>CONTADOR DE CALOR ELECTRÓNICO 1"-3/4" CON MICROPROCESADOR</t>
  </si>
  <si>
    <t>IN00702</t>
  </si>
  <si>
    <t>CONTADOR DE CALOR ELECTRÓNICO 1"-3/4" MICRO</t>
  </si>
  <si>
    <t>08NDD90010</t>
  </si>
  <si>
    <t>BOMBA ACELERADORA SIST. SOLARES, 4,8 BARS, 110 ºC</t>
  </si>
  <si>
    <t>IN00330</t>
  </si>
  <si>
    <t>BOMBA ACELERADORA EN SIST. SOLARES, 4,8 BARS, 110 ºC</t>
  </si>
  <si>
    <t>08NEE90021</t>
  </si>
  <si>
    <t>ESTRUCTURA PLANA UN COLECTOR MONT. VERTICAL</t>
  </si>
  <si>
    <t>RT04021</t>
  </si>
  <si>
    <t>ENTRAMADO METÁLICO PLANO SOPORTE VERTICAL 1 COL.</t>
  </si>
  <si>
    <t>TO00900</t>
  </si>
  <si>
    <t>OF. 1ª MONTADOR</t>
  </si>
  <si>
    <t>08NII90002</t>
  </si>
  <si>
    <t>INTERCAMBIADOR INOX. DESMONTABLE 20 PLACAS, POTENCIA 22,8 kW</t>
  </si>
  <si>
    <t>IN00260</t>
  </si>
  <si>
    <t>INTERCAMBIADOR INOX. DESMONTABLE 20 PLACAS, POTENCIA 22,8 KW.</t>
  </si>
  <si>
    <t>08NLL90001</t>
  </si>
  <si>
    <t>VÁLVULA LLENADO AUTOMÁTICO</t>
  </si>
  <si>
    <t>IN00420</t>
  </si>
  <si>
    <t>LIRA PARA MANÓMETRO</t>
  </si>
  <si>
    <t>IN00410</t>
  </si>
  <si>
    <t>MANÓMETRO DE 0 A 15 BAR</t>
  </si>
  <si>
    <t>IN00390</t>
  </si>
  <si>
    <t>VÁLVULA ESFERA LATÓN ROSCAR 1/2"</t>
  </si>
  <si>
    <t>IN00380</t>
  </si>
  <si>
    <t>VÁLVULA REDUCTORA DE PRESIÓN 1/2"</t>
  </si>
  <si>
    <t>08NLL90020</t>
  </si>
  <si>
    <t>IN00450</t>
  </si>
  <si>
    <t>REGULADOR CAUDAL INLINE M-H 3/4"-1/2".</t>
  </si>
  <si>
    <t>08NLL90023</t>
  </si>
  <si>
    <t>REGULADOR CAUDAL EN LÍNEA M-H 1"-1 1/4</t>
  </si>
  <si>
    <t>REGULADOR CAUDAL EN LÍNEA M-H 3/4" - 1/2"</t>
  </si>
  <si>
    <t>IN00453</t>
  </si>
  <si>
    <t>REGULADOR CAUDAL INLINE M-H 1"-1 1/4".</t>
  </si>
  <si>
    <t>08NOC90001</t>
  </si>
  <si>
    <t>CAPTADOR SOLAR PLANO MONTAJE HORIZONTAL SUP. ABSORBEDORA 1,80 m</t>
  </si>
  <si>
    <t>IN00601</t>
  </si>
  <si>
    <t>CAPTADOR SOLAR PLANO ALTO RENDIMIENTO. SUP. ABS. COBRE</t>
  </si>
  <si>
    <t>08NOW90001</t>
  </si>
  <si>
    <t>FLUIDO CALOPORTADOR PARA CIR. CAPTADOR SOLAR</t>
  </si>
  <si>
    <t>IN90901</t>
  </si>
  <si>
    <t>FLUIDO CALOPORTADOR CIRC. CAPTADOR SOLAR</t>
  </si>
  <si>
    <t>08NPP90001</t>
  </si>
  <si>
    <t>CANALIZACIÓN COBRE RECOCIDO CALORIFUGADA 18 mm DIÁM.</t>
  </si>
  <si>
    <t>IF28801</t>
  </si>
  <si>
    <t>TUBO COBRE RECOCIDO DIÁM. 16 mm x 1mm ESP. CON FUNDA RES. EXT</t>
  </si>
  <si>
    <t>08NPP90002</t>
  </si>
  <si>
    <t>CANALIZACIÓN COBRE RECOCIDO CALORIFUGADA 16 mm DIÁM.</t>
  </si>
  <si>
    <t>IF28802</t>
  </si>
  <si>
    <t>TUBO COBRE RECOCIDO DIÁM. 18 mm x 1mm ESP. CON FUNDA RES. EXT</t>
  </si>
  <si>
    <t>08NPP90003</t>
  </si>
  <si>
    <t>CANALIZACIÓN COBRE RECOCIDO CALORIFUGADA 20 mm DIÁM.</t>
  </si>
  <si>
    <t>IF28803</t>
  </si>
  <si>
    <t>TUBO COBRE RECOCIDO DIÁM. 20 mm x 1mm ESP. CON FUNDA RES. EXT</t>
  </si>
  <si>
    <t>Carpintería ligera (ventanas)</t>
  </si>
  <si>
    <t>CAPÍTULO 11 CARPINTERÍA Y ELEMENTOS DE SEGURIDAD Y PROTECCIÓN</t>
  </si>
  <si>
    <t>08NPP90004</t>
  </si>
  <si>
    <t>CANALIZACIÓN COBRE RECOCIDO CALORIFUGADA 22 mm DIÁM.</t>
  </si>
  <si>
    <t>IF28804</t>
  </si>
  <si>
    <t>TUBO COBRE RECOCIDO DIÁM. 22 mm x 1mm ESP. CON FUNDA RES. EXT</t>
  </si>
  <si>
    <t>08NPP90005</t>
  </si>
  <si>
    <t>CANALIZACIÓN COBRE RECOCIDO CALORIFUGADA 28 mm DIÁM.</t>
  </si>
  <si>
    <t>IF28805</t>
  </si>
  <si>
    <t>TUBO COBRE RECOCIDO DIÁM. 28 mm x 1mm ESP. CON FUNDA RES. EXT</t>
  </si>
  <si>
    <t>08NRR90002</t>
  </si>
  <si>
    <t>CENTRAL DE REGULACIÓN DEL CIRCUITO PRIMARIO</t>
  </si>
  <si>
    <t>IN00351</t>
  </si>
  <si>
    <t>CENTRAL DE REGULACIÓN</t>
  </si>
  <si>
    <t>08NRR90003</t>
  </si>
  <si>
    <t>CONTROL DIFERENCIAL PARA VIVIENDAS</t>
  </si>
  <si>
    <t>IN00352</t>
  </si>
  <si>
    <t>CONTROL DIFERENCIAL PARA VIVIENDA</t>
  </si>
  <si>
    <t>08NRR90036</t>
  </si>
  <si>
    <t>VASO DE EXPANSION 25L PRESIÓN MÁX 8 BAR</t>
  </si>
  <si>
    <t>IN00506</t>
  </si>
  <si>
    <t>VASO DE EXPANSIÓN 25L PRESIÓN MÁX. 8 bar</t>
  </si>
  <si>
    <t>08NRR90037</t>
  </si>
  <si>
    <t xml:space="preserve">DEPÓSITO DE POLIETILENO 200 L </t>
  </si>
  <si>
    <t>IN00507</t>
  </si>
  <si>
    <t>DEPÓSITO DE POLIETILENO 200 L</t>
  </si>
  <si>
    <t>08NRR90041</t>
  </si>
  <si>
    <t>PURGADOR AUTOMÁTICO 3/4" PRESIÓN MÁX. 10 bar Tª MAX.110ºC</t>
  </si>
  <si>
    <t>IN00501</t>
  </si>
  <si>
    <t>VASO DE EXPANSIÓN 3L PRESIÓN MÁX. 10 bar</t>
  </si>
  <si>
    <t>08NRR90092</t>
  </si>
  <si>
    <t>VÁLVULA DE ZONA TODO/NADA DE 3 VÍAS DE 3/4"</t>
  </si>
  <si>
    <t>IN00391</t>
  </si>
  <si>
    <t>VÁLVULA 3 VÍAS 3/4" DE LATÓN</t>
  </si>
  <si>
    <t>IN00395</t>
  </si>
  <si>
    <t>SERVOMOTOR SM 41 CON KIT DE MONTAJE INCLUIDO</t>
  </si>
  <si>
    <t>08NRR90093</t>
  </si>
  <si>
    <t>VÁLVULA DE ZONA MOTORIZADA 3 VÍAS DE 3/4"</t>
  </si>
  <si>
    <t>08NRR90100</t>
  </si>
  <si>
    <t>TERMÓMETRO VERTICAL 1/2" LATÓN LECTURA 0-160º</t>
  </si>
  <si>
    <t>IN05900</t>
  </si>
  <si>
    <t>TERMÓMETRO VERTICAL VAINA LATÓN 1/2"</t>
  </si>
  <si>
    <t>08NRR90136</t>
  </si>
  <si>
    <t>DEPÓSITO DE EXPANSION CERRADO 25L PLANCHA DE ACERO</t>
  </si>
  <si>
    <t>IC76400</t>
  </si>
  <si>
    <t>VASO EXPANSIÓN CERRADO 25 l CHAPA ACERO ELECTROSOLDADA</t>
  </si>
  <si>
    <t>08NSS90010</t>
  </si>
  <si>
    <t>DISIPADOR DE CALOR TÉRMICO POR GRAVEDAD 90º</t>
  </si>
  <si>
    <t>RT94002</t>
  </si>
  <si>
    <t>DISIPADOR DE CALOR POR GRAVEDAD</t>
  </si>
  <si>
    <t>08MA</t>
  </si>
  <si>
    <t>u. Ascensor</t>
  </si>
  <si>
    <t>M48</t>
  </si>
  <si>
    <t>Ascensor</t>
  </si>
  <si>
    <t>02ACC00001</t>
  </si>
  <si>
    <t>EXCAVACIÓN APERTURA DE CAJA, TIERRAS DE CONSIST. MEDIA</t>
  </si>
  <si>
    <t>02RCB00001</t>
  </si>
  <si>
    <t>COMPACTACIÓN SUPERFICIAL REALIZADA CON PISÓN MANUAL</t>
  </si>
  <si>
    <t>02RRB00001</t>
  </si>
  <si>
    <t>RELLENO CON TIERRAS REALIZADO CON MEDIOS MANUALES</t>
  </si>
  <si>
    <t>03WSS80000</t>
  </si>
  <si>
    <t>CAPA DE HORMIGÓN DE LIMPIEZA 10 cm ESP. MEDIO</t>
  </si>
  <si>
    <t>03ERM00001</t>
  </si>
  <si>
    <t>ENCOFRADO DE MADERA EN ZUNCHOS, ZAPATAS Y ENCEPADOS</t>
  </si>
  <si>
    <t>DESENCOFRANTE</t>
  </si>
  <si>
    <t>OF. 1ª ENCOFRADOR</t>
  </si>
  <si>
    <t>03HRA80040</t>
  </si>
  <si>
    <t>HORM. ARM. HA-30/P/20/IIa B500S EN VIGAS/ZUNCHOS CIM. V/MAN.</t>
  </si>
  <si>
    <t>03HAA00020</t>
  </si>
  <si>
    <t>HORMIGÓN HA-30/P/20/IIa EN VIGAS/ZUNCHOS DE CIMENT.</t>
  </si>
  <si>
    <t>03ACC00011</t>
  </si>
  <si>
    <t>ACERO EN BARRAS CORRUGADAS B500S EN CIMENT.</t>
  </si>
  <si>
    <t>05ACW00001</t>
  </si>
  <si>
    <t>ACERO S275JR EN PLACA DE ANCLAJE A CIMENTACIÓN</t>
  </si>
  <si>
    <t>CA00700</t>
  </si>
  <si>
    <t>ACERO S 275 JR, EN CHAPA ELABORADO Y PINTADO</t>
  </si>
  <si>
    <t>SOLADO CON BALDOSAS DE GRES TIPO MEDIO RECIBIDAS CON MORTERO</t>
  </si>
  <si>
    <t>08RCC100 (M29')</t>
  </si>
  <si>
    <t>IC76300</t>
  </si>
  <si>
    <t>VASO EXPANSIÓN CERRADO 18 l CHAPA ACERO ELECTROSOLDADA</t>
  </si>
  <si>
    <t xml:space="preserve">ATC00400 </t>
  </si>
  <si>
    <t>CUADRILLA FORMADA POR OFICIAL 1ª INSTALADOR Y AYUDANTE</t>
  </si>
  <si>
    <t>08CCE00011</t>
  </si>
  <si>
    <t>RADIADOR CONVECTOR ALUM. INYECTADO 6 ELEM. DE 80X430 mm</t>
  </si>
  <si>
    <t>IC50400</t>
  </si>
  <si>
    <t>PURGADOR MANUAL</t>
  </si>
  <si>
    <t>IC41300</t>
  </si>
  <si>
    <t>LLAVE REGULACIÓN RADIADOR, 2 VÍAS,3/8"</t>
  </si>
  <si>
    <t>IC30000</t>
  </si>
  <si>
    <t>ELEMENTO DE RADIADOR ALUMINIO 430x80 mm 110 kcal/h PINTADO</t>
  </si>
  <si>
    <t>OF. 1ª CALEFACTOR O MECÁNICO</t>
  </si>
  <si>
    <t>08CCE00019</t>
  </si>
  <si>
    <t>RADIADOR CONVECTOR ALUM. INYECTADO 15 ELEM. DE 80X430 mm</t>
  </si>
  <si>
    <t>IC41400</t>
  </si>
  <si>
    <t>LLAVE REGULACIÓN RADIADOR, 2 VÍAS,1/2"</t>
  </si>
  <si>
    <t>08CCR00001</t>
  </si>
  <si>
    <t>TERMOSTATO AMBIENTE, FRIO O CALOR, UNA ETAPA</t>
  </si>
  <si>
    <t>IC63700</t>
  </si>
  <si>
    <t>TERMOSTATO AUTOMÁTICO 1 ETAPA</t>
  </si>
  <si>
    <t>08CCR00015</t>
  </si>
  <si>
    <t>VÁLVULA MOTORIZADA DE TRES VÍAS, 25 mm (1") DIÁM.</t>
  </si>
  <si>
    <t>IC72700</t>
  </si>
  <si>
    <t>VÁLVULA DE TRES VÍAS 25 mm (1") DIÁM. ROSCAR</t>
  </si>
  <si>
    <t>IC02800</t>
  </si>
  <si>
    <t>ACTUADOR MOTORIZ. MODULANTE Y EQUIP. ACOPL. PARA. VÁLV. 3 VÍAS</t>
  </si>
  <si>
    <t>08CCV00001</t>
  </si>
  <si>
    <t>CANALIZ. EMPOTRADA, AC. NEGRO ELECT. DIAM. 3/8", ROSCADAS</t>
  </si>
  <si>
    <t>IC69000</t>
  </si>
  <si>
    <t>TUBO ACERO NEGRO SOLDADO UNE 19040 17,2x2,35 mm DIÁM. x ESP.</t>
  </si>
  <si>
    <t>08CCV00002</t>
  </si>
  <si>
    <t>CANALIZ. EMPOTRADA, AC. NEGRO ELECT. DIAM. 1/2", ROSCADAS</t>
  </si>
  <si>
    <t>IC69100</t>
  </si>
  <si>
    <t>TUBO ACERO NEGRO SOLDADO UNE 19040 21,3x2,65 mm DIÁM. x ESP.</t>
  </si>
  <si>
    <t>08CCV00003</t>
  </si>
  <si>
    <t>CANALIZ. EMPOTRADA, AC. NEGRO ELECT. DIAM. 3/4", ROSCADAS</t>
  </si>
  <si>
    <t>IC69200</t>
  </si>
  <si>
    <t>TUBO ACERO NEGRO SOLDADO UNE 19040 26,9x2,65 mm DIÁM. x ESP.</t>
  </si>
  <si>
    <t>08CCV00342</t>
  </si>
  <si>
    <t>PURGADOR AUTOMÁTICO DE AIRE</t>
  </si>
  <si>
    <t>IC50300</t>
  </si>
  <si>
    <t>PURGADOR AUTOMÁTICO AIRE</t>
  </si>
  <si>
    <t>09TCC00001</t>
  </si>
  <si>
    <t>TO02000</t>
  </si>
  <si>
    <t>OF.ª INSTALADOR</t>
  </si>
  <si>
    <t>CALORIFUGADO COQUILLA POLIETILENO DE ESPUMA</t>
  </si>
  <si>
    <t>DESMONTADO DE BARANDILLA METÁLICA</t>
  </si>
  <si>
    <t>ACERO PERFILES LAM. EN CAL. EN SOPORTES CAJÓN</t>
  </si>
  <si>
    <t>05ACS00050</t>
  </si>
  <si>
    <t>CA01200</t>
  </si>
  <si>
    <t>ACERO PERFILES S 275 JR, SOPORTES COMPUESTOS</t>
  </si>
  <si>
    <t>05AFF80010</t>
  </si>
  <si>
    <t>ACERO PERFILES LAMINADOS EN FRIO TIPO S275JR</t>
  </si>
  <si>
    <t>CA80120</t>
  </si>
  <si>
    <t>ACERO PERFIL TUBULAR LAMINADO FRIO S 275 JR</t>
  </si>
  <si>
    <t>IE02400</t>
  </si>
  <si>
    <t>CABLE COBRE 1x10 mm2 H07V-K(AS)</t>
  </si>
  <si>
    <t>IE07100</t>
  </si>
  <si>
    <t>DESCONECTADOR FUSIBLES 4 POLOS Y 100 A</t>
  </si>
  <si>
    <t>EQUIPO ASC. HIDRAÚLICO. 320 Kg 4 PER. 0,6 m/s</t>
  </si>
  <si>
    <t>IM02138</t>
  </si>
  <si>
    <t>EQUIPO INCREMENTO POR PARADAS PUERTAS PISO AUT. 0,80 m</t>
  </si>
  <si>
    <t>IM02131</t>
  </si>
  <si>
    <t>EQUIPO IMCREMENTO m DE RECORRIDO (SUPERIOR A 3 m POR PLANTA)</t>
  </si>
  <si>
    <t>11WWW00007</t>
  </si>
  <si>
    <t>PASAMANOS AC. LAM. FRIO TUBO 60X2mm</t>
  </si>
  <si>
    <t>ACERO EN PERFILES TUBULARES MANUFACTURADO</t>
  </si>
  <si>
    <t>EMPANELADO TIPO COMPOSITE 2 LAM. ALUMINIO Y NUCLEO POLIESTIRENO MONTADO</t>
  </si>
  <si>
    <t>06PML00001</t>
  </si>
  <si>
    <t>VW00700</t>
  </si>
  <si>
    <t>GOMA PIRAMIDAL DE 122 mm</t>
  </si>
  <si>
    <t>VP07400</t>
  </si>
  <si>
    <t>PANEL COMPOSITE 2 LAM. ALUMINIO NUCLEO POLIESTIRENO</t>
  </si>
  <si>
    <t>VW01300</t>
  </si>
  <si>
    <t>PERFIL ABOTONABLE CIERRE DE ALVEOLOS</t>
  </si>
  <si>
    <t>VW01400</t>
  </si>
  <si>
    <t>PERFIL EN "U" DE CIERRE DE ALUMINIO DE 16 mm</t>
  </si>
  <si>
    <t>VW02800</t>
  </si>
  <si>
    <t>TORNILLO AUTOTALADRANTE DE ACERO INOXIDABLE</t>
  </si>
  <si>
    <t>HORMIGÓN HA-30/P/20/IIa, SUMINISTRADO</t>
  </si>
  <si>
    <t>OF.1ª FERRALLISTA</t>
  </si>
  <si>
    <t>08CAF00110</t>
  </si>
  <si>
    <t>EQUIPO EXTERIOR SISTEMA PARTIDO DE POTENCIA NOM. 5,4 kW FRIO Y 7 kW CALOR</t>
  </si>
  <si>
    <t>IC22410</t>
  </si>
  <si>
    <t>CONDENS. BOMBA CAL. PART. V. 17500-19500 frg-kcal/h AIRE-AIRE</t>
  </si>
  <si>
    <t>IC40800</t>
  </si>
  <si>
    <t>GAS FRIGORÍFICO</t>
  </si>
  <si>
    <t>08CAF00128</t>
  </si>
  <si>
    <t>EQUIPO INTERIOR SISTEMA PARTIDO CLIMATIZACIÓN POTENCIA 1,35 kW FRIO Y 1,8kW CALOR</t>
  </si>
  <si>
    <t>IC37910</t>
  </si>
  <si>
    <t>EVAPOR. BOMBA CAL. PART. V. 17500-19500 frg-kcal/h AIRE-AIRE</t>
  </si>
  <si>
    <t>08CAF00129</t>
  </si>
  <si>
    <t>EQUIPO INTERIOR SISTEMA PARTIDO CLIMATIZACIÓN POTENCIA 2,7 kW FRIO Y 3,4 kW CALOR</t>
  </si>
  <si>
    <t>IC38110</t>
  </si>
  <si>
    <t>EVAPOR. BOMBA CAL. PART. V. 28000-32000 frg-kcal/h AIRE-AIRE</t>
  </si>
  <si>
    <t>08CAV00054</t>
  </si>
  <si>
    <t>CANALIZ. FLUIDO FRIG. INTERIOR, 2 TUBOS 3/8", 1/2"</t>
  </si>
  <si>
    <t>IC70300</t>
  </si>
  <si>
    <t>TUBO COBRE DESHIDRATADO Y RECOCIDO 9,52x0,8 mm (3/8")</t>
  </si>
  <si>
    <t>IC70400</t>
  </si>
  <si>
    <t>TUBO COBRE DESHIDRATADO Y RECOCIDO 12,70x0,8 mm (1/2")</t>
  </si>
  <si>
    <t>XT06300</t>
  </si>
  <si>
    <t>COQUILLA ESP. ELAST. CAUCHO/VINILO 0,028 W/mk 12x13 mm</t>
  </si>
  <si>
    <t>08CAW00002</t>
  </si>
  <si>
    <t>CIRCUITO DE TRES CONDUCTORES DE 1,5 mm2</t>
  </si>
  <si>
    <t>Actuaciones en climatización????</t>
  </si>
  <si>
    <t>Canalizaciones de agua fría</t>
  </si>
  <si>
    <t>Aparatos sanitarios</t>
  </si>
  <si>
    <t>Termos/calentadores</t>
  </si>
  <si>
    <t>08RCW00100 (M29'')</t>
  </si>
  <si>
    <t>08CCA00041</t>
  </si>
  <si>
    <t>CALDERA MIXTA CALEFACCIÓN+ACS</t>
  </si>
  <si>
    <t>BOMBA RECIRCULACIÓN 1250 l/h Y 2,5 m.c.a.</t>
  </si>
  <si>
    <t>IC08200</t>
  </si>
  <si>
    <t>BOMBA RECIRCULACIÓN 1250 l/h Y 2,5 m.c.a. AGUA CALIENTE</t>
  </si>
  <si>
    <t>08CCR00113</t>
  </si>
  <si>
    <t>IC63500</t>
  </si>
  <si>
    <t>TERMOMETRO ESPERA 120º CON ABRAZADERA</t>
  </si>
  <si>
    <t>08CCR00116</t>
  </si>
  <si>
    <t>IC42200</t>
  </si>
  <si>
    <t>MANOMETRO DE ESPERA 0-6 kg/cm2 ROSCAR</t>
  </si>
  <si>
    <t>08CCR00142</t>
  </si>
  <si>
    <t>IC75900</t>
  </si>
  <si>
    <t>VÁLVULA SEGURIDAD 20 mm (3/4") DIÁM. TARADO FIJO, 3 BARS</t>
  </si>
  <si>
    <t>08CCR10001</t>
  </si>
  <si>
    <t>IG02000</t>
  </si>
  <si>
    <t>PRESOSTATO REGULABLE 10 A 500 mbar</t>
  </si>
  <si>
    <t>08RES20010 (M30)</t>
  </si>
  <si>
    <t>SUSTITUCIÓN DE LÍNEAS Y DERIVACIONES</t>
  </si>
  <si>
    <t>08RES20020 (M31)</t>
  </si>
  <si>
    <t>eliminar</t>
  </si>
  <si>
    <t>08RES20030 (M32)</t>
  </si>
  <si>
    <t>08RES20040 (M33)</t>
  </si>
  <si>
    <t>08RES20050 (M34)</t>
  </si>
  <si>
    <t>SOLADO CON BALDOSAS DE GRES TIPO RECIBIDAS CON MORTERO</t>
  </si>
  <si>
    <t>SUSTITUCIÓN DE APARATOS SANITARIOS Y GRIFERÍA</t>
  </si>
  <si>
    <t xml:space="preserve">SOLADO CON BALDOSAS DE GRES TIPO MEDIO RECIBIDAS CON MORTERO </t>
  </si>
  <si>
    <t>06RLR70012 (M20)</t>
  </si>
  <si>
    <t>06RLR70022 (M21)</t>
  </si>
  <si>
    <t>REPARACIÓN DE FISURAS EN MURO DE CARGA</t>
  </si>
  <si>
    <t>07RHR00172 (M23)</t>
  </si>
  <si>
    <t>07RHR00182 (M24)</t>
  </si>
  <si>
    <t>07RHR00192 (M25)</t>
  </si>
  <si>
    <t>lamina cazoleta</t>
  </si>
  <si>
    <t>01TAV00100</t>
  </si>
  <si>
    <t>APUNTALAMIENTO VERTICAL FORJADO UNID. CON SOPANDAS, DURMIENTES Y PUNTALES</t>
  </si>
  <si>
    <t xml:space="preserve">CE80000 </t>
  </si>
  <si>
    <t>PUNTAL METÁLICO TELESC. HASTA 3 m (PARA 150 USOS)</t>
  </si>
  <si>
    <t xml:space="preserve">CM00300 </t>
  </si>
  <si>
    <t xml:space="preserve">MADERA DE PINO EN TABLON </t>
  </si>
  <si>
    <t>10AWW90040</t>
  </si>
  <si>
    <t>⌂©</t>
  </si>
  <si>
    <t>03RZQ00001 (M01)</t>
  </si>
  <si>
    <t>MICROPILOTE EN RECLACE DE ZAPATA CORRIDA DE HORMIGÓN CICLÓPEO</t>
  </si>
  <si>
    <t>M01</t>
  </si>
  <si>
    <t>04RAS50010 (M02)</t>
  </si>
  <si>
    <t>SW00400</t>
  </si>
  <si>
    <t>PATÉ ACERO GALVANIZADO DIÁM. 30 mm</t>
  </si>
  <si>
    <t>04RAS50020 (M03)</t>
  </si>
  <si>
    <t>04RAW50010 (M04)</t>
  </si>
  <si>
    <t>04RES50020 (M06)</t>
  </si>
  <si>
    <t>04RES50030 (M07)</t>
  </si>
  <si>
    <t>04RES50010 (M05)</t>
  </si>
  <si>
    <t>M05/M06/M07</t>
  </si>
  <si>
    <t>04RVS90010 (M08)</t>
  </si>
  <si>
    <t>04RVS90030 (M09)</t>
  </si>
  <si>
    <t>M08/M09</t>
  </si>
  <si>
    <t>Falta Lamina asfáltica para cazoleta</t>
  </si>
  <si>
    <t>05RFU80001 (M10)</t>
  </si>
  <si>
    <t>M10</t>
  </si>
  <si>
    <t>06RLR80010 (M19)</t>
  </si>
  <si>
    <t>REPARACIÓN DE FISURA EXT. EN PARED CON ARMADO DE FÁBRICA, MALLA Y RETACADO</t>
  </si>
  <si>
    <t>FALTA CREAR EL PRECIO M17' QUE ES REPARACIÓN GRIETAS MURO CARGA &gt; 60%</t>
  </si>
  <si>
    <t>Falta desmontar parte faldón</t>
  </si>
  <si>
    <t>Falta encuentro cazoleta con faldón</t>
  </si>
  <si>
    <t>Propuesta : Desmontado de Faldón</t>
  </si>
  <si>
    <t>Cazoleta</t>
  </si>
  <si>
    <t>Encuentros faldon con cazoleta</t>
  </si>
  <si>
    <t>Encuentro de faldón con paramento</t>
  </si>
  <si>
    <t>Limpiar o pintar pretil??</t>
  </si>
  <si>
    <t>Falta desmontar cazoleta</t>
  </si>
  <si>
    <t>este precio sobra</t>
  </si>
  <si>
    <t>falta incluir lámina EPDM</t>
  </si>
  <si>
    <t>ESTA LÁMINA TENDRÍA QUE IR INCLUIDA EN ENCUENTRO CON PARAMENTO</t>
  </si>
  <si>
    <t>NO HACE FALTA MORTERO</t>
  </si>
  <si>
    <t>HAY DUPLICIDAD DE MANO DE OBRA</t>
  </si>
  <si>
    <t>FALTA ENCUENTRO DE FALDÓN CON CAZOLETA</t>
  </si>
  <si>
    <t>07HTE00003</t>
  </si>
  <si>
    <t>O SIMILAR</t>
  </si>
  <si>
    <t>NO VA EN ESTE PRECIO</t>
  </si>
  <si>
    <t>ESTE PRECIO HACE FALTA AQUÍ ?</t>
  </si>
  <si>
    <t xml:space="preserve">SERÍA ENCUENTRO DE FALDÓN </t>
  </si>
  <si>
    <t>CON CAZOLETA: 07HTE00003</t>
  </si>
  <si>
    <t>07ITF00001</t>
  </si>
  <si>
    <t>FALDÓN DE TEJA CURVA DE CERÁMICA PRIMERA CALIDAD</t>
  </si>
  <si>
    <t>CORREGIDO</t>
  </si>
  <si>
    <t>©⌂</t>
  </si>
  <si>
    <t>REPARACIÓN DE FALDÓN EN CUBIERTA INCLINADA</t>
  </si>
  <si>
    <t>ESTA MAL EL CRITERIO D EMEDICIÓN DE LA CLIMATIZACIÓN ES EN UNIDAD NO EN M2</t>
  </si>
  <si>
    <t>FALTA EL PICADO DE PARED PARA METER ESTAS TUBERÍAS</t>
  </si>
  <si>
    <t>01IEW90002</t>
  </si>
  <si>
    <t xml:space="preserve">DEMOLICIÓN MASIVA M. MANUALES DE CUADRO GENERAL DE PROTECCIÓN </t>
  </si>
  <si>
    <t>INTERRUPTOR DE CONTROL DE POTENCIA BIPOLAR DE 25 A</t>
  </si>
  <si>
    <t>h AYUDANTE</t>
  </si>
  <si>
    <t>h OF. 1ª INSTALADOR</t>
  </si>
  <si>
    <t>h OF. 2ª PINTOR</t>
  </si>
  <si>
    <t>h OF. 1ª MONTADOR</t>
  </si>
  <si>
    <t>SUSTITUCIÓN CARPINTERÍA EXTERIOR ABATIBLE MADERA, DOBLE ACRISTALAMIENTO, TIPO III.</t>
  </si>
  <si>
    <t>©</t>
  </si>
  <si>
    <t>EQ.PERFORACIÓN C/MARTILLO DE FONDO</t>
  </si>
  <si>
    <t>CAMIÓN CISTERNA</t>
  </si>
  <si>
    <t>PLATAFORMA ELEVADORA TELESCÓPICA</t>
  </si>
  <si>
    <t>BOMBA DE HORMIGONAR</t>
  </si>
  <si>
    <t>COMPRESOR PARA PROYECTAR</t>
  </si>
  <si>
    <t>RULO VIBRATORIO</t>
  </si>
  <si>
    <t>Arqueta nueva (porcentaje de incremento en inst.existente)</t>
  </si>
  <si>
    <t>M02/M03/M04</t>
  </si>
  <si>
    <t>según bcca MP00600 6,45 €/u</t>
  </si>
  <si>
    <t xml:space="preserve">REPERC.S/UTIL.TRANS.MONT.ECT.MÁQUINA. </t>
  </si>
  <si>
    <t>REPERCUSIÓN S/UTIL, TRANS. MONT. ECT. MÁQUINA</t>
  </si>
  <si>
    <t>ANTES ESTABA A 1.82 €/u</t>
  </si>
  <si>
    <t>MP80000 BCCA 280€/U</t>
  </si>
  <si>
    <t>SEGÚN proyecto 29,36 €/U</t>
  </si>
  <si>
    <t xml:space="preserve">DEBERÍA TENER EL MISMO PRECIO </t>
  </si>
  <si>
    <t>EQUIPO PERFORACIÓN C/CORONA DIAMANTE</t>
  </si>
  <si>
    <t xml:space="preserve">Maquinaria eléctrica CD </t>
  </si>
  <si>
    <t>Maquinaria combustible CD</t>
  </si>
  <si>
    <t>Mano de obra de la maquinaria</t>
  </si>
  <si>
    <t>Maquinaria combustible</t>
  </si>
  <si>
    <t>Maqunaria eléctrica</t>
  </si>
  <si>
    <t>Potencia (kW)</t>
  </si>
  <si>
    <t>Consumo (kWh)</t>
  </si>
  <si>
    <t>Rendimiento (l/kWh)</t>
  </si>
  <si>
    <t>Consumo (l)</t>
  </si>
  <si>
    <t>Intensidad energética (MJ/l)</t>
  </si>
  <si>
    <t>Consumo electricidad CI casetas obra (kWh)</t>
  </si>
  <si>
    <t>HE energía (ha)</t>
  </si>
  <si>
    <t>Consumo total de electricidad (kWh)</t>
  </si>
  <si>
    <t>Consumo electricidad CD maquinaria (kWh)</t>
  </si>
  <si>
    <t>Consumo gasoil maquinaria CD (l)</t>
  </si>
  <si>
    <t>Cantidad total (h)</t>
  </si>
  <si>
    <t>este dato tendrá que ir a la hoja de mano de obra</t>
  </si>
  <si>
    <t>Huella ecológica (hag)</t>
  </si>
  <si>
    <t>Productividad del agua (m3/ha)</t>
  </si>
  <si>
    <t>Agua empleada en obra (m3)</t>
  </si>
  <si>
    <t>HUELLA DEL AGUA EMPLEADA COMO MATERIAL</t>
  </si>
  <si>
    <t>Energía consumida por materiales (MJ)</t>
  </si>
  <si>
    <t>HUELLA DE MATERIALES DE CONSTRUCCIÓN</t>
  </si>
  <si>
    <t>KG CO2 TOTAL PROYECTO (KG CO2)</t>
  </si>
  <si>
    <t>ENERGÍA TOTAL PROYECTO (MJ)</t>
  </si>
  <si>
    <t>Pieza de acero cromado/galvanizado</t>
  </si>
  <si>
    <t>DB-SE AE</t>
  </si>
  <si>
    <t>kN/m3</t>
  </si>
  <si>
    <t>Tap water, at user</t>
  </si>
  <si>
    <t>Agua potable en usuario final</t>
  </si>
  <si>
    <t>VARIOS</t>
  </si>
  <si>
    <t>Zinc, primary, at regional storage</t>
  </si>
  <si>
    <t>ZINC</t>
  </si>
  <si>
    <t>Bitumen adhesive compound, hot, at plant</t>
  </si>
  <si>
    <t>Lámina de betún modificado, unión en caliente</t>
  </si>
  <si>
    <t>PINTURA OXIASFALTO</t>
  </si>
  <si>
    <t xml:space="preserve">XI02700 </t>
  </si>
  <si>
    <t>Catálogo Soluciones Constructivas</t>
  </si>
  <si>
    <t>kg/m3</t>
  </si>
  <si>
    <t>Bitumen sealing, at plant</t>
  </si>
  <si>
    <t>Junta de sellado</t>
  </si>
  <si>
    <t xml:space="preserve">JUNTA DE SELLADO </t>
  </si>
  <si>
    <t xml:space="preserve">RW01900 </t>
  </si>
  <si>
    <t>ASFALTO</t>
  </si>
  <si>
    <t>Tubería etileno-acetato vinilo (caucho-vinilo)</t>
  </si>
  <si>
    <t>Synthetic rubber, at plant</t>
  </si>
  <si>
    <t>Goma sintética</t>
  </si>
  <si>
    <t xml:space="preserve">PERFIL EN U DE NEOPRENO </t>
  </si>
  <si>
    <t xml:space="preserve">VW01500 </t>
  </si>
  <si>
    <t>CAUCHO</t>
  </si>
  <si>
    <t>Flat glass, uncoated, at plant</t>
  </si>
  <si>
    <t>Vidrio plano</t>
  </si>
  <si>
    <t xml:space="preserve">LUNA PULIDA FLOTADA INCOLORA 6 MM. </t>
  </si>
  <si>
    <t xml:space="preserve">VL03200 </t>
  </si>
  <si>
    <t>Alkyd paint, white, 60% in H2O, at plant</t>
  </si>
  <si>
    <t>Pintura (disolvente: agua)</t>
  </si>
  <si>
    <t xml:space="preserve">PINTURA AL CLOROCAUCHO </t>
  </si>
  <si>
    <t>RS05500</t>
  </si>
  <si>
    <t>Solvents, organic, unspecified</t>
  </si>
  <si>
    <t>Disolvente</t>
  </si>
  <si>
    <t>kg/l</t>
  </si>
  <si>
    <t>Epoxy resin, liquid, at plant</t>
  </si>
  <si>
    <t>Resina epoxi</t>
  </si>
  <si>
    <t xml:space="preserve">DISOLVENTE </t>
  </si>
  <si>
    <t xml:space="preserve">PW00100 </t>
  </si>
  <si>
    <t>Acrylic binder, 34% in H2O, at plant</t>
  </si>
  <si>
    <t>Aglutinante acrílico</t>
  </si>
  <si>
    <t>Sellante bituminoso o slurry asfáltico</t>
  </si>
  <si>
    <t>Clay plaster, at plant</t>
  </si>
  <si>
    <t>Pasta pétrea</t>
  </si>
  <si>
    <t>Adhesive mortar, at plant</t>
  </si>
  <si>
    <t>Pasta Adhesiva</t>
  </si>
  <si>
    <t xml:space="preserve">GP00100 </t>
  </si>
  <si>
    <t>Melamine, formaldehyde resin, at plant</t>
  </si>
  <si>
    <t>Plastificante</t>
  </si>
  <si>
    <t>Acrylic varnish, 87,5% in H2O, at plant</t>
  </si>
  <si>
    <t>Barniz acrilico </t>
  </si>
  <si>
    <t>PINTURA</t>
  </si>
  <si>
    <t>POLIURETANO</t>
  </si>
  <si>
    <t>POLIESTER</t>
  </si>
  <si>
    <t>Plancha poliestireno</t>
  </si>
  <si>
    <t>POLIESTIRENO PS</t>
  </si>
  <si>
    <t>Rock wool, at plant</t>
  </si>
  <si>
    <t>Lana de roca</t>
  </si>
  <si>
    <t>Tubo de polietileno</t>
  </si>
  <si>
    <t>Película de polietileno</t>
  </si>
  <si>
    <t>kg/m2</t>
  </si>
  <si>
    <t>Pieza polietileno (enchufe, interruptor...)</t>
  </si>
  <si>
    <t>POLIETILENO PE</t>
  </si>
  <si>
    <t>Pieza Polipropileno</t>
  </si>
  <si>
    <t>Tubo de Polipropileno</t>
  </si>
  <si>
    <t>POLIPROPILENO PP</t>
  </si>
  <si>
    <t>Pieza de aluminio</t>
  </si>
  <si>
    <t>Perfil de aluminio anodizado</t>
  </si>
  <si>
    <t xml:space="preserve">PERFIL DE ALUMINIO </t>
  </si>
  <si>
    <t xml:space="preserve">KL90110 </t>
  </si>
  <si>
    <t>Carpintería de aluminio lacado</t>
  </si>
  <si>
    <t>VENTANA CORREDERA ALUM. LACADO (T-III)</t>
  </si>
  <si>
    <t>KL06000</t>
  </si>
  <si>
    <t xml:space="preserve">VENTANA CORREDERA AL. LACADO (T-II) </t>
  </si>
  <si>
    <t xml:space="preserve">KL05900 </t>
  </si>
  <si>
    <t>Cable de aluminio</t>
  </si>
  <si>
    <t>ALUMINIO</t>
  </si>
  <si>
    <t>Limestone, at mine/crushing</t>
  </si>
  <si>
    <t>Caliza machacada</t>
  </si>
  <si>
    <t>PIEDRA</t>
  </si>
  <si>
    <t>Pieza latón</t>
  </si>
  <si>
    <t>LATÓN</t>
  </si>
  <si>
    <t>Window frame, wood, U=1,5 W/m2K, at plant</t>
  </si>
  <si>
    <t>Carpintería de ventana madera</t>
  </si>
  <si>
    <t>Sawn timber, softwood, planed, air dried, at plant</t>
  </si>
  <si>
    <t>Madera blanda (resto) (d=?) (dens. media estimada=600kg/m3)</t>
  </si>
  <si>
    <t>Door, inner, wood, at plant</t>
  </si>
  <si>
    <t>Puerta interior madera ciega</t>
  </si>
  <si>
    <t>Madera dura tratada</t>
  </si>
  <si>
    <t>MADERA</t>
  </si>
  <si>
    <t>Tubería PVC</t>
  </si>
  <si>
    <t xml:space="preserve">BAJANTE PVC DIÁM 125 mm </t>
  </si>
  <si>
    <t>SB01000</t>
  </si>
  <si>
    <t>Pieza ABS</t>
  </si>
  <si>
    <t>Bovedilla/casetón de PVC/Pieza PVC</t>
  </si>
  <si>
    <t>Kg/m3</t>
  </si>
  <si>
    <t>Tubo de PVC</t>
  </si>
  <si>
    <t>Cat Sol Const</t>
  </si>
  <si>
    <t>TUBO PVC FLEXIBLE CORRUGADO DIÁM. 90 mm</t>
  </si>
  <si>
    <t>Glass fibre, at plant</t>
  </si>
  <si>
    <t>Kg/m2</t>
  </si>
  <si>
    <t>MALLA FIBRA DE VIDRIO REV. PVC DE 217 g/m2</t>
  </si>
  <si>
    <t>MALLA FIBRA DE VIDRIO  REV. PVC DE 152 g/m2</t>
  </si>
  <si>
    <t>Fibre cement facing tile, at plant</t>
  </si>
  <si>
    <t>Fibrocemento (baldosa)</t>
  </si>
  <si>
    <t>Lime mortar, at plant</t>
  </si>
  <si>
    <t>Mortero de cal</t>
  </si>
  <si>
    <t>Cemento (genérico) en saco</t>
  </si>
  <si>
    <t>kg/t</t>
  </si>
  <si>
    <t>CEMENTO CEM II/A-L 42,5R A GRANEL</t>
  </si>
  <si>
    <t>Cement mortar, at plant</t>
  </si>
  <si>
    <t>Mortero de cemento</t>
  </si>
  <si>
    <t>CEMENTO</t>
  </si>
  <si>
    <t>Sanitary ceramics, at regional storage</t>
  </si>
  <si>
    <t>Cerámica sanitarios (porcelana)</t>
  </si>
  <si>
    <t>PORCELANA</t>
  </si>
  <si>
    <t>Quicklime, milled, packed, at plant</t>
  </si>
  <si>
    <t>Cal viva</t>
  </si>
  <si>
    <t>CAL VIVA</t>
  </si>
  <si>
    <t>GK00300</t>
  </si>
  <si>
    <t>Lime, hydrated, packed, at plant</t>
  </si>
  <si>
    <t>Cal apagada</t>
  </si>
  <si>
    <t>CAL</t>
  </si>
  <si>
    <t>Tubería de cobre</t>
  </si>
  <si>
    <t>Copper, at regional storage</t>
  </si>
  <si>
    <t>Cobre (genérico)</t>
  </si>
  <si>
    <t>Cable de cobre</t>
  </si>
  <si>
    <t>kg/ud</t>
  </si>
  <si>
    <t>COBRE</t>
  </si>
  <si>
    <t>Gypsum plaster board, at plant</t>
  </si>
  <si>
    <t>Tabla de yeso laminado</t>
  </si>
  <si>
    <t>Gypsum, mineral, at mine</t>
  </si>
  <si>
    <t>Yeso (mineral)</t>
  </si>
  <si>
    <t>ESCAYOLA-YESOS</t>
  </si>
  <si>
    <t>Ceramic tiles, at regional storage</t>
  </si>
  <si>
    <t xml:space="preserve">RA00300 </t>
  </si>
  <si>
    <t>Brick, at plant</t>
  </si>
  <si>
    <t>Ladrillo o bloque cerámico</t>
  </si>
  <si>
    <t xml:space="preserve">LADRILLO CERÁM. HUECO SENCILLO 24x11,5x4 cm </t>
  </si>
  <si>
    <t xml:space="preserve">FL00500 </t>
  </si>
  <si>
    <t>CERÁMICO</t>
  </si>
  <si>
    <t>Quarry tile, at plant</t>
  </si>
  <si>
    <t>Baldosa de hormigón</t>
  </si>
  <si>
    <t>Concrete, normal, at plant</t>
  </si>
  <si>
    <t>Hormigón (d=2380kg/m3)</t>
  </si>
  <si>
    <t>HORMIGÓN HM-20/P/40/I, SUMINISTRADO</t>
  </si>
  <si>
    <t>HORMIGÓN HA-20/P/20/I, SUMINISTRADO</t>
  </si>
  <si>
    <t>HORMIGÓN</t>
  </si>
  <si>
    <t>Sand, at mine</t>
  </si>
  <si>
    <t>ARENA</t>
  </si>
  <si>
    <t>Cast iron, at plant</t>
  </si>
  <si>
    <t>Hierro de fundición</t>
  </si>
  <si>
    <t>HIERRO</t>
  </si>
  <si>
    <t>Lámina Aluminio</t>
  </si>
  <si>
    <t>PUNTAS 20X100</t>
  </si>
  <si>
    <t>Perfil de acero laminado</t>
  </si>
  <si>
    <t>PRECERCO TUBO ACERO GALVANIZADO CORREDERA</t>
  </si>
  <si>
    <t xml:space="preserve">KA01200 </t>
  </si>
  <si>
    <t>Reinforcing steel, at plant</t>
  </si>
  <si>
    <t>Acero reforzado</t>
  </si>
  <si>
    <t>REGULADOR CAUDAL INLINE M-H 1"-1 1/4"</t>
  </si>
  <si>
    <t>REGULADOR CAUDAL INLINE M-H 3/4"-1/2"</t>
  </si>
  <si>
    <t>IM02320</t>
  </si>
  <si>
    <t>Tubería de acero</t>
  </si>
  <si>
    <t>CAMISA ACERO S 375 JR DIÁM. 60 mm Y ESP. 5,5 mm</t>
  </si>
  <si>
    <t xml:space="preserve">ACERO B 400 S </t>
  </si>
  <si>
    <t>ACERO</t>
  </si>
  <si>
    <t>NUCLEAR</t>
  </si>
  <si>
    <t>FÓSIL</t>
  </si>
  <si>
    <t>kg/totales</t>
  </si>
  <si>
    <t>DIM Z</t>
  </si>
  <si>
    <t>DIM Y</t>
  </si>
  <si>
    <t>DIM X</t>
  </si>
  <si>
    <t>CONSUMO AGUA (m3/kg)</t>
  </si>
  <si>
    <t>FACT. EMISIÓN (kg CO2 eq/kg)</t>
  </si>
  <si>
    <t>FACT. EMISIÓN (kg CO2)</t>
  </si>
  <si>
    <t>FACT. EMISIÓN (kg CO2/kg)</t>
  </si>
  <si>
    <t>MIX ENERGÉTICO</t>
  </si>
  <si>
    <t>ENERGÍA INC. (MJ)</t>
  </si>
  <si>
    <t>FAMILIA ASIMILADA (ecoinvent)</t>
  </si>
  <si>
    <t>FAMILIA ASIMILADA (español)</t>
  </si>
  <si>
    <t>FUENTE</t>
  </si>
  <si>
    <t>CAMBIO UD</t>
  </si>
  <si>
    <t>MEDICIÓN INICIAL</t>
  </si>
  <si>
    <t>CANTIDAD MEDICIÓN</t>
  </si>
  <si>
    <t>Resumen</t>
  </si>
  <si>
    <t>Ud</t>
  </si>
  <si>
    <t>LISTADO MATERIALES BÁSICOS. POR FAMILIA DE MATERIALES</t>
  </si>
  <si>
    <t>Densidad</t>
  </si>
  <si>
    <t>Cc, Coef. de paso</t>
  </si>
  <si>
    <t>kN/unidad med</t>
  </si>
  <si>
    <t>Cambio unidades de kN a kg</t>
  </si>
  <si>
    <t>kg/kg</t>
  </si>
  <si>
    <r>
      <t xml:space="preserve">TEJA CERÁMICA CURVA </t>
    </r>
    <r>
      <rPr>
        <sz val="11"/>
        <color theme="5"/>
        <rFont val="Calibri"/>
        <family val="2"/>
        <scheme val="minor"/>
      </rPr>
      <t>50*22/18 cm e=12 a 15 mm</t>
    </r>
  </si>
  <si>
    <t>ENERGÍA INC. Simapro (MJ/kg)</t>
  </si>
  <si>
    <t>ENERGÍA INC. Datos anteriroes (MJ/kg)</t>
  </si>
  <si>
    <t>TOTAL ACERO</t>
  </si>
  <si>
    <t>TOTAL ALUMINIO</t>
  </si>
  <si>
    <t>Eim (MJ)</t>
  </si>
  <si>
    <t>TOTAL ARENA</t>
  </si>
  <si>
    <t>TOTAL ASFALTO</t>
  </si>
  <si>
    <t>TOTAL CAL</t>
  </si>
  <si>
    <t>TOTAL VARIOS</t>
  </si>
  <si>
    <t>TOTAL ZINC</t>
  </si>
  <si>
    <t>TOTAL VIDRIO</t>
  </si>
  <si>
    <t>TOTAL POLIURETANO</t>
  </si>
  <si>
    <t>TOTAL POLIESTER</t>
  </si>
  <si>
    <t>TOTAL POLIESTIRENO PS</t>
  </si>
  <si>
    <t>TOTAL POLIETILENO PE</t>
  </si>
  <si>
    <t>TOTAL POLIPROPILENO PP</t>
  </si>
  <si>
    <t>TOTAL PIEDRA</t>
  </si>
  <si>
    <t>TOTAL PVC</t>
  </si>
  <si>
    <t>TOTAL PORCELANA</t>
  </si>
  <si>
    <t>TOTAL MADERA</t>
  </si>
  <si>
    <t>TOTAL LATÓN</t>
  </si>
  <si>
    <t>TOTAL HORMIGÓN</t>
  </si>
  <si>
    <t>TOTAL HIERRO</t>
  </si>
  <si>
    <t>TOTAL ESCAYOLA-YESOS</t>
  </si>
  <si>
    <t>TOTAL COBRE</t>
  </si>
  <si>
    <t>TOTAL CERÁMICO</t>
  </si>
  <si>
    <t>TOTAL CEMENTO</t>
  </si>
  <si>
    <t>TOTAL CAUCHO</t>
  </si>
  <si>
    <t>TOTAL PINTURA</t>
  </si>
  <si>
    <t>Residuos procedente material rehabilitación (kg) Cantidad total*1,05</t>
  </si>
  <si>
    <t>Cantidad TOTAL (kg)</t>
  </si>
  <si>
    <t>Huella energía (hag)</t>
  </si>
  <si>
    <t>%HE parcial/HE total</t>
  </si>
  <si>
    <t>Material</t>
  </si>
  <si>
    <t>Peso de materiales (T)</t>
  </si>
  <si>
    <t>% HE transporte/HE materiales</t>
  </si>
  <si>
    <t>TRANSPORTE</t>
  </si>
  <si>
    <t>%</t>
  </si>
  <si>
    <t>TRANSPORTE RESIDUOS</t>
  </si>
  <si>
    <t>distancia a gestora de residuos</t>
  </si>
  <si>
    <t>HE energía (hag/comida)</t>
  </si>
  <si>
    <t>HE parcial (hag/m2)*E-02</t>
  </si>
  <si>
    <t xml:space="preserve">Factores </t>
  </si>
  <si>
    <t>RCD rehabilitación</t>
  </si>
  <si>
    <t>acero</t>
  </si>
  <si>
    <t>pvc</t>
  </si>
  <si>
    <t>total ascensor</t>
  </si>
  <si>
    <t>hormigón</t>
  </si>
  <si>
    <t>cabina vacía</t>
  </si>
  <si>
    <t>Peso (kg)</t>
  </si>
  <si>
    <t>contrapeso</t>
  </si>
  <si>
    <t>EIM (MJ/kg)</t>
  </si>
  <si>
    <t xml:space="preserve">Acero </t>
  </si>
  <si>
    <t>Dato cabina llena</t>
  </si>
  <si>
    <t>850 kg</t>
  </si>
  <si>
    <t>4 personas</t>
  </si>
  <si>
    <t>320 kg</t>
  </si>
  <si>
    <t>Ascensor eléctrico sin cuarto de máquinas 4 personas</t>
  </si>
  <si>
    <t>EIM total (MJ)</t>
  </si>
  <si>
    <t>Pesp total (kg)</t>
  </si>
  <si>
    <t>Datos OTIS</t>
  </si>
  <si>
    <t>Pesos totales</t>
  </si>
  <si>
    <t>Cargas puntuales en foso</t>
  </si>
  <si>
    <t>P11</t>
  </si>
  <si>
    <t>P12</t>
  </si>
  <si>
    <t>P13</t>
  </si>
  <si>
    <t>P17</t>
  </si>
  <si>
    <t>MOTOR Y GUIAS</t>
  </si>
  <si>
    <t>DATO BEDEC</t>
  </si>
  <si>
    <t>57128,26 MJ</t>
  </si>
  <si>
    <t>OPCIONES</t>
  </si>
  <si>
    <t xml:space="preserve">TOTAL </t>
  </si>
  <si>
    <t>TABLA PARA CÁLCULO DE COSTES INDIRECTOS DE EJECUCIÓN (CIE)</t>
  </si>
  <si>
    <t>CDE Total</t>
  </si>
  <si>
    <t>PLAZO (meses)</t>
  </si>
  <si>
    <r>
      <t>SUPERFICIE CONSTRUIDA (m</t>
    </r>
    <r>
      <rPr>
        <vertAlign val="superscript"/>
        <sz val="11"/>
        <color theme="1"/>
        <rFont val="Calibri"/>
        <family val="2"/>
        <scheme val="minor"/>
      </rPr>
      <t>2</t>
    </r>
    <r>
      <rPr>
        <sz val="11"/>
        <color theme="1"/>
        <rFont val="Calibri"/>
        <family val="2"/>
        <scheme val="minor"/>
      </rPr>
      <t>)</t>
    </r>
  </si>
  <si>
    <r>
      <t>SUPERFICIE PARCELA (m</t>
    </r>
    <r>
      <rPr>
        <vertAlign val="superscript"/>
        <sz val="11"/>
        <color theme="1"/>
        <rFont val="Calibri"/>
        <family val="2"/>
        <scheme val="minor"/>
      </rPr>
      <t>2</t>
    </r>
    <r>
      <rPr>
        <sz val="11"/>
        <color theme="1"/>
        <rFont val="Calibri"/>
        <family val="2"/>
        <scheme val="minor"/>
      </rPr>
      <t>)</t>
    </r>
  </si>
  <si>
    <t>% S/CDE</t>
  </si>
  <si>
    <t>C12</t>
  </si>
  <si>
    <t>COSTES INDIRECTOS DE EJECUCIÓN (CIE)</t>
  </si>
  <si>
    <t>Personal</t>
  </si>
  <si>
    <t>C121</t>
  </si>
  <si>
    <t>MANO DE OBRA INDIRECTA</t>
  </si>
  <si>
    <t>h/mes</t>
  </si>
  <si>
    <t>horas</t>
  </si>
  <si>
    <t>C1211</t>
  </si>
  <si>
    <t>Encargado</t>
  </si>
  <si>
    <t>mes</t>
  </si>
  <si>
    <t>C1212</t>
  </si>
  <si>
    <t>Capataces</t>
  </si>
  <si>
    <t>C1213</t>
  </si>
  <si>
    <t>Almaceneros</t>
  </si>
  <si>
    <t>C1214</t>
  </si>
  <si>
    <t>Guardería y Listeros</t>
  </si>
  <si>
    <t>C1215</t>
  </si>
  <si>
    <t>Otros</t>
  </si>
  <si>
    <t>C122</t>
  </si>
  <si>
    <t>MEDIOS AUXILIARES</t>
  </si>
  <si>
    <t>C1221</t>
  </si>
  <si>
    <t>Mano de Obra Auxiliar</t>
  </si>
  <si>
    <t>€/h</t>
  </si>
  <si>
    <t>C12211</t>
  </si>
  <si>
    <t>Personal transporte interior</t>
  </si>
  <si>
    <r>
      <t>m</t>
    </r>
    <r>
      <rPr>
        <vertAlign val="superscript"/>
        <sz val="11"/>
        <color theme="1"/>
        <rFont val="Calibri"/>
        <family val="2"/>
        <scheme val="minor"/>
      </rPr>
      <t>2</t>
    </r>
  </si>
  <si>
    <t>C12212</t>
  </si>
  <si>
    <t>Personal de limpieza general y regado</t>
  </si>
  <si>
    <t>C12213</t>
  </si>
  <si>
    <t>Recogida y transporte de útiles y herramientas</t>
  </si>
  <si>
    <t>C12214</t>
  </si>
  <si>
    <t>C1222</t>
  </si>
  <si>
    <t>Materiales Auxiliares</t>
  </si>
  <si>
    <t>C12221</t>
  </si>
  <si>
    <t>Pasta parafijación reglas</t>
  </si>
  <si>
    <t>C12222</t>
  </si>
  <si>
    <t>Ladrillos y pastas para elementos provisionales</t>
  </si>
  <si>
    <t>C12223</t>
  </si>
  <si>
    <t>Materiales para replanteos</t>
  </si>
  <si>
    <r>
      <t>m</t>
    </r>
    <r>
      <rPr>
        <vertAlign val="superscript"/>
        <sz val="11"/>
        <color theme="1"/>
        <rFont val="Calibri"/>
        <family val="2"/>
        <scheme val="minor"/>
      </rPr>
      <t>3</t>
    </r>
    <r>
      <rPr>
        <sz val="11"/>
        <color theme="1"/>
        <rFont val="Calibri"/>
        <family val="2"/>
        <scheme val="minor"/>
      </rPr>
      <t>/m</t>
    </r>
    <r>
      <rPr>
        <vertAlign val="superscript"/>
        <sz val="11"/>
        <color theme="1"/>
        <rFont val="Calibri"/>
        <family val="2"/>
        <scheme val="minor"/>
      </rPr>
      <t>2</t>
    </r>
  </si>
  <si>
    <r>
      <t>m</t>
    </r>
    <r>
      <rPr>
        <b/>
        <vertAlign val="superscript"/>
        <sz val="11"/>
        <color theme="1"/>
        <rFont val="Calibri"/>
        <family val="2"/>
        <scheme val="minor"/>
      </rPr>
      <t>3</t>
    </r>
  </si>
  <si>
    <t>C12224</t>
  </si>
  <si>
    <r>
      <t>m</t>
    </r>
    <r>
      <rPr>
        <vertAlign val="superscript"/>
        <sz val="11"/>
        <color theme="1"/>
        <rFont val="Calibri"/>
        <family val="2"/>
        <scheme val="minor"/>
      </rPr>
      <t>3</t>
    </r>
    <r>
      <rPr>
        <sz val="11"/>
        <color theme="1"/>
        <rFont val="Calibri"/>
        <family val="2"/>
        <scheme val="minor"/>
      </rPr>
      <t/>
    </r>
  </si>
  <si>
    <t>C12225</t>
  </si>
  <si>
    <t>C1223</t>
  </si>
  <si>
    <t>Maquinaria, Útiles y Herramientas</t>
  </si>
  <si>
    <t>Consumo Eléctrico</t>
  </si>
  <si>
    <t>C12231</t>
  </si>
  <si>
    <t>Medios de Elevación</t>
  </si>
  <si>
    <t>kWh</t>
  </si>
  <si>
    <t>C122311</t>
  </si>
  <si>
    <t>Grúa</t>
  </si>
  <si>
    <t>100%h pers</t>
  </si>
  <si>
    <t>Huella Fósil</t>
  </si>
  <si>
    <t>C122312</t>
  </si>
  <si>
    <t>Montaje y desmontaje grúas</t>
  </si>
  <si>
    <t>u.</t>
  </si>
  <si>
    <t>Rend (l/kWh)</t>
  </si>
  <si>
    <t>C122313</t>
  </si>
  <si>
    <t>Manipulador telescópico</t>
  </si>
  <si>
    <t>80% h pers</t>
  </si>
  <si>
    <t>C122314</t>
  </si>
  <si>
    <t>Plataformas elevadoras</t>
  </si>
  <si>
    <t>C122315</t>
  </si>
  <si>
    <t>Montacargas</t>
  </si>
  <si>
    <t>C12232</t>
  </si>
  <si>
    <t>Hormigoneras</t>
  </si>
  <si>
    <t>C12233</t>
  </si>
  <si>
    <t>Cortadoras</t>
  </si>
  <si>
    <t>C12234</t>
  </si>
  <si>
    <t>Andamios</t>
  </si>
  <si>
    <t>C12235</t>
  </si>
  <si>
    <t>Herramientas</t>
  </si>
  <si>
    <t>C12236</t>
  </si>
  <si>
    <t>C123</t>
  </si>
  <si>
    <t>INSTALACIONES, ACCESORIAS Y COMPLEMENTARIAS</t>
  </si>
  <si>
    <t>C1231</t>
  </si>
  <si>
    <t>Casetas de obra</t>
  </si>
  <si>
    <t>C12311</t>
  </si>
  <si>
    <t>Oficinas</t>
  </si>
  <si>
    <t>C12312</t>
  </si>
  <si>
    <t>Sala de Reuniones</t>
  </si>
  <si>
    <r>
      <t>kWh/m</t>
    </r>
    <r>
      <rPr>
        <vertAlign val="superscript"/>
        <sz val="11"/>
        <rFont val="Calibri"/>
        <family val="2"/>
        <scheme val="minor"/>
      </rPr>
      <t>2</t>
    </r>
  </si>
  <si>
    <t>C12313</t>
  </si>
  <si>
    <t>Almacenes</t>
  </si>
  <si>
    <t>C1232</t>
  </si>
  <si>
    <t>Acometidas y Tendidos Provisionales</t>
  </si>
  <si>
    <t>Euros</t>
  </si>
  <si>
    <t>C12321</t>
  </si>
  <si>
    <t>Acometida de Electricidad</t>
  </si>
  <si>
    <t>40% precio</t>
  </si>
  <si>
    <t>C12322</t>
  </si>
  <si>
    <t>Acometidia de Agua y Saneamiento</t>
  </si>
  <si>
    <t>C12323</t>
  </si>
  <si>
    <t>Tendido Eléctrico</t>
  </si>
  <si>
    <t>C12324</t>
  </si>
  <si>
    <t>Instalación Provisional de Agua</t>
  </si>
  <si>
    <t>C1233</t>
  </si>
  <si>
    <t>Viales, Localizaciones y Replanteos</t>
  </si>
  <si>
    <t>C1234</t>
  </si>
  <si>
    <t>Consumos</t>
  </si>
  <si>
    <t>C1235</t>
  </si>
  <si>
    <t>C1236</t>
  </si>
  <si>
    <t>C124</t>
  </si>
  <si>
    <t>PERSONAL</t>
  </si>
  <si>
    <t>C1241</t>
  </si>
  <si>
    <t>Técnicos Adscritos a la Obra</t>
  </si>
  <si>
    <t>C12411</t>
  </si>
  <si>
    <t>Jefe de Obra</t>
  </si>
  <si>
    <t>C12412</t>
  </si>
  <si>
    <t>Jefe de Producción</t>
  </si>
  <si>
    <t>C12413</t>
  </si>
  <si>
    <t>Técnicos Auxiliares</t>
  </si>
  <si>
    <t>C1242</t>
  </si>
  <si>
    <t>Administrativos adscritos permanentemente a la obra</t>
  </si>
  <si>
    <t>C1243</t>
  </si>
  <si>
    <t>C125</t>
  </si>
  <si>
    <t>C1251</t>
  </si>
  <si>
    <t>Gastos de Oficinas y Almacenes de Obra</t>
  </si>
  <si>
    <t>C12511</t>
  </si>
  <si>
    <t>Gastos de Oficinas</t>
  </si>
  <si>
    <t>C1252</t>
  </si>
  <si>
    <t>C1253</t>
  </si>
  <si>
    <t>Superficie de parcela</t>
  </si>
  <si>
    <t>horas totales mano de obra</t>
  </si>
  <si>
    <t>Aseos y vestuarios</t>
  </si>
  <si>
    <t>Comedor</t>
  </si>
  <si>
    <t>Sala primeros auxilios (&gt; 50 trabajadores)</t>
  </si>
  <si>
    <t>Consumo electricidad CI Iluminación de obra y pruebas instalaciones (kWh)</t>
  </si>
  <si>
    <t>Consumo electricidad CI maquinaria (kWh)</t>
  </si>
  <si>
    <t>Huella total energía</t>
  </si>
  <si>
    <t>superficie total (m2)</t>
  </si>
  <si>
    <t>Total prersonal (h)</t>
  </si>
  <si>
    <t>Total Consumo eléctrico</t>
  </si>
  <si>
    <t>Personal mano de obra indirecta</t>
  </si>
  <si>
    <t>Personal medios auxiliares</t>
  </si>
  <si>
    <t>Consumo Eléctrico maquinaria indirecta</t>
  </si>
  <si>
    <t>Cosumo Eléctrico casetas obra</t>
  </si>
  <si>
    <t>Cálculo mano de obra instalaciones compltarias</t>
  </si>
  <si>
    <t>Cálculo mano de obra personal técnico</t>
  </si>
  <si>
    <t>Total mano de obra indirecta (h)</t>
  </si>
  <si>
    <t>Cosumo Eléctrico iluminación de obra y pruebas instalaciones</t>
  </si>
  <si>
    <t>Mano de obra procedente de los costes indirectos</t>
  </si>
  <si>
    <r>
      <t>h</t>
    </r>
    <r>
      <rPr>
        <vertAlign val="subscript"/>
        <sz val="11"/>
        <color theme="1"/>
        <rFont val="Arial"/>
        <family val="2"/>
      </rPr>
      <t xml:space="preserve">e </t>
    </r>
    <r>
      <rPr>
        <sz val="11"/>
        <color theme="1"/>
        <rFont val="Arial"/>
        <family val="2"/>
      </rPr>
      <t>Horas efectivas trabajadas en un año por trabajador (h)</t>
    </r>
  </si>
  <si>
    <t>Número horas por jornada</t>
  </si>
  <si>
    <t>Número de jornadas (h)</t>
  </si>
  <si>
    <t>Número de comidas por año</t>
  </si>
  <si>
    <t>Huella Ecológica maquinaria eléctrica</t>
  </si>
  <si>
    <t>Cargas totales en foso</t>
  </si>
  <si>
    <t>superficie de parcela</t>
  </si>
  <si>
    <t>?????</t>
  </si>
  <si>
    <t>Aparatos Climatización</t>
  </si>
  <si>
    <t>Líneas y Derivaciones</t>
  </si>
  <si>
    <t>Toma de corriente</t>
  </si>
  <si>
    <t>Conductor de Puesta a Tierra</t>
  </si>
  <si>
    <t>Canalizaciones Agua Fría</t>
  </si>
  <si>
    <t>Aparatos Sanitarios</t>
  </si>
  <si>
    <t>Opción 1</t>
  </si>
  <si>
    <t>Opción 2</t>
  </si>
  <si>
    <t>Opción 3</t>
  </si>
  <si>
    <t>Opciones</t>
  </si>
  <si>
    <t>Tablas anteriores (no usar en cálculos actuales de HEREVEA)</t>
  </si>
  <si>
    <t>Tablas HEREVEA (incluye Costes Indirectos)</t>
  </si>
  <si>
    <t>Tabla datos anterior (sin Costes Indirectos)</t>
  </si>
  <si>
    <t>Tabla para diagramas anterior (sin Costes Indirectos)</t>
  </si>
  <si>
    <t xml:space="preserve">Tabla HEREVEA para diagramas </t>
  </si>
  <si>
    <t>Opción 4</t>
  </si>
  <si>
    <t>Opción 5</t>
  </si>
  <si>
    <t>M20/M19</t>
  </si>
  <si>
    <t>M21</t>
  </si>
  <si>
    <t>M20 Reparación grietas ≤60%/ M19 Reparación grietas &gt;60%(sustitucion y reposición)</t>
  </si>
  <si>
    <t>M14 Reparación grietas ≤60%/ M13' Reparación grietas &gt;60%(sustitucion y reposición)</t>
  </si>
  <si>
    <t>Tabla resumen de los alimentos actualizados a nueva metodología</t>
  </si>
  <si>
    <t>Tabla HEREVEA (con datos alimentos actualizados a nueva metodología)</t>
  </si>
  <si>
    <t xml:space="preserve">Tabla HEREVEA </t>
  </si>
  <si>
    <t>RESULTADOS HUELLA ECOLÓGICA</t>
  </si>
  <si>
    <t>BANCO  CUANTIFICACIÓN RECURSOS (BCRR)</t>
  </si>
  <si>
    <t>Carpintería madera. Ventanas</t>
  </si>
  <si>
    <t>PRECIO PUC</t>
  </si>
  <si>
    <t>IMPORTE TOTAL (€)</t>
  </si>
  <si>
    <t>PRECIO PUC (€/u)</t>
  </si>
  <si>
    <t>SI SE SELECCIONA ESTA OPCIÓN SE ANULAN LAS OTRAS</t>
  </si>
  <si>
    <t>M29/M29'/M30/M31/M32</t>
  </si>
  <si>
    <t>EQUIPO DE CLIMATIZACIÓN FRIO/CALOR SISTEMA PARTIDO MULTISPLIT 3X1 PARA VIVIENDA</t>
  </si>
  <si>
    <t>OK CORREGIDO 030915</t>
  </si>
  <si>
    <t>RADIADOR TÉRMICO DE AGUA PARA CALEFACCIÓN FIJA EN VIVIENDA</t>
  </si>
  <si>
    <t>Se elimina partida 08CCA00012</t>
  </si>
  <si>
    <t>Este precio no se a que actuación corresponde</t>
  </si>
  <si>
    <t>Eliminado los PUS:</t>
  </si>
  <si>
    <t>08CCC00192</t>
  </si>
  <si>
    <t>Nuevo PUS:</t>
  </si>
  <si>
    <t>CALDERA MURAL MIXTA ELÉCTRICA 4300 A 12900 kcal/h</t>
  </si>
  <si>
    <t>PRECIO NUEVO 030915</t>
  </si>
  <si>
    <t>IC14200</t>
  </si>
  <si>
    <t>CALDERA MURAL ELÉCTRICA MIXTA 5-15 kW CALEFAC. 6 kW A.C.S.</t>
  </si>
  <si>
    <t>CIRCUITO MONOFÁSICO PARA DIVERSOS USOS Y SECCIONES EN VIVIENDA</t>
  </si>
  <si>
    <t>ELIMINADO PUS</t>
  </si>
  <si>
    <t>NUEVO PUS</t>
  </si>
  <si>
    <t>10AWW90011</t>
  </si>
  <si>
    <t>08RWW00100</t>
  </si>
  <si>
    <t>Que hago con esta mano de obra hay que quitarla? 030915</t>
  </si>
  <si>
    <t>NUEVO</t>
  </si>
  <si>
    <t>ALICATADO CON AZULEJOS ESPECIALES</t>
  </si>
  <si>
    <t xml:space="preserve">RA90911 </t>
  </si>
  <si>
    <t>AZULEJO ESPECIAL</t>
  </si>
  <si>
    <t>ELEMENTOS COMPLEMENTARIOS PARA LA SUSTITUCIÓN DE CIRCUITO MONOFÁSICO EN VIVIENDA</t>
  </si>
  <si>
    <t>CAMBIO CANTIDAD</t>
  </si>
  <si>
    <t>CAPÍTULO 01. DEMOLICIONES</t>
  </si>
  <si>
    <t>01E</t>
  </si>
  <si>
    <t>Demolición de edificio exento</t>
  </si>
  <si>
    <t>01EMM090100</t>
  </si>
  <si>
    <t>DEMOLICIÓN EDIFICIO EXENTO, MUROS DE FÁBRICA, M. MECÁNICOS</t>
  </si>
  <si>
    <t>cambio de unidad de m2 a m3, cambian los rendimientos d etodo</t>
  </si>
  <si>
    <t>se elimina en maquinaria la pala cargadora</t>
  </si>
  <si>
    <t>01EMM090110</t>
  </si>
  <si>
    <t>DEMOLICIÓN EDIFICIO EXENTO, ESTRUC. HORMIGÓN, M. MECÁNICOS</t>
  </si>
  <si>
    <t>CAPÍTULO 17. RESIDUOS</t>
  </si>
  <si>
    <t>17R</t>
  </si>
  <si>
    <t>Residuos mezclados</t>
  </si>
  <si>
    <t>17RRR090400</t>
  </si>
  <si>
    <t>GESTIÓN DE RESIDUOS PROCEDENTES DE DEMOLICIÓN EDIFICIO EXENTO, MUROS DE FÁBRICA, M MECÁNICOS</t>
  </si>
  <si>
    <t>Cantidad Q PUS  (u)</t>
  </si>
  <si>
    <t>ER00100</t>
  </si>
  <si>
    <t>CANON GESTION DE RESIDUOS MIXTOS</t>
  </si>
  <si>
    <t>17RRR090410</t>
  </si>
  <si>
    <t>GESTIÓN DE RESIDUOS PROCEDENTES DE DEMOLICIÓN EDIFICIO EXENTO, ESTRUC. HORMIGÓN, M MECÁNICOS</t>
  </si>
  <si>
    <t>Altura total edificio (m)</t>
  </si>
  <si>
    <t>Altura media por planta (suelo a techo)(m)</t>
  </si>
  <si>
    <t>Información para Demolición</t>
  </si>
  <si>
    <t>MEDICIÓN DEL PROYECTO DE REHABILITACIÓN</t>
  </si>
  <si>
    <t>MEDICIÓN DEL PROYECTO DE DEMOLICIÓN</t>
  </si>
  <si>
    <t>CAPÍTULO 01. DEMOLICIONES Y TRABAJOS PREVIOS</t>
  </si>
  <si>
    <t>Edificio exento estructura hormigón m.mecánicos</t>
  </si>
  <si>
    <t>Edificio exento estructura muros fábrica m.mecánicos</t>
  </si>
  <si>
    <t>Demolición</t>
  </si>
  <si>
    <t>Proyecto de Rehabilitación</t>
  </si>
  <si>
    <t xml:space="preserve">Características del Proyecto   </t>
  </si>
  <si>
    <t>SUBCAPÍTULO</t>
  </si>
  <si>
    <t>PEM</t>
  </si>
  <si>
    <t>Ascensores</t>
  </si>
  <si>
    <t>Nueva instalación</t>
  </si>
  <si>
    <t>PEM CAPÍTULO</t>
  </si>
  <si>
    <t>IMPORTE TOTAL CAPÍTULO 03 (€)</t>
  </si>
  <si>
    <t>IMPORTE TOTAL CAPÍTULO 05 (€)</t>
  </si>
  <si>
    <t>c04'</t>
  </si>
  <si>
    <t>Reparación faldón ≤60%</t>
  </si>
  <si>
    <t>m2. Distr. Tabiquería (Particiones)</t>
  </si>
  <si>
    <t xml:space="preserve">m2. Fábricas Interiores de Ladrillo </t>
  </si>
  <si>
    <t>Fisuras</t>
  </si>
  <si>
    <t>Grietas</t>
  </si>
  <si>
    <t>Cubierta completa</t>
  </si>
  <si>
    <t>Humedades en suelo</t>
  </si>
  <si>
    <t>Humedades en techo</t>
  </si>
  <si>
    <t>Encuentros con paramentos verticales</t>
  </si>
  <si>
    <t>m.  Reparación con micropilotes</t>
  </si>
  <si>
    <t>Recalce de zapata mediante micropilotes</t>
  </si>
  <si>
    <t>IMPORTE TOTAL CAPÍTULO 06 (€)</t>
  </si>
  <si>
    <t>IMPORTE TOTAL CAPÍTULO 07 (€)</t>
  </si>
  <si>
    <t>IMPORTE TOTAL CAPÍTULO 08 (€)</t>
  </si>
  <si>
    <t>IMPORTE TOTAL CAPÍTULO 11 (€)</t>
  </si>
  <si>
    <t>m3. Edificaciones</t>
  </si>
  <si>
    <t>CAPÍTULO 17. GESTIÓN DE RESIDUOS</t>
  </si>
  <si>
    <t>Proyecto de Nueva Construcción</t>
  </si>
  <si>
    <t>INCREMENTO 20% PEM (VARIOS)</t>
  </si>
  <si>
    <t>PEM/m2</t>
  </si>
  <si>
    <t>EDIFICIO NUEVA CONSTRUCCIÓN</t>
  </si>
  <si>
    <t>IMPORTANTE: la superficie construida será la del proyecto seleccionado por el usuario, en este caso se selecciona la superficie del proyecto de nuestra base de datos</t>
  </si>
  <si>
    <t>Ejecutado según las mismas  características constructivas del proyecto original y con materiales de calidad media</t>
  </si>
  <si>
    <t>PEM REHABILITACIÓN SEGÚN ACTUACIONES A REALIZAR</t>
  </si>
  <si>
    <t>COMPARATIVA ENTRE REHABILITACIÓN Y DEMOLICIÓN+ NUEVA CONSTRUCCIÓN</t>
  </si>
  <si>
    <t>si  el proyecto tiene cubierta horizonal o inclinada debe anularse la opción</t>
  </si>
  <si>
    <t>PB+1</t>
  </si>
  <si>
    <t>PB+2</t>
  </si>
  <si>
    <t>PB+3</t>
  </si>
  <si>
    <t>PB+4</t>
  </si>
  <si>
    <t>PB+9</t>
  </si>
  <si>
    <t>HE CONSTRUCCIÓN DE EDIFICIOS/M2</t>
  </si>
  <si>
    <t>HE total Construcción de edificios(hag)</t>
  </si>
  <si>
    <t>HE CONSTRUCCIÓN DE EDIFICIOS (hag/m2)</t>
  </si>
  <si>
    <t>HE CONSTRUCCIÓN DE EDIFICIOS (hag)</t>
  </si>
  <si>
    <t>Tabla HE resultados finales HEREVEA (con Costes Indirectos, datos materiales de SIMAPRO+ ascensor)</t>
  </si>
  <si>
    <t>HE CONSTRUCCIÓN EDIFICIOS</t>
  </si>
  <si>
    <t>HE DEMOLICIÓN EDIFICIOS</t>
  </si>
  <si>
    <t>HE DEMOLICIÓN DE EDIFICIOS (hag/m2)</t>
  </si>
  <si>
    <t>HE DEMOLICIÓN DE EDIFICIOS (hag)</t>
  </si>
  <si>
    <t>m³. Gestión de Residuos</t>
  </si>
  <si>
    <t xml:space="preserve">Proyecto de Demolición </t>
  </si>
  <si>
    <t>CAPÍTULO 01</t>
  </si>
  <si>
    <t>DEMOLICIONES</t>
  </si>
  <si>
    <t>CAPÍTULO 01 y 17</t>
  </si>
  <si>
    <t>DEMOLICIONES Y RESIDUOS</t>
  </si>
  <si>
    <t>CAPÍTULO 01_ DEMOLICIONES</t>
  </si>
  <si>
    <t>CAPITULO 17</t>
  </si>
  <si>
    <t>CAPITULO 01</t>
  </si>
  <si>
    <t>NOTA: SE ELIMINAN 08CC m. Conductos. No hay climatización por connductos</t>
  </si>
  <si>
    <t>NOTA: SE ELIMINAN 08FG u. Grifería. Está incluida en los aparatos</t>
  </si>
  <si>
    <t>nº viv</t>
  </si>
  <si>
    <t>m2 sup constr por viv</t>
  </si>
  <si>
    <t>m2 por planta</t>
  </si>
  <si>
    <t>m2 por edificio</t>
  </si>
  <si>
    <t>Información para Ascensor</t>
  </si>
  <si>
    <t>NOTA: EN LA SUPERFICIE CONSTRUIDA SE INCLUYE LA SUPERFICIE CORRESPONDIENTE DE ZONAS COMUNES DEL EDIFICIO</t>
  </si>
  <si>
    <t>Presupuesto de Ejecución Material (PEM) (€)</t>
  </si>
  <si>
    <t>ACCESIBILIDAD</t>
  </si>
  <si>
    <t>u. Escalera</t>
  </si>
  <si>
    <t>m2. Rampa acceso minusválidos</t>
  </si>
  <si>
    <t xml:space="preserve">Unidad a ejecutar </t>
  </si>
  <si>
    <t>NOTA : SE TOMA COMO HIPÓTESIS QUE HAY 4 VIVIENDAS POR PLANTA CON UNA SUPERFICIE CONSTRUIDA DE 150M2/VIVIENDA</t>
  </si>
  <si>
    <t>NOTA: SE TRASLADA EL ASCENSOR FUERA DEL CAPÍTULO INSTALACIONES, YA QUE NO TIENE EL CRITERIO DE LOS Qi</t>
  </si>
  <si>
    <t>CÓDIGO PUC ASOCIADO</t>
  </si>
  <si>
    <t>Actuaciones a realizar en función de las patologías del edificio</t>
  </si>
  <si>
    <t>HE  REHABILITACIÓN</t>
  </si>
  <si>
    <t>CAPÍTULO DE ACCESIBILIDAD</t>
  </si>
  <si>
    <t>PEM REHABILITACIÓN (€)</t>
  </si>
  <si>
    <t>PEM DEMOLICIÓN (€)</t>
  </si>
  <si>
    <t>PEM NUEVA CONSTRUCCIÓN (€)</t>
  </si>
  <si>
    <t>Resumen Económico de Rehabilitación</t>
  </si>
  <si>
    <t>Resumen Económico de Demolición</t>
  </si>
  <si>
    <t>Resumen Económico de Nueva Construcción</t>
  </si>
  <si>
    <t>PEM DE DEMOLICIÓN + NUEVA CONSTRUCCIÓN</t>
  </si>
  <si>
    <t>HE REHABILITACIÓN (hag)</t>
  </si>
  <si>
    <t>HE DEMOLICIÓN + CONSTRUCCIÓN (hag)</t>
  </si>
  <si>
    <t>Huellas parciales (hag)</t>
  </si>
  <si>
    <t>HeER</t>
  </si>
  <si>
    <t>Huella económica del Edificio de Referencia</t>
  </si>
  <si>
    <t>EB</t>
  </si>
  <si>
    <t>03RZQ00001</t>
  </si>
  <si>
    <t>04RAS50010</t>
  </si>
  <si>
    <t>04RAS50020</t>
  </si>
  <si>
    <t>M04</t>
  </si>
  <si>
    <t>M02</t>
  </si>
  <si>
    <t>M03</t>
  </si>
  <si>
    <t>04RES50010</t>
  </si>
  <si>
    <t>04RES50020</t>
  </si>
  <si>
    <t>04RES50030</t>
  </si>
  <si>
    <t>M05</t>
  </si>
  <si>
    <t>M06</t>
  </si>
  <si>
    <t>M07</t>
  </si>
  <si>
    <t>04RVS90010</t>
  </si>
  <si>
    <t>04RVS90030</t>
  </si>
  <si>
    <t>M08</t>
  </si>
  <si>
    <t>M09</t>
  </si>
  <si>
    <t>05RFU80001</t>
  </si>
  <si>
    <t>06RLR70022</t>
  </si>
  <si>
    <t>M20</t>
  </si>
  <si>
    <t>06RLR70012</t>
  </si>
  <si>
    <t>M19</t>
  </si>
  <si>
    <t>06RLS80010</t>
  </si>
  <si>
    <t>06RLR70020</t>
  </si>
  <si>
    <t>M14</t>
  </si>
  <si>
    <t>06RLR70010</t>
  </si>
  <si>
    <t>M13'</t>
  </si>
  <si>
    <t>06RLR95013</t>
  </si>
  <si>
    <t>06RLL04010</t>
  </si>
  <si>
    <t>06RLL04020</t>
  </si>
  <si>
    <t>06RLR70021</t>
  </si>
  <si>
    <t>06RLR70011</t>
  </si>
  <si>
    <t>M17'</t>
  </si>
  <si>
    <t>06RLS70011</t>
  </si>
  <si>
    <t>06RLL04011</t>
  </si>
  <si>
    <t>07RHR00152</t>
  </si>
  <si>
    <t>07RHR00172</t>
  </si>
  <si>
    <t>07RHR00192</t>
  </si>
  <si>
    <t>07RHR00182</t>
  </si>
  <si>
    <t>07RIR80051</t>
  </si>
  <si>
    <t>07RIR80061</t>
  </si>
  <si>
    <t>07RIR80071</t>
  </si>
  <si>
    <t>08RCS10100</t>
  </si>
  <si>
    <t>08RCS20100</t>
  </si>
  <si>
    <t>M30</t>
  </si>
  <si>
    <t>08RES20010</t>
  </si>
  <si>
    <t>M31</t>
  </si>
  <si>
    <t>08RES20020</t>
  </si>
  <si>
    <t>M32</t>
  </si>
  <si>
    <t>08RES20030</t>
  </si>
  <si>
    <t>M33</t>
  </si>
  <si>
    <t>08RES20040</t>
  </si>
  <si>
    <t>M34</t>
  </si>
  <si>
    <t>08RES20050</t>
  </si>
  <si>
    <t>M36</t>
  </si>
  <si>
    <t>08RFS30020</t>
  </si>
  <si>
    <t>M35</t>
  </si>
  <si>
    <t>08RFS30010</t>
  </si>
  <si>
    <t>M37</t>
  </si>
  <si>
    <t>08RFS30030</t>
  </si>
  <si>
    <t>M39</t>
  </si>
  <si>
    <t>08RFS30050</t>
  </si>
  <si>
    <t>M38</t>
  </si>
  <si>
    <t>08RFS30040</t>
  </si>
  <si>
    <t>Sustitución y reposición en cobre</t>
  </si>
  <si>
    <t>M41</t>
  </si>
  <si>
    <t>08RFS30070</t>
  </si>
  <si>
    <t>M42'</t>
  </si>
  <si>
    <t>08RFS30090</t>
  </si>
  <si>
    <t>Accesibilidad</t>
  </si>
  <si>
    <t>11RVS11022</t>
  </si>
  <si>
    <t>11RVS21022</t>
  </si>
  <si>
    <t>11RBS10010</t>
  </si>
  <si>
    <t>11RBL10010</t>
  </si>
  <si>
    <t>Escalera</t>
  </si>
  <si>
    <t>Rampa de minusválidos</t>
  </si>
  <si>
    <t>Portero electrónico</t>
  </si>
  <si>
    <t>REPARACIÓN DE GRIETAS EN CERRAMIENTOS. REHAB. ENERG. EXT. FACH. REV.CONT., AISLAM.PLACA EPS, ACAB.MONOCAPA</t>
  </si>
  <si>
    <t>06RLR96013 (M13''')</t>
  </si>
  <si>
    <t>precio nuevo 210915</t>
  </si>
  <si>
    <t>REPARACIÓN DE GRIETAS EN CERRAMIENTOS. REHAB. ENERG. EXT. FACH. VENTIL. AISLAM.LANA OVEJA, ACAB.APLAC.CERÁM.</t>
  </si>
  <si>
    <t>REPARACIÓN DE GRIETAS EN CERRAMIENTOS. REHAB. ENERG. EXT. FACH. VENTIL. AISLAM.PLACA EPS, ACAB.APLAC. CERÁM.</t>
  </si>
  <si>
    <t>precio eliminado 210915</t>
  </si>
  <si>
    <t>Se han eliminado 01RSC80002, 01RCG00001, 10AAL00004, 10WAA00001</t>
  </si>
  <si>
    <t>01RSC90002</t>
  </si>
  <si>
    <t>Y SUSTITUIDO</t>
  </si>
  <si>
    <t>DEMOLICIÓN SELECTIVA M. MANUALES DE RODAPIÉ DE BALDOSAS CERÁM.</t>
  </si>
  <si>
    <t>M13</t>
  </si>
  <si>
    <t>M13'''</t>
  </si>
  <si>
    <t>06RLR96013</t>
  </si>
  <si>
    <t>M14/M13/M13'/M13'''</t>
  </si>
  <si>
    <t>05RH</t>
  </si>
  <si>
    <t>Instalación de rampa</t>
  </si>
  <si>
    <t>M53</t>
  </si>
  <si>
    <t>M54</t>
  </si>
  <si>
    <t>u. Portero electrónico</t>
  </si>
  <si>
    <t>08RK</t>
  </si>
  <si>
    <t>M56</t>
  </si>
  <si>
    <t>VER CRITERIO MEDICIÓN ESCALERA</t>
  </si>
  <si>
    <t>M46'</t>
  </si>
  <si>
    <t>Ventana abatible+Aluminio RPT+vidrio bajo emisivo</t>
  </si>
  <si>
    <t>M46''</t>
  </si>
  <si>
    <t>11RVS12022</t>
  </si>
  <si>
    <t>11RVS13022</t>
  </si>
  <si>
    <t>M47'</t>
  </si>
  <si>
    <t>M47''</t>
  </si>
  <si>
    <t>Ventana abatible+Madera+vidrio bajo emisivo</t>
  </si>
  <si>
    <t>Ventana abatible+Madera+vidrio control solar</t>
  </si>
  <si>
    <t>11RVS22022</t>
  </si>
  <si>
    <t>11RVS23022</t>
  </si>
  <si>
    <t>M47/M47'/M47''</t>
  </si>
  <si>
    <t>M46/M46'/M46''</t>
  </si>
  <si>
    <t>m2. Rampa minusválidos</t>
  </si>
  <si>
    <t>M55</t>
  </si>
  <si>
    <t>accesibilidad: ESTOS PRECIOS NUEVOS NO TIENEN QI, LOS TIENE Q INTRODUCIR EL USUARIO</t>
  </si>
  <si>
    <t>Reparación grietas (&gt;60% superf. fach.). Rehab.energ. ext. Fach. Revest. contínuo, aisl. EPS</t>
  </si>
  <si>
    <t>Reparación grietas (&gt;60% superf. fach.). Rehab.energ. ext. Fach. Ventilada, aisl. EPS</t>
  </si>
  <si>
    <t>Reparación grietas (&gt;60% superf. fach.). Rehab.energ. ext. Fach. Ventilada, aisl. lana oveja</t>
  </si>
  <si>
    <t>Reparación faldón (superf.&gt;60%).Sustitución y reposición faldón completo. Rehab. energ. aislm.plancha EPS</t>
  </si>
  <si>
    <t>M22'</t>
  </si>
  <si>
    <t>07RHR00552</t>
  </si>
  <si>
    <t>Reparación faldón (superf.&gt;60%).Sustitución y reposición faldón completo. Rehab. energ. aislm.lana de oveja</t>
  </si>
  <si>
    <t>M26'</t>
  </si>
  <si>
    <t>07RIR80551</t>
  </si>
  <si>
    <t>mezclado</t>
  </si>
  <si>
    <t>no existe, mezclado en siguiente precio</t>
  </si>
  <si>
    <t>M22/M22'</t>
  </si>
  <si>
    <t>M26/M26'</t>
  </si>
  <si>
    <t>M42''</t>
  </si>
  <si>
    <t>08RFS30190</t>
  </si>
  <si>
    <t>01KLV90001</t>
  </si>
  <si>
    <t>DEMOLICIÓN SELECTIVA M. MAN. DE VENTANA CON PERFILES DE ALUM.</t>
  </si>
  <si>
    <t>SUSTITUCIÓN CARPINTERÍA EXTERIOR ABATIBLE ALUMINIO RPT, BAJO EMISIVO, TIPO III.</t>
  </si>
  <si>
    <t>12LTI90020</t>
  </si>
  <si>
    <t>MAL CODIGO</t>
  </si>
  <si>
    <t>ACRIST. TERMOACÚSTICO DOS LUNAS PULIDAS INCOLORAS CON BAJA EMISIVIDAD 6 mm</t>
  </si>
  <si>
    <t>11RVS13022 (M46'')</t>
  </si>
  <si>
    <t>SUSTITUCIÓN CARPINTERÍA EXTERIOR ABATIBLE ALUMINIO RPT, CONTROL SOLAR, TIPO III.</t>
  </si>
  <si>
    <t>11RVS12022 (M46')</t>
  </si>
  <si>
    <t>12LTI90040</t>
  </si>
  <si>
    <t>ACRIST. TERMOACÚSTICO DOS LUNAS PULIDAS INCOLORAS CON CONTROL SOLAR 6 mm</t>
  </si>
  <si>
    <t>DOBLE LUNA INCOLORA CON CONTROL SOLAR 6 mm, CÁMARA AIRE 12 mm</t>
  </si>
  <si>
    <t>11RVS22022 (M47')</t>
  </si>
  <si>
    <t>SUSTITUCIÓN CARPINTERÍA EXTERIOR ABATIBLE MADERA, BAJO EMISIVO, TIPO III.</t>
  </si>
  <si>
    <t>PRECIO NUEVO</t>
  </si>
  <si>
    <t>SUSTITUYE AL ANTERIOR</t>
  </si>
  <si>
    <t>11MVB00202</t>
  </si>
  <si>
    <t>11RVS23022 (M47'')</t>
  </si>
  <si>
    <t>SUSTITUCIÓN CARPINTERÍA EXTERIOR ABATIBLE MADERA, CONTROL SOLAR, TIPO III.</t>
  </si>
  <si>
    <t>CAPÍTULO ACCESIBILIDAD</t>
  </si>
  <si>
    <t>IMPORTE TOTAL CAPÍTULO ACC (€)</t>
  </si>
  <si>
    <t>Escaleras</t>
  </si>
  <si>
    <t>05RHI00001(M53)</t>
  </si>
  <si>
    <t>SUSTITUCIÓN ESCALERA DOS TRAMOS HORM. ARM. PELDAÑEADA, PAVIM. PIEDRA ARTIF.</t>
  </si>
  <si>
    <t>01AWP90001</t>
  </si>
  <si>
    <t>DEMOLICIÓN SELECTIVA M. MANUALES DE FORMACIÓN DE PELDAÑO L/H</t>
  </si>
  <si>
    <t>01KSB90001</t>
  </si>
  <si>
    <t>01RPA90001</t>
  </si>
  <si>
    <t>DEMOLICIÓN SELECTIVA M. MAN. DE PELDAÑO Y ZANQUÍN PIEDRA ARTIF.</t>
  </si>
  <si>
    <t>01RST90002</t>
  </si>
  <si>
    <t>DEMOLICIÓN SELECTIVA M. MECÁNICOS DE SOLADO Y RODAPIÉ DE TERRAZO</t>
  </si>
  <si>
    <t>01XHW90002</t>
  </si>
  <si>
    <t>05HAC00015</t>
  </si>
  <si>
    <t>ACERO EN BARRAS CORRUGADAS TIPO B500S</t>
  </si>
  <si>
    <t>05HED00001</t>
  </si>
  <si>
    <t>DESENCOFRADO ELEM. HORM. A REVESTIR ENC. CON MADERA</t>
  </si>
  <si>
    <t>05HEM00101</t>
  </si>
  <si>
    <t>ENCOFRADO DE MADERA DE PINO EN LOSAS PARA REVESTIR</t>
  </si>
  <si>
    <t>CE00200</t>
  </si>
  <si>
    <t>PUNTAL METÁLICO DE 3 m</t>
  </si>
  <si>
    <t>10CGG00007</t>
  </si>
  <si>
    <t>GUARNECIDO Y ENLUCIDO MAESTREADO EN TECHOS, YESO</t>
  </si>
  <si>
    <t>10PAP00001</t>
  </si>
  <si>
    <t>PELDAÑO HUELLA Y TABICA DE PIEDRA ARTIFICIAL</t>
  </si>
  <si>
    <t>RP00800</t>
  </si>
  <si>
    <t>HUELLA PIEDRA ARTIFICIAL 50 mm</t>
  </si>
  <si>
    <t>RP02600</t>
  </si>
  <si>
    <t>TABICA PIEDRA ARTIFICIAL 3 cm</t>
  </si>
  <si>
    <t>10PAZ00001</t>
  </si>
  <si>
    <t>ZANQUÍN DE PIEDRA ARTIFICIAL</t>
  </si>
  <si>
    <t>RP03300</t>
  </si>
  <si>
    <t>ZANQUIN PIEDRA ARTIFICIAL 100x30 mm</t>
  </si>
  <si>
    <t>10STR00001</t>
  </si>
  <si>
    <t>RODAPIÉ REBAJADO DE TERRAZO DE 40x7 cm GRANO MEDIO</t>
  </si>
  <si>
    <t>RS06600</t>
  </si>
  <si>
    <t>RODAPIÉ REBAJADO TERRAZO 40x7 cm GRANO MEDIO</t>
  </si>
  <si>
    <t>10STS00001</t>
  </si>
  <si>
    <t>SOLADO BALD. TERRAZO 40x40 cm GRANO MEDIO</t>
  </si>
  <si>
    <t>RS03400</t>
  </si>
  <si>
    <t>BALDOSA TERRAZO 40x40 cm GRANO MEDIO</t>
  </si>
  <si>
    <t>RS08400</t>
  </si>
  <si>
    <t>PULIDO SOLERÍA</t>
  </si>
  <si>
    <t>11SBA00001</t>
  </si>
  <si>
    <t>BARANDILLA AC. CAL. BAST. SENC. PLET. ENTREP. CUADRAD. 14 mm</t>
  </si>
  <si>
    <t>DEMOLICIÓN MASIVA M. MECANICOS DE HORMIGÓN ARMADO</t>
  </si>
  <si>
    <t>DEMOLICIÓN SELECTIVA M. MANUALES DE BARANDILLA METALICA</t>
  </si>
  <si>
    <t>06RLR05013</t>
  </si>
  <si>
    <t>05RHI00001</t>
  </si>
  <si>
    <t>05RHI00101</t>
  </si>
  <si>
    <t>06RLW00200</t>
  </si>
  <si>
    <t>08RKT00100</t>
  </si>
  <si>
    <t>08RMS70030</t>
  </si>
  <si>
    <t>05HHL00103</t>
  </si>
  <si>
    <t>10CGG00012</t>
  </si>
  <si>
    <t>GUARNECIDO Y ENLUCIDO SIN MAESTREAR EN ESCALERAS, YESO</t>
  </si>
  <si>
    <t>05RHI00101(M54)</t>
  </si>
  <si>
    <t>RECTIFICACIÓN DE PELDAÑEADO DE ESCALERA DOS TRAMOS PAVIM. PIEDRA ARTIF.</t>
  </si>
  <si>
    <t>10SWW00061</t>
  </si>
  <si>
    <t>RECRECIDO SUELOS DE 5 CM. ESP. CON MORTERO</t>
  </si>
  <si>
    <t>AGM00300</t>
  </si>
  <si>
    <t>NO LO ENCUENTRO</t>
  </si>
  <si>
    <t>M53/M54</t>
  </si>
  <si>
    <t>06RLW00200(M55)</t>
  </si>
  <si>
    <t>RAMPA MINUSVÁLIDOS</t>
  </si>
  <si>
    <t>06LPC00001</t>
  </si>
  <si>
    <t>CITARA L/PERF. TALADRO PEQUEÑO</t>
  </si>
  <si>
    <t>06WWT00011</t>
  </si>
  <si>
    <t>TABLERO DE RASILLÓN RECIBIDO CON MORTERO</t>
  </si>
  <si>
    <t>FL01500</t>
  </si>
  <si>
    <t>RASILLÓN CERÁMICO 100x25x4 cm</t>
  </si>
  <si>
    <t>10CEE00003</t>
  </si>
  <si>
    <t>ENFOSCADO MAESTREADO Y FRATASADO EN PAREDES</t>
  </si>
  <si>
    <t>10CSCS90002</t>
  </si>
  <si>
    <t>PAVIMENTO TIPO PODO TÁCTILES ANTIDESLIZANTE 20x20 cm</t>
  </si>
  <si>
    <t>GP00300</t>
  </si>
  <si>
    <t>PASTA NIVELADORA</t>
  </si>
  <si>
    <t>RS00750</t>
  </si>
  <si>
    <t>BALDOSA CEMENTO PODO TÁCTIL 20x20 cm</t>
  </si>
  <si>
    <t>CH04000</t>
  </si>
  <si>
    <t>HORMIGÓN HM-20/B/20/I, SUMINISTRADO</t>
  </si>
  <si>
    <t>10WRA00002</t>
  </si>
  <si>
    <t>ALBARDILLA DE PIEDRA ARTIFICIAL DE 30 cm</t>
  </si>
  <si>
    <t>11SBA90022</t>
  </si>
  <si>
    <t>BARANDILLA RAMPA PERS CON DISC AC. FRIO PASAMANOS TUBO 50x4 mm</t>
  </si>
  <si>
    <t>11SBA90032</t>
  </si>
  <si>
    <t>PASAMANOS AC. LAM. FRIO TUBO 50x4 mm</t>
  </si>
  <si>
    <t>Rectificación de peldañeado de escalera en zonas comunes</t>
  </si>
  <si>
    <t>Sustitución y reposición de escalera en zonas comunes</t>
  </si>
  <si>
    <t>06RL</t>
  </si>
  <si>
    <t>PORTERO ELECTRÓNICO</t>
  </si>
  <si>
    <t>08RKT00100(M56)</t>
  </si>
  <si>
    <t>08KTA00154</t>
  </si>
  <si>
    <t>08RKT00100 (M56)</t>
  </si>
  <si>
    <t>PLACA EXTERIOR PORTERO ELECTRÓNICO 16 PULSADORES</t>
  </si>
  <si>
    <t>IV01030</t>
  </si>
  <si>
    <t>ALIMENTADOR/AMPLIFICADOR 16 TOMAS</t>
  </si>
  <si>
    <t>IV02800</t>
  </si>
  <si>
    <t>PLACA PORTERO ELÉCTRICO 16 PULSADORES</t>
  </si>
  <si>
    <t>08KTA00201</t>
  </si>
  <si>
    <t>TELÉFONO INTERIOR PARA PORTERO ELECTRÓNICO</t>
  </si>
  <si>
    <t>IV02000</t>
  </si>
  <si>
    <t>CORDÓN RIZADO</t>
  </si>
  <si>
    <t>IV03000</t>
  </si>
  <si>
    <t>TELEFONO INTERIOR</t>
  </si>
  <si>
    <t>KW04800</t>
  </si>
  <si>
    <t>CONDUCTOR COBRE TELEMANDO 3 CONDUCTORES</t>
  </si>
  <si>
    <t>08KTA00221</t>
  </si>
  <si>
    <t>DISPOSITIVO DE AUTOCERRADO EN PUERTA DE ENTRADA</t>
  </si>
  <si>
    <t>KW04500</t>
  </si>
  <si>
    <t>CIERRE HIDRÁULICO DE PUERTA</t>
  </si>
  <si>
    <t>08KTC00451</t>
  </si>
  <si>
    <t>CIRCUITO GENERAL PARA PORTERO ELECTRÓNICO</t>
  </si>
  <si>
    <t>08KTC00452</t>
  </si>
  <si>
    <t>CIRCUITO INTERIOR PARA PORTERO ELECTRÓNICO</t>
  </si>
  <si>
    <t>Número ascensores</t>
  </si>
  <si>
    <t>08RMS70030 (M48)</t>
  </si>
  <si>
    <t>ASCENSOR ELEC. SIN S. MÁQ. 450 kg 6 PER. 1 m/s 4 PAR. DISCAP. 1 ACC., INSTALADO EN OJO DE ESCALERA</t>
  </si>
  <si>
    <t>DEMOLICIÓN MASIVA M. MAN. DE AZOTEA TRANSITABLE S/HORM. ALIG.</t>
  </si>
  <si>
    <t>PUC  procedencia</t>
  </si>
  <si>
    <t>Cantidad Q PUC  (u)</t>
  </si>
  <si>
    <t>PUC</t>
  </si>
  <si>
    <t>01QHT90001</t>
  </si>
  <si>
    <t>01XFU90001</t>
  </si>
  <si>
    <t>DEMOLICIÓN MASIVA M. MECÁNICOS DE FORJADOS UNIDIRECCIONALES</t>
  </si>
  <si>
    <t>ACERO B500S</t>
  </si>
  <si>
    <t>SUSTITUCIÓN DE ARQUETA DE PASO DE 63X63 cm 1 m PROF. EXC. EN TIERRAS.</t>
  </si>
  <si>
    <t>06LHM00005</t>
  </si>
  <si>
    <t>FÁBRICA 1 PIE LADRILLO H/D</t>
  </si>
  <si>
    <t>LADRILLO CERÁM. HUECO DOBLE 24x11,5x9 cm</t>
  </si>
  <si>
    <t>06WWT80000</t>
  </si>
  <si>
    <t>TABLERO DE RASILLONES MACHIEMBRADOS 100 cm S/IPN</t>
  </si>
  <si>
    <t>CA00900</t>
  </si>
  <si>
    <t>ACERO PERFILES S 275 JR</t>
  </si>
  <si>
    <t>AGM1000</t>
  </si>
  <si>
    <t>NO ESTÁ EN LOS PRECIOS</t>
  </si>
  <si>
    <t>07HTE70011</t>
  </si>
  <si>
    <t>ENC. FALDÓN S/HORM. ALIG. CON PARAMENTO, REFUERZO LÁMINA EPDM, 1,2 mm</t>
  </si>
  <si>
    <t>07HTF70021</t>
  </si>
  <si>
    <t>FALDÓN AZ. TRANS. INVERTIDA CON LÁMINA EPDM 1,2 MM, Y PLANCHA EPS 60 MM</t>
  </si>
  <si>
    <t>QW00800</t>
  </si>
  <si>
    <t>TEJIDO ANTIPUNZONAMIENTO 100 gr/m2</t>
  </si>
  <si>
    <t>CIRCUITO MONOFÁSICO 3x1,5 mm2 EMPOTRADO</t>
  </si>
  <si>
    <t>08ECC00102</t>
  </si>
  <si>
    <t>08ECC00103</t>
  </si>
  <si>
    <t>CIRCUITO MONOFÁSICO 3x2,5 mm2 EMPOTRADO</t>
  </si>
  <si>
    <t>08ECC00104</t>
  </si>
  <si>
    <t>CIRCUITO MONOFÁSICO 3x4 mm2 EMPOTRADO</t>
  </si>
  <si>
    <t>08EID00028</t>
  </si>
  <si>
    <t>INTERRUPTOR DIFERENCIAL IV, INT. N. 25 A SENS. 0,30 A</t>
  </si>
  <si>
    <t>IE09500</t>
  </si>
  <si>
    <t>INTERRUPTOR DIFERENCIAL IV 40 A/300 mA TIPO AC</t>
  </si>
  <si>
    <t>08MAA90011</t>
  </si>
  <si>
    <t>ASCEN. SIN S. MÁQ. 450 kg 6 PER. 1 m/s 4 PAR. DISCAP.</t>
  </si>
  <si>
    <t xml:space="preserve">IM02240 </t>
  </si>
  <si>
    <t xml:space="preserve">EQ. ASC. SIN S. MAQ. 450 Kg 6 PER. 1 m/s </t>
  </si>
  <si>
    <t>IM060002</t>
  </si>
  <si>
    <t>OPCION RESCATE AUTOMATICO</t>
  </si>
  <si>
    <t>IM060003</t>
  </si>
  <si>
    <t>OPCION CABLES SINTÉTICOS CON ALMA DE ACERO (BAJO RUIDO)</t>
  </si>
  <si>
    <t>IM060004</t>
  </si>
  <si>
    <t>OPCION CORTINA OPTICA</t>
  </si>
  <si>
    <t>IM060005</t>
  </si>
  <si>
    <t>OPCION MANIOBRA BOMBERO</t>
  </si>
  <si>
    <t>COMO SE CONECTA ESTA MEDICIÓN</t>
  </si>
  <si>
    <t>08PIE90023</t>
  </si>
  <si>
    <t>EXTINTOR MOVIL, DE POLVO ABC, 6 KG</t>
  </si>
  <si>
    <t>IP07801</t>
  </si>
  <si>
    <t>EXTINTOR MOVIL, POLVO ABC, 6KG.EFICACIA 21-A,144-B</t>
  </si>
  <si>
    <t>10CWW09005</t>
  </si>
  <si>
    <t>01ITV90154</t>
  </si>
  <si>
    <t>01ITV90201</t>
  </si>
  <si>
    <t>01ITV90221</t>
  </si>
  <si>
    <t>01ITV90451</t>
  </si>
  <si>
    <t>DEMOLICIÓN MASIVA M. MANUALES DE PLACA EXTERIOR PORTERO ELECTRÓNICO</t>
  </si>
  <si>
    <t>DEMOLICIÓN MASIVA M. MANUALES DE TELÉFONO INTERIOR PORTERO ELECTRÓNICO</t>
  </si>
  <si>
    <t>DEMOLICIÓN MASIVA M. MAN. CIRCUITO PORTERO ELECTRÓNICO CON SELECCIÓN DE COBRE</t>
  </si>
  <si>
    <t>01RCG90001</t>
  </si>
  <si>
    <t>DEMOLICIÓN SELECTIVA M. MAN. GUARNECIDO Y ENLUC. DE YESO PAREDES</t>
  </si>
  <si>
    <t>REPARACIÓN DE GRIETA EXTERIOR EN PARED CON MALLA Y RETACADO</t>
  </si>
  <si>
    <t>REPARACIÓN DE GRIETA EXT. EN PARED CON ARM. DE FÁBRICA, MALLA Y RETACADO</t>
  </si>
  <si>
    <t>REPARACIÓN DE GRIETA INTERIOR EN PARED CON MALLA Y RETACADO</t>
  </si>
  <si>
    <t>REPARACIÓN DE GRIETA INTERIOR EN PARED CON GRAPA, MALLA Y RETACA</t>
  </si>
  <si>
    <t>REVISADO Y COMPROBADO DE NUEVO 25 09 2015</t>
  </si>
  <si>
    <t>09TPP05014</t>
  </si>
  <si>
    <t>AISLAMIENTO PAREDES LÁMINAS LANA DE OVEJA 60 mm</t>
  </si>
  <si>
    <t>XI90100</t>
  </si>
  <si>
    <t>LÁMINA LANA DE OVEJA 60 mm</t>
  </si>
  <si>
    <t>1 a 60</t>
  </si>
  <si>
    <t>REPARACIÓN DE GRIETAS INT Y EXT CON ARM. DE FÁBRICA, MALLA Y RETAC EN MURO DE CARGA DE FACHADA</t>
  </si>
  <si>
    <t>06RLS70011 (M17')</t>
  </si>
  <si>
    <t>SUSTITUCIÓN DE MURO DE CARGA INTERIOR POR GRIETAS EN MUROS DE CARGA (&lt;60%)</t>
  </si>
  <si>
    <t>DEMOLICIÓN SELECTIVA M. MANUALES DE GUARNECIDO Y ENLUCIDO DE YESO EN PAREDES</t>
  </si>
  <si>
    <t>01ALM90003</t>
  </si>
  <si>
    <t>DEMOLICIÓN SELECTIVA M. MANUALES DE MURO DE L/M</t>
  </si>
  <si>
    <t>PRECIO NUEVO METIDO 28092015</t>
  </si>
  <si>
    <t>07RHR00552 (M22')</t>
  </si>
  <si>
    <t>SUSTITUCIÓN FALDÓN. REHABILITACIÓN ENERGÉTICA CUBIERTA. AISLMTO. LANA DE OVEJA</t>
  </si>
  <si>
    <t>PRECIO NUEVO 28 SEPTIEMBRE 2015</t>
  </si>
  <si>
    <t>07HTF70521</t>
  </si>
  <si>
    <t>FALDÓN AZ. TRANS. INVERTIDA CON LÁMINA EPDM 1,2 MM, Y LÁMINA LANA DE OVEJA 60 MM</t>
  </si>
  <si>
    <t>LECHADA DE CAL AÉREA CL 90</t>
  </si>
  <si>
    <t>ENC. FALDÓN CON CAZOLETA, REFUERZO LÁMINA EPDM, 1,2 mm</t>
  </si>
  <si>
    <t>07HTE70013</t>
  </si>
  <si>
    <t>07HTW70003</t>
  </si>
  <si>
    <t>JUNTA DE DILATACIÓN BASE POLIURETANO</t>
  </si>
  <si>
    <t>QW00350</t>
  </si>
  <si>
    <t>SELLADOR BASE POLIURETANO</t>
  </si>
  <si>
    <t>13REL90104</t>
  </si>
  <si>
    <t>07RIR80551 (M26')</t>
  </si>
  <si>
    <t>SUSTITUCIÓN FALDÓN. REHABILITACIÓN ENERGÉTICA CUBIERTA, AISLAMTO.LANA DE OVEJA</t>
  </si>
  <si>
    <t>DEMOLICIÓN SELECTIVA M. MAN. CUBIERTA TEJA CURVA REUTILIZ. 70%</t>
  </si>
  <si>
    <t>DEMOLICIÓN SELECTIVA M. MANUALES DE DOBLE TABLERO DE LADRILLO</t>
  </si>
  <si>
    <t>01AWW90002</t>
  </si>
  <si>
    <t>07ITL00003</t>
  </si>
  <si>
    <t>09TSS00513</t>
  </si>
  <si>
    <t>AISLAMIENTO SUELOS LÁMINAS LANA DE OVEJA 60 mm</t>
  </si>
  <si>
    <t>XI90101</t>
  </si>
  <si>
    <t>LIMATESA DE TEJAS CURVAS DE CERÁMICA PRIMERA CALIDAD</t>
  </si>
  <si>
    <t>PRECIO NUEVO 29 SEPTIEMBRE 2015</t>
  </si>
  <si>
    <t>REPARACIÓN DE REMATES EN CUBIERTA INCLINADA</t>
  </si>
  <si>
    <t>DESMONTADO CUMBRERAS, LIMAHOYAS, CANALONES DE TEJA CURVA</t>
  </si>
  <si>
    <t>07RIR (M28')</t>
  </si>
  <si>
    <t>01QHT80005</t>
  </si>
  <si>
    <t>DESMONTADO ENCUENTROS DE CUBIERTA DE TEJA CURVA</t>
  </si>
  <si>
    <t>LIMATESA FALDÓN TEJAS PLANAS O CURVAS, CON CHAPA DE CINC</t>
  </si>
  <si>
    <t>CORREGIDO 29 SEPTIEMBRE 2015</t>
  </si>
  <si>
    <t>HAN CAMBIADO QM Y FR, ALGUNOS PRECIOS SE ELIMINAN</t>
  </si>
  <si>
    <t>comprobado desi 29 septiembre 2015</t>
  </si>
  <si>
    <t>corregido FR</t>
  </si>
  <si>
    <t>CORREGIDO EL FR CON DESI 29 SEPTIEMBRE 2015</t>
  </si>
  <si>
    <t>FALTA ENFOSCADO ALICATADO Y DEMOLICIÓN PREVIA 29 SEPTIEMBRE 2015</t>
  </si>
  <si>
    <t>08RFS30050 (M39)</t>
  </si>
  <si>
    <t>REPOSICIÓN DE REDES DE AGUA FRÍA SANITARIA (COBRE)</t>
  </si>
  <si>
    <t>DESMONTADO CONTADOR DE AGUA</t>
  </si>
  <si>
    <t>06WWW09020</t>
  </si>
  <si>
    <t>FORMACIÓN DE FALSO PILAR PARA PASO DE CONDUCCIONES, REVEST. ALICATADO</t>
  </si>
  <si>
    <t xml:space="preserve">GC00100 </t>
  </si>
  <si>
    <t>XI01500</t>
  </si>
  <si>
    <t>LÁMINA VINILICA PVC CON ARM. POLIESTIRENO 1,2 mm</t>
  </si>
  <si>
    <t xml:space="preserve">WW00300 </t>
  </si>
  <si>
    <t>08FFC90103</t>
  </si>
  <si>
    <t>08FFC90104</t>
  </si>
  <si>
    <t>08FFC90105</t>
  </si>
  <si>
    <t>CANALIZACIÓN COBRE, EMPOTRADA 22 mm</t>
  </si>
  <si>
    <t>CANALIZACIÓN COBRE, EMPOTRADA 28 mm</t>
  </si>
  <si>
    <t>CANALIZACIÓN COBRE, EMPOTRADA 18 mm</t>
  </si>
  <si>
    <t>IGUAL AL M36 SE ELIMINAN PRECIOS DE COQUILLAS , CAMBIA EL CALORIFUGADO, FALTAN GUARNECIDO, PINTURA</t>
  </si>
  <si>
    <t>PRECIO NUEVO 29 SEPTIEMBRE  2015</t>
  </si>
  <si>
    <t>08FVR00002</t>
  </si>
  <si>
    <t>OF.1ª FONTANERO</t>
  </si>
  <si>
    <t>REPOSICIÓN DE PRODUCCIÓN DE ACS CON ENERGÍA SOLAR TÉRMICA</t>
  </si>
  <si>
    <t>FALTA CREAR E INTRODUCIR EN EL BCRR PRECIO DE ACS+CALEFACCIÓN 29 SEPTIEMBRE 2014</t>
  </si>
  <si>
    <t xml:space="preserve"> DEMOLICIÓN SELECTIVA M. MANUALES DE BAÑERA</t>
  </si>
  <si>
    <t>DONDE ESTÁN INCLUIDOS O QUIÉN EJECUTA PASOS DE FORJADO Y CERRAMIENTOS, PICADO DE PAREDES, ETC? 9 SEPTIEMBRE 2015</t>
  </si>
  <si>
    <t>08RCS10100 (M29)</t>
  </si>
  <si>
    <t>08RCS20100 (M29')</t>
  </si>
  <si>
    <r>
      <t>M42'/</t>
    </r>
    <r>
      <rPr>
        <b/>
        <sz val="8"/>
        <color rgb="FFFF0000"/>
        <rFont val="Arial"/>
        <family val="2"/>
      </rPr>
      <t>M42''</t>
    </r>
  </si>
  <si>
    <t>M28'</t>
  </si>
  <si>
    <t>SUSTITUCIÓN DE TABIQUES Y TABICONES (GRIETAS &gt;60%)</t>
  </si>
  <si>
    <t>M17/M17'</t>
  </si>
  <si>
    <t>REPARACIÓN DE GRIETAS EN MUROS DE CARGA (≤60%)</t>
  </si>
  <si>
    <t>YA ESTA CREADO Y METIDO 28 SEPTIEMBRE 2015</t>
  </si>
  <si>
    <t>Reparación de remates</t>
  </si>
  <si>
    <t>tiene fallos código mal</t>
  </si>
  <si>
    <t>CORREGIDO Y HECHO 28 SEPTIEMBRE 2015</t>
  </si>
  <si>
    <t>CÓDIGO REPETIDO</t>
  </si>
  <si>
    <t>Reparación de encuentros con paramentos verticales</t>
  </si>
  <si>
    <t>M35/M36</t>
  </si>
  <si>
    <t>M38/M39</t>
  </si>
  <si>
    <t>Sustitución y reposición de ACS con energía solar térmica</t>
  </si>
  <si>
    <t xml:space="preserve">Sustitución y reposición de ACS y calefaccióncon con energía solar térmica </t>
  </si>
  <si>
    <t>falta este precio por hacer 29 septiembre 2015</t>
  </si>
  <si>
    <t>estas dos opciones no pueden darse simultáneamente, una opción elimina a la otra.30/09/2015</t>
  </si>
  <si>
    <t>M44/M45</t>
  </si>
  <si>
    <t>Reutilización o sustitución</t>
  </si>
  <si>
    <t>IMPORTE TOTAL M01 (€)</t>
  </si>
  <si>
    <t>IMPORTE TOTAL M02 (€)</t>
  </si>
  <si>
    <t>IMPORTE TOTAL M03 (€)</t>
  </si>
  <si>
    <t>IMPORTE TOTAL M04 (€)</t>
  </si>
  <si>
    <t>IMPORTE TOTAL M05 (€)</t>
  </si>
  <si>
    <t>IMPORTE TOTAL M06 (€)</t>
  </si>
  <si>
    <t>IMPORTE TOTAL M07 (€)</t>
  </si>
  <si>
    <t>IMPORTE TOTAL M08 (€)</t>
  </si>
  <si>
    <t>IMPORTE TOTAL M09 (€)</t>
  </si>
  <si>
    <t>IMPORTE TOTAL M10 (€)</t>
  </si>
  <si>
    <t>IMPORTE TOTAL M21 (€)</t>
  </si>
  <si>
    <t>IMPORTE TOTAL M20 (€)</t>
  </si>
  <si>
    <t>IMPORTE TOTAL M19 (€)</t>
  </si>
  <si>
    <t>IMPORTE TOTAL M15 (€)</t>
  </si>
  <si>
    <t>IMPORTE TOTAL M14 (€)</t>
  </si>
  <si>
    <t>IMPORTE TOTAL M13 (€)</t>
  </si>
  <si>
    <t>IMPORTE TOTAL M13' (€)</t>
  </si>
  <si>
    <t>IMPORTE TOTAL M13'''(€)</t>
  </si>
  <si>
    <t>IMPORTE TOTAL M11 (€)</t>
  </si>
  <si>
    <t>IMPORTE TOTAL M12 (€)</t>
  </si>
  <si>
    <t>IMPORTE TOTAL M18 (€)</t>
  </si>
  <si>
    <t>IMPORTE TOTAL M17 (€)</t>
  </si>
  <si>
    <t>IMPORTE TOTAL M17' (€)</t>
  </si>
  <si>
    <t>IMPORTE TOTAL M16 (€)</t>
  </si>
  <si>
    <t>IMPORTE TOTAL M22 (€)</t>
  </si>
  <si>
    <t>IMPORTE TOTAL M22' (€)</t>
  </si>
  <si>
    <t>IMPORTE TOTAL M23 (€)</t>
  </si>
  <si>
    <t>IMPORTE TOTAL M24 (€)</t>
  </si>
  <si>
    <t>IMPORTE TOTAL M25 (€)</t>
  </si>
  <si>
    <t>IMPORTE TOTAL M26 (€)</t>
  </si>
  <si>
    <t>IMPORTE TOTAL M26' (€)</t>
  </si>
  <si>
    <t>IMPORTE TOTAL M27 (€)</t>
  </si>
  <si>
    <t>IMPORTE TOTAL M28 (€)</t>
  </si>
  <si>
    <t>IMPORTE TOTAL M28' (€)</t>
  </si>
  <si>
    <t>IMPORTE TOTAL M29 (€)</t>
  </si>
  <si>
    <t>IMPORTE TOTAL M29' (€)</t>
  </si>
  <si>
    <t>IMPORTE TOTAL M30 (€)</t>
  </si>
  <si>
    <t>IMPORTE TOTAL M31 (€)</t>
  </si>
  <si>
    <t>IMPORTE TOTAL M32 (€)</t>
  </si>
  <si>
    <t>IMPORTE TOTAL M33 (€)</t>
  </si>
  <si>
    <t>IMPORTE TOTAL M34 (€)</t>
  </si>
  <si>
    <t>IMPORTE TOTAL M35 (€)</t>
  </si>
  <si>
    <t>IMPORTE TOTAL M36 (€)</t>
  </si>
  <si>
    <t>IMPORTE TOTAL M37 (€)</t>
  </si>
  <si>
    <t>IMPORTE TOTAL M38 (€)</t>
  </si>
  <si>
    <t>IMPORTE TOTAL M39 (€)</t>
  </si>
  <si>
    <t>IMPORTE TOTAL M41 (€)</t>
  </si>
  <si>
    <t>IMPORTE TOTAL M42' (€)</t>
  </si>
  <si>
    <t>IMPORTE TOTAL 29'' (€)</t>
  </si>
  <si>
    <t>IMPORTE TOTAL M46 (€)</t>
  </si>
  <si>
    <t>IMPORTE TOTAL M46' (€)</t>
  </si>
  <si>
    <t>IMPORTE TOTAL M46'' (€)</t>
  </si>
  <si>
    <t>IMPORTE TOTAL M47 (€)</t>
  </si>
  <si>
    <t>IMPORTE TOTAL M47' (€)</t>
  </si>
  <si>
    <t>IMPORTE TOTAL M47'' (€)</t>
  </si>
  <si>
    <t>IMPORTE TOTAL M44 (€)</t>
  </si>
  <si>
    <t>IMPORTE TOTAL M45 (€)</t>
  </si>
  <si>
    <t>IMPORTE TOTAL M53 (€)</t>
  </si>
  <si>
    <t>IMPORTE TOTAL M54 (€)</t>
  </si>
  <si>
    <t>IMPORTE TOTAL M55 (€)</t>
  </si>
  <si>
    <t>IMPORTE TOTAL M56 (€)</t>
  </si>
  <si>
    <t>IMPORTE TOTAL M48 (€)</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</si>
</sst>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64" formatCode="_(&quot;€&quot;* #,##0.00_);_(&quot;€&quot;* \(#,##0.00\);_(&quot;€&quot;* &quot;-&quot;??_);_(@_)"/>
    <numFmt numFmtId="165" formatCode="_(* #,##0.00_);_(* \(#,##0.00\);_(* &quot;-&quot;??_);_(@_)"/>
    <numFmt numFmtId="166" formatCode="0.000"/>
    <numFmt numFmtId="167" formatCode="[$€]#,##0.00_);[Red]\([$€]#,##0.00\)"/>
    <numFmt numFmtId="168" formatCode="#,##0.000"/>
    <numFmt numFmtId="169" formatCode="0.00000"/>
    <numFmt numFmtId="170" formatCode="0.000000"/>
    <numFmt numFmtId="171" formatCode="0.0000"/>
    <numFmt numFmtId="172" formatCode="#,##0.0000"/>
    <numFmt numFmtId="173" formatCode="#,##0.0000\ &quot;kWh&quot;"/>
    <numFmt numFmtId="174" formatCode="#,##0.0000\ &quot;GJ&quot;"/>
    <numFmt numFmtId="175" formatCode="#,##0.00\ [$€-40A];[Red]#,##0.00\ [$€-40A]"/>
    <numFmt numFmtId="176" formatCode="0.0%"/>
    <numFmt numFmtId="177" formatCode="##,##0.00"/>
    <numFmt numFmtId="178" formatCode="##,##0.000"/>
    <numFmt numFmtId="179" formatCode="0.00000000000"/>
    <numFmt numFmtId="180" formatCode="_-* #,##0.000\ _€_-;\-* #,##0.000\ _€_-;_-* &quot;-&quot;??\ _€_-;_-@_-"/>
    <numFmt numFmtId="181" formatCode="0.0000000"/>
    <numFmt numFmtId="182" formatCode="#,##0.000000"/>
    <numFmt numFmtId="183" formatCode="#,##0.0"/>
    <numFmt numFmtId="184" formatCode="0.0"/>
    <numFmt numFmtId="185" formatCode="#,##0.00\ &quot;€&quot;"/>
  </numFmts>
  <fonts count="213">
    <font>
      <sz val="11"/>
      <color theme="1"/>
      <name val="Calibri"/>
      <family val="2"/>
      <scheme val="minor"/>
    </font>
    <font>
      <b/>
      <sz val="11"/>
      <color theme="1"/>
      <name val="Calibri"/>
      <family val="2"/>
      <scheme val="minor"/>
    </font>
    <font>
      <sz val="11"/>
      <name val="Calibri"/>
      <family val="2"/>
      <scheme val="minor"/>
    </font>
    <font>
      <sz val="8"/>
      <name val="Arial"/>
      <family val="2"/>
    </font>
    <font>
      <sz val="8"/>
      <color indexed="12"/>
      <name val="Arial"/>
      <family val="2"/>
    </font>
    <font>
      <b/>
      <sz val="11"/>
      <color rgb="FFFFFFFF"/>
      <name val="Calibri"/>
      <family val="2"/>
      <scheme val="minor"/>
    </font>
    <font>
      <sz val="9"/>
      <color theme="1"/>
      <name val="Calibri"/>
      <family val="2"/>
      <scheme val="minor"/>
    </font>
    <font>
      <sz val="10"/>
      <name val="MS Sans Serif"/>
      <family val="2"/>
    </font>
    <font>
      <b/>
      <sz val="10"/>
      <color indexed="58"/>
      <name val="MS Sans Serif"/>
      <family val="2"/>
    </font>
    <font>
      <sz val="8.5"/>
      <color indexed="12"/>
      <name val="MS Sans Serif"/>
      <family val="2"/>
    </font>
    <font>
      <b/>
      <sz val="8.5"/>
      <color indexed="12"/>
      <name val="MS Sans Serif"/>
      <family val="2"/>
    </font>
    <font>
      <b/>
      <sz val="10"/>
      <color indexed="12"/>
      <name val="MS Sans Serif"/>
      <family val="2"/>
    </font>
    <font>
      <sz val="8"/>
      <color theme="1"/>
      <name val="Arial"/>
      <family val="2"/>
    </font>
    <font>
      <sz val="11"/>
      <color rgb="FF0070C0"/>
      <name val="Calibri"/>
      <family val="2"/>
      <scheme val="minor"/>
    </font>
    <font>
      <sz val="14"/>
      <color theme="1"/>
      <name val="Calibri"/>
      <family val="2"/>
      <scheme val="minor"/>
    </font>
    <font>
      <sz val="11"/>
      <color rgb="FF7030A0"/>
      <name val="Calibri"/>
      <family val="2"/>
      <scheme val="minor"/>
    </font>
    <font>
      <sz val="10"/>
      <color indexed="8"/>
      <name val="Arial"/>
      <family val="2"/>
    </font>
    <font>
      <sz val="11"/>
      <color indexed="8"/>
      <name val="Calibri"/>
      <family val="2"/>
    </font>
    <font>
      <b/>
      <sz val="10"/>
      <name val="MS Sans Serif"/>
      <family val="2"/>
    </font>
    <font>
      <sz val="11"/>
      <color rgb="FFFF0000"/>
      <name val="Calibri"/>
      <family val="2"/>
      <scheme val="minor"/>
    </font>
    <font>
      <sz val="8"/>
      <color rgb="FFFF0000"/>
      <name val="Arial"/>
      <family val="2"/>
    </font>
    <font>
      <sz val="11"/>
      <color rgb="FFFF0000"/>
      <name val="Calibri"/>
      <family val="2"/>
    </font>
    <font>
      <u/>
      <sz val="11"/>
      <color theme="10"/>
      <name val="Calibri"/>
      <family val="2"/>
    </font>
    <font>
      <sz val="11"/>
      <color theme="1"/>
      <name val="Arial"/>
      <family val="2"/>
    </font>
    <font>
      <b/>
      <sz val="12"/>
      <color indexed="12"/>
      <name val="Arial"/>
      <family val="2"/>
    </font>
    <font>
      <b/>
      <sz val="11"/>
      <color theme="1"/>
      <name val="Arial"/>
      <family val="2"/>
    </font>
    <font>
      <sz val="11"/>
      <name val="Arial"/>
      <family val="2"/>
    </font>
    <font>
      <b/>
      <sz val="16"/>
      <name val="Arial"/>
      <family val="2"/>
    </font>
    <font>
      <b/>
      <sz val="16"/>
      <color rgb="FF0070C0"/>
      <name val="Arial"/>
      <family val="2"/>
    </font>
    <font>
      <sz val="11"/>
      <color rgb="FFFF0000"/>
      <name val="Arial"/>
      <family val="2"/>
    </font>
    <font>
      <sz val="12"/>
      <color theme="1"/>
      <name val="Arial"/>
      <family val="2"/>
    </font>
    <font>
      <sz val="10"/>
      <color theme="1"/>
      <name val="Arial"/>
      <family val="2"/>
    </font>
    <font>
      <sz val="12"/>
      <name val="Arial"/>
      <family val="2"/>
    </font>
    <font>
      <b/>
      <sz val="12"/>
      <color theme="1"/>
      <name val="Arial"/>
      <family val="2"/>
    </font>
    <font>
      <vertAlign val="subscript"/>
      <sz val="11"/>
      <color theme="1"/>
      <name val="Arial"/>
      <family val="2"/>
    </font>
    <font>
      <b/>
      <sz val="11"/>
      <color rgb="FFFFFFFF"/>
      <name val="Arial"/>
      <family val="2"/>
    </font>
    <font>
      <sz val="11"/>
      <color rgb="FF0070C0"/>
      <name val="Arial"/>
      <family val="2"/>
    </font>
    <font>
      <b/>
      <sz val="10"/>
      <color rgb="FFFFFFFF"/>
      <name val="Arial"/>
      <family val="2"/>
    </font>
    <font>
      <b/>
      <sz val="11"/>
      <color indexed="12"/>
      <name val="Arial"/>
      <family val="2"/>
    </font>
    <font>
      <b/>
      <sz val="11"/>
      <color rgb="FF0070C0"/>
      <name val="Calibri"/>
      <family val="2"/>
      <scheme val="minor"/>
    </font>
    <font>
      <b/>
      <sz val="11"/>
      <name val="Arial"/>
      <family val="2"/>
    </font>
    <font>
      <sz val="11"/>
      <color indexed="8"/>
      <name val="Calibri"/>
      <family val="2"/>
    </font>
    <font>
      <b/>
      <sz val="11"/>
      <color indexed="8"/>
      <name val="Calibri"/>
      <family val="2"/>
    </font>
    <font>
      <b/>
      <sz val="10"/>
      <color indexed="8"/>
      <name val="Arial"/>
      <family val="2"/>
    </font>
    <font>
      <sz val="8"/>
      <color theme="3"/>
      <name val="Arial"/>
      <family val="2"/>
    </font>
    <font>
      <sz val="11"/>
      <color theme="3"/>
      <name val="Calibri"/>
      <family val="2"/>
      <scheme val="minor"/>
    </font>
    <font>
      <sz val="11"/>
      <color theme="3"/>
      <name val="Calibri"/>
      <family val="2"/>
    </font>
    <font>
      <b/>
      <sz val="11"/>
      <color theme="3"/>
      <name val="Calibri"/>
      <family val="2"/>
    </font>
    <font>
      <i/>
      <sz val="11"/>
      <color theme="1"/>
      <name val="Arial"/>
      <family val="2"/>
    </font>
    <font>
      <i/>
      <sz val="11"/>
      <color theme="1"/>
      <name val="Calibri"/>
      <family val="2"/>
      <scheme val="minor"/>
    </font>
    <font>
      <b/>
      <sz val="8.5"/>
      <name val="MS Sans Serif"/>
      <family val="2"/>
    </font>
    <font>
      <sz val="8.5"/>
      <name val="MS Sans Serif"/>
      <family val="2"/>
    </font>
    <font>
      <sz val="10"/>
      <color indexed="9"/>
      <name val="MS Sans Serif"/>
      <family val="2"/>
    </font>
    <font>
      <sz val="9"/>
      <color indexed="81"/>
      <name val="Tahoma"/>
      <family val="2"/>
    </font>
    <font>
      <b/>
      <sz val="9"/>
      <color indexed="81"/>
      <name val="Tahoma"/>
      <family val="2"/>
    </font>
    <font>
      <b/>
      <sz val="11"/>
      <color theme="3"/>
      <name val="Arial"/>
      <family val="2"/>
    </font>
    <font>
      <b/>
      <sz val="8.5"/>
      <name val="Arial"/>
      <family val="2"/>
    </font>
    <font>
      <sz val="10"/>
      <name val="Arial"/>
      <family val="2"/>
    </font>
    <font>
      <b/>
      <sz val="11"/>
      <color rgb="FF0070C0"/>
      <name val="Arial"/>
      <family val="2"/>
    </font>
    <font>
      <b/>
      <sz val="10"/>
      <color indexed="9"/>
      <name val="MS Sans Serif"/>
      <family val="2"/>
    </font>
    <font>
      <b/>
      <sz val="8"/>
      <color indexed="17"/>
      <name val="Tahoma"/>
      <family val="2"/>
    </font>
    <font>
      <sz val="8"/>
      <color indexed="17"/>
      <name val="Tahoma"/>
      <family val="2"/>
    </font>
    <font>
      <b/>
      <sz val="10"/>
      <name val="Arial"/>
      <family val="2"/>
    </font>
    <font>
      <b/>
      <sz val="8"/>
      <color indexed="10"/>
      <name val="Tahoma"/>
      <family val="2"/>
    </font>
    <font>
      <sz val="8"/>
      <color indexed="10"/>
      <name val="Tahoma"/>
      <family val="2"/>
    </font>
    <font>
      <b/>
      <sz val="11"/>
      <color theme="4"/>
      <name val="Arial"/>
      <family val="2"/>
    </font>
    <font>
      <b/>
      <sz val="20"/>
      <color rgb="FF00B050"/>
      <name val="Calibri"/>
      <family val="2"/>
      <scheme val="minor"/>
    </font>
    <font>
      <b/>
      <sz val="24"/>
      <color rgb="FF00B050"/>
      <name val="Calibri"/>
      <family val="2"/>
      <scheme val="minor"/>
    </font>
    <font>
      <b/>
      <i/>
      <sz val="11"/>
      <color theme="1"/>
      <name val="Calibri"/>
      <family val="2"/>
      <scheme val="minor"/>
    </font>
    <font>
      <b/>
      <sz val="12"/>
      <name val="Swis721 BT"/>
      <family val="2"/>
    </font>
    <font>
      <sz val="11"/>
      <name val="Swis721 BT"/>
      <family val="2"/>
    </font>
    <font>
      <sz val="10"/>
      <name val="Swis721 BT"/>
      <family val="2"/>
    </font>
    <font>
      <sz val="14"/>
      <name val="Arial"/>
      <family val="2"/>
    </font>
    <font>
      <sz val="11"/>
      <color theme="1"/>
      <name val="Calibri"/>
      <family val="2"/>
      <scheme val="minor"/>
    </font>
    <font>
      <sz val="11"/>
      <name val="Calibri"/>
      <family val="2"/>
    </font>
    <font>
      <sz val="10"/>
      <name val="DIN Next LT Pro"/>
      <family val="2"/>
    </font>
    <font>
      <b/>
      <sz val="10"/>
      <name val="DIN Next LT Pro"/>
      <family val="2"/>
    </font>
    <font>
      <sz val="11"/>
      <color rgb="FF00B050"/>
      <name val="Arial"/>
      <family val="2"/>
    </font>
    <font>
      <b/>
      <sz val="11"/>
      <color rgb="FF00B050"/>
      <name val="Arial"/>
      <family val="2"/>
    </font>
    <font>
      <sz val="11"/>
      <color theme="9" tint="-0.499984740745262"/>
      <name val="Arial"/>
      <family val="2"/>
    </font>
    <font>
      <b/>
      <sz val="11"/>
      <color theme="9" tint="-0.499984740745262"/>
      <name val="Arial"/>
      <family val="2"/>
    </font>
    <font>
      <b/>
      <sz val="11"/>
      <color theme="9" tint="-0.499984740745262"/>
      <name val="Calibri"/>
      <family val="2"/>
      <scheme val="minor"/>
    </font>
    <font>
      <sz val="11"/>
      <color theme="9" tint="-0.499984740745262"/>
      <name val="Calibri"/>
      <family val="2"/>
      <scheme val="minor"/>
    </font>
    <font>
      <sz val="11"/>
      <color rgb="FF0066FF"/>
      <name val="Calibri"/>
      <family val="2"/>
    </font>
    <font>
      <b/>
      <sz val="11"/>
      <color theme="0"/>
      <name val="Calibri"/>
      <family val="2"/>
      <scheme val="minor"/>
    </font>
    <font>
      <b/>
      <sz val="8"/>
      <color theme="1"/>
      <name val="Arial"/>
      <family val="2"/>
    </font>
    <font>
      <sz val="9"/>
      <color theme="1"/>
      <name val="Arial"/>
      <family val="2"/>
    </font>
    <font>
      <b/>
      <sz val="10"/>
      <color theme="1"/>
      <name val="Arial"/>
      <family val="2"/>
    </font>
    <font>
      <b/>
      <sz val="9"/>
      <color theme="1"/>
      <name val="Arial"/>
      <family val="2"/>
    </font>
    <font>
      <b/>
      <sz val="12"/>
      <color theme="0"/>
      <name val="Arial"/>
      <family val="2"/>
    </font>
    <font>
      <b/>
      <sz val="12"/>
      <color rgb="FF00B050"/>
      <name val="Arial"/>
      <family val="2"/>
    </font>
    <font>
      <sz val="20"/>
      <color theme="1"/>
      <name val="Calibri"/>
      <family val="2"/>
      <scheme val="minor"/>
    </font>
    <font>
      <sz val="16"/>
      <color rgb="FF00B050"/>
      <name val="Arial"/>
      <family val="2"/>
    </font>
    <font>
      <sz val="16"/>
      <color theme="1"/>
      <name val="Arial"/>
      <family val="2"/>
    </font>
    <font>
      <sz val="16"/>
      <name val="Arial"/>
      <family val="2"/>
    </font>
    <font>
      <sz val="14"/>
      <name val="Calibri"/>
      <family val="2"/>
      <scheme val="minor"/>
    </font>
    <font>
      <b/>
      <sz val="14"/>
      <color theme="1"/>
      <name val="Arial"/>
      <family val="2"/>
    </font>
    <font>
      <sz val="14"/>
      <color theme="1"/>
      <name val="Arial"/>
      <family val="2"/>
    </font>
    <font>
      <b/>
      <sz val="16"/>
      <color theme="1"/>
      <name val="Arial"/>
      <family val="2"/>
    </font>
    <font>
      <b/>
      <sz val="14"/>
      <color theme="1"/>
      <name val="Calibri"/>
      <family val="2"/>
      <scheme val="minor"/>
    </font>
    <font>
      <b/>
      <sz val="12"/>
      <name val="Arial"/>
      <family val="2"/>
    </font>
    <font>
      <b/>
      <sz val="14"/>
      <name val="Arial"/>
      <family val="2"/>
    </font>
    <font>
      <b/>
      <sz val="14"/>
      <color rgb="FF00B050"/>
      <name val="Arial"/>
      <family val="2"/>
    </font>
    <font>
      <b/>
      <sz val="11"/>
      <color theme="0"/>
      <name val="Arial"/>
      <family val="2"/>
    </font>
    <font>
      <b/>
      <sz val="14"/>
      <color theme="0"/>
      <name val="Arial"/>
      <family val="2"/>
    </font>
    <font>
      <sz val="16"/>
      <color theme="0"/>
      <name val="Arial"/>
      <family val="2"/>
    </font>
    <font>
      <b/>
      <sz val="12"/>
      <color theme="1"/>
      <name val="Calibri"/>
      <family val="2"/>
      <scheme val="minor"/>
    </font>
    <font>
      <sz val="11"/>
      <color rgb="FF00B050"/>
      <name val="Calibri"/>
      <family val="2"/>
      <scheme val="minor"/>
    </font>
    <font>
      <b/>
      <sz val="11"/>
      <color theme="3"/>
      <name val="Calibri"/>
      <family val="2"/>
      <scheme val="minor"/>
    </font>
    <font>
      <b/>
      <sz val="11"/>
      <color rgb="FFFF0000"/>
      <name val="Calibri"/>
      <family val="2"/>
      <scheme val="minor"/>
    </font>
    <font>
      <b/>
      <sz val="11"/>
      <color rgb="FFFF0000"/>
      <name val="Arial"/>
      <family val="2"/>
    </font>
    <font>
      <b/>
      <i/>
      <sz val="11"/>
      <color theme="1"/>
      <name val="Arial"/>
      <family val="2"/>
    </font>
    <font>
      <b/>
      <sz val="11"/>
      <color theme="7"/>
      <name val="Arial"/>
      <family val="2"/>
    </font>
    <font>
      <b/>
      <i/>
      <sz val="11"/>
      <color theme="0"/>
      <name val="Arial"/>
      <family val="2"/>
    </font>
    <font>
      <b/>
      <sz val="14"/>
      <color theme="0"/>
      <name val="Calibri"/>
      <family val="2"/>
      <scheme val="minor"/>
    </font>
    <font>
      <b/>
      <sz val="10"/>
      <color theme="0"/>
      <name val="Arial"/>
      <family val="2"/>
    </font>
    <font>
      <sz val="10"/>
      <color indexed="8"/>
      <name val="Arial Black"/>
      <family val="2"/>
    </font>
    <font>
      <b/>
      <sz val="11"/>
      <color indexed="8"/>
      <name val="Arial Black"/>
      <family val="2"/>
    </font>
    <font>
      <b/>
      <sz val="14"/>
      <color theme="0"/>
      <name val="Arial Black"/>
      <family val="2"/>
    </font>
    <font>
      <sz val="8"/>
      <color rgb="FFFF66FF"/>
      <name val="Arial"/>
      <family val="2"/>
    </font>
    <font>
      <b/>
      <sz val="8"/>
      <color theme="0"/>
      <name val="Arial"/>
      <family val="2"/>
    </font>
    <font>
      <b/>
      <sz val="9"/>
      <color theme="0"/>
      <name val="Arial"/>
      <family val="2"/>
    </font>
    <font>
      <b/>
      <sz val="11"/>
      <color rgb="FFFF66FF"/>
      <name val="Calibri"/>
      <family val="2"/>
      <scheme val="minor"/>
    </font>
    <font>
      <b/>
      <sz val="11"/>
      <color theme="9"/>
      <name val="Calibri"/>
      <family val="2"/>
      <scheme val="minor"/>
    </font>
    <font>
      <b/>
      <sz val="8"/>
      <name val="Arial"/>
      <family val="2"/>
    </font>
    <font>
      <b/>
      <sz val="8"/>
      <color theme="9"/>
      <name val="Arial"/>
      <family val="2"/>
    </font>
    <font>
      <sz val="11"/>
      <color rgb="FFFF66FF"/>
      <name val="Calibri"/>
      <family val="2"/>
      <scheme val="minor"/>
    </font>
    <font>
      <b/>
      <sz val="11"/>
      <color rgb="FF0070C0"/>
      <name val="Calibri"/>
      <family val="2"/>
    </font>
    <font>
      <sz val="9"/>
      <name val="Calibri"/>
      <family val="2"/>
      <scheme val="minor"/>
    </font>
    <font>
      <sz val="9"/>
      <name val="Calibri"/>
      <family val="2"/>
    </font>
    <font>
      <sz val="11"/>
      <color theme="9"/>
      <name val="Calibri"/>
      <family val="2"/>
      <scheme val="minor"/>
    </font>
    <font>
      <sz val="11"/>
      <color theme="1"/>
      <name val="Calibri"/>
      <family val="2"/>
    </font>
    <font>
      <b/>
      <sz val="11"/>
      <color theme="7"/>
      <name val="Calibri"/>
      <family val="2"/>
      <scheme val="minor"/>
    </font>
    <font>
      <b/>
      <sz val="11"/>
      <name val="Calibri"/>
      <family val="2"/>
      <scheme val="minor"/>
    </font>
    <font>
      <sz val="11"/>
      <color theme="5"/>
      <name val="Calibri"/>
      <family val="2"/>
    </font>
    <font>
      <sz val="11"/>
      <color theme="7"/>
      <name val="Calibri"/>
      <family val="2"/>
      <scheme val="minor"/>
    </font>
    <font>
      <b/>
      <sz val="11"/>
      <color theme="7" tint="-0.249977111117893"/>
      <name val="Calibri"/>
      <family val="2"/>
      <scheme val="minor"/>
    </font>
    <font>
      <b/>
      <sz val="11"/>
      <name val="Calibri"/>
      <family val="2"/>
    </font>
    <font>
      <b/>
      <sz val="11"/>
      <color theme="1"/>
      <name val="Calibri"/>
      <family val="2"/>
    </font>
    <font>
      <sz val="20"/>
      <color theme="0"/>
      <name val="Broadway"/>
      <family val="5"/>
    </font>
    <font>
      <b/>
      <sz val="12"/>
      <color theme="0"/>
      <name val="Calibri"/>
      <family val="2"/>
      <scheme val="minor"/>
    </font>
    <font>
      <b/>
      <sz val="10"/>
      <color theme="1"/>
      <name val="Calibri"/>
      <family val="2"/>
      <scheme val="minor"/>
    </font>
    <font>
      <sz val="20"/>
      <color theme="0"/>
      <name val="Arial Rounded MT Bold"/>
      <family val="2"/>
    </font>
    <font>
      <b/>
      <sz val="18"/>
      <color theme="7"/>
      <name val="Calibri"/>
      <family val="2"/>
      <scheme val="minor"/>
    </font>
    <font>
      <sz val="11"/>
      <color theme="5"/>
      <name val="Calibri"/>
      <family val="2"/>
      <scheme val="minor"/>
    </font>
    <font>
      <sz val="10"/>
      <color theme="1"/>
      <name val="Calibri"/>
      <family val="2"/>
      <scheme val="minor"/>
    </font>
    <font>
      <sz val="11"/>
      <color theme="0"/>
      <name val="Calibri"/>
      <family val="2"/>
      <scheme val="minor"/>
    </font>
    <font>
      <b/>
      <sz val="16"/>
      <color theme="0"/>
      <name val="Arial"/>
      <family val="2"/>
    </font>
    <font>
      <u/>
      <sz val="11"/>
      <color theme="10"/>
      <name val="Calibri"/>
      <family val="2"/>
      <scheme val="minor"/>
    </font>
    <font>
      <b/>
      <strike/>
      <sz val="10"/>
      <color theme="1"/>
      <name val="Arial"/>
      <family val="2"/>
    </font>
    <font>
      <b/>
      <strike/>
      <sz val="10"/>
      <name val="Arial"/>
      <family val="2"/>
    </font>
    <font>
      <b/>
      <sz val="10"/>
      <color theme="0" tint="-0.499984740745262"/>
      <name val="Arial"/>
      <family val="2"/>
    </font>
    <font>
      <b/>
      <sz val="10"/>
      <color rgb="FFC00000"/>
      <name val="Arial"/>
      <family val="2"/>
    </font>
    <font>
      <b/>
      <sz val="12"/>
      <color rgb="FF000000"/>
      <name val="Arial"/>
      <family val="2"/>
    </font>
    <font>
      <b/>
      <sz val="8"/>
      <color rgb="FF0070C0"/>
      <name val="Arial"/>
      <family val="2"/>
    </font>
    <font>
      <b/>
      <sz val="11"/>
      <color rgb="FF00B050"/>
      <name val="Calibri"/>
      <family val="2"/>
      <scheme val="minor"/>
    </font>
    <font>
      <sz val="8"/>
      <color rgb="FF339933"/>
      <name val="Arial"/>
      <family val="2"/>
    </font>
    <font>
      <sz val="16"/>
      <name val="Calibri"/>
      <family val="2"/>
      <scheme val="minor"/>
    </font>
    <font>
      <sz val="22"/>
      <color theme="1"/>
      <name val="Calibri"/>
      <family val="2"/>
      <scheme val="minor"/>
    </font>
    <font>
      <sz val="18"/>
      <color theme="1"/>
      <name val="Calibri"/>
      <family val="2"/>
      <scheme val="minor"/>
    </font>
    <font>
      <b/>
      <sz val="10"/>
      <color rgb="FFFF0000"/>
      <name val="Arial"/>
      <family val="2"/>
    </font>
    <font>
      <sz val="28"/>
      <color theme="1"/>
      <name val="Calibri"/>
      <family val="2"/>
      <scheme val="minor"/>
    </font>
    <font>
      <b/>
      <sz val="16"/>
      <color theme="1"/>
      <name val="Calibri"/>
      <family val="2"/>
      <scheme val="minor"/>
    </font>
    <font>
      <sz val="16"/>
      <color theme="1"/>
      <name val="Calibri"/>
      <family val="2"/>
      <scheme val="minor"/>
    </font>
    <font>
      <sz val="16"/>
      <color theme="1"/>
      <name val="Calibri"/>
      <family val="2"/>
    </font>
    <font>
      <b/>
      <sz val="20"/>
      <color theme="1"/>
      <name val="Calibri"/>
      <family val="2"/>
    </font>
    <font>
      <sz val="14"/>
      <color theme="1"/>
      <name val="Calibri"/>
      <family val="2"/>
    </font>
    <font>
      <b/>
      <sz val="16"/>
      <color theme="1"/>
      <name val="Calibri"/>
      <family val="2"/>
    </font>
    <font>
      <b/>
      <sz val="22"/>
      <color theme="9"/>
      <name val="Calibri"/>
      <family val="2"/>
    </font>
    <font>
      <sz val="26"/>
      <color theme="9"/>
      <name val="Calibri"/>
      <family val="2"/>
    </font>
    <font>
      <sz val="24"/>
      <color theme="9"/>
      <name val="Calibri"/>
      <family val="2"/>
    </font>
    <font>
      <b/>
      <sz val="24"/>
      <color theme="9"/>
      <name val="Calibri"/>
      <family val="2"/>
    </font>
    <font>
      <sz val="18"/>
      <color theme="0"/>
      <name val="Calibri"/>
      <family val="2"/>
      <scheme val="minor"/>
    </font>
    <font>
      <b/>
      <sz val="11"/>
      <color rgb="FFFF00FF"/>
      <name val="Calibri"/>
      <family val="2"/>
      <scheme val="minor"/>
    </font>
    <font>
      <sz val="11"/>
      <color rgb="FFFF00FF"/>
      <name val="Arial"/>
      <family val="2"/>
    </font>
    <font>
      <b/>
      <sz val="10"/>
      <color rgb="FFFF00FF"/>
      <name val="Arial"/>
      <family val="2"/>
    </font>
    <font>
      <b/>
      <u/>
      <sz val="11"/>
      <color theme="1"/>
      <name val="Calibri"/>
      <family val="2"/>
      <scheme val="minor"/>
    </font>
    <font>
      <sz val="11"/>
      <color theme="0" tint="-0.499984740745262"/>
      <name val="Calibri"/>
      <family val="2"/>
      <scheme val="minor"/>
    </font>
    <font>
      <sz val="11"/>
      <color theme="0" tint="-0.34998626667073579"/>
      <name val="Calibri"/>
      <family val="2"/>
      <scheme val="minor"/>
    </font>
    <font>
      <sz val="11"/>
      <color theme="0" tint="-0.249977111117893"/>
      <name val="Calibri"/>
      <family val="2"/>
      <scheme val="minor"/>
    </font>
    <font>
      <b/>
      <i/>
      <sz val="11"/>
      <color theme="0"/>
      <name val="Calibri"/>
      <family val="2"/>
      <scheme val="minor"/>
    </font>
    <font>
      <b/>
      <i/>
      <sz val="12"/>
      <color theme="0"/>
      <name val="Arial"/>
      <family val="2"/>
    </font>
    <font>
      <b/>
      <i/>
      <sz val="14"/>
      <color theme="0"/>
      <name val="Calibri"/>
      <family val="2"/>
      <scheme val="minor"/>
    </font>
    <font>
      <b/>
      <i/>
      <sz val="14"/>
      <color theme="0"/>
      <name val="Arial"/>
      <family val="2"/>
    </font>
    <font>
      <sz val="11"/>
      <color theme="0"/>
      <name val="Arial"/>
      <family val="2"/>
    </font>
    <font>
      <b/>
      <sz val="16"/>
      <color theme="0"/>
      <name val="Calibri"/>
      <family val="2"/>
      <scheme val="minor"/>
    </font>
    <font>
      <b/>
      <sz val="18"/>
      <color theme="0"/>
      <name val="Calibri"/>
      <family val="2"/>
      <scheme val="minor"/>
    </font>
    <font>
      <vertAlign val="superscript"/>
      <sz val="11"/>
      <color theme="1"/>
      <name val="Calibri"/>
      <family val="2"/>
      <scheme val="minor"/>
    </font>
    <font>
      <b/>
      <vertAlign val="superscript"/>
      <sz val="11"/>
      <color theme="1"/>
      <name val="Calibri"/>
      <family val="2"/>
      <scheme val="minor"/>
    </font>
    <font>
      <b/>
      <i/>
      <sz val="10"/>
      <color theme="1"/>
      <name val="Calibri"/>
      <family val="2"/>
      <scheme val="minor"/>
    </font>
    <font>
      <vertAlign val="superscript"/>
      <sz val="11"/>
      <name val="Calibri"/>
      <family val="2"/>
      <scheme val="minor"/>
    </font>
    <font>
      <sz val="14"/>
      <color theme="0"/>
      <name val="Arial"/>
      <family val="2"/>
    </font>
    <font>
      <b/>
      <sz val="18"/>
      <color theme="0"/>
      <name val="Arial"/>
      <family val="2"/>
    </font>
    <font>
      <b/>
      <sz val="12"/>
      <name val="Calibri"/>
      <family val="2"/>
      <scheme val="minor"/>
    </font>
    <font>
      <b/>
      <sz val="11"/>
      <color theme="8"/>
      <name val="Calibri"/>
      <family val="2"/>
      <scheme val="minor"/>
    </font>
    <font>
      <b/>
      <sz val="11"/>
      <color rgb="FF7030A0"/>
      <name val="Calibri"/>
      <family val="2"/>
      <scheme val="minor"/>
    </font>
    <font>
      <sz val="12"/>
      <color theme="1"/>
      <name val="Calibri"/>
      <family val="2"/>
    </font>
    <font>
      <b/>
      <sz val="14"/>
      <color theme="7"/>
      <name val="Calibri"/>
      <family val="2"/>
      <scheme val="minor"/>
    </font>
    <font>
      <sz val="22"/>
      <color theme="0"/>
      <name val="Arial Rounded MT Bold"/>
      <family val="2"/>
    </font>
    <font>
      <b/>
      <sz val="16"/>
      <color theme="7"/>
      <name val="Calibri"/>
      <family val="2"/>
      <scheme val="minor"/>
    </font>
    <font>
      <sz val="14"/>
      <color theme="5"/>
      <name val="Calibri"/>
      <family val="2"/>
      <scheme val="minor"/>
    </font>
    <font>
      <b/>
      <sz val="11"/>
      <color theme="0"/>
      <name val="Calibri"/>
      <family val="2"/>
    </font>
    <font>
      <b/>
      <sz val="11"/>
      <color rgb="FF00863D"/>
      <name val="Calibri"/>
      <family val="2"/>
    </font>
    <font>
      <b/>
      <sz val="12"/>
      <color rgb="FFFF0000"/>
      <name val="Arial"/>
      <family val="2"/>
    </font>
    <font>
      <b/>
      <sz val="8"/>
      <color rgb="FFFF0000"/>
      <name val="Arial"/>
      <family val="2"/>
    </font>
    <font>
      <sz val="16"/>
      <color theme="0"/>
      <name val="Calibri"/>
      <family val="2"/>
      <scheme val="minor"/>
    </font>
    <font>
      <sz val="14"/>
      <color rgb="FF669900"/>
      <name val="Arial Rounded MT Bold"/>
      <family val="2"/>
    </font>
    <font>
      <b/>
      <sz val="14"/>
      <color rgb="FF669900"/>
      <name val="Calibri"/>
      <family val="2"/>
      <scheme val="minor"/>
    </font>
    <font>
      <u/>
      <sz val="9"/>
      <color indexed="81"/>
      <name val="Tahoma"/>
      <family val="2"/>
    </font>
    <font>
      <b/>
      <sz val="8"/>
      <color theme="5"/>
      <name val="Arial"/>
      <family val="2"/>
    </font>
    <font>
      <sz val="9"/>
      <color theme="5"/>
      <name val="Calibri"/>
      <family val="2"/>
      <scheme val="minor"/>
    </font>
    <font>
      <b/>
      <sz val="8"/>
      <color rgb="FF339933"/>
      <name val="Arial"/>
      <family val="2"/>
    </font>
    <font>
      <sz val="9"/>
      <color rgb="FFFF0000"/>
      <name val="Calibri"/>
      <family val="2"/>
      <scheme val="minor"/>
    </font>
  </fonts>
  <fills count="85">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22"/>
        <bgColor indexed="0"/>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bgColor indexed="64"/>
      </patternFill>
    </fill>
    <fill>
      <patternFill patternType="solid">
        <fgColor rgb="FFFFC000"/>
        <bgColor indexed="64"/>
      </patternFill>
    </fill>
    <fill>
      <patternFill patternType="solid">
        <fgColor indexed="50"/>
        <bgColor indexed="64"/>
      </patternFill>
    </fill>
    <fill>
      <patternFill patternType="solid">
        <fgColor indexed="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indexed="57"/>
        <bgColor indexed="64"/>
      </patternFill>
    </fill>
    <fill>
      <patternFill patternType="solid">
        <fgColor indexed="47"/>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FFFF66"/>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bgColor indexed="64"/>
      </patternFill>
    </fill>
    <fill>
      <patternFill patternType="solid">
        <fgColor rgb="FFEDCEA1"/>
        <bgColor indexed="64"/>
      </patternFill>
    </fill>
    <fill>
      <patternFill patternType="solid">
        <fgColor theme="6" tint="-0.499984740745262"/>
        <bgColor indexed="64"/>
      </patternFill>
    </fill>
    <fill>
      <patternFill patternType="solid">
        <fgColor rgb="FFFFFF99"/>
        <bgColor indexed="64"/>
      </patternFill>
    </fill>
    <fill>
      <patternFill patternType="solid">
        <fgColor rgb="FFFFFFCC"/>
        <bgColor indexed="64"/>
      </patternFill>
    </fill>
    <fill>
      <patternFill patternType="solid">
        <fgColor theme="6" tint="-0.249977111117893"/>
        <bgColor indexed="64"/>
      </patternFill>
    </fill>
    <fill>
      <patternFill patternType="solid">
        <fgColor rgb="FF00CC66"/>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
      <patternFill patternType="solid">
        <fgColor rgb="FF00FFFF"/>
        <bgColor indexed="64"/>
      </patternFill>
    </fill>
    <fill>
      <patternFill patternType="solid">
        <fgColor theme="0" tint="-0.14999847407452621"/>
        <bgColor indexed="0"/>
      </patternFill>
    </fill>
    <fill>
      <patternFill patternType="solid">
        <fgColor theme="0" tint="-0.499984740745262"/>
        <bgColor indexed="0"/>
      </patternFill>
    </fill>
    <fill>
      <patternFill patternType="solid">
        <fgColor rgb="FF66FF66"/>
        <bgColor indexed="64"/>
      </patternFill>
    </fill>
    <fill>
      <patternFill patternType="solid">
        <fgColor rgb="FFFF99CC"/>
        <bgColor indexed="64"/>
      </patternFill>
    </fill>
    <fill>
      <patternFill patternType="solid">
        <fgColor theme="8"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2"/>
        <bgColor indexed="64"/>
      </patternFill>
    </fill>
    <fill>
      <patternFill patternType="solid">
        <fgColor rgb="FFCCFFCC"/>
        <bgColor indexed="64"/>
      </patternFill>
    </fill>
    <fill>
      <patternFill patternType="solid">
        <fgColor rgb="FF00CC99"/>
        <bgColor indexed="64"/>
      </patternFill>
    </fill>
    <fill>
      <patternFill patternType="solid">
        <fgColor rgb="FF339933"/>
        <bgColor indexed="64"/>
      </patternFill>
    </fill>
    <fill>
      <patternFill patternType="solid">
        <fgColor rgb="FFCCCCFF"/>
        <bgColor indexed="64"/>
      </patternFill>
    </fill>
    <fill>
      <patternFill patternType="solid">
        <fgColor rgb="FFCC99FF"/>
        <bgColor indexed="64"/>
      </patternFill>
    </fill>
    <fill>
      <patternFill patternType="solid">
        <fgColor rgb="FFCC66FF"/>
        <bgColor indexed="64"/>
      </patternFill>
    </fill>
    <fill>
      <patternFill patternType="solid">
        <fgColor theme="1" tint="0.499984740745262"/>
        <bgColor indexed="64"/>
      </patternFill>
    </fill>
    <fill>
      <patternFill patternType="solid">
        <fgColor theme="7"/>
        <bgColor indexed="64"/>
      </patternFill>
    </fill>
    <fill>
      <patternFill patternType="solid">
        <fgColor theme="3"/>
        <bgColor indexed="64"/>
      </patternFill>
    </fill>
    <fill>
      <patternFill patternType="solid">
        <fgColor theme="9" tint="-0.499984740745262"/>
        <bgColor indexed="64"/>
      </patternFill>
    </fill>
    <fill>
      <patternFill patternType="solid">
        <fgColor rgb="FF99FF99"/>
        <bgColor indexed="64"/>
      </patternFill>
    </fill>
    <fill>
      <patternFill patternType="solid">
        <fgColor rgb="FF00863D"/>
        <bgColor indexed="64"/>
      </patternFill>
    </fill>
    <fill>
      <patternFill patternType="solid">
        <fgColor theme="5" tint="-0.249977111117893"/>
        <bgColor indexed="64"/>
      </patternFill>
    </fill>
    <fill>
      <patternFill patternType="solid">
        <fgColor rgb="FF669900"/>
        <bgColor indexed="64"/>
      </patternFill>
    </fill>
    <fill>
      <patternFill patternType="solid">
        <fgColor rgb="FFD5FFEA"/>
        <bgColor indexed="64"/>
      </patternFill>
    </fill>
    <fill>
      <patternFill patternType="solid">
        <fgColor rgb="FF66CC99"/>
        <bgColor indexed="64"/>
      </patternFill>
    </fill>
    <fill>
      <patternFill patternType="solid">
        <fgColor rgb="FF26AC59"/>
        <bgColor indexed="64"/>
      </patternFill>
    </fill>
    <fill>
      <patternFill patternType="solid">
        <fgColor theme="8" tint="0.79998168889431442"/>
        <bgColor indexed="64"/>
      </patternFill>
    </fill>
    <fill>
      <patternFill patternType="solid">
        <fgColor theme="2" tint="-0.749992370372631"/>
        <bgColor indexed="64"/>
      </patternFill>
    </fill>
    <fill>
      <patternFill patternType="solid">
        <fgColor rgb="FF99FFCC"/>
        <bgColor indexed="64"/>
      </patternFill>
    </fill>
    <fill>
      <patternFill patternType="solid">
        <fgColor theme="4"/>
        <bgColor indexed="0"/>
      </patternFill>
    </fill>
    <fill>
      <patternFill patternType="solid">
        <fgColor theme="4" tint="-0.249977111117893"/>
        <bgColor indexed="64"/>
      </patternFill>
    </fill>
  </fills>
  <borders count="23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hair">
        <color indexed="17"/>
      </left>
      <right style="hair">
        <color indexed="17"/>
      </right>
      <top style="hair">
        <color indexed="17"/>
      </top>
      <bottom style="hair">
        <color indexed="17"/>
      </bottom>
      <diagonal/>
    </border>
    <border>
      <left style="hair">
        <color indexed="17"/>
      </left>
      <right style="hair">
        <color indexed="17"/>
      </right>
      <top style="thin">
        <color indexed="64"/>
      </top>
      <bottom style="hair">
        <color indexed="1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22"/>
      </left>
      <right style="thin">
        <color indexed="22"/>
      </right>
      <top/>
      <bottom style="thin">
        <color indexed="22"/>
      </bottom>
      <diagonal/>
    </border>
    <border>
      <left style="thin">
        <color indexed="64"/>
      </left>
      <right/>
      <top/>
      <bottom style="thin">
        <color indexed="64"/>
      </bottom>
      <diagonal/>
    </border>
    <border>
      <left style="hair">
        <color indexed="17"/>
      </left>
      <right/>
      <top style="hair">
        <color indexed="17"/>
      </top>
      <bottom style="hair">
        <color indexed="17"/>
      </bottom>
      <diagonal/>
    </border>
    <border>
      <left/>
      <right style="thin">
        <color indexed="64"/>
      </right>
      <top/>
      <bottom/>
      <diagonal/>
    </border>
    <border>
      <left style="medium">
        <color indexed="64"/>
      </left>
      <right style="thin">
        <color indexed="64"/>
      </right>
      <top/>
      <bottom/>
      <diagonal/>
    </border>
    <border>
      <left style="thin">
        <color indexed="64"/>
      </left>
      <right/>
      <top/>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style="thin">
        <color indexed="64"/>
      </right>
      <top/>
      <bottom/>
      <diagonal/>
    </border>
    <border>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hair">
        <color indexed="55"/>
      </right>
      <top style="thin">
        <color indexed="64"/>
      </top>
      <bottom style="hair">
        <color indexed="55"/>
      </bottom>
      <diagonal/>
    </border>
    <border>
      <left style="hair">
        <color indexed="55"/>
      </left>
      <right style="hair">
        <color indexed="55"/>
      </right>
      <top style="thin">
        <color indexed="64"/>
      </top>
      <bottom style="hair">
        <color indexed="55"/>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hair">
        <color indexed="55"/>
      </right>
      <top style="hair">
        <color indexed="55"/>
      </top>
      <bottom style="hair">
        <color indexed="55"/>
      </bottom>
      <diagonal/>
    </border>
    <border>
      <left style="hair">
        <color indexed="55"/>
      </left>
      <right style="hair">
        <color indexed="55"/>
      </right>
      <top style="hair">
        <color indexed="55"/>
      </top>
      <bottom style="hair">
        <color indexed="55"/>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55"/>
      </right>
      <top style="hair">
        <color indexed="55"/>
      </top>
      <bottom style="thin">
        <color indexed="64"/>
      </bottom>
      <diagonal/>
    </border>
    <border>
      <left style="hair">
        <color indexed="55"/>
      </left>
      <right style="hair">
        <color indexed="55"/>
      </right>
      <top style="hair">
        <color indexed="55"/>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style="thin">
        <color indexed="64"/>
      </right>
      <top style="hair">
        <color indexed="22"/>
      </top>
      <bottom style="thin">
        <color indexed="64"/>
      </bottom>
      <diagonal/>
    </border>
    <border>
      <left style="hair">
        <color rgb="FFC0C0C0"/>
      </left>
      <right style="thin">
        <color indexed="64"/>
      </right>
      <top/>
      <bottom style="hair">
        <color rgb="FFC0C0C0"/>
      </bottom>
      <diagonal/>
    </border>
    <border>
      <left style="hair">
        <color rgb="FFC0C0C0"/>
      </left>
      <right style="thin">
        <color indexed="64"/>
      </right>
      <top style="hair">
        <color rgb="FFC0C0C0"/>
      </top>
      <bottom style="thin">
        <color indexed="64"/>
      </bottom>
      <diagonal/>
    </border>
    <border>
      <left style="thin">
        <color indexed="64"/>
      </left>
      <right style="thin">
        <color indexed="64"/>
      </right>
      <top/>
      <bottom style="hair">
        <color indexed="22"/>
      </bottom>
      <diagonal/>
    </border>
    <border>
      <left style="hair">
        <color indexed="22"/>
      </left>
      <right style="thin">
        <color indexed="64"/>
      </right>
      <top/>
      <bottom style="thin">
        <color indexed="64"/>
      </bottom>
      <diagonal/>
    </border>
    <border>
      <left/>
      <right style="thin">
        <color indexed="64"/>
      </right>
      <top/>
      <bottom style="hair">
        <color rgb="FFC0C0C0"/>
      </bottom>
      <diagonal/>
    </border>
    <border>
      <left/>
      <right style="thin">
        <color indexed="64"/>
      </right>
      <top style="hair">
        <color rgb="FFC0C0C0"/>
      </top>
      <bottom style="thin">
        <color indexed="64"/>
      </bottom>
      <diagonal/>
    </border>
    <border>
      <left style="thin">
        <color indexed="64"/>
      </left>
      <right style="thin">
        <color indexed="64"/>
      </right>
      <top style="thin">
        <color indexed="64"/>
      </top>
      <bottom style="hair">
        <color rgb="FFC0C0C0"/>
      </bottom>
      <diagonal/>
    </border>
    <border>
      <left style="thin">
        <color indexed="64"/>
      </left>
      <right/>
      <top style="thin">
        <color indexed="64"/>
      </top>
      <bottom/>
      <diagonal/>
    </border>
    <border>
      <left style="hair">
        <color indexed="55"/>
      </left>
      <right/>
      <top style="thin">
        <color indexed="64"/>
      </top>
      <bottom style="hair">
        <color indexed="55"/>
      </bottom>
      <diagonal/>
    </border>
    <border>
      <left style="hair">
        <color indexed="55"/>
      </left>
      <right/>
      <top style="hair">
        <color indexed="55"/>
      </top>
      <bottom style="hair">
        <color indexed="55"/>
      </bottom>
      <diagonal/>
    </border>
    <border>
      <left style="hair">
        <color indexed="55"/>
      </left>
      <right/>
      <top style="hair">
        <color indexed="55"/>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style="thin">
        <color indexed="22"/>
      </bottom>
      <diagonal/>
    </border>
    <border>
      <left/>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style="thin">
        <color rgb="FF000000"/>
      </top>
      <bottom style="thin">
        <color indexed="64"/>
      </bottom>
      <diagonal/>
    </border>
    <border>
      <left style="thin">
        <color rgb="FF000000"/>
      </left>
      <right/>
      <top style="thin">
        <color rgb="FF000000"/>
      </top>
      <bottom/>
      <diagonal/>
    </border>
    <border>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diagonal/>
    </border>
    <border>
      <left/>
      <right style="thin">
        <color indexed="64"/>
      </right>
      <top style="thin">
        <color indexed="64"/>
      </top>
      <bottom/>
      <diagonal/>
    </border>
    <border>
      <left/>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indexed="64"/>
      </left>
      <right style="thin">
        <color theme="0" tint="-0.24994659260841701"/>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n">
        <color indexed="64"/>
      </left>
      <right style="thin">
        <color theme="0" tint="-0.24994659260841701"/>
      </right>
      <top style="thin">
        <color theme="0" tint="-0.24994659260841701"/>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medium">
        <color indexed="64"/>
      </left>
      <right style="thin">
        <color indexed="64"/>
      </right>
      <top style="thin">
        <color indexed="64"/>
      </top>
      <bottom/>
      <diagonal/>
    </border>
    <border>
      <left/>
      <right/>
      <top style="thin">
        <color theme="0"/>
      </top>
      <bottom style="thin">
        <color theme="0"/>
      </bottom>
      <diagonal/>
    </border>
    <border>
      <left style="thin">
        <color theme="0"/>
      </left>
      <right/>
      <top/>
      <bottom/>
      <diagonal/>
    </border>
    <border>
      <left style="thin">
        <color indexed="8"/>
      </left>
      <right/>
      <top style="thin">
        <color indexed="8"/>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thin">
        <color theme="0"/>
      </left>
      <right/>
      <top/>
      <bottom style="thin">
        <color theme="0"/>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bottom style="thin">
        <color indexed="64"/>
      </bottom>
      <diagonal/>
    </border>
  </borders>
  <cellStyleXfs count="13">
    <xf numFmtId="0" fontId="0" fillId="0" borderId="0"/>
    <xf numFmtId="167" fontId="7" fillId="0" borderId="0" applyFont="0" applyFill="0" applyBorder="0" applyAlignment="0" applyProtection="0"/>
    <xf numFmtId="0" fontId="16" fillId="0" borderId="0"/>
    <xf numFmtId="0" fontId="22" fillId="0" borderId="0" applyNumberFormat="0" applyFill="0" applyBorder="0" applyAlignment="0" applyProtection="0">
      <alignment vertical="top"/>
      <protection locked="0"/>
    </xf>
    <xf numFmtId="9" fontId="73" fillId="0" borderId="0" applyFont="0" applyFill="0" applyBorder="0" applyAlignment="0" applyProtection="0"/>
    <xf numFmtId="0" fontId="57" fillId="0" borderId="0"/>
    <xf numFmtId="0" fontId="57" fillId="0" borderId="0"/>
    <xf numFmtId="0" fontId="57" fillId="0" borderId="0"/>
    <xf numFmtId="0" fontId="148" fillId="0" borderId="0" applyNumberFormat="0" applyFill="0" applyBorder="0" applyAlignment="0" applyProtection="0"/>
    <xf numFmtId="165" fontId="73" fillId="0" borderId="0" applyFont="0" applyFill="0" applyBorder="0" applyAlignment="0" applyProtection="0"/>
    <xf numFmtId="0" fontId="57" fillId="0" borderId="0"/>
    <xf numFmtId="0" fontId="57" fillId="0" borderId="0"/>
    <xf numFmtId="164" fontId="73" fillId="0" borderId="0" applyFont="0" applyFill="0" applyBorder="0" applyAlignment="0" applyProtection="0"/>
  </cellStyleXfs>
  <cellXfs count="5031">
    <xf numFmtId="0" fontId="0" fillId="0" borderId="0" xfId="0"/>
    <xf numFmtId="0" fontId="0" fillId="0" borderId="0" xfId="0" applyAlignment="1"/>
    <xf numFmtId="166" fontId="0" fillId="0" borderId="0" xfId="0" applyNumberFormat="1" applyAlignment="1"/>
    <xf numFmtId="0" fontId="0" fillId="0" borderId="0" xfId="0" applyFill="1" applyBorder="1" applyAlignment="1">
      <alignment horizontal="left" vertical="center"/>
    </xf>
    <xf numFmtId="166" fontId="0" fillId="0" borderId="0" xfId="0" applyNumberFormat="1" applyFill="1" applyBorder="1" applyAlignment="1">
      <alignment horizontal="center"/>
    </xf>
    <xf numFmtId="0" fontId="0" fillId="0" borderId="0" xfId="0" applyAlignment="1">
      <alignment horizontal="left" vertical="center"/>
    </xf>
    <xf numFmtId="166" fontId="0" fillId="0" borderId="1" xfId="0" applyNumberFormat="1" applyBorder="1" applyAlignment="1"/>
    <xf numFmtId="0" fontId="0" fillId="0" borderId="1" xfId="0" applyBorder="1" applyAlignment="1"/>
    <xf numFmtId="166" fontId="0" fillId="0" borderId="1" xfId="0" applyNumberFormat="1" applyFill="1" applyBorder="1" applyAlignment="1"/>
    <xf numFmtId="0" fontId="1" fillId="0" borderId="1" xfId="0" applyFont="1" applyBorder="1"/>
    <xf numFmtId="0" fontId="0" fillId="0" borderId="1" xfId="0" applyBorder="1"/>
    <xf numFmtId="0" fontId="0" fillId="0" borderId="1" xfId="0" applyFill="1" applyBorder="1" applyAlignment="1">
      <alignment horizontal="left" vertical="center" wrapText="1"/>
    </xf>
    <xf numFmtId="0" fontId="0" fillId="0" borderId="1" xfId="0" applyFill="1" applyBorder="1"/>
    <xf numFmtId="166" fontId="0" fillId="0" borderId="0" xfId="0" applyNumberForma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Fill="1" applyBorder="1"/>
    <xf numFmtId="0" fontId="1" fillId="0" borderId="0" xfId="0" applyFont="1" applyFill="1" applyBorder="1" applyAlignment="1">
      <alignment horizontal="center" vertical="center"/>
    </xf>
    <xf numFmtId="0" fontId="0" fillId="0" borderId="19" xfId="0" applyBorder="1"/>
    <xf numFmtId="0" fontId="0" fillId="0" borderId="0" xfId="0" applyBorder="1"/>
    <xf numFmtId="0" fontId="0" fillId="0" borderId="17" xfId="0" applyBorder="1"/>
    <xf numFmtId="0" fontId="5" fillId="0" borderId="0" xfId="0" applyFont="1" applyFill="1" applyAlignment="1">
      <alignment horizontal="left" wrapText="1"/>
    </xf>
    <xf numFmtId="0" fontId="0" fillId="0" borderId="0" xfId="0" applyFill="1"/>
    <xf numFmtId="0" fontId="0" fillId="0" borderId="0" xfId="0" applyFill="1" applyAlignment="1">
      <alignment horizontal="left" vertical="top" wrapText="1"/>
    </xf>
    <xf numFmtId="0" fontId="3" fillId="0" borderId="1" xfId="0" applyFont="1" applyBorder="1"/>
    <xf numFmtId="0" fontId="3" fillId="0" borderId="1" xfId="0" applyFont="1" applyBorder="1" applyAlignment="1">
      <alignment horizontal="left"/>
    </xf>
    <xf numFmtId="0" fontId="1" fillId="0" borderId="0" xfId="0" applyFont="1"/>
    <xf numFmtId="2" fontId="0" fillId="0" borderId="1" xfId="0" applyNumberFormat="1" applyBorder="1"/>
    <xf numFmtId="2" fontId="0" fillId="0" borderId="0" xfId="0" applyNumberFormat="1"/>
    <xf numFmtId="2" fontId="8" fillId="0" borderId="25" xfId="0" applyNumberFormat="1" applyFont="1" applyFill="1" applyBorder="1" applyAlignment="1" applyProtection="1">
      <alignment horizontal="right" indent="1"/>
      <protection locked="0"/>
    </xf>
    <xf numFmtId="2" fontId="8" fillId="0" borderId="26" xfId="0" applyNumberFormat="1" applyFont="1" applyFill="1" applyBorder="1" applyAlignment="1" applyProtection="1">
      <alignment horizontal="right" indent="1"/>
      <protection locked="0"/>
    </xf>
    <xf numFmtId="0" fontId="9" fillId="0" borderId="0" xfId="0" applyFont="1" applyFill="1" applyBorder="1" applyProtection="1">
      <protection locked="0"/>
    </xf>
    <xf numFmtId="168" fontId="11" fillId="0" borderId="0" xfId="0" applyNumberFormat="1" applyFont="1" applyFill="1" applyBorder="1" applyAlignment="1" applyProtection="1">
      <protection locked="0"/>
    </xf>
    <xf numFmtId="2" fontId="11" fillId="0" borderId="0" xfId="0" applyNumberFormat="1" applyFont="1" applyFill="1" applyBorder="1" applyAlignment="1" applyProtection="1">
      <alignment horizontal="center"/>
      <protection locked="0"/>
    </xf>
    <xf numFmtId="2" fontId="8" fillId="0" borderId="0" xfId="0" applyNumberFormat="1" applyFont="1" applyFill="1" applyBorder="1" applyAlignment="1" applyProtection="1">
      <alignment horizontal="right" indent="1"/>
      <protection locked="0"/>
    </xf>
    <xf numFmtId="2" fontId="8" fillId="0" borderId="0" xfId="0" applyNumberFormat="1" applyFont="1" applyFill="1" applyBorder="1" applyAlignment="1" applyProtection="1">
      <alignment horizontal="center"/>
      <protection locked="0"/>
    </xf>
    <xf numFmtId="0" fontId="0" fillId="0" borderId="14" xfId="0" applyBorder="1"/>
    <xf numFmtId="0" fontId="0" fillId="0" borderId="29" xfId="0" applyBorder="1"/>
    <xf numFmtId="166" fontId="0" fillId="0" borderId="0" xfId="0" applyNumberFormat="1"/>
    <xf numFmtId="2" fontId="12" fillId="0" borderId="2" xfId="0" applyNumberFormat="1" applyFont="1" applyBorder="1" applyAlignment="1">
      <alignment horizontal="right"/>
    </xf>
    <xf numFmtId="2" fontId="0" fillId="0" borderId="0" xfId="0" applyNumberFormat="1" applyAlignment="1">
      <alignment horizontal="center"/>
    </xf>
    <xf numFmtId="2" fontId="10" fillId="0" borderId="0" xfId="0" applyNumberFormat="1" applyFont="1" applyFill="1" applyBorder="1" applyAlignment="1" applyProtection="1">
      <alignment horizontal="center"/>
      <protection locked="0"/>
    </xf>
    <xf numFmtId="4" fontId="0" fillId="0" borderId="0" xfId="0" applyNumberFormat="1"/>
    <xf numFmtId="0" fontId="14" fillId="15" borderId="32" xfId="0" applyFont="1" applyFill="1" applyBorder="1"/>
    <xf numFmtId="10" fontId="8" fillId="0" borderId="0" xfId="0" applyNumberFormat="1" applyFont="1" applyFill="1" applyBorder="1" applyAlignment="1" applyProtection="1">
      <alignment horizontal="center"/>
      <protection locked="0"/>
    </xf>
    <xf numFmtId="166" fontId="0" fillId="0" borderId="0" xfId="0" applyNumberFormat="1" applyFill="1"/>
    <xf numFmtId="0" fontId="0" fillId="3" borderId="1" xfId="0" applyFill="1" applyBorder="1"/>
    <xf numFmtId="2" fontId="15" fillId="0" borderId="1" xfId="0" applyNumberFormat="1" applyFont="1" applyFill="1" applyBorder="1"/>
    <xf numFmtId="4" fontId="0" fillId="0" borderId="1" xfId="0" applyNumberFormat="1" applyBorder="1"/>
    <xf numFmtId="0" fontId="0" fillId="16" borderId="28" xfId="0" applyFill="1" applyBorder="1"/>
    <xf numFmtId="0" fontId="0" fillId="16" borderId="24" xfId="0" applyFill="1" applyBorder="1"/>
    <xf numFmtId="0" fontId="0" fillId="3" borderId="15" xfId="0" applyFill="1" applyBorder="1"/>
    <xf numFmtId="0" fontId="0" fillId="0" borderId="15" xfId="0" applyBorder="1"/>
    <xf numFmtId="4" fontId="0" fillId="0" borderId="15" xfId="0" applyNumberFormat="1" applyBorder="1"/>
    <xf numFmtId="2" fontId="15" fillId="0" borderId="30" xfId="0" applyNumberFormat="1" applyFont="1" applyFill="1" applyBorder="1"/>
    <xf numFmtId="4" fontId="0" fillId="0" borderId="30" xfId="0" applyNumberFormat="1" applyBorder="1"/>
    <xf numFmtId="0" fontId="0" fillId="0" borderId="30" xfId="0" applyBorder="1"/>
    <xf numFmtId="0" fontId="0" fillId="0" borderId="31" xfId="0" applyBorder="1"/>
    <xf numFmtId="2" fontId="15" fillId="0" borderId="0" xfId="0" applyNumberFormat="1" applyFont="1" applyFill="1" applyBorder="1"/>
    <xf numFmtId="0" fontId="0" fillId="16" borderId="41" xfId="0" applyFill="1" applyBorder="1"/>
    <xf numFmtId="0" fontId="0" fillId="3" borderId="4" xfId="0" applyFill="1" applyBorder="1"/>
    <xf numFmtId="0" fontId="15" fillId="14" borderId="9" xfId="0" applyFont="1" applyFill="1" applyBorder="1"/>
    <xf numFmtId="4" fontId="15" fillId="14" borderId="1" xfId="0" applyNumberFormat="1" applyFont="1" applyFill="1" applyBorder="1"/>
    <xf numFmtId="4"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17" borderId="27" xfId="0" applyFill="1" applyBorder="1"/>
    <xf numFmtId="0" fontId="0" fillId="17" borderId="28" xfId="0" applyFill="1" applyBorder="1"/>
    <xf numFmtId="0" fontId="0" fillId="17" borderId="24" xfId="0" applyFill="1" applyBorder="1"/>
    <xf numFmtId="0" fontId="0" fillId="3" borderId="42" xfId="0" applyFill="1" applyBorder="1"/>
    <xf numFmtId="0" fontId="0" fillId="3" borderId="31" xfId="0" applyFill="1" applyBorder="1"/>
    <xf numFmtId="2" fontId="3" fillId="0" borderId="2" xfId="0" applyNumberFormat="1" applyFont="1" applyBorder="1" applyAlignment="1">
      <alignment horizontal="right"/>
    </xf>
    <xf numFmtId="2" fontId="4" fillId="0" borderId="1" xfId="0" applyNumberFormat="1" applyFont="1" applyBorder="1" applyAlignment="1">
      <alignment horizontal="right"/>
    </xf>
    <xf numFmtId="2" fontId="0" fillId="0" borderId="1" xfId="0" applyNumberFormat="1" applyFill="1" applyBorder="1" applyAlignment="1">
      <alignment horizontal="center" vertical="center"/>
    </xf>
    <xf numFmtId="0" fontId="0" fillId="18" borderId="40" xfId="0" applyFill="1" applyBorder="1"/>
    <xf numFmtId="0" fontId="0" fillId="18" borderId="39" xfId="0" applyFill="1" applyBorder="1"/>
    <xf numFmtId="4" fontId="15" fillId="0" borderId="0" xfId="0" applyNumberFormat="1" applyFont="1" applyFill="1" applyBorder="1"/>
    <xf numFmtId="4" fontId="15" fillId="14" borderId="2" xfId="0" applyNumberFormat="1" applyFont="1" applyFill="1" applyBorder="1"/>
    <xf numFmtId="0" fontId="17" fillId="0" borderId="1" xfId="2" applyFont="1" applyFill="1" applyBorder="1" applyAlignment="1">
      <alignment horizontal="right" wrapText="1"/>
    </xf>
    <xf numFmtId="2" fontId="8" fillId="0" borderId="47" xfId="0" applyNumberFormat="1" applyFont="1" applyFill="1" applyBorder="1" applyAlignment="1" applyProtection="1">
      <alignment horizontal="right" indent="1"/>
      <protection locked="0"/>
    </xf>
    <xf numFmtId="0" fontId="2" fillId="0" borderId="0" xfId="0" applyFont="1" applyFill="1" applyBorder="1"/>
    <xf numFmtId="2" fontId="18" fillId="0" borderId="0" xfId="0" applyNumberFormat="1" applyFont="1" applyFill="1" applyBorder="1" applyAlignment="1" applyProtection="1">
      <alignment horizontal="right" indent="1"/>
      <protection locked="0"/>
    </xf>
    <xf numFmtId="2" fontId="3" fillId="0" borderId="0" xfId="0" applyNumberFormat="1" applyFont="1" applyFill="1" applyBorder="1" applyAlignment="1">
      <alignment horizontal="center"/>
    </xf>
    <xf numFmtId="0" fontId="2" fillId="0" borderId="0" xfId="0" applyFont="1" applyFill="1" applyBorder="1" applyAlignment="1">
      <alignment horizontal="left"/>
    </xf>
    <xf numFmtId="3" fontId="13" fillId="0" borderId="0" xfId="0" applyNumberFormat="1" applyFont="1" applyFill="1" applyBorder="1"/>
    <xf numFmtId="2" fontId="13" fillId="0" borderId="0" xfId="0" applyNumberFormat="1" applyFont="1" applyFill="1" applyBorder="1"/>
    <xf numFmtId="0" fontId="3" fillId="7" borderId="1" xfId="0" applyFont="1" applyFill="1" applyBorder="1" applyAlignment="1">
      <alignment horizontal="centerContinuous"/>
    </xf>
    <xf numFmtId="0" fontId="3" fillId="7" borderId="1" xfId="0" applyFont="1" applyFill="1" applyBorder="1"/>
    <xf numFmtId="0" fontId="0" fillId="0" borderId="48" xfId="0" applyBorder="1"/>
    <xf numFmtId="0" fontId="0" fillId="21" borderId="38" xfId="0" applyFill="1" applyBorder="1"/>
    <xf numFmtId="4" fontId="15" fillId="21" borderId="38" xfId="0" applyNumberFormat="1" applyFont="1" applyFill="1" applyBorder="1"/>
    <xf numFmtId="4" fontId="0" fillId="21" borderId="38" xfId="0" applyNumberFormat="1" applyFill="1" applyBorder="1"/>
    <xf numFmtId="0" fontId="0" fillId="21" borderId="34" xfId="0" applyFill="1" applyBorder="1"/>
    <xf numFmtId="0" fontId="20" fillId="0" borderId="1" xfId="0" applyFont="1" applyBorder="1"/>
    <xf numFmtId="2" fontId="20" fillId="0" borderId="1" xfId="0" applyNumberFormat="1" applyFont="1" applyBorder="1" applyAlignment="1">
      <alignment horizontal="right"/>
    </xf>
    <xf numFmtId="0" fontId="19" fillId="0" borderId="1" xfId="0" applyFont="1" applyBorder="1"/>
    <xf numFmtId="4" fontId="19" fillId="0" borderId="1" xfId="0" applyNumberFormat="1" applyFont="1" applyBorder="1"/>
    <xf numFmtId="0" fontId="19" fillId="0" borderId="0" xfId="0" applyFont="1"/>
    <xf numFmtId="0" fontId="2" fillId="0" borderId="0" xfId="0" applyFont="1"/>
    <xf numFmtId="2" fontId="4" fillId="5" borderId="1" xfId="0" applyNumberFormat="1" applyFont="1" applyFill="1" applyBorder="1" applyAlignment="1">
      <alignment horizontal="right"/>
    </xf>
    <xf numFmtId="2" fontId="20" fillId="5" borderId="1" xfId="0" applyNumberFormat="1" applyFont="1" applyFill="1" applyBorder="1" applyAlignment="1">
      <alignment horizontal="right"/>
    </xf>
    <xf numFmtId="0" fontId="22" fillId="0" borderId="0" xfId="3" applyAlignment="1" applyProtection="1"/>
    <xf numFmtId="0" fontId="23" fillId="0" borderId="50" xfId="0" applyFont="1" applyBorder="1"/>
    <xf numFmtId="0" fontId="23" fillId="0" borderId="46" xfId="0" applyFont="1" applyBorder="1"/>
    <xf numFmtId="0" fontId="24" fillId="11" borderId="2" xfId="0" applyFont="1" applyFill="1" applyBorder="1" applyProtection="1">
      <protection locked="0"/>
    </xf>
    <xf numFmtId="2" fontId="0" fillId="0" borderId="0" xfId="0" applyNumberFormat="1" applyFill="1" applyBorder="1"/>
    <xf numFmtId="2" fontId="0" fillId="0" borderId="0" xfId="0" applyNumberFormat="1" applyBorder="1"/>
    <xf numFmtId="2" fontId="0" fillId="0" borderId="48" xfId="0" applyNumberFormat="1" applyFill="1" applyBorder="1"/>
    <xf numFmtId="2" fontId="0" fillId="0" borderId="48" xfId="0" applyNumberFormat="1" applyBorder="1"/>
    <xf numFmtId="2" fontId="0" fillId="0" borderId="51" xfId="0" applyNumberFormat="1" applyBorder="1"/>
    <xf numFmtId="2" fontId="0" fillId="0" borderId="12" xfId="0" applyNumberFormat="1" applyFill="1" applyBorder="1"/>
    <xf numFmtId="0" fontId="25" fillId="2" borderId="19" xfId="0" applyFont="1" applyFill="1" applyBorder="1" applyAlignment="1">
      <alignment horizontal="center" vertical="center" wrapText="1"/>
    </xf>
    <xf numFmtId="2" fontId="0" fillId="7" borderId="3" xfId="0" applyNumberFormat="1" applyFill="1" applyBorder="1"/>
    <xf numFmtId="2" fontId="0" fillId="7" borderId="4" xfId="0" applyNumberFormat="1" applyFill="1" applyBorder="1"/>
    <xf numFmtId="2" fontId="5" fillId="7" borderId="3" xfId="0" applyNumberFormat="1" applyFont="1" applyFill="1" applyBorder="1" applyAlignment="1">
      <alignment horizontal="center" wrapText="1"/>
    </xf>
    <xf numFmtId="2" fontId="5" fillId="7" borderId="4" xfId="0" applyNumberFormat="1" applyFont="1" applyFill="1" applyBorder="1" applyAlignment="1">
      <alignment horizontal="center" wrapText="1"/>
    </xf>
    <xf numFmtId="2" fontId="25" fillId="2" borderId="19" xfId="0" applyNumberFormat="1" applyFont="1" applyFill="1" applyBorder="1" applyAlignment="1">
      <alignment horizontal="center" vertical="center" wrapText="1"/>
    </xf>
    <xf numFmtId="0" fontId="0" fillId="0" borderId="0" xfId="0" applyFill="1" applyAlignment="1"/>
    <xf numFmtId="10" fontId="0" fillId="0" borderId="0" xfId="0" applyNumberFormat="1" applyFill="1"/>
    <xf numFmtId="10" fontId="0" fillId="0" borderId="0" xfId="0" applyNumberFormat="1" applyFill="1" applyBorder="1"/>
    <xf numFmtId="0" fontId="23" fillId="12" borderId="20" xfId="0" applyFont="1" applyFill="1" applyBorder="1"/>
    <xf numFmtId="0" fontId="27" fillId="11" borderId="9" xfId="0" applyFont="1" applyFill="1" applyBorder="1" applyAlignment="1">
      <alignment horizontal="left"/>
    </xf>
    <xf numFmtId="0" fontId="28" fillId="20" borderId="9" xfId="0" applyFont="1" applyFill="1" applyBorder="1" applyAlignment="1">
      <alignment horizontal="center" vertical="center"/>
    </xf>
    <xf numFmtId="0" fontId="26" fillId="7" borderId="1" xfId="0" applyFont="1" applyFill="1" applyBorder="1" applyAlignment="1">
      <alignment horizontal="left"/>
    </xf>
    <xf numFmtId="4" fontId="23" fillId="0" borderId="1" xfId="0" applyNumberFormat="1" applyFont="1" applyFill="1" applyBorder="1"/>
    <xf numFmtId="4" fontId="26" fillId="0" borderId="1" xfId="0" applyNumberFormat="1" applyFont="1" applyFill="1" applyBorder="1"/>
    <xf numFmtId="3" fontId="29" fillId="0" borderId="1" xfId="0" applyNumberFormat="1" applyFont="1" applyFill="1" applyBorder="1"/>
    <xf numFmtId="166" fontId="0" fillId="0" borderId="0" xfId="0" applyNumberFormat="1" applyFill="1" applyBorder="1"/>
    <xf numFmtId="0" fontId="30" fillId="3" borderId="14"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8" borderId="14" xfId="0" applyFont="1" applyFill="1" applyBorder="1"/>
    <xf numFmtId="0" fontId="30" fillId="8" borderId="35" xfId="0" applyFont="1" applyFill="1" applyBorder="1"/>
    <xf numFmtId="166" fontId="30" fillId="0" borderId="1" xfId="0" applyNumberFormat="1" applyFont="1" applyFill="1" applyBorder="1"/>
    <xf numFmtId="166" fontId="30" fillId="0" borderId="15" xfId="0" applyNumberFormat="1" applyFont="1" applyFill="1" applyBorder="1"/>
    <xf numFmtId="166" fontId="30" fillId="0" borderId="19" xfId="0" applyNumberFormat="1" applyFont="1" applyFill="1" applyBorder="1"/>
    <xf numFmtId="166" fontId="30" fillId="0" borderId="36" xfId="0" applyNumberFormat="1" applyFont="1" applyFill="1" applyBorder="1"/>
    <xf numFmtId="166" fontId="30" fillId="13" borderId="10" xfId="0" applyNumberFormat="1" applyFont="1" applyFill="1" applyBorder="1"/>
    <xf numFmtId="0" fontId="33" fillId="14" borderId="23" xfId="0" applyFont="1" applyFill="1" applyBorder="1" applyAlignment="1">
      <alignment horizontal="left" vertical="center"/>
    </xf>
    <xf numFmtId="0" fontId="30" fillId="13" borderId="23" xfId="0" applyFont="1" applyFill="1" applyBorder="1" applyAlignment="1">
      <alignment vertical="center"/>
    </xf>
    <xf numFmtId="166" fontId="23" fillId="2" borderId="14" xfId="0" applyNumberFormat="1" applyFont="1" applyFill="1" applyBorder="1" applyAlignment="1">
      <alignment horizontal="left" vertical="center"/>
    </xf>
    <xf numFmtId="166" fontId="23" fillId="2" borderId="35" xfId="0" applyNumberFormat="1" applyFont="1" applyFill="1" applyBorder="1" applyAlignment="1">
      <alignment horizontal="left" vertical="center"/>
    </xf>
    <xf numFmtId="1" fontId="26" fillId="0" borderId="15" xfId="0" applyNumberFormat="1" applyFont="1" applyFill="1" applyBorder="1"/>
    <xf numFmtId="166" fontId="26" fillId="0" borderId="15" xfId="0" applyNumberFormat="1" applyFont="1" applyFill="1" applyBorder="1"/>
    <xf numFmtId="166" fontId="26" fillId="0" borderId="36" xfId="0" applyNumberFormat="1" applyFont="1" applyFill="1" applyBorder="1"/>
    <xf numFmtId="166" fontId="23" fillId="2" borderId="29" xfId="0" applyNumberFormat="1" applyFont="1" applyFill="1" applyBorder="1" applyAlignment="1">
      <alignment horizontal="center" vertical="center"/>
    </xf>
    <xf numFmtId="2" fontId="23" fillId="0" borderId="1" xfId="0" applyNumberFormat="1" applyFont="1" applyBorder="1"/>
    <xf numFmtId="2" fontId="23" fillId="0" borderId="15" xfId="0" applyNumberFormat="1" applyFont="1" applyBorder="1"/>
    <xf numFmtId="166" fontId="26" fillId="0" borderId="15" xfId="0" applyNumberFormat="1" applyFont="1" applyBorder="1"/>
    <xf numFmtId="171" fontId="26" fillId="0" borderId="15" xfId="0" applyNumberFormat="1" applyFont="1" applyFill="1" applyBorder="1"/>
    <xf numFmtId="2" fontId="26" fillId="0" borderId="15" xfId="0" applyNumberFormat="1" applyFont="1" applyBorder="1"/>
    <xf numFmtId="2" fontId="26" fillId="0" borderId="15" xfId="0" applyNumberFormat="1" applyFont="1" applyFill="1" applyBorder="1"/>
    <xf numFmtId="1" fontId="23" fillId="0" borderId="15" xfId="0" applyNumberFormat="1" applyFont="1" applyBorder="1"/>
    <xf numFmtId="171" fontId="23" fillId="0" borderId="15" xfId="0" applyNumberFormat="1" applyFont="1" applyBorder="1"/>
    <xf numFmtId="0" fontId="31" fillId="0" borderId="14" xfId="0" applyFont="1" applyBorder="1"/>
    <xf numFmtId="2" fontId="23" fillId="0" borderId="15" xfId="0" applyNumberFormat="1" applyFont="1" applyFill="1" applyBorder="1"/>
    <xf numFmtId="1" fontId="26" fillId="0" borderId="15" xfId="0" applyNumberFormat="1" applyFont="1" applyBorder="1"/>
    <xf numFmtId="0" fontId="23" fillId="0" borderId="43" xfId="0" applyFont="1" applyBorder="1"/>
    <xf numFmtId="4" fontId="26" fillId="0" borderId="15" xfId="0" applyNumberFormat="1" applyFont="1" applyBorder="1"/>
    <xf numFmtId="172" fontId="23" fillId="0" borderId="15" xfId="0" applyNumberFormat="1" applyFont="1" applyBorder="1"/>
    <xf numFmtId="0" fontId="23" fillId="0" borderId="0" xfId="0" applyFont="1"/>
    <xf numFmtId="2" fontId="23" fillId="2" borderId="1" xfId="0" applyNumberFormat="1" applyFont="1" applyFill="1" applyBorder="1" applyAlignment="1">
      <alignment horizontal="center" vertical="center" wrapText="1"/>
    </xf>
    <xf numFmtId="2" fontId="23" fillId="0" borderId="0" xfId="0" applyNumberFormat="1" applyFont="1" applyFill="1" applyBorder="1" applyAlignment="1">
      <alignment horizontal="center" vertical="center" wrapText="1"/>
    </xf>
    <xf numFmtId="0" fontId="24" fillId="11" borderId="1" xfId="0" applyFont="1" applyFill="1" applyBorder="1" applyProtection="1">
      <protection locked="0"/>
    </xf>
    <xf numFmtId="2" fontId="35" fillId="7" borderId="1" xfId="0" applyNumberFormat="1" applyFont="1" applyFill="1" applyBorder="1" applyAlignment="1">
      <alignment horizontal="center" wrapText="1"/>
    </xf>
    <xf numFmtId="2" fontId="23" fillId="7" borderId="1" xfId="0" applyNumberFormat="1" applyFont="1" applyFill="1" applyBorder="1"/>
    <xf numFmtId="10" fontId="23" fillId="13" borderId="1" xfId="0" applyNumberFormat="1" applyFont="1" applyFill="1" applyBorder="1"/>
    <xf numFmtId="0" fontId="23" fillId="0" borderId="0" xfId="0" applyFont="1" applyFill="1"/>
    <xf numFmtId="166" fontId="23" fillId="2" borderId="32" xfId="0" applyNumberFormat="1" applyFont="1" applyFill="1" applyBorder="1" applyAlignment="1">
      <alignment horizontal="left" vertical="center"/>
    </xf>
    <xf numFmtId="2" fontId="23" fillId="12" borderId="1" xfId="0" applyNumberFormat="1" applyFont="1" applyFill="1" applyBorder="1" applyAlignment="1">
      <alignment horizontal="center" vertical="top" wrapText="1"/>
    </xf>
    <xf numFmtId="2" fontId="23" fillId="0" borderId="1" xfId="0" applyNumberFormat="1" applyFont="1" applyFill="1" applyBorder="1"/>
    <xf numFmtId="10" fontId="23" fillId="0" borderId="1" xfId="0" applyNumberFormat="1" applyFont="1" applyFill="1" applyBorder="1"/>
    <xf numFmtId="2" fontId="23" fillId="0" borderId="0" xfId="0" applyNumberFormat="1" applyFont="1" applyAlignment="1">
      <alignment horizontal="center"/>
    </xf>
    <xf numFmtId="2" fontId="23" fillId="0" borderId="0" xfId="0" applyNumberFormat="1" applyFont="1"/>
    <xf numFmtId="168" fontId="23" fillId="0" borderId="0" xfId="0" applyNumberFormat="1" applyFont="1" applyFill="1" applyBorder="1" applyAlignment="1">
      <alignment horizontal="center" vertical="center"/>
    </xf>
    <xf numFmtId="0" fontId="31" fillId="0" borderId="1" xfId="0" applyFont="1" applyBorder="1"/>
    <xf numFmtId="3" fontId="36" fillId="0" borderId="15" xfId="0" applyNumberFormat="1" applyFont="1" applyBorder="1"/>
    <xf numFmtId="2" fontId="36" fillId="0" borderId="15" xfId="0" applyNumberFormat="1" applyFont="1" applyBorder="1"/>
    <xf numFmtId="2" fontId="36" fillId="0" borderId="15" xfId="0" applyNumberFormat="1" applyFont="1" applyFill="1" applyBorder="1"/>
    <xf numFmtId="2" fontId="26" fillId="10" borderId="44" xfId="0" applyNumberFormat="1" applyFont="1" applyFill="1" applyBorder="1" applyAlignment="1">
      <alignment horizontal="center"/>
    </xf>
    <xf numFmtId="166" fontId="36" fillId="0" borderId="15" xfId="0" applyNumberFormat="1" applyFont="1" applyBorder="1"/>
    <xf numFmtId="1" fontId="36" fillId="0" borderId="15" xfId="0" applyNumberFormat="1" applyFont="1" applyBorder="1"/>
    <xf numFmtId="171" fontId="36" fillId="0" borderId="15" xfId="0" applyNumberFormat="1" applyFont="1" applyBorder="1"/>
    <xf numFmtId="166" fontId="36" fillId="0" borderId="15" xfId="0" applyNumberFormat="1" applyFont="1" applyFill="1" applyBorder="1"/>
    <xf numFmtId="1" fontId="36" fillId="0" borderId="15" xfId="0" applyNumberFormat="1" applyFont="1" applyFill="1" applyBorder="1"/>
    <xf numFmtId="0" fontId="23" fillId="12" borderId="20" xfId="0" applyFont="1" applyFill="1" applyBorder="1" applyAlignment="1">
      <alignment horizontal="center" vertical="center"/>
    </xf>
    <xf numFmtId="4" fontId="36" fillId="0" borderId="15" xfId="0" applyNumberFormat="1" applyFont="1" applyBorder="1"/>
    <xf numFmtId="0" fontId="23" fillId="2" borderId="27" xfId="0" applyFont="1" applyFill="1" applyBorder="1" applyAlignment="1">
      <alignment horizontal="center" vertical="center" wrapText="1"/>
    </xf>
    <xf numFmtId="2" fontId="23" fillId="2" borderId="28" xfId="0" applyNumberFormat="1" applyFont="1" applyFill="1" applyBorder="1" applyAlignment="1">
      <alignment horizontal="center" vertical="center" wrapText="1"/>
    </xf>
    <xf numFmtId="2" fontId="31" fillId="7" borderId="1" xfId="0" applyNumberFormat="1" applyFont="1" applyFill="1" applyBorder="1"/>
    <xf numFmtId="2" fontId="31" fillId="0" borderId="1" xfId="0" applyNumberFormat="1" applyFont="1" applyFill="1" applyBorder="1"/>
    <xf numFmtId="2" fontId="37" fillId="7" borderId="1" xfId="0" applyNumberFormat="1" applyFont="1" applyFill="1" applyBorder="1" applyAlignment="1">
      <alignment horizontal="center" wrapText="1"/>
    </xf>
    <xf numFmtId="2" fontId="31" fillId="0" borderId="1" xfId="0" applyNumberFormat="1" applyFont="1" applyBorder="1"/>
    <xf numFmtId="0" fontId="31" fillId="0" borderId="29" xfId="0" applyFont="1" applyBorder="1"/>
    <xf numFmtId="2" fontId="31" fillId="0" borderId="30" xfId="0" applyNumberFormat="1" applyFont="1" applyBorder="1"/>
    <xf numFmtId="2" fontId="31" fillId="0" borderId="30" xfId="0" applyNumberFormat="1" applyFont="1" applyFill="1" applyBorder="1"/>
    <xf numFmtId="0" fontId="38" fillId="11" borderId="14" xfId="0" applyFont="1" applyFill="1" applyBorder="1" applyProtection="1">
      <protection locked="0"/>
    </xf>
    <xf numFmtId="2" fontId="0" fillId="0" borderId="12" xfId="0" applyNumberFormat="1" applyBorder="1" applyAlignment="1"/>
    <xf numFmtId="2" fontId="0" fillId="0" borderId="1" xfId="0" applyNumberFormat="1" applyBorder="1" applyAlignment="1"/>
    <xf numFmtId="2" fontId="0" fillId="0" borderId="0" xfId="0" applyNumberFormat="1" applyAlignment="1"/>
    <xf numFmtId="166" fontId="26" fillId="0" borderId="0" xfId="0" applyNumberFormat="1" applyFont="1" applyFill="1" applyBorder="1"/>
    <xf numFmtId="166" fontId="23" fillId="0" borderId="0" xfId="0" applyNumberFormat="1" applyFont="1" applyFill="1" applyBorder="1" applyAlignment="1">
      <alignment horizontal="left" vertical="center"/>
    </xf>
    <xf numFmtId="0" fontId="0" fillId="0" borderId="0" xfId="0" applyAlignment="1">
      <alignment vertical="center"/>
    </xf>
    <xf numFmtId="0" fontId="30" fillId="0" borderId="0" xfId="0" applyFont="1" applyAlignment="1">
      <alignment horizontal="right"/>
    </xf>
    <xf numFmtId="0" fontId="30" fillId="0" borderId="0" xfId="0" applyFont="1" applyAlignment="1">
      <alignment horizontal="right" vertical="center"/>
    </xf>
    <xf numFmtId="0" fontId="23" fillId="0" borderId="0" xfId="0" applyFont="1" applyAlignment="1">
      <alignment vertical="center"/>
    </xf>
    <xf numFmtId="0" fontId="23" fillId="0" borderId="0" xfId="0" applyFont="1" applyAlignment="1">
      <alignment horizontal="right"/>
    </xf>
    <xf numFmtId="0" fontId="30" fillId="0" borderId="2" xfId="0" applyFont="1" applyBorder="1" applyAlignment="1">
      <alignment horizontal="right" vertical="center"/>
    </xf>
    <xf numFmtId="2" fontId="0" fillId="0" borderId="3" xfId="0" applyNumberFormat="1" applyBorder="1"/>
    <xf numFmtId="0" fontId="23" fillId="0" borderId="3" xfId="0" applyFont="1" applyBorder="1" applyAlignment="1"/>
    <xf numFmtId="0" fontId="23" fillId="0" borderId="4" xfId="0" applyFont="1" applyFill="1" applyBorder="1" applyAlignment="1"/>
    <xf numFmtId="0" fontId="23" fillId="0" borderId="3" xfId="0" applyFont="1" applyBorder="1" applyAlignment="1">
      <alignment vertical="center"/>
    </xf>
    <xf numFmtId="171" fontId="26" fillId="0" borderId="15" xfId="0" applyNumberFormat="1" applyFont="1" applyBorder="1"/>
    <xf numFmtId="166" fontId="29" fillId="2" borderId="14" xfId="0" applyNumberFormat="1" applyFont="1" applyFill="1" applyBorder="1" applyAlignment="1">
      <alignment horizontal="left" vertical="center"/>
    </xf>
    <xf numFmtId="166" fontId="40" fillId="0" borderId="15" xfId="0" applyNumberFormat="1" applyFont="1" applyFill="1" applyBorder="1"/>
    <xf numFmtId="2" fontId="40" fillId="0" borderId="15" xfId="0" applyNumberFormat="1" applyFont="1" applyBorder="1"/>
    <xf numFmtId="2" fontId="40" fillId="0" borderId="15" xfId="0" applyNumberFormat="1" applyFont="1" applyFill="1" applyBorder="1"/>
    <xf numFmtId="0" fontId="0" fillId="12" borderId="1" xfId="0" applyFill="1" applyBorder="1"/>
    <xf numFmtId="2" fontId="41" fillId="12" borderId="1" xfId="0" applyNumberFormat="1" applyFont="1" applyFill="1" applyBorder="1" applyAlignment="1">
      <alignment horizontal="right" wrapText="1"/>
    </xf>
    <xf numFmtId="2" fontId="17" fillId="12" borderId="1" xfId="0" applyNumberFormat="1" applyFont="1" applyFill="1" applyBorder="1" applyAlignment="1">
      <alignment horizontal="right" wrapText="1"/>
    </xf>
    <xf numFmtId="0" fontId="3" fillId="0" borderId="0" xfId="0" applyFont="1" applyFill="1" applyBorder="1"/>
    <xf numFmtId="0" fontId="0" fillId="22" borderId="1" xfId="0" applyFill="1" applyBorder="1"/>
    <xf numFmtId="2" fontId="42" fillId="12" borderId="1" xfId="0" applyNumberFormat="1" applyFont="1" applyFill="1" applyBorder="1" applyAlignment="1">
      <alignment horizontal="right" wrapText="1"/>
    </xf>
    <xf numFmtId="0" fontId="0" fillId="0" borderId="9" xfId="0" applyBorder="1"/>
    <xf numFmtId="0" fontId="0" fillId="12" borderId="9" xfId="0" applyFill="1" applyBorder="1"/>
    <xf numFmtId="0" fontId="0" fillId="0" borderId="9" xfId="0" applyFill="1" applyBorder="1"/>
    <xf numFmtId="0" fontId="0" fillId="22" borderId="9" xfId="0" applyFill="1" applyBorder="1"/>
    <xf numFmtId="0" fontId="0" fillId="5" borderId="9" xfId="0" applyFill="1" applyBorder="1"/>
    <xf numFmtId="4" fontId="15" fillId="21" borderId="3" xfId="0" applyNumberFormat="1" applyFont="1" applyFill="1" applyBorder="1"/>
    <xf numFmtId="0" fontId="0" fillId="21" borderId="3" xfId="0" applyFill="1" applyBorder="1"/>
    <xf numFmtId="4" fontId="0" fillId="21" borderId="3" xfId="0" applyNumberFormat="1" applyFill="1" applyBorder="1"/>
    <xf numFmtId="0" fontId="0" fillId="5" borderId="3" xfId="0" applyFill="1" applyBorder="1"/>
    <xf numFmtId="0" fontId="0" fillId="21" borderId="4" xfId="0" applyFill="1" applyBorder="1"/>
    <xf numFmtId="2" fontId="44" fillId="0" borderId="1" xfId="0" applyNumberFormat="1" applyFont="1" applyBorder="1" applyAlignment="1">
      <alignment horizontal="right"/>
    </xf>
    <xf numFmtId="2" fontId="44" fillId="12" borderId="1" xfId="0" applyNumberFormat="1" applyFont="1" applyFill="1" applyBorder="1" applyAlignment="1">
      <alignment horizontal="right"/>
    </xf>
    <xf numFmtId="0" fontId="45" fillId="0" borderId="1" xfId="0" applyFont="1" applyBorder="1"/>
    <xf numFmtId="2" fontId="46" fillId="12" borderId="1" xfId="0" applyNumberFormat="1" applyFont="1" applyFill="1" applyBorder="1" applyAlignment="1">
      <alignment horizontal="right" wrapText="1"/>
    </xf>
    <xf numFmtId="4" fontId="45" fillId="0" borderId="1" xfId="0" applyNumberFormat="1" applyFont="1" applyBorder="1"/>
    <xf numFmtId="2" fontId="47" fillId="12" borderId="1" xfId="0" applyNumberFormat="1" applyFont="1" applyFill="1" applyBorder="1" applyAlignment="1">
      <alignment horizontal="right" wrapText="1"/>
    </xf>
    <xf numFmtId="0" fontId="17" fillId="19" borderId="52" xfId="0" applyFont="1" applyFill="1" applyBorder="1" applyAlignment="1">
      <alignment horizontal="center"/>
    </xf>
    <xf numFmtId="0" fontId="17" fillId="19" borderId="53" xfId="0" applyFont="1" applyFill="1" applyBorder="1" applyAlignment="1">
      <alignment horizontal="center"/>
    </xf>
    <xf numFmtId="0" fontId="17" fillId="19" borderId="2" xfId="0" applyFont="1" applyFill="1" applyBorder="1" applyAlignment="1">
      <alignment horizontal="center"/>
    </xf>
    <xf numFmtId="2" fontId="17" fillId="0" borderId="1" xfId="0" applyNumberFormat="1" applyFont="1" applyFill="1" applyBorder="1" applyAlignment="1">
      <alignment horizontal="right" wrapText="1"/>
    </xf>
    <xf numFmtId="0" fontId="43" fillId="12" borderId="1" xfId="0" applyFont="1" applyFill="1" applyBorder="1"/>
    <xf numFmtId="2" fontId="17" fillId="0" borderId="0" xfId="0" applyNumberFormat="1" applyFont="1" applyFill="1" applyBorder="1" applyAlignment="1">
      <alignment horizontal="right" wrapText="1"/>
    </xf>
    <xf numFmtId="2" fontId="42" fillId="0" borderId="0" xfId="0" applyNumberFormat="1" applyFont="1" applyFill="1" applyBorder="1" applyAlignment="1">
      <alignment horizontal="right" wrapText="1"/>
    </xf>
    <xf numFmtId="0" fontId="43" fillId="0" borderId="0" xfId="0" applyFont="1" applyFill="1" applyBorder="1"/>
    <xf numFmtId="0" fontId="48" fillId="0" borderId="0" xfId="0" applyFont="1" applyAlignment="1">
      <alignment horizontal="center" vertical="center"/>
    </xf>
    <xf numFmtId="0" fontId="49" fillId="0" borderId="0" xfId="0" applyFont="1"/>
    <xf numFmtId="173" fontId="0" fillId="0" borderId="3" xfId="0" applyNumberFormat="1" applyFill="1" applyBorder="1" applyAlignment="1"/>
    <xf numFmtId="4" fontId="7" fillId="0" borderId="1" xfId="0" applyNumberFormat="1" applyFont="1" applyFill="1" applyBorder="1" applyAlignment="1" applyProtection="1">
      <alignment vertical="center"/>
      <protection locked="0"/>
    </xf>
    <xf numFmtId="0" fontId="18" fillId="0" borderId="19" xfId="0" applyFont="1" applyFill="1" applyBorder="1" applyAlignment="1">
      <alignment horizontal="center"/>
    </xf>
    <xf numFmtId="0" fontId="18" fillId="0" borderId="19" xfId="0" applyFont="1" applyFill="1" applyBorder="1" applyAlignment="1">
      <alignment horizontal="center" vertical="center" wrapText="1"/>
    </xf>
    <xf numFmtId="0" fontId="18" fillId="0" borderId="9" xfId="0" applyFont="1" applyFill="1" applyBorder="1" applyAlignment="1">
      <alignment horizontal="center"/>
    </xf>
    <xf numFmtId="0" fontId="18" fillId="0" borderId="9" xfId="0" applyFont="1" applyFill="1" applyBorder="1" applyAlignment="1">
      <alignment horizontal="center" vertical="center" wrapText="1"/>
    </xf>
    <xf numFmtId="0" fontId="18" fillId="0" borderId="1" xfId="0" applyFont="1" applyFill="1" applyBorder="1"/>
    <xf numFmtId="0" fontId="0" fillId="0" borderId="1" xfId="0" applyFill="1" applyBorder="1" applyAlignment="1">
      <alignment horizontal="right" indent="2"/>
    </xf>
    <xf numFmtId="0" fontId="0" fillId="0" borderId="1" xfId="0" applyFill="1" applyBorder="1" applyAlignment="1">
      <alignment horizontal="center"/>
    </xf>
    <xf numFmtId="0" fontId="0" fillId="0" borderId="19" xfId="0" applyFill="1" applyBorder="1" applyAlignment="1">
      <alignment horizontal="left" indent="2"/>
    </xf>
    <xf numFmtId="0" fontId="0" fillId="0" borderId="19" xfId="0" applyFill="1" applyBorder="1" applyAlignment="1">
      <alignment horizontal="right" indent="2"/>
    </xf>
    <xf numFmtId="0" fontId="0" fillId="0" borderId="19" xfId="0" applyFill="1" applyBorder="1" applyAlignment="1">
      <alignment horizontal="center"/>
    </xf>
    <xf numFmtId="0" fontId="0" fillId="0" borderId="54" xfId="0" applyFill="1" applyBorder="1" applyAlignment="1">
      <alignment horizontal="left" indent="2"/>
    </xf>
    <xf numFmtId="0" fontId="0" fillId="0" borderId="54" xfId="0" applyFill="1" applyBorder="1" applyAlignment="1">
      <alignment horizontal="right" indent="2"/>
    </xf>
    <xf numFmtId="0" fontId="0" fillId="0" borderId="54" xfId="0" applyFill="1" applyBorder="1" applyAlignment="1">
      <alignment horizontal="center"/>
    </xf>
    <xf numFmtId="0" fontId="0" fillId="0" borderId="9" xfId="0" applyFill="1" applyBorder="1" applyAlignment="1">
      <alignment horizontal="left" indent="2"/>
    </xf>
    <xf numFmtId="0" fontId="0" fillId="0" borderId="9" xfId="0" applyFill="1" applyBorder="1" applyAlignment="1">
      <alignment horizontal="right" indent="2"/>
    </xf>
    <xf numFmtId="0" fontId="0" fillId="0" borderId="9" xfId="0" applyFill="1" applyBorder="1" applyAlignment="1">
      <alignment horizontal="center"/>
    </xf>
    <xf numFmtId="0" fontId="50" fillId="0" borderId="2" xfId="0" applyFont="1" applyFill="1" applyBorder="1" applyAlignment="1">
      <alignment vertical="center" wrapText="1"/>
    </xf>
    <xf numFmtId="0" fontId="50" fillId="0" borderId="3" xfId="0" applyFont="1" applyFill="1" applyBorder="1" applyAlignment="1">
      <alignment vertical="center" wrapText="1"/>
    </xf>
    <xf numFmtId="0" fontId="50" fillId="0" borderId="4" xfId="0" applyFont="1" applyFill="1" applyBorder="1" applyAlignment="1">
      <alignment vertical="center" wrapText="1"/>
    </xf>
    <xf numFmtId="174" fontId="0" fillId="0" borderId="4" xfId="0" applyNumberFormat="1" applyFill="1" applyBorder="1"/>
    <xf numFmtId="0" fontId="7" fillId="0" borderId="1" xfId="0" applyFont="1" applyFill="1" applyBorder="1" applyAlignment="1">
      <alignment horizontal="left" vertical="center"/>
    </xf>
    <xf numFmtId="166" fontId="29" fillId="0" borderId="15" xfId="0" applyNumberFormat="1" applyFont="1" applyFill="1" applyBorder="1"/>
    <xf numFmtId="0" fontId="0" fillId="0" borderId="0" xfId="0" applyAlignment="1">
      <alignment horizontal="right"/>
    </xf>
    <xf numFmtId="0" fontId="23" fillId="21" borderId="48" xfId="0" applyFont="1" applyFill="1" applyBorder="1" applyAlignment="1">
      <alignment horizontal="center" vertical="center"/>
    </xf>
    <xf numFmtId="0" fontId="23" fillId="26" borderId="48" xfId="0" applyFont="1" applyFill="1" applyBorder="1" applyAlignment="1">
      <alignment horizontal="center" vertical="center"/>
    </xf>
    <xf numFmtId="0" fontId="30" fillId="15" borderId="9" xfId="0" applyFont="1" applyFill="1" applyBorder="1" applyAlignment="1">
      <alignment horizontal="center" vertical="center" wrapText="1"/>
    </xf>
    <xf numFmtId="0" fontId="23" fillId="21" borderId="54" xfId="0" applyFont="1" applyFill="1" applyBorder="1" applyAlignment="1">
      <alignment horizontal="center"/>
    </xf>
    <xf numFmtId="0" fontId="23" fillId="26" borderId="54" xfId="0" applyFont="1" applyFill="1" applyBorder="1" applyAlignment="1">
      <alignment horizontal="center"/>
    </xf>
    <xf numFmtId="0" fontId="23" fillId="0" borderId="54" xfId="0" applyFont="1" applyFill="1" applyBorder="1" applyAlignment="1">
      <alignment horizontal="center"/>
    </xf>
    <xf numFmtId="0" fontId="30" fillId="15" borderId="12" xfId="0" applyFont="1" applyFill="1" applyBorder="1" applyAlignment="1">
      <alignment horizontal="center" vertical="center" wrapText="1"/>
    </xf>
    <xf numFmtId="0" fontId="23" fillId="0" borderId="0" xfId="0" applyFont="1" applyFill="1" applyBorder="1" applyAlignment="1">
      <alignment horizontal="center"/>
    </xf>
    <xf numFmtId="0" fontId="0" fillId="0" borderId="0" xfId="0" applyFill="1" applyBorder="1" applyAlignment="1">
      <alignment horizontal="center"/>
    </xf>
    <xf numFmtId="0" fontId="18" fillId="0" borderId="0" xfId="0" applyFont="1" applyFill="1" applyBorder="1" applyAlignment="1">
      <alignment horizontal="center"/>
    </xf>
    <xf numFmtId="0" fontId="52" fillId="0" borderId="0" xfId="0" applyFont="1" applyFill="1" applyBorder="1"/>
    <xf numFmtId="0" fontId="23" fillId="21" borderId="0" xfId="0" applyFont="1" applyFill="1" applyBorder="1" applyAlignment="1">
      <alignment horizontal="center"/>
    </xf>
    <xf numFmtId="0" fontId="23" fillId="26" borderId="0" xfId="0" applyFont="1" applyFill="1" applyBorder="1" applyAlignment="1">
      <alignment horizontal="center"/>
    </xf>
    <xf numFmtId="2" fontId="55" fillId="0" borderId="15" xfId="0" applyNumberFormat="1" applyFont="1" applyBorder="1"/>
    <xf numFmtId="1" fontId="55" fillId="0" borderId="15" xfId="0" applyNumberFormat="1" applyFont="1" applyBorder="1"/>
    <xf numFmtId="0" fontId="23" fillId="0" borderId="1" xfId="0" applyFont="1" applyFill="1" applyBorder="1" applyAlignment="1">
      <alignment horizontal="center"/>
    </xf>
    <xf numFmtId="0" fontId="23" fillId="0" borderId="19" xfId="0" applyFont="1" applyFill="1" applyBorder="1" applyAlignment="1">
      <alignment horizontal="left" indent="2"/>
    </xf>
    <xf numFmtId="0" fontId="23" fillId="0" borderId="19" xfId="0" applyFont="1" applyFill="1" applyBorder="1" applyAlignment="1">
      <alignment horizontal="center"/>
    </xf>
    <xf numFmtId="0" fontId="23" fillId="0" borderId="54" xfId="0" applyFont="1" applyFill="1" applyBorder="1" applyAlignment="1">
      <alignment horizontal="left" indent="2"/>
    </xf>
    <xf numFmtId="0" fontId="23" fillId="0" borderId="9" xfId="0" applyFont="1" applyFill="1" applyBorder="1" applyAlignment="1">
      <alignment horizontal="left" indent="2"/>
    </xf>
    <xf numFmtId="0" fontId="23" fillId="0" borderId="9" xfId="0" applyFont="1" applyFill="1" applyBorder="1" applyAlignment="1">
      <alignment horizontal="center"/>
    </xf>
    <xf numFmtId="0" fontId="25" fillId="0" borderId="1" xfId="0" applyFont="1" applyFill="1" applyBorder="1"/>
    <xf numFmtId="0" fontId="23" fillId="0" borderId="0" xfId="0" applyFont="1" applyFill="1" applyBorder="1"/>
    <xf numFmtId="0" fontId="56" fillId="0" borderId="3" xfId="0" applyFont="1" applyFill="1" applyBorder="1" applyAlignment="1">
      <alignment vertical="center" wrapText="1"/>
    </xf>
    <xf numFmtId="0" fontId="56" fillId="0" borderId="4" xfId="0" applyFont="1" applyFill="1" applyBorder="1" applyAlignment="1">
      <alignment vertical="center" wrapText="1"/>
    </xf>
    <xf numFmtId="173" fontId="23" fillId="0" borderId="3" xfId="0" applyNumberFormat="1" applyFont="1" applyFill="1" applyBorder="1" applyAlignment="1"/>
    <xf numFmtId="174" fontId="23" fillId="0" borderId="4" xfId="0" applyNumberFormat="1" applyFont="1" applyFill="1" applyBorder="1"/>
    <xf numFmtId="4" fontId="57" fillId="0" borderId="1" xfId="0" applyNumberFormat="1" applyFont="1" applyFill="1" applyBorder="1" applyAlignment="1" applyProtection="1">
      <alignment vertical="center"/>
      <protection locked="0"/>
    </xf>
    <xf numFmtId="0" fontId="57" fillId="0" borderId="1" xfId="0" applyFont="1" applyFill="1" applyBorder="1" applyAlignment="1">
      <alignment horizontal="left" vertical="center"/>
    </xf>
    <xf numFmtId="0" fontId="36" fillId="0" borderId="1" xfId="0" applyFont="1" applyFill="1" applyBorder="1" applyAlignment="1">
      <alignment horizontal="right" indent="2"/>
    </xf>
    <xf numFmtId="0" fontId="36" fillId="0" borderId="19" xfId="0" applyFont="1" applyFill="1" applyBorder="1" applyAlignment="1">
      <alignment horizontal="right" indent="2"/>
    </xf>
    <xf numFmtId="0" fontId="36" fillId="0" borderId="54" xfId="0" applyFont="1" applyFill="1" applyBorder="1" applyAlignment="1">
      <alignment horizontal="right" indent="2"/>
    </xf>
    <xf numFmtId="0" fontId="36" fillId="0" borderId="9" xfId="0" applyFont="1" applyFill="1" applyBorder="1" applyAlignment="1">
      <alignment horizontal="right" indent="2"/>
    </xf>
    <xf numFmtId="171" fontId="36" fillId="0" borderId="0" xfId="0" applyNumberFormat="1" applyFont="1"/>
    <xf numFmtId="0" fontId="25" fillId="0" borderId="0" xfId="0" applyFont="1" applyFill="1" applyBorder="1"/>
    <xf numFmtId="0" fontId="36" fillId="0" borderId="17" xfId="0" applyFont="1" applyFill="1" applyBorder="1" applyAlignment="1">
      <alignment horizontal="right" indent="2"/>
    </xf>
    <xf numFmtId="0" fontId="40" fillId="0" borderId="2" xfId="0" applyFont="1" applyFill="1" applyBorder="1" applyAlignment="1">
      <alignment vertical="center" wrapText="1"/>
    </xf>
    <xf numFmtId="0" fontId="40" fillId="0" borderId="1" xfId="0" applyFont="1" applyFill="1" applyBorder="1"/>
    <xf numFmtId="0" fontId="23" fillId="0" borderId="2" xfId="0" applyFont="1" applyFill="1" applyBorder="1"/>
    <xf numFmtId="0" fontId="23" fillId="0" borderId="3" xfId="0" applyFont="1" applyFill="1" applyBorder="1"/>
    <xf numFmtId="171" fontId="58" fillId="0" borderId="4" xfId="0" applyNumberFormat="1" applyFont="1" applyBorder="1"/>
    <xf numFmtId="171" fontId="36" fillId="0" borderId="54" xfId="0" applyNumberFormat="1" applyFont="1" applyBorder="1"/>
    <xf numFmtId="171" fontId="36" fillId="0" borderId="9" xfId="0" applyNumberFormat="1" applyFont="1" applyBorder="1"/>
    <xf numFmtId="0" fontId="23" fillId="0" borderId="1" xfId="0" applyFont="1" applyBorder="1"/>
    <xf numFmtId="0" fontId="25" fillId="0" borderId="19" xfId="0" applyFont="1" applyFill="1" applyBorder="1"/>
    <xf numFmtId="0" fontId="33" fillId="0" borderId="1" xfId="0" applyFont="1" applyFill="1" applyBorder="1"/>
    <xf numFmtId="0" fontId="0" fillId="25" borderId="0" xfId="0" applyFill="1"/>
    <xf numFmtId="0" fontId="59" fillId="28" borderId="1" xfId="0" applyFont="1" applyFill="1" applyBorder="1"/>
    <xf numFmtId="175" fontId="18" fillId="29" borderId="1" xfId="1" applyNumberFormat="1" applyFont="1" applyFill="1" applyBorder="1"/>
    <xf numFmtId="0" fontId="50" fillId="24" borderId="1" xfId="0" applyFont="1" applyFill="1" applyBorder="1" applyAlignment="1">
      <alignment horizontal="center" vertical="center" wrapText="1"/>
    </xf>
    <xf numFmtId="0" fontId="0" fillId="0" borderId="56" xfId="0" applyBorder="1" applyAlignment="1">
      <alignment horizontal="center"/>
    </xf>
    <xf numFmtId="0" fontId="0" fillId="0" borderId="56" xfId="0" applyBorder="1"/>
    <xf numFmtId="0" fontId="0" fillId="0" borderId="57" xfId="0" applyBorder="1"/>
    <xf numFmtId="0" fontId="0" fillId="0" borderId="61" xfId="0" applyBorder="1" applyAlignment="1">
      <alignment horizontal="center"/>
    </xf>
    <xf numFmtId="2" fontId="0" fillId="0" borderId="61" xfId="0" applyNumberFormat="1" applyBorder="1" applyAlignment="1">
      <alignment horizontal="center"/>
    </xf>
    <xf numFmtId="0" fontId="0" fillId="0" borderId="61" xfId="0" applyBorder="1" applyAlignment="1">
      <alignment horizontal="right" indent="2"/>
    </xf>
    <xf numFmtId="0" fontId="0" fillId="0" borderId="62" xfId="0" applyBorder="1"/>
    <xf numFmtId="0" fontId="0" fillId="0" borderId="61" xfId="0" applyBorder="1"/>
    <xf numFmtId="0" fontId="7" fillId="0" borderId="62" xfId="0" applyFont="1" applyBorder="1" applyAlignment="1">
      <alignment horizontal="center"/>
    </xf>
    <xf numFmtId="0" fontId="0" fillId="0" borderId="66" xfId="0" applyBorder="1" applyAlignment="1">
      <alignment horizontal="center"/>
    </xf>
    <xf numFmtId="2" fontId="0" fillId="0" borderId="66" xfId="0" applyNumberFormat="1" applyBorder="1" applyAlignment="1">
      <alignment horizontal="center"/>
    </xf>
    <xf numFmtId="0" fontId="0" fillId="0" borderId="66" xfId="0" applyBorder="1" applyAlignment="1">
      <alignment horizontal="right" indent="2"/>
    </xf>
    <xf numFmtId="0" fontId="0" fillId="0" borderId="66" xfId="0" applyBorder="1"/>
    <xf numFmtId="0" fontId="7" fillId="0" borderId="67" xfId="0" applyFont="1" applyBorder="1" applyAlignment="1">
      <alignment horizontal="center"/>
    </xf>
    <xf numFmtId="0" fontId="18" fillId="0" borderId="0" xfId="0" applyFont="1" applyFill="1" applyBorder="1" applyAlignment="1">
      <alignment horizontal="center" vertical="center" wrapText="1"/>
    </xf>
    <xf numFmtId="0" fontId="0" fillId="0" borderId="71" xfId="0" applyBorder="1" applyAlignment="1">
      <alignment horizontal="center"/>
    </xf>
    <xf numFmtId="166" fontId="0" fillId="0" borderId="55" xfId="0" applyNumberFormat="1" applyBorder="1" applyAlignment="1">
      <alignment horizontal="right" indent="1"/>
    </xf>
    <xf numFmtId="166" fontId="0" fillId="0" borderId="60" xfId="0" applyNumberFormat="1" applyBorder="1" applyAlignment="1">
      <alignment horizontal="right" indent="1"/>
    </xf>
    <xf numFmtId="166" fontId="0" fillId="0" borderId="60" xfId="0" applyNumberFormat="1" applyFill="1" applyBorder="1" applyAlignment="1">
      <alignment horizontal="right" indent="1"/>
    </xf>
    <xf numFmtId="166" fontId="0" fillId="0" borderId="65" xfId="0" applyNumberFormat="1" applyFill="1" applyBorder="1" applyAlignment="1">
      <alignment horizontal="right" indent="1"/>
    </xf>
    <xf numFmtId="3" fontId="0" fillId="0" borderId="0" xfId="0" applyNumberFormat="1" applyBorder="1" applyAlignment="1">
      <alignment horizontal="center"/>
    </xf>
    <xf numFmtId="0" fontId="0" fillId="0" borderId="72" xfId="0" applyBorder="1" applyAlignment="1">
      <alignment horizontal="center"/>
    </xf>
    <xf numFmtId="3" fontId="0" fillId="0" borderId="51" xfId="0" applyNumberFormat="1" applyBorder="1" applyAlignment="1">
      <alignment horizontal="center"/>
    </xf>
    <xf numFmtId="0" fontId="50" fillId="24" borderId="4" xfId="0" applyFont="1" applyFill="1" applyBorder="1" applyAlignment="1">
      <alignment horizontal="center" vertical="center" wrapText="1"/>
    </xf>
    <xf numFmtId="0" fontId="0" fillId="0" borderId="55" xfId="0" applyBorder="1" applyAlignment="1">
      <alignment horizontal="center"/>
    </xf>
    <xf numFmtId="0" fontId="0" fillId="0" borderId="60" xfId="0" applyBorder="1" applyAlignment="1">
      <alignment horizontal="center"/>
    </xf>
    <xf numFmtId="0" fontId="0" fillId="0" borderId="65" xfId="0" applyBorder="1" applyAlignment="1">
      <alignment horizontal="center"/>
    </xf>
    <xf numFmtId="0" fontId="50" fillId="24" borderId="1" xfId="0" applyFont="1" applyFill="1" applyBorder="1" applyAlignment="1">
      <alignment horizontal="center"/>
    </xf>
    <xf numFmtId="0" fontId="0" fillId="0" borderId="73" xfId="0" applyBorder="1" applyAlignment="1">
      <alignment horizontal="left"/>
    </xf>
    <xf numFmtId="0" fontId="0" fillId="0" borderId="74" xfId="0" applyBorder="1" applyAlignment="1">
      <alignment horizontal="left"/>
    </xf>
    <xf numFmtId="0" fontId="0" fillId="0" borderId="75" xfId="0" applyBorder="1" applyAlignment="1">
      <alignment horizontal="left"/>
    </xf>
    <xf numFmtId="171" fontId="31" fillId="0" borderId="58" xfId="0" applyNumberFormat="1" applyFont="1" applyBorder="1"/>
    <xf numFmtId="171" fontId="31" fillId="0" borderId="59" xfId="0" applyNumberFormat="1" applyFont="1" applyBorder="1"/>
    <xf numFmtId="171" fontId="31" fillId="0" borderId="63" xfId="0" applyNumberFormat="1" applyFont="1" applyBorder="1"/>
    <xf numFmtId="171" fontId="31" fillId="0" borderId="64" xfId="0" applyNumberFormat="1" applyFont="1" applyBorder="1"/>
    <xf numFmtId="171" fontId="31" fillId="0" borderId="68" xfId="0" applyNumberFormat="1" applyFont="1" applyBorder="1"/>
    <xf numFmtId="171" fontId="31" fillId="0" borderId="69" xfId="0" applyNumberFormat="1" applyFont="1" applyBorder="1"/>
    <xf numFmtId="171" fontId="62" fillId="29" borderId="1" xfId="0" applyNumberFormat="1" applyFont="1" applyFill="1" applyBorder="1"/>
    <xf numFmtId="171" fontId="31" fillId="25" borderId="0" xfId="0" applyNumberFormat="1" applyFont="1" applyFill="1"/>
    <xf numFmtId="0" fontId="0" fillId="0" borderId="76" xfId="0" applyBorder="1"/>
    <xf numFmtId="0" fontId="0" fillId="0" borderId="79" xfId="0" applyBorder="1"/>
    <xf numFmtId="0" fontId="18" fillId="0" borderId="1" xfId="0" applyFont="1" applyBorder="1" applyAlignment="1">
      <alignment horizontal="center"/>
    </xf>
    <xf numFmtId="0" fontId="18" fillId="25" borderId="9" xfId="0" applyFont="1" applyFill="1" applyBorder="1" applyAlignment="1">
      <alignment horizontal="center"/>
    </xf>
    <xf numFmtId="0" fontId="50" fillId="2" borderId="2" xfId="0" applyFont="1" applyFill="1" applyBorder="1" applyAlignment="1">
      <alignment horizontal="left"/>
    </xf>
    <xf numFmtId="0" fontId="50" fillId="2" borderId="3" xfId="0" applyFont="1" applyFill="1" applyBorder="1" applyAlignment="1">
      <alignment horizontal="left"/>
    </xf>
    <xf numFmtId="0" fontId="18" fillId="0" borderId="9" xfId="0" applyFont="1" applyBorder="1" applyAlignment="1">
      <alignment horizontal="center"/>
    </xf>
    <xf numFmtId="0" fontId="18" fillId="0" borderId="80" xfId="0" applyFont="1" applyBorder="1" applyAlignment="1">
      <alignment horizontal="center"/>
    </xf>
    <xf numFmtId="0" fontId="50" fillId="2" borderId="4" xfId="0" applyFont="1" applyFill="1" applyBorder="1" applyAlignment="1">
      <alignment horizontal="left"/>
    </xf>
    <xf numFmtId="0" fontId="18" fillId="0" borderId="1" xfId="0" applyFont="1" applyFill="1" applyBorder="1" applyAlignment="1">
      <alignment horizontal="center"/>
    </xf>
    <xf numFmtId="2" fontId="57" fillId="0" borderId="77" xfId="0" applyNumberFormat="1" applyFont="1" applyBorder="1" applyAlignment="1">
      <alignment horizontal="right" indent="2"/>
    </xf>
    <xf numFmtId="2" fontId="23" fillId="25" borderId="79" xfId="0" applyNumberFormat="1" applyFont="1" applyFill="1" applyBorder="1" applyAlignment="1">
      <alignment horizontal="right" indent="2"/>
    </xf>
    <xf numFmtId="2" fontId="57" fillId="0" borderId="54" xfId="0" applyNumberFormat="1" applyFont="1" applyFill="1" applyBorder="1" applyAlignment="1">
      <alignment horizontal="right" indent="2"/>
    </xf>
    <xf numFmtId="2" fontId="57" fillId="0" borderId="78" xfId="0" applyNumberFormat="1" applyFont="1" applyBorder="1" applyAlignment="1">
      <alignment horizontal="right" indent="2"/>
    </xf>
    <xf numFmtId="2" fontId="23" fillId="25" borderId="76" xfId="0" applyNumberFormat="1" applyFont="1" applyFill="1" applyBorder="1" applyAlignment="1">
      <alignment horizontal="right" indent="2"/>
    </xf>
    <xf numFmtId="2" fontId="57" fillId="0" borderId="9" xfId="0" applyNumberFormat="1" applyFont="1" applyFill="1" applyBorder="1" applyAlignment="1">
      <alignment horizontal="right" indent="2"/>
    </xf>
    <xf numFmtId="0" fontId="18" fillId="0" borderId="12" xfId="0" applyFont="1" applyBorder="1" applyAlignment="1">
      <alignment horizontal="center"/>
    </xf>
    <xf numFmtId="2" fontId="57" fillId="0" borderId="81" xfId="0" applyNumberFormat="1" applyFont="1" applyBorder="1" applyAlignment="1">
      <alignment horizontal="right" indent="2"/>
    </xf>
    <xf numFmtId="2" fontId="57" fillId="0" borderId="9" xfId="0" applyNumberFormat="1" applyFont="1" applyBorder="1" applyAlignment="1">
      <alignment horizontal="right" indent="2"/>
    </xf>
    <xf numFmtId="0" fontId="0" fillId="0" borderId="51" xfId="0" applyBorder="1"/>
    <xf numFmtId="0" fontId="0" fillId="0" borderId="3" xfId="0" applyBorder="1"/>
    <xf numFmtId="166" fontId="58" fillId="0" borderId="15" xfId="0" applyNumberFormat="1" applyFont="1" applyFill="1" applyBorder="1"/>
    <xf numFmtId="166" fontId="55" fillId="0" borderId="15" xfId="0" applyNumberFormat="1" applyFont="1" applyBorder="1"/>
    <xf numFmtId="2" fontId="55" fillId="2" borderId="15" xfId="0" applyNumberFormat="1" applyFont="1" applyFill="1" applyBorder="1"/>
    <xf numFmtId="2" fontId="23" fillId="2" borderId="30" xfId="0" applyNumberFormat="1" applyFont="1" applyFill="1" applyBorder="1" applyAlignment="1">
      <alignment horizontal="center" vertical="center"/>
    </xf>
    <xf numFmtId="2" fontId="55" fillId="2" borderId="31" xfId="0" applyNumberFormat="1" applyFont="1" applyFill="1" applyBorder="1" applyAlignment="1">
      <alignment horizontal="center" vertical="center"/>
    </xf>
    <xf numFmtId="2" fontId="25" fillId="2" borderId="31" xfId="0" applyNumberFormat="1" applyFont="1" applyFill="1" applyBorder="1" applyAlignment="1">
      <alignment horizontal="center" vertical="center"/>
    </xf>
    <xf numFmtId="166" fontId="23" fillId="30" borderId="14" xfId="0" applyNumberFormat="1" applyFont="1" applyFill="1" applyBorder="1" applyAlignment="1">
      <alignment horizontal="left" vertical="center"/>
    </xf>
    <xf numFmtId="166" fontId="23" fillId="31" borderId="14" xfId="0" applyNumberFormat="1" applyFont="1" applyFill="1" applyBorder="1" applyAlignment="1">
      <alignment horizontal="left" vertical="center"/>
    </xf>
    <xf numFmtId="166" fontId="23" fillId="23" borderId="27" xfId="0" applyNumberFormat="1" applyFont="1" applyFill="1" applyBorder="1" applyAlignment="1">
      <alignment horizontal="center" vertical="center"/>
    </xf>
    <xf numFmtId="166" fontId="23" fillId="23" borderId="28" xfId="0" applyNumberFormat="1" applyFont="1" applyFill="1" applyBorder="1" applyAlignment="1">
      <alignment horizontal="center" vertical="center"/>
    </xf>
    <xf numFmtId="166" fontId="23" fillId="23" borderId="24" xfId="0" applyNumberFormat="1" applyFont="1" applyFill="1" applyBorder="1" applyAlignment="1">
      <alignment horizontal="center" vertical="center"/>
    </xf>
    <xf numFmtId="166" fontId="23" fillId="0" borderId="15" xfId="0" applyNumberFormat="1" applyFont="1" applyFill="1" applyBorder="1"/>
    <xf numFmtId="2" fontId="25" fillId="0" borderId="31" xfId="0" applyNumberFormat="1" applyFont="1" applyFill="1" applyBorder="1" applyAlignment="1">
      <alignment horizontal="center" vertical="center"/>
    </xf>
    <xf numFmtId="166" fontId="0" fillId="2" borderId="1" xfId="0" applyNumberFormat="1" applyFill="1" applyBorder="1"/>
    <xf numFmtId="166" fontId="0" fillId="31" borderId="1" xfId="0" applyNumberFormat="1" applyFill="1" applyBorder="1"/>
    <xf numFmtId="166" fontId="0" fillId="23" borderId="1" xfId="0" applyNumberFormat="1" applyFill="1" applyBorder="1"/>
    <xf numFmtId="166" fontId="0" fillId="30" borderId="1" xfId="0" applyNumberFormat="1" applyFill="1" applyBorder="1"/>
    <xf numFmtId="166" fontId="23" fillId="31" borderId="35" xfId="0" applyNumberFormat="1" applyFont="1" applyFill="1" applyBorder="1" applyAlignment="1">
      <alignment horizontal="left" vertical="center"/>
    </xf>
    <xf numFmtId="1" fontId="26" fillId="0" borderId="36" xfId="0" applyNumberFormat="1" applyFont="1" applyFill="1" applyBorder="1"/>
    <xf numFmtId="166" fontId="23" fillId="30" borderId="35" xfId="0" applyNumberFormat="1" applyFont="1" applyFill="1" applyBorder="1" applyAlignment="1">
      <alignment horizontal="left" vertical="center"/>
    </xf>
    <xf numFmtId="2" fontId="26" fillId="0" borderId="36" xfId="0" applyNumberFormat="1" applyFont="1" applyFill="1" applyBorder="1"/>
    <xf numFmtId="166" fontId="23" fillId="32" borderId="14" xfId="0" applyNumberFormat="1" applyFont="1" applyFill="1" applyBorder="1" applyAlignment="1">
      <alignment horizontal="left" vertical="center"/>
    </xf>
    <xf numFmtId="166" fontId="0" fillId="32" borderId="1" xfId="0" applyNumberFormat="1" applyFill="1" applyBorder="1"/>
    <xf numFmtId="168" fontId="25" fillId="2" borderId="31" xfId="0" applyNumberFormat="1" applyFont="1" applyFill="1" applyBorder="1" applyAlignment="1">
      <alignment horizontal="center" vertical="center"/>
    </xf>
    <xf numFmtId="1" fontId="23" fillId="0" borderId="15" xfId="0" applyNumberFormat="1" applyFont="1" applyFill="1" applyBorder="1"/>
    <xf numFmtId="4" fontId="26" fillId="0" borderId="15" xfId="0" applyNumberFormat="1" applyFont="1" applyFill="1" applyBorder="1"/>
    <xf numFmtId="4" fontId="23" fillId="0" borderId="15" xfId="0" applyNumberFormat="1" applyFont="1" applyFill="1" applyBorder="1"/>
    <xf numFmtId="171" fontId="25" fillId="2" borderId="31" xfId="0" applyNumberFormat="1" applyFont="1" applyFill="1" applyBorder="1" applyAlignment="1">
      <alignment horizontal="center" vertical="center"/>
    </xf>
    <xf numFmtId="166" fontId="25" fillId="2" borderId="29" xfId="0" applyNumberFormat="1" applyFont="1" applyFill="1" applyBorder="1" applyAlignment="1">
      <alignment horizontal="center" vertical="center"/>
    </xf>
    <xf numFmtId="0" fontId="23" fillId="23" borderId="1" xfId="0" applyFont="1" applyFill="1" applyBorder="1" applyAlignment="1">
      <alignment horizontal="center" vertical="center" wrapText="1"/>
    </xf>
    <xf numFmtId="2" fontId="23" fillId="23" borderId="1" xfId="0" applyNumberFormat="1" applyFont="1" applyFill="1" applyBorder="1" applyAlignment="1">
      <alignment horizontal="center" vertical="center" wrapText="1"/>
    </xf>
    <xf numFmtId="2" fontId="23" fillId="31" borderId="1" xfId="0" applyNumberFormat="1" applyFont="1" applyFill="1" applyBorder="1" applyAlignment="1">
      <alignment horizontal="center" vertical="center" wrapText="1"/>
    </xf>
    <xf numFmtId="10" fontId="23" fillId="2" borderId="9" xfId="0" applyNumberFormat="1" applyFont="1" applyFill="1" applyBorder="1"/>
    <xf numFmtId="166" fontId="25" fillId="14" borderId="29" xfId="0" applyNumberFormat="1" applyFont="1" applyFill="1" applyBorder="1" applyAlignment="1">
      <alignment horizontal="center" vertical="center"/>
    </xf>
    <xf numFmtId="10" fontId="23" fillId="2" borderId="1" xfId="0" applyNumberFormat="1" applyFont="1" applyFill="1" applyBorder="1" applyAlignment="1">
      <alignment horizontal="center" vertical="center" wrapText="1"/>
    </xf>
    <xf numFmtId="166" fontId="26" fillId="0" borderId="15" xfId="0" quotePrefix="1" applyNumberFormat="1" applyFont="1" applyFill="1" applyBorder="1"/>
    <xf numFmtId="4" fontId="0" fillId="0" borderId="0" xfId="0" applyNumberFormat="1" applyFill="1" applyBorder="1"/>
    <xf numFmtId="2" fontId="44" fillId="0" borderId="1" xfId="0" applyNumberFormat="1" applyFont="1" applyFill="1" applyBorder="1" applyAlignment="1">
      <alignment horizontal="right"/>
    </xf>
    <xf numFmtId="0" fontId="45" fillId="0" borderId="1" xfId="0" applyFont="1" applyFill="1" applyBorder="1"/>
    <xf numFmtId="2" fontId="46" fillId="0" borderId="1" xfId="0" applyNumberFormat="1" applyFont="1" applyFill="1" applyBorder="1" applyAlignment="1">
      <alignment horizontal="right" wrapText="1"/>
    </xf>
    <xf numFmtId="4" fontId="45" fillId="0" borderId="1" xfId="0" applyNumberFormat="1" applyFont="1" applyFill="1" applyBorder="1"/>
    <xf numFmtId="2" fontId="47" fillId="0" borderId="1" xfId="0" applyNumberFormat="1" applyFont="1" applyFill="1" applyBorder="1" applyAlignment="1">
      <alignment horizontal="right" wrapText="1"/>
    </xf>
    <xf numFmtId="0" fontId="3" fillId="0" borderId="0" xfId="0" applyFont="1" applyFill="1" applyBorder="1" applyAlignment="1">
      <alignment horizontal="centerContinuous"/>
    </xf>
    <xf numFmtId="0" fontId="3" fillId="0" borderId="0" xfId="0" applyFont="1" applyFill="1" applyBorder="1" applyAlignment="1">
      <alignment horizontal="left"/>
    </xf>
    <xf numFmtId="2" fontId="44" fillId="0" borderId="0" xfId="0" applyNumberFormat="1" applyFont="1" applyFill="1" applyBorder="1" applyAlignment="1">
      <alignment horizontal="right"/>
    </xf>
    <xf numFmtId="0" fontId="45" fillId="0" borderId="0" xfId="0" applyFont="1" applyFill="1" applyBorder="1"/>
    <xf numFmtId="2" fontId="46" fillId="0" borderId="0" xfId="0" applyNumberFormat="1" applyFont="1" applyFill="1" applyBorder="1" applyAlignment="1">
      <alignment horizontal="right" wrapText="1"/>
    </xf>
    <xf numFmtId="4" fontId="45" fillId="0" borderId="0" xfId="0" applyNumberFormat="1" applyFont="1" applyFill="1" applyBorder="1"/>
    <xf numFmtId="2" fontId="47" fillId="0" borderId="0" xfId="0" applyNumberFormat="1" applyFont="1" applyFill="1" applyBorder="1" applyAlignment="1">
      <alignment horizontal="right" wrapText="1"/>
    </xf>
    <xf numFmtId="2" fontId="40" fillId="2" borderId="31" xfId="0" applyNumberFormat="1" applyFont="1" applyFill="1" applyBorder="1"/>
    <xf numFmtId="166" fontId="40" fillId="0" borderId="31" xfId="0" applyNumberFormat="1" applyFont="1" applyFill="1" applyBorder="1"/>
    <xf numFmtId="0" fontId="3" fillId="23" borderId="1" xfId="0" applyFont="1" applyFill="1" applyBorder="1" applyAlignment="1">
      <alignment horizontal="center" vertical="center"/>
    </xf>
    <xf numFmtId="0" fontId="3" fillId="23" borderId="1" xfId="0" applyFont="1" applyFill="1" applyBorder="1" applyAlignment="1">
      <alignment horizontal="center" wrapText="1"/>
    </xf>
    <xf numFmtId="0" fontId="23" fillId="21" borderId="54" xfId="0" applyFont="1" applyFill="1" applyBorder="1" applyAlignment="1">
      <alignment horizontal="center" vertical="center"/>
    </xf>
    <xf numFmtId="0" fontId="23" fillId="26" borderId="54" xfId="0" applyFont="1" applyFill="1" applyBorder="1" applyAlignment="1">
      <alignment horizontal="center" vertical="center"/>
    </xf>
    <xf numFmtId="0" fontId="23" fillId="26" borderId="9" xfId="0" applyFont="1" applyFill="1" applyBorder="1" applyAlignment="1">
      <alignment horizontal="center" vertical="center"/>
    </xf>
    <xf numFmtId="0" fontId="23" fillId="26" borderId="9" xfId="0" applyFont="1" applyFill="1" applyBorder="1" applyAlignment="1">
      <alignment horizontal="center"/>
    </xf>
    <xf numFmtId="2" fontId="57" fillId="0" borderId="82" xfId="0" applyNumberFormat="1" applyFont="1" applyBorder="1" applyAlignment="1">
      <alignment horizontal="right" indent="2"/>
    </xf>
    <xf numFmtId="2" fontId="57" fillId="0" borderId="83" xfId="0" applyNumberFormat="1" applyFont="1" applyBorder="1" applyAlignment="1">
      <alignment horizontal="right" indent="2"/>
    </xf>
    <xf numFmtId="0" fontId="0" fillId="0" borderId="3" xfId="0" applyBorder="1" applyAlignment="1"/>
    <xf numFmtId="0" fontId="0" fillId="0" borderId="4" xfId="0" applyBorder="1" applyAlignment="1"/>
    <xf numFmtId="0" fontId="0" fillId="0" borderId="0" xfId="0" applyBorder="1" applyAlignment="1"/>
    <xf numFmtId="0" fontId="30" fillId="15" borderId="19" xfId="0" applyFont="1" applyFill="1" applyBorder="1" applyAlignment="1">
      <alignment horizontal="center" vertical="center" wrapText="1"/>
    </xf>
    <xf numFmtId="0" fontId="0" fillId="21" borderId="0" xfId="0" applyFill="1" applyBorder="1"/>
    <xf numFmtId="2" fontId="4" fillId="0" borderId="0" xfId="0" applyNumberFormat="1" applyFont="1" applyBorder="1" applyAlignment="1">
      <alignment horizontal="right"/>
    </xf>
    <xf numFmtId="0" fontId="0" fillId="7" borderId="0" xfId="0" applyFill="1" applyBorder="1"/>
    <xf numFmtId="0" fontId="0" fillId="0" borderId="35" xfId="0" applyBorder="1"/>
    <xf numFmtId="4" fontId="0" fillId="0" borderId="19" xfId="0" applyNumberFormat="1" applyBorder="1" applyAlignment="1">
      <alignment horizontal="center" vertical="center"/>
    </xf>
    <xf numFmtId="0" fontId="0" fillId="0" borderId="19" xfId="0" applyBorder="1" applyAlignment="1">
      <alignment horizontal="center" vertical="center"/>
    </xf>
    <xf numFmtId="2" fontId="0" fillId="0" borderId="19" xfId="0" applyNumberFormat="1" applyBorder="1" applyAlignment="1">
      <alignment horizontal="center" vertical="center"/>
    </xf>
    <xf numFmtId="4" fontId="15" fillId="14" borderId="84" xfId="0" applyNumberFormat="1" applyFont="1" applyFill="1" applyBorder="1"/>
    <xf numFmtId="0" fontId="17" fillId="0" borderId="19" xfId="2" applyFont="1" applyFill="1" applyBorder="1" applyAlignment="1">
      <alignment horizontal="right" wrapText="1"/>
    </xf>
    <xf numFmtId="171" fontId="31" fillId="0" borderId="85" xfId="0" applyNumberFormat="1" applyFont="1" applyBorder="1"/>
    <xf numFmtId="171" fontId="31" fillId="0" borderId="86" xfId="0" applyNumberFormat="1" applyFont="1" applyBorder="1"/>
    <xf numFmtId="171" fontId="31" fillId="0" borderId="87" xfId="0" applyNumberFormat="1" applyFont="1" applyBorder="1"/>
    <xf numFmtId="0" fontId="0" fillId="10" borderId="19" xfId="0" applyFill="1" applyBorder="1" applyAlignment="1">
      <alignment horizontal="center" vertical="center"/>
    </xf>
    <xf numFmtId="0" fontId="0" fillId="10" borderId="9" xfId="0" applyFill="1" applyBorder="1" applyAlignment="1">
      <alignment horizontal="center" vertical="center"/>
    </xf>
    <xf numFmtId="0" fontId="66" fillId="0" borderId="0" xfId="0" applyFont="1"/>
    <xf numFmtId="0" fontId="67" fillId="0" borderId="0" xfId="0" applyFont="1" applyBorder="1"/>
    <xf numFmtId="0" fontId="0" fillId="0" borderId="0" xfId="0" applyBorder="1" applyAlignment="1">
      <alignment horizontal="center" vertical="center"/>
    </xf>
    <xf numFmtId="0" fontId="1" fillId="0" borderId="4" xfId="0" applyFont="1" applyBorder="1"/>
    <xf numFmtId="0" fontId="1" fillId="0" borderId="12" xfId="0" applyFont="1" applyBorder="1"/>
    <xf numFmtId="0" fontId="68" fillId="0" borderId="0" xfId="0" applyFont="1"/>
    <xf numFmtId="0" fontId="30" fillId="15" borderId="51" xfId="0" applyFont="1" applyFill="1" applyBorder="1" applyAlignment="1">
      <alignment horizontal="center" vertical="center" wrapText="1"/>
    </xf>
    <xf numFmtId="0" fontId="23" fillId="21" borderId="50" xfId="0" applyFont="1" applyFill="1" applyBorder="1" applyAlignment="1">
      <alignment horizontal="center"/>
    </xf>
    <xf numFmtId="0" fontId="23" fillId="26" borderId="50" xfId="0" applyFont="1" applyFill="1" applyBorder="1" applyAlignment="1">
      <alignment horizontal="center"/>
    </xf>
    <xf numFmtId="0" fontId="23" fillId="26" borderId="46" xfId="0" applyFont="1" applyFill="1" applyBorder="1" applyAlignment="1">
      <alignment horizontal="center"/>
    </xf>
    <xf numFmtId="0" fontId="30" fillId="15" borderId="4" xfId="0" applyFont="1" applyFill="1" applyBorder="1" applyAlignment="1">
      <alignment horizontal="center" vertical="center" wrapText="1"/>
    </xf>
    <xf numFmtId="0" fontId="23" fillId="21" borderId="48" xfId="0" applyFont="1" applyFill="1" applyBorder="1" applyAlignment="1">
      <alignment horizontal="center"/>
    </xf>
    <xf numFmtId="0" fontId="23" fillId="26" borderId="48" xfId="0" applyFont="1" applyFill="1" applyBorder="1" applyAlignment="1">
      <alignment horizontal="center"/>
    </xf>
    <xf numFmtId="0" fontId="0" fillId="26" borderId="12" xfId="0" applyFill="1" applyBorder="1"/>
    <xf numFmtId="0" fontId="30" fillId="15" borderId="88" xfId="0" applyFont="1" applyFill="1" applyBorder="1" applyAlignment="1">
      <alignment horizontal="center" vertical="center" wrapText="1"/>
    </xf>
    <xf numFmtId="0" fontId="23" fillId="21" borderId="22" xfId="0" applyFont="1" applyFill="1" applyBorder="1" applyAlignment="1">
      <alignment horizontal="center"/>
    </xf>
    <xf numFmtId="0" fontId="23" fillId="26" borderId="22" xfId="0" applyFont="1" applyFill="1" applyBorder="1" applyAlignment="1">
      <alignment horizontal="center"/>
    </xf>
    <xf numFmtId="0" fontId="23" fillId="26" borderId="21" xfId="0" applyFont="1" applyFill="1" applyBorder="1" applyAlignment="1">
      <alignment horizontal="center"/>
    </xf>
    <xf numFmtId="0" fontId="0" fillId="0" borderId="1" xfId="0" applyFont="1" applyBorder="1" applyAlignment="1">
      <alignment horizontal="center"/>
    </xf>
    <xf numFmtId="0" fontId="69" fillId="0" borderId="0" xfId="0" applyFont="1" applyAlignment="1">
      <alignment horizontal="center"/>
    </xf>
    <xf numFmtId="0" fontId="70" fillId="0" borderId="0" xfId="0" applyFont="1"/>
    <xf numFmtId="0" fontId="71" fillId="0" borderId="0" xfId="0" applyFont="1" applyAlignment="1">
      <alignment horizontal="center"/>
    </xf>
    <xf numFmtId="0" fontId="71" fillId="33" borderId="0" xfId="0" applyFont="1" applyFill="1" applyAlignment="1">
      <alignment horizontal="center"/>
    </xf>
    <xf numFmtId="0" fontId="0" fillId="0" borderId="0" xfId="0" applyFont="1" applyFill="1" applyBorder="1"/>
    <xf numFmtId="0" fontId="0" fillId="0" borderId="0" xfId="0" applyFont="1"/>
    <xf numFmtId="0" fontId="72" fillId="0" borderId="0" xfId="0" applyFont="1"/>
    <xf numFmtId="171" fontId="32" fillId="0" borderId="0" xfId="0" applyNumberFormat="1" applyFont="1" applyAlignment="1">
      <alignment horizontal="center"/>
    </xf>
    <xf numFmtId="0" fontId="0" fillId="0" borderId="0" xfId="0" applyAlignment="1">
      <alignment horizontal="center" vertical="center"/>
    </xf>
    <xf numFmtId="0" fontId="0" fillId="0" borderId="9" xfId="0" applyBorder="1" applyAlignment="1">
      <alignment horizontal="center" vertical="center" wrapText="1"/>
    </xf>
    <xf numFmtId="3" fontId="0" fillId="0" borderId="0" xfId="0" applyNumberFormat="1"/>
    <xf numFmtId="3" fontId="2" fillId="0" borderId="0" xfId="0" applyNumberFormat="1" applyFont="1"/>
    <xf numFmtId="3" fontId="74" fillId="0" borderId="45" xfId="2" applyNumberFormat="1" applyFont="1" applyFill="1" applyBorder="1" applyAlignment="1">
      <alignment horizontal="right" wrapText="1"/>
    </xf>
    <xf numFmtId="3" fontId="2" fillId="0" borderId="0" xfId="0" applyNumberFormat="1" applyFont="1" applyFill="1" applyBorder="1"/>
    <xf numFmtId="0" fontId="75" fillId="0" borderId="0" xfId="0" applyFont="1" applyFill="1" applyBorder="1"/>
    <xf numFmtId="10" fontId="75" fillId="0" borderId="0" xfId="4" applyNumberFormat="1" applyFont="1" applyFill="1" applyBorder="1"/>
    <xf numFmtId="0" fontId="76" fillId="0" borderId="0" xfId="0" applyFont="1" applyFill="1" applyBorder="1" applyAlignment="1">
      <alignment horizontal="center"/>
    </xf>
    <xf numFmtId="3" fontId="75" fillId="0" borderId="0" xfId="0" applyNumberFormat="1" applyFont="1" applyFill="1" applyBorder="1" applyAlignment="1">
      <alignment horizontal="center"/>
    </xf>
    <xf numFmtId="3" fontId="76" fillId="0" borderId="0" xfId="0" applyNumberFormat="1" applyFont="1" applyFill="1" applyBorder="1" applyAlignment="1">
      <alignment horizontal="center"/>
    </xf>
    <xf numFmtId="10" fontId="76" fillId="0" borderId="0" xfId="0" applyNumberFormat="1" applyFont="1" applyFill="1" applyBorder="1" applyAlignment="1">
      <alignment horizontal="center"/>
    </xf>
    <xf numFmtId="9" fontId="75" fillId="0" borderId="0" xfId="4" applyFont="1" applyFill="1" applyBorder="1"/>
    <xf numFmtId="176" fontId="75" fillId="0" borderId="0" xfId="4" applyNumberFormat="1" applyFont="1" applyFill="1" applyBorder="1"/>
    <xf numFmtId="0" fontId="0" fillId="0" borderId="1" xfId="0" applyFont="1" applyBorder="1" applyAlignment="1">
      <alignment horizontal="center" wrapText="1"/>
    </xf>
    <xf numFmtId="0" fontId="0" fillId="0" borderId="1" xfId="0" applyBorder="1" applyAlignment="1">
      <alignment horizontal="center"/>
    </xf>
    <xf numFmtId="0" fontId="0" fillId="0" borderId="1" xfId="0" applyFont="1" applyFill="1" applyBorder="1" applyAlignment="1">
      <alignment horizontal="center" wrapText="1"/>
    </xf>
    <xf numFmtId="2" fontId="0" fillId="0" borderId="1" xfId="0" applyNumberFormat="1" applyBorder="1" applyAlignment="1">
      <alignment horizontal="center"/>
    </xf>
    <xf numFmtId="166" fontId="0" fillId="0" borderId="1" xfId="0" applyNumberFormat="1" applyBorder="1" applyAlignment="1">
      <alignment horizontal="center"/>
    </xf>
    <xf numFmtId="166" fontId="0" fillId="0" borderId="1" xfId="0" applyNumberFormat="1" applyBorder="1" applyAlignment="1">
      <alignment horizontal="center" vertical="center" wrapText="1"/>
    </xf>
    <xf numFmtId="169" fontId="36" fillId="0" borderId="0" xfId="0" applyNumberFormat="1" applyFont="1" applyBorder="1"/>
    <xf numFmtId="170" fontId="36" fillId="0" borderId="0" xfId="0" applyNumberFormat="1" applyFont="1" applyBorder="1"/>
    <xf numFmtId="171" fontId="36" fillId="0" borderId="0" xfId="0" applyNumberFormat="1" applyFont="1" applyBorder="1"/>
    <xf numFmtId="1" fontId="36" fillId="0" borderId="0" xfId="0" applyNumberFormat="1" applyFont="1" applyBorder="1"/>
    <xf numFmtId="0" fontId="36" fillId="0" borderId="0" xfId="0" applyFont="1" applyFill="1" applyBorder="1" applyAlignment="1">
      <alignment horizontal="right" indent="2"/>
    </xf>
    <xf numFmtId="0" fontId="33" fillId="0" borderId="1" xfId="0" applyFont="1" applyBorder="1" applyAlignment="1">
      <alignment horizontal="center" vertical="center"/>
    </xf>
    <xf numFmtId="0" fontId="40" fillId="0"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3" fillId="0" borderId="0" xfId="0" applyFont="1" applyBorder="1"/>
    <xf numFmtId="0" fontId="77" fillId="0" borderId="1" xfId="0" applyFont="1" applyFill="1" applyBorder="1" applyAlignment="1">
      <alignment horizontal="right" indent="2"/>
    </xf>
    <xf numFmtId="0" fontId="77" fillId="0" borderId="19" xfId="0" applyFont="1" applyFill="1" applyBorder="1" applyAlignment="1">
      <alignment horizontal="right" indent="2"/>
    </xf>
    <xf numFmtId="0" fontId="77" fillId="0" borderId="54" xfId="0" applyFont="1" applyFill="1" applyBorder="1" applyAlignment="1">
      <alignment horizontal="right" indent="2"/>
    </xf>
    <xf numFmtId="0" fontId="77" fillId="0" borderId="9" xfId="0" applyFont="1" applyFill="1" applyBorder="1" applyAlignment="1">
      <alignment horizontal="right" indent="2"/>
    </xf>
    <xf numFmtId="0" fontId="77" fillId="0" borderId="2" xfId="0" applyFont="1" applyFill="1" applyBorder="1" applyAlignment="1">
      <alignment horizontal="right" indent="2"/>
    </xf>
    <xf numFmtId="171" fontId="77" fillId="0" borderId="54" xfId="0" applyNumberFormat="1" applyFont="1" applyBorder="1"/>
    <xf numFmtId="171" fontId="78" fillId="0" borderId="4" xfId="0" applyNumberFormat="1" applyFont="1" applyBorder="1"/>
    <xf numFmtId="0" fontId="26" fillId="0" borderId="19" xfId="0" applyFont="1" applyFill="1" applyBorder="1" applyAlignment="1">
      <alignment horizontal="center"/>
    </xf>
    <xf numFmtId="0" fontId="26" fillId="0" borderId="54" xfId="0" applyFont="1" applyFill="1" applyBorder="1" applyAlignment="1">
      <alignment horizontal="center"/>
    </xf>
    <xf numFmtId="0" fontId="26" fillId="0" borderId="9" xfId="0" applyFont="1" applyFill="1" applyBorder="1" applyAlignment="1">
      <alignment horizontal="center"/>
    </xf>
    <xf numFmtId="0" fontId="0" fillId="0" borderId="19" xfId="0" applyBorder="1" applyAlignment="1">
      <alignment horizontal="center" vertic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2" fontId="36" fillId="0" borderId="0" xfId="0" applyNumberFormat="1" applyFont="1" applyBorder="1"/>
    <xf numFmtId="169" fontId="36" fillId="0" borderId="1" xfId="0" applyNumberFormat="1" applyFont="1" applyBorder="1"/>
    <xf numFmtId="2" fontId="36" fillId="0" borderId="1" xfId="0" applyNumberFormat="1" applyFont="1" applyBorder="1"/>
    <xf numFmtId="170" fontId="36" fillId="0" borderId="1" xfId="0" applyNumberFormat="1" applyFont="1" applyBorder="1"/>
    <xf numFmtId="171" fontId="36" fillId="0" borderId="1" xfId="0" applyNumberFormat="1" applyFont="1" applyBorder="1"/>
    <xf numFmtId="1" fontId="36" fillId="0" borderId="1" xfId="0" applyNumberFormat="1" applyFont="1" applyBorder="1"/>
    <xf numFmtId="0" fontId="23" fillId="12" borderId="33" xfId="0" applyFont="1" applyFill="1" applyBorder="1" applyAlignment="1">
      <alignment vertical="center"/>
    </xf>
    <xf numFmtId="169" fontId="0" fillId="0" borderId="0" xfId="0" applyNumberFormat="1" applyBorder="1"/>
    <xf numFmtId="2" fontId="26" fillId="10" borderId="44" xfId="0" applyNumberFormat="1" applyFont="1" applyFill="1" applyBorder="1" applyAlignment="1">
      <alignment horizontal="center" vertical="center" wrapText="1"/>
    </xf>
    <xf numFmtId="166" fontId="25" fillId="0" borderId="20" xfId="0" applyNumberFormat="1" applyFont="1" applyFill="1" applyBorder="1" applyAlignment="1">
      <alignment horizontal="center" vertical="center"/>
    </xf>
    <xf numFmtId="2" fontId="40" fillId="0" borderId="20" xfId="0" applyNumberFormat="1" applyFont="1" applyFill="1" applyBorder="1"/>
    <xf numFmtId="0" fontId="24" fillId="11" borderId="46" xfId="0" applyFont="1" applyFill="1" applyBorder="1" applyProtection="1">
      <protection locked="0"/>
    </xf>
    <xf numFmtId="2" fontId="5" fillId="7" borderId="51" xfId="0" applyNumberFormat="1" applyFont="1" applyFill="1" applyBorder="1" applyAlignment="1">
      <alignment horizontal="center" wrapText="1"/>
    </xf>
    <xf numFmtId="2" fontId="5" fillId="7" borderId="12" xfId="0" applyNumberFormat="1" applyFont="1" applyFill="1" applyBorder="1" applyAlignment="1">
      <alignment horizontal="center" wrapText="1"/>
    </xf>
    <xf numFmtId="0" fontId="23" fillId="0" borderId="84" xfId="0" applyFont="1" applyBorder="1"/>
    <xf numFmtId="2" fontId="0" fillId="0" borderId="17" xfId="0" applyNumberFormat="1" applyBorder="1"/>
    <xf numFmtId="2" fontId="0" fillId="0" borderId="89" xfId="0" applyNumberFormat="1" applyBorder="1"/>
    <xf numFmtId="0" fontId="31" fillId="0" borderId="46" xfId="0" applyFont="1" applyBorder="1"/>
    <xf numFmtId="2" fontId="0" fillId="0" borderId="12" xfId="0" applyNumberFormat="1" applyBorder="1"/>
    <xf numFmtId="0" fontId="0" fillId="0" borderId="0" xfId="0" applyAlignment="1">
      <alignment horizontal="center" vertical="center"/>
    </xf>
    <xf numFmtId="0" fontId="33" fillId="0" borderId="0" xfId="0" applyFont="1" applyBorder="1" applyAlignment="1">
      <alignment horizontal="center" vertical="center"/>
    </xf>
    <xf numFmtId="0" fontId="0" fillId="0" borderId="84" xfId="0" applyBorder="1"/>
    <xf numFmtId="0" fontId="0" fillId="0" borderId="89" xfId="0" applyBorder="1"/>
    <xf numFmtId="0" fontId="0" fillId="0" borderId="50" xfId="0" applyBorder="1"/>
    <xf numFmtId="0" fontId="0" fillId="0" borderId="46" xfId="0" applyBorder="1"/>
    <xf numFmtId="0" fontId="79" fillId="0" borderId="1" xfId="0" applyFont="1" applyFill="1" applyBorder="1" applyAlignment="1">
      <alignment horizontal="right" indent="2"/>
    </xf>
    <xf numFmtId="0" fontId="79" fillId="0" borderId="19" xfId="0" applyFont="1" applyFill="1" applyBorder="1" applyAlignment="1">
      <alignment horizontal="right" indent="2"/>
    </xf>
    <xf numFmtId="0" fontId="79" fillId="0" borderId="54" xfId="0" applyFont="1" applyFill="1" applyBorder="1" applyAlignment="1">
      <alignment horizontal="right" indent="2"/>
    </xf>
    <xf numFmtId="0" fontId="79" fillId="0" borderId="9" xfId="0" applyFont="1" applyFill="1" applyBorder="1" applyAlignment="1">
      <alignment horizontal="right" indent="2"/>
    </xf>
    <xf numFmtId="0" fontId="79" fillId="0" borderId="2" xfId="0" applyFont="1" applyFill="1" applyBorder="1" applyAlignment="1">
      <alignment horizontal="right" indent="2"/>
    </xf>
    <xf numFmtId="171" fontId="79" fillId="0" borderId="54" xfId="0" applyNumberFormat="1" applyFont="1" applyBorder="1"/>
    <xf numFmtId="171" fontId="80" fillId="0" borderId="4" xfId="0" applyNumberFormat="1" applyFont="1" applyBorder="1"/>
    <xf numFmtId="171" fontId="79" fillId="0" borderId="0" xfId="0" applyNumberFormat="1" applyFont="1" applyBorder="1"/>
    <xf numFmtId="171" fontId="80" fillId="0" borderId="0" xfId="0" applyNumberFormat="1" applyFont="1" applyBorder="1"/>
    <xf numFmtId="0" fontId="0" fillId="0" borderId="5" xfId="0" applyBorder="1"/>
    <xf numFmtId="0" fontId="0" fillId="0" borderId="6" xfId="0" applyBorder="1"/>
    <xf numFmtId="0" fontId="0" fillId="0" borderId="91" xfId="0" applyBorder="1"/>
    <xf numFmtId="0" fontId="0" fillId="0" borderId="39" xfId="0" applyBorder="1"/>
    <xf numFmtId="0" fontId="0" fillId="0" borderId="92" xfId="0" applyBorder="1"/>
    <xf numFmtId="0" fontId="0" fillId="0" borderId="93" xfId="0" applyBorder="1"/>
    <xf numFmtId="0" fontId="0" fillId="0" borderId="40" xfId="0" applyBorder="1"/>
    <xf numFmtId="0" fontId="0" fillId="0" borderId="89" xfId="0" applyBorder="1" applyAlignment="1">
      <alignment horizontal="center"/>
    </xf>
    <xf numFmtId="176" fontId="0" fillId="0" borderId="0" xfId="4" applyNumberFormat="1" applyFont="1" applyBorder="1"/>
    <xf numFmtId="10" fontId="0" fillId="0" borderId="0" xfId="4" applyNumberFormat="1" applyFont="1" applyBorder="1"/>
    <xf numFmtId="10" fontId="0" fillId="0" borderId="48" xfId="4" applyNumberFormat="1" applyFont="1" applyBorder="1"/>
    <xf numFmtId="0" fontId="75" fillId="0" borderId="51" xfId="0" applyFont="1" applyFill="1" applyBorder="1"/>
    <xf numFmtId="9" fontId="75" fillId="0" borderId="51" xfId="4" applyFont="1" applyFill="1" applyBorder="1"/>
    <xf numFmtId="10" fontId="0" fillId="0" borderId="51" xfId="0" applyNumberFormat="1" applyBorder="1"/>
    <xf numFmtId="10" fontId="0" fillId="0" borderId="12" xfId="0" applyNumberFormat="1" applyBorder="1"/>
    <xf numFmtId="17" fontId="0" fillId="0" borderId="89" xfId="0" applyNumberFormat="1" applyBorder="1" applyAlignment="1">
      <alignment horizontal="center"/>
    </xf>
    <xf numFmtId="9" fontId="0" fillId="0" borderId="51" xfId="0" applyNumberFormat="1" applyBorder="1"/>
    <xf numFmtId="0" fontId="0" fillId="0" borderId="12" xfId="0" applyBorder="1"/>
    <xf numFmtId="0" fontId="0" fillId="35" borderId="1" xfId="0" applyFill="1" applyBorder="1" applyAlignment="1">
      <alignment horizontal="center" vertical="center"/>
    </xf>
    <xf numFmtId="0" fontId="0" fillId="0" borderId="54" xfId="0" applyBorder="1" applyAlignment="1">
      <alignment horizontal="center" vertical="center"/>
    </xf>
    <xf numFmtId="0" fontId="0" fillId="0" borderId="22" xfId="0" applyBorder="1" applyAlignment="1">
      <alignment horizontal="center" vertical="center"/>
    </xf>
    <xf numFmtId="2" fontId="81" fillId="0" borderId="43" xfId="0" applyNumberFormat="1" applyFont="1" applyBorder="1" applyAlignment="1">
      <alignment horizontal="center" vertical="center"/>
    </xf>
    <xf numFmtId="0" fontId="0" fillId="0" borderId="90" xfId="0" applyBorder="1" applyAlignment="1">
      <alignment horizontal="center" vertical="center"/>
    </xf>
    <xf numFmtId="0" fontId="0" fillId="0" borderId="92" xfId="0" applyBorder="1" applyAlignment="1">
      <alignment horizontal="center" vertical="center"/>
    </xf>
    <xf numFmtId="0" fontId="1" fillId="0" borderId="21" xfId="0" applyFont="1" applyBorder="1" applyAlignment="1">
      <alignment horizontal="center" vertical="center"/>
    </xf>
    <xf numFmtId="2" fontId="82" fillId="0" borderId="93" xfId="0" applyNumberFormat="1" applyFont="1" applyBorder="1" applyAlignment="1">
      <alignment horizontal="center" vertical="center"/>
    </xf>
    <xf numFmtId="0" fontId="0" fillId="9" borderId="4" xfId="0" applyFill="1" applyBorder="1" applyAlignment="1">
      <alignment horizontal="center" vertical="center"/>
    </xf>
    <xf numFmtId="0" fontId="0" fillId="9" borderId="1" xfId="0" applyFill="1" applyBorder="1" applyAlignment="1">
      <alignment horizontal="center" vertical="center"/>
    </xf>
    <xf numFmtId="2" fontId="80" fillId="0" borderId="1" xfId="0" applyNumberFormat="1" applyFont="1" applyFill="1" applyBorder="1"/>
    <xf numFmtId="0" fontId="0" fillId="0" borderId="9" xfId="0" applyBorder="1" applyAlignment="1">
      <alignment horizontal="center" vertical="center"/>
    </xf>
    <xf numFmtId="0" fontId="0" fillId="0" borderId="49" xfId="0" applyFill="1" applyBorder="1"/>
    <xf numFmtId="0" fontId="0" fillId="0" borderId="48" xfId="0" applyFill="1" applyBorder="1"/>
    <xf numFmtId="0" fontId="3" fillId="0" borderId="1" xfId="0" applyFont="1" applyFill="1" applyBorder="1"/>
    <xf numFmtId="2" fontId="4" fillId="0" borderId="1" xfId="0" applyNumberFormat="1" applyFont="1" applyFill="1" applyBorder="1" applyAlignment="1">
      <alignment horizontal="right"/>
    </xf>
    <xf numFmtId="2" fontId="4" fillId="0" borderId="0" xfId="0" applyNumberFormat="1" applyFont="1" applyFill="1" applyBorder="1" applyAlignment="1">
      <alignment horizontal="right"/>
    </xf>
    <xf numFmtId="0" fontId="0" fillId="2" borderId="44" xfId="0" applyFill="1" applyBorder="1"/>
    <xf numFmtId="4" fontId="0" fillId="0" borderId="0" xfId="0" applyNumberFormat="1" applyBorder="1"/>
    <xf numFmtId="0" fontId="0" fillId="30" borderId="35" xfId="0" applyFill="1" applyBorder="1"/>
    <xf numFmtId="4" fontId="0" fillId="0" borderId="4" xfId="0" applyNumberFormat="1" applyBorder="1"/>
    <xf numFmtId="2" fontId="15" fillId="0" borderId="19" xfId="0" applyNumberFormat="1" applyFont="1" applyFill="1" applyBorder="1"/>
    <xf numFmtId="4" fontId="15" fillId="14" borderId="19" xfId="0" applyNumberFormat="1" applyFont="1" applyFill="1" applyBorder="1"/>
    <xf numFmtId="0" fontId="0" fillId="0" borderId="32" xfId="0" applyBorder="1"/>
    <xf numFmtId="2" fontId="15" fillId="0" borderId="9" xfId="0" applyNumberFormat="1" applyFont="1" applyFill="1" applyBorder="1"/>
    <xf numFmtId="4" fontId="15" fillId="14" borderId="9" xfId="0" applyNumberFormat="1" applyFont="1" applyFill="1" applyBorder="1"/>
    <xf numFmtId="0" fontId="0" fillId="0" borderId="23" xfId="0" applyBorder="1"/>
    <xf numFmtId="2" fontId="15" fillId="0" borderId="10" xfId="0" applyNumberFormat="1" applyFont="1" applyFill="1" applyBorder="1"/>
    <xf numFmtId="4" fontId="15" fillId="14" borderId="11" xfId="0" applyNumberFormat="1" applyFont="1" applyFill="1" applyBorder="1"/>
    <xf numFmtId="2" fontId="15" fillId="0" borderId="18" xfId="0" applyNumberFormat="1" applyFont="1" applyFill="1" applyBorder="1"/>
    <xf numFmtId="4" fontId="15" fillId="14" borderId="20" xfId="0" applyNumberFormat="1" applyFont="1" applyFill="1" applyBorder="1"/>
    <xf numFmtId="4" fontId="0" fillId="0" borderId="9" xfId="0" applyNumberFormat="1" applyBorder="1" applyAlignment="1">
      <alignment horizontal="center" vertical="center"/>
    </xf>
    <xf numFmtId="2" fontId="0" fillId="0" borderId="9" xfId="0" applyNumberFormat="1" applyBorder="1" applyAlignment="1">
      <alignment horizontal="center" vertical="center"/>
    </xf>
    <xf numFmtId="4" fontId="15" fillId="14" borderId="46" xfId="0" applyNumberFormat="1" applyFont="1" applyFill="1" applyBorder="1"/>
    <xf numFmtId="0" fontId="17" fillId="0" borderId="9" xfId="2" applyFont="1" applyFill="1" applyBorder="1" applyAlignment="1">
      <alignment horizontal="right" wrapText="1"/>
    </xf>
    <xf numFmtId="4" fontId="0" fillId="0" borderId="10" xfId="0" applyNumberFormat="1" applyBorder="1" applyAlignment="1">
      <alignment horizontal="center" vertical="center"/>
    </xf>
    <xf numFmtId="0" fontId="0" fillId="0" borderId="10" xfId="0" applyBorder="1" applyAlignment="1">
      <alignment horizontal="center" vertical="center"/>
    </xf>
    <xf numFmtId="2" fontId="0" fillId="0" borderId="10" xfId="0" applyNumberFormat="1" applyBorder="1" applyAlignment="1">
      <alignment horizontal="center" vertical="center"/>
    </xf>
    <xf numFmtId="4" fontId="15" fillId="14" borderId="18" xfId="0" applyNumberFormat="1" applyFont="1" applyFill="1" applyBorder="1"/>
    <xf numFmtId="0" fontId="17" fillId="0" borderId="11" xfId="2" applyFont="1" applyFill="1" applyBorder="1" applyAlignment="1">
      <alignment horizontal="right" wrapText="1"/>
    </xf>
    <xf numFmtId="10" fontId="0" fillId="0" borderId="0" xfId="0" applyNumberFormat="1" applyFill="1" applyBorder="1" applyAlignment="1">
      <alignment horizontal="center" vertical="center"/>
    </xf>
    <xf numFmtId="10" fontId="0" fillId="0" borderId="0" xfId="0" applyNumberFormat="1" applyAlignment="1">
      <alignment horizontal="center"/>
    </xf>
    <xf numFmtId="2" fontId="83" fillId="0" borderId="1" xfId="0" applyNumberFormat="1" applyFont="1" applyFill="1" applyBorder="1" applyAlignment="1">
      <alignment horizontal="right" wrapText="1"/>
    </xf>
    <xf numFmtId="0" fontId="0" fillId="30" borderId="1" xfId="0" applyFill="1" applyBorder="1"/>
    <xf numFmtId="2" fontId="83" fillId="0" borderId="0" xfId="0" applyNumberFormat="1" applyFont="1" applyFill="1" applyBorder="1" applyAlignment="1">
      <alignment horizontal="right" wrapText="1"/>
    </xf>
    <xf numFmtId="166" fontId="23" fillId="0" borderId="0" xfId="0" applyNumberFormat="1" applyFont="1"/>
    <xf numFmtId="0" fontId="0" fillId="0" borderId="0" xfId="0" applyBorder="1" applyAlignment="1">
      <alignment horizontal="left" vertical="center"/>
    </xf>
    <xf numFmtId="166" fontId="0" fillId="0" borderId="0" xfId="0" applyNumberFormat="1" applyBorder="1" applyAlignment="1"/>
    <xf numFmtId="2" fontId="0" fillId="0" borderId="0" xfId="0" applyNumberFormat="1" applyBorder="1" applyAlignment="1"/>
    <xf numFmtId="0" fontId="84" fillId="0" borderId="0" xfId="0" applyFont="1" applyFill="1" applyBorder="1" applyAlignment="1">
      <alignment horizontal="center"/>
    </xf>
    <xf numFmtId="166" fontId="23" fillId="0" borderId="0" xfId="0" applyNumberFormat="1" applyFont="1" applyFill="1" applyBorder="1"/>
    <xf numFmtId="166" fontId="23" fillId="0" borderId="0" xfId="0" applyNumberFormat="1" applyFont="1" applyFill="1" applyBorder="1" applyAlignment="1">
      <alignment horizontal="center" vertical="center"/>
    </xf>
    <xf numFmtId="166" fontId="31" fillId="0" borderId="0" xfId="0" applyNumberFormat="1" applyFont="1" applyFill="1" applyBorder="1"/>
    <xf numFmtId="2" fontId="23" fillId="0" borderId="0" xfId="0" applyNumberFormat="1" applyFont="1" applyFill="1" applyBorder="1"/>
    <xf numFmtId="2" fontId="23" fillId="0" borderId="0" xfId="0" applyNumberFormat="1" applyFont="1" applyFill="1" applyBorder="1" applyAlignment="1">
      <alignment horizontal="center" vertical="center"/>
    </xf>
    <xf numFmtId="2" fontId="55" fillId="0" borderId="0" xfId="0" applyNumberFormat="1" applyFont="1" applyFill="1" applyBorder="1" applyAlignment="1">
      <alignment horizontal="center" vertical="center"/>
    </xf>
    <xf numFmtId="2" fontId="55" fillId="2" borderId="37" xfId="0" applyNumberFormat="1" applyFont="1" applyFill="1" applyBorder="1"/>
    <xf numFmtId="166" fontId="25" fillId="2" borderId="20" xfId="0" applyNumberFormat="1" applyFont="1" applyFill="1" applyBorder="1" applyAlignment="1">
      <alignment horizontal="center" vertical="center"/>
    </xf>
    <xf numFmtId="166" fontId="25" fillId="2" borderId="20" xfId="0" applyNumberFormat="1" applyFont="1" applyFill="1" applyBorder="1" applyAlignment="1"/>
    <xf numFmtId="2" fontId="55" fillId="2" borderId="100" xfId="0" applyNumberFormat="1" applyFont="1" applyFill="1" applyBorder="1"/>
    <xf numFmtId="2" fontId="55" fillId="2" borderId="101" xfId="0" applyNumberFormat="1" applyFont="1" applyFill="1" applyBorder="1"/>
    <xf numFmtId="166" fontId="23" fillId="0" borderId="101" xfId="0" applyNumberFormat="1" applyFont="1" applyFill="1" applyBorder="1"/>
    <xf numFmtId="2" fontId="23" fillId="0" borderId="101" xfId="0" applyNumberFormat="1" applyFont="1" applyFill="1" applyBorder="1"/>
    <xf numFmtId="2" fontId="25" fillId="0" borderId="102" xfId="0" applyNumberFormat="1" applyFont="1" applyFill="1" applyBorder="1" applyAlignment="1">
      <alignment horizontal="center" vertical="center"/>
    </xf>
    <xf numFmtId="166" fontId="23" fillId="2" borderId="103" xfId="0" applyNumberFormat="1" applyFont="1" applyFill="1" applyBorder="1" applyAlignment="1">
      <alignment horizontal="left" vertical="center"/>
    </xf>
    <xf numFmtId="166" fontId="23" fillId="31" borderId="103" xfId="0" applyNumberFormat="1" applyFont="1" applyFill="1" applyBorder="1" applyAlignment="1">
      <alignment horizontal="left" vertical="center"/>
    </xf>
    <xf numFmtId="166" fontId="25" fillId="2" borderId="104" xfId="0" applyNumberFormat="1" applyFont="1" applyFill="1" applyBorder="1" applyAlignment="1">
      <alignment horizontal="center" vertical="center"/>
    </xf>
    <xf numFmtId="166" fontId="25" fillId="2" borderId="20" xfId="0" applyNumberFormat="1" applyFont="1" applyFill="1" applyBorder="1" applyAlignment="1">
      <alignment vertical="center"/>
    </xf>
    <xf numFmtId="166" fontId="31" fillId="0" borderId="0" xfId="0" applyNumberFormat="1" applyFont="1" applyAlignment="1">
      <alignment horizontal="center" vertical="center"/>
    </xf>
    <xf numFmtId="2" fontId="55" fillId="2" borderId="0" xfId="0" applyNumberFormat="1" applyFont="1" applyFill="1" applyBorder="1" applyAlignment="1">
      <alignment horizontal="center" vertical="center"/>
    </xf>
    <xf numFmtId="166" fontId="25" fillId="0" borderId="0" xfId="0" applyNumberFormat="1" applyFont="1" applyFill="1" applyBorder="1" applyAlignment="1">
      <alignment horizontal="center" vertical="center"/>
    </xf>
    <xf numFmtId="2" fontId="0" fillId="0" borderId="0" xfId="0" applyNumberFormat="1" applyFill="1"/>
    <xf numFmtId="166" fontId="12" fillId="0" borderId="0" xfId="0" applyNumberFormat="1" applyFont="1" applyFill="1" applyBorder="1" applyAlignment="1">
      <alignment horizontal="center" vertical="center"/>
    </xf>
    <xf numFmtId="166" fontId="12" fillId="0" borderId="0" xfId="0" applyNumberFormat="1" applyFont="1" applyAlignment="1">
      <alignment horizontal="center" vertical="center"/>
    </xf>
    <xf numFmtId="166" fontId="25" fillId="2" borderId="34" xfId="0" applyNumberFormat="1" applyFont="1" applyFill="1" applyBorder="1" applyAlignment="1">
      <alignment horizontal="center" vertical="center"/>
    </xf>
    <xf numFmtId="171" fontId="23" fillId="0" borderId="101" xfId="0" applyNumberFormat="1" applyFont="1" applyBorder="1"/>
    <xf numFmtId="1" fontId="55" fillId="0" borderId="101" xfId="0" applyNumberFormat="1" applyFont="1" applyBorder="1"/>
    <xf numFmtId="1" fontId="23" fillId="0" borderId="101" xfId="0" applyNumberFormat="1" applyFont="1" applyBorder="1"/>
    <xf numFmtId="166" fontId="25" fillId="2" borderId="102" xfId="0" applyNumberFormat="1" applyFont="1" applyFill="1" applyBorder="1" applyAlignment="1">
      <alignment horizontal="center" vertical="center"/>
    </xf>
    <xf numFmtId="166" fontId="25" fillId="2" borderId="88" xfId="0" applyNumberFormat="1" applyFont="1" applyFill="1" applyBorder="1" applyAlignment="1"/>
    <xf numFmtId="171" fontId="0" fillId="0" borderId="0" xfId="0" applyNumberFormat="1"/>
    <xf numFmtId="1" fontId="0" fillId="0" borderId="0" xfId="0" applyNumberFormat="1"/>
    <xf numFmtId="0" fontId="30" fillId="14" borderId="33" xfId="0" applyFont="1" applyFill="1" applyBorder="1" applyAlignment="1"/>
    <xf numFmtId="0" fontId="30" fillId="14" borderId="38" xfId="0" applyFont="1" applyFill="1" applyBorder="1" applyAlignment="1"/>
    <xf numFmtId="0" fontId="30" fillId="14" borderId="34" xfId="0" applyFont="1" applyFill="1" applyBorder="1" applyAlignment="1"/>
    <xf numFmtId="0" fontId="30" fillId="12" borderId="94" xfId="0" applyFont="1" applyFill="1" applyBorder="1" applyAlignment="1"/>
    <xf numFmtId="0" fontId="30" fillId="12" borderId="6" xfId="0" applyFont="1" applyFill="1" applyBorder="1" applyAlignment="1"/>
    <xf numFmtId="0" fontId="30" fillId="12" borderId="91" xfId="0" applyFont="1" applyFill="1" applyBorder="1" applyAlignment="1"/>
    <xf numFmtId="0" fontId="30" fillId="0" borderId="0" xfId="0" applyFont="1" applyFill="1" applyBorder="1" applyAlignment="1"/>
    <xf numFmtId="166" fontId="30" fillId="13" borderId="11" xfId="0" applyNumberFormat="1" applyFont="1" applyFill="1" applyBorder="1"/>
    <xf numFmtId="166" fontId="30" fillId="0" borderId="0" xfId="0" applyNumberFormat="1" applyFont="1" applyFill="1" applyBorder="1"/>
    <xf numFmtId="0" fontId="30" fillId="0" borderId="0" xfId="0" applyFont="1" applyFill="1" applyBorder="1" applyAlignment="1">
      <alignment vertical="center"/>
    </xf>
    <xf numFmtId="0" fontId="33" fillId="0" borderId="0" xfId="0" applyFont="1" applyFill="1" applyBorder="1" applyAlignment="1">
      <alignment horizontal="left" vertical="center"/>
    </xf>
    <xf numFmtId="171" fontId="30" fillId="0" borderId="1" xfId="0" applyNumberFormat="1" applyFont="1" applyFill="1" applyBorder="1"/>
    <xf numFmtId="2" fontId="31" fillId="23" borderId="1" xfId="0" applyNumberFormat="1" applyFont="1" applyFill="1" applyBorder="1" applyAlignment="1">
      <alignment horizontal="center" vertical="center" wrapText="1"/>
    </xf>
    <xf numFmtId="2" fontId="31" fillId="31" borderId="1" xfId="0" applyNumberFormat="1" applyFont="1" applyFill="1" applyBorder="1" applyAlignment="1">
      <alignment horizontal="center" vertical="center" wrapText="1"/>
    </xf>
    <xf numFmtId="168" fontId="65" fillId="2" borderId="10" xfId="0" applyNumberFormat="1" applyFont="1" applyFill="1" applyBorder="1" applyAlignment="1">
      <alignment horizontal="center" vertical="center"/>
    </xf>
    <xf numFmtId="2" fontId="31" fillId="0" borderId="0" xfId="0" applyNumberFormat="1" applyFont="1" applyFill="1" applyBorder="1" applyAlignment="1">
      <alignment horizontal="center" vertical="center" wrapText="1"/>
    </xf>
    <xf numFmtId="3" fontId="65" fillId="0" borderId="0" xfId="0" applyNumberFormat="1" applyFont="1" applyFill="1" applyBorder="1"/>
    <xf numFmtId="1" fontId="23" fillId="0" borderId="0" xfId="0" applyNumberFormat="1" applyFont="1" applyFill="1" applyBorder="1"/>
    <xf numFmtId="0" fontId="12" fillId="35" borderId="9" xfId="0" applyFont="1" applyFill="1" applyBorder="1" applyAlignment="1">
      <alignment horizontal="center" vertical="center"/>
    </xf>
    <xf numFmtId="0" fontId="85" fillId="17" borderId="19" xfId="0" applyFont="1" applyFill="1" applyBorder="1" applyAlignment="1">
      <alignment horizontal="center" vertical="center"/>
    </xf>
    <xf numFmtId="166" fontId="86" fillId="21" borderId="1" xfId="0" applyNumberFormat="1" applyFont="1" applyFill="1" applyBorder="1" applyAlignment="1">
      <alignment horizontal="center" vertical="center"/>
    </xf>
    <xf numFmtId="166" fontId="86" fillId="21" borderId="9" xfId="0" applyNumberFormat="1" applyFont="1" applyFill="1" applyBorder="1" applyAlignment="1">
      <alignment horizontal="center" vertical="center"/>
    </xf>
    <xf numFmtId="166" fontId="6" fillId="21" borderId="9" xfId="0" applyNumberFormat="1" applyFont="1" applyFill="1" applyBorder="1" applyAlignment="1">
      <alignment horizontal="center" vertical="center"/>
    </xf>
    <xf numFmtId="9" fontId="86" fillId="26" borderId="1" xfId="4" applyFont="1" applyFill="1" applyBorder="1" applyAlignment="1">
      <alignment horizontal="center" vertical="center" wrapText="1"/>
    </xf>
    <xf numFmtId="0" fontId="33" fillId="0" borderId="0" xfId="0" applyFont="1" applyAlignment="1">
      <alignment horizontal="right"/>
    </xf>
    <xf numFmtId="0" fontId="25" fillId="0" borderId="0" xfId="0" applyFont="1"/>
    <xf numFmtId="0" fontId="30" fillId="0" borderId="0" xfId="0" applyFont="1" applyFill="1" applyBorder="1" applyAlignment="1">
      <alignment horizontal="center" vertical="center" wrapText="1"/>
    </xf>
    <xf numFmtId="166" fontId="33" fillId="0" borderId="0" xfId="0" applyNumberFormat="1" applyFont="1" applyFill="1" applyBorder="1" applyAlignment="1">
      <alignment vertical="center"/>
    </xf>
    <xf numFmtId="166" fontId="30" fillId="0" borderId="0" xfId="0" applyNumberFormat="1" applyFont="1" applyFill="1" applyBorder="1" applyAlignment="1">
      <alignment vertical="center"/>
    </xf>
    <xf numFmtId="0" fontId="25" fillId="0" borderId="0" xfId="0" applyFont="1" applyFill="1" applyBorder="1" applyAlignment="1">
      <alignment horizontal="left" vertical="center" wrapText="1"/>
    </xf>
    <xf numFmtId="0" fontId="23" fillId="0" borderId="92" xfId="0" applyFont="1" applyBorder="1" applyAlignment="1"/>
    <xf numFmtId="0" fontId="12" fillId="38" borderId="1" xfId="0" applyFont="1" applyFill="1" applyBorder="1" applyAlignment="1">
      <alignment horizontal="center" vertical="center"/>
    </xf>
    <xf numFmtId="9" fontId="86" fillId="0" borderId="0" xfId="4" applyFont="1" applyFill="1" applyBorder="1" applyAlignment="1">
      <alignment horizontal="center" vertical="center" wrapText="1"/>
    </xf>
    <xf numFmtId="10" fontId="86" fillId="0" borderId="0" xfId="4" applyNumberFormat="1" applyFont="1" applyFill="1" applyBorder="1" applyAlignment="1">
      <alignment horizontal="center" vertical="center" wrapText="1"/>
    </xf>
    <xf numFmtId="2" fontId="85" fillId="0" borderId="0" xfId="0" applyNumberFormat="1" applyFont="1" applyFill="1" applyBorder="1" applyAlignment="1">
      <alignment horizontal="center" vertical="center"/>
    </xf>
    <xf numFmtId="0" fontId="85" fillId="0" borderId="0" xfId="0" applyFont="1" applyFill="1" applyBorder="1" applyAlignment="1">
      <alignment horizontal="center" vertical="center"/>
    </xf>
    <xf numFmtId="166" fontId="86" fillId="0" borderId="0" xfId="4" applyNumberFormat="1" applyFont="1" applyFill="1" applyBorder="1" applyAlignment="1">
      <alignment horizontal="center" vertical="center" wrapText="1"/>
    </xf>
    <xf numFmtId="9" fontId="88" fillId="0" borderId="0" xfId="4" applyFont="1" applyFill="1" applyBorder="1" applyAlignment="1">
      <alignment horizontal="center" vertical="center" wrapText="1"/>
    </xf>
    <xf numFmtId="0" fontId="87" fillId="0" borderId="0" xfId="0" applyFont="1" applyAlignment="1">
      <alignment horizontal="left"/>
    </xf>
    <xf numFmtId="2" fontId="86" fillId="26" borderId="1" xfId="4" applyNumberFormat="1" applyFont="1" applyFill="1" applyBorder="1" applyAlignment="1">
      <alignment horizontal="center" vertical="center" wrapText="1"/>
    </xf>
    <xf numFmtId="166" fontId="86" fillId="26" borderId="1" xfId="4" applyNumberFormat="1" applyFont="1" applyFill="1" applyBorder="1" applyAlignment="1">
      <alignment horizontal="center" vertical="center" wrapText="1"/>
    </xf>
    <xf numFmtId="9" fontId="88" fillId="9" borderId="1" xfId="4" applyFont="1" applyFill="1" applyBorder="1" applyAlignment="1">
      <alignment horizontal="center" vertical="center" wrapText="1"/>
    </xf>
    <xf numFmtId="9" fontId="87" fillId="0" borderId="0" xfId="4" applyFont="1" applyFill="1" applyBorder="1" applyAlignment="1">
      <alignment horizontal="left" vertical="center"/>
    </xf>
    <xf numFmtId="2" fontId="3" fillId="7" borderId="1" xfId="0" applyNumberFormat="1" applyFont="1" applyFill="1" applyBorder="1" applyAlignment="1">
      <alignment horizontal="center" vertical="center"/>
    </xf>
    <xf numFmtId="9" fontId="88" fillId="14" borderId="1" xfId="4" applyFont="1" applyFill="1" applyBorder="1" applyAlignment="1">
      <alignment horizontal="center" vertical="center" wrapText="1"/>
    </xf>
    <xf numFmtId="166" fontId="88" fillId="13" borderId="1" xfId="4" applyNumberFormat="1" applyFont="1" applyFill="1" applyBorder="1" applyAlignment="1">
      <alignment horizontal="center" vertical="center" wrapText="1"/>
    </xf>
    <xf numFmtId="9" fontId="87" fillId="0" borderId="0" xfId="4" applyFont="1" applyFill="1" applyBorder="1" applyAlignment="1">
      <alignment vertical="center"/>
    </xf>
    <xf numFmtId="11" fontId="30" fillId="0" borderId="1" xfId="0" applyNumberFormat="1" applyFont="1" applyFill="1" applyBorder="1"/>
    <xf numFmtId="2" fontId="30" fillId="0" borderId="1" xfId="0" applyNumberFormat="1" applyFont="1" applyFill="1" applyBorder="1"/>
    <xf numFmtId="0" fontId="0" fillId="0" borderId="34" xfId="0" applyBorder="1"/>
    <xf numFmtId="0" fontId="89" fillId="2" borderId="27" xfId="0" applyFont="1" applyFill="1" applyBorder="1" applyAlignment="1">
      <alignment horizontal="center" vertical="center" wrapText="1"/>
    </xf>
    <xf numFmtId="0" fontId="89" fillId="2" borderId="28" xfId="0" applyFont="1" applyFill="1" applyBorder="1" applyAlignment="1">
      <alignment horizontal="center" vertical="center" wrapText="1"/>
    </xf>
    <xf numFmtId="0" fontId="89" fillId="2" borderId="24" xfId="0" applyFont="1" applyFill="1" applyBorder="1" applyAlignment="1">
      <alignment horizontal="center" vertical="center" wrapText="1"/>
    </xf>
    <xf numFmtId="0" fontId="89" fillId="14" borderId="20" xfId="0" applyFont="1" applyFill="1" applyBorder="1" applyAlignment="1">
      <alignment horizontal="center" vertical="center" wrapText="1"/>
    </xf>
    <xf numFmtId="0" fontId="33" fillId="0" borderId="0" xfId="0" applyFont="1" applyFill="1" applyBorder="1" applyAlignment="1">
      <alignment horizontal="left"/>
    </xf>
    <xf numFmtId="0" fontId="30" fillId="0" borderId="0" xfId="0" applyFont="1" applyFill="1" applyBorder="1" applyAlignment="1">
      <alignment horizontal="center"/>
    </xf>
    <xf numFmtId="0" fontId="89" fillId="0" borderId="0" xfId="0" applyFont="1" applyFill="1" applyBorder="1" applyAlignment="1">
      <alignment horizontal="center" vertical="center" wrapText="1"/>
    </xf>
    <xf numFmtId="11" fontId="33" fillId="0" borderId="0" xfId="0" applyNumberFormat="1" applyFont="1" applyFill="1" applyBorder="1" applyAlignment="1">
      <alignment vertical="center"/>
    </xf>
    <xf numFmtId="0" fontId="90"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0" xfId="0" applyFont="1" applyFill="1" applyBorder="1" applyAlignment="1">
      <alignment vertical="center"/>
    </xf>
    <xf numFmtId="166" fontId="30" fillId="0" borderId="0" xfId="0" applyNumberFormat="1" applyFont="1" applyFill="1" applyBorder="1" applyAlignment="1"/>
    <xf numFmtId="0" fontId="89" fillId="0" borderId="0" xfId="0" applyFont="1" applyFill="1" applyBorder="1" applyAlignment="1">
      <alignment vertical="center"/>
    </xf>
    <xf numFmtId="0" fontId="33" fillId="42" borderId="20" xfId="0" applyFont="1" applyFill="1" applyBorder="1" applyAlignment="1">
      <alignment horizontal="center" vertical="center"/>
    </xf>
    <xf numFmtId="0" fontId="30" fillId="0" borderId="33" xfId="0" applyFont="1" applyBorder="1" applyAlignment="1">
      <alignment vertical="center"/>
    </xf>
    <xf numFmtId="0" fontId="30" fillId="0" borderId="34" xfId="0" applyFont="1" applyBorder="1" applyAlignment="1">
      <alignment vertical="center"/>
    </xf>
    <xf numFmtId="0" fontId="23" fillId="0" borderId="33" xfId="0" applyFont="1" applyBorder="1" applyAlignment="1">
      <alignment wrapText="1"/>
    </xf>
    <xf numFmtId="3" fontId="23" fillId="0" borderId="34" xfId="0" applyNumberFormat="1" applyFont="1" applyBorder="1" applyAlignment="1">
      <alignment horizontal="center" vertical="center"/>
    </xf>
    <xf numFmtId="0" fontId="0" fillId="0" borderId="33" xfId="0" applyBorder="1" applyAlignment="1">
      <alignment vertical="center"/>
    </xf>
    <xf numFmtId="0" fontId="0" fillId="0" borderId="33" xfId="0" applyBorder="1" applyAlignment="1">
      <alignment horizontal="left" vertical="center" wrapText="1"/>
    </xf>
    <xf numFmtId="0" fontId="0" fillId="0" borderId="34" xfId="0" applyBorder="1" applyAlignment="1">
      <alignment horizontal="left" vertical="center"/>
    </xf>
    <xf numFmtId="166" fontId="88" fillId="0" borderId="0" xfId="4" applyNumberFormat="1" applyFont="1" applyFill="1" applyBorder="1" applyAlignment="1">
      <alignment horizontal="center" vertical="center" wrapText="1"/>
    </xf>
    <xf numFmtId="0" fontId="30" fillId="0" borderId="0" xfId="0" applyFont="1" applyBorder="1" applyAlignment="1">
      <alignment vertical="center"/>
    </xf>
    <xf numFmtId="0" fontId="23" fillId="0" borderId="0" xfId="0" applyFont="1" applyBorder="1" applyAlignment="1">
      <alignment wrapText="1"/>
    </xf>
    <xf numFmtId="3" fontId="23" fillId="0" borderId="0" xfId="0" applyNumberFormat="1" applyFont="1" applyBorder="1" applyAlignment="1">
      <alignment horizontal="center" vertical="center"/>
    </xf>
    <xf numFmtId="0" fontId="0" fillId="0" borderId="0" xfId="0" applyBorder="1" applyAlignment="1">
      <alignment vertical="center"/>
    </xf>
    <xf numFmtId="0" fontId="0" fillId="0" borderId="0" xfId="0" applyBorder="1" applyAlignment="1">
      <alignment horizontal="left" vertical="center" wrapText="1"/>
    </xf>
    <xf numFmtId="0" fontId="33" fillId="42" borderId="44" xfId="0" applyFont="1" applyFill="1" applyBorder="1" applyAlignment="1">
      <alignment horizontal="center" vertical="center"/>
    </xf>
    <xf numFmtId="0" fontId="89" fillId="2" borderId="88" xfId="0" applyFont="1" applyFill="1" applyBorder="1" applyAlignment="1">
      <alignment horizontal="center" vertical="center" wrapText="1"/>
    </xf>
    <xf numFmtId="0" fontId="33" fillId="11" borderId="20" xfId="0" applyFont="1" applyFill="1" applyBorder="1" applyAlignment="1">
      <alignment horizontal="center" vertical="center" wrapText="1"/>
    </xf>
    <xf numFmtId="166" fontId="89" fillId="2" borderId="27" xfId="4" applyNumberFormat="1" applyFont="1" applyFill="1" applyBorder="1" applyAlignment="1">
      <alignment horizontal="center" vertical="center" wrapText="1"/>
    </xf>
    <xf numFmtId="166" fontId="89" fillId="2" borderId="28" xfId="4" applyNumberFormat="1" applyFont="1" applyFill="1" applyBorder="1" applyAlignment="1">
      <alignment horizontal="center" vertical="center" wrapText="1"/>
    </xf>
    <xf numFmtId="166" fontId="89" fillId="2" borderId="24" xfId="4" applyNumberFormat="1" applyFont="1" applyFill="1" applyBorder="1" applyAlignment="1">
      <alignment horizontal="center" vertical="center" wrapText="1"/>
    </xf>
    <xf numFmtId="166" fontId="33" fillId="0" borderId="0" xfId="4" applyNumberFormat="1" applyFont="1" applyFill="1" applyBorder="1" applyAlignment="1">
      <alignment horizontal="center" vertical="center" wrapText="1"/>
    </xf>
    <xf numFmtId="166" fontId="33" fillId="21" borderId="29" xfId="4" applyNumberFormat="1" applyFont="1" applyFill="1" applyBorder="1" applyAlignment="1">
      <alignment horizontal="center" vertical="center" wrapText="1"/>
    </xf>
    <xf numFmtId="166" fontId="33" fillId="21" borderId="30" xfId="4" applyNumberFormat="1" applyFont="1" applyFill="1" applyBorder="1" applyAlignment="1">
      <alignment horizontal="center" vertical="center" wrapText="1"/>
    </xf>
    <xf numFmtId="166" fontId="33" fillId="21" borderId="31" xfId="4" applyNumberFormat="1" applyFont="1" applyFill="1" applyBorder="1" applyAlignment="1">
      <alignment horizontal="center" vertical="center" wrapText="1"/>
    </xf>
    <xf numFmtId="0" fontId="30" fillId="0" borderId="0" xfId="0" applyFont="1" applyAlignment="1">
      <alignment horizontal="center" vertical="center"/>
    </xf>
    <xf numFmtId="166" fontId="33" fillId="0" borderId="0" xfId="0" applyNumberFormat="1" applyFont="1" applyFill="1" applyBorder="1" applyAlignment="1">
      <alignment horizontal="center" vertical="center"/>
    </xf>
    <xf numFmtId="0" fontId="91" fillId="0" borderId="0" xfId="0" applyFont="1"/>
    <xf numFmtId="166" fontId="2" fillId="0" borderId="0" xfId="0" applyNumberFormat="1" applyFont="1"/>
    <xf numFmtId="0" fontId="92" fillId="0" borderId="0" xfId="0" applyFont="1"/>
    <xf numFmtId="2" fontId="93" fillId="0" borderId="0" xfId="0" applyNumberFormat="1" applyFont="1"/>
    <xf numFmtId="166" fontId="93" fillId="0" borderId="0" xfId="0" applyNumberFormat="1" applyFont="1"/>
    <xf numFmtId="0" fontId="93" fillId="0" borderId="0" xfId="0" applyFont="1"/>
    <xf numFmtId="166" fontId="94" fillId="0" borderId="0" xfId="0" applyNumberFormat="1" applyFont="1"/>
    <xf numFmtId="0" fontId="30" fillId="0" borderId="0" xfId="0" applyFont="1"/>
    <xf numFmtId="2" fontId="14" fillId="2" borderId="1" xfId="0" applyNumberFormat="1" applyFont="1" applyFill="1" applyBorder="1" applyAlignment="1">
      <alignment horizontal="center" vertical="center" wrapText="1"/>
    </xf>
    <xf numFmtId="166" fontId="14" fillId="2" borderId="15" xfId="0" applyNumberFormat="1" applyFont="1" applyFill="1" applyBorder="1" applyAlignment="1">
      <alignment horizontal="center" vertical="center" wrapText="1"/>
    </xf>
    <xf numFmtId="166" fontId="95" fillId="2" borderId="15" xfId="0" applyNumberFormat="1" applyFont="1" applyFill="1" applyBorder="1" applyAlignment="1">
      <alignment horizontal="center" vertical="center" wrapText="1"/>
    </xf>
    <xf numFmtId="2" fontId="14" fillId="2" borderId="15" xfId="0" applyNumberFormat="1" applyFont="1" applyFill="1" applyBorder="1" applyAlignment="1">
      <alignment horizontal="center" vertical="center" wrapText="1"/>
    </xf>
    <xf numFmtId="2" fontId="30" fillId="21" borderId="2" xfId="0" applyNumberFormat="1" applyFont="1" applyFill="1" applyBorder="1" applyAlignment="1">
      <alignment horizontal="center" vertical="center" wrapText="1"/>
    </xf>
    <xf numFmtId="2" fontId="30" fillId="21" borderId="3" xfId="0" applyNumberFormat="1" applyFont="1" applyFill="1" applyBorder="1" applyAlignment="1">
      <alignment horizontal="center" vertical="center" wrapText="1"/>
    </xf>
    <xf numFmtId="2" fontId="30" fillId="21" borderId="4" xfId="0" applyNumberFormat="1" applyFont="1" applyFill="1" applyBorder="1" applyAlignment="1">
      <alignment horizontal="center" vertical="center" wrapText="1"/>
    </xf>
    <xf numFmtId="0" fontId="14" fillId="8" borderId="14" xfId="0" applyFont="1" applyFill="1" applyBorder="1"/>
    <xf numFmtId="2" fontId="14" fillId="33" borderId="1" xfId="0" applyNumberFormat="1" applyFont="1" applyFill="1" applyBorder="1"/>
    <xf numFmtId="166" fontId="14" fillId="33" borderId="15" xfId="0" applyNumberFormat="1" applyFont="1" applyFill="1" applyBorder="1"/>
    <xf numFmtId="2" fontId="14" fillId="33" borderId="15" xfId="0" applyNumberFormat="1" applyFont="1" applyFill="1" applyBorder="1"/>
    <xf numFmtId="0" fontId="14" fillId="33" borderId="1" xfId="0" applyFont="1" applyFill="1" applyBorder="1"/>
    <xf numFmtId="2" fontId="30" fillId="0" borderId="19" xfId="0" applyNumberFormat="1" applyFont="1" applyFill="1" applyBorder="1" applyAlignment="1">
      <alignment horizontal="center"/>
    </xf>
    <xf numFmtId="2" fontId="30" fillId="0" borderId="17" xfId="0" applyNumberFormat="1" applyFont="1" applyFill="1" applyBorder="1" applyAlignment="1">
      <alignment horizontal="center"/>
    </xf>
    <xf numFmtId="2" fontId="30" fillId="0" borderId="89" xfId="0" applyNumberFormat="1" applyFont="1" applyFill="1" applyBorder="1" applyAlignment="1">
      <alignment horizontal="center"/>
    </xf>
    <xf numFmtId="2" fontId="30" fillId="0" borderId="54" xfId="0" applyNumberFormat="1" applyFont="1" applyFill="1" applyBorder="1" applyAlignment="1">
      <alignment horizontal="center"/>
    </xf>
    <xf numFmtId="2" fontId="30" fillId="0" borderId="0" xfId="0" applyNumberFormat="1" applyFont="1" applyFill="1" applyBorder="1" applyAlignment="1">
      <alignment horizontal="center"/>
    </xf>
    <xf numFmtId="2" fontId="30" fillId="0" borderId="48" xfId="0" applyNumberFormat="1" applyFont="1" applyFill="1" applyBorder="1" applyAlignment="1">
      <alignment horizontal="center"/>
    </xf>
    <xf numFmtId="0" fontId="14" fillId="8" borderId="35" xfId="0" applyFont="1" applyFill="1" applyBorder="1"/>
    <xf numFmtId="2" fontId="14" fillId="33" borderId="19" xfId="0" applyNumberFormat="1" applyFont="1" applyFill="1" applyBorder="1"/>
    <xf numFmtId="166" fontId="14" fillId="33" borderId="36" xfId="0" applyNumberFormat="1" applyFont="1" applyFill="1" applyBorder="1"/>
    <xf numFmtId="2" fontId="14" fillId="33" borderId="36" xfId="0" applyNumberFormat="1" applyFont="1" applyFill="1" applyBorder="1"/>
    <xf numFmtId="0" fontId="14" fillId="13" borderId="23" xfId="0" applyFont="1" applyFill="1" applyBorder="1"/>
    <xf numFmtId="2" fontId="14" fillId="13" borderId="10" xfId="0" applyNumberFormat="1" applyFont="1" applyFill="1" applyBorder="1"/>
    <xf numFmtId="166" fontId="95" fillId="13" borderId="11" xfId="0" applyNumberFormat="1" applyFont="1" applyFill="1" applyBorder="1"/>
    <xf numFmtId="0" fontId="33" fillId="35" borderId="1" xfId="0" applyFont="1" applyFill="1" applyBorder="1" applyAlignment="1">
      <alignment horizontal="center" vertical="center"/>
    </xf>
    <xf numFmtId="2" fontId="30" fillId="0" borderId="54" xfId="0" applyNumberFormat="1" applyFont="1" applyFill="1" applyBorder="1" applyAlignment="1">
      <alignment horizontal="center" vertical="center"/>
    </xf>
    <xf numFmtId="2" fontId="30" fillId="0" borderId="0" xfId="0" applyNumberFormat="1" applyFont="1" applyFill="1" applyBorder="1" applyAlignment="1">
      <alignment horizontal="center" vertical="center"/>
    </xf>
    <xf numFmtId="2" fontId="30" fillId="0" borderId="48" xfId="0" applyNumberFormat="1" applyFont="1" applyFill="1" applyBorder="1" applyAlignment="1">
      <alignment horizontal="center" vertical="center"/>
    </xf>
    <xf numFmtId="0" fontId="30" fillId="2" borderId="19" xfId="0" applyFont="1" applyFill="1" applyBorder="1" applyAlignment="1">
      <alignment horizontal="center" vertical="center" wrapText="1"/>
    </xf>
    <xf numFmtId="166" fontId="30" fillId="2" borderId="36" xfId="0" applyNumberFormat="1" applyFont="1" applyFill="1" applyBorder="1" applyAlignment="1">
      <alignment horizontal="center" vertical="center" wrapText="1"/>
    </xf>
    <xf numFmtId="2" fontId="14" fillId="2" borderId="19" xfId="0" applyNumberFormat="1" applyFont="1" applyFill="1" applyBorder="1" applyAlignment="1">
      <alignment horizontal="center" vertical="center" wrapText="1"/>
    </xf>
    <xf numFmtId="166" fontId="95" fillId="2" borderId="36" xfId="0" applyNumberFormat="1" applyFont="1" applyFill="1" applyBorder="1" applyAlignment="1">
      <alignment horizontal="center" vertical="center" wrapText="1"/>
    </xf>
    <xf numFmtId="2" fontId="30" fillId="0" borderId="2" xfId="0" applyNumberFormat="1" applyFont="1" applyFill="1" applyBorder="1" applyAlignment="1">
      <alignment horizontal="center" vertical="center" wrapText="1"/>
    </xf>
    <xf numFmtId="2" fontId="30" fillId="0" borderId="3" xfId="0" applyNumberFormat="1" applyFont="1" applyFill="1" applyBorder="1" applyAlignment="1">
      <alignment horizontal="center" vertical="center" wrapText="1"/>
    </xf>
    <xf numFmtId="2" fontId="30" fillId="0" borderId="4" xfId="0" applyNumberFormat="1" applyFont="1" applyFill="1" applyBorder="1" applyAlignment="1">
      <alignment horizontal="center" vertical="center" wrapText="1"/>
    </xf>
    <xf numFmtId="166" fontId="32" fillId="0" borderId="1" xfId="0" applyNumberFormat="1" applyFont="1" applyFill="1" applyBorder="1"/>
    <xf numFmtId="0" fontId="97" fillId="33" borderId="1" xfId="0" applyFont="1" applyFill="1" applyBorder="1"/>
    <xf numFmtId="2" fontId="14" fillId="0" borderId="84" xfId="0" applyNumberFormat="1" applyFont="1" applyFill="1" applyBorder="1"/>
    <xf numFmtId="2" fontId="14" fillId="0" borderId="17" xfId="0" applyNumberFormat="1" applyFont="1" applyFill="1" applyBorder="1"/>
    <xf numFmtId="2" fontId="14" fillId="0" borderId="89" xfId="0" applyNumberFormat="1" applyFont="1" applyFill="1" applyBorder="1"/>
    <xf numFmtId="2" fontId="14" fillId="0" borderId="50" xfId="0" applyNumberFormat="1" applyFont="1" applyFill="1" applyBorder="1"/>
    <xf numFmtId="2" fontId="14" fillId="0" borderId="0" xfId="0" applyNumberFormat="1" applyFont="1" applyFill="1" applyBorder="1"/>
    <xf numFmtId="2" fontId="14" fillId="0" borderId="48" xfId="0" applyNumberFormat="1" applyFont="1" applyFill="1" applyBorder="1"/>
    <xf numFmtId="166" fontId="32" fillId="0" borderId="15" xfId="0" applyNumberFormat="1" applyFont="1" applyFill="1" applyBorder="1"/>
    <xf numFmtId="166" fontId="32" fillId="0" borderId="36" xfId="0" applyNumberFormat="1" applyFont="1" applyFill="1" applyBorder="1"/>
    <xf numFmtId="0" fontId="33" fillId="35" borderId="1" xfId="0" applyFont="1" applyFill="1" applyBorder="1" applyAlignment="1">
      <alignment horizontal="left"/>
    </xf>
    <xf numFmtId="2" fontId="14" fillId="0" borderId="51" xfId="0" applyNumberFormat="1" applyFont="1" applyFill="1" applyBorder="1"/>
    <xf numFmtId="2" fontId="14" fillId="0" borderId="12" xfId="0" applyNumberFormat="1" applyFont="1" applyFill="1" applyBorder="1"/>
    <xf numFmtId="166" fontId="25" fillId="0" borderId="0" xfId="0" applyNumberFormat="1" applyFont="1" applyFill="1" applyBorder="1" applyAlignment="1">
      <alignment horizontal="center"/>
    </xf>
    <xf numFmtId="0" fontId="94" fillId="0" borderId="0" xfId="0" applyFont="1"/>
    <xf numFmtId="0" fontId="93" fillId="0" borderId="0" xfId="0" applyFont="1" applyFill="1"/>
    <xf numFmtId="0" fontId="14" fillId="0" borderId="0" xfId="0" applyFont="1" applyFill="1" applyBorder="1" applyAlignment="1">
      <alignment horizontal="center"/>
    </xf>
    <xf numFmtId="0" fontId="14" fillId="0" borderId="0" xfId="0" applyFont="1" applyFill="1" applyBorder="1"/>
    <xf numFmtId="0" fontId="14" fillId="0" borderId="0" xfId="0" applyFont="1" applyFill="1" applyBorder="1" applyAlignment="1">
      <alignment horizontal="center" vertical="center" wrapText="1"/>
    </xf>
    <xf numFmtId="2" fontId="14" fillId="0" borderId="0" xfId="0" applyNumberFormat="1" applyFont="1" applyFill="1" applyBorder="1" applyAlignment="1">
      <alignment horizontal="center" vertical="center" wrapText="1"/>
    </xf>
    <xf numFmtId="2" fontId="95" fillId="2" borderId="1" xfId="0" applyNumberFormat="1" applyFont="1" applyFill="1" applyBorder="1" applyAlignment="1">
      <alignment horizontal="center" vertical="center" wrapText="1"/>
    </xf>
    <xf numFmtId="2" fontId="95" fillId="2" borderId="15" xfId="0" applyNumberFormat="1" applyFont="1" applyFill="1" applyBorder="1" applyAlignment="1">
      <alignment horizontal="center" vertical="center" wrapText="1"/>
    </xf>
    <xf numFmtId="2" fontId="30" fillId="0" borderId="51" xfId="0" applyNumberFormat="1" applyFont="1" applyFill="1" applyBorder="1" applyAlignment="1">
      <alignment horizontal="center" vertical="center" wrapText="1"/>
    </xf>
    <xf numFmtId="2" fontId="30" fillId="0" borderId="12" xfId="0" applyNumberFormat="1" applyFont="1" applyFill="1" applyBorder="1" applyAlignment="1">
      <alignment horizontal="center" vertical="center" wrapText="1"/>
    </xf>
    <xf numFmtId="2" fontId="14" fillId="0" borderId="1" xfId="0" applyNumberFormat="1" applyFont="1" applyFill="1" applyBorder="1"/>
    <xf numFmtId="166" fontId="95" fillId="0" borderId="15" xfId="0" applyNumberFormat="1" applyFont="1" applyFill="1" applyBorder="1"/>
    <xf numFmtId="2" fontId="95" fillId="0" borderId="1" xfId="0" applyNumberFormat="1" applyFont="1" applyFill="1" applyBorder="1"/>
    <xf numFmtId="2" fontId="95" fillId="0" borderId="15" xfId="0" applyNumberFormat="1" applyFont="1" applyFill="1" applyBorder="1"/>
    <xf numFmtId="2" fontId="14" fillId="0" borderId="15" xfId="0" applyNumberFormat="1" applyFont="1" applyFill="1" applyBorder="1"/>
    <xf numFmtId="2" fontId="95" fillId="0" borderId="0" xfId="0" applyNumberFormat="1" applyFont="1" applyFill="1" applyBorder="1"/>
    <xf numFmtId="0" fontId="95" fillId="8" borderId="14" xfId="0" applyFont="1" applyFill="1" applyBorder="1"/>
    <xf numFmtId="2" fontId="23" fillId="0" borderId="48" xfId="0" applyNumberFormat="1" applyFont="1" applyFill="1" applyBorder="1"/>
    <xf numFmtId="0" fontId="95" fillId="8" borderId="35" xfId="0" applyFont="1" applyFill="1" applyBorder="1"/>
    <xf numFmtId="2" fontId="14" fillId="0" borderId="19" xfId="0" applyNumberFormat="1" applyFont="1" applyFill="1" applyBorder="1"/>
    <xf numFmtId="166" fontId="95" fillId="0" borderId="36" xfId="0" applyNumberFormat="1" applyFont="1" applyFill="1" applyBorder="1"/>
    <xf numFmtId="2" fontId="95" fillId="6" borderId="19" xfId="0" applyNumberFormat="1" applyFont="1" applyFill="1" applyBorder="1"/>
    <xf numFmtId="166" fontId="95" fillId="6" borderId="36" xfId="0" applyNumberFormat="1" applyFont="1" applyFill="1" applyBorder="1"/>
    <xf numFmtId="166" fontId="14" fillId="0" borderId="36" xfId="0" applyNumberFormat="1" applyFont="1" applyFill="1" applyBorder="1"/>
    <xf numFmtId="2" fontId="95" fillId="0" borderId="19" xfId="0" applyNumberFormat="1" applyFont="1" applyFill="1" applyBorder="1"/>
    <xf numFmtId="2" fontId="95" fillId="0" borderId="36" xfId="0" applyNumberFormat="1" applyFont="1" applyFill="1" applyBorder="1"/>
    <xf numFmtId="166" fontId="32" fillId="0" borderId="19" xfId="0" applyNumberFormat="1" applyFont="1" applyFill="1" applyBorder="1"/>
    <xf numFmtId="166" fontId="14" fillId="13" borderId="10" xfId="0" applyNumberFormat="1" applyFont="1" applyFill="1" applyBorder="1"/>
    <xf numFmtId="0" fontId="32" fillId="13" borderId="23" xfId="0" applyFont="1" applyFill="1" applyBorder="1" applyAlignment="1">
      <alignment vertical="center"/>
    </xf>
    <xf numFmtId="2" fontId="95" fillId="13" borderId="10" xfId="0" applyNumberFormat="1" applyFont="1" applyFill="1" applyBorder="1"/>
    <xf numFmtId="0" fontId="33" fillId="35" borderId="19" xfId="0" applyFont="1" applyFill="1" applyBorder="1" applyAlignment="1">
      <alignment horizontal="left"/>
    </xf>
    <xf numFmtId="0" fontId="99" fillId="0" borderId="0" xfId="0" applyFont="1" applyFill="1" applyBorder="1"/>
    <xf numFmtId="0" fontId="100" fillId="14" borderId="23" xfId="0" applyFont="1" applyFill="1" applyBorder="1" applyAlignment="1">
      <alignment horizontal="left" vertical="center"/>
    </xf>
    <xf numFmtId="2" fontId="30" fillId="0" borderId="46" xfId="0" applyNumberFormat="1" applyFont="1" applyFill="1" applyBorder="1" applyAlignment="1">
      <alignment horizontal="center" vertical="center" wrapText="1"/>
    </xf>
    <xf numFmtId="166" fontId="14" fillId="0" borderId="1" xfId="0" applyNumberFormat="1" applyFont="1" applyFill="1" applyBorder="1"/>
    <xf numFmtId="166" fontId="14" fillId="0" borderId="15" xfId="0" applyNumberFormat="1" applyFont="1" applyFill="1" applyBorder="1"/>
    <xf numFmtId="2" fontId="23" fillId="0" borderId="84" xfId="0" applyNumberFormat="1" applyFont="1" applyFill="1" applyBorder="1"/>
    <xf numFmtId="2" fontId="23" fillId="0" borderId="17" xfId="0" applyNumberFormat="1" applyFont="1" applyFill="1" applyBorder="1"/>
    <xf numFmtId="2" fontId="23" fillId="0" borderId="89" xfId="0" applyNumberFormat="1" applyFont="1" applyFill="1" applyBorder="1"/>
    <xf numFmtId="2" fontId="23" fillId="0" borderId="50" xfId="0" applyNumberFormat="1" applyFont="1" applyFill="1" applyBorder="1"/>
    <xf numFmtId="166" fontId="14" fillId="0" borderId="19" xfId="0" applyNumberFormat="1" applyFont="1" applyFill="1" applyBorder="1"/>
    <xf numFmtId="2" fontId="31" fillId="0" borderId="0" xfId="0" applyNumberFormat="1" applyFont="1" applyFill="1" applyBorder="1"/>
    <xf numFmtId="2" fontId="31" fillId="0" borderId="48" xfId="0" applyNumberFormat="1" applyFont="1" applyFill="1" applyBorder="1"/>
    <xf numFmtId="0" fontId="33" fillId="0" borderId="0" xfId="0" applyFont="1" applyFill="1" applyBorder="1"/>
    <xf numFmtId="166" fontId="95" fillId="0" borderId="1" xfId="0" applyNumberFormat="1" applyFont="1" applyFill="1" applyBorder="1"/>
    <xf numFmtId="2" fontId="31" fillId="0" borderId="50" xfId="0" applyNumberFormat="1" applyFont="1" applyFill="1" applyBorder="1"/>
    <xf numFmtId="166" fontId="95" fillId="0" borderId="19" xfId="0" applyNumberFormat="1" applyFont="1" applyFill="1" applyBorder="1"/>
    <xf numFmtId="0" fontId="96" fillId="0" borderId="89" xfId="0" applyFont="1" applyFill="1" applyBorder="1" applyAlignment="1">
      <alignment horizontal="left" vertical="center" wrapText="1"/>
    </xf>
    <xf numFmtId="0" fontId="96" fillId="0" borderId="12" xfId="0" applyFont="1" applyBorder="1" applyAlignment="1">
      <alignment horizontal="center" vertical="center"/>
    </xf>
    <xf numFmtId="1" fontId="30" fillId="0" borderId="51" xfId="0" applyNumberFormat="1" applyFont="1" applyFill="1" applyBorder="1" applyAlignment="1">
      <alignment horizontal="center" vertical="center" wrapText="1"/>
    </xf>
    <xf numFmtId="0" fontId="96" fillId="0" borderId="48" xfId="0" applyFont="1" applyBorder="1" applyAlignment="1">
      <alignment vertical="center"/>
    </xf>
    <xf numFmtId="2" fontId="101" fillId="0" borderId="0" xfId="0" applyNumberFormat="1" applyFont="1" applyFill="1" applyBorder="1" applyAlignment="1">
      <alignment horizontal="center" vertical="center" wrapText="1"/>
    </xf>
    <xf numFmtId="2" fontId="33" fillId="0" borderId="0" xfId="0" applyNumberFormat="1" applyFont="1" applyFill="1" applyBorder="1" applyAlignment="1">
      <alignment horizontal="center" vertical="center" wrapText="1"/>
    </xf>
    <xf numFmtId="2" fontId="100" fillId="0" borderId="0" xfId="0" applyNumberFormat="1" applyFont="1" applyFill="1" applyBorder="1" applyAlignment="1">
      <alignment horizontal="center" vertical="center" wrapText="1"/>
    </xf>
    <xf numFmtId="166" fontId="33" fillId="0" borderId="0" xfId="0" applyNumberFormat="1" applyFont="1" applyFill="1" applyBorder="1" applyAlignment="1">
      <alignment horizontal="center" vertical="center" wrapText="1"/>
    </xf>
    <xf numFmtId="0" fontId="30" fillId="0" borderId="48" xfId="0" applyFont="1" applyBorder="1" applyAlignment="1"/>
    <xf numFmtId="2" fontId="32" fillId="0" borderId="0" xfId="0" applyNumberFormat="1" applyFont="1" applyFill="1" applyBorder="1" applyAlignment="1">
      <alignment horizontal="center" vertical="center" wrapText="1"/>
    </xf>
    <xf numFmtId="0" fontId="97" fillId="33" borderId="2" xfId="0" applyFont="1" applyFill="1" applyBorder="1"/>
    <xf numFmtId="2" fontId="31" fillId="0" borderId="84" xfId="0" applyNumberFormat="1" applyFont="1" applyFill="1" applyBorder="1"/>
    <xf numFmtId="2" fontId="31" fillId="0" borderId="17" xfId="0" applyNumberFormat="1" applyFont="1" applyFill="1" applyBorder="1"/>
    <xf numFmtId="2" fontId="31" fillId="0" borderId="89" xfId="0" applyNumberFormat="1" applyFont="1" applyFill="1" applyBorder="1"/>
    <xf numFmtId="2" fontId="32" fillId="0" borderId="0" xfId="0" applyNumberFormat="1" applyFont="1" applyFill="1" applyBorder="1" applyAlignment="1">
      <alignment horizontal="center" vertical="center"/>
    </xf>
    <xf numFmtId="0" fontId="97" fillId="0" borderId="48" xfId="0" applyFont="1" applyFill="1" applyBorder="1" applyAlignment="1"/>
    <xf numFmtId="2" fontId="30" fillId="0" borderId="0" xfId="0" applyNumberFormat="1" applyFont="1" applyFill="1" applyBorder="1" applyAlignment="1">
      <alignment horizontal="center" vertical="center" wrapText="1"/>
    </xf>
    <xf numFmtId="166" fontId="30" fillId="0" borderId="0" xfId="0" applyNumberFormat="1" applyFont="1" applyFill="1" applyBorder="1" applyAlignment="1">
      <alignment horizontal="center" vertical="center" wrapText="1"/>
    </xf>
    <xf numFmtId="0" fontId="97" fillId="0" borderId="48" xfId="0" applyFont="1" applyFill="1" applyBorder="1"/>
    <xf numFmtId="11" fontId="30" fillId="0" borderId="0" xfId="0" applyNumberFormat="1" applyFont="1" applyFill="1" applyBorder="1" applyAlignment="1">
      <alignment horizontal="center" vertical="center" wrapText="1"/>
    </xf>
    <xf numFmtId="0" fontId="30" fillId="0" borderId="48" xfId="0" applyFont="1" applyFill="1" applyBorder="1"/>
    <xf numFmtId="166" fontId="32" fillId="0" borderId="0" xfId="0" applyNumberFormat="1" applyFont="1" applyAlignment="1">
      <alignment horizontal="center" vertical="center"/>
    </xf>
    <xf numFmtId="2" fontId="32" fillId="0" borderId="0" xfId="0" applyNumberFormat="1" applyFont="1" applyAlignment="1">
      <alignment horizontal="center" vertical="center"/>
    </xf>
    <xf numFmtId="171" fontId="32" fillId="0" borderId="0" xfId="0" applyNumberFormat="1" applyFont="1" applyAlignment="1">
      <alignment horizontal="center" vertical="center"/>
    </xf>
    <xf numFmtId="0" fontId="96" fillId="0" borderId="48" xfId="0" applyFont="1" applyFill="1" applyBorder="1" applyAlignment="1">
      <alignment vertical="center"/>
    </xf>
    <xf numFmtId="2" fontId="96" fillId="0" borderId="0" xfId="0" applyNumberFormat="1" applyFont="1" applyFill="1" applyBorder="1" applyAlignment="1">
      <alignment horizontal="center" vertical="center"/>
    </xf>
    <xf numFmtId="11" fontId="33" fillId="0" borderId="0" xfId="0" applyNumberFormat="1" applyFont="1" applyFill="1" applyBorder="1" applyAlignment="1">
      <alignment horizontal="center" vertical="center" wrapText="1"/>
    </xf>
    <xf numFmtId="0" fontId="33" fillId="35" borderId="2" xfId="0" applyFont="1" applyFill="1" applyBorder="1" applyAlignment="1">
      <alignment horizontal="left"/>
    </xf>
    <xf numFmtId="2" fontId="31" fillId="0" borderId="46" xfId="0" applyNumberFormat="1" applyFont="1" applyFill="1" applyBorder="1"/>
    <xf numFmtId="2" fontId="31" fillId="0" borderId="51" xfId="0" applyNumberFormat="1" applyFont="1" applyFill="1" applyBorder="1"/>
    <xf numFmtId="2" fontId="31" fillId="0" borderId="12" xfId="0" applyNumberFormat="1" applyFont="1" applyFill="1" applyBorder="1"/>
    <xf numFmtId="2" fontId="101" fillId="0" borderId="0" xfId="0" applyNumberFormat="1" applyFont="1" applyFill="1" applyBorder="1" applyAlignment="1">
      <alignment horizontal="center" vertical="center"/>
    </xf>
    <xf numFmtId="2" fontId="57" fillId="0" borderId="0" xfId="0" applyNumberFormat="1" applyFont="1" applyFill="1" applyBorder="1" applyAlignment="1">
      <alignment horizontal="center" vertical="center"/>
    </xf>
    <xf numFmtId="0" fontId="96" fillId="0" borderId="48" xfId="0" applyFont="1" applyFill="1" applyBorder="1"/>
    <xf numFmtId="0" fontId="96" fillId="0" borderId="48" xfId="0" applyFont="1" applyFill="1" applyBorder="1" applyAlignment="1">
      <alignment horizontal="center" vertical="center"/>
    </xf>
    <xf numFmtId="2" fontId="96" fillId="0" borderId="0" xfId="0" applyNumberFormat="1" applyFont="1" applyFill="1" applyBorder="1" applyAlignment="1">
      <alignment horizontal="center"/>
    </xf>
    <xf numFmtId="166" fontId="96" fillId="0" borderId="0" xfId="0" applyNumberFormat="1" applyFont="1" applyFill="1" applyBorder="1" applyAlignment="1">
      <alignment horizontal="center"/>
    </xf>
    <xf numFmtId="0" fontId="30" fillId="0" borderId="48" xfId="0" applyFont="1" applyBorder="1" applyAlignment="1">
      <alignment horizontal="center" vertical="center"/>
    </xf>
    <xf numFmtId="2" fontId="30" fillId="0" borderId="0" xfId="0" applyNumberFormat="1" applyFont="1" applyAlignment="1">
      <alignment horizontal="center" vertical="center"/>
    </xf>
    <xf numFmtId="0" fontId="30" fillId="0" borderId="0" xfId="0" applyFont="1" applyBorder="1" applyAlignment="1">
      <alignment horizontal="center" vertical="center"/>
    </xf>
    <xf numFmtId="0" fontId="96" fillId="0" borderId="48" xfId="0" applyFont="1" applyBorder="1" applyAlignment="1">
      <alignment horizontal="center" vertical="center"/>
    </xf>
    <xf numFmtId="166" fontId="96" fillId="0" borderId="0" xfId="0" applyNumberFormat="1" applyFont="1" applyAlignment="1">
      <alignment horizontal="center" vertical="center"/>
    </xf>
    <xf numFmtId="0" fontId="96" fillId="0" borderId="0" xfId="0" applyFont="1" applyBorder="1" applyAlignment="1">
      <alignment horizontal="center" vertical="center"/>
    </xf>
    <xf numFmtId="0" fontId="97" fillId="0" borderId="48" xfId="0" applyFont="1" applyFill="1" applyBorder="1" applyAlignment="1">
      <alignment horizontal="center" vertical="center" wrapText="1"/>
    </xf>
    <xf numFmtId="2" fontId="96" fillId="0" borderId="0" xfId="0" applyNumberFormat="1" applyFont="1" applyAlignment="1">
      <alignment horizontal="center" vertical="center"/>
    </xf>
    <xf numFmtId="0" fontId="30" fillId="0" borderId="0" xfId="0" applyFont="1" applyFill="1" applyBorder="1" applyAlignment="1">
      <alignment horizontal="center" vertical="center"/>
    </xf>
    <xf numFmtId="0" fontId="96" fillId="0" borderId="48" xfId="0" applyFont="1" applyFill="1" applyBorder="1" applyAlignment="1">
      <alignment horizontal="center" wrapText="1"/>
    </xf>
    <xf numFmtId="0" fontId="97" fillId="0" borderId="0" xfId="0" applyFont="1" applyAlignment="1">
      <alignment wrapText="1"/>
    </xf>
    <xf numFmtId="0" fontId="33" fillId="0" borderId="0" xfId="0" applyFont="1" applyFill="1" applyBorder="1" applyAlignment="1">
      <alignment horizontal="center" vertical="center"/>
    </xf>
    <xf numFmtId="166" fontId="30" fillId="0" borderId="0" xfId="0" applyNumberFormat="1" applyFont="1" applyFill="1" applyBorder="1" applyAlignment="1">
      <alignment horizontal="center"/>
    </xf>
    <xf numFmtId="166" fontId="33" fillId="0" borderId="0" xfId="0" applyNumberFormat="1" applyFont="1" applyFill="1" applyBorder="1" applyAlignment="1">
      <alignment horizontal="center" vertical="center"/>
    </xf>
    <xf numFmtId="166" fontId="30" fillId="0" borderId="0" xfId="0" applyNumberFormat="1" applyFont="1" applyFill="1" applyBorder="1" applyAlignment="1">
      <alignment horizontal="right" vertical="center"/>
    </xf>
    <xf numFmtId="166" fontId="23" fillId="0" borderId="0" xfId="0" applyNumberFormat="1" applyFont="1" applyFill="1" applyBorder="1" applyAlignment="1">
      <alignment horizontal="center" vertical="center"/>
    </xf>
    <xf numFmtId="0" fontId="89" fillId="0" borderId="0" xfId="0" applyFont="1" applyFill="1" applyBorder="1" applyAlignment="1">
      <alignment horizontal="center" vertical="center"/>
    </xf>
    <xf numFmtId="166" fontId="30" fillId="0" borderId="0" xfId="0" applyNumberFormat="1" applyFont="1" applyFill="1" applyBorder="1" applyAlignment="1">
      <alignment horizontal="center" vertical="center"/>
    </xf>
    <xf numFmtId="0" fontId="33" fillId="11" borderId="21" xfId="0" applyFont="1" applyFill="1" applyBorder="1" applyAlignment="1">
      <alignment horizontal="center" vertical="center" wrapText="1"/>
    </xf>
    <xf numFmtId="0" fontId="89" fillId="2" borderId="7" xfId="0" applyFont="1" applyFill="1" applyBorder="1" applyAlignment="1">
      <alignment horizontal="center" vertical="center" wrapText="1"/>
    </xf>
    <xf numFmtId="166" fontId="33" fillId="21" borderId="0" xfId="0" applyNumberFormat="1" applyFont="1" applyFill="1" applyBorder="1" applyAlignment="1">
      <alignment horizontal="center" vertical="center"/>
    </xf>
    <xf numFmtId="166" fontId="33" fillId="0" borderId="38" xfId="0" applyNumberFormat="1" applyFont="1" applyFill="1" applyBorder="1" applyAlignment="1">
      <alignment horizontal="center" vertical="center"/>
    </xf>
    <xf numFmtId="166" fontId="33" fillId="0" borderId="34" xfId="0" applyNumberFormat="1" applyFont="1" applyFill="1" applyBorder="1" applyAlignment="1">
      <alignment horizontal="center" vertical="center"/>
    </xf>
    <xf numFmtId="166" fontId="89" fillId="0" borderId="0" xfId="4" applyNumberFormat="1" applyFont="1" applyFill="1" applyBorder="1" applyAlignment="1">
      <alignment horizontal="center" vertical="center" wrapText="1"/>
    </xf>
    <xf numFmtId="0" fontId="90" fillId="21" borderId="38" xfId="0" applyFont="1" applyFill="1" applyBorder="1" applyAlignment="1">
      <alignment vertical="center"/>
    </xf>
    <xf numFmtId="0" fontId="90" fillId="21" borderId="34" xfId="0" applyFont="1" applyFill="1" applyBorder="1" applyAlignment="1">
      <alignment vertical="center"/>
    </xf>
    <xf numFmtId="0" fontId="102" fillId="21" borderId="38" xfId="0" applyFont="1" applyFill="1" applyBorder="1" applyAlignment="1">
      <alignment vertical="center"/>
    </xf>
    <xf numFmtId="0" fontId="0" fillId="21" borderId="0" xfId="0" applyFill="1"/>
    <xf numFmtId="166" fontId="30" fillId="21" borderId="0" xfId="0" applyNumberFormat="1" applyFont="1" applyFill="1" applyBorder="1" applyAlignment="1">
      <alignment horizontal="right" vertical="center"/>
    </xf>
    <xf numFmtId="0" fontId="33" fillId="21" borderId="0" xfId="0" applyFont="1" applyFill="1" applyBorder="1" applyAlignment="1">
      <alignment horizontal="center" vertical="center"/>
    </xf>
    <xf numFmtId="0" fontId="33" fillId="14" borderId="33" xfId="0" applyFont="1" applyFill="1" applyBorder="1" applyAlignment="1">
      <alignment horizontal="left" vertical="center"/>
    </xf>
    <xf numFmtId="0" fontId="30" fillId="2" borderId="14" xfId="0" applyFont="1" applyFill="1" applyBorder="1" applyAlignment="1">
      <alignment horizontal="center" vertical="center" wrapText="1"/>
    </xf>
    <xf numFmtId="166" fontId="30" fillId="0" borderId="14" xfId="0" applyNumberFormat="1" applyFont="1" applyFill="1" applyBorder="1"/>
    <xf numFmtId="166" fontId="30" fillId="13" borderId="23" xfId="0" applyNumberFormat="1" applyFont="1" applyFill="1" applyBorder="1"/>
    <xf numFmtId="0" fontId="104" fillId="14" borderId="20" xfId="0" applyFont="1" applyFill="1" applyBorder="1" applyAlignment="1">
      <alignment horizontal="center"/>
    </xf>
    <xf numFmtId="0" fontId="33" fillId="8" borderId="13" xfId="0" applyFont="1" applyFill="1" applyBorder="1"/>
    <xf numFmtId="0" fontId="33" fillId="13" borderId="33" xfId="0" applyFont="1" applyFill="1" applyBorder="1" applyAlignment="1">
      <alignment vertical="center"/>
    </xf>
    <xf numFmtId="0" fontId="33" fillId="8" borderId="103" xfId="0" applyFont="1" applyFill="1" applyBorder="1"/>
    <xf numFmtId="0" fontId="89" fillId="14" borderId="20" xfId="0" applyFont="1" applyFill="1" applyBorder="1" applyAlignment="1">
      <alignment horizontal="left" vertical="center"/>
    </xf>
    <xf numFmtId="0" fontId="103" fillId="0" borderId="0" xfId="0" applyFont="1" applyFill="1" applyBorder="1" applyAlignment="1"/>
    <xf numFmtId="0" fontId="25" fillId="0" borderId="0" xfId="0" applyFont="1" applyFill="1" applyBorder="1" applyAlignment="1">
      <alignment vertical="center"/>
    </xf>
    <xf numFmtId="166" fontId="84" fillId="0" borderId="0" xfId="0" applyNumberFormat="1" applyFont="1" applyFill="1" applyBorder="1" applyAlignment="1">
      <alignment vertical="center"/>
    </xf>
    <xf numFmtId="0" fontId="103" fillId="40" borderId="16" xfId="0" applyFont="1" applyFill="1" applyBorder="1" applyAlignment="1">
      <alignment horizontal="center"/>
    </xf>
    <xf numFmtId="0" fontId="103" fillId="40" borderId="88" xfId="0" applyFont="1" applyFill="1" applyBorder="1" applyAlignment="1">
      <alignment horizontal="center"/>
    </xf>
    <xf numFmtId="0" fontId="25" fillId="14" borderId="111" xfId="0" applyFont="1" applyFill="1" applyBorder="1" applyAlignment="1">
      <alignment horizontal="center" vertical="center"/>
    </xf>
    <xf numFmtId="0" fontId="25" fillId="14" borderId="106" xfId="0" applyFont="1" applyFill="1" applyBorder="1" applyAlignment="1">
      <alignment horizontal="center" vertical="center"/>
    </xf>
    <xf numFmtId="166" fontId="0" fillId="0" borderId="13" xfId="0" applyNumberFormat="1" applyBorder="1" applyAlignment="1">
      <alignment horizontal="center"/>
    </xf>
    <xf numFmtId="166" fontId="84" fillId="14" borderId="107" xfId="0" applyNumberFormat="1" applyFont="1" applyFill="1" applyBorder="1" applyAlignment="1">
      <alignment horizontal="center" vertical="center"/>
    </xf>
    <xf numFmtId="166" fontId="84" fillId="14" borderId="104" xfId="0" applyNumberFormat="1" applyFont="1" applyFill="1" applyBorder="1" applyAlignment="1">
      <alignment horizontal="center" vertical="center"/>
    </xf>
    <xf numFmtId="166" fontId="0" fillId="0" borderId="103" xfId="0" applyNumberFormat="1" applyFill="1" applyBorder="1" applyAlignment="1"/>
    <xf numFmtId="0" fontId="33" fillId="3" borderId="44" xfId="0" applyFont="1" applyFill="1" applyBorder="1" applyAlignment="1">
      <alignment horizontal="center" vertical="center" wrapText="1"/>
    </xf>
    <xf numFmtId="0" fontId="0" fillId="0" borderId="103" xfId="0" applyFill="1" applyBorder="1"/>
    <xf numFmtId="0" fontId="89" fillId="0" borderId="38"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0" fillId="0" borderId="0" xfId="0" applyFont="1" applyFill="1" applyBorder="1" applyAlignment="1">
      <alignment vertical="center"/>
    </xf>
    <xf numFmtId="0" fontId="30" fillId="0" borderId="0" xfId="0" applyFont="1" applyFill="1" applyBorder="1" applyAlignment="1">
      <alignment vertical="center" wrapText="1"/>
    </xf>
    <xf numFmtId="166" fontId="23" fillId="0" borderId="0" xfId="0" applyNumberFormat="1" applyFont="1" applyFill="1" applyBorder="1" applyAlignment="1">
      <alignment vertical="center"/>
    </xf>
    <xf numFmtId="166" fontId="89" fillId="0" borderId="0" xfId="0" applyNumberFormat="1" applyFont="1" applyFill="1" applyBorder="1" applyAlignment="1">
      <alignment vertical="center"/>
    </xf>
    <xf numFmtId="0" fontId="89" fillId="0" borderId="40" xfId="0" applyFont="1" applyFill="1" applyBorder="1" applyAlignment="1">
      <alignment horizontal="center" vertical="center" wrapText="1"/>
    </xf>
    <xf numFmtId="166" fontId="33" fillId="0" borderId="43" xfId="0" applyNumberFormat="1" applyFont="1" applyFill="1" applyBorder="1" applyAlignment="1">
      <alignment horizontal="center" vertical="center"/>
    </xf>
    <xf numFmtId="166" fontId="2" fillId="0" borderId="0" xfId="0" applyNumberFormat="1" applyFont="1" applyFill="1" applyBorder="1"/>
    <xf numFmtId="0" fontId="27" fillId="17" borderId="38" xfId="0" applyFont="1" applyFill="1" applyBorder="1" applyAlignment="1">
      <alignment horizontal="center" vertical="center"/>
    </xf>
    <xf numFmtId="0" fontId="105" fillId="17" borderId="38" xfId="0" applyFont="1" applyFill="1" applyBorder="1"/>
    <xf numFmtId="0" fontId="105" fillId="17" borderId="34" xfId="0" applyFont="1" applyFill="1" applyBorder="1"/>
    <xf numFmtId="166" fontId="33" fillId="0" borderId="0" xfId="0" applyNumberFormat="1" applyFont="1" applyFill="1" applyBorder="1" applyAlignment="1">
      <alignment horizontal="center" vertical="center"/>
    </xf>
    <xf numFmtId="0" fontId="6" fillId="0" borderId="0" xfId="0" applyFont="1" applyFill="1" applyBorder="1" applyAlignment="1">
      <alignment vertical="top"/>
    </xf>
    <xf numFmtId="0" fontId="6" fillId="0" borderId="1" xfId="0" applyFont="1" applyFill="1" applyBorder="1" applyAlignment="1">
      <alignment vertical="top"/>
    </xf>
    <xf numFmtId="0" fontId="12" fillId="0" borderId="1" xfId="0" applyFont="1" applyBorder="1"/>
    <xf numFmtId="0" fontId="12" fillId="0" borderId="1" xfId="0" applyFont="1" applyFill="1" applyBorder="1" applyAlignment="1">
      <alignment vertical="top"/>
    </xf>
    <xf numFmtId="0" fontId="12" fillId="0" borderId="0" xfId="0" applyFont="1" applyFill="1" applyBorder="1" applyAlignment="1">
      <alignment vertical="top"/>
    </xf>
    <xf numFmtId="2" fontId="12" fillId="0" borderId="1" xfId="0" applyNumberFormat="1" applyFont="1" applyBorder="1"/>
    <xf numFmtId="0" fontId="89" fillId="2" borderId="1" xfId="0" applyFont="1" applyFill="1" applyBorder="1" applyAlignment="1">
      <alignment horizontal="center" vertical="center" wrapText="1"/>
    </xf>
    <xf numFmtId="166" fontId="106" fillId="0" borderId="1" xfId="0" applyNumberFormat="1" applyFont="1" applyBorder="1" applyAlignment="1">
      <alignment horizontal="center" vertical="center"/>
    </xf>
    <xf numFmtId="9" fontId="1" fillId="0" borderId="1" xfId="0" applyNumberFormat="1" applyFont="1" applyBorder="1" applyAlignment="1">
      <alignment horizontal="center" vertical="center"/>
    </xf>
    <xf numFmtId="9" fontId="1" fillId="32" borderId="1" xfId="4" applyFont="1" applyFill="1" applyBorder="1" applyAlignment="1">
      <alignment horizontal="center" vertical="center"/>
    </xf>
    <xf numFmtId="9" fontId="1" fillId="43" borderId="1" xfId="4" applyFont="1" applyFill="1" applyBorder="1" applyAlignment="1">
      <alignment horizontal="center" vertical="center"/>
    </xf>
    <xf numFmtId="4" fontId="77" fillId="0" borderId="15" xfId="0" applyNumberFormat="1" applyFont="1" applyBorder="1"/>
    <xf numFmtId="0" fontId="107" fillId="0" borderId="0" xfId="0" applyFont="1" applyFill="1"/>
    <xf numFmtId="4" fontId="78" fillId="0" borderId="15" xfId="0" applyNumberFormat="1" applyFont="1" applyBorder="1"/>
    <xf numFmtId="0" fontId="0" fillId="0" borderId="1" xfId="0" applyFill="1" applyBorder="1" applyAlignment="1">
      <alignment horizontal="left" vertical="top" wrapText="1"/>
    </xf>
    <xf numFmtId="2" fontId="35" fillId="0" borderId="1" xfId="0" applyNumberFormat="1" applyFont="1" applyFill="1" applyBorder="1" applyAlignment="1">
      <alignment horizontal="center" wrapText="1"/>
    </xf>
    <xf numFmtId="0" fontId="57" fillId="0" borderId="1" xfId="0" applyFont="1" applyBorder="1"/>
    <xf numFmtId="0" fontId="31" fillId="5" borderId="1" xfId="0" applyFont="1" applyFill="1" applyBorder="1"/>
    <xf numFmtId="0" fontId="109" fillId="21" borderId="1" xfId="0" applyFont="1" applyFill="1" applyBorder="1"/>
    <xf numFmtId="0" fontId="108" fillId="0" borderId="1" xfId="0" applyFont="1" applyBorder="1"/>
    <xf numFmtId="0" fontId="19" fillId="21" borderId="1" xfId="0" applyFont="1" applyFill="1" applyBorder="1"/>
    <xf numFmtId="0" fontId="19" fillId="0" borderId="48" xfId="0" applyFont="1" applyFill="1" applyBorder="1"/>
    <xf numFmtId="0" fontId="19" fillId="0" borderId="0" xfId="0" applyFont="1" applyFill="1" applyBorder="1"/>
    <xf numFmtId="0" fontId="109" fillId="21" borderId="1" xfId="0" applyFont="1" applyFill="1" applyBorder="1" applyAlignment="1">
      <alignment horizontal="left" wrapText="1"/>
    </xf>
    <xf numFmtId="0" fontId="108" fillId="0" borderId="1" xfId="0" applyFont="1" applyFill="1" applyBorder="1"/>
    <xf numFmtId="0" fontId="2" fillId="0" borderId="1" xfId="0" applyFont="1" applyBorder="1"/>
    <xf numFmtId="2" fontId="25" fillId="7" borderId="1" xfId="0" applyNumberFormat="1" applyFont="1" applyFill="1" applyBorder="1" applyAlignment="1">
      <alignment horizontal="center" wrapText="1"/>
    </xf>
    <xf numFmtId="1" fontId="25" fillId="0" borderId="15" xfId="0" applyNumberFormat="1" applyFont="1" applyBorder="1"/>
    <xf numFmtId="0" fontId="0" fillId="0" borderId="0" xfId="0" applyFill="1" applyBorder="1" applyAlignment="1"/>
    <xf numFmtId="0" fontId="23" fillId="44" borderId="1" xfId="0" applyFont="1" applyFill="1" applyBorder="1"/>
    <xf numFmtId="2" fontId="112" fillId="44" borderId="15" xfId="0" applyNumberFormat="1" applyFont="1" applyFill="1" applyBorder="1"/>
    <xf numFmtId="166" fontId="48" fillId="42" borderId="14" xfId="0" applyNumberFormat="1" applyFont="1" applyFill="1" applyBorder="1" applyAlignment="1">
      <alignment horizontal="left" vertical="center"/>
    </xf>
    <xf numFmtId="2" fontId="112" fillId="0" borderId="15" xfId="0" applyNumberFormat="1" applyFont="1" applyBorder="1"/>
    <xf numFmtId="0" fontId="111" fillId="44" borderId="1" xfId="0" applyFont="1" applyFill="1" applyBorder="1"/>
    <xf numFmtId="2" fontId="110" fillId="44" borderId="43" xfId="0" applyNumberFormat="1" applyFont="1" applyFill="1" applyBorder="1"/>
    <xf numFmtId="0" fontId="23" fillId="42" borderId="1" xfId="0" applyFont="1" applyFill="1" applyBorder="1"/>
    <xf numFmtId="2" fontId="110" fillId="0" borderId="1" xfId="0" applyNumberFormat="1" applyFont="1" applyBorder="1"/>
    <xf numFmtId="166" fontId="23" fillId="42" borderId="14" xfId="0" applyNumberFormat="1" applyFont="1" applyFill="1" applyBorder="1" applyAlignment="1">
      <alignment horizontal="left" vertical="center"/>
    </xf>
    <xf numFmtId="2" fontId="112" fillId="0" borderId="15" xfId="0" applyNumberFormat="1" applyFont="1" applyFill="1" applyBorder="1"/>
    <xf numFmtId="0" fontId="48" fillId="44" borderId="1" xfId="0" applyFont="1" applyFill="1" applyBorder="1"/>
    <xf numFmtId="166" fontId="48" fillId="42" borderId="35" xfId="0" applyNumberFormat="1" applyFont="1" applyFill="1" applyBorder="1" applyAlignment="1">
      <alignment horizontal="left" vertical="center"/>
    </xf>
    <xf numFmtId="2" fontId="112" fillId="0" borderId="36" xfId="0" applyNumberFormat="1" applyFont="1" applyFill="1" applyBorder="1"/>
    <xf numFmtId="166" fontId="111" fillId="42" borderId="35" xfId="0" applyNumberFormat="1" applyFont="1" applyFill="1" applyBorder="1" applyAlignment="1">
      <alignment horizontal="left" vertical="center"/>
    </xf>
    <xf numFmtId="3" fontId="0" fillId="0" borderId="1" xfId="0" applyNumberFormat="1" applyBorder="1"/>
    <xf numFmtId="1" fontId="0" fillId="0" borderId="1" xfId="0" applyNumberFormat="1" applyBorder="1"/>
    <xf numFmtId="166" fontId="23" fillId="3" borderId="1" xfId="0" applyNumberFormat="1" applyFont="1" applyFill="1" applyBorder="1" applyAlignment="1">
      <alignment horizontal="left" vertical="center"/>
    </xf>
    <xf numFmtId="166" fontId="113" fillId="45" borderId="29" xfId="0" applyNumberFormat="1" applyFont="1" applyFill="1" applyBorder="1" applyAlignment="1">
      <alignment horizontal="center" vertical="center"/>
    </xf>
    <xf numFmtId="2" fontId="113" fillId="45" borderId="31" xfId="0" applyNumberFormat="1" applyFont="1" applyFill="1" applyBorder="1" applyAlignment="1">
      <alignment vertical="center"/>
    </xf>
    <xf numFmtId="166" fontId="113" fillId="45" borderId="31" xfId="0" applyNumberFormat="1" applyFont="1" applyFill="1" applyBorder="1" applyAlignment="1">
      <alignment vertical="center"/>
    </xf>
    <xf numFmtId="2" fontId="31" fillId="46" borderId="1" xfId="0" applyNumberFormat="1" applyFont="1" applyFill="1" applyBorder="1" applyAlignment="1">
      <alignment horizontal="center" vertical="center" wrapText="1"/>
    </xf>
    <xf numFmtId="171" fontId="10" fillId="46" borderId="0" xfId="0" applyNumberFormat="1" applyFont="1" applyFill="1" applyBorder="1" applyAlignment="1" applyProtection="1">
      <alignment horizontal="center"/>
      <protection locked="0"/>
    </xf>
    <xf numFmtId="2" fontId="25" fillId="46" borderId="0" xfId="0" applyNumberFormat="1" applyFont="1" applyFill="1" applyAlignment="1">
      <alignment horizontal="center"/>
    </xf>
    <xf numFmtId="2" fontId="23" fillId="47" borderId="1" xfId="0" applyNumberFormat="1" applyFont="1" applyFill="1" applyBorder="1"/>
    <xf numFmtId="2" fontId="40" fillId="7" borderId="1" xfId="0" applyNumberFormat="1" applyFont="1" applyFill="1" applyBorder="1" applyAlignment="1">
      <alignment horizontal="center" wrapText="1"/>
    </xf>
    <xf numFmtId="2" fontId="103" fillId="7" borderId="1" xfId="0" applyNumberFormat="1" applyFont="1" applyFill="1" applyBorder="1" applyAlignment="1">
      <alignment horizontal="center" wrapText="1"/>
    </xf>
    <xf numFmtId="2" fontId="23" fillId="0" borderId="3" xfId="0" applyNumberFormat="1" applyFont="1" applyBorder="1" applyAlignment="1">
      <alignment vertical="center"/>
    </xf>
    <xf numFmtId="2" fontId="23" fillId="0" borderId="2" xfId="0" applyNumberFormat="1" applyFont="1" applyFill="1" applyBorder="1"/>
    <xf numFmtId="2" fontId="23" fillId="31" borderId="4" xfId="0" applyNumberFormat="1" applyFont="1" applyFill="1" applyBorder="1" applyAlignment="1">
      <alignment horizontal="center" vertical="center" wrapText="1"/>
    </xf>
    <xf numFmtId="2" fontId="35" fillId="7" borderId="4" xfId="0" applyNumberFormat="1" applyFont="1" applyFill="1" applyBorder="1" applyAlignment="1">
      <alignment horizontal="center" wrapText="1"/>
    </xf>
    <xf numFmtId="2" fontId="23" fillId="2" borderId="3" xfId="0" applyNumberFormat="1" applyFont="1" applyFill="1" applyBorder="1" applyAlignment="1">
      <alignment horizontal="center" vertical="center"/>
    </xf>
    <xf numFmtId="0" fontId="23" fillId="0" borderId="17" xfId="0" applyFont="1" applyBorder="1" applyAlignment="1"/>
    <xf numFmtId="2" fontId="23" fillId="47" borderId="103" xfId="0" applyNumberFormat="1" applyFont="1" applyFill="1" applyBorder="1"/>
    <xf numFmtId="2" fontId="23" fillId="47" borderId="106" xfId="0" applyNumberFormat="1" applyFont="1" applyFill="1" applyBorder="1"/>
    <xf numFmtId="2" fontId="25" fillId="46" borderId="20" xfId="0" applyNumberFormat="1" applyFont="1" applyFill="1" applyBorder="1" applyAlignment="1">
      <alignment horizontal="center"/>
    </xf>
    <xf numFmtId="2" fontId="23" fillId="32" borderId="1" xfId="0" applyNumberFormat="1" applyFont="1" applyFill="1" applyBorder="1" applyAlignment="1">
      <alignment horizontal="center" vertical="center" wrapText="1"/>
    </xf>
    <xf numFmtId="2" fontId="40" fillId="10" borderId="103" xfId="0" applyNumberFormat="1" applyFont="1" applyFill="1" applyBorder="1" applyAlignment="1">
      <alignment horizontal="right" wrapText="1"/>
    </xf>
    <xf numFmtId="2" fontId="103" fillId="22" borderId="2" xfId="0" applyNumberFormat="1" applyFont="1" applyFill="1" applyBorder="1" applyAlignment="1">
      <alignment horizontal="center" vertical="center" wrapText="1"/>
    </xf>
    <xf numFmtId="2" fontId="103" fillId="22" borderId="2" xfId="0" applyNumberFormat="1" applyFont="1" applyFill="1" applyBorder="1"/>
    <xf numFmtId="2" fontId="25" fillId="10" borderId="88" xfId="0" applyNumberFormat="1" applyFont="1" applyFill="1" applyBorder="1" applyAlignment="1">
      <alignment horizontal="center" vertical="center" wrapText="1"/>
    </xf>
    <xf numFmtId="2" fontId="23" fillId="27" borderId="1" xfId="0" applyNumberFormat="1" applyFont="1" applyFill="1" applyBorder="1"/>
    <xf numFmtId="2" fontId="35" fillId="27" borderId="1" xfId="0" applyNumberFormat="1" applyFont="1" applyFill="1" applyBorder="1" applyAlignment="1">
      <alignment horizontal="center" wrapText="1"/>
    </xf>
    <xf numFmtId="2" fontId="10" fillId="46" borderId="0" xfId="0" applyNumberFormat="1" applyFont="1" applyFill="1" applyBorder="1" applyAlignment="1" applyProtection="1">
      <alignment horizontal="center"/>
      <protection locked="0"/>
    </xf>
    <xf numFmtId="2" fontId="10" fillId="46" borderId="21" xfId="0" applyNumberFormat="1" applyFont="1" applyFill="1" applyBorder="1" applyAlignment="1" applyProtection="1">
      <alignment horizontal="center"/>
      <protection locked="0"/>
    </xf>
    <xf numFmtId="2" fontId="112" fillId="44" borderId="2" xfId="0" applyNumberFormat="1" applyFont="1" applyFill="1" applyBorder="1"/>
    <xf numFmtId="166" fontId="111" fillId="42" borderId="1" xfId="0" applyNumberFormat="1" applyFont="1" applyFill="1" applyBorder="1" applyAlignment="1">
      <alignment horizontal="left" vertical="center"/>
    </xf>
    <xf numFmtId="2" fontId="112" fillId="0" borderId="84" xfId="0" applyNumberFormat="1" applyFont="1" applyFill="1" applyBorder="1"/>
    <xf numFmtId="0" fontId="111" fillId="11" borderId="1" xfId="0" applyFont="1" applyFill="1" applyBorder="1"/>
    <xf numFmtId="2" fontId="114" fillId="45" borderId="1" xfId="0" applyNumberFormat="1" applyFont="1" applyFill="1" applyBorder="1"/>
    <xf numFmtId="166" fontId="111" fillId="42" borderId="111" xfId="0" applyNumberFormat="1" applyFont="1" applyFill="1" applyBorder="1" applyAlignment="1">
      <alignment horizontal="left" vertical="center"/>
    </xf>
    <xf numFmtId="0" fontId="111" fillId="11" borderId="2" xfId="0" applyFont="1" applyFill="1" applyBorder="1"/>
    <xf numFmtId="0" fontId="26" fillId="7" borderId="2" xfId="0" applyFont="1" applyFill="1" applyBorder="1" applyAlignment="1">
      <alignment horizontal="left"/>
    </xf>
    <xf numFmtId="0" fontId="0" fillId="0" borderId="54" xfId="0" applyBorder="1"/>
    <xf numFmtId="2" fontId="0" fillId="0" borderId="54" xfId="0" applyNumberFormat="1" applyBorder="1"/>
    <xf numFmtId="2" fontId="114" fillId="22" borderId="4" xfId="0" applyNumberFormat="1" applyFont="1" applyFill="1" applyBorder="1"/>
    <xf numFmtId="0" fontId="0" fillId="7" borderId="1" xfId="0" applyFill="1" applyBorder="1"/>
    <xf numFmtId="0" fontId="0" fillId="7" borderId="4" xfId="0" applyFill="1" applyBorder="1"/>
    <xf numFmtId="2" fontId="114" fillId="45" borderId="4" xfId="0" applyNumberFormat="1" applyFont="1" applyFill="1" applyBorder="1"/>
    <xf numFmtId="2" fontId="114" fillId="45" borderId="20" xfId="0" applyNumberFormat="1" applyFont="1" applyFill="1" applyBorder="1" applyAlignment="1">
      <alignment horizontal="left" vertical="center" wrapText="1"/>
    </xf>
    <xf numFmtId="166" fontId="23" fillId="3" borderId="84" xfId="0" applyNumberFormat="1" applyFont="1" applyFill="1" applyBorder="1" applyAlignment="1">
      <alignment horizontal="left" vertical="center"/>
    </xf>
    <xf numFmtId="2" fontId="114" fillId="45" borderId="20" xfId="0" applyNumberFormat="1" applyFont="1" applyFill="1" applyBorder="1" applyAlignment="1">
      <alignment horizontal="left"/>
    </xf>
    <xf numFmtId="4" fontId="84" fillId="41" borderId="1" xfId="0" applyNumberFormat="1" applyFont="1" applyFill="1" applyBorder="1"/>
    <xf numFmtId="0" fontId="0" fillId="7" borderId="9" xfId="0" applyFill="1" applyBorder="1"/>
    <xf numFmtId="2" fontId="114" fillId="22" borderId="34" xfId="0" applyNumberFormat="1" applyFont="1" applyFill="1" applyBorder="1"/>
    <xf numFmtId="2" fontId="114" fillId="45" borderId="20" xfId="0" applyNumberFormat="1" applyFont="1" applyFill="1" applyBorder="1"/>
    <xf numFmtId="2" fontId="114" fillId="22" borderId="20" xfId="0" applyNumberFormat="1" applyFont="1" applyFill="1" applyBorder="1"/>
    <xf numFmtId="0" fontId="25" fillId="26" borderId="2" xfId="0" applyFont="1" applyFill="1" applyBorder="1" applyAlignment="1"/>
    <xf numFmtId="0" fontId="23" fillId="9" borderId="2" xfId="0" applyFont="1" applyFill="1" applyBorder="1" applyAlignment="1"/>
    <xf numFmtId="0" fontId="23" fillId="26" borderId="2" xfId="0" applyFont="1" applyFill="1" applyBorder="1" applyAlignment="1"/>
    <xf numFmtId="0" fontId="23" fillId="26" borderId="1" xfId="0" applyFont="1" applyFill="1" applyBorder="1" applyAlignment="1"/>
    <xf numFmtId="4" fontId="103" fillId="41" borderId="1" xfId="0" applyNumberFormat="1" applyFont="1" applyFill="1" applyBorder="1"/>
    <xf numFmtId="0" fontId="23" fillId="0" borderId="54" xfId="0" applyFont="1" applyBorder="1"/>
    <xf numFmtId="0" fontId="23" fillId="7" borderId="1" xfId="0" applyFont="1" applyFill="1" applyBorder="1"/>
    <xf numFmtId="1" fontId="23" fillId="0" borderId="54" xfId="0" applyNumberFormat="1" applyFont="1" applyBorder="1"/>
    <xf numFmtId="2" fontId="89" fillId="45" borderId="1" xfId="0" applyNumberFormat="1" applyFont="1" applyFill="1" applyBorder="1" applyAlignment="1">
      <alignment horizontal="left" vertical="center" wrapText="1"/>
    </xf>
    <xf numFmtId="2" fontId="104" fillId="45" borderId="1" xfId="0" applyNumberFormat="1" applyFont="1" applyFill="1" applyBorder="1" applyAlignment="1">
      <alignment vertical="center"/>
    </xf>
    <xf numFmtId="2" fontId="104" fillId="45" borderId="4" xfId="0" applyNumberFormat="1" applyFont="1" applyFill="1" applyBorder="1" applyAlignment="1">
      <alignment vertical="center"/>
    </xf>
    <xf numFmtId="4" fontId="103" fillId="41" borderId="4" xfId="0" applyNumberFormat="1" applyFont="1" applyFill="1" applyBorder="1"/>
    <xf numFmtId="0" fontId="23" fillId="0" borderId="48" xfId="0" applyFont="1" applyBorder="1"/>
    <xf numFmtId="0" fontId="23" fillId="11" borderId="4" xfId="0" applyFont="1" applyFill="1" applyBorder="1"/>
    <xf numFmtId="1" fontId="23" fillId="0" borderId="48" xfId="0" applyNumberFormat="1" applyFont="1" applyBorder="1"/>
    <xf numFmtId="0" fontId="23" fillId="11" borderId="12" xfId="0" applyFont="1" applyFill="1" applyBorder="1"/>
    <xf numFmtId="1" fontId="23" fillId="0" borderId="0" xfId="0" applyNumberFormat="1" applyFont="1" applyFill="1" applyBorder="1" applyAlignment="1">
      <alignment horizontal="right"/>
    </xf>
    <xf numFmtId="166" fontId="23" fillId="11" borderId="1" xfId="0" applyNumberFormat="1" applyFont="1" applyFill="1" applyBorder="1" applyAlignment="1">
      <alignment horizontal="left" vertical="center"/>
    </xf>
    <xf numFmtId="166" fontId="25" fillId="2" borderId="1" xfId="0" applyNumberFormat="1" applyFont="1" applyFill="1" applyBorder="1" applyAlignment="1">
      <alignment horizontal="left" vertical="center"/>
    </xf>
    <xf numFmtId="2" fontId="23" fillId="13" borderId="1" xfId="0" applyNumberFormat="1" applyFont="1" applyFill="1" applyBorder="1" applyAlignment="1">
      <alignment horizontal="right" vertical="center"/>
    </xf>
    <xf numFmtId="166" fontId="33" fillId="2" borderId="1" xfId="0" applyNumberFormat="1" applyFont="1" applyFill="1" applyBorder="1" applyAlignment="1">
      <alignment vertical="center" wrapText="1"/>
    </xf>
    <xf numFmtId="2" fontId="23" fillId="4" borderId="4" xfId="0" applyNumberFormat="1" applyFont="1" applyFill="1" applyBorder="1"/>
    <xf numFmtId="2" fontId="35" fillId="4" borderId="4" xfId="0" applyNumberFormat="1" applyFont="1" applyFill="1" applyBorder="1" applyAlignment="1">
      <alignment horizontal="center" wrapText="1"/>
    </xf>
    <xf numFmtId="2" fontId="23" fillId="7" borderId="3" xfId="0" applyNumberFormat="1" applyFont="1" applyFill="1" applyBorder="1"/>
    <xf numFmtId="2" fontId="40" fillId="4" borderId="1" xfId="0" applyNumberFormat="1" applyFont="1" applyFill="1" applyBorder="1" applyAlignment="1">
      <alignment horizontal="right" wrapText="1"/>
    </xf>
    <xf numFmtId="2" fontId="40" fillId="0" borderId="1" xfId="0" applyNumberFormat="1" applyFont="1" applyFill="1" applyBorder="1" applyAlignment="1">
      <alignment horizontal="right" wrapText="1"/>
    </xf>
    <xf numFmtId="2" fontId="25" fillId="0" borderId="1" xfId="0" applyNumberFormat="1" applyFont="1" applyFill="1" applyBorder="1" applyAlignment="1">
      <alignment horizontal="right" wrapText="1"/>
    </xf>
    <xf numFmtId="2" fontId="25" fillId="4" borderId="1" xfId="0" applyNumberFormat="1" applyFont="1" applyFill="1" applyBorder="1" applyAlignment="1">
      <alignment horizontal="right" wrapText="1"/>
    </xf>
    <xf numFmtId="168" fontId="25" fillId="4" borderId="10" xfId="0" applyNumberFormat="1" applyFont="1" applyFill="1" applyBorder="1" applyAlignment="1">
      <alignment horizontal="center" vertical="center"/>
    </xf>
    <xf numFmtId="166" fontId="23" fillId="13" borderId="1" xfId="0" applyNumberFormat="1" applyFont="1" applyFill="1" applyBorder="1" applyAlignment="1">
      <alignment horizontal="left" vertical="center"/>
    </xf>
    <xf numFmtId="2" fontId="87" fillId="2" borderId="1" xfId="0" applyNumberFormat="1" applyFont="1" applyFill="1" applyBorder="1" applyAlignment="1">
      <alignment horizontal="center" vertical="center" wrapText="1"/>
    </xf>
    <xf numFmtId="166" fontId="25" fillId="49" borderId="1" xfId="0" applyNumberFormat="1" applyFont="1" applyFill="1" applyBorder="1" applyAlignment="1">
      <alignment horizontal="center" vertical="center" wrapText="1"/>
    </xf>
    <xf numFmtId="2" fontId="87" fillId="49" borderId="1" xfId="0" applyNumberFormat="1" applyFont="1" applyFill="1" applyBorder="1" applyAlignment="1">
      <alignment horizontal="center" vertical="center" wrapText="1"/>
    </xf>
    <xf numFmtId="166" fontId="25" fillId="2" borderId="1" xfId="0" applyNumberFormat="1" applyFont="1" applyFill="1" applyBorder="1" applyAlignment="1">
      <alignment horizontal="right" vertical="center"/>
    </xf>
    <xf numFmtId="2" fontId="25" fillId="2" borderId="1" xfId="0" applyNumberFormat="1" applyFont="1" applyFill="1" applyBorder="1" applyAlignment="1">
      <alignment horizontal="right" vertical="center"/>
    </xf>
    <xf numFmtId="2" fontId="115" fillId="48" borderId="1" xfId="0" applyNumberFormat="1" applyFont="1" applyFill="1" applyBorder="1" applyAlignment="1">
      <alignment horizontal="right" vertical="center" wrapText="1"/>
    </xf>
    <xf numFmtId="1" fontId="23" fillId="0" borderId="1" xfId="0" applyNumberFormat="1" applyFont="1" applyBorder="1"/>
    <xf numFmtId="2" fontId="23" fillId="0" borderId="1" xfId="0" applyNumberFormat="1" applyFont="1" applyBorder="1" applyAlignment="1">
      <alignment horizontal="right"/>
    </xf>
    <xf numFmtId="166" fontId="25" fillId="13" borderId="1" xfId="0" applyNumberFormat="1" applyFont="1" applyFill="1" applyBorder="1" applyAlignment="1">
      <alignment horizontal="left" vertical="center" wrapText="1"/>
    </xf>
    <xf numFmtId="2" fontId="23" fillId="12" borderId="1" xfId="0" applyNumberFormat="1" applyFont="1" applyFill="1" applyBorder="1" applyAlignment="1">
      <alignment horizontal="right" vertical="center"/>
    </xf>
    <xf numFmtId="166" fontId="103" fillId="48" borderId="1" xfId="0" applyNumberFormat="1" applyFont="1" applyFill="1" applyBorder="1" applyAlignment="1">
      <alignment horizontal="left" vertical="center" wrapText="1"/>
    </xf>
    <xf numFmtId="3" fontId="55" fillId="0" borderId="1" xfId="0" applyNumberFormat="1" applyFont="1" applyBorder="1"/>
    <xf numFmtId="166" fontId="115" fillId="22" borderId="1" xfId="0" applyNumberFormat="1" applyFont="1" applyFill="1" applyBorder="1" applyAlignment="1">
      <alignment horizontal="right" vertical="center"/>
    </xf>
    <xf numFmtId="0" fontId="0" fillId="0" borderId="1" xfId="0" applyBorder="1" applyAlignment="1">
      <alignment horizontal="center"/>
    </xf>
    <xf numFmtId="0" fontId="0" fillId="0" borderId="0" xfId="0" applyAlignment="1">
      <alignment horizontal="center"/>
    </xf>
    <xf numFmtId="0" fontId="117" fillId="19" borderId="1" xfId="0" applyFont="1" applyFill="1" applyBorder="1" applyAlignment="1">
      <alignment horizontal="center" vertical="center"/>
    </xf>
    <xf numFmtId="0" fontId="117" fillId="19" borderId="1" xfId="0" applyFont="1" applyFill="1" applyBorder="1" applyAlignment="1">
      <alignment horizontal="center" vertical="center" wrapText="1"/>
    </xf>
    <xf numFmtId="0" fontId="0" fillId="35" borderId="1" xfId="0" applyFill="1" applyBorder="1" applyAlignment="1">
      <alignment horizontal="center"/>
    </xf>
    <xf numFmtId="0" fontId="0" fillId="0" borderId="1" xfId="0" applyBorder="1" applyAlignment="1">
      <alignment horizontal="center" wrapText="1"/>
    </xf>
    <xf numFmtId="0" fontId="0" fillId="0" borderId="0" xfId="0" applyAlignment="1">
      <alignment horizontal="center" wrapText="1"/>
    </xf>
    <xf numFmtId="0" fontId="117" fillId="54" borderId="1" xfId="0" applyFont="1" applyFill="1" applyBorder="1" applyAlignment="1">
      <alignment horizontal="center" vertical="center" wrapText="1"/>
    </xf>
    <xf numFmtId="0" fontId="117" fillId="54" borderId="1" xfId="0" applyFont="1" applyFill="1" applyBorder="1" applyAlignment="1">
      <alignment horizontal="center" vertical="center"/>
    </xf>
    <xf numFmtId="0" fontId="116" fillId="15" borderId="1" xfId="0" applyFont="1" applyFill="1" applyBorder="1" applyAlignment="1">
      <alignment horizontal="center"/>
    </xf>
    <xf numFmtId="0" fontId="116" fillId="23" borderId="1" xfId="0" applyFont="1" applyFill="1" applyBorder="1" applyAlignment="1">
      <alignment horizontal="center"/>
    </xf>
    <xf numFmtId="0" fontId="116" fillId="2" borderId="1" xfId="0" applyFont="1" applyFill="1" applyBorder="1" applyAlignment="1">
      <alignment horizontal="center"/>
    </xf>
    <xf numFmtId="0" fontId="116" fillId="50" borderId="1" xfId="0" applyFont="1" applyFill="1" applyBorder="1" applyAlignment="1">
      <alignment horizontal="center"/>
    </xf>
    <xf numFmtId="0" fontId="116" fillId="51" borderId="1" xfId="0" applyFont="1" applyFill="1" applyBorder="1" applyAlignment="1">
      <alignment horizontal="center"/>
    </xf>
    <xf numFmtId="0" fontId="116" fillId="32" borderId="1" xfId="0" applyFont="1" applyFill="1" applyBorder="1" applyAlignment="1">
      <alignment horizontal="center"/>
    </xf>
    <xf numFmtId="0" fontId="116" fillId="13" borderId="1" xfId="0" applyFont="1" applyFill="1" applyBorder="1" applyAlignment="1">
      <alignment horizontal="center"/>
    </xf>
    <xf numFmtId="0" fontId="116" fillId="43" borderId="1" xfId="0" applyFont="1" applyFill="1" applyBorder="1" applyAlignment="1">
      <alignment horizontal="center"/>
    </xf>
    <xf numFmtId="0" fontId="116" fillId="53" borderId="1" xfId="0" applyFont="1" applyFill="1" applyBorder="1" applyAlignment="1">
      <alignment horizontal="center"/>
    </xf>
    <xf numFmtId="169" fontId="0" fillId="0" borderId="0" xfId="0" applyNumberFormat="1"/>
    <xf numFmtId="169" fontId="1" fillId="0" borderId="0" xfId="0" applyNumberFormat="1" applyFont="1"/>
    <xf numFmtId="0" fontId="0" fillId="0" borderId="0" xfId="0" applyAlignment="1">
      <alignment horizontal="center"/>
    </xf>
    <xf numFmtId="0" fontId="18" fillId="0" borderId="0" xfId="0" applyFont="1" applyFill="1" applyBorder="1" applyAlignment="1">
      <alignment horizontal="center"/>
    </xf>
    <xf numFmtId="0" fontId="0" fillId="25" borderId="0" xfId="0" applyFill="1" applyAlignment="1">
      <alignment horizontal="center" vertical="center"/>
    </xf>
    <xf numFmtId="0" fontId="18" fillId="0" borderId="0" xfId="0" applyFont="1" applyFill="1" applyBorder="1" applyAlignment="1">
      <alignment vertical="center" wrapText="1"/>
    </xf>
    <xf numFmtId="0" fontId="18" fillId="0" borderId="51" xfId="0" applyFont="1" applyFill="1" applyBorder="1" applyAlignment="1">
      <alignment vertical="center" wrapText="1"/>
    </xf>
    <xf numFmtId="0" fontId="0" fillId="0" borderId="84" xfId="0" applyNumberFormat="1" applyBorder="1"/>
    <xf numFmtId="0" fontId="0" fillId="0" borderId="50" xfId="0" applyNumberFormat="1" applyBorder="1"/>
    <xf numFmtId="2" fontId="1" fillId="0" borderId="46" xfId="0" applyNumberFormat="1" applyFont="1" applyBorder="1"/>
    <xf numFmtId="0" fontId="1" fillId="0" borderId="1" xfId="0" applyFont="1" applyFill="1" applyBorder="1" applyAlignment="1">
      <alignment horizontal="left"/>
    </xf>
    <xf numFmtId="2" fontId="0" fillId="0" borderId="70" xfId="0" applyNumberFormat="1" applyBorder="1" applyAlignment="1">
      <alignment horizontal="center"/>
    </xf>
    <xf numFmtId="0" fontId="0" fillId="0" borderId="112" xfId="0" applyBorder="1" applyAlignment="1">
      <alignment horizontal="center"/>
    </xf>
    <xf numFmtId="0" fontId="50" fillId="24" borderId="19" xfId="0" applyFont="1" applyFill="1" applyBorder="1" applyAlignment="1">
      <alignment horizontal="center" vertical="center" wrapText="1"/>
    </xf>
    <xf numFmtId="0" fontId="0" fillId="0" borderId="45" xfId="0" applyBorder="1" applyAlignment="1">
      <alignment horizontal="right" indent="2"/>
    </xf>
    <xf numFmtId="0" fontId="0" fillId="0" borderId="20" xfId="0" applyBorder="1" applyAlignment="1">
      <alignment horizontal="right" indent="2"/>
    </xf>
    <xf numFmtId="0" fontId="1" fillId="0" borderId="33" xfId="0" applyFont="1" applyBorder="1" applyAlignment="1">
      <alignment wrapText="1"/>
    </xf>
    <xf numFmtId="0" fontId="1" fillId="0" borderId="0" xfId="0" applyFont="1" applyBorder="1" applyAlignment="1">
      <alignment wrapText="1"/>
    </xf>
    <xf numFmtId="2" fontId="1" fillId="0" borderId="20" xfId="0" applyNumberFormat="1" applyFont="1" applyBorder="1" applyAlignment="1">
      <alignment vertical="center"/>
    </xf>
    <xf numFmtId="2" fontId="0" fillId="0" borderId="71" xfId="0" applyNumberFormat="1" applyBorder="1" applyAlignment="1">
      <alignment horizontal="center"/>
    </xf>
    <xf numFmtId="0" fontId="0" fillId="0" borderId="113" xfId="0" applyBorder="1" applyAlignment="1">
      <alignment horizontal="center"/>
    </xf>
    <xf numFmtId="2" fontId="1" fillId="0" borderId="34" xfId="0" applyNumberFormat="1" applyFont="1" applyBorder="1" applyAlignment="1">
      <alignment vertical="center"/>
    </xf>
    <xf numFmtId="0" fontId="1" fillId="0" borderId="20" xfId="0" applyFont="1" applyBorder="1" applyAlignment="1">
      <alignment wrapText="1"/>
    </xf>
    <xf numFmtId="0" fontId="30" fillId="15" borderId="1" xfId="0" applyFont="1" applyFill="1" applyBorder="1" applyAlignment="1">
      <alignment horizontal="center" vertical="center" wrapText="1"/>
    </xf>
    <xf numFmtId="0" fontId="0" fillId="56" borderId="1" xfId="0" applyFill="1" applyBorder="1"/>
    <xf numFmtId="2" fontId="26" fillId="10" borderId="44" xfId="0" applyNumberFormat="1" applyFont="1" applyFill="1" applyBorder="1" applyAlignment="1">
      <alignment horizontal="center" wrapText="1"/>
    </xf>
    <xf numFmtId="0" fontId="0" fillId="32" borderId="2" xfId="0" applyFill="1" applyBorder="1" applyAlignment="1">
      <alignment vertical="center"/>
    </xf>
    <xf numFmtId="0" fontId="0" fillId="32" borderId="3" xfId="0" applyFill="1" applyBorder="1" applyAlignment="1">
      <alignment vertical="center"/>
    </xf>
    <xf numFmtId="0" fontId="31" fillId="0" borderId="1" xfId="0" applyFont="1" applyBorder="1" applyAlignment="1">
      <alignment vertical="center"/>
    </xf>
    <xf numFmtId="0" fontId="18" fillId="0" borderId="0" xfId="0" applyFont="1" applyFill="1" applyBorder="1" applyAlignment="1">
      <alignment horizontal="center" vertical="center" wrapText="1"/>
    </xf>
    <xf numFmtId="171" fontId="58" fillId="0" borderId="2" xfId="0" applyNumberFormat="1" applyFont="1" applyBorder="1"/>
    <xf numFmtId="169" fontId="0" fillId="0" borderId="1" xfId="0" applyNumberFormat="1" applyBorder="1"/>
    <xf numFmtId="0" fontId="1" fillId="0" borderId="0" xfId="0" applyFont="1" applyBorder="1"/>
    <xf numFmtId="2" fontId="1" fillId="0" borderId="0" xfId="0" applyNumberFormat="1" applyFont="1" applyBorder="1"/>
    <xf numFmtId="2" fontId="1" fillId="0" borderId="0" xfId="0" applyNumberFormat="1" applyFont="1" applyBorder="1" applyAlignment="1">
      <alignment vertical="center"/>
    </xf>
    <xf numFmtId="0" fontId="0" fillId="25" borderId="19" xfId="0" applyFill="1" applyBorder="1" applyAlignment="1">
      <alignment horizontal="center" wrapText="1"/>
    </xf>
    <xf numFmtId="0" fontId="18" fillId="0" borderId="54" xfId="0" applyFont="1" applyFill="1" applyBorder="1" applyAlignment="1">
      <alignment horizontal="center"/>
    </xf>
    <xf numFmtId="0" fontId="0" fillId="0" borderId="54" xfId="0" applyBorder="1" applyAlignment="1">
      <alignment horizontal="center"/>
    </xf>
    <xf numFmtId="2" fontId="1" fillId="0" borderId="54" xfId="0" applyNumberFormat="1" applyFont="1" applyBorder="1"/>
    <xf numFmtId="0" fontId="0" fillId="25" borderId="19" xfId="0" applyFill="1" applyBorder="1" applyAlignment="1">
      <alignment horizontal="center" vertical="center"/>
    </xf>
    <xf numFmtId="0" fontId="18" fillId="0" borderId="2" xfId="0" applyFont="1" applyFill="1" applyBorder="1" applyAlignment="1">
      <alignment horizontal="center" vertical="center" wrapText="1"/>
    </xf>
    <xf numFmtId="0" fontId="18" fillId="0" borderId="1" xfId="0" applyFont="1" applyFill="1" applyBorder="1" applyAlignment="1">
      <alignment horizontal="center" vertical="center" wrapText="1"/>
    </xf>
    <xf numFmtId="2" fontId="0" fillId="0" borderId="50" xfId="0" applyNumberFormat="1" applyBorder="1"/>
    <xf numFmtId="0" fontId="1" fillId="0" borderId="19" xfId="0" applyFont="1" applyBorder="1"/>
    <xf numFmtId="0" fontId="1" fillId="0" borderId="54" xfId="0" applyFont="1" applyBorder="1"/>
    <xf numFmtId="2" fontId="1" fillId="0" borderId="3" xfId="0" applyNumberFormat="1" applyFont="1" applyBorder="1"/>
    <xf numFmtId="2" fontId="1" fillId="0" borderId="1" xfId="0" applyNumberFormat="1" applyFont="1" applyBorder="1"/>
    <xf numFmtId="2" fontId="1" fillId="0" borderId="48" xfId="0" applyNumberFormat="1" applyFont="1" applyBorder="1"/>
    <xf numFmtId="2" fontId="1" fillId="0" borderId="17" xfId="0" applyNumberFormat="1" applyFont="1" applyBorder="1"/>
    <xf numFmtId="0" fontId="18" fillId="0" borderId="46" xfId="0" applyFont="1" applyFill="1" applyBorder="1" applyAlignment="1">
      <alignment horizontal="center" vertical="center" wrapText="1"/>
    </xf>
    <xf numFmtId="2" fontId="1" fillId="0" borderId="2" xfId="0" applyNumberFormat="1" applyFont="1" applyBorder="1"/>
    <xf numFmtId="166" fontId="1" fillId="0" borderId="1" xfId="0" applyNumberFormat="1" applyFont="1" applyBorder="1"/>
    <xf numFmtId="2" fontId="1" fillId="0" borderId="84" xfId="0" applyNumberFormat="1" applyFont="1" applyBorder="1"/>
    <xf numFmtId="0" fontId="0" fillId="0" borderId="1" xfId="0" applyBorder="1" applyAlignment="1">
      <alignment horizontal="center"/>
    </xf>
    <xf numFmtId="2" fontId="3" fillId="0" borderId="3" xfId="0" applyNumberFormat="1" applyFont="1" applyBorder="1" applyAlignment="1">
      <alignment horizontal="right"/>
    </xf>
    <xf numFmtId="2" fontId="12" fillId="0" borderId="3" xfId="0" applyNumberFormat="1" applyFont="1" applyBorder="1" applyAlignment="1">
      <alignment horizontal="right"/>
    </xf>
    <xf numFmtId="0" fontId="1" fillId="0" borderId="0" xfId="0" applyFont="1" applyFill="1" applyBorder="1" applyAlignment="1">
      <alignment horizontal="left" vertical="center"/>
    </xf>
    <xf numFmtId="0" fontId="0" fillId="0" borderId="0" xfId="0" applyAlignment="1">
      <alignment horizontal="center"/>
    </xf>
    <xf numFmtId="0" fontId="30" fillId="0" borderId="0" xfId="0" applyFont="1" applyAlignment="1"/>
    <xf numFmtId="0" fontId="119" fillId="0" borderId="1" xfId="0" applyFont="1" applyBorder="1"/>
    <xf numFmtId="2" fontId="119" fillId="0" borderId="2" xfId="0" applyNumberFormat="1" applyFont="1" applyBorder="1" applyAlignment="1">
      <alignment horizontal="right"/>
    </xf>
    <xf numFmtId="2" fontId="121" fillId="32" borderId="11" xfId="0" applyNumberFormat="1" applyFont="1" applyFill="1" applyBorder="1" applyAlignment="1">
      <alignment horizontal="center"/>
    </xf>
    <xf numFmtId="0" fontId="39" fillId="20" borderId="1" xfId="0" applyFont="1" applyFill="1" applyBorder="1" applyAlignment="1">
      <alignment horizontal="center" vertical="center"/>
    </xf>
    <xf numFmtId="0" fontId="39" fillId="20" borderId="1" xfId="0" applyFont="1" applyFill="1" applyBorder="1" applyAlignment="1">
      <alignment horizontal="left" vertical="center"/>
    </xf>
    <xf numFmtId="0" fontId="31" fillId="12" borderId="23" xfId="0" applyFont="1" applyFill="1" applyBorder="1"/>
    <xf numFmtId="0" fontId="122" fillId="20" borderId="1" xfId="0" applyFont="1" applyFill="1" applyBorder="1" applyAlignment="1">
      <alignment horizontal="left" vertical="center"/>
    </xf>
    <xf numFmtId="0" fontId="3" fillId="0" borderId="0" xfId="0" applyFont="1" applyBorder="1" applyAlignment="1">
      <alignment horizontal="left"/>
    </xf>
    <xf numFmtId="0" fontId="3" fillId="0" borderId="0" xfId="0" applyFont="1" applyBorder="1" applyAlignment="1"/>
    <xf numFmtId="0" fontId="26" fillId="12" borderId="1" xfId="0" applyFont="1" applyFill="1" applyBorder="1" applyAlignment="1">
      <alignment horizontal="center"/>
    </xf>
    <xf numFmtId="0" fontId="39" fillId="21" borderId="19" xfId="0" applyFont="1" applyFill="1" applyBorder="1" applyAlignment="1">
      <alignment horizontal="left" vertical="center"/>
    </xf>
    <xf numFmtId="0" fontId="39" fillId="21" borderId="54" xfId="0" applyFont="1" applyFill="1" applyBorder="1" applyAlignment="1">
      <alignment horizontal="left" vertical="center"/>
    </xf>
    <xf numFmtId="0" fontId="39" fillId="21" borderId="9" xfId="0" applyFont="1" applyFill="1" applyBorder="1" applyAlignment="1">
      <alignment horizontal="left" vertical="center"/>
    </xf>
    <xf numFmtId="0" fontId="6" fillId="0" borderId="0" xfId="0" applyFont="1" applyFill="1" applyBorder="1" applyAlignment="1">
      <alignment horizontal="center" vertical="top"/>
    </xf>
    <xf numFmtId="2" fontId="4" fillId="0" borderId="0" xfId="0" applyNumberFormat="1" applyFont="1" applyBorder="1" applyAlignment="1">
      <alignment horizontal="center"/>
    </xf>
    <xf numFmtId="0" fontId="3" fillId="0" borderId="2" xfId="0" applyFont="1" applyBorder="1"/>
    <xf numFmtId="0" fontId="3" fillId="0" borderId="3" xfId="0" applyFont="1" applyBorder="1"/>
    <xf numFmtId="0" fontId="39" fillId="20" borderId="3" xfId="0" applyFont="1" applyFill="1" applyBorder="1" applyAlignment="1">
      <alignment horizontal="left" vertical="center"/>
    </xf>
    <xf numFmtId="0" fontId="39" fillId="20" borderId="2" xfId="0" applyFont="1" applyFill="1" applyBorder="1" applyAlignment="1">
      <alignment horizontal="center" vertical="center"/>
    </xf>
    <xf numFmtId="9" fontId="39" fillId="20" borderId="2" xfId="0" applyNumberFormat="1" applyFont="1" applyFill="1" applyBorder="1" applyAlignment="1">
      <alignment horizontal="center" vertical="center"/>
    </xf>
    <xf numFmtId="0" fontId="39" fillId="20" borderId="3" xfId="0" applyFont="1" applyFill="1" applyBorder="1" applyAlignment="1">
      <alignment horizontal="center" vertical="center"/>
    </xf>
    <xf numFmtId="2" fontId="125" fillId="21" borderId="1" xfId="0" applyNumberFormat="1" applyFont="1" applyFill="1" applyBorder="1" applyAlignment="1">
      <alignment horizontal="center" wrapText="1"/>
    </xf>
    <xf numFmtId="2" fontId="125" fillId="21" borderId="1" xfId="0" applyNumberFormat="1" applyFont="1" applyFill="1" applyBorder="1" applyAlignment="1">
      <alignment horizontal="center" vertical="center" wrapText="1"/>
    </xf>
    <xf numFmtId="0" fontId="3" fillId="21" borderId="46" xfId="0" applyFont="1" applyFill="1" applyBorder="1"/>
    <xf numFmtId="0" fontId="3" fillId="21" borderId="51" xfId="0" applyFont="1" applyFill="1" applyBorder="1" applyAlignment="1">
      <alignment horizontal="centerContinuous"/>
    </xf>
    <xf numFmtId="2" fontId="3" fillId="21" borderId="51" xfId="0" applyNumberFormat="1" applyFont="1" applyFill="1" applyBorder="1" applyAlignment="1">
      <alignment horizontal="center"/>
    </xf>
    <xf numFmtId="2" fontId="115" fillId="32" borderId="54" xfId="0" applyNumberFormat="1" applyFont="1" applyFill="1" applyBorder="1" applyAlignment="1">
      <alignment horizontal="center" vertical="center" wrapText="1"/>
    </xf>
    <xf numFmtId="0" fontId="3" fillId="7" borderId="9" xfId="0" applyFont="1" applyFill="1" applyBorder="1" applyAlignment="1">
      <alignment horizontal="center" vertical="center"/>
    </xf>
    <xf numFmtId="2" fontId="115" fillId="11" borderId="90" xfId="0" applyNumberFormat="1" applyFont="1" applyFill="1" applyBorder="1" applyAlignment="1">
      <alignment horizontal="center" vertical="center"/>
    </xf>
    <xf numFmtId="2" fontId="115" fillId="11" borderId="54" xfId="0" applyNumberFormat="1" applyFont="1" applyFill="1" applyBorder="1" applyAlignment="1">
      <alignment horizontal="center" vertical="center"/>
    </xf>
    <xf numFmtId="2" fontId="115" fillId="50" borderId="1" xfId="0" applyNumberFormat="1" applyFont="1" applyFill="1" applyBorder="1" applyAlignment="1">
      <alignment horizontal="center" vertical="center"/>
    </xf>
    <xf numFmtId="0" fontId="39" fillId="0" borderId="0" xfId="0" applyFont="1" applyFill="1" applyBorder="1" applyAlignment="1">
      <alignment horizontal="left" vertical="center"/>
    </xf>
    <xf numFmtId="0" fontId="13" fillId="20" borderId="1" xfId="0" applyFont="1" applyFill="1" applyBorder="1" applyAlignment="1">
      <alignment horizontal="left" vertical="center"/>
    </xf>
    <xf numFmtId="0" fontId="13" fillId="20" borderId="1" xfId="0" applyFont="1" applyFill="1" applyBorder="1" applyAlignment="1">
      <alignment horizontal="center" vertical="center"/>
    </xf>
    <xf numFmtId="0" fontId="126" fillId="20" borderId="1" xfId="0" applyFont="1" applyFill="1" applyBorder="1" applyAlignment="1">
      <alignment horizontal="left" vertical="center"/>
    </xf>
    <xf numFmtId="0" fontId="126" fillId="20" borderId="1" xfId="0" applyFont="1" applyFill="1" applyBorder="1" applyAlignment="1">
      <alignment horizontal="center" vertical="center"/>
    </xf>
    <xf numFmtId="0" fontId="6" fillId="0" borderId="54" xfId="0" applyFont="1" applyFill="1" applyBorder="1" applyAlignment="1">
      <alignment vertical="top"/>
    </xf>
    <xf numFmtId="0" fontId="123" fillId="21" borderId="1" xfId="0" applyFont="1" applyFill="1" applyBorder="1" applyAlignment="1">
      <alignment horizontal="center" vertical="center"/>
    </xf>
    <xf numFmtId="0" fontId="39" fillId="0" borderId="19" xfId="0" applyFont="1" applyFill="1" applyBorder="1" applyAlignment="1">
      <alignment horizontal="left" vertical="center"/>
    </xf>
    <xf numFmtId="0" fontId="39" fillId="0" borderId="54" xfId="0" applyFont="1" applyFill="1" applyBorder="1" applyAlignment="1">
      <alignment horizontal="left" vertical="center"/>
    </xf>
    <xf numFmtId="2" fontId="120" fillId="0" borderId="0" xfId="0" applyNumberFormat="1" applyFont="1" applyFill="1" applyBorder="1" applyAlignment="1">
      <alignment horizontal="center"/>
    </xf>
    <xf numFmtId="0" fontId="124" fillId="27" borderId="2" xfId="0" applyFont="1" applyFill="1" applyBorder="1" applyAlignment="1"/>
    <xf numFmtId="0" fontId="124" fillId="27" borderId="3" xfId="0" applyFont="1" applyFill="1" applyBorder="1" applyAlignment="1"/>
    <xf numFmtId="0" fontId="124" fillId="27" borderId="4" xfId="0" applyFont="1" applyFill="1" applyBorder="1" applyAlignment="1">
      <alignment horizontal="center"/>
    </xf>
    <xf numFmtId="0" fontId="3" fillId="27" borderId="2" xfId="0" applyFont="1" applyFill="1" applyBorder="1" applyAlignment="1"/>
    <xf numFmtId="0" fontId="3" fillId="27" borderId="3" xfId="0" applyFont="1" applyFill="1" applyBorder="1" applyAlignment="1"/>
    <xf numFmtId="0" fontId="3" fillId="27" borderId="4" xfId="0" applyFont="1" applyFill="1" applyBorder="1" applyAlignment="1">
      <alignment horizontal="center"/>
    </xf>
    <xf numFmtId="0" fontId="3" fillId="27" borderId="46" xfId="0" applyFont="1" applyFill="1" applyBorder="1" applyAlignment="1"/>
    <xf numFmtId="0" fontId="124" fillId="27" borderId="51" xfId="0" applyFont="1" applyFill="1" applyBorder="1" applyAlignment="1"/>
    <xf numFmtId="0" fontId="124" fillId="27" borderId="12" xfId="0" applyFont="1" applyFill="1" applyBorder="1" applyAlignment="1">
      <alignment horizontal="center"/>
    </xf>
    <xf numFmtId="0" fontId="39" fillId="20" borderId="4" xfId="0" applyFont="1" applyFill="1" applyBorder="1" applyAlignment="1">
      <alignment horizontal="center" vertical="center"/>
    </xf>
    <xf numFmtId="0" fontId="39" fillId="20" borderId="2" xfId="0" applyFont="1" applyFill="1" applyBorder="1" applyAlignment="1">
      <alignment horizontal="left" vertical="center"/>
    </xf>
    <xf numFmtId="0" fontId="13" fillId="20" borderId="3" xfId="0" applyFont="1" applyFill="1" applyBorder="1" applyAlignment="1">
      <alignment horizontal="left" vertical="center"/>
    </xf>
    <xf numFmtId="2" fontId="3" fillId="0" borderId="1" xfId="0" applyNumberFormat="1" applyFont="1" applyBorder="1" applyAlignment="1">
      <alignment horizontal="right"/>
    </xf>
    <xf numFmtId="0" fontId="3" fillId="0" borderId="1" xfId="0" applyFont="1" applyBorder="1" applyAlignment="1">
      <alignment vertical="center"/>
    </xf>
    <xf numFmtId="0" fontId="119" fillId="0" borderId="1" xfId="0" applyFont="1" applyBorder="1" applyAlignment="1">
      <alignment vertical="center"/>
    </xf>
    <xf numFmtId="0" fontId="123" fillId="21" borderId="1" xfId="0" applyFont="1" applyFill="1" applyBorder="1" applyAlignment="1">
      <alignment vertical="center" wrapText="1"/>
    </xf>
    <xf numFmtId="2" fontId="3" fillId="0" borderId="2" xfId="0" applyNumberFormat="1" applyFont="1" applyBorder="1" applyAlignment="1">
      <alignment horizontal="right" vertical="center"/>
    </xf>
    <xf numFmtId="2" fontId="12" fillId="0" borderId="2" xfId="0" applyNumberFormat="1" applyFont="1" applyBorder="1" applyAlignment="1">
      <alignment horizontal="right" vertical="center"/>
    </xf>
    <xf numFmtId="0" fontId="119" fillId="5" borderId="1" xfId="0" applyFont="1" applyFill="1" applyBorder="1" applyAlignment="1">
      <alignment vertical="center"/>
    </xf>
    <xf numFmtId="0" fontId="119" fillId="0" borderId="1" xfId="0" applyFont="1" applyBorder="1" applyAlignment="1">
      <alignment horizontal="left" vertical="center"/>
    </xf>
    <xf numFmtId="0" fontId="124" fillId="27" borderId="4" xfId="0" applyFont="1" applyFill="1" applyBorder="1" applyAlignment="1"/>
    <xf numFmtId="0" fontId="122" fillId="0" borderId="0" xfId="0" applyFont="1" applyFill="1" applyBorder="1" applyAlignment="1">
      <alignment horizontal="left" vertical="center"/>
    </xf>
    <xf numFmtId="0" fontId="39" fillId="20" borderId="1" xfId="0" applyFont="1" applyFill="1" applyBorder="1" applyAlignment="1">
      <alignment horizontal="left" vertical="center" wrapText="1"/>
    </xf>
    <xf numFmtId="0" fontId="3" fillId="7" borderId="9" xfId="0" applyFont="1" applyFill="1" applyBorder="1" applyAlignment="1">
      <alignment horizontal="center" vertical="center" wrapText="1"/>
    </xf>
    <xf numFmtId="2" fontId="3" fillId="7" borderId="46" xfId="0" applyNumberFormat="1" applyFont="1" applyFill="1" applyBorder="1" applyAlignment="1">
      <alignment horizontal="center" vertical="center" wrapText="1"/>
    </xf>
    <xf numFmtId="0" fontId="3" fillId="0" borderId="54" xfId="0" applyFont="1" applyFill="1" applyBorder="1" applyAlignment="1"/>
    <xf numFmtId="0" fontId="123" fillId="0" borderId="9" xfId="0" applyFont="1" applyFill="1" applyBorder="1" applyAlignment="1">
      <alignment horizontal="left" vertical="center"/>
    </xf>
    <xf numFmtId="0" fontId="12" fillId="0" borderId="0" xfId="0" applyFont="1" applyBorder="1"/>
    <xf numFmtId="2" fontId="12" fillId="0" borderId="0" xfId="0" applyNumberFormat="1" applyFont="1" applyBorder="1"/>
    <xf numFmtId="0" fontId="6" fillId="0" borderId="0" xfId="0" applyFont="1" applyBorder="1" applyAlignment="1">
      <alignment vertical="top"/>
    </xf>
    <xf numFmtId="0" fontId="6" fillId="27" borderId="1" xfId="0" applyFont="1" applyFill="1" applyBorder="1"/>
    <xf numFmtId="0" fontId="6" fillId="60" borderId="1" xfId="0" applyFont="1" applyFill="1" applyBorder="1" applyAlignment="1">
      <alignment vertical="top"/>
    </xf>
    <xf numFmtId="0" fontId="6" fillId="7" borderId="1" xfId="0" applyFont="1" applyFill="1" applyBorder="1" applyAlignment="1">
      <alignment vertical="top"/>
    </xf>
    <xf numFmtId="0" fontId="6" fillId="35" borderId="1" xfId="0" applyFont="1" applyFill="1" applyBorder="1" applyAlignment="1">
      <alignment vertical="top"/>
    </xf>
    <xf numFmtId="0" fontId="6" fillId="21" borderId="1" xfId="0" applyFont="1" applyFill="1" applyBorder="1"/>
    <xf numFmtId="0" fontId="6" fillId="38" borderId="1" xfId="0" applyFont="1" applyFill="1" applyBorder="1"/>
    <xf numFmtId="0" fontId="6" fillId="17" borderId="1" xfId="0" applyFont="1" applyFill="1" applyBorder="1" applyAlignment="1">
      <alignment vertical="top"/>
    </xf>
    <xf numFmtId="0" fontId="6" fillId="61" borderId="1" xfId="0" applyFont="1" applyFill="1" applyBorder="1" applyAlignment="1">
      <alignment vertical="top"/>
    </xf>
    <xf numFmtId="0" fontId="6" fillId="62" borderId="1" xfId="0" applyFont="1" applyFill="1" applyBorder="1"/>
    <xf numFmtId="0" fontId="6" fillId="0" borderId="0" xfId="0" applyFont="1"/>
    <xf numFmtId="0" fontId="128" fillId="26" borderId="1" xfId="0" applyFont="1" applyFill="1" applyBorder="1" applyAlignment="1">
      <alignment horizontal="left" vertical="center"/>
    </xf>
    <xf numFmtId="0" fontId="128" fillId="9" borderId="1" xfId="0" applyFont="1" applyFill="1" applyBorder="1" applyAlignment="1">
      <alignment horizontal="left" vertical="center"/>
    </xf>
    <xf numFmtId="0" fontId="128" fillId="36" borderId="1" xfId="0" applyFont="1" applyFill="1" applyBorder="1" applyAlignment="1">
      <alignment horizontal="left" vertical="center"/>
    </xf>
    <xf numFmtId="0" fontId="128" fillId="15" borderId="1" xfId="0" applyFont="1" applyFill="1" applyBorder="1" applyAlignment="1">
      <alignment horizontal="left" vertical="center"/>
    </xf>
    <xf numFmtId="0" fontId="128" fillId="12" borderId="1" xfId="0" applyFont="1" applyFill="1" applyBorder="1" applyAlignment="1">
      <alignment horizontal="left" vertical="center"/>
    </xf>
    <xf numFmtId="0" fontId="130" fillId="0" borderId="0" xfId="0" applyFont="1"/>
    <xf numFmtId="0" fontId="6" fillId="0" borderId="1" xfId="0" applyFont="1" applyFill="1" applyBorder="1"/>
    <xf numFmtId="0" fontId="128" fillId="60" borderId="1" xfId="0" applyFont="1" applyFill="1" applyBorder="1" applyAlignment="1">
      <alignment horizontal="left" vertical="center"/>
    </xf>
    <xf numFmtId="0" fontId="128" fillId="3" borderId="1" xfId="0" applyFont="1" applyFill="1" applyBorder="1" applyAlignment="1">
      <alignment horizontal="left" vertical="center" wrapText="1"/>
    </xf>
    <xf numFmtId="0" fontId="124" fillId="27" borderId="17" xfId="0" applyFont="1" applyFill="1" applyBorder="1" applyAlignment="1"/>
    <xf numFmtId="0" fontId="3" fillId="0" borderId="9" xfId="0" applyFont="1" applyBorder="1"/>
    <xf numFmtId="2" fontId="12" fillId="0" borderId="1" xfId="0" applyNumberFormat="1" applyFont="1" applyBorder="1" applyAlignment="1">
      <alignment horizontal="right"/>
    </xf>
    <xf numFmtId="0" fontId="39" fillId="20" borderId="4" xfId="0" applyFont="1" applyFill="1" applyBorder="1" applyAlignment="1">
      <alignment horizontal="left" vertical="center"/>
    </xf>
    <xf numFmtId="0" fontId="0" fillId="0" borderId="4" xfId="0" applyBorder="1"/>
    <xf numFmtId="2" fontId="12" fillId="0" borderId="4" xfId="0" applyNumberFormat="1" applyFont="1" applyBorder="1" applyAlignment="1">
      <alignment horizontal="right"/>
    </xf>
    <xf numFmtId="0" fontId="128" fillId="66" borderId="1" xfId="0" applyFont="1" applyFill="1" applyBorder="1" applyAlignment="1">
      <alignment horizontal="left" vertical="center" wrapText="1"/>
    </xf>
    <xf numFmtId="0" fontId="128" fillId="67" borderId="1" xfId="0" applyFont="1" applyFill="1" applyBorder="1" applyAlignment="1">
      <alignment horizontal="left" vertical="center" wrapText="1"/>
    </xf>
    <xf numFmtId="0" fontId="128" fillId="68" borderId="1" xfId="0" applyFont="1" applyFill="1" applyBorder="1" applyAlignment="1">
      <alignment horizontal="left" vertical="center" wrapText="1"/>
    </xf>
    <xf numFmtId="0" fontId="6" fillId="63" borderId="4" xfId="0" applyFont="1" applyFill="1" applyBorder="1"/>
    <xf numFmtId="0" fontId="6" fillId="64" borderId="4" xfId="0" applyFont="1" applyFill="1" applyBorder="1" applyAlignment="1">
      <alignment vertical="top"/>
    </xf>
    <xf numFmtId="0" fontId="6" fillId="65" borderId="4" xfId="0" applyFont="1" applyFill="1" applyBorder="1"/>
    <xf numFmtId="0" fontId="123" fillId="0" borderId="0" xfId="0" applyFont="1" applyFill="1" applyBorder="1" applyAlignment="1">
      <alignment vertical="center" wrapText="1"/>
    </xf>
    <xf numFmtId="0" fontId="123" fillId="0" borderId="0" xfId="0" applyFont="1" applyFill="1" applyBorder="1" applyAlignment="1">
      <alignment horizontal="center" vertical="center" wrapText="1"/>
    </xf>
    <xf numFmtId="2" fontId="115" fillId="0" borderId="0" xfId="0" applyNumberFormat="1" applyFont="1" applyFill="1" applyBorder="1" applyAlignment="1">
      <alignment horizontal="center" vertical="center"/>
    </xf>
    <xf numFmtId="0" fontId="3" fillId="0" borderId="0" xfId="0" applyFont="1" applyFill="1" applyBorder="1" applyAlignment="1"/>
    <xf numFmtId="0" fontId="123" fillId="0" borderId="0" xfId="0" applyFont="1" applyFill="1" applyBorder="1" applyAlignment="1">
      <alignment horizontal="left" vertical="center"/>
    </xf>
    <xf numFmtId="166" fontId="1" fillId="57" borderId="4" xfId="0" applyNumberFormat="1" applyFont="1" applyFill="1" applyBorder="1" applyAlignment="1">
      <alignment horizontal="left"/>
    </xf>
    <xf numFmtId="166" fontId="131" fillId="0" borderId="114" xfId="5" applyNumberFormat="1" applyFont="1" applyFill="1" applyBorder="1" applyAlignment="1" applyProtection="1">
      <alignment horizontal="right"/>
    </xf>
    <xf numFmtId="177" fontId="131" fillId="0" borderId="114" xfId="5" applyNumberFormat="1" applyFont="1" applyFill="1" applyBorder="1" applyAlignment="1" applyProtection="1">
      <alignment horizontal="right"/>
    </xf>
    <xf numFmtId="2" fontId="19" fillId="0" borderId="12" xfId="0" applyNumberFormat="1" applyFont="1" applyBorder="1" applyAlignment="1"/>
    <xf numFmtId="2" fontId="19" fillId="0" borderId="1" xfId="0" applyNumberFormat="1" applyFont="1" applyBorder="1" applyAlignment="1"/>
    <xf numFmtId="166" fontId="1" fillId="57" borderId="3" xfId="0" applyNumberFormat="1" applyFont="1" applyFill="1" applyBorder="1" applyAlignment="1">
      <alignment horizontal="left"/>
    </xf>
    <xf numFmtId="2" fontId="0" fillId="0" borderId="12" xfId="0" applyNumberFormat="1" applyFill="1" applyBorder="1" applyAlignment="1"/>
    <xf numFmtId="2" fontId="132" fillId="35" borderId="9" xfId="0" applyNumberFormat="1" applyFont="1" applyFill="1" applyBorder="1" applyAlignment="1"/>
    <xf numFmtId="2" fontId="132" fillId="35" borderId="1" xfId="0" applyNumberFormat="1" applyFont="1" applyFill="1" applyBorder="1" applyAlignment="1"/>
    <xf numFmtId="2" fontId="132" fillId="0" borderId="0" xfId="0" applyNumberFormat="1" applyFont="1" applyFill="1" applyBorder="1" applyAlignment="1"/>
    <xf numFmtId="2" fontId="135" fillId="0" borderId="0" xfId="0" applyNumberFormat="1" applyFont="1" applyFill="1" applyBorder="1" applyAlignment="1"/>
    <xf numFmtId="166" fontId="1" fillId="7" borderId="1" xfId="0" applyNumberFormat="1" applyFont="1" applyFill="1" applyBorder="1" applyAlignment="1">
      <alignment horizontal="center" vertical="center"/>
    </xf>
    <xf numFmtId="166" fontId="131" fillId="0" borderId="0" xfId="5" applyNumberFormat="1" applyFont="1" applyFill="1" applyBorder="1" applyAlignment="1" applyProtection="1">
      <alignment horizontal="left"/>
    </xf>
    <xf numFmtId="166" fontId="1" fillId="0" borderId="0" xfId="0" applyNumberFormat="1" applyFont="1" applyFill="1" applyBorder="1" applyAlignment="1">
      <alignment horizontal="left"/>
    </xf>
    <xf numFmtId="166" fontId="1" fillId="27" borderId="9" xfId="0" applyNumberFormat="1" applyFont="1" applyFill="1" applyBorder="1" applyAlignment="1"/>
    <xf numFmtId="2" fontId="132" fillId="27" borderId="12" xfId="0" applyNumberFormat="1" applyFont="1" applyFill="1" applyBorder="1" applyAlignment="1"/>
    <xf numFmtId="2" fontId="0" fillId="21" borderId="12" xfId="0" applyNumberFormat="1" applyFill="1" applyBorder="1" applyAlignment="1"/>
    <xf numFmtId="166" fontId="0" fillId="21" borderId="1" xfId="0" applyNumberFormat="1" applyFill="1" applyBorder="1" applyAlignment="1"/>
    <xf numFmtId="0" fontId="0" fillId="17" borderId="1" xfId="0" applyFill="1" applyBorder="1"/>
    <xf numFmtId="2" fontId="132" fillId="21" borderId="1" xfId="0" applyNumberFormat="1" applyFont="1" applyFill="1" applyBorder="1" applyAlignment="1"/>
    <xf numFmtId="0" fontId="1" fillId="57"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166" fontId="1" fillId="57" borderId="2" xfId="0" applyNumberFormat="1" applyFont="1" applyFill="1" applyBorder="1" applyAlignment="1">
      <alignment horizontal="left" vertical="center"/>
    </xf>
    <xf numFmtId="166" fontId="0" fillId="27" borderId="1" xfId="0" applyNumberFormat="1" applyFont="1" applyFill="1" applyBorder="1" applyAlignment="1"/>
    <xf numFmtId="166" fontId="0" fillId="27" borderId="9" xfId="0" applyNumberFormat="1" applyFont="1" applyFill="1" applyBorder="1" applyAlignment="1"/>
    <xf numFmtId="166" fontId="0" fillId="0" borderId="2" xfId="0" applyNumberFormat="1" applyBorder="1" applyAlignment="1"/>
    <xf numFmtId="177" fontId="131" fillId="0" borderId="121" xfId="5" applyNumberFormat="1" applyFont="1" applyFill="1" applyBorder="1" applyAlignment="1" applyProtection="1">
      <alignment horizontal="right"/>
    </xf>
    <xf numFmtId="2" fontId="132" fillId="35" borderId="46" xfId="0" applyNumberFormat="1" applyFont="1" applyFill="1" applyBorder="1" applyAlignment="1"/>
    <xf numFmtId="0" fontId="0" fillId="15" borderId="4" xfId="0" applyFill="1" applyBorder="1"/>
    <xf numFmtId="166" fontId="131" fillId="15" borderId="114" xfId="5" applyNumberFormat="1" applyFont="1" applyFill="1" applyBorder="1" applyAlignment="1" applyProtection="1">
      <alignment horizontal="left"/>
    </xf>
    <xf numFmtId="166" fontId="131" fillId="15" borderId="118" xfId="5" applyNumberFormat="1" applyFont="1" applyFill="1" applyBorder="1" applyAlignment="1" applyProtection="1">
      <alignment horizontal="left"/>
    </xf>
    <xf numFmtId="166" fontId="131" fillId="15" borderId="114" xfId="5" applyNumberFormat="1" applyFont="1" applyFill="1" applyBorder="1" applyAlignment="1" applyProtection="1">
      <alignment horizontal="right"/>
    </xf>
    <xf numFmtId="166" fontId="1" fillId="57" borderId="3" xfId="0" applyNumberFormat="1" applyFont="1" applyFill="1" applyBorder="1" applyAlignment="1">
      <alignment horizontal="left" vertical="center"/>
    </xf>
    <xf numFmtId="0" fontId="0" fillId="15" borderId="51" xfId="0" applyFill="1" applyBorder="1"/>
    <xf numFmtId="0" fontId="0" fillId="15" borderId="3" xfId="0" applyFill="1" applyBorder="1"/>
    <xf numFmtId="166" fontId="74" fillId="15" borderId="118" xfId="5" applyNumberFormat="1" applyFont="1" applyFill="1" applyBorder="1" applyAlignment="1" applyProtection="1">
      <alignment horizontal="left"/>
    </xf>
    <xf numFmtId="166" fontId="74" fillId="15" borderId="120" xfId="5" applyNumberFormat="1" applyFont="1" applyFill="1" applyBorder="1" applyAlignment="1" applyProtection="1">
      <alignment horizontal="left"/>
    </xf>
    <xf numFmtId="0" fontId="0" fillId="0" borderId="54" xfId="0" applyFill="1" applyBorder="1"/>
    <xf numFmtId="166" fontId="131" fillId="0" borderId="54" xfId="5" applyNumberFormat="1" applyFont="1" applyFill="1" applyBorder="1" applyAlignment="1" applyProtection="1">
      <alignment horizontal="left"/>
    </xf>
    <xf numFmtId="0" fontId="0" fillId="15" borderId="17" xfId="0" applyFill="1" applyBorder="1"/>
    <xf numFmtId="166" fontId="1" fillId="62" borderId="19" xfId="0" applyNumberFormat="1" applyFont="1" applyFill="1" applyBorder="1" applyAlignment="1">
      <alignment horizontal="center" vertical="center"/>
    </xf>
    <xf numFmtId="166" fontId="84" fillId="69" borderId="19" xfId="0" applyNumberFormat="1" applyFont="1" applyFill="1" applyBorder="1" applyAlignment="1">
      <alignment horizontal="center" vertical="center"/>
    </xf>
    <xf numFmtId="166" fontId="1" fillId="7" borderId="19" xfId="0" applyNumberFormat="1" applyFont="1" applyFill="1" applyBorder="1" applyAlignment="1">
      <alignment horizontal="center" vertical="center"/>
    </xf>
    <xf numFmtId="166" fontId="1" fillId="15" borderId="19" xfId="0" applyNumberFormat="1" applyFont="1" applyFill="1" applyBorder="1" applyAlignment="1">
      <alignment horizontal="center" vertical="center"/>
    </xf>
    <xf numFmtId="0" fontId="0" fillId="0" borderId="19" xfId="0" applyFill="1" applyBorder="1"/>
    <xf numFmtId="166" fontId="134" fillId="0" borderId="0" xfId="5" applyNumberFormat="1" applyFont="1" applyFill="1" applyBorder="1" applyAlignment="1" applyProtection="1">
      <alignment horizontal="left"/>
    </xf>
    <xf numFmtId="0" fontId="0" fillId="15" borderId="89" xfId="0" applyFill="1" applyBorder="1"/>
    <xf numFmtId="166" fontId="131" fillId="15" borderId="122" xfId="6" applyNumberFormat="1" applyFont="1" applyFill="1" applyBorder="1" applyAlignment="1" applyProtection="1">
      <alignment horizontal="left"/>
    </xf>
    <xf numFmtId="166" fontId="131" fillId="15" borderId="116" xfId="6" applyNumberFormat="1" applyFont="1" applyFill="1" applyBorder="1" applyAlignment="1" applyProtection="1">
      <alignment horizontal="right"/>
    </xf>
    <xf numFmtId="2" fontId="132" fillId="17" borderId="1" xfId="0" applyNumberFormat="1" applyFont="1" applyFill="1" applyBorder="1" applyAlignment="1"/>
    <xf numFmtId="2" fontId="132" fillId="17" borderId="9" xfId="0" applyNumberFormat="1" applyFont="1" applyFill="1" applyBorder="1" applyAlignment="1"/>
    <xf numFmtId="166" fontId="84" fillId="11" borderId="9" xfId="0" applyNumberFormat="1" applyFont="1" applyFill="1" applyBorder="1" applyAlignment="1">
      <alignment horizontal="right"/>
    </xf>
    <xf numFmtId="2" fontId="84" fillId="11" borderId="9" xfId="0" applyNumberFormat="1" applyFont="1" applyFill="1" applyBorder="1" applyAlignment="1">
      <alignment horizontal="right"/>
    </xf>
    <xf numFmtId="166" fontId="84" fillId="11" borderId="1" xfId="0" applyNumberFormat="1" applyFont="1" applyFill="1" applyBorder="1" applyAlignment="1">
      <alignment horizontal="center" vertical="center"/>
    </xf>
    <xf numFmtId="2" fontId="136" fillId="7" borderId="9" xfId="0" applyNumberFormat="1" applyFont="1" applyFill="1" applyBorder="1" applyAlignment="1"/>
    <xf numFmtId="0" fontId="0" fillId="15" borderId="1" xfId="0" applyFill="1" applyBorder="1"/>
    <xf numFmtId="2" fontId="132" fillId="35" borderId="19" xfId="0" applyNumberFormat="1" applyFont="1" applyFill="1" applyBorder="1" applyAlignment="1"/>
    <xf numFmtId="2" fontId="19" fillId="0" borderId="1" xfId="0" applyNumberFormat="1" applyFont="1" applyFill="1" applyBorder="1" applyAlignment="1"/>
    <xf numFmtId="2" fontId="0" fillId="0" borderId="1" xfId="0" applyNumberFormat="1" applyFill="1" applyBorder="1" applyAlignment="1"/>
    <xf numFmtId="2" fontId="2" fillId="0" borderId="1" xfId="0" applyNumberFormat="1" applyFont="1" applyBorder="1" applyAlignment="1"/>
    <xf numFmtId="166" fontId="74" fillId="15" borderId="1" xfId="5" applyNumberFormat="1" applyFont="1" applyFill="1" applyBorder="1" applyAlignment="1" applyProtection="1">
      <alignment horizontal="left"/>
    </xf>
    <xf numFmtId="166" fontId="131" fillId="15" borderId="1" xfId="5" applyNumberFormat="1" applyFont="1" applyFill="1" applyBorder="1" applyAlignment="1" applyProtection="1">
      <alignment horizontal="right"/>
    </xf>
    <xf numFmtId="2" fontId="0" fillId="27" borderId="1" xfId="0" applyNumberFormat="1" applyFont="1" applyFill="1" applyBorder="1" applyAlignment="1"/>
    <xf numFmtId="2" fontId="19" fillId="0" borderId="12" xfId="0" applyNumberFormat="1" applyFont="1" applyFill="1" applyBorder="1" applyAlignment="1"/>
    <xf numFmtId="2" fontId="0" fillId="0" borderId="48" xfId="0" applyNumberFormat="1" applyFill="1" applyBorder="1" applyAlignment="1"/>
    <xf numFmtId="2" fontId="0" fillId="0" borderId="19" xfId="0" applyNumberFormat="1" applyFill="1" applyBorder="1" applyAlignment="1"/>
    <xf numFmtId="2" fontId="0" fillId="0" borderId="4" xfId="0" applyNumberFormat="1" applyFill="1" applyBorder="1" applyAlignment="1"/>
    <xf numFmtId="2" fontId="0" fillId="27" borderId="9" xfId="0" applyNumberFormat="1" applyFont="1" applyFill="1" applyBorder="1" applyAlignment="1"/>
    <xf numFmtId="4" fontId="0" fillId="17" borderId="1" xfId="0" applyNumberFormat="1" applyFill="1" applyBorder="1"/>
    <xf numFmtId="166" fontId="131" fillId="15" borderId="121" xfId="5" applyNumberFormat="1" applyFont="1" applyFill="1" applyBorder="1" applyAlignment="1" applyProtection="1">
      <alignment horizontal="right"/>
    </xf>
    <xf numFmtId="166" fontId="131" fillId="15" borderId="126" xfId="5" applyNumberFormat="1" applyFont="1" applyFill="1" applyBorder="1" applyAlignment="1" applyProtection="1">
      <alignment horizontal="right"/>
    </xf>
    <xf numFmtId="166" fontId="74" fillId="15" borderId="122" xfId="5" applyNumberFormat="1" applyFont="1" applyFill="1" applyBorder="1" applyAlignment="1" applyProtection="1">
      <alignment horizontal="left"/>
    </xf>
    <xf numFmtId="166" fontId="74" fillId="15" borderId="122" xfId="5" applyNumberFormat="1" applyFont="1" applyFill="1" applyBorder="1" applyAlignment="1" applyProtection="1">
      <alignment horizontal="right"/>
    </xf>
    <xf numFmtId="0" fontId="1" fillId="15" borderId="2" xfId="0" applyFont="1" applyFill="1" applyBorder="1"/>
    <xf numFmtId="0" fontId="89" fillId="2" borderId="22" xfId="0" applyFont="1" applyFill="1" applyBorder="1" applyAlignment="1">
      <alignment horizontal="center" vertical="center" wrapText="1"/>
    </xf>
    <xf numFmtId="0" fontId="1" fillId="15" borderId="1" xfId="0" applyFont="1" applyFill="1" applyBorder="1"/>
    <xf numFmtId="0" fontId="0" fillId="41" borderId="1" xfId="0" applyFill="1" applyBorder="1"/>
    <xf numFmtId="0" fontId="1" fillId="41" borderId="4" xfId="0" applyFont="1" applyFill="1" applyBorder="1" applyAlignment="1">
      <alignment horizontal="left" vertical="center"/>
    </xf>
    <xf numFmtId="0" fontId="0" fillId="41" borderId="4" xfId="0" applyFill="1" applyBorder="1" applyAlignment="1">
      <alignment horizontal="left" vertical="center"/>
    </xf>
    <xf numFmtId="166" fontId="0" fillId="41" borderId="1" xfId="0" applyNumberFormat="1" applyFill="1" applyBorder="1" applyAlignment="1"/>
    <xf numFmtId="166" fontId="131" fillId="41" borderId="1" xfId="5" applyNumberFormat="1" applyFont="1" applyFill="1" applyBorder="1" applyAlignment="1" applyProtection="1">
      <alignment horizontal="left"/>
    </xf>
    <xf numFmtId="166" fontId="131" fillId="41" borderId="118" xfId="5" applyNumberFormat="1" applyFont="1" applyFill="1" applyBorder="1" applyAlignment="1" applyProtection="1">
      <alignment horizontal="left"/>
    </xf>
    <xf numFmtId="166" fontId="131" fillId="41" borderId="114" xfId="5" applyNumberFormat="1" applyFont="1" applyFill="1" applyBorder="1" applyAlignment="1" applyProtection="1">
      <alignment horizontal="right"/>
    </xf>
    <xf numFmtId="166" fontId="0" fillId="15" borderId="1" xfId="0" applyNumberFormat="1" applyFill="1" applyBorder="1" applyAlignment="1"/>
    <xf numFmtId="0" fontId="0" fillId="42" borderId="1" xfId="0" applyFill="1" applyBorder="1"/>
    <xf numFmtId="0" fontId="1" fillId="42" borderId="4" xfId="0" applyFont="1" applyFill="1" applyBorder="1" applyAlignment="1">
      <alignment horizontal="left" vertical="center"/>
    </xf>
    <xf numFmtId="166" fontId="0" fillId="42" borderId="1" xfId="0" applyNumberFormat="1" applyFill="1" applyBorder="1" applyAlignment="1"/>
    <xf numFmtId="166" fontId="131" fillId="42" borderId="1" xfId="5" applyNumberFormat="1" applyFont="1" applyFill="1" applyBorder="1" applyAlignment="1" applyProtection="1">
      <alignment horizontal="left"/>
    </xf>
    <xf numFmtId="166" fontId="131" fillId="42" borderId="118" xfId="5" applyNumberFormat="1" applyFont="1" applyFill="1" applyBorder="1" applyAlignment="1" applyProtection="1">
      <alignment horizontal="left"/>
    </xf>
    <xf numFmtId="166" fontId="131" fillId="42" borderId="114" xfId="5" applyNumberFormat="1" applyFont="1" applyFill="1" applyBorder="1" applyAlignment="1" applyProtection="1">
      <alignment horizontal="right"/>
    </xf>
    <xf numFmtId="0" fontId="0" fillId="52" borderId="1" xfId="0" applyFill="1" applyBorder="1"/>
    <xf numFmtId="0" fontId="1" fillId="52" borderId="4" xfId="0" applyFont="1" applyFill="1" applyBorder="1" applyAlignment="1">
      <alignment horizontal="left" vertical="center"/>
    </xf>
    <xf numFmtId="0" fontId="0" fillId="52" borderId="4" xfId="0" applyFill="1" applyBorder="1" applyAlignment="1">
      <alignment horizontal="left" vertical="center"/>
    </xf>
    <xf numFmtId="166" fontId="0" fillId="52" borderId="1" xfId="0" applyNumberFormat="1" applyFill="1" applyBorder="1" applyAlignment="1"/>
    <xf numFmtId="166" fontId="131" fillId="52" borderId="1" xfId="5" applyNumberFormat="1" applyFont="1" applyFill="1" applyBorder="1" applyAlignment="1" applyProtection="1">
      <alignment horizontal="left"/>
    </xf>
    <xf numFmtId="166" fontId="131" fillId="52" borderId="118" xfId="5" applyNumberFormat="1" applyFont="1" applyFill="1" applyBorder="1" applyAlignment="1" applyProtection="1">
      <alignment horizontal="left"/>
    </xf>
    <xf numFmtId="166" fontId="131" fillId="52" borderId="114" xfId="5" applyNumberFormat="1" applyFont="1" applyFill="1" applyBorder="1" applyAlignment="1" applyProtection="1">
      <alignment horizontal="right"/>
    </xf>
    <xf numFmtId="2" fontId="0" fillId="41" borderId="12" xfId="0" applyNumberFormat="1" applyFill="1" applyBorder="1" applyAlignment="1"/>
    <xf numFmtId="2" fontId="0" fillId="41" borderId="1" xfId="0" applyNumberFormat="1" applyFill="1" applyBorder="1" applyAlignment="1"/>
    <xf numFmtId="2" fontId="0" fillId="52" borderId="12" xfId="0" applyNumberFormat="1" applyFill="1" applyBorder="1" applyAlignment="1"/>
    <xf numFmtId="2" fontId="0" fillId="52" borderId="1" xfId="0" applyNumberFormat="1" applyFill="1" applyBorder="1" applyAlignment="1"/>
    <xf numFmtId="166" fontId="131" fillId="42" borderId="122" xfId="5" applyNumberFormat="1" applyFont="1" applyFill="1" applyBorder="1" applyAlignment="1" applyProtection="1">
      <alignment horizontal="left"/>
    </xf>
    <xf numFmtId="166" fontId="131" fillId="41" borderId="122" xfId="5" applyNumberFormat="1" applyFont="1" applyFill="1" applyBorder="1" applyAlignment="1" applyProtection="1">
      <alignment horizontal="left"/>
    </xf>
    <xf numFmtId="166" fontId="131" fillId="41" borderId="116" xfId="5" applyNumberFormat="1" applyFont="1" applyFill="1" applyBorder="1" applyAlignment="1" applyProtection="1">
      <alignment horizontal="right"/>
    </xf>
    <xf numFmtId="166" fontId="0" fillId="15" borderId="9" xfId="0" applyNumberFormat="1" applyFill="1" applyBorder="1" applyAlignment="1"/>
    <xf numFmtId="2" fontId="0" fillId="15" borderId="1" xfId="0" applyNumberFormat="1" applyFill="1" applyBorder="1" applyAlignment="1"/>
    <xf numFmtId="0" fontId="1" fillId="42" borderId="1" xfId="0" applyFont="1" applyFill="1" applyBorder="1" applyAlignment="1">
      <alignment horizontal="left" vertical="center"/>
    </xf>
    <xf numFmtId="166" fontId="0" fillId="42" borderId="9" xfId="0" applyNumberFormat="1" applyFill="1" applyBorder="1" applyAlignment="1"/>
    <xf numFmtId="2" fontId="0" fillId="42" borderId="1" xfId="0" applyNumberFormat="1" applyFill="1" applyBorder="1" applyAlignment="1"/>
    <xf numFmtId="0" fontId="1" fillId="42" borderId="1" xfId="0" applyFont="1" applyFill="1" applyBorder="1" applyAlignment="1">
      <alignment horizontal="center" vertical="center"/>
    </xf>
    <xf numFmtId="0" fontId="0" fillId="41" borderId="89" xfId="0" applyFill="1" applyBorder="1"/>
    <xf numFmtId="166" fontId="74" fillId="41" borderId="128" xfId="5" applyNumberFormat="1" applyFont="1" applyFill="1" applyBorder="1" applyAlignment="1" applyProtection="1">
      <alignment horizontal="left"/>
    </xf>
    <xf numFmtId="166" fontId="131" fillId="41" borderId="19" xfId="5" applyNumberFormat="1" applyFont="1" applyFill="1" applyBorder="1" applyAlignment="1" applyProtection="1">
      <alignment horizontal="right"/>
    </xf>
    <xf numFmtId="0" fontId="0" fillId="42" borderId="12" xfId="0" applyFill="1" applyBorder="1"/>
    <xf numFmtId="166" fontId="74" fillId="42" borderId="118" xfId="5" applyNumberFormat="1" applyFont="1" applyFill="1" applyBorder="1" applyAlignment="1" applyProtection="1">
      <alignment horizontal="left"/>
    </xf>
    <xf numFmtId="166" fontId="131" fillId="42" borderId="126" xfId="5" applyNumberFormat="1" applyFont="1" applyFill="1" applyBorder="1" applyAlignment="1" applyProtection="1">
      <alignment horizontal="right"/>
    </xf>
    <xf numFmtId="166" fontId="131" fillId="42" borderId="1" xfId="5" applyNumberFormat="1" applyFont="1" applyFill="1" applyBorder="1" applyAlignment="1" applyProtection="1">
      <alignment horizontal="right"/>
    </xf>
    <xf numFmtId="0" fontId="0" fillId="42" borderId="4" xfId="0" applyFill="1" applyBorder="1"/>
    <xf numFmtId="166" fontId="131" fillId="42" borderId="127" xfId="5" applyNumberFormat="1" applyFont="1" applyFill="1" applyBorder="1" applyAlignment="1" applyProtection="1">
      <alignment horizontal="right"/>
    </xf>
    <xf numFmtId="166" fontId="74" fillId="41" borderId="4" xfId="5" applyNumberFormat="1" applyFont="1" applyFill="1" applyBorder="1" applyAlignment="1" applyProtection="1">
      <alignment horizontal="left"/>
    </xf>
    <xf numFmtId="166" fontId="74" fillId="41" borderId="123" xfId="5" applyNumberFormat="1" applyFont="1" applyFill="1" applyBorder="1" applyAlignment="1" applyProtection="1">
      <alignment horizontal="left"/>
    </xf>
    <xf numFmtId="0" fontId="0" fillId="41" borderId="4" xfId="0" applyFill="1" applyBorder="1"/>
    <xf numFmtId="166" fontId="131" fillId="41" borderId="115" xfId="5" applyNumberFormat="1" applyFont="1" applyFill="1" applyBorder="1" applyAlignment="1" applyProtection="1">
      <alignment horizontal="right"/>
    </xf>
    <xf numFmtId="166" fontId="74" fillId="41" borderId="118" xfId="5" applyNumberFormat="1" applyFont="1" applyFill="1" applyBorder="1" applyAlignment="1" applyProtection="1">
      <alignment horizontal="left"/>
    </xf>
    <xf numFmtId="166" fontId="74" fillId="41" borderId="118" xfId="5" applyNumberFormat="1" applyFont="1" applyFill="1" applyBorder="1" applyAlignment="1" applyProtection="1">
      <alignment horizontal="right"/>
    </xf>
    <xf numFmtId="166" fontId="131" fillId="41" borderId="1" xfId="5" applyNumberFormat="1" applyFont="1" applyFill="1" applyBorder="1" applyAlignment="1" applyProtection="1">
      <alignment horizontal="right"/>
    </xf>
    <xf numFmtId="2" fontId="0" fillId="42" borderId="12" xfId="0" applyNumberFormat="1" applyFill="1" applyBorder="1" applyAlignment="1"/>
    <xf numFmtId="0" fontId="0" fillId="41" borderId="3" xfId="0" applyFill="1" applyBorder="1"/>
    <xf numFmtId="0" fontId="0" fillId="52" borderId="4" xfId="0" applyFill="1" applyBorder="1"/>
    <xf numFmtId="166" fontId="131" fillId="52" borderId="4" xfId="5" applyNumberFormat="1" applyFont="1" applyFill="1" applyBorder="1" applyAlignment="1" applyProtection="1">
      <alignment horizontal="left"/>
    </xf>
    <xf numFmtId="2" fontId="0" fillId="52" borderId="1" xfId="0" applyNumberFormat="1" applyFill="1" applyBorder="1"/>
    <xf numFmtId="166" fontId="74" fillId="42" borderId="120" xfId="5" applyNumberFormat="1" applyFont="1" applyFill="1" applyBorder="1" applyAlignment="1" applyProtection="1">
      <alignment horizontal="left"/>
    </xf>
    <xf numFmtId="166" fontId="74" fillId="42" borderId="120" xfId="5" applyNumberFormat="1" applyFont="1" applyFill="1" applyBorder="1" applyAlignment="1" applyProtection="1">
      <alignment horizontal="right"/>
    </xf>
    <xf numFmtId="166" fontId="74" fillId="42" borderId="118" xfId="5" applyNumberFormat="1" applyFont="1" applyFill="1" applyBorder="1" applyAlignment="1" applyProtection="1">
      <alignment horizontal="right"/>
    </xf>
    <xf numFmtId="0" fontId="1" fillId="42" borderId="9" xfId="0" applyFont="1" applyFill="1" applyBorder="1" applyAlignment="1">
      <alignment horizontal="left" vertical="center"/>
    </xf>
    <xf numFmtId="166" fontId="74" fillId="42" borderId="114" xfId="5" applyNumberFormat="1" applyFont="1" applyFill="1" applyBorder="1" applyAlignment="1" applyProtection="1">
      <alignment horizontal="left"/>
    </xf>
    <xf numFmtId="166" fontId="138" fillId="15" borderId="1" xfId="5" applyNumberFormat="1" applyFont="1" applyFill="1" applyBorder="1" applyAlignment="1" applyProtection="1">
      <alignment horizontal="left"/>
    </xf>
    <xf numFmtId="0" fontId="1" fillId="15" borderId="0" xfId="0" applyFont="1" applyFill="1" applyBorder="1"/>
    <xf numFmtId="166" fontId="74" fillId="42" borderId="1" xfId="5" applyNumberFormat="1" applyFont="1" applyFill="1" applyBorder="1" applyAlignment="1" applyProtection="1">
      <alignment horizontal="left"/>
    </xf>
    <xf numFmtId="166" fontId="137" fillId="42" borderId="4" xfId="5" applyNumberFormat="1" applyFont="1" applyFill="1" applyBorder="1" applyAlignment="1" applyProtection="1">
      <alignment horizontal="left"/>
    </xf>
    <xf numFmtId="0" fontId="133" fillId="42" borderId="1" xfId="0" applyFont="1" applyFill="1" applyBorder="1" applyAlignment="1">
      <alignment vertical="center"/>
    </xf>
    <xf numFmtId="166" fontId="1" fillId="42" borderId="9" xfId="0" applyNumberFormat="1" applyFont="1" applyFill="1" applyBorder="1" applyAlignment="1"/>
    <xf numFmtId="166" fontId="84" fillId="42" borderId="9" xfId="0" applyNumberFormat="1" applyFont="1" applyFill="1" applyBorder="1" applyAlignment="1"/>
    <xf numFmtId="0" fontId="62" fillId="42" borderId="1" xfId="0" applyFont="1" applyFill="1" applyBorder="1" applyAlignment="1" applyProtection="1">
      <alignment horizontal="center" vertical="center"/>
    </xf>
    <xf numFmtId="168" fontId="62" fillId="42" borderId="1" xfId="0" applyNumberFormat="1" applyFont="1" applyFill="1" applyBorder="1" applyAlignment="1" applyProtection="1">
      <alignment horizontal="center" vertical="center"/>
    </xf>
    <xf numFmtId="166" fontId="131" fillId="42" borderId="4" xfId="5" applyNumberFormat="1" applyFont="1" applyFill="1" applyBorder="1" applyAlignment="1" applyProtection="1">
      <alignment horizontal="left"/>
    </xf>
    <xf numFmtId="166" fontId="0" fillId="41" borderId="2" xfId="0" applyNumberFormat="1" applyFill="1" applyBorder="1" applyAlignment="1"/>
    <xf numFmtId="166" fontId="74" fillId="41" borderId="1" xfId="5" applyNumberFormat="1" applyFont="1" applyFill="1" applyBorder="1" applyAlignment="1" applyProtection="1">
      <alignment horizontal="left"/>
    </xf>
    <xf numFmtId="166" fontId="74" fillId="41" borderId="1" xfId="5" applyNumberFormat="1" applyFont="1" applyFill="1" applyBorder="1" applyAlignment="1" applyProtection="1">
      <alignment horizontal="right"/>
    </xf>
    <xf numFmtId="166" fontId="0" fillId="52" borderId="2" xfId="0" applyNumberFormat="1" applyFill="1" applyBorder="1" applyAlignment="1"/>
    <xf numFmtId="166" fontId="131" fillId="42" borderId="4" xfId="6" applyNumberFormat="1" applyFont="1" applyFill="1" applyBorder="1" applyAlignment="1" applyProtection="1">
      <alignment horizontal="left"/>
    </xf>
    <xf numFmtId="166" fontId="131" fillId="42" borderId="118" xfId="6" applyNumberFormat="1" applyFont="1" applyFill="1" applyBorder="1" applyAlignment="1" applyProtection="1">
      <alignment horizontal="left"/>
    </xf>
    <xf numFmtId="166" fontId="131" fillId="42" borderId="114" xfId="6" applyNumberFormat="1" applyFont="1" applyFill="1" applyBorder="1" applyAlignment="1" applyProtection="1">
      <alignment horizontal="right"/>
    </xf>
    <xf numFmtId="0" fontId="0" fillId="42" borderId="4" xfId="0" applyFill="1" applyBorder="1" applyAlignment="1"/>
    <xf numFmtId="166" fontId="131" fillId="41" borderId="12" xfId="6" applyNumberFormat="1" applyFont="1" applyFill="1" applyBorder="1" applyAlignment="1" applyProtection="1">
      <alignment horizontal="left"/>
    </xf>
    <xf numFmtId="166" fontId="131" fillId="41" borderId="120" xfId="6" applyNumberFormat="1" applyFont="1" applyFill="1" applyBorder="1" applyAlignment="1" applyProtection="1">
      <alignment horizontal="left"/>
    </xf>
    <xf numFmtId="166" fontId="131" fillId="41" borderId="115" xfId="6" applyNumberFormat="1" applyFont="1" applyFill="1" applyBorder="1" applyAlignment="1" applyProtection="1">
      <alignment horizontal="right"/>
    </xf>
    <xf numFmtId="166" fontId="131" fillId="52" borderId="4" xfId="6" applyNumberFormat="1" applyFont="1" applyFill="1" applyBorder="1" applyAlignment="1" applyProtection="1">
      <alignment horizontal="left"/>
    </xf>
    <xf numFmtId="166" fontId="131" fillId="52" borderId="118" xfId="6" applyNumberFormat="1" applyFont="1" applyFill="1" applyBorder="1" applyAlignment="1" applyProtection="1">
      <alignment horizontal="left"/>
    </xf>
    <xf numFmtId="166" fontId="131" fillId="52" borderId="114" xfId="6" applyNumberFormat="1" applyFont="1" applyFill="1" applyBorder="1" applyAlignment="1" applyProtection="1">
      <alignment horizontal="right"/>
    </xf>
    <xf numFmtId="0" fontId="0" fillId="41" borderId="19" xfId="0" applyFill="1" applyBorder="1"/>
    <xf numFmtId="2" fontId="0" fillId="15" borderId="12" xfId="0" applyNumberFormat="1" applyFill="1" applyBorder="1" applyAlignment="1"/>
    <xf numFmtId="2" fontId="84" fillId="15" borderId="9" xfId="0" applyNumberFormat="1" applyFont="1" applyFill="1" applyBorder="1" applyAlignment="1">
      <alignment horizontal="right"/>
    </xf>
    <xf numFmtId="2" fontId="132" fillId="15" borderId="1" xfId="0" applyNumberFormat="1" applyFont="1" applyFill="1" applyBorder="1" applyAlignment="1"/>
    <xf numFmtId="2" fontId="132" fillId="15" borderId="9" xfId="0" applyNumberFormat="1" applyFont="1" applyFill="1" applyBorder="1" applyAlignment="1"/>
    <xf numFmtId="2" fontId="133" fillId="15" borderId="9" xfId="0" applyNumberFormat="1" applyFont="1" applyFill="1" applyBorder="1" applyAlignment="1"/>
    <xf numFmtId="0" fontId="62" fillId="42" borderId="1" xfId="0" applyFont="1" applyFill="1" applyBorder="1" applyAlignment="1" applyProtection="1">
      <alignment horizontal="left" vertical="center"/>
    </xf>
    <xf numFmtId="0" fontId="0" fillId="42" borderId="2" xfId="0" applyFill="1" applyBorder="1"/>
    <xf numFmtId="0" fontId="0" fillId="42" borderId="9" xfId="0" applyFill="1" applyBorder="1"/>
    <xf numFmtId="166" fontId="74" fillId="42" borderId="1" xfId="5" applyNumberFormat="1" applyFont="1" applyFill="1" applyBorder="1" applyAlignment="1" applyProtection="1">
      <alignment horizontal="right"/>
    </xf>
    <xf numFmtId="166" fontId="0" fillId="42" borderId="1" xfId="0" applyNumberFormat="1" applyFill="1" applyBorder="1"/>
    <xf numFmtId="166" fontId="0" fillId="41" borderId="1" xfId="0" applyNumberFormat="1" applyFill="1" applyBorder="1"/>
    <xf numFmtId="2" fontId="19" fillId="15" borderId="12" xfId="0" applyNumberFormat="1" applyFont="1" applyFill="1" applyBorder="1" applyAlignment="1"/>
    <xf numFmtId="0" fontId="0" fillId="15" borderId="9" xfId="0" applyFill="1" applyBorder="1"/>
    <xf numFmtId="2" fontId="0" fillId="15" borderId="1" xfId="0" applyNumberFormat="1" applyFill="1" applyBorder="1"/>
    <xf numFmtId="2" fontId="0" fillId="41" borderId="1" xfId="0" applyNumberFormat="1" applyFill="1" applyBorder="1"/>
    <xf numFmtId="166" fontId="84" fillId="15" borderId="9" xfId="0" applyNumberFormat="1" applyFont="1" applyFill="1" applyBorder="1" applyAlignment="1">
      <alignment horizontal="right"/>
    </xf>
    <xf numFmtId="2" fontId="0" fillId="15" borderId="9" xfId="0" applyNumberFormat="1" applyFill="1" applyBorder="1" applyAlignment="1"/>
    <xf numFmtId="0" fontId="0" fillId="15" borderId="0" xfId="0" applyFill="1"/>
    <xf numFmtId="166" fontId="74" fillId="0" borderId="0" xfId="5" applyNumberFormat="1" applyFont="1" applyFill="1" applyBorder="1" applyAlignment="1" applyProtection="1">
      <alignment horizontal="left"/>
    </xf>
    <xf numFmtId="0" fontId="62" fillId="42" borderId="4" xfId="0" applyFont="1" applyFill="1" applyBorder="1" applyAlignment="1" applyProtection="1">
      <alignment horizontal="left" vertical="center"/>
    </xf>
    <xf numFmtId="0" fontId="132" fillId="42" borderId="3" xfId="0" applyFont="1" applyFill="1" applyBorder="1" applyAlignment="1">
      <alignment horizontal="left" vertical="center"/>
    </xf>
    <xf numFmtId="0" fontId="1" fillId="41" borderId="1" xfId="0" applyFont="1" applyFill="1" applyBorder="1" applyAlignment="1">
      <alignment horizontal="left" vertical="center"/>
    </xf>
    <xf numFmtId="0" fontId="0" fillId="41" borderId="1" xfId="0" applyFill="1" applyBorder="1" applyAlignment="1"/>
    <xf numFmtId="166" fontId="131" fillId="41" borderId="119" xfId="5" applyNumberFormat="1" applyFont="1" applyFill="1" applyBorder="1" applyAlignment="1" applyProtection="1">
      <alignment horizontal="left"/>
    </xf>
    <xf numFmtId="166" fontId="131" fillId="41" borderId="116" xfId="5" applyNumberFormat="1" applyFont="1" applyFill="1" applyBorder="1" applyAlignment="1" applyProtection="1">
      <alignment horizontal="left"/>
    </xf>
    <xf numFmtId="177" fontId="131" fillId="41" borderId="114" xfId="5" applyNumberFormat="1" applyFont="1" applyFill="1" applyBorder="1" applyAlignment="1" applyProtection="1">
      <alignment horizontal="right"/>
    </xf>
    <xf numFmtId="177" fontId="131" fillId="41" borderId="115" xfId="5" applyNumberFormat="1" applyFont="1" applyFill="1" applyBorder="1" applyAlignment="1" applyProtection="1">
      <alignment horizontal="right"/>
    </xf>
    <xf numFmtId="166" fontId="131" fillId="42" borderId="114" xfId="5" applyNumberFormat="1" applyFont="1" applyFill="1" applyBorder="1" applyAlignment="1" applyProtection="1">
      <alignment horizontal="left"/>
    </xf>
    <xf numFmtId="0" fontId="0" fillId="42" borderId="1" xfId="0" applyFill="1" applyBorder="1" applyAlignment="1">
      <alignment horizontal="left" vertical="center"/>
    </xf>
    <xf numFmtId="166" fontId="131" fillId="41" borderId="114" xfId="5" applyNumberFormat="1" applyFont="1" applyFill="1" applyBorder="1" applyAlignment="1" applyProtection="1">
      <alignment horizontal="left"/>
    </xf>
    <xf numFmtId="0" fontId="0" fillId="41" borderId="1" xfId="0" applyFill="1" applyBorder="1" applyAlignment="1">
      <alignment horizontal="left" vertical="center"/>
    </xf>
    <xf numFmtId="0" fontId="1" fillId="52" borderId="1" xfId="0" applyFont="1" applyFill="1" applyBorder="1" applyAlignment="1">
      <alignment horizontal="left" vertical="center"/>
    </xf>
    <xf numFmtId="166" fontId="131" fillId="52" borderId="114" xfId="5" applyNumberFormat="1" applyFont="1" applyFill="1" applyBorder="1" applyAlignment="1" applyProtection="1">
      <alignment horizontal="left"/>
    </xf>
    <xf numFmtId="0" fontId="0" fillId="52" borderId="1" xfId="0" applyFill="1" applyBorder="1" applyAlignment="1">
      <alignment horizontal="left" vertical="center"/>
    </xf>
    <xf numFmtId="166" fontId="131" fillId="52" borderId="122" xfId="5" applyNumberFormat="1" applyFont="1" applyFill="1" applyBorder="1" applyAlignment="1" applyProtection="1">
      <alignment horizontal="left"/>
    </xf>
    <xf numFmtId="166" fontId="131" fillId="52" borderId="116" xfId="5" applyNumberFormat="1" applyFont="1" applyFill="1" applyBorder="1" applyAlignment="1" applyProtection="1">
      <alignment horizontal="left"/>
    </xf>
    <xf numFmtId="0" fontId="0" fillId="52" borderId="19" xfId="0" applyFill="1" applyBorder="1" applyAlignment="1">
      <alignment horizontal="left" vertical="center"/>
    </xf>
    <xf numFmtId="166" fontId="131" fillId="52" borderId="116" xfId="5" applyNumberFormat="1" applyFont="1" applyFill="1" applyBorder="1" applyAlignment="1" applyProtection="1">
      <alignment horizontal="right"/>
    </xf>
    <xf numFmtId="166" fontId="131" fillId="52" borderId="117" xfId="5" applyNumberFormat="1" applyFont="1" applyFill="1" applyBorder="1" applyAlignment="1" applyProtection="1">
      <alignment horizontal="left"/>
    </xf>
    <xf numFmtId="166" fontId="131" fillId="52" borderId="124" xfId="5" applyNumberFormat="1" applyFont="1" applyFill="1" applyBorder="1" applyAlignment="1" applyProtection="1">
      <alignment horizontal="left"/>
    </xf>
    <xf numFmtId="166" fontId="131" fillId="52" borderId="124" xfId="5" applyNumberFormat="1" applyFont="1" applyFill="1" applyBorder="1" applyAlignment="1" applyProtection="1">
      <alignment horizontal="right"/>
    </xf>
    <xf numFmtId="177" fontId="131" fillId="52" borderId="114" xfId="5" applyNumberFormat="1" applyFont="1" applyFill="1" applyBorder="1" applyAlignment="1" applyProtection="1">
      <alignment horizontal="right"/>
    </xf>
    <xf numFmtId="4" fontId="31" fillId="52" borderId="121" xfId="0" applyNumberFormat="1" applyFont="1" applyFill="1" applyBorder="1" applyAlignment="1" applyProtection="1">
      <alignment horizontal="right"/>
    </xf>
    <xf numFmtId="177" fontId="131" fillId="42" borderId="1" xfId="5" applyNumberFormat="1" applyFont="1" applyFill="1" applyBorder="1" applyAlignment="1" applyProtection="1">
      <alignment horizontal="right"/>
    </xf>
    <xf numFmtId="2" fontId="19" fillId="15" borderId="1" xfId="0" applyNumberFormat="1" applyFont="1" applyFill="1" applyBorder="1" applyAlignment="1"/>
    <xf numFmtId="177" fontId="131" fillId="41" borderId="121" xfId="5" applyNumberFormat="1" applyFont="1" applyFill="1" applyBorder="1" applyAlignment="1" applyProtection="1">
      <alignment horizontal="right"/>
    </xf>
    <xf numFmtId="177" fontId="131" fillId="42" borderId="114" xfId="5" applyNumberFormat="1" applyFont="1" applyFill="1" applyBorder="1" applyAlignment="1" applyProtection="1">
      <alignment horizontal="right"/>
    </xf>
    <xf numFmtId="177" fontId="131" fillId="42" borderId="121" xfId="5" applyNumberFormat="1" applyFont="1" applyFill="1" applyBorder="1" applyAlignment="1" applyProtection="1">
      <alignment horizontal="right"/>
    </xf>
    <xf numFmtId="166" fontId="134" fillId="52" borderId="1" xfId="5" applyNumberFormat="1" applyFont="1" applyFill="1" applyBorder="1" applyAlignment="1" applyProtection="1">
      <alignment horizontal="left"/>
    </xf>
    <xf numFmtId="177" fontId="131" fillId="52" borderId="121" xfId="5" applyNumberFormat="1" applyFont="1" applyFill="1" applyBorder="1" applyAlignment="1" applyProtection="1">
      <alignment horizontal="right"/>
    </xf>
    <xf numFmtId="0" fontId="132" fillId="42" borderId="3" xfId="0" applyFont="1" applyFill="1" applyBorder="1" applyAlignment="1">
      <alignment vertical="center"/>
    </xf>
    <xf numFmtId="166" fontId="131" fillId="41" borderId="120" xfId="5" applyNumberFormat="1" applyFont="1" applyFill="1" applyBorder="1" applyAlignment="1" applyProtection="1">
      <alignment horizontal="left"/>
    </xf>
    <xf numFmtId="2" fontId="19" fillId="52" borderId="12" xfId="0" applyNumberFormat="1" applyFont="1" applyFill="1" applyBorder="1" applyAlignment="1"/>
    <xf numFmtId="2" fontId="2" fillId="15" borderId="1" xfId="0" applyNumberFormat="1" applyFont="1" applyFill="1" applyBorder="1" applyAlignment="1"/>
    <xf numFmtId="177" fontId="131" fillId="41" borderId="1" xfId="5" applyNumberFormat="1" applyFont="1" applyFill="1" applyBorder="1" applyAlignment="1" applyProtection="1">
      <alignment horizontal="right"/>
    </xf>
    <xf numFmtId="2" fontId="132" fillId="21" borderId="4" xfId="0" applyNumberFormat="1" applyFont="1" applyFill="1" applyBorder="1" applyAlignment="1"/>
    <xf numFmtId="2" fontId="132" fillId="15" borderId="4" xfId="0" applyNumberFormat="1" applyFont="1" applyFill="1" applyBorder="1" applyAlignment="1"/>
    <xf numFmtId="2" fontId="132" fillId="15" borderId="12" xfId="0" applyNumberFormat="1" applyFont="1" applyFill="1" applyBorder="1" applyAlignment="1"/>
    <xf numFmtId="166" fontId="0" fillId="41" borderId="4" xfId="0" applyNumberFormat="1" applyFill="1" applyBorder="1" applyAlignment="1"/>
    <xf numFmtId="177" fontId="131" fillId="15" borderId="118" xfId="5" applyNumberFormat="1" applyFont="1" applyFill="1" applyBorder="1" applyAlignment="1" applyProtection="1">
      <alignment horizontal="right"/>
    </xf>
    <xf numFmtId="2" fontId="132" fillId="0" borderId="4" xfId="0" applyNumberFormat="1" applyFont="1" applyFill="1" applyBorder="1" applyAlignment="1"/>
    <xf numFmtId="166" fontId="0" fillId="52" borderId="4" xfId="0" applyNumberFormat="1" applyFill="1" applyBorder="1" applyAlignment="1"/>
    <xf numFmtId="166" fontId="0" fillId="0" borderId="4" xfId="0" applyNumberFormat="1" applyFill="1" applyBorder="1" applyAlignment="1"/>
    <xf numFmtId="177" fontId="131" fillId="41" borderId="118" xfId="5" applyNumberFormat="1" applyFont="1" applyFill="1" applyBorder="1" applyAlignment="1" applyProtection="1">
      <alignment horizontal="right"/>
    </xf>
    <xf numFmtId="177" fontId="131" fillId="52" borderId="118" xfId="5" applyNumberFormat="1" applyFont="1" applyFill="1" applyBorder="1" applyAlignment="1" applyProtection="1">
      <alignment horizontal="right"/>
    </xf>
    <xf numFmtId="2" fontId="132" fillId="21" borderId="89" xfId="0" applyNumberFormat="1" applyFont="1" applyFill="1" applyBorder="1" applyAlignment="1"/>
    <xf numFmtId="166" fontId="0" fillId="15" borderId="9" xfId="0" applyNumberFormat="1" applyFont="1" applyFill="1" applyBorder="1" applyAlignment="1"/>
    <xf numFmtId="0" fontId="0" fillId="0" borderId="89" xfId="0" applyFill="1" applyBorder="1"/>
    <xf numFmtId="0" fontId="0" fillId="0" borderId="12" xfId="0" applyFill="1" applyBorder="1"/>
    <xf numFmtId="0" fontId="31" fillId="52" borderId="1" xfId="0" applyFont="1" applyFill="1" applyBorder="1"/>
    <xf numFmtId="2" fontId="23" fillId="52" borderId="1" xfId="0" applyNumberFormat="1" applyFont="1" applyFill="1" applyBorder="1" applyAlignment="1">
      <alignment horizontal="center" vertical="top" wrapText="1"/>
    </xf>
    <xf numFmtId="2" fontId="23" fillId="52" borderId="1" xfId="0" applyNumberFormat="1" applyFont="1" applyFill="1" applyBorder="1"/>
    <xf numFmtId="2" fontId="23" fillId="52" borderId="2" xfId="0" applyNumberFormat="1" applyFont="1" applyFill="1" applyBorder="1"/>
    <xf numFmtId="2" fontId="23" fillId="52" borderId="103" xfId="0" applyNumberFormat="1" applyFont="1" applyFill="1" applyBorder="1"/>
    <xf numFmtId="2" fontId="23" fillId="52" borderId="4" xfId="0" applyNumberFormat="1" applyFont="1" applyFill="1" applyBorder="1"/>
    <xf numFmtId="10" fontId="23" fillId="52" borderId="1" xfId="0" applyNumberFormat="1" applyFont="1" applyFill="1" applyBorder="1"/>
    <xf numFmtId="0" fontId="23" fillId="52" borderId="0" xfId="0" applyFont="1" applyFill="1"/>
    <xf numFmtId="0" fontId="0" fillId="52" borderId="0" xfId="0" applyFill="1"/>
    <xf numFmtId="0" fontId="0" fillId="52" borderId="0" xfId="0" applyFill="1" applyBorder="1"/>
    <xf numFmtId="2" fontId="40" fillId="52" borderId="1" xfId="0" applyNumberFormat="1" applyFont="1" applyFill="1" applyBorder="1" applyAlignment="1">
      <alignment horizontal="right" wrapText="1"/>
    </xf>
    <xf numFmtId="2" fontId="25" fillId="52" borderId="1" xfId="0" applyNumberFormat="1" applyFont="1" applyFill="1" applyBorder="1" applyAlignment="1">
      <alignment horizontal="right" wrapText="1"/>
    </xf>
    <xf numFmtId="2" fontId="8" fillId="52" borderId="25" xfId="0" applyNumberFormat="1" applyFont="1" applyFill="1" applyBorder="1" applyAlignment="1" applyProtection="1">
      <alignment horizontal="right" indent="1"/>
      <protection locked="0"/>
    </xf>
    <xf numFmtId="2" fontId="8" fillId="52" borderId="0" xfId="0" applyNumberFormat="1" applyFont="1" applyFill="1" applyBorder="1" applyAlignment="1" applyProtection="1">
      <alignment horizontal="right" indent="1"/>
      <protection locked="0"/>
    </xf>
    <xf numFmtId="0" fontId="0" fillId="52" borderId="1" xfId="0" applyFill="1" applyBorder="1" applyAlignment="1">
      <alignment horizontal="left" vertical="top" wrapText="1"/>
    </xf>
    <xf numFmtId="166" fontId="0" fillId="52" borderId="0" xfId="0" applyNumberFormat="1" applyFill="1"/>
    <xf numFmtId="166" fontId="23" fillId="52" borderId="1" xfId="0" applyNumberFormat="1" applyFont="1" applyFill="1" applyBorder="1" applyAlignment="1">
      <alignment horizontal="left" vertical="center"/>
    </xf>
    <xf numFmtId="0" fontId="2" fillId="52" borderId="0" xfId="0" applyFont="1" applyFill="1" applyBorder="1"/>
    <xf numFmtId="0" fontId="24" fillId="52" borderId="1" xfId="0" applyFont="1" applyFill="1" applyBorder="1" applyProtection="1">
      <protection locked="0"/>
    </xf>
    <xf numFmtId="2" fontId="103" fillId="52" borderId="2" xfId="0" applyNumberFormat="1" applyFont="1" applyFill="1" applyBorder="1"/>
    <xf numFmtId="2" fontId="40" fillId="52" borderId="103" xfId="0" applyNumberFormat="1" applyFont="1" applyFill="1" applyBorder="1" applyAlignment="1">
      <alignment horizontal="right" wrapText="1"/>
    </xf>
    <xf numFmtId="2" fontId="35" fillId="52" borderId="4" xfId="0" applyNumberFormat="1" applyFont="1" applyFill="1" applyBorder="1" applyAlignment="1">
      <alignment horizontal="center" wrapText="1"/>
    </xf>
    <xf numFmtId="2" fontId="25" fillId="52" borderId="1" xfId="0" applyNumberFormat="1" applyFont="1" applyFill="1" applyBorder="1" applyAlignment="1">
      <alignment horizontal="center" wrapText="1"/>
    </xf>
    <xf numFmtId="2" fontId="40" fillId="52" borderId="1" xfId="0" applyNumberFormat="1" applyFont="1" applyFill="1" applyBorder="1" applyAlignment="1">
      <alignment horizontal="center" wrapText="1"/>
    </xf>
    <xf numFmtId="166" fontId="23" fillId="52" borderId="1" xfId="0" applyNumberFormat="1" applyFont="1" applyFill="1" applyBorder="1"/>
    <xf numFmtId="1" fontId="23" fillId="52" borderId="0" xfId="0" applyNumberFormat="1" applyFont="1" applyFill="1" applyBorder="1"/>
    <xf numFmtId="166" fontId="30" fillId="52" borderId="1" xfId="0" applyNumberFormat="1" applyFont="1" applyFill="1" applyBorder="1"/>
    <xf numFmtId="11" fontId="58" fillId="0" borderId="2" xfId="0" applyNumberFormat="1" applyFont="1" applyBorder="1"/>
    <xf numFmtId="11" fontId="58" fillId="38" borderId="2" xfId="0" applyNumberFormat="1" applyFont="1" applyFill="1" applyBorder="1"/>
    <xf numFmtId="0" fontId="30" fillId="13" borderId="110" xfId="0" applyFont="1" applyFill="1" applyBorder="1" applyAlignment="1">
      <alignment vertical="center"/>
    </xf>
    <xf numFmtId="166" fontId="30" fillId="13" borderId="97" xfId="0" applyNumberFormat="1" applyFont="1" applyFill="1" applyBorder="1"/>
    <xf numFmtId="166" fontId="32" fillId="13" borderId="98" xfId="0" applyNumberFormat="1" applyFont="1" applyFill="1" applyBorder="1"/>
    <xf numFmtId="0" fontId="33" fillId="14" borderId="108" xfId="0" applyFont="1" applyFill="1" applyBorder="1" applyAlignment="1">
      <alignment horizontal="left" vertical="center"/>
    </xf>
    <xf numFmtId="11" fontId="30" fillId="13" borderId="10" xfId="0" applyNumberFormat="1" applyFont="1" applyFill="1" applyBorder="1"/>
    <xf numFmtId="0" fontId="139" fillId="0" borderId="0" xfId="0" applyFont="1" applyFill="1" applyBorder="1" applyAlignment="1">
      <alignment horizontal="center"/>
    </xf>
    <xf numFmtId="0" fontId="57" fillId="0" borderId="0" xfId="0" applyNumberFormat="1" applyFont="1" applyFill="1" applyBorder="1" applyAlignment="1">
      <alignment horizontal="right"/>
    </xf>
    <xf numFmtId="0" fontId="124" fillId="27" borderId="84" xfId="0" applyFont="1" applyFill="1" applyBorder="1" applyAlignment="1"/>
    <xf numFmtId="2" fontId="3" fillId="0" borderId="46" xfId="0" applyNumberFormat="1" applyFont="1" applyBorder="1" applyAlignment="1">
      <alignment horizontal="right"/>
    </xf>
    <xf numFmtId="2" fontId="12" fillId="0" borderId="46" xfId="0" applyNumberFormat="1" applyFont="1" applyBorder="1" applyAlignment="1">
      <alignment horizontal="right"/>
    </xf>
    <xf numFmtId="0" fontId="39" fillId="20" borderId="9" xfId="0" applyFont="1" applyFill="1" applyBorder="1" applyAlignment="1">
      <alignment horizontal="left" vertical="center"/>
    </xf>
    <xf numFmtId="0" fontId="84" fillId="0" borderId="0" xfId="0" applyFont="1" applyFill="1" applyBorder="1" applyAlignment="1">
      <alignment vertical="center"/>
    </xf>
    <xf numFmtId="2" fontId="0" fillId="42" borderId="1" xfId="0" applyNumberFormat="1" applyFill="1" applyBorder="1"/>
    <xf numFmtId="2" fontId="0" fillId="0" borderId="0" xfId="0" applyNumberFormat="1" applyBorder="1" applyAlignment="1">
      <alignment horizontal="center"/>
    </xf>
    <xf numFmtId="2" fontId="84" fillId="0" borderId="0" xfId="0" applyNumberFormat="1" applyFont="1" applyFill="1" applyBorder="1" applyAlignment="1">
      <alignment horizontal="center"/>
    </xf>
    <xf numFmtId="2" fontId="1" fillId="57" borderId="3" xfId="0" applyNumberFormat="1" applyFont="1" applyFill="1" applyBorder="1" applyAlignment="1">
      <alignment horizontal="left"/>
    </xf>
    <xf numFmtId="2" fontId="1" fillId="0" borderId="0" xfId="0" applyNumberFormat="1" applyFont="1" applyFill="1" applyBorder="1" applyAlignment="1">
      <alignment horizontal="left"/>
    </xf>
    <xf numFmtId="2" fontId="1" fillId="42" borderId="1" xfId="0" applyNumberFormat="1" applyFont="1" applyFill="1" applyBorder="1" applyAlignment="1">
      <alignment horizontal="center" vertical="center"/>
    </xf>
    <xf numFmtId="2" fontId="1" fillId="42" borderId="1" xfId="0" applyNumberFormat="1" applyFont="1" applyFill="1" applyBorder="1" applyAlignment="1">
      <alignment vertical="center"/>
    </xf>
    <xf numFmtId="2" fontId="0" fillId="0" borderId="0" xfId="0" applyNumberFormat="1" applyFill="1" applyBorder="1" applyAlignment="1"/>
    <xf numFmtId="0" fontId="141" fillId="0" borderId="0" xfId="0" applyFont="1" applyAlignment="1">
      <alignment horizontal="right"/>
    </xf>
    <xf numFmtId="0" fontId="141" fillId="0" borderId="0" xfId="0" applyFont="1"/>
    <xf numFmtId="0" fontId="6" fillId="0" borderId="1" xfId="0" applyFont="1" applyBorder="1"/>
    <xf numFmtId="0" fontId="143" fillId="15" borderId="1" xfId="0" applyFont="1" applyFill="1" applyBorder="1" applyAlignment="1">
      <alignment horizontal="center" vertical="center"/>
    </xf>
    <xf numFmtId="166" fontId="84" fillId="11" borderId="2" xfId="0" applyNumberFormat="1" applyFont="1" applyFill="1" applyBorder="1" applyAlignment="1">
      <alignment horizontal="center" vertical="center"/>
    </xf>
    <xf numFmtId="166" fontId="131" fillId="42" borderId="116" xfId="5" applyNumberFormat="1" applyFont="1" applyFill="1" applyBorder="1" applyAlignment="1" applyProtection="1">
      <alignment horizontal="right"/>
    </xf>
    <xf numFmtId="0" fontId="1" fillId="42" borderId="1" xfId="0" applyFont="1" applyFill="1" applyBorder="1"/>
    <xf numFmtId="2" fontId="132" fillId="17" borderId="2" xfId="0" applyNumberFormat="1" applyFont="1" applyFill="1" applyBorder="1" applyAlignment="1"/>
    <xf numFmtId="0" fontId="84" fillId="0" borderId="0" xfId="0" applyFont="1" applyFill="1" applyBorder="1" applyAlignment="1"/>
    <xf numFmtId="0" fontId="0" fillId="41" borderId="4" xfId="0" applyFont="1" applyFill="1" applyBorder="1" applyAlignment="1">
      <alignment horizontal="left" vertical="center"/>
    </xf>
    <xf numFmtId="2" fontId="1" fillId="7" borderId="1" xfId="0" applyNumberFormat="1" applyFont="1" applyFill="1" applyBorder="1" applyAlignment="1">
      <alignment horizontal="center" vertical="center"/>
    </xf>
    <xf numFmtId="0" fontId="1" fillId="57" borderId="4" xfId="0" applyFont="1" applyFill="1" applyBorder="1" applyAlignment="1">
      <alignment horizontal="center" vertical="center" wrapText="1"/>
    </xf>
    <xf numFmtId="0" fontId="1" fillId="57" borderId="46" xfId="0" applyFont="1" applyFill="1" applyBorder="1" applyAlignment="1">
      <alignment horizontal="center" vertical="center" wrapText="1"/>
    </xf>
    <xf numFmtId="0" fontId="1" fillId="57" borderId="51" xfId="0" applyFont="1" applyFill="1" applyBorder="1" applyAlignment="1">
      <alignment horizontal="center" vertical="center" wrapText="1"/>
    </xf>
    <xf numFmtId="0" fontId="1" fillId="57" borderId="12" xfId="0" applyFont="1" applyFill="1" applyBorder="1" applyAlignment="1">
      <alignment horizontal="center" vertical="center" wrapText="1"/>
    </xf>
    <xf numFmtId="0" fontId="1" fillId="57" borderId="9" xfId="0" applyFont="1" applyFill="1" applyBorder="1" applyAlignment="1">
      <alignment horizontal="center" vertical="center" wrapText="1"/>
    </xf>
    <xf numFmtId="166" fontId="1" fillId="57" borderId="46" xfId="0" applyNumberFormat="1" applyFont="1" applyFill="1" applyBorder="1" applyAlignment="1">
      <alignment horizontal="left" vertical="center"/>
    </xf>
    <xf numFmtId="166" fontId="1" fillId="57" borderId="51" xfId="0" applyNumberFormat="1" applyFont="1" applyFill="1" applyBorder="1" applyAlignment="1">
      <alignment horizontal="left" vertical="center"/>
    </xf>
    <xf numFmtId="166" fontId="1" fillId="57" borderId="51" xfId="0" applyNumberFormat="1" applyFont="1" applyFill="1" applyBorder="1" applyAlignment="1">
      <alignment horizontal="left"/>
    </xf>
    <xf numFmtId="2" fontId="1" fillId="57" borderId="51" xfId="0" applyNumberFormat="1" applyFont="1" applyFill="1" applyBorder="1" applyAlignment="1">
      <alignment horizontal="left"/>
    </xf>
    <xf numFmtId="166" fontId="1" fillId="57" borderId="12" xfId="0" applyNumberFormat="1" applyFont="1" applyFill="1" applyBorder="1" applyAlignment="1">
      <alignment horizontal="left"/>
    </xf>
    <xf numFmtId="166" fontId="1" fillId="0" borderId="0" xfId="0" applyNumberFormat="1" applyFont="1" applyFill="1" applyBorder="1" applyAlignment="1">
      <alignment horizontal="left" vertical="center"/>
    </xf>
    <xf numFmtId="166" fontId="131" fillId="15" borderId="125" xfId="6" applyNumberFormat="1" applyFont="1" applyFill="1" applyBorder="1" applyAlignment="1" applyProtection="1">
      <alignment horizontal="right"/>
    </xf>
    <xf numFmtId="0" fontId="0" fillId="15" borderId="12" xfId="0" applyFill="1" applyBorder="1"/>
    <xf numFmtId="166" fontId="131" fillId="15" borderId="115" xfId="5" applyNumberFormat="1" applyFont="1" applyFill="1" applyBorder="1" applyAlignment="1" applyProtection="1">
      <alignment horizontal="left"/>
    </xf>
    <xf numFmtId="166" fontId="131" fillId="42" borderId="1" xfId="0" applyNumberFormat="1" applyFont="1" applyFill="1" applyBorder="1" applyAlignment="1" applyProtection="1">
      <alignment horizontal="left"/>
    </xf>
    <xf numFmtId="166" fontId="131" fillId="42" borderId="1" xfId="0" applyNumberFormat="1" applyFont="1" applyFill="1" applyBorder="1" applyAlignment="1" applyProtection="1">
      <alignment horizontal="right"/>
    </xf>
    <xf numFmtId="166" fontId="0" fillId="0" borderId="9" xfId="0" applyNumberFormat="1" applyFont="1" applyFill="1" applyBorder="1" applyAlignment="1"/>
    <xf numFmtId="166" fontId="131" fillId="42" borderId="121" xfId="5" applyNumberFormat="1" applyFont="1" applyFill="1" applyBorder="1" applyAlignment="1" applyProtection="1">
      <alignment horizontal="left"/>
    </xf>
    <xf numFmtId="166" fontId="131" fillId="42" borderId="118" xfId="5" applyNumberFormat="1" applyFont="1" applyFill="1" applyBorder="1" applyAlignment="1" applyProtection="1">
      <alignment horizontal="right"/>
    </xf>
    <xf numFmtId="166" fontId="131" fillId="52" borderId="114" xfId="0" applyNumberFormat="1" applyFont="1" applyFill="1" applyBorder="1" applyAlignment="1" applyProtection="1">
      <alignment horizontal="left"/>
    </xf>
    <xf numFmtId="166" fontId="131" fillId="52" borderId="114" xfId="0" applyNumberFormat="1" applyFont="1" applyFill="1" applyBorder="1" applyAlignment="1" applyProtection="1">
      <alignment horizontal="right"/>
    </xf>
    <xf numFmtId="2" fontId="84" fillId="11" borderId="54" xfId="0" applyNumberFormat="1" applyFont="1" applyFill="1" applyBorder="1" applyAlignment="1">
      <alignment horizontal="right"/>
    </xf>
    <xf numFmtId="177" fontId="131" fillId="41" borderId="0" xfId="5" applyNumberFormat="1" applyFont="1" applyFill="1" applyBorder="1" applyAlignment="1" applyProtection="1">
      <alignment horizontal="right"/>
    </xf>
    <xf numFmtId="0" fontId="0" fillId="0" borderId="51" xfId="0" applyFill="1" applyBorder="1"/>
    <xf numFmtId="166" fontId="131" fillId="52" borderId="1" xfId="5" applyNumberFormat="1" applyFont="1" applyFill="1" applyBorder="1" applyAlignment="1" applyProtection="1">
      <alignment horizontal="right"/>
    </xf>
    <xf numFmtId="166" fontId="131" fillId="42" borderId="114" xfId="0" applyNumberFormat="1" applyFont="1" applyFill="1" applyBorder="1" applyAlignment="1" applyProtection="1">
      <alignment horizontal="left"/>
    </xf>
    <xf numFmtId="0" fontId="0" fillId="0" borderId="50" xfId="0" applyFill="1" applyBorder="1"/>
    <xf numFmtId="166" fontId="1" fillId="7" borderId="4" xfId="0" applyNumberFormat="1" applyFont="1" applyFill="1" applyBorder="1" applyAlignment="1">
      <alignment horizontal="center" vertical="center"/>
    </xf>
    <xf numFmtId="166" fontId="0" fillId="27" borderId="12" xfId="0" applyNumberFormat="1" applyFont="1" applyFill="1" applyBorder="1" applyAlignment="1"/>
    <xf numFmtId="177" fontId="131" fillId="0" borderId="114" xfId="0" applyNumberFormat="1" applyFont="1" applyFill="1" applyBorder="1" applyAlignment="1" applyProtection="1">
      <alignment horizontal="right"/>
    </xf>
    <xf numFmtId="0" fontId="0" fillId="42" borderId="19" xfId="0" applyFill="1" applyBorder="1"/>
    <xf numFmtId="0" fontId="2" fillId="42" borderId="1" xfId="0" applyFont="1" applyFill="1" applyBorder="1" applyAlignment="1">
      <alignment horizontal="right" vertical="center"/>
    </xf>
    <xf numFmtId="0" fontId="2" fillId="42" borderId="1" xfId="0" applyFont="1" applyFill="1" applyBorder="1" applyAlignment="1">
      <alignment vertical="center"/>
    </xf>
    <xf numFmtId="0" fontId="0" fillId="5" borderId="1" xfId="0" applyFill="1" applyBorder="1"/>
    <xf numFmtId="0" fontId="144" fillId="5" borderId="1" xfId="0" applyFont="1" applyFill="1" applyBorder="1" applyAlignment="1"/>
    <xf numFmtId="49" fontId="0" fillId="0" borderId="0" xfId="0" applyNumberFormat="1" applyFill="1" applyBorder="1" applyAlignment="1">
      <alignment vertical="center"/>
    </xf>
    <xf numFmtId="166" fontId="0" fillId="42" borderId="9" xfId="0" applyNumberFormat="1" applyFont="1" applyFill="1" applyBorder="1" applyAlignment="1"/>
    <xf numFmtId="166" fontId="131" fillId="42" borderId="118" xfId="0" applyNumberFormat="1" applyFont="1" applyFill="1" applyBorder="1" applyAlignment="1" applyProtection="1">
      <alignment horizontal="left"/>
    </xf>
    <xf numFmtId="166" fontId="131" fillId="42" borderId="114" xfId="0" applyNumberFormat="1" applyFont="1" applyFill="1" applyBorder="1" applyAlignment="1" applyProtection="1">
      <alignment horizontal="center"/>
    </xf>
    <xf numFmtId="166" fontId="131" fillId="42" borderId="114" xfId="0" applyNumberFormat="1" applyFont="1" applyFill="1" applyBorder="1" applyAlignment="1" applyProtection="1">
      <alignment horizontal="right"/>
    </xf>
    <xf numFmtId="166" fontId="131" fillId="42" borderId="121" xfId="0" applyNumberFormat="1" applyFont="1" applyFill="1" applyBorder="1" applyAlignment="1" applyProtection="1">
      <alignment horizontal="left"/>
    </xf>
    <xf numFmtId="2" fontId="2" fillId="0" borderId="1" xfId="0" applyNumberFormat="1" applyFont="1" applyFill="1" applyBorder="1" applyAlignment="1"/>
    <xf numFmtId="166" fontId="74" fillId="42" borderId="4" xfId="5" applyNumberFormat="1" applyFont="1" applyFill="1" applyBorder="1" applyAlignment="1" applyProtection="1">
      <alignment horizontal="left"/>
    </xf>
    <xf numFmtId="166" fontId="131" fillId="52" borderId="114" xfId="6" applyNumberFormat="1" applyFont="1" applyFill="1" applyBorder="1" applyAlignment="1" applyProtection="1">
      <alignment horizontal="left"/>
    </xf>
    <xf numFmtId="2" fontId="2" fillId="0" borderId="4" xfId="0" applyNumberFormat="1" applyFont="1" applyBorder="1" applyAlignment="1"/>
    <xf numFmtId="166" fontId="131" fillId="42" borderId="4" xfId="0" applyNumberFormat="1" applyFont="1" applyFill="1" applyBorder="1" applyAlignment="1" applyProtection="1">
      <alignment horizontal="left"/>
    </xf>
    <xf numFmtId="166" fontId="131" fillId="0" borderId="1" xfId="5" applyNumberFormat="1" applyFont="1" applyFill="1" applyBorder="1" applyAlignment="1" applyProtection="1">
      <alignment horizontal="right"/>
    </xf>
    <xf numFmtId="166" fontId="131" fillId="41" borderId="1" xfId="0" applyNumberFormat="1" applyFont="1" applyFill="1" applyBorder="1" applyAlignment="1" applyProtection="1">
      <alignment horizontal="left"/>
    </xf>
    <xf numFmtId="166" fontId="131" fillId="41" borderId="1" xfId="0" applyNumberFormat="1" applyFont="1" applyFill="1" applyBorder="1" applyAlignment="1" applyProtection="1">
      <alignment horizontal="right"/>
    </xf>
    <xf numFmtId="166" fontId="131" fillId="41" borderId="4" xfId="5" applyNumberFormat="1" applyFont="1" applyFill="1" applyBorder="1" applyAlignment="1" applyProtection="1">
      <alignment horizontal="left"/>
    </xf>
    <xf numFmtId="166" fontId="131" fillId="41" borderId="118" xfId="7" applyNumberFormat="1" applyFont="1" applyFill="1" applyBorder="1" applyAlignment="1" applyProtection="1">
      <alignment horizontal="left"/>
    </xf>
    <xf numFmtId="166" fontId="131" fillId="41" borderId="114" xfId="7" applyNumberFormat="1" applyFont="1" applyFill="1" applyBorder="1" applyAlignment="1" applyProtection="1">
      <alignment horizontal="left"/>
    </xf>
    <xf numFmtId="166" fontId="131" fillId="41" borderId="114" xfId="7" applyNumberFormat="1" applyFont="1" applyFill="1" applyBorder="1" applyAlignment="1" applyProtection="1">
      <alignment horizontal="right"/>
    </xf>
    <xf numFmtId="166" fontId="131" fillId="42" borderId="12" xfId="0" applyNumberFormat="1" applyFont="1" applyFill="1" applyBorder="1" applyAlignment="1" applyProtection="1">
      <alignment horizontal="left"/>
    </xf>
    <xf numFmtId="166" fontId="131" fillId="41" borderId="4" xfId="0" applyNumberFormat="1" applyFont="1" applyFill="1" applyBorder="1" applyAlignment="1" applyProtection="1">
      <alignment horizontal="left"/>
    </xf>
    <xf numFmtId="0" fontId="62" fillId="0" borderId="84" xfId="0" applyFont="1" applyFill="1" applyBorder="1" applyAlignment="1" applyProtection="1">
      <alignment horizontal="left" vertical="center"/>
    </xf>
    <xf numFmtId="0" fontId="62" fillId="42" borderId="9" xfId="0" applyFont="1" applyFill="1" applyBorder="1" applyAlignment="1" applyProtection="1">
      <alignment horizontal="center" vertical="center" wrapText="1"/>
    </xf>
    <xf numFmtId="2" fontId="0" fillId="42" borderId="4" xfId="0" applyNumberFormat="1" applyFont="1" applyFill="1" applyBorder="1" applyAlignment="1"/>
    <xf numFmtId="2" fontId="84" fillId="42" borderId="9" xfId="0" applyNumberFormat="1" applyFont="1" applyFill="1" applyBorder="1" applyAlignment="1">
      <alignment horizontal="center" vertical="center" wrapText="1"/>
    </xf>
    <xf numFmtId="2" fontId="132" fillId="42" borderId="12" xfId="0" applyNumberFormat="1" applyFont="1" applyFill="1" applyBorder="1" applyAlignment="1"/>
    <xf numFmtId="2" fontId="136" fillId="42" borderId="9" xfId="0" applyNumberFormat="1" applyFont="1" applyFill="1" applyBorder="1" applyAlignment="1"/>
    <xf numFmtId="0" fontId="3" fillId="0" borderId="1" xfId="0" applyFont="1" applyFill="1" applyBorder="1" applyAlignment="1">
      <alignment vertical="center"/>
    </xf>
    <xf numFmtId="166" fontId="1" fillId="0" borderId="0" xfId="0" applyNumberFormat="1" applyFont="1" applyFill="1" applyBorder="1" applyAlignment="1">
      <alignment horizontal="center" vertical="center"/>
    </xf>
    <xf numFmtId="166" fontId="84" fillId="0" borderId="0" xfId="0" applyNumberFormat="1" applyFont="1" applyFill="1" applyBorder="1" applyAlignment="1">
      <alignment horizontal="center" vertical="center"/>
    </xf>
    <xf numFmtId="0" fontId="103" fillId="0" borderId="0" xfId="0" applyFont="1" applyFill="1" applyBorder="1" applyAlignment="1">
      <alignment horizontal="left" vertical="center"/>
    </xf>
    <xf numFmtId="166" fontId="131" fillId="0" borderId="0" xfId="5" applyNumberFormat="1" applyFont="1" applyFill="1" applyBorder="1" applyAlignment="1" applyProtection="1">
      <alignment horizontal="right"/>
    </xf>
    <xf numFmtId="166" fontId="0" fillId="0" borderId="0" xfId="0" applyNumberFormat="1" applyFont="1" applyFill="1" applyBorder="1" applyAlignment="1"/>
    <xf numFmtId="2" fontId="84" fillId="0" borderId="0" xfId="0" applyNumberFormat="1" applyFont="1" applyFill="1" applyBorder="1" applyAlignment="1">
      <alignment horizontal="right"/>
    </xf>
    <xf numFmtId="0" fontId="62" fillId="0" borderId="0" xfId="0" applyFont="1" applyFill="1" applyBorder="1" applyAlignment="1" applyProtection="1">
      <alignment horizontal="center" vertical="center"/>
    </xf>
    <xf numFmtId="0" fontId="1" fillId="41" borderId="4" xfId="0" applyFont="1" applyFill="1" applyBorder="1"/>
    <xf numFmtId="166" fontId="137" fillId="41" borderId="118" xfId="5" applyNumberFormat="1" applyFont="1" applyFill="1" applyBorder="1" applyAlignment="1" applyProtection="1">
      <alignment horizontal="left"/>
    </xf>
    <xf numFmtId="0" fontId="0" fillId="41" borderId="4" xfId="0" applyFont="1" applyFill="1" applyBorder="1" applyAlignment="1">
      <alignment horizontal="right" vertical="center"/>
    </xf>
    <xf numFmtId="166" fontId="74" fillId="41" borderId="129" xfId="5" applyNumberFormat="1" applyFont="1" applyFill="1" applyBorder="1" applyAlignment="1" applyProtection="1">
      <alignment horizontal="left"/>
    </xf>
    <xf numFmtId="2" fontId="84" fillId="11" borderId="1" xfId="0" applyNumberFormat="1" applyFont="1" applyFill="1" applyBorder="1" applyAlignment="1">
      <alignment horizontal="right"/>
    </xf>
    <xf numFmtId="166" fontId="131" fillId="15" borderId="114" xfId="0" applyNumberFormat="1" applyFont="1" applyFill="1" applyBorder="1" applyAlignment="1" applyProtection="1">
      <alignment horizontal="left"/>
    </xf>
    <xf numFmtId="166" fontId="57" fillId="15" borderId="114" xfId="0" applyNumberFormat="1" applyFont="1" applyFill="1" applyBorder="1" applyAlignment="1" applyProtection="1">
      <alignment horizontal="left"/>
    </xf>
    <xf numFmtId="166" fontId="131" fillId="15" borderId="118" xfId="5" applyNumberFormat="1" applyFont="1" applyFill="1" applyBorder="1" applyAlignment="1" applyProtection="1">
      <alignment horizontal="right"/>
    </xf>
    <xf numFmtId="2" fontId="131" fillId="42" borderId="114" xfId="5" applyNumberFormat="1" applyFont="1" applyFill="1" applyBorder="1" applyAlignment="1" applyProtection="1">
      <alignment horizontal="right"/>
    </xf>
    <xf numFmtId="2" fontId="131" fillId="42" borderId="1" xfId="5" applyNumberFormat="1" applyFont="1" applyFill="1" applyBorder="1" applyAlignment="1" applyProtection="1">
      <alignment horizontal="right"/>
    </xf>
    <xf numFmtId="166" fontId="138" fillId="15" borderId="114" xfId="6" applyNumberFormat="1" applyFont="1" applyFill="1" applyBorder="1" applyAlignment="1" applyProtection="1">
      <alignment horizontal="left"/>
    </xf>
    <xf numFmtId="166" fontId="131" fillId="0" borderId="0" xfId="0" applyNumberFormat="1" applyFont="1" applyFill="1" applyBorder="1" applyAlignment="1" applyProtection="1">
      <alignment horizontal="left"/>
    </xf>
    <xf numFmtId="166" fontId="131" fillId="42" borderId="116" xfId="0" applyNumberFormat="1" applyFont="1" applyFill="1" applyBorder="1" applyAlignment="1" applyProtection="1">
      <alignment horizontal="left"/>
    </xf>
    <xf numFmtId="166" fontId="131" fillId="41" borderId="114" xfId="0" applyNumberFormat="1" applyFont="1" applyFill="1" applyBorder="1" applyAlignment="1" applyProtection="1">
      <alignment horizontal="left"/>
    </xf>
    <xf numFmtId="0" fontId="0" fillId="42" borderId="89" xfId="0" applyFill="1" applyBorder="1"/>
    <xf numFmtId="166" fontId="131" fillId="42" borderId="19" xfId="5" applyNumberFormat="1" applyFont="1" applyFill="1" applyBorder="1" applyAlignment="1" applyProtection="1">
      <alignment horizontal="right"/>
    </xf>
    <xf numFmtId="166" fontId="138" fillId="15" borderId="130" xfId="0" applyNumberFormat="1" applyFont="1" applyFill="1" applyBorder="1" applyAlignment="1" applyProtection="1">
      <alignment horizontal="left"/>
    </xf>
    <xf numFmtId="0" fontId="145" fillId="0" borderId="0" xfId="0" applyFont="1" applyFill="1" applyBorder="1"/>
    <xf numFmtId="0" fontId="31" fillId="0" borderId="54" xfId="0" applyFont="1" applyBorder="1"/>
    <xf numFmtId="0" fontId="0" fillId="2" borderId="0" xfId="0" applyFill="1"/>
    <xf numFmtId="0" fontId="57" fillId="0" borderId="54" xfId="0" applyFont="1" applyFill="1" applyBorder="1" applyAlignment="1" applyProtection="1">
      <alignment horizontal="left" vertical="center"/>
    </xf>
    <xf numFmtId="2" fontId="0" fillId="0" borderId="0" xfId="0" applyNumberFormat="1" applyFill="1" applyBorder="1" applyAlignment="1">
      <alignment horizontal="center"/>
    </xf>
    <xf numFmtId="2" fontId="84" fillId="18" borderId="9" xfId="0" applyNumberFormat="1" applyFont="1" applyFill="1" applyBorder="1" applyAlignment="1">
      <alignment horizontal="center" vertical="center"/>
    </xf>
    <xf numFmtId="2" fontId="84" fillId="18" borderId="1" xfId="0" applyNumberFormat="1" applyFont="1" applyFill="1" applyBorder="1" applyAlignment="1">
      <alignment horizontal="center" vertical="center"/>
    </xf>
    <xf numFmtId="2" fontId="1" fillId="27" borderId="9" xfId="0" applyNumberFormat="1" applyFont="1" applyFill="1" applyBorder="1" applyAlignment="1"/>
    <xf numFmtId="2" fontId="1" fillId="42" borderId="1" xfId="0" applyNumberFormat="1" applyFont="1" applyFill="1" applyBorder="1" applyAlignment="1"/>
    <xf numFmtId="166" fontId="131" fillId="42" borderId="114" xfId="7" applyNumberFormat="1" applyFont="1" applyFill="1" applyBorder="1" applyAlignment="1" applyProtection="1">
      <alignment horizontal="left"/>
    </xf>
    <xf numFmtId="0" fontId="0" fillId="52" borderId="4" xfId="0" applyFill="1" applyBorder="1" applyAlignment="1"/>
    <xf numFmtId="0" fontId="0" fillId="52" borderId="1" xfId="0" applyFill="1" applyBorder="1" applyAlignment="1"/>
    <xf numFmtId="166" fontId="74" fillId="42" borderId="123" xfId="5" applyNumberFormat="1" applyFont="1" applyFill="1" applyBorder="1" applyAlignment="1" applyProtection="1">
      <alignment horizontal="left"/>
    </xf>
    <xf numFmtId="0" fontId="19" fillId="42" borderId="1" xfId="0" applyFont="1" applyFill="1" applyBorder="1"/>
    <xf numFmtId="49" fontId="19" fillId="42" borderId="4" xfId="0" applyNumberFormat="1" applyFont="1" applyFill="1" applyBorder="1" applyAlignment="1">
      <alignment vertical="center"/>
    </xf>
    <xf numFmtId="166" fontId="19" fillId="42" borderId="1" xfId="0" applyNumberFormat="1" applyFont="1" applyFill="1" applyBorder="1" applyAlignment="1"/>
    <xf numFmtId="0" fontId="19" fillId="42" borderId="4" xfId="0" applyFont="1" applyFill="1" applyBorder="1" applyAlignment="1"/>
    <xf numFmtId="0" fontId="19" fillId="42" borderId="4" xfId="0" applyFont="1" applyFill="1" applyBorder="1" applyAlignment="1">
      <alignment vertical="center"/>
    </xf>
    <xf numFmtId="0" fontId="0" fillId="52" borderId="19" xfId="0" applyFill="1" applyBorder="1"/>
    <xf numFmtId="0" fontId="73" fillId="52" borderId="4" xfId="0" applyFont="1" applyFill="1" applyBorder="1" applyAlignment="1">
      <alignment horizontal="left" vertical="center"/>
    </xf>
    <xf numFmtId="166" fontId="0" fillId="41" borderId="9" xfId="0" applyNumberFormat="1" applyFont="1" applyFill="1" applyBorder="1" applyAlignment="1"/>
    <xf numFmtId="2" fontId="84" fillId="41" borderId="9" xfId="0" applyNumberFormat="1" applyFont="1" applyFill="1" applyBorder="1" applyAlignment="1">
      <alignment horizontal="right"/>
    </xf>
    <xf numFmtId="2" fontId="132" fillId="41" borderId="4" xfId="0" applyNumberFormat="1" applyFont="1" applyFill="1" applyBorder="1" applyAlignment="1"/>
    <xf numFmtId="2" fontId="132" fillId="41" borderId="9" xfId="0" applyNumberFormat="1" applyFont="1" applyFill="1" applyBorder="1" applyAlignment="1"/>
    <xf numFmtId="2" fontId="132" fillId="41" borderId="1" xfId="0" applyNumberFormat="1" applyFont="1" applyFill="1" applyBorder="1" applyAlignment="1"/>
    <xf numFmtId="166" fontId="0" fillId="52" borderId="9" xfId="0" applyNumberFormat="1" applyFont="1" applyFill="1" applyBorder="1" applyAlignment="1"/>
    <xf numFmtId="2" fontId="84" fillId="52" borderId="9" xfId="0" applyNumberFormat="1" applyFont="1" applyFill="1" applyBorder="1" applyAlignment="1">
      <alignment horizontal="right"/>
    </xf>
    <xf numFmtId="2" fontId="132" fillId="52" borderId="1" xfId="0" applyNumberFormat="1" applyFont="1" applyFill="1" applyBorder="1" applyAlignment="1"/>
    <xf numFmtId="2" fontId="132" fillId="52" borderId="9" xfId="0" applyNumberFormat="1" applyFont="1" applyFill="1" applyBorder="1" applyAlignment="1"/>
    <xf numFmtId="166" fontId="131" fillId="15" borderId="121" xfId="6" applyNumberFormat="1" applyFont="1" applyFill="1" applyBorder="1" applyAlignment="1" applyProtection="1">
      <alignment horizontal="right"/>
    </xf>
    <xf numFmtId="166" fontId="131" fillId="15" borderId="114" xfId="6" applyNumberFormat="1" applyFont="1" applyFill="1" applyBorder="1" applyAlignment="1" applyProtection="1">
      <alignment horizontal="right"/>
    </xf>
    <xf numFmtId="166" fontId="131" fillId="15" borderId="120" xfId="6" applyNumberFormat="1" applyFont="1" applyFill="1" applyBorder="1" applyAlignment="1" applyProtection="1">
      <alignment horizontal="right"/>
    </xf>
    <xf numFmtId="2" fontId="132" fillId="52" borderId="4" xfId="0" applyNumberFormat="1" applyFont="1" applyFill="1" applyBorder="1" applyAlignment="1"/>
    <xf numFmtId="166" fontId="138" fillId="15" borderId="114" xfId="0" applyNumberFormat="1" applyFont="1" applyFill="1" applyBorder="1" applyAlignment="1" applyProtection="1">
      <alignment horizontal="left"/>
    </xf>
    <xf numFmtId="2" fontId="0" fillId="42" borderId="1" xfId="0" applyNumberFormat="1" applyFont="1" applyFill="1" applyBorder="1" applyAlignment="1"/>
    <xf numFmtId="166" fontId="146" fillId="42" borderId="9" xfId="0" applyNumberFormat="1" applyFont="1" applyFill="1" applyBorder="1" applyAlignment="1"/>
    <xf numFmtId="0" fontId="0" fillId="52" borderId="89" xfId="0" applyFill="1" applyBorder="1"/>
    <xf numFmtId="178" fontId="131" fillId="42" borderId="116" xfId="0" applyNumberFormat="1" applyFont="1" applyFill="1" applyBorder="1" applyAlignment="1" applyProtection="1">
      <alignment horizontal="right"/>
    </xf>
    <xf numFmtId="166" fontId="132" fillId="21" borderId="4" xfId="0" applyNumberFormat="1" applyFont="1" applyFill="1" applyBorder="1" applyAlignment="1"/>
    <xf numFmtId="2" fontId="136" fillId="7" borderId="1" xfId="0" applyNumberFormat="1" applyFont="1" applyFill="1" applyBorder="1" applyAlignment="1"/>
    <xf numFmtId="166" fontId="0" fillId="0" borderId="0" xfId="0" applyNumberFormat="1" applyFont="1" applyFill="1" applyBorder="1" applyAlignment="1">
      <alignment horizontal="left"/>
    </xf>
    <xf numFmtId="2" fontId="132" fillId="21" borderId="9" xfId="0" applyNumberFormat="1" applyFont="1" applyFill="1" applyBorder="1" applyAlignment="1"/>
    <xf numFmtId="2" fontId="132" fillId="21" borderId="12" xfId="0" applyNumberFormat="1" applyFont="1" applyFill="1" applyBorder="1" applyAlignment="1"/>
    <xf numFmtId="166" fontId="0" fillId="41" borderId="3" xfId="0" applyNumberFormat="1" applyFill="1" applyBorder="1" applyAlignment="1"/>
    <xf numFmtId="2" fontId="132" fillId="21" borderId="51" xfId="0" applyNumberFormat="1" applyFont="1" applyFill="1" applyBorder="1" applyAlignment="1"/>
    <xf numFmtId="166" fontId="0" fillId="52" borderId="3" xfId="0" applyNumberFormat="1" applyFill="1" applyBorder="1" applyAlignment="1"/>
    <xf numFmtId="166" fontId="0" fillId="41" borderId="0" xfId="0" applyNumberFormat="1" applyFill="1" applyBorder="1" applyAlignment="1"/>
    <xf numFmtId="177" fontId="131" fillId="52" borderId="123" xfId="5" applyNumberFormat="1" applyFont="1" applyFill="1" applyBorder="1" applyAlignment="1" applyProtection="1">
      <alignment horizontal="right"/>
    </xf>
    <xf numFmtId="166" fontId="0" fillId="0" borderId="3" xfId="0" applyNumberFormat="1" applyFill="1" applyBorder="1" applyAlignment="1"/>
    <xf numFmtId="177" fontId="131" fillId="41" borderId="123" xfId="5" applyNumberFormat="1" applyFont="1" applyFill="1" applyBorder="1" applyAlignment="1" applyProtection="1">
      <alignment horizontal="right"/>
    </xf>
    <xf numFmtId="177" fontId="131" fillId="0" borderId="0" xfId="5" applyNumberFormat="1" applyFont="1" applyFill="1" applyBorder="1" applyAlignment="1" applyProtection="1">
      <alignment horizontal="right"/>
    </xf>
    <xf numFmtId="0" fontId="62" fillId="42" borderId="12" xfId="0" applyFont="1" applyFill="1" applyBorder="1" applyAlignment="1" applyProtection="1">
      <alignment horizontal="center" vertical="center"/>
    </xf>
    <xf numFmtId="177" fontId="131" fillId="0" borderId="0" xfId="0" applyNumberFormat="1" applyFont="1" applyFill="1" applyBorder="1" applyAlignment="1" applyProtection="1">
      <alignment horizontal="right"/>
    </xf>
    <xf numFmtId="166" fontId="0" fillId="41" borderId="9" xfId="0" applyNumberFormat="1" applyFill="1" applyBorder="1" applyAlignment="1"/>
    <xf numFmtId="2" fontId="132" fillId="41" borderId="12" xfId="0" applyNumberFormat="1" applyFont="1" applyFill="1" applyBorder="1" applyAlignment="1"/>
    <xf numFmtId="0" fontId="0" fillId="52" borderId="3" xfId="0" applyFill="1" applyBorder="1" applyAlignment="1"/>
    <xf numFmtId="2" fontId="132" fillId="52" borderId="12" xfId="0" applyNumberFormat="1" applyFont="1" applyFill="1" applyBorder="1" applyAlignment="1"/>
    <xf numFmtId="166" fontId="132" fillId="21" borderId="12" xfId="0" applyNumberFormat="1" applyFont="1" applyFill="1" applyBorder="1" applyAlignment="1"/>
    <xf numFmtId="2" fontId="135" fillId="21" borderId="1" xfId="0" applyNumberFormat="1" applyFont="1" applyFill="1" applyBorder="1" applyAlignment="1"/>
    <xf numFmtId="2" fontId="135" fillId="21" borderId="9" xfId="0" applyNumberFormat="1" applyFont="1" applyFill="1" applyBorder="1" applyAlignment="1"/>
    <xf numFmtId="2" fontId="135" fillId="35" borderId="9" xfId="0" applyNumberFormat="1" applyFont="1" applyFill="1" applyBorder="1" applyAlignment="1"/>
    <xf numFmtId="2" fontId="135" fillId="17" borderId="1" xfId="0" applyNumberFormat="1" applyFont="1" applyFill="1" applyBorder="1" applyAlignment="1"/>
    <xf numFmtId="2" fontId="0" fillId="0" borderId="0" xfId="0" applyNumberFormat="1" applyFont="1" applyFill="1" applyBorder="1" applyAlignment="1">
      <alignment horizontal="left"/>
    </xf>
    <xf numFmtId="169" fontId="0" fillId="27" borderId="9" xfId="0" applyNumberFormat="1" applyFont="1" applyFill="1" applyBorder="1" applyAlignment="1"/>
    <xf numFmtId="177" fontId="0" fillId="0" borderId="114" xfId="0" applyNumberFormat="1" applyFill="1" applyBorder="1" applyAlignment="1" applyProtection="1">
      <alignment horizontal="right"/>
    </xf>
    <xf numFmtId="2" fontId="135" fillId="21" borderId="12" xfId="0" applyNumberFormat="1" applyFont="1" applyFill="1" applyBorder="1" applyAlignment="1"/>
    <xf numFmtId="2" fontId="135" fillId="35" borderId="1" xfId="0" applyNumberFormat="1" applyFont="1" applyFill="1" applyBorder="1" applyAlignment="1"/>
    <xf numFmtId="166" fontId="135" fillId="35" borderId="9" xfId="0" applyNumberFormat="1" applyFont="1" applyFill="1" applyBorder="1" applyAlignment="1"/>
    <xf numFmtId="166" fontId="135" fillId="17" borderId="1" xfId="0" applyNumberFormat="1" applyFont="1" applyFill="1" applyBorder="1" applyAlignment="1"/>
    <xf numFmtId="2" fontId="132" fillId="21" borderId="3" xfId="0" applyNumberFormat="1" applyFont="1" applyFill="1" applyBorder="1" applyAlignment="1"/>
    <xf numFmtId="177" fontId="131" fillId="0" borderId="121" xfId="0" applyNumberFormat="1" applyFont="1" applyFill="1" applyBorder="1" applyAlignment="1" applyProtection="1">
      <alignment horizontal="right"/>
    </xf>
    <xf numFmtId="177" fontId="131" fillId="0" borderId="1" xfId="0" applyNumberFormat="1" applyFont="1" applyFill="1" applyBorder="1" applyAlignment="1" applyProtection="1">
      <alignment horizontal="right"/>
    </xf>
    <xf numFmtId="171" fontId="135" fillId="17" borderId="1" xfId="0" applyNumberFormat="1" applyFont="1" applyFill="1" applyBorder="1" applyAlignment="1"/>
    <xf numFmtId="171" fontId="0" fillId="27" borderId="9" xfId="0" applyNumberFormat="1" applyFont="1" applyFill="1" applyBorder="1" applyAlignment="1"/>
    <xf numFmtId="0" fontId="145" fillId="0" borderId="54" xfId="0" applyFont="1" applyFill="1" applyBorder="1"/>
    <xf numFmtId="169" fontId="135" fillId="17" borderId="1" xfId="0" applyNumberFormat="1" applyFont="1" applyFill="1" applyBorder="1" applyAlignment="1"/>
    <xf numFmtId="2" fontId="132" fillId="35" borderId="12" xfId="0" applyNumberFormat="1" applyFont="1" applyFill="1" applyBorder="1" applyAlignment="1"/>
    <xf numFmtId="0" fontId="0" fillId="42" borderId="1" xfId="0" applyFill="1" applyBorder="1" applyAlignment="1"/>
    <xf numFmtId="177" fontId="131" fillId="41" borderId="128" xfId="5" applyNumberFormat="1" applyFont="1" applyFill="1" applyBorder="1" applyAlignment="1" applyProtection="1">
      <alignment horizontal="right"/>
    </xf>
    <xf numFmtId="166" fontId="132" fillId="15" borderId="9" xfId="0" applyNumberFormat="1" applyFont="1" applyFill="1" applyBorder="1" applyAlignment="1"/>
    <xf numFmtId="166" fontId="132" fillId="17" borderId="1" xfId="0" applyNumberFormat="1" applyFont="1" applyFill="1" applyBorder="1" applyAlignment="1"/>
    <xf numFmtId="171" fontId="135" fillId="35" borderId="9" xfId="0" applyNumberFormat="1" applyFont="1" applyFill="1" applyBorder="1" applyAlignment="1"/>
    <xf numFmtId="166" fontId="132" fillId="15" borderId="1" xfId="0" applyNumberFormat="1" applyFont="1" applyFill="1" applyBorder="1" applyAlignment="1"/>
    <xf numFmtId="2" fontId="132" fillId="21" borderId="2" xfId="0" applyNumberFormat="1" applyFont="1" applyFill="1" applyBorder="1" applyAlignment="1"/>
    <xf numFmtId="2" fontId="132" fillId="15" borderId="2" xfId="0" applyNumberFormat="1" applyFont="1" applyFill="1" applyBorder="1" applyAlignment="1"/>
    <xf numFmtId="177" fontId="131" fillId="0" borderId="1" xfId="5" applyNumberFormat="1" applyFont="1" applyFill="1" applyBorder="1" applyAlignment="1" applyProtection="1">
      <alignment horizontal="right"/>
    </xf>
    <xf numFmtId="2" fontId="135" fillId="35" borderId="12" xfId="0" applyNumberFormat="1" applyFont="1" applyFill="1" applyBorder="1" applyAlignment="1"/>
    <xf numFmtId="2" fontId="135" fillId="35" borderId="46" xfId="0" applyNumberFormat="1" applyFont="1" applyFill="1" applyBorder="1" applyAlignment="1"/>
    <xf numFmtId="166" fontId="0" fillId="42" borderId="2" xfId="0" applyNumberFormat="1" applyFill="1" applyBorder="1" applyAlignment="1"/>
    <xf numFmtId="166" fontId="131" fillId="42" borderId="121" xfId="5" applyNumberFormat="1" applyFont="1" applyFill="1" applyBorder="1" applyAlignment="1" applyProtection="1">
      <alignment horizontal="right"/>
    </xf>
    <xf numFmtId="166" fontId="131" fillId="15" borderId="118" xfId="6" applyNumberFormat="1" applyFont="1" applyFill="1" applyBorder="1" applyAlignment="1" applyProtection="1">
      <alignment horizontal="left"/>
    </xf>
    <xf numFmtId="2" fontId="0" fillId="15" borderId="48" xfId="0" applyNumberFormat="1" applyFill="1" applyBorder="1" applyAlignment="1"/>
    <xf numFmtId="166" fontId="131" fillId="42" borderId="115" xfId="6" applyNumberFormat="1" applyFont="1" applyFill="1" applyBorder="1" applyAlignment="1" applyProtection="1">
      <alignment horizontal="right"/>
    </xf>
    <xf numFmtId="166" fontId="0" fillId="42" borderId="114" xfId="0" applyNumberFormat="1" applyFill="1" applyBorder="1" applyAlignment="1" applyProtection="1">
      <alignment horizontal="left"/>
    </xf>
    <xf numFmtId="166" fontId="0" fillId="42" borderId="121" xfId="0" applyNumberFormat="1" applyFill="1" applyBorder="1" applyAlignment="1" applyProtection="1">
      <alignment horizontal="right"/>
    </xf>
    <xf numFmtId="166" fontId="0" fillId="41" borderId="114" xfId="0" applyNumberFormat="1" applyFill="1" applyBorder="1" applyAlignment="1" applyProtection="1">
      <alignment horizontal="left"/>
    </xf>
    <xf numFmtId="166" fontId="0" fillId="41" borderId="121" xfId="0" applyNumberFormat="1" applyFill="1" applyBorder="1" applyAlignment="1" applyProtection="1">
      <alignment horizontal="right"/>
    </xf>
    <xf numFmtId="166" fontId="0" fillId="42" borderId="118" xfId="0" applyNumberFormat="1" applyFill="1" applyBorder="1" applyAlignment="1" applyProtection="1">
      <alignment horizontal="left"/>
    </xf>
    <xf numFmtId="166" fontId="0" fillId="41" borderId="118" xfId="0" applyNumberFormat="1" applyFill="1" applyBorder="1" applyAlignment="1" applyProtection="1">
      <alignment horizontal="left"/>
    </xf>
    <xf numFmtId="166" fontId="131" fillId="15" borderId="118" xfId="6" applyNumberFormat="1" applyFont="1" applyFill="1" applyBorder="1" applyAlignment="1" applyProtection="1">
      <alignment horizontal="right"/>
    </xf>
    <xf numFmtId="177" fontId="135" fillId="0" borderId="114" xfId="0" applyNumberFormat="1" applyFont="1" applyFill="1" applyBorder="1" applyAlignment="1" applyProtection="1">
      <alignment horizontal="right"/>
    </xf>
    <xf numFmtId="2" fontId="0" fillId="0" borderId="4" xfId="0" applyNumberFormat="1" applyBorder="1" applyAlignment="1"/>
    <xf numFmtId="166" fontId="131" fillId="42" borderId="1" xfId="7" applyNumberFormat="1" applyFont="1" applyFill="1" applyBorder="1" applyAlignment="1" applyProtection="1">
      <alignment horizontal="left"/>
    </xf>
    <xf numFmtId="166" fontId="131" fillId="42" borderId="1" xfId="7" applyNumberFormat="1" applyFont="1" applyFill="1" applyBorder="1" applyAlignment="1" applyProtection="1">
      <alignment horizontal="right"/>
    </xf>
    <xf numFmtId="0" fontId="1" fillId="15" borderId="3" xfId="0" applyFont="1" applyFill="1" applyBorder="1"/>
    <xf numFmtId="166" fontId="138" fillId="15" borderId="118" xfId="6" applyNumberFormat="1" applyFont="1" applyFill="1" applyBorder="1" applyAlignment="1" applyProtection="1">
      <alignment horizontal="left"/>
    </xf>
    <xf numFmtId="0" fontId="0" fillId="0" borderId="46" xfId="0" applyFill="1" applyBorder="1"/>
    <xf numFmtId="166" fontId="74" fillId="41" borderId="0" xfId="5" applyNumberFormat="1" applyFont="1" applyFill="1" applyBorder="1" applyAlignment="1" applyProtection="1">
      <alignment horizontal="left"/>
    </xf>
    <xf numFmtId="166" fontId="131" fillId="42" borderId="19" xfId="5" applyNumberFormat="1" applyFont="1" applyFill="1" applyBorder="1" applyAlignment="1" applyProtection="1">
      <alignment horizontal="left"/>
    </xf>
    <xf numFmtId="166" fontId="131" fillId="15" borderId="120" xfId="6" applyNumberFormat="1" applyFont="1" applyFill="1" applyBorder="1" applyAlignment="1" applyProtection="1">
      <alignment horizontal="left"/>
    </xf>
    <xf numFmtId="166" fontId="131" fillId="42" borderId="133" xfId="0" applyNumberFormat="1" applyFont="1" applyFill="1" applyBorder="1" applyAlignment="1" applyProtection="1">
      <alignment horizontal="left"/>
    </xf>
    <xf numFmtId="166" fontId="131" fillId="42" borderId="134" xfId="0" applyNumberFormat="1" applyFont="1" applyFill="1" applyBorder="1" applyAlignment="1" applyProtection="1">
      <alignment horizontal="left"/>
    </xf>
    <xf numFmtId="166" fontId="131" fillId="42" borderId="135" xfId="0" applyNumberFormat="1" applyFont="1" applyFill="1" applyBorder="1" applyAlignment="1" applyProtection="1">
      <alignment horizontal="right"/>
    </xf>
    <xf numFmtId="166" fontId="131" fillId="42" borderId="136" xfId="0" applyNumberFormat="1" applyFont="1" applyFill="1" applyBorder="1" applyAlignment="1" applyProtection="1">
      <alignment horizontal="left"/>
    </xf>
    <xf numFmtId="0" fontId="0" fillId="65" borderId="0" xfId="0" applyFill="1" applyBorder="1"/>
    <xf numFmtId="166" fontId="131" fillId="15" borderId="131" xfId="6" applyNumberFormat="1" applyFont="1" applyFill="1" applyBorder="1" applyAlignment="1" applyProtection="1">
      <alignment horizontal="left"/>
    </xf>
    <xf numFmtId="166" fontId="0" fillId="42" borderId="126" xfId="0" applyNumberFormat="1" applyFill="1" applyBorder="1" applyAlignment="1" applyProtection="1">
      <alignment horizontal="right"/>
    </xf>
    <xf numFmtId="166" fontId="131" fillId="15" borderId="1" xfId="6" applyNumberFormat="1" applyFont="1" applyFill="1" applyBorder="1" applyAlignment="1" applyProtection="1">
      <alignment horizontal="right"/>
    </xf>
    <xf numFmtId="166" fontId="0" fillId="42" borderId="116" xfId="0" applyNumberFormat="1" applyFill="1" applyBorder="1" applyAlignment="1" applyProtection="1">
      <alignment horizontal="left"/>
    </xf>
    <xf numFmtId="166" fontId="0" fillId="42" borderId="137" xfId="0" applyNumberFormat="1" applyFill="1" applyBorder="1" applyAlignment="1" applyProtection="1">
      <alignment horizontal="right"/>
    </xf>
    <xf numFmtId="166" fontId="0" fillId="41" borderId="1" xfId="0" applyNumberFormat="1" applyFill="1" applyBorder="1" applyAlignment="1" applyProtection="1">
      <alignment horizontal="left"/>
    </xf>
    <xf numFmtId="166" fontId="0" fillId="41" borderId="1" xfId="0" applyNumberFormat="1" applyFill="1" applyBorder="1" applyAlignment="1" applyProtection="1">
      <alignment horizontal="right"/>
    </xf>
    <xf numFmtId="177" fontId="135" fillId="41" borderId="114" xfId="0" applyNumberFormat="1" applyFont="1" applyFill="1" applyBorder="1" applyAlignment="1" applyProtection="1">
      <alignment horizontal="right"/>
    </xf>
    <xf numFmtId="2" fontId="135" fillId="41" borderId="9" xfId="0" applyNumberFormat="1" applyFont="1" applyFill="1" applyBorder="1" applyAlignment="1"/>
    <xf numFmtId="2" fontId="135" fillId="41" borderId="1" xfId="0" applyNumberFormat="1" applyFont="1" applyFill="1" applyBorder="1" applyAlignment="1"/>
    <xf numFmtId="166" fontId="0" fillId="42" borderId="115" xfId="0" applyNumberFormat="1" applyFill="1" applyBorder="1" applyAlignment="1" applyProtection="1">
      <alignment horizontal="left"/>
    </xf>
    <xf numFmtId="166" fontId="19" fillId="0" borderId="0" xfId="0" applyNumberFormat="1" applyFont="1" applyFill="1" applyBorder="1" applyAlignment="1">
      <alignment horizontal="left"/>
    </xf>
    <xf numFmtId="2" fontId="19" fillId="0" borderId="0" xfId="0" applyNumberFormat="1" applyFont="1" applyFill="1" applyBorder="1" applyAlignment="1">
      <alignment horizontal="left"/>
    </xf>
    <xf numFmtId="177" fontId="135" fillId="0" borderId="0" xfId="0" applyNumberFormat="1" applyFont="1" applyFill="1" applyBorder="1" applyAlignment="1" applyProtection="1">
      <alignment horizontal="right"/>
    </xf>
    <xf numFmtId="166" fontId="131" fillId="41" borderId="119" xfId="6" applyNumberFormat="1" applyFont="1" applyFill="1" applyBorder="1" applyAlignment="1" applyProtection="1">
      <alignment horizontal="left"/>
    </xf>
    <xf numFmtId="166" fontId="131" fillId="41" borderId="125" xfId="6" applyNumberFormat="1" applyFont="1" applyFill="1" applyBorder="1" applyAlignment="1" applyProtection="1">
      <alignment horizontal="right"/>
    </xf>
    <xf numFmtId="166" fontId="131" fillId="41" borderId="1" xfId="6" applyNumberFormat="1" applyFont="1" applyFill="1" applyBorder="1" applyAlignment="1" applyProtection="1">
      <alignment horizontal="left"/>
    </xf>
    <xf numFmtId="166" fontId="131" fillId="41" borderId="1" xfId="6" applyNumberFormat="1" applyFont="1" applyFill="1" applyBorder="1" applyAlignment="1" applyProtection="1">
      <alignment horizontal="right"/>
    </xf>
    <xf numFmtId="166" fontId="0" fillId="0" borderId="0" xfId="0" applyNumberFormat="1" applyFill="1" applyBorder="1" applyAlignment="1" applyProtection="1">
      <alignment horizontal="left"/>
    </xf>
    <xf numFmtId="166" fontId="0" fillId="0" borderId="0" xfId="0" applyNumberFormat="1" applyFill="1" applyBorder="1" applyAlignment="1" applyProtection="1">
      <alignment horizontal="right"/>
    </xf>
    <xf numFmtId="177" fontId="0" fillId="0" borderId="0" xfId="0" applyNumberFormat="1" applyFill="1" applyBorder="1" applyAlignment="1" applyProtection="1">
      <alignment horizontal="right"/>
    </xf>
    <xf numFmtId="166" fontId="131" fillId="0" borderId="0" xfId="6" applyNumberFormat="1" applyFont="1" applyFill="1" applyBorder="1" applyAlignment="1" applyProtection="1">
      <alignment horizontal="left"/>
    </xf>
    <xf numFmtId="166" fontId="131" fillId="0" borderId="0" xfId="6" applyNumberFormat="1" applyFont="1" applyFill="1" applyBorder="1" applyAlignment="1" applyProtection="1">
      <alignment horizontal="center"/>
    </xf>
    <xf numFmtId="166" fontId="131" fillId="0" borderId="0" xfId="6" applyNumberFormat="1" applyFont="1" applyFill="1" applyBorder="1" applyAlignment="1" applyProtection="1">
      <alignment horizontal="right"/>
    </xf>
    <xf numFmtId="166" fontId="74" fillId="0" borderId="0" xfId="5" applyNumberFormat="1" applyFont="1" applyFill="1" applyBorder="1" applyAlignment="1" applyProtection="1">
      <alignment horizontal="right"/>
    </xf>
    <xf numFmtId="0" fontId="1" fillId="0" borderId="0" xfId="0" applyFont="1" applyFill="1" applyBorder="1"/>
    <xf numFmtId="2" fontId="19" fillId="0" borderId="0" xfId="0" applyNumberFormat="1" applyFont="1" applyFill="1" applyBorder="1" applyAlignment="1"/>
    <xf numFmtId="166" fontId="131" fillId="41" borderId="121" xfId="7" applyNumberFormat="1" applyFont="1" applyFill="1" applyBorder="1" applyAlignment="1" applyProtection="1">
      <alignment horizontal="left"/>
    </xf>
    <xf numFmtId="0" fontId="1" fillId="52" borderId="3" xfId="0" applyFont="1" applyFill="1" applyBorder="1" applyAlignment="1">
      <alignment horizontal="left" vertical="center"/>
    </xf>
    <xf numFmtId="166" fontId="131" fillId="41" borderId="118" xfId="7" applyNumberFormat="1" applyFont="1" applyFill="1" applyBorder="1" applyAlignment="1" applyProtection="1">
      <alignment horizontal="right"/>
    </xf>
    <xf numFmtId="166" fontId="131" fillId="52" borderId="120" xfId="6" applyNumberFormat="1" applyFont="1" applyFill="1" applyBorder="1" applyAlignment="1" applyProtection="1">
      <alignment horizontal="left"/>
    </xf>
    <xf numFmtId="166" fontId="131" fillId="52" borderId="115" xfId="6" applyNumberFormat="1" applyFont="1" applyFill="1" applyBorder="1" applyAlignment="1" applyProtection="1">
      <alignment horizontal="right"/>
    </xf>
    <xf numFmtId="2" fontId="0" fillId="0" borderId="9" xfId="0" applyNumberFormat="1" applyBorder="1" applyAlignment="1"/>
    <xf numFmtId="0" fontId="31" fillId="0" borderId="50" xfId="0" applyFont="1" applyBorder="1"/>
    <xf numFmtId="166" fontId="131" fillId="52" borderId="89" xfId="6" applyNumberFormat="1" applyFont="1" applyFill="1" applyBorder="1" applyAlignment="1" applyProtection="1">
      <alignment horizontal="left"/>
    </xf>
    <xf numFmtId="166" fontId="131" fillId="41" borderId="114" xfId="0" applyNumberFormat="1" applyFont="1" applyFill="1" applyBorder="1" applyAlignment="1" applyProtection="1">
      <alignment horizontal="right"/>
    </xf>
    <xf numFmtId="2" fontId="135" fillId="41" borderId="12" xfId="0" applyNumberFormat="1" applyFont="1" applyFill="1" applyBorder="1" applyAlignment="1"/>
    <xf numFmtId="166" fontId="0" fillId="41" borderId="122" xfId="0" applyNumberFormat="1" applyFill="1" applyBorder="1" applyAlignment="1" applyProtection="1">
      <alignment horizontal="left"/>
    </xf>
    <xf numFmtId="166" fontId="0" fillId="41" borderId="116" xfId="0" applyNumberFormat="1" applyFill="1" applyBorder="1" applyAlignment="1" applyProtection="1">
      <alignment horizontal="left"/>
    </xf>
    <xf numFmtId="0" fontId="1" fillId="41" borderId="17" xfId="0" applyFont="1" applyFill="1" applyBorder="1" applyAlignment="1">
      <alignment horizontal="left" vertical="center"/>
    </xf>
    <xf numFmtId="166" fontId="131" fillId="41" borderId="120" xfId="7" applyNumberFormat="1" applyFont="1" applyFill="1" applyBorder="1" applyAlignment="1" applyProtection="1">
      <alignment horizontal="left"/>
    </xf>
    <xf numFmtId="166" fontId="131" fillId="41" borderId="126" xfId="7" applyNumberFormat="1" applyFont="1" applyFill="1" applyBorder="1" applyAlignment="1" applyProtection="1">
      <alignment horizontal="left"/>
    </xf>
    <xf numFmtId="166" fontId="131" fillId="52" borderId="118" xfId="0" applyNumberFormat="1" applyFont="1" applyFill="1" applyBorder="1" applyAlignment="1" applyProtection="1">
      <alignment horizontal="left"/>
    </xf>
    <xf numFmtId="166" fontId="131" fillId="52" borderId="1" xfId="6" applyNumberFormat="1" applyFont="1" applyFill="1" applyBorder="1" applyAlignment="1" applyProtection="1">
      <alignment horizontal="left"/>
    </xf>
    <xf numFmtId="166" fontId="131" fillId="41" borderId="2" xfId="0" applyNumberFormat="1" applyFont="1" applyFill="1" applyBorder="1" applyAlignment="1" applyProtection="1">
      <alignment horizontal="left"/>
    </xf>
    <xf numFmtId="166" fontId="131" fillId="52" borderId="121" xfId="0" applyNumberFormat="1" applyFont="1" applyFill="1" applyBorder="1" applyAlignment="1" applyProtection="1">
      <alignment horizontal="left"/>
    </xf>
    <xf numFmtId="0" fontId="1" fillId="52" borderId="2" xfId="0" applyFont="1" applyFill="1" applyBorder="1" applyAlignment="1">
      <alignment horizontal="left" vertical="center"/>
    </xf>
    <xf numFmtId="166" fontId="131" fillId="52" borderId="131" xfId="6" applyNumberFormat="1" applyFont="1" applyFill="1" applyBorder="1" applyAlignment="1" applyProtection="1">
      <alignment horizontal="left"/>
    </xf>
    <xf numFmtId="166" fontId="131" fillId="41" borderId="1" xfId="7" applyNumberFormat="1" applyFont="1" applyFill="1" applyBorder="1" applyAlignment="1" applyProtection="1">
      <alignment horizontal="right"/>
    </xf>
    <xf numFmtId="166" fontId="131" fillId="52" borderId="1" xfId="0" applyNumberFormat="1" applyFont="1" applyFill="1" applyBorder="1" applyAlignment="1" applyProtection="1">
      <alignment horizontal="right"/>
    </xf>
    <xf numFmtId="166" fontId="131" fillId="52" borderId="1" xfId="6" applyNumberFormat="1" applyFont="1" applyFill="1" applyBorder="1" applyAlignment="1" applyProtection="1">
      <alignment horizontal="right"/>
    </xf>
    <xf numFmtId="166" fontId="131" fillId="41" borderId="126" xfId="6" applyNumberFormat="1" applyFont="1" applyFill="1" applyBorder="1" applyAlignment="1" applyProtection="1">
      <alignment horizontal="right"/>
    </xf>
    <xf numFmtId="166" fontId="131" fillId="0" borderId="115" xfId="5" applyNumberFormat="1" applyFont="1" applyFill="1" applyBorder="1" applyAlignment="1" applyProtection="1">
      <alignment horizontal="right"/>
    </xf>
    <xf numFmtId="166" fontId="131" fillId="52" borderId="114" xfId="7" applyNumberFormat="1" applyFont="1" applyFill="1" applyBorder="1" applyAlignment="1" applyProtection="1">
      <alignment horizontal="left"/>
    </xf>
    <xf numFmtId="166" fontId="131" fillId="52" borderId="114" xfId="7" applyNumberFormat="1" applyFont="1" applyFill="1" applyBorder="1" applyAlignment="1" applyProtection="1">
      <alignment horizontal="right"/>
    </xf>
    <xf numFmtId="166" fontId="74" fillId="41" borderId="122" xfId="5" applyNumberFormat="1" applyFont="1" applyFill="1" applyBorder="1" applyAlignment="1" applyProtection="1">
      <alignment horizontal="right"/>
    </xf>
    <xf numFmtId="166" fontId="74" fillId="15" borderId="1" xfId="5" applyNumberFormat="1" applyFont="1" applyFill="1" applyBorder="1" applyAlignment="1" applyProtection="1">
      <alignment horizontal="right"/>
    </xf>
    <xf numFmtId="166" fontId="1" fillId="59" borderId="2" xfId="0" applyNumberFormat="1" applyFont="1" applyFill="1" applyBorder="1" applyAlignment="1">
      <alignment horizontal="left" vertical="center"/>
    </xf>
    <xf numFmtId="166" fontId="1" fillId="59" borderId="3" xfId="0" applyNumberFormat="1" applyFont="1" applyFill="1" applyBorder="1" applyAlignment="1">
      <alignment horizontal="left"/>
    </xf>
    <xf numFmtId="2" fontId="1" fillId="59" borderId="3" xfId="0" applyNumberFormat="1" applyFont="1" applyFill="1" applyBorder="1" applyAlignment="1">
      <alignment horizontal="left"/>
    </xf>
    <xf numFmtId="166" fontId="1" fillId="59" borderId="4" xfId="0" applyNumberFormat="1" applyFont="1" applyFill="1" applyBorder="1" applyAlignment="1">
      <alignment horizontal="left"/>
    </xf>
    <xf numFmtId="2" fontId="1" fillId="7" borderId="9" xfId="0" applyNumberFormat="1" applyFont="1" applyFill="1" applyBorder="1" applyAlignment="1">
      <alignment horizontal="center" vertical="center"/>
    </xf>
    <xf numFmtId="166" fontId="1" fillId="7" borderId="9" xfId="0" applyNumberFormat="1" applyFont="1" applyFill="1" applyBorder="1" applyAlignment="1">
      <alignment horizontal="center" vertical="center"/>
    </xf>
    <xf numFmtId="0" fontId="0" fillId="52" borderId="1" xfId="0" applyFont="1" applyFill="1" applyBorder="1" applyAlignment="1">
      <alignment horizontal="left" vertical="center"/>
    </xf>
    <xf numFmtId="166" fontId="0" fillId="41" borderId="137" xfId="0" applyNumberFormat="1" applyFill="1" applyBorder="1" applyAlignment="1" applyProtection="1">
      <alignment horizontal="right"/>
    </xf>
    <xf numFmtId="166" fontId="2" fillId="0" borderId="0" xfId="0" applyNumberFormat="1" applyFont="1" applyFill="1" applyBorder="1" applyAlignment="1">
      <alignment horizontal="left"/>
    </xf>
    <xf numFmtId="2" fontId="2" fillId="0" borderId="0" xfId="0" applyNumberFormat="1" applyFont="1" applyFill="1" applyBorder="1" applyAlignment="1">
      <alignment horizontal="left"/>
    </xf>
    <xf numFmtId="169" fontId="0" fillId="15" borderId="9" xfId="0" applyNumberFormat="1" applyFont="1" applyFill="1" applyBorder="1" applyAlignment="1"/>
    <xf numFmtId="169" fontId="0" fillId="41" borderId="1" xfId="0" applyNumberFormat="1" applyFill="1" applyBorder="1"/>
    <xf numFmtId="170" fontId="135" fillId="17" borderId="1" xfId="0" applyNumberFormat="1" applyFont="1" applyFill="1" applyBorder="1" applyAlignment="1"/>
    <xf numFmtId="171" fontId="132" fillId="15" borderId="1" xfId="0" applyNumberFormat="1" applyFont="1" applyFill="1" applyBorder="1" applyAlignment="1"/>
    <xf numFmtId="166" fontId="132" fillId="15" borderId="12" xfId="0" applyNumberFormat="1" applyFont="1" applyFill="1" applyBorder="1" applyAlignment="1"/>
    <xf numFmtId="0" fontId="0" fillId="0" borderId="0" xfId="0" applyAlignment="1">
      <alignment horizontal="center" vertical="center"/>
    </xf>
    <xf numFmtId="166" fontId="131" fillId="0" borderId="114" xfId="0" applyNumberFormat="1" applyFont="1" applyFill="1" applyBorder="1" applyAlignment="1" applyProtection="1">
      <alignment horizontal="left"/>
    </xf>
    <xf numFmtId="166" fontId="131" fillId="0" borderId="114" xfId="0" applyNumberFormat="1" applyFont="1" applyFill="1" applyBorder="1" applyAlignment="1" applyProtection="1">
      <alignment horizontal="right"/>
    </xf>
    <xf numFmtId="166" fontId="131" fillId="42" borderId="19" xfId="5" applyNumberFormat="1" applyFont="1" applyFill="1" applyBorder="1" applyAlignment="1" applyProtection="1">
      <alignment horizontal="center" vertical="center"/>
    </xf>
    <xf numFmtId="166" fontId="131" fillId="42" borderId="134" xfId="0" applyNumberFormat="1" applyFont="1" applyFill="1" applyBorder="1" applyAlignment="1" applyProtection="1">
      <alignment horizontal="center" vertical="center"/>
    </xf>
    <xf numFmtId="166" fontId="131" fillId="15" borderId="9" xfId="6" applyNumberFormat="1" applyFont="1" applyFill="1" applyBorder="1" applyAlignment="1" applyProtection="1">
      <alignment horizontal="center" vertical="center"/>
    </xf>
    <xf numFmtId="166" fontId="0" fillId="42" borderId="114" xfId="0" applyNumberFormat="1" applyFill="1" applyBorder="1" applyAlignment="1" applyProtection="1">
      <alignment horizontal="center" vertical="center"/>
    </xf>
    <xf numFmtId="166" fontId="0" fillId="41" borderId="114" xfId="0" applyNumberFormat="1" applyFill="1" applyBorder="1" applyAlignment="1" applyProtection="1">
      <alignment horizontal="center" vertical="center"/>
    </xf>
    <xf numFmtId="166" fontId="131" fillId="15" borderId="118" xfId="6" applyNumberFormat="1" applyFont="1" applyFill="1" applyBorder="1" applyAlignment="1" applyProtection="1">
      <alignment horizontal="center" vertical="center"/>
    </xf>
    <xf numFmtId="166" fontId="131" fillId="15" borderId="118" xfId="0" applyNumberFormat="1" applyFont="1" applyFill="1" applyBorder="1" applyAlignment="1" applyProtection="1">
      <alignment horizontal="center" vertical="center"/>
    </xf>
    <xf numFmtId="166" fontId="74" fillId="42" borderId="1" xfId="5" applyNumberFormat="1" applyFont="1" applyFill="1" applyBorder="1" applyAlignment="1" applyProtection="1">
      <alignment horizontal="center" vertical="center"/>
    </xf>
    <xf numFmtId="166" fontId="74" fillId="41" borderId="1" xfId="5" applyNumberFormat="1" applyFont="1" applyFill="1" applyBorder="1" applyAlignment="1" applyProtection="1">
      <alignment horizontal="center" vertical="center"/>
    </xf>
    <xf numFmtId="0" fontId="0" fillId="41" borderId="1" xfId="0" applyFill="1" applyBorder="1" applyAlignment="1">
      <alignment horizontal="center" vertical="center"/>
    </xf>
    <xf numFmtId="166" fontId="131" fillId="41" borderId="114" xfId="0" applyNumberFormat="1" applyFont="1" applyFill="1" applyBorder="1" applyAlignment="1" applyProtection="1">
      <alignment horizontal="center" vertical="center"/>
    </xf>
    <xf numFmtId="170" fontId="0" fillId="27" borderId="9" xfId="0" applyNumberFormat="1" applyFont="1" applyFill="1" applyBorder="1" applyAlignment="1"/>
    <xf numFmtId="179" fontId="0" fillId="15" borderId="9" xfId="0" applyNumberFormat="1" applyFont="1" applyFill="1" applyBorder="1" applyAlignment="1"/>
    <xf numFmtId="179" fontId="84" fillId="15" borderId="9" xfId="0" applyNumberFormat="1" applyFont="1" applyFill="1" applyBorder="1" applyAlignment="1">
      <alignment horizontal="right"/>
    </xf>
    <xf numFmtId="171" fontId="131" fillId="42" borderId="1" xfId="5" applyNumberFormat="1" applyFont="1" applyFill="1" applyBorder="1" applyAlignment="1" applyProtection="1">
      <alignment horizontal="right"/>
    </xf>
    <xf numFmtId="171" fontId="131" fillId="41" borderId="1" xfId="5" applyNumberFormat="1" applyFont="1" applyFill="1" applyBorder="1" applyAlignment="1" applyProtection="1">
      <alignment horizontal="right"/>
    </xf>
    <xf numFmtId="0" fontId="31" fillId="0" borderId="0" xfId="0" applyFont="1"/>
    <xf numFmtId="0" fontId="148" fillId="0" borderId="0" xfId="8"/>
    <xf numFmtId="2" fontId="149" fillId="0" borderId="0" xfId="0" applyNumberFormat="1" applyFont="1"/>
    <xf numFmtId="2" fontId="149" fillId="0" borderId="0" xfId="0" applyNumberFormat="1" applyFont="1" applyAlignment="1">
      <alignment horizontal="center"/>
    </xf>
    <xf numFmtId="2" fontId="150" fillId="0" borderId="0" xfId="0" applyNumberFormat="1" applyFont="1"/>
    <xf numFmtId="2" fontId="31" fillId="0" borderId="0" xfId="0" applyNumberFormat="1" applyFont="1" applyAlignment="1">
      <alignment horizontal="center"/>
    </xf>
    <xf numFmtId="4" fontId="31" fillId="0" borderId="0" xfId="0" applyNumberFormat="1" applyFont="1" applyAlignment="1">
      <alignment horizontal="center"/>
    </xf>
    <xf numFmtId="2" fontId="149" fillId="0" borderId="0" xfId="0" applyNumberFormat="1" applyFont="1" applyBorder="1"/>
    <xf numFmtId="2" fontId="151" fillId="0" borderId="0" xfId="0" applyNumberFormat="1" applyFont="1" applyBorder="1"/>
    <xf numFmtId="0" fontId="152" fillId="0" borderId="0" xfId="0" applyFont="1" applyBorder="1"/>
    <xf numFmtId="2" fontId="31" fillId="0" borderId="0" xfId="0" applyNumberFormat="1" applyFont="1" applyBorder="1" applyAlignment="1">
      <alignment horizontal="center"/>
    </xf>
    <xf numFmtId="2" fontId="31" fillId="0" borderId="0" xfId="0" applyNumberFormat="1" applyFont="1"/>
    <xf numFmtId="0" fontId="62" fillId="0" borderId="139" xfId="0" applyFont="1" applyFill="1" applyBorder="1" applyAlignment="1" applyProtection="1">
      <alignment horizontal="center" vertical="center"/>
    </xf>
    <xf numFmtId="0" fontId="62" fillId="0" borderId="140" xfId="0" applyFont="1" applyFill="1" applyBorder="1" applyAlignment="1" applyProtection="1">
      <alignment horizontal="center" vertical="center"/>
    </xf>
    <xf numFmtId="0" fontId="62" fillId="0" borderId="115" xfId="0" applyFont="1" applyFill="1" applyBorder="1" applyAlignment="1" applyProtection="1">
      <alignment horizontal="center" vertical="center"/>
    </xf>
    <xf numFmtId="166" fontId="0" fillId="0" borderId="114" xfId="0" applyNumberFormat="1" applyFill="1" applyBorder="1" applyAlignment="1" applyProtection="1">
      <alignment horizontal="left"/>
    </xf>
    <xf numFmtId="166" fontId="0" fillId="0" borderId="114" xfId="0" applyNumberFormat="1" applyFill="1" applyBorder="1" applyAlignment="1" applyProtection="1">
      <alignment horizontal="right"/>
    </xf>
    <xf numFmtId="0" fontId="0" fillId="0" borderId="0" xfId="0" applyFill="1" applyAlignment="1" applyProtection="1">
      <alignment horizontal="left"/>
    </xf>
    <xf numFmtId="4" fontId="0" fillId="0" borderId="115" xfId="0" applyNumberFormat="1" applyFill="1" applyBorder="1" applyAlignment="1" applyProtection="1">
      <alignment horizontal="right"/>
    </xf>
    <xf numFmtId="166" fontId="0" fillId="33" borderId="114" xfId="0" applyNumberFormat="1" applyFill="1" applyBorder="1" applyAlignment="1" applyProtection="1">
      <alignment horizontal="left"/>
    </xf>
    <xf numFmtId="166" fontId="0" fillId="33" borderId="114" xfId="0" applyNumberFormat="1" applyFill="1" applyBorder="1" applyAlignment="1" applyProtection="1">
      <alignment horizontal="right"/>
    </xf>
    <xf numFmtId="177" fontId="0" fillId="33" borderId="114" xfId="0" applyNumberFormat="1" applyFill="1" applyBorder="1" applyAlignment="1" applyProtection="1">
      <alignment horizontal="right"/>
    </xf>
    <xf numFmtId="0" fontId="31" fillId="0" borderId="0" xfId="0" applyFont="1" applyAlignment="1">
      <alignment horizontal="center"/>
    </xf>
    <xf numFmtId="0" fontId="57" fillId="0" borderId="0" xfId="0" applyFont="1"/>
    <xf numFmtId="0" fontId="62" fillId="0" borderId="0" xfId="0" applyFont="1" applyFill="1" applyBorder="1" applyAlignment="1" applyProtection="1">
      <alignment horizontal="left" vertical="center"/>
    </xf>
    <xf numFmtId="9" fontId="62" fillId="0" borderId="0" xfId="0" applyNumberFormat="1" applyFont="1" applyFill="1" applyBorder="1" applyAlignment="1" applyProtection="1">
      <alignment horizontal="right" vertical="center"/>
    </xf>
    <xf numFmtId="0" fontId="31" fillId="0" borderId="0" xfId="0" applyFont="1" applyBorder="1"/>
    <xf numFmtId="0" fontId="131" fillId="0" borderId="0" xfId="5" applyFont="1" applyFill="1" applyAlignment="1" applyProtection="1">
      <alignment horizontal="left"/>
    </xf>
    <xf numFmtId="0" fontId="131" fillId="0" borderId="0" xfId="5" applyFont="1" applyFill="1" applyAlignment="1" applyProtection="1">
      <alignment horizontal="center"/>
    </xf>
    <xf numFmtId="0" fontId="131" fillId="0" borderId="0" xfId="0" applyFont="1" applyFill="1" applyAlignment="1" applyProtection="1">
      <alignment horizontal="left"/>
    </xf>
    <xf numFmtId="0" fontId="131" fillId="0" borderId="0" xfId="0" applyFont="1" applyFill="1" applyAlignment="1" applyProtection="1">
      <alignment horizontal="center"/>
    </xf>
    <xf numFmtId="4" fontId="153" fillId="0" borderId="0" xfId="0" applyNumberFormat="1" applyFont="1" applyFill="1" applyBorder="1" applyAlignment="1" applyProtection="1">
      <alignment horizontal="right" vertical="center"/>
    </xf>
    <xf numFmtId="4" fontId="31" fillId="0" borderId="0" xfId="0" applyNumberFormat="1" applyFont="1"/>
    <xf numFmtId="166" fontId="74" fillId="41" borderId="9" xfId="5" applyNumberFormat="1" applyFont="1" applyFill="1" applyBorder="1" applyAlignment="1" applyProtection="1">
      <alignment horizontal="left"/>
    </xf>
    <xf numFmtId="166" fontId="74" fillId="15" borderId="9" xfId="5" applyNumberFormat="1" applyFont="1" applyFill="1" applyBorder="1" applyAlignment="1" applyProtection="1">
      <alignment horizontal="left"/>
    </xf>
    <xf numFmtId="166" fontId="74" fillId="42" borderId="9" xfId="5" applyNumberFormat="1" applyFont="1" applyFill="1" applyBorder="1" applyAlignment="1" applyProtection="1">
      <alignment horizontal="left"/>
    </xf>
    <xf numFmtId="166" fontId="74" fillId="42" borderId="9" xfId="5" applyNumberFormat="1" applyFont="1" applyFill="1" applyBorder="1" applyAlignment="1" applyProtection="1">
      <alignment horizontal="right"/>
    </xf>
    <xf numFmtId="166" fontId="1" fillId="15" borderId="2" xfId="0" applyNumberFormat="1" applyFont="1" applyFill="1" applyBorder="1"/>
    <xf numFmtId="0" fontId="31" fillId="15" borderId="1" xfId="0" applyFont="1" applyFill="1" applyBorder="1"/>
    <xf numFmtId="166" fontId="31" fillId="0" borderId="114" xfId="0" applyNumberFormat="1" applyFont="1" applyFill="1" applyBorder="1" applyAlignment="1" applyProtection="1">
      <alignment horizontal="left"/>
    </xf>
    <xf numFmtId="0" fontId="3" fillId="0" borderId="19" xfId="0" applyFont="1" applyBorder="1"/>
    <xf numFmtId="2" fontId="3" fillId="0" borderId="84" xfId="0" applyNumberFormat="1" applyFont="1" applyBorder="1" applyAlignment="1">
      <alignment horizontal="right"/>
    </xf>
    <xf numFmtId="2" fontId="12" fillId="0" borderId="84" xfId="0" applyNumberFormat="1" applyFont="1" applyBorder="1" applyAlignment="1">
      <alignment horizontal="right"/>
    </xf>
    <xf numFmtId="0" fontId="13" fillId="20" borderId="19" xfId="0" applyFont="1" applyFill="1" applyBorder="1" applyAlignment="1">
      <alignment horizontal="left" vertical="center"/>
    </xf>
    <xf numFmtId="0" fontId="3" fillId="0" borderId="2" xfId="0" applyFont="1" applyFill="1" applyBorder="1" applyAlignment="1">
      <alignment vertical="center"/>
    </xf>
    <xf numFmtId="0" fontId="3" fillId="0" borderId="9" xfId="0" applyFont="1" applyFill="1" applyBorder="1" applyAlignment="1">
      <alignment vertical="center"/>
    </xf>
    <xf numFmtId="0" fontId="3" fillId="0" borderId="46" xfId="0" applyFont="1" applyFill="1" applyBorder="1" applyAlignment="1">
      <alignment vertical="center"/>
    </xf>
    <xf numFmtId="0" fontId="139" fillId="0" borderId="0" xfId="0" applyFont="1" applyFill="1" applyBorder="1" applyAlignment="1">
      <alignment horizontal="center" vertical="center"/>
    </xf>
    <xf numFmtId="0" fontId="124" fillId="27" borderId="4" xfId="0" applyFont="1" applyFill="1" applyBorder="1" applyAlignment="1">
      <alignment horizontal="center" vertical="center"/>
    </xf>
    <xf numFmtId="0" fontId="124" fillId="27" borderId="19" xfId="0" applyFont="1" applyFill="1" applyBorder="1" applyAlignment="1">
      <alignment horizontal="center" vertical="center"/>
    </xf>
    <xf numFmtId="0" fontId="6" fillId="0" borderId="0" xfId="0" applyFont="1" applyFill="1" applyBorder="1" applyAlignment="1">
      <alignment horizontal="center" vertical="center"/>
    </xf>
    <xf numFmtId="2" fontId="4" fillId="0" borderId="0" xfId="0" applyNumberFormat="1" applyFont="1" applyBorder="1" applyAlignment="1">
      <alignment horizontal="center" vertical="center"/>
    </xf>
    <xf numFmtId="0" fontId="39" fillId="20" borderId="19" xfId="0" applyFont="1" applyFill="1" applyBorder="1" applyAlignment="1">
      <alignment horizontal="left" vertical="center"/>
    </xf>
    <xf numFmtId="3" fontId="26" fillId="0" borderId="1" xfId="0" applyNumberFormat="1" applyFont="1" applyFill="1" applyBorder="1"/>
    <xf numFmtId="0" fontId="84" fillId="11" borderId="19" xfId="0" applyFont="1" applyFill="1" applyBorder="1" applyAlignment="1">
      <alignment horizontal="center" vertical="center" wrapText="1"/>
    </xf>
    <xf numFmtId="0" fontId="84" fillId="32" borderId="19" xfId="0" applyFont="1" applyFill="1" applyBorder="1" applyAlignment="1">
      <alignment horizontal="center" vertical="center" wrapText="1"/>
    </xf>
    <xf numFmtId="0" fontId="84" fillId="10" borderId="19" xfId="0" applyFont="1" applyFill="1" applyBorder="1" applyAlignment="1">
      <alignment horizontal="center" vertical="center" wrapText="1"/>
    </xf>
    <xf numFmtId="0" fontId="84" fillId="72" borderId="19" xfId="0" applyFont="1" applyFill="1" applyBorder="1" applyAlignment="1">
      <alignment horizontal="center" vertical="center" wrapText="1"/>
    </xf>
    <xf numFmtId="0" fontId="84" fillId="11" borderId="54" xfId="0" applyFont="1" applyFill="1" applyBorder="1" applyAlignment="1">
      <alignment horizontal="center" vertical="center" wrapText="1"/>
    </xf>
    <xf numFmtId="0" fontId="84" fillId="32" borderId="54" xfId="0" applyFont="1" applyFill="1" applyBorder="1" applyAlignment="1">
      <alignment horizontal="center" vertical="center" wrapText="1"/>
    </xf>
    <xf numFmtId="0" fontId="84" fillId="10" borderId="54" xfId="0" applyFont="1" applyFill="1" applyBorder="1" applyAlignment="1">
      <alignment horizontal="center" vertical="center" wrapText="1"/>
    </xf>
    <xf numFmtId="0" fontId="84" fillId="72" borderId="54" xfId="0" applyFont="1" applyFill="1" applyBorder="1" applyAlignment="1">
      <alignment horizontal="center" vertical="center" wrapText="1"/>
    </xf>
    <xf numFmtId="0" fontId="84" fillId="11" borderId="9" xfId="0" applyFont="1" applyFill="1" applyBorder="1" applyAlignment="1">
      <alignment horizontal="center" vertical="center" wrapText="1"/>
    </xf>
    <xf numFmtId="0" fontId="84" fillId="32" borderId="9" xfId="0" applyFont="1" applyFill="1" applyBorder="1" applyAlignment="1">
      <alignment horizontal="center" vertical="center" wrapText="1"/>
    </xf>
    <xf numFmtId="0" fontId="84" fillId="10" borderId="9" xfId="0" applyFont="1" applyFill="1" applyBorder="1" applyAlignment="1">
      <alignment horizontal="center" vertical="center" wrapText="1"/>
    </xf>
    <xf numFmtId="0" fontId="84" fillId="72" borderId="9" xfId="0" applyFont="1" applyFill="1" applyBorder="1" applyAlignment="1">
      <alignment horizontal="center" vertical="center" wrapText="1"/>
    </xf>
    <xf numFmtId="11" fontId="0" fillId="7" borderId="149" xfId="0" applyNumberFormat="1" applyFill="1" applyBorder="1"/>
    <xf numFmtId="11" fontId="0" fillId="7" borderId="150" xfId="0" applyNumberFormat="1" applyFill="1" applyBorder="1"/>
    <xf numFmtId="11" fontId="0" fillId="27" borderId="150" xfId="0" applyNumberFormat="1" applyFill="1" applyBorder="1"/>
    <xf numFmtId="11" fontId="0" fillId="27" borderId="151" xfId="0" applyNumberFormat="1" applyFill="1" applyBorder="1"/>
    <xf numFmtId="11" fontId="0" fillId="7" borderId="151" xfId="0" applyNumberFormat="1" applyFill="1" applyBorder="1"/>
    <xf numFmtId="171" fontId="84" fillId="50" borderId="1" xfId="0" applyNumberFormat="1" applyFont="1" applyFill="1" applyBorder="1"/>
    <xf numFmtId="2" fontId="131" fillId="41" borderId="1" xfId="5" applyNumberFormat="1" applyFont="1" applyFill="1" applyBorder="1" applyAlignment="1" applyProtection="1">
      <alignment horizontal="right"/>
    </xf>
    <xf numFmtId="166" fontId="138" fillId="15" borderId="2" xfId="6" applyNumberFormat="1" applyFont="1" applyFill="1" applyBorder="1" applyAlignment="1" applyProtection="1">
      <alignment horizontal="left"/>
    </xf>
    <xf numFmtId="166" fontId="131" fillId="52" borderId="118" xfId="6" applyNumberFormat="1" applyFont="1" applyFill="1" applyBorder="1" applyAlignment="1" applyProtection="1">
      <alignment horizontal="right"/>
    </xf>
    <xf numFmtId="166" fontId="131" fillId="52" borderId="12" xfId="6" applyNumberFormat="1" applyFont="1" applyFill="1" applyBorder="1" applyAlignment="1" applyProtection="1">
      <alignment horizontal="left"/>
    </xf>
    <xf numFmtId="166" fontId="0" fillId="42" borderId="114" xfId="0" applyNumberFormat="1" applyFill="1" applyBorder="1" applyAlignment="1" applyProtection="1">
      <alignment horizontal="right"/>
    </xf>
    <xf numFmtId="166" fontId="0" fillId="41" borderId="114" xfId="0" applyNumberFormat="1" applyFill="1" applyBorder="1" applyAlignment="1" applyProtection="1">
      <alignment horizontal="right"/>
    </xf>
    <xf numFmtId="166" fontId="74" fillId="41" borderId="4" xfId="5" applyNumberFormat="1" applyFont="1" applyFill="1" applyBorder="1" applyAlignment="1" applyProtection="1">
      <alignment horizontal="right"/>
    </xf>
    <xf numFmtId="0" fontId="27" fillId="17" borderId="38" xfId="0" applyFont="1" applyFill="1" applyBorder="1" applyAlignment="1">
      <alignment horizontal="center" vertical="center"/>
    </xf>
    <xf numFmtId="2" fontId="3" fillId="7" borderId="2" xfId="0" applyNumberFormat="1" applyFont="1" applyFill="1" applyBorder="1" applyAlignment="1">
      <alignment horizontal="center" vertical="center"/>
    </xf>
    <xf numFmtId="2" fontId="3" fillId="7" borderId="4" xfId="0" applyNumberFormat="1" applyFont="1" applyFill="1" applyBorder="1" applyAlignment="1">
      <alignment horizontal="center" vertical="center"/>
    </xf>
    <xf numFmtId="0" fontId="0" fillId="0" borderId="0" xfId="0" applyFill="1" applyBorder="1" applyAlignment="1">
      <alignment horizontal="right" vertical="center"/>
    </xf>
    <xf numFmtId="2" fontId="86" fillId="21" borderId="9" xfId="0" applyNumberFormat="1" applyFont="1" applyFill="1" applyBorder="1" applyAlignment="1">
      <alignment horizontal="center" vertical="center"/>
    </xf>
    <xf numFmtId="0" fontId="0" fillId="0" borderId="84" xfId="0" applyFill="1" applyBorder="1"/>
    <xf numFmtId="166" fontId="131" fillId="52" borderId="0" xfId="6" applyNumberFormat="1" applyFont="1" applyFill="1" applyBorder="1" applyAlignment="1" applyProtection="1">
      <alignment horizontal="left"/>
    </xf>
    <xf numFmtId="166" fontId="131" fillId="52" borderId="0" xfId="6" applyNumberFormat="1" applyFont="1" applyFill="1" applyBorder="1" applyAlignment="1" applyProtection="1">
      <alignment horizontal="right"/>
    </xf>
    <xf numFmtId="2" fontId="132" fillId="21" borderId="48" xfId="0" applyNumberFormat="1" applyFont="1" applyFill="1" applyBorder="1" applyAlignment="1"/>
    <xf numFmtId="171" fontId="0" fillId="15" borderId="9" xfId="0" applyNumberFormat="1" applyFont="1" applyFill="1" applyBorder="1" applyAlignment="1"/>
    <xf numFmtId="2" fontId="0" fillId="15" borderId="9" xfId="0" applyNumberFormat="1" applyFill="1" applyBorder="1"/>
    <xf numFmtId="166" fontId="131" fillId="52" borderId="136" xfId="6" applyNumberFormat="1" applyFont="1" applyFill="1" applyBorder="1" applyAlignment="1" applyProtection="1">
      <alignment horizontal="left"/>
    </xf>
    <xf numFmtId="166" fontId="131" fillId="52" borderId="152" xfId="6" applyNumberFormat="1" applyFont="1" applyFill="1" applyBorder="1" applyAlignment="1" applyProtection="1">
      <alignment horizontal="right"/>
    </xf>
    <xf numFmtId="177" fontId="131" fillId="0" borderId="114" xfId="7" applyNumberFormat="1" applyFont="1" applyFill="1" applyBorder="1" applyAlignment="1" applyProtection="1">
      <alignment horizontal="right"/>
    </xf>
    <xf numFmtId="166" fontId="131" fillId="42" borderId="114" xfId="7" applyNumberFormat="1" applyFont="1" applyFill="1" applyBorder="1" applyAlignment="1" applyProtection="1">
      <alignment horizontal="right"/>
    </xf>
    <xf numFmtId="166" fontId="131" fillId="0" borderId="51" xfId="6" applyNumberFormat="1" applyFont="1" applyFill="1" applyBorder="1" applyAlignment="1" applyProtection="1">
      <alignment horizontal="left"/>
    </xf>
    <xf numFmtId="166" fontId="131" fillId="0" borderId="51" xfId="6" applyNumberFormat="1" applyFont="1" applyFill="1" applyBorder="1" applyAlignment="1" applyProtection="1">
      <alignment horizontal="right"/>
    </xf>
    <xf numFmtId="2" fontId="0" fillId="0" borderId="51" xfId="0" applyNumberFormat="1" applyFill="1" applyBorder="1" applyAlignment="1"/>
    <xf numFmtId="2" fontId="0" fillId="0" borderId="3" xfId="0" applyNumberFormat="1" applyFill="1" applyBorder="1" applyAlignment="1"/>
    <xf numFmtId="166" fontId="0" fillId="0" borderId="51" xfId="0" applyNumberFormat="1" applyFont="1" applyFill="1" applyBorder="1" applyAlignment="1"/>
    <xf numFmtId="2" fontId="84" fillId="0" borderId="51" xfId="0" applyNumberFormat="1" applyFont="1" applyFill="1" applyBorder="1" applyAlignment="1">
      <alignment horizontal="right"/>
    </xf>
    <xf numFmtId="2" fontId="132" fillId="0" borderId="3" xfId="0" applyNumberFormat="1" applyFont="1" applyFill="1" applyBorder="1" applyAlignment="1"/>
    <xf numFmtId="2" fontId="132" fillId="0" borderId="51" xfId="0" applyNumberFormat="1" applyFont="1" applyFill="1" applyBorder="1" applyAlignment="1"/>
    <xf numFmtId="2" fontId="0" fillId="52" borderId="9" xfId="0" applyNumberFormat="1" applyFill="1" applyBorder="1"/>
    <xf numFmtId="166" fontId="0" fillId="52" borderId="12" xfId="0" applyNumberFormat="1" applyFill="1" applyBorder="1" applyAlignment="1"/>
    <xf numFmtId="166" fontId="0" fillId="52" borderId="9" xfId="0" applyNumberFormat="1" applyFill="1" applyBorder="1" applyAlignment="1"/>
    <xf numFmtId="2" fontId="135" fillId="17" borderId="2" xfId="0" applyNumberFormat="1" applyFont="1" applyFill="1" applyBorder="1" applyAlignment="1"/>
    <xf numFmtId="0" fontId="31" fillId="0" borderId="54" xfId="0" applyFont="1" applyFill="1" applyBorder="1"/>
    <xf numFmtId="2" fontId="132" fillId="21" borderId="0" xfId="0" applyNumberFormat="1" applyFont="1" applyFill="1" applyBorder="1" applyAlignment="1"/>
    <xf numFmtId="2" fontId="132" fillId="35" borderId="0" xfId="0" applyNumberFormat="1" applyFont="1" applyFill="1" applyBorder="1" applyAlignment="1"/>
    <xf numFmtId="166" fontId="0" fillId="42" borderId="114" xfId="0" applyNumberFormat="1" applyFont="1" applyFill="1" applyBorder="1" applyAlignment="1" applyProtection="1">
      <alignment horizontal="left"/>
    </xf>
    <xf numFmtId="166" fontId="84" fillId="69" borderId="1" xfId="0" applyNumberFormat="1" applyFont="1" applyFill="1" applyBorder="1" applyAlignment="1">
      <alignment horizontal="center" vertical="center"/>
    </xf>
    <xf numFmtId="166" fontId="1" fillId="15" borderId="1" xfId="0" applyNumberFormat="1" applyFont="1" applyFill="1" applyBorder="1" applyAlignment="1">
      <alignment horizontal="center" vertical="center"/>
    </xf>
    <xf numFmtId="166" fontId="1" fillId="62" borderId="1" xfId="0" applyNumberFormat="1" applyFont="1" applyFill="1" applyBorder="1" applyAlignment="1">
      <alignment horizontal="center" vertical="center"/>
    </xf>
    <xf numFmtId="0" fontId="0" fillId="5" borderId="0" xfId="0" applyFill="1" applyBorder="1"/>
    <xf numFmtId="166" fontId="131" fillId="52" borderId="89" xfId="5" applyNumberFormat="1" applyFont="1" applyFill="1" applyBorder="1" applyAlignment="1" applyProtection="1">
      <alignment horizontal="left"/>
    </xf>
    <xf numFmtId="165" fontId="0" fillId="27" borderId="1" xfId="9" applyFont="1" applyFill="1" applyBorder="1" applyAlignment="1"/>
    <xf numFmtId="180" fontId="0" fillId="27" borderId="9" xfId="9" applyNumberFormat="1" applyFont="1" applyFill="1" applyBorder="1" applyAlignment="1"/>
    <xf numFmtId="0" fontId="0" fillId="5" borderId="0" xfId="0" applyFill="1"/>
    <xf numFmtId="0" fontId="154" fillId="21" borderId="46" xfId="0" applyFont="1" applyFill="1" applyBorder="1" applyAlignment="1">
      <alignment vertical="center"/>
    </xf>
    <xf numFmtId="0" fontId="154" fillId="21" borderId="1" xfId="0" applyFont="1" applyFill="1" applyBorder="1" applyAlignment="1">
      <alignment vertical="center"/>
    </xf>
    <xf numFmtId="0" fontId="3" fillId="0" borderId="50" xfId="0" applyFont="1" applyFill="1" applyBorder="1" applyAlignment="1">
      <alignment vertical="center"/>
    </xf>
    <xf numFmtId="0" fontId="124" fillId="0" borderId="1" xfId="0" applyFont="1" applyFill="1" applyBorder="1"/>
    <xf numFmtId="0" fontId="154" fillId="21" borderId="50" xfId="0" applyFont="1" applyFill="1" applyBorder="1" applyAlignment="1">
      <alignment vertical="center"/>
    </xf>
    <xf numFmtId="2" fontId="74" fillId="42" borderId="118" xfId="5" applyNumberFormat="1" applyFont="1" applyFill="1" applyBorder="1" applyAlignment="1" applyProtection="1">
      <alignment horizontal="right"/>
    </xf>
    <xf numFmtId="2" fontId="74" fillId="41" borderId="118" xfId="5" applyNumberFormat="1" applyFont="1" applyFill="1" applyBorder="1" applyAlignment="1" applyProtection="1">
      <alignment horizontal="right"/>
    </xf>
    <xf numFmtId="2" fontId="131" fillId="15" borderId="126" xfId="5" applyNumberFormat="1" applyFont="1" applyFill="1" applyBorder="1" applyAlignment="1" applyProtection="1">
      <alignment horizontal="right"/>
    </xf>
    <xf numFmtId="2" fontId="74" fillId="41" borderId="1" xfId="5" applyNumberFormat="1" applyFont="1" applyFill="1" applyBorder="1" applyAlignment="1" applyProtection="1">
      <alignment horizontal="right"/>
    </xf>
    <xf numFmtId="2" fontId="131" fillId="41" borderId="114" xfId="5" applyNumberFormat="1" applyFont="1" applyFill="1" applyBorder="1" applyAlignment="1" applyProtection="1">
      <alignment horizontal="right"/>
    </xf>
    <xf numFmtId="166" fontId="131" fillId="41" borderId="118" xfId="0" applyNumberFormat="1" applyFont="1" applyFill="1" applyBorder="1" applyAlignment="1" applyProtection="1">
      <alignment horizontal="left"/>
    </xf>
    <xf numFmtId="2" fontId="131" fillId="41" borderId="114" xfId="0" applyNumberFormat="1" applyFont="1" applyFill="1" applyBorder="1" applyAlignment="1" applyProtection="1">
      <alignment horizontal="right"/>
    </xf>
    <xf numFmtId="2" fontId="131" fillId="42" borderId="114" xfId="0" applyNumberFormat="1" applyFont="1" applyFill="1" applyBorder="1" applyAlignment="1" applyProtection="1">
      <alignment horizontal="right"/>
    </xf>
    <xf numFmtId="2" fontId="0" fillId="41" borderId="9" xfId="0" applyNumberFormat="1" applyFont="1" applyFill="1" applyBorder="1" applyAlignment="1"/>
    <xf numFmtId="2" fontId="0" fillId="15" borderId="9" xfId="0" applyNumberFormat="1" applyFont="1" applyFill="1" applyBorder="1" applyAlignment="1"/>
    <xf numFmtId="2" fontId="131" fillId="41" borderId="122" xfId="5" applyNumberFormat="1" applyFont="1" applyFill="1" applyBorder="1" applyAlignment="1" applyProtection="1">
      <alignment horizontal="right"/>
    </xf>
    <xf numFmtId="0" fontId="124" fillId="21" borderId="1" xfId="0" applyFont="1" applyFill="1" applyBorder="1"/>
    <xf numFmtId="0" fontId="124" fillId="21" borderId="9" xfId="0" applyFont="1" applyFill="1" applyBorder="1"/>
    <xf numFmtId="0" fontId="120" fillId="7" borderId="9" xfId="0" applyFont="1" applyFill="1" applyBorder="1" applyAlignment="1">
      <alignment horizontal="center" vertical="center"/>
    </xf>
    <xf numFmtId="0" fontId="120" fillId="7" borderId="9" xfId="0" applyFont="1" applyFill="1" applyBorder="1" applyAlignment="1">
      <alignment horizontal="center" vertical="center" wrapText="1"/>
    </xf>
    <xf numFmtId="2" fontId="120" fillId="7" borderId="46" xfId="0" applyNumberFormat="1" applyFont="1" applyFill="1" applyBorder="1" applyAlignment="1">
      <alignment horizontal="center" vertical="center" wrapText="1"/>
    </xf>
    <xf numFmtId="0" fontId="39" fillId="20" borderId="54" xfId="0" applyFont="1" applyFill="1" applyBorder="1" applyAlignment="1">
      <alignment horizontal="left" vertical="center"/>
    </xf>
    <xf numFmtId="2" fontId="115" fillId="11" borderId="1" xfId="0" applyNumberFormat="1" applyFont="1" applyFill="1" applyBorder="1" applyAlignment="1">
      <alignment horizontal="center" vertical="center"/>
    </xf>
    <xf numFmtId="2" fontId="115" fillId="32" borderId="1" xfId="0" applyNumberFormat="1" applyFont="1" applyFill="1" applyBorder="1" applyAlignment="1">
      <alignment horizontal="center" vertical="center" wrapText="1"/>
    </xf>
    <xf numFmtId="0" fontId="147" fillId="11" borderId="9" xfId="0" applyFont="1" applyFill="1" applyBorder="1" applyAlignment="1">
      <alignment horizontal="left"/>
    </xf>
    <xf numFmtId="2" fontId="121" fillId="32" borderId="1" xfId="0" applyNumberFormat="1" applyFont="1" applyFill="1" applyBorder="1" applyAlignment="1">
      <alignment horizontal="center"/>
    </xf>
    <xf numFmtId="2" fontId="40" fillId="0" borderId="0" xfId="0" applyNumberFormat="1" applyFont="1" applyBorder="1"/>
    <xf numFmtId="0" fontId="89" fillId="2" borderId="1" xfId="0" applyFont="1" applyFill="1" applyBorder="1" applyAlignment="1">
      <alignment vertical="center" wrapText="1"/>
    </xf>
    <xf numFmtId="166" fontId="33" fillId="39" borderId="1" xfId="0" applyNumberFormat="1" applyFont="1" applyFill="1" applyBorder="1" applyAlignment="1">
      <alignment vertical="center"/>
    </xf>
    <xf numFmtId="2" fontId="33" fillId="21" borderId="1" xfId="0" applyNumberFormat="1" applyFont="1" applyFill="1" applyBorder="1" applyAlignment="1">
      <alignment vertical="center"/>
    </xf>
    <xf numFmtId="0" fontId="89" fillId="0" borderId="0" xfId="0" applyFont="1" applyFill="1" applyBorder="1" applyAlignment="1">
      <alignment vertical="center" wrapText="1"/>
    </xf>
    <xf numFmtId="2" fontId="33" fillId="0" borderId="0" xfId="0" applyNumberFormat="1" applyFont="1" applyFill="1" applyBorder="1" applyAlignment="1">
      <alignment vertical="center"/>
    </xf>
    <xf numFmtId="166" fontId="32" fillId="0" borderId="0" xfId="0" applyNumberFormat="1" applyFont="1" applyFill="1" applyBorder="1" applyAlignment="1">
      <alignment vertical="center"/>
    </xf>
    <xf numFmtId="169" fontId="33" fillId="21" borderId="40" xfId="0" applyNumberFormat="1" applyFont="1" applyFill="1" applyBorder="1" applyAlignment="1">
      <alignment horizontal="center" vertical="center"/>
    </xf>
    <xf numFmtId="169" fontId="33" fillId="21" borderId="0" xfId="0" applyNumberFormat="1" applyFont="1" applyFill="1" applyBorder="1" applyAlignment="1">
      <alignment horizontal="center" vertical="center"/>
    </xf>
    <xf numFmtId="166" fontId="33" fillId="0" borderId="0" xfId="0" applyNumberFormat="1" applyFont="1" applyFill="1" applyBorder="1" applyAlignment="1">
      <alignment horizontal="center" vertical="center"/>
    </xf>
    <xf numFmtId="166" fontId="131" fillId="41" borderId="122" xfId="5" applyNumberFormat="1" applyFont="1" applyFill="1" applyBorder="1" applyAlignment="1" applyProtection="1">
      <alignment horizontal="right"/>
    </xf>
    <xf numFmtId="0" fontId="1" fillId="15" borderId="46" xfId="0" applyFont="1" applyFill="1" applyBorder="1"/>
    <xf numFmtId="166" fontId="131" fillId="0" borderId="48" xfId="5" applyNumberFormat="1" applyFont="1" applyFill="1" applyBorder="1" applyAlignment="1" applyProtection="1">
      <alignment horizontal="left"/>
    </xf>
    <xf numFmtId="166" fontId="131" fillId="42" borderId="134" xfId="0" applyNumberFormat="1" applyFont="1" applyFill="1" applyBorder="1" applyAlignment="1" applyProtection="1"/>
    <xf numFmtId="166" fontId="131" fillId="42" borderId="135" xfId="0" applyNumberFormat="1" applyFont="1" applyFill="1" applyBorder="1" applyAlignment="1" applyProtection="1"/>
    <xf numFmtId="166" fontId="131" fillId="42" borderId="152" xfId="0" applyNumberFormat="1" applyFont="1" applyFill="1" applyBorder="1" applyAlignment="1" applyProtection="1"/>
    <xf numFmtId="2" fontId="0" fillId="42" borderId="12" xfId="0" applyNumberFormat="1" applyFont="1" applyFill="1" applyBorder="1" applyAlignment="1">
      <alignment vertical="center"/>
    </xf>
    <xf numFmtId="166" fontId="131" fillId="42" borderId="122" xfId="0" applyNumberFormat="1" applyFont="1" applyFill="1" applyBorder="1" applyAlignment="1" applyProtection="1">
      <alignment horizontal="left"/>
    </xf>
    <xf numFmtId="166" fontId="0" fillId="0" borderId="9" xfId="0" applyNumberFormat="1" applyFill="1" applyBorder="1" applyAlignment="1"/>
    <xf numFmtId="0" fontId="89" fillId="0" borderId="6" xfId="0" applyFont="1" applyFill="1" applyBorder="1" applyAlignment="1">
      <alignment horizontal="center" vertical="center" wrapText="1"/>
    </xf>
    <xf numFmtId="166" fontId="33" fillId="0" borderId="6" xfId="0" applyNumberFormat="1" applyFont="1" applyFill="1" applyBorder="1" applyAlignment="1">
      <alignment horizontal="center" vertical="center"/>
    </xf>
    <xf numFmtId="0" fontId="33" fillId="42" borderId="1" xfId="0" applyFont="1" applyFill="1" applyBorder="1" applyAlignment="1">
      <alignment horizontal="center" vertical="center"/>
    </xf>
    <xf numFmtId="11" fontId="33" fillId="21" borderId="30" xfId="0" applyNumberFormat="1" applyFont="1" applyFill="1" applyBorder="1" applyAlignment="1">
      <alignment horizontal="center" vertical="center"/>
    </xf>
    <xf numFmtId="11" fontId="33" fillId="21" borderId="31" xfId="0" applyNumberFormat="1" applyFont="1" applyFill="1" applyBorder="1" applyAlignment="1">
      <alignment horizontal="center" vertical="center"/>
    </xf>
    <xf numFmtId="11" fontId="33" fillId="21" borderId="1" xfId="0" applyNumberFormat="1" applyFont="1" applyFill="1" applyBorder="1" applyAlignment="1">
      <alignment vertical="center"/>
    </xf>
    <xf numFmtId="11" fontId="33" fillId="39" borderId="1" xfId="0" applyNumberFormat="1" applyFont="1" applyFill="1" applyBorder="1" applyAlignment="1">
      <alignment vertical="center"/>
    </xf>
    <xf numFmtId="0" fontId="89" fillId="65" borderId="1" xfId="0" applyFont="1" applyFill="1" applyBorder="1" applyAlignment="1">
      <alignment horizontal="center" vertical="center" wrapText="1"/>
    </xf>
    <xf numFmtId="0" fontId="89" fillId="65" borderId="15" xfId="0" applyFont="1" applyFill="1" applyBorder="1" applyAlignment="1">
      <alignment horizontal="center" vertical="center" wrapText="1"/>
    </xf>
    <xf numFmtId="0" fontId="89" fillId="65" borderId="29" xfId="0" applyFont="1" applyFill="1" applyBorder="1" applyAlignment="1">
      <alignment horizontal="center" vertical="center" wrapText="1"/>
    </xf>
    <xf numFmtId="11" fontId="33" fillId="0" borderId="0" xfId="0" applyNumberFormat="1" applyFont="1" applyFill="1" applyBorder="1" applyAlignment="1">
      <alignment horizontal="center" vertical="center"/>
    </xf>
    <xf numFmtId="0" fontId="19" fillId="42" borderId="4" xfId="0" applyFont="1" applyFill="1" applyBorder="1"/>
    <xf numFmtId="166" fontId="74" fillId="41" borderId="122" xfId="5" applyNumberFormat="1" applyFont="1" applyFill="1" applyBorder="1" applyAlignment="1" applyProtection="1">
      <alignment horizontal="left"/>
    </xf>
    <xf numFmtId="0" fontId="0" fillId="5" borderId="50" xfId="0" applyFill="1" applyBorder="1"/>
    <xf numFmtId="0" fontId="0" fillId="5" borderId="54" xfId="0" applyFill="1" applyBorder="1"/>
    <xf numFmtId="166" fontId="131" fillId="5" borderId="54" xfId="5" applyNumberFormat="1" applyFont="1" applyFill="1" applyBorder="1" applyAlignment="1" applyProtection="1">
      <alignment horizontal="left"/>
    </xf>
    <xf numFmtId="166" fontId="74" fillId="42" borderId="122" xfId="5" applyNumberFormat="1" applyFont="1" applyFill="1" applyBorder="1" applyAlignment="1" applyProtection="1">
      <alignment horizontal="left"/>
    </xf>
    <xf numFmtId="166" fontId="74" fillId="42" borderId="122" xfId="5" applyNumberFormat="1" applyFont="1" applyFill="1" applyBorder="1" applyAlignment="1" applyProtection="1">
      <alignment horizontal="right"/>
    </xf>
    <xf numFmtId="166" fontId="74" fillId="41" borderId="4" xfId="5" applyNumberFormat="1" applyFont="1" applyFill="1" applyBorder="1" applyAlignment="1" applyProtection="1">
      <alignment horizontal="center" vertical="center"/>
    </xf>
    <xf numFmtId="166" fontId="131" fillId="41" borderId="118" xfId="0" applyNumberFormat="1" applyFont="1" applyFill="1" applyBorder="1" applyAlignment="1" applyProtection="1">
      <alignment horizontal="center" vertical="center"/>
    </xf>
    <xf numFmtId="0" fontId="123" fillId="0" borderId="0"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166" fontId="57" fillId="15" borderId="121" xfId="0" applyNumberFormat="1" applyFont="1" applyFill="1" applyBorder="1" applyAlignment="1" applyProtection="1">
      <alignment horizontal="left"/>
    </xf>
    <xf numFmtId="2" fontId="131" fillId="15" borderId="153" xfId="5" applyNumberFormat="1" applyFont="1" applyFill="1" applyBorder="1" applyAlignment="1" applyProtection="1">
      <alignment horizontal="right"/>
    </xf>
    <xf numFmtId="166" fontId="131" fillId="0" borderId="50" xfId="5" applyNumberFormat="1" applyFont="1" applyFill="1" applyBorder="1" applyAlignment="1" applyProtection="1">
      <alignment horizontal="left"/>
    </xf>
    <xf numFmtId="166" fontId="74" fillId="41" borderId="12" xfId="5" applyNumberFormat="1" applyFont="1" applyFill="1" applyBorder="1" applyAlignment="1" applyProtection="1">
      <alignment horizontal="left"/>
    </xf>
    <xf numFmtId="0" fontId="0" fillId="0" borderId="33" xfId="0" applyBorder="1"/>
    <xf numFmtId="0" fontId="21" fillId="0" borderId="19" xfId="2" applyFont="1" applyFill="1" applyBorder="1" applyAlignment="1">
      <alignment horizontal="right" wrapText="1"/>
    </xf>
    <xf numFmtId="0" fontId="0" fillId="0" borderId="27" xfId="0" applyBorder="1"/>
    <xf numFmtId="4" fontId="0" fillId="0" borderId="28" xfId="0" applyNumberFormat="1" applyBorder="1" applyAlignment="1">
      <alignment horizontal="center" vertical="center"/>
    </xf>
    <xf numFmtId="0" fontId="0" fillId="0" borderId="28" xfId="0" applyBorder="1" applyAlignment="1">
      <alignment horizontal="center" vertical="center"/>
    </xf>
    <xf numFmtId="2" fontId="0" fillId="0" borderId="28" xfId="0" applyNumberFormat="1" applyBorder="1" applyAlignment="1">
      <alignment horizontal="center" vertical="center"/>
    </xf>
    <xf numFmtId="4" fontId="15" fillId="14" borderId="96" xfId="0" applyNumberFormat="1" applyFont="1" applyFill="1" applyBorder="1"/>
    <xf numFmtId="0" fontId="17" fillId="0" borderId="24" xfId="2" applyFont="1" applyFill="1" applyBorder="1" applyAlignment="1">
      <alignment horizontal="right" wrapText="1"/>
    </xf>
    <xf numFmtId="0" fontId="17" fillId="0" borderId="15" xfId="2" applyFont="1" applyFill="1" applyBorder="1" applyAlignment="1">
      <alignment horizontal="right" wrapText="1"/>
    </xf>
    <xf numFmtId="4" fontId="0" fillId="0" borderId="30" xfId="0" applyNumberFormat="1" applyBorder="1" applyAlignment="1">
      <alignment horizontal="center" vertical="center"/>
    </xf>
    <xf numFmtId="0" fontId="0" fillId="0" borderId="30" xfId="0" applyBorder="1" applyAlignment="1">
      <alignment horizontal="center" vertical="center"/>
    </xf>
    <xf numFmtId="2" fontId="0" fillId="0" borderId="30" xfId="0" applyNumberFormat="1" applyBorder="1" applyAlignment="1">
      <alignment horizontal="center" vertical="center"/>
    </xf>
    <xf numFmtId="4" fontId="15" fillId="14" borderId="105" xfId="0" applyNumberFormat="1" applyFont="1" applyFill="1" applyBorder="1"/>
    <xf numFmtId="0" fontId="17" fillId="0" borderId="31" xfId="2" applyFont="1" applyFill="1" applyBorder="1" applyAlignment="1">
      <alignment horizontal="right" wrapText="1"/>
    </xf>
    <xf numFmtId="0" fontId="0" fillId="0" borderId="49" xfId="0" applyBorder="1"/>
    <xf numFmtId="4" fontId="0" fillId="0" borderId="54" xfId="0" applyNumberFormat="1" applyBorder="1" applyAlignment="1">
      <alignment horizontal="center" vertical="center"/>
    </xf>
    <xf numFmtId="2" fontId="0" fillId="0" borderId="54" xfId="0" applyNumberFormat="1" applyBorder="1" applyAlignment="1">
      <alignment horizontal="center" vertical="center"/>
    </xf>
    <xf numFmtId="4" fontId="15" fillId="14" borderId="50" xfId="0" applyNumberFormat="1" applyFont="1" applyFill="1" applyBorder="1"/>
    <xf numFmtId="0" fontId="17" fillId="0" borderId="54" xfId="2" applyFont="1" applyFill="1" applyBorder="1" applyAlignment="1">
      <alignment horizontal="right" wrapText="1"/>
    </xf>
    <xf numFmtId="0" fontId="0" fillId="30" borderId="49" xfId="0" applyFill="1" applyBorder="1"/>
    <xf numFmtId="0" fontId="19" fillId="0" borderId="33" xfId="0" applyFont="1" applyBorder="1"/>
    <xf numFmtId="0" fontId="0" fillId="30" borderId="23" xfId="0" applyFill="1" applyBorder="1"/>
    <xf numFmtId="2" fontId="156" fillId="0" borderId="1" xfId="0" applyNumberFormat="1" applyFont="1" applyBorder="1" applyAlignment="1">
      <alignment horizontal="right"/>
    </xf>
    <xf numFmtId="0" fontId="157" fillId="5" borderId="0" xfId="0" applyFont="1" applyFill="1"/>
    <xf numFmtId="0" fontId="3" fillId="64" borderId="1" xfId="0" applyFont="1" applyFill="1" applyBorder="1"/>
    <xf numFmtId="0" fontId="73" fillId="0" borderId="0" xfId="0" applyFont="1" applyFill="1" applyBorder="1" applyAlignment="1">
      <alignment horizontal="left" vertical="center"/>
    </xf>
    <xf numFmtId="15" fontId="0" fillId="0" borderId="0" xfId="0" applyNumberFormat="1" applyFill="1" applyBorder="1"/>
    <xf numFmtId="15" fontId="0" fillId="0" borderId="0" xfId="0" applyNumberFormat="1"/>
    <xf numFmtId="0" fontId="57" fillId="0" borderId="50" xfId="0" applyFont="1" applyFill="1" applyBorder="1" applyAlignment="1" applyProtection="1">
      <alignment horizontal="left" vertical="center"/>
    </xf>
    <xf numFmtId="166" fontId="131" fillId="41" borderId="125" xfId="5" applyNumberFormat="1" applyFont="1" applyFill="1" applyBorder="1" applyAlignment="1" applyProtection="1">
      <alignment horizontal="right"/>
    </xf>
    <xf numFmtId="2" fontId="0" fillId="0" borderId="9" xfId="0" applyNumberFormat="1" applyFont="1" applyFill="1" applyBorder="1" applyAlignment="1"/>
    <xf numFmtId="166" fontId="138" fillId="15" borderId="3" xfId="6" applyNumberFormat="1" applyFont="1" applyFill="1" applyBorder="1" applyAlignment="1" applyProtection="1">
      <alignment horizontal="left"/>
    </xf>
    <xf numFmtId="2" fontId="0" fillId="42" borderId="9" xfId="0" applyNumberFormat="1" applyFill="1" applyBorder="1" applyAlignment="1"/>
    <xf numFmtId="2" fontId="0" fillId="42" borderId="4" xfId="0" applyNumberFormat="1" applyFill="1" applyBorder="1" applyAlignment="1"/>
    <xf numFmtId="2" fontId="84" fillId="42" borderId="9" xfId="0" applyNumberFormat="1" applyFont="1" applyFill="1" applyBorder="1" applyAlignment="1">
      <alignment horizontal="right"/>
    </xf>
    <xf numFmtId="166" fontId="2" fillId="42" borderId="1" xfId="0" applyNumberFormat="1" applyFont="1" applyFill="1" applyBorder="1" applyAlignment="1">
      <alignment vertical="center"/>
    </xf>
    <xf numFmtId="0" fontId="0" fillId="5" borderId="48" xfId="0" applyFill="1" applyBorder="1"/>
    <xf numFmtId="166" fontId="1" fillId="5" borderId="0" xfId="0" applyNumberFormat="1" applyFont="1" applyFill="1" applyBorder="1" applyAlignment="1">
      <alignment horizontal="left"/>
    </xf>
    <xf numFmtId="0" fontId="0" fillId="5" borderId="89" xfId="0" applyFill="1" applyBorder="1"/>
    <xf numFmtId="166" fontId="131" fillId="5" borderId="48" xfId="5" applyNumberFormat="1" applyFont="1" applyFill="1" applyBorder="1" applyAlignment="1" applyProtection="1">
      <alignment horizontal="left"/>
    </xf>
    <xf numFmtId="0" fontId="0" fillId="5" borderId="12" xfId="0" applyFill="1" applyBorder="1"/>
    <xf numFmtId="2" fontId="0" fillId="41" borderId="4" xfId="0" applyNumberFormat="1" applyFill="1" applyBorder="1"/>
    <xf numFmtId="166" fontId="0" fillId="15" borderId="9" xfId="0" applyNumberFormat="1" applyFill="1" applyBorder="1"/>
    <xf numFmtId="0" fontId="0" fillId="15" borderId="0" xfId="0" applyFill="1" applyBorder="1"/>
    <xf numFmtId="166" fontId="132" fillId="35" borderId="9" xfId="0" applyNumberFormat="1" applyFont="1" applyFill="1" applyBorder="1" applyAlignment="1"/>
    <xf numFmtId="0" fontId="0" fillId="42" borderId="2" xfId="0" applyFill="1" applyBorder="1" applyAlignment="1">
      <alignment horizontal="left" vertical="center"/>
    </xf>
    <xf numFmtId="166" fontId="2" fillId="42" borderId="2" xfId="0" applyNumberFormat="1" applyFont="1" applyFill="1" applyBorder="1" applyAlignment="1">
      <alignment vertical="center"/>
    </xf>
    <xf numFmtId="166" fontId="74" fillId="42" borderId="2" xfId="5" applyNumberFormat="1" applyFont="1" applyFill="1" applyBorder="1" applyAlignment="1" applyProtection="1">
      <alignment horizontal="right"/>
    </xf>
    <xf numFmtId="166" fontId="131" fillId="42" borderId="2" xfId="5" applyNumberFormat="1" applyFont="1" applyFill="1" applyBorder="1" applyAlignment="1" applyProtection="1">
      <alignment horizontal="right"/>
    </xf>
    <xf numFmtId="2" fontId="2" fillId="0" borderId="4" xfId="0" applyNumberFormat="1" applyFont="1" applyFill="1" applyBorder="1" applyAlignment="1"/>
    <xf numFmtId="2" fontId="0" fillId="41" borderId="4" xfId="0" applyNumberFormat="1" applyFill="1" applyBorder="1" applyAlignment="1"/>
    <xf numFmtId="2" fontId="19" fillId="0" borderId="4" xfId="0" applyNumberFormat="1" applyFont="1" applyFill="1" applyBorder="1" applyAlignment="1"/>
    <xf numFmtId="166" fontId="131" fillId="0" borderId="46" xfId="5" applyNumberFormat="1" applyFont="1" applyFill="1" applyBorder="1" applyAlignment="1" applyProtection="1">
      <alignment horizontal="left"/>
    </xf>
    <xf numFmtId="166" fontId="131" fillId="0" borderId="9" xfId="5" applyNumberFormat="1" applyFont="1" applyFill="1" applyBorder="1" applyAlignment="1" applyProtection="1">
      <alignment horizontal="left"/>
    </xf>
    <xf numFmtId="166" fontId="131" fillId="0" borderId="12" xfId="5" applyNumberFormat="1" applyFont="1" applyFill="1" applyBorder="1" applyAlignment="1" applyProtection="1">
      <alignment horizontal="left"/>
    </xf>
    <xf numFmtId="166" fontId="131" fillId="52" borderId="136" xfId="5" applyNumberFormat="1" applyFont="1" applyFill="1" applyBorder="1" applyAlignment="1" applyProtection="1">
      <alignment horizontal="left"/>
    </xf>
    <xf numFmtId="166" fontId="131" fillId="52" borderId="152" xfId="5" applyNumberFormat="1" applyFont="1" applyFill="1" applyBorder="1" applyAlignment="1" applyProtection="1">
      <alignment horizontal="right"/>
    </xf>
    <xf numFmtId="0" fontId="0" fillId="41" borderId="9" xfId="0" applyFill="1" applyBorder="1"/>
    <xf numFmtId="0" fontId="2" fillId="41" borderId="1" xfId="0" applyFont="1" applyFill="1" applyBorder="1" applyAlignment="1">
      <alignment horizontal="left" vertical="center"/>
    </xf>
    <xf numFmtId="4" fontId="2" fillId="41" borderId="9" xfId="0" applyNumberFormat="1" applyFont="1" applyFill="1" applyBorder="1" applyAlignment="1">
      <alignment horizontal="right"/>
    </xf>
    <xf numFmtId="0" fontId="1" fillId="57" borderId="1" xfId="0" applyFont="1" applyFill="1" applyBorder="1" applyAlignment="1">
      <alignment horizontal="left" vertical="center" wrapText="1"/>
    </xf>
    <xf numFmtId="2" fontId="131" fillId="41" borderId="114" xfId="7" applyNumberFormat="1" applyFont="1" applyFill="1" applyBorder="1" applyAlignment="1" applyProtection="1">
      <alignment horizontal="right"/>
    </xf>
    <xf numFmtId="2" fontId="131" fillId="42" borderId="114" xfId="7" applyNumberFormat="1" applyFont="1" applyFill="1" applyBorder="1" applyAlignment="1" applyProtection="1">
      <alignment horizontal="right"/>
    </xf>
    <xf numFmtId="166"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vertical="center"/>
    </xf>
    <xf numFmtId="0" fontId="0" fillId="42" borderId="1" xfId="0" applyFill="1" applyBorder="1" applyAlignment="1">
      <alignment horizontal="center" vertical="center"/>
    </xf>
    <xf numFmtId="166" fontId="131" fillId="42" borderId="1" xfId="5" applyNumberFormat="1" applyFont="1" applyFill="1" applyBorder="1" applyAlignment="1" applyProtection="1">
      <alignment horizontal="center" vertical="center"/>
    </xf>
    <xf numFmtId="0" fontId="0" fillId="52" borderId="1" xfId="0" applyFill="1" applyBorder="1" applyAlignment="1">
      <alignment horizontal="center" vertical="center"/>
    </xf>
    <xf numFmtId="166" fontId="131" fillId="52" borderId="1" xfId="5" applyNumberFormat="1" applyFont="1" applyFill="1" applyBorder="1" applyAlignment="1" applyProtection="1">
      <alignment horizontal="center" vertical="center"/>
    </xf>
    <xf numFmtId="166" fontId="131" fillId="41" borderId="1" xfId="5" applyNumberFormat="1" applyFont="1" applyFill="1" applyBorder="1" applyAlignment="1" applyProtection="1">
      <alignment horizontal="center" vertical="center"/>
    </xf>
    <xf numFmtId="166" fontId="74" fillId="42" borderId="118" xfId="5" applyNumberFormat="1" applyFont="1" applyFill="1" applyBorder="1" applyAlignment="1" applyProtection="1">
      <alignment horizontal="center" vertical="center"/>
    </xf>
    <xf numFmtId="166" fontId="74" fillId="42" borderId="122" xfId="5" applyNumberFormat="1" applyFont="1" applyFill="1" applyBorder="1" applyAlignment="1" applyProtection="1">
      <alignment horizontal="center" vertical="center"/>
    </xf>
    <xf numFmtId="166" fontId="131" fillId="15" borderId="1" xfId="5" applyNumberFormat="1" applyFont="1" applyFill="1" applyBorder="1" applyAlignment="1" applyProtection="1">
      <alignment horizontal="center" vertical="center"/>
    </xf>
    <xf numFmtId="166" fontId="74" fillId="41" borderId="19" xfId="5" applyNumberFormat="1" applyFont="1" applyFill="1" applyBorder="1" applyAlignment="1" applyProtection="1">
      <alignment horizontal="center" vertical="center"/>
    </xf>
    <xf numFmtId="166" fontId="74" fillId="42" borderId="9" xfId="5" applyNumberFormat="1" applyFont="1" applyFill="1" applyBorder="1" applyAlignment="1" applyProtection="1">
      <alignment horizontal="center" vertical="center"/>
    </xf>
    <xf numFmtId="166" fontId="74" fillId="15" borderId="1" xfId="5" applyNumberFormat="1" applyFont="1" applyFill="1" applyBorder="1" applyAlignment="1" applyProtection="1">
      <alignment horizontal="center" vertical="center"/>
    </xf>
    <xf numFmtId="166" fontId="131" fillId="52" borderId="1" xfId="6" applyNumberFormat="1" applyFont="1" applyFill="1" applyBorder="1" applyAlignment="1" applyProtection="1">
      <alignment horizontal="center" vertical="center"/>
    </xf>
    <xf numFmtId="166" fontId="131" fillId="42" borderId="1" xfId="6" applyNumberFormat="1" applyFont="1" applyFill="1" applyBorder="1" applyAlignment="1" applyProtection="1">
      <alignment horizontal="center" vertical="center"/>
    </xf>
    <xf numFmtId="166" fontId="131" fillId="41" borderId="9" xfId="6" applyNumberFormat="1" applyFont="1" applyFill="1" applyBorder="1" applyAlignment="1" applyProtection="1">
      <alignment horizontal="center" vertical="center"/>
    </xf>
    <xf numFmtId="166" fontId="131" fillId="15" borderId="19" xfId="6" applyNumberFormat="1" applyFont="1" applyFill="1" applyBorder="1" applyAlignment="1" applyProtection="1">
      <alignment horizontal="center" vertical="center"/>
    </xf>
    <xf numFmtId="166" fontId="74" fillId="15" borderId="19" xfId="5" applyNumberFormat="1" applyFont="1" applyFill="1" applyBorder="1" applyAlignment="1" applyProtection="1">
      <alignment horizontal="center" vertical="center"/>
    </xf>
    <xf numFmtId="166" fontId="74" fillId="15" borderId="9" xfId="5" applyNumberFormat="1" applyFont="1" applyFill="1" applyBorder="1" applyAlignment="1" applyProtection="1">
      <alignment horizontal="center" vertical="center"/>
    </xf>
    <xf numFmtId="166" fontId="131" fillId="42" borderId="1" xfId="0" applyNumberFormat="1" applyFont="1" applyFill="1" applyBorder="1" applyAlignment="1" applyProtection="1">
      <alignment horizontal="center" vertical="center"/>
    </xf>
    <xf numFmtId="166" fontId="131" fillId="52" borderId="114" xfId="5" applyNumberFormat="1" applyFont="1" applyFill="1" applyBorder="1" applyAlignment="1" applyProtection="1">
      <alignment horizontal="center" vertical="center"/>
    </xf>
    <xf numFmtId="166" fontId="131" fillId="52" borderId="116" xfId="5" applyNumberFormat="1" applyFont="1" applyFill="1" applyBorder="1" applyAlignment="1" applyProtection="1">
      <alignment horizontal="center" vertical="center"/>
    </xf>
    <xf numFmtId="166" fontId="131" fillId="52" borderId="124" xfId="5" applyNumberFormat="1" applyFont="1" applyFill="1" applyBorder="1" applyAlignment="1" applyProtection="1">
      <alignment horizontal="center" vertical="center"/>
    </xf>
    <xf numFmtId="166" fontId="131" fillId="15" borderId="120" xfId="5" applyNumberFormat="1" applyFont="1" applyFill="1" applyBorder="1" applyAlignment="1" applyProtection="1">
      <alignment horizontal="center" vertical="center"/>
    </xf>
    <xf numFmtId="166" fontId="131" fillId="15" borderId="114" xfId="5" applyNumberFormat="1" applyFont="1" applyFill="1" applyBorder="1" applyAlignment="1" applyProtection="1">
      <alignment horizontal="center" vertical="center"/>
    </xf>
    <xf numFmtId="166" fontId="131" fillId="42" borderId="114" xfId="5" applyNumberFormat="1" applyFont="1" applyFill="1" applyBorder="1" applyAlignment="1" applyProtection="1">
      <alignment horizontal="center" vertical="center"/>
    </xf>
    <xf numFmtId="166" fontId="131" fillId="52" borderId="114" xfId="0" applyNumberFormat="1" applyFont="1" applyFill="1" applyBorder="1" applyAlignment="1" applyProtection="1">
      <alignment horizontal="center" vertical="center"/>
    </xf>
    <xf numFmtId="166" fontId="131" fillId="42" borderId="116" xfId="5" applyNumberFormat="1" applyFont="1" applyFill="1" applyBorder="1" applyAlignment="1" applyProtection="1">
      <alignment horizontal="center" vertical="center"/>
    </xf>
    <xf numFmtId="166" fontId="131" fillId="41" borderId="115" xfId="5" applyNumberFormat="1" applyFont="1" applyFill="1" applyBorder="1" applyAlignment="1" applyProtection="1">
      <alignment horizontal="center" vertical="center"/>
    </xf>
    <xf numFmtId="166" fontId="131" fillId="41" borderId="114" xfId="5" applyNumberFormat="1" applyFont="1" applyFill="1" applyBorder="1" applyAlignment="1" applyProtection="1">
      <alignment horizontal="center" vertical="center"/>
    </xf>
    <xf numFmtId="166" fontId="131" fillId="41" borderId="116" xfId="5" applyNumberFormat="1" applyFont="1" applyFill="1" applyBorder="1" applyAlignment="1" applyProtection="1">
      <alignment horizontal="center" vertical="center"/>
    </xf>
    <xf numFmtId="166" fontId="131" fillId="41" borderId="125" xfId="5" applyNumberFormat="1" applyFont="1" applyFill="1" applyBorder="1" applyAlignment="1" applyProtection="1">
      <alignment horizontal="center" vertical="center"/>
    </xf>
    <xf numFmtId="166" fontId="131" fillId="15" borderId="118" xfId="5" applyNumberFormat="1" applyFont="1" applyFill="1" applyBorder="1" applyAlignment="1" applyProtection="1">
      <alignment horizontal="center" vertical="center"/>
    </xf>
    <xf numFmtId="166" fontId="131" fillId="42" borderId="118" xfId="5" applyNumberFormat="1" applyFont="1" applyFill="1" applyBorder="1" applyAlignment="1" applyProtection="1">
      <alignment horizontal="center" vertical="center"/>
    </xf>
    <xf numFmtId="0" fontId="0" fillId="5" borderId="1" xfId="0" applyFill="1" applyBorder="1" applyAlignment="1">
      <alignment horizontal="center" vertical="center"/>
    </xf>
    <xf numFmtId="166" fontId="131" fillId="42" borderId="114" xfId="0" applyNumberFormat="1" applyFont="1" applyFill="1" applyBorder="1" applyAlignment="1" applyProtection="1">
      <alignment horizontal="center" vertical="center"/>
    </xf>
    <xf numFmtId="166" fontId="131" fillId="52" borderId="114" xfId="6" applyNumberFormat="1" applyFont="1" applyFill="1" applyBorder="1" applyAlignment="1" applyProtection="1">
      <alignment horizontal="center" vertical="center"/>
    </xf>
    <xf numFmtId="166" fontId="131" fillId="42" borderId="9" xfId="0" applyNumberFormat="1" applyFont="1" applyFill="1" applyBorder="1" applyAlignment="1" applyProtection="1">
      <alignment horizontal="center" vertical="center"/>
    </xf>
    <xf numFmtId="166" fontId="131" fillId="41" borderId="1" xfId="0" applyNumberFormat="1" applyFont="1" applyFill="1" applyBorder="1" applyAlignment="1" applyProtection="1">
      <alignment horizontal="center" vertical="center"/>
    </xf>
    <xf numFmtId="166" fontId="131" fillId="41" borderId="114" xfId="7" applyNumberFormat="1" applyFont="1" applyFill="1" applyBorder="1" applyAlignment="1" applyProtection="1">
      <alignment horizontal="center" vertical="center"/>
    </xf>
    <xf numFmtId="166" fontId="131" fillId="0" borderId="0" xfId="5" applyNumberFormat="1" applyFont="1" applyFill="1" applyBorder="1" applyAlignment="1" applyProtection="1">
      <alignment horizontal="center" vertical="center"/>
    </xf>
    <xf numFmtId="0" fontId="19" fillId="42" borderId="1" xfId="0" applyFont="1" applyFill="1" applyBorder="1" applyAlignment="1">
      <alignment horizontal="center" vertical="center"/>
    </xf>
    <xf numFmtId="0" fontId="73" fillId="52" borderId="1" xfId="0" applyFont="1" applyFill="1" applyBorder="1" applyAlignment="1">
      <alignment horizontal="center" vertical="center"/>
    </xf>
    <xf numFmtId="166" fontId="137" fillId="41" borderId="1" xfId="5" applyNumberFormat="1" applyFont="1" applyFill="1" applyBorder="1" applyAlignment="1" applyProtection="1">
      <alignment horizontal="center" vertical="center"/>
    </xf>
    <xf numFmtId="166" fontId="31" fillId="15" borderId="114" xfId="0" applyNumberFormat="1" applyFont="1" applyFill="1" applyBorder="1" applyAlignment="1" applyProtection="1">
      <alignment horizontal="center" vertical="center"/>
    </xf>
    <xf numFmtId="166" fontId="74" fillId="42" borderId="19" xfId="5" applyNumberFormat="1" applyFont="1" applyFill="1" applyBorder="1" applyAlignment="1" applyProtection="1">
      <alignment horizontal="center" vertical="center"/>
    </xf>
    <xf numFmtId="166" fontId="131" fillId="15" borderId="114" xfId="0" applyNumberFormat="1" applyFont="1" applyFill="1" applyBorder="1" applyAlignment="1" applyProtection="1">
      <alignment horizontal="center" vertical="center"/>
    </xf>
    <xf numFmtId="166" fontId="131" fillId="42" borderId="114" xfId="7" applyNumberFormat="1" applyFont="1" applyFill="1" applyBorder="1" applyAlignment="1" applyProtection="1">
      <alignment horizontal="center" vertical="center"/>
    </xf>
    <xf numFmtId="166" fontId="0" fillId="42" borderId="116" xfId="0" applyNumberFormat="1" applyFill="1" applyBorder="1" applyAlignment="1" applyProtection="1">
      <alignment horizontal="center" vertical="center"/>
    </xf>
    <xf numFmtId="166" fontId="0" fillId="41" borderId="1" xfId="0" applyNumberFormat="1" applyFill="1" applyBorder="1" applyAlignment="1" applyProtection="1">
      <alignment horizontal="center" vertical="center"/>
    </xf>
    <xf numFmtId="166" fontId="131" fillId="15" borderId="1" xfId="6" applyNumberFormat="1" applyFont="1" applyFill="1" applyBorder="1" applyAlignment="1" applyProtection="1">
      <alignment horizontal="center" vertical="center"/>
    </xf>
    <xf numFmtId="166" fontId="131" fillId="42" borderId="1" xfId="7" applyNumberFormat="1" applyFont="1" applyFill="1" applyBorder="1" applyAlignment="1" applyProtection="1">
      <alignment horizontal="center" vertical="center"/>
    </xf>
    <xf numFmtId="166" fontId="0" fillId="41" borderId="116" xfId="0" applyNumberFormat="1" applyFill="1" applyBorder="1" applyAlignment="1" applyProtection="1">
      <alignment horizontal="center" vertical="center"/>
    </xf>
    <xf numFmtId="166" fontId="131" fillId="41" borderId="115" xfId="7" applyNumberFormat="1" applyFont="1" applyFill="1" applyBorder="1" applyAlignment="1" applyProtection="1">
      <alignment horizontal="center" vertical="center"/>
    </xf>
    <xf numFmtId="166" fontId="131" fillId="52" borderId="114" xfId="7" applyNumberFormat="1" applyFont="1" applyFill="1" applyBorder="1" applyAlignment="1" applyProtection="1">
      <alignment horizontal="center" vertical="center"/>
    </xf>
    <xf numFmtId="166" fontId="74" fillId="0" borderId="0" xfId="5" applyNumberFormat="1" applyFont="1" applyFill="1" applyBorder="1" applyAlignment="1" applyProtection="1">
      <alignment horizontal="center" vertical="center"/>
    </xf>
    <xf numFmtId="166" fontId="0" fillId="15" borderId="114" xfId="0" applyNumberFormat="1" applyFill="1" applyBorder="1" applyAlignment="1" applyProtection="1">
      <alignment horizontal="center" vertical="center"/>
    </xf>
    <xf numFmtId="166" fontId="31" fillId="15" borderId="118" xfId="0" applyNumberFormat="1" applyFont="1" applyFill="1" applyBorder="1" applyAlignment="1" applyProtection="1">
      <alignment horizontal="center" vertical="center"/>
    </xf>
    <xf numFmtId="166" fontId="131" fillId="52" borderId="9" xfId="6" applyNumberFormat="1" applyFont="1" applyFill="1" applyBorder="1" applyAlignment="1" applyProtection="1">
      <alignment horizontal="center" vertical="center"/>
    </xf>
    <xf numFmtId="166" fontId="131" fillId="52" borderId="19" xfId="6" applyNumberFormat="1" applyFont="1" applyFill="1" applyBorder="1" applyAlignment="1" applyProtection="1">
      <alignment horizontal="center" vertical="center"/>
    </xf>
    <xf numFmtId="166" fontId="131" fillId="0" borderId="0" xfId="6" applyNumberFormat="1" applyFont="1" applyFill="1" applyBorder="1" applyAlignment="1" applyProtection="1">
      <alignment horizontal="center" vertical="center"/>
    </xf>
    <xf numFmtId="166" fontId="131" fillId="42" borderId="152" xfId="0" applyNumberFormat="1" applyFont="1" applyFill="1" applyBorder="1" applyAlignment="1" applyProtection="1">
      <alignment horizontal="center" vertical="center"/>
    </xf>
    <xf numFmtId="0" fontId="0" fillId="41" borderId="4" xfId="0" applyFill="1" applyBorder="1" applyAlignment="1">
      <alignment horizontal="center" vertical="center"/>
    </xf>
    <xf numFmtId="0" fontId="73" fillId="0" borderId="0" xfId="0" applyFont="1" applyFill="1" applyBorder="1" applyAlignment="1">
      <alignment horizontal="center" vertical="center"/>
    </xf>
    <xf numFmtId="2" fontId="74" fillId="41" borderId="19" xfId="5" applyNumberFormat="1" applyFont="1" applyFill="1" applyBorder="1" applyAlignment="1" applyProtection="1">
      <alignment horizontal="right"/>
    </xf>
    <xf numFmtId="15" fontId="0" fillId="0" borderId="0" xfId="0" applyNumberFormat="1" applyFill="1"/>
    <xf numFmtId="166" fontId="131" fillId="42" borderId="116" xfId="0" applyNumberFormat="1" applyFont="1" applyFill="1" applyBorder="1" applyAlignment="1" applyProtection="1">
      <alignment horizontal="right"/>
    </xf>
    <xf numFmtId="166" fontId="131" fillId="42" borderId="114" xfId="6" applyNumberFormat="1" applyFont="1" applyFill="1" applyBorder="1" applyAlignment="1" applyProtection="1">
      <alignment horizontal="left"/>
    </xf>
    <xf numFmtId="0" fontId="91" fillId="0" borderId="54" xfId="0" applyFont="1" applyFill="1" applyBorder="1" applyAlignment="1">
      <alignment wrapText="1"/>
    </xf>
    <xf numFmtId="166" fontId="131" fillId="5" borderId="50" xfId="5" applyNumberFormat="1" applyFont="1" applyFill="1" applyBorder="1" applyAlignment="1" applyProtection="1">
      <alignment horizontal="left"/>
    </xf>
    <xf numFmtId="2" fontId="131" fillId="15" borderId="1" xfId="6" applyNumberFormat="1" applyFont="1" applyFill="1" applyBorder="1" applyAlignment="1" applyProtection="1">
      <alignment horizontal="right"/>
    </xf>
    <xf numFmtId="2" fontId="132" fillId="21" borderId="4" xfId="0" applyNumberFormat="1" applyFont="1" applyFill="1" applyBorder="1" applyAlignment="1">
      <alignment horizontal="right"/>
    </xf>
    <xf numFmtId="2" fontId="0" fillId="41" borderId="19" xfId="0" applyNumberFormat="1" applyFill="1" applyBorder="1" applyAlignment="1"/>
    <xf numFmtId="166" fontId="131" fillId="41" borderId="116" xfId="0" applyNumberFormat="1" applyFont="1" applyFill="1" applyBorder="1" applyAlignment="1" applyProtection="1">
      <alignment horizontal="left"/>
    </xf>
    <xf numFmtId="166" fontId="131" fillId="41" borderId="116" xfId="0" applyNumberFormat="1" applyFont="1" applyFill="1" applyBorder="1" applyAlignment="1" applyProtection="1">
      <alignment horizontal="right"/>
    </xf>
    <xf numFmtId="2" fontId="131" fillId="41" borderId="116" xfId="0" applyNumberFormat="1" applyFont="1" applyFill="1" applyBorder="1" applyAlignment="1" applyProtection="1">
      <alignment horizontal="right"/>
    </xf>
    <xf numFmtId="166" fontId="131" fillId="42" borderId="0" xfId="0" applyNumberFormat="1" applyFont="1" applyFill="1" applyBorder="1" applyAlignment="1" applyProtection="1">
      <alignment horizontal="left"/>
    </xf>
    <xf numFmtId="166" fontId="131" fillId="42" borderId="0" xfId="0" applyNumberFormat="1" applyFont="1" applyFill="1" applyBorder="1" applyAlignment="1" applyProtection="1">
      <alignment horizontal="right"/>
    </xf>
    <xf numFmtId="0" fontId="1" fillId="57" borderId="2" xfId="0" applyFont="1" applyFill="1" applyBorder="1" applyAlignment="1">
      <alignment horizontal="left" vertical="center" wrapText="1"/>
    </xf>
    <xf numFmtId="0" fontId="0" fillId="41" borderId="1" xfId="0" applyFill="1" applyBorder="1" applyAlignment="1">
      <alignment vertical="center"/>
    </xf>
    <xf numFmtId="0" fontId="0" fillId="52" borderId="4" xfId="0" applyFill="1" applyBorder="1" applyAlignment="1">
      <alignment vertical="center"/>
    </xf>
    <xf numFmtId="166" fontId="131" fillId="52" borderId="118" xfId="5" applyNumberFormat="1" applyFont="1" applyFill="1" applyBorder="1" applyAlignment="1" applyProtection="1">
      <alignment horizontal="right"/>
    </xf>
    <xf numFmtId="0" fontId="73" fillId="52" borderId="4" xfId="0" applyFont="1" applyFill="1" applyBorder="1" applyAlignment="1">
      <alignment horizontal="right" vertical="center"/>
    </xf>
    <xf numFmtId="166" fontId="131" fillId="52" borderId="114" xfId="10" applyNumberFormat="1" applyFont="1" applyFill="1" applyBorder="1" applyAlignment="1" applyProtection="1">
      <alignment horizontal="left"/>
    </xf>
    <xf numFmtId="166" fontId="131" fillId="52" borderId="114" xfId="10" applyNumberFormat="1" applyFont="1" applyFill="1" applyBorder="1" applyAlignment="1" applyProtection="1">
      <alignment horizontal="right"/>
    </xf>
    <xf numFmtId="2" fontId="131" fillId="42" borderId="116" xfId="0" applyNumberFormat="1" applyFont="1" applyFill="1" applyBorder="1" applyAlignment="1" applyProtection="1">
      <alignment horizontal="right"/>
    </xf>
    <xf numFmtId="166" fontId="131" fillId="42" borderId="115" xfId="0" applyNumberFormat="1" applyFont="1" applyFill="1" applyBorder="1" applyAlignment="1" applyProtection="1">
      <alignment horizontal="left"/>
    </xf>
    <xf numFmtId="166" fontId="131" fillId="42" borderId="9" xfId="5" applyNumberFormat="1" applyFont="1" applyFill="1" applyBorder="1" applyAlignment="1" applyProtection="1">
      <alignment horizontal="right"/>
    </xf>
    <xf numFmtId="2" fontId="131" fillId="42" borderId="1" xfId="0" applyNumberFormat="1" applyFont="1" applyFill="1" applyBorder="1" applyAlignment="1" applyProtection="1">
      <alignment horizontal="right"/>
    </xf>
    <xf numFmtId="166" fontId="131" fillId="15" borderId="121" xfId="0" applyNumberFormat="1" applyFont="1" applyFill="1" applyBorder="1" applyAlignment="1" applyProtection="1">
      <alignment horizontal="left"/>
    </xf>
    <xf numFmtId="0" fontId="0" fillId="15" borderId="1" xfId="0" applyFill="1" applyBorder="1" applyAlignment="1">
      <alignment horizontal="center" vertical="center"/>
    </xf>
    <xf numFmtId="166" fontId="131" fillId="15" borderId="1" xfId="0" applyNumberFormat="1" applyFont="1" applyFill="1" applyBorder="1" applyAlignment="1" applyProtection="1">
      <alignment horizontal="left"/>
    </xf>
    <xf numFmtId="166" fontId="131" fillId="15" borderId="1" xfId="0" applyNumberFormat="1" applyFont="1" applyFill="1" applyBorder="1" applyAlignment="1" applyProtection="1">
      <alignment horizontal="right"/>
    </xf>
    <xf numFmtId="166" fontId="131" fillId="15" borderId="123" xfId="6" applyNumberFormat="1" applyFont="1" applyFill="1" applyBorder="1" applyAlignment="1" applyProtection="1">
      <alignment horizontal="left"/>
    </xf>
    <xf numFmtId="166" fontId="131" fillId="42" borderId="125" xfId="6" applyNumberFormat="1" applyFont="1" applyFill="1" applyBorder="1" applyAlignment="1" applyProtection="1">
      <alignment horizontal="right"/>
    </xf>
    <xf numFmtId="0" fontId="1" fillId="52" borderId="0" xfId="0" applyFont="1" applyFill="1" applyBorder="1" applyAlignment="1">
      <alignment horizontal="left" vertical="center"/>
    </xf>
    <xf numFmtId="2" fontId="0" fillId="52" borderId="9" xfId="0" applyNumberFormat="1" applyFill="1" applyBorder="1" applyAlignment="1"/>
    <xf numFmtId="166" fontId="131" fillId="41" borderId="154" xfId="7" applyNumberFormat="1" applyFont="1" applyFill="1" applyBorder="1" applyAlignment="1" applyProtection="1">
      <alignment horizontal="right"/>
    </xf>
    <xf numFmtId="166" fontId="131" fillId="41" borderId="155" xfId="7" applyNumberFormat="1" applyFont="1" applyFill="1" applyBorder="1" applyAlignment="1" applyProtection="1">
      <alignment horizontal="right"/>
    </xf>
    <xf numFmtId="166" fontId="131" fillId="41" borderId="156" xfId="7" applyNumberFormat="1" applyFont="1" applyFill="1" applyBorder="1" applyAlignment="1" applyProtection="1">
      <alignment horizontal="right"/>
    </xf>
    <xf numFmtId="166" fontId="131" fillId="52" borderId="0" xfId="7" applyNumberFormat="1" applyFont="1" applyFill="1" applyBorder="1" applyAlignment="1" applyProtection="1">
      <alignment horizontal="left"/>
    </xf>
    <xf numFmtId="166" fontId="131" fillId="52" borderId="0" xfId="7" applyNumberFormat="1" applyFont="1" applyFill="1" applyBorder="1" applyAlignment="1" applyProtection="1">
      <alignment horizontal="center" vertical="center"/>
    </xf>
    <xf numFmtId="166" fontId="131" fillId="52" borderId="118" xfId="7" applyNumberFormat="1" applyFont="1" applyFill="1" applyBorder="1" applyAlignment="1" applyProtection="1">
      <alignment horizontal="left"/>
    </xf>
    <xf numFmtId="166" fontId="131" fillId="52" borderId="118" xfId="7" applyNumberFormat="1" applyFont="1" applyFill="1" applyBorder="1" applyAlignment="1" applyProtection="1">
      <alignment horizontal="right"/>
    </xf>
    <xf numFmtId="2" fontId="1" fillId="41" borderId="4" xfId="0" applyNumberFormat="1" applyFont="1" applyFill="1" applyBorder="1" applyAlignment="1">
      <alignment horizontal="left" vertical="center"/>
    </xf>
    <xf numFmtId="0" fontId="19" fillId="42" borderId="1" xfId="0" applyFont="1" applyFill="1" applyBorder="1" applyAlignment="1"/>
    <xf numFmtId="2" fontId="135" fillId="21" borderId="0" xfId="0" applyNumberFormat="1" applyFont="1" applyFill="1" applyBorder="1" applyAlignment="1"/>
    <xf numFmtId="2" fontId="135" fillId="35" borderId="0" xfId="0" applyNumberFormat="1" applyFont="1" applyFill="1" applyBorder="1" applyAlignment="1"/>
    <xf numFmtId="0" fontId="0" fillId="52" borderId="12" xfId="0" applyFill="1" applyBorder="1"/>
    <xf numFmtId="0" fontId="0" fillId="52" borderId="9" xfId="0" applyFill="1" applyBorder="1" applyAlignment="1">
      <alignment horizontal="center" vertical="center"/>
    </xf>
    <xf numFmtId="0" fontId="1" fillId="52" borderId="12" xfId="0" applyFont="1" applyFill="1" applyBorder="1" applyAlignment="1">
      <alignment horizontal="left" vertical="center"/>
    </xf>
    <xf numFmtId="166" fontId="74" fillId="42" borderId="2" xfId="5" applyNumberFormat="1" applyFont="1" applyFill="1" applyBorder="1" applyAlignment="1" applyProtection="1">
      <alignment horizontal="left"/>
    </xf>
    <xf numFmtId="166" fontId="131" fillId="15" borderId="127" xfId="6" applyNumberFormat="1" applyFont="1" applyFill="1" applyBorder="1" applyAlignment="1" applyProtection="1">
      <alignment horizontal="right"/>
    </xf>
    <xf numFmtId="0" fontId="1" fillId="42" borderId="2" xfId="0" applyFont="1" applyFill="1" applyBorder="1" applyAlignment="1">
      <alignment horizontal="left" vertical="center"/>
    </xf>
    <xf numFmtId="166" fontId="131" fillId="42" borderId="4" xfId="5" applyNumberFormat="1" applyFont="1" applyFill="1" applyBorder="1" applyAlignment="1" applyProtection="1">
      <alignment horizontal="right"/>
    </xf>
    <xf numFmtId="166" fontId="0" fillId="5" borderId="1" xfId="0" applyNumberFormat="1" applyFill="1" applyBorder="1" applyAlignment="1"/>
    <xf numFmtId="2" fontId="0" fillId="0" borderId="48" xfId="0" applyNumberFormat="1" applyBorder="1" applyAlignment="1"/>
    <xf numFmtId="166" fontId="0" fillId="27" borderId="54" xfId="0" applyNumberFormat="1" applyFont="1" applyFill="1" applyBorder="1" applyAlignment="1"/>
    <xf numFmtId="2" fontId="132" fillId="35" borderId="54" xfId="0" applyNumberFormat="1" applyFont="1" applyFill="1" applyBorder="1" applyAlignment="1"/>
    <xf numFmtId="2" fontId="132" fillId="17" borderId="19" xfId="0" applyNumberFormat="1" applyFont="1" applyFill="1" applyBorder="1" applyAlignment="1"/>
    <xf numFmtId="0" fontId="0" fillId="0" borderId="3" xfId="0" applyFill="1" applyBorder="1"/>
    <xf numFmtId="166" fontId="131" fillId="0" borderId="3" xfId="6" applyNumberFormat="1" applyFont="1" applyFill="1" applyBorder="1" applyAlignment="1" applyProtection="1">
      <alignment horizontal="left"/>
    </xf>
    <xf numFmtId="166" fontId="0" fillId="0" borderId="3" xfId="0" applyNumberFormat="1" applyFont="1" applyFill="1" applyBorder="1" applyAlignment="1"/>
    <xf numFmtId="2" fontId="84" fillId="0" borderId="3" xfId="0" applyNumberFormat="1" applyFont="1" applyFill="1" applyBorder="1" applyAlignment="1">
      <alignment horizontal="right"/>
    </xf>
    <xf numFmtId="0" fontId="1" fillId="41" borderId="3" xfId="0" applyFont="1" applyFill="1" applyBorder="1" applyAlignment="1">
      <alignment horizontal="left" vertical="center"/>
    </xf>
    <xf numFmtId="166" fontId="131" fillId="15" borderId="128" xfId="6" applyNumberFormat="1" applyFont="1" applyFill="1" applyBorder="1" applyAlignment="1" applyProtection="1">
      <alignment horizontal="left"/>
    </xf>
    <xf numFmtId="166" fontId="0" fillId="42" borderId="12" xfId="0" applyNumberFormat="1" applyFill="1" applyBorder="1" applyAlignment="1"/>
    <xf numFmtId="166" fontId="131" fillId="15" borderId="4" xfId="6" applyNumberFormat="1" applyFont="1" applyFill="1" applyBorder="1" applyAlignment="1" applyProtection="1">
      <alignment horizontal="right"/>
    </xf>
    <xf numFmtId="0" fontId="0" fillId="15" borderId="1" xfId="0" applyFill="1" applyBorder="1" applyAlignment="1">
      <alignment horizontal="right"/>
    </xf>
    <xf numFmtId="166" fontId="131" fillId="15" borderId="123" xfId="5" applyNumberFormat="1" applyFont="1" applyFill="1" applyBorder="1" applyAlignment="1" applyProtection="1">
      <alignment horizontal="left"/>
    </xf>
    <xf numFmtId="166" fontId="0" fillId="41" borderId="19" xfId="0" applyNumberFormat="1" applyFill="1" applyBorder="1" applyAlignment="1"/>
    <xf numFmtId="166" fontId="131" fillId="15" borderId="3" xfId="5" applyNumberFormat="1" applyFont="1" applyFill="1" applyBorder="1" applyAlignment="1" applyProtection="1">
      <alignment horizontal="left"/>
    </xf>
    <xf numFmtId="166" fontId="131" fillId="15" borderId="131" xfId="5" applyNumberFormat="1" applyFont="1" applyFill="1" applyBorder="1" applyAlignment="1" applyProtection="1">
      <alignment horizontal="left"/>
    </xf>
    <xf numFmtId="0" fontId="132" fillId="42" borderId="1" xfId="0" applyFont="1" applyFill="1" applyBorder="1" applyAlignment="1">
      <alignment vertical="center"/>
    </xf>
    <xf numFmtId="166" fontId="131" fillId="42" borderId="0" xfId="7" applyNumberFormat="1" applyFont="1" applyFill="1" applyBorder="1" applyAlignment="1" applyProtection="1">
      <alignment horizontal="left"/>
    </xf>
    <xf numFmtId="166" fontId="131" fillId="42" borderId="116" xfId="7" applyNumberFormat="1" applyFont="1" applyFill="1" applyBorder="1" applyAlignment="1" applyProtection="1">
      <alignment horizontal="left"/>
    </xf>
    <xf numFmtId="166" fontId="131" fillId="42" borderId="116" xfId="7" applyNumberFormat="1" applyFont="1" applyFill="1" applyBorder="1" applyAlignment="1" applyProtection="1">
      <alignment horizontal="center" vertical="center"/>
    </xf>
    <xf numFmtId="166" fontId="0" fillId="42" borderId="0" xfId="0" applyNumberFormat="1" applyFill="1" applyBorder="1" applyAlignment="1" applyProtection="1">
      <alignment horizontal="left"/>
    </xf>
    <xf numFmtId="166" fontId="0" fillId="42" borderId="1" xfId="0" applyNumberFormat="1" applyFill="1" applyBorder="1" applyAlignment="1" applyProtection="1">
      <alignment horizontal="left"/>
    </xf>
    <xf numFmtId="166" fontId="0" fillId="42" borderId="1" xfId="0" applyNumberFormat="1" applyFill="1" applyBorder="1" applyAlignment="1" applyProtection="1">
      <alignment horizontal="center" vertical="center"/>
    </xf>
    <xf numFmtId="166" fontId="0" fillId="42" borderId="1" xfId="0" applyNumberFormat="1" applyFill="1" applyBorder="1" applyAlignment="1" applyProtection="1">
      <alignment horizontal="right"/>
    </xf>
    <xf numFmtId="166" fontId="74" fillId="52" borderId="1" xfId="5" applyNumberFormat="1" applyFont="1" applyFill="1" applyBorder="1" applyAlignment="1" applyProtection="1">
      <alignment horizontal="center" vertical="center"/>
    </xf>
    <xf numFmtId="166" fontId="74" fillId="52" borderId="1" xfId="5" applyNumberFormat="1" applyFont="1" applyFill="1" applyBorder="1" applyAlignment="1" applyProtection="1">
      <alignment horizontal="left"/>
    </xf>
    <xf numFmtId="166" fontId="74" fillId="52" borderId="1" xfId="5" applyNumberFormat="1" applyFont="1" applyFill="1" applyBorder="1" applyAlignment="1" applyProtection="1">
      <alignment horizontal="right"/>
    </xf>
    <xf numFmtId="166" fontId="0" fillId="42" borderId="122" xfId="0" applyNumberFormat="1" applyFill="1" applyBorder="1" applyAlignment="1" applyProtection="1">
      <alignment horizontal="left"/>
    </xf>
    <xf numFmtId="166" fontId="0" fillId="52" borderId="19" xfId="0" applyNumberFormat="1" applyFill="1" applyBorder="1" applyAlignment="1"/>
    <xf numFmtId="166" fontId="131" fillId="41" borderId="0" xfId="0" applyNumberFormat="1" applyFont="1" applyFill="1" applyBorder="1" applyAlignment="1" applyProtection="1">
      <alignment horizontal="left"/>
    </xf>
    <xf numFmtId="166" fontId="131" fillId="41" borderId="0" xfId="0" applyNumberFormat="1" applyFont="1" applyFill="1" applyBorder="1" applyAlignment="1" applyProtection="1">
      <alignment horizontal="right"/>
    </xf>
    <xf numFmtId="166" fontId="131" fillId="41" borderId="116" xfId="0" applyNumberFormat="1" applyFont="1" applyFill="1" applyBorder="1" applyAlignment="1" applyProtection="1">
      <alignment horizontal="center" vertical="center"/>
    </xf>
    <xf numFmtId="166" fontId="0" fillId="41" borderId="19" xfId="0" applyNumberFormat="1" applyFill="1" applyBorder="1"/>
    <xf numFmtId="0" fontId="31" fillId="0" borderId="50" xfId="0" applyFont="1" applyFill="1" applyBorder="1"/>
    <xf numFmtId="2" fontId="74" fillId="41" borderId="4" xfId="5" applyNumberFormat="1" applyFont="1" applyFill="1" applyBorder="1" applyAlignment="1" applyProtection="1">
      <alignment horizontal="right"/>
    </xf>
    <xf numFmtId="166" fontId="74" fillId="42" borderId="4" xfId="5" applyNumberFormat="1" applyFont="1" applyFill="1" applyBorder="1" applyAlignment="1" applyProtection="1">
      <alignment horizontal="center" vertical="center"/>
    </xf>
    <xf numFmtId="166" fontId="74" fillId="42" borderId="4" xfId="5" applyNumberFormat="1" applyFont="1" applyFill="1" applyBorder="1" applyAlignment="1" applyProtection="1">
      <alignment horizontal="right"/>
    </xf>
    <xf numFmtId="2" fontId="131" fillId="42" borderId="4" xfId="5" applyNumberFormat="1" applyFont="1" applyFill="1" applyBorder="1" applyAlignment="1" applyProtection="1">
      <alignment horizontal="right"/>
    </xf>
    <xf numFmtId="166" fontId="131" fillId="52" borderId="116" xfId="7" applyNumberFormat="1" applyFont="1" applyFill="1" applyBorder="1" applyAlignment="1" applyProtection="1">
      <alignment horizontal="left"/>
    </xf>
    <xf numFmtId="166" fontId="131" fillId="52" borderId="116" xfId="7" applyNumberFormat="1" applyFont="1" applyFill="1" applyBorder="1" applyAlignment="1" applyProtection="1">
      <alignment horizontal="center" vertical="center"/>
    </xf>
    <xf numFmtId="166" fontId="131" fillId="52" borderId="1" xfId="7" applyNumberFormat="1" applyFont="1" applyFill="1" applyBorder="1" applyAlignment="1" applyProtection="1">
      <alignment horizontal="left"/>
    </xf>
    <xf numFmtId="166" fontId="131" fillId="52" borderId="1" xfId="7" applyNumberFormat="1" applyFont="1" applyFill="1" applyBorder="1" applyAlignment="1" applyProtection="1">
      <alignment horizontal="center" vertical="center"/>
    </xf>
    <xf numFmtId="0" fontId="73" fillId="52" borderId="19" xfId="0" applyFont="1" applyFill="1" applyBorder="1" applyAlignment="1">
      <alignment horizontal="center" vertical="center"/>
    </xf>
    <xf numFmtId="0" fontId="73" fillId="52" borderId="89" xfId="0" applyFont="1" applyFill="1" applyBorder="1" applyAlignment="1">
      <alignment horizontal="left" vertical="center"/>
    </xf>
    <xf numFmtId="2" fontId="0" fillId="21" borderId="48" xfId="0" applyNumberFormat="1" applyFill="1" applyBorder="1" applyAlignment="1"/>
    <xf numFmtId="166" fontId="0" fillId="21" borderId="19" xfId="0" applyNumberFormat="1" applyFill="1" applyBorder="1" applyAlignment="1"/>
    <xf numFmtId="2" fontId="132" fillId="21" borderId="19" xfId="0" applyNumberFormat="1" applyFont="1" applyFill="1" applyBorder="1" applyAlignment="1"/>
    <xf numFmtId="2" fontId="132" fillId="21" borderId="54" xfId="0" applyNumberFormat="1" applyFont="1" applyFill="1" applyBorder="1" applyAlignment="1"/>
    <xf numFmtId="0" fontId="73" fillId="0" borderId="3" xfId="0" applyFont="1" applyFill="1" applyBorder="1" applyAlignment="1">
      <alignment horizontal="center" vertical="center"/>
    </xf>
    <xf numFmtId="0" fontId="73" fillId="0" borderId="3" xfId="0" applyFont="1" applyFill="1" applyBorder="1" applyAlignment="1">
      <alignment horizontal="left" vertical="center"/>
    </xf>
    <xf numFmtId="0" fontId="0" fillId="42" borderId="1" xfId="0" applyFont="1" applyFill="1" applyBorder="1"/>
    <xf numFmtId="0" fontId="0" fillId="42" borderId="1" xfId="0" applyFont="1" applyFill="1" applyBorder="1" applyAlignment="1">
      <alignment horizontal="center" vertical="center"/>
    </xf>
    <xf numFmtId="0" fontId="0" fillId="42" borderId="4" xfId="0" applyFont="1" applyFill="1" applyBorder="1" applyAlignment="1"/>
    <xf numFmtId="166" fontId="74" fillId="42" borderId="0" xfId="5" applyNumberFormat="1" applyFont="1" applyFill="1" applyBorder="1" applyAlignment="1" applyProtection="1">
      <alignment horizontal="right"/>
    </xf>
    <xf numFmtId="166" fontId="131" fillId="42" borderId="114" xfId="11" applyNumberFormat="1" applyFont="1" applyFill="1" applyBorder="1" applyAlignment="1" applyProtection="1">
      <alignment horizontal="left"/>
    </xf>
    <xf numFmtId="166" fontId="131" fillId="42" borderId="114" xfId="11" applyNumberFormat="1" applyFont="1" applyFill="1" applyBorder="1" applyAlignment="1" applyProtection="1">
      <alignment horizontal="right"/>
    </xf>
    <xf numFmtId="166" fontId="131" fillId="42" borderId="137" xfId="0" applyNumberFormat="1" applyFont="1" applyFill="1" applyBorder="1" applyAlignment="1" applyProtection="1">
      <alignment horizontal="left"/>
    </xf>
    <xf numFmtId="166" fontId="74" fillId="41" borderId="2" xfId="5" applyNumberFormat="1" applyFont="1" applyFill="1" applyBorder="1" applyAlignment="1" applyProtection="1">
      <alignment horizontal="left"/>
    </xf>
    <xf numFmtId="0" fontId="159" fillId="0" borderId="48" xfId="0" applyFont="1" applyFill="1" applyBorder="1" applyAlignment="1">
      <alignment wrapText="1"/>
    </xf>
    <xf numFmtId="0" fontId="141" fillId="0" borderId="0" xfId="0" applyFont="1" applyBorder="1" applyAlignment="1">
      <alignment horizontal="right"/>
    </xf>
    <xf numFmtId="0" fontId="144" fillId="5" borderId="0" xfId="0" applyFont="1" applyFill="1"/>
    <xf numFmtId="0" fontId="0" fillId="41" borderId="4" xfId="0" applyFill="1" applyBorder="1" applyAlignment="1">
      <alignment vertical="center"/>
    </xf>
    <xf numFmtId="166" fontId="131" fillId="42" borderId="114" xfId="0" applyNumberFormat="1" applyFont="1" applyFill="1" applyBorder="1" applyAlignment="1" applyProtection="1">
      <alignment horizontal="left" vertical="center"/>
    </xf>
    <xf numFmtId="166" fontId="131" fillId="41" borderId="114" xfId="0" applyNumberFormat="1" applyFont="1" applyFill="1" applyBorder="1" applyAlignment="1" applyProtection="1">
      <alignment horizontal="left" vertical="center"/>
    </xf>
    <xf numFmtId="166" fontId="131" fillId="42" borderId="116" xfId="0" applyNumberFormat="1" applyFont="1" applyFill="1" applyBorder="1" applyAlignment="1" applyProtection="1">
      <alignment horizontal="center" vertical="center"/>
    </xf>
    <xf numFmtId="166" fontId="131" fillId="42" borderId="114" xfId="6" applyNumberFormat="1" applyFont="1" applyFill="1" applyBorder="1" applyAlignment="1" applyProtection="1">
      <alignment horizontal="center" vertical="center"/>
    </xf>
    <xf numFmtId="166" fontId="131" fillId="42" borderId="0" xfId="0" applyNumberFormat="1" applyFont="1" applyFill="1" applyBorder="1" applyAlignment="1" applyProtection="1">
      <alignment horizontal="center" vertical="center"/>
    </xf>
    <xf numFmtId="166" fontId="131" fillId="42" borderId="122" xfId="0" applyNumberFormat="1" applyFont="1" applyFill="1" applyBorder="1" applyAlignment="1" applyProtection="1">
      <alignment horizontal="center" vertical="center"/>
    </xf>
    <xf numFmtId="166" fontId="131" fillId="52" borderId="114" xfId="10" applyNumberFormat="1" applyFont="1" applyFill="1" applyBorder="1" applyAlignment="1" applyProtection="1">
      <alignment horizontal="center" vertical="center"/>
    </xf>
    <xf numFmtId="166" fontId="131" fillId="52" borderId="114" xfId="0" applyNumberFormat="1" applyFont="1" applyFill="1" applyBorder="1" applyAlignment="1" applyProtection="1">
      <alignment horizontal="left" vertical="center"/>
    </xf>
    <xf numFmtId="166" fontId="131" fillId="15" borderId="1" xfId="0" applyNumberFormat="1" applyFont="1" applyFill="1" applyBorder="1" applyAlignment="1" applyProtection="1">
      <alignment horizontal="center" vertical="center"/>
    </xf>
    <xf numFmtId="166" fontId="131" fillId="42" borderId="114" xfId="11" applyNumberFormat="1" applyFont="1" applyFill="1" applyBorder="1" applyAlignment="1" applyProtection="1">
      <alignment horizontal="left" vertical="center"/>
    </xf>
    <xf numFmtId="0" fontId="161" fillId="0" borderId="54" xfId="0" applyFont="1" applyFill="1" applyBorder="1"/>
    <xf numFmtId="0" fontId="161" fillId="5" borderId="54" xfId="0" applyFont="1" applyFill="1" applyBorder="1"/>
    <xf numFmtId="2" fontId="132" fillId="35" borderId="154" xfId="0" applyNumberFormat="1" applyFont="1" applyFill="1" applyBorder="1" applyAlignment="1"/>
    <xf numFmtId="177" fontId="131" fillId="52" borderId="131" xfId="5" applyNumberFormat="1" applyFont="1" applyFill="1" applyBorder="1" applyAlignment="1" applyProtection="1">
      <alignment horizontal="right"/>
    </xf>
    <xf numFmtId="166" fontId="1" fillId="0" borderId="3" xfId="0" applyNumberFormat="1" applyFont="1" applyFill="1" applyBorder="1" applyAlignment="1">
      <alignment horizontal="left"/>
    </xf>
    <xf numFmtId="166" fontId="1" fillId="0" borderId="4" xfId="0" applyNumberFormat="1" applyFont="1" applyFill="1" applyBorder="1" applyAlignment="1">
      <alignment horizontal="left"/>
    </xf>
    <xf numFmtId="166" fontId="74" fillId="0" borderId="51" xfId="5" applyNumberFormat="1" applyFont="1" applyFill="1" applyBorder="1" applyAlignment="1" applyProtection="1">
      <alignment horizontal="center" vertical="center"/>
    </xf>
    <xf numFmtId="166" fontId="74" fillId="0" borderId="51" xfId="5" applyNumberFormat="1" applyFont="1" applyFill="1" applyBorder="1" applyAlignment="1" applyProtection="1">
      <alignment horizontal="left"/>
    </xf>
    <xf numFmtId="166" fontId="1" fillId="0" borderId="51" xfId="0" applyNumberFormat="1" applyFont="1" applyFill="1" applyBorder="1" applyAlignment="1">
      <alignment horizontal="left"/>
    </xf>
    <xf numFmtId="2" fontId="1" fillId="0" borderId="3" xfId="0" applyNumberFormat="1" applyFont="1" applyFill="1" applyBorder="1" applyAlignment="1">
      <alignment horizontal="left"/>
    </xf>
    <xf numFmtId="166" fontId="99" fillId="0" borderId="0" xfId="0" applyNumberFormat="1" applyFont="1" applyFill="1" applyBorder="1" applyAlignment="1">
      <alignment horizontal="left"/>
    </xf>
    <xf numFmtId="0" fontId="14" fillId="0" borderId="0" xfId="0" applyFont="1"/>
    <xf numFmtId="0" fontId="162" fillId="57" borderId="1" xfId="0" applyFont="1" applyFill="1" applyBorder="1" applyAlignment="1">
      <alignment horizontal="center" vertical="center" wrapText="1"/>
    </xf>
    <xf numFmtId="166" fontId="162" fillId="57" borderId="2" xfId="0" applyNumberFormat="1" applyFont="1" applyFill="1" applyBorder="1" applyAlignment="1">
      <alignment horizontal="left" vertical="center"/>
    </xf>
    <xf numFmtId="166" fontId="162" fillId="57" borderId="3" xfId="0" applyNumberFormat="1" applyFont="1" applyFill="1" applyBorder="1" applyAlignment="1">
      <alignment horizontal="left"/>
    </xf>
    <xf numFmtId="2" fontId="162" fillId="57" borderId="3" xfId="0" applyNumberFormat="1" applyFont="1" applyFill="1" applyBorder="1" applyAlignment="1">
      <alignment horizontal="left"/>
    </xf>
    <xf numFmtId="166" fontId="162" fillId="57" borderId="4" xfId="0" applyNumberFormat="1" applyFont="1" applyFill="1" applyBorder="1" applyAlignment="1">
      <alignment horizontal="left"/>
    </xf>
    <xf numFmtId="166" fontId="162" fillId="0" borderId="0" xfId="0" applyNumberFormat="1" applyFont="1" applyFill="1" applyBorder="1" applyAlignment="1">
      <alignment horizontal="left"/>
    </xf>
    <xf numFmtId="0" fontId="163" fillId="0" borderId="0" xfId="0" applyFont="1" applyFill="1" applyBorder="1"/>
    <xf numFmtId="0" fontId="163" fillId="0" borderId="0" xfId="0" applyFont="1"/>
    <xf numFmtId="166" fontId="99" fillId="59" borderId="2" xfId="0" applyNumberFormat="1" applyFont="1" applyFill="1" applyBorder="1" applyAlignment="1">
      <alignment horizontal="left" vertical="center"/>
    </xf>
    <xf numFmtId="166" fontId="99" fillId="59" borderId="3" xfId="0" applyNumberFormat="1" applyFont="1" applyFill="1" applyBorder="1" applyAlignment="1">
      <alignment horizontal="left"/>
    </xf>
    <xf numFmtId="2" fontId="99" fillId="59" borderId="3" xfId="0" applyNumberFormat="1" applyFont="1" applyFill="1" applyBorder="1" applyAlignment="1">
      <alignment horizontal="left"/>
    </xf>
    <xf numFmtId="166" fontId="99" fillId="59" borderId="4" xfId="0" applyNumberFormat="1" applyFont="1" applyFill="1" applyBorder="1" applyAlignment="1">
      <alignment horizontal="left"/>
    </xf>
    <xf numFmtId="0" fontId="163" fillId="5" borderId="0" xfId="0" applyFont="1" applyFill="1" applyBorder="1"/>
    <xf numFmtId="166" fontId="162" fillId="57" borderId="3" xfId="0" applyNumberFormat="1" applyFont="1" applyFill="1" applyBorder="1" applyAlignment="1">
      <alignment horizontal="left" vertical="center"/>
    </xf>
    <xf numFmtId="181" fontId="135" fillId="17" borderId="1" xfId="0" applyNumberFormat="1" applyFont="1" applyFill="1" applyBorder="1" applyAlignment="1"/>
    <xf numFmtId="171" fontId="132" fillId="15" borderId="9" xfId="0" applyNumberFormat="1" applyFont="1" applyFill="1" applyBorder="1" applyAlignment="1"/>
    <xf numFmtId="2" fontId="0" fillId="0" borderId="0" xfId="0" applyNumberFormat="1" applyFont="1" applyFill="1" applyBorder="1" applyAlignment="1"/>
    <xf numFmtId="2" fontId="0" fillId="0" borderId="0" xfId="0" applyNumberFormat="1" applyFill="1" applyBorder="1" applyAlignment="1">
      <alignment horizontal="left"/>
    </xf>
    <xf numFmtId="0" fontId="0" fillId="0" borderId="0" xfId="0" applyBorder="1" applyAlignment="1">
      <alignment horizontal="left"/>
    </xf>
    <xf numFmtId="0" fontId="0" fillId="0" borderId="0" xfId="0" applyAlignment="1">
      <alignment horizontal="left"/>
    </xf>
    <xf numFmtId="0" fontId="84" fillId="0" borderId="0" xfId="0" applyFont="1" applyFill="1" applyBorder="1" applyAlignment="1">
      <alignment horizontal="left"/>
    </xf>
    <xf numFmtId="0" fontId="164" fillId="0" borderId="0" xfId="0" applyFont="1" applyFill="1" applyBorder="1" applyAlignment="1">
      <alignment horizontal="left"/>
    </xf>
    <xf numFmtId="2" fontId="132" fillId="0" borderId="0" xfId="0" applyNumberFormat="1" applyFont="1" applyFill="1" applyBorder="1" applyAlignment="1">
      <alignment horizontal="left"/>
    </xf>
    <xf numFmtId="2" fontId="0" fillId="0" borderId="0" xfId="0" applyNumberFormat="1" applyBorder="1" applyAlignment="1">
      <alignment horizontal="left"/>
    </xf>
    <xf numFmtId="0" fontId="0" fillId="0" borderId="0" xfId="0" applyFill="1" applyAlignment="1">
      <alignment horizontal="left"/>
    </xf>
    <xf numFmtId="2" fontId="165" fillId="0" borderId="0" xfId="0" applyNumberFormat="1" applyFont="1" applyFill="1" applyBorder="1" applyAlignment="1">
      <alignment horizontal="left"/>
    </xf>
    <xf numFmtId="14" fontId="0" fillId="2" borderId="0" xfId="0" applyNumberFormat="1" applyFill="1" applyBorder="1" applyAlignment="1">
      <alignment horizontal="left"/>
    </xf>
    <xf numFmtId="2" fontId="84" fillId="0" borderId="50" xfId="0" applyNumberFormat="1" applyFont="1" applyFill="1" applyBorder="1" applyAlignment="1">
      <alignment horizontal="left"/>
    </xf>
    <xf numFmtId="0" fontId="163" fillId="0" borderId="0" xfId="0" applyFont="1" applyAlignment="1">
      <alignment horizontal="left"/>
    </xf>
    <xf numFmtId="0" fontId="0" fillId="5" borderId="0" xfId="0" applyFill="1" applyAlignment="1">
      <alignment horizontal="left"/>
    </xf>
    <xf numFmtId="0" fontId="158" fillId="5" borderId="0" xfId="0" applyFont="1" applyFill="1" applyAlignment="1">
      <alignment horizontal="left"/>
    </xf>
    <xf numFmtId="2" fontId="0" fillId="5" borderId="0" xfId="0" applyNumberFormat="1" applyFill="1" applyBorder="1" applyAlignment="1">
      <alignment horizontal="left"/>
    </xf>
    <xf numFmtId="15" fontId="0" fillId="0" borderId="0" xfId="0" applyNumberFormat="1" applyFill="1" applyAlignment="1">
      <alignment horizontal="left"/>
    </xf>
    <xf numFmtId="14" fontId="0" fillId="0" borderId="0" xfId="0" applyNumberFormat="1" applyAlignment="1">
      <alignment horizontal="left"/>
    </xf>
    <xf numFmtId="0" fontId="0" fillId="5" borderId="50" xfId="0" applyFill="1" applyBorder="1" applyAlignment="1">
      <alignment horizontal="left"/>
    </xf>
    <xf numFmtId="0" fontId="0" fillId="5" borderId="0" xfId="0" applyFill="1" applyBorder="1" applyAlignment="1">
      <alignment horizontal="left"/>
    </xf>
    <xf numFmtId="0" fontId="0" fillId="0" borderId="50" xfId="0" applyFill="1" applyBorder="1" applyAlignment="1">
      <alignment horizontal="left"/>
    </xf>
    <xf numFmtId="0" fontId="91" fillId="0" borderId="50" xfId="0" applyFont="1" applyFill="1" applyBorder="1" applyAlignment="1">
      <alignment horizontal="left" wrapText="1"/>
    </xf>
    <xf numFmtId="0" fontId="155" fillId="0" borderId="0" xfId="0" applyFont="1" applyAlignment="1">
      <alignment horizontal="left"/>
    </xf>
    <xf numFmtId="166" fontId="131" fillId="42" borderId="116" xfId="6" applyNumberFormat="1" applyFont="1" applyFill="1" applyBorder="1" applyAlignment="1" applyProtection="1">
      <alignment horizontal="right"/>
    </xf>
    <xf numFmtId="166" fontId="131" fillId="42" borderId="1" xfId="6" applyNumberFormat="1" applyFont="1" applyFill="1" applyBorder="1" applyAlignment="1" applyProtection="1">
      <alignment horizontal="right"/>
    </xf>
    <xf numFmtId="166" fontId="131" fillId="42" borderId="123" xfId="6" applyNumberFormat="1" applyFont="1" applyFill="1" applyBorder="1" applyAlignment="1" applyProtection="1">
      <alignment horizontal="left"/>
    </xf>
    <xf numFmtId="166" fontId="131" fillId="42" borderId="1" xfId="6" applyNumberFormat="1" applyFont="1" applyFill="1" applyBorder="1" applyAlignment="1" applyProtection="1">
      <alignment horizontal="left"/>
    </xf>
    <xf numFmtId="15" fontId="99" fillId="0" borderId="0" xfId="0" applyNumberFormat="1" applyFont="1" applyFill="1" applyBorder="1" applyAlignment="1">
      <alignment horizontal="center" vertical="center" wrapText="1"/>
    </xf>
    <xf numFmtId="0" fontId="14" fillId="5" borderId="54" xfId="0" applyFont="1" applyFill="1" applyBorder="1"/>
    <xf numFmtId="0" fontId="14" fillId="5" borderId="0" xfId="0" applyFont="1" applyFill="1"/>
    <xf numFmtId="166" fontId="166" fillId="5" borderId="54" xfId="5" applyNumberFormat="1" applyFont="1" applyFill="1" applyBorder="1" applyAlignment="1" applyProtection="1">
      <alignment horizontal="left"/>
    </xf>
    <xf numFmtId="166" fontId="166" fillId="5" borderId="0" xfId="5" applyNumberFormat="1" applyFont="1" applyFill="1" applyBorder="1" applyAlignment="1" applyProtection="1">
      <alignment horizontal="left"/>
    </xf>
    <xf numFmtId="0" fontId="14" fillId="5" borderId="0" xfId="0" applyFont="1" applyFill="1" applyBorder="1"/>
    <xf numFmtId="0" fontId="14" fillId="5" borderId="48" xfId="0" applyFont="1" applyFill="1" applyBorder="1"/>
    <xf numFmtId="0" fontId="0" fillId="63" borderId="0" xfId="0" applyFill="1"/>
    <xf numFmtId="166" fontId="167" fillId="0" borderId="0" xfId="0" applyNumberFormat="1" applyFont="1" applyFill="1" applyBorder="1" applyAlignment="1">
      <alignment horizontal="left"/>
    </xf>
    <xf numFmtId="0" fontId="164" fillId="0" borderId="0" xfId="0" applyFont="1" applyAlignment="1">
      <alignment horizontal="left"/>
    </xf>
    <xf numFmtId="0" fontId="57" fillId="63" borderId="50" xfId="0" applyFont="1" applyFill="1" applyBorder="1" applyAlignment="1" applyProtection="1">
      <alignment horizontal="left" vertical="center"/>
    </xf>
    <xf numFmtId="15" fontId="0" fillId="13" borderId="0" xfId="0" applyNumberFormat="1" applyFill="1" applyBorder="1" applyAlignment="1">
      <alignment horizontal="left"/>
    </xf>
    <xf numFmtId="2" fontId="168" fillId="0" borderId="0" xfId="0" applyNumberFormat="1" applyFont="1" applyFill="1" applyBorder="1" applyAlignment="1">
      <alignment horizontal="right"/>
    </xf>
    <xf numFmtId="0" fontId="0" fillId="0" borderId="51" xfId="0" applyFill="1" applyBorder="1" applyAlignment="1">
      <alignment horizontal="center" vertical="center"/>
    </xf>
    <xf numFmtId="0" fontId="0" fillId="0" borderId="51" xfId="0" applyFill="1" applyBorder="1" applyAlignment="1">
      <alignment horizontal="left" vertical="center"/>
    </xf>
    <xf numFmtId="166" fontId="0" fillId="0" borderId="51" xfId="0" applyNumberFormat="1" applyFill="1" applyBorder="1" applyAlignment="1"/>
    <xf numFmtId="166" fontId="131" fillId="0" borderId="51" xfId="5" applyNumberFormat="1" applyFont="1" applyFill="1" applyBorder="1" applyAlignment="1" applyProtection="1">
      <alignment horizontal="right"/>
    </xf>
    <xf numFmtId="2" fontId="168" fillId="0" borderId="3" xfId="0" applyNumberFormat="1" applyFont="1" applyFill="1" applyBorder="1" applyAlignment="1">
      <alignment horizontal="right"/>
    </xf>
    <xf numFmtId="166" fontId="0" fillId="0" borderId="0" xfId="0" applyNumberFormat="1" applyAlignment="1">
      <alignment horizontal="center"/>
    </xf>
    <xf numFmtId="166" fontId="0" fillId="42" borderId="4" xfId="0" applyNumberFormat="1" applyFill="1" applyBorder="1" applyAlignment="1">
      <alignment horizontal="center"/>
    </xf>
    <xf numFmtId="166" fontId="31" fillId="42" borderId="4" xfId="0" applyNumberFormat="1" applyFont="1" applyFill="1" applyBorder="1"/>
    <xf numFmtId="166" fontId="0" fillId="52" borderId="4" xfId="0" applyNumberFormat="1" applyFill="1" applyBorder="1" applyAlignment="1">
      <alignment horizontal="center"/>
    </xf>
    <xf numFmtId="166" fontId="31" fillId="52" borderId="4" xfId="0" applyNumberFormat="1" applyFont="1" applyFill="1" applyBorder="1"/>
    <xf numFmtId="2" fontId="23" fillId="15" borderId="1" xfId="0" applyNumberFormat="1" applyFont="1" applyFill="1" applyBorder="1"/>
    <xf numFmtId="2" fontId="23" fillId="12" borderId="1" xfId="0" applyNumberFormat="1" applyFont="1" applyFill="1" applyBorder="1"/>
    <xf numFmtId="166" fontId="0" fillId="37" borderId="4" xfId="0" applyNumberFormat="1" applyFill="1" applyBorder="1" applyAlignment="1">
      <alignment horizontal="center"/>
    </xf>
    <xf numFmtId="166" fontId="31" fillId="37" borderId="4" xfId="0" applyNumberFormat="1" applyFont="1" applyFill="1" applyBorder="1"/>
    <xf numFmtId="0" fontId="0" fillId="0" borderId="54" xfId="0" applyFont="1" applyBorder="1"/>
    <xf numFmtId="0" fontId="0" fillId="52" borderId="4" xfId="0" applyFont="1" applyFill="1" applyBorder="1"/>
    <xf numFmtId="0" fontId="0" fillId="52" borderId="1" xfId="0" applyFont="1" applyFill="1" applyBorder="1" applyAlignment="1">
      <alignment horizontal="center" vertical="center"/>
    </xf>
    <xf numFmtId="166" fontId="0" fillId="52" borderId="1" xfId="0" applyNumberFormat="1" applyFont="1" applyFill="1" applyBorder="1" applyAlignment="1"/>
    <xf numFmtId="2" fontId="0" fillId="0" borderId="1" xfId="0" applyNumberFormat="1" applyFont="1" applyBorder="1" applyAlignment="1"/>
    <xf numFmtId="166" fontId="0" fillId="0" borderId="1" xfId="0" applyNumberFormat="1" applyFont="1" applyBorder="1" applyAlignment="1"/>
    <xf numFmtId="2" fontId="135" fillId="21" borderId="4" xfId="0" applyNumberFormat="1" applyFont="1" applyFill="1" applyBorder="1" applyAlignment="1"/>
    <xf numFmtId="0" fontId="0" fillId="0" borderId="0" xfId="0" applyFont="1" applyFill="1" applyBorder="1" applyAlignment="1">
      <alignment horizontal="left"/>
    </xf>
    <xf numFmtId="166" fontId="131" fillId="41" borderId="118" xfId="5" applyNumberFormat="1" applyFont="1" applyFill="1" applyBorder="1" applyAlignment="1" applyProtection="1">
      <alignment horizontal="right"/>
    </xf>
    <xf numFmtId="2" fontId="169" fillId="0" borderId="0" xfId="0" applyNumberFormat="1" applyFont="1" applyAlignment="1">
      <alignment horizontal="center"/>
    </xf>
    <xf numFmtId="2" fontId="168" fillId="0" borderId="0" xfId="0" applyNumberFormat="1" applyFont="1" applyFill="1" applyBorder="1" applyAlignment="1">
      <alignment horizontal="center"/>
    </xf>
    <xf numFmtId="2" fontId="170" fillId="0" borderId="0" xfId="0" applyNumberFormat="1" applyFont="1" applyBorder="1" applyAlignment="1">
      <alignment horizontal="center"/>
    </xf>
    <xf numFmtId="2" fontId="171" fillId="0" borderId="0" xfId="0" applyNumberFormat="1" applyFont="1" applyFill="1" applyBorder="1" applyAlignment="1">
      <alignment horizontal="center"/>
    </xf>
    <xf numFmtId="2" fontId="168" fillId="0" borderId="0" xfId="0" applyNumberFormat="1" applyFont="1" applyAlignment="1">
      <alignment horizontal="center"/>
    </xf>
    <xf numFmtId="166" fontId="0" fillId="5" borderId="4" xfId="0" applyNumberFormat="1" applyFill="1" applyBorder="1" applyAlignment="1">
      <alignment horizontal="center"/>
    </xf>
    <xf numFmtId="0" fontId="163" fillId="5" borderId="0" xfId="0" applyFont="1" applyFill="1"/>
    <xf numFmtId="166" fontId="131" fillId="5" borderId="114" xfId="5" applyNumberFormat="1" applyFont="1" applyFill="1" applyBorder="1" applyAlignment="1" applyProtection="1">
      <alignment horizontal="right"/>
    </xf>
    <xf numFmtId="0" fontId="0" fillId="51" borderId="0" xfId="0" applyFill="1"/>
    <xf numFmtId="0" fontId="146" fillId="51" borderId="0" xfId="0" applyFont="1" applyFill="1"/>
    <xf numFmtId="0" fontId="172" fillId="51" borderId="0" xfId="0" applyFont="1" applyFill="1"/>
    <xf numFmtId="0" fontId="159" fillId="5" borderId="0" xfId="0" applyFont="1" applyFill="1"/>
    <xf numFmtId="166" fontId="131" fillId="5" borderId="1" xfId="5" applyNumberFormat="1" applyFont="1" applyFill="1" applyBorder="1" applyAlignment="1" applyProtection="1">
      <alignment horizontal="left"/>
    </xf>
    <xf numFmtId="166" fontId="131" fillId="5" borderId="1" xfId="5" applyNumberFormat="1" applyFont="1" applyFill="1" applyBorder="1" applyAlignment="1" applyProtection="1">
      <alignment horizontal="center" vertical="center"/>
    </xf>
    <xf numFmtId="166" fontId="131" fillId="5" borderId="118" xfId="5" applyNumberFormat="1" applyFont="1" applyFill="1" applyBorder="1" applyAlignment="1" applyProtection="1">
      <alignment horizontal="left"/>
    </xf>
    <xf numFmtId="2" fontId="173" fillId="21" borderId="1" xfId="0" applyNumberFormat="1" applyFont="1" applyFill="1" applyBorder="1" applyAlignment="1"/>
    <xf numFmtId="166" fontId="31" fillId="5" borderId="4" xfId="0" applyNumberFormat="1" applyFont="1" applyFill="1" applyBorder="1"/>
    <xf numFmtId="2" fontId="174" fillId="0" borderId="1" xfId="0" applyNumberFormat="1" applyFont="1" applyBorder="1"/>
    <xf numFmtId="2" fontId="174" fillId="0" borderId="1" xfId="0" applyNumberFormat="1" applyFont="1" applyFill="1" applyBorder="1"/>
    <xf numFmtId="2" fontId="29" fillId="5" borderId="1" xfId="0" applyNumberFormat="1" applyFont="1" applyFill="1" applyBorder="1"/>
    <xf numFmtId="2" fontId="23" fillId="0" borderId="0" xfId="0" applyNumberFormat="1" applyFont="1" applyBorder="1"/>
    <xf numFmtId="166" fontId="0" fillId="52" borderId="1" xfId="0" applyNumberFormat="1" applyFill="1" applyBorder="1"/>
    <xf numFmtId="166" fontId="23" fillId="0" borderId="12" xfId="0" applyNumberFormat="1" applyFont="1" applyFill="1" applyBorder="1" applyAlignment="1">
      <alignment horizontal="center" vertical="center" wrapText="1"/>
    </xf>
    <xf numFmtId="166" fontId="23" fillId="0" borderId="12" xfId="0" applyNumberFormat="1" applyFont="1" applyFill="1" applyBorder="1" applyAlignment="1">
      <alignment horizontal="center" vertical="center"/>
    </xf>
    <xf numFmtId="166" fontId="23" fillId="0" borderId="9" xfId="0" applyNumberFormat="1" applyFont="1" applyFill="1" applyBorder="1" applyAlignment="1">
      <alignment horizontal="center" vertical="center" wrapText="1"/>
    </xf>
    <xf numFmtId="166" fontId="23" fillId="0" borderId="9" xfId="0" applyNumberFormat="1" applyFont="1" applyFill="1" applyBorder="1" applyAlignment="1">
      <alignment horizontal="center" vertical="center"/>
    </xf>
    <xf numFmtId="166" fontId="173" fillId="5" borderId="4" xfId="0" applyNumberFormat="1" applyFont="1" applyFill="1" applyBorder="1" applyAlignment="1">
      <alignment horizontal="center"/>
    </xf>
    <xf numFmtId="2" fontId="23" fillId="0" borderId="9" xfId="0" applyNumberFormat="1" applyFont="1" applyFill="1" applyBorder="1" applyAlignment="1">
      <alignment horizontal="right" vertical="center" wrapText="1"/>
    </xf>
    <xf numFmtId="166" fontId="175" fillId="5" borderId="4" xfId="0" applyNumberFormat="1" applyFont="1" applyFill="1" applyBorder="1"/>
    <xf numFmtId="166" fontId="23" fillId="0" borderId="1" xfId="0" applyNumberFormat="1" applyFont="1" applyFill="1" applyBorder="1" applyAlignment="1">
      <alignment horizontal="center" vertical="center"/>
    </xf>
    <xf numFmtId="166" fontId="23" fillId="23" borderId="0" xfId="0" applyNumberFormat="1" applyFont="1" applyFill="1" applyBorder="1" applyAlignment="1">
      <alignment horizontal="center" vertical="center"/>
    </xf>
    <xf numFmtId="49" fontId="68" fillId="35" borderId="1" xfId="0" applyNumberFormat="1" applyFont="1" applyFill="1" applyBorder="1" applyAlignment="1">
      <alignment horizontal="center" vertical="center" wrapText="1"/>
    </xf>
    <xf numFmtId="2" fontId="23" fillId="0" borderId="2" xfId="0" applyNumberFormat="1" applyFont="1" applyBorder="1"/>
    <xf numFmtId="166" fontId="23" fillId="2" borderId="101" xfId="0" applyNumberFormat="1" applyFont="1" applyFill="1" applyBorder="1" applyAlignment="1">
      <alignment horizontal="left" vertical="center"/>
    </xf>
    <xf numFmtId="166" fontId="23" fillId="31" borderId="101" xfId="0" applyNumberFormat="1" applyFont="1" applyFill="1" applyBorder="1" applyAlignment="1">
      <alignment horizontal="left" vertical="center"/>
    </xf>
    <xf numFmtId="166" fontId="23" fillId="30" borderId="101" xfId="0" applyNumberFormat="1" applyFont="1" applyFill="1" applyBorder="1" applyAlignment="1">
      <alignment horizontal="left" vertical="center"/>
    </xf>
    <xf numFmtId="2" fontId="55" fillId="0" borderId="0" xfId="0" applyNumberFormat="1" applyFont="1" applyFill="1" applyBorder="1"/>
    <xf numFmtId="2" fontId="25" fillId="0" borderId="0" xfId="0" applyNumberFormat="1" applyFont="1" applyFill="1" applyBorder="1" applyAlignment="1">
      <alignment horizontal="center" vertical="center"/>
    </xf>
    <xf numFmtId="2" fontId="23" fillId="15" borderId="1" xfId="0" applyNumberFormat="1" applyFont="1" applyFill="1" applyBorder="1" applyAlignment="1">
      <alignment horizontal="right"/>
    </xf>
    <xf numFmtId="166" fontId="23" fillId="23" borderId="1" xfId="0" applyNumberFormat="1" applyFont="1" applyFill="1" applyBorder="1" applyAlignment="1">
      <alignment horizontal="center" vertical="center" wrapText="1"/>
    </xf>
    <xf numFmtId="166" fontId="23" fillId="23" borderId="4" xfId="0" applyNumberFormat="1" applyFont="1" applyFill="1" applyBorder="1" applyAlignment="1">
      <alignment horizontal="center" vertical="center" wrapText="1"/>
    </xf>
    <xf numFmtId="166" fontId="23" fillId="23" borderId="4" xfId="0" applyNumberFormat="1" applyFont="1" applyFill="1" applyBorder="1" applyAlignment="1">
      <alignment horizontal="center" vertical="center"/>
    </xf>
    <xf numFmtId="166" fontId="23" fillId="23" borderId="1" xfId="0" applyNumberFormat="1" applyFont="1" applyFill="1" applyBorder="1" applyAlignment="1">
      <alignment horizontal="center" vertical="center"/>
    </xf>
    <xf numFmtId="166" fontId="0" fillId="37" borderId="1" xfId="0" applyNumberFormat="1" applyFill="1" applyBorder="1"/>
    <xf numFmtId="166" fontId="173" fillId="5" borderId="1" xfId="0" applyNumberFormat="1" applyFont="1" applyFill="1" applyBorder="1"/>
    <xf numFmtId="166" fontId="0" fillId="5" borderId="1" xfId="0" applyNumberFormat="1" applyFill="1" applyBorder="1"/>
    <xf numFmtId="166" fontId="23" fillId="13" borderId="1" xfId="0" applyNumberFormat="1" applyFont="1" applyFill="1" applyBorder="1" applyAlignment="1">
      <alignment horizontal="center" vertical="center" wrapText="1"/>
    </xf>
    <xf numFmtId="166" fontId="23" fillId="13" borderId="4" xfId="0" applyNumberFormat="1" applyFont="1" applyFill="1" applyBorder="1" applyAlignment="1">
      <alignment horizontal="center" vertical="center" wrapText="1"/>
    </xf>
    <xf numFmtId="166" fontId="23" fillId="13" borderId="4" xfId="0" applyNumberFormat="1" applyFont="1" applyFill="1" applyBorder="1" applyAlignment="1">
      <alignment horizontal="center" vertical="center"/>
    </xf>
    <xf numFmtId="166" fontId="23" fillId="13" borderId="1" xfId="0" applyNumberFormat="1" applyFont="1" applyFill="1" applyBorder="1" applyAlignment="1">
      <alignment horizontal="center" vertical="center"/>
    </xf>
    <xf numFmtId="166" fontId="23" fillId="41" borderId="1" xfId="0" applyNumberFormat="1" applyFont="1" applyFill="1" applyBorder="1" applyAlignment="1">
      <alignment horizontal="center" vertical="center" wrapText="1"/>
    </xf>
    <xf numFmtId="166" fontId="23" fillId="41" borderId="4" xfId="0" applyNumberFormat="1" applyFont="1" applyFill="1" applyBorder="1" applyAlignment="1">
      <alignment horizontal="center" vertical="center" wrapText="1"/>
    </xf>
    <xf numFmtId="166" fontId="23" fillId="41" borderId="4" xfId="0" applyNumberFormat="1" applyFont="1" applyFill="1" applyBorder="1" applyAlignment="1">
      <alignment horizontal="center" vertical="center"/>
    </xf>
    <xf numFmtId="166" fontId="23" fillId="41" borderId="1" xfId="0" applyNumberFormat="1" applyFont="1" applyFill="1" applyBorder="1" applyAlignment="1">
      <alignment horizontal="center" vertical="center"/>
    </xf>
    <xf numFmtId="166" fontId="23" fillId="2" borderId="100" xfId="0" applyNumberFormat="1" applyFont="1" applyFill="1" applyBorder="1" applyAlignment="1">
      <alignment horizontal="left" vertical="center"/>
    </xf>
    <xf numFmtId="166" fontId="25" fillId="2" borderId="1" xfId="0" applyNumberFormat="1" applyFont="1" applyFill="1" applyBorder="1" applyAlignment="1">
      <alignment horizontal="center" vertical="center"/>
    </xf>
    <xf numFmtId="166" fontId="103" fillId="74" borderId="2" xfId="0" applyNumberFormat="1" applyFont="1" applyFill="1" applyBorder="1" applyAlignment="1">
      <alignment horizontal="center" vertical="center"/>
    </xf>
    <xf numFmtId="166" fontId="23" fillId="38" borderId="1" xfId="0" applyNumberFormat="1" applyFont="1" applyFill="1" applyBorder="1" applyAlignment="1">
      <alignment horizontal="left" vertical="center"/>
    </xf>
    <xf numFmtId="166" fontId="23" fillId="60" borderId="1" xfId="0" applyNumberFormat="1" applyFont="1" applyFill="1" applyBorder="1" applyAlignment="1">
      <alignment horizontal="left" vertical="center"/>
    </xf>
    <xf numFmtId="2" fontId="26" fillId="3" borderId="1" xfId="0" applyNumberFormat="1" applyFont="1" applyFill="1" applyBorder="1" applyAlignment="1">
      <alignment horizontal="right"/>
    </xf>
    <xf numFmtId="166" fontId="103" fillId="75" borderId="1" xfId="0" applyNumberFormat="1" applyFont="1" applyFill="1" applyBorder="1" applyAlignment="1">
      <alignment horizontal="left" vertical="center"/>
    </xf>
    <xf numFmtId="2" fontId="103" fillId="75" borderId="1" xfId="0" applyNumberFormat="1" applyFont="1" applyFill="1" applyBorder="1" applyAlignment="1">
      <alignment horizontal="right"/>
    </xf>
    <xf numFmtId="166" fontId="23" fillId="26" borderId="1" xfId="0" applyNumberFormat="1" applyFont="1" applyFill="1" applyBorder="1" applyAlignment="1">
      <alignment horizontal="left" vertical="center"/>
    </xf>
    <xf numFmtId="171" fontId="26" fillId="26" borderId="1" xfId="0" applyNumberFormat="1" applyFont="1" applyFill="1" applyBorder="1" applyAlignment="1">
      <alignment horizontal="right"/>
    </xf>
    <xf numFmtId="166" fontId="23" fillId="63" borderId="1" xfId="0" applyNumberFormat="1" applyFont="1" applyFill="1" applyBorder="1" applyAlignment="1">
      <alignment horizontal="left" vertical="center"/>
    </xf>
    <xf numFmtId="2" fontId="55" fillId="63" borderId="1" xfId="0" applyNumberFormat="1" applyFont="1" applyFill="1" applyBorder="1" applyAlignment="1">
      <alignment horizontal="right"/>
    </xf>
    <xf numFmtId="166" fontId="23" fillId="9" borderId="1" xfId="0" applyNumberFormat="1" applyFont="1" applyFill="1" applyBorder="1" applyAlignment="1">
      <alignment horizontal="left" vertical="center"/>
    </xf>
    <xf numFmtId="2" fontId="26" fillId="9" borderId="1" xfId="0" applyNumberFormat="1" applyFont="1" applyFill="1" applyBorder="1" applyAlignment="1">
      <alignment horizontal="right"/>
    </xf>
    <xf numFmtId="166" fontId="23" fillId="73" borderId="1" xfId="0" applyNumberFormat="1" applyFont="1" applyFill="1" applyBorder="1" applyAlignment="1">
      <alignment horizontal="left" vertical="center"/>
    </xf>
    <xf numFmtId="2" fontId="55" fillId="73" borderId="1" xfId="0" applyNumberFormat="1" applyFont="1" applyFill="1" applyBorder="1" applyAlignment="1">
      <alignment horizontal="right"/>
    </xf>
    <xf numFmtId="171" fontId="26" fillId="9" borderId="1" xfId="0" applyNumberFormat="1" applyFont="1" applyFill="1" applyBorder="1" applyAlignment="1">
      <alignment horizontal="right"/>
    </xf>
    <xf numFmtId="2" fontId="23" fillId="14" borderId="4" xfId="0" applyNumberFormat="1" applyFont="1" applyFill="1" applyBorder="1" applyAlignment="1">
      <alignment horizontal="right"/>
    </xf>
    <xf numFmtId="166" fontId="103" fillId="74" borderId="1" xfId="0" applyNumberFormat="1" applyFont="1" applyFill="1" applyBorder="1" applyAlignment="1">
      <alignment horizontal="center" vertical="center"/>
    </xf>
    <xf numFmtId="2" fontId="103" fillId="74" borderId="1" xfId="0" applyNumberFormat="1" applyFont="1" applyFill="1" applyBorder="1" applyAlignment="1">
      <alignment horizontal="right" vertical="center"/>
    </xf>
    <xf numFmtId="166" fontId="23" fillId="14" borderId="1" xfId="0" applyNumberFormat="1" applyFont="1" applyFill="1" applyBorder="1" applyAlignment="1">
      <alignment horizontal="left" vertical="center"/>
    </xf>
    <xf numFmtId="2" fontId="55" fillId="38" borderId="9" xfId="0" applyNumberFormat="1" applyFont="1" applyFill="1" applyBorder="1" applyAlignment="1">
      <alignment horizontal="right"/>
    </xf>
    <xf numFmtId="166" fontId="103" fillId="3" borderId="9" xfId="0" applyNumberFormat="1" applyFont="1" applyFill="1" applyBorder="1" applyAlignment="1">
      <alignment horizontal="left" vertical="center"/>
    </xf>
    <xf numFmtId="166" fontId="103" fillId="74" borderId="4" xfId="0" applyNumberFormat="1" applyFont="1" applyFill="1" applyBorder="1" applyAlignment="1">
      <alignment horizontal="center" vertical="center"/>
    </xf>
    <xf numFmtId="2" fontId="103" fillId="3" borderId="1" xfId="0" applyNumberFormat="1" applyFont="1" applyFill="1" applyBorder="1" applyAlignment="1">
      <alignment horizontal="right"/>
    </xf>
    <xf numFmtId="2" fontId="23" fillId="14" borderId="1" xfId="0" applyNumberFormat="1" applyFont="1" applyFill="1" applyBorder="1" applyAlignment="1">
      <alignment horizontal="right"/>
    </xf>
    <xf numFmtId="2" fontId="103" fillId="11" borderId="1" xfId="0" applyNumberFormat="1" applyFont="1" applyFill="1" applyBorder="1" applyAlignment="1">
      <alignment horizontal="center" vertical="center"/>
    </xf>
    <xf numFmtId="2" fontId="103" fillId="11" borderId="1" xfId="0" applyNumberFormat="1" applyFont="1" applyFill="1" applyBorder="1" applyAlignment="1">
      <alignment horizontal="right" vertical="center"/>
    </xf>
    <xf numFmtId="2" fontId="103" fillId="3" borderId="1" xfId="0" applyNumberFormat="1" applyFont="1" applyFill="1" applyBorder="1" applyAlignment="1">
      <alignment horizontal="right" vertical="center"/>
    </xf>
    <xf numFmtId="166" fontId="0" fillId="7" borderId="1" xfId="0" applyNumberFormat="1" applyFill="1" applyBorder="1"/>
    <xf numFmtId="166" fontId="0" fillId="26" borderId="1" xfId="0" applyNumberFormat="1" applyFill="1" applyBorder="1"/>
    <xf numFmtId="166" fontId="0" fillId="13" borderId="1" xfId="0" applyNumberFormat="1" applyFill="1" applyBorder="1"/>
    <xf numFmtId="2" fontId="26" fillId="13" borderId="1" xfId="0" applyNumberFormat="1" applyFont="1" applyFill="1" applyBorder="1" applyAlignment="1">
      <alignment horizontal="right"/>
    </xf>
    <xf numFmtId="2" fontId="23" fillId="13" borderId="1" xfId="0" applyNumberFormat="1" applyFont="1" applyFill="1" applyBorder="1" applyAlignment="1">
      <alignment horizontal="right"/>
    </xf>
    <xf numFmtId="2" fontId="23" fillId="9" borderId="1" xfId="0" applyNumberFormat="1" applyFont="1" applyFill="1" applyBorder="1" applyAlignment="1">
      <alignment horizontal="right"/>
    </xf>
    <xf numFmtId="2" fontId="23" fillId="26" borderId="1" xfId="0" applyNumberFormat="1" applyFont="1" applyFill="1" applyBorder="1" applyAlignment="1">
      <alignment horizontal="right"/>
    </xf>
    <xf numFmtId="166" fontId="23" fillId="23" borderId="2" xfId="0" applyNumberFormat="1" applyFont="1" applyFill="1" applyBorder="1" applyAlignment="1">
      <alignment horizontal="center" vertical="center"/>
    </xf>
    <xf numFmtId="2" fontId="103" fillId="11" borderId="2" xfId="0" applyNumberFormat="1" applyFont="1" applyFill="1" applyBorder="1" applyAlignment="1">
      <alignment horizontal="center" vertical="center"/>
    </xf>
    <xf numFmtId="166" fontId="23" fillId="13" borderId="2" xfId="0" applyNumberFormat="1" applyFont="1" applyFill="1" applyBorder="1" applyAlignment="1">
      <alignment horizontal="center" vertical="center"/>
    </xf>
    <xf numFmtId="2" fontId="103" fillId="11" borderId="2" xfId="0" applyNumberFormat="1" applyFont="1" applyFill="1" applyBorder="1" applyAlignment="1">
      <alignment horizontal="right" vertical="center"/>
    </xf>
    <xf numFmtId="4" fontId="0" fillId="21" borderId="150" xfId="0" applyNumberFormat="1" applyFont="1" applyFill="1" applyBorder="1"/>
    <xf numFmtId="4" fontId="0" fillId="12" borderId="150" xfId="0" applyNumberFormat="1" applyFont="1" applyFill="1" applyBorder="1"/>
    <xf numFmtId="4" fontId="0" fillId="17" borderId="150" xfId="0" applyNumberFormat="1" applyFont="1" applyFill="1" applyBorder="1"/>
    <xf numFmtId="4" fontId="0" fillId="21" borderId="149" xfId="0" applyNumberFormat="1" applyFont="1" applyFill="1" applyBorder="1"/>
    <xf numFmtId="4" fontId="0" fillId="12" borderId="149" xfId="0" applyNumberFormat="1" applyFont="1" applyFill="1" applyBorder="1"/>
    <xf numFmtId="4" fontId="0" fillId="21" borderId="157" xfId="0" applyNumberFormat="1" applyFont="1" applyFill="1" applyBorder="1"/>
    <xf numFmtId="4" fontId="0" fillId="12" borderId="157" xfId="0" applyNumberFormat="1" applyFont="1" applyFill="1" applyBorder="1"/>
    <xf numFmtId="0" fontId="0" fillId="0" borderId="0" xfId="0" applyFont="1" applyAlignment="1">
      <alignment horizontal="center"/>
    </xf>
    <xf numFmtId="4" fontId="133" fillId="13" borderId="158" xfId="0" applyNumberFormat="1" applyFont="1" applyFill="1" applyBorder="1" applyAlignment="1" applyProtection="1">
      <alignment horizontal="center" vertical="center"/>
      <protection hidden="1"/>
    </xf>
    <xf numFmtId="4" fontId="133" fillId="13" borderId="159" xfId="0" applyNumberFormat="1" applyFont="1" applyFill="1" applyBorder="1" applyAlignment="1" applyProtection="1">
      <alignment horizontal="center" vertical="center"/>
      <protection hidden="1"/>
    </xf>
    <xf numFmtId="0" fontId="0" fillId="0" borderId="0" xfId="0" applyFont="1" applyAlignment="1">
      <alignment vertical="center"/>
    </xf>
    <xf numFmtId="168" fontId="0" fillId="58" borderId="0" xfId="0" applyNumberFormat="1" applyFont="1" applyFill="1" applyAlignment="1">
      <alignment horizontal="center" vertical="center"/>
    </xf>
    <xf numFmtId="168" fontId="0" fillId="11" borderId="0" xfId="0" applyNumberFormat="1" applyFont="1" applyFill="1" applyAlignment="1">
      <alignment horizontal="center" vertical="center"/>
    </xf>
    <xf numFmtId="4" fontId="0" fillId="0" borderId="0" xfId="0" applyNumberFormat="1" applyFont="1" applyAlignment="1">
      <alignment vertical="center"/>
    </xf>
    <xf numFmtId="0" fontId="0" fillId="0" borderId="0" xfId="0" applyFont="1" applyAlignment="1">
      <alignment horizontal="center" vertical="center"/>
    </xf>
    <xf numFmtId="0" fontId="2" fillId="0" borderId="0" xfId="0" applyFont="1" applyFill="1"/>
    <xf numFmtId="166" fontId="2" fillId="0" borderId="160" xfId="0" applyNumberFormat="1" applyFont="1" applyBorder="1" applyAlignment="1">
      <alignment horizontal="center" vertical="center"/>
    </xf>
    <xf numFmtId="168" fontId="2" fillId="58" borderId="160" xfId="0" applyNumberFormat="1" applyFont="1" applyFill="1" applyBorder="1" applyAlignment="1">
      <alignment horizontal="center" vertical="center"/>
    </xf>
    <xf numFmtId="166" fontId="2" fillId="0" borderId="160" xfId="0" applyNumberFormat="1" applyFont="1" applyFill="1" applyBorder="1" applyAlignment="1">
      <alignment horizontal="center" vertical="center"/>
    </xf>
    <xf numFmtId="10" fontId="2" fillId="0" borderId="160" xfId="0" applyNumberFormat="1" applyFont="1" applyBorder="1" applyAlignment="1">
      <alignment horizontal="center" vertical="center"/>
    </xf>
    <xf numFmtId="168" fontId="2" fillId="11" borderId="160" xfId="0" applyNumberFormat="1" applyFont="1" applyFill="1" applyBorder="1" applyAlignment="1">
      <alignment horizontal="center" vertical="center"/>
    </xf>
    <xf numFmtId="0" fontId="0" fillId="0" borderId="160" xfId="0" applyFont="1" applyFill="1" applyBorder="1" applyAlignment="1">
      <alignment horizontal="left" vertical="center" wrapText="1"/>
    </xf>
    <xf numFmtId="49" fontId="0" fillId="0" borderId="160" xfId="0" applyNumberFormat="1" applyFont="1" applyFill="1" applyBorder="1" applyAlignment="1">
      <alignment horizontal="left" vertical="center" wrapText="1"/>
    </xf>
    <xf numFmtId="0" fontId="2" fillId="0" borderId="160" xfId="0" applyFont="1" applyBorder="1" applyAlignment="1">
      <alignment vertical="center"/>
    </xf>
    <xf numFmtId="4" fontId="146" fillId="18" borderId="160" xfId="0" applyNumberFormat="1" applyFont="1" applyFill="1" applyBorder="1" applyAlignment="1">
      <alignment horizontal="center" vertical="center"/>
    </xf>
    <xf numFmtId="4" fontId="2" fillId="0" borderId="160" xfId="0" applyNumberFormat="1" applyFont="1" applyBorder="1" applyAlignment="1">
      <alignment horizontal="center" vertical="center"/>
    </xf>
    <xf numFmtId="0" fontId="2" fillId="0" borderId="160" xfId="0" applyFont="1" applyBorder="1" applyAlignment="1">
      <alignment horizontal="center" vertical="center"/>
    </xf>
    <xf numFmtId="168" fontId="0" fillId="0" borderId="160" xfId="0" applyNumberFormat="1" applyFont="1" applyFill="1" applyBorder="1" applyAlignment="1">
      <alignment horizontal="center" vertical="center"/>
    </xf>
    <xf numFmtId="2" fontId="2" fillId="0" borderId="160" xfId="0" applyNumberFormat="1" applyFont="1" applyFill="1" applyBorder="1" applyAlignment="1" applyProtection="1">
      <alignment horizontal="center" vertical="center"/>
    </xf>
    <xf numFmtId="166" fontId="2" fillId="0" borderId="160" xfId="0" applyNumberFormat="1" applyFont="1" applyFill="1" applyBorder="1" applyAlignment="1" applyProtection="1">
      <alignment horizontal="left" vertical="center"/>
    </xf>
    <xf numFmtId="166" fontId="2" fillId="2" borderId="160" xfId="0" applyNumberFormat="1" applyFont="1" applyFill="1" applyBorder="1" applyAlignment="1" applyProtection="1">
      <alignment horizontal="center" vertical="center"/>
    </xf>
    <xf numFmtId="168" fontId="0" fillId="0" borderId="160" xfId="0" applyNumberFormat="1" applyFont="1" applyBorder="1" applyAlignment="1">
      <alignment horizontal="center" vertical="center"/>
    </xf>
    <xf numFmtId="10" fontId="0" fillId="0" borderId="160" xfId="0" applyNumberFormat="1" applyFont="1" applyBorder="1" applyAlignment="1">
      <alignment horizontal="center" vertical="center"/>
    </xf>
    <xf numFmtId="0" fontId="0" fillId="0" borderId="160" xfId="0" applyFont="1" applyBorder="1" applyAlignment="1">
      <alignment horizontal="left" vertical="center"/>
    </xf>
    <xf numFmtId="0" fontId="0" fillId="0" borderId="160" xfId="0" applyFont="1" applyBorder="1" applyAlignment="1">
      <alignment horizontal="center" vertical="center"/>
    </xf>
    <xf numFmtId="4" fontId="0" fillId="0" borderId="160" xfId="0" applyNumberFormat="1" applyFont="1" applyBorder="1" applyAlignment="1">
      <alignment horizontal="center" vertical="center"/>
    </xf>
    <xf numFmtId="0" fontId="0" fillId="0" borderId="160" xfId="0" applyFont="1" applyFill="1" applyBorder="1" applyAlignment="1">
      <alignment horizontal="center" vertical="center"/>
    </xf>
    <xf numFmtId="166" fontId="0" fillId="0" borderId="160" xfId="0" applyNumberFormat="1" applyFont="1" applyFill="1" applyBorder="1" applyAlignment="1">
      <alignment horizontal="center" vertical="center"/>
    </xf>
    <xf numFmtId="2" fontId="19" fillId="0" borderId="160" xfId="0" applyNumberFormat="1" applyFont="1" applyFill="1" applyBorder="1" applyAlignment="1" applyProtection="1">
      <alignment horizontal="center" vertical="center"/>
    </xf>
    <xf numFmtId="166" fontId="2" fillId="27" borderId="160" xfId="0" applyNumberFormat="1" applyFont="1" applyFill="1" applyBorder="1" applyAlignment="1" applyProtection="1">
      <alignment horizontal="left" vertical="center"/>
    </xf>
    <xf numFmtId="166" fontId="0" fillId="0" borderId="160" xfId="0" applyNumberFormat="1" applyFont="1" applyFill="1" applyBorder="1" applyAlignment="1" applyProtection="1">
      <alignment horizontal="left" vertical="center"/>
    </xf>
    <xf numFmtId="166" fontId="0" fillId="27" borderId="160" xfId="0" applyNumberFormat="1" applyFont="1" applyFill="1" applyBorder="1" applyAlignment="1" applyProtection="1">
      <alignment horizontal="center" vertical="center"/>
    </xf>
    <xf numFmtId="166" fontId="0" fillId="2" borderId="160" xfId="0" applyNumberFormat="1" applyFont="1" applyFill="1" applyBorder="1" applyAlignment="1" applyProtection="1">
      <alignment horizontal="center" vertical="center"/>
    </xf>
    <xf numFmtId="4" fontId="0" fillId="0" borderId="160" xfId="0" applyNumberFormat="1" applyFont="1" applyFill="1" applyBorder="1" applyAlignment="1">
      <alignment horizontal="center" vertical="center"/>
    </xf>
    <xf numFmtId="49" fontId="0" fillId="0" borderId="160" xfId="0" applyNumberFormat="1" applyFont="1" applyFill="1" applyBorder="1" applyAlignment="1">
      <alignment horizontal="center" vertical="center"/>
    </xf>
    <xf numFmtId="0" fontId="0" fillId="0" borderId="160" xfId="0" applyFont="1" applyBorder="1" applyAlignment="1">
      <alignment vertical="center"/>
    </xf>
    <xf numFmtId="166" fontId="0" fillId="30" borderId="160" xfId="0"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wrapText="1"/>
    </xf>
    <xf numFmtId="49" fontId="0" fillId="0" borderId="160" xfId="0" applyNumberFormat="1" applyFont="1" applyFill="1" applyBorder="1" applyAlignment="1">
      <alignment horizontal="left" vertical="center"/>
    </xf>
    <xf numFmtId="166" fontId="2" fillId="0" borderId="160" xfId="0" applyNumberFormat="1" applyFont="1" applyFill="1" applyBorder="1" applyAlignment="1" applyProtection="1">
      <alignment horizontal="left"/>
    </xf>
    <xf numFmtId="166" fontId="2" fillId="0" borderId="160" xfId="0" applyNumberFormat="1" applyFont="1" applyFill="1" applyBorder="1" applyAlignment="1" applyProtection="1"/>
    <xf numFmtId="166" fontId="2" fillId="2" borderId="160" xfId="0" applyNumberFormat="1" applyFont="1" applyFill="1" applyBorder="1" applyAlignment="1" applyProtection="1">
      <alignment horizontal="center"/>
    </xf>
    <xf numFmtId="166" fontId="2" fillId="0" borderId="160" xfId="0" applyNumberFormat="1" applyFont="1" applyBorder="1" applyAlignment="1">
      <alignment horizontal="center" vertical="center" wrapText="1"/>
    </xf>
    <xf numFmtId="166" fontId="2" fillId="0" borderId="160" xfId="0" applyNumberFormat="1" applyFont="1" applyFill="1" applyBorder="1" applyAlignment="1">
      <alignment horizontal="center" vertical="center" wrapText="1"/>
    </xf>
    <xf numFmtId="10" fontId="2" fillId="0" borderId="160" xfId="0" applyNumberFormat="1" applyFont="1" applyBorder="1" applyAlignment="1">
      <alignment horizontal="center" vertical="center" wrapText="1"/>
    </xf>
    <xf numFmtId="0" fontId="2" fillId="0" borderId="160" xfId="0" applyFont="1" applyBorder="1" applyAlignment="1">
      <alignment horizontal="left" vertical="center" wrapText="1"/>
    </xf>
    <xf numFmtId="166" fontId="2" fillId="0" borderId="160" xfId="0" applyNumberFormat="1" applyFont="1" applyFill="1" applyBorder="1" applyAlignment="1" applyProtection="1">
      <alignment horizontal="center"/>
    </xf>
    <xf numFmtId="2" fontId="0" fillId="0" borderId="160" xfId="0" applyNumberFormat="1" applyFont="1" applyFill="1" applyBorder="1" applyAlignment="1">
      <alignment horizontal="center" vertical="center"/>
    </xf>
    <xf numFmtId="0" fontId="0" fillId="0" borderId="160" xfId="0" applyFont="1" applyBorder="1"/>
    <xf numFmtId="0" fontId="0" fillId="2" borderId="160" xfId="0" applyFont="1" applyFill="1" applyBorder="1" applyAlignment="1">
      <alignment horizontal="center"/>
    </xf>
    <xf numFmtId="168" fontId="2" fillId="0" borderId="160" xfId="0" applyNumberFormat="1" applyFont="1" applyBorder="1" applyAlignment="1">
      <alignment horizontal="center" vertical="center"/>
    </xf>
    <xf numFmtId="0" fontId="177" fillId="0" borderId="0" xfId="0" applyFont="1" applyAlignment="1">
      <alignment vertical="center"/>
    </xf>
    <xf numFmtId="0" fontId="177" fillId="0" borderId="0" xfId="0" applyFont="1"/>
    <xf numFmtId="168" fontId="177" fillId="0" borderId="160" xfId="0" applyNumberFormat="1" applyFont="1" applyBorder="1" applyAlignment="1">
      <alignment horizontal="center" vertical="center"/>
    </xf>
    <xf numFmtId="10" fontId="177" fillId="0" borderId="160" xfId="0" applyNumberFormat="1" applyFont="1" applyBorder="1" applyAlignment="1">
      <alignment horizontal="center" vertical="center"/>
    </xf>
    <xf numFmtId="0" fontId="177" fillId="0" borderId="160" xfId="0" applyFont="1" applyBorder="1" applyAlignment="1">
      <alignment vertical="center"/>
    </xf>
    <xf numFmtId="4" fontId="177" fillId="0" borderId="160" xfId="0" applyNumberFormat="1" applyFont="1" applyBorder="1" applyAlignment="1">
      <alignment horizontal="center" vertical="center"/>
    </xf>
    <xf numFmtId="2" fontId="177" fillId="0" borderId="160" xfId="0" applyNumberFormat="1" applyFont="1" applyFill="1" applyBorder="1" applyAlignment="1" applyProtection="1">
      <alignment horizontal="center" vertical="center"/>
    </xf>
    <xf numFmtId="166" fontId="177" fillId="0" borderId="160" xfId="0" applyNumberFormat="1" applyFont="1" applyFill="1" applyBorder="1" applyAlignment="1" applyProtection="1">
      <alignment horizontal="left" vertical="center"/>
    </xf>
    <xf numFmtId="166" fontId="177" fillId="2" borderId="160" xfId="0" applyNumberFormat="1" applyFont="1" applyFill="1" applyBorder="1" applyAlignment="1" applyProtection="1">
      <alignment horizontal="center" vertical="center"/>
    </xf>
    <xf numFmtId="168" fontId="0" fillId="0" borderId="0" xfId="0" applyNumberFormat="1" applyFont="1" applyAlignment="1">
      <alignment horizontal="center" vertical="center"/>
    </xf>
    <xf numFmtId="0" fontId="2" fillId="0" borderId="160" xfId="0" applyFont="1" applyBorder="1" applyAlignment="1">
      <alignment horizontal="left" vertical="center"/>
    </xf>
    <xf numFmtId="166" fontId="2" fillId="0" borderId="160" xfId="0" applyNumberFormat="1" applyFont="1" applyFill="1" applyBorder="1" applyAlignment="1" applyProtection="1">
      <alignment horizontal="center" vertical="center"/>
    </xf>
    <xf numFmtId="0" fontId="0" fillId="0" borderId="160" xfId="0" applyFont="1" applyFill="1" applyBorder="1" applyAlignment="1">
      <alignment vertical="center"/>
    </xf>
    <xf numFmtId="4" fontId="0" fillId="0" borderId="160" xfId="0" applyNumberFormat="1" applyFont="1" applyBorder="1" applyAlignment="1">
      <alignment vertical="center"/>
    </xf>
    <xf numFmtId="49" fontId="2" fillId="0" borderId="160" xfId="0" applyNumberFormat="1" applyFont="1" applyFill="1" applyBorder="1" applyAlignment="1">
      <alignment horizontal="left" vertical="center"/>
    </xf>
    <xf numFmtId="4" fontId="2" fillId="0" borderId="160" xfId="0" applyNumberFormat="1" applyFont="1" applyFill="1" applyBorder="1" applyAlignment="1">
      <alignment horizontal="center" vertical="center"/>
    </xf>
    <xf numFmtId="0" fontId="0" fillId="0" borderId="0" xfId="0" applyFont="1" applyFill="1"/>
    <xf numFmtId="10" fontId="2" fillId="0" borderId="160" xfId="0" applyNumberFormat="1" applyFont="1" applyFill="1" applyBorder="1" applyAlignment="1">
      <alignment horizontal="center" vertical="center" wrapText="1"/>
    </xf>
    <xf numFmtId="0" fontId="0" fillId="0" borderId="160" xfId="0" applyFont="1" applyFill="1" applyBorder="1"/>
    <xf numFmtId="49" fontId="68" fillId="0" borderId="160" xfId="0" applyNumberFormat="1" applyFont="1" applyFill="1" applyBorder="1" applyAlignment="1">
      <alignment horizontal="left" vertical="center" wrapText="1"/>
    </xf>
    <xf numFmtId="49" fontId="68" fillId="0" borderId="160" xfId="0" applyNumberFormat="1" applyFont="1" applyFill="1" applyBorder="1" applyAlignment="1">
      <alignment horizontal="left" vertical="center"/>
    </xf>
    <xf numFmtId="0" fontId="2" fillId="0" borderId="160" xfId="0" applyFont="1" applyFill="1" applyBorder="1" applyAlignment="1">
      <alignment horizontal="left" vertical="center" wrapText="1"/>
    </xf>
    <xf numFmtId="166" fontId="2" fillId="7" borderId="160" xfId="0" applyNumberFormat="1" applyFont="1" applyFill="1" applyBorder="1" applyAlignment="1" applyProtection="1">
      <alignment horizontal="left"/>
    </xf>
    <xf numFmtId="166" fontId="2" fillId="7" borderId="160" xfId="0" applyNumberFormat="1" applyFont="1" applyFill="1" applyBorder="1" applyAlignment="1" applyProtection="1"/>
    <xf numFmtId="166" fontId="2" fillId="7" borderId="160" xfId="0" applyNumberFormat="1" applyFont="1" applyFill="1" applyBorder="1" applyAlignment="1" applyProtection="1">
      <alignment horizontal="center"/>
    </xf>
    <xf numFmtId="168" fontId="2" fillId="0" borderId="0" xfId="0" applyNumberFormat="1" applyFont="1" applyAlignment="1">
      <alignment horizontal="center" vertical="center"/>
    </xf>
    <xf numFmtId="0" fontId="2" fillId="0" borderId="160" xfId="0" applyFont="1" applyBorder="1"/>
    <xf numFmtId="168" fontId="2" fillId="0" borderId="0" xfId="0" applyNumberFormat="1" applyFont="1" applyFill="1" applyAlignment="1">
      <alignment horizontal="center" vertical="center"/>
    </xf>
    <xf numFmtId="10" fontId="2" fillId="0" borderId="0" xfId="0" applyNumberFormat="1" applyFont="1" applyFill="1" applyBorder="1" applyAlignment="1">
      <alignment horizontal="center" vertical="center"/>
    </xf>
    <xf numFmtId="10" fontId="2" fillId="0" borderId="0" xfId="0" applyNumberFormat="1" applyFont="1" applyFill="1" applyAlignment="1">
      <alignment horizontal="center" vertical="center"/>
    </xf>
    <xf numFmtId="0" fontId="2" fillId="0" borderId="0" xfId="0" applyFont="1" applyFill="1" applyAlignment="1">
      <alignment vertical="center"/>
    </xf>
    <xf numFmtId="0" fontId="2" fillId="0" borderId="160" xfId="0" applyFont="1" applyFill="1" applyBorder="1" applyAlignment="1">
      <alignment horizontal="center" vertical="center"/>
    </xf>
    <xf numFmtId="49" fontId="2" fillId="0" borderId="160" xfId="0" applyNumberFormat="1" applyFont="1" applyFill="1" applyBorder="1" applyAlignment="1">
      <alignment horizontal="left" vertical="center" wrapText="1"/>
    </xf>
    <xf numFmtId="2" fontId="2" fillId="0" borderId="160" xfId="0" applyNumberFormat="1" applyFont="1" applyFill="1" applyBorder="1" applyAlignment="1">
      <alignment horizontal="center" vertical="center"/>
    </xf>
    <xf numFmtId="166" fontId="2" fillId="0" borderId="160" xfId="7" applyNumberFormat="1" applyFont="1" applyFill="1" applyBorder="1" applyAlignment="1" applyProtection="1">
      <alignment horizontal="left"/>
    </xf>
    <xf numFmtId="166" fontId="2" fillId="0" borderId="160" xfId="7" applyNumberFormat="1" applyFont="1" applyFill="1" applyBorder="1" applyAlignment="1" applyProtection="1"/>
    <xf numFmtId="166" fontId="2" fillId="2" borderId="160" xfId="7" applyNumberFormat="1" applyFont="1" applyFill="1" applyBorder="1" applyAlignment="1" applyProtection="1">
      <alignment horizontal="center"/>
    </xf>
    <xf numFmtId="0" fontId="2" fillId="0" borderId="0" xfId="0" applyFont="1" applyAlignment="1">
      <alignment horizontal="center"/>
    </xf>
    <xf numFmtId="166" fontId="2" fillId="0" borderId="160" xfId="5" applyNumberFormat="1" applyFont="1" applyFill="1" applyBorder="1" applyAlignment="1" applyProtection="1">
      <alignment horizontal="left"/>
    </xf>
    <xf numFmtId="166" fontId="2" fillId="0" borderId="160" xfId="5" applyNumberFormat="1" applyFont="1" applyFill="1" applyBorder="1" applyAlignment="1" applyProtection="1"/>
    <xf numFmtId="166" fontId="2" fillId="2" borderId="160" xfId="5" applyNumberFormat="1" applyFont="1" applyFill="1" applyBorder="1" applyAlignment="1" applyProtection="1">
      <alignment horizontal="center"/>
    </xf>
    <xf numFmtId="166" fontId="2" fillId="0" borderId="160" xfId="0" applyNumberFormat="1" applyFont="1" applyFill="1" applyBorder="1" applyAlignment="1" applyProtection="1">
      <alignment vertical="center"/>
    </xf>
    <xf numFmtId="0" fontId="2" fillId="0" borderId="160" xfId="0" applyNumberFormat="1" applyFont="1" applyFill="1" applyBorder="1" applyAlignment="1">
      <alignment horizontal="center" vertical="center" wrapText="1"/>
    </xf>
    <xf numFmtId="0" fontId="2" fillId="0" borderId="160"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177" fillId="0" borderId="160" xfId="0" applyFont="1" applyFill="1" applyBorder="1" applyAlignment="1">
      <alignment horizontal="center" vertical="center"/>
    </xf>
    <xf numFmtId="0" fontId="177" fillId="0" borderId="0" xfId="0" applyFont="1" applyAlignment="1">
      <alignment horizontal="center" vertical="center"/>
    </xf>
    <xf numFmtId="166" fontId="19" fillId="0" borderId="160" xfId="0" applyNumberFormat="1" applyFont="1" applyFill="1" applyBorder="1" applyAlignment="1" applyProtection="1">
      <alignment horizontal="left"/>
    </xf>
    <xf numFmtId="166" fontId="19" fillId="0" borderId="160" xfId="0" applyNumberFormat="1" applyFont="1" applyFill="1" applyBorder="1" applyAlignment="1" applyProtection="1"/>
    <xf numFmtId="166" fontId="19" fillId="2" borderId="160" xfId="0" applyNumberFormat="1" applyFont="1" applyFill="1" applyBorder="1" applyAlignment="1" applyProtection="1">
      <alignment horizontal="center"/>
    </xf>
    <xf numFmtId="0" fontId="0" fillId="0" borderId="160" xfId="0" applyNumberFormat="1" applyFont="1" applyFill="1" applyBorder="1" applyAlignment="1">
      <alignment horizontal="center" vertical="center" wrapText="1"/>
    </xf>
    <xf numFmtId="2" fontId="0" fillId="0" borderId="160" xfId="0" applyNumberFormat="1" applyFont="1" applyBorder="1" applyAlignment="1">
      <alignment horizontal="center" vertical="center"/>
    </xf>
    <xf numFmtId="2" fontId="2" fillId="0" borderId="160" xfId="5" applyNumberFormat="1" applyFont="1" applyFill="1" applyBorder="1" applyAlignment="1" applyProtection="1">
      <alignment horizontal="center" vertical="center"/>
    </xf>
    <xf numFmtId="0" fontId="0" fillId="0" borderId="0" xfId="0" applyFont="1" applyFill="1" applyAlignment="1">
      <alignment vertical="center"/>
    </xf>
    <xf numFmtId="168" fontId="0" fillId="0" borderId="0" xfId="0" applyNumberFormat="1" applyFont="1" applyFill="1" applyAlignment="1">
      <alignment horizontal="center" vertical="center"/>
    </xf>
    <xf numFmtId="10" fontId="0" fillId="0" borderId="0" xfId="0" applyNumberFormat="1" applyFont="1" applyFill="1" applyBorder="1" applyAlignment="1">
      <alignment horizontal="center" vertical="center"/>
    </xf>
    <xf numFmtId="10" fontId="0" fillId="0" borderId="0" xfId="0" applyNumberFormat="1" applyFont="1" applyFill="1" applyAlignment="1">
      <alignment horizontal="center" vertical="center"/>
    </xf>
    <xf numFmtId="0" fontId="2" fillId="0" borderId="160" xfId="0" applyNumberFormat="1" applyFont="1" applyFill="1" applyBorder="1" applyAlignment="1">
      <alignment horizontal="center" vertical="center"/>
    </xf>
    <xf numFmtId="166" fontId="2" fillId="0" borderId="160" xfId="7" applyNumberFormat="1" applyFont="1" applyFill="1" applyBorder="1" applyAlignment="1" applyProtection="1">
      <alignment horizontal="left" vertical="center"/>
    </xf>
    <xf numFmtId="166" fontId="2" fillId="0" borderId="160" xfId="7" applyNumberFormat="1" applyFont="1" applyFill="1" applyBorder="1" applyAlignment="1" applyProtection="1">
      <alignment vertical="center"/>
    </xf>
    <xf numFmtId="166" fontId="2" fillId="2" borderId="160" xfId="7"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xf>
    <xf numFmtId="0" fontId="0" fillId="0" borderId="160" xfId="0" applyFont="1" applyFill="1" applyBorder="1" applyAlignment="1">
      <alignment horizontal="center" vertical="center" wrapText="1"/>
    </xf>
    <xf numFmtId="166" fontId="0" fillId="0" borderId="160" xfId="0" applyNumberFormat="1" applyFont="1" applyFill="1" applyBorder="1" applyAlignment="1">
      <alignment horizontal="right" vertical="center"/>
    </xf>
    <xf numFmtId="2" fontId="19" fillId="0" borderId="160" xfId="5" applyNumberFormat="1" applyFont="1" applyFill="1" applyBorder="1" applyAlignment="1" applyProtection="1">
      <alignment horizontal="center" vertical="center"/>
    </xf>
    <xf numFmtId="166" fontId="19" fillId="7" borderId="160" xfId="0" applyNumberFormat="1" applyFont="1" applyFill="1" applyBorder="1" applyAlignment="1" applyProtection="1">
      <alignment horizontal="left"/>
    </xf>
    <xf numFmtId="166" fontId="2" fillId="7" borderId="160" xfId="0" applyNumberFormat="1" applyFont="1" applyFill="1" applyBorder="1" applyAlignment="1" applyProtection="1">
      <alignment horizontal="left" vertical="center"/>
    </xf>
    <xf numFmtId="166" fontId="2" fillId="7" borderId="160" xfId="0" applyNumberFormat="1" applyFont="1" applyFill="1" applyBorder="1" applyAlignment="1" applyProtection="1">
      <alignment horizontal="center" vertical="center"/>
    </xf>
    <xf numFmtId="2" fontId="2" fillId="0" borderId="160" xfId="0" applyNumberFormat="1" applyFont="1" applyBorder="1" applyAlignment="1">
      <alignment horizontal="left" vertical="center"/>
    </xf>
    <xf numFmtId="2" fontId="0" fillId="0" borderId="160" xfId="0" applyNumberFormat="1" applyFont="1" applyBorder="1" applyAlignment="1">
      <alignment horizontal="center"/>
    </xf>
    <xf numFmtId="166" fontId="2" fillId="0" borderId="160" xfId="5" applyNumberFormat="1" applyFont="1" applyFill="1" applyBorder="1" applyAlignment="1" applyProtection="1">
      <alignment horizontal="left" vertical="center"/>
    </xf>
    <xf numFmtId="166" fontId="2" fillId="30" borderId="160" xfId="7" applyNumberFormat="1" applyFont="1" applyFill="1" applyBorder="1" applyAlignment="1" applyProtection="1">
      <alignment horizontal="center" vertical="center"/>
    </xf>
    <xf numFmtId="166" fontId="0" fillId="2" borderId="160" xfId="6" applyNumberFormat="1" applyFont="1" applyFill="1" applyBorder="1" applyAlignment="1" applyProtection="1">
      <alignment horizontal="center"/>
    </xf>
    <xf numFmtId="4" fontId="2" fillId="0" borderId="160" xfId="0" applyNumberFormat="1" applyFont="1" applyBorder="1" applyAlignment="1">
      <alignment vertical="center"/>
    </xf>
    <xf numFmtId="0" fontId="0" fillId="0" borderId="160" xfId="0" applyFont="1" applyBorder="1" applyAlignment="1">
      <alignment horizontal="center"/>
    </xf>
    <xf numFmtId="166" fontId="0" fillId="2" borderId="160" xfId="5" applyNumberFormat="1" applyFont="1" applyFill="1" applyBorder="1" applyAlignment="1" applyProtection="1">
      <alignment horizontal="center"/>
    </xf>
    <xf numFmtId="0" fontId="177" fillId="0" borderId="0" xfId="0" applyFont="1" applyFill="1"/>
    <xf numFmtId="2" fontId="177" fillId="0" borderId="160" xfId="5" applyNumberFormat="1" applyFont="1" applyFill="1" applyBorder="1" applyAlignment="1" applyProtection="1">
      <alignment horizontal="center" vertical="center"/>
    </xf>
    <xf numFmtId="166" fontId="2" fillId="27" borderId="160" xfId="7" applyNumberFormat="1" applyFont="1" applyFill="1" applyBorder="1" applyAlignment="1" applyProtection="1">
      <alignment horizontal="left" vertical="center"/>
    </xf>
    <xf numFmtId="0" fontId="178" fillId="0" borderId="160" xfId="0" applyFont="1" applyFill="1" applyBorder="1" applyAlignment="1">
      <alignment horizontal="center" vertical="center"/>
    </xf>
    <xf numFmtId="168" fontId="178" fillId="58" borderId="160" xfId="0" applyNumberFormat="1" applyFont="1" applyFill="1" applyBorder="1" applyAlignment="1">
      <alignment horizontal="center" vertical="center"/>
    </xf>
    <xf numFmtId="10" fontId="178" fillId="0" borderId="160" xfId="0" applyNumberFormat="1" applyFont="1" applyFill="1" applyBorder="1" applyAlignment="1">
      <alignment horizontal="center" vertical="center" wrapText="1"/>
    </xf>
    <xf numFmtId="168" fontId="178" fillId="11" borderId="160" xfId="0" applyNumberFormat="1" applyFont="1" applyFill="1" applyBorder="1" applyAlignment="1">
      <alignment horizontal="center" vertical="center"/>
    </xf>
    <xf numFmtId="0" fontId="178" fillId="0" borderId="160" xfId="0" applyFont="1" applyFill="1" applyBorder="1" applyAlignment="1">
      <alignment horizontal="left" vertical="center" wrapText="1"/>
    </xf>
    <xf numFmtId="49" fontId="178" fillId="0" borderId="160" xfId="0" applyNumberFormat="1" applyFont="1" applyFill="1" applyBorder="1" applyAlignment="1">
      <alignment horizontal="left" vertical="center"/>
    </xf>
    <xf numFmtId="166" fontId="2" fillId="0" borderId="160" xfId="6" applyNumberFormat="1" applyFont="1" applyFill="1" applyBorder="1" applyAlignment="1" applyProtection="1">
      <alignment horizontal="left"/>
    </xf>
    <xf numFmtId="166" fontId="2" fillId="0" borderId="160" xfId="6" applyNumberFormat="1" applyFont="1" applyFill="1" applyBorder="1" applyAlignment="1" applyProtection="1"/>
    <xf numFmtId="166" fontId="2" fillId="2" borderId="160" xfId="6" applyNumberFormat="1" applyFont="1" applyFill="1" applyBorder="1" applyAlignment="1" applyProtection="1">
      <alignment horizontal="center"/>
    </xf>
    <xf numFmtId="166" fontId="2" fillId="30" borderId="160" xfId="6" applyNumberFormat="1" applyFont="1" applyFill="1" applyBorder="1" applyAlignment="1" applyProtection="1">
      <alignment horizontal="center"/>
    </xf>
    <xf numFmtId="166" fontId="19" fillId="0" borderId="160" xfId="6" applyNumberFormat="1" applyFont="1" applyFill="1" applyBorder="1" applyAlignment="1" applyProtection="1">
      <alignment horizontal="left"/>
    </xf>
    <xf numFmtId="166" fontId="19" fillId="0" borderId="160" xfId="6" applyNumberFormat="1" applyFont="1" applyFill="1" applyBorder="1" applyAlignment="1" applyProtection="1"/>
    <xf numFmtId="171" fontId="2" fillId="0" borderId="160" xfId="5" applyNumberFormat="1" applyFont="1" applyFill="1" applyBorder="1" applyAlignment="1" applyProtection="1">
      <alignment horizontal="center" vertical="center"/>
    </xf>
    <xf numFmtId="49" fontId="1" fillId="0" borderId="160" xfId="0" applyNumberFormat="1" applyFont="1" applyFill="1" applyBorder="1" applyAlignment="1">
      <alignment horizontal="center" vertical="center"/>
    </xf>
    <xf numFmtId="166" fontId="1" fillId="0" borderId="160" xfId="0" applyNumberFormat="1" applyFont="1" applyFill="1" applyBorder="1" applyAlignment="1">
      <alignment horizontal="center" vertical="center"/>
    </xf>
    <xf numFmtId="171" fontId="1" fillId="0" borderId="160" xfId="0" applyNumberFormat="1" applyFont="1" applyFill="1" applyBorder="1" applyAlignment="1">
      <alignment horizontal="center" vertical="center"/>
    </xf>
    <xf numFmtId="49" fontId="1" fillId="35" borderId="160" xfId="0" applyNumberFormat="1" applyFont="1" applyFill="1" applyBorder="1" applyAlignment="1">
      <alignment horizontal="center" vertical="center" wrapText="1"/>
    </xf>
    <xf numFmtId="166" fontId="84" fillId="18" borderId="160" xfId="0" applyNumberFormat="1" applyFont="1" applyFill="1" applyBorder="1" applyAlignment="1">
      <alignment horizontal="center" vertical="center"/>
    </xf>
    <xf numFmtId="166" fontId="1" fillId="35" borderId="160" xfId="0" applyNumberFormat="1" applyFont="1" applyFill="1" applyBorder="1" applyAlignment="1">
      <alignment horizontal="center" vertical="center"/>
    </xf>
    <xf numFmtId="2" fontId="23" fillId="0" borderId="160" xfId="0" applyNumberFormat="1" applyFont="1" applyBorder="1"/>
    <xf numFmtId="2" fontId="23" fillId="47" borderId="160" xfId="0" applyNumberFormat="1" applyFont="1" applyFill="1" applyBorder="1"/>
    <xf numFmtId="2" fontId="23" fillId="27" borderId="160" xfId="0" applyNumberFormat="1" applyFont="1" applyFill="1" applyBorder="1"/>
    <xf numFmtId="2" fontId="23" fillId="0" borderId="159" xfId="0" applyNumberFormat="1" applyFont="1" applyFill="1" applyBorder="1"/>
    <xf numFmtId="2" fontId="23" fillId="0" borderId="160" xfId="0" applyNumberFormat="1" applyFont="1" applyFill="1" applyBorder="1"/>
    <xf numFmtId="168" fontId="0" fillId="5" borderId="160" xfId="0" applyNumberFormat="1" applyFont="1" applyFill="1" applyBorder="1" applyAlignment="1">
      <alignment horizontal="center" vertical="center"/>
    </xf>
    <xf numFmtId="168" fontId="2" fillId="5" borderId="160" xfId="0" applyNumberFormat="1" applyFont="1" applyFill="1" applyBorder="1" applyAlignment="1">
      <alignment horizontal="center" vertical="center"/>
    </xf>
    <xf numFmtId="168" fontId="0" fillId="35" borderId="160" xfId="0" applyNumberFormat="1" applyFont="1" applyFill="1" applyBorder="1" applyAlignment="1">
      <alignment horizontal="center" vertical="center"/>
    </xf>
    <xf numFmtId="2" fontId="0" fillId="4" borderId="160" xfId="0" applyNumberFormat="1" applyFont="1" applyFill="1" applyBorder="1" applyAlignment="1">
      <alignment horizontal="center" vertical="center"/>
    </xf>
    <xf numFmtId="49" fontId="1" fillId="15" borderId="160" xfId="0" applyNumberFormat="1" applyFont="1" applyFill="1" applyBorder="1" applyAlignment="1">
      <alignment horizontal="center" vertical="center"/>
    </xf>
    <xf numFmtId="2" fontId="2" fillId="21" borderId="160" xfId="5" applyNumberFormat="1" applyFont="1" applyFill="1" applyBorder="1" applyAlignment="1" applyProtection="1">
      <alignment horizontal="center" vertical="center"/>
    </xf>
    <xf numFmtId="166" fontId="2" fillId="21" borderId="160" xfId="0" applyNumberFormat="1" applyFont="1" applyFill="1" applyBorder="1" applyAlignment="1">
      <alignment horizontal="center" vertical="center"/>
    </xf>
    <xf numFmtId="166" fontId="0" fillId="21" borderId="160" xfId="0" applyNumberFormat="1" applyFont="1" applyFill="1" applyBorder="1" applyAlignment="1">
      <alignment horizontal="center" vertical="center"/>
    </xf>
    <xf numFmtId="168" fontId="2" fillId="21" borderId="160" xfId="0" applyNumberFormat="1" applyFont="1" applyFill="1" applyBorder="1" applyAlignment="1">
      <alignment horizontal="center" vertical="center"/>
    </xf>
    <xf numFmtId="168" fontId="0" fillId="21" borderId="160" xfId="0" applyNumberFormat="1" applyFont="1" applyFill="1" applyBorder="1" applyAlignment="1">
      <alignment horizontal="center" vertical="center"/>
    </xf>
    <xf numFmtId="166" fontId="177" fillId="21" borderId="160" xfId="0" applyNumberFormat="1" applyFont="1" applyFill="1" applyBorder="1" applyAlignment="1">
      <alignment horizontal="center" vertical="center"/>
    </xf>
    <xf numFmtId="166" fontId="2" fillId="35" borderId="160" xfId="0" applyNumberFormat="1" applyFont="1" applyFill="1" applyBorder="1" applyAlignment="1">
      <alignment horizontal="center" vertical="center"/>
    </xf>
    <xf numFmtId="166" fontId="0" fillId="35" borderId="160" xfId="0" applyNumberFormat="1" applyFont="1" applyFill="1" applyBorder="1" applyAlignment="1">
      <alignment horizontal="center" vertical="center"/>
    </xf>
    <xf numFmtId="168" fontId="2" fillId="35" borderId="160" xfId="0" applyNumberFormat="1" applyFont="1" applyFill="1" applyBorder="1" applyAlignment="1">
      <alignment horizontal="center" vertical="center"/>
    </xf>
    <xf numFmtId="166" fontId="177" fillId="35" borderId="160" xfId="0" applyNumberFormat="1" applyFont="1" applyFill="1" applyBorder="1" applyAlignment="1">
      <alignment horizontal="center" vertical="center"/>
    </xf>
    <xf numFmtId="0" fontId="2" fillId="35" borderId="160" xfId="0" applyFont="1" applyFill="1" applyBorder="1" applyAlignment="1">
      <alignment vertical="center"/>
    </xf>
    <xf numFmtId="0" fontId="0" fillId="35" borderId="160" xfId="0" applyFont="1" applyFill="1" applyBorder="1" applyAlignment="1">
      <alignment vertical="center"/>
    </xf>
    <xf numFmtId="0" fontId="177" fillId="35" borderId="160" xfId="0" applyFont="1" applyFill="1" applyBorder="1" applyAlignment="1">
      <alignment vertical="center"/>
    </xf>
    <xf numFmtId="0" fontId="0" fillId="35" borderId="160" xfId="0" applyFont="1" applyFill="1" applyBorder="1" applyAlignment="1">
      <alignment horizontal="center" vertical="center"/>
    </xf>
    <xf numFmtId="2" fontId="2" fillId="4" borderId="160" xfId="0" applyNumberFormat="1" applyFont="1" applyFill="1" applyBorder="1" applyAlignment="1">
      <alignment horizontal="center" vertical="center"/>
    </xf>
    <xf numFmtId="166" fontId="0" fillId="4" borderId="160" xfId="0" applyNumberFormat="1" applyFont="1" applyFill="1" applyBorder="1" applyAlignment="1">
      <alignment horizontal="center" vertical="center"/>
    </xf>
    <xf numFmtId="166" fontId="2" fillId="4" borderId="160" xfId="0" applyNumberFormat="1" applyFont="1" applyFill="1" applyBorder="1" applyAlignment="1">
      <alignment horizontal="center" vertical="center"/>
    </xf>
    <xf numFmtId="4" fontId="2" fillId="4" borderId="160" xfId="0" applyNumberFormat="1" applyFont="1" applyFill="1" applyBorder="1" applyAlignment="1">
      <alignment horizontal="center" vertical="center"/>
    </xf>
    <xf numFmtId="4" fontId="0" fillId="4" borderId="160" xfId="0" applyNumberFormat="1" applyFont="1" applyFill="1" applyBorder="1" applyAlignment="1">
      <alignment horizontal="center" vertical="center"/>
    </xf>
    <xf numFmtId="166" fontId="177" fillId="4" borderId="160" xfId="0" applyNumberFormat="1" applyFont="1" applyFill="1" applyBorder="1" applyAlignment="1">
      <alignment horizontal="center" vertical="center"/>
    </xf>
    <xf numFmtId="0" fontId="2" fillId="4" borderId="160" xfId="0" applyFont="1" applyFill="1" applyBorder="1" applyAlignment="1">
      <alignment vertical="center"/>
    </xf>
    <xf numFmtId="2" fontId="177" fillId="4" borderId="160" xfId="0" applyNumberFormat="1" applyFont="1" applyFill="1" applyBorder="1" applyAlignment="1">
      <alignment horizontal="center" vertical="center"/>
    </xf>
    <xf numFmtId="0" fontId="0" fillId="4" borderId="160" xfId="0" applyFont="1" applyFill="1" applyBorder="1" applyAlignment="1">
      <alignment vertical="center"/>
    </xf>
    <xf numFmtId="0" fontId="177" fillId="4" borderId="160" xfId="0" applyFont="1" applyFill="1" applyBorder="1" applyAlignment="1">
      <alignment vertical="center"/>
    </xf>
    <xf numFmtId="0" fontId="0" fillId="4" borderId="160" xfId="0" applyFont="1" applyFill="1" applyBorder="1" applyAlignment="1">
      <alignment horizontal="center" vertical="center"/>
    </xf>
    <xf numFmtId="0" fontId="2" fillId="4" borderId="160" xfId="0" applyFont="1" applyFill="1" applyBorder="1" applyAlignment="1">
      <alignment horizontal="center" vertical="center"/>
    </xf>
    <xf numFmtId="49" fontId="2" fillId="4" borderId="160" xfId="0" applyNumberFormat="1" applyFont="1" applyFill="1" applyBorder="1" applyAlignment="1">
      <alignment horizontal="center" vertical="center"/>
    </xf>
    <xf numFmtId="49" fontId="0" fillId="4" borderId="160" xfId="0" applyNumberFormat="1" applyFont="1" applyFill="1" applyBorder="1" applyAlignment="1">
      <alignment horizontal="center" vertical="center"/>
    </xf>
    <xf numFmtId="0" fontId="177" fillId="4" borderId="160" xfId="0" applyFont="1" applyFill="1" applyBorder="1" applyAlignment="1">
      <alignment horizontal="center" vertical="center"/>
    </xf>
    <xf numFmtId="10" fontId="2" fillId="4" borderId="160" xfId="0" applyNumberFormat="1" applyFont="1" applyFill="1" applyBorder="1" applyAlignment="1">
      <alignment horizontal="center" vertical="center"/>
    </xf>
    <xf numFmtId="168" fontId="2" fillId="63" borderId="160" xfId="0" applyNumberFormat="1" applyFont="1" applyFill="1" applyBorder="1" applyAlignment="1">
      <alignment horizontal="center" vertical="center"/>
    </xf>
    <xf numFmtId="0" fontId="2" fillId="63" borderId="160" xfId="0" applyFont="1" applyFill="1" applyBorder="1" applyAlignment="1">
      <alignment horizontal="center" vertical="center"/>
    </xf>
    <xf numFmtId="0" fontId="2" fillId="63" borderId="160" xfId="0" applyNumberFormat="1" applyFont="1" applyFill="1" applyBorder="1" applyAlignment="1">
      <alignment horizontal="center" vertical="center"/>
    </xf>
    <xf numFmtId="166" fontId="2" fillId="63" borderId="160" xfId="0" applyNumberFormat="1" applyFont="1" applyFill="1" applyBorder="1" applyAlignment="1">
      <alignment horizontal="center" vertical="center" wrapText="1"/>
    </xf>
    <xf numFmtId="0" fontId="2" fillId="63" borderId="160" xfId="0" applyNumberFormat="1" applyFont="1" applyFill="1" applyBorder="1" applyAlignment="1">
      <alignment horizontal="center" vertical="center" wrapText="1"/>
    </xf>
    <xf numFmtId="0" fontId="0" fillId="63" borderId="160" xfId="0" applyFont="1" applyFill="1" applyBorder="1" applyAlignment="1">
      <alignment horizontal="center" vertical="center"/>
    </xf>
    <xf numFmtId="0" fontId="178" fillId="63" borderId="160" xfId="0" applyFont="1" applyFill="1" applyBorder="1" applyAlignment="1">
      <alignment horizontal="center" vertical="center"/>
    </xf>
    <xf numFmtId="166" fontId="2" fillId="63" borderId="160" xfId="0" applyNumberFormat="1" applyFont="1" applyFill="1" applyBorder="1" applyAlignment="1">
      <alignment horizontal="center" vertical="center"/>
    </xf>
    <xf numFmtId="2" fontId="0" fillId="63" borderId="160" xfId="0" applyNumberFormat="1" applyFont="1" applyFill="1" applyBorder="1" applyAlignment="1">
      <alignment horizontal="center" vertical="center"/>
    </xf>
    <xf numFmtId="168" fontId="0" fillId="63" borderId="160" xfId="0" applyNumberFormat="1" applyFont="1" applyFill="1" applyBorder="1" applyAlignment="1">
      <alignment horizontal="center" vertical="center"/>
    </xf>
    <xf numFmtId="0" fontId="0" fillId="63" borderId="160" xfId="0" applyNumberFormat="1" applyFont="1" applyFill="1" applyBorder="1" applyAlignment="1">
      <alignment horizontal="center" vertical="center" wrapText="1"/>
    </xf>
    <xf numFmtId="168" fontId="177" fillId="63" borderId="160" xfId="0" applyNumberFormat="1" applyFont="1" applyFill="1" applyBorder="1" applyAlignment="1">
      <alignment horizontal="center" vertical="center"/>
    </xf>
    <xf numFmtId="166" fontId="0" fillId="63" borderId="160" xfId="0" applyNumberFormat="1" applyFont="1" applyFill="1" applyBorder="1" applyAlignment="1">
      <alignment horizontal="center" vertical="center"/>
    </xf>
    <xf numFmtId="2" fontId="2" fillId="63" borderId="160" xfId="0" applyNumberFormat="1" applyFont="1" applyFill="1" applyBorder="1" applyAlignment="1">
      <alignment horizontal="center" vertical="center"/>
    </xf>
    <xf numFmtId="4" fontId="2" fillId="63" borderId="160" xfId="0" applyNumberFormat="1" applyFont="1" applyFill="1" applyBorder="1" applyAlignment="1">
      <alignment horizontal="center" vertical="center"/>
    </xf>
    <xf numFmtId="49" fontId="68" fillId="11" borderId="160" xfId="0" applyNumberFormat="1" applyFont="1" applyFill="1" applyBorder="1" applyAlignment="1">
      <alignment horizontal="center" vertical="center"/>
    </xf>
    <xf numFmtId="49" fontId="68" fillId="11" borderId="160" xfId="0" applyNumberFormat="1" applyFont="1" applyFill="1" applyBorder="1" applyAlignment="1">
      <alignment horizontal="left" vertical="center"/>
    </xf>
    <xf numFmtId="49" fontId="68" fillId="11" borderId="160" xfId="0" applyNumberFormat="1" applyFont="1" applyFill="1" applyBorder="1" applyAlignment="1">
      <alignment horizontal="center" vertical="center" wrapText="1"/>
    </xf>
    <xf numFmtId="49" fontId="1" fillId="11" borderId="160" xfId="0" applyNumberFormat="1" applyFont="1" applyFill="1" applyBorder="1" applyAlignment="1">
      <alignment horizontal="center" vertical="center"/>
    </xf>
    <xf numFmtId="171" fontId="1" fillId="11" borderId="160" xfId="0" applyNumberFormat="1" applyFont="1" applyFill="1" applyBorder="1" applyAlignment="1">
      <alignment horizontal="center" vertical="center"/>
    </xf>
    <xf numFmtId="49" fontId="1" fillId="11" borderId="160" xfId="0" applyNumberFormat="1" applyFont="1" applyFill="1" applyBorder="1" applyAlignment="1">
      <alignment horizontal="center" vertical="center" wrapText="1"/>
    </xf>
    <xf numFmtId="166" fontId="1" fillId="11" borderId="160" xfId="0" applyNumberFormat="1" applyFont="1" applyFill="1" applyBorder="1" applyAlignment="1">
      <alignment horizontal="center" vertical="center"/>
    </xf>
    <xf numFmtId="4" fontId="146" fillId="11" borderId="160" xfId="0" applyNumberFormat="1" applyFont="1" applyFill="1" applyBorder="1" applyAlignment="1">
      <alignment horizontal="center" vertical="center"/>
    </xf>
    <xf numFmtId="49" fontId="180" fillId="11" borderId="160" xfId="0" applyNumberFormat="1" applyFont="1" applyFill="1" applyBorder="1" applyAlignment="1">
      <alignment horizontal="left" vertical="center" wrapText="1"/>
    </xf>
    <xf numFmtId="49" fontId="180" fillId="11" borderId="160" xfId="0" applyNumberFormat="1" applyFont="1" applyFill="1" applyBorder="1" applyAlignment="1">
      <alignment horizontal="center" vertical="center"/>
    </xf>
    <xf numFmtId="49" fontId="180" fillId="11" borderId="160" xfId="0" applyNumberFormat="1" applyFont="1" applyFill="1" applyBorder="1" applyAlignment="1">
      <alignment horizontal="left" vertical="center"/>
    </xf>
    <xf numFmtId="49" fontId="180" fillId="11" borderId="160" xfId="0" applyNumberFormat="1" applyFont="1" applyFill="1" applyBorder="1" applyAlignment="1">
      <alignment horizontal="center" vertical="center" wrapText="1"/>
    </xf>
    <xf numFmtId="49" fontId="84" fillId="11" borderId="160" xfId="0" applyNumberFormat="1" applyFont="1" applyFill="1" applyBorder="1" applyAlignment="1">
      <alignment horizontal="center" vertical="center"/>
    </xf>
    <xf numFmtId="171" fontId="84" fillId="11" borderId="160" xfId="0" applyNumberFormat="1" applyFont="1" applyFill="1" applyBorder="1" applyAlignment="1">
      <alignment horizontal="center" vertical="center"/>
    </xf>
    <xf numFmtId="49" fontId="84" fillId="11" borderId="160" xfId="0" applyNumberFormat="1" applyFont="1" applyFill="1" applyBorder="1" applyAlignment="1">
      <alignment horizontal="center" vertical="center" wrapText="1"/>
    </xf>
    <xf numFmtId="166" fontId="84" fillId="11" borderId="160" xfId="0" applyNumberFormat="1" applyFont="1" applyFill="1" applyBorder="1" applyAlignment="1">
      <alignment horizontal="center" vertical="center"/>
    </xf>
    <xf numFmtId="168" fontId="146" fillId="11" borderId="160" xfId="0" applyNumberFormat="1" applyFont="1" applyFill="1" applyBorder="1" applyAlignment="1">
      <alignment horizontal="center" vertical="center"/>
    </xf>
    <xf numFmtId="0" fontId="146" fillId="0" borderId="0" xfId="0" applyFont="1" applyFill="1"/>
    <xf numFmtId="4" fontId="2" fillId="15" borderId="160" xfId="0" applyNumberFormat="1" applyFont="1" applyFill="1" applyBorder="1" applyAlignment="1">
      <alignment horizontal="center" vertical="center"/>
    </xf>
    <xf numFmtId="4" fontId="0" fillId="15" borderId="160" xfId="0" applyNumberFormat="1" applyFont="1" applyFill="1" applyBorder="1" applyAlignment="1">
      <alignment horizontal="center" vertical="center"/>
    </xf>
    <xf numFmtId="166" fontId="2" fillId="15" borderId="160" xfId="0" applyNumberFormat="1" applyFont="1" applyFill="1" applyBorder="1" applyAlignment="1">
      <alignment horizontal="center" vertical="center"/>
    </xf>
    <xf numFmtId="166" fontId="0" fillId="15" borderId="160" xfId="0" applyNumberFormat="1" applyFont="1" applyFill="1" applyBorder="1" applyAlignment="1">
      <alignment horizontal="center" vertical="center"/>
    </xf>
    <xf numFmtId="4" fontId="178" fillId="15" borderId="160" xfId="0" applyNumberFormat="1" applyFont="1" applyFill="1" applyBorder="1" applyAlignment="1">
      <alignment horizontal="center" vertical="center"/>
    </xf>
    <xf numFmtId="168" fontId="2" fillId="15" borderId="160" xfId="0" applyNumberFormat="1" applyFont="1" applyFill="1" applyBorder="1" applyAlignment="1">
      <alignment horizontal="center" vertical="center"/>
    </xf>
    <xf numFmtId="4" fontId="177" fillId="15" borderId="160" xfId="0" applyNumberFormat="1" applyFont="1" applyFill="1" applyBorder="1" applyAlignment="1">
      <alignment horizontal="center" vertical="center"/>
    </xf>
    <xf numFmtId="166" fontId="179" fillId="15" borderId="160" xfId="0" applyNumberFormat="1" applyFont="1" applyFill="1" applyBorder="1" applyAlignment="1">
      <alignment horizontal="center" vertical="center"/>
    </xf>
    <xf numFmtId="0" fontId="0" fillId="15" borderId="160" xfId="0" applyNumberFormat="1" applyFont="1" applyFill="1" applyBorder="1" applyAlignment="1">
      <alignment horizontal="center" vertical="center"/>
    </xf>
    <xf numFmtId="166" fontId="178" fillId="15" borderId="160" xfId="0" applyNumberFormat="1" applyFont="1" applyFill="1" applyBorder="1" applyAlignment="1">
      <alignment horizontal="center" vertical="center"/>
    </xf>
    <xf numFmtId="182" fontId="2" fillId="21" borderId="160" xfId="0" applyNumberFormat="1" applyFont="1" applyFill="1" applyBorder="1" applyAlignment="1">
      <alignment horizontal="center" vertical="center"/>
    </xf>
    <xf numFmtId="171" fontId="2" fillId="0" borderId="160" xfId="0" applyNumberFormat="1" applyFont="1" applyBorder="1" applyAlignment="1">
      <alignment horizontal="center" vertical="center"/>
    </xf>
    <xf numFmtId="4" fontId="0" fillId="5" borderId="160" xfId="0" applyNumberFormat="1"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176" fillId="0" borderId="0" xfId="0" applyFont="1" applyAlignment="1">
      <alignment horizontal="right" vertical="center"/>
    </xf>
    <xf numFmtId="0" fontId="0" fillId="0" borderId="0" xfId="0" applyFill="1" applyBorder="1" applyAlignment="1"/>
    <xf numFmtId="0" fontId="0" fillId="0" borderId="0" xfId="0" applyAlignment="1">
      <alignment horizontal="center"/>
    </xf>
    <xf numFmtId="0" fontId="0" fillId="0" borderId="0" xfId="0" applyFill="1" applyBorder="1" applyAlignment="1">
      <alignment horizontal="center"/>
    </xf>
    <xf numFmtId="183" fontId="2" fillId="5" borderId="160" xfId="0" applyNumberFormat="1" applyFont="1" applyFill="1" applyBorder="1" applyAlignment="1">
      <alignment horizontal="center" vertical="center"/>
    </xf>
    <xf numFmtId="0" fontId="2" fillId="5" borderId="160" xfId="0" applyFont="1" applyFill="1" applyBorder="1" applyAlignment="1">
      <alignment vertical="center"/>
    </xf>
    <xf numFmtId="0" fontId="2" fillId="0" borderId="160" xfId="0" applyFont="1" applyFill="1" applyBorder="1" applyAlignment="1">
      <alignment vertical="center"/>
    </xf>
    <xf numFmtId="166" fontId="2" fillId="5" borderId="160" xfId="0" applyNumberFormat="1" applyFont="1" applyFill="1" applyBorder="1" applyAlignment="1" applyProtection="1">
      <alignment horizontal="left" vertical="center"/>
    </xf>
    <xf numFmtId="166" fontId="2" fillId="5" borderId="160" xfId="0" applyNumberFormat="1" applyFont="1" applyFill="1" applyBorder="1" applyAlignment="1" applyProtection="1">
      <alignment horizontal="left"/>
    </xf>
    <xf numFmtId="0" fontId="2" fillId="5" borderId="160" xfId="0" applyFont="1" applyFill="1" applyBorder="1" applyAlignment="1">
      <alignment horizontal="center" vertical="center"/>
    </xf>
    <xf numFmtId="166" fontId="2" fillId="5" borderId="160" xfId="5" applyNumberFormat="1" applyFont="1" applyFill="1" applyBorder="1" applyAlignment="1" applyProtection="1">
      <alignment horizontal="left"/>
    </xf>
    <xf numFmtId="0" fontId="0" fillId="5" borderId="160" xfId="0" applyFont="1" applyFill="1" applyBorder="1" applyAlignment="1">
      <alignment horizontal="center" vertical="center"/>
    </xf>
    <xf numFmtId="0" fontId="0" fillId="5" borderId="160" xfId="0" applyNumberFormat="1" applyFont="1" applyFill="1" applyBorder="1" applyAlignment="1">
      <alignment horizontal="center" vertical="center" wrapText="1"/>
    </xf>
    <xf numFmtId="166" fontId="0" fillId="5" borderId="160" xfId="0" applyNumberFormat="1" applyFont="1" applyFill="1" applyBorder="1" applyAlignment="1">
      <alignment horizontal="center" vertical="center"/>
    </xf>
    <xf numFmtId="0" fontId="0" fillId="5" borderId="160" xfId="0" applyFont="1" applyFill="1" applyBorder="1" applyAlignment="1">
      <alignment horizontal="center" vertical="center" wrapText="1"/>
    </xf>
    <xf numFmtId="166" fontId="2" fillId="5" borderId="160" xfId="7" applyNumberFormat="1" applyFont="1" applyFill="1" applyBorder="1" applyAlignment="1" applyProtection="1">
      <alignment horizontal="left" vertical="center"/>
    </xf>
    <xf numFmtId="166" fontId="2" fillId="5" borderId="160" xfId="7" applyNumberFormat="1" applyFont="1" applyFill="1" applyBorder="1" applyAlignment="1" applyProtection="1">
      <alignment horizontal="left"/>
    </xf>
    <xf numFmtId="166" fontId="2" fillId="5" borderId="160" xfId="7" applyNumberFormat="1" applyFont="1" applyFill="1" applyBorder="1" applyAlignment="1" applyProtection="1">
      <alignment vertical="center"/>
    </xf>
    <xf numFmtId="166" fontId="2" fillId="5" borderId="160" xfId="7" applyNumberFormat="1" applyFont="1" applyFill="1" applyBorder="1" applyAlignment="1" applyProtection="1"/>
    <xf numFmtId="0" fontId="2" fillId="5" borderId="160" xfId="0" applyNumberFormat="1" applyFont="1" applyFill="1" applyBorder="1" applyAlignment="1">
      <alignment horizontal="center" vertical="center"/>
    </xf>
    <xf numFmtId="166" fontId="2" fillId="5" borderId="160" xfId="0" applyNumberFormat="1" applyFont="1" applyFill="1" applyBorder="1" applyAlignment="1">
      <alignment horizontal="center" vertical="center"/>
    </xf>
    <xf numFmtId="49" fontId="0" fillId="5" borderId="160" xfId="0" applyNumberFormat="1" applyFont="1" applyFill="1" applyBorder="1" applyAlignment="1">
      <alignment horizontal="left" vertical="center"/>
    </xf>
    <xf numFmtId="0" fontId="0" fillId="0" borderId="160" xfId="0" applyBorder="1"/>
    <xf numFmtId="10" fontId="23" fillId="0" borderId="0" xfId="0" applyNumberFormat="1" applyFont="1" applyFill="1" applyBorder="1"/>
    <xf numFmtId="2" fontId="23" fillId="0" borderId="0" xfId="0" applyNumberFormat="1" applyFont="1" applyFill="1" applyBorder="1" applyAlignment="1">
      <alignment horizontal="center" vertical="top" wrapText="1"/>
    </xf>
    <xf numFmtId="2" fontId="35" fillId="0" borderId="0" xfId="0" applyNumberFormat="1" applyFont="1" applyFill="1" applyBorder="1" applyAlignment="1">
      <alignment horizontal="center" wrapText="1"/>
    </xf>
    <xf numFmtId="166" fontId="2" fillId="7" borderId="161" xfId="5" applyNumberFormat="1" applyFont="1" applyFill="1" applyBorder="1" applyAlignment="1" applyProtection="1">
      <alignment horizontal="center"/>
    </xf>
    <xf numFmtId="166" fontId="2" fillId="7" borderId="161" xfId="5" applyNumberFormat="1" applyFont="1" applyFill="1" applyBorder="1" applyAlignment="1" applyProtection="1"/>
    <xf numFmtId="166" fontId="2" fillId="7" borderId="161" xfId="5" applyNumberFormat="1" applyFont="1" applyFill="1" applyBorder="1" applyAlignment="1" applyProtection="1">
      <alignment horizontal="left"/>
    </xf>
    <xf numFmtId="2" fontId="2" fillId="0" borderId="161" xfId="0" applyNumberFormat="1" applyFont="1" applyFill="1" applyBorder="1" applyAlignment="1" applyProtection="1">
      <alignment horizontal="center" vertical="center"/>
    </xf>
    <xf numFmtId="168" fontId="2" fillId="21" borderId="161" xfId="0" applyNumberFormat="1" applyFont="1" applyFill="1" applyBorder="1" applyAlignment="1">
      <alignment horizontal="center" vertical="center"/>
    </xf>
    <xf numFmtId="168" fontId="2" fillId="35" borderId="161" xfId="0" applyNumberFormat="1" applyFont="1" applyFill="1" applyBorder="1" applyAlignment="1">
      <alignment horizontal="center" vertical="center"/>
    </xf>
    <xf numFmtId="4" fontId="2" fillId="4" borderId="161" xfId="0" applyNumberFormat="1" applyFont="1" applyFill="1" applyBorder="1" applyAlignment="1">
      <alignment horizontal="center" vertical="center"/>
    </xf>
    <xf numFmtId="49" fontId="2" fillId="4" borderId="161" xfId="0" applyNumberFormat="1" applyFont="1" applyFill="1" applyBorder="1" applyAlignment="1">
      <alignment horizontal="center" vertical="center"/>
    </xf>
    <xf numFmtId="166" fontId="2" fillId="0" borderId="161" xfId="0" applyNumberFormat="1" applyFont="1" applyBorder="1" applyAlignment="1">
      <alignment horizontal="center" vertical="center"/>
    </xf>
    <xf numFmtId="4" fontId="2" fillId="0" borderId="161" xfId="0" applyNumberFormat="1" applyFont="1" applyFill="1" applyBorder="1" applyAlignment="1">
      <alignment horizontal="center" vertical="center"/>
    </xf>
    <xf numFmtId="166" fontId="2" fillId="15" borderId="161" xfId="0" applyNumberFormat="1" applyFont="1" applyFill="1" applyBorder="1" applyAlignment="1">
      <alignment horizontal="center" vertical="center"/>
    </xf>
    <xf numFmtId="4" fontId="146" fillId="18" borderId="161" xfId="0" applyNumberFormat="1" applyFont="1" applyFill="1" applyBorder="1" applyAlignment="1">
      <alignment horizontal="center" vertical="center"/>
    </xf>
    <xf numFmtId="49" fontId="2" fillId="0" borderId="161" xfId="0" applyNumberFormat="1" applyFont="1" applyFill="1" applyBorder="1" applyAlignment="1">
      <alignment horizontal="left" vertical="center"/>
    </xf>
    <xf numFmtId="0" fontId="2" fillId="0" borderId="161" xfId="0" applyFont="1" applyFill="1" applyBorder="1" applyAlignment="1">
      <alignment horizontal="center" vertical="center" wrapText="1"/>
    </xf>
    <xf numFmtId="0" fontId="2" fillId="63" borderId="161" xfId="0" applyNumberFormat="1" applyFont="1" applyFill="1" applyBorder="1" applyAlignment="1">
      <alignment horizontal="center" vertical="center" wrapText="1"/>
    </xf>
    <xf numFmtId="168" fontId="2" fillId="11" borderId="161" xfId="0" applyNumberFormat="1" applyFont="1" applyFill="1" applyBorder="1" applyAlignment="1">
      <alignment horizontal="center" vertical="center"/>
    </xf>
    <xf numFmtId="10" fontId="2" fillId="0" borderId="161" xfId="0" applyNumberFormat="1" applyFont="1" applyFill="1" applyBorder="1" applyAlignment="1">
      <alignment horizontal="center" vertical="center" wrapText="1"/>
    </xf>
    <xf numFmtId="0" fontId="2" fillId="0" borderId="161" xfId="0" applyFont="1" applyFill="1" applyBorder="1" applyAlignment="1">
      <alignment horizontal="center" vertical="center"/>
    </xf>
    <xf numFmtId="168" fontId="2" fillId="58" borderId="161" xfId="0" applyNumberFormat="1" applyFont="1" applyFill="1" applyBorder="1" applyAlignment="1">
      <alignment horizontal="center" vertical="center"/>
    </xf>
    <xf numFmtId="49" fontId="180" fillId="11" borderId="9" xfId="0" applyNumberFormat="1" applyFont="1" applyFill="1" applyBorder="1" applyAlignment="1">
      <alignment horizontal="center" vertical="center"/>
    </xf>
    <xf numFmtId="49" fontId="180" fillId="11" borderId="9" xfId="0" applyNumberFormat="1" applyFont="1" applyFill="1" applyBorder="1" applyAlignment="1">
      <alignment horizontal="left" vertical="center"/>
    </xf>
    <xf numFmtId="49" fontId="180" fillId="11" borderId="9" xfId="0" applyNumberFormat="1" applyFont="1" applyFill="1" applyBorder="1" applyAlignment="1">
      <alignment horizontal="left" vertical="center" wrapText="1"/>
    </xf>
    <xf numFmtId="49" fontId="180" fillId="11" borderId="9" xfId="0" applyNumberFormat="1" applyFont="1" applyFill="1" applyBorder="1" applyAlignment="1">
      <alignment horizontal="center" vertical="center" wrapText="1"/>
    </xf>
    <xf numFmtId="49" fontId="84" fillId="11" borderId="9" xfId="0" applyNumberFormat="1" applyFont="1" applyFill="1" applyBorder="1" applyAlignment="1">
      <alignment horizontal="center" vertical="center"/>
    </xf>
    <xf numFmtId="171" fontId="84" fillId="11" borderId="9" xfId="0" applyNumberFormat="1" applyFont="1" applyFill="1" applyBorder="1" applyAlignment="1">
      <alignment horizontal="center" vertical="center"/>
    </xf>
    <xf numFmtId="49" fontId="84" fillId="11" borderId="9" xfId="0" applyNumberFormat="1" applyFont="1" applyFill="1" applyBorder="1" applyAlignment="1">
      <alignment horizontal="center" vertical="center" wrapText="1"/>
    </xf>
    <xf numFmtId="4" fontId="146" fillId="11" borderId="9" xfId="0" applyNumberFormat="1" applyFont="1" applyFill="1" applyBorder="1" applyAlignment="1">
      <alignment horizontal="center" vertical="center"/>
    </xf>
    <xf numFmtId="168" fontId="146" fillId="11" borderId="9" xfId="0" applyNumberFormat="1" applyFont="1" applyFill="1" applyBorder="1" applyAlignment="1">
      <alignment horizontal="center" vertical="center"/>
    </xf>
    <xf numFmtId="2" fontId="23" fillId="27" borderId="1" xfId="0" applyNumberFormat="1" applyFont="1" applyFill="1" applyBorder="1" applyAlignment="1">
      <alignment horizontal="center" vertical="center" wrapText="1"/>
    </xf>
    <xf numFmtId="2" fontId="23" fillId="11" borderId="162" xfId="0" applyNumberFormat="1" applyFont="1" applyFill="1" applyBorder="1"/>
    <xf numFmtId="2" fontId="23" fillId="7" borderId="160" xfId="0" applyNumberFormat="1" applyFont="1" applyFill="1" applyBorder="1"/>
    <xf numFmtId="2" fontId="181" fillId="11" borderId="158" xfId="0" applyNumberFormat="1" applyFont="1" applyFill="1" applyBorder="1"/>
    <xf numFmtId="0" fontId="146" fillId="11" borderId="0" xfId="0" applyFont="1" applyFill="1"/>
    <xf numFmtId="2" fontId="40" fillId="0" borderId="0" xfId="0" applyNumberFormat="1" applyFont="1" applyFill="1" applyBorder="1" applyAlignment="1">
      <alignment horizontal="right" wrapText="1"/>
    </xf>
    <xf numFmtId="168" fontId="65" fillId="0" borderId="0" xfId="0" applyNumberFormat="1" applyFont="1" applyFill="1" applyBorder="1" applyAlignment="1">
      <alignment horizontal="center" vertical="center"/>
    </xf>
    <xf numFmtId="0" fontId="1" fillId="26" borderId="158" xfId="0" applyFont="1" applyFill="1" applyBorder="1" applyAlignment="1">
      <alignment horizontal="center"/>
    </xf>
    <xf numFmtId="166" fontId="2" fillId="2" borderId="9" xfId="5" applyNumberFormat="1" applyFont="1" applyFill="1" applyBorder="1" applyAlignment="1" applyProtection="1">
      <alignment horizontal="center"/>
    </xf>
    <xf numFmtId="166" fontId="2" fillId="0" borderId="9" xfId="5" applyNumberFormat="1" applyFont="1" applyFill="1" applyBorder="1" applyAlignment="1" applyProtection="1">
      <alignment horizontal="left"/>
    </xf>
    <xf numFmtId="166" fontId="2" fillId="2" borderId="161" xfId="0" applyNumberFormat="1" applyFont="1" applyFill="1" applyBorder="1" applyAlignment="1" applyProtection="1">
      <alignment horizontal="center" vertical="center"/>
    </xf>
    <xf numFmtId="166" fontId="2" fillId="0" borderId="161" xfId="0" applyNumberFormat="1" applyFont="1" applyFill="1" applyBorder="1" applyAlignment="1" applyProtection="1">
      <alignment horizontal="left" vertical="center"/>
    </xf>
    <xf numFmtId="2" fontId="23" fillId="0" borderId="161" xfId="0" applyNumberFormat="1" applyFont="1" applyBorder="1"/>
    <xf numFmtId="2" fontId="23" fillId="47" borderId="161" xfId="0" applyNumberFormat="1" applyFont="1" applyFill="1" applyBorder="1"/>
    <xf numFmtId="2" fontId="23" fillId="27" borderId="161" xfId="0" applyNumberFormat="1" applyFont="1" applyFill="1" applyBorder="1"/>
    <xf numFmtId="2" fontId="23" fillId="0" borderId="163" xfId="0" applyNumberFormat="1" applyFont="1" applyFill="1" applyBorder="1"/>
    <xf numFmtId="49" fontId="180" fillId="11" borderId="12" xfId="0" applyNumberFormat="1" applyFont="1" applyFill="1" applyBorder="1" applyAlignment="1">
      <alignment horizontal="center" vertical="center" wrapText="1"/>
    </xf>
    <xf numFmtId="49" fontId="182" fillId="11" borderId="162" xfId="0" applyNumberFormat="1" applyFont="1" applyFill="1" applyBorder="1" applyAlignment="1">
      <alignment horizontal="right" vertical="center" wrapText="1"/>
    </xf>
    <xf numFmtId="2" fontId="23" fillId="0" borderId="161" xfId="0" applyNumberFormat="1" applyFont="1" applyFill="1" applyBorder="1"/>
    <xf numFmtId="2" fontId="103" fillId="0" borderId="0" xfId="0" applyNumberFormat="1" applyFont="1" applyFill="1" applyBorder="1" applyAlignment="1">
      <alignment horizontal="center" wrapText="1"/>
    </xf>
    <xf numFmtId="2" fontId="25" fillId="0" borderId="0" xfId="0" applyNumberFormat="1" applyFont="1" applyFill="1" applyBorder="1" applyAlignment="1">
      <alignment horizontal="center" wrapText="1"/>
    </xf>
    <xf numFmtId="2" fontId="40" fillId="0" borderId="0" xfId="0" applyNumberFormat="1" applyFont="1" applyFill="1" applyBorder="1" applyAlignment="1">
      <alignment horizontal="center" wrapText="1"/>
    </xf>
    <xf numFmtId="2" fontId="103" fillId="0" borderId="0" xfId="0" applyNumberFormat="1" applyFont="1" applyFill="1" applyBorder="1"/>
    <xf numFmtId="171" fontId="10" fillId="0" borderId="0" xfId="0" applyNumberFormat="1" applyFont="1" applyFill="1" applyBorder="1" applyAlignment="1" applyProtection="1">
      <alignment horizontal="center"/>
      <protection locked="0"/>
    </xf>
    <xf numFmtId="2" fontId="25" fillId="0" borderId="0" xfId="0" applyNumberFormat="1" applyFont="1" applyFill="1" applyBorder="1" applyAlignment="1">
      <alignment horizontal="center"/>
    </xf>
    <xf numFmtId="2" fontId="23" fillId="0" borderId="0" xfId="0" applyNumberFormat="1" applyFont="1" applyFill="1" applyBorder="1" applyAlignment="1">
      <alignment horizontal="center"/>
    </xf>
    <xf numFmtId="0" fontId="146" fillId="0" borderId="0" xfId="0" applyFont="1" applyFill="1" applyBorder="1"/>
    <xf numFmtId="166" fontId="23" fillId="0" borderId="1" xfId="0" applyNumberFormat="1" applyFont="1" applyFill="1" applyBorder="1"/>
    <xf numFmtId="166" fontId="2" fillId="0" borderId="160" xfId="6" applyNumberFormat="1" applyFont="1" applyFill="1" applyBorder="1" applyAlignment="1" applyProtection="1">
      <alignment horizontal="center"/>
    </xf>
    <xf numFmtId="2" fontId="23" fillId="77" borderId="4" xfId="0" applyNumberFormat="1" applyFont="1" applyFill="1" applyBorder="1"/>
    <xf numFmtId="2" fontId="23" fillId="77" borderId="164" xfId="0" applyNumberFormat="1" applyFont="1" applyFill="1" applyBorder="1"/>
    <xf numFmtId="2" fontId="23" fillId="78" borderId="1" xfId="0" applyNumberFormat="1" applyFont="1" applyFill="1" applyBorder="1"/>
    <xf numFmtId="2" fontId="23" fillId="78" borderId="4" xfId="0" applyNumberFormat="1" applyFont="1" applyFill="1" applyBorder="1" applyAlignment="1">
      <alignment horizontal="center" vertical="center" wrapText="1"/>
    </xf>
    <xf numFmtId="2" fontId="103" fillId="79" borderId="1" xfId="0" applyNumberFormat="1" applyFont="1" applyFill="1" applyBorder="1" applyAlignment="1">
      <alignment horizontal="center" vertical="center" wrapText="1"/>
    </xf>
    <xf numFmtId="166" fontId="2" fillId="0" borderId="0" xfId="0" applyNumberFormat="1" applyFont="1" applyFill="1" applyBorder="1" applyAlignment="1" applyProtection="1">
      <alignment horizontal="left" vertical="center"/>
    </xf>
    <xf numFmtId="2" fontId="23" fillId="21" borderId="160" xfId="0" applyNumberFormat="1" applyFont="1" applyFill="1" applyBorder="1"/>
    <xf numFmtId="2" fontId="23" fillId="2" borderId="160" xfId="0" applyNumberFormat="1" applyFont="1" applyFill="1" applyBorder="1"/>
    <xf numFmtId="0" fontId="0" fillId="0" borderId="0" xfId="0" applyFill="1" applyBorder="1" applyAlignment="1"/>
    <xf numFmtId="0" fontId="62" fillId="0" borderId="0" xfId="0" applyFont="1" applyFill="1" applyBorder="1" applyAlignment="1" applyProtection="1">
      <alignment horizontal="left" vertical="center"/>
    </xf>
    <xf numFmtId="10" fontId="184" fillId="37" borderId="160" xfId="0" applyNumberFormat="1" applyFont="1" applyFill="1" applyBorder="1" applyAlignment="1">
      <alignment horizontal="center" vertical="center" wrapText="1"/>
    </xf>
    <xf numFmtId="2" fontId="23" fillId="80" borderId="160" xfId="0" applyNumberFormat="1" applyFont="1" applyFill="1" applyBorder="1"/>
    <xf numFmtId="2" fontId="181" fillId="37" borderId="160" xfId="0" applyNumberFormat="1" applyFont="1" applyFill="1" applyBorder="1"/>
    <xf numFmtId="2" fontId="23" fillId="11" borderId="160" xfId="0" applyNumberFormat="1" applyFont="1" applyFill="1" applyBorder="1" applyAlignment="1">
      <alignment horizontal="center" vertical="top" wrapText="1"/>
    </xf>
    <xf numFmtId="2" fontId="103" fillId="10" borderId="1" xfId="0" applyNumberFormat="1" applyFont="1" applyFill="1" applyBorder="1" applyAlignment="1">
      <alignment horizontal="center" vertical="center" wrapText="1"/>
    </xf>
    <xf numFmtId="0" fontId="23" fillId="0" borderId="165" xfId="0" applyFont="1" applyBorder="1" applyAlignment="1"/>
    <xf numFmtId="0" fontId="0" fillId="26" borderId="0" xfId="0" applyFill="1" applyBorder="1" applyAlignment="1">
      <alignment horizontal="center"/>
    </xf>
    <xf numFmtId="4" fontId="84" fillId="41" borderId="0" xfId="0" applyNumberFormat="1" applyFont="1" applyFill="1" applyBorder="1"/>
    <xf numFmtId="2" fontId="114" fillId="22" borderId="0" xfId="0" applyNumberFormat="1" applyFont="1" applyFill="1" applyBorder="1"/>
    <xf numFmtId="2" fontId="181" fillId="79" borderId="158" xfId="0" applyNumberFormat="1" applyFont="1" applyFill="1" applyBorder="1"/>
    <xf numFmtId="2" fontId="181" fillId="11" borderId="162" xfId="0" applyNumberFormat="1" applyFont="1" applyFill="1" applyBorder="1"/>
    <xf numFmtId="2" fontId="23" fillId="79" borderId="159" xfId="0" applyNumberFormat="1" applyFont="1" applyFill="1" applyBorder="1"/>
    <xf numFmtId="2" fontId="181" fillId="43" borderId="160" xfId="0" applyNumberFormat="1" applyFont="1" applyFill="1" applyBorder="1"/>
    <xf numFmtId="2" fontId="183" fillId="74" borderId="51" xfId="0" applyNumberFormat="1" applyFont="1" applyFill="1" applyBorder="1"/>
    <xf numFmtId="2" fontId="181" fillId="74" borderId="12" xfId="0" applyNumberFormat="1" applyFont="1" applyFill="1" applyBorder="1"/>
    <xf numFmtId="2" fontId="183" fillId="32" borderId="162" xfId="0" applyNumberFormat="1" applyFont="1" applyFill="1" applyBorder="1"/>
    <xf numFmtId="2" fontId="181" fillId="32" borderId="12" xfId="0" applyNumberFormat="1" applyFont="1" applyFill="1" applyBorder="1"/>
    <xf numFmtId="10" fontId="23" fillId="9" borderId="1" xfId="0" applyNumberFormat="1" applyFont="1" applyFill="1" applyBorder="1" applyAlignment="1">
      <alignment horizontal="center" vertical="center" wrapText="1"/>
    </xf>
    <xf numFmtId="10" fontId="23" fillId="62" borderId="160" xfId="0" applyNumberFormat="1" applyFont="1" applyFill="1" applyBorder="1"/>
    <xf numFmtId="10" fontId="23" fillId="9" borderId="160" xfId="0" applyNumberFormat="1" applyFont="1" applyFill="1" applyBorder="1"/>
    <xf numFmtId="10" fontId="184" fillId="81" borderId="160" xfId="0" applyNumberFormat="1" applyFont="1" applyFill="1" applyBorder="1"/>
    <xf numFmtId="10" fontId="48" fillId="9" borderId="160" xfId="0" applyNumberFormat="1" applyFont="1" applyFill="1" applyBorder="1"/>
    <xf numFmtId="166" fontId="2" fillId="2" borderId="9" xfId="0" applyNumberFormat="1" applyFont="1" applyFill="1" applyBorder="1" applyAlignment="1" applyProtection="1">
      <alignment horizontal="center" vertical="center"/>
    </xf>
    <xf numFmtId="166" fontId="2" fillId="0" borderId="9" xfId="0" applyNumberFormat="1" applyFont="1" applyFill="1" applyBorder="1" applyAlignment="1" applyProtection="1">
      <alignment horizontal="left" vertical="center"/>
    </xf>
    <xf numFmtId="2" fontId="103" fillId="10" borderId="161" xfId="0" applyNumberFormat="1" applyFont="1" applyFill="1" applyBorder="1" applyAlignment="1">
      <alignment horizontal="center" vertical="center" wrapText="1"/>
    </xf>
    <xf numFmtId="2" fontId="23" fillId="78" borderId="164" xfId="0" applyNumberFormat="1" applyFont="1" applyFill="1" applyBorder="1" applyAlignment="1">
      <alignment horizontal="center" vertical="center" wrapText="1"/>
    </xf>
    <xf numFmtId="2" fontId="103" fillId="79" borderId="161" xfId="0" applyNumberFormat="1" applyFont="1" applyFill="1" applyBorder="1" applyAlignment="1">
      <alignment horizontal="center" vertical="center" wrapText="1"/>
    </xf>
    <xf numFmtId="2" fontId="31" fillId="31" borderId="161" xfId="0" applyNumberFormat="1" applyFont="1" applyFill="1" applyBorder="1" applyAlignment="1">
      <alignment horizontal="center" vertical="center" wrapText="1"/>
    </xf>
    <xf numFmtId="2" fontId="23" fillId="2" borderId="161" xfId="0" applyNumberFormat="1" applyFont="1" applyFill="1" applyBorder="1" applyAlignment="1">
      <alignment horizontal="center" vertical="center" wrapText="1"/>
    </xf>
    <xf numFmtId="10" fontId="23" fillId="9" borderId="161" xfId="0" applyNumberFormat="1" applyFont="1" applyFill="1" applyBorder="1" applyAlignment="1">
      <alignment horizontal="center" vertical="center" wrapText="1"/>
    </xf>
    <xf numFmtId="10" fontId="184" fillId="37" borderId="161" xfId="0" applyNumberFormat="1" applyFont="1" applyFill="1" applyBorder="1" applyAlignment="1">
      <alignment horizontal="center" vertical="center" wrapText="1"/>
    </xf>
    <xf numFmtId="2" fontId="23" fillId="11" borderId="9" xfId="0" applyNumberFormat="1" applyFont="1" applyFill="1" applyBorder="1" applyAlignment="1">
      <alignment horizontal="center" vertical="top" wrapText="1"/>
    </xf>
    <xf numFmtId="2" fontId="23" fillId="27" borderId="9" xfId="0" applyNumberFormat="1" applyFont="1" applyFill="1" applyBorder="1"/>
    <xf numFmtId="2" fontId="23" fillId="0" borderId="46" xfId="0" applyNumberFormat="1" applyFont="1" applyFill="1" applyBorder="1"/>
    <xf numFmtId="2" fontId="23" fillId="77" borderId="12" xfId="0" applyNumberFormat="1" applyFont="1" applyFill="1" applyBorder="1"/>
    <xf numFmtId="2" fontId="23" fillId="78" borderId="9" xfId="0" applyNumberFormat="1" applyFont="1" applyFill="1" applyBorder="1"/>
    <xf numFmtId="2" fontId="23" fillId="0" borderId="9" xfId="0" applyNumberFormat="1" applyFont="1" applyFill="1" applyBorder="1"/>
    <xf numFmtId="2" fontId="23" fillId="21" borderId="9" xfId="0" applyNumberFormat="1" applyFont="1" applyFill="1" applyBorder="1"/>
    <xf numFmtId="10" fontId="23" fillId="62" borderId="9" xfId="0" applyNumberFormat="1" applyFont="1" applyFill="1" applyBorder="1"/>
    <xf numFmtId="2" fontId="23" fillId="80" borderId="9" xfId="0" applyNumberFormat="1" applyFont="1" applyFill="1" applyBorder="1"/>
    <xf numFmtId="2" fontId="23" fillId="27" borderId="164" xfId="0" applyNumberFormat="1" applyFont="1" applyFill="1" applyBorder="1" applyAlignment="1">
      <alignment horizontal="center" vertical="center" wrapText="1"/>
    </xf>
    <xf numFmtId="2" fontId="31" fillId="23" borderId="161" xfId="0" applyNumberFormat="1" applyFont="1" applyFill="1" applyBorder="1" applyAlignment="1">
      <alignment horizontal="center" vertical="center" wrapText="1"/>
    </xf>
    <xf numFmtId="2" fontId="31" fillId="46" borderId="161" xfId="0" applyNumberFormat="1" applyFont="1" applyFill="1" applyBorder="1" applyAlignment="1">
      <alignment horizontal="center" vertical="center" wrapText="1"/>
    </xf>
    <xf numFmtId="2" fontId="23" fillId="0" borderId="9" xfId="0" applyNumberFormat="1" applyFont="1" applyBorder="1"/>
    <xf numFmtId="2" fontId="23" fillId="47" borderId="9" xfId="0" applyNumberFormat="1" applyFont="1" applyFill="1" applyBorder="1"/>
    <xf numFmtId="49" fontId="114" fillId="11" borderId="160" xfId="0" applyNumberFormat="1" applyFont="1" applyFill="1" applyBorder="1" applyAlignment="1">
      <alignment horizontal="left" vertical="center"/>
    </xf>
    <xf numFmtId="0" fontId="23" fillId="0" borderId="0" xfId="0" applyFont="1" applyAlignment="1">
      <alignment horizontal="center"/>
    </xf>
    <xf numFmtId="0" fontId="30" fillId="0" borderId="163" xfId="0" applyFont="1" applyBorder="1" applyAlignment="1">
      <alignment horizontal="center" vertical="center"/>
    </xf>
    <xf numFmtId="0" fontId="31" fillId="11" borderId="162" xfId="0" applyFont="1" applyFill="1" applyBorder="1" applyAlignment="1">
      <alignment horizontal="center"/>
    </xf>
    <xf numFmtId="166" fontId="2" fillId="0" borderId="9" xfId="0" applyNumberFormat="1" applyFont="1" applyFill="1" applyBorder="1" applyAlignment="1" applyProtection="1">
      <alignment horizontal="center" vertical="center"/>
    </xf>
    <xf numFmtId="166" fontId="0" fillId="0" borderId="160" xfId="0" applyNumberFormat="1" applyFont="1" applyFill="1" applyBorder="1" applyAlignment="1" applyProtection="1">
      <alignment horizontal="center" vertical="center"/>
    </xf>
    <xf numFmtId="166" fontId="2" fillId="0" borderId="160" xfId="7" applyNumberFormat="1" applyFont="1" applyFill="1" applyBorder="1" applyAlignment="1" applyProtection="1">
      <alignment horizontal="center" vertical="center"/>
    </xf>
    <xf numFmtId="166" fontId="2" fillId="0" borderId="160" xfId="7" applyNumberFormat="1" applyFont="1" applyFill="1" applyBorder="1" applyAlignment="1" applyProtection="1">
      <alignment horizontal="center"/>
    </xf>
    <xf numFmtId="166" fontId="19" fillId="0" borderId="160" xfId="6" applyNumberFormat="1" applyFont="1" applyFill="1" applyBorder="1" applyAlignment="1" applyProtection="1">
      <alignment horizontal="center"/>
    </xf>
    <xf numFmtId="166" fontId="177" fillId="0" borderId="160" xfId="0" applyNumberFormat="1" applyFont="1" applyFill="1" applyBorder="1" applyAlignment="1" applyProtection="1">
      <alignment horizontal="center" vertical="center"/>
    </xf>
    <xf numFmtId="166" fontId="2" fillId="0" borderId="161" xfId="0" applyNumberFormat="1" applyFont="1" applyFill="1" applyBorder="1" applyAlignment="1" applyProtection="1">
      <alignment horizontal="center" vertical="center"/>
    </xf>
    <xf numFmtId="49" fontId="114" fillId="11" borderId="160" xfId="0" applyNumberFormat="1" applyFont="1" applyFill="1" applyBorder="1" applyAlignment="1">
      <alignment horizontal="center" vertical="center"/>
    </xf>
    <xf numFmtId="166" fontId="2" fillId="0" borderId="9" xfId="5" applyNumberFormat="1" applyFont="1" applyFill="1" applyBorder="1" applyAlignment="1" applyProtection="1">
      <alignment horizontal="center"/>
    </xf>
    <xf numFmtId="166" fontId="19" fillId="0" borderId="160" xfId="0" applyNumberFormat="1" applyFont="1" applyFill="1" applyBorder="1" applyAlignment="1" applyProtection="1">
      <alignment horizontal="center"/>
    </xf>
    <xf numFmtId="166" fontId="2" fillId="0" borderId="160" xfId="5" applyNumberFormat="1" applyFont="1" applyFill="1" applyBorder="1" applyAlignment="1" applyProtection="1">
      <alignment horizontal="center" vertical="center"/>
    </xf>
    <xf numFmtId="166" fontId="2" fillId="0" borderId="160" xfId="5" applyNumberFormat="1" applyFont="1" applyFill="1" applyBorder="1" applyAlignment="1" applyProtection="1">
      <alignment horizontal="center"/>
    </xf>
    <xf numFmtId="166" fontId="2" fillId="5" borderId="160" xfId="7" applyNumberFormat="1" applyFont="1" applyFill="1" applyBorder="1" applyAlignment="1" applyProtection="1">
      <alignment horizontal="center" vertical="center"/>
    </xf>
    <xf numFmtId="166" fontId="2" fillId="5" borderId="160" xfId="7" applyNumberFormat="1" applyFont="1" applyFill="1" applyBorder="1" applyAlignment="1" applyProtection="1">
      <alignment horizontal="center"/>
    </xf>
    <xf numFmtId="49" fontId="68" fillId="0" borderId="160" xfId="0" applyNumberFormat="1" applyFont="1" applyFill="1" applyBorder="1" applyAlignment="1">
      <alignment horizontal="center" vertical="center"/>
    </xf>
    <xf numFmtId="0" fontId="24" fillId="0" borderId="0" xfId="0" applyFont="1" applyFill="1" applyBorder="1" applyAlignment="1" applyProtection="1">
      <alignment horizontal="center"/>
      <protection locked="0"/>
    </xf>
    <xf numFmtId="0" fontId="31" fillId="0" borderId="0" xfId="0" applyFont="1" applyFill="1" applyBorder="1" applyAlignment="1">
      <alignment horizontal="center"/>
    </xf>
    <xf numFmtId="49" fontId="182" fillId="11" borderId="159" xfId="0" applyNumberFormat="1" applyFont="1" applyFill="1" applyBorder="1" applyAlignment="1">
      <alignment horizontal="center" vertical="center"/>
    </xf>
    <xf numFmtId="0" fontId="0" fillId="11" borderId="159" xfId="0" applyFill="1" applyBorder="1" applyAlignment="1">
      <alignment horizontal="center" vertical="top" wrapText="1"/>
    </xf>
    <xf numFmtId="0" fontId="0" fillId="11" borderId="163" xfId="0" applyFill="1" applyBorder="1" applyAlignment="1">
      <alignment horizontal="center" vertical="top" wrapText="1"/>
    </xf>
    <xf numFmtId="0" fontId="31" fillId="11" borderId="165" xfId="0" applyFont="1" applyFill="1" applyBorder="1" applyAlignment="1">
      <alignment horizontal="center"/>
    </xf>
    <xf numFmtId="49" fontId="182" fillId="11" borderId="165" xfId="0" applyNumberFormat="1" applyFont="1" applyFill="1" applyBorder="1" applyAlignment="1">
      <alignment horizontal="right" vertical="center" wrapText="1"/>
    </xf>
    <xf numFmtId="2" fontId="23" fillId="11" borderId="165" xfId="0" applyNumberFormat="1" applyFont="1" applyFill="1" applyBorder="1"/>
    <xf numFmtId="0" fontId="182" fillId="32" borderId="159" xfId="0" applyFont="1" applyFill="1" applyBorder="1" applyAlignment="1">
      <alignment horizontal="center" vertical="top" wrapText="1"/>
    </xf>
    <xf numFmtId="0" fontId="183" fillId="32" borderId="162" xfId="0" applyFont="1" applyFill="1" applyBorder="1" applyAlignment="1">
      <alignment horizontal="center"/>
    </xf>
    <xf numFmtId="49" fontId="182" fillId="32" borderId="162" xfId="0" applyNumberFormat="1" applyFont="1" applyFill="1" applyBorder="1" applyAlignment="1">
      <alignment horizontal="right" vertical="center" wrapText="1"/>
    </xf>
    <xf numFmtId="0" fontId="182" fillId="32" borderId="158" xfId="0" applyFont="1" applyFill="1" applyBorder="1" applyAlignment="1">
      <alignment horizontal="right" vertical="top" wrapText="1"/>
    </xf>
    <xf numFmtId="49" fontId="182" fillId="60" borderId="159" xfId="0" applyNumberFormat="1" applyFont="1" applyFill="1" applyBorder="1" applyAlignment="1">
      <alignment horizontal="center" vertical="center"/>
    </xf>
    <xf numFmtId="0" fontId="31" fillId="60" borderId="162" xfId="0" applyFont="1" applyFill="1" applyBorder="1" applyAlignment="1">
      <alignment horizontal="center"/>
    </xf>
    <xf numFmtId="49" fontId="182" fillId="60" borderId="162" xfId="0" applyNumberFormat="1" applyFont="1" applyFill="1" applyBorder="1" applyAlignment="1">
      <alignment horizontal="left" vertical="center"/>
    </xf>
    <xf numFmtId="2" fontId="25" fillId="60" borderId="158" xfId="0" applyNumberFormat="1" applyFont="1" applyFill="1" applyBorder="1" applyAlignment="1">
      <alignment horizontal="center" wrapText="1"/>
    </xf>
    <xf numFmtId="2" fontId="40" fillId="60" borderId="160" xfId="0" applyNumberFormat="1" applyFont="1" applyFill="1" applyBorder="1" applyAlignment="1">
      <alignment horizontal="center" wrapText="1"/>
    </xf>
    <xf numFmtId="2" fontId="25" fillId="60" borderId="160" xfId="0" applyNumberFormat="1" applyFont="1" applyFill="1" applyBorder="1" applyAlignment="1">
      <alignment horizontal="center" wrapText="1"/>
    </xf>
    <xf numFmtId="2" fontId="23" fillId="60" borderId="162" xfId="0" applyNumberFormat="1" applyFont="1" applyFill="1" applyBorder="1"/>
    <xf numFmtId="2" fontId="40" fillId="60" borderId="162" xfId="0" applyNumberFormat="1" applyFont="1" applyFill="1" applyBorder="1" applyAlignment="1">
      <alignment horizontal="right" wrapText="1"/>
    </xf>
    <xf numFmtId="10" fontId="23" fillId="60" borderId="162" xfId="0" applyNumberFormat="1" applyFont="1" applyFill="1" applyBorder="1"/>
    <xf numFmtId="10" fontId="23" fillId="60" borderId="158" xfId="0" applyNumberFormat="1" applyFont="1" applyFill="1" applyBorder="1"/>
    <xf numFmtId="4" fontId="84" fillId="41" borderId="160" xfId="0" applyNumberFormat="1" applyFont="1" applyFill="1" applyBorder="1"/>
    <xf numFmtId="0" fontId="0" fillId="7" borderId="160" xfId="0" applyFill="1" applyBorder="1"/>
    <xf numFmtId="2" fontId="163" fillId="0" borderId="0" xfId="0" applyNumberFormat="1" applyFont="1" applyAlignment="1">
      <alignment horizontal="center"/>
    </xf>
    <xf numFmtId="0" fontId="25" fillId="0" borderId="0" xfId="0" applyFont="1" applyFill="1" applyBorder="1" applyAlignment="1"/>
    <xf numFmtId="0" fontId="23" fillId="0" borderId="0" xfId="0" applyFont="1" applyFill="1" applyBorder="1" applyAlignment="1"/>
    <xf numFmtId="4" fontId="103" fillId="0" borderId="0" xfId="0" applyNumberFormat="1" applyFont="1" applyFill="1" applyBorder="1"/>
    <xf numFmtId="2" fontId="104" fillId="0" borderId="0" xfId="0" applyNumberFormat="1" applyFont="1" applyFill="1" applyBorder="1" applyAlignment="1">
      <alignment vertical="center"/>
    </xf>
    <xf numFmtId="2" fontId="31" fillId="31" borderId="163" xfId="0" applyNumberFormat="1" applyFont="1" applyFill="1" applyBorder="1" applyAlignment="1">
      <alignment horizontal="center" vertical="center" wrapText="1"/>
    </xf>
    <xf numFmtId="0" fontId="23" fillId="44" borderId="158" xfId="0" applyFont="1" applyFill="1" applyBorder="1"/>
    <xf numFmtId="166" fontId="48" fillId="42" borderId="158" xfId="0" applyNumberFormat="1" applyFont="1" applyFill="1" applyBorder="1" applyAlignment="1">
      <alignment horizontal="left" vertical="center"/>
    </xf>
    <xf numFmtId="0" fontId="111" fillId="44" borderId="158" xfId="0" applyFont="1" applyFill="1" applyBorder="1"/>
    <xf numFmtId="0" fontId="23" fillId="42" borderId="158" xfId="0" applyFont="1" applyFill="1" applyBorder="1"/>
    <xf numFmtId="166" fontId="23" fillId="42" borderId="158" xfId="0" applyNumberFormat="1" applyFont="1" applyFill="1" applyBorder="1" applyAlignment="1">
      <alignment horizontal="left" vertical="center"/>
    </xf>
    <xf numFmtId="0" fontId="48" fillId="44" borderId="158" xfId="0" applyFont="1" applyFill="1" applyBorder="1"/>
    <xf numFmtId="166" fontId="48" fillId="42" borderId="164" xfId="0" applyNumberFormat="1" applyFont="1" applyFill="1" applyBorder="1" applyAlignment="1">
      <alignment horizontal="left" vertical="center"/>
    </xf>
    <xf numFmtId="166" fontId="111" fillId="42" borderId="164" xfId="0" applyNumberFormat="1" applyFont="1" applyFill="1" applyBorder="1" applyAlignment="1">
      <alignment horizontal="left" vertical="center"/>
    </xf>
    <xf numFmtId="0" fontId="26" fillId="7" borderId="158" xfId="0" applyFont="1" applyFill="1" applyBorder="1" applyAlignment="1">
      <alignment horizontal="left"/>
    </xf>
    <xf numFmtId="166" fontId="23" fillId="3" borderId="158" xfId="0" applyNumberFormat="1" applyFont="1" applyFill="1" applyBorder="1" applyAlignment="1">
      <alignment horizontal="left" vertical="center"/>
    </xf>
    <xf numFmtId="166" fontId="113" fillId="45" borderId="42" xfId="0" applyNumberFormat="1" applyFont="1" applyFill="1" applyBorder="1" applyAlignment="1">
      <alignment horizontal="center" vertical="center"/>
    </xf>
    <xf numFmtId="2" fontId="103"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4" fontId="84" fillId="0" borderId="0" xfId="0" applyNumberFormat="1" applyFont="1" applyFill="1" applyBorder="1"/>
    <xf numFmtId="2" fontId="114" fillId="0" borderId="0" xfId="0" applyNumberFormat="1" applyFont="1" applyFill="1" applyBorder="1"/>
    <xf numFmtId="2" fontId="183" fillId="0" borderId="0" xfId="0" applyNumberFormat="1" applyFont="1" applyFill="1" applyBorder="1"/>
    <xf numFmtId="166" fontId="0" fillId="2" borderId="9" xfId="0" applyNumberFormat="1" applyFill="1" applyBorder="1"/>
    <xf numFmtId="2" fontId="0" fillId="0" borderId="0" xfId="0" applyNumberFormat="1" applyFill="1" applyAlignment="1">
      <alignment horizontal="center"/>
    </xf>
    <xf numFmtId="0" fontId="111" fillId="0" borderId="0" xfId="0" applyFont="1" applyFill="1" applyBorder="1"/>
    <xf numFmtId="49" fontId="182" fillId="0" borderId="0" xfId="0" applyNumberFormat="1" applyFont="1" applyFill="1" applyBorder="1" applyAlignment="1">
      <alignment horizontal="center" vertical="center"/>
    </xf>
    <xf numFmtId="2" fontId="114" fillId="74" borderId="160" xfId="0" applyNumberFormat="1" applyFont="1" applyFill="1" applyBorder="1" applyAlignment="1">
      <alignment horizontal="left" vertical="center" wrapText="1"/>
    </xf>
    <xf numFmtId="2" fontId="114" fillId="60" borderId="160" xfId="0" applyNumberFormat="1" applyFont="1" applyFill="1" applyBorder="1"/>
    <xf numFmtId="0" fontId="111" fillId="11" borderId="160" xfId="0" applyFont="1" applyFill="1" applyBorder="1"/>
    <xf numFmtId="2" fontId="114" fillId="76" borderId="160" xfId="0" applyNumberFormat="1" applyFont="1" applyFill="1" applyBorder="1" applyAlignment="1">
      <alignment horizontal="left"/>
    </xf>
    <xf numFmtId="2" fontId="114" fillId="76" borderId="160" xfId="0" applyNumberFormat="1" applyFont="1" applyFill="1" applyBorder="1" applyAlignment="1">
      <alignment horizontal="right"/>
    </xf>
    <xf numFmtId="2" fontId="114" fillId="38" borderId="160" xfId="0" applyNumberFormat="1" applyFont="1" applyFill="1" applyBorder="1"/>
    <xf numFmtId="49" fontId="181" fillId="60" borderId="159" xfId="0" applyNumberFormat="1" applyFont="1" applyFill="1" applyBorder="1" applyAlignment="1" applyProtection="1">
      <alignment horizontal="left"/>
      <protection locked="0"/>
    </xf>
    <xf numFmtId="166" fontId="111" fillId="42" borderId="160" xfId="0" applyNumberFormat="1" applyFont="1" applyFill="1" applyBorder="1" applyAlignment="1">
      <alignment horizontal="left" vertical="center"/>
    </xf>
    <xf numFmtId="0" fontId="26" fillId="15" borderId="160" xfId="0" applyFont="1" applyFill="1" applyBorder="1" applyAlignment="1">
      <alignment horizontal="left"/>
    </xf>
    <xf numFmtId="0" fontId="26" fillId="12" borderId="160" xfId="0" applyFont="1" applyFill="1" applyBorder="1" applyAlignment="1">
      <alignment horizontal="left"/>
    </xf>
    <xf numFmtId="0" fontId="0" fillId="3" borderId="160" xfId="0" applyFill="1" applyBorder="1"/>
    <xf numFmtId="166" fontId="23" fillId="60" borderId="160" xfId="0" applyNumberFormat="1" applyFont="1" applyFill="1" applyBorder="1" applyAlignment="1">
      <alignment horizontal="left" vertical="center"/>
    </xf>
    <xf numFmtId="0" fontId="113" fillId="3" borderId="160" xfId="0" applyFont="1" applyFill="1" applyBorder="1"/>
    <xf numFmtId="0" fontId="84" fillId="3" borderId="160" xfId="0" applyFont="1" applyFill="1" applyBorder="1"/>
    <xf numFmtId="2" fontId="185" fillId="3" borderId="20" xfId="0" applyNumberFormat="1" applyFont="1" applyFill="1" applyBorder="1" applyAlignment="1">
      <alignment horizontal="left"/>
    </xf>
    <xf numFmtId="2" fontId="185" fillId="3" borderId="20" xfId="0" applyNumberFormat="1" applyFont="1" applyFill="1" applyBorder="1"/>
    <xf numFmtId="2" fontId="185" fillId="52" borderId="20" xfId="0" applyNumberFormat="1" applyFont="1" applyFill="1" applyBorder="1" applyAlignment="1">
      <alignment horizontal="left"/>
    </xf>
    <xf numFmtId="2" fontId="185" fillId="52" borderId="20" xfId="0" applyNumberFormat="1" applyFont="1" applyFill="1" applyBorder="1"/>
    <xf numFmtId="4" fontId="84" fillId="41" borderId="160" xfId="0" applyNumberFormat="1" applyFont="1" applyFill="1" applyBorder="1" applyAlignment="1">
      <alignment horizontal="right"/>
    </xf>
    <xf numFmtId="0" fontId="0" fillId="0" borderId="54" xfId="0" applyBorder="1" applyAlignment="1">
      <alignment horizontal="right"/>
    </xf>
    <xf numFmtId="0" fontId="0" fillId="0" borderId="48" xfId="0" applyBorder="1" applyAlignment="1">
      <alignment horizontal="right"/>
    </xf>
    <xf numFmtId="0" fontId="84" fillId="3" borderId="160" xfId="0" applyFont="1" applyFill="1" applyBorder="1" applyAlignment="1">
      <alignment horizontal="right"/>
    </xf>
    <xf numFmtId="0" fontId="0" fillId="3" borderId="160" xfId="0" applyFill="1" applyBorder="1" applyAlignment="1">
      <alignment horizontal="right"/>
    </xf>
    <xf numFmtId="2" fontId="0" fillId="0" borderId="54" xfId="0" applyNumberFormat="1" applyBorder="1" applyAlignment="1">
      <alignment horizontal="right"/>
    </xf>
    <xf numFmtId="2" fontId="0" fillId="0" borderId="48" xfId="0" applyNumberFormat="1" applyBorder="1" applyAlignment="1">
      <alignment horizontal="right"/>
    </xf>
    <xf numFmtId="2" fontId="114" fillId="38" borderId="160" xfId="0" applyNumberFormat="1" applyFont="1" applyFill="1" applyBorder="1" applyAlignment="1">
      <alignment horizontal="right"/>
    </xf>
    <xf numFmtId="0" fontId="0" fillId="7" borderId="160" xfId="0" applyFill="1" applyBorder="1" applyAlignment="1">
      <alignment horizontal="right"/>
    </xf>
    <xf numFmtId="0" fontId="84" fillId="0" borderId="0" xfId="0" applyFont="1" applyFill="1" applyBorder="1"/>
    <xf numFmtId="2" fontId="114" fillId="0" borderId="0" xfId="0" applyNumberFormat="1" applyFont="1" applyFill="1" applyBorder="1" applyAlignment="1">
      <alignment horizontal="left" vertical="center" wrapText="1"/>
    </xf>
    <xf numFmtId="0" fontId="0" fillId="0" borderId="0" xfId="0" applyFill="1" applyBorder="1" applyAlignment="1">
      <alignment horizontal="right"/>
    </xf>
    <xf numFmtId="2" fontId="114" fillId="60" borderId="160" xfId="0" applyNumberFormat="1" applyFont="1" applyFill="1" applyBorder="1" applyAlignment="1">
      <alignment vertical="center"/>
    </xf>
    <xf numFmtId="2" fontId="186" fillId="52" borderId="20" xfId="0" applyNumberFormat="1" applyFont="1" applyFill="1" applyBorder="1"/>
    <xf numFmtId="0" fontId="183" fillId="3" borderId="159" xfId="0" applyFont="1" applyFill="1" applyBorder="1"/>
    <xf numFmtId="0" fontId="182" fillId="3" borderId="160" xfId="0" applyFont="1" applyFill="1" applyBorder="1"/>
    <xf numFmtId="0" fontId="183" fillId="3" borderId="160" xfId="0" applyFont="1" applyFill="1" applyBorder="1" applyProtection="1">
      <protection locked="0"/>
    </xf>
    <xf numFmtId="166" fontId="115" fillId="74" borderId="1" xfId="0" applyNumberFormat="1" applyFont="1" applyFill="1" applyBorder="1" applyAlignment="1">
      <alignment horizontal="right" vertical="center"/>
    </xf>
    <xf numFmtId="2" fontId="103" fillId="79" borderId="161" xfId="0" applyNumberFormat="1" applyFont="1" applyFill="1" applyBorder="1" applyAlignment="1">
      <alignment horizontal="left" vertical="center" wrapText="1"/>
    </xf>
    <xf numFmtId="166" fontId="33" fillId="2" borderId="160" xfId="0" applyNumberFormat="1" applyFont="1" applyFill="1" applyBorder="1" applyAlignment="1">
      <alignment vertical="center" wrapText="1"/>
    </xf>
    <xf numFmtId="166" fontId="23" fillId="12" borderId="160" xfId="0" applyNumberFormat="1" applyFont="1" applyFill="1" applyBorder="1" applyAlignment="1">
      <alignment horizontal="left" vertical="center"/>
    </xf>
    <xf numFmtId="166" fontId="23" fillId="2" borderId="160" xfId="0" applyNumberFormat="1" applyFont="1" applyFill="1" applyBorder="1" applyAlignment="1">
      <alignment horizontal="left" vertical="center"/>
    </xf>
    <xf numFmtId="166" fontId="25" fillId="2" borderId="160" xfId="0" applyNumberFormat="1" applyFont="1" applyFill="1" applyBorder="1" applyAlignment="1">
      <alignment horizontal="left" vertical="center"/>
    </xf>
    <xf numFmtId="166" fontId="25" fillId="14" borderId="160" xfId="0" applyNumberFormat="1" applyFont="1" applyFill="1" applyBorder="1" applyAlignment="1">
      <alignment horizontal="left" vertical="center" wrapText="1"/>
    </xf>
    <xf numFmtId="166" fontId="103" fillId="74" borderId="160" xfId="0" applyNumberFormat="1" applyFont="1" applyFill="1" applyBorder="1" applyAlignment="1">
      <alignment horizontal="left" vertical="center" wrapText="1"/>
    </xf>
    <xf numFmtId="2" fontId="140" fillId="37" borderId="160" xfId="0" applyNumberFormat="1" applyFont="1" applyFill="1" applyBorder="1" applyAlignment="1" applyProtection="1">
      <alignment horizontal="center"/>
      <protection locked="0"/>
    </xf>
    <xf numFmtId="4" fontId="84" fillId="58" borderId="160" xfId="0" applyNumberFormat="1" applyFont="1" applyFill="1" applyBorder="1"/>
    <xf numFmtId="2" fontId="0" fillId="0" borderId="160" xfId="0" applyNumberFormat="1" applyBorder="1" applyAlignment="1">
      <alignment horizontal="center"/>
    </xf>
    <xf numFmtId="2" fontId="182" fillId="3" borderId="20" xfId="0" applyNumberFormat="1" applyFont="1" applyFill="1" applyBorder="1"/>
    <xf numFmtId="2" fontId="112" fillId="44" borderId="159" xfId="0" applyNumberFormat="1" applyFont="1" applyFill="1" applyBorder="1"/>
    <xf numFmtId="2" fontId="112" fillId="0" borderId="163" xfId="0" applyNumberFormat="1" applyFont="1" applyFill="1" applyBorder="1"/>
    <xf numFmtId="3" fontId="0" fillId="0" borderId="159" xfId="0" applyNumberFormat="1" applyBorder="1"/>
    <xf numFmtId="1" fontId="0" fillId="0" borderId="159" xfId="0" applyNumberFormat="1" applyBorder="1"/>
    <xf numFmtId="2" fontId="0" fillId="0" borderId="159" xfId="0" applyNumberFormat="1" applyBorder="1"/>
    <xf numFmtId="2" fontId="113" fillId="45" borderId="105" xfId="0" applyNumberFormat="1" applyFont="1" applyFill="1" applyBorder="1" applyAlignment="1">
      <alignment vertical="center"/>
    </xf>
    <xf numFmtId="166" fontId="111" fillId="0" borderId="0" xfId="0" applyNumberFormat="1" applyFont="1" applyFill="1" applyBorder="1" applyAlignment="1">
      <alignment horizontal="left" vertical="center"/>
    </xf>
    <xf numFmtId="0" fontId="26" fillId="0" borderId="0" xfId="0" applyFont="1" applyFill="1" applyBorder="1" applyAlignment="1">
      <alignment horizontal="left"/>
    </xf>
    <xf numFmtId="2" fontId="114" fillId="0" borderId="0" xfId="0" applyNumberFormat="1" applyFont="1" applyFill="1" applyBorder="1" applyAlignment="1">
      <alignment horizontal="left"/>
    </xf>
    <xf numFmtId="166" fontId="113" fillId="74" borderId="42" xfId="0" applyNumberFormat="1" applyFont="1" applyFill="1" applyBorder="1" applyAlignment="1">
      <alignment horizontal="center" vertical="center"/>
    </xf>
    <xf numFmtId="166" fontId="113" fillId="74" borderId="105" xfId="0" applyNumberFormat="1" applyFont="1" applyFill="1" applyBorder="1" applyAlignment="1">
      <alignment vertical="center"/>
    </xf>
    <xf numFmtId="166" fontId="23" fillId="0" borderId="161" xfId="0" applyNumberFormat="1" applyFont="1" applyFill="1" applyBorder="1" applyAlignment="1">
      <alignment horizontal="left" vertical="center"/>
    </xf>
    <xf numFmtId="0" fontId="62" fillId="0" borderId="0" xfId="0" applyFont="1" applyFill="1" applyBorder="1" applyAlignment="1" applyProtection="1">
      <alignment horizontal="left" vertical="center"/>
    </xf>
    <xf numFmtId="2" fontId="30" fillId="13" borderId="10" xfId="0" applyNumberFormat="1" applyFont="1" applyFill="1" applyBorder="1"/>
    <xf numFmtId="166" fontId="84" fillId="0" borderId="0" xfId="0" applyNumberFormat="1" applyFont="1" applyFill="1" applyBorder="1" applyAlignment="1">
      <alignment horizontal="right"/>
    </xf>
    <xf numFmtId="2" fontId="133" fillId="0" borderId="0" xfId="0" applyNumberFormat="1" applyFont="1" applyFill="1" applyBorder="1" applyAlignment="1"/>
    <xf numFmtId="166" fontId="134" fillId="0" borderId="0" xfId="5" applyNumberFormat="1" applyFont="1" applyFill="1" applyBorder="1" applyAlignment="1" applyProtection="1">
      <alignment horizontal="center"/>
    </xf>
    <xf numFmtId="166" fontId="1" fillId="0" borderId="0" xfId="0" applyNumberFormat="1" applyFont="1" applyFill="1" applyBorder="1" applyAlignment="1"/>
    <xf numFmtId="2" fontId="136" fillId="0" borderId="0" xfId="0" applyNumberFormat="1" applyFont="1" applyFill="1" applyBorder="1" applyAlignment="1"/>
    <xf numFmtId="0" fontId="133" fillId="0" borderId="0" xfId="0" applyFont="1" applyFill="1" applyBorder="1" applyAlignment="1">
      <alignment vertical="center"/>
    </xf>
    <xf numFmtId="166" fontId="84" fillId="0" borderId="0" xfId="0" applyNumberFormat="1" applyFont="1" applyFill="1" applyBorder="1" applyAlignment="1"/>
    <xf numFmtId="166" fontId="1" fillId="0" borderId="0" xfId="0" applyNumberFormat="1" applyFont="1" applyFill="1" applyBorder="1" applyAlignment="1">
      <alignment vertical="center"/>
    </xf>
    <xf numFmtId="168" fontId="62" fillId="0" borderId="0" xfId="0" applyNumberFormat="1" applyFont="1" applyFill="1" applyBorder="1" applyAlignment="1" applyProtection="1">
      <alignment horizontal="center" vertical="center"/>
    </xf>
    <xf numFmtId="166" fontId="131" fillId="0" borderId="0" xfId="5" applyNumberFormat="1" applyFont="1" applyFill="1" applyBorder="1" applyAlignment="1" applyProtection="1">
      <alignment horizontal="center"/>
    </xf>
    <xf numFmtId="166" fontId="74" fillId="0" borderId="0" xfId="5" applyNumberFormat="1" applyFont="1" applyFill="1" applyBorder="1" applyAlignment="1" applyProtection="1">
      <alignment horizontal="center"/>
    </xf>
    <xf numFmtId="0" fontId="62" fillId="0" borderId="0" xfId="0" applyFont="1" applyFill="1" applyBorder="1" applyAlignment="1" applyProtection="1">
      <alignment vertical="center"/>
    </xf>
    <xf numFmtId="0" fontId="1" fillId="0" borderId="0" xfId="0" applyFont="1" applyFill="1" applyBorder="1" applyAlignment="1">
      <alignment vertical="center"/>
    </xf>
    <xf numFmtId="0" fontId="62" fillId="0" borderId="0" xfId="0" applyFont="1" applyFill="1" applyBorder="1" applyAlignment="1" applyProtection="1">
      <alignment vertical="center" wrapText="1"/>
    </xf>
    <xf numFmtId="166" fontId="84" fillId="0" borderId="0" xfId="0" applyNumberFormat="1" applyFont="1" applyFill="1" applyBorder="1" applyAlignment="1">
      <alignment vertical="center" wrapText="1"/>
    </xf>
    <xf numFmtId="0" fontId="0" fillId="51" borderId="160" xfId="0" applyFont="1" applyFill="1" applyBorder="1" applyAlignment="1">
      <alignment horizontal="center" vertical="center"/>
    </xf>
    <xf numFmtId="2" fontId="23" fillId="51" borderId="4" xfId="0" applyNumberFormat="1" applyFont="1" applyFill="1" applyBorder="1"/>
    <xf numFmtId="0" fontId="2" fillId="3" borderId="160" xfId="0" applyNumberFormat="1" applyFont="1" applyFill="1" applyBorder="1" applyAlignment="1">
      <alignment horizontal="center" vertical="center" wrapText="1"/>
    </xf>
    <xf numFmtId="2" fontId="23" fillId="3" borderId="4" xfId="0" applyNumberFormat="1" applyFont="1" applyFill="1" applyBorder="1"/>
    <xf numFmtId="2" fontId="23" fillId="73" borderId="1" xfId="0" applyNumberFormat="1" applyFont="1" applyFill="1" applyBorder="1"/>
    <xf numFmtId="184" fontId="2" fillId="73" borderId="160" xfId="0" applyNumberFormat="1" applyFont="1" applyFill="1" applyBorder="1" applyAlignment="1">
      <alignment horizontal="center" vertical="center"/>
    </xf>
    <xf numFmtId="166" fontId="2" fillId="73" borderId="160" xfId="0" applyNumberFormat="1" applyFont="1" applyFill="1" applyBorder="1" applyAlignment="1">
      <alignment horizontal="center" vertical="center"/>
    </xf>
    <xf numFmtId="166" fontId="23" fillId="3" borderId="4" xfId="0" applyNumberFormat="1" applyFont="1" applyFill="1" applyBorder="1"/>
    <xf numFmtId="0" fontId="57" fillId="0" borderId="0" xfId="0" applyFont="1" applyFill="1" applyBorder="1" applyAlignment="1" applyProtection="1">
      <alignment vertical="center"/>
    </xf>
    <xf numFmtId="0" fontId="1" fillId="0" borderId="0" xfId="0" applyFont="1" applyAlignment="1">
      <alignment vertical="center"/>
    </xf>
    <xf numFmtId="2" fontId="1" fillId="0" borderId="0" xfId="0" applyNumberFormat="1" applyFont="1" applyFill="1" applyBorder="1"/>
    <xf numFmtId="4" fontId="0" fillId="13" borderId="0" xfId="0" applyNumberFormat="1" applyFill="1" applyAlignment="1">
      <alignment vertical="center" wrapText="1"/>
    </xf>
    <xf numFmtId="0" fontId="0" fillId="13" borderId="0" xfId="0" applyFill="1" applyAlignment="1">
      <alignment vertical="center" wrapText="1"/>
    </xf>
    <xf numFmtId="2" fontId="1" fillId="0" borderId="0" xfId="0" applyNumberFormat="1" applyFont="1"/>
    <xf numFmtId="0" fontId="62" fillId="0" borderId="0" xfId="0" applyFont="1" applyFill="1" applyBorder="1" applyAlignment="1" applyProtection="1">
      <alignment horizontal="right" vertical="center"/>
    </xf>
    <xf numFmtId="0" fontId="0" fillId="42" borderId="0" xfId="0" applyFill="1" applyBorder="1"/>
    <xf numFmtId="0" fontId="1" fillId="0" borderId="0" xfId="0" applyFont="1" applyFill="1" applyBorder="1" applyAlignment="1">
      <alignment horizontal="center"/>
    </xf>
    <xf numFmtId="0" fontId="0" fillId="0" borderId="166" xfId="0" applyFont="1" applyBorder="1"/>
    <xf numFmtId="0" fontId="0" fillId="0" borderId="167" xfId="0" applyFont="1" applyBorder="1"/>
    <xf numFmtId="0" fontId="0" fillId="0" borderId="167" xfId="0" applyFont="1" applyBorder="1" applyAlignment="1"/>
    <xf numFmtId="4" fontId="0" fillId="0" borderId="168" xfId="0" applyNumberFormat="1" applyFont="1" applyBorder="1"/>
    <xf numFmtId="0" fontId="0" fillId="0" borderId="169" xfId="0" applyFont="1" applyBorder="1"/>
    <xf numFmtId="0" fontId="0" fillId="0" borderId="170" xfId="0" applyFont="1" applyBorder="1"/>
    <xf numFmtId="0" fontId="0" fillId="0" borderId="170" xfId="0" applyFont="1" applyBorder="1" applyAlignment="1"/>
    <xf numFmtId="0" fontId="0" fillId="0" borderId="171" xfId="0" applyFont="1" applyBorder="1"/>
    <xf numFmtId="0" fontId="0" fillId="0" borderId="172" xfId="0" applyFont="1" applyBorder="1"/>
    <xf numFmtId="0" fontId="0" fillId="0" borderId="173" xfId="0" applyFont="1" applyBorder="1"/>
    <xf numFmtId="0" fontId="0" fillId="0" borderId="173" xfId="0" applyFont="1" applyBorder="1" applyAlignment="1"/>
    <xf numFmtId="4" fontId="0" fillId="0" borderId="174" xfId="0" applyNumberFormat="1" applyFont="1" applyBorder="1"/>
    <xf numFmtId="0" fontId="0" fillId="0" borderId="175" xfId="0" applyFont="1" applyBorder="1"/>
    <xf numFmtId="0" fontId="0" fillId="0" borderId="176" xfId="0" applyFont="1" applyBorder="1"/>
    <xf numFmtId="0" fontId="0" fillId="0" borderId="176" xfId="0" applyFont="1" applyBorder="1" applyAlignment="1"/>
    <xf numFmtId="4" fontId="0" fillId="0" borderId="177" xfId="0" applyNumberFormat="1" applyFont="1" applyBorder="1"/>
    <xf numFmtId="0" fontId="1" fillId="0" borderId="160" xfId="0" applyFont="1" applyBorder="1"/>
    <xf numFmtId="0" fontId="1" fillId="0" borderId="158" xfId="0" applyFont="1" applyBorder="1"/>
    <xf numFmtId="0" fontId="1" fillId="0" borderId="160" xfId="0" applyFont="1" applyBorder="1" applyAlignment="1">
      <alignment horizontal="center"/>
    </xf>
    <xf numFmtId="3" fontId="1" fillId="0" borderId="160" xfId="0" applyNumberFormat="1" applyFont="1" applyBorder="1"/>
    <xf numFmtId="0" fontId="1" fillId="0" borderId="178" xfId="0" applyFont="1" applyBorder="1"/>
    <xf numFmtId="0" fontId="1" fillId="0" borderId="179" xfId="0" applyFont="1" applyBorder="1"/>
    <xf numFmtId="4" fontId="1" fillId="0" borderId="179" xfId="0" applyNumberFormat="1" applyFont="1" applyBorder="1"/>
    <xf numFmtId="10" fontId="1" fillId="0" borderId="180" xfId="0" applyNumberFormat="1" applyFont="1" applyBorder="1"/>
    <xf numFmtId="0" fontId="1" fillId="35" borderId="181" xfId="0" applyFont="1" applyFill="1" applyBorder="1"/>
    <xf numFmtId="0" fontId="1" fillId="35" borderId="182" xfId="0" applyFont="1" applyFill="1" applyBorder="1"/>
    <xf numFmtId="4" fontId="1" fillId="35" borderId="182" xfId="0" applyNumberFormat="1" applyFont="1" applyFill="1" applyBorder="1"/>
    <xf numFmtId="10" fontId="1" fillId="35" borderId="183" xfId="0" applyNumberFormat="1" applyFont="1" applyFill="1" applyBorder="1"/>
    <xf numFmtId="0" fontId="0" fillId="0" borderId="159" xfId="0" applyBorder="1" applyAlignment="1">
      <alignment horizontal="center" vertical="center"/>
    </xf>
    <xf numFmtId="0" fontId="49" fillId="0" borderId="184" xfId="0" applyFont="1" applyBorder="1"/>
    <xf numFmtId="0" fontId="49" fillId="0" borderId="185" xfId="0" applyFont="1" applyBorder="1"/>
    <xf numFmtId="0" fontId="49" fillId="0" borderId="185" xfId="0" applyFont="1" applyBorder="1" applyAlignment="1">
      <alignment horizontal="center"/>
    </xf>
    <xf numFmtId="2" fontId="49" fillId="0" borderId="185" xfId="0" applyNumberFormat="1" applyFont="1" applyBorder="1"/>
    <xf numFmtId="4" fontId="49" fillId="0" borderId="185" xfId="0" applyNumberFormat="1" applyFont="1" applyBorder="1"/>
    <xf numFmtId="10" fontId="49" fillId="0" borderId="186" xfId="0" applyNumberFormat="1" applyFont="1" applyBorder="1"/>
    <xf numFmtId="0" fontId="49" fillId="0" borderId="187" xfId="0" applyFont="1" applyBorder="1"/>
    <xf numFmtId="0" fontId="49" fillId="0" borderId="188" xfId="0" applyFont="1" applyBorder="1"/>
    <xf numFmtId="0" fontId="49" fillId="0" borderId="188" xfId="0" applyFont="1" applyBorder="1" applyAlignment="1">
      <alignment horizontal="center"/>
    </xf>
    <xf numFmtId="2" fontId="49" fillId="0" borderId="188" xfId="0" applyNumberFormat="1" applyFont="1" applyBorder="1"/>
    <xf numFmtId="4" fontId="49" fillId="0" borderId="188" xfId="0" applyNumberFormat="1" applyFont="1" applyBorder="1"/>
    <xf numFmtId="10" fontId="49" fillId="0" borderId="189" xfId="0" applyNumberFormat="1" applyFont="1" applyBorder="1"/>
    <xf numFmtId="0" fontId="49" fillId="0" borderId="190" xfId="0" applyFont="1" applyBorder="1"/>
    <xf numFmtId="0" fontId="49" fillId="0" borderId="191" xfId="0" applyFont="1" applyBorder="1"/>
    <xf numFmtId="4" fontId="49" fillId="0" borderId="191" xfId="0" applyNumberFormat="1" applyFont="1" applyBorder="1"/>
    <xf numFmtId="10" fontId="49" fillId="0" borderId="192" xfId="0" applyNumberFormat="1" applyFont="1" applyBorder="1"/>
    <xf numFmtId="0" fontId="1" fillId="35" borderId="178" xfId="0" applyFont="1" applyFill="1" applyBorder="1"/>
    <xf numFmtId="0" fontId="1" fillId="35" borderId="179" xfId="0" applyFont="1" applyFill="1" applyBorder="1"/>
    <xf numFmtId="4" fontId="1" fillId="35" borderId="179" xfId="0" applyNumberFormat="1" applyFont="1" applyFill="1" applyBorder="1"/>
    <xf numFmtId="10" fontId="1" fillId="35" borderId="180" xfId="0" applyNumberFormat="1" applyFont="1" applyFill="1" applyBorder="1"/>
    <xf numFmtId="0" fontId="0" fillId="0" borderId="50" xfId="0" applyFont="1" applyBorder="1" applyAlignment="1"/>
    <xf numFmtId="0" fontId="49" fillId="0" borderId="178" xfId="0" applyFont="1" applyBorder="1"/>
    <xf numFmtId="0" fontId="49" fillId="0" borderId="179" xfId="0" applyFont="1" applyBorder="1"/>
    <xf numFmtId="4" fontId="49" fillId="0" borderId="179" xfId="0" applyNumberFormat="1" applyFont="1" applyBorder="1"/>
    <xf numFmtId="10" fontId="49" fillId="0" borderId="180" xfId="0" applyNumberFormat="1" applyFont="1" applyBorder="1"/>
    <xf numFmtId="0" fontId="0" fillId="0" borderId="159" xfId="0" applyBorder="1" applyAlignment="1">
      <alignment horizontal="center"/>
    </xf>
    <xf numFmtId="0" fontId="1" fillId="7" borderId="160" xfId="0" applyFont="1" applyFill="1" applyBorder="1" applyAlignment="1">
      <alignment horizontal="center" vertical="center"/>
    </xf>
    <xf numFmtId="0" fontId="0" fillId="0" borderId="193" xfId="0" applyFont="1" applyBorder="1"/>
    <xf numFmtId="0" fontId="0" fillId="0" borderId="194" xfId="0" applyFont="1" applyBorder="1"/>
    <xf numFmtId="0" fontId="0" fillId="0" borderId="170" xfId="0" applyFont="1" applyBorder="1" applyAlignment="1">
      <alignment horizontal="center" vertical="center"/>
    </xf>
    <xf numFmtId="4" fontId="0" fillId="0" borderId="194" xfId="0" applyNumberFormat="1" applyFont="1" applyBorder="1"/>
    <xf numFmtId="2" fontId="0" fillId="0" borderId="194" xfId="0" applyNumberFormat="1" applyFont="1" applyBorder="1"/>
    <xf numFmtId="10" fontId="0" fillId="0" borderId="195" xfId="0" applyNumberFormat="1" applyFont="1" applyBorder="1"/>
    <xf numFmtId="4" fontId="0" fillId="0" borderId="170" xfId="0" applyNumberFormat="1" applyFont="1" applyBorder="1"/>
    <xf numFmtId="10" fontId="0" fillId="0" borderId="171" xfId="0" applyNumberFormat="1" applyFont="1" applyBorder="1"/>
    <xf numFmtId="4" fontId="0" fillId="0" borderId="173" xfId="0" applyNumberFormat="1" applyFont="1" applyBorder="1"/>
    <xf numFmtId="0" fontId="0" fillId="0" borderId="174" xfId="0" applyFont="1" applyBorder="1"/>
    <xf numFmtId="0" fontId="49" fillId="0" borderId="178" xfId="0" applyFont="1" applyBorder="1" applyAlignment="1">
      <alignment vertical="center"/>
    </xf>
    <xf numFmtId="0" fontId="49" fillId="0" borderId="179" xfId="0" applyFont="1" applyBorder="1" applyAlignment="1">
      <alignment vertical="center"/>
    </xf>
    <xf numFmtId="4" fontId="49" fillId="0" borderId="179" xfId="0" applyNumberFormat="1" applyFont="1" applyBorder="1" applyAlignment="1">
      <alignment vertical="center"/>
    </xf>
    <xf numFmtId="10" fontId="49" fillId="0" borderId="180" xfId="0" applyNumberFormat="1" applyFont="1" applyBorder="1" applyAlignment="1">
      <alignment vertical="center"/>
    </xf>
    <xf numFmtId="0" fontId="0" fillId="0" borderId="193" xfId="0" applyFont="1" applyBorder="1" applyAlignment="1">
      <alignment vertical="center"/>
    </xf>
    <xf numFmtId="0" fontId="0" fillId="0" borderId="194" xfId="0" applyFont="1" applyBorder="1" applyAlignment="1">
      <alignment vertical="center"/>
    </xf>
    <xf numFmtId="0" fontId="0" fillId="0" borderId="194" xfId="0" applyFont="1" applyBorder="1" applyAlignment="1">
      <alignment horizontal="center" vertical="center"/>
    </xf>
    <xf numFmtId="4" fontId="0" fillId="0" borderId="194" xfId="0" applyNumberFormat="1" applyFont="1" applyBorder="1" applyAlignment="1">
      <alignment vertical="center"/>
    </xf>
    <xf numFmtId="10" fontId="0" fillId="0" borderId="195" xfId="0" applyNumberFormat="1" applyFont="1" applyBorder="1" applyAlignment="1">
      <alignment vertical="center"/>
    </xf>
    <xf numFmtId="0" fontId="0" fillId="0" borderId="169" xfId="0" applyFont="1" applyBorder="1" applyAlignment="1">
      <alignment vertical="center"/>
    </xf>
    <xf numFmtId="0" fontId="0" fillId="0" borderId="170" xfId="0" applyBorder="1" applyAlignment="1">
      <alignment vertical="center"/>
    </xf>
    <xf numFmtId="4" fontId="0" fillId="0" borderId="170" xfId="0" applyNumberFormat="1" applyFont="1" applyBorder="1" applyAlignment="1">
      <alignment vertical="center"/>
    </xf>
    <xf numFmtId="0" fontId="0" fillId="0" borderId="170" xfId="0" applyFont="1" applyBorder="1" applyAlignment="1">
      <alignment vertical="center"/>
    </xf>
    <xf numFmtId="10" fontId="0" fillId="0" borderId="171" xfId="0" applyNumberFormat="1" applyFont="1" applyBorder="1" applyAlignment="1">
      <alignment vertical="center"/>
    </xf>
    <xf numFmtId="0" fontId="0" fillId="0" borderId="172" xfId="0" applyFont="1" applyBorder="1" applyAlignment="1">
      <alignment vertical="center"/>
    </xf>
    <xf numFmtId="0" fontId="0" fillId="0" borderId="173" xfId="0" applyFont="1" applyBorder="1" applyAlignment="1">
      <alignment vertical="center"/>
    </xf>
    <xf numFmtId="0" fontId="0" fillId="0" borderId="173" xfId="0" applyFont="1" applyBorder="1" applyAlignment="1">
      <alignment horizontal="center" vertical="center"/>
    </xf>
    <xf numFmtId="4" fontId="0" fillId="0" borderId="173" xfId="0" applyNumberFormat="1" applyFont="1" applyBorder="1" applyAlignment="1">
      <alignment vertical="center"/>
    </xf>
    <xf numFmtId="10" fontId="0" fillId="0" borderId="174" xfId="0" applyNumberFormat="1" applyFont="1" applyBorder="1" applyAlignment="1">
      <alignment vertical="center"/>
    </xf>
    <xf numFmtId="0" fontId="1" fillId="20" borderId="160" xfId="0" applyFont="1" applyFill="1" applyBorder="1" applyAlignment="1">
      <alignment horizontal="center" vertical="center"/>
    </xf>
    <xf numFmtId="0" fontId="0" fillId="0" borderId="196" xfId="0" applyFont="1" applyBorder="1" applyAlignment="1">
      <alignment vertical="center"/>
    </xf>
    <xf numFmtId="0" fontId="0" fillId="0" borderId="197" xfId="0" applyBorder="1" applyAlignment="1">
      <alignment vertical="center"/>
    </xf>
    <xf numFmtId="0" fontId="0" fillId="0" borderId="197" xfId="0" applyFont="1" applyBorder="1" applyAlignment="1">
      <alignment vertical="center"/>
    </xf>
    <xf numFmtId="4" fontId="0" fillId="0" borderId="197" xfId="0" applyNumberFormat="1" applyFont="1" applyBorder="1" applyAlignment="1">
      <alignment vertical="center"/>
    </xf>
    <xf numFmtId="10" fontId="0" fillId="0" borderId="198" xfId="0" applyNumberFormat="1" applyFont="1" applyBorder="1" applyAlignment="1">
      <alignment vertical="center"/>
    </xf>
    <xf numFmtId="0" fontId="0" fillId="0" borderId="197" xfId="0" applyFont="1" applyBorder="1" applyAlignment="1">
      <alignment horizontal="center" vertical="center"/>
    </xf>
    <xf numFmtId="0" fontId="0" fillId="0" borderId="194" xfId="0" applyFont="1" applyBorder="1" applyAlignment="1">
      <alignment vertical="center" wrapText="1"/>
    </xf>
    <xf numFmtId="9" fontId="0" fillId="0" borderId="0" xfId="0" applyNumberFormat="1"/>
    <xf numFmtId="4" fontId="0" fillId="0" borderId="0" xfId="0" applyNumberFormat="1" applyFont="1" applyBorder="1" applyAlignment="1">
      <alignment horizontal="center" vertical="center"/>
    </xf>
    <xf numFmtId="0" fontId="0" fillId="0" borderId="170" xfId="0" applyBorder="1" applyAlignment="1">
      <alignment horizontal="center" vertical="center"/>
    </xf>
    <xf numFmtId="2" fontId="0" fillId="0" borderId="194" xfId="0" applyNumberFormat="1" applyFont="1" applyBorder="1" applyAlignment="1">
      <alignment vertical="center"/>
    </xf>
    <xf numFmtId="4" fontId="0" fillId="0" borderId="0" xfId="0" applyNumberFormat="1" applyFont="1" applyFill="1" applyBorder="1" applyAlignment="1">
      <alignment horizontal="center" vertical="center"/>
    </xf>
    <xf numFmtId="49" fontId="189" fillId="36" borderId="160" xfId="0" applyNumberFormat="1" applyFont="1" applyFill="1" applyBorder="1" applyAlignment="1">
      <alignment horizontal="center" vertical="center"/>
    </xf>
    <xf numFmtId="49" fontId="189" fillId="36" borderId="160" xfId="0" applyNumberFormat="1" applyFont="1" applyFill="1" applyBorder="1" applyAlignment="1">
      <alignment horizontal="center" vertical="center" wrapText="1"/>
    </xf>
    <xf numFmtId="2" fontId="0" fillId="36" borderId="160" xfId="0" applyNumberFormat="1" applyFill="1" applyBorder="1" applyAlignment="1">
      <alignment horizontal="center" vertical="center"/>
    </xf>
    <xf numFmtId="3" fontId="0" fillId="0" borderId="0" xfId="0" applyNumberFormat="1" applyFont="1" applyBorder="1" applyAlignment="1">
      <alignment horizontal="center" vertical="center"/>
    </xf>
    <xf numFmtId="2" fontId="0" fillId="0" borderId="173" xfId="0" applyNumberFormat="1" applyFont="1" applyBorder="1" applyAlignment="1">
      <alignment vertical="center"/>
    </xf>
    <xf numFmtId="0" fontId="49" fillId="0" borderId="172" xfId="0" applyFont="1" applyBorder="1"/>
    <xf numFmtId="0" fontId="49" fillId="0" borderId="173" xfId="0" applyFont="1" applyBorder="1"/>
    <xf numFmtId="0" fontId="49" fillId="0" borderId="173" xfId="0" applyFont="1" applyBorder="1" applyAlignment="1">
      <alignment horizontal="center" vertical="center"/>
    </xf>
    <xf numFmtId="4" fontId="49" fillId="0" borderId="173" xfId="0" applyNumberFormat="1" applyFont="1" applyBorder="1" applyAlignment="1">
      <alignment vertical="center"/>
    </xf>
    <xf numFmtId="2" fontId="49" fillId="0" borderId="194" xfId="0" applyNumberFormat="1" applyFont="1" applyBorder="1" applyAlignment="1">
      <alignment vertical="center"/>
    </xf>
    <xf numFmtId="10" fontId="49" fillId="0" borderId="174" xfId="0" applyNumberFormat="1" applyFont="1" applyBorder="1" applyAlignment="1">
      <alignment vertical="center"/>
    </xf>
    <xf numFmtId="0" fontId="49" fillId="0" borderId="166" xfId="0" applyFont="1" applyBorder="1" applyAlignment="1">
      <alignment vertical="center"/>
    </xf>
    <xf numFmtId="0" fontId="49" fillId="0" borderId="167" xfId="0" applyFont="1" applyBorder="1" applyAlignment="1">
      <alignment vertical="center"/>
    </xf>
    <xf numFmtId="4" fontId="49" fillId="0" borderId="167" xfId="0" applyNumberFormat="1" applyFont="1" applyBorder="1" applyAlignment="1">
      <alignment vertical="center"/>
    </xf>
    <xf numFmtId="10" fontId="49" fillId="0" borderId="168" xfId="0" applyNumberFormat="1" applyFont="1" applyBorder="1" applyAlignment="1">
      <alignment vertical="center"/>
    </xf>
    <xf numFmtId="0" fontId="49" fillId="0" borderId="170" xfId="0" applyFont="1" applyBorder="1" applyAlignment="1">
      <alignment horizontal="center" vertical="center"/>
    </xf>
    <xf numFmtId="0" fontId="49" fillId="0" borderId="169" xfId="0" applyFont="1" applyBorder="1"/>
    <xf numFmtId="0" fontId="49" fillId="0" borderId="170" xfId="0" applyFont="1" applyBorder="1"/>
    <xf numFmtId="0" fontId="49" fillId="0" borderId="0" xfId="0" applyFont="1" applyAlignment="1">
      <alignment horizontal="center" vertical="center"/>
    </xf>
    <xf numFmtId="4" fontId="49" fillId="0" borderId="0" xfId="0" applyNumberFormat="1" applyFont="1"/>
    <xf numFmtId="10" fontId="49" fillId="0" borderId="171" xfId="0" applyNumberFormat="1" applyFont="1" applyBorder="1"/>
    <xf numFmtId="0" fontId="0" fillId="0" borderId="160" xfId="0" applyBorder="1" applyAlignment="1">
      <alignment horizontal="center" vertical="center"/>
    </xf>
    <xf numFmtId="4" fontId="49" fillId="0" borderId="170" xfId="0" applyNumberFormat="1" applyFont="1" applyBorder="1"/>
    <xf numFmtId="4" fontId="49" fillId="0" borderId="173" xfId="0" applyNumberFormat="1" applyFont="1" applyBorder="1"/>
    <xf numFmtId="2" fontId="49" fillId="0" borderId="197" xfId="0" applyNumberFormat="1" applyFont="1" applyBorder="1" applyAlignment="1">
      <alignment vertical="center"/>
    </xf>
    <xf numFmtId="0" fontId="133" fillId="12" borderId="160" xfId="0" applyFont="1" applyFill="1" applyBorder="1" applyAlignment="1">
      <alignment horizontal="center" vertical="center" wrapText="1"/>
    </xf>
    <xf numFmtId="10" fontId="49" fillId="0" borderId="174" xfId="0" applyNumberFormat="1" applyFont="1" applyBorder="1"/>
    <xf numFmtId="0" fontId="49" fillId="0" borderId="175" xfId="0" applyFont="1" applyBorder="1"/>
    <xf numFmtId="0" fontId="49" fillId="0" borderId="176" xfId="0" applyFont="1" applyBorder="1"/>
    <xf numFmtId="0" fontId="49" fillId="0" borderId="199" xfId="0" applyFont="1" applyBorder="1"/>
    <xf numFmtId="4" fontId="49" fillId="0" borderId="199" xfId="0" applyNumberFormat="1" applyFont="1" applyBorder="1"/>
    <xf numFmtId="0" fontId="49" fillId="0" borderId="200" xfId="0" applyFont="1" applyBorder="1"/>
    <xf numFmtId="0" fontId="49" fillId="0" borderId="193" xfId="0" applyFont="1" applyBorder="1"/>
    <xf numFmtId="0" fontId="49" fillId="0" borderId="194" xfId="0" applyFont="1" applyBorder="1"/>
    <xf numFmtId="10" fontId="49" fillId="0" borderId="195" xfId="0" applyNumberFormat="1" applyFont="1" applyBorder="1"/>
    <xf numFmtId="0" fontId="49" fillId="0" borderId="201" xfId="0" applyFont="1" applyBorder="1"/>
    <xf numFmtId="0" fontId="49" fillId="0" borderId="196" xfId="0" applyFont="1" applyFill="1" applyBorder="1"/>
    <xf numFmtId="0" fontId="49" fillId="0" borderId="197" xfId="0" applyFont="1" applyFill="1" applyBorder="1"/>
    <xf numFmtId="4" fontId="49" fillId="0" borderId="197" xfId="0" applyNumberFormat="1" applyFont="1" applyFill="1" applyBorder="1"/>
    <xf numFmtId="10" fontId="49" fillId="0" borderId="198" xfId="0" applyNumberFormat="1" applyFont="1" applyFill="1" applyBorder="1"/>
    <xf numFmtId="0" fontId="0" fillId="0" borderId="196" xfId="0" applyFont="1" applyFill="1" applyBorder="1"/>
    <xf numFmtId="0" fontId="0" fillId="0" borderId="197" xfId="0" applyFont="1" applyFill="1" applyBorder="1"/>
    <xf numFmtId="0" fontId="0" fillId="0" borderId="197" xfId="0" applyFont="1" applyFill="1" applyBorder="1" applyAlignment="1">
      <alignment horizontal="center" vertical="center"/>
    </xf>
    <xf numFmtId="4" fontId="0" fillId="0" borderId="197" xfId="0" applyNumberFormat="1" applyFont="1" applyFill="1" applyBorder="1"/>
    <xf numFmtId="10" fontId="0" fillId="0" borderId="198" xfId="0" applyNumberFormat="1" applyFont="1" applyFill="1" applyBorder="1"/>
    <xf numFmtId="0" fontId="49" fillId="0" borderId="175" xfId="0" applyFont="1" applyFill="1" applyBorder="1"/>
    <xf numFmtId="0" fontId="49" fillId="0" borderId="176" xfId="0" applyFont="1" applyFill="1" applyBorder="1"/>
    <xf numFmtId="0" fontId="0" fillId="0" borderId="199" xfId="0" applyFont="1" applyBorder="1" applyAlignment="1">
      <alignment horizontal="center" vertical="center"/>
    </xf>
    <xf numFmtId="4" fontId="49" fillId="0" borderId="176" xfId="0" applyNumberFormat="1" applyFont="1" applyFill="1" applyBorder="1"/>
    <xf numFmtId="10" fontId="49" fillId="0" borderId="177" xfId="0" applyNumberFormat="1" applyFont="1" applyFill="1" applyBorder="1"/>
    <xf numFmtId="4" fontId="0" fillId="4" borderId="170" xfId="0" applyNumberFormat="1" applyFont="1" applyFill="1" applyBorder="1"/>
    <xf numFmtId="0" fontId="0" fillId="15" borderId="170" xfId="0" applyFont="1" applyFill="1" applyBorder="1"/>
    <xf numFmtId="0" fontId="49" fillId="15" borderId="173" xfId="0" applyFont="1" applyFill="1" applyBorder="1"/>
    <xf numFmtId="4" fontId="1" fillId="0" borderId="0" xfId="0" applyNumberFormat="1" applyFont="1" applyFill="1" applyBorder="1" applyAlignment="1">
      <alignment vertical="center"/>
    </xf>
    <xf numFmtId="2" fontId="26" fillId="60" borderId="1" xfId="0" applyNumberFormat="1" applyFont="1" applyFill="1" applyBorder="1" applyAlignment="1">
      <alignment horizontal="right"/>
    </xf>
    <xf numFmtId="0" fontId="62" fillId="0" borderId="0" xfId="0" applyFont="1" applyFill="1" applyBorder="1" applyAlignment="1" applyProtection="1">
      <alignment horizontal="left" vertical="center"/>
    </xf>
    <xf numFmtId="4" fontId="0" fillId="15" borderId="170" xfId="0" applyNumberFormat="1" applyFont="1" applyFill="1" applyBorder="1"/>
    <xf numFmtId="0" fontId="2" fillId="12" borderId="160" xfId="0" applyFont="1" applyFill="1" applyBorder="1" applyAlignment="1">
      <alignment horizontal="center" vertical="center" wrapText="1"/>
    </xf>
    <xf numFmtId="0" fontId="2" fillId="13" borderId="48" xfId="0" applyFont="1" applyFill="1" applyBorder="1" applyAlignment="1">
      <alignment horizontal="center" vertical="center" wrapText="1"/>
    </xf>
    <xf numFmtId="2" fontId="1"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4" fontId="84" fillId="0" borderId="0" xfId="0" applyNumberFormat="1" applyFont="1" applyFill="1" applyBorder="1" applyAlignment="1">
      <alignment horizontal="center" vertical="center"/>
    </xf>
    <xf numFmtId="0" fontId="1" fillId="12" borderId="160" xfId="0" applyFont="1" applyFill="1" applyBorder="1" applyAlignment="1">
      <alignment horizontal="center" vertical="center"/>
    </xf>
    <xf numFmtId="0" fontId="1" fillId="0" borderId="160" xfId="0" applyFont="1" applyFill="1" applyBorder="1" applyAlignment="1">
      <alignment horizontal="center" vertical="center"/>
    </xf>
    <xf numFmtId="4" fontId="84" fillId="32" borderId="0" xfId="0" applyNumberFormat="1" applyFont="1" applyFill="1"/>
    <xf numFmtId="4" fontId="0" fillId="7" borderId="160" xfId="0" applyNumberFormat="1" applyFont="1" applyFill="1" applyBorder="1" applyAlignment="1">
      <alignment horizontal="right" vertical="center"/>
    </xf>
    <xf numFmtId="0" fontId="0" fillId="0" borderId="160" xfId="0" applyFont="1" applyBorder="1" applyAlignment="1">
      <alignment horizontal="right"/>
    </xf>
    <xf numFmtId="4" fontId="84" fillId="32" borderId="160" xfId="0" applyNumberFormat="1" applyFont="1" applyFill="1" applyBorder="1" applyAlignment="1">
      <alignment horizontal="center" vertical="center"/>
    </xf>
    <xf numFmtId="4" fontId="84" fillId="32" borderId="9" xfId="0" applyNumberFormat="1" applyFont="1" applyFill="1" applyBorder="1" applyAlignment="1">
      <alignment horizontal="center" vertical="center"/>
    </xf>
    <xf numFmtId="4" fontId="180" fillId="32" borderId="0" xfId="0" applyNumberFormat="1" applyFont="1" applyFill="1"/>
    <xf numFmtId="4" fontId="84" fillId="13" borderId="160" xfId="0" applyNumberFormat="1" applyFont="1" applyFill="1" applyBorder="1" applyAlignment="1">
      <alignment horizontal="right" vertical="center"/>
    </xf>
    <xf numFmtId="2" fontId="1" fillId="0" borderId="160" xfId="0" applyNumberFormat="1" applyFont="1" applyFill="1" applyBorder="1" applyAlignment="1">
      <alignment horizontal="right" vertical="center"/>
    </xf>
    <xf numFmtId="2" fontId="0" fillId="36" borderId="160" xfId="0" applyNumberFormat="1" applyFont="1" applyFill="1" applyBorder="1" applyAlignment="1">
      <alignment horizontal="right" vertical="center"/>
    </xf>
    <xf numFmtId="2" fontId="0" fillId="12" borderId="160" xfId="0" applyNumberFormat="1" applyFont="1" applyFill="1" applyBorder="1" applyAlignment="1">
      <alignment horizontal="right" vertical="center"/>
    </xf>
    <xf numFmtId="4" fontId="180" fillId="22" borderId="160" xfId="0" applyNumberFormat="1" applyFont="1" applyFill="1" applyBorder="1" applyAlignment="1">
      <alignment horizontal="right" vertical="center"/>
    </xf>
    <xf numFmtId="166" fontId="0" fillId="4" borderId="160" xfId="0" applyNumberFormat="1" applyFont="1" applyFill="1" applyBorder="1" applyAlignment="1">
      <alignment horizontal="right" vertical="center"/>
    </xf>
    <xf numFmtId="166" fontId="0" fillId="0" borderId="160" xfId="0" applyNumberFormat="1" applyFont="1" applyFill="1" applyBorder="1" applyAlignment="1">
      <alignment horizontal="right"/>
    </xf>
    <xf numFmtId="166" fontId="0" fillId="36" borderId="160" xfId="0" applyNumberFormat="1" applyFont="1" applyFill="1" applyBorder="1" applyAlignment="1">
      <alignment horizontal="right" vertical="center"/>
    </xf>
    <xf numFmtId="166" fontId="0" fillId="0" borderId="160" xfId="0" applyNumberFormat="1" applyFont="1" applyBorder="1" applyAlignment="1">
      <alignment horizontal="right" vertical="center"/>
    </xf>
    <xf numFmtId="4" fontId="0" fillId="0" borderId="160" xfId="0" applyNumberFormat="1" applyFont="1" applyBorder="1" applyAlignment="1">
      <alignment horizontal="right" vertical="center"/>
    </xf>
    <xf numFmtId="4" fontId="0" fillId="0" borderId="160" xfId="0" applyNumberFormat="1" applyFont="1" applyFill="1" applyBorder="1" applyAlignment="1">
      <alignment horizontal="right" vertical="center"/>
    </xf>
    <xf numFmtId="168" fontId="0" fillId="36" borderId="160" xfId="0" applyNumberFormat="1" applyFont="1" applyFill="1" applyBorder="1" applyAlignment="1">
      <alignment horizontal="right" vertical="center"/>
    </xf>
    <xf numFmtId="168" fontId="0" fillId="0" borderId="160" xfId="0" applyNumberFormat="1" applyFont="1" applyFill="1" applyBorder="1" applyAlignment="1">
      <alignment horizontal="right" vertical="center"/>
    </xf>
    <xf numFmtId="168" fontId="0" fillId="0" borderId="160" xfId="0" applyNumberFormat="1" applyFont="1" applyBorder="1" applyAlignment="1">
      <alignment horizontal="right" vertical="center"/>
    </xf>
    <xf numFmtId="4" fontId="1" fillId="0" borderId="160" xfId="0" applyNumberFormat="1" applyFont="1" applyFill="1" applyBorder="1" applyAlignment="1">
      <alignment horizontal="right" vertical="center"/>
    </xf>
    <xf numFmtId="2" fontId="0" fillId="0" borderId="160" xfId="0" applyNumberFormat="1" applyFont="1" applyFill="1" applyBorder="1" applyAlignment="1">
      <alignment horizontal="right" vertical="center"/>
    </xf>
    <xf numFmtId="2" fontId="0" fillId="0" borderId="161" xfId="0" applyNumberFormat="1" applyFont="1" applyFill="1" applyBorder="1" applyAlignment="1">
      <alignment horizontal="right" vertical="center"/>
    </xf>
    <xf numFmtId="0" fontId="1" fillId="7" borderId="160" xfId="0" applyFont="1" applyFill="1" applyBorder="1" applyAlignment="1">
      <alignment horizontal="center" vertical="center" wrapText="1"/>
    </xf>
    <xf numFmtId="0" fontId="0" fillId="0" borderId="160" xfId="0" applyNumberFormat="1" applyBorder="1" applyAlignment="1">
      <alignment horizontal="center" vertical="center"/>
    </xf>
    <xf numFmtId="0" fontId="1" fillId="7" borderId="160" xfId="0" applyNumberFormat="1" applyFont="1" applyFill="1" applyBorder="1" applyAlignment="1">
      <alignment horizontal="center" vertical="center"/>
    </xf>
    <xf numFmtId="4" fontId="84" fillId="32" borderId="0" xfId="0" applyNumberFormat="1" applyFont="1" applyFill="1" applyAlignment="1">
      <alignment horizontal="right"/>
    </xf>
    <xf numFmtId="4" fontId="0" fillId="15" borderId="160" xfId="0" applyNumberFormat="1" applyFont="1" applyFill="1" applyBorder="1" applyAlignment="1">
      <alignment horizontal="right" vertical="center"/>
    </xf>
    <xf numFmtId="4" fontId="0" fillId="4" borderId="160" xfId="0" applyNumberFormat="1" applyFont="1" applyFill="1" applyBorder="1" applyAlignment="1">
      <alignment horizontal="right" vertical="center"/>
    </xf>
    <xf numFmtId="0" fontId="0" fillId="0" borderId="160" xfId="0" applyFont="1" applyFill="1" applyBorder="1" applyAlignment="1">
      <alignment horizontal="right" vertical="center"/>
    </xf>
    <xf numFmtId="2" fontId="0" fillId="36" borderId="160" xfId="0" applyNumberFormat="1" applyFont="1" applyFill="1" applyBorder="1" applyAlignment="1">
      <alignment horizontal="right"/>
    </xf>
    <xf numFmtId="168" fontId="0" fillId="4" borderId="160" xfId="0" applyNumberFormat="1" applyFont="1" applyFill="1" applyBorder="1" applyAlignment="1">
      <alignment horizontal="right" vertical="center"/>
    </xf>
    <xf numFmtId="4" fontId="0" fillId="20" borderId="160" xfId="0" applyNumberFormat="1" applyFont="1" applyFill="1" applyBorder="1" applyAlignment="1">
      <alignment horizontal="right" vertical="center"/>
    </xf>
    <xf numFmtId="0" fontId="1" fillId="0" borderId="0" xfId="0" applyNumberFormat="1" applyFont="1" applyFill="1" applyBorder="1" applyAlignment="1">
      <alignment vertical="center"/>
    </xf>
    <xf numFmtId="4" fontId="0" fillId="0" borderId="0" xfId="0" applyNumberFormat="1" applyFont="1" applyFill="1" applyBorder="1" applyAlignment="1">
      <alignment vertical="center"/>
    </xf>
    <xf numFmtId="4" fontId="114" fillId="32" borderId="0" xfId="0" applyNumberFormat="1" applyFont="1" applyFill="1" applyAlignment="1">
      <alignment horizontal="right"/>
    </xf>
    <xf numFmtId="4" fontId="180" fillId="0" borderId="159" xfId="0" applyNumberFormat="1" applyFont="1" applyFill="1" applyBorder="1" applyAlignment="1">
      <alignment horizontal="right" vertical="center"/>
    </xf>
    <xf numFmtId="4" fontId="180" fillId="0" borderId="162" xfId="0" applyNumberFormat="1" applyFont="1" applyFill="1" applyBorder="1" applyAlignment="1">
      <alignment horizontal="right" vertical="center"/>
    </xf>
    <xf numFmtId="4" fontId="180" fillId="0" borderId="158" xfId="0" applyNumberFormat="1" applyFont="1" applyFill="1" applyBorder="1" applyAlignment="1">
      <alignment horizontal="right" vertical="center"/>
    </xf>
    <xf numFmtId="0" fontId="84" fillId="13" borderId="159" xfId="0" applyFont="1" applyFill="1" applyBorder="1"/>
    <xf numFmtId="0" fontId="89" fillId="13" borderId="158" xfId="0" applyFont="1" applyFill="1" applyBorder="1"/>
    <xf numFmtId="2" fontId="25" fillId="2" borderId="160" xfId="0" applyNumberFormat="1" applyFont="1" applyFill="1" applyBorder="1" applyAlignment="1">
      <alignment horizontal="right" vertical="center"/>
    </xf>
    <xf numFmtId="2" fontId="89" fillId="13" borderId="160" xfId="0" applyNumberFormat="1" applyFont="1" applyFill="1" applyBorder="1" applyAlignment="1">
      <alignment horizontal="center" vertical="center"/>
    </xf>
    <xf numFmtId="0" fontId="89" fillId="13" borderId="158" xfId="0" applyFont="1" applyFill="1" applyBorder="1" applyAlignment="1">
      <alignment horizontal="center" vertical="center"/>
    </xf>
    <xf numFmtId="0" fontId="0" fillId="41" borderId="160" xfId="0" applyFill="1" applyBorder="1"/>
    <xf numFmtId="0" fontId="31" fillId="41" borderId="158" xfId="0" applyFont="1" applyFill="1" applyBorder="1"/>
    <xf numFmtId="2" fontId="23" fillId="15" borderId="160" xfId="0" applyNumberFormat="1" applyFont="1" applyFill="1" applyBorder="1" applyAlignment="1">
      <alignment horizontal="right"/>
    </xf>
    <xf numFmtId="0" fontId="0" fillId="58" borderId="160" xfId="0" applyFill="1" applyBorder="1"/>
    <xf numFmtId="0" fontId="31" fillId="58" borderId="158" xfId="0" applyFont="1" applyFill="1" applyBorder="1"/>
    <xf numFmtId="0" fontId="0" fillId="41" borderId="161" xfId="0" applyFill="1" applyBorder="1"/>
    <xf numFmtId="0" fontId="31" fillId="41" borderId="164" xfId="0" applyFont="1" applyFill="1" applyBorder="1"/>
    <xf numFmtId="166" fontId="25" fillId="23" borderId="15" xfId="0" applyNumberFormat="1" applyFont="1" applyFill="1" applyBorder="1" applyAlignment="1">
      <alignment vertical="center"/>
    </xf>
    <xf numFmtId="166" fontId="25" fillId="23" borderId="103" xfId="0" applyNumberFormat="1" applyFont="1" applyFill="1" applyBorder="1" applyAlignment="1">
      <alignment horizontal="center" vertical="center"/>
    </xf>
    <xf numFmtId="166" fontId="25" fillId="23" borderId="14" xfId="0" applyNumberFormat="1" applyFont="1" applyFill="1" applyBorder="1" applyAlignment="1">
      <alignment horizontal="center" vertical="center"/>
    </xf>
    <xf numFmtId="2" fontId="55" fillId="2" borderId="160" xfId="0" applyNumberFormat="1" applyFont="1" applyFill="1" applyBorder="1" applyAlignment="1">
      <alignment horizontal="center" vertical="center"/>
    </xf>
    <xf numFmtId="166" fontId="23" fillId="31" borderId="203" xfId="0" applyNumberFormat="1" applyFont="1" applyFill="1" applyBorder="1" applyAlignment="1">
      <alignment horizontal="left" vertical="center"/>
    </xf>
    <xf numFmtId="1" fontId="23" fillId="0" borderId="204" xfId="0" applyNumberFormat="1" applyFont="1" applyBorder="1"/>
    <xf numFmtId="1" fontId="23" fillId="0" borderId="202" xfId="0" applyNumberFormat="1" applyFont="1" applyBorder="1"/>
    <xf numFmtId="1" fontId="26" fillId="0" borderId="204" xfId="0" applyNumberFormat="1" applyFont="1" applyBorder="1"/>
    <xf numFmtId="2" fontId="131" fillId="0" borderId="0" xfId="5" applyNumberFormat="1" applyFont="1" applyFill="1" applyBorder="1" applyAlignment="1" applyProtection="1">
      <alignment horizontal="right"/>
    </xf>
    <xf numFmtId="0" fontId="1" fillId="0" borderId="5" xfId="0" applyFont="1" applyBorder="1" applyAlignment="1">
      <alignment vertical="center"/>
    </xf>
    <xf numFmtId="166" fontId="74" fillId="0" borderId="91" xfId="5" applyNumberFormat="1" applyFont="1" applyFill="1" applyBorder="1" applyAlignment="1" applyProtection="1">
      <alignment horizontal="center"/>
    </xf>
    <xf numFmtId="0" fontId="0" fillId="0" borderId="40" xfId="0" applyFill="1" applyBorder="1"/>
    <xf numFmtId="166" fontId="74" fillId="0" borderId="43" xfId="5" applyNumberFormat="1" applyFont="1" applyFill="1" applyBorder="1" applyAlignment="1" applyProtection="1">
      <alignment horizontal="center"/>
    </xf>
    <xf numFmtId="4" fontId="0" fillId="13" borderId="0" xfId="0" applyNumberFormat="1" applyFill="1" applyBorder="1" applyAlignment="1">
      <alignment vertical="center" wrapText="1"/>
    </xf>
    <xf numFmtId="0" fontId="0" fillId="13" borderId="43" xfId="0" applyFill="1" applyBorder="1" applyAlignment="1">
      <alignment vertical="center" wrapText="1"/>
    </xf>
    <xf numFmtId="0" fontId="0" fillId="0" borderId="43" xfId="0" applyFill="1" applyBorder="1"/>
    <xf numFmtId="166" fontId="131" fillId="0" borderId="43" xfId="5" applyNumberFormat="1" applyFont="1" applyFill="1" applyBorder="1" applyAlignment="1" applyProtection="1">
      <alignment horizontal="center"/>
    </xf>
    <xf numFmtId="0" fontId="0" fillId="42" borderId="40" xfId="0" applyFill="1" applyBorder="1"/>
    <xf numFmtId="166" fontId="134" fillId="0" borderId="43" xfId="5" applyNumberFormat="1" applyFont="1" applyFill="1" applyBorder="1" applyAlignment="1" applyProtection="1">
      <alignment horizontal="center"/>
    </xf>
    <xf numFmtId="0" fontId="0" fillId="0" borderId="39" xfId="0" applyFill="1" applyBorder="1"/>
    <xf numFmtId="0" fontId="62" fillId="0" borderId="92" xfId="0" applyFont="1" applyFill="1" applyBorder="1" applyAlignment="1" applyProtection="1">
      <alignment vertical="center"/>
    </xf>
    <xf numFmtId="0" fontId="62" fillId="0" borderId="92" xfId="0" applyFont="1" applyFill="1" applyBorder="1" applyAlignment="1" applyProtection="1">
      <alignment horizontal="left" vertical="center"/>
    </xf>
    <xf numFmtId="0" fontId="1" fillId="0" borderId="93" xfId="0" applyFont="1" applyFill="1" applyBorder="1" applyAlignment="1">
      <alignment vertical="center"/>
    </xf>
    <xf numFmtId="2" fontId="23" fillId="82" borderId="1" xfId="0" applyNumberFormat="1" applyFont="1" applyFill="1" applyBorder="1"/>
    <xf numFmtId="2" fontId="23" fillId="7" borderId="161" xfId="0" applyNumberFormat="1" applyFont="1" applyFill="1" applyBorder="1" applyAlignment="1">
      <alignment horizontal="left" vertical="center" wrapText="1"/>
    </xf>
    <xf numFmtId="0" fontId="23" fillId="76" borderId="160" xfId="0" applyFont="1" applyFill="1" applyBorder="1" applyAlignment="1">
      <alignment horizontal="left" vertical="center" wrapText="1"/>
    </xf>
    <xf numFmtId="0" fontId="23" fillId="0" borderId="3" xfId="0" applyFont="1" applyBorder="1" applyAlignment="1">
      <alignment horizontal="right" vertical="center"/>
    </xf>
    <xf numFmtId="2" fontId="103" fillId="11" borderId="0" xfId="0" applyNumberFormat="1" applyFont="1" applyFill="1" applyBorder="1" applyAlignment="1">
      <alignment horizontal="right" vertical="center" wrapText="1"/>
    </xf>
    <xf numFmtId="2" fontId="23" fillId="60" borderId="162" xfId="0" applyNumberFormat="1" applyFont="1" applyFill="1" applyBorder="1" applyAlignment="1">
      <alignment horizontal="right"/>
    </xf>
    <xf numFmtId="2" fontId="23" fillId="11" borderId="9" xfId="0" applyNumberFormat="1" applyFont="1" applyFill="1" applyBorder="1" applyAlignment="1">
      <alignment horizontal="right" vertical="top" wrapText="1"/>
    </xf>
    <xf numFmtId="2" fontId="23" fillId="73" borderId="1" xfId="0" applyNumberFormat="1" applyFont="1" applyFill="1" applyBorder="1" applyAlignment="1">
      <alignment horizontal="right" vertical="top" wrapText="1"/>
    </xf>
    <xf numFmtId="2" fontId="23" fillId="11" borderId="158" xfId="0" applyNumberFormat="1" applyFont="1" applyFill="1" applyBorder="1" applyAlignment="1">
      <alignment horizontal="right"/>
    </xf>
    <xf numFmtId="2" fontId="103" fillId="10" borderId="1" xfId="0" applyNumberFormat="1" applyFont="1" applyFill="1" applyBorder="1" applyAlignment="1">
      <alignment horizontal="right" vertical="center" wrapText="1"/>
    </xf>
    <xf numFmtId="2" fontId="23" fillId="11" borderId="164" xfId="0" applyNumberFormat="1" applyFont="1" applyFill="1" applyBorder="1" applyAlignment="1">
      <alignment horizontal="right"/>
    </xf>
    <xf numFmtId="2" fontId="23" fillId="0" borderId="0" xfId="0" applyNumberFormat="1" applyFont="1" applyFill="1" applyBorder="1" applyAlignment="1">
      <alignment horizontal="right"/>
    </xf>
    <xf numFmtId="2" fontId="25" fillId="0" borderId="0" xfId="0" applyNumberFormat="1" applyFont="1" applyFill="1" applyBorder="1" applyAlignment="1">
      <alignment horizontal="right"/>
    </xf>
    <xf numFmtId="0" fontId="1" fillId="26" borderId="159" xfId="0" applyFont="1" applyFill="1" applyBorder="1" applyAlignment="1">
      <alignment horizontal="right"/>
    </xf>
    <xf numFmtId="2" fontId="0" fillId="0" borderId="160" xfId="0" applyNumberFormat="1" applyBorder="1" applyAlignment="1">
      <alignment horizontal="right"/>
    </xf>
    <xf numFmtId="2" fontId="114" fillId="74" borderId="160" xfId="0" applyNumberFormat="1" applyFont="1" applyFill="1" applyBorder="1" applyAlignment="1">
      <alignment horizontal="right" vertical="center" wrapText="1"/>
    </xf>
    <xf numFmtId="2" fontId="0" fillId="0" borderId="0" xfId="0" applyNumberFormat="1" applyAlignment="1">
      <alignment horizontal="right"/>
    </xf>
    <xf numFmtId="2" fontId="0" fillId="0" borderId="0" xfId="0" applyNumberFormat="1" applyFill="1" applyAlignment="1">
      <alignment horizontal="right"/>
    </xf>
    <xf numFmtId="0" fontId="182" fillId="3" borderId="160" xfId="0" applyFont="1" applyFill="1" applyBorder="1" applyAlignment="1">
      <alignment horizontal="right"/>
    </xf>
    <xf numFmtId="2" fontId="185" fillId="3" borderId="20" xfId="0" applyNumberFormat="1" applyFont="1" applyFill="1" applyBorder="1" applyAlignment="1">
      <alignment horizontal="right"/>
    </xf>
    <xf numFmtId="2" fontId="163" fillId="0" borderId="0" xfId="0" applyNumberFormat="1" applyFont="1" applyAlignment="1">
      <alignment horizontal="right"/>
    </xf>
    <xf numFmtId="2" fontId="185" fillId="52" borderId="20" xfId="0" applyNumberFormat="1" applyFont="1" applyFill="1" applyBorder="1" applyAlignment="1">
      <alignment horizontal="right"/>
    </xf>
    <xf numFmtId="166" fontId="33" fillId="0" borderId="0" xfId="0" applyNumberFormat="1" applyFont="1" applyFill="1" applyBorder="1" applyAlignment="1">
      <alignment horizontal="center" vertical="center"/>
    </xf>
    <xf numFmtId="0" fontId="30" fillId="0" borderId="0" xfId="0" applyFont="1" applyAlignment="1">
      <alignment horizontal="center" vertical="center"/>
    </xf>
    <xf numFmtId="166" fontId="33" fillId="0" borderId="0" xfId="0" applyNumberFormat="1" applyFont="1" applyFill="1" applyBorder="1" applyAlignment="1">
      <alignment horizontal="center" vertical="center"/>
    </xf>
    <xf numFmtId="4" fontId="19" fillId="0" borderId="199" xfId="0" applyNumberFormat="1" applyFont="1" applyBorder="1" applyAlignment="1">
      <alignment vertical="center"/>
    </xf>
    <xf numFmtId="0" fontId="1" fillId="0" borderId="159" xfId="0" applyFont="1" applyBorder="1"/>
    <xf numFmtId="0" fontId="1" fillId="0" borderId="0" xfId="0" applyFont="1" applyAlignment="1">
      <alignment horizontal="right" vertical="center"/>
    </xf>
    <xf numFmtId="0" fontId="6" fillId="0" borderId="0" xfId="0" applyFont="1" applyFill="1" applyBorder="1"/>
    <xf numFmtId="0" fontId="128" fillId="0" borderId="0" xfId="0" applyFont="1" applyFill="1" applyBorder="1" applyAlignment="1">
      <alignment horizontal="left" vertical="center"/>
    </xf>
    <xf numFmtId="0" fontId="128" fillId="0" borderId="0" xfId="0" applyFont="1" applyFill="1" applyBorder="1" applyAlignment="1">
      <alignment horizontal="left" vertical="center" wrapText="1"/>
    </xf>
    <xf numFmtId="0" fontId="6" fillId="0" borderId="0" xfId="0" applyFont="1" applyFill="1"/>
    <xf numFmtId="0" fontId="1" fillId="0" borderId="1" xfId="0" applyFont="1" applyBorder="1" applyAlignment="1">
      <alignment horizontal="center" vertical="center"/>
    </xf>
    <xf numFmtId="0" fontId="84" fillId="61" borderId="1" xfId="0" applyFont="1" applyFill="1" applyBorder="1" applyAlignment="1">
      <alignment horizontal="center" vertical="center"/>
    </xf>
    <xf numFmtId="0" fontId="84" fillId="61" borderId="160" xfId="0" applyFont="1" applyFill="1" applyBorder="1" applyAlignment="1">
      <alignment horizontal="center" vertical="center"/>
    </xf>
    <xf numFmtId="4" fontId="0" fillId="21" borderId="205" xfId="0" applyNumberFormat="1" applyFont="1" applyFill="1" applyBorder="1"/>
    <xf numFmtId="4" fontId="0" fillId="21" borderId="206" xfId="0" applyNumberFormat="1" applyFont="1" applyFill="1" applyBorder="1"/>
    <xf numFmtId="4" fontId="0" fillId="30" borderId="206" xfId="0" applyNumberFormat="1" applyFont="1" applyFill="1" applyBorder="1"/>
    <xf numFmtId="4" fontId="0" fillId="21" borderId="207" xfId="0" applyNumberFormat="1" applyFont="1" applyFill="1" applyBorder="1"/>
    <xf numFmtId="2" fontId="30" fillId="0" borderId="0" xfId="0" applyNumberFormat="1" applyFont="1" applyFill="1" applyBorder="1"/>
    <xf numFmtId="0" fontId="89" fillId="18" borderId="0" xfId="0" applyFont="1" applyFill="1" applyAlignment="1">
      <alignment horizontal="left" vertical="center"/>
    </xf>
    <xf numFmtId="0" fontId="89" fillId="18" borderId="0" xfId="0" applyFont="1" applyFill="1" applyAlignment="1">
      <alignment horizontal="center" vertical="center"/>
    </xf>
    <xf numFmtId="0" fontId="84" fillId="11" borderId="162" xfId="0" applyFont="1" applyFill="1" applyBorder="1" applyAlignment="1">
      <alignment vertical="center"/>
    </xf>
    <xf numFmtId="0" fontId="84" fillId="11" borderId="158" xfId="0" applyFont="1" applyFill="1" applyBorder="1" applyAlignment="1">
      <alignment vertical="center"/>
    </xf>
    <xf numFmtId="2" fontId="3" fillId="0" borderId="160" xfId="0" applyNumberFormat="1" applyFont="1" applyBorder="1" applyAlignment="1">
      <alignment horizontal="right"/>
    </xf>
    <xf numFmtId="2" fontId="12" fillId="0" borderId="160" xfId="0" applyNumberFormat="1" applyFont="1" applyBorder="1" applyAlignment="1">
      <alignment horizontal="right"/>
    </xf>
    <xf numFmtId="0" fontId="104" fillId="11" borderId="0" xfId="0" applyFont="1" applyFill="1"/>
    <xf numFmtId="0" fontId="104" fillId="18" borderId="0" xfId="0" applyFont="1" applyFill="1"/>
    <xf numFmtId="0" fontId="23" fillId="0" borderId="0" xfId="0" applyFont="1" applyFill="1" applyAlignment="1">
      <alignment horizontal="right"/>
    </xf>
    <xf numFmtId="0" fontId="191" fillId="0" borderId="0" xfId="0" applyFont="1" applyFill="1"/>
    <xf numFmtId="171" fontId="155" fillId="0" borderId="0" xfId="0" applyNumberFormat="1" applyFont="1" applyFill="1"/>
    <xf numFmtId="166" fontId="25" fillId="46" borderId="20" xfId="0" applyNumberFormat="1" applyFont="1" applyFill="1" applyBorder="1" applyAlignment="1">
      <alignment vertical="center"/>
    </xf>
    <xf numFmtId="166" fontId="25" fillId="46" borderId="20" xfId="0" applyNumberFormat="1" applyFont="1" applyFill="1" applyBorder="1" applyAlignment="1">
      <alignment horizontal="center" vertical="center"/>
    </xf>
    <xf numFmtId="166" fontId="25" fillId="46" borderId="31" xfId="0" applyNumberFormat="1" applyFont="1" applyFill="1" applyBorder="1" applyAlignment="1">
      <alignment horizontal="center" vertical="center"/>
    </xf>
    <xf numFmtId="171" fontId="25" fillId="46" borderId="31" xfId="0" applyNumberFormat="1" applyFont="1" applyFill="1" applyBorder="1" applyAlignment="1">
      <alignment horizontal="center" vertical="center"/>
    </xf>
    <xf numFmtId="1" fontId="26" fillId="0" borderId="101" xfId="0" applyNumberFormat="1" applyFont="1" applyBorder="1"/>
    <xf numFmtId="171" fontId="84" fillId="50" borderId="103" xfId="0" applyNumberFormat="1" applyFont="1" applyFill="1" applyBorder="1"/>
    <xf numFmtId="0" fontId="104" fillId="0" borderId="0" xfId="0" applyFont="1" applyFill="1" applyBorder="1" applyAlignment="1">
      <alignment horizontal="center" vertical="center" wrapText="1"/>
    </xf>
    <xf numFmtId="0" fontId="30" fillId="0" borderId="0" xfId="0" applyFont="1" applyBorder="1" applyAlignment="1">
      <alignment horizontal="right"/>
    </xf>
    <xf numFmtId="0" fontId="143" fillId="0" borderId="0" xfId="0" applyFont="1" applyFill="1" applyBorder="1" applyAlignment="1">
      <alignment horizontal="center" vertical="center"/>
    </xf>
    <xf numFmtId="2" fontId="0" fillId="0" borderId="0" xfId="0" applyNumberFormat="1" applyFill="1" applyAlignment="1"/>
    <xf numFmtId="0" fontId="143" fillId="15" borderId="158" xfId="0" applyFont="1" applyFill="1" applyBorder="1" applyAlignment="1">
      <alignment horizontal="center" vertical="center"/>
    </xf>
    <xf numFmtId="0" fontId="0" fillId="15" borderId="159" xfId="0" applyFill="1" applyBorder="1"/>
    <xf numFmtId="0" fontId="0" fillId="15" borderId="162" xfId="0" applyFill="1" applyBorder="1"/>
    <xf numFmtId="0" fontId="0" fillId="15" borderId="162" xfId="0" applyFill="1" applyBorder="1" applyAlignment="1">
      <alignment horizontal="center" vertical="center"/>
    </xf>
    <xf numFmtId="0" fontId="143" fillId="15" borderId="162" xfId="0" applyFont="1" applyFill="1" applyBorder="1" applyAlignment="1">
      <alignment horizontal="center" vertical="center"/>
    </xf>
    <xf numFmtId="0" fontId="142" fillId="0" borderId="0" xfId="0" applyFont="1" applyFill="1" applyBorder="1" applyAlignment="1">
      <alignment horizontal="center"/>
    </xf>
    <xf numFmtId="0" fontId="62" fillId="7" borderId="9"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84" fillId="18" borderId="9"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6" fontId="0" fillId="0" borderId="0" xfId="0" applyNumberFormat="1" applyFill="1" applyBorder="1" applyAlignment="1">
      <alignment horizontal="center" vertical="center"/>
    </xf>
    <xf numFmtId="0" fontId="0" fillId="0" borderId="0" xfId="0" applyFill="1" applyBorder="1" applyAlignment="1"/>
    <xf numFmtId="0" fontId="30" fillId="0" borderId="0" xfId="0" applyFont="1" applyAlignment="1">
      <alignment horizontal="center" vertical="center"/>
    </xf>
    <xf numFmtId="0" fontId="0" fillId="0" borderId="0" xfId="0" applyAlignment="1">
      <alignment horizontal="center" vertical="center"/>
    </xf>
    <xf numFmtId="0" fontId="0" fillId="0" borderId="51" xfId="0" applyBorder="1"/>
    <xf numFmtId="0" fontId="0" fillId="0" borderId="0" xfId="0" applyBorder="1" applyAlignment="1">
      <alignment horizontal="center"/>
    </xf>
    <xf numFmtId="0" fontId="62" fillId="0" borderId="0" xfId="0" applyFont="1" applyFill="1" applyBorder="1" applyAlignment="1" applyProtection="1">
      <alignment horizontal="left" vertical="center"/>
    </xf>
    <xf numFmtId="0" fontId="0" fillId="0" borderId="3" xfId="0" applyBorder="1" applyAlignment="1"/>
    <xf numFmtId="0" fontId="0" fillId="0" borderId="0" xfId="0" applyFill="1" applyBorder="1" applyAlignment="1">
      <alignment horizontal="left"/>
    </xf>
    <xf numFmtId="2" fontId="12" fillId="0" borderId="51" xfId="0" applyNumberFormat="1" applyFont="1" applyBorder="1" applyAlignment="1">
      <alignment horizontal="right"/>
    </xf>
    <xf numFmtId="0" fontId="124" fillId="27" borderId="162" xfId="0" applyFont="1" applyFill="1" applyBorder="1" applyAlignment="1"/>
    <xf numFmtId="2" fontId="84" fillId="0" borderId="0" xfId="0" applyNumberFormat="1" applyFont="1" applyFill="1" applyBorder="1" applyAlignment="1">
      <alignment vertical="center"/>
    </xf>
    <xf numFmtId="166" fontId="84" fillId="11" borderId="46" xfId="0" applyNumberFormat="1" applyFont="1" applyFill="1" applyBorder="1" applyAlignment="1">
      <alignment horizontal="center" vertical="center"/>
    </xf>
    <xf numFmtId="0" fontId="84" fillId="0" borderId="0" xfId="0" applyFont="1" applyFill="1" applyBorder="1" applyAlignment="1">
      <alignment horizontal="center" vertical="center"/>
    </xf>
    <xf numFmtId="2" fontId="133" fillId="0" borderId="0"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0" fillId="0" borderId="2" xfId="0" applyBorder="1"/>
    <xf numFmtId="0" fontId="0" fillId="0" borderId="162" xfId="0" applyBorder="1"/>
    <xf numFmtId="0" fontId="0" fillId="0" borderId="162" xfId="0" applyBorder="1" applyAlignment="1">
      <alignment horizontal="center" vertical="center"/>
    </xf>
    <xf numFmtId="2" fontId="0" fillId="0" borderId="162" xfId="0" applyNumberFormat="1" applyBorder="1"/>
    <xf numFmtId="0" fontId="140" fillId="70" borderId="33" xfId="0" applyFont="1" applyFill="1" applyBorder="1" applyAlignment="1">
      <alignment vertical="center"/>
    </xf>
    <xf numFmtId="0" fontId="140" fillId="70" borderId="38" xfId="0" applyFont="1" applyFill="1" applyBorder="1" applyAlignment="1">
      <alignment vertical="center"/>
    </xf>
    <xf numFmtId="0" fontId="140" fillId="70" borderId="34" xfId="0" applyFont="1" applyFill="1" applyBorder="1" applyAlignment="1">
      <alignment vertical="center"/>
    </xf>
    <xf numFmtId="0" fontId="114" fillId="10" borderId="33" xfId="0" applyFont="1" applyFill="1" applyBorder="1" applyAlignment="1">
      <alignment vertical="center"/>
    </xf>
    <xf numFmtId="0" fontId="114" fillId="10" borderId="34" xfId="0" applyFont="1" applyFill="1" applyBorder="1" applyAlignment="1">
      <alignment vertical="center"/>
    </xf>
    <xf numFmtId="164" fontId="104" fillId="32" borderId="20" xfId="12" applyFont="1" applyFill="1" applyBorder="1" applyAlignment="1">
      <alignment vertical="center"/>
    </xf>
    <xf numFmtId="164" fontId="142" fillId="0" borderId="0" xfId="12" applyFont="1" applyFill="1" applyBorder="1" applyAlignment="1">
      <alignment horizontal="center"/>
    </xf>
    <xf numFmtId="164" fontId="0" fillId="0" borderId="0" xfId="12" applyFont="1" applyFill="1" applyAlignment="1">
      <alignment horizontal="center" vertical="center"/>
    </xf>
    <xf numFmtId="164" fontId="0" fillId="0" borderId="0" xfId="12" applyFont="1" applyFill="1"/>
    <xf numFmtId="164" fontId="140" fillId="70" borderId="38" xfId="12" applyFont="1" applyFill="1" applyBorder="1" applyAlignment="1">
      <alignment vertical="center"/>
    </xf>
    <xf numFmtId="164" fontId="0" fillId="0" borderId="0" xfId="12" applyFont="1" applyFill="1" applyBorder="1" applyAlignment="1">
      <alignment horizontal="center"/>
    </xf>
    <xf numFmtId="164" fontId="1" fillId="0" borderId="0" xfId="12" applyFont="1" applyFill="1" applyBorder="1" applyAlignment="1">
      <alignment horizontal="left"/>
    </xf>
    <xf numFmtId="164" fontId="0" fillId="0" borderId="0" xfId="12" applyFont="1" applyFill="1" applyBorder="1"/>
    <xf numFmtId="164" fontId="89" fillId="32" borderId="0" xfId="12" applyFont="1" applyFill="1"/>
    <xf numFmtId="164" fontId="84" fillId="0" borderId="0" xfId="12" applyFont="1" applyFill="1" applyBorder="1" applyAlignment="1">
      <alignment horizontal="center" vertical="center"/>
    </xf>
    <xf numFmtId="164" fontId="136" fillId="0" borderId="0" xfId="12" applyFont="1" applyFill="1" applyBorder="1" applyAlignment="1"/>
    <xf numFmtId="164" fontId="132" fillId="0" borderId="0" xfId="12" applyFont="1" applyFill="1" applyBorder="1" applyAlignment="1"/>
    <xf numFmtId="164" fontId="162" fillId="0" borderId="0" xfId="12" applyFont="1" applyFill="1" applyBorder="1" applyAlignment="1">
      <alignment horizontal="left"/>
    </xf>
    <xf numFmtId="164" fontId="1" fillId="0" borderId="0" xfId="12" applyFont="1" applyFill="1" applyBorder="1" applyAlignment="1">
      <alignment vertical="center"/>
    </xf>
    <xf numFmtId="164" fontId="84" fillId="10" borderId="12" xfId="12" applyFont="1" applyFill="1" applyBorder="1" applyAlignment="1">
      <alignment horizontal="center" vertical="center" wrapText="1"/>
    </xf>
    <xf numFmtId="164" fontId="1" fillId="0" borderId="0" xfId="12" applyFont="1" applyFill="1" applyBorder="1" applyAlignment="1">
      <alignment horizontal="center" vertical="center"/>
    </xf>
    <xf numFmtId="164" fontId="135" fillId="0" borderId="0" xfId="12" applyFont="1" applyFill="1" applyBorder="1" applyAlignment="1"/>
    <xf numFmtId="164" fontId="62" fillId="0" borderId="0" xfId="12" applyFont="1" applyFill="1" applyBorder="1" applyAlignment="1" applyProtection="1">
      <alignment horizontal="center" vertical="center"/>
    </xf>
    <xf numFmtId="164" fontId="131" fillId="0" borderId="0" xfId="12" applyFont="1" applyFill="1" applyBorder="1" applyAlignment="1" applyProtection="1">
      <alignment horizontal="right"/>
    </xf>
    <xf numFmtId="164" fontId="0" fillId="0" borderId="0" xfId="12" applyFont="1" applyFill="1" applyBorder="1" applyAlignment="1"/>
    <xf numFmtId="164" fontId="135" fillId="0" borderId="50" xfId="12" applyFont="1" applyFill="1" applyBorder="1" applyAlignment="1"/>
    <xf numFmtId="164" fontId="99" fillId="0" borderId="0" xfId="12" applyFont="1" applyFill="1" applyBorder="1" applyAlignment="1">
      <alignment horizontal="left"/>
    </xf>
    <xf numFmtId="164" fontId="132" fillId="0" borderId="50" xfId="12" applyFont="1" applyFill="1" applyBorder="1" applyAlignment="1"/>
    <xf numFmtId="164" fontId="0" fillId="0" borderId="50" xfId="12" applyFont="1" applyFill="1" applyBorder="1"/>
    <xf numFmtId="0" fontId="0" fillId="0" borderId="0" xfId="0" applyAlignment="1">
      <alignment horizontal="center" vertical="center"/>
    </xf>
    <xf numFmtId="2" fontId="0" fillId="2" borderId="1" xfId="0" applyNumberFormat="1" applyFont="1" applyFill="1" applyBorder="1" applyAlignment="1"/>
    <xf numFmtId="164" fontId="194" fillId="5" borderId="0" xfId="12" applyFont="1" applyFill="1" applyBorder="1" applyAlignment="1">
      <alignment horizontal="left" vertical="center"/>
    </xf>
    <xf numFmtId="164" fontId="195" fillId="5" borderId="0" xfId="12" applyFont="1" applyFill="1" applyBorder="1" applyAlignment="1">
      <alignment horizontal="left" vertical="center"/>
    </xf>
    <xf numFmtId="0" fontId="195" fillId="0" borderId="0" xfId="10" applyFont="1" applyFill="1" applyBorder="1" applyAlignment="1" applyProtection="1">
      <alignment horizontal="left" vertical="center"/>
    </xf>
    <xf numFmtId="0" fontId="62" fillId="2" borderId="17" xfId="0" applyFont="1" applyFill="1" applyBorder="1" applyAlignment="1" applyProtection="1">
      <alignment horizontal="left" vertical="center"/>
    </xf>
    <xf numFmtId="0" fontId="62" fillId="2" borderId="51" xfId="0" applyFont="1" applyFill="1" applyBorder="1" applyAlignment="1" applyProtection="1">
      <alignment horizontal="left" vertical="center"/>
    </xf>
    <xf numFmtId="0" fontId="195" fillId="2" borderId="0" xfId="10" applyFont="1" applyFill="1" applyBorder="1" applyAlignment="1" applyProtection="1">
      <alignment horizontal="left" vertical="center"/>
    </xf>
    <xf numFmtId="0" fontId="195" fillId="2" borderId="0" xfId="0" applyFont="1" applyFill="1"/>
    <xf numFmtId="0" fontId="0" fillId="2" borderId="54" xfId="0" applyFill="1" applyBorder="1"/>
    <xf numFmtId="0" fontId="15" fillId="2" borderId="54" xfId="0" applyFont="1" applyFill="1" applyBorder="1"/>
    <xf numFmtId="0" fontId="0" fillId="41" borderId="158" xfId="0" applyFill="1" applyBorder="1" applyAlignment="1">
      <alignment horizontal="left" vertical="center"/>
    </xf>
    <xf numFmtId="0" fontId="0" fillId="41" borderId="158" xfId="0" applyFill="1" applyBorder="1" applyAlignment="1">
      <alignment vertical="center"/>
    </xf>
    <xf numFmtId="2" fontId="131" fillId="41" borderId="19" xfId="5" applyNumberFormat="1" applyFont="1" applyFill="1" applyBorder="1" applyAlignment="1" applyProtection="1">
      <alignment horizontal="right"/>
    </xf>
    <xf numFmtId="0" fontId="62" fillId="2" borderId="0" xfId="0" applyFont="1" applyFill="1" applyBorder="1" applyAlignment="1" applyProtection="1">
      <alignment horizontal="left" vertical="center"/>
    </xf>
    <xf numFmtId="166" fontId="145" fillId="42" borderId="114" xfId="0" applyNumberFormat="1" applyFont="1" applyFill="1" applyBorder="1" applyAlignment="1" applyProtection="1">
      <alignment horizontal="left"/>
    </xf>
    <xf numFmtId="166" fontId="145" fillId="42" borderId="114" xfId="0" applyNumberFormat="1" applyFont="1" applyFill="1" applyBorder="1" applyAlignment="1" applyProtection="1">
      <alignment horizontal="center"/>
    </xf>
    <xf numFmtId="166" fontId="145" fillId="42" borderId="114" xfId="0" applyNumberFormat="1" applyFont="1" applyFill="1" applyBorder="1" applyAlignment="1" applyProtection="1">
      <alignment horizontal="right"/>
    </xf>
    <xf numFmtId="0" fontId="62" fillId="2" borderId="84" xfId="0" applyFont="1" applyFill="1" applyBorder="1" applyAlignment="1" applyProtection="1">
      <alignment horizontal="left" vertical="center"/>
    </xf>
    <xf numFmtId="0" fontId="0" fillId="2" borderId="50" xfId="0" applyFill="1" applyBorder="1"/>
    <xf numFmtId="0" fontId="0" fillId="2" borderId="46" xfId="0" applyFill="1" applyBorder="1"/>
    <xf numFmtId="164" fontId="195" fillId="2" borderId="0" xfId="12" applyFont="1" applyFill="1" applyBorder="1" applyAlignment="1">
      <alignment horizontal="center" vertical="center"/>
    </xf>
    <xf numFmtId="164" fontId="136" fillId="2" borderId="0" xfId="12" applyFont="1" applyFill="1" applyBorder="1" applyAlignment="1"/>
    <xf numFmtId="171" fontId="84" fillId="15" borderId="9" xfId="0" applyNumberFormat="1" applyFont="1" applyFill="1" applyBorder="1" applyAlignment="1">
      <alignment horizontal="right"/>
    </xf>
    <xf numFmtId="0" fontId="0" fillId="2" borderId="19" xfId="0" applyFill="1" applyBorder="1"/>
    <xf numFmtId="166" fontId="131" fillId="2" borderId="54" xfId="5" applyNumberFormat="1" applyFont="1" applyFill="1" applyBorder="1" applyAlignment="1" applyProtection="1">
      <alignment horizontal="left"/>
    </xf>
    <xf numFmtId="0" fontId="0" fillId="2" borderId="9" xfId="0" applyFill="1" applyBorder="1"/>
    <xf numFmtId="164" fontId="195" fillId="2" borderId="0" xfId="12" applyFont="1" applyFill="1" applyBorder="1" applyAlignment="1"/>
    <xf numFmtId="0" fontId="99" fillId="57" borderId="2" xfId="0" applyFont="1" applyFill="1" applyBorder="1" applyAlignment="1">
      <alignment horizontal="center" vertical="center" wrapText="1"/>
    </xf>
    <xf numFmtId="0" fontId="99" fillId="57" borderId="162" xfId="0" applyFont="1" applyFill="1" applyBorder="1" applyAlignment="1">
      <alignment horizontal="center" vertical="center" wrapText="1"/>
    </xf>
    <xf numFmtId="0" fontId="99" fillId="57" borderId="4" xfId="0" applyFont="1" applyFill="1" applyBorder="1" applyAlignment="1">
      <alignment horizontal="center" vertical="center" wrapText="1"/>
    </xf>
    <xf numFmtId="0" fontId="99" fillId="57" borderId="1" xfId="0" applyFont="1" applyFill="1" applyBorder="1" applyAlignment="1">
      <alignment horizontal="center" vertical="center" wrapText="1"/>
    </xf>
    <xf numFmtId="166" fontId="99" fillId="57" borderId="2" xfId="0" applyNumberFormat="1" applyFont="1" applyFill="1" applyBorder="1" applyAlignment="1">
      <alignment horizontal="left" vertical="center"/>
    </xf>
    <xf numFmtId="166" fontId="99" fillId="57" borderId="162" xfId="0" applyNumberFormat="1" applyFont="1" applyFill="1" applyBorder="1" applyAlignment="1">
      <alignment horizontal="left" vertical="center"/>
    </xf>
    <xf numFmtId="166" fontId="99" fillId="57" borderId="162" xfId="0" applyNumberFormat="1" applyFont="1" applyFill="1" applyBorder="1" applyAlignment="1">
      <alignment horizontal="left"/>
    </xf>
    <xf numFmtId="2" fontId="99" fillId="57" borderId="162" xfId="0" applyNumberFormat="1" applyFont="1" applyFill="1" applyBorder="1" applyAlignment="1">
      <alignment horizontal="left"/>
    </xf>
    <xf numFmtId="166" fontId="99" fillId="57" borderId="4" xfId="0" applyNumberFormat="1" applyFont="1" applyFill="1" applyBorder="1" applyAlignment="1">
      <alignment horizontal="left"/>
    </xf>
    <xf numFmtId="0" fontId="14" fillId="0" borderId="0" xfId="0" applyFont="1" applyAlignment="1">
      <alignment horizontal="left"/>
    </xf>
    <xf numFmtId="0" fontId="62" fillId="7" borderId="165" xfId="0" applyFont="1" applyFill="1" applyBorder="1" applyAlignment="1" applyProtection="1">
      <alignment horizontal="left" vertical="center"/>
    </xf>
    <xf numFmtId="0" fontId="195" fillId="0" borderId="0" xfId="0" applyFont="1" applyFill="1" applyBorder="1" applyAlignment="1">
      <alignment horizontal="left"/>
    </xf>
    <xf numFmtId="166" fontId="131" fillId="41" borderId="114" xfId="10" applyNumberFormat="1" applyFont="1" applyFill="1" applyBorder="1" applyAlignment="1" applyProtection="1">
      <alignment horizontal="left"/>
    </xf>
    <xf numFmtId="166" fontId="131" fillId="41" borderId="114" xfId="10" applyNumberFormat="1" applyFont="1" applyFill="1" applyBorder="1" applyAlignment="1" applyProtection="1">
      <alignment horizontal="right"/>
    </xf>
    <xf numFmtId="2" fontId="136" fillId="7" borderId="2" xfId="0" applyNumberFormat="1" applyFont="1" applyFill="1" applyBorder="1" applyAlignment="1"/>
    <xf numFmtId="0" fontId="0" fillId="41" borderId="2" xfId="0" applyFill="1" applyBorder="1"/>
    <xf numFmtId="0" fontId="0" fillId="52" borderId="2" xfId="0" applyFill="1" applyBorder="1"/>
    <xf numFmtId="166" fontId="84" fillId="0" borderId="50" xfId="0" applyNumberFormat="1" applyFont="1" applyFill="1" applyBorder="1" applyAlignment="1">
      <alignment horizontal="center" vertical="center"/>
    </xf>
    <xf numFmtId="2" fontId="136" fillId="0" borderId="50" xfId="0" applyNumberFormat="1" applyFont="1" applyFill="1" applyBorder="1" applyAlignment="1"/>
    <xf numFmtId="2" fontId="132" fillId="0" borderId="50" xfId="0" applyNumberFormat="1" applyFont="1" applyFill="1" applyBorder="1" applyAlignment="1"/>
    <xf numFmtId="0" fontId="164" fillId="0" borderId="0" xfId="0" applyFont="1" applyFill="1" applyBorder="1" applyAlignment="1">
      <alignment horizontal="right"/>
    </xf>
    <xf numFmtId="166" fontId="0" fillId="0" borderId="0" xfId="0" applyNumberFormat="1" applyFont="1" applyFill="1" applyBorder="1" applyAlignment="1">
      <alignment horizontal="right"/>
    </xf>
    <xf numFmtId="2" fontId="0" fillId="0" borderId="0" xfId="0" applyNumberFormat="1" applyFont="1" applyFill="1" applyBorder="1" applyAlignment="1">
      <alignment horizontal="right"/>
    </xf>
    <xf numFmtId="2" fontId="0" fillId="0" borderId="161" xfId="0" applyNumberFormat="1" applyBorder="1"/>
    <xf numFmtId="0" fontId="115" fillId="12" borderId="1" xfId="0" applyFont="1" applyFill="1" applyBorder="1"/>
    <xf numFmtId="1" fontId="125" fillId="21" borderId="4" xfId="0" applyNumberFormat="1" applyFont="1" applyFill="1" applyBorder="1" applyAlignment="1">
      <alignment horizontal="center" vertical="center" wrapText="1"/>
    </xf>
    <xf numFmtId="0" fontId="0" fillId="0" borderId="1" xfId="0" applyFont="1" applyBorder="1"/>
    <xf numFmtId="0" fontId="1" fillId="0" borderId="2" xfId="0" applyFont="1" applyBorder="1"/>
    <xf numFmtId="0" fontId="1" fillId="0" borderId="1" xfId="0" applyFont="1" applyBorder="1" applyAlignment="1">
      <alignment horizontal="right" vertical="center"/>
    </xf>
    <xf numFmtId="1" fontId="6" fillId="5" borderId="161" xfId="0" quotePrefix="1" applyNumberFormat="1" applyFont="1" applyFill="1" applyBorder="1" applyAlignment="1">
      <alignment horizontal="left"/>
    </xf>
    <xf numFmtId="1" fontId="6" fillId="23" borderId="9" xfId="0" applyNumberFormat="1" applyFont="1" applyFill="1" applyBorder="1" applyAlignment="1">
      <alignment horizontal="left" vertical="top"/>
    </xf>
    <xf numFmtId="1" fontId="6" fillId="15" borderId="161" xfId="0" quotePrefix="1" applyNumberFormat="1" applyFont="1" applyFill="1" applyBorder="1" applyAlignment="1">
      <alignment horizontal="left"/>
    </xf>
    <xf numFmtId="1" fontId="6" fillId="12" borderId="54" xfId="0" applyNumberFormat="1" applyFont="1" applyFill="1" applyBorder="1" applyAlignment="1">
      <alignment vertical="top"/>
    </xf>
    <xf numFmtId="1" fontId="6" fillId="13" borderId="54" xfId="0" applyNumberFormat="1" applyFont="1" applyFill="1" applyBorder="1"/>
    <xf numFmtId="1" fontId="6" fillId="22" borderId="9" xfId="0" applyNumberFormat="1" applyFont="1" applyFill="1" applyBorder="1" applyAlignment="1">
      <alignment vertical="top"/>
    </xf>
    <xf numFmtId="1" fontId="6" fillId="38" borderId="161" xfId="0" applyNumberFormat="1" applyFont="1" applyFill="1" applyBorder="1" applyAlignment="1">
      <alignment horizontal="left" vertical="top"/>
    </xf>
    <xf numFmtId="1" fontId="6" fillId="46" borderId="161" xfId="0" quotePrefix="1" applyNumberFormat="1" applyFont="1" applyFill="1" applyBorder="1" applyAlignment="1">
      <alignment horizontal="left"/>
    </xf>
    <xf numFmtId="0" fontId="142" fillId="0" borderId="0" xfId="0" applyFont="1" applyFill="1" applyBorder="1" applyAlignment="1"/>
    <xf numFmtId="0" fontId="84" fillId="0" borderId="0" xfId="0" applyFont="1" applyFill="1"/>
    <xf numFmtId="0" fontId="114" fillId="38" borderId="150" xfId="0" applyFont="1" applyFill="1" applyBorder="1"/>
    <xf numFmtId="0" fontId="114" fillId="8" borderId="150" xfId="0" applyFont="1" applyFill="1" applyBorder="1"/>
    <xf numFmtId="0" fontId="114" fillId="20" borderId="150" xfId="0" applyFont="1" applyFill="1" applyBorder="1"/>
    <xf numFmtId="0" fontId="197" fillId="35" borderId="150" xfId="0" applyFont="1" applyFill="1" applyBorder="1" applyAlignment="1">
      <alignment horizontal="center"/>
    </xf>
    <xf numFmtId="0" fontId="197" fillId="8" borderId="150" xfId="0" applyFont="1" applyFill="1" applyBorder="1"/>
    <xf numFmtId="0" fontId="197" fillId="20" borderId="150" xfId="0" applyFont="1" applyFill="1" applyBorder="1"/>
    <xf numFmtId="0" fontId="114" fillId="11" borderId="150" xfId="0" applyFont="1" applyFill="1" applyBorder="1"/>
    <xf numFmtId="0" fontId="197" fillId="15" borderId="150" xfId="0" applyFont="1" applyFill="1" applyBorder="1"/>
    <xf numFmtId="0" fontId="114" fillId="15" borderId="150" xfId="0" applyFont="1" applyFill="1" applyBorder="1"/>
    <xf numFmtId="0" fontId="197" fillId="17" borderId="150" xfId="0" applyFont="1" applyFill="1" applyBorder="1" applyAlignment="1">
      <alignment horizontal="center"/>
    </xf>
    <xf numFmtId="0" fontId="197" fillId="20" borderId="0" xfId="0" applyFont="1" applyFill="1" applyBorder="1"/>
    <xf numFmtId="0" fontId="114" fillId="20" borderId="0" xfId="0" applyFont="1" applyFill="1" applyBorder="1"/>
    <xf numFmtId="0" fontId="197" fillId="35" borderId="0" xfId="0" applyFont="1" applyFill="1" applyBorder="1" applyAlignment="1">
      <alignment horizontal="center"/>
    </xf>
    <xf numFmtId="0" fontId="6" fillId="38" borderId="4" xfId="0" applyFont="1" applyFill="1" applyBorder="1"/>
    <xf numFmtId="0" fontId="6" fillId="3" borderId="4" xfId="0" applyFont="1" applyFill="1" applyBorder="1"/>
    <xf numFmtId="0" fontId="185" fillId="32" borderId="0" xfId="0" applyFont="1" applyFill="1"/>
    <xf numFmtId="185" fontId="114" fillId="32" borderId="150" xfId="0" applyNumberFormat="1" applyFont="1" applyFill="1" applyBorder="1" applyAlignment="1"/>
    <xf numFmtId="164" fontId="185" fillId="32" borderId="0" xfId="0" applyNumberFormat="1" applyFont="1" applyFill="1"/>
    <xf numFmtId="2" fontId="4" fillId="2" borderId="1"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84" fillId="18" borderId="9" xfId="0" applyFont="1" applyFill="1" applyBorder="1" applyAlignment="1">
      <alignment horizontal="center" vertical="center"/>
    </xf>
    <xf numFmtId="0" fontId="140" fillId="70" borderId="38" xfId="0" applyFont="1" applyFill="1" applyBorder="1" applyAlignment="1">
      <alignment horizontal="center"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30" fillId="0" borderId="0" xfId="0" applyFont="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 fontId="6" fillId="38" borderId="1" xfId="0" applyNumberFormat="1" applyFont="1" applyFill="1" applyBorder="1" applyAlignment="1">
      <alignment horizontal="left" vertical="top"/>
    </xf>
    <xf numFmtId="1" fontId="39" fillId="20" borderId="1" xfId="0" applyNumberFormat="1" applyFont="1" applyFill="1" applyBorder="1" applyAlignment="1">
      <alignment horizontal="center" vertical="center"/>
    </xf>
    <xf numFmtId="1" fontId="39" fillId="20" borderId="9" xfId="0" applyNumberFormat="1" applyFont="1" applyFill="1" applyBorder="1" applyAlignment="1">
      <alignment horizontal="center" vertical="center"/>
    </xf>
    <xf numFmtId="1" fontId="13" fillId="20" borderId="1" xfId="0" applyNumberFormat="1" applyFont="1" applyFill="1" applyBorder="1" applyAlignment="1">
      <alignment horizontal="center" vertical="center"/>
    </xf>
    <xf numFmtId="1" fontId="13" fillId="20" borderId="19" xfId="0" applyNumberFormat="1" applyFont="1" applyFill="1" applyBorder="1" applyAlignment="1">
      <alignment horizontal="center" vertical="center"/>
    </xf>
    <xf numFmtId="1" fontId="39" fillId="20" borderId="54" xfId="0" applyNumberFormat="1" applyFont="1" applyFill="1" applyBorder="1" applyAlignment="1">
      <alignment horizontal="center" vertical="center"/>
    </xf>
    <xf numFmtId="1" fontId="39" fillId="20" borderId="19" xfId="0" applyNumberFormat="1" applyFont="1" applyFill="1" applyBorder="1" applyAlignment="1">
      <alignment horizontal="center" vertical="center"/>
    </xf>
    <xf numFmtId="1" fontId="3" fillId="27" borderId="4" xfId="0" applyNumberFormat="1" applyFont="1" applyFill="1" applyBorder="1" applyAlignment="1">
      <alignment horizontal="center" vertical="center"/>
    </xf>
    <xf numFmtId="1" fontId="3" fillId="27" borderId="1" xfId="0" applyNumberFormat="1" applyFont="1" applyFill="1" applyBorder="1" applyAlignment="1">
      <alignment horizontal="center" vertical="center"/>
    </xf>
    <xf numFmtId="4" fontId="0" fillId="5" borderId="170" xfId="0" applyNumberFormat="1" applyFont="1" applyFill="1" applyBorder="1" applyAlignment="1">
      <alignment vertical="center"/>
    </xf>
    <xf numFmtId="4" fontId="0" fillId="5" borderId="170" xfId="0" applyNumberFormat="1" applyFont="1" applyFill="1" applyBorder="1"/>
    <xf numFmtId="0" fontId="141" fillId="0" borderId="1" xfId="0" applyFont="1" applyBorder="1" applyAlignment="1">
      <alignment horizontal="right" vertical="center"/>
    </xf>
    <xf numFmtId="2" fontId="114" fillId="11" borderId="150" xfId="0" applyNumberFormat="1" applyFont="1" applyFill="1" applyBorder="1"/>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2" fontId="114" fillId="11" borderId="151" xfId="0" applyNumberFormat="1" applyFont="1" applyFill="1" applyBorder="1" applyAlignment="1">
      <alignment horizontal="left"/>
    </xf>
    <xf numFmtId="0" fontId="197" fillId="38" borderId="150" xfId="0" applyFont="1" applyFill="1" applyBorder="1"/>
    <xf numFmtId="2" fontId="114" fillId="11" borderId="151" xfId="0" applyNumberFormat="1" applyFont="1" applyFill="1" applyBorder="1"/>
    <xf numFmtId="164" fontId="84" fillId="32" borderId="150" xfId="0" applyNumberFormat="1" applyFont="1" applyFill="1" applyBorder="1"/>
    <xf numFmtId="164" fontId="84" fillId="0" borderId="150" xfId="0" applyNumberFormat="1" applyFont="1" applyFill="1" applyBorder="1"/>
    <xf numFmtId="0" fontId="140" fillId="0" borderId="0" xfId="0" applyFont="1" applyFill="1" applyBorder="1" applyAlignment="1">
      <alignment horizontal="center" vertical="center"/>
    </xf>
    <xf numFmtId="0" fontId="114" fillId="0" borderId="150" xfId="0" applyFont="1" applyFill="1" applyBorder="1"/>
    <xf numFmtId="1" fontId="197" fillId="35" borderId="150" xfId="0" applyNumberFormat="1" applyFont="1" applyFill="1" applyBorder="1" applyAlignment="1">
      <alignment horizontal="center"/>
    </xf>
    <xf numFmtId="164" fontId="84" fillId="32" borderId="0" xfId="0" applyNumberFormat="1" applyFont="1" applyFill="1" applyAlignment="1">
      <alignment horizontal="center"/>
    </xf>
    <xf numFmtId="0" fontId="142" fillId="22" borderId="38" xfId="0" applyFont="1" applyFill="1" applyBorder="1" applyAlignment="1"/>
    <xf numFmtId="0" fontId="142" fillId="22" borderId="34" xfId="0" applyFont="1" applyFill="1" applyBorder="1" applyAlignment="1"/>
    <xf numFmtId="0" fontId="142" fillId="12" borderId="33" xfId="0" applyFont="1" applyFill="1" applyBorder="1" applyAlignment="1"/>
    <xf numFmtId="0" fontId="142" fillId="12" borderId="38" xfId="0" applyFont="1" applyFill="1" applyBorder="1" applyAlignment="1"/>
    <xf numFmtId="0" fontId="142" fillId="12" borderId="34" xfId="0" applyFont="1" applyFill="1" applyBorder="1" applyAlignment="1"/>
    <xf numFmtId="0" fontId="104" fillId="7" borderId="38" xfId="0" applyFont="1" applyFill="1" applyBorder="1"/>
    <xf numFmtId="0" fontId="104" fillId="7" borderId="34" xfId="0" applyFont="1" applyFill="1" applyBorder="1"/>
    <xf numFmtId="0" fontId="197" fillId="0" borderId="150" xfId="0" applyFont="1" applyFill="1" applyBorder="1"/>
    <xf numFmtId="0" fontId="198" fillId="0" borderId="0" xfId="0" applyFont="1" applyFill="1" applyBorder="1" applyAlignment="1"/>
    <xf numFmtId="2" fontId="114" fillId="11" borderId="150" xfId="0" applyNumberFormat="1" applyFont="1" applyFill="1" applyBorder="1" applyAlignment="1">
      <alignment horizontal="center" wrapText="1"/>
    </xf>
    <xf numFmtId="0" fontId="140" fillId="18" borderId="0" xfId="0" applyFont="1" applyFill="1" applyBorder="1" applyAlignment="1">
      <alignment horizontal="center" vertical="center"/>
    </xf>
    <xf numFmtId="185" fontId="140" fillId="61" borderId="0" xfId="0" applyNumberFormat="1" applyFont="1" applyFill="1" applyBorder="1"/>
    <xf numFmtId="0" fontId="140" fillId="61" borderId="0" xfId="0" applyFont="1" applyFill="1" applyBorder="1" applyAlignment="1">
      <alignment horizontal="center" vertical="center"/>
    </xf>
    <xf numFmtId="185" fontId="140" fillId="18" borderId="0" xfId="0" applyNumberFormat="1" applyFont="1" applyFill="1"/>
    <xf numFmtId="0" fontId="0" fillId="3" borderId="38" xfId="0" applyFill="1" applyBorder="1"/>
    <xf numFmtId="0" fontId="0" fillId="3" borderId="34" xfId="0" applyFill="1" applyBorder="1"/>
    <xf numFmtId="0" fontId="0" fillId="0" borderId="0" xfId="0" applyFill="1" applyAlignment="1">
      <alignment horizontal="center"/>
    </xf>
    <xf numFmtId="164" fontId="197" fillId="35" borderId="150" xfId="12" applyFont="1" applyFill="1" applyBorder="1" applyAlignment="1">
      <alignment horizontal="center" vertical="center"/>
    </xf>
    <xf numFmtId="0" fontId="199" fillId="27" borderId="150" xfId="0" applyFont="1" applyFill="1" applyBorder="1" applyAlignment="1">
      <alignment horizontal="center" vertical="center"/>
    </xf>
    <xf numFmtId="0" fontId="3" fillId="0" borderId="46" xfId="0" applyFont="1" applyBorder="1"/>
    <xf numFmtId="0" fontId="124" fillId="27" borderId="158" xfId="0" applyFont="1" applyFill="1" applyBorder="1" applyAlignment="1">
      <alignment horizontal="center" vertical="center"/>
    </xf>
    <xf numFmtId="0" fontId="17" fillId="19" borderId="211" xfId="2" applyFont="1" applyFill="1" applyBorder="1" applyAlignment="1">
      <alignment horizontal="center" wrapText="1"/>
    </xf>
    <xf numFmtId="2" fontId="202" fillId="0" borderId="0" xfId="2" applyNumberFormat="1" applyFont="1" applyFill="1" applyBorder="1" applyAlignment="1">
      <alignment horizontal="right" wrapText="1"/>
    </xf>
    <xf numFmtId="0" fontId="17" fillId="21" borderId="0" xfId="2" applyFont="1" applyFill="1" applyBorder="1" applyAlignment="1">
      <alignment horizontal="right" wrapText="1"/>
    </xf>
    <xf numFmtId="2" fontId="202" fillId="21" borderId="0" xfId="2" applyNumberFormat="1" applyFont="1" applyFill="1" applyBorder="1" applyAlignment="1">
      <alignment horizontal="right" wrapText="1"/>
    </xf>
    <xf numFmtId="2" fontId="202" fillId="35" borderId="0" xfId="2" applyNumberFormat="1" applyFont="1" applyFill="1" applyBorder="1" applyAlignment="1">
      <alignment horizontal="right" wrapText="1"/>
    </xf>
    <xf numFmtId="0" fontId="0" fillId="5" borderId="35" xfId="0" applyFill="1" applyBorder="1"/>
    <xf numFmtId="4" fontId="0" fillId="5" borderId="19" xfId="0" applyNumberFormat="1" applyFill="1" applyBorder="1" applyAlignment="1">
      <alignment horizontal="center" vertical="center"/>
    </xf>
    <xf numFmtId="0" fontId="0" fillId="5" borderId="19" xfId="0" applyFill="1" applyBorder="1" applyAlignment="1">
      <alignment horizontal="center" vertical="center"/>
    </xf>
    <xf numFmtId="2" fontId="0" fillId="5" borderId="19" xfId="0" applyNumberFormat="1" applyFill="1" applyBorder="1" applyAlignment="1">
      <alignment horizontal="center" vertical="center"/>
    </xf>
    <xf numFmtId="4" fontId="15" fillId="5" borderId="84" xfId="0" applyNumberFormat="1" applyFont="1" applyFill="1" applyBorder="1"/>
    <xf numFmtId="0" fontId="17" fillId="5" borderId="19" xfId="2" applyFont="1" applyFill="1" applyBorder="1" applyAlignment="1">
      <alignment horizontal="right" wrapText="1"/>
    </xf>
    <xf numFmtId="0" fontId="0" fillId="5" borderId="32" xfId="0" applyFill="1" applyBorder="1"/>
    <xf numFmtId="4" fontId="0" fillId="5" borderId="9" xfId="0" applyNumberFormat="1" applyFill="1" applyBorder="1" applyAlignment="1">
      <alignment horizontal="center" vertical="center"/>
    </xf>
    <xf numFmtId="0" fontId="0" fillId="5" borderId="9" xfId="0" applyFill="1" applyBorder="1" applyAlignment="1">
      <alignment horizontal="center" vertical="center"/>
    </xf>
    <xf numFmtId="2" fontId="0" fillId="5" borderId="9" xfId="0" applyNumberFormat="1" applyFill="1" applyBorder="1" applyAlignment="1">
      <alignment horizontal="center" vertical="center"/>
    </xf>
    <xf numFmtId="4" fontId="15" fillId="5" borderId="46" xfId="0" applyNumberFormat="1" applyFont="1" applyFill="1" applyBorder="1"/>
    <xf numFmtId="0" fontId="17" fillId="5" borderId="9" xfId="2" applyFont="1" applyFill="1" applyBorder="1" applyAlignment="1">
      <alignment horizontal="right" wrapText="1"/>
    </xf>
    <xf numFmtId="0" fontId="0" fillId="5" borderId="14" xfId="0" applyFill="1" applyBorder="1"/>
    <xf numFmtId="4" fontId="0" fillId="5" borderId="1" xfId="0" applyNumberFormat="1" applyFill="1" applyBorder="1" applyAlignment="1">
      <alignment horizontal="center" vertical="center"/>
    </xf>
    <xf numFmtId="2" fontId="0" fillId="5" borderId="1" xfId="0" applyNumberFormat="1" applyFill="1" applyBorder="1" applyAlignment="1">
      <alignment horizontal="center" vertical="center"/>
    </xf>
    <xf numFmtId="4" fontId="15" fillId="5" borderId="2" xfId="0" applyNumberFormat="1" applyFont="1" applyFill="1" applyBorder="1"/>
    <xf numFmtId="0" fontId="17" fillId="5" borderId="1" xfId="2" applyFont="1" applyFill="1" applyBorder="1" applyAlignment="1">
      <alignment horizontal="right" wrapText="1"/>
    </xf>
    <xf numFmtId="0" fontId="0" fillId="12" borderId="38" xfId="0" applyFill="1" applyBorder="1"/>
    <xf numFmtId="185" fontId="114" fillId="32" borderId="150" xfId="0" applyNumberFormat="1" applyFont="1" applyFill="1" applyBorder="1" applyAlignment="1">
      <alignment horizontal="center"/>
    </xf>
    <xf numFmtId="0" fontId="114" fillId="11" borderId="150" xfId="0" applyFont="1" applyFill="1" applyBorder="1" applyAlignment="1">
      <alignment vertical="center"/>
    </xf>
    <xf numFmtId="0" fontId="114" fillId="32" borderId="0" xfId="0" applyFont="1" applyFill="1" applyAlignment="1">
      <alignment horizontal="center" vertical="center"/>
    </xf>
    <xf numFmtId="0" fontId="0" fillId="0" borderId="212" xfId="0" applyBorder="1"/>
    <xf numFmtId="0" fontId="33" fillId="0" borderId="213" xfId="0" applyFont="1" applyFill="1" applyBorder="1" applyAlignment="1">
      <alignment horizontal="left" vertical="center"/>
    </xf>
    <xf numFmtId="166" fontId="33" fillId="0" borderId="213" xfId="0" applyNumberFormat="1" applyFont="1" applyFill="1" applyBorder="1" applyAlignment="1">
      <alignment horizontal="center" vertical="center"/>
    </xf>
    <xf numFmtId="0" fontId="0" fillId="0" borderId="213" xfId="0" applyBorder="1"/>
    <xf numFmtId="9" fontId="88" fillId="0" borderId="213" xfId="4" applyFont="1" applyFill="1" applyBorder="1" applyAlignment="1">
      <alignment horizontal="center" vertical="center" wrapText="1"/>
    </xf>
    <xf numFmtId="166" fontId="86" fillId="0" borderId="213" xfId="4" applyNumberFormat="1" applyFont="1" applyFill="1" applyBorder="1" applyAlignment="1">
      <alignment horizontal="center" vertical="center" wrapText="1"/>
    </xf>
    <xf numFmtId="10" fontId="86" fillId="0" borderId="213" xfId="4" applyNumberFormat="1" applyFont="1" applyFill="1" applyBorder="1" applyAlignment="1">
      <alignment horizontal="center" vertical="center" wrapText="1"/>
    </xf>
    <xf numFmtId="10" fontId="86" fillId="0" borderId="214" xfId="4" applyNumberFormat="1" applyFont="1" applyFill="1" applyBorder="1" applyAlignment="1">
      <alignment horizontal="center" vertical="center" wrapText="1"/>
    </xf>
    <xf numFmtId="0" fontId="0" fillId="0" borderId="215" xfId="0" applyBorder="1"/>
    <xf numFmtId="10" fontId="86" fillId="0" borderId="216" xfId="4" applyNumberFormat="1" applyFont="1" applyFill="1" applyBorder="1" applyAlignment="1">
      <alignment horizontal="center" vertical="center" wrapText="1"/>
    </xf>
    <xf numFmtId="0" fontId="0" fillId="0" borderId="217" xfId="0" applyBorder="1"/>
    <xf numFmtId="0" fontId="33" fillId="0" borderId="218" xfId="0" applyFont="1" applyFill="1" applyBorder="1" applyAlignment="1">
      <alignment horizontal="left" vertical="center"/>
    </xf>
    <xf numFmtId="166" fontId="33" fillId="0" borderId="218" xfId="0" applyNumberFormat="1" applyFont="1" applyFill="1" applyBorder="1" applyAlignment="1">
      <alignment horizontal="center" vertical="center"/>
    </xf>
    <xf numFmtId="0" fontId="0" fillId="0" borderId="218" xfId="0" applyBorder="1"/>
    <xf numFmtId="166" fontId="30" fillId="0" borderId="218" xfId="0" applyNumberFormat="1" applyFont="1" applyFill="1" applyBorder="1"/>
    <xf numFmtId="0" fontId="0" fillId="0" borderId="218" xfId="0" applyFill="1" applyBorder="1"/>
    <xf numFmtId="0" fontId="30" fillId="0" borderId="218" xfId="0" applyFont="1" applyFill="1" applyBorder="1"/>
    <xf numFmtId="166" fontId="30" fillId="0" borderId="219" xfId="0" applyNumberFormat="1" applyFont="1" applyFill="1" applyBorder="1"/>
    <xf numFmtId="0" fontId="25" fillId="2" borderId="2" xfId="0" applyFont="1" applyFill="1" applyBorder="1" applyAlignment="1">
      <alignment horizontal="left" vertical="center"/>
    </xf>
    <xf numFmtId="0" fontId="25" fillId="2" borderId="3" xfId="0" applyFont="1" applyFill="1" applyBorder="1" applyAlignment="1">
      <alignment horizontal="left" vertical="center"/>
    </xf>
    <xf numFmtId="0" fontId="25" fillId="2" borderId="4" xfId="0" applyFont="1" applyFill="1" applyBorder="1" applyAlignment="1">
      <alignment horizontal="left" vertical="center"/>
    </xf>
    <xf numFmtId="0" fontId="85" fillId="5" borderId="19" xfId="0" applyFont="1" applyFill="1" applyBorder="1" applyAlignment="1">
      <alignment horizontal="center" vertical="center"/>
    </xf>
    <xf numFmtId="0" fontId="12" fillId="5" borderId="9" xfId="0" applyFont="1" applyFill="1" applyBorder="1" applyAlignment="1">
      <alignment horizontal="center" vertical="center"/>
    </xf>
    <xf numFmtId="166" fontId="86" fillId="5" borderId="9" xfId="0" applyNumberFormat="1" applyFont="1" applyFill="1" applyBorder="1" applyAlignment="1">
      <alignment horizontal="center" vertical="center"/>
    </xf>
    <xf numFmtId="9" fontId="86" fillId="5" borderId="1" xfId="4" applyFont="1" applyFill="1" applyBorder="1" applyAlignment="1">
      <alignment horizontal="center" vertical="center" wrapText="1"/>
    </xf>
    <xf numFmtId="166" fontId="30" fillId="0" borderId="2" xfId="0" applyNumberFormat="1" applyFont="1" applyFill="1" applyBorder="1"/>
    <xf numFmtId="166" fontId="30" fillId="13" borderId="18" xfId="0" applyNumberFormat="1" applyFont="1" applyFill="1" applyBorder="1"/>
    <xf numFmtId="0" fontId="30" fillId="2" borderId="2" xfId="0" applyFont="1" applyFill="1" applyBorder="1" applyAlignment="1">
      <alignment horizontal="center" vertical="center" wrapText="1"/>
    </xf>
    <xf numFmtId="0" fontId="0" fillId="0" borderId="220" xfId="0" applyBorder="1"/>
    <xf numFmtId="0" fontId="0" fillId="0" borderId="221" xfId="0" applyBorder="1"/>
    <xf numFmtId="166" fontId="30" fillId="0" borderId="222" xfId="0" applyNumberFormat="1" applyFont="1" applyFill="1" applyBorder="1" applyAlignment="1"/>
    <xf numFmtId="0" fontId="0" fillId="0" borderId="223" xfId="0" applyBorder="1"/>
    <xf numFmtId="166" fontId="30" fillId="0" borderId="224" xfId="0" applyNumberFormat="1" applyFont="1" applyFill="1" applyBorder="1" applyAlignment="1"/>
    <xf numFmtId="166" fontId="89" fillId="0" borderId="224" xfId="0" applyNumberFormat="1" applyFont="1" applyFill="1" applyBorder="1" applyAlignment="1">
      <alignment vertical="center"/>
    </xf>
    <xf numFmtId="166" fontId="33" fillId="0" borderId="224" xfId="0" applyNumberFormat="1" applyFont="1" applyFill="1" applyBorder="1" applyAlignment="1">
      <alignment vertical="center"/>
    </xf>
    <xf numFmtId="0" fontId="0" fillId="0" borderId="224" xfId="0" applyFill="1" applyBorder="1"/>
    <xf numFmtId="0" fontId="89" fillId="0" borderId="224" xfId="0" applyFont="1" applyFill="1" applyBorder="1" applyAlignment="1">
      <alignment vertical="center"/>
    </xf>
    <xf numFmtId="0" fontId="90" fillId="0" borderId="224" xfId="0" applyFont="1" applyFill="1" applyBorder="1" applyAlignment="1">
      <alignment vertical="center"/>
    </xf>
    <xf numFmtId="0" fontId="33" fillId="0" borderId="224" xfId="0" applyFont="1" applyFill="1" applyBorder="1" applyAlignment="1">
      <alignment vertical="center"/>
    </xf>
    <xf numFmtId="0" fontId="89" fillId="0" borderId="224" xfId="0" applyFont="1" applyFill="1" applyBorder="1" applyAlignment="1">
      <alignment horizontal="center" vertical="center" wrapText="1"/>
    </xf>
    <xf numFmtId="0" fontId="0" fillId="0" borderId="225" xfId="0" applyBorder="1"/>
    <xf numFmtId="0" fontId="0" fillId="0" borderId="226" xfId="0" applyBorder="1"/>
    <xf numFmtId="166" fontId="30" fillId="0" borderId="227" xfId="0" applyNumberFormat="1" applyFont="1" applyFill="1" applyBorder="1" applyAlignment="1"/>
    <xf numFmtId="0" fontId="29" fillId="5" borderId="0" xfId="0" applyFont="1" applyFill="1" applyBorder="1"/>
    <xf numFmtId="0" fontId="19" fillId="5" borderId="0" xfId="0" applyFont="1" applyFill="1" applyBorder="1"/>
    <xf numFmtId="0" fontId="19" fillId="5" borderId="0" xfId="0" applyFont="1" applyFill="1"/>
    <xf numFmtId="2" fontId="160" fillId="5" borderId="1" xfId="0" applyNumberFormat="1" applyFont="1" applyFill="1" applyBorder="1" applyAlignment="1">
      <alignment horizontal="center" vertical="center" wrapText="1"/>
    </xf>
    <xf numFmtId="2" fontId="89" fillId="13" borderId="0" xfId="0" applyNumberFormat="1" applyFont="1" applyFill="1" applyBorder="1" applyAlignment="1">
      <alignment horizontal="center" vertical="center"/>
    </xf>
    <xf numFmtId="2" fontId="25" fillId="2" borderId="0" xfId="0" applyNumberFormat="1" applyFont="1" applyFill="1" applyBorder="1" applyAlignment="1">
      <alignment horizontal="right" vertical="center"/>
    </xf>
    <xf numFmtId="166" fontId="0" fillId="2" borderId="0" xfId="0" applyNumberFormat="1" applyFill="1" applyBorder="1"/>
    <xf numFmtId="166" fontId="0" fillId="31" borderId="0" xfId="0" applyNumberFormat="1" applyFill="1" applyBorder="1"/>
    <xf numFmtId="166" fontId="0" fillId="23" borderId="0" xfId="0" applyNumberFormat="1" applyFill="1" applyBorder="1"/>
    <xf numFmtId="166" fontId="0" fillId="30" borderId="0" xfId="0" applyNumberFormat="1" applyFill="1" applyBorder="1"/>
    <xf numFmtId="2" fontId="191" fillId="0" borderId="0" xfId="0" applyNumberFormat="1" applyFont="1" applyFill="1" applyBorder="1" applyAlignment="1">
      <alignment horizontal="center" vertical="center" wrapText="1"/>
    </xf>
    <xf numFmtId="0" fontId="84" fillId="0" borderId="0" xfId="0" applyFont="1" applyFill="1" applyBorder="1" applyAlignment="1">
      <alignment horizontal="center" vertical="center" wrapText="1"/>
    </xf>
    <xf numFmtId="11" fontId="0" fillId="0" borderId="0" xfId="0" applyNumberFormat="1" applyFill="1" applyBorder="1"/>
    <xf numFmtId="171" fontId="84" fillId="0" borderId="0" xfId="0" applyNumberFormat="1" applyFont="1" applyFill="1" applyBorder="1"/>
    <xf numFmtId="166" fontId="25" fillId="5" borderId="14" xfId="0" applyNumberFormat="1" applyFont="1" applyFill="1" applyBorder="1" applyAlignment="1">
      <alignment horizontal="center" vertical="center"/>
    </xf>
    <xf numFmtId="2" fontId="23" fillId="5" borderId="9" xfId="0" applyNumberFormat="1" applyFont="1" applyFill="1" applyBorder="1"/>
    <xf numFmtId="2" fontId="55" fillId="5" borderId="160" xfId="0" applyNumberFormat="1" applyFont="1" applyFill="1" applyBorder="1" applyAlignment="1">
      <alignment horizontal="center" vertical="center"/>
    </xf>
    <xf numFmtId="166" fontId="25" fillId="5" borderId="15" xfId="0" applyNumberFormat="1" applyFont="1" applyFill="1" applyBorder="1" applyAlignment="1">
      <alignment vertical="center"/>
    </xf>
    <xf numFmtId="2" fontId="114" fillId="11" borderId="151" xfId="0" applyNumberFormat="1" applyFont="1" applyFill="1" applyBorder="1" applyAlignment="1">
      <alignment horizontal="center" vertical="center"/>
    </xf>
    <xf numFmtId="0" fontId="123" fillId="0" borderId="0" xfId="0" applyFont="1" applyFill="1" applyBorder="1" applyAlignment="1">
      <alignment horizontal="center" vertical="center" wrapText="1"/>
    </xf>
    <xf numFmtId="0" fontId="0" fillId="0" borderId="0"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0" fillId="0" borderId="0" xfId="0" applyAlignment="1">
      <alignment horizontal="center" vertical="center"/>
    </xf>
    <xf numFmtId="166" fontId="0" fillId="0" borderId="0" xfId="0" applyNumberFormat="1" applyFill="1" applyAlignment="1">
      <alignment horizontal="center"/>
    </xf>
    <xf numFmtId="166" fontId="23" fillId="0" borderId="27" xfId="0" applyNumberFormat="1" applyFont="1" applyFill="1" applyBorder="1" applyAlignment="1">
      <alignment horizontal="center" vertical="center"/>
    </xf>
    <xf numFmtId="166" fontId="23" fillId="0" borderId="28" xfId="0" applyNumberFormat="1" applyFont="1" applyFill="1" applyBorder="1" applyAlignment="1">
      <alignment horizontal="center" vertical="center"/>
    </xf>
    <xf numFmtId="166" fontId="23" fillId="0" borderId="24" xfId="0" applyNumberFormat="1" applyFont="1" applyFill="1" applyBorder="1" applyAlignment="1">
      <alignment horizontal="center" vertical="center"/>
    </xf>
    <xf numFmtId="166" fontId="23" fillId="0" borderId="29" xfId="0" applyNumberFormat="1" applyFont="1" applyFill="1" applyBorder="1" applyAlignment="1">
      <alignment horizontal="center" vertical="center"/>
    </xf>
    <xf numFmtId="2" fontId="23" fillId="0" borderId="30" xfId="0" applyNumberFormat="1" applyFont="1" applyFill="1" applyBorder="1" applyAlignment="1">
      <alignment horizontal="center" vertical="center"/>
    </xf>
    <xf numFmtId="2" fontId="55" fillId="0" borderId="31" xfId="0" applyNumberFormat="1" applyFont="1" applyFill="1" applyBorder="1" applyAlignment="1">
      <alignment horizontal="center" vertical="center"/>
    </xf>
    <xf numFmtId="2" fontId="23" fillId="0" borderId="202" xfId="0" applyNumberFormat="1" applyFont="1" applyFill="1" applyBorder="1"/>
    <xf numFmtId="0" fontId="104" fillId="60" borderId="162" xfId="0" applyFont="1" applyFill="1" applyBorder="1" applyAlignment="1">
      <alignment horizontal="center" vertical="center"/>
    </xf>
    <xf numFmtId="0" fontId="6" fillId="73" borderId="158" xfId="0" applyFont="1" applyFill="1" applyBorder="1"/>
    <xf numFmtId="4" fontId="26" fillId="0" borderId="158" xfId="0" applyNumberFormat="1" applyFont="1" applyFill="1" applyBorder="1"/>
    <xf numFmtId="3" fontId="0" fillId="17" borderId="1" xfId="0" applyNumberFormat="1" applyFill="1" applyBorder="1"/>
    <xf numFmtId="0" fontId="26" fillId="7" borderId="160" xfId="0" applyFont="1" applyFill="1" applyBorder="1" applyAlignment="1">
      <alignment horizontal="left"/>
    </xf>
    <xf numFmtId="4" fontId="26" fillId="0" borderId="0" xfId="0" applyNumberFormat="1" applyFont="1" applyFill="1" applyBorder="1"/>
    <xf numFmtId="0" fontId="84" fillId="50" borderId="1" xfId="0" applyFont="1" applyFill="1" applyBorder="1" applyAlignment="1">
      <alignment horizontal="center" vertical="center" wrapText="1"/>
    </xf>
    <xf numFmtId="0" fontId="114" fillId="11" borderId="150" xfId="0" applyFont="1" applyFill="1" applyBorder="1" applyAlignment="1">
      <alignment horizontal="center"/>
    </xf>
    <xf numFmtId="164" fontId="114" fillId="32" borderId="150" xfId="0" applyNumberFormat="1" applyFont="1" applyFill="1" applyBorder="1" applyAlignment="1">
      <alignment vertical="center"/>
    </xf>
    <xf numFmtId="0" fontId="114" fillId="11" borderId="151" xfId="0" applyFont="1" applyFill="1" applyBorder="1" applyAlignment="1">
      <alignment vertical="center"/>
    </xf>
    <xf numFmtId="0" fontId="114" fillId="11" borderId="151" xfId="0" applyFont="1" applyFill="1" applyBorder="1"/>
    <xf numFmtId="0" fontId="197" fillId="15" borderId="0" xfId="0" applyFont="1" applyFill="1" applyBorder="1"/>
    <xf numFmtId="0" fontId="197" fillId="38" borderId="151" xfId="0" applyFont="1" applyFill="1" applyBorder="1"/>
    <xf numFmtId="0" fontId="197" fillId="15" borderId="149" xfId="0" applyFont="1" applyFill="1" applyBorder="1"/>
    <xf numFmtId="0" fontId="114" fillId="11" borderId="150" xfId="0" applyFont="1" applyFill="1" applyBorder="1" applyAlignment="1">
      <alignment horizontal="center" vertical="center" wrapText="1"/>
    </xf>
    <xf numFmtId="0" fontId="197" fillId="20" borderId="150" xfId="0" applyFont="1" applyFill="1" applyBorder="1" applyAlignment="1">
      <alignment vertical="center"/>
    </xf>
    <xf numFmtId="0" fontId="197" fillId="35" borderId="150" xfId="0" applyFont="1" applyFill="1" applyBorder="1" applyAlignment="1">
      <alignment horizontal="center" vertical="center"/>
    </xf>
    <xf numFmtId="0" fontId="197" fillId="20" borderId="150" xfId="0" applyFont="1" applyFill="1" applyBorder="1" applyAlignment="1">
      <alignment horizontal="center" vertical="center"/>
    </xf>
    <xf numFmtId="0" fontId="114" fillId="20" borderId="150" xfId="0" applyFont="1" applyFill="1" applyBorder="1" applyAlignment="1">
      <alignment horizontal="center" vertical="center"/>
    </xf>
    <xf numFmtId="0" fontId="197" fillId="8" borderId="150" xfId="0" applyFont="1" applyFill="1" applyBorder="1" applyAlignment="1">
      <alignment horizontal="left" vertical="center"/>
    </xf>
    <xf numFmtId="0" fontId="114" fillId="8" borderId="150" xfId="0" applyFont="1" applyFill="1" applyBorder="1" applyAlignment="1">
      <alignment horizontal="left" vertical="center"/>
    </xf>
    <xf numFmtId="0" fontId="197" fillId="20" borderId="150" xfId="0" applyFont="1" applyFill="1" applyBorder="1" applyAlignment="1">
      <alignment horizontal="left" vertical="center"/>
    </xf>
    <xf numFmtId="0" fontId="197" fillId="8" borderId="150" xfId="0" applyFont="1" applyFill="1" applyBorder="1" applyAlignment="1">
      <alignment vertical="center"/>
    </xf>
    <xf numFmtId="0" fontId="197" fillId="15" borderId="150" xfId="0" applyFont="1" applyFill="1" applyBorder="1" applyAlignment="1">
      <alignment vertical="center"/>
    </xf>
    <xf numFmtId="0" fontId="199" fillId="7" borderId="150" xfId="0" applyFont="1" applyFill="1" applyBorder="1" applyAlignment="1">
      <alignment horizontal="center" vertical="center"/>
    </xf>
    <xf numFmtId="2" fontId="114" fillId="11" borderId="151" xfId="0" applyNumberFormat="1" applyFont="1" applyFill="1" applyBorder="1" applyAlignment="1">
      <alignment horizontal="left" vertical="center"/>
    </xf>
    <xf numFmtId="0" fontId="197" fillId="38" borderId="150" xfId="0" applyFont="1" applyFill="1" applyBorder="1" applyAlignment="1">
      <alignment vertical="center"/>
    </xf>
    <xf numFmtId="0" fontId="114" fillId="38" borderId="150" xfId="0" applyFont="1" applyFill="1" applyBorder="1" applyAlignment="1">
      <alignment vertical="center"/>
    </xf>
    <xf numFmtId="0" fontId="197" fillId="0" borderId="150" xfId="0" applyFont="1" applyFill="1" applyBorder="1" applyAlignment="1">
      <alignment vertical="center"/>
    </xf>
    <xf numFmtId="0" fontId="197" fillId="17" borderId="150" xfId="0" applyFont="1" applyFill="1" applyBorder="1" applyAlignment="1">
      <alignment horizontal="center" vertical="center"/>
    </xf>
    <xf numFmtId="3" fontId="0" fillId="0" borderId="0" xfId="0" applyNumberFormat="1" applyAlignment="1">
      <alignment vertical="center"/>
    </xf>
    <xf numFmtId="0" fontId="197" fillId="20" borderId="150" xfId="0" applyFont="1" applyFill="1" applyBorder="1" applyAlignment="1">
      <alignment vertical="center" wrapText="1"/>
    </xf>
    <xf numFmtId="0" fontId="197" fillId="20" borderId="0" xfId="0" applyFont="1" applyFill="1" applyBorder="1" applyAlignment="1">
      <alignment vertical="center"/>
    </xf>
    <xf numFmtId="0" fontId="163" fillId="0" borderId="0" xfId="0" applyFont="1" applyAlignment="1">
      <alignment vertical="center"/>
    </xf>
    <xf numFmtId="164" fontId="185" fillId="32" borderId="0" xfId="12" applyFont="1" applyFill="1"/>
    <xf numFmtId="0" fontId="185" fillId="0" borderId="0" xfId="0" applyFont="1" applyFill="1"/>
    <xf numFmtId="164" fontId="185" fillId="0" borderId="0" xfId="12" applyFont="1" applyFill="1"/>
    <xf numFmtId="0" fontId="185" fillId="11" borderId="0" xfId="0" applyFont="1" applyFill="1"/>
    <xf numFmtId="164" fontId="185" fillId="11" borderId="0" xfId="12" applyFont="1" applyFill="1"/>
    <xf numFmtId="0" fontId="185" fillId="7" borderId="0" xfId="0" applyFont="1" applyFill="1"/>
    <xf numFmtId="164" fontId="185" fillId="7" borderId="0" xfId="12" applyFont="1" applyFill="1"/>
    <xf numFmtId="0" fontId="114" fillId="0" borderId="0" xfId="0" applyFont="1" applyFill="1" applyAlignment="1">
      <alignment vertical="center"/>
    </xf>
    <xf numFmtId="0" fontId="114" fillId="0" borderId="0" xfId="0" applyFont="1" applyFill="1"/>
    <xf numFmtId="0" fontId="140" fillId="0" borderId="0" xfId="0" applyFont="1" applyFill="1" applyAlignment="1">
      <alignment vertical="center"/>
    </xf>
    <xf numFmtId="0" fontId="140" fillId="0" borderId="0" xfId="0" applyFont="1" applyFill="1"/>
    <xf numFmtId="0" fontId="197" fillId="8" borderId="150" xfId="0" applyFont="1" applyFill="1" applyBorder="1" applyAlignment="1">
      <alignment vertical="center" wrapText="1"/>
    </xf>
    <xf numFmtId="0" fontId="30" fillId="2" borderId="160" xfId="0" applyFont="1" applyFill="1" applyBorder="1" applyAlignment="1">
      <alignment horizontal="center" vertical="center" wrapText="1"/>
    </xf>
    <xf numFmtId="0" fontId="89" fillId="11" borderId="159" xfId="0" applyFont="1" applyFill="1" applyBorder="1" applyAlignment="1">
      <alignment vertical="center"/>
    </xf>
    <xf numFmtId="4" fontId="89" fillId="40" borderId="160" xfId="0" applyNumberFormat="1" applyFont="1" applyFill="1" applyBorder="1" applyAlignment="1">
      <alignment horizontal="right" vertical="center"/>
    </xf>
    <xf numFmtId="4" fontId="89" fillId="84" borderId="160" xfId="0" applyNumberFormat="1" applyFont="1" applyFill="1" applyBorder="1" applyAlignment="1">
      <alignment horizontal="right" vertical="center"/>
    </xf>
    <xf numFmtId="1" fontId="197" fillId="35" borderId="150" xfId="0" applyNumberFormat="1" applyFont="1" applyFill="1" applyBorder="1" applyAlignment="1">
      <alignment horizontal="center" vertical="center"/>
    </xf>
    <xf numFmtId="0" fontId="142" fillId="0" borderId="0" xfId="0" applyFont="1" applyFill="1" applyBorder="1" applyAlignment="1">
      <alignment vertical="center"/>
    </xf>
    <xf numFmtId="0" fontId="114" fillId="0" borderId="0" xfId="0" applyFont="1" applyFill="1" applyBorder="1"/>
    <xf numFmtId="0" fontId="197" fillId="0" borderId="151" xfId="0" applyFont="1" applyFill="1" applyBorder="1" applyAlignment="1">
      <alignment horizontal="center" wrapText="1"/>
    </xf>
    <xf numFmtId="0" fontId="197" fillId="0" borderId="209" xfId="0" applyFont="1" applyFill="1" applyBorder="1" applyAlignment="1">
      <alignment horizontal="center" wrapText="1"/>
    </xf>
    <xf numFmtId="1" fontId="197" fillId="0" borderId="206" xfId="0" applyNumberFormat="1" applyFont="1" applyFill="1" applyBorder="1" applyAlignment="1">
      <alignment horizontal="center"/>
    </xf>
    <xf numFmtId="2" fontId="185" fillId="11" borderId="0" xfId="0" applyNumberFormat="1" applyFont="1" applyFill="1"/>
    <xf numFmtId="0" fontId="197" fillId="38" borderId="150" xfId="0" applyFont="1" applyFill="1" applyBorder="1" applyAlignment="1">
      <alignment horizontal="left" vertical="center"/>
    </xf>
    <xf numFmtId="2" fontId="185" fillId="32" borderId="0" xfId="0" applyNumberFormat="1" applyFont="1" applyFill="1"/>
    <xf numFmtId="0" fontId="199" fillId="27" borderId="150" xfId="0" applyFont="1" applyFill="1" applyBorder="1" applyAlignment="1">
      <alignment horizontal="left" vertical="center"/>
    </xf>
    <xf numFmtId="0" fontId="199" fillId="7" borderId="150" xfId="0" applyFont="1" applyFill="1" applyBorder="1" applyAlignment="1">
      <alignment horizontal="left" vertical="center"/>
    </xf>
    <xf numFmtId="0" fontId="198" fillId="11" borderId="38" xfId="0" applyFont="1" applyFill="1" applyBorder="1" applyAlignment="1"/>
    <xf numFmtId="0" fontId="198" fillId="11" borderId="34" xfId="0" applyFont="1" applyFill="1" applyBorder="1" applyAlignment="1"/>
    <xf numFmtId="0" fontId="142" fillId="3" borderId="159" xfId="0" applyFont="1" applyFill="1" applyBorder="1" applyAlignment="1"/>
    <xf numFmtId="0" fontId="0" fillId="3" borderId="162" xfId="0" applyFill="1" applyBorder="1" applyAlignment="1">
      <alignment vertical="center"/>
    </xf>
    <xf numFmtId="0" fontId="0" fillId="3" borderId="162" xfId="0" applyFill="1" applyBorder="1"/>
    <xf numFmtId="0" fontId="0" fillId="3" borderId="158" xfId="0" applyFill="1" applyBorder="1"/>
    <xf numFmtId="0" fontId="114" fillId="0" borderId="149" xfId="0" applyFont="1" applyFill="1" applyBorder="1"/>
    <xf numFmtId="0" fontId="197" fillId="0" borderId="149" xfId="0" applyFont="1" applyFill="1" applyBorder="1" applyAlignment="1">
      <alignment vertical="center"/>
    </xf>
    <xf numFmtId="0" fontId="197" fillId="0" borderId="149" xfId="0" applyFont="1" applyFill="1" applyBorder="1"/>
    <xf numFmtId="1" fontId="197" fillId="0" borderId="149" xfId="0" applyNumberFormat="1" applyFont="1" applyFill="1" applyBorder="1" applyAlignment="1">
      <alignment horizontal="center"/>
    </xf>
    <xf numFmtId="0" fontId="142" fillId="22" borderId="159" xfId="0" applyFont="1" applyFill="1" applyBorder="1" applyAlignment="1"/>
    <xf numFmtId="0" fontId="142" fillId="22" borderId="162" xfId="0" applyFont="1" applyFill="1" applyBorder="1" applyAlignment="1">
      <alignment vertical="center"/>
    </xf>
    <xf numFmtId="0" fontId="142" fillId="22" borderId="162" xfId="0" applyFont="1" applyFill="1" applyBorder="1" applyAlignment="1"/>
    <xf numFmtId="0" fontId="142" fillId="22" borderId="158" xfId="0" applyFont="1" applyFill="1" applyBorder="1" applyAlignment="1"/>
    <xf numFmtId="0" fontId="142" fillId="12" borderId="159" xfId="0" applyFont="1" applyFill="1" applyBorder="1" applyAlignment="1"/>
    <xf numFmtId="0" fontId="142" fillId="12" borderId="162" xfId="0" applyFont="1" applyFill="1" applyBorder="1" applyAlignment="1">
      <alignment vertical="center"/>
    </xf>
    <xf numFmtId="0" fontId="142" fillId="12" borderId="162" xfId="0" applyFont="1" applyFill="1" applyBorder="1" applyAlignment="1"/>
    <xf numFmtId="0" fontId="142" fillId="12" borderId="158" xfId="0" applyFont="1" applyFill="1" applyBorder="1" applyAlignment="1"/>
    <xf numFmtId="0" fontId="142" fillId="7" borderId="159" xfId="0" applyFont="1" applyFill="1" applyBorder="1" applyAlignment="1"/>
    <xf numFmtId="0" fontId="104" fillId="7" borderId="162" xfId="0" applyFont="1" applyFill="1" applyBorder="1" applyAlignment="1">
      <alignment vertical="center"/>
    </xf>
    <xf numFmtId="0" fontId="104" fillId="7" borderId="162" xfId="0" applyFont="1" applyFill="1" applyBorder="1"/>
    <xf numFmtId="0" fontId="104" fillId="7" borderId="162" xfId="0" applyFont="1" applyFill="1" applyBorder="1" applyAlignment="1">
      <alignment horizontal="center" vertical="center"/>
    </xf>
    <xf numFmtId="0" fontId="0" fillId="7" borderId="162" xfId="0" applyFill="1" applyBorder="1"/>
    <xf numFmtId="0" fontId="104" fillId="7" borderId="158" xfId="0" applyFont="1" applyFill="1" applyBorder="1"/>
    <xf numFmtId="2" fontId="185" fillId="11" borderId="150" xfId="0" applyNumberFormat="1" applyFont="1" applyFill="1" applyBorder="1" applyAlignment="1">
      <alignment horizontal="center" vertical="center" wrapText="1"/>
    </xf>
    <xf numFmtId="0" fontId="142" fillId="13" borderId="0" xfId="0" applyFont="1" applyFill="1" applyBorder="1" applyAlignment="1"/>
    <xf numFmtId="0" fontId="142" fillId="13" borderId="159" xfId="0" applyFont="1" applyFill="1" applyBorder="1" applyAlignment="1"/>
    <xf numFmtId="0" fontId="142" fillId="13" borderId="162" xfId="0" applyFont="1" applyFill="1" applyBorder="1" applyAlignment="1">
      <alignment vertical="center"/>
    </xf>
    <xf numFmtId="0" fontId="142" fillId="13" borderId="162" xfId="0" applyFont="1" applyFill="1" applyBorder="1" applyAlignment="1"/>
    <xf numFmtId="0" fontId="142" fillId="13" borderId="158" xfId="0" applyFont="1" applyFill="1" applyBorder="1" applyAlignment="1"/>
    <xf numFmtId="0" fontId="197" fillId="0" borderId="0" xfId="0" applyFont="1" applyFill="1" applyBorder="1" applyAlignment="1">
      <alignment vertical="center"/>
    </xf>
    <xf numFmtId="0" fontId="197" fillId="0" borderId="0" xfId="0" applyFont="1" applyFill="1" applyBorder="1"/>
    <xf numFmtId="0" fontId="197" fillId="0" borderId="0" xfId="0" applyFont="1" applyFill="1" applyBorder="1" applyAlignment="1">
      <alignment horizontal="center" wrapText="1"/>
    </xf>
    <xf numFmtId="1" fontId="197" fillId="0" borderId="0" xfId="0" applyNumberFormat="1" applyFont="1" applyFill="1" applyBorder="1" applyAlignment="1">
      <alignment horizontal="center"/>
    </xf>
    <xf numFmtId="2" fontId="185" fillId="0" borderId="0" xfId="0" applyNumberFormat="1" applyFont="1" applyFill="1"/>
    <xf numFmtId="0" fontId="197" fillId="0" borderId="0" xfId="0" applyFont="1" applyFill="1" applyBorder="1" applyAlignment="1">
      <alignment horizontal="left" vertical="center"/>
    </xf>
    <xf numFmtId="0" fontId="197" fillId="0" borderId="0" xfId="0" applyFont="1" applyFill="1" applyBorder="1" applyAlignment="1">
      <alignment horizontal="center" vertical="center" wrapText="1"/>
    </xf>
    <xf numFmtId="164" fontId="197" fillId="0" borderId="0" xfId="12" applyFont="1" applyFill="1" applyBorder="1" applyAlignment="1">
      <alignment horizontal="center" vertical="center"/>
    </xf>
    <xf numFmtId="164" fontId="185" fillId="32" borderId="150" xfId="0" applyNumberFormat="1" applyFont="1" applyFill="1" applyBorder="1" applyAlignment="1">
      <alignment vertical="center"/>
    </xf>
    <xf numFmtId="0" fontId="205" fillId="0" borderId="0" xfId="0" applyFont="1" applyAlignment="1">
      <alignment vertical="center"/>
    </xf>
    <xf numFmtId="2" fontId="114" fillId="74" borderId="160" xfId="0" applyNumberFormat="1" applyFont="1" applyFill="1" applyBorder="1" applyAlignment="1">
      <alignment horizontal="right" wrapText="1"/>
    </xf>
    <xf numFmtId="0" fontId="142" fillId="60" borderId="159" xfId="0" applyFont="1" applyFill="1" applyBorder="1" applyAlignment="1"/>
    <xf numFmtId="0" fontId="104" fillId="60" borderId="162" xfId="0" applyFont="1" applyFill="1" applyBorder="1"/>
    <xf numFmtId="0" fontId="0" fillId="60" borderId="162" xfId="0" applyFill="1" applyBorder="1"/>
    <xf numFmtId="2" fontId="30" fillId="60" borderId="162" xfId="0" applyNumberFormat="1" applyFont="1" applyFill="1" applyBorder="1"/>
    <xf numFmtId="0" fontId="0" fillId="60" borderId="158" xfId="0" applyFill="1" applyBorder="1"/>
    <xf numFmtId="0" fontId="97" fillId="60" borderId="0" xfId="0" applyFont="1" applyFill="1" applyBorder="1" applyAlignment="1">
      <alignment vertical="center"/>
    </xf>
    <xf numFmtId="0" fontId="30" fillId="60" borderId="0" xfId="0" applyFont="1" applyFill="1" applyBorder="1" applyAlignment="1">
      <alignment vertical="center"/>
    </xf>
    <xf numFmtId="0" fontId="97" fillId="38" borderId="0" xfId="0" applyFont="1" applyFill="1" applyBorder="1" applyAlignment="1">
      <alignment vertical="center"/>
    </xf>
    <xf numFmtId="0" fontId="30" fillId="38" borderId="0" xfId="0" applyFont="1" applyFill="1" applyBorder="1" applyAlignment="1">
      <alignment vertical="center"/>
    </xf>
    <xf numFmtId="0" fontId="0" fillId="12" borderId="158" xfId="0" applyFill="1" applyBorder="1"/>
    <xf numFmtId="0" fontId="142" fillId="60" borderId="162" xfId="0" applyFont="1" applyFill="1" applyBorder="1" applyAlignment="1"/>
    <xf numFmtId="0" fontId="142" fillId="60" borderId="159" xfId="0" applyFont="1" applyFill="1" applyBorder="1" applyAlignment="1">
      <alignment vertical="center"/>
    </xf>
    <xf numFmtId="0" fontId="142" fillId="60" borderId="162" xfId="0" applyFont="1" applyFill="1" applyBorder="1" applyAlignment="1">
      <alignment vertical="center"/>
    </xf>
    <xf numFmtId="0" fontId="0" fillId="60" borderId="158" xfId="0" applyFill="1" applyBorder="1" applyAlignment="1">
      <alignment vertical="center"/>
    </xf>
    <xf numFmtId="0" fontId="89" fillId="2" borderId="160" xfId="0" applyFont="1" applyFill="1" applyBorder="1" applyAlignment="1">
      <alignment horizontal="center" vertical="center" wrapText="1"/>
    </xf>
    <xf numFmtId="2" fontId="30" fillId="0" borderId="160" xfId="0" applyNumberFormat="1" applyFont="1" applyFill="1" applyBorder="1"/>
    <xf numFmtId="2" fontId="30" fillId="13" borderId="97" xfId="0" applyNumberFormat="1" applyFont="1" applyFill="1" applyBorder="1"/>
    <xf numFmtId="0" fontId="14" fillId="38" borderId="0" xfId="0" applyFont="1" applyFill="1" applyBorder="1"/>
    <xf numFmtId="0" fontId="14" fillId="60" borderId="0" xfId="0" applyFont="1" applyFill="1" applyBorder="1"/>
    <xf numFmtId="0" fontId="30" fillId="8" borderId="160" xfId="0" applyFont="1" applyFill="1" applyBorder="1"/>
    <xf numFmtId="0" fontId="89" fillId="13" borderId="160" xfId="0" applyFont="1" applyFill="1" applyBorder="1" applyAlignment="1">
      <alignment vertical="center"/>
    </xf>
    <xf numFmtId="2" fontId="89" fillId="13" borderId="160" xfId="0" applyNumberFormat="1" applyFont="1" applyFill="1" applyBorder="1"/>
    <xf numFmtId="0" fontId="89" fillId="22" borderId="160" xfId="0" applyFont="1" applyFill="1" applyBorder="1" applyAlignment="1">
      <alignment vertical="center"/>
    </xf>
    <xf numFmtId="11" fontId="89" fillId="22" borderId="160" xfId="0" applyNumberFormat="1" applyFont="1" applyFill="1" applyBorder="1"/>
    <xf numFmtId="2" fontId="89" fillId="22" borderId="160" xfId="0" applyNumberFormat="1" applyFont="1" applyFill="1" applyBorder="1"/>
    <xf numFmtId="0" fontId="89" fillId="14" borderId="160" xfId="0" applyFont="1" applyFill="1" applyBorder="1" applyAlignment="1">
      <alignment horizontal="left" vertical="center"/>
    </xf>
    <xf numFmtId="0" fontId="89" fillId="65" borderId="160" xfId="0" applyFont="1" applyFill="1" applyBorder="1" applyAlignment="1">
      <alignment horizontal="left" vertical="center"/>
    </xf>
    <xf numFmtId="0" fontId="206" fillId="0" borderId="0" xfId="0" applyFont="1" applyFill="1" applyBorder="1" applyAlignment="1"/>
    <xf numFmtId="2" fontId="207" fillId="0" borderId="0" xfId="0" applyNumberFormat="1" applyFont="1"/>
    <xf numFmtId="1" fontId="207" fillId="0" borderId="0" xfId="0" applyNumberFormat="1" applyFont="1"/>
    <xf numFmtId="0" fontId="0" fillId="0" borderId="9" xfId="0" applyBorder="1" applyAlignment="1">
      <alignment horizontal="center" wrapText="1"/>
    </xf>
    <xf numFmtId="0" fontId="116" fillId="52" borderId="159" xfId="0" applyFont="1" applyFill="1" applyBorder="1" applyAlignment="1">
      <alignment horizontal="center"/>
    </xf>
    <xf numFmtId="0" fontId="0" fillId="0" borderId="161" xfId="0" applyBorder="1" applyAlignment="1">
      <alignment horizontal="center"/>
    </xf>
    <xf numFmtId="0" fontId="0" fillId="0" borderId="161" xfId="0" applyBorder="1"/>
    <xf numFmtId="0" fontId="0" fillId="0" borderId="161" xfId="0" applyBorder="1" applyAlignment="1">
      <alignment horizontal="center" wrapText="1"/>
    </xf>
    <xf numFmtId="0" fontId="0" fillId="35" borderId="161" xfId="0" applyFill="1" applyBorder="1" applyAlignment="1">
      <alignment horizontal="center"/>
    </xf>
    <xf numFmtId="0" fontId="0" fillId="0" borderId="9" xfId="0" applyBorder="1" applyAlignment="1">
      <alignment horizontal="center"/>
    </xf>
    <xf numFmtId="0" fontId="0" fillId="35" borderId="9" xfId="0" applyFill="1" applyBorder="1" applyAlignment="1">
      <alignment horizontal="center"/>
    </xf>
    <xf numFmtId="0" fontId="0" fillId="0" borderId="23" xfId="0" applyBorder="1" applyAlignment="1">
      <alignment horizontal="center"/>
    </xf>
    <xf numFmtId="0" fontId="0" fillId="0" borderId="10" xfId="0" applyBorder="1" applyAlignment="1">
      <alignment horizontal="center"/>
    </xf>
    <xf numFmtId="0" fontId="0" fillId="0" borderId="10" xfId="0" applyBorder="1"/>
    <xf numFmtId="0" fontId="0" fillId="0" borderId="10" xfId="0" applyBorder="1" applyAlignment="1">
      <alignment horizontal="center" wrapText="1"/>
    </xf>
    <xf numFmtId="0" fontId="0" fillId="35" borderId="10" xfId="0" applyFill="1" applyBorder="1" applyAlignment="1">
      <alignment horizontal="center"/>
    </xf>
    <xf numFmtId="0" fontId="0" fillId="0" borderId="11" xfId="0" applyBorder="1" applyAlignment="1">
      <alignment horizontal="center"/>
    </xf>
    <xf numFmtId="0" fontId="123" fillId="0" borderId="0" xfId="0" applyFont="1" applyFill="1" applyBorder="1" applyAlignment="1">
      <alignment horizontal="center" vertical="center" wrapText="1"/>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0" fillId="0" borderId="0" xfId="0" applyFill="1" applyBorder="1" applyAlignment="1">
      <alignment horizontal="left"/>
    </xf>
    <xf numFmtId="0" fontId="154" fillId="21" borderId="1" xfId="0" applyFont="1" applyFill="1" applyBorder="1" applyAlignment="1">
      <alignment horizontal="right" vertical="center"/>
    </xf>
    <xf numFmtId="0" fontId="154" fillId="0" borderId="1" xfId="0" applyFont="1" applyFill="1" applyBorder="1" applyAlignment="1">
      <alignment horizontal="right" vertical="center"/>
    </xf>
    <xf numFmtId="0" fontId="1" fillId="0" borderId="1" xfId="0" applyFont="1" applyBorder="1" applyAlignment="1">
      <alignment horizontal="left" vertical="center"/>
    </xf>
    <xf numFmtId="0" fontId="133" fillId="0" borderId="1" xfId="0" applyFont="1" applyBorder="1" applyAlignment="1">
      <alignment horizontal="left" vertical="center"/>
    </xf>
    <xf numFmtId="0" fontId="133" fillId="0" borderId="1" xfId="0" applyFont="1" applyBorder="1" applyAlignment="1">
      <alignment horizontal="right" vertical="center"/>
    </xf>
    <xf numFmtId="0" fontId="142" fillId="11" borderId="0" xfId="0" applyFont="1" applyFill="1" applyBorder="1" applyAlignment="1"/>
    <xf numFmtId="0" fontId="104" fillId="60" borderId="158" xfId="0" applyFont="1" applyFill="1" applyBorder="1" applyAlignment="1">
      <alignment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Alignment="1">
      <alignment horizontal="center" vertical="center"/>
    </xf>
    <xf numFmtId="166" fontId="131" fillId="52" borderId="0" xfId="6" applyNumberFormat="1" applyFont="1" applyFill="1" applyBorder="1" applyAlignment="1" applyProtection="1">
      <alignment horizontal="center" vertical="center"/>
    </xf>
    <xf numFmtId="166" fontId="0" fillId="27" borderId="0" xfId="0" applyNumberFormat="1" applyFont="1" applyFill="1" applyBorder="1" applyAlignment="1"/>
    <xf numFmtId="2" fontId="84" fillId="11" borderId="0" xfId="0" applyNumberFormat="1" applyFont="1" applyFill="1" applyBorder="1" applyAlignment="1">
      <alignment horizontal="right"/>
    </xf>
    <xf numFmtId="2" fontId="132" fillId="17" borderId="0" xfId="0" applyNumberFormat="1" applyFont="1" applyFill="1" applyBorder="1" applyAlignment="1"/>
    <xf numFmtId="2" fontId="144" fillId="27" borderId="1" xfId="0" applyNumberFormat="1" applyFont="1" applyFill="1" applyBorder="1" applyAlignment="1"/>
    <xf numFmtId="166" fontId="144" fillId="27" borderId="9" xfId="0" applyNumberFormat="1" applyFont="1" applyFill="1" applyBorder="1" applyAlignment="1"/>
    <xf numFmtId="0" fontId="200" fillId="5" borderId="0" xfId="0" applyFont="1" applyFill="1" applyBorder="1"/>
    <xf numFmtId="0" fontId="154" fillId="21" borderId="160" xfId="0" applyFont="1" applyFill="1" applyBorder="1" applyAlignment="1">
      <alignment horizontal="right" vertical="center"/>
    </xf>
    <xf numFmtId="0" fontId="6" fillId="38" borderId="160" xfId="0" applyFont="1" applyFill="1" applyBorder="1"/>
    <xf numFmtId="0" fontId="6" fillId="3" borderId="160" xfId="0" applyFont="1" applyFill="1" applyBorder="1"/>
    <xf numFmtId="0" fontId="6" fillId="60" borderId="160" xfId="0" applyFont="1" applyFill="1" applyBorder="1"/>
    <xf numFmtId="0" fontId="154" fillId="5" borderId="46" xfId="0" applyFont="1" applyFill="1" applyBorder="1" applyAlignment="1">
      <alignment vertical="center"/>
    </xf>
    <xf numFmtId="0" fontId="128" fillId="60" borderId="1" xfId="0" applyFont="1" applyFill="1" applyBorder="1" applyAlignment="1">
      <alignment horizontal="left" vertical="center" wrapText="1"/>
    </xf>
    <xf numFmtId="0" fontId="0" fillId="61" borderId="1" xfId="0" applyFill="1" applyBorder="1" applyAlignment="1">
      <alignment horizontal="center"/>
    </xf>
    <xf numFmtId="0" fontId="0" fillId="61" borderId="10" xfId="0" applyFill="1" applyBorder="1" applyAlignment="1">
      <alignment horizontal="center"/>
    </xf>
    <xf numFmtId="0" fontId="209" fillId="21" borderId="1" xfId="0" applyFont="1" applyFill="1" applyBorder="1" applyAlignment="1">
      <alignment horizontal="right" vertical="center"/>
    </xf>
    <xf numFmtId="0" fontId="210" fillId="0" borderId="0" xfId="0" applyFont="1" applyFill="1" applyBorder="1"/>
    <xf numFmtId="0" fontId="1" fillId="5" borderId="0" xfId="0" applyFont="1" applyFill="1"/>
    <xf numFmtId="166" fontId="145" fillId="5" borderId="114" xfId="0" applyNumberFormat="1" applyFont="1" applyFill="1" applyBorder="1" applyAlignment="1" applyProtection="1">
      <alignment horizontal="left"/>
    </xf>
    <xf numFmtId="166" fontId="131" fillId="5" borderId="114" xfId="0" applyNumberFormat="1" applyFont="1" applyFill="1" applyBorder="1" applyAlignment="1" applyProtection="1">
      <alignment horizontal="left"/>
    </xf>
    <xf numFmtId="166" fontId="131" fillId="5" borderId="114" xfId="0" applyNumberFormat="1" applyFont="1" applyFill="1" applyBorder="1" applyAlignment="1" applyProtection="1">
      <alignment horizontal="center" vertical="center"/>
    </xf>
    <xf numFmtId="166" fontId="134" fillId="5" borderId="114" xfId="0" applyNumberFormat="1" applyFont="1" applyFill="1" applyBorder="1" applyAlignment="1" applyProtection="1">
      <alignment horizontal="left"/>
    </xf>
    <xf numFmtId="2" fontId="132" fillId="5" borderId="1" xfId="0" applyNumberFormat="1" applyFont="1" applyFill="1" applyBorder="1" applyAlignment="1"/>
    <xf numFmtId="1" fontId="197" fillId="35" borderId="0" xfId="0" applyNumberFormat="1" applyFont="1" applyFill="1" applyBorder="1" applyAlignment="1">
      <alignment horizont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144" fillId="5" borderId="54" xfId="0" applyFont="1" applyFill="1" applyBorder="1"/>
    <xf numFmtId="166" fontId="144" fillId="2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6" fontId="19" fillId="42" borderId="160" xfId="0" applyNumberFormat="1" applyFont="1" applyFill="1" applyBorder="1" applyAlignment="1"/>
    <xf numFmtId="166" fontId="0" fillId="21" borderId="160" xfId="0" applyNumberFormat="1" applyFill="1" applyBorder="1" applyAlignment="1"/>
    <xf numFmtId="2" fontId="132" fillId="21" borderId="160" xfId="0" applyNumberFormat="1" applyFont="1" applyFill="1" applyBorder="1" applyAlignment="1"/>
    <xf numFmtId="2" fontId="132" fillId="17" borderId="160" xfId="0" applyNumberFormat="1" applyFont="1" applyFill="1" applyBorder="1" applyAlignment="1"/>
    <xf numFmtId="166" fontId="74" fillId="41" borderId="160" xfId="5" applyNumberFormat="1" applyFont="1" applyFill="1" applyBorder="1" applyAlignment="1" applyProtection="1">
      <alignment horizontal="center" vertical="center"/>
    </xf>
    <xf numFmtId="2" fontId="132" fillId="21" borderId="158" xfId="0" applyNumberFormat="1" applyFont="1" applyFill="1" applyBorder="1" applyAlignment="1"/>
    <xf numFmtId="166" fontId="0" fillId="42" borderId="160" xfId="0" applyNumberFormat="1" applyFill="1" applyBorder="1" applyAlignment="1"/>
    <xf numFmtId="0" fontId="0" fillId="42" borderId="158" xfId="0" applyFont="1" applyFill="1" applyBorder="1"/>
    <xf numFmtId="0" fontId="0" fillId="42" borderId="161" xfId="0" applyFont="1" applyFill="1" applyBorder="1" applyAlignment="1">
      <alignment horizontal="center" vertical="center"/>
    </xf>
    <xf numFmtId="166" fontId="74" fillId="15" borderId="119" xfId="5" applyNumberFormat="1" applyFont="1" applyFill="1" applyBorder="1" applyAlignment="1" applyProtection="1">
      <alignment horizontal="right"/>
    </xf>
    <xf numFmtId="0" fontId="0" fillId="42" borderId="160" xfId="0" applyFont="1" applyFill="1" applyBorder="1" applyAlignment="1">
      <alignment horizontal="right" vertical="center"/>
    </xf>
    <xf numFmtId="166" fontId="74" fillId="15" borderId="119" xfId="5" applyNumberFormat="1" applyFont="1" applyFill="1" applyBorder="1" applyAlignment="1" applyProtection="1">
      <alignment horizontal="left"/>
    </xf>
    <xf numFmtId="0" fontId="0" fillId="42" borderId="160" xfId="0" applyFont="1" applyFill="1" applyBorder="1" applyAlignment="1">
      <alignment horizontal="left" vertical="center"/>
    </xf>
    <xf numFmtId="166" fontId="74" fillId="41" borderId="158" xfId="5" applyNumberFormat="1" applyFont="1" applyFill="1" applyBorder="1" applyAlignment="1" applyProtection="1">
      <alignment horizontal="left"/>
    </xf>
    <xf numFmtId="166" fontId="0" fillId="41" borderId="158" xfId="0" applyNumberFormat="1" applyFill="1" applyBorder="1" applyAlignment="1"/>
    <xf numFmtId="166" fontId="0" fillId="0" borderId="160" xfId="0" applyNumberFormat="1" applyBorder="1" applyAlignment="1"/>
    <xf numFmtId="0" fontId="0" fillId="41" borderId="164" xfId="0" applyFill="1" applyBorder="1"/>
    <xf numFmtId="0" fontId="1" fillId="15" borderId="159" xfId="0" applyFont="1" applyFill="1" applyBorder="1"/>
    <xf numFmtId="0" fontId="0" fillId="15" borderId="158" xfId="0" applyFill="1" applyBorder="1"/>
    <xf numFmtId="166" fontId="145" fillId="42" borderId="114" xfId="11" applyNumberFormat="1" applyFont="1" applyFill="1" applyBorder="1" applyAlignment="1" applyProtection="1">
      <alignment horizontal="left"/>
    </xf>
    <xf numFmtId="166" fontId="145" fillId="42" borderId="114" xfId="11" applyNumberFormat="1" applyFont="1" applyFill="1" applyBorder="1" applyAlignment="1" applyProtection="1">
      <alignment horizontal="center" vertical="center"/>
    </xf>
    <xf numFmtId="0" fontId="145" fillId="42" borderId="160" xfId="11" applyFont="1" applyFill="1" applyBorder="1"/>
    <xf numFmtId="166" fontId="145" fillId="42" borderId="121" xfId="11" applyNumberFormat="1" applyFont="1" applyFill="1" applyBorder="1" applyAlignment="1" applyProtection="1">
      <alignment horizontal="right"/>
    </xf>
    <xf numFmtId="166" fontId="0" fillId="41" borderId="160" xfId="0" applyNumberFormat="1" applyFill="1" applyBorder="1" applyAlignment="1"/>
    <xf numFmtId="166" fontId="145" fillId="41" borderId="114" xfId="11" applyNumberFormat="1" applyFont="1" applyFill="1" applyBorder="1" applyAlignment="1" applyProtection="1">
      <alignment horizontal="left"/>
    </xf>
    <xf numFmtId="166" fontId="145" fillId="41" borderId="114" xfId="11" applyNumberFormat="1" applyFont="1" applyFill="1" applyBorder="1" applyAlignment="1" applyProtection="1">
      <alignment horizontal="center" vertical="center"/>
    </xf>
    <xf numFmtId="0" fontId="145" fillId="41" borderId="160" xfId="11" applyFont="1" applyFill="1" applyBorder="1"/>
    <xf numFmtId="166" fontId="145" fillId="41" borderId="114" xfId="11" applyNumberFormat="1" applyFont="1" applyFill="1" applyBorder="1" applyAlignment="1" applyProtection="1">
      <alignment horizontal="right"/>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0" fillId="0" borderId="0" xfId="0" applyFill="1" applyBorder="1" applyAlignment="1">
      <alignment horizontal="left"/>
    </xf>
    <xf numFmtId="166" fontId="19" fillId="52" borderId="1" xfId="0" applyNumberFormat="1" applyFont="1" applyFill="1" applyBorder="1" applyAlignment="1"/>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2" xfId="0" applyFill="1" applyBorder="1"/>
    <xf numFmtId="0" fontId="73" fillId="52" borderId="231" xfId="0" applyFont="1" applyFill="1" applyBorder="1" applyAlignment="1">
      <alignment horizontal="center" vertical="center"/>
    </xf>
    <xf numFmtId="0" fontId="73" fillId="52" borderId="232" xfId="0" applyFont="1" applyFill="1" applyBorder="1" applyAlignment="1">
      <alignment horizontal="left" vertical="center"/>
    </xf>
    <xf numFmtId="166" fontId="0" fillId="52" borderId="231" xfId="0" applyNumberFormat="1" applyFill="1" applyBorder="1" applyAlignment="1"/>
    <xf numFmtId="166" fontId="0" fillId="21" borderId="231" xfId="0" applyNumberFormat="1" applyFill="1" applyBorder="1" applyAlignment="1"/>
    <xf numFmtId="2" fontId="132" fillId="21" borderId="231" xfId="0" applyNumberFormat="1" applyFont="1" applyFill="1" applyBorder="1" applyAlignment="1"/>
    <xf numFmtId="2" fontId="132" fillId="17" borderId="231" xfId="0" applyNumberFormat="1" applyFont="1" applyFill="1" applyBorder="1" applyAlignment="1"/>
    <xf numFmtId="166" fontId="0" fillId="41" borderId="234" xfId="0" applyNumberFormat="1" applyFill="1" applyBorder="1" applyAlignment="1"/>
    <xf numFmtId="0" fontId="1" fillId="5" borderId="2" xfId="0" applyFont="1" applyFill="1" applyBorder="1"/>
    <xf numFmtId="0" fontId="0" fillId="5" borderId="4" xfId="0" applyFill="1" applyBorder="1"/>
    <xf numFmtId="166" fontId="74" fillId="5" borderId="1" xfId="5" applyNumberFormat="1" applyFont="1" applyFill="1" applyBorder="1" applyAlignment="1" applyProtection="1">
      <alignment horizontal="center" vertical="center"/>
    </xf>
    <xf numFmtId="166" fontId="74" fillId="5" borderId="118" xfId="5" applyNumberFormat="1" applyFont="1" applyFill="1" applyBorder="1" applyAlignment="1" applyProtection="1">
      <alignment horizontal="left"/>
    </xf>
    <xf numFmtId="166" fontId="131" fillId="5" borderId="1" xfId="5" applyNumberFormat="1" applyFont="1" applyFill="1" applyBorder="1" applyAlignment="1" applyProtection="1">
      <alignment horizontal="right"/>
    </xf>
    <xf numFmtId="2" fontId="0" fillId="5" borderId="12" xfId="0" applyNumberFormat="1" applyFill="1" applyBorder="1" applyAlignment="1"/>
    <xf numFmtId="2" fontId="0" fillId="5" borderId="1" xfId="0" applyNumberFormat="1" applyFill="1" applyBorder="1" applyAlignment="1"/>
    <xf numFmtId="166" fontId="84" fillId="5" borderId="9" xfId="0" applyNumberFormat="1" applyFont="1" applyFill="1" applyBorder="1" applyAlignment="1">
      <alignment horizontal="right"/>
    </xf>
    <xf numFmtId="2" fontId="0" fillId="5" borderId="1" xfId="0" applyNumberFormat="1" applyFill="1" applyBorder="1"/>
    <xf numFmtId="2" fontId="132" fillId="5" borderId="4" xfId="0" applyNumberFormat="1" applyFont="1" applyFill="1" applyBorder="1" applyAlignment="1"/>
    <xf numFmtId="2" fontId="132" fillId="5" borderId="9" xfId="0" applyNumberFormat="1" applyFont="1" applyFill="1" applyBorder="1" applyAlignment="1"/>
    <xf numFmtId="0" fontId="19" fillId="5" borderId="54" xfId="0" applyFont="1" applyFill="1" applyBorder="1"/>
    <xf numFmtId="0" fontId="145" fillId="42" borderId="234" xfId="11" applyFont="1" applyFill="1" applyBorder="1"/>
    <xf numFmtId="166" fontId="145" fillId="42" borderId="114" xfId="11" applyNumberFormat="1" applyFont="1" applyFill="1" applyBorder="1" applyAlignment="1" applyProtection="1">
      <alignment horizontal="right"/>
    </xf>
    <xf numFmtId="0" fontId="0" fillId="42" borderId="235" xfId="0" applyFill="1" applyBorder="1"/>
    <xf numFmtId="166" fontId="0" fillId="42" borderId="234" xfId="0" applyNumberFormat="1" applyFill="1" applyBorder="1" applyAlignment="1"/>
    <xf numFmtId="0" fontId="0" fillId="42" borderId="235" xfId="0" applyFont="1" applyFill="1" applyBorder="1"/>
    <xf numFmtId="0" fontId="0" fillId="42" borderId="231" xfId="0" applyFont="1" applyFill="1" applyBorder="1" applyAlignment="1">
      <alignment horizontal="center" vertical="center"/>
    </xf>
    <xf numFmtId="0" fontId="0" fillId="42" borderId="234" xfId="0" applyFont="1" applyFill="1" applyBorder="1" applyAlignment="1">
      <alignment horizontal="left" vertical="center"/>
    </xf>
    <xf numFmtId="0" fontId="0" fillId="42" borderId="234" xfId="0" applyFont="1" applyFill="1" applyBorder="1" applyAlignment="1">
      <alignment horizontal="right" vertical="center"/>
    </xf>
    <xf numFmtId="2" fontId="132" fillId="21" borderId="234" xfId="0" applyNumberFormat="1" applyFont="1" applyFill="1" applyBorder="1" applyAlignment="1"/>
    <xf numFmtId="2" fontId="132" fillId="17" borderId="234" xfId="0" applyNumberFormat="1" applyFont="1" applyFill="1" applyBorder="1" applyAlignment="1"/>
    <xf numFmtId="166" fontId="145" fillId="42" borderId="116" xfId="11" applyNumberFormat="1" applyFont="1" applyFill="1" applyBorder="1" applyAlignment="1" applyProtection="1">
      <alignment horizontal="left"/>
    </xf>
    <xf numFmtId="166" fontId="145" fillId="42" borderId="116" xfId="11" applyNumberFormat="1" applyFont="1" applyFill="1" applyBorder="1" applyAlignment="1" applyProtection="1">
      <alignment horizontal="center" vertical="center"/>
    </xf>
    <xf numFmtId="0" fontId="145" fillId="42" borderId="231" xfId="11" applyFont="1" applyFill="1" applyBorder="1"/>
    <xf numFmtId="166" fontId="145" fillId="42" borderId="137" xfId="11" applyNumberFormat="1" applyFont="1" applyFill="1" applyBorder="1" applyAlignment="1" applyProtection="1">
      <alignment horizontal="right"/>
    </xf>
    <xf numFmtId="166" fontId="74" fillId="15" borderId="54" xfId="5" applyNumberFormat="1" applyFont="1" applyFill="1" applyBorder="1" applyAlignment="1" applyProtection="1">
      <alignment horizontal="center" vertical="center"/>
    </xf>
    <xf numFmtId="166" fontId="145" fillId="42" borderId="234" xfId="11" applyNumberFormat="1" applyFont="1" applyFill="1" applyBorder="1" applyAlignment="1" applyProtection="1">
      <alignment horizontal="left"/>
    </xf>
    <xf numFmtId="166" fontId="145" fillId="42" borderId="234" xfId="11" applyNumberFormat="1" applyFont="1" applyFill="1" applyBorder="1" applyAlignment="1" applyProtection="1">
      <alignment horizontal="center" vertical="center"/>
    </xf>
    <xf numFmtId="166" fontId="145" fillId="42" borderId="234" xfId="11" applyNumberFormat="1" applyFont="1" applyFill="1" applyBorder="1" applyAlignment="1" applyProtection="1">
      <alignment horizontal="right"/>
    </xf>
    <xf numFmtId="0" fontId="0" fillId="0" borderId="233" xfId="0" applyFill="1" applyBorder="1"/>
    <xf numFmtId="0" fontId="0" fillId="42" borderId="234" xfId="0" applyFont="1" applyFill="1" applyBorder="1" applyAlignment="1">
      <alignment horizontal="center" vertical="center"/>
    </xf>
    <xf numFmtId="0" fontId="0" fillId="42" borderId="234" xfId="0" applyFont="1" applyFill="1" applyBorder="1"/>
    <xf numFmtId="2" fontId="145" fillId="42" borderId="121" xfId="11" applyNumberFormat="1" applyFont="1" applyFill="1" applyBorder="1" applyAlignment="1" applyProtection="1">
      <alignment horizontal="right"/>
    </xf>
    <xf numFmtId="166" fontId="131" fillId="52" borderId="232" xfId="5" applyNumberFormat="1" applyFont="1" applyFill="1" applyBorder="1" applyAlignment="1" applyProtection="1">
      <alignment horizontal="left"/>
    </xf>
    <xf numFmtId="166" fontId="131" fillId="52" borderId="231" xfId="5" applyNumberFormat="1" applyFont="1" applyFill="1" applyBorder="1" applyAlignment="1" applyProtection="1">
      <alignment horizontal="center" vertical="center"/>
    </xf>
    <xf numFmtId="166" fontId="131" fillId="52" borderId="122" xfId="5" applyNumberFormat="1" applyFont="1" applyFill="1" applyBorder="1" applyAlignment="1" applyProtection="1">
      <alignment horizontal="right"/>
    </xf>
    <xf numFmtId="166" fontId="131" fillId="52" borderId="234" xfId="5" applyNumberFormat="1" applyFont="1" applyFill="1" applyBorder="1" applyAlignment="1" applyProtection="1">
      <alignment horizontal="left"/>
    </xf>
    <xf numFmtId="166" fontId="131" fillId="52" borderId="234" xfId="5" applyNumberFormat="1" applyFont="1" applyFill="1" applyBorder="1" applyAlignment="1" applyProtection="1">
      <alignment horizontal="center" vertical="center"/>
    </xf>
    <xf numFmtId="166" fontId="131" fillId="52" borderId="234" xfId="5" applyNumberFormat="1" applyFont="1" applyFill="1" applyBorder="1" applyAlignment="1" applyProtection="1">
      <alignment horizontal="right"/>
    </xf>
    <xf numFmtId="2" fontId="0" fillId="21" borderId="234" xfId="0" applyNumberFormat="1" applyFill="1" applyBorder="1" applyAlignment="1"/>
    <xf numFmtId="166" fontId="0" fillId="21" borderId="234" xfId="0" applyNumberFormat="1" applyFill="1" applyBorder="1" applyAlignment="1"/>
    <xf numFmtId="166" fontId="0" fillId="27" borderId="234" xfId="0" applyNumberFormat="1" applyFont="1" applyFill="1" applyBorder="1" applyAlignment="1"/>
    <xf numFmtId="2" fontId="84" fillId="11" borderId="234" xfId="0" applyNumberFormat="1" applyFont="1" applyFill="1" applyBorder="1" applyAlignment="1">
      <alignment horizontal="right"/>
    </xf>
    <xf numFmtId="2" fontId="132" fillId="35" borderId="234" xfId="0" applyNumberFormat="1" applyFont="1" applyFill="1" applyBorder="1" applyAlignment="1"/>
    <xf numFmtId="0" fontId="73" fillId="52" borderId="234" xfId="0" applyFont="1" applyFill="1" applyBorder="1" applyAlignment="1">
      <alignment horizontal="center" vertical="center"/>
    </xf>
    <xf numFmtId="0" fontId="73" fillId="52" borderId="234" xfId="0" applyFont="1" applyFill="1" applyBorder="1" applyAlignment="1">
      <alignment horizontal="left" vertical="center"/>
    </xf>
    <xf numFmtId="166" fontId="0" fillId="52" borderId="234" xfId="0" applyNumberFormat="1" applyFill="1" applyBorder="1" applyAlignment="1"/>
    <xf numFmtId="166" fontId="131" fillId="52" borderId="235" xfId="5" applyNumberFormat="1" applyFont="1" applyFill="1" applyBorder="1" applyAlignment="1" applyProtection="1">
      <alignment horizontal="left"/>
    </xf>
    <xf numFmtId="0" fontId="0" fillId="52" borderId="235" xfId="0" applyFill="1" applyBorder="1"/>
    <xf numFmtId="166" fontId="145" fillId="42" borderId="118" xfId="11" applyNumberFormat="1" applyFont="1" applyFill="1" applyBorder="1" applyAlignment="1" applyProtection="1">
      <alignment horizontal="left"/>
    </xf>
    <xf numFmtId="0" fontId="0" fillId="41" borderId="232" xfId="0" applyFill="1" applyBorder="1"/>
    <xf numFmtId="0" fontId="0" fillId="15" borderId="235" xfId="0" applyFill="1" applyBorder="1"/>
    <xf numFmtId="166" fontId="74" fillId="41" borderId="235" xfId="5" applyNumberFormat="1" applyFont="1" applyFill="1" applyBorder="1" applyAlignment="1" applyProtection="1">
      <alignment horizontal="left"/>
    </xf>
    <xf numFmtId="0" fontId="0" fillId="0" borderId="231" xfId="0" applyFill="1" applyBorder="1"/>
    <xf numFmtId="0" fontId="1" fillId="15" borderId="234" xfId="0" applyFont="1" applyFill="1" applyBorder="1"/>
    <xf numFmtId="0" fontId="0" fillId="0" borderId="231" xfId="0" applyBorder="1"/>
    <xf numFmtId="166" fontId="131" fillId="52" borderId="121" xfId="5" applyNumberFormat="1" applyFont="1" applyFill="1" applyBorder="1" applyAlignment="1" applyProtection="1">
      <alignment horizontal="right"/>
    </xf>
    <xf numFmtId="166" fontId="0" fillId="52" borderId="233" xfId="0" applyNumberFormat="1" applyFill="1" applyBorder="1" applyAlignment="1"/>
    <xf numFmtId="166" fontId="0" fillId="21" borderId="54" xfId="0" applyNumberForma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6" fontId="19" fillId="42" borderId="234" xfId="0" applyNumberFormat="1" applyFont="1" applyFill="1" applyBorder="1" applyAlignment="1"/>
    <xf numFmtId="0" fontId="2" fillId="42" borderId="1" xfId="0" applyFont="1" applyFill="1" applyBorder="1"/>
    <xf numFmtId="0" fontId="2" fillId="42" borderId="1" xfId="0" applyFont="1" applyFill="1" applyBorder="1" applyAlignment="1">
      <alignment horizontal="center" vertical="center"/>
    </xf>
    <xf numFmtId="0" fontId="2" fillId="42" borderId="4" xfId="0" applyFont="1" applyFill="1" applyBorder="1" applyAlignment="1"/>
    <xf numFmtId="0" fontId="2" fillId="42" borderId="234" xfId="0" applyFont="1" applyFill="1" applyBorder="1"/>
    <xf numFmtId="0" fontId="2" fillId="42" borderId="234" xfId="0" applyFont="1" applyFill="1" applyBorder="1" applyAlignment="1">
      <alignment horizontal="center" vertical="center"/>
    </xf>
    <xf numFmtId="0" fontId="2" fillId="42" borderId="235" xfId="0" applyFont="1" applyFill="1" applyBorder="1" applyAlignment="1"/>
    <xf numFmtId="2" fontId="2" fillId="42" borderId="4" xfId="0" applyNumberFormat="1" applyFont="1" applyFill="1" applyBorder="1" applyAlignment="1"/>
    <xf numFmtId="2" fontId="2" fillId="42" borderId="235" xfId="0" applyNumberFormat="1" applyFont="1" applyFill="1" applyBorder="1" applyAlignment="1"/>
    <xf numFmtId="0" fontId="62" fillId="7" borderId="236" xfId="0" applyFont="1" applyFill="1" applyBorder="1" applyAlignment="1" applyProtection="1">
      <alignment horizontal="left" vertical="center"/>
    </xf>
    <xf numFmtId="0" fontId="0" fillId="42" borderId="234" xfId="0" applyFill="1" applyBorder="1"/>
    <xf numFmtId="0" fontId="0" fillId="42" borderId="234" xfId="0" applyFill="1" applyBorder="1" applyAlignment="1">
      <alignment horizontal="center" vertical="center"/>
    </xf>
    <xf numFmtId="0" fontId="2" fillId="42" borderId="235" xfId="0" applyFont="1" applyFill="1" applyBorder="1" applyAlignment="1">
      <alignment horizontal="left" vertical="center"/>
    </xf>
    <xf numFmtId="2" fontId="2" fillId="42" borderId="235" xfId="0" applyNumberFormat="1" applyFont="1" applyFill="1" applyBorder="1" applyAlignment="1">
      <alignment horizontal="right" vertical="center"/>
    </xf>
    <xf numFmtId="2" fontId="2" fillId="42" borderId="4" xfId="0" applyNumberFormat="1" applyFont="1" applyFill="1" applyBorder="1" applyAlignment="1">
      <alignment horizontal="right"/>
    </xf>
    <xf numFmtId="2" fontId="132" fillId="17" borderId="54" xfId="0" applyNumberFormat="1" applyFont="1" applyFill="1" applyBorder="1" applyAlignment="1"/>
    <xf numFmtId="0" fontId="73" fillId="52" borderId="235" xfId="0" applyFont="1" applyFill="1" applyBorder="1" applyAlignment="1">
      <alignment horizontal="left" vertical="center"/>
    </xf>
    <xf numFmtId="2" fontId="0" fillId="21" borderId="235" xfId="0" applyNumberFormat="1" applyFill="1" applyBorder="1" applyAlignment="1"/>
    <xf numFmtId="0" fontId="0" fillId="0" borderId="232" xfId="0" applyFill="1" applyBorder="1"/>
    <xf numFmtId="0" fontId="0" fillId="41" borderId="235" xfId="0" applyFill="1" applyBorder="1"/>
    <xf numFmtId="0" fontId="2" fillId="42" borderId="235" xfId="0" applyFont="1" applyFill="1" applyBorder="1"/>
    <xf numFmtId="166" fontId="138" fillId="15" borderId="231" xfId="6" applyNumberFormat="1" applyFont="1" applyFill="1" applyBorder="1" applyAlignment="1" applyProtection="1">
      <alignment horizontal="left"/>
    </xf>
    <xf numFmtId="166" fontId="145" fillId="52" borderId="114" xfId="11" applyNumberFormat="1" applyFont="1" applyFill="1" applyBorder="1" applyAlignment="1" applyProtection="1">
      <alignment horizontal="left"/>
    </xf>
    <xf numFmtId="166" fontId="145" fillId="52" borderId="114" xfId="11" applyNumberFormat="1" applyFont="1" applyFill="1" applyBorder="1" applyAlignment="1" applyProtection="1">
      <alignment horizontal="center" vertical="center"/>
    </xf>
    <xf numFmtId="0" fontId="145" fillId="52" borderId="234" xfId="11" applyFont="1" applyFill="1" applyBorder="1"/>
    <xf numFmtId="166" fontId="145" fillId="52" borderId="114" xfId="11" applyNumberFormat="1" applyFont="1" applyFill="1" applyBorder="1" applyAlignment="1" applyProtection="1">
      <alignment horizontal="right"/>
    </xf>
    <xf numFmtId="0" fontId="0" fillId="41" borderId="0" xfId="0" applyFill="1" applyBorder="1"/>
    <xf numFmtId="166" fontId="74" fillId="41" borderId="9" xfId="5" applyNumberFormat="1" applyFont="1" applyFill="1" applyBorder="1" applyAlignment="1" applyProtection="1">
      <alignment horizontal="center" vertical="center"/>
    </xf>
    <xf numFmtId="2" fontId="0" fillId="0" borderId="234" xfId="0" applyNumberFormat="1" applyBorder="1" applyAlignment="1"/>
    <xf numFmtId="2" fontId="132" fillId="21" borderId="235" xfId="0" applyNumberFormat="1" applyFont="1" applyFill="1" applyBorder="1" applyAlignment="1"/>
    <xf numFmtId="0" fontId="73" fillId="52" borderId="232" xfId="0" applyFont="1" applyFill="1" applyBorder="1" applyAlignment="1">
      <alignment horizontal="right" vertical="center"/>
    </xf>
    <xf numFmtId="166" fontId="131" fillId="41" borderId="234" xfId="5" applyNumberFormat="1" applyFont="1" applyFill="1" applyBorder="1" applyAlignment="1" applyProtection="1">
      <alignment horizontal="right"/>
    </xf>
    <xf numFmtId="0" fontId="91" fillId="0" borderId="50" xfId="0" applyFont="1" applyFill="1" applyBorder="1" applyAlignment="1">
      <alignment wrapText="1"/>
    </xf>
    <xf numFmtId="0" fontId="91" fillId="0" borderId="0" xfId="0" applyFont="1" applyFill="1" applyBorder="1" applyAlignment="1">
      <alignment horizontal="left" wrapText="1"/>
    </xf>
    <xf numFmtId="166" fontId="131" fillId="52" borderId="118" xfId="10" applyNumberFormat="1" applyFont="1" applyFill="1" applyBorder="1" applyAlignment="1" applyProtection="1">
      <alignment horizontal="left"/>
    </xf>
    <xf numFmtId="166" fontId="131" fillId="41" borderId="19" xfId="6" applyNumberFormat="1" applyFont="1" applyFill="1" applyBorder="1" applyAlignment="1" applyProtection="1">
      <alignment horizontal="center" vertical="center"/>
    </xf>
    <xf numFmtId="166" fontId="131" fillId="41" borderId="122" xfId="6" applyNumberFormat="1" applyFont="1" applyFill="1" applyBorder="1" applyAlignment="1" applyProtection="1">
      <alignment horizontal="left"/>
    </xf>
    <xf numFmtId="0" fontId="0" fillId="41" borderId="0" xfId="0" applyFill="1"/>
    <xf numFmtId="166" fontId="131" fillId="42" borderId="120" xfId="0" applyNumberFormat="1" applyFont="1" applyFill="1" applyBorder="1" applyAlignment="1" applyProtection="1">
      <alignment horizontal="left"/>
    </xf>
    <xf numFmtId="0" fontId="1" fillId="0" borderId="54" xfId="0" applyFont="1" applyFill="1" applyBorder="1"/>
    <xf numFmtId="0" fontId="1" fillId="15" borderId="0" xfId="0" applyFont="1" applyFill="1"/>
    <xf numFmtId="0" fontId="1" fillId="0" borderId="19" xfId="0" applyFont="1" applyFill="1" applyBorder="1"/>
    <xf numFmtId="166" fontId="138" fillId="15" borderId="1" xfId="0" applyNumberFormat="1" applyFont="1" applyFill="1" applyBorder="1" applyAlignment="1" applyProtection="1">
      <alignment horizontal="left"/>
    </xf>
    <xf numFmtId="166" fontId="131" fillId="15" borderId="234" xfId="6" applyNumberFormat="1" applyFont="1" applyFill="1" applyBorder="1" applyAlignment="1" applyProtection="1">
      <alignment horizontal="right"/>
    </xf>
    <xf numFmtId="0" fontId="1" fillId="15" borderId="232" xfId="0" applyFont="1" applyFill="1" applyBorder="1"/>
    <xf numFmtId="0" fontId="0" fillId="42" borderId="0" xfId="0" applyFill="1" applyBorder="1" applyAlignment="1">
      <alignment horizontal="center" vertical="center"/>
    </xf>
    <xf numFmtId="166" fontId="131" fillId="15" borderId="126" xfId="6" applyNumberFormat="1" applyFont="1" applyFill="1" applyBorder="1" applyAlignment="1" applyProtection="1">
      <alignment horizontal="right"/>
    </xf>
    <xf numFmtId="2" fontId="0" fillId="42" borderId="234" xfId="0" applyNumberFormat="1" applyFill="1" applyBorder="1"/>
    <xf numFmtId="166" fontId="131" fillId="42" borderId="234" xfId="5" applyNumberFormat="1" applyFont="1" applyFill="1" applyBorder="1" applyAlignment="1" applyProtection="1">
      <alignment horizontal="right"/>
    </xf>
    <xf numFmtId="0" fontId="91" fillId="0" borderId="0" xfId="0" applyFont="1" applyFill="1" applyBorder="1" applyAlignment="1">
      <alignment wrapText="1"/>
    </xf>
    <xf numFmtId="0" fontId="0" fillId="41" borderId="235" xfId="0" applyFont="1" applyFill="1" applyBorder="1"/>
    <xf numFmtId="0" fontId="0" fillId="41" borderId="234" xfId="0" applyFont="1" applyFill="1" applyBorder="1" applyAlignment="1">
      <alignment horizontal="center" vertical="center"/>
    </xf>
    <xf numFmtId="0" fontId="0" fillId="41" borderId="235" xfId="0" applyFont="1" applyFill="1" applyBorder="1" applyAlignment="1">
      <alignment horizontal="left" vertical="center"/>
    </xf>
    <xf numFmtId="166" fontId="0" fillId="41" borderId="1" xfId="0" applyNumberFormat="1" applyFont="1" applyFill="1" applyBorder="1" applyAlignment="1"/>
    <xf numFmtId="2" fontId="0" fillId="41" borderId="235" xfId="0" applyNumberFormat="1" applyFont="1" applyFill="1" applyBorder="1" applyAlignment="1">
      <alignment horizontal="right" vertical="center"/>
    </xf>
    <xf numFmtId="166" fontId="0" fillId="41" borderId="116" xfId="0" applyNumberFormat="1" applyFill="1" applyBorder="1" applyAlignment="1" applyProtection="1">
      <alignment horizontal="right"/>
    </xf>
    <xf numFmtId="166" fontId="0" fillId="41" borderId="231" xfId="0" applyNumberFormat="1" applyFill="1" applyBorder="1"/>
    <xf numFmtId="166" fontId="74" fillId="41" borderId="234" xfId="5" applyNumberFormat="1" applyFont="1" applyFill="1" applyBorder="1" applyAlignment="1" applyProtection="1">
      <alignment horizontal="right"/>
    </xf>
    <xf numFmtId="166" fontId="131" fillId="42" borderId="125" xfId="0" applyNumberFormat="1" applyFont="1" applyFill="1" applyBorder="1" applyAlignment="1" applyProtection="1">
      <alignment horizontal="left"/>
    </xf>
    <xf numFmtId="166" fontId="74" fillId="42" borderId="54" xfId="5" applyNumberFormat="1" applyFont="1" applyFill="1" applyBorder="1" applyAlignment="1" applyProtection="1">
      <alignment horizontal="center" vertical="center"/>
    </xf>
    <xf numFmtId="166" fontId="131" fillId="42" borderId="234" xfId="0" applyNumberFormat="1" applyFont="1" applyFill="1" applyBorder="1" applyAlignment="1" applyProtection="1">
      <alignment horizontal="left"/>
    </xf>
    <xf numFmtId="166" fontId="74" fillId="42" borderId="234" xfId="5" applyNumberFormat="1" applyFont="1" applyFill="1" applyBorder="1" applyAlignment="1" applyProtection="1">
      <alignment horizontal="center" vertical="center"/>
    </xf>
    <xf numFmtId="166" fontId="131" fillId="42" borderId="234" xfId="7" applyNumberFormat="1" applyFont="1" applyFill="1" applyBorder="1" applyAlignment="1" applyProtection="1">
      <alignment horizontal="left"/>
    </xf>
    <xf numFmtId="166" fontId="131" fillId="42" borderId="234" xfId="7" applyNumberFormat="1" applyFont="1" applyFill="1" applyBorder="1" applyAlignment="1" applyProtection="1">
      <alignment horizontal="center" vertical="center"/>
    </xf>
    <xf numFmtId="166" fontId="131" fillId="42" borderId="234" xfId="0" applyNumberFormat="1" applyFont="1" applyFill="1" applyBorder="1" applyAlignment="1" applyProtection="1">
      <alignment horizontal="center" vertical="center"/>
    </xf>
    <xf numFmtId="0" fontId="0" fillId="42" borderId="234" xfId="0" applyFont="1" applyFill="1" applyBorder="1" applyAlignment="1"/>
    <xf numFmtId="2" fontId="0" fillId="42" borderId="234" xfId="0" applyNumberFormat="1" applyFont="1" applyFill="1" applyBorder="1" applyAlignment="1">
      <alignment horizontal="right" vertical="center"/>
    </xf>
    <xf numFmtId="2" fontId="131" fillId="42" borderId="234" xfId="7" applyNumberFormat="1" applyFont="1" applyFill="1" applyBorder="1" applyAlignment="1" applyProtection="1">
      <alignment horizontal="right"/>
    </xf>
    <xf numFmtId="2" fontId="131" fillId="42" borderId="234" xfId="0" applyNumberFormat="1" applyFont="1" applyFill="1" applyBorder="1" applyAlignment="1" applyProtection="1">
      <alignment horizontal="right"/>
    </xf>
    <xf numFmtId="2" fontId="0" fillId="42" borderId="234" xfId="0" applyNumberFormat="1" applyFont="1" applyFill="1" applyBorder="1" applyAlignment="1">
      <alignment horizontal="right"/>
    </xf>
    <xf numFmtId="166" fontId="0" fillId="0" borderId="234" xfId="0" applyNumberFormat="1" applyFill="1" applyBorder="1" applyAlignment="1"/>
    <xf numFmtId="0" fontId="0" fillId="15" borderId="234" xfId="0" applyFill="1" applyBorder="1"/>
    <xf numFmtId="2" fontId="0" fillId="5" borderId="9" xfId="0" applyNumberFormat="1" applyFill="1" applyBorder="1"/>
    <xf numFmtId="166" fontId="131" fillId="5" borderId="9" xfId="5" applyNumberFormat="1" applyFont="1" applyFill="1" applyBorder="1" applyAlignment="1" applyProtection="1">
      <alignment horizontal="right"/>
    </xf>
    <xf numFmtId="0" fontId="0" fillId="52" borderId="158" xfId="0" applyFill="1" applyBorder="1"/>
    <xf numFmtId="166" fontId="131" fillId="52" borderId="158" xfId="5" applyNumberFormat="1" applyFont="1" applyFill="1" applyBorder="1" applyAlignment="1" applyProtection="1">
      <alignment horizontal="left"/>
    </xf>
    <xf numFmtId="166" fontId="138" fillId="15" borderId="236" xfId="6" applyNumberFormat="1" applyFont="1" applyFill="1" applyBorder="1" applyAlignment="1" applyProtection="1">
      <alignment horizontal="left"/>
    </xf>
    <xf numFmtId="2" fontId="2" fillId="42" borderId="1" xfId="0" applyNumberFormat="1" applyFont="1" applyFill="1" applyBorder="1" applyAlignment="1">
      <alignment horizontal="right" vertical="center"/>
    </xf>
    <xf numFmtId="2" fontId="74" fillId="42" borderId="1" xfId="5" applyNumberFormat="1" applyFont="1" applyFill="1" applyBorder="1" applyAlignment="1" applyProtection="1">
      <alignment horizontal="right"/>
    </xf>
    <xf numFmtId="2" fontId="12" fillId="0" borderId="160" xfId="0" applyNumberFormat="1" applyFont="1" applyFill="1" applyBorder="1" applyAlignment="1">
      <alignment horizontal="right"/>
    </xf>
    <xf numFmtId="2" fontId="12" fillId="0" borderId="1" xfId="0" applyNumberFormat="1" applyFont="1" applyFill="1" applyBorder="1" applyAlignment="1">
      <alignment horizontal="right"/>
    </xf>
    <xf numFmtId="2" fontId="12" fillId="0" borderId="159" xfId="0" applyNumberFormat="1" applyFont="1" applyFill="1" applyBorder="1" applyAlignment="1">
      <alignment horizontal="right"/>
    </xf>
    <xf numFmtId="2" fontId="12" fillId="0" borderId="2" xfId="0" applyNumberFormat="1" applyFont="1" applyFill="1" applyBorder="1" applyAlignment="1">
      <alignment horizontal="right"/>
    </xf>
    <xf numFmtId="0" fontId="62" fillId="7" borderId="46"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 xfId="0" applyFont="1" applyFill="1" applyBorder="1" applyAlignment="1">
      <alignment horizontal="left" vertical="center"/>
    </xf>
    <xf numFmtId="0" fontId="62" fillId="7" borderId="9" xfId="0" applyFont="1" applyFill="1" applyBorder="1" applyAlignment="1" applyProtection="1">
      <alignment horizontal="center" vertical="center" wrapText="1"/>
    </xf>
    <xf numFmtId="2" fontId="84" fillId="11" borderId="9" xfId="0" applyNumberFormat="1" applyFont="1" applyFill="1" applyBorder="1" applyAlignment="1">
      <alignment horizontal="center" vertical="center" wrapText="1"/>
    </xf>
    <xf numFmtId="0" fontId="62" fillId="7" borderId="89" xfId="0" applyFont="1" applyFill="1" applyBorder="1" applyAlignment="1" applyProtection="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1" fillId="7" borderId="1" xfId="0"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4" xfId="0" applyFill="1" applyBorder="1"/>
    <xf numFmtId="166" fontId="0" fillId="0" borderId="234" xfId="0" applyNumberFormat="1" applyBorder="1" applyAlignment="1"/>
    <xf numFmtId="0" fontId="0" fillId="41" borderId="229" xfId="0" applyFill="1" applyBorder="1"/>
    <xf numFmtId="166" fontId="0" fillId="52" borderId="229" xfId="0" applyNumberFormat="1" applyFill="1" applyBorder="1" applyAlignment="1"/>
    <xf numFmtId="2" fontId="135" fillId="21" borderId="234" xfId="0" applyNumberFormat="1" applyFont="1" applyFill="1" applyBorder="1" applyAlignment="1"/>
    <xf numFmtId="2" fontId="0" fillId="52" borderId="234" xfId="0" applyNumberFormat="1" applyFill="1" applyBorder="1" applyAlignment="1"/>
    <xf numFmtId="2" fontId="0" fillId="52" borderId="234" xfId="0" applyNumberFormat="1" applyFill="1" applyBorder="1"/>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6" fontId="84" fillId="11"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2" fontId="19" fillId="27" borderId="1" xfId="0" applyNumberFormat="1" applyFont="1" applyFill="1" applyBorder="1" applyAlignment="1"/>
    <xf numFmtId="0" fontId="19" fillId="2" borderId="0" xfId="0" applyFont="1" applyFill="1" applyBorder="1" applyAlignment="1">
      <alignment horizontal="left"/>
    </xf>
    <xf numFmtId="0" fontId="1" fillId="2" borderId="0" xfId="0" applyFont="1" applyFill="1" applyBorder="1" applyAlignment="1">
      <alignment horizontal="center" vertical="center"/>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166" fontId="84" fillId="11" borderId="9" xfId="0" applyNumberFormat="1" applyFont="1" applyFill="1" applyBorder="1" applyAlignment="1">
      <alignment horizontal="center" vertical="center"/>
    </xf>
    <xf numFmtId="0" fontId="0" fillId="0" borderId="0" xfId="0" applyFill="1" applyBorder="1" applyAlignment="1">
      <alignment horizontal="left"/>
    </xf>
    <xf numFmtId="0" fontId="109" fillId="2" borderId="0" xfId="0" applyFont="1" applyFill="1" applyBorder="1" applyAlignment="1">
      <alignment horizontal="center" vertical="center"/>
    </xf>
    <xf numFmtId="0" fontId="154" fillId="0" borderId="1" xfId="0" applyFont="1" applyFill="1" applyBorder="1" applyAlignment="1">
      <alignment vertical="center"/>
    </xf>
    <xf numFmtId="2" fontId="3" fillId="0" borderId="46" xfId="0" applyNumberFormat="1" applyFont="1" applyFill="1" applyBorder="1" applyAlignment="1">
      <alignment horizontal="right" vertical="center"/>
    </xf>
    <xf numFmtId="2" fontId="12" fillId="0" borderId="46" xfId="0" applyNumberFormat="1" applyFont="1" applyFill="1" applyBorder="1" applyAlignment="1">
      <alignment horizontal="right" vertical="center"/>
    </xf>
    <xf numFmtId="1" fontId="6" fillId="60" borderId="54" xfId="0" applyNumberFormat="1" applyFont="1" applyFill="1" applyBorder="1" applyAlignment="1">
      <alignment vertical="top"/>
    </xf>
    <xf numFmtId="1" fontId="6" fillId="3" borderId="9" xfId="0" applyNumberFormat="1" applyFont="1" applyFill="1" applyBorder="1" applyAlignment="1">
      <alignment vertical="top"/>
    </xf>
    <xf numFmtId="1" fontId="6" fillId="5" borderId="54" xfId="0" applyNumberFormat="1" applyFont="1" applyFill="1" applyBorder="1" applyAlignment="1">
      <alignment vertical="top"/>
    </xf>
    <xf numFmtId="1" fontId="6" fillId="60" borderId="160" xfId="0" applyNumberFormat="1" applyFont="1" applyFill="1" applyBorder="1" applyAlignment="1">
      <alignment horizontal="left" vertical="top"/>
    </xf>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xf numFmtId="0" fontId="62" fillId="0"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6" fontId="131" fillId="52" borderId="234" xfId="6" applyNumberFormat="1" applyFont="1" applyFill="1" applyBorder="1" applyAlignment="1" applyProtection="1">
      <alignment horizontal="left"/>
    </xf>
    <xf numFmtId="2" fontId="133" fillId="17" borderId="231" xfId="0" applyNumberFormat="1" applyFont="1" applyFill="1" applyBorder="1" applyAlignment="1">
      <alignment horizontal="center" vertical="center"/>
    </xf>
    <xf numFmtId="4" fontId="0" fillId="17" borderId="231" xfId="0" applyNumberFormat="1" applyFill="1" applyBorder="1"/>
    <xf numFmtId="164" fontId="89" fillId="0" borderId="0" xfId="12" applyFont="1" applyFill="1" applyBorder="1"/>
    <xf numFmtId="0" fontId="19" fillId="2" borderId="0" xfId="0" applyFont="1" applyFill="1" applyBorder="1"/>
    <xf numFmtId="0" fontId="99" fillId="0" borderId="0" xfId="0" applyFont="1" applyFill="1" applyBorder="1" applyAlignment="1">
      <alignment horizontal="center" vertical="center" wrapText="1"/>
    </xf>
    <xf numFmtId="0" fontId="0" fillId="41" borderId="231" xfId="0" applyFill="1" applyBorder="1"/>
    <xf numFmtId="0" fontId="14" fillId="0" borderId="54" xfId="0" applyFont="1" applyFill="1" applyBorder="1"/>
    <xf numFmtId="0" fontId="14" fillId="0" borderId="0" xfId="0" applyFont="1" applyFill="1"/>
    <xf numFmtId="166" fontId="166" fillId="0" borderId="54" xfId="5" applyNumberFormat="1" applyFont="1" applyFill="1" applyBorder="1" applyAlignment="1" applyProtection="1">
      <alignment horizontal="left"/>
    </xf>
    <xf numFmtId="166" fontId="166" fillId="0" borderId="0" xfId="5" applyNumberFormat="1" applyFont="1" applyFill="1" applyBorder="1" applyAlignment="1" applyProtection="1">
      <alignment horizontal="left"/>
    </xf>
    <xf numFmtId="0" fontId="0" fillId="52" borderId="235" xfId="0" applyFill="1" applyBorder="1" applyAlignment="1">
      <alignment horizontal="left" vertical="center"/>
    </xf>
    <xf numFmtId="0" fontId="0" fillId="52" borderId="234" xfId="0" applyFill="1" applyBorder="1" applyAlignment="1"/>
    <xf numFmtId="166" fontId="131" fillId="0" borderId="234" xfId="5" applyNumberFormat="1" applyFont="1" applyFill="1" applyBorder="1" applyAlignment="1" applyProtection="1">
      <alignment horizontal="right"/>
    </xf>
    <xf numFmtId="0" fontId="0" fillId="52" borderId="234" xfId="0" applyFill="1" applyBorder="1" applyAlignment="1">
      <alignment horizontal="center" vertical="center"/>
    </xf>
    <xf numFmtId="166" fontId="2" fillId="42" borderId="235" xfId="0" applyNumberFormat="1" applyFont="1" applyFill="1" applyBorder="1" applyAlignment="1"/>
    <xf numFmtId="0" fontId="0" fillId="42" borderId="232" xfId="0" applyFill="1" applyBorder="1"/>
    <xf numFmtId="0" fontId="1" fillId="15" borderId="229" xfId="0" applyFont="1" applyFill="1" applyBorder="1"/>
    <xf numFmtId="0" fontId="0" fillId="41" borderId="234" xfId="0" applyFont="1" applyFill="1" applyBorder="1"/>
    <xf numFmtId="0" fontId="0" fillId="41" borderId="1" xfId="0" applyFont="1" applyFill="1" applyBorder="1"/>
    <xf numFmtId="0" fontId="0" fillId="41" borderId="1" xfId="0" applyFont="1" applyFill="1" applyBorder="1" applyAlignment="1">
      <alignment horizontal="center" vertical="center"/>
    </xf>
    <xf numFmtId="0" fontId="0" fillId="41" borderId="4" xfId="0" applyFont="1" applyFill="1" applyBorder="1"/>
    <xf numFmtId="2" fontId="0" fillId="41" borderId="4" xfId="0" applyNumberFormat="1" applyFont="1" applyFill="1" applyBorder="1" applyAlignment="1">
      <alignment horizontal="right"/>
    </xf>
    <xf numFmtId="2" fontId="0" fillId="41" borderId="1" xfId="0" applyNumberFormat="1" applyFont="1" applyFill="1" applyBorder="1" applyAlignment="1"/>
    <xf numFmtId="166" fontId="74" fillId="42" borderId="0" xfId="5" applyNumberFormat="1" applyFont="1" applyFill="1" applyBorder="1" applyAlignment="1" applyProtection="1">
      <alignment horizontal="left"/>
    </xf>
    <xf numFmtId="166" fontId="74" fillId="42" borderId="234" xfId="5" applyNumberFormat="1" applyFont="1" applyFill="1" applyBorder="1" applyAlignment="1" applyProtection="1">
      <alignment horizontal="right"/>
    </xf>
    <xf numFmtId="171" fontId="132" fillId="35" borderId="9" xfId="0" applyNumberFormat="1" applyFont="1" applyFill="1" applyBorder="1" applyAlignment="1"/>
    <xf numFmtId="171" fontId="132" fillId="1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166" fontId="131" fillId="52" borderId="231" xfId="5" applyNumberFormat="1" applyFont="1" applyFill="1" applyBorder="1" applyAlignment="1" applyProtection="1">
      <alignment horizontal="left"/>
    </xf>
    <xf numFmtId="0" fontId="1" fillId="15" borderId="51" xfId="0" applyFont="1" applyFill="1" applyBorder="1"/>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166" fontId="84" fillId="11"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0" fillId="0" borderId="0" xfId="0" applyFill="1" applyBorder="1" applyAlignment="1">
      <alignment horizontal="left"/>
    </xf>
    <xf numFmtId="0" fontId="0" fillId="0" borderId="234" xfId="0" applyFill="1" applyBorder="1"/>
    <xf numFmtId="2" fontId="0" fillId="0" borderId="234" xfId="0" applyNumberFormat="1" applyFill="1" applyBorder="1" applyAlignment="1"/>
    <xf numFmtId="0" fontId="19" fillId="2" borderId="0" xfId="0" applyFont="1" applyFill="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xf numFmtId="0" fontId="0" fillId="0" borderId="0" xfId="0" applyFill="1" applyBorder="1" applyAlignment="1">
      <alignment horizontal="left"/>
    </xf>
    <xf numFmtId="2" fontId="84" fillId="18" borderId="234" xfId="0" applyNumberFormat="1" applyFont="1" applyFill="1" applyBorder="1" applyAlignment="1">
      <alignment horizontal="center" vertical="center"/>
    </xf>
    <xf numFmtId="0" fontId="84" fillId="18" borderId="234" xfId="0" applyFont="1" applyFill="1" applyBorder="1" applyAlignment="1">
      <alignment horizontal="center" vertical="center"/>
    </xf>
    <xf numFmtId="0" fontId="84" fillId="18" borderId="234" xfId="0" applyFont="1" applyFill="1" applyBorder="1" applyAlignment="1">
      <alignment horizontal="center" vertical="center"/>
    </xf>
    <xf numFmtId="2" fontId="133" fillId="17" borderId="234" xfId="0" applyNumberFormat="1" applyFont="1" applyFill="1" applyBorder="1" applyAlignment="1">
      <alignment horizontal="center" vertical="center"/>
    </xf>
    <xf numFmtId="4" fontId="0" fillId="17" borderId="234" xfId="0" applyNumberFormat="1" applyFill="1" applyBorder="1"/>
    <xf numFmtId="0" fontId="0" fillId="2" borderId="0" xfId="0" applyFill="1" applyBorder="1"/>
    <xf numFmtId="0" fontId="84" fillId="18" borderId="234" xfId="0"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66" fontId="74" fillId="41" borderId="234" xfId="5" applyNumberFormat="1" applyFont="1" applyFill="1" applyBorder="1" applyAlignment="1" applyProtection="1">
      <alignment horizontal="center" vertical="center"/>
    </xf>
    <xf numFmtId="166" fontId="74" fillId="41" borderId="235" xfId="5" applyNumberFormat="1" applyFont="1" applyFill="1" applyBorder="1" applyAlignment="1" applyProtection="1">
      <alignment horizontal="right"/>
    </xf>
    <xf numFmtId="2" fontId="135" fillId="17" borderId="234" xfId="0" applyNumberFormat="1" applyFont="1" applyFill="1" applyBorder="1" applyAlignment="1"/>
    <xf numFmtId="2" fontId="131" fillId="41" borderId="116" xfId="5" applyNumberFormat="1" applyFont="1" applyFill="1" applyBorder="1" applyAlignment="1" applyProtection="1">
      <alignment horizontal="right"/>
    </xf>
    <xf numFmtId="166" fontId="131" fillId="52" borderId="234" xfId="6" applyNumberFormat="1" applyFont="1" applyFill="1" applyBorder="1" applyAlignment="1" applyProtection="1">
      <alignment horizontal="center" vertical="center"/>
    </xf>
    <xf numFmtId="166" fontId="131" fillId="0" borderId="230" xfId="6" applyNumberFormat="1" applyFont="1" applyFill="1" applyBorder="1" applyAlignment="1" applyProtection="1">
      <alignment horizontal="left"/>
    </xf>
    <xf numFmtId="166" fontId="131" fillId="0" borderId="234" xfId="6" applyNumberFormat="1" applyFont="1" applyFill="1" applyBorder="1" applyAlignment="1" applyProtection="1">
      <alignment horizontal="center" vertical="center"/>
    </xf>
    <xf numFmtId="2" fontId="0" fillId="0" borderId="230" xfId="0" applyNumberFormat="1" applyFill="1" applyBorder="1" applyAlignment="1"/>
    <xf numFmtId="2" fontId="132" fillId="0" borderId="230" xfId="0" applyNumberFormat="1" applyFont="1" applyFill="1" applyBorder="1" applyAlignment="1"/>
    <xf numFmtId="2" fontId="132" fillId="0" borderId="235" xfId="0" applyNumberFormat="1" applyFont="1" applyFill="1" applyBorder="1" applyAlignment="1"/>
    <xf numFmtId="166" fontId="0" fillId="41" borderId="4" xfId="0" applyNumberFormat="1" applyFill="1" applyBorder="1"/>
    <xf numFmtId="0" fontId="144" fillId="2" borderId="0" xfId="0" applyFont="1" applyFill="1"/>
    <xf numFmtId="0" fontId="120" fillId="7" borderId="234" xfId="0" applyFont="1" applyFill="1" applyBorder="1" applyAlignment="1">
      <alignment horizontal="center" vertical="center" wrapText="1"/>
    </xf>
    <xf numFmtId="2" fontId="120" fillId="7" borderId="234" xfId="0" applyNumberFormat="1" applyFont="1" applyFill="1" applyBorder="1" applyAlignment="1">
      <alignment horizontal="center" vertical="center" wrapText="1"/>
    </xf>
    <xf numFmtId="0" fontId="211" fillId="0" borderId="1" xfId="0" applyFont="1" applyBorder="1"/>
    <xf numFmtId="0" fontId="124" fillId="0" borderId="1" xfId="0" applyFont="1" applyBorder="1"/>
    <xf numFmtId="0" fontId="124" fillId="0" borderId="1" xfId="0" applyFont="1" applyBorder="1" applyAlignment="1">
      <alignment horizontal="left"/>
    </xf>
    <xf numFmtId="0" fontId="124" fillId="5" borderId="160" xfId="0" applyFont="1" applyFill="1" applyBorder="1"/>
    <xf numFmtId="0" fontId="124" fillId="0" borderId="160" xfId="0" applyFont="1" applyFill="1" applyBorder="1"/>
    <xf numFmtId="0" fontId="124" fillId="5" borderId="1" xfId="0" applyFont="1" applyFill="1" applyBorder="1"/>
    <xf numFmtId="2" fontId="3" fillId="0" borderId="0" xfId="0" applyNumberFormat="1" applyFont="1" applyBorder="1" applyAlignment="1">
      <alignment horizontal="right"/>
    </xf>
    <xf numFmtId="2" fontId="12" fillId="0" borderId="50" xfId="0" applyNumberFormat="1" applyFont="1" applyBorder="1" applyAlignment="1">
      <alignment horizontal="right"/>
    </xf>
    <xf numFmtId="0" fontId="3" fillId="0" borderId="233" xfId="0" applyFont="1" applyBorder="1"/>
    <xf numFmtId="0" fontId="124" fillId="27" borderId="236" xfId="0" applyFont="1" applyFill="1" applyBorder="1" applyAlignment="1"/>
    <xf numFmtId="0" fontId="124" fillId="35" borderId="229" xfId="0" applyFont="1" applyFill="1" applyBorder="1"/>
    <xf numFmtId="0" fontId="124" fillId="35" borderId="235" xfId="0" applyFont="1" applyFill="1" applyBorder="1" applyAlignment="1"/>
    <xf numFmtId="0" fontId="3" fillId="35" borderId="235" xfId="0" applyFont="1" applyFill="1" applyBorder="1"/>
    <xf numFmtId="0" fontId="124" fillId="35" borderId="1" xfId="0" applyFont="1" applyFill="1" applyBorder="1"/>
    <xf numFmtId="0" fontId="124" fillId="35" borderId="235" xfId="0" applyFont="1" applyFill="1" applyBorder="1"/>
    <xf numFmtId="0" fontId="154" fillId="21" borderId="231" xfId="0" applyFont="1" applyFill="1" applyBorder="1" applyAlignment="1">
      <alignment vertical="center"/>
    </xf>
    <xf numFmtId="0" fontId="3" fillId="0" borderId="233" xfId="0" applyFont="1" applyFill="1" applyBorder="1" applyAlignment="1">
      <alignment vertical="center"/>
    </xf>
    <xf numFmtId="0" fontId="3" fillId="35" borderId="235" xfId="0" applyFont="1" applyFill="1" applyBorder="1" applyAlignment="1">
      <alignment vertical="center"/>
    </xf>
    <xf numFmtId="0" fontId="85" fillId="35" borderId="1" xfId="0" applyFont="1" applyFill="1" applyBorder="1"/>
    <xf numFmtId="0" fontId="124" fillId="35" borderId="51" xfId="0" applyFont="1" applyFill="1" applyBorder="1" applyAlignment="1">
      <alignment horizontal="centerContinuous"/>
    </xf>
    <xf numFmtId="2" fontId="3" fillId="0" borderId="230" xfId="0" applyNumberFormat="1" applyFont="1" applyBorder="1" applyAlignment="1">
      <alignment horizontal="right"/>
    </xf>
    <xf numFmtId="0" fontId="124" fillId="0" borderId="231" xfId="0" applyFont="1" applyBorder="1"/>
    <xf numFmtId="0" fontId="154" fillId="35" borderId="235" xfId="0" applyFont="1" applyFill="1" applyBorder="1" applyAlignment="1">
      <alignment vertical="center"/>
    </xf>
    <xf numFmtId="166" fontId="0" fillId="0" borderId="0" xfId="0" applyNumberFormat="1" applyFill="1" applyBorder="1" applyAlignment="1">
      <alignment vertical="center"/>
    </xf>
    <xf numFmtId="0" fontId="124" fillId="35" borderId="230" xfId="0" applyFont="1" applyFill="1" applyBorder="1"/>
    <xf numFmtId="2" fontId="12" fillId="0" borderId="236" xfId="0" applyNumberFormat="1" applyFont="1" applyBorder="1" applyAlignment="1">
      <alignment horizontal="right" vertical="center"/>
    </xf>
    <xf numFmtId="0" fontId="124" fillId="0" borderId="235" xfId="0" applyFont="1" applyFill="1" applyBorder="1" applyAlignment="1">
      <alignment vertical="center"/>
    </xf>
    <xf numFmtId="2" fontId="3" fillId="0" borderId="234" xfId="0" applyNumberFormat="1" applyFont="1" applyBorder="1" applyAlignment="1">
      <alignment horizontal="right"/>
    </xf>
    <xf numFmtId="2" fontId="3" fillId="0" borderId="231" xfId="0" applyNumberFormat="1" applyFont="1" applyBorder="1" applyAlignment="1">
      <alignment horizontal="right" vertical="center"/>
    </xf>
    <xf numFmtId="0" fontId="124" fillId="0" borderId="234" xfId="0" applyFont="1" applyFill="1" applyBorder="1" applyAlignment="1">
      <alignment vertical="center"/>
    </xf>
    <xf numFmtId="0" fontId="3" fillId="0" borderId="234" xfId="0" applyFont="1" applyFill="1" applyBorder="1" applyAlignment="1">
      <alignment vertical="center"/>
    </xf>
    <xf numFmtId="2" fontId="133" fillId="17" borderId="234" xfId="0" applyNumberFormat="1" applyFont="1" applyFill="1" applyBorder="1" applyAlignment="1">
      <alignment horizontal="center" vertical="center"/>
    </xf>
    <xf numFmtId="2" fontId="120" fillId="17" borderId="46" xfId="0" applyNumberFormat="1" applyFont="1" applyFill="1" applyBorder="1" applyAlignment="1">
      <alignment horizontal="right"/>
    </xf>
    <xf numFmtId="2" fontId="120" fillId="61" borderId="46" xfId="0" applyNumberFormat="1" applyFont="1" applyFill="1" applyBorder="1" applyAlignment="1">
      <alignment horizontal="right"/>
    </xf>
    <xf numFmtId="0" fontId="39" fillId="17" borderId="19" xfId="0" applyFont="1" applyFill="1" applyBorder="1" applyAlignment="1">
      <alignment horizontal="left" vertical="center"/>
    </xf>
    <xf numFmtId="1" fontId="39" fillId="17" borderId="19" xfId="0" applyNumberFormat="1" applyFont="1" applyFill="1" applyBorder="1" applyAlignment="1">
      <alignment horizontal="center" vertical="center"/>
    </xf>
    <xf numFmtId="0" fontId="39" fillId="17" borderId="234" xfId="0" applyFont="1" applyFill="1" applyBorder="1" applyAlignment="1">
      <alignment horizontal="left" vertical="center"/>
    </xf>
    <xf numFmtId="1" fontId="39" fillId="17" borderId="234" xfId="0" applyNumberFormat="1" applyFont="1" applyFill="1" applyBorder="1" applyAlignment="1">
      <alignment horizontal="center" vertical="center"/>
    </xf>
    <xf numFmtId="166" fontId="138" fillId="15" borderId="122" xfId="6" applyNumberFormat="1" applyFont="1" applyFill="1" applyBorder="1" applyAlignment="1" applyProtection="1">
      <alignment horizontal="left"/>
    </xf>
    <xf numFmtId="0" fontId="210" fillId="2" borderId="0" xfId="0" applyFont="1" applyFill="1" applyBorder="1" applyAlignment="1">
      <alignment vertical="top"/>
    </xf>
    <xf numFmtId="166" fontId="131" fillId="52" borderId="235" xfId="6" applyNumberFormat="1" applyFont="1" applyFill="1" applyBorder="1" applyAlignment="1" applyProtection="1">
      <alignment horizontal="left"/>
    </xf>
    <xf numFmtId="0" fontId="84" fillId="18" borderId="234" xfId="0" applyFont="1" applyFill="1" applyBorder="1" applyAlignment="1">
      <alignment horizontal="center" vertical="center"/>
    </xf>
    <xf numFmtId="2" fontId="133" fillId="17" borderId="234" xfId="0" applyNumberFormat="1" applyFont="1" applyFill="1" applyBorder="1" applyAlignment="1">
      <alignment horizontal="center" vertical="center"/>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0" fontId="212" fillId="2" borderId="0" xfId="0" applyFont="1" applyFill="1" applyBorder="1" applyAlignment="1">
      <alignment horizontal="left" vertical="center" wrapText="1"/>
    </xf>
    <xf numFmtId="0" fontId="1" fillId="0" borderId="0" xfId="0" applyFont="1" applyFill="1"/>
    <xf numFmtId="0" fontId="140" fillId="0" borderId="0" xfId="0" applyFont="1" applyFill="1" applyBorder="1" applyAlignment="1">
      <alignment vertical="center"/>
    </xf>
    <xf numFmtId="164" fontId="89" fillId="0" borderId="0" xfId="12" applyFont="1" applyFill="1"/>
    <xf numFmtId="164" fontId="89" fillId="70" borderId="0" xfId="12" applyFont="1" applyFill="1"/>
    <xf numFmtId="164" fontId="84" fillId="70" borderId="88" xfId="12" applyFont="1" applyFill="1" applyBorder="1" applyAlignment="1">
      <alignment horizontal="center" vertical="center" wrapText="1"/>
    </xf>
    <xf numFmtId="164" fontId="89" fillId="70" borderId="21" xfId="12" applyFont="1" applyFill="1" applyBorder="1"/>
    <xf numFmtId="164" fontId="140" fillId="70" borderId="34" xfId="12" applyFont="1" applyFill="1" applyBorder="1" applyAlignment="1">
      <alignment vertical="center"/>
    </xf>
    <xf numFmtId="164" fontId="84" fillId="10" borderId="88" xfId="12" applyFont="1" applyFill="1" applyBorder="1" applyAlignment="1">
      <alignment horizontal="center" vertical="center" wrapText="1"/>
    </xf>
    <xf numFmtId="164" fontId="89" fillId="32" borderId="21" xfId="12" applyFont="1" applyFill="1" applyBorder="1"/>
    <xf numFmtId="164" fontId="0" fillId="70" borderId="34" xfId="12" applyFont="1" applyFill="1" applyBorder="1"/>
    <xf numFmtId="164" fontId="84" fillId="70" borderId="12" xfId="12" applyFont="1" applyFill="1" applyBorder="1" applyAlignment="1">
      <alignment horizontal="center" vertical="center" wrapText="1"/>
    </xf>
    <xf numFmtId="164" fontId="84" fillId="10" borderId="8" xfId="12" applyFont="1" applyFill="1" applyBorder="1" applyAlignment="1">
      <alignment horizontal="center" vertical="center" wrapText="1"/>
    </xf>
    <xf numFmtId="164" fontId="89" fillId="32" borderId="93" xfId="12" applyFont="1" applyFill="1" applyBorder="1"/>
    <xf numFmtId="164" fontId="193" fillId="0" borderId="0" xfId="12" applyFont="1" applyFill="1" applyBorder="1" applyAlignment="1">
      <alignment horizontal="left" vertical="center"/>
    </xf>
    <xf numFmtId="0" fontId="0" fillId="70" borderId="34" xfId="0" applyFill="1" applyBorder="1"/>
    <xf numFmtId="166" fontId="84" fillId="69" borderId="234" xfId="0" applyNumberFormat="1" applyFont="1" applyFill="1" applyBorder="1" applyAlignment="1">
      <alignment horizontal="center" vertical="center"/>
    </xf>
    <xf numFmtId="166" fontId="1" fillId="7" borderId="234" xfId="0" applyNumberFormat="1" applyFont="1" applyFill="1" applyBorder="1" applyAlignment="1">
      <alignment horizontal="center" vertical="center"/>
    </xf>
    <xf numFmtId="166" fontId="1" fillId="15" borderId="234" xfId="0" applyNumberFormat="1" applyFont="1" applyFill="1" applyBorder="1" applyAlignment="1">
      <alignment horizontal="center" vertical="center"/>
    </xf>
    <xf numFmtId="166" fontId="1" fillId="62" borderId="234" xfId="0" applyNumberFormat="1" applyFont="1" applyFill="1" applyBorder="1" applyAlignment="1">
      <alignment horizontal="center" vertical="center"/>
    </xf>
    <xf numFmtId="164" fontId="84" fillId="70" borderId="237" xfId="12" applyFont="1" applyFill="1" applyBorder="1" applyAlignment="1">
      <alignment horizontal="center" vertical="center" wrapText="1"/>
    </xf>
    <xf numFmtId="0" fontId="114" fillId="79" borderId="160" xfId="0" applyFont="1" applyFill="1" applyBorder="1" applyAlignment="1">
      <alignment horizontal="center" vertical="center" wrapText="1"/>
    </xf>
    <xf numFmtId="0" fontId="114" fillId="50" borderId="160" xfId="0" applyFont="1" applyFill="1" applyBorder="1" applyAlignment="1">
      <alignment horizontal="center" wrapText="1"/>
    </xf>
    <xf numFmtId="0" fontId="30" fillId="3" borderId="160" xfId="0" applyFont="1" applyFill="1" applyBorder="1" applyAlignment="1">
      <alignment horizontal="left" vertical="center" wrapText="1"/>
    </xf>
    <xf numFmtId="0" fontId="142" fillId="3" borderId="159" xfId="0" applyFont="1" applyFill="1" applyBorder="1" applyAlignment="1">
      <alignment horizontal="center" vertical="center" wrapText="1"/>
    </xf>
    <xf numFmtId="0" fontId="142" fillId="3" borderId="162" xfId="0" applyFont="1" applyFill="1" applyBorder="1" applyAlignment="1">
      <alignment horizontal="center" vertical="center" wrapText="1"/>
    </xf>
    <xf numFmtId="0" fontId="142" fillId="3" borderId="158" xfId="0" applyFont="1" applyFill="1" applyBorder="1" applyAlignment="1">
      <alignment horizontal="center" vertical="center" wrapText="1"/>
    </xf>
    <xf numFmtId="0" fontId="114" fillId="37" borderId="160" xfId="0" applyFont="1" applyFill="1" applyBorder="1" applyAlignment="1">
      <alignment horizontal="center" wrapText="1"/>
    </xf>
    <xf numFmtId="0" fontId="142" fillId="11" borderId="0" xfId="0" applyFont="1" applyFill="1" applyBorder="1" applyAlignment="1">
      <alignment horizontal="center"/>
    </xf>
    <xf numFmtId="2" fontId="89" fillId="65" borderId="160" xfId="0" applyNumberFormat="1" applyFont="1" applyFill="1" applyBorder="1" applyAlignment="1">
      <alignment horizontal="center" vertical="center"/>
    </xf>
    <xf numFmtId="0" fontId="30" fillId="14" borderId="23" xfId="0" applyFont="1" applyFill="1" applyBorder="1" applyAlignment="1">
      <alignment horizontal="center"/>
    </xf>
    <xf numFmtId="0" fontId="30" fillId="14" borderId="10" xfId="0" applyFont="1" applyFill="1" applyBorder="1" applyAlignment="1">
      <alignment horizontal="center"/>
    </xf>
    <xf numFmtId="0" fontId="30" fillId="14" borderId="11" xfId="0" applyFont="1" applyFill="1" applyBorder="1" applyAlignment="1">
      <alignment horizontal="center"/>
    </xf>
    <xf numFmtId="0" fontId="30" fillId="12" borderId="9" xfId="0" applyFont="1" applyFill="1" applyBorder="1" applyAlignment="1">
      <alignment horizontal="center"/>
    </xf>
    <xf numFmtId="0" fontId="30" fillId="12" borderId="37" xfId="0" applyFont="1" applyFill="1" applyBorder="1" applyAlignment="1">
      <alignment horizontal="center"/>
    </xf>
    <xf numFmtId="166" fontId="33" fillId="14" borderId="39" xfId="0" applyNumberFormat="1" applyFont="1" applyFill="1" applyBorder="1" applyAlignment="1">
      <alignment horizontal="center" vertical="center"/>
    </xf>
    <xf numFmtId="166" fontId="33" fillId="14" borderId="92" xfId="0" applyNumberFormat="1" applyFont="1" applyFill="1" applyBorder="1" applyAlignment="1">
      <alignment horizontal="center" vertical="center"/>
    </xf>
    <xf numFmtId="166" fontId="33" fillId="14" borderId="93" xfId="0" applyNumberFormat="1" applyFont="1" applyFill="1" applyBorder="1" applyAlignment="1">
      <alignment horizontal="center" vertical="center"/>
    </xf>
    <xf numFmtId="0" fontId="192" fillId="14" borderId="0" xfId="0" applyFont="1" applyFill="1" applyAlignment="1">
      <alignment horizontal="center" vertical="center"/>
    </xf>
    <xf numFmtId="0" fontId="89" fillId="14" borderId="160" xfId="0" applyFont="1" applyFill="1" applyBorder="1" applyAlignment="1">
      <alignment horizontal="center"/>
    </xf>
    <xf numFmtId="0" fontId="89" fillId="13" borderId="160" xfId="0" applyFont="1" applyFill="1" applyBorder="1" applyAlignment="1">
      <alignment horizontal="center"/>
    </xf>
    <xf numFmtId="2" fontId="89" fillId="14" borderId="160" xfId="0" applyNumberFormat="1" applyFont="1" applyFill="1" applyBorder="1" applyAlignment="1">
      <alignment horizontal="center" vertical="center"/>
    </xf>
    <xf numFmtId="4" fontId="200" fillId="5" borderId="210" xfId="0" applyNumberFormat="1" applyFont="1" applyFill="1" applyBorder="1" applyAlignment="1">
      <alignment horizontal="center" wrapText="1"/>
    </xf>
    <xf numFmtId="4" fontId="200" fillId="5" borderId="0" xfId="0" applyNumberFormat="1" applyFont="1" applyFill="1" applyAlignment="1">
      <alignment horizontal="center" wrapText="1"/>
    </xf>
    <xf numFmtId="0" fontId="197" fillId="8" borderId="151" xfId="0" applyFont="1" applyFill="1" applyBorder="1" applyAlignment="1">
      <alignment horizontal="left" vertical="center" wrapText="1"/>
    </xf>
    <xf numFmtId="0" fontId="197" fillId="8" borderId="206" xfId="0" applyFont="1" applyFill="1" applyBorder="1" applyAlignment="1">
      <alignment horizontal="left" vertical="center" wrapText="1"/>
    </xf>
    <xf numFmtId="2" fontId="114" fillId="11" borderId="151" xfId="0" applyNumberFormat="1" applyFont="1" applyFill="1" applyBorder="1" applyAlignment="1">
      <alignment horizontal="center"/>
    </xf>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0" fontId="197" fillId="20" borderId="151" xfId="0" applyFont="1" applyFill="1" applyBorder="1" applyAlignment="1">
      <alignment horizontal="center" wrapText="1"/>
    </xf>
    <xf numFmtId="0" fontId="197" fillId="20" borderId="206" xfId="0" applyFont="1" applyFill="1" applyBorder="1" applyAlignment="1">
      <alignment horizontal="center" wrapText="1"/>
    </xf>
    <xf numFmtId="0" fontId="197" fillId="20" borderId="151" xfId="0" applyFont="1" applyFill="1" applyBorder="1" applyAlignment="1">
      <alignment horizontal="center" vertical="center" wrapText="1"/>
    </xf>
    <xf numFmtId="0" fontId="197" fillId="20" borderId="206" xfId="0" applyFont="1" applyFill="1" applyBorder="1" applyAlignment="1">
      <alignment horizontal="center" vertical="center" wrapText="1"/>
    </xf>
    <xf numFmtId="0" fontId="185" fillId="32" borderId="210" xfId="0" applyFont="1" applyFill="1" applyBorder="1" applyAlignment="1">
      <alignment horizontal="center" vertical="center" wrapText="1"/>
    </xf>
    <xf numFmtId="0" fontId="185" fillId="32" borderId="228" xfId="0" applyFont="1" applyFill="1" applyBorder="1" applyAlignment="1">
      <alignment horizontal="center" vertical="center" wrapText="1"/>
    </xf>
    <xf numFmtId="0" fontId="198" fillId="11" borderId="159" xfId="0" applyFont="1" applyFill="1" applyBorder="1" applyAlignment="1">
      <alignment horizontal="center"/>
    </xf>
    <xf numFmtId="0" fontId="198" fillId="11" borderId="162" xfId="0" applyFont="1" applyFill="1" applyBorder="1" applyAlignment="1">
      <alignment horizontal="center"/>
    </xf>
    <xf numFmtId="0" fontId="198" fillId="11" borderId="158" xfId="0" applyFont="1" applyFill="1" applyBorder="1" applyAlignment="1">
      <alignment horizontal="center"/>
    </xf>
    <xf numFmtId="0" fontId="185" fillId="11" borderId="151" xfId="0" applyFont="1" applyFill="1" applyBorder="1" applyAlignment="1">
      <alignment horizontal="center" vertical="center"/>
    </xf>
    <xf numFmtId="0" fontId="185" fillId="11" borderId="209" xfId="0" applyFont="1" applyFill="1" applyBorder="1" applyAlignment="1">
      <alignment horizontal="center" vertical="center"/>
    </xf>
    <xf numFmtId="0" fontId="185" fillId="11" borderId="206" xfId="0" applyFont="1" applyFill="1" applyBorder="1" applyAlignment="1">
      <alignment horizontal="center" vertical="center"/>
    </xf>
    <xf numFmtId="0" fontId="197" fillId="20" borderId="209" xfId="0" applyFont="1" applyFill="1" applyBorder="1" applyAlignment="1">
      <alignment horizontal="center" vertical="center" wrapText="1"/>
    </xf>
    <xf numFmtId="2" fontId="114" fillId="11" borderId="151" xfId="0" applyNumberFormat="1" applyFont="1" applyFill="1" applyBorder="1" applyAlignment="1">
      <alignment horizontal="center" vertical="center"/>
    </xf>
    <xf numFmtId="2" fontId="114" fillId="11" borderId="209" xfId="0" applyNumberFormat="1" applyFont="1" applyFill="1" applyBorder="1" applyAlignment="1">
      <alignment horizontal="center" vertical="center"/>
    </xf>
    <xf numFmtId="2" fontId="114" fillId="11" borderId="206" xfId="0" applyNumberFormat="1" applyFont="1" applyFill="1" applyBorder="1" applyAlignment="1">
      <alignment horizontal="center" vertical="center"/>
    </xf>
    <xf numFmtId="2" fontId="185" fillId="11" borderId="209" xfId="0" applyNumberFormat="1" applyFont="1" applyFill="1" applyBorder="1" applyAlignment="1">
      <alignment horizontal="center" vertical="center"/>
    </xf>
    <xf numFmtId="2" fontId="185" fillId="11" borderId="206" xfId="0" applyNumberFormat="1" applyFont="1" applyFill="1" applyBorder="1" applyAlignment="1">
      <alignment horizontal="center" vertical="center"/>
    </xf>
    <xf numFmtId="0" fontId="197" fillId="20" borderId="151" xfId="0" applyFont="1" applyFill="1" applyBorder="1" applyAlignment="1">
      <alignment horizontal="left" vertical="center" wrapText="1"/>
    </xf>
    <xf numFmtId="0" fontId="197" fillId="20" borderId="206" xfId="0" applyFont="1" applyFill="1" applyBorder="1" applyAlignment="1">
      <alignment horizontal="left" vertical="center" wrapText="1"/>
    </xf>
    <xf numFmtId="0" fontId="197" fillId="20" borderId="151" xfId="0" applyFont="1" applyFill="1" applyBorder="1" applyAlignment="1">
      <alignment horizontal="left" vertical="center"/>
    </xf>
    <xf numFmtId="0" fontId="197" fillId="20" borderId="206" xfId="0" applyFont="1" applyFill="1" applyBorder="1" applyAlignment="1">
      <alignment horizontal="left" vertical="center"/>
    </xf>
    <xf numFmtId="0" fontId="89" fillId="12" borderId="2" xfId="0" applyFont="1" applyFill="1" applyBorder="1" applyAlignment="1">
      <alignment horizontal="center"/>
    </xf>
    <xf numFmtId="0" fontId="89" fillId="12" borderId="3" xfId="0" applyFont="1" applyFill="1" applyBorder="1" applyAlignment="1">
      <alignment horizontal="center"/>
    </xf>
    <xf numFmtId="0" fontId="89" fillId="12" borderId="4" xfId="0" applyFont="1" applyFill="1" applyBorder="1" applyAlignment="1">
      <alignment horizontal="center"/>
    </xf>
    <xf numFmtId="0" fontId="123" fillId="0" borderId="0" xfId="0" applyFont="1" applyFill="1" applyBorder="1" applyAlignment="1">
      <alignment horizontal="center" vertical="center" wrapText="1"/>
    </xf>
    <xf numFmtId="0" fontId="26" fillId="7" borderId="1" xfId="0" applyFont="1" applyFill="1" applyBorder="1" applyAlignment="1">
      <alignment horizontal="center" wrapText="1"/>
    </xf>
    <xf numFmtId="0" fontId="89" fillId="11" borderId="2" xfId="0" applyFont="1" applyFill="1" applyBorder="1" applyAlignment="1">
      <alignment horizontal="center"/>
    </xf>
    <xf numFmtId="0" fontId="89" fillId="11" borderId="4" xfId="0" applyFont="1" applyFill="1" applyBorder="1" applyAlignment="1">
      <alignment horizontal="center"/>
    </xf>
    <xf numFmtId="0" fontId="89" fillId="2" borderId="2" xfId="0" applyFont="1" applyFill="1" applyBorder="1" applyAlignment="1">
      <alignment horizontal="center"/>
    </xf>
    <xf numFmtId="0" fontId="89" fillId="2" borderId="3" xfId="0" applyFont="1" applyFill="1" applyBorder="1" applyAlignment="1">
      <alignment horizontal="center"/>
    </xf>
    <xf numFmtId="0" fontId="89" fillId="2" borderId="4" xfId="0" applyFont="1" applyFill="1" applyBorder="1" applyAlignment="1">
      <alignment horizontal="center"/>
    </xf>
    <xf numFmtId="0" fontId="123" fillId="21" borderId="89" xfId="0" applyFont="1" applyFill="1" applyBorder="1" applyAlignment="1">
      <alignment horizontal="center" vertical="center" wrapText="1"/>
    </xf>
    <xf numFmtId="0" fontId="123" fillId="21" borderId="12" xfId="0" applyFont="1" applyFill="1" applyBorder="1" applyAlignment="1">
      <alignment horizontal="center" vertical="center" wrapText="1"/>
    </xf>
    <xf numFmtId="0" fontId="6" fillId="0" borderId="0" xfId="0" applyFont="1" applyFill="1" applyBorder="1" applyAlignment="1">
      <alignment horizontal="center" vertical="top" wrapText="1"/>
    </xf>
    <xf numFmtId="0" fontId="123" fillId="21" borderId="19" xfId="0" applyFont="1" applyFill="1" applyBorder="1" applyAlignment="1">
      <alignment horizontal="center" vertical="center" wrapText="1"/>
    </xf>
    <xf numFmtId="0" fontId="123" fillId="21" borderId="54" xfId="0" applyFont="1" applyFill="1" applyBorder="1" applyAlignment="1">
      <alignment horizontal="center" vertical="center" wrapText="1"/>
    </xf>
    <xf numFmtId="0" fontId="123" fillId="21" borderId="9" xfId="0" applyFont="1" applyFill="1" applyBorder="1" applyAlignment="1">
      <alignment horizontal="center" vertical="center" wrapText="1"/>
    </xf>
    <xf numFmtId="0" fontId="62" fillId="7" borderId="19"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62" fillId="7" borderId="46" xfId="0" applyFont="1" applyFill="1" applyBorder="1" applyAlignment="1" applyProtection="1">
      <alignment horizontal="left" vertical="center"/>
    </xf>
    <xf numFmtId="0" fontId="62" fillId="7" borderId="89"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9" xfId="0" applyFont="1" applyFill="1" applyBorder="1" applyAlignment="1">
      <alignment horizontal="center" vertical="center"/>
    </xf>
    <xf numFmtId="0" fontId="1" fillId="7" borderId="9" xfId="0" applyFont="1" applyFill="1" applyBorder="1" applyAlignment="1">
      <alignment horizontal="center" vertical="center"/>
    </xf>
    <xf numFmtId="0" fontId="62" fillId="7" borderId="19" xfId="0" applyFont="1" applyFill="1" applyBorder="1" applyAlignment="1" applyProtection="1">
      <alignment horizontal="center" vertical="center" wrapText="1"/>
    </xf>
    <xf numFmtId="0" fontId="62" fillId="7" borderId="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2" fontId="84" fillId="11" borderId="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133" fillId="7" borderId="1" xfId="0" applyFont="1" applyFill="1" applyBorder="1" applyAlignment="1">
      <alignment horizontal="left" vertical="center"/>
    </xf>
    <xf numFmtId="0" fontId="1" fillId="7" borderId="1" xfId="0" applyFont="1" applyFill="1" applyBorder="1" applyAlignment="1">
      <alignment horizontal="center" vertical="center"/>
    </xf>
    <xf numFmtId="0" fontId="1" fillId="7" borderId="1" xfId="0" applyFont="1" applyFill="1" applyBorder="1" applyAlignment="1">
      <alignment horizontal="left" vertical="center"/>
    </xf>
    <xf numFmtId="0" fontId="62" fillId="0" borderId="54" xfId="0" applyFont="1" applyFill="1" applyBorder="1" applyAlignment="1" applyProtection="1">
      <alignment horizontal="left" vertical="center"/>
    </xf>
    <xf numFmtId="0" fontId="0" fillId="41" borderId="9" xfId="0" applyFill="1" applyBorder="1" applyAlignment="1">
      <alignment horizontal="center"/>
    </xf>
    <xf numFmtId="0" fontId="0" fillId="41" borderId="1" xfId="0" applyFill="1" applyBorder="1" applyAlignment="1">
      <alignment horizontal="center"/>
    </xf>
    <xf numFmtId="0" fontId="0" fillId="41" borderId="19" xfId="0" applyFill="1" applyBorder="1" applyAlignment="1">
      <alignment horizontal="center" vertical="center"/>
    </xf>
    <xf numFmtId="0" fontId="0" fillId="41" borderId="9" xfId="0" applyFill="1" applyBorder="1" applyAlignment="1">
      <alignment horizontal="center" vertical="center"/>
    </xf>
    <xf numFmtId="0" fontId="1" fillId="41" borderId="19" xfId="0" applyFont="1" applyFill="1" applyBorder="1" applyAlignment="1">
      <alignment horizontal="left" vertical="center"/>
    </xf>
    <xf numFmtId="0" fontId="1" fillId="41" borderId="9" xfId="0" applyFont="1" applyFill="1" applyBorder="1" applyAlignment="1">
      <alignment horizontal="left" vertical="center"/>
    </xf>
    <xf numFmtId="0" fontId="62" fillId="4" borderId="19" xfId="0" applyFont="1" applyFill="1" applyBorder="1" applyAlignment="1" applyProtection="1">
      <alignment horizontal="center" vertical="center" wrapText="1"/>
    </xf>
    <xf numFmtId="0" fontId="62" fillId="4" borderId="9" xfId="0" applyFont="1" applyFill="1" applyBorder="1" applyAlignment="1" applyProtection="1">
      <alignment horizontal="center" vertical="center" wrapText="1"/>
    </xf>
    <xf numFmtId="0" fontId="62" fillId="15" borderId="19" xfId="0" applyFont="1" applyFill="1" applyBorder="1" applyAlignment="1" applyProtection="1">
      <alignment horizontal="center" vertical="center" wrapText="1"/>
    </xf>
    <xf numFmtId="0" fontId="62" fillId="15" borderId="9" xfId="0" applyFont="1" applyFill="1" applyBorder="1" applyAlignment="1" applyProtection="1">
      <alignment horizontal="center" vertical="center" wrapText="1"/>
    </xf>
    <xf numFmtId="2" fontId="1" fillId="4" borderId="1" xfId="0" applyNumberFormat="1" applyFont="1" applyFill="1" applyBorder="1" applyAlignment="1">
      <alignment horizontal="center" vertical="center"/>
    </xf>
    <xf numFmtId="166" fontId="1" fillId="4" borderId="1" xfId="0" applyNumberFormat="1" applyFont="1" applyFill="1" applyBorder="1" applyAlignment="1">
      <alignment horizontal="center" vertical="center"/>
    </xf>
    <xf numFmtId="0" fontId="62" fillId="4" borderId="1" xfId="0" applyFont="1" applyFill="1" applyBorder="1" applyAlignment="1" applyProtection="1">
      <alignment horizontal="center" vertical="center"/>
    </xf>
    <xf numFmtId="0" fontId="62" fillId="15" borderId="1" xfId="0" applyFont="1" applyFill="1" applyBorder="1" applyAlignment="1" applyProtection="1">
      <alignment horizontal="center" vertical="center"/>
    </xf>
    <xf numFmtId="0" fontId="62" fillId="4" borderId="19" xfId="0" applyFont="1" applyFill="1" applyBorder="1" applyAlignment="1" applyProtection="1">
      <alignment horizontal="center" vertical="center"/>
    </xf>
    <xf numFmtId="0" fontId="62" fillId="4" borderId="9" xfId="0" applyFont="1" applyFill="1" applyBorder="1" applyAlignment="1" applyProtection="1">
      <alignment horizontal="center" vertical="center"/>
    </xf>
    <xf numFmtId="166" fontId="84" fillId="11" borderId="19" xfId="0" applyNumberFormat="1" applyFont="1" applyFill="1" applyBorder="1" applyAlignment="1">
      <alignment horizontal="center" vertical="center"/>
    </xf>
    <xf numFmtId="166" fontId="84" fillId="11" borderId="9" xfId="0" applyNumberFormat="1" applyFont="1" applyFill="1" applyBorder="1" applyAlignment="1">
      <alignment horizontal="center" vertical="center"/>
    </xf>
    <xf numFmtId="2" fontId="133" fillId="17" borderId="46" xfId="0" applyNumberFormat="1" applyFont="1" applyFill="1" applyBorder="1" applyAlignment="1">
      <alignment horizontal="center" vertical="center"/>
    </xf>
    <xf numFmtId="2" fontId="133" fillId="17" borderId="12" xfId="0" applyNumberFormat="1" applyFont="1" applyFill="1" applyBorder="1" applyAlignment="1">
      <alignment horizontal="center" vertical="center"/>
    </xf>
    <xf numFmtId="2" fontId="84" fillId="61" borderId="2" xfId="0" applyNumberFormat="1" applyFont="1" applyFill="1" applyBorder="1" applyAlignment="1">
      <alignment horizontal="center" vertical="center"/>
    </xf>
    <xf numFmtId="2" fontId="84" fillId="61" borderId="3" xfId="0" applyNumberFormat="1" applyFont="1" applyFill="1" applyBorder="1" applyAlignment="1">
      <alignment horizontal="center" vertical="center"/>
    </xf>
    <xf numFmtId="2" fontId="84" fillId="61" borderId="230" xfId="0" applyNumberFormat="1" applyFont="1" applyFill="1" applyBorder="1" applyAlignment="1">
      <alignment horizontal="center" vertical="center"/>
    </xf>
    <xf numFmtId="0" fontId="133" fillId="7" borderId="9" xfId="0" applyFont="1" applyFill="1" applyBorder="1" applyAlignment="1">
      <alignment horizontal="left" vertical="center"/>
    </xf>
    <xf numFmtId="0" fontId="62" fillId="7" borderId="54" xfId="0" applyFont="1" applyFill="1" applyBorder="1" applyAlignment="1" applyProtection="1">
      <alignment horizontal="center" vertical="center" wrapText="1"/>
    </xf>
    <xf numFmtId="2" fontId="84" fillId="11" borderId="54" xfId="0" applyNumberFormat="1" applyFont="1" applyFill="1" applyBorder="1" applyAlignment="1">
      <alignment horizontal="center" vertical="center" wrapText="1"/>
    </xf>
    <xf numFmtId="0" fontId="62" fillId="7" borderId="54"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48"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233" xfId="0" applyFont="1" applyFill="1" applyBorder="1" applyAlignment="1" applyProtection="1">
      <alignment horizontal="left" vertical="center"/>
    </xf>
    <xf numFmtId="0" fontId="62" fillId="7" borderId="232" xfId="0" applyFont="1" applyFill="1" applyBorder="1" applyAlignment="1" applyProtection="1">
      <alignment horizontal="left" vertical="center"/>
    </xf>
    <xf numFmtId="0" fontId="133" fillId="7" borderId="19" xfId="0" applyFont="1" applyFill="1" applyBorder="1" applyAlignment="1">
      <alignment horizontal="left" vertical="center"/>
    </xf>
    <xf numFmtId="0" fontId="99" fillId="5" borderId="0" xfId="0" applyFont="1" applyFill="1" applyBorder="1" applyAlignment="1">
      <alignment horizontal="center" vertical="center" wrapText="1"/>
    </xf>
    <xf numFmtId="0" fontId="103" fillId="69" borderId="84" xfId="0" applyFont="1" applyFill="1" applyBorder="1" applyAlignment="1">
      <alignment horizontal="left" vertical="center"/>
    </xf>
    <xf numFmtId="0" fontId="103" fillId="69" borderId="17" xfId="0" applyFont="1" applyFill="1" applyBorder="1" applyAlignment="1">
      <alignment horizontal="left" vertical="center"/>
    </xf>
    <xf numFmtId="0" fontId="103" fillId="69" borderId="89" xfId="0" applyFont="1" applyFill="1" applyBorder="1" applyAlignment="1">
      <alignment horizontal="left" vertical="center"/>
    </xf>
    <xf numFmtId="0" fontId="103" fillId="69" borderId="46" xfId="0" applyFont="1" applyFill="1" applyBorder="1" applyAlignment="1">
      <alignment horizontal="left" vertical="center"/>
    </xf>
    <xf numFmtId="0" fontId="103" fillId="69" borderId="51" xfId="0" applyFont="1" applyFill="1" applyBorder="1" applyAlignment="1">
      <alignment horizontal="left" vertical="center"/>
    </xf>
    <xf numFmtId="0" fontId="103" fillId="69" borderId="12" xfId="0" applyFont="1" applyFill="1" applyBorder="1" applyAlignment="1">
      <alignment horizontal="left" vertical="center"/>
    </xf>
    <xf numFmtId="0" fontId="84" fillId="18" borderId="19" xfId="0"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9" xfId="0" applyFont="1" applyFill="1" applyBorder="1" applyAlignment="1">
      <alignment horizontal="left" vertical="center"/>
    </xf>
    <xf numFmtId="0" fontId="84" fillId="18" borderId="9" xfId="0" applyFont="1" applyFill="1" applyBorder="1" applyAlignment="1">
      <alignment horizontal="left" vertical="center"/>
    </xf>
    <xf numFmtId="0" fontId="84" fillId="69" borderId="234" xfId="0" applyFont="1" applyFill="1" applyBorder="1" applyAlignment="1">
      <alignment horizontal="center" vertical="center"/>
    </xf>
    <xf numFmtId="0" fontId="84" fillId="18" borderId="234" xfId="0" applyFont="1" applyFill="1" applyBorder="1" applyAlignment="1">
      <alignment horizontal="center" vertical="center"/>
    </xf>
    <xf numFmtId="0" fontId="0" fillId="17" borderId="234" xfId="0" applyFill="1" applyBorder="1" applyAlignment="1">
      <alignment horizontal="center"/>
    </xf>
    <xf numFmtId="2" fontId="133" fillId="17" borderId="234" xfId="0" applyNumberFormat="1" applyFont="1" applyFill="1" applyBorder="1" applyAlignment="1">
      <alignment horizontal="center" vertical="center"/>
    </xf>
    <xf numFmtId="2" fontId="84" fillId="61" borderId="234" xfId="0" applyNumberFormat="1" applyFont="1" applyFill="1" applyBorder="1" applyAlignment="1">
      <alignment horizontal="center" vertical="center"/>
    </xf>
    <xf numFmtId="0" fontId="1" fillId="7" borderId="54" xfId="0" applyFont="1" applyFill="1" applyBorder="1" applyAlignment="1">
      <alignment horizontal="center" vertical="center"/>
    </xf>
    <xf numFmtId="0" fontId="62" fillId="7" borderId="50" xfId="0" applyFont="1" applyFill="1" applyBorder="1" applyAlignment="1" applyProtection="1">
      <alignment horizontal="left"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166" fontId="1" fillId="58" borderId="2" xfId="0" applyNumberFormat="1" applyFont="1" applyFill="1" applyBorder="1" applyAlignment="1">
      <alignment horizontal="center" vertical="center"/>
    </xf>
    <xf numFmtId="166" fontId="1" fillId="58" borderId="3" xfId="0" applyNumberFormat="1" applyFont="1" applyFill="1" applyBorder="1" applyAlignment="1">
      <alignment horizontal="center" vertical="center"/>
    </xf>
    <xf numFmtId="166" fontId="1" fillId="58" borderId="4" xfId="0" applyNumberFormat="1" applyFont="1" applyFill="1" applyBorder="1" applyAlignment="1">
      <alignment horizontal="center" vertical="center"/>
    </xf>
    <xf numFmtId="166" fontId="1" fillId="58" borderId="1" xfId="0" applyNumberFormat="1" applyFont="1" applyFill="1" applyBorder="1" applyAlignment="1">
      <alignment horizontal="center" vertical="center"/>
    </xf>
    <xf numFmtId="166" fontId="1" fillId="58" borderId="1" xfId="0" applyNumberFormat="1" applyFont="1" applyFill="1" applyBorder="1" applyAlignment="1">
      <alignment horizontal="left" vertical="center"/>
    </xf>
    <xf numFmtId="166" fontId="1" fillId="58" borderId="19" xfId="0" applyNumberFormat="1" applyFont="1" applyFill="1" applyBorder="1" applyAlignment="1">
      <alignment horizontal="left" vertical="center"/>
    </xf>
    <xf numFmtId="166" fontId="1" fillId="58" borderId="84" xfId="0" applyNumberFormat="1" applyFont="1" applyFill="1" applyBorder="1" applyAlignment="1">
      <alignment horizontal="center" vertical="center"/>
    </xf>
    <xf numFmtId="166" fontId="1" fillId="58" borderId="17" xfId="0" applyNumberFormat="1" applyFont="1" applyFill="1" applyBorder="1" applyAlignment="1">
      <alignment horizontal="center" vertical="center"/>
    </xf>
    <xf numFmtId="166" fontId="1" fillId="58" borderId="89" xfId="0" applyNumberFormat="1" applyFont="1" applyFill="1" applyBorder="1" applyAlignment="1">
      <alignment horizontal="center" vertical="center"/>
    </xf>
    <xf numFmtId="166" fontId="1" fillId="58" borderId="46" xfId="0" applyNumberFormat="1" applyFont="1" applyFill="1" applyBorder="1" applyAlignment="1">
      <alignment horizontal="center" vertical="center"/>
    </xf>
    <xf numFmtId="166" fontId="1" fillId="58" borderId="51" xfId="0" applyNumberFormat="1" applyFont="1" applyFill="1" applyBorder="1" applyAlignment="1">
      <alignment horizontal="center" vertical="center"/>
    </xf>
    <xf numFmtId="166" fontId="1" fillId="58" borderId="12" xfId="0" applyNumberFormat="1" applyFont="1" applyFill="1" applyBorder="1" applyAlignment="1">
      <alignment horizontal="center" vertical="center"/>
    </xf>
    <xf numFmtId="0" fontId="1" fillId="58" borderId="1" xfId="0" applyFont="1" applyFill="1" applyBorder="1" applyAlignment="1">
      <alignment horizontal="center" vertical="center"/>
    </xf>
    <xf numFmtId="0" fontId="84" fillId="69" borderId="2" xfId="0" applyFont="1" applyFill="1" applyBorder="1" applyAlignment="1">
      <alignment horizontal="center" vertical="center"/>
    </xf>
    <xf numFmtId="0" fontId="84" fillId="69" borderId="4" xfId="0" applyFont="1" applyFill="1" applyBorder="1" applyAlignment="1">
      <alignment horizontal="center" vertical="center"/>
    </xf>
    <xf numFmtId="0" fontId="84" fillId="18" borderId="1" xfId="0" applyFont="1" applyFill="1" applyBorder="1" applyAlignment="1">
      <alignment horizontal="center" vertical="center"/>
    </xf>
    <xf numFmtId="0" fontId="84" fillId="18" borderId="229" xfId="0" applyFont="1" applyFill="1" applyBorder="1" applyAlignment="1">
      <alignment horizontal="center" vertical="center"/>
    </xf>
    <xf numFmtId="0" fontId="0" fillId="17" borderId="2" xfId="0" applyFill="1" applyBorder="1" applyAlignment="1">
      <alignment horizontal="center"/>
    </xf>
    <xf numFmtId="0" fontId="0" fillId="17" borderId="4" xfId="0" applyFill="1" applyBorder="1" applyAlignment="1">
      <alignment horizontal="center"/>
    </xf>
    <xf numFmtId="2" fontId="133" fillId="17" borderId="2" xfId="0" applyNumberFormat="1" applyFont="1" applyFill="1" applyBorder="1" applyAlignment="1">
      <alignment horizontal="center" vertical="center"/>
    </xf>
    <xf numFmtId="2" fontId="133" fillId="17" borderId="4" xfId="0" applyNumberFormat="1" applyFont="1" applyFill="1" applyBorder="1" applyAlignment="1">
      <alignment horizontal="center" vertical="center"/>
    </xf>
    <xf numFmtId="0" fontId="133" fillId="7" borderId="231" xfId="0" applyFont="1" applyFill="1" applyBorder="1" applyAlignment="1">
      <alignment horizontal="left" vertical="center"/>
    </xf>
    <xf numFmtId="0" fontId="84" fillId="69" borderId="229" xfId="0" applyFont="1" applyFill="1" applyBorder="1" applyAlignment="1">
      <alignment horizontal="center" vertical="center"/>
    </xf>
    <xf numFmtId="0" fontId="84" fillId="69" borderId="235" xfId="0" applyFont="1" applyFill="1" applyBorder="1" applyAlignment="1">
      <alignment horizontal="center" vertical="center"/>
    </xf>
    <xf numFmtId="0" fontId="0" fillId="17" borderId="229" xfId="0" applyFill="1" applyBorder="1" applyAlignment="1">
      <alignment horizontal="center"/>
    </xf>
    <xf numFmtId="0" fontId="0" fillId="17" borderId="235" xfId="0" applyFill="1" applyBorder="1" applyAlignment="1">
      <alignment horizontal="center"/>
    </xf>
    <xf numFmtId="0" fontId="104" fillId="60" borderId="229" xfId="0" applyFont="1" applyFill="1" applyBorder="1" applyAlignment="1">
      <alignment horizontal="center" vertical="center"/>
    </xf>
    <xf numFmtId="0" fontId="104" fillId="60" borderId="230" xfId="0" applyFont="1" applyFill="1" applyBorder="1" applyAlignment="1">
      <alignment horizontal="center" vertical="center"/>
    </xf>
    <xf numFmtId="2" fontId="133" fillId="17" borderId="229" xfId="0" applyNumberFormat="1" applyFont="1" applyFill="1" applyBorder="1" applyAlignment="1">
      <alignment horizontal="center" vertical="center"/>
    </xf>
    <xf numFmtId="2" fontId="133" fillId="17" borderId="235" xfId="0" applyNumberFormat="1" applyFont="1" applyFill="1" applyBorder="1" applyAlignment="1">
      <alignment horizontal="center" vertical="center"/>
    </xf>
    <xf numFmtId="2" fontId="84" fillId="61" borderId="229" xfId="0" applyNumberFormat="1" applyFont="1" applyFill="1" applyBorder="1" applyAlignment="1">
      <alignment horizontal="center" vertical="center"/>
    </xf>
    <xf numFmtId="2" fontId="84" fillId="61" borderId="235" xfId="0" applyNumberFormat="1" applyFont="1" applyFill="1" applyBorder="1" applyAlignment="1">
      <alignment horizontal="center" vertical="center"/>
    </xf>
    <xf numFmtId="0" fontId="62" fillId="7" borderId="231" xfId="0" applyFont="1" applyFill="1" applyBorder="1" applyAlignment="1" applyProtection="1">
      <alignment horizontal="center" vertical="center" wrapText="1"/>
    </xf>
    <xf numFmtId="1" fontId="133" fillId="17" borderId="2" xfId="0" applyNumberFormat="1" applyFont="1" applyFill="1" applyBorder="1" applyAlignment="1">
      <alignment horizontal="center" vertical="center"/>
    </xf>
    <xf numFmtId="1" fontId="133" fillId="17" borderId="4" xfId="0" applyNumberFormat="1" applyFont="1" applyFill="1" applyBorder="1" applyAlignment="1">
      <alignment horizontal="center" vertical="center"/>
    </xf>
    <xf numFmtId="166" fontId="1" fillId="58" borderId="19" xfId="0" applyNumberFormat="1" applyFont="1" applyFill="1" applyBorder="1" applyAlignment="1">
      <alignment horizontal="center" vertical="center"/>
    </xf>
    <xf numFmtId="166" fontId="1" fillId="58" borderId="9" xfId="0" applyNumberFormat="1" applyFont="1" applyFill="1" applyBorder="1" applyAlignment="1">
      <alignment horizontal="center" vertical="center"/>
    </xf>
    <xf numFmtId="166" fontId="1" fillId="58" borderId="9" xfId="0" applyNumberFormat="1" applyFont="1" applyFill="1" applyBorder="1" applyAlignment="1">
      <alignment horizontal="left" vertical="center"/>
    </xf>
    <xf numFmtId="0" fontId="1" fillId="58" borderId="84" xfId="0" applyFont="1" applyFill="1" applyBorder="1" applyAlignment="1">
      <alignment horizontal="center" vertical="center"/>
    </xf>
    <xf numFmtId="0" fontId="1" fillId="58" borderId="17" xfId="0" applyFont="1" applyFill="1" applyBorder="1" applyAlignment="1">
      <alignment horizontal="center" vertical="center"/>
    </xf>
    <xf numFmtId="0" fontId="1" fillId="58" borderId="89" xfId="0" applyFont="1" applyFill="1" applyBorder="1" applyAlignment="1">
      <alignment horizontal="center" vertical="center"/>
    </xf>
    <xf numFmtId="0" fontId="1" fillId="58" borderId="46" xfId="0" applyFont="1" applyFill="1" applyBorder="1" applyAlignment="1">
      <alignment horizontal="center" vertical="center"/>
    </xf>
    <xf numFmtId="0" fontId="1" fillId="58" borderId="51" xfId="0" applyFont="1" applyFill="1" applyBorder="1" applyAlignment="1">
      <alignment horizontal="center" vertical="center"/>
    </xf>
    <xf numFmtId="0" fontId="1" fillId="58" borderId="12" xfId="0" applyFont="1" applyFill="1" applyBorder="1" applyAlignment="1">
      <alignment horizontal="center" vertical="center"/>
    </xf>
    <xf numFmtId="0" fontId="62" fillId="2" borderId="84" xfId="0" applyFont="1" applyFill="1" applyBorder="1" applyAlignment="1" applyProtection="1">
      <alignment horizontal="left" vertical="center"/>
    </xf>
    <xf numFmtId="0" fontId="62" fillId="2" borderId="46" xfId="0" applyFont="1" applyFill="1" applyBorder="1" applyAlignment="1" applyProtection="1">
      <alignment horizontal="left" vertical="center"/>
    </xf>
    <xf numFmtId="0" fontId="62" fillId="2" borderId="89" xfId="0" applyFont="1" applyFill="1" applyBorder="1" applyAlignment="1" applyProtection="1">
      <alignment horizontal="left" vertical="center"/>
    </xf>
    <xf numFmtId="0" fontId="62" fillId="2" borderId="12" xfId="0" applyFont="1" applyFill="1" applyBorder="1" applyAlignment="1" applyProtection="1">
      <alignment horizontal="left" vertical="center"/>
    </xf>
    <xf numFmtId="0" fontId="1" fillId="2" borderId="19" xfId="0" applyFont="1" applyFill="1" applyBorder="1" applyAlignment="1">
      <alignment horizontal="center" vertical="center"/>
    </xf>
    <xf numFmtId="0" fontId="1" fillId="2" borderId="9" xfId="0" applyFont="1" applyFill="1" applyBorder="1" applyAlignment="1">
      <alignment horizontal="center" vertical="center"/>
    </xf>
    <xf numFmtId="0" fontId="133" fillId="2" borderId="19" xfId="0" applyFont="1" applyFill="1" applyBorder="1" applyAlignment="1">
      <alignment horizontal="left" vertical="center"/>
    </xf>
    <xf numFmtId="0" fontId="133" fillId="2" borderId="9" xfId="0" applyFont="1" applyFill="1" applyBorder="1" applyAlignment="1">
      <alignment horizontal="left" vertical="center"/>
    </xf>
    <xf numFmtId="0" fontId="84" fillId="18" borderId="2" xfId="0" applyFont="1" applyFill="1" applyBorder="1" applyAlignment="1">
      <alignment horizontal="center" vertical="center"/>
    </xf>
    <xf numFmtId="0" fontId="84" fillId="18" borderId="3" xfId="0" applyFont="1" applyFill="1" applyBorder="1" applyAlignment="1">
      <alignment horizontal="center" vertical="center"/>
    </xf>
    <xf numFmtId="0" fontId="84" fillId="18" borderId="230" xfId="0" applyFont="1" applyFill="1" applyBorder="1" applyAlignment="1">
      <alignment horizontal="center" vertical="center"/>
    </xf>
    <xf numFmtId="0" fontId="84" fillId="18" borderId="4" xfId="0" applyFont="1" applyFill="1" applyBorder="1" applyAlignment="1">
      <alignment horizontal="center" vertical="center"/>
    </xf>
    <xf numFmtId="2" fontId="84" fillId="61" borderId="4" xfId="0" applyNumberFormat="1" applyFont="1" applyFill="1" applyBorder="1" applyAlignment="1">
      <alignment horizontal="center" vertical="center"/>
    </xf>
    <xf numFmtId="164" fontId="195" fillId="5" borderId="0" xfId="12" applyFont="1" applyFill="1" applyBorder="1" applyAlignment="1">
      <alignment horizontal="center" vertical="center" wrapText="1"/>
    </xf>
    <xf numFmtId="0" fontId="0" fillId="17" borderId="46" xfId="0" applyFill="1" applyBorder="1" applyAlignment="1">
      <alignment horizontal="center"/>
    </xf>
    <xf numFmtId="0" fontId="0" fillId="17" borderId="12" xfId="0" applyFill="1" applyBorder="1" applyAlignment="1">
      <alignment horizontal="center"/>
    </xf>
    <xf numFmtId="0" fontId="91" fillId="5" borderId="54" xfId="0" applyFont="1" applyFill="1" applyBorder="1" applyAlignment="1">
      <alignment horizontal="center" wrapText="1"/>
    </xf>
    <xf numFmtId="0" fontId="91" fillId="5" borderId="50" xfId="0" applyFont="1" applyFill="1" applyBorder="1" applyAlignment="1">
      <alignment horizontal="left" wrapText="1"/>
    </xf>
    <xf numFmtId="0" fontId="162" fillId="57" borderId="2" xfId="0" applyFont="1" applyFill="1" applyBorder="1" applyAlignment="1">
      <alignment horizontal="center" vertical="center" wrapText="1"/>
    </xf>
    <xf numFmtId="0" fontId="162" fillId="57" borderId="3" xfId="0" applyFont="1" applyFill="1" applyBorder="1" applyAlignment="1">
      <alignment horizontal="center" vertical="center" wrapText="1"/>
    </xf>
    <xf numFmtId="0" fontId="62" fillId="0" borderId="19" xfId="0" applyFont="1" applyFill="1" applyBorder="1" applyAlignment="1" applyProtection="1">
      <alignment horizontal="left" vertical="center"/>
    </xf>
    <xf numFmtId="0" fontId="103" fillId="69" borderId="0" xfId="0" applyFont="1" applyFill="1" applyBorder="1" applyAlignment="1">
      <alignment horizontal="left" vertical="center"/>
    </xf>
    <xf numFmtId="166" fontId="1" fillId="58" borderId="234" xfId="0" applyNumberFormat="1" applyFont="1" applyFill="1" applyBorder="1" applyAlignment="1">
      <alignment horizontal="center" vertical="center"/>
    </xf>
    <xf numFmtId="166" fontId="1" fillId="58" borderId="234" xfId="0" applyNumberFormat="1" applyFont="1" applyFill="1" applyBorder="1" applyAlignment="1">
      <alignment horizontal="left" vertical="center"/>
    </xf>
    <xf numFmtId="0" fontId="1" fillId="7" borderId="19" xfId="0" applyFont="1" applyFill="1" applyBorder="1" applyAlignment="1">
      <alignment horizontal="left" vertical="center"/>
    </xf>
    <xf numFmtId="0" fontId="1" fillId="7" borderId="9" xfId="0" applyFont="1" applyFill="1" applyBorder="1" applyAlignment="1">
      <alignment horizontal="left" vertical="center"/>
    </xf>
    <xf numFmtId="0" fontId="62" fillId="2" borderId="50" xfId="0" applyFont="1" applyFill="1" applyBorder="1" applyAlignment="1" applyProtection="1">
      <alignment horizontal="left" vertical="center"/>
    </xf>
    <xf numFmtId="0" fontId="62" fillId="2" borderId="48" xfId="0" applyFont="1" applyFill="1" applyBorder="1" applyAlignment="1" applyProtection="1">
      <alignment horizontal="left"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62" fillId="5" borderId="19" xfId="0" applyFont="1" applyFill="1" applyBorder="1" applyAlignment="1" applyProtection="1">
      <alignment horizontal="left" vertical="center"/>
    </xf>
    <xf numFmtId="0" fontId="62" fillId="5" borderId="54" xfId="0" applyFont="1" applyFill="1" applyBorder="1" applyAlignment="1" applyProtection="1">
      <alignment horizontal="left" vertical="center"/>
    </xf>
    <xf numFmtId="0" fontId="84" fillId="2" borderId="19" xfId="0" applyFont="1" applyFill="1" applyBorder="1" applyAlignment="1">
      <alignment horizontal="left" vertical="center"/>
    </xf>
    <xf numFmtId="0" fontId="84" fillId="2" borderId="9" xfId="0" applyFont="1" applyFill="1" applyBorder="1" applyAlignment="1">
      <alignment horizontal="left" vertical="center"/>
    </xf>
    <xf numFmtId="0" fontId="159" fillId="0" borderId="48" xfId="0" applyFont="1" applyFill="1" applyBorder="1" applyAlignment="1">
      <alignment horizontal="center" wrapText="1"/>
    </xf>
    <xf numFmtId="0" fontId="159" fillId="5" borderId="48" xfId="0" applyFont="1" applyFill="1" applyBorder="1" applyAlignment="1">
      <alignment horizontal="center" vertical="center" wrapText="1"/>
    </xf>
    <xf numFmtId="0" fontId="159" fillId="5" borderId="48" xfId="0" applyFont="1" applyFill="1" applyBorder="1" applyAlignment="1">
      <alignment horizontal="center" wrapText="1"/>
    </xf>
    <xf numFmtId="0" fontId="0" fillId="5" borderId="54" xfId="0" applyFill="1" applyBorder="1" applyAlignment="1">
      <alignment horizontal="center" vertical="center" wrapText="1"/>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110" fillId="69" borderId="233" xfId="0" applyFont="1" applyFill="1" applyBorder="1" applyAlignment="1">
      <alignment horizontal="left" vertical="center"/>
    </xf>
    <xf numFmtId="0" fontId="110" fillId="69" borderId="236" xfId="0" applyFont="1" applyFill="1" applyBorder="1" applyAlignment="1">
      <alignment horizontal="left" vertical="center"/>
    </xf>
    <xf numFmtId="0" fontId="110" fillId="69" borderId="232" xfId="0" applyFont="1" applyFill="1" applyBorder="1" applyAlignment="1">
      <alignment horizontal="left" vertical="center"/>
    </xf>
    <xf numFmtId="0" fontId="110" fillId="69" borderId="46" xfId="0" applyFont="1" applyFill="1" applyBorder="1" applyAlignment="1">
      <alignment horizontal="left" vertical="center"/>
    </xf>
    <xf numFmtId="0" fontId="110" fillId="69" borderId="51" xfId="0" applyFont="1" applyFill="1" applyBorder="1" applyAlignment="1">
      <alignment horizontal="left" vertical="center"/>
    </xf>
    <xf numFmtId="0" fontId="110" fillId="69" borderId="12" xfId="0" applyFont="1" applyFill="1" applyBorder="1" applyAlignment="1">
      <alignment horizontal="left" vertical="center"/>
    </xf>
    <xf numFmtId="0" fontId="84" fillId="18" borderId="231" xfId="0" applyFont="1" applyFill="1" applyBorder="1" applyAlignment="1">
      <alignment horizontal="center" vertical="center"/>
    </xf>
    <xf numFmtId="0" fontId="84" fillId="18" borderId="231" xfId="0" applyFont="1" applyFill="1" applyBorder="1" applyAlignment="1">
      <alignment horizontal="left" vertical="center"/>
    </xf>
    <xf numFmtId="0" fontId="103" fillId="69" borderId="48" xfId="0" applyFont="1" applyFill="1" applyBorder="1" applyAlignment="1">
      <alignment horizontal="left" vertical="center"/>
    </xf>
    <xf numFmtId="0" fontId="84" fillId="18" borderId="54" xfId="0" applyFont="1" applyFill="1" applyBorder="1" applyAlignment="1">
      <alignment horizontal="center" vertical="center"/>
    </xf>
    <xf numFmtId="0" fontId="84" fillId="18" borderId="54" xfId="0" applyFont="1" applyFill="1" applyBorder="1" applyAlignment="1">
      <alignment horizontal="left" vertical="center"/>
    </xf>
    <xf numFmtId="0" fontId="84" fillId="69" borderId="9" xfId="0" applyFont="1" applyFill="1" applyBorder="1" applyAlignment="1">
      <alignment horizontal="center" vertical="center"/>
    </xf>
    <xf numFmtId="0" fontId="84" fillId="18" borderId="46" xfId="0" applyFont="1" applyFill="1" applyBorder="1" applyAlignment="1">
      <alignment horizontal="center" vertical="center"/>
    </xf>
    <xf numFmtId="0" fontId="103" fillId="69" borderId="233" xfId="0" applyFont="1" applyFill="1" applyBorder="1" applyAlignment="1">
      <alignment horizontal="left" vertical="center"/>
    </xf>
    <xf numFmtId="0" fontId="103" fillId="69" borderId="236" xfId="0" applyFont="1" applyFill="1" applyBorder="1" applyAlignment="1">
      <alignment horizontal="left" vertical="center"/>
    </xf>
    <xf numFmtId="0" fontId="103" fillId="69" borderId="232" xfId="0" applyFont="1" applyFill="1" applyBorder="1" applyAlignment="1">
      <alignment horizontal="left" vertical="center"/>
    </xf>
    <xf numFmtId="0" fontId="84" fillId="69" borderId="1" xfId="0" applyFont="1" applyFill="1" applyBorder="1" applyAlignment="1">
      <alignment horizontal="center" vertical="center"/>
    </xf>
    <xf numFmtId="0" fontId="84" fillId="18" borderId="235" xfId="0" applyFont="1" applyFill="1" applyBorder="1" applyAlignment="1">
      <alignment horizontal="center" vertical="center"/>
    </xf>
    <xf numFmtId="166" fontId="1" fillId="58" borderId="229" xfId="0" applyNumberFormat="1" applyFont="1" applyFill="1" applyBorder="1" applyAlignment="1">
      <alignment horizontal="center" vertical="center"/>
    </xf>
    <xf numFmtId="166" fontId="1" fillId="58" borderId="230" xfId="0" applyNumberFormat="1" applyFont="1" applyFill="1" applyBorder="1" applyAlignment="1">
      <alignment horizontal="center" vertical="center"/>
    </xf>
    <xf numFmtId="166" fontId="1" fillId="58" borderId="235" xfId="0" applyNumberFormat="1" applyFont="1" applyFill="1" applyBorder="1" applyAlignment="1">
      <alignment horizontal="center" vertical="center"/>
    </xf>
    <xf numFmtId="166" fontId="1" fillId="58" borderId="231" xfId="0" applyNumberFormat="1" applyFont="1" applyFill="1" applyBorder="1" applyAlignment="1">
      <alignment horizontal="center" vertical="center"/>
    </xf>
    <xf numFmtId="166" fontId="1" fillId="58" borderId="231" xfId="0" applyNumberFormat="1" applyFont="1" applyFill="1" applyBorder="1" applyAlignment="1">
      <alignment horizontal="left" vertical="center"/>
    </xf>
    <xf numFmtId="166" fontId="1" fillId="58" borderId="233" xfId="0" applyNumberFormat="1" applyFont="1" applyFill="1" applyBorder="1" applyAlignment="1">
      <alignment horizontal="center" vertical="center"/>
    </xf>
    <xf numFmtId="166" fontId="1" fillId="58" borderId="236" xfId="0" applyNumberFormat="1" applyFont="1" applyFill="1" applyBorder="1" applyAlignment="1">
      <alignment horizontal="center" vertical="center"/>
    </xf>
    <xf numFmtId="166" fontId="1" fillId="58" borderId="232" xfId="0" applyNumberFormat="1" applyFont="1" applyFill="1" applyBorder="1" applyAlignment="1">
      <alignment horizontal="center" vertical="center"/>
    </xf>
    <xf numFmtId="0" fontId="1" fillId="58" borderId="233" xfId="0" applyFont="1" applyFill="1" applyBorder="1" applyAlignment="1">
      <alignment horizontal="center" vertical="center"/>
    </xf>
    <xf numFmtId="0" fontId="1" fillId="58" borderId="236" xfId="0" applyFont="1" applyFill="1" applyBorder="1" applyAlignment="1">
      <alignment horizontal="center" vertical="center"/>
    </xf>
    <xf numFmtId="0" fontId="1" fillId="58" borderId="232" xfId="0" applyFont="1" applyFill="1" applyBorder="1" applyAlignment="1">
      <alignment horizontal="center" vertical="center"/>
    </xf>
    <xf numFmtId="0" fontId="160" fillId="7" borderId="17" xfId="0" applyFont="1" applyFill="1" applyBorder="1" applyAlignment="1" applyProtection="1">
      <alignment horizontal="left" vertical="center"/>
    </xf>
    <xf numFmtId="0" fontId="160" fillId="7" borderId="51" xfId="0" applyFont="1" applyFill="1" applyBorder="1" applyAlignment="1" applyProtection="1">
      <alignment horizontal="left" vertical="center"/>
    </xf>
    <xf numFmtId="0" fontId="103" fillId="69" borderId="1" xfId="0" applyFont="1" applyFill="1" applyBorder="1" applyAlignment="1">
      <alignment horizontal="left" vertical="center"/>
    </xf>
    <xf numFmtId="0" fontId="84" fillId="18" borderId="1" xfId="0" applyFont="1" applyFill="1" applyBorder="1" applyAlignment="1">
      <alignment horizontal="left" vertical="center"/>
    </xf>
    <xf numFmtId="0" fontId="0" fillId="17" borderId="1" xfId="0" applyFill="1" applyBorder="1" applyAlignment="1">
      <alignment horizontal="center"/>
    </xf>
    <xf numFmtId="2" fontId="133" fillId="17" borderId="1" xfId="0" applyNumberFormat="1" applyFont="1" applyFill="1" applyBorder="1" applyAlignment="1">
      <alignment horizontal="center" vertical="center"/>
    </xf>
    <xf numFmtId="2" fontId="84" fillId="61" borderId="1" xfId="0" applyNumberFormat="1" applyFont="1" applyFill="1" applyBorder="1" applyAlignment="1">
      <alignment horizontal="center" vertical="center"/>
    </xf>
    <xf numFmtId="0" fontId="1" fillId="58" borderId="9" xfId="0" applyFont="1" applyFill="1" applyBorder="1" applyAlignment="1">
      <alignment horizontal="center" vertical="center"/>
    </xf>
    <xf numFmtId="0" fontId="62" fillId="7" borderId="0" xfId="0" applyFont="1" applyFill="1" applyBorder="1" applyAlignment="1" applyProtection="1">
      <alignment horizontal="left" vertical="center"/>
    </xf>
    <xf numFmtId="0" fontId="133" fillId="7" borderId="132" xfId="0" applyFont="1" applyFill="1" applyBorder="1" applyAlignment="1">
      <alignment horizontal="left" vertical="center"/>
    </xf>
    <xf numFmtId="0" fontId="62" fillId="7" borderId="132" xfId="0" applyFont="1" applyFill="1" applyBorder="1" applyAlignment="1" applyProtection="1">
      <alignment horizontal="center" vertical="center" wrapText="1"/>
    </xf>
    <xf numFmtId="0" fontId="84" fillId="61" borderId="3" xfId="0" applyNumberFormat="1" applyFont="1" applyFill="1" applyBorder="1" applyAlignment="1">
      <alignment horizontal="center" vertical="center"/>
    </xf>
    <xf numFmtId="0" fontId="84" fillId="61" borderId="4" xfId="0" applyNumberFormat="1" applyFont="1" applyFill="1" applyBorder="1" applyAlignment="1">
      <alignment horizontal="center" vertical="center"/>
    </xf>
    <xf numFmtId="0" fontId="133" fillId="17" borderId="46" xfId="0" applyFont="1" applyFill="1" applyBorder="1" applyAlignment="1">
      <alignment horizontal="center" vertical="center"/>
    </xf>
    <xf numFmtId="0" fontId="133" fillId="17" borderId="12" xfId="0" applyFont="1" applyFill="1" applyBorder="1" applyAlignment="1">
      <alignment horizontal="center" vertical="center"/>
    </xf>
    <xf numFmtId="0" fontId="1" fillId="7" borderId="132" xfId="0" applyFont="1" applyFill="1" applyBorder="1" applyAlignment="1">
      <alignment horizontal="left" vertical="center"/>
    </xf>
    <xf numFmtId="0" fontId="1" fillId="5" borderId="1" xfId="0" applyFont="1" applyFill="1" applyBorder="1" applyAlignment="1">
      <alignment horizontal="left" vertical="center"/>
    </xf>
    <xf numFmtId="0" fontId="103" fillId="69" borderId="19" xfId="0" applyFont="1" applyFill="1" applyBorder="1" applyAlignment="1">
      <alignment horizontal="left" vertical="center"/>
    </xf>
    <xf numFmtId="0" fontId="103" fillId="69" borderId="9" xfId="0" applyFont="1" applyFill="1" applyBorder="1" applyAlignment="1">
      <alignment horizontal="left" vertical="center"/>
    </xf>
    <xf numFmtId="0" fontId="62" fillId="7" borderId="17" xfId="0" applyFont="1" applyFill="1" applyBorder="1" applyAlignment="1" applyProtection="1">
      <alignment horizontal="center" vertical="center" wrapText="1"/>
    </xf>
    <xf numFmtId="0" fontId="62" fillId="7" borderId="51" xfId="0" applyFont="1" applyFill="1" applyBorder="1" applyAlignment="1" applyProtection="1">
      <alignment horizontal="center" vertical="center" wrapText="1"/>
    </xf>
    <xf numFmtId="0" fontId="84" fillId="18" borderId="162" xfId="0" applyFont="1" applyFill="1" applyBorder="1" applyAlignment="1">
      <alignment horizontal="center" vertical="center"/>
    </xf>
    <xf numFmtId="2" fontId="84" fillId="61" borderId="162" xfId="0" applyNumberFormat="1" applyFont="1" applyFill="1" applyBorder="1" applyAlignment="1">
      <alignment horizontal="center" vertical="center"/>
    </xf>
    <xf numFmtId="0" fontId="1" fillId="58" borderId="163" xfId="0" applyFont="1" applyFill="1" applyBorder="1" applyAlignment="1">
      <alignment horizontal="center" vertical="center"/>
    </xf>
    <xf numFmtId="0" fontId="1" fillId="58" borderId="165" xfId="0" applyFont="1" applyFill="1" applyBorder="1" applyAlignment="1">
      <alignment horizontal="center" vertical="center"/>
    </xf>
    <xf numFmtId="0" fontId="1" fillId="58" borderId="164" xfId="0" applyFont="1" applyFill="1" applyBorder="1" applyAlignment="1">
      <alignment horizontal="center" vertical="center"/>
    </xf>
    <xf numFmtId="2" fontId="84" fillId="11" borderId="163" xfId="0" applyNumberFormat="1" applyFont="1" applyFill="1" applyBorder="1" applyAlignment="1">
      <alignment horizontal="center" vertical="center" wrapText="1"/>
    </xf>
    <xf numFmtId="2" fontId="84" fillId="11" borderId="46" xfId="0" applyNumberFormat="1" applyFont="1" applyFill="1" applyBorder="1" applyAlignment="1">
      <alignment horizontal="center" vertical="center" wrapText="1"/>
    </xf>
    <xf numFmtId="0" fontId="133" fillId="17" borderId="51" xfId="0" applyFont="1" applyFill="1" applyBorder="1" applyAlignment="1">
      <alignment horizontal="center" vertical="center"/>
    </xf>
    <xf numFmtId="0" fontId="84" fillId="18" borderId="19" xfId="0" applyFont="1" applyFill="1" applyBorder="1" applyAlignment="1">
      <alignment horizontal="left" vertical="center" wrapText="1"/>
    </xf>
    <xf numFmtId="0" fontId="84" fillId="18" borderId="9" xfId="0" applyFont="1" applyFill="1" applyBorder="1" applyAlignment="1">
      <alignment horizontal="left" vertical="center" wrapText="1"/>
    </xf>
    <xf numFmtId="166" fontId="196" fillId="5" borderId="48" xfId="5" applyNumberFormat="1" applyFont="1" applyFill="1" applyBorder="1" applyAlignment="1" applyProtection="1">
      <alignment horizontal="center" vertical="center" wrapText="1"/>
    </xf>
    <xf numFmtId="0" fontId="133" fillId="2" borderId="1" xfId="0" applyFont="1" applyFill="1" applyBorder="1" applyAlignment="1">
      <alignment horizontal="left" vertical="center"/>
    </xf>
    <xf numFmtId="2" fontId="114" fillId="61" borderId="2" xfId="0" applyNumberFormat="1" applyFont="1" applyFill="1" applyBorder="1" applyAlignment="1">
      <alignment horizontal="center" vertical="center"/>
    </xf>
    <xf numFmtId="2" fontId="114" fillId="61" borderId="162" xfId="0" applyNumberFormat="1" applyFont="1" applyFill="1" applyBorder="1" applyAlignment="1">
      <alignment horizontal="center" vertical="center"/>
    </xf>
    <xf numFmtId="2" fontId="114" fillId="61" borderId="230" xfId="0" applyNumberFormat="1" applyFont="1" applyFill="1" applyBorder="1" applyAlignment="1">
      <alignment horizontal="center" vertical="center"/>
    </xf>
    <xf numFmtId="166" fontId="0" fillId="0" borderId="0" xfId="0" applyNumberFormat="1" applyFill="1" applyBorder="1" applyAlignment="1">
      <alignment horizontal="center" vertical="center"/>
    </xf>
    <xf numFmtId="0" fontId="0" fillId="0" borderId="0" xfId="0" applyFill="1" applyBorder="1" applyAlignment="1"/>
    <xf numFmtId="0" fontId="144" fillId="5" borderId="0" xfId="0" applyFont="1" applyFill="1" applyAlignment="1">
      <alignment horizontal="center" vertical="center" wrapText="1"/>
    </xf>
    <xf numFmtId="0" fontId="1" fillId="7" borderId="231" xfId="0" applyFont="1" applyFill="1" applyBorder="1" applyAlignment="1">
      <alignment horizontal="center" vertical="center"/>
    </xf>
    <xf numFmtId="2" fontId="84" fillId="11" borderId="231" xfId="0" applyNumberFormat="1" applyFont="1" applyFill="1" applyBorder="1" applyAlignment="1">
      <alignment horizontal="center" vertical="center" wrapText="1"/>
    </xf>
    <xf numFmtId="0" fontId="62" fillId="7" borderId="231" xfId="0" applyFont="1" applyFill="1" applyBorder="1" applyAlignment="1" applyProtection="1">
      <alignment horizontal="center" vertical="center"/>
    </xf>
    <xf numFmtId="0" fontId="0" fillId="17" borderId="231" xfId="0" applyFill="1" applyBorder="1" applyAlignment="1">
      <alignment horizontal="center"/>
    </xf>
    <xf numFmtId="2" fontId="133" fillId="17" borderId="231" xfId="0" applyNumberFormat="1" applyFont="1" applyFill="1" applyBorder="1" applyAlignment="1">
      <alignment horizontal="center" vertical="center"/>
    </xf>
    <xf numFmtId="2" fontId="84" fillId="61" borderId="231" xfId="0" applyNumberFormat="1" applyFont="1" applyFill="1" applyBorder="1" applyAlignment="1">
      <alignment horizontal="center" vertical="center"/>
    </xf>
    <xf numFmtId="0" fontId="62" fillId="7" borderId="161" xfId="0" applyFont="1" applyFill="1" applyBorder="1" applyAlignment="1" applyProtection="1">
      <alignment horizontal="center" vertical="center"/>
    </xf>
    <xf numFmtId="0" fontId="104" fillId="60" borderId="159" xfId="0" applyFont="1" applyFill="1" applyBorder="1" applyAlignment="1">
      <alignment horizontal="center" vertical="center"/>
    </xf>
    <xf numFmtId="0" fontId="104" fillId="60" borderId="162" xfId="0" applyFont="1" applyFill="1" applyBorder="1" applyAlignment="1">
      <alignment horizontal="center" vertical="center"/>
    </xf>
    <xf numFmtId="0" fontId="104" fillId="60" borderId="158" xfId="0" applyFont="1" applyFill="1" applyBorder="1" applyAlignment="1">
      <alignment horizontal="center" vertical="center"/>
    </xf>
    <xf numFmtId="0" fontId="103" fillId="69" borderId="163" xfId="0" applyFont="1" applyFill="1" applyBorder="1" applyAlignment="1">
      <alignment horizontal="left" vertical="center"/>
    </xf>
    <xf numFmtId="0" fontId="103" fillId="69" borderId="165" xfId="0" applyFont="1" applyFill="1" applyBorder="1" applyAlignment="1">
      <alignment horizontal="left" vertical="center"/>
    </xf>
    <xf numFmtId="0" fontId="103" fillId="69" borderId="164" xfId="0" applyFont="1" applyFill="1" applyBorder="1" applyAlignment="1">
      <alignment horizontal="left" vertical="center"/>
    </xf>
    <xf numFmtId="0" fontId="84" fillId="18" borderId="161" xfId="0" applyFont="1" applyFill="1" applyBorder="1" applyAlignment="1">
      <alignment horizontal="center" vertical="center"/>
    </xf>
    <xf numFmtId="0" fontId="84" fillId="18" borderId="161" xfId="0" applyFont="1" applyFill="1" applyBorder="1" applyAlignment="1">
      <alignment horizontal="left" vertical="center" wrapText="1"/>
    </xf>
    <xf numFmtId="0" fontId="62" fillId="7" borderId="163" xfId="0" applyFont="1" applyFill="1" applyBorder="1" applyAlignment="1" applyProtection="1">
      <alignment horizontal="left" vertical="center"/>
    </xf>
    <xf numFmtId="0" fontId="62" fillId="7" borderId="164" xfId="0" applyFont="1" applyFill="1" applyBorder="1" applyAlignment="1" applyProtection="1">
      <alignment horizontal="left" vertical="center"/>
    </xf>
    <xf numFmtId="0" fontId="106" fillId="7" borderId="161" xfId="0" applyFont="1" applyFill="1" applyBorder="1" applyAlignment="1">
      <alignment horizontal="center" vertical="center"/>
    </xf>
    <xf numFmtId="0" fontId="106" fillId="7" borderId="9" xfId="0" applyFont="1" applyFill="1" applyBorder="1" applyAlignment="1">
      <alignment horizontal="center" vertical="center"/>
    </xf>
    <xf numFmtId="0" fontId="62" fillId="7" borderId="161" xfId="0" applyFont="1" applyFill="1" applyBorder="1" applyAlignment="1" applyProtection="1">
      <alignment horizontal="center" vertical="center" wrapText="1"/>
    </xf>
    <xf numFmtId="2" fontId="84" fillId="11" borderId="161" xfId="0" applyNumberFormat="1" applyFont="1" applyFill="1" applyBorder="1" applyAlignment="1">
      <alignment horizontal="center" vertical="center" wrapText="1"/>
    </xf>
    <xf numFmtId="0" fontId="118" fillId="55" borderId="1" xfId="0" applyFont="1" applyFill="1" applyBorder="1" applyAlignment="1">
      <alignment horizontal="center" vertical="center" wrapText="1"/>
    </xf>
    <xf numFmtId="0" fontId="25" fillId="0" borderId="163" xfId="0" applyFont="1" applyBorder="1" applyAlignment="1">
      <alignment horizontal="left" wrapText="1"/>
    </xf>
    <xf numFmtId="0" fontId="25" fillId="0" borderId="46" xfId="0" applyFont="1" applyBorder="1" applyAlignment="1">
      <alignment horizontal="left" wrapText="1"/>
    </xf>
    <xf numFmtId="0" fontId="6" fillId="0" borderId="161" xfId="0" applyFont="1" applyBorder="1" applyAlignment="1">
      <alignment horizontal="center" vertical="center"/>
    </xf>
    <xf numFmtId="0" fontId="6" fillId="0" borderId="54"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center" vertical="center"/>
    </xf>
    <xf numFmtId="0" fontId="0" fillId="17" borderId="5" xfId="0" applyFill="1" applyBorder="1" applyAlignment="1">
      <alignment horizontal="center"/>
    </xf>
    <xf numFmtId="0" fontId="0" fillId="17" borderId="38" xfId="0" applyFill="1" applyBorder="1" applyAlignment="1">
      <alignment horizontal="center"/>
    </xf>
    <xf numFmtId="0" fontId="0" fillId="17" borderId="34" xfId="0" applyFill="1" applyBorder="1" applyAlignment="1">
      <alignment horizontal="center"/>
    </xf>
    <xf numFmtId="0" fontId="0" fillId="21" borderId="33" xfId="0" applyFill="1" applyBorder="1" applyAlignment="1">
      <alignment horizontal="center"/>
    </xf>
    <xf numFmtId="0" fontId="0" fillId="21" borderId="38" xfId="0" applyFill="1" applyBorder="1" applyAlignment="1">
      <alignment horizontal="center"/>
    </xf>
    <xf numFmtId="0" fontId="0" fillId="0" borderId="38" xfId="0" applyBorder="1" applyAlignment="1"/>
    <xf numFmtId="0" fontId="0" fillId="30" borderId="33" xfId="0" applyFill="1" applyBorder="1" applyAlignment="1">
      <alignment horizontal="center" vertical="center"/>
    </xf>
    <xf numFmtId="0" fontId="0" fillId="30" borderId="38" xfId="0" applyFill="1" applyBorder="1" applyAlignment="1"/>
    <xf numFmtId="0" fontId="0" fillId="30" borderId="34" xfId="0" applyFill="1" applyBorder="1" applyAlignment="1"/>
    <xf numFmtId="0" fontId="0" fillId="17" borderId="40" xfId="0" applyFill="1" applyBorder="1" applyAlignment="1">
      <alignment horizontal="center"/>
    </xf>
    <xf numFmtId="0" fontId="0" fillId="17" borderId="0" xfId="0" applyFill="1" applyBorder="1" applyAlignment="1">
      <alignment horizontal="center"/>
    </xf>
    <xf numFmtId="0" fontId="201" fillId="83" borderId="44" xfId="2" applyFont="1" applyFill="1" applyBorder="1" applyAlignment="1">
      <alignment horizontal="center" wrapText="1"/>
    </xf>
    <xf numFmtId="0" fontId="201" fillId="83" borderId="21" xfId="2" applyFont="1" applyFill="1" applyBorder="1" applyAlignment="1">
      <alignment horizontal="center" wrapText="1"/>
    </xf>
    <xf numFmtId="0" fontId="1" fillId="36" borderId="159" xfId="0" applyFont="1" applyFill="1" applyBorder="1" applyAlignment="1">
      <alignment horizontal="center"/>
    </xf>
    <xf numFmtId="0" fontId="1" fillId="36" borderId="158" xfId="0" applyFont="1" applyFill="1" applyBorder="1" applyAlignment="1">
      <alignment horizontal="center"/>
    </xf>
    <xf numFmtId="0" fontId="0" fillId="0" borderId="54" xfId="0" applyBorder="1" applyAlignment="1">
      <alignment horizontal="center" vertical="center"/>
    </xf>
    <xf numFmtId="0" fontId="1" fillId="7" borderId="159" xfId="0" applyFont="1" applyFill="1" applyBorder="1" applyAlignment="1">
      <alignment horizontal="center"/>
    </xf>
    <xf numFmtId="0" fontId="1" fillId="7" borderId="158" xfId="0" applyFont="1" applyFill="1" applyBorder="1" applyAlignment="1">
      <alignment horizontal="center"/>
    </xf>
    <xf numFmtId="0" fontId="1" fillId="13" borderId="159" xfId="0" applyFont="1" applyFill="1" applyBorder="1" applyAlignment="1">
      <alignment horizontal="center"/>
    </xf>
    <xf numFmtId="0" fontId="1" fillId="13" borderId="162" xfId="0" applyFont="1" applyFill="1" applyBorder="1" applyAlignment="1">
      <alignment horizontal="center"/>
    </xf>
    <xf numFmtId="0" fontId="1" fillId="13" borderId="158" xfId="0" applyFont="1" applyFill="1" applyBorder="1" applyAlignment="1">
      <alignment horizontal="center"/>
    </xf>
    <xf numFmtId="4" fontId="1" fillId="27" borderId="159" xfId="0" applyNumberFormat="1" applyFont="1" applyFill="1" applyBorder="1" applyAlignment="1">
      <alignment horizontal="center" vertical="center"/>
    </xf>
    <xf numFmtId="4" fontId="1" fillId="27" borderId="162" xfId="0" applyNumberFormat="1" applyFont="1" applyFill="1" applyBorder="1" applyAlignment="1">
      <alignment horizontal="center" vertical="center"/>
    </xf>
    <xf numFmtId="4" fontId="1" fillId="27" borderId="158" xfId="0" applyNumberFormat="1" applyFont="1" applyFill="1" applyBorder="1" applyAlignment="1">
      <alignment horizontal="center" vertical="center"/>
    </xf>
    <xf numFmtId="0" fontId="1" fillId="0" borderId="159" xfId="0" applyFont="1" applyBorder="1" applyAlignment="1">
      <alignment horizontal="center" vertical="center" wrapText="1"/>
    </xf>
    <xf numFmtId="0" fontId="1" fillId="0" borderId="162" xfId="0" applyFont="1" applyBorder="1" applyAlignment="1">
      <alignment horizontal="center" vertical="center" wrapText="1"/>
    </xf>
    <xf numFmtId="0" fontId="1" fillId="0" borderId="158" xfId="0" applyFont="1" applyBorder="1" applyAlignment="1">
      <alignment horizontal="center" vertical="center" wrapText="1"/>
    </xf>
    <xf numFmtId="0" fontId="0" fillId="0" borderId="167" xfId="0" applyFont="1" applyBorder="1" applyAlignment="1">
      <alignment horizontal="right"/>
    </xf>
    <xf numFmtId="0" fontId="0" fillId="0" borderId="170" xfId="0" applyFont="1" applyBorder="1" applyAlignment="1">
      <alignment horizontal="right"/>
    </xf>
    <xf numFmtId="0" fontId="0" fillId="0" borderId="173" xfId="0" applyBorder="1" applyAlignment="1">
      <alignment horizontal="right"/>
    </xf>
    <xf numFmtId="0" fontId="0" fillId="0" borderId="173" xfId="0" applyFont="1" applyBorder="1" applyAlignment="1">
      <alignment horizontal="right"/>
    </xf>
    <xf numFmtId="0" fontId="0" fillId="0" borderId="176" xfId="0" applyBorder="1" applyAlignment="1">
      <alignment horizontal="right"/>
    </xf>
    <xf numFmtId="0" fontId="0" fillId="0" borderId="176" xfId="0" applyFont="1" applyBorder="1" applyAlignment="1">
      <alignment horizontal="right"/>
    </xf>
    <xf numFmtId="4" fontId="114" fillId="32" borderId="159" xfId="0" applyNumberFormat="1" applyFont="1" applyFill="1" applyBorder="1" applyAlignment="1">
      <alignment horizontal="right" vertical="center"/>
    </xf>
    <xf numFmtId="4" fontId="114" fillId="32" borderId="158" xfId="0" applyNumberFormat="1" applyFont="1" applyFill="1" applyBorder="1" applyAlignment="1">
      <alignment horizontal="right" vertical="center"/>
    </xf>
    <xf numFmtId="4" fontId="180" fillId="22" borderId="160" xfId="0" applyNumberFormat="1" applyFont="1" applyFill="1" applyBorder="1" applyAlignment="1">
      <alignment horizontal="right" vertical="center"/>
    </xf>
    <xf numFmtId="4" fontId="84" fillId="32" borderId="159" xfId="0" applyNumberFormat="1" applyFont="1" applyFill="1" applyBorder="1" applyAlignment="1">
      <alignment horizontal="right" vertical="center"/>
    </xf>
    <xf numFmtId="4" fontId="84" fillId="32" borderId="158" xfId="0" applyNumberFormat="1" applyFont="1" applyFill="1" applyBorder="1" applyAlignment="1">
      <alignment horizontal="right" vertical="center"/>
    </xf>
    <xf numFmtId="0" fontId="180" fillId="22" borderId="160" xfId="0" applyFont="1" applyFill="1" applyBorder="1" applyAlignment="1">
      <alignment horizontal="right"/>
    </xf>
    <xf numFmtId="0" fontId="1" fillId="7" borderId="159" xfId="0" applyFont="1" applyFill="1" applyBorder="1" applyAlignment="1">
      <alignment horizontal="center" vertical="center"/>
    </xf>
    <xf numFmtId="0" fontId="1" fillId="7" borderId="158" xfId="0" applyFont="1" applyFill="1" applyBorder="1" applyAlignment="1">
      <alignment horizontal="center" vertical="center"/>
    </xf>
    <xf numFmtId="0" fontId="1" fillId="20" borderId="159" xfId="0" applyFont="1" applyFill="1" applyBorder="1" applyAlignment="1">
      <alignment horizontal="center" vertical="center"/>
    </xf>
    <xf numFmtId="0" fontId="1" fillId="20" borderId="158" xfId="0" applyFont="1" applyFill="1" applyBorder="1" applyAlignment="1">
      <alignment horizontal="center" vertical="center"/>
    </xf>
    <xf numFmtId="0" fontId="1" fillId="12" borderId="159" xfId="0" applyFont="1" applyFill="1" applyBorder="1" applyAlignment="1">
      <alignment horizontal="center"/>
    </xf>
    <xf numFmtId="0" fontId="1" fillId="12" borderId="162" xfId="0" applyFont="1" applyFill="1" applyBorder="1" applyAlignment="1">
      <alignment horizontal="center"/>
    </xf>
    <xf numFmtId="0" fontId="1" fillId="12" borderId="158" xfId="0" applyFont="1" applyFill="1" applyBorder="1" applyAlignment="1">
      <alignment horizontal="center"/>
    </xf>
    <xf numFmtId="166" fontId="25" fillId="2" borderId="16" xfId="0" applyNumberFormat="1" applyFont="1" applyFill="1" applyBorder="1" applyAlignment="1">
      <alignment horizontal="center"/>
    </xf>
    <xf numFmtId="166" fontId="25" fillId="2" borderId="8" xfId="0" applyNumberFormat="1" applyFont="1" applyFill="1" applyBorder="1" applyAlignment="1">
      <alignment horizontal="center"/>
    </xf>
    <xf numFmtId="0" fontId="30" fillId="0" borderId="0" xfId="0" applyFont="1" applyAlignment="1">
      <alignment horizontal="center" vertical="center"/>
    </xf>
    <xf numFmtId="166" fontId="103" fillId="11" borderId="1" xfId="0" applyNumberFormat="1" applyFont="1" applyFill="1" applyBorder="1" applyAlignment="1">
      <alignment horizontal="center" vertical="center"/>
    </xf>
    <xf numFmtId="166" fontId="103" fillId="11" borderId="4" xfId="0" applyNumberFormat="1" applyFont="1" applyFill="1" applyBorder="1" applyAlignment="1">
      <alignment horizontal="center" vertical="center"/>
    </xf>
    <xf numFmtId="2" fontId="23" fillId="2" borderId="160" xfId="0" applyNumberFormat="1" applyFont="1" applyFill="1" applyBorder="1" applyAlignment="1">
      <alignment horizontal="center" vertical="center"/>
    </xf>
    <xf numFmtId="2" fontId="191" fillId="37" borderId="163" xfId="0" applyNumberFormat="1" applyFont="1" applyFill="1" applyBorder="1" applyAlignment="1">
      <alignment horizontal="center" vertical="center" wrapText="1"/>
    </xf>
    <xf numFmtId="2" fontId="191" fillId="37" borderId="165" xfId="0" applyNumberFormat="1" applyFont="1" applyFill="1" applyBorder="1" applyAlignment="1">
      <alignment horizontal="center" vertical="center" wrapText="1"/>
    </xf>
    <xf numFmtId="2" fontId="191" fillId="37" borderId="164" xfId="0" applyNumberFormat="1" applyFont="1" applyFill="1" applyBorder="1" applyAlignment="1">
      <alignment horizontal="center" vertical="center" wrapText="1"/>
    </xf>
    <xf numFmtId="2" fontId="191" fillId="37" borderId="46" xfId="0" applyNumberFormat="1" applyFont="1" applyFill="1" applyBorder="1" applyAlignment="1">
      <alignment horizontal="center" vertical="center" wrapText="1"/>
    </xf>
    <xf numFmtId="2" fontId="191" fillId="37" borderId="51" xfId="0" applyNumberFormat="1" applyFont="1" applyFill="1" applyBorder="1" applyAlignment="1">
      <alignment horizontal="center" vertical="center" wrapText="1"/>
    </xf>
    <xf numFmtId="2" fontId="191" fillId="37" borderId="12" xfId="0" applyNumberFormat="1" applyFont="1" applyFill="1" applyBorder="1" applyAlignment="1">
      <alignment horizontal="center" vertical="center" wrapText="1"/>
    </xf>
    <xf numFmtId="0" fontId="104" fillId="11" borderId="0" xfId="0" applyFont="1" applyFill="1" applyAlignment="1">
      <alignment horizontal="center" vertical="center"/>
    </xf>
    <xf numFmtId="166" fontId="33" fillId="21" borderId="35" xfId="0" applyNumberFormat="1" applyFont="1" applyFill="1" applyBorder="1" applyAlignment="1">
      <alignment horizontal="center" vertical="center"/>
    </xf>
    <xf numFmtId="166" fontId="33" fillId="21" borderId="108" xfId="0" applyNumberFormat="1" applyFont="1" applyFill="1" applyBorder="1" applyAlignment="1">
      <alignment horizontal="center" vertical="center"/>
    </xf>
    <xf numFmtId="166" fontId="33" fillId="21" borderId="19" xfId="0" applyNumberFormat="1" applyFont="1" applyFill="1" applyBorder="1" applyAlignment="1">
      <alignment horizontal="center" vertical="center"/>
    </xf>
    <xf numFmtId="166" fontId="33" fillId="21" borderId="90" xfId="0" applyNumberFormat="1" applyFont="1" applyFill="1" applyBorder="1" applyAlignment="1">
      <alignment horizontal="center" vertical="center"/>
    </xf>
    <xf numFmtId="166" fontId="33" fillId="21" borderId="36" xfId="0" applyNumberFormat="1" applyFont="1" applyFill="1" applyBorder="1" applyAlignment="1">
      <alignment horizontal="center" vertical="center"/>
    </xf>
    <xf numFmtId="166" fontId="33" fillId="21" borderId="109" xfId="0" applyNumberFormat="1" applyFont="1" applyFill="1" applyBorder="1" applyAlignment="1">
      <alignment horizontal="center" vertical="center"/>
    </xf>
    <xf numFmtId="166" fontId="30" fillId="26" borderId="0" xfId="0" applyNumberFormat="1" applyFont="1" applyFill="1" applyBorder="1" applyAlignment="1">
      <alignment horizontal="right" vertical="center"/>
    </xf>
    <xf numFmtId="0" fontId="103" fillId="40" borderId="33" xfId="0" applyFont="1" applyFill="1" applyBorder="1" applyAlignment="1">
      <alignment horizontal="center"/>
    </xf>
    <xf numFmtId="0" fontId="103" fillId="40" borderId="38" xfId="0" applyFont="1" applyFill="1" applyBorder="1" applyAlignment="1">
      <alignment horizontal="center"/>
    </xf>
    <xf numFmtId="0" fontId="103" fillId="40" borderId="34" xfId="0" applyFont="1" applyFill="1" applyBorder="1" applyAlignment="1">
      <alignment horizontal="center"/>
    </xf>
    <xf numFmtId="0" fontId="27" fillId="17" borderId="33" xfId="0" applyFont="1" applyFill="1" applyBorder="1" applyAlignment="1">
      <alignment horizontal="center" vertical="center"/>
    </xf>
    <xf numFmtId="0" fontId="27" fillId="17" borderId="38" xfId="0" applyFont="1" applyFill="1" applyBorder="1" applyAlignment="1">
      <alignment horizontal="center" vertical="center"/>
    </xf>
    <xf numFmtId="0" fontId="33" fillId="42" borderId="38" xfId="0" applyFont="1" applyFill="1" applyBorder="1" applyAlignment="1">
      <alignment horizontal="center" vertical="center"/>
    </xf>
    <xf numFmtId="0" fontId="33" fillId="42" borderId="34" xfId="0" applyFont="1" applyFill="1" applyBorder="1" applyAlignment="1">
      <alignment horizontal="center" vertical="center"/>
    </xf>
    <xf numFmtId="0" fontId="89" fillId="2" borderId="22" xfId="0" applyFont="1" applyFill="1" applyBorder="1" applyAlignment="1">
      <alignment horizontal="center" vertical="center" wrapText="1"/>
    </xf>
    <xf numFmtId="0" fontId="89" fillId="2" borderId="21" xfId="0" applyFont="1" applyFill="1" applyBorder="1" applyAlignment="1">
      <alignment horizontal="center" vertical="center" wrapText="1"/>
    </xf>
    <xf numFmtId="11" fontId="33" fillId="21" borderId="19" xfId="0" applyNumberFormat="1" applyFont="1" applyFill="1" applyBorder="1" applyAlignment="1">
      <alignment horizontal="center" vertical="center"/>
    </xf>
    <xf numFmtId="11" fontId="33" fillId="21" borderId="90" xfId="0" applyNumberFormat="1" applyFont="1" applyFill="1" applyBorder="1" applyAlignment="1">
      <alignment horizontal="center" vertical="center"/>
    </xf>
    <xf numFmtId="0" fontId="33" fillId="41" borderId="38" xfId="0" applyFont="1" applyFill="1" applyBorder="1" applyAlignment="1">
      <alignment horizontal="center" vertical="center"/>
    </xf>
    <xf numFmtId="0" fontId="33" fillId="41" borderId="34" xfId="0" applyFont="1" applyFill="1" applyBorder="1" applyAlignment="1">
      <alignment horizontal="center" vertical="center"/>
    </xf>
    <xf numFmtId="0" fontId="33" fillId="41" borderId="44" xfId="0" applyFont="1" applyFill="1" applyBorder="1" applyAlignment="1">
      <alignment horizontal="center" vertical="center" wrapText="1"/>
    </xf>
    <xf numFmtId="0" fontId="33" fillId="41" borderId="21" xfId="0" applyFont="1" applyFill="1" applyBorder="1" applyAlignment="1">
      <alignment horizontal="center" vertical="center" wrapText="1"/>
    </xf>
    <xf numFmtId="0" fontId="33" fillId="41" borderId="44" xfId="0" applyFont="1" applyFill="1" applyBorder="1" applyAlignment="1">
      <alignment horizontal="center" vertical="center"/>
    </xf>
    <xf numFmtId="0" fontId="33" fillId="41" borderId="21" xfId="0" applyFont="1" applyFill="1" applyBorder="1" applyAlignment="1">
      <alignment horizontal="center" vertical="center"/>
    </xf>
    <xf numFmtId="2" fontId="85" fillId="11" borderId="2" xfId="0" applyNumberFormat="1" applyFont="1" applyFill="1" applyBorder="1" applyAlignment="1">
      <alignment horizontal="center" vertical="center"/>
    </xf>
    <xf numFmtId="0" fontId="85" fillId="11" borderId="4" xfId="0" applyFont="1" applyFill="1" applyBorder="1" applyAlignment="1">
      <alignment horizontal="center" vertical="center"/>
    </xf>
    <xf numFmtId="9" fontId="25" fillId="2" borderId="1" xfId="4" applyFont="1" applyFill="1" applyBorder="1" applyAlignment="1">
      <alignment horizontal="center" vertical="center"/>
    </xf>
    <xf numFmtId="166" fontId="33" fillId="14" borderId="33" xfId="0" applyNumberFormat="1" applyFont="1" applyFill="1" applyBorder="1" applyAlignment="1">
      <alignment horizontal="center" vertical="center"/>
    </xf>
    <xf numFmtId="166" fontId="33" fillId="14" borderId="38" xfId="0" applyNumberFormat="1" applyFont="1" applyFill="1" applyBorder="1" applyAlignment="1">
      <alignment horizontal="center" vertical="center"/>
    </xf>
    <xf numFmtId="166" fontId="33" fillId="14" borderId="34" xfId="0" applyNumberFormat="1" applyFont="1" applyFill="1" applyBorder="1" applyAlignment="1">
      <alignment horizontal="center" vertical="center"/>
    </xf>
    <xf numFmtId="166" fontId="30" fillId="26" borderId="43" xfId="0" applyNumberFormat="1" applyFont="1" applyFill="1" applyBorder="1" applyAlignment="1">
      <alignment horizontal="right" vertical="center"/>
    </xf>
    <xf numFmtId="0" fontId="33" fillId="39" borderId="44" xfId="0" applyFont="1" applyFill="1" applyBorder="1" applyAlignment="1">
      <alignment horizontal="center" vertical="center"/>
    </xf>
    <xf numFmtId="0" fontId="33" fillId="39" borderId="21" xfId="0" applyFont="1" applyFill="1" applyBorder="1" applyAlignment="1">
      <alignment horizontal="center" vertical="center"/>
    </xf>
    <xf numFmtId="166" fontId="33" fillId="39" borderId="5" xfId="0" applyNumberFormat="1" applyFont="1" applyFill="1" applyBorder="1" applyAlignment="1">
      <alignment horizontal="center" vertical="center"/>
    </xf>
    <xf numFmtId="166" fontId="33" fillId="39" borderId="6" xfId="0" applyNumberFormat="1" applyFont="1" applyFill="1" applyBorder="1" applyAlignment="1">
      <alignment horizontal="center" vertical="center"/>
    </xf>
    <xf numFmtId="166" fontId="33" fillId="39" borderId="91" xfId="0" applyNumberFormat="1" applyFont="1" applyFill="1" applyBorder="1" applyAlignment="1">
      <alignment horizontal="center" vertical="center"/>
    </xf>
    <xf numFmtId="166" fontId="33" fillId="39" borderId="39" xfId="0" applyNumberFormat="1" applyFont="1" applyFill="1" applyBorder="1" applyAlignment="1">
      <alignment horizontal="center" vertical="center"/>
    </xf>
    <xf numFmtId="166" fontId="33" fillId="39" borderId="92" xfId="0" applyNumberFormat="1" applyFont="1" applyFill="1" applyBorder="1" applyAlignment="1">
      <alignment horizontal="center" vertical="center"/>
    </xf>
    <xf numFmtId="166" fontId="33" fillId="39" borderId="93" xfId="0" applyNumberFormat="1" applyFont="1" applyFill="1" applyBorder="1" applyAlignment="1">
      <alignment horizontal="center" vertical="center"/>
    </xf>
    <xf numFmtId="166" fontId="33" fillId="21" borderId="208" xfId="0" applyNumberFormat="1" applyFont="1" applyFill="1" applyBorder="1" applyAlignment="1">
      <alignment horizontal="center" vertical="center"/>
    </xf>
    <xf numFmtId="0" fontId="87" fillId="2" borderId="2" xfId="0" applyFont="1" applyFill="1" applyBorder="1" applyAlignment="1">
      <alignment horizontal="center" vertical="center"/>
    </xf>
    <xf numFmtId="0" fontId="87" fillId="2" borderId="4" xfId="0" applyFont="1" applyFill="1" applyBorder="1" applyAlignment="1">
      <alignment horizontal="center" vertical="center"/>
    </xf>
    <xf numFmtId="0" fontId="12" fillId="17" borderId="19"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85" fillId="3" borderId="1" xfId="0" applyFont="1" applyFill="1" applyBorder="1" applyAlignment="1">
      <alignment horizontal="center"/>
    </xf>
    <xf numFmtId="11" fontId="33" fillId="14" borderId="33" xfId="0" applyNumberFormat="1" applyFont="1" applyFill="1" applyBorder="1" applyAlignment="1">
      <alignment horizontal="center" vertical="center"/>
    </xf>
    <xf numFmtId="11" fontId="33" fillId="14" borderId="38" xfId="0" applyNumberFormat="1" applyFont="1" applyFill="1" applyBorder="1" applyAlignment="1">
      <alignment horizontal="center" vertical="center"/>
    </xf>
    <xf numFmtId="11" fontId="33" fillId="14" borderId="34" xfId="0" applyNumberFormat="1" applyFont="1" applyFill="1" applyBorder="1" applyAlignment="1">
      <alignment horizontal="center" vertical="center"/>
    </xf>
    <xf numFmtId="0" fontId="33" fillId="3" borderId="5" xfId="0" applyFont="1" applyFill="1" applyBorder="1" applyAlignment="1">
      <alignment horizontal="center" vertical="center" wrapText="1"/>
    </xf>
    <xf numFmtId="0" fontId="33" fillId="3" borderId="99" xfId="0" applyFont="1" applyFill="1" applyBorder="1" applyAlignment="1">
      <alignment horizontal="center" vertical="center" wrapText="1"/>
    </xf>
    <xf numFmtId="0" fontId="33" fillId="12" borderId="16" xfId="0" applyFont="1" applyFill="1" applyBorder="1" applyAlignment="1">
      <alignment horizontal="center"/>
    </xf>
    <xf numFmtId="0" fontId="33" fillId="12" borderId="7" xfId="0" applyFont="1" applyFill="1" applyBorder="1" applyAlignment="1">
      <alignment horizontal="center"/>
    </xf>
    <xf numFmtId="0" fontId="33" fillId="12" borderId="8" xfId="0" applyFont="1" applyFill="1" applyBorder="1" applyAlignment="1">
      <alignment horizontal="center"/>
    </xf>
    <xf numFmtId="0" fontId="90" fillId="21" borderId="33" xfId="0" applyFont="1" applyFill="1" applyBorder="1" applyAlignment="1">
      <alignment horizontal="center" vertical="center"/>
    </xf>
    <xf numFmtId="0" fontId="90" fillId="21" borderId="38" xfId="0" applyFont="1" applyFill="1" applyBorder="1" applyAlignment="1">
      <alignment horizontal="center" vertical="center"/>
    </xf>
    <xf numFmtId="0" fontId="90" fillId="21" borderId="34" xfId="0" applyFont="1" applyFill="1" applyBorder="1" applyAlignment="1">
      <alignment horizontal="center" vertical="center"/>
    </xf>
    <xf numFmtId="0" fontId="90" fillId="21" borderId="5" xfId="0" applyFont="1" applyFill="1" applyBorder="1" applyAlignment="1">
      <alignment horizontal="center" vertical="center"/>
    </xf>
    <xf numFmtId="0" fontId="90" fillId="21" borderId="6" xfId="0" applyFont="1" applyFill="1" applyBorder="1" applyAlignment="1">
      <alignment horizontal="center" vertical="center"/>
    </xf>
    <xf numFmtId="0" fontId="90" fillId="21" borderId="91" xfId="0" applyFont="1" applyFill="1" applyBorder="1" applyAlignment="1">
      <alignment horizontal="center" vertical="center"/>
    </xf>
    <xf numFmtId="0" fontId="89" fillId="40" borderId="39" xfId="0" applyFont="1" applyFill="1" applyBorder="1" applyAlignment="1">
      <alignment horizontal="center" vertical="center"/>
    </xf>
    <xf numFmtId="0" fontId="89" fillId="40" borderId="92" xfId="0" applyFont="1" applyFill="1" applyBorder="1" applyAlignment="1">
      <alignment horizontal="center" vertical="center"/>
    </xf>
    <xf numFmtId="0" fontId="89" fillId="40" borderId="93" xfId="0" applyFont="1" applyFill="1" applyBorder="1" applyAlignment="1">
      <alignment horizontal="center" vertical="center"/>
    </xf>
    <xf numFmtId="0" fontId="203" fillId="5" borderId="33" xfId="0" applyFont="1" applyFill="1" applyBorder="1" applyAlignment="1">
      <alignment horizontal="center" vertical="center"/>
    </xf>
    <xf numFmtId="0" fontId="203" fillId="5" borderId="38" xfId="0" applyFont="1" applyFill="1" applyBorder="1" applyAlignment="1">
      <alignment horizontal="center" vertical="center"/>
    </xf>
    <xf numFmtId="0" fontId="203" fillId="5" borderId="34" xfId="0" applyFont="1" applyFill="1" applyBorder="1" applyAlignment="1">
      <alignment horizontal="center" vertical="center"/>
    </xf>
    <xf numFmtId="166" fontId="89" fillId="14" borderId="33" xfId="0" applyNumberFormat="1" applyFont="1" applyFill="1" applyBorder="1" applyAlignment="1">
      <alignment horizontal="center" vertical="center"/>
    </xf>
    <xf numFmtId="166" fontId="89" fillId="14" borderId="38" xfId="0" applyNumberFormat="1" applyFont="1" applyFill="1" applyBorder="1" applyAlignment="1">
      <alignment horizontal="center" vertical="center"/>
    </xf>
    <xf numFmtId="166" fontId="89" fillId="14" borderId="34" xfId="0" applyNumberFormat="1" applyFont="1" applyFill="1" applyBorder="1" applyAlignment="1">
      <alignment horizontal="center" vertical="center"/>
    </xf>
    <xf numFmtId="0" fontId="89" fillId="11" borderId="33" xfId="0" applyFont="1" applyFill="1" applyBorder="1" applyAlignment="1">
      <alignment horizontal="center" vertical="center"/>
    </xf>
    <xf numFmtId="0" fontId="89" fillId="11" borderId="38" xfId="0" applyFont="1" applyFill="1" applyBorder="1" applyAlignment="1">
      <alignment horizontal="center" vertical="center"/>
    </xf>
    <xf numFmtId="0" fontId="89" fillId="11" borderId="34" xfId="0" applyFont="1" applyFill="1" applyBorder="1" applyAlignment="1">
      <alignment horizontal="center" vertical="center"/>
    </xf>
    <xf numFmtId="0" fontId="33" fillId="11" borderId="44" xfId="0" applyFont="1" applyFill="1" applyBorder="1" applyAlignment="1">
      <alignment horizontal="center" vertical="center"/>
    </xf>
    <xf numFmtId="0" fontId="33" fillId="11" borderId="22" xfId="0" applyFont="1" applyFill="1" applyBorder="1" applyAlignment="1">
      <alignment horizontal="center" vertical="center"/>
    </xf>
    <xf numFmtId="166" fontId="30" fillId="26" borderId="40" xfId="0" applyNumberFormat="1" applyFont="1" applyFill="1" applyBorder="1" applyAlignment="1">
      <alignment horizontal="center"/>
    </xf>
    <xf numFmtId="166" fontId="30" fillId="26" borderId="0" xfId="0" applyNumberFormat="1" applyFont="1" applyFill="1" applyBorder="1" applyAlignment="1">
      <alignment horizontal="center"/>
    </xf>
    <xf numFmtId="166" fontId="30" fillId="26" borderId="43" xfId="0" applyNumberFormat="1" applyFont="1" applyFill="1" applyBorder="1" applyAlignment="1">
      <alignment horizontal="center"/>
    </xf>
    <xf numFmtId="166" fontId="30" fillId="26" borderId="39" xfId="0" applyNumberFormat="1" applyFont="1" applyFill="1" applyBorder="1" applyAlignment="1">
      <alignment horizontal="center"/>
    </xf>
    <xf numFmtId="166" fontId="30" fillId="26" borderId="92" xfId="0" applyNumberFormat="1" applyFont="1" applyFill="1" applyBorder="1" applyAlignment="1">
      <alignment horizontal="center"/>
    </xf>
    <xf numFmtId="166" fontId="30" fillId="26" borderId="93" xfId="0" applyNumberFormat="1" applyFont="1" applyFill="1" applyBorder="1" applyAlignment="1">
      <alignment horizontal="center"/>
    </xf>
    <xf numFmtId="166" fontId="33" fillId="11" borderId="5" xfId="0" applyNumberFormat="1" applyFont="1" applyFill="1" applyBorder="1" applyAlignment="1">
      <alignment horizontal="center" vertical="center"/>
    </xf>
    <xf numFmtId="166" fontId="33" fillId="11" borderId="6" xfId="0" applyNumberFormat="1" applyFont="1" applyFill="1" applyBorder="1" applyAlignment="1">
      <alignment horizontal="center" vertical="center"/>
    </xf>
    <xf numFmtId="166" fontId="33" fillId="11" borderId="91" xfId="0" applyNumberFormat="1" applyFont="1" applyFill="1" applyBorder="1" applyAlignment="1">
      <alignment horizontal="center" vertical="center"/>
    </xf>
    <xf numFmtId="166" fontId="33" fillId="11" borderId="39" xfId="0" applyNumberFormat="1" applyFont="1" applyFill="1" applyBorder="1" applyAlignment="1">
      <alignment horizontal="center" vertical="center"/>
    </xf>
    <xf numFmtId="166" fontId="33" fillId="11" borderId="92" xfId="0" applyNumberFormat="1" applyFont="1" applyFill="1" applyBorder="1" applyAlignment="1">
      <alignment horizontal="center" vertical="center"/>
    </xf>
    <xf numFmtId="166" fontId="33" fillId="11" borderId="93" xfId="0" applyNumberFormat="1" applyFont="1" applyFill="1" applyBorder="1" applyAlignment="1">
      <alignment horizontal="center" vertical="center"/>
    </xf>
    <xf numFmtId="0" fontId="89" fillId="40" borderId="33" xfId="0" applyFont="1" applyFill="1" applyBorder="1" applyAlignment="1">
      <alignment horizontal="center" vertical="center"/>
    </xf>
    <xf numFmtId="0" fontId="89" fillId="40" borderId="38" xfId="0" applyFont="1" applyFill="1" applyBorder="1" applyAlignment="1">
      <alignment horizontal="center" vertical="center"/>
    </xf>
    <xf numFmtId="0" fontId="89" fillId="40" borderId="34" xfId="0" applyFont="1" applyFill="1" applyBorder="1" applyAlignment="1">
      <alignment horizontal="center" vertical="center"/>
    </xf>
    <xf numFmtId="0" fontId="33" fillId="39" borderId="22" xfId="0" applyFont="1" applyFill="1" applyBorder="1" applyAlignment="1">
      <alignment horizontal="center" vertical="center"/>
    </xf>
    <xf numFmtId="169" fontId="33" fillId="21" borderId="110" xfId="0" applyNumberFormat="1" applyFont="1" applyFill="1" applyBorder="1" applyAlignment="1">
      <alignment horizontal="center" vertical="center"/>
    </xf>
    <xf numFmtId="169" fontId="33" fillId="21" borderId="108" xfId="0" applyNumberFormat="1" applyFont="1" applyFill="1" applyBorder="1" applyAlignment="1">
      <alignment horizontal="center" vertical="center"/>
    </xf>
    <xf numFmtId="181" fontId="33" fillId="21" borderId="110" xfId="0" applyNumberFormat="1" applyFont="1" applyFill="1" applyBorder="1" applyAlignment="1">
      <alignment horizontal="center" vertical="center"/>
    </xf>
    <xf numFmtId="181" fontId="33" fillId="21" borderId="108" xfId="0" applyNumberFormat="1" applyFont="1" applyFill="1" applyBorder="1" applyAlignment="1">
      <alignment horizontal="center" vertical="center"/>
    </xf>
    <xf numFmtId="2" fontId="33" fillId="21" borderId="1" xfId="0" applyNumberFormat="1" applyFont="1" applyFill="1" applyBorder="1" applyAlignment="1">
      <alignment horizontal="center" vertical="center"/>
    </xf>
    <xf numFmtId="2" fontId="33" fillId="21" borderId="15" xfId="0" applyNumberFormat="1" applyFont="1" applyFill="1" applyBorder="1" applyAlignment="1">
      <alignment horizontal="center" vertical="center"/>
    </xf>
    <xf numFmtId="0" fontId="33" fillId="41" borderId="1" xfId="0" applyFont="1" applyFill="1" applyBorder="1" applyAlignment="1">
      <alignment horizontal="center" vertical="center"/>
    </xf>
    <xf numFmtId="0" fontId="33" fillId="41" borderId="15" xfId="0" applyFont="1" applyFill="1" applyBorder="1" applyAlignment="1">
      <alignment horizontal="center" vertical="center"/>
    </xf>
    <xf numFmtId="0" fontId="33" fillId="42" borderId="1" xfId="0" applyFont="1" applyFill="1" applyBorder="1" applyAlignment="1">
      <alignment horizontal="center" vertical="center"/>
    </xf>
    <xf numFmtId="0" fontId="33" fillId="42" borderId="15" xfId="0" applyFont="1" applyFill="1" applyBorder="1" applyAlignment="1">
      <alignment horizontal="center" vertical="center"/>
    </xf>
    <xf numFmtId="0" fontId="89" fillId="2" borderId="14" xfId="0" applyFont="1" applyFill="1" applyBorder="1" applyAlignment="1">
      <alignment horizontal="center" vertical="center" wrapText="1"/>
    </xf>
    <xf numFmtId="11" fontId="33" fillId="21" borderId="1" xfId="0" applyNumberFormat="1" applyFont="1" applyFill="1" applyBorder="1" applyAlignment="1">
      <alignment horizontal="center" vertical="center"/>
    </xf>
    <xf numFmtId="0" fontId="33" fillId="41" borderId="14" xfId="0" applyFont="1" applyFill="1" applyBorder="1" applyAlignment="1">
      <alignment horizontal="center" vertical="center" wrapText="1"/>
    </xf>
    <xf numFmtId="166" fontId="33" fillId="14" borderId="91" xfId="0" applyNumberFormat="1" applyFont="1" applyFill="1" applyBorder="1" applyAlignment="1">
      <alignment horizontal="center" vertical="center"/>
    </xf>
    <xf numFmtId="0" fontId="89" fillId="11" borderId="27" xfId="0" applyFont="1" applyFill="1" applyBorder="1" applyAlignment="1">
      <alignment horizontal="center" vertical="center"/>
    </xf>
    <xf numFmtId="0" fontId="89" fillId="11" borderId="28" xfId="0" applyFont="1" applyFill="1" applyBorder="1" applyAlignment="1">
      <alignment horizontal="center" vertical="center"/>
    </xf>
    <xf numFmtId="0" fontId="89" fillId="11" borderId="24" xfId="0" applyFont="1" applyFill="1" applyBorder="1" applyAlignment="1">
      <alignment horizontal="center" vertical="center"/>
    </xf>
    <xf numFmtId="166" fontId="33" fillId="11" borderId="40" xfId="0" applyNumberFormat="1" applyFont="1" applyFill="1" applyBorder="1" applyAlignment="1">
      <alignment horizontal="center" vertical="center"/>
    </xf>
    <xf numFmtId="166" fontId="33" fillId="11" borderId="0" xfId="0" applyNumberFormat="1" applyFont="1" applyFill="1" applyBorder="1" applyAlignment="1">
      <alignment horizontal="center" vertical="center"/>
    </xf>
    <xf numFmtId="166" fontId="33" fillId="11" borderId="43" xfId="0" applyNumberFormat="1" applyFont="1" applyFill="1" applyBorder="1" applyAlignment="1">
      <alignment horizontal="center" vertical="center"/>
    </xf>
    <xf numFmtId="0" fontId="33" fillId="39" borderId="9" xfId="0" applyFont="1" applyFill="1" applyBorder="1" applyAlignment="1">
      <alignment horizontal="center" vertical="center"/>
    </xf>
    <xf numFmtId="0" fontId="33" fillId="39" borderId="1" xfId="0" applyFont="1" applyFill="1" applyBorder="1" applyAlignment="1">
      <alignment horizontal="center" vertical="center"/>
    </xf>
    <xf numFmtId="166" fontId="33" fillId="39" borderId="9" xfId="0" applyNumberFormat="1" applyFont="1" applyFill="1" applyBorder="1" applyAlignment="1">
      <alignment horizontal="center" vertical="center"/>
    </xf>
    <xf numFmtId="166" fontId="33" fillId="39" borderId="1" xfId="0" applyNumberFormat="1" applyFont="1" applyFill="1" applyBorder="1" applyAlignment="1">
      <alignment horizontal="center" vertical="center"/>
    </xf>
    <xf numFmtId="166" fontId="30" fillId="26" borderId="9" xfId="0" applyNumberFormat="1" applyFont="1" applyFill="1" applyBorder="1" applyAlignment="1">
      <alignment horizontal="right" vertical="center"/>
    </xf>
    <xf numFmtId="166" fontId="30" fillId="26" borderId="1" xfId="0" applyNumberFormat="1" applyFont="1" applyFill="1" applyBorder="1" applyAlignment="1">
      <alignment horizontal="right" vertical="center"/>
    </xf>
    <xf numFmtId="0" fontId="33" fillId="41" borderId="22" xfId="0" applyFont="1" applyFill="1" applyBorder="1" applyAlignment="1">
      <alignment horizontal="center" vertical="center"/>
    </xf>
    <xf numFmtId="0" fontId="33" fillId="42" borderId="6" xfId="0" applyFont="1" applyFill="1" applyBorder="1" applyAlignment="1">
      <alignment horizontal="center" vertical="center"/>
    </xf>
    <xf numFmtId="0" fontId="33" fillId="42" borderId="91" xfId="0" applyFont="1" applyFill="1" applyBorder="1" applyAlignment="1">
      <alignment horizontal="center" vertical="center"/>
    </xf>
    <xf numFmtId="166" fontId="33" fillId="39" borderId="40" xfId="0" applyNumberFormat="1" applyFont="1" applyFill="1" applyBorder="1" applyAlignment="1">
      <alignment horizontal="center" vertical="center"/>
    </xf>
    <xf numFmtId="166" fontId="33" fillId="39" borderId="0" xfId="0" applyNumberFormat="1" applyFont="1" applyFill="1" applyBorder="1" applyAlignment="1">
      <alignment horizontal="center" vertical="center"/>
    </xf>
    <xf numFmtId="166" fontId="33" fillId="39" borderId="43" xfId="0" applyNumberFormat="1" applyFont="1" applyFill="1" applyBorder="1" applyAlignment="1">
      <alignment horizontal="center" vertical="center"/>
    </xf>
    <xf numFmtId="166" fontId="33" fillId="21" borderId="106" xfId="0" applyNumberFormat="1" applyFont="1" applyFill="1" applyBorder="1" applyAlignment="1">
      <alignment horizontal="center" vertical="center"/>
    </xf>
    <xf numFmtId="166" fontId="33" fillId="21" borderId="21" xfId="0" applyNumberFormat="1" applyFont="1" applyFill="1" applyBorder="1" applyAlignment="1">
      <alignment horizontal="center" vertical="center"/>
    </xf>
    <xf numFmtId="166" fontId="33" fillId="21" borderId="17" xfId="0" applyNumberFormat="1" applyFont="1" applyFill="1" applyBorder="1" applyAlignment="1">
      <alignment horizontal="center" vertical="center"/>
    </xf>
    <xf numFmtId="166" fontId="33" fillId="21" borderId="92" xfId="0" applyNumberFormat="1" applyFont="1" applyFill="1" applyBorder="1" applyAlignment="1">
      <alignment horizontal="center" vertical="center"/>
    </xf>
    <xf numFmtId="11" fontId="33" fillId="21" borderId="14" xfId="0" applyNumberFormat="1" applyFont="1" applyFill="1" applyBorder="1" applyAlignment="1">
      <alignment horizontal="center" vertical="center"/>
    </xf>
    <xf numFmtId="11" fontId="33" fillId="21" borderId="29" xfId="0" applyNumberFormat="1" applyFont="1" applyFill="1" applyBorder="1" applyAlignment="1">
      <alignment horizontal="center" vertical="center"/>
    </xf>
    <xf numFmtId="166" fontId="33" fillId="21" borderId="1" xfId="0" applyNumberFormat="1" applyFont="1" applyFill="1" applyBorder="1" applyAlignment="1">
      <alignment horizontal="center" vertical="center"/>
    </xf>
    <xf numFmtId="166" fontId="33" fillId="21" borderId="30" xfId="0" applyNumberFormat="1" applyFont="1" applyFill="1" applyBorder="1" applyAlignment="1">
      <alignment horizontal="center" vertical="center"/>
    </xf>
    <xf numFmtId="0" fontId="33" fillId="11" borderId="44" xfId="0" applyFont="1" applyFill="1" applyBorder="1" applyAlignment="1">
      <alignment horizontal="center" vertical="center" wrapText="1"/>
    </xf>
    <xf numFmtId="0" fontId="33" fillId="11" borderId="21" xfId="0" applyFont="1" applyFill="1" applyBorder="1" applyAlignment="1">
      <alignment horizontal="center" vertical="center" wrapText="1"/>
    </xf>
    <xf numFmtId="0" fontId="33" fillId="41" borderId="22" xfId="0" applyFont="1" applyFill="1" applyBorder="1" applyAlignment="1">
      <alignment horizontal="center" vertical="center" wrapText="1"/>
    </xf>
    <xf numFmtId="0" fontId="33" fillId="41" borderId="33" xfId="0" applyFont="1" applyFill="1" applyBorder="1" applyAlignment="1">
      <alignment horizontal="center" vertical="center"/>
    </xf>
    <xf numFmtId="0" fontId="33" fillId="42" borderId="40" xfId="0" applyFont="1" applyFill="1" applyBorder="1" applyAlignment="1">
      <alignment horizontal="center" vertical="center" wrapText="1"/>
    </xf>
    <xf numFmtId="0" fontId="33" fillId="42" borderId="43" xfId="0" applyFont="1" applyFill="1" applyBorder="1" applyAlignment="1">
      <alignment horizontal="center" vertical="center" wrapText="1"/>
    </xf>
    <xf numFmtId="0" fontId="33" fillId="42" borderId="39" xfId="0" applyFont="1" applyFill="1" applyBorder="1" applyAlignment="1">
      <alignment horizontal="center" vertical="center" wrapText="1"/>
    </xf>
    <xf numFmtId="0" fontId="33" fillId="42" borderId="93" xfId="0" applyFont="1" applyFill="1" applyBorder="1" applyAlignment="1">
      <alignment horizontal="center" vertical="center" wrapText="1"/>
    </xf>
    <xf numFmtId="171" fontId="33" fillId="14" borderId="33" xfId="0" applyNumberFormat="1" applyFont="1" applyFill="1" applyBorder="1" applyAlignment="1">
      <alignment horizontal="center" vertical="center"/>
    </xf>
    <xf numFmtId="171" fontId="33" fillId="14" borderId="38" xfId="0" applyNumberFormat="1" applyFont="1" applyFill="1" applyBorder="1" applyAlignment="1">
      <alignment horizontal="center" vertical="center"/>
    </xf>
    <xf numFmtId="171" fontId="33" fillId="14" borderId="34" xfId="0" applyNumberFormat="1" applyFont="1" applyFill="1" applyBorder="1" applyAlignment="1">
      <alignment horizontal="center" vertical="center"/>
    </xf>
    <xf numFmtId="0" fontId="33" fillId="39" borderId="44" xfId="0" applyFont="1" applyFill="1" applyBorder="1" applyAlignment="1">
      <alignment horizontal="center" vertical="center" wrapText="1"/>
    </xf>
    <xf numFmtId="0" fontId="33" fillId="39" borderId="21" xfId="0" applyFont="1" applyFill="1" applyBorder="1" applyAlignment="1">
      <alignment horizontal="center" vertical="center" wrapText="1"/>
    </xf>
    <xf numFmtId="166" fontId="30" fillId="0" borderId="0" xfId="0" applyNumberFormat="1" applyFont="1" applyFill="1" applyBorder="1" applyAlignment="1">
      <alignment horizontal="right" vertical="center"/>
    </xf>
    <xf numFmtId="0" fontId="33" fillId="23" borderId="44" xfId="0" applyFont="1" applyFill="1" applyBorder="1" applyAlignment="1">
      <alignment horizontal="center" vertical="center" wrapText="1"/>
    </xf>
    <xf numFmtId="0" fontId="33" fillId="23" borderId="21" xfId="0" applyFont="1" applyFill="1" applyBorder="1" applyAlignment="1">
      <alignment horizontal="center" vertical="center" wrapText="1"/>
    </xf>
    <xf numFmtId="166" fontId="33" fillId="23" borderId="5" xfId="0" applyNumberFormat="1" applyFont="1" applyFill="1" applyBorder="1" applyAlignment="1">
      <alignment horizontal="center" vertical="center"/>
    </xf>
    <xf numFmtId="166" fontId="33" fillId="23" borderId="6" xfId="0" applyNumberFormat="1" applyFont="1" applyFill="1" applyBorder="1" applyAlignment="1">
      <alignment horizontal="center" vertical="center"/>
    </xf>
    <xf numFmtId="166" fontId="33" fillId="23" borderId="91" xfId="0" applyNumberFormat="1" applyFont="1" applyFill="1" applyBorder="1" applyAlignment="1">
      <alignment horizontal="center" vertical="center"/>
    </xf>
    <xf numFmtId="166" fontId="33" fillId="23" borderId="39" xfId="0" applyNumberFormat="1" applyFont="1" applyFill="1" applyBorder="1" applyAlignment="1">
      <alignment horizontal="center" vertical="center"/>
    </xf>
    <xf numFmtId="166" fontId="33" fillId="23" borderId="92" xfId="0" applyNumberFormat="1" applyFont="1" applyFill="1" applyBorder="1" applyAlignment="1">
      <alignment horizontal="center" vertical="center"/>
    </xf>
    <xf numFmtId="166" fontId="33" fillId="23" borderId="93" xfId="0" applyNumberFormat="1" applyFont="1" applyFill="1" applyBorder="1" applyAlignment="1">
      <alignment horizontal="center" vertical="center"/>
    </xf>
    <xf numFmtId="0" fontId="89" fillId="2" borderId="16"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7" xfId="0" applyFont="1" applyFill="1" applyBorder="1" applyAlignment="1">
      <alignment horizontal="center" vertical="center" wrapText="1"/>
    </xf>
    <xf numFmtId="166" fontId="33" fillId="21" borderId="40" xfId="0" applyNumberFormat="1" applyFont="1" applyFill="1" applyBorder="1" applyAlignment="1">
      <alignment horizontal="center" vertical="center"/>
    </xf>
    <xf numFmtId="166" fontId="33" fillId="21" borderId="43" xfId="0" applyNumberFormat="1" applyFont="1" applyFill="1" applyBorder="1" applyAlignment="1">
      <alignment horizontal="center" vertical="center"/>
    </xf>
    <xf numFmtId="166" fontId="33" fillId="21" borderId="39" xfId="0" applyNumberFormat="1" applyFont="1" applyFill="1" applyBorder="1" applyAlignment="1">
      <alignment horizontal="center" vertical="center"/>
    </xf>
    <xf numFmtId="166" fontId="33" fillId="21" borderId="93" xfId="0" applyNumberFormat="1" applyFont="1" applyFill="1" applyBorder="1" applyAlignment="1">
      <alignment horizontal="center" vertical="center"/>
    </xf>
    <xf numFmtId="166" fontId="33" fillId="21" borderId="0" xfId="0" applyNumberFormat="1" applyFont="1" applyFill="1" applyBorder="1" applyAlignment="1">
      <alignment horizontal="center" vertical="center"/>
    </xf>
    <xf numFmtId="0" fontId="33" fillId="0" borderId="0" xfId="0" applyFont="1" applyFill="1" applyBorder="1" applyAlignment="1">
      <alignment horizontal="center" vertical="center"/>
    </xf>
    <xf numFmtId="0" fontId="89" fillId="2" borderId="5" xfId="0" applyFont="1" applyFill="1" applyBorder="1" applyAlignment="1">
      <alignment horizontal="center" vertical="center" wrapText="1"/>
    </xf>
    <xf numFmtId="0" fontId="89" fillId="2" borderId="39" xfId="0" applyFont="1" applyFill="1" applyBorder="1" applyAlignment="1">
      <alignment horizontal="center" vertical="center" wrapText="1"/>
    </xf>
    <xf numFmtId="166" fontId="89" fillId="14" borderId="39" xfId="4" applyNumberFormat="1" applyFont="1" applyFill="1" applyBorder="1" applyAlignment="1">
      <alignment horizontal="center" vertical="center" wrapText="1"/>
    </xf>
    <xf numFmtId="166" fontId="89" fillId="14" borderId="92" xfId="4" applyNumberFormat="1" applyFont="1" applyFill="1" applyBorder="1" applyAlignment="1">
      <alignment horizontal="center" vertical="center" wrapText="1"/>
    </xf>
    <xf numFmtId="166" fontId="89" fillId="14" borderId="93" xfId="4" applyNumberFormat="1" applyFont="1" applyFill="1" applyBorder="1" applyAlignment="1">
      <alignment horizontal="center" vertical="center" wrapText="1"/>
    </xf>
    <xf numFmtId="0" fontId="89" fillId="2" borderId="44" xfId="0" applyFont="1" applyFill="1" applyBorder="1" applyAlignment="1">
      <alignment horizontal="center" vertical="center" wrapText="1"/>
    </xf>
    <xf numFmtId="9" fontId="89" fillId="2" borderId="33" xfId="4" applyFont="1" applyFill="1" applyBorder="1" applyAlignment="1">
      <alignment horizontal="center" vertical="center" wrapText="1"/>
    </xf>
    <xf numFmtId="9" fontId="89" fillId="2" borderId="38" xfId="4" applyFont="1" applyFill="1" applyBorder="1" applyAlignment="1">
      <alignment horizontal="center" vertical="center" wrapText="1"/>
    </xf>
    <xf numFmtId="9" fontId="89" fillId="2" borderId="34" xfId="4" applyFont="1" applyFill="1" applyBorder="1" applyAlignment="1">
      <alignment horizontal="center" vertical="center" wrapText="1"/>
    </xf>
    <xf numFmtId="166" fontId="33" fillId="0" borderId="5" xfId="4" applyNumberFormat="1" applyFont="1" applyFill="1" applyBorder="1" applyAlignment="1">
      <alignment horizontal="center" vertical="center" wrapText="1"/>
    </xf>
    <xf numFmtId="166" fontId="33" fillId="0" borderId="91" xfId="4" applyNumberFormat="1" applyFont="1" applyFill="1" applyBorder="1" applyAlignment="1">
      <alignment horizontal="center" vertical="center" wrapText="1"/>
    </xf>
    <xf numFmtId="166" fontId="33" fillId="0" borderId="39" xfId="4" applyNumberFormat="1" applyFont="1" applyFill="1" applyBorder="1" applyAlignment="1">
      <alignment horizontal="center" vertical="center" wrapText="1"/>
    </xf>
    <xf numFmtId="166" fontId="33" fillId="0" borderId="93" xfId="4" applyNumberFormat="1" applyFont="1" applyFill="1" applyBorder="1" applyAlignment="1">
      <alignment horizontal="center" vertical="center" wrapText="1"/>
    </xf>
    <xf numFmtId="166" fontId="33" fillId="0" borderId="5" xfId="0" applyNumberFormat="1" applyFont="1" applyFill="1" applyBorder="1" applyAlignment="1">
      <alignment horizontal="center" vertical="center"/>
    </xf>
    <xf numFmtId="166" fontId="33" fillId="0" borderId="91" xfId="0" applyNumberFormat="1" applyFont="1" applyFill="1" applyBorder="1" applyAlignment="1">
      <alignment horizontal="center" vertical="center"/>
    </xf>
    <xf numFmtId="166" fontId="33" fillId="0" borderId="39" xfId="0" applyNumberFormat="1" applyFont="1" applyFill="1" applyBorder="1" applyAlignment="1">
      <alignment horizontal="center" vertical="center"/>
    </xf>
    <xf numFmtId="166" fontId="33" fillId="0" borderId="93" xfId="0" applyNumberFormat="1" applyFont="1" applyFill="1" applyBorder="1" applyAlignment="1">
      <alignment horizontal="center" vertical="center"/>
    </xf>
    <xf numFmtId="166" fontId="33" fillId="11" borderId="33" xfId="0" applyNumberFormat="1" applyFont="1" applyFill="1" applyBorder="1" applyAlignment="1">
      <alignment horizontal="center" vertical="center"/>
    </xf>
    <xf numFmtId="166" fontId="33" fillId="11" borderId="38" xfId="0" applyNumberFormat="1" applyFont="1" applyFill="1" applyBorder="1" applyAlignment="1">
      <alignment horizontal="center" vertical="center"/>
    </xf>
    <xf numFmtId="166" fontId="33" fillId="11" borderId="34" xfId="0" applyNumberFormat="1" applyFont="1" applyFill="1" applyBorder="1" applyAlignment="1">
      <alignment horizontal="center" vertical="center"/>
    </xf>
    <xf numFmtId="9" fontId="33" fillId="41" borderId="5" xfId="4" applyFont="1" applyFill="1" applyBorder="1" applyAlignment="1">
      <alignment horizontal="center" vertical="center" wrapText="1"/>
    </xf>
    <xf numFmtId="9" fontId="33" fillId="41" borderId="91" xfId="4" applyFont="1" applyFill="1" applyBorder="1" applyAlignment="1">
      <alignment horizontal="center" vertical="center" wrapText="1"/>
    </xf>
    <xf numFmtId="9" fontId="33" fillId="41" borderId="39" xfId="4" applyFont="1" applyFill="1" applyBorder="1" applyAlignment="1">
      <alignment horizontal="center" vertical="center" wrapText="1"/>
    </xf>
    <xf numFmtId="9" fontId="33" fillId="41" borderId="93" xfId="4" applyFont="1" applyFill="1" applyBorder="1" applyAlignment="1">
      <alignment horizontal="center" vertical="center" wrapText="1"/>
    </xf>
    <xf numFmtId="166" fontId="33" fillId="21" borderId="161" xfId="0" applyNumberFormat="1" applyFont="1" applyFill="1" applyBorder="1" applyAlignment="1">
      <alignment horizontal="center" vertical="center"/>
    </xf>
    <xf numFmtId="11" fontId="33" fillId="21" borderId="161" xfId="0" applyNumberFormat="1" applyFont="1" applyFill="1" applyBorder="1" applyAlignment="1">
      <alignment horizontal="center" vertical="center"/>
    </xf>
    <xf numFmtId="166" fontId="33" fillId="21" borderId="202" xfId="0" applyNumberFormat="1" applyFont="1" applyFill="1" applyBorder="1" applyAlignment="1">
      <alignment horizontal="center" vertical="center"/>
    </xf>
    <xf numFmtId="0" fontId="33" fillId="0" borderId="51" xfId="0" applyFont="1" applyFill="1" applyBorder="1" applyAlignment="1">
      <alignment horizontal="center"/>
    </xf>
    <xf numFmtId="0" fontId="33" fillId="0" borderId="2" xfId="0" applyFont="1" applyFill="1" applyBorder="1" applyAlignment="1">
      <alignment horizontal="center" vertical="center"/>
    </xf>
    <xf numFmtId="0" fontId="33" fillId="0" borderId="3" xfId="0" applyFont="1" applyFill="1" applyBorder="1" applyAlignment="1">
      <alignment horizontal="center" vertical="center"/>
    </xf>
    <xf numFmtId="0" fontId="30" fillId="35" borderId="1" xfId="0" applyFont="1" applyFill="1" applyBorder="1" applyAlignment="1">
      <alignment horizontal="center" vertical="center"/>
    </xf>
    <xf numFmtId="0" fontId="30" fillId="0" borderId="1" xfId="0" applyFont="1" applyBorder="1" applyAlignment="1">
      <alignment horizontal="center"/>
    </xf>
    <xf numFmtId="0" fontId="33" fillId="0" borderId="4" xfId="0" applyFont="1" applyFill="1" applyBorder="1" applyAlignment="1">
      <alignment horizontal="center" vertical="center"/>
    </xf>
    <xf numFmtId="166" fontId="87" fillId="0" borderId="2" xfId="0" applyNumberFormat="1" applyFont="1" applyFill="1" applyBorder="1" applyAlignment="1">
      <alignment horizontal="center"/>
    </xf>
    <xf numFmtId="166" fontId="87" fillId="0" borderId="3" xfId="0" applyNumberFormat="1" applyFont="1" applyFill="1" applyBorder="1" applyAlignment="1">
      <alignment horizontal="center"/>
    </xf>
    <xf numFmtId="166" fontId="87" fillId="0" borderId="4" xfId="0" applyNumberFormat="1" applyFont="1" applyFill="1" applyBorder="1" applyAlignment="1">
      <alignment horizontal="center"/>
    </xf>
    <xf numFmtId="0" fontId="96" fillId="0" borderId="89" xfId="0" applyFont="1" applyFill="1" applyBorder="1" applyAlignment="1">
      <alignment horizontal="left" vertical="center" wrapText="1"/>
    </xf>
    <xf numFmtId="0" fontId="0" fillId="0" borderId="12" xfId="0" applyBorder="1" applyAlignment="1">
      <alignment vertical="center"/>
    </xf>
    <xf numFmtId="0" fontId="14" fillId="3" borderId="110" xfId="0" applyFont="1" applyFill="1" applyBorder="1" applyAlignment="1">
      <alignment horizontal="center" vertical="center" wrapText="1"/>
    </xf>
    <xf numFmtId="0" fontId="0" fillId="0" borderId="32" xfId="0" applyBorder="1" applyAlignment="1"/>
    <xf numFmtId="0" fontId="14" fillId="12" borderId="9" xfId="0" applyFont="1" applyFill="1" applyBorder="1" applyAlignment="1">
      <alignment horizontal="center"/>
    </xf>
    <xf numFmtId="0" fontId="14" fillId="12" borderId="37" xfId="0" applyFont="1" applyFill="1" applyBorder="1" applyAlignment="1">
      <alignment horizontal="center"/>
    </xf>
    <xf numFmtId="0" fontId="14" fillId="14" borderId="23" xfId="0" applyFont="1" applyFill="1" applyBorder="1" applyAlignment="1">
      <alignment horizontal="center"/>
    </xf>
    <xf numFmtId="0" fontId="14" fillId="14" borderId="10" xfId="0" applyFont="1" applyFill="1" applyBorder="1" applyAlignment="1">
      <alignment horizontal="center"/>
    </xf>
    <xf numFmtId="0" fontId="14" fillId="14" borderId="11" xfId="0" applyFont="1" applyFill="1" applyBorder="1" applyAlignment="1">
      <alignment horizontal="center"/>
    </xf>
    <xf numFmtId="0" fontId="0" fillId="0" borderId="38" xfId="0" applyBorder="1" applyAlignment="1">
      <alignment horizontal="center" vertical="center"/>
    </xf>
    <xf numFmtId="0" fontId="0" fillId="0" borderId="34" xfId="0" applyBorder="1" applyAlignment="1">
      <alignment horizontal="center" vertical="center"/>
    </xf>
    <xf numFmtId="0" fontId="14" fillId="0" borderId="0" xfId="0" applyFont="1" applyFill="1" applyBorder="1" applyAlignment="1">
      <alignment horizontal="center"/>
    </xf>
    <xf numFmtId="0" fontId="0" fillId="0" borderId="51" xfId="0" applyBorder="1" applyAlignment="1">
      <alignment horizontal="center"/>
    </xf>
    <xf numFmtId="0" fontId="98" fillId="0" borderId="2"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166" fontId="25" fillId="0" borderId="2" xfId="0" applyNumberFormat="1" applyFont="1" applyFill="1" applyBorder="1" applyAlignment="1">
      <alignment horizontal="center"/>
    </xf>
    <xf numFmtId="166" fontId="25" fillId="0" borderId="3" xfId="0" applyNumberFormat="1" applyFont="1" applyFill="1" applyBorder="1" applyAlignment="1">
      <alignment horizontal="center"/>
    </xf>
    <xf numFmtId="166" fontId="25" fillId="0" borderId="4" xfId="0" applyNumberFormat="1" applyFont="1" applyFill="1" applyBorder="1" applyAlignment="1">
      <alignment horizontal="center"/>
    </xf>
    <xf numFmtId="0" fontId="33" fillId="0" borderId="2" xfId="0" applyFont="1" applyFill="1" applyBorder="1" applyAlignment="1">
      <alignment horizontal="center"/>
    </xf>
    <xf numFmtId="0" fontId="33" fillId="0" borderId="3" xfId="0" applyFont="1" applyFill="1" applyBorder="1" applyAlignment="1">
      <alignment horizontal="center"/>
    </xf>
    <xf numFmtId="0" fontId="33" fillId="0" borderId="4" xfId="0" applyFont="1" applyFill="1" applyBorder="1" applyAlignment="1">
      <alignment horizontal="center"/>
    </xf>
    <xf numFmtId="0" fontId="14" fillId="14" borderId="33" xfId="0" applyFont="1" applyFill="1" applyBorder="1" applyAlignment="1">
      <alignment horizontal="center"/>
    </xf>
    <xf numFmtId="0" fontId="0" fillId="0" borderId="38" xfId="0" applyBorder="1" applyAlignment="1">
      <alignment horizontal="center"/>
    </xf>
    <xf numFmtId="0" fontId="0" fillId="0" borderId="34" xfId="0" applyBorder="1" applyAlignment="1">
      <alignment horizontal="center"/>
    </xf>
    <xf numFmtId="0" fontId="14" fillId="12" borderId="96"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66" fontId="25" fillId="0" borderId="2" xfId="0" applyNumberFormat="1" applyFont="1" applyFill="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166" fontId="100" fillId="14" borderId="33" xfId="0" applyNumberFormat="1" applyFont="1" applyFill="1" applyBorder="1" applyAlignment="1">
      <alignment horizontal="center" vertical="center"/>
    </xf>
    <xf numFmtId="166" fontId="100" fillId="14" borderId="38" xfId="0" applyNumberFormat="1" applyFont="1" applyFill="1" applyBorder="1" applyAlignment="1">
      <alignment horizontal="center" vertical="center"/>
    </xf>
    <xf numFmtId="166" fontId="100" fillId="14" borderId="34" xfId="0" applyNumberFormat="1" applyFont="1" applyFill="1" applyBorder="1" applyAlignment="1">
      <alignment horizontal="center" vertical="center"/>
    </xf>
    <xf numFmtId="0" fontId="95" fillId="12" borderId="9" xfId="0" applyFont="1" applyFill="1" applyBorder="1" applyAlignment="1">
      <alignment horizontal="center"/>
    </xf>
    <xf numFmtId="0" fontId="95" fillId="12" borderId="37" xfId="0" applyFont="1" applyFill="1" applyBorder="1" applyAlignment="1">
      <alignment horizontal="center"/>
    </xf>
    <xf numFmtId="0" fontId="14" fillId="12" borderId="46" xfId="0" applyFont="1" applyFill="1" applyBorder="1" applyAlignment="1">
      <alignment horizontal="center"/>
    </xf>
    <xf numFmtId="0" fontId="0" fillId="0" borderId="51" xfId="0" applyBorder="1"/>
    <xf numFmtId="0" fontId="0" fillId="0" borderId="100" xfId="0" applyBorder="1"/>
    <xf numFmtId="0" fontId="95" fillId="3" borderId="110" xfId="0" applyFont="1" applyFill="1" applyBorder="1" applyAlignment="1">
      <alignment horizontal="center" vertical="center" wrapText="1"/>
    </xf>
    <xf numFmtId="0" fontId="2" fillId="0" borderId="32" xfId="0" applyFont="1" applyBorder="1" applyAlignment="1"/>
    <xf numFmtId="0" fontId="95" fillId="14" borderId="23" xfId="0" applyFont="1" applyFill="1" applyBorder="1" applyAlignment="1">
      <alignment horizontal="center"/>
    </xf>
    <xf numFmtId="0" fontId="95" fillId="14" borderId="10" xfId="0" applyFont="1" applyFill="1" applyBorder="1" applyAlignment="1">
      <alignment horizontal="center"/>
    </xf>
    <xf numFmtId="0" fontId="95" fillId="14" borderId="11" xfId="0" applyFont="1" applyFill="1" applyBorder="1" applyAlignment="1">
      <alignment horizontal="center"/>
    </xf>
    <xf numFmtId="0" fontId="30" fillId="3" borderId="110" xfId="0" applyFont="1" applyFill="1" applyBorder="1" applyAlignment="1">
      <alignment horizontal="center" vertical="center" wrapText="1"/>
    </xf>
    <xf numFmtId="0" fontId="93" fillId="12" borderId="9" xfId="0" applyFont="1" applyFill="1" applyBorder="1" applyAlignment="1">
      <alignment horizontal="center"/>
    </xf>
    <xf numFmtId="0" fontId="93" fillId="12" borderId="37" xfId="0" applyFont="1" applyFill="1" applyBorder="1" applyAlignment="1">
      <alignment horizontal="center"/>
    </xf>
    <xf numFmtId="0" fontId="97" fillId="12" borderId="9" xfId="0" applyFont="1" applyFill="1" applyBorder="1" applyAlignment="1">
      <alignment horizontal="center"/>
    </xf>
    <xf numFmtId="0" fontId="97" fillId="12" borderId="37" xfId="0" applyFont="1" applyFill="1" applyBorder="1" applyAlignment="1">
      <alignment horizontal="center"/>
    </xf>
    <xf numFmtId="0" fontId="33" fillId="0" borderId="1" xfId="0" applyFont="1" applyFill="1" applyBorder="1" applyAlignment="1">
      <alignment horizontal="center"/>
    </xf>
    <xf numFmtId="0" fontId="0" fillId="0" borderId="1" xfId="0" applyBorder="1" applyAlignment="1">
      <alignment horizontal="center"/>
    </xf>
    <xf numFmtId="166" fontId="98" fillId="0" borderId="46" xfId="0" applyNumberFormat="1" applyFont="1" applyFill="1" applyBorder="1" applyAlignment="1">
      <alignment horizontal="center"/>
    </xf>
    <xf numFmtId="166" fontId="98" fillId="0" borderId="51" xfId="0" applyNumberFormat="1" applyFont="1" applyFill="1" applyBorder="1" applyAlignment="1">
      <alignment horizontal="center"/>
    </xf>
    <xf numFmtId="166" fontId="98" fillId="0" borderId="12" xfId="0" applyNumberFormat="1" applyFont="1" applyFill="1" applyBorder="1" applyAlignment="1">
      <alignment horizontal="center"/>
    </xf>
    <xf numFmtId="166" fontId="96" fillId="0" borderId="2" xfId="0" applyNumberFormat="1" applyFont="1" applyFill="1" applyBorder="1" applyAlignment="1">
      <alignment horizontal="center" vertical="center"/>
    </xf>
    <xf numFmtId="166" fontId="96" fillId="0" borderId="3" xfId="0" applyNumberFormat="1" applyFont="1" applyFill="1" applyBorder="1" applyAlignment="1">
      <alignment horizontal="center" vertical="center"/>
    </xf>
    <xf numFmtId="166" fontId="96" fillId="0" borderId="4" xfId="0" applyNumberFormat="1" applyFont="1" applyFill="1" applyBorder="1" applyAlignment="1">
      <alignment horizontal="center" vertical="center"/>
    </xf>
    <xf numFmtId="0" fontId="97" fillId="0" borderId="0" xfId="0" applyFont="1" applyAlignment="1">
      <alignment horizontal="left" vertical="center"/>
    </xf>
    <xf numFmtId="0" fontId="30" fillId="14" borderId="33" xfId="0" applyFont="1" applyFill="1" applyBorder="1" applyAlignment="1">
      <alignment horizontal="center"/>
    </xf>
    <xf numFmtId="0" fontId="30" fillId="14" borderId="38" xfId="0" applyFont="1" applyFill="1" applyBorder="1" applyAlignment="1">
      <alignment horizontal="center"/>
    </xf>
    <xf numFmtId="0" fontId="30" fillId="14" borderId="34" xfId="0" applyFont="1" applyFill="1" applyBorder="1" applyAlignment="1">
      <alignment horizontal="center"/>
    </xf>
    <xf numFmtId="0" fontId="14" fillId="14" borderId="38" xfId="0" applyFont="1" applyFill="1" applyBorder="1" applyAlignment="1">
      <alignment horizontal="center"/>
    </xf>
    <xf numFmtId="0" fontId="14" fillId="14" borderId="34" xfId="0" applyFont="1" applyFill="1" applyBorder="1" applyAlignment="1">
      <alignment horizontal="center"/>
    </xf>
    <xf numFmtId="0" fontId="33" fillId="0" borderId="0" xfId="0" applyFont="1" applyFill="1" applyBorder="1" applyAlignment="1">
      <alignment horizontal="center"/>
    </xf>
    <xf numFmtId="0" fontId="0" fillId="0" borderId="0" xfId="0" applyBorder="1" applyAlignment="1">
      <alignment horizontal="center"/>
    </xf>
    <xf numFmtId="0" fontId="14" fillId="3" borderId="49" xfId="0" applyFont="1" applyFill="1" applyBorder="1" applyAlignment="1">
      <alignment horizontal="center" vertical="center" wrapText="1"/>
    </xf>
    <xf numFmtId="0" fontId="30" fillId="12" borderId="9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33" fillId="21" borderId="1" xfId="0" applyFont="1" applyFill="1" applyBorder="1" applyAlignment="1">
      <alignment horizontal="center" vertical="center"/>
    </xf>
    <xf numFmtId="0" fontId="0" fillId="0" borderId="1" xfId="0" applyBorder="1" applyAlignment="1">
      <alignment horizontal="center" vertical="center"/>
    </xf>
    <xf numFmtId="0" fontId="62" fillId="0" borderId="141" xfId="0" applyFont="1" applyFill="1" applyBorder="1" applyAlignment="1" applyProtection="1">
      <alignment horizontal="left" vertical="center"/>
    </xf>
    <xf numFmtId="0" fontId="62" fillId="0" borderId="142" xfId="0" applyFont="1" applyFill="1" applyBorder="1" applyAlignment="1" applyProtection="1">
      <alignment horizontal="left" vertical="center"/>
    </xf>
    <xf numFmtId="0" fontId="62" fillId="0" borderId="143" xfId="0" applyFont="1" applyFill="1" applyBorder="1" applyAlignment="1" applyProtection="1">
      <alignment horizontal="left" vertical="center"/>
    </xf>
    <xf numFmtId="0" fontId="57" fillId="0" borderId="144" xfId="0" applyFont="1" applyFill="1" applyBorder="1" applyAlignment="1" applyProtection="1">
      <alignment horizontal="left" vertical="center" wrapText="1"/>
    </xf>
    <xf numFmtId="0" fontId="57" fillId="0" borderId="123" xfId="0" applyFont="1" applyFill="1" applyBorder="1" applyAlignment="1" applyProtection="1">
      <alignment horizontal="left" vertical="center" wrapText="1"/>
    </xf>
    <xf numFmtId="0" fontId="57" fillId="0" borderId="145" xfId="0" applyFont="1" applyFill="1" applyBorder="1" applyAlignment="1" applyProtection="1">
      <alignment horizontal="left" vertical="center" wrapText="1"/>
    </xf>
    <xf numFmtId="0" fontId="62" fillId="0" borderId="146" xfId="0" applyFont="1" applyFill="1" applyBorder="1" applyAlignment="1" applyProtection="1">
      <alignment horizontal="left" vertical="center"/>
    </xf>
    <xf numFmtId="0" fontId="62" fillId="0" borderId="147" xfId="0" applyFont="1" applyFill="1" applyBorder="1" applyAlignment="1" applyProtection="1">
      <alignment horizontal="left" vertical="center"/>
    </xf>
    <xf numFmtId="0" fontId="62" fillId="0" borderId="148" xfId="0" applyFont="1" applyFill="1" applyBorder="1" applyAlignment="1" applyProtection="1">
      <alignment horizontal="left" vertical="center"/>
    </xf>
    <xf numFmtId="0" fontId="62" fillId="0" borderId="126" xfId="0" applyFont="1" applyFill="1" applyBorder="1" applyAlignment="1" applyProtection="1">
      <alignment horizontal="center"/>
    </xf>
    <xf numFmtId="0" fontId="62" fillId="0" borderId="120" xfId="0" applyFont="1" applyFill="1" applyBorder="1" applyAlignment="1" applyProtection="1">
      <alignment horizontal="center"/>
    </xf>
    <xf numFmtId="0" fontId="152" fillId="0"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62" fillId="8" borderId="127" xfId="5" applyFont="1" applyFill="1" applyBorder="1" applyAlignment="1" applyProtection="1">
      <alignment horizontal="center" vertical="center"/>
    </xf>
    <xf numFmtId="0" fontId="62" fillId="8" borderId="0" xfId="5" applyFont="1" applyFill="1" applyBorder="1" applyAlignment="1" applyProtection="1">
      <alignment horizontal="center" vertical="center"/>
    </xf>
    <xf numFmtId="0" fontId="62" fillId="8" borderId="138" xfId="5" applyFont="1" applyFill="1" applyBorder="1" applyAlignment="1" applyProtection="1">
      <alignment horizontal="center" vertical="center"/>
    </xf>
    <xf numFmtId="0" fontId="147" fillId="71" borderId="0" xfId="0" applyFont="1" applyFill="1" applyAlignment="1">
      <alignment horizontal="center"/>
    </xf>
    <xf numFmtId="0" fontId="0" fillId="0" borderId="0" xfId="0" applyFill="1" applyBorder="1" applyAlignment="1">
      <alignment horizontal="center"/>
    </xf>
    <xf numFmtId="0" fontId="1" fillId="26" borderId="159" xfId="0" applyFont="1" applyFill="1" applyBorder="1" applyAlignment="1">
      <alignment horizontal="center"/>
    </xf>
    <xf numFmtId="0" fontId="1" fillId="26" borderId="158" xfId="0" applyFont="1" applyFill="1" applyBorder="1" applyAlignment="1">
      <alignment horizontal="center"/>
    </xf>
    <xf numFmtId="166" fontId="111" fillId="41" borderId="16" xfId="0" applyNumberFormat="1" applyFont="1" applyFill="1" applyBorder="1" applyAlignment="1">
      <alignment horizontal="center" vertical="center"/>
    </xf>
    <xf numFmtId="166" fontId="111" fillId="41" borderId="8" xfId="0" applyNumberFormat="1" applyFont="1" applyFill="1" applyBorder="1" applyAlignment="1">
      <alignment horizontal="center" vertical="center"/>
    </xf>
    <xf numFmtId="0" fontId="1" fillId="0" borderId="0" xfId="0" applyFont="1" applyFill="1" applyBorder="1" applyAlignment="1">
      <alignment horizontal="center"/>
    </xf>
    <xf numFmtId="0" fontId="0" fillId="26" borderId="2" xfId="0" applyFill="1" applyBorder="1" applyAlignment="1">
      <alignment horizontal="center"/>
    </xf>
    <xf numFmtId="0" fontId="0" fillId="26" borderId="4"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1" fillId="26" borderId="2" xfId="0" applyFont="1" applyFill="1" applyBorder="1" applyAlignment="1">
      <alignment horizontal="center"/>
    </xf>
    <xf numFmtId="0" fontId="1" fillId="26" borderId="4" xfId="0" applyFont="1" applyFill="1" applyBorder="1" applyAlignment="1">
      <alignment horizontal="center"/>
    </xf>
    <xf numFmtId="0" fontId="133" fillId="35" borderId="0" xfId="0" applyFont="1" applyFill="1" applyBorder="1" applyAlignment="1">
      <alignment horizontal="center" vertical="center"/>
    </xf>
    <xf numFmtId="0" fontId="0" fillId="0" borderId="0" xfId="0" applyFont="1" applyAlignment="1"/>
    <xf numFmtId="0" fontId="0" fillId="0" borderId="48" xfId="0" applyFont="1" applyBorder="1" applyAlignment="1"/>
    <xf numFmtId="0" fontId="133" fillId="35" borderId="160" xfId="0" applyFont="1" applyFill="1" applyBorder="1" applyAlignment="1" applyProtection="1">
      <alignment horizontal="center" vertical="center"/>
      <protection hidden="1"/>
    </xf>
    <xf numFmtId="0" fontId="0" fillId="0" borderId="160" xfId="0" applyFont="1" applyBorder="1" applyAlignment="1"/>
    <xf numFmtId="3" fontId="2" fillId="0" borderId="160" xfId="0" applyNumberFormat="1" applyFont="1" applyFill="1" applyBorder="1" applyAlignment="1" applyProtection="1">
      <alignment horizontal="center" vertical="center"/>
      <protection hidden="1"/>
    </xf>
    <xf numFmtId="4" fontId="2" fillId="0" borderId="160" xfId="0" applyNumberFormat="1" applyFont="1" applyFill="1" applyBorder="1" applyAlignment="1" applyProtection="1">
      <alignment horizontal="center" vertical="center"/>
      <protection hidden="1"/>
    </xf>
    <xf numFmtId="0" fontId="133" fillId="35" borderId="161" xfId="0" applyFont="1" applyFill="1" applyBorder="1" applyAlignment="1" applyProtection="1">
      <alignment horizontal="center" vertical="center"/>
      <protection hidden="1"/>
    </xf>
    <xf numFmtId="4" fontId="2" fillId="0" borderId="159" xfId="0" applyNumberFormat="1" applyFont="1" applyFill="1" applyBorder="1" applyAlignment="1" applyProtection="1">
      <alignment horizontal="center" vertical="center"/>
      <protection hidden="1"/>
    </xf>
    <xf numFmtId="0" fontId="176" fillId="0" borderId="0" xfId="0" applyFont="1" applyAlignment="1">
      <alignment horizontal="right" vertical="center"/>
    </xf>
    <xf numFmtId="49" fontId="1" fillId="35" borderId="160" xfId="0" applyNumberFormat="1" applyFont="1" applyFill="1" applyBorder="1" applyAlignment="1">
      <alignment horizontal="center" vertical="center" wrapText="1"/>
    </xf>
    <xf numFmtId="49" fontId="68" fillId="35" borderId="160" xfId="0" applyNumberFormat="1" applyFont="1" applyFill="1" applyBorder="1" applyAlignment="1">
      <alignment horizontal="center" vertical="center" wrapText="1"/>
    </xf>
    <xf numFmtId="49" fontId="1" fillId="35" borderId="160" xfId="0" applyNumberFormat="1" applyFont="1" applyFill="1" applyBorder="1" applyAlignment="1">
      <alignment horizontal="center" vertical="center"/>
    </xf>
    <xf numFmtId="49" fontId="1" fillId="35" borderId="161" xfId="0" applyNumberFormat="1" applyFont="1" applyFill="1" applyBorder="1" applyAlignment="1">
      <alignment horizontal="center" vertical="center" wrapText="1"/>
    </xf>
    <xf numFmtId="49" fontId="1" fillId="35" borderId="9" xfId="0" applyNumberFormat="1" applyFont="1" applyFill="1" applyBorder="1" applyAlignment="1">
      <alignment horizontal="center" vertical="center" wrapText="1"/>
    </xf>
    <xf numFmtId="0" fontId="1" fillId="0" borderId="160" xfId="0" applyFont="1" applyBorder="1" applyAlignment="1">
      <alignment horizontal="left"/>
    </xf>
    <xf numFmtId="49" fontId="68" fillId="35" borderId="160" xfId="0" applyNumberFormat="1" applyFont="1" applyFill="1" applyBorder="1" applyAlignment="1">
      <alignment horizontal="center" vertical="center"/>
    </xf>
    <xf numFmtId="49" fontId="68" fillId="35" borderId="160" xfId="0" applyNumberFormat="1" applyFont="1" applyFill="1" applyBorder="1" applyAlignment="1">
      <alignment horizontal="left" vertical="center"/>
    </xf>
    <xf numFmtId="49" fontId="68" fillId="35" borderId="160" xfId="0" applyNumberFormat="1" applyFont="1" applyFill="1" applyBorder="1" applyAlignment="1">
      <alignment horizontal="left" vertical="center" wrapText="1"/>
    </xf>
    <xf numFmtId="49" fontId="1" fillId="35" borderId="159" xfId="0" applyNumberFormat="1" applyFont="1" applyFill="1" applyBorder="1" applyAlignment="1">
      <alignment horizontal="center" vertical="center"/>
    </xf>
    <xf numFmtId="49" fontId="1" fillId="35" borderId="162" xfId="0" applyNumberFormat="1" applyFont="1" applyFill="1" applyBorder="1" applyAlignment="1">
      <alignment horizontal="center" vertical="center"/>
    </xf>
    <xf numFmtId="49" fontId="1" fillId="35" borderId="158" xfId="0" applyNumberFormat="1" applyFont="1" applyFill="1" applyBorder="1" applyAlignment="1">
      <alignment horizontal="center" vertical="center"/>
    </xf>
    <xf numFmtId="166" fontId="33" fillId="2" borderId="16" xfId="0" applyNumberFormat="1" applyFont="1" applyFill="1" applyBorder="1" applyAlignment="1">
      <alignment horizontal="center" vertical="center"/>
    </xf>
    <xf numFmtId="166" fontId="33" fillId="2" borderId="8" xfId="0" applyNumberFormat="1" applyFont="1" applyFill="1" applyBorder="1" applyAlignment="1">
      <alignment horizontal="center" vertical="center"/>
    </xf>
    <xf numFmtId="166" fontId="25" fillId="2" borderId="16" xfId="0" applyNumberFormat="1" applyFont="1" applyFill="1" applyBorder="1" applyAlignment="1">
      <alignment horizontal="center" vertical="center"/>
    </xf>
    <xf numFmtId="166" fontId="25" fillId="2" borderId="8" xfId="0" applyNumberFormat="1" applyFont="1" applyFill="1" applyBorder="1" applyAlignment="1">
      <alignment horizontal="center" vertical="center"/>
    </xf>
    <xf numFmtId="0" fontId="23" fillId="0" borderId="0" xfId="0" applyFont="1" applyAlignment="1">
      <alignment horizontal="center" vertical="center"/>
    </xf>
    <xf numFmtId="0" fontId="30" fillId="27" borderId="19" xfId="0" applyFont="1" applyFill="1" applyBorder="1" applyAlignment="1">
      <alignment horizontal="center" vertical="center" wrapText="1"/>
    </xf>
    <xf numFmtId="0" fontId="0" fillId="0" borderId="9" xfId="0" applyBorder="1" applyAlignment="1"/>
    <xf numFmtId="0" fontId="30" fillId="15" borderId="1" xfId="0" applyFont="1" applyFill="1" applyBorder="1" applyAlignment="1">
      <alignment horizontal="center" vertical="center" wrapText="1"/>
    </xf>
    <xf numFmtId="0" fontId="0" fillId="0" borderId="19" xfId="0" applyBorder="1" applyAlignment="1"/>
    <xf numFmtId="0" fontId="30" fillId="27" borderId="84" xfId="0" applyFont="1" applyFill="1" applyBorder="1" applyAlignment="1">
      <alignment horizontal="center" vertical="center" wrapText="1"/>
    </xf>
    <xf numFmtId="0" fontId="30" fillId="27" borderId="50" xfId="0" applyFont="1" applyFill="1" applyBorder="1" applyAlignment="1">
      <alignment horizontal="center" vertical="center" wrapText="1"/>
    </xf>
    <xf numFmtId="0" fontId="40" fillId="0" borderId="19" xfId="0" applyFont="1" applyFill="1" applyBorder="1" applyAlignment="1">
      <alignment horizontal="left" vertical="center"/>
    </xf>
    <xf numFmtId="0" fontId="40" fillId="0" borderId="9" xfId="0" applyFont="1" applyFill="1" applyBorder="1" applyAlignment="1">
      <alignment horizontal="left" vertical="center"/>
    </xf>
    <xf numFmtId="0" fontId="40" fillId="0" borderId="19" xfId="0" applyFont="1" applyFill="1" applyBorder="1" applyAlignment="1">
      <alignment horizontal="center" vertical="center" wrapText="1"/>
    </xf>
    <xf numFmtId="0" fontId="40" fillId="0" borderId="9" xfId="0" applyFont="1" applyFill="1" applyBorder="1" applyAlignment="1">
      <alignment horizontal="center" vertical="center" wrapText="1"/>
    </xf>
    <xf numFmtId="0" fontId="23" fillId="0" borderId="2" xfId="0" applyFont="1" applyFill="1" applyBorder="1" applyAlignment="1">
      <alignment horizontal="left"/>
    </xf>
    <xf numFmtId="0" fontId="23" fillId="0" borderId="3" xfId="0" applyFont="1" applyFill="1" applyBorder="1" applyAlignment="1">
      <alignment horizontal="left"/>
    </xf>
    <xf numFmtId="0" fontId="23" fillId="0" borderId="4" xfId="0" applyFont="1" applyFill="1" applyBorder="1" applyAlignment="1">
      <alignment horizontal="left"/>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0" fontId="0" fillId="0" borderId="9" xfId="0" applyBorder="1" applyAlignment="1">
      <alignment horizontal="center" vertical="center" wrapText="1"/>
    </xf>
    <xf numFmtId="0" fontId="0" fillId="36" borderId="98" xfId="0" applyFill="1" applyBorder="1" applyAlignment="1">
      <alignment horizontal="center" vertical="center"/>
    </xf>
    <xf numFmtId="0" fontId="0" fillId="36" borderId="37" xfId="0" applyFill="1" applyBorder="1" applyAlignment="1">
      <alignment horizontal="center" vertical="center"/>
    </xf>
    <xf numFmtId="0" fontId="75" fillId="0" borderId="0" xfId="0" applyFont="1" applyFill="1" applyBorder="1" applyAlignment="1">
      <alignment vertical="center" wrapText="1"/>
    </xf>
    <xf numFmtId="0" fontId="0" fillId="0" borderId="0" xfId="0" applyAlignment="1">
      <alignment vertical="center" wrapText="1"/>
    </xf>
    <xf numFmtId="0" fontId="0" fillId="3" borderId="94" xfId="0" applyFill="1" applyBorder="1" applyAlignment="1">
      <alignment horizontal="center"/>
    </xf>
    <xf numFmtId="0" fontId="0" fillId="3" borderId="95" xfId="0" applyFill="1" applyBorder="1" applyAlignment="1">
      <alignment horizontal="center"/>
    </xf>
    <xf numFmtId="0" fontId="0" fillId="37" borderId="96" xfId="0" applyFill="1" applyBorder="1" applyAlignment="1">
      <alignment horizontal="center"/>
    </xf>
    <xf numFmtId="0" fontId="0" fillId="37" borderId="41" xfId="0" applyFill="1" applyBorder="1" applyAlignment="1">
      <alignment horizontal="center"/>
    </xf>
    <xf numFmtId="0" fontId="25" fillId="0" borderId="9" xfId="0" applyFont="1" applyBorder="1" applyAlignment="1">
      <alignment horizontal="center" vertical="center" wrapText="1"/>
    </xf>
    <xf numFmtId="0" fontId="0" fillId="35" borderId="5" xfId="0" applyFill="1" applyBorder="1" applyAlignment="1">
      <alignment horizontal="center" vertical="center"/>
    </xf>
    <xf numFmtId="0" fontId="0" fillId="35" borderId="99" xfId="0" applyFill="1" applyBorder="1" applyAlignment="1">
      <alignment vertical="center"/>
    </xf>
    <xf numFmtId="0" fontId="0" fillId="13" borderId="97" xfId="0" applyFill="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23" fillId="0" borderId="9" xfId="0" applyFont="1" applyBorder="1" applyAlignment="1">
      <alignment horizontal="center" vertical="center" wrapText="1"/>
    </xf>
    <xf numFmtId="0" fontId="0" fillId="0" borderId="92" xfId="0" applyBorder="1" applyAlignment="1">
      <alignment horizontal="center"/>
    </xf>
    <xf numFmtId="0" fontId="0" fillId="10" borderId="19"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9" xfId="0" applyFill="1" applyBorder="1" applyAlignment="1">
      <alignment horizontal="center" vertical="center" wrapText="1"/>
    </xf>
    <xf numFmtId="0" fontId="23" fillId="12" borderId="19" xfId="0" applyFont="1" applyFill="1" applyBorder="1" applyAlignment="1">
      <alignment horizontal="center" vertical="center" wrapText="1"/>
    </xf>
    <xf numFmtId="0" fontId="0" fillId="0" borderId="9" xfId="0" applyBorder="1" applyAlignment="1">
      <alignment horizont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0" fontId="0" fillId="23" borderId="19" xfId="0" applyFill="1" applyBorder="1" applyAlignment="1">
      <alignment horizontal="center" vertical="center" wrapText="1"/>
    </xf>
    <xf numFmtId="0" fontId="0" fillId="23" borderId="9" xfId="0" applyFill="1" applyBorder="1" applyAlignment="1">
      <alignment horizontal="center" vertical="center" wrapText="1"/>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wrapText="1"/>
    </xf>
    <xf numFmtId="0" fontId="49" fillId="0" borderId="40" xfId="0" applyFont="1" applyBorder="1" applyAlignment="1">
      <alignment horizontal="center" wrapText="1"/>
    </xf>
    <xf numFmtId="0" fontId="49" fillId="0" borderId="0" xfId="0" applyFont="1" applyBorder="1" applyAlignment="1">
      <alignment horizontal="center" wrapText="1"/>
    </xf>
    <xf numFmtId="0" fontId="0" fillId="21" borderId="2" xfId="0" applyFill="1" applyBorder="1" applyAlignment="1">
      <alignment horizontal="center"/>
    </xf>
    <xf numFmtId="0" fontId="0" fillId="21" borderId="3" xfId="0" applyFill="1" applyBorder="1" applyAlignment="1">
      <alignment horizontal="center"/>
    </xf>
    <xf numFmtId="0" fontId="0" fillId="0" borderId="3" xfId="0" applyBorder="1" applyAlignment="1"/>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18" fillId="0" borderId="0" xfId="0" applyFont="1" applyFill="1" applyBorder="1" applyAlignment="1">
      <alignment horizontal="center"/>
    </xf>
    <xf numFmtId="0" fontId="51" fillId="0" borderId="0" xfId="0" applyFont="1" applyFill="1" applyBorder="1" applyAlignment="1">
      <alignment horizontal="center"/>
    </xf>
    <xf numFmtId="0" fontId="0" fillId="0" borderId="0" xfId="0" applyFill="1" applyBorder="1" applyAlignment="1">
      <alignment horizontal="left"/>
    </xf>
    <xf numFmtId="0" fontId="30" fillId="15" borderId="46" xfId="0" applyFont="1" applyFill="1" applyBorder="1" applyAlignment="1">
      <alignment horizontal="center" vertical="center" wrapText="1"/>
    </xf>
    <xf numFmtId="0" fontId="0" fillId="0" borderId="51" xfId="0" applyBorder="1" applyAlignment="1"/>
    <xf numFmtId="0" fontId="0" fillId="0" borderId="12" xfId="0" applyBorder="1" applyAlignment="1"/>
    <xf numFmtId="0" fontId="30" fillId="27" borderId="48" xfId="0" applyFont="1" applyFill="1" applyBorder="1" applyAlignment="1">
      <alignment horizontal="center" vertical="center" wrapText="1"/>
    </xf>
    <xf numFmtId="0" fontId="18" fillId="0" borderId="19" xfId="0" applyFont="1" applyFill="1" applyBorder="1" applyAlignment="1">
      <alignment horizontal="left" vertical="center"/>
    </xf>
    <xf numFmtId="0" fontId="18" fillId="0" borderId="9" xfId="0" applyFont="1" applyFill="1" applyBorder="1" applyAlignment="1">
      <alignment horizontal="left" vertical="center"/>
    </xf>
    <xf numFmtId="0" fontId="18" fillId="0" borderId="19" xfId="0" applyFont="1" applyFill="1" applyBorder="1" applyAlignment="1">
      <alignment horizontal="center" vertical="center"/>
    </xf>
    <xf numFmtId="0" fontId="18" fillId="0" borderId="9" xfId="0" applyFont="1" applyFill="1" applyBorder="1" applyAlignment="1">
      <alignment horizontal="center" vertical="center"/>
    </xf>
    <xf numFmtId="0" fontId="0" fillId="0" borderId="2" xfId="0" applyFill="1" applyBorder="1" applyAlignment="1">
      <alignment horizontal="left"/>
    </xf>
    <xf numFmtId="0" fontId="0" fillId="0" borderId="3" xfId="0" applyFill="1" applyBorder="1" applyAlignment="1">
      <alignment horizontal="left"/>
    </xf>
    <xf numFmtId="0" fontId="6" fillId="0" borderId="1" xfId="0" applyFont="1" applyFill="1" applyBorder="1" applyAlignment="1">
      <alignment horizontal="center" vertical="top" wrapText="1"/>
    </xf>
    <xf numFmtId="0" fontId="3" fillId="27" borderId="2" xfId="0" applyFont="1" applyFill="1" applyBorder="1" applyAlignment="1">
      <alignment horizontal="left"/>
    </xf>
    <xf numFmtId="0" fontId="3" fillId="27" borderId="3" xfId="0" applyFont="1" applyFill="1" applyBorder="1" applyAlignment="1">
      <alignment horizontal="left"/>
    </xf>
    <xf numFmtId="0" fontId="3" fillId="27" borderId="4" xfId="0" applyFont="1" applyFill="1" applyBorder="1" applyAlignment="1">
      <alignment horizontal="left"/>
    </xf>
    <xf numFmtId="0" fontId="0" fillId="0" borderId="19" xfId="0" applyFont="1" applyFill="1" applyBorder="1" applyAlignment="1">
      <alignment horizontal="center" vertical="center"/>
    </xf>
    <xf numFmtId="0" fontId="0" fillId="0" borderId="9" xfId="0" applyFont="1" applyFill="1" applyBorder="1" applyAlignment="1">
      <alignment horizontal="center" vertical="center"/>
    </xf>
    <xf numFmtId="0" fontId="26" fillId="12" borderId="2" xfId="0" applyFont="1" applyFill="1" applyBorder="1" applyAlignment="1">
      <alignment horizontal="center"/>
    </xf>
    <xf numFmtId="0" fontId="26" fillId="12" borderId="3" xfId="0" applyFont="1" applyFill="1" applyBorder="1" applyAlignment="1">
      <alignment horizontal="center"/>
    </xf>
    <xf numFmtId="0" fontId="26" fillId="12" borderId="4" xfId="0" applyFont="1" applyFill="1" applyBorder="1" applyAlignment="1">
      <alignment horizontal="center"/>
    </xf>
    <xf numFmtId="0" fontId="123" fillId="21" borderId="1" xfId="0" applyFont="1" applyFill="1" applyBorder="1" applyAlignment="1">
      <alignment horizontal="center" vertical="center" wrapText="1"/>
    </xf>
  </cellXfs>
  <cellStyles count="13">
    <cellStyle name="Comma" xfId="9" builtinId="3"/>
    <cellStyle name="Currency" xfId="12" builtinId="4"/>
    <cellStyle name="Euro" xfId="1"/>
    <cellStyle name="Hipervínculo 2" xfId="8"/>
    <cellStyle name="Hyperlink" xfId="3" builtinId="8"/>
    <cellStyle name="Normal" xfId="0" builtinId="0"/>
    <cellStyle name="Normal 2" xfId="5"/>
    <cellStyle name="Normal 2 2" xfId="7"/>
    <cellStyle name="Normal 2 2 2" xfId="11"/>
    <cellStyle name="Normal 3" xfId="6"/>
    <cellStyle name="Normal 4" xfId="10"/>
    <cellStyle name="Normal_Datos auxiliares" xfId="2"/>
    <cellStyle name="Percent" xfId="4" builtinId="5"/>
  </cellStyles>
  <dxfs count="0"/>
  <tableStyles count="0" defaultTableStyle="TableStyleMedium9" defaultPivotStyle="PivotStyleLight16"/>
  <colors>
    <mruColors>
      <color rgb="FF669900"/>
      <color rgb="FF26AC59"/>
      <color rgb="FF339933"/>
      <color rgb="FF00863D"/>
      <color rgb="FF99FF99"/>
      <color rgb="FFFFFF99"/>
      <color rgb="FFFFCC66"/>
      <color rgb="FF99FFCC"/>
      <color rgb="FF66CC99"/>
      <color rgb="FFD5FF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Total'!$B$27</c:f>
              <c:strCache>
                <c:ptCount val="1"/>
                <c:pt idx="0">
                  <c:v>HE parcial (hag/m2)*E-02</c:v>
                </c:pt>
              </c:strCache>
            </c:strRef>
          </c:tx>
          <c:spPr>
            <a:pattFill prst="narHorz">
              <a:fgClr>
                <a:srgbClr val="92D050"/>
              </a:fgClr>
              <a:bgClr>
                <a:schemeClr val="bg1"/>
              </a:bgClr>
            </a:pattFill>
            <a:ln>
              <a:solidFill>
                <a:srgbClr val="00863D"/>
              </a:solidFill>
            </a:ln>
            <a:effectLst>
              <a:innerShdw blurRad="114300">
                <a:srgbClr val="669900"/>
              </a:innerShdw>
            </a:effectLst>
          </c:spPr>
          <c:invertIfNegative val="0"/>
          <c:cat>
            <c:strRef>
              <c:f>'HE Total'!$C$26:$H$26</c:f>
              <c:strCache>
                <c:ptCount val="6"/>
                <c:pt idx="0">
                  <c:v>Energía</c:v>
                </c:pt>
                <c:pt idx="1">
                  <c:v>Bosques</c:v>
                </c:pt>
                <c:pt idx="2">
                  <c:v>Pastos</c:v>
                </c:pt>
                <c:pt idx="3">
                  <c:v>Mar</c:v>
                </c:pt>
                <c:pt idx="4">
                  <c:v>Cultivos</c:v>
                </c:pt>
                <c:pt idx="5">
                  <c:v>Superficie consumida</c:v>
                </c:pt>
              </c:strCache>
            </c:strRef>
          </c:cat>
          <c:val>
            <c:numRef>
              <c:f>'HE Total'!$C$27:$H$27</c:f>
              <c:numCache>
                <c:formatCode>0.00</c:formatCode>
                <c:ptCount val="6"/>
                <c:pt idx="0">
                  <c:v>4.6556471131783317</c:v>
                </c:pt>
                <c:pt idx="1">
                  <c:v>2.3089331930244059E-3</c:v>
                </c:pt>
                <c:pt idx="2">
                  <c:v>2.5963985125341909E-2</c:v>
                </c:pt>
                <c:pt idx="3">
                  <c:v>1.9783176006810337E-2</c:v>
                </c:pt>
                <c:pt idx="4">
                  <c:v>8.1644853361439479E-2</c:v>
                </c:pt>
                <c:pt idx="5">
                  <c:v>2.5100000000000001E-3</c:v>
                </c:pt>
              </c:numCache>
            </c:numRef>
          </c:val>
        </c:ser>
        <c:dLbls>
          <c:showLegendKey val="0"/>
          <c:showVal val="0"/>
          <c:showCatName val="0"/>
          <c:showSerName val="0"/>
          <c:showPercent val="0"/>
          <c:showBubbleSize val="0"/>
        </c:dLbls>
        <c:gapWidth val="164"/>
        <c:overlap val="-22"/>
        <c:axId val="102154704"/>
        <c:axId val="102149808"/>
      </c:barChart>
      <c:catAx>
        <c:axId val="1021547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2149808"/>
        <c:crosses val="autoZero"/>
        <c:auto val="1"/>
        <c:lblAlgn val="ctr"/>
        <c:lblOffset val="100"/>
        <c:noMultiLvlLbl val="0"/>
      </c:catAx>
      <c:valAx>
        <c:axId val="10214980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2154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Total'!$L$37</c:f>
              <c:strCache>
                <c:ptCount val="1"/>
                <c:pt idx="0">
                  <c:v>HE parcial (hag/m2)*E-02</c:v>
                </c:pt>
              </c:strCache>
            </c:strRef>
          </c:tx>
          <c:spPr>
            <a:pattFill prst="narHorz">
              <a:fgClr>
                <a:srgbClr val="00B050"/>
              </a:fgClr>
              <a:bgClr>
                <a:schemeClr val="bg1"/>
              </a:bgClr>
            </a:pattFill>
            <a:ln>
              <a:noFill/>
            </a:ln>
            <a:effectLst>
              <a:innerShdw blurRad="114300">
                <a:srgbClr val="669900"/>
              </a:innerShdw>
            </a:effectLst>
          </c:spPr>
          <c:invertIfNegative val="0"/>
          <c:dPt>
            <c:idx val="0"/>
            <c:invertIfNegative val="0"/>
            <c:bubble3D val="0"/>
            <c:spPr>
              <a:pattFill prst="narHorz">
                <a:fgClr>
                  <a:srgbClr val="00B050"/>
                </a:fgClr>
                <a:bgClr>
                  <a:schemeClr val="bg1"/>
                </a:bgClr>
              </a:pattFill>
              <a:ln>
                <a:solidFill>
                  <a:srgbClr val="00863D"/>
                </a:solidFill>
              </a:ln>
              <a:effectLst>
                <a:innerShdw blurRad="114300">
                  <a:srgbClr val="669900"/>
                </a:innerShdw>
              </a:effectLst>
            </c:spPr>
          </c:dPt>
          <c:cat>
            <c:strRef>
              <c:f>'HE Total'!$M$36:$R$36</c:f>
              <c:strCache>
                <c:ptCount val="6"/>
                <c:pt idx="0">
                  <c:v>Energía</c:v>
                </c:pt>
                <c:pt idx="1">
                  <c:v>Bosques</c:v>
                </c:pt>
                <c:pt idx="2">
                  <c:v>Pastos</c:v>
                </c:pt>
                <c:pt idx="3">
                  <c:v>Mar</c:v>
                </c:pt>
                <c:pt idx="4">
                  <c:v>Cultivos</c:v>
                </c:pt>
                <c:pt idx="5">
                  <c:v>Superficie consumida</c:v>
                </c:pt>
              </c:strCache>
            </c:strRef>
          </c:cat>
          <c:val>
            <c:numRef>
              <c:f>'HE Total'!$M$37:$R$37</c:f>
              <c:numCache>
                <c:formatCode>0.00</c:formatCode>
                <c:ptCount val="6"/>
                <c:pt idx="0">
                  <c:v>0.59352269104655497</c:v>
                </c:pt>
                <c:pt idx="1">
                  <c:v>2.3089331930244059E-3</c:v>
                </c:pt>
                <c:pt idx="2">
                  <c:v>2.5963985125341909E-2</c:v>
                </c:pt>
                <c:pt idx="3">
                  <c:v>1.9783176006810337E-2</c:v>
                </c:pt>
                <c:pt idx="4">
                  <c:v>8.1644853361439479E-2</c:v>
                </c:pt>
                <c:pt idx="5">
                  <c:v>2.5100000000000001E-3</c:v>
                </c:pt>
              </c:numCache>
            </c:numRef>
          </c:val>
        </c:ser>
        <c:dLbls>
          <c:showLegendKey val="0"/>
          <c:showVal val="0"/>
          <c:showCatName val="0"/>
          <c:showSerName val="0"/>
          <c:showPercent val="0"/>
          <c:showBubbleSize val="0"/>
        </c:dLbls>
        <c:gapWidth val="164"/>
        <c:overlap val="-22"/>
        <c:axId val="102153616"/>
        <c:axId val="102156336"/>
      </c:barChart>
      <c:catAx>
        <c:axId val="1021536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2156336"/>
        <c:crosses val="autoZero"/>
        <c:auto val="1"/>
        <c:lblAlgn val="ctr"/>
        <c:lblOffset val="100"/>
        <c:noMultiLvlLbl val="0"/>
      </c:catAx>
      <c:valAx>
        <c:axId val="1021563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215361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Total'!$B$10:$B$17</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Total'!$C$10:$C$17</c:f>
              <c:numCache>
                <c:formatCode>0,000</c:formatCode>
                <c:ptCount val="8"/>
                <c:pt idx="0">
                  <c:v>0</c:v>
                </c:pt>
                <c:pt idx="1">
                  <c:v>450.57061146502537</c:v>
                </c:pt>
                <c:pt idx="3">
                  <c:v>4.6255827870514468</c:v>
                </c:pt>
                <c:pt idx="4">
                  <c:v>4.5298774647887325E-3</c:v>
                </c:pt>
                <c:pt idx="5">
                  <c:v>3.4210798830000004</c:v>
                </c:pt>
                <c:pt idx="6">
                  <c:v>3.5833712907798976</c:v>
                </c:pt>
                <c:pt idx="7">
                  <c:v>54.61676748</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dLbl>
              <c:idx val="1"/>
              <c:layout>
                <c:manualLayout>
                  <c:x val="2.8043088363954506E-2"/>
                  <c:y val="-9.1742490522018161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3"/>
              <c:layout>
                <c:manualLayout>
                  <c:x val="3.1641076115485466E-2"/>
                  <c:y val="1.7265966754155732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4"/>
              <c:delete val="1"/>
              <c:extLst>
                <c:ext xmlns:c15="http://schemas.microsoft.com/office/drawing/2012/chart" uri="{CE6537A1-D6FC-4f65-9D91-7224C49458BB}"/>
              </c:extLst>
            </c:dLbl>
            <c:dLbl>
              <c:idx val="5"/>
              <c:layout>
                <c:manualLayout>
                  <c:x val="-1.1540901137357831E-2"/>
                  <c:y val="8.05879994167394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7"/>
              <c:delete val="1"/>
              <c:extLst>
                <c:ext xmlns:c15="http://schemas.microsoft.com/office/drawing/2012/chart" uri="{CE6537A1-D6FC-4f65-9D91-7224C49458BB}"/>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'HE Total'!$B$44:$B$51</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Total'!$C$44:$C$51</c:f>
              <c:numCache>
                <c:formatCode>0.00</c:formatCode>
                <c:ptCount val="8"/>
                <c:pt idx="0">
                  <c:v>2.8046515514587051</c:v>
                </c:pt>
                <c:pt idx="1">
                  <c:v>6.9873742661252631</c:v>
                </c:pt>
                <c:pt idx="3">
                  <c:v>4.6255827870514468</c:v>
                </c:pt>
                <c:pt idx="4">
                  <c:v>4.5298774647887325E-3</c:v>
                </c:pt>
                <c:pt idx="5">
                  <c:v>3.4210798830000004</c:v>
                </c:pt>
                <c:pt idx="6">
                  <c:v>48.001563406929549</c:v>
                </c:pt>
                <c:pt idx="7">
                  <c:v>4.198816901408451E-2</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layou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endParaRPr lang="es-ES"/>
        </a:p>
      </c:txPr>
    </c:title>
    <c:autoTitleDeleted val="0"/>
    <c:plotArea>
      <c:layout/>
      <c:barChart>
        <c:barDir val="col"/>
        <c:grouping val="clustered"/>
        <c:varyColors val="0"/>
        <c:ser>
          <c:idx val="0"/>
          <c:order val="0"/>
          <c:tx>
            <c:v>HE (hag)</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063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Capitulos'!$J$7:$U$7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102159056"/>
        <c:axId val="102146000"/>
      </c:barChart>
      <c:catAx>
        <c:axId val="10215905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102146000"/>
        <c:crosses val="autoZero"/>
        <c:auto val="1"/>
        <c:lblAlgn val="ctr"/>
        <c:lblOffset val="100"/>
        <c:noMultiLvlLbl val="0"/>
      </c:catAx>
      <c:valAx>
        <c:axId val="102146000"/>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0" sourceLinked="0"/>
        <c:majorTickMark val="none"/>
        <c:minorTickMark val="none"/>
        <c:tickLblPos val="none"/>
        <c:crossAx val="102159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s-ES"/>
        </a:p>
      </c:tx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Capitulos'!$AA$18:$AL$18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Capitulos'!$AA$19:$AL$19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Capitulos'!$AA$20:$AL$20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102147632"/>
        <c:axId val="102148720"/>
      </c:barChart>
      <c:catAx>
        <c:axId val="102147632"/>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E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02148720"/>
        <c:crosses val="autoZero"/>
        <c:auto val="1"/>
        <c:lblAlgn val="ctr"/>
        <c:lblOffset val="100"/>
        <c:noMultiLvlLbl val="0"/>
      </c:catAx>
      <c:valAx>
        <c:axId val="10214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02147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Capitulos'!$AA$25:$AM$25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58.037847362999997</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Capitulos'!$AA$26:$AM$26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Capitulos'!$AA$27:$AM$27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Capitulos'!$AA$28:$AM$28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50"/>
        <c:overlap val="-74"/>
        <c:axId val="309261600"/>
        <c:axId val="309267040"/>
      </c:barChart>
      <c:catAx>
        <c:axId val="309261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309267040"/>
        <c:crosses val="autoZero"/>
        <c:auto val="1"/>
        <c:lblAlgn val="ctr"/>
        <c:lblOffset val="100"/>
        <c:noMultiLvlLbl val="0"/>
      </c:catAx>
      <c:valAx>
        <c:axId val="3092670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309261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ysClr val="windowText" lastClr="000000"/>
                </a:solidFill>
                <a:latin typeface="+mn-lt"/>
                <a:ea typeface="+mn-ea"/>
                <a:cs typeface="+mn-cs"/>
              </a:defRPr>
            </a:pPr>
            <a:r>
              <a:rPr lang="en-US" sz="1400">
                <a:solidFill>
                  <a:sysClr val="windowText" lastClr="000000"/>
                </a:solidFill>
              </a:rPr>
              <a:t>HE parciales_Saneamiento </a:t>
            </a:r>
          </a:p>
        </c:rich>
      </c:tx>
      <c:overlay val="0"/>
      <c:spPr>
        <a:noFill/>
        <a:ln>
          <a:noFill/>
        </a:ln>
        <a:effectLst/>
      </c:spPr>
    </c:title>
    <c:autoTitleDeleted val="0"/>
    <c:plotArea>
      <c:layout/>
      <c:barChart>
        <c:barDir val="col"/>
        <c:grouping val="clustered"/>
        <c:varyColors val="0"/>
        <c:ser>
          <c:idx val="0"/>
          <c:order val="0"/>
          <c:tx>
            <c:strRef>
              <c:f>'HE por Capitulos'!$H$89</c:f>
              <c:strCache>
                <c:ptCount val="1"/>
                <c:pt idx="0">
                  <c:v>HE parcial *10E-5/m2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'HE por Capitulos'!$I$84:$O$84</c:f>
              <c:strCache>
                <c:ptCount val="7"/>
                <c:pt idx="0">
                  <c:v>Energía maquinaria</c:v>
                </c:pt>
                <c:pt idx="1">
                  <c:v>Energía materiales</c:v>
                </c:pt>
                <c:pt idx="2">
                  <c:v>Energía movilidad</c:v>
                </c:pt>
                <c:pt idx="3">
                  <c:v>Energía alimentos </c:v>
                </c:pt>
                <c:pt idx="4">
                  <c:v>Pastos</c:v>
                </c:pt>
                <c:pt idx="5">
                  <c:v>Mar</c:v>
                </c:pt>
                <c:pt idx="6">
                  <c:v>Cultivos</c:v>
                </c:pt>
              </c:strCache>
            </c:strRef>
          </c:cat>
          <c:val>
            <c:numRef>
              <c:f>'HE por Capitulos'!$I$89:$O$89</c:f>
              <c:numCache>
                <c:formatCode>000,000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dLbls>
        <c:gapWidth val="164"/>
        <c:overlap val="-22"/>
        <c:axId val="309262688"/>
        <c:axId val="309264320"/>
      </c:barChart>
      <c:catAx>
        <c:axId val="309262688"/>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a:solidFill>
                      <a:sysClr val="windowText" lastClr="000000"/>
                    </a:solidFill>
                  </a:rPr>
                  <a:t>HE parciales</a:t>
                </a:r>
              </a:p>
            </c:rich>
          </c:tx>
          <c:overlay val="0"/>
          <c:spPr>
            <a:noFill/>
            <a:ln>
              <a:noFill/>
            </a:ln>
            <a:effectLst/>
          </c:spPr>
        </c:title>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09264320"/>
        <c:crosses val="autoZero"/>
        <c:auto val="1"/>
        <c:lblAlgn val="ctr"/>
        <c:lblOffset val="100"/>
        <c:noMultiLvlLbl val="0"/>
      </c:catAx>
      <c:valAx>
        <c:axId val="309264320"/>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s-ES" sz="1200">
                    <a:solidFill>
                      <a:sysClr val="windowText" lastClr="000000"/>
                    </a:solidFill>
                  </a:rPr>
                  <a:t>HE*E-05 (hag/m2)</a:t>
                </a:r>
              </a:p>
            </c:rich>
          </c:tx>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09262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Capitulos'!$R$85</c:f>
              <c:strCache>
                <c:ptCount val="1"/>
                <c:pt idx="0">
                  <c:v>HE energía </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Capitulos'!$R$86:$R$87</c15:sqref>
                  </c15:fullRef>
                </c:ext>
              </c:extLst>
              <c:f>'HE por Capitulos'!$R$86</c:f>
              <c:numCache>
                <c:formatCode>0,000</c:formatCode>
                <c:ptCount val="1"/>
                <c:pt idx="0">
                  <c:v>17.778641513685873</c:v>
                </c:pt>
              </c:numCache>
            </c:numRef>
          </c:val>
        </c:ser>
        <c:ser>
          <c:idx val="1"/>
          <c:order val="1"/>
          <c:tx>
            <c:strRef>
              <c:f>'HE por Capitulos'!$S$85</c:f>
              <c:strCache>
                <c:ptCount val="1"/>
                <c:pt idx="0">
                  <c:v>HE pastos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Capitulos'!$S$86:$S$87</c15:sqref>
                  </c15:fullRef>
                </c:ext>
              </c:extLst>
              <c:f>'HE por Capitulos'!$S$86</c:f>
              <c:numCache>
                <c:formatCode>0.00</c:formatCode>
                <c:ptCount val="1"/>
                <c:pt idx="0">
                  <c:v>0.69498627864340456</c:v>
                </c:pt>
              </c:numCache>
            </c:numRef>
          </c:val>
        </c:ser>
        <c:ser>
          <c:idx val="2"/>
          <c:order val="2"/>
          <c:tx>
            <c:strRef>
              <c:f>'HE por Capitulos'!$T$85</c:f>
              <c:strCache>
                <c:ptCount val="1"/>
                <c:pt idx="0">
                  <c:v>HE mar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Capitulos'!$T$86:$T$87</c15:sqref>
                  </c15:fullRef>
                </c:ext>
              </c:extLst>
              <c:f>'HE por Capitulos'!$T$86</c:f>
              <c:numCache>
                <c:formatCode>0.00</c:formatCode>
                <c:ptCount val="1"/>
                <c:pt idx="0">
                  <c:v>0.52964680106291717</c:v>
                </c:pt>
              </c:numCache>
            </c:numRef>
          </c:val>
        </c:ser>
        <c:ser>
          <c:idx val="3"/>
          <c:order val="3"/>
          <c:tx>
            <c:strRef>
              <c:f>'HE por Capitulos'!$U$85</c:f>
              <c:strCache>
                <c:ptCount val="1"/>
                <c:pt idx="0">
                  <c:v>HE cultivos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Capitulos'!$U$86:$U$87</c15:sqref>
                  </c15:fullRef>
                </c:ext>
              </c:extLst>
              <c:f>'HE por Capitulos'!$U$86</c:f>
              <c:numCache>
                <c:formatCode>0.00</c:formatCode>
                <c:ptCount val="1"/>
                <c:pt idx="0">
                  <c:v>2.1858439408945789</c:v>
                </c:pt>
              </c:numCache>
            </c:numRef>
          </c:val>
        </c:ser>
        <c:dLbls>
          <c:showLegendKey val="0"/>
          <c:showVal val="1"/>
          <c:showCatName val="0"/>
          <c:showSerName val="0"/>
          <c:showPercent val="0"/>
          <c:showBubbleSize val="0"/>
        </c:dLbls>
        <c:gapWidth val="164"/>
        <c:overlap val="-22"/>
        <c:axId val="309268128"/>
        <c:axId val="309261056"/>
      </c:barChart>
      <c:catAx>
        <c:axId val="3092681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309261056"/>
        <c:crosses val="autoZero"/>
        <c:auto val="1"/>
        <c:lblAlgn val="ctr"/>
        <c:lblOffset val="100"/>
        <c:noMultiLvlLbl val="0"/>
      </c:catAx>
      <c:valAx>
        <c:axId val="309261056"/>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b="1">
                    <a:solidFill>
                      <a:sysClr val="windowText" lastClr="000000"/>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309268128"/>
        <c:crosses val="autoZero"/>
        <c:crossBetween val="between"/>
      </c:valAx>
      <c:spPr>
        <a:noFill/>
        <a:ln>
          <a:noFill/>
        </a:ln>
        <a:effectLst/>
      </c:spPr>
    </c:plotArea>
    <c:legend>
      <c:legendPos val="t"/>
      <c:layout>
        <c:manualLayout>
          <c:xMode val="edge"/>
          <c:yMode val="edge"/>
          <c:x val="0.22731626131103072"/>
          <c:y val="0.10579405639369797"/>
          <c:w val="0.61003558718861217"/>
          <c:h val="5.8196822428822757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107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Capitulos'!$J$9:$U$9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309273024"/>
        <c:axId val="309265408"/>
      </c:barChart>
      <c:catAx>
        <c:axId val="309273024"/>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309265408"/>
        <c:crosses val="autoZero"/>
        <c:auto val="1"/>
        <c:lblAlgn val="ctr"/>
        <c:lblOffset val="100"/>
        <c:noMultiLvlLbl val="0"/>
      </c:catAx>
      <c:valAx>
        <c:axId val="309265408"/>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a:t>
                </a:r>
              </a:p>
            </c:rich>
          </c:tx>
          <c:overlay val="0"/>
          <c:spPr>
            <a:noFill/>
            <a:ln>
              <a:noFill/>
            </a:ln>
            <a:effectLst/>
          </c:spPr>
        </c:title>
        <c:numFmt formatCode="0" sourceLinked="0"/>
        <c:majorTickMark val="none"/>
        <c:minorTickMark val="none"/>
        <c:tickLblPos val="none"/>
        <c:crossAx val="309273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 l="0.70000000000000062" r="0.70000000000000062" t="0.750000000000006"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
              <c:tx>
                <c:rich>
                  <a:bodyPr/>
                  <a:lstStyle/>
                  <a:p>
                    <a:r>
                      <a:rPr lang="en-US"/>
                      <a:t>5.81</a:t>
                    </a:r>
                  </a:p>
                </c:rich>
              </c:tx>
              <c:dLblPos val="in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5.7550114132948139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Capitulos'!$J$8:$U$8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309265952"/>
        <c:axId val="309267584"/>
      </c:barChart>
      <c:catAx>
        <c:axId val="30926595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309267584"/>
        <c:crosses val="autoZero"/>
        <c:auto val="1"/>
        <c:lblAlgn val="ctr"/>
        <c:lblOffset val="100"/>
        <c:noMultiLvlLbl val="0"/>
      </c:catAx>
      <c:valAx>
        <c:axId val="30926758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(hag*10E-03/m2)</a:t>
                </a:r>
              </a:p>
            </c:rich>
          </c:tx>
          <c:overlay val="0"/>
          <c:spPr>
            <a:noFill/>
            <a:ln>
              <a:noFill/>
            </a:ln>
            <a:effectLst/>
          </c:spPr>
        </c:title>
        <c:numFmt formatCode="0" sourceLinked="0"/>
        <c:majorTickMark val="none"/>
        <c:minorTickMark val="none"/>
        <c:tickLblPos val="none"/>
        <c:crossAx val="30926595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22" l="0.70000000000000062" r="0.70000000000000062" t="0.7500000000000062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(hag/m2)</a:t>
            </a:r>
          </a:p>
        </c:rich>
      </c:tx>
      <c:overlay val="0"/>
      <c:spPr>
        <a:noFill/>
        <a:ln>
          <a:noFill/>
        </a:ln>
        <a:effectLst/>
      </c:sp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Capitulos'!$AP$18:$BA$18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4088202129093411E-3"/>
                  <c:y val="-3.9168796899480413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Capitulos'!$AP$19:$BA$19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
              <c:layout>
                <c:manualLayout>
                  <c:x val="1.4088202129093153E-3"/>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2676671889172925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738187515461373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5.1656144403821078E-17"/>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Capitulos'!$AP$20:$BA$20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309269216"/>
        <c:axId val="309270304"/>
      </c:barChart>
      <c:catAx>
        <c:axId val="309269216"/>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09270304"/>
        <c:crosses val="autoZero"/>
        <c:auto val="1"/>
        <c:lblAlgn val="ctr"/>
        <c:lblOffset val="100"/>
        <c:noMultiLvlLbl val="0"/>
      </c:catAx>
      <c:valAx>
        <c:axId val="309270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(hag*10E-03/m2)</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0926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(hag/m2)</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Capitulos'!$AP$25:$BB$25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5.228178491715453</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Capitulos'!$AP$26:$BB$26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Capitulos'!$AP$27:$BB$27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Capitulos'!$AP$28:$BB$28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50"/>
        <c:overlap val="-74"/>
        <c:axId val="309274112"/>
        <c:axId val="309259424"/>
      </c:barChart>
      <c:catAx>
        <c:axId val="309274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309259424"/>
        <c:crosses val="autoZero"/>
        <c:auto val="1"/>
        <c:lblAlgn val="ctr"/>
        <c:lblOffset val="100"/>
        <c:noMultiLvlLbl val="0"/>
      </c:catAx>
      <c:valAx>
        <c:axId val="309259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(hag*10E-03/m2)</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30927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r>
              <a:rPr lang="en-US" sz="1600">
                <a:solidFill>
                  <a:sysClr val="windowText" lastClr="000000"/>
                </a:solidFill>
              </a:rPr>
              <a:t>Porcentajes de HE de los recursos empleados en construcción edificios residenciales</a:t>
            </a:r>
          </a:p>
        </c:rich>
      </c:tx>
      <c:layout>
        <c:manualLayout>
          <c:xMode val="edge"/>
          <c:yMode val="edge"/>
          <c:x val="0.13875177545525852"/>
          <c:y val="0"/>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endParaRPr lang="es-ES"/>
        </a:p>
      </c:txPr>
    </c:title>
    <c:autoTitleDeleted val="0"/>
    <c:plotArea>
      <c:layout/>
      <c:pieChart>
        <c:varyColors val="1"/>
        <c:ser>
          <c:idx val="0"/>
          <c:order val="0"/>
          <c:spPr>
            <a:ln>
              <a:solidFill>
                <a:srgbClr val="339933"/>
              </a:solidFill>
            </a:ln>
          </c:spPr>
          <c:explosion val="25"/>
          <c:dPt>
            <c:idx val="0"/>
            <c:bubble3D val="0"/>
            <c:spPr>
              <a:pattFill prst="ltUpDiag">
                <a:fgClr>
                  <a:schemeClr val="accent3"/>
                </a:fgClr>
                <a:bgClr>
                  <a:schemeClr val="bg1"/>
                </a:bgClr>
              </a:pattFill>
              <a:ln w="12700">
                <a:solidFill>
                  <a:schemeClr val="accent3"/>
                </a:solidFill>
              </a:ln>
              <a:effectLst>
                <a:innerShdw blurRad="114300">
                  <a:schemeClr val="accent3"/>
                </a:innerShdw>
              </a:effectLst>
            </c:spPr>
          </c:dPt>
          <c:dPt>
            <c:idx val="1"/>
            <c:bubble3D val="0"/>
            <c:spPr>
              <a:pattFill prst="dkUpDiag">
                <a:fgClr>
                  <a:srgbClr val="CC66FF"/>
                </a:fgClr>
                <a:bgClr>
                  <a:schemeClr val="bg1"/>
                </a:bgClr>
              </a:pattFill>
              <a:ln w="19050">
                <a:solidFill>
                  <a:srgbClr val="CC66FF"/>
                </a:solidFill>
              </a:ln>
              <a:effectLst>
                <a:innerShdw blurRad="114300">
                  <a:srgbClr val="CC66FF"/>
                </a:innerShdw>
              </a:effectLst>
            </c:spPr>
          </c:dPt>
          <c:dPt>
            <c:idx val="2"/>
            <c:bubble3D val="0"/>
            <c:spPr>
              <a:pattFill prst="dkUpDiag">
                <a:fgClr>
                  <a:schemeClr val="accent1"/>
                </a:fgClr>
                <a:bgClr>
                  <a:schemeClr val="bg1"/>
                </a:bgClr>
              </a:pattFill>
              <a:ln w="12700">
                <a:solidFill>
                  <a:schemeClr val="accent1"/>
                </a:solidFill>
              </a:ln>
              <a:effectLst>
                <a:innerShdw blurRad="114300">
                  <a:schemeClr val="accent1"/>
                </a:innerShdw>
              </a:effectLst>
            </c:spPr>
          </c:dPt>
          <c:dPt>
            <c:idx val="3"/>
            <c:bubble3D val="0"/>
            <c:spPr>
              <a:pattFill prst="dkUpDiag">
                <a:fgClr>
                  <a:srgbClr val="339933"/>
                </a:fgClr>
                <a:bgClr>
                  <a:schemeClr val="bg1"/>
                </a:bgClr>
              </a:pattFill>
              <a:ln w="19050">
                <a:solidFill>
                  <a:srgbClr val="339933"/>
                </a:solidFill>
              </a:ln>
              <a:effectLst>
                <a:innerShdw blurRad="114300">
                  <a:srgbClr val="339933"/>
                </a:innerShdw>
              </a:effectLst>
            </c:spPr>
          </c:dPt>
          <c:dLbls>
            <c:dLbl>
              <c:idx val="0"/>
              <c:layout>
                <c:manualLayout>
                  <c:x val="0.19326719100012019"/>
                  <c:y val="-0.20604372128961757"/>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1"/>
              <c:layout>
                <c:manualLayout>
                  <c:x val="3.1453805935416357E-2"/>
                  <c:y val="-1.2027311296924053E-3"/>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7.0823698945388133E-2"/>
                  <c:y val="1.3836136947411556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7.3621247830419914E-2"/>
                  <c:y val="4.8904892026113207E-2"/>
                </c:manualLayout>
              </c:layout>
              <c:dLblPos val="bestFi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'[6]HE Total por Capitulos (2)'!$C$15:$F$15</c:f>
              <c:strCache>
                <c:ptCount val="4"/>
                <c:pt idx="0">
                  <c:v>Energía</c:v>
                </c:pt>
                <c:pt idx="1">
                  <c:v>Pastos</c:v>
                </c:pt>
                <c:pt idx="2">
                  <c:v>Mar</c:v>
                </c:pt>
                <c:pt idx="3">
                  <c:v>Cultivos</c:v>
                </c:pt>
              </c:strCache>
            </c:strRef>
          </c:cat>
          <c:val>
            <c:numRef>
              <c:f>'[6]HE Total por Capitulos (2)'!$C$16:$F$16</c:f>
              <c:numCache>
                <c:formatCode>General</c:formatCode>
                <c:ptCount val="4"/>
                <c:pt idx="0">
                  <c:v>264.74081427556962</c:v>
                </c:pt>
                <c:pt idx="1">
                  <c:v>2.2491490410415276</c:v>
                </c:pt>
                <c:pt idx="2">
                  <c:v>1.7140692288582609</c:v>
                </c:pt>
                <c:pt idx="3">
                  <c:v>7.0739365000499657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7415700324351827"/>
          <c:y val="0.11144502896050119"/>
          <c:w val="0.45168599351296351"/>
          <c:h val="6.202540034448730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 l="0.70000000000000062" r="0.70000000000000062" t="0.750000000000005"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Capitulos'!$I$113</c:f>
              <c:strCache>
                <c:ptCount val="1"/>
                <c:pt idx="0">
                  <c:v>HE energía maquinaria</c:v>
                </c:pt>
              </c:strCache>
            </c:strRef>
          </c:tx>
          <c:spPr>
            <a:pattFill prst="narHorz">
              <a:fgClr>
                <a:srgbClr val="7030A0"/>
              </a:fgClr>
              <a:bgClr>
                <a:schemeClr val="bg1"/>
              </a:bgClr>
            </a:pattFill>
            <a:ln>
              <a:noFill/>
            </a:ln>
            <a:effectLst>
              <a:innerShdw blurRad="114300">
                <a:srgbClr val="7030A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Capitulos'!$I$116</c:f>
              <c:numCache>
                <c:formatCode>0.00E+00</c:formatCode>
                <c:ptCount val="1"/>
                <c:pt idx="0">
                  <c:v>0</c:v>
                </c:pt>
              </c:numCache>
            </c:numRef>
          </c:val>
        </c:ser>
        <c:ser>
          <c:idx val="1"/>
          <c:order val="1"/>
          <c:tx>
            <c:strRef>
              <c:f>'HE por Capitulos'!$J$113</c:f>
              <c:strCache>
                <c:ptCount val="1"/>
                <c:pt idx="0">
                  <c:v>HE energía materiales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Capitulos'!$J$116</c:f>
              <c:numCache>
                <c:formatCode>0.00E+00</c:formatCode>
                <c:ptCount val="1"/>
                <c:pt idx="0">
                  <c:v>0</c:v>
                </c:pt>
              </c:numCache>
            </c:numRef>
          </c:val>
        </c:ser>
        <c:ser>
          <c:idx val="2"/>
          <c:order val="2"/>
          <c:tx>
            <c:strRef>
              <c:f>'HE por Capitulos'!$K$113</c:f>
              <c:strCache>
                <c:ptCount val="1"/>
                <c:pt idx="0">
                  <c:v>HE energía movilidad</c:v>
                </c:pt>
              </c:strCache>
            </c:strRef>
          </c:tx>
          <c:spPr>
            <a:pattFill prst="narHorz">
              <a:fgClr>
                <a:schemeClr val="accent4"/>
              </a:fgClr>
              <a:bgClr>
                <a:schemeClr val="bg1"/>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Capitulos'!$K$116</c:f>
              <c:numCache>
                <c:formatCode>0.00E+00</c:formatCode>
                <c:ptCount val="1"/>
                <c:pt idx="0">
                  <c:v>0</c:v>
                </c:pt>
              </c:numCache>
            </c:numRef>
          </c:val>
        </c:ser>
        <c:ser>
          <c:idx val="3"/>
          <c:order val="3"/>
          <c:tx>
            <c:strRef>
              <c:f>'HE por Capitulos'!$L$113</c:f>
              <c:strCache>
                <c:ptCount val="1"/>
                <c:pt idx="0">
                  <c:v>HE energía alimentos </c:v>
                </c:pt>
              </c:strCache>
            </c:strRef>
          </c:tx>
          <c:spPr>
            <a:pattFill prst="narHorz">
              <a:fgClr>
                <a:srgbClr val="FFC000"/>
              </a:fgClr>
              <a:bgClr>
                <a:schemeClr val="bg1"/>
              </a:bgClr>
            </a:pattFill>
            <a:ln>
              <a:noFill/>
            </a:ln>
            <a:effectLst>
              <a:innerShdw blurRad="114300">
                <a:srgbClr val="FFC00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Capitulos'!$L$116</c:f>
              <c:numCache>
                <c:formatCode>0.00E+00</c:formatCode>
                <c:ptCount val="1"/>
                <c:pt idx="0">
                  <c:v>0</c:v>
                </c:pt>
              </c:numCache>
            </c:numRef>
          </c:val>
        </c:ser>
        <c:ser>
          <c:idx val="4"/>
          <c:order val="4"/>
          <c:tx>
            <c:strRef>
              <c:f>'HE por Capitulos'!$M$113</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Capitulos'!$M$116</c:f>
              <c:numCache>
                <c:formatCode>0.00E+00</c:formatCode>
                <c:ptCount val="1"/>
                <c:pt idx="0">
                  <c:v>0</c:v>
                </c:pt>
              </c:numCache>
            </c:numRef>
          </c:val>
        </c:ser>
        <c:ser>
          <c:idx val="5"/>
          <c:order val="5"/>
          <c:tx>
            <c:strRef>
              <c:f>'HE por Capitulos'!$N$113</c:f>
              <c:strCache>
                <c:ptCount val="1"/>
                <c:pt idx="0">
                  <c:v>HE mar</c:v>
                </c:pt>
              </c:strCache>
            </c:strRef>
          </c:tx>
          <c:spPr>
            <a:pattFill prst="narHorz">
              <a:fgClr>
                <a:srgbClr val="00B0F0"/>
              </a:fgClr>
              <a:bgClr>
                <a:schemeClr val="bg1"/>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Capitulos'!$N$116</c:f>
              <c:numCache>
                <c:formatCode>0.00E+00</c:formatCode>
                <c:ptCount val="1"/>
                <c:pt idx="0">
                  <c:v>0</c:v>
                </c:pt>
              </c:numCache>
            </c:numRef>
          </c:val>
        </c:ser>
        <c:ser>
          <c:idx val="6"/>
          <c:order val="6"/>
          <c:tx>
            <c:strRef>
              <c:f>'HE por Capitulos'!$O$113</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Capitulos'!$O$116</c:f>
              <c:numCache>
                <c:formatCode>0.00E+00</c:formatCode>
                <c:ptCount val="1"/>
                <c:pt idx="0">
                  <c:v>0</c:v>
                </c:pt>
              </c:numCache>
            </c:numRef>
          </c:val>
        </c:ser>
        <c:dLbls>
          <c:showLegendKey val="0"/>
          <c:showVal val="1"/>
          <c:showCatName val="0"/>
          <c:showSerName val="0"/>
          <c:showPercent val="0"/>
          <c:showBubbleSize val="0"/>
        </c:dLbls>
        <c:gapWidth val="164"/>
        <c:overlap val="-22"/>
        <c:axId val="311379184"/>
        <c:axId val="311391152"/>
      </c:barChart>
      <c:catAx>
        <c:axId val="3113791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311391152"/>
        <c:crossesAt val="0"/>
        <c:auto val="1"/>
        <c:lblAlgn val="ctr"/>
        <c:lblOffset val="100"/>
        <c:noMultiLvlLbl val="0"/>
      </c:catAx>
      <c:valAx>
        <c:axId val="311391152"/>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311379184"/>
        <c:crosses val="autoZero"/>
        <c:crossBetween val="between"/>
      </c:valAx>
      <c:spPr>
        <a:noFill/>
        <a:ln>
          <a:noFill/>
        </a:ln>
        <a:effectLst/>
      </c:spPr>
    </c:plotArea>
    <c:legend>
      <c:legendPos val="t"/>
      <c:layout>
        <c:manualLayout>
          <c:xMode val="edge"/>
          <c:yMode val="edge"/>
          <c:x val="0.7224461857040595"/>
          <c:y val="0.10039997315673409"/>
          <c:w val="0.26398136312506404"/>
          <c:h val="0.64798943088878425"/>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38675428439092185"/>
          <c:y val="2.543726070938381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Capitulos'!$R$90</c:f>
              <c:strCache>
                <c:ptCount val="1"/>
                <c:pt idx="0">
                  <c:v>HE energía </c:v>
                </c:pt>
              </c:strCache>
            </c:strRef>
          </c:tx>
          <c:spPr>
            <a:pattFill prst="narHorz">
              <a:fgClr>
                <a:schemeClr val="accent2"/>
              </a:fgClr>
              <a:bgClr>
                <a:schemeClr val="bg1"/>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Capitulos'!$R$91</c:f>
              <c:numCache>
                <c:formatCode>0.00E+00</c:formatCode>
                <c:ptCount val="1"/>
                <c:pt idx="0">
                  <c:v>0</c:v>
                </c:pt>
              </c:numCache>
            </c:numRef>
          </c:val>
        </c:ser>
        <c:ser>
          <c:idx val="1"/>
          <c:order val="1"/>
          <c:tx>
            <c:strRef>
              <c:f>'HE por Capitulos'!$S$90</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Capitulos'!$S$91</c:f>
              <c:numCache>
                <c:formatCode>0.00E+00</c:formatCode>
                <c:ptCount val="1"/>
                <c:pt idx="0">
                  <c:v>0</c:v>
                </c:pt>
              </c:numCache>
            </c:numRef>
          </c:val>
        </c:ser>
        <c:ser>
          <c:idx val="2"/>
          <c:order val="2"/>
          <c:tx>
            <c:strRef>
              <c:f>'HE por Capitulos'!$T$90</c:f>
              <c:strCache>
                <c:ptCount val="1"/>
                <c:pt idx="0">
                  <c:v>HE mar</c:v>
                </c:pt>
              </c:strCache>
            </c:strRef>
          </c:tx>
          <c:spPr>
            <a:pattFill prst="narHorz">
              <a:fgClr>
                <a:srgbClr val="00B0F0"/>
              </a:fgClr>
              <a:bgClr>
                <a:schemeClr val="bg1"/>
              </a:bgClr>
            </a:pattFill>
            <a:ln>
              <a:noFill/>
            </a:ln>
            <a:effectLst>
              <a:innerShdw blurRad="114300">
                <a:srgbClr val="00B0F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Capitulos'!$T$91</c:f>
              <c:numCache>
                <c:formatCode>0.00E+00</c:formatCode>
                <c:ptCount val="1"/>
                <c:pt idx="0">
                  <c:v>0</c:v>
                </c:pt>
              </c:numCache>
            </c:numRef>
          </c:val>
        </c:ser>
        <c:ser>
          <c:idx val="3"/>
          <c:order val="3"/>
          <c:tx>
            <c:strRef>
              <c:f>'HE por Capitulos'!$U$90</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Capitulos'!$U$91</c:f>
              <c:numCache>
                <c:formatCode>0.00E+00</c:formatCode>
                <c:ptCount val="1"/>
                <c:pt idx="0">
                  <c:v>0</c:v>
                </c:pt>
              </c:numCache>
            </c:numRef>
          </c:val>
        </c:ser>
        <c:dLbls>
          <c:showLegendKey val="0"/>
          <c:showVal val="1"/>
          <c:showCatName val="0"/>
          <c:showSerName val="0"/>
          <c:showPercent val="0"/>
          <c:showBubbleSize val="0"/>
        </c:dLbls>
        <c:gapWidth val="164"/>
        <c:overlap val="-22"/>
        <c:axId val="311387344"/>
        <c:axId val="311380272"/>
      </c:barChart>
      <c:catAx>
        <c:axId val="31138734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311380272"/>
        <c:crossesAt val="0"/>
        <c:auto val="1"/>
        <c:lblAlgn val="ctr"/>
        <c:lblOffset val="100"/>
        <c:noMultiLvlLbl val="0"/>
      </c:catAx>
      <c:valAx>
        <c:axId val="311380272"/>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311387344"/>
        <c:crosses val="autoZero"/>
        <c:crossBetween val="between"/>
      </c:valAx>
      <c:spPr>
        <a:noFill/>
        <a:ln>
          <a:noFill/>
        </a:ln>
        <a:effectLst/>
      </c:spPr>
    </c:plotArea>
    <c:legend>
      <c:legendPos val="t"/>
      <c:layout>
        <c:manualLayout>
          <c:xMode val="edge"/>
          <c:yMode val="edge"/>
          <c:x val="0.49054574767520587"/>
          <c:y val="0.17929899588239551"/>
          <c:w val="0.49022570990843345"/>
          <c:h val="0.12688853572202563"/>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 en edif. viv. de 2 plantas</a:t>
            </a:r>
          </a:p>
        </c:rich>
      </c:tx>
      <c:layout>
        <c:manualLayout>
          <c:xMode val="edge"/>
          <c:yMode val="edge"/>
          <c:x val="0.15622802943541694"/>
          <c:y val="2.298849881180837E-2"/>
        </c:manualLayout>
      </c:layout>
      <c:overlay val="0"/>
    </c:title>
    <c:autoTitleDeleted val="0"/>
    <c:plotArea>
      <c:layout/>
      <c:pieChart>
        <c:varyColors val="1"/>
        <c:ser>
          <c:idx val="0"/>
          <c:order val="0"/>
          <c:tx>
            <c:strRef>
              <c:f>'HE resumen todos proyectos'!$FW$25:$FW$26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proyectos'!$FW$27:$FW$35</c:f>
              <c:numCache>
                <c:formatCode>0.00</c:formatCode>
                <c:ptCount val="9"/>
                <c:pt idx="0">
                  <c:v>0.68025891812813311</c:v>
                </c:pt>
                <c:pt idx="1">
                  <c:v>211.63005339929526</c:v>
                </c:pt>
                <c:pt idx="3">
                  <c:v>50.789614741165764</c:v>
                </c:pt>
                <c:pt idx="4">
                  <c:v>1.2892728169014087E-2</c:v>
                </c:pt>
                <c:pt idx="5">
                  <c:v>9.7369196669999987</c:v>
                </c:pt>
                <c:pt idx="6">
                  <c:v>485.13001261169654</c:v>
                </c:pt>
                <c:pt idx="7">
                  <c:v>21.390465333333335</c:v>
                </c:pt>
              </c:numCache>
            </c:numRef>
          </c:val>
        </c:ser>
        <c:ser>
          <c:idx val="1"/>
          <c:order val="1"/>
          <c:tx>
            <c:strRef>
              <c:f>'HE resumen todos proyectos'!$FX$25:$FX$26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proyectos'!$FX$27:$FX$35</c:f>
              <c:numCache>
                <c:formatCode>0.00</c:formatCode>
                <c:ptCount val="9"/>
                <c:pt idx="2">
                  <c:v>0.34389602718446599</c:v>
                </c:pt>
              </c:numCache>
            </c:numRef>
          </c:val>
        </c:ser>
        <c:ser>
          <c:idx val="2"/>
          <c:order val="2"/>
          <c:tx>
            <c:strRef>
              <c:f>'HE resumen todos proyectos'!$FY$25:$FY$26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proyectos'!$FY$27:$FY$35</c:f>
              <c:numCache>
                <c:formatCode>0.00</c:formatCode>
                <c:ptCount val="9"/>
                <c:pt idx="3">
                  <c:v>164.60789831344192</c:v>
                </c:pt>
              </c:numCache>
            </c:numRef>
          </c:val>
        </c:ser>
        <c:ser>
          <c:idx val="3"/>
          <c:order val="3"/>
          <c:tx>
            <c:strRef>
              <c:f>'HE resumen todos proyectos'!$FZ$25:$FZ$26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proyectos'!$FZ$27:$FZ$35</c:f>
              <c:numCache>
                <c:formatCode>0.00</c:formatCode>
                <c:ptCount val="9"/>
                <c:pt idx="3">
                  <c:v>112.06157443389006</c:v>
                </c:pt>
              </c:numCache>
            </c:numRef>
          </c:val>
        </c:ser>
        <c:ser>
          <c:idx val="4"/>
          <c:order val="4"/>
          <c:tx>
            <c:strRef>
              <c:f>'HE resumen todos proyectos'!$GA$25:$GA$26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proyectos'!$GA$27:$GA$35</c:f>
              <c:numCache>
                <c:formatCode>0.00</c:formatCode>
                <c:ptCount val="9"/>
                <c:pt idx="3">
                  <c:v>59.609473060530981</c:v>
                </c:pt>
              </c:numCache>
            </c:numRef>
          </c:val>
        </c:ser>
        <c:ser>
          <c:idx val="5"/>
          <c:order val="5"/>
          <c:tx>
            <c:strRef>
              <c:f>'HE resumen todos proyectos'!$GB$25:$GB$26</c:f>
              <c:strCache>
                <c:ptCount val="2"/>
                <c:pt idx="0">
                  <c:v>Tipo de huella (hag)</c:v>
                </c:pt>
                <c:pt idx="1">
                  <c:v>Sup. consum.</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proyectos'!$GB$27:$GB$35</c:f>
              <c:numCache>
                <c:formatCode>0.00</c:formatCode>
                <c:ptCount val="9"/>
                <c:pt idx="8">
                  <c:v>0.48143891666666661</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4 plantas </a:t>
            </a:r>
          </a:p>
        </c:rich>
      </c:tx>
      <c:overlay val="0"/>
    </c:title>
    <c:autoTitleDeleted val="0"/>
    <c:plotArea>
      <c:layout/>
      <c:pieChart>
        <c:varyColors val="1"/>
        <c:ser>
          <c:idx val="0"/>
          <c:order val="0"/>
          <c:tx>
            <c:strRef>
              <c:f>'HE resumen todos proyectos'!$FW$62:$FW$63</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proyectos'!$FW$64:$FW$72</c:f>
              <c:numCache>
                <c:formatCode>0.00</c:formatCode>
                <c:ptCount val="9"/>
                <c:pt idx="0">
                  <c:v>1.4746693967095119</c:v>
                </c:pt>
                <c:pt idx="1">
                  <c:v>209.17571853857746</c:v>
                </c:pt>
                <c:pt idx="3">
                  <c:v>53.708580528850618</c:v>
                </c:pt>
                <c:pt idx="4">
                  <c:v>1.3748019718309861E-2</c:v>
                </c:pt>
                <c:pt idx="5">
                  <c:v>10.382857826727271</c:v>
                </c:pt>
                <c:pt idx="6">
                  <c:v>524.32114579938741</c:v>
                </c:pt>
                <c:pt idx="7">
                  <c:v>24.097861818181823</c:v>
                </c:pt>
              </c:numCache>
            </c:numRef>
          </c:val>
        </c:ser>
        <c:ser>
          <c:idx val="1"/>
          <c:order val="1"/>
          <c:tx>
            <c:strRef>
              <c:f>'HE resumen todos proyectos'!$FX$62:$FX$63</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proyectos'!$FX$64:$FX$72</c:f>
              <c:numCache>
                <c:formatCode>0.00</c:formatCode>
                <c:ptCount val="9"/>
                <c:pt idx="2">
                  <c:v>0.33275078411297432</c:v>
                </c:pt>
              </c:numCache>
            </c:numRef>
          </c:val>
        </c:ser>
        <c:ser>
          <c:idx val="2"/>
          <c:order val="2"/>
          <c:tx>
            <c:strRef>
              <c:f>'HE resumen todos proyectos'!$FY$62:$FY$63</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proyectos'!$FY$64:$FY$72</c:f>
              <c:numCache>
                <c:formatCode>0.00</c:formatCode>
                <c:ptCount val="9"/>
                <c:pt idx="3">
                  <c:v>174.06819499039631</c:v>
                </c:pt>
              </c:numCache>
            </c:numRef>
          </c:val>
        </c:ser>
        <c:ser>
          <c:idx val="3"/>
          <c:order val="3"/>
          <c:tx>
            <c:strRef>
              <c:f>'HE resumen todos proyectos'!$FZ$62:$FZ$63</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proyectos'!$FZ$64:$FZ$72</c:f>
              <c:numCache>
                <c:formatCode>0.00</c:formatCode>
                <c:ptCount val="9"/>
                <c:pt idx="3">
                  <c:v>118.5019442526731</c:v>
                </c:pt>
              </c:numCache>
            </c:numRef>
          </c:val>
        </c:ser>
        <c:ser>
          <c:idx val="4"/>
          <c:order val="4"/>
          <c:tx>
            <c:strRef>
              <c:f>'HE resumen todos proyectos'!$GA$62:$GA$63</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proyectos'!$GA$64:$GA$72</c:f>
              <c:numCache>
                <c:formatCode>0.00</c:formatCode>
                <c:ptCount val="9"/>
                <c:pt idx="3">
                  <c:v>63.035331149282797</c:v>
                </c:pt>
              </c:numCache>
            </c:numRef>
          </c:val>
        </c:ser>
        <c:ser>
          <c:idx val="5"/>
          <c:order val="5"/>
          <c:tx>
            <c:strRef>
              <c:f>'HE resumen todos proyectos'!$GB$62:$GB$63</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proyectos'!$GB$64:$GB$72</c:f>
              <c:numCache>
                <c:formatCode>0.00</c:formatCode>
                <c:ptCount val="9"/>
                <c:pt idx="8">
                  <c:v>0.3166336477272727</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itchFamily="34" charset="0"/>
                <a:cs typeface="Arial" pitchFamily="34" charset="0"/>
              </a:defRPr>
            </a:pPr>
            <a:r>
              <a:rPr lang="en-US" sz="1600">
                <a:latin typeface="Arial" pitchFamily="34" charset="0"/>
                <a:cs typeface="Arial" pitchFamily="34" charset="0"/>
              </a:rPr>
              <a:t>Impactos de HE (%) en edif. viv. de 5 plantas</a:t>
            </a:r>
          </a:p>
        </c:rich>
      </c:tx>
      <c:overlay val="0"/>
    </c:title>
    <c:autoTitleDeleted val="0"/>
    <c:plotArea>
      <c:layout/>
      <c:pieChart>
        <c:varyColors val="1"/>
        <c:ser>
          <c:idx val="0"/>
          <c:order val="0"/>
          <c:tx>
            <c:strRef>
              <c:f>'HE resumen todos proyectos'!$FW$80:$FW$81</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proyectos'!$FW$82:$FW$90</c:f>
              <c:numCache>
                <c:formatCode>0.00</c:formatCode>
                <c:ptCount val="9"/>
                <c:pt idx="0">
                  <c:v>1.6496303508929244</c:v>
                </c:pt>
                <c:pt idx="1">
                  <c:v>263.99220195871453</c:v>
                </c:pt>
                <c:pt idx="3">
                  <c:v>66.796791828425356</c:v>
                </c:pt>
                <c:pt idx="4">
                  <c:v>1.7108998732394371E-2</c:v>
                </c:pt>
                <c:pt idx="5">
                  <c:v>12.921155558099997</c:v>
                </c:pt>
                <c:pt idx="6">
                  <c:v>631.93091352271369</c:v>
                </c:pt>
                <c:pt idx="7">
                  <c:v>29.353255296000007</c:v>
                </c:pt>
              </c:numCache>
            </c:numRef>
          </c:val>
        </c:ser>
        <c:ser>
          <c:idx val="1"/>
          <c:order val="1"/>
          <c:tx>
            <c:strRef>
              <c:f>'HE resumen todos proyectos'!$FX$80:$FX$81</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proyectos'!$FX$82:$FX$90</c:f>
              <c:numCache>
                <c:formatCode>0.00</c:formatCode>
                <c:ptCount val="9"/>
                <c:pt idx="2">
                  <c:v>0.14655186516504853</c:v>
                </c:pt>
              </c:numCache>
            </c:numRef>
          </c:val>
        </c:ser>
        <c:ser>
          <c:idx val="2"/>
          <c:order val="2"/>
          <c:tx>
            <c:strRef>
              <c:f>'HE resumen todos proyectos'!$FY$80:$FY$81</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proyectos'!$FY$82:$FY$90</c:f>
              <c:numCache>
                <c:formatCode>0.00</c:formatCode>
                <c:ptCount val="9"/>
                <c:pt idx="3">
                  <c:v>216.48676748173375</c:v>
                </c:pt>
              </c:numCache>
            </c:numRef>
          </c:val>
        </c:ser>
        <c:ser>
          <c:idx val="3"/>
          <c:order val="3"/>
          <c:tx>
            <c:strRef>
              <c:f>'HE resumen todos proyectos'!$FZ$80:$FZ$81</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proyectos'!$FZ$82:$FZ$90</c:f>
              <c:numCache>
                <c:formatCode>0.00</c:formatCode>
                <c:ptCount val="9"/>
                <c:pt idx="3">
                  <c:v>147.37961092189877</c:v>
                </c:pt>
              </c:numCache>
            </c:numRef>
          </c:val>
        </c:ser>
        <c:ser>
          <c:idx val="4"/>
          <c:order val="4"/>
          <c:tx>
            <c:strRef>
              <c:f>'HE resumen todos proyectos'!$GA$80:$GA$81</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proyectos'!$GA$82:$GA$90</c:f>
              <c:numCache>
                <c:formatCode>0.00</c:formatCode>
                <c:ptCount val="9"/>
                <c:pt idx="3">
                  <c:v>78.396372630863254</c:v>
                </c:pt>
              </c:numCache>
            </c:numRef>
          </c:val>
        </c:ser>
        <c:ser>
          <c:idx val="5"/>
          <c:order val="5"/>
          <c:tx>
            <c:strRef>
              <c:f>'HE resumen todos proyectos'!$GB$80:$GB$81</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proyectos'!$GB$82:$GB$90</c:f>
              <c:numCache>
                <c:formatCode>0.00</c:formatCode>
                <c:ptCount val="9"/>
                <c:pt idx="8">
                  <c:v>0.31213255599999989</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a:t>
            </a:r>
            <a:r>
              <a:rPr lang="en-US"/>
              <a:t> de</a:t>
            </a:r>
            <a:r>
              <a:rPr lang="en-US" baseline="0"/>
              <a:t> HE</a:t>
            </a:r>
            <a:r>
              <a:rPr lang="en-US"/>
              <a:t>(%) en edif. viv. de 10 plantas </a:t>
            </a:r>
          </a:p>
        </c:rich>
      </c:tx>
      <c:overlay val="0"/>
    </c:title>
    <c:autoTitleDeleted val="0"/>
    <c:plotArea>
      <c:layout/>
      <c:pieChart>
        <c:varyColors val="1"/>
        <c:ser>
          <c:idx val="0"/>
          <c:order val="0"/>
          <c:tx>
            <c:strRef>
              <c:f>'HE resumen todos proyectos'!$FW$98:$FW$99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proyectos'!$FW$100:$FW$108</c:f>
              <c:numCache>
                <c:formatCode>0.00</c:formatCode>
                <c:ptCount val="9"/>
                <c:pt idx="0">
                  <c:v>2.1072937010473436</c:v>
                </c:pt>
                <c:pt idx="1">
                  <c:v>508.60138697041515</c:v>
                </c:pt>
                <c:pt idx="3">
                  <c:v>131.11629522636952</c:v>
                </c:pt>
                <c:pt idx="4">
                  <c:v>3.3308854225352118E-2</c:v>
                </c:pt>
                <c:pt idx="5">
                  <c:v>25.155702776045452</c:v>
                </c:pt>
                <c:pt idx="6">
                  <c:v>1171.0644033386791</c:v>
                </c:pt>
                <c:pt idx="7">
                  <c:v>54.633070973454529</c:v>
                </c:pt>
              </c:numCache>
            </c:numRef>
          </c:val>
        </c:ser>
        <c:ser>
          <c:idx val="1"/>
          <c:order val="1"/>
          <c:tx>
            <c:strRef>
              <c:f>'HE resumen todos proyectos'!$FX$98:$FX$99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proyectos'!$FX$100:$FX$108</c:f>
              <c:numCache>
                <c:formatCode>0.00</c:formatCode>
                <c:ptCount val="9"/>
                <c:pt idx="2">
                  <c:v>0.27859938782065313</c:v>
                </c:pt>
              </c:numCache>
            </c:numRef>
          </c:val>
        </c:ser>
        <c:ser>
          <c:idx val="2"/>
          <c:order val="2"/>
          <c:tx>
            <c:strRef>
              <c:f>'HE resumen todos proyectos'!$FY$98:$FY$99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proyectos'!$FY$100:$FY$108</c:f>
              <c:numCache>
                <c:formatCode>0.00</c:formatCode>
                <c:ptCount val="9"/>
                <c:pt idx="3">
                  <c:v>424.94470379127125</c:v>
                </c:pt>
              </c:numCache>
            </c:numRef>
          </c:val>
        </c:ser>
        <c:ser>
          <c:idx val="3"/>
          <c:order val="3"/>
          <c:tx>
            <c:strRef>
              <c:f>'HE resumen todos proyectos'!$FZ$98:$FZ$99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proyectos'!$FZ$100:$FZ$108</c:f>
              <c:numCache>
                <c:formatCode>0.00</c:formatCode>
                <c:ptCount val="9"/>
                <c:pt idx="3">
                  <c:v>289.29336345401987</c:v>
                </c:pt>
              </c:numCache>
            </c:numRef>
          </c:val>
        </c:ser>
        <c:ser>
          <c:idx val="4"/>
          <c:order val="4"/>
          <c:tx>
            <c:strRef>
              <c:f>'HE resumen todos proyectos'!$GA$98:$GA$99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proyectos'!$GA$100:$GA$108</c:f>
              <c:numCache>
                <c:formatCode>0.00</c:formatCode>
                <c:ptCount val="9"/>
                <c:pt idx="3">
                  <c:v>153.8852639053018</c:v>
                </c:pt>
              </c:numCache>
            </c:numRef>
          </c:val>
        </c:ser>
        <c:ser>
          <c:idx val="5"/>
          <c:order val="5"/>
          <c:tx>
            <c:strRef>
              <c:f>'HE resumen todos proyectos'!$GB$98:$GB$99</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proyectos'!$GB$100:$GB$108</c:f>
              <c:numCache>
                <c:formatCode>0.00</c:formatCode>
                <c:ptCount val="9"/>
                <c:pt idx="8">
                  <c:v>0.29383123099090908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Impacto</a:t>
            </a:r>
            <a:r>
              <a:rPr lang="en-US" baseline="0"/>
              <a:t> de HE (%) en edif.viv. de 1 planta</a:t>
            </a:r>
            <a:r>
              <a:rPr lang="en-US"/>
              <a:t> </a:t>
            </a:r>
          </a:p>
        </c:rich>
      </c:tx>
      <c:overlay val="0"/>
    </c:title>
    <c:autoTitleDeleted val="0"/>
    <c:plotArea>
      <c:layout/>
      <c:pieChart>
        <c:varyColors val="1"/>
        <c:ser>
          <c:idx val="0"/>
          <c:order val="0"/>
          <c:tx>
            <c:strRef>
              <c:f>'HE resumen todos proyectos'!$FW$8:$FW$9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proyectos'!$FW$10:$FW$18</c:f>
              <c:numCache>
                <c:formatCode>0.00</c:formatCode>
                <c:ptCount val="9"/>
                <c:pt idx="0">
                  <c:v>0.93003117367868571</c:v>
                </c:pt>
                <c:pt idx="1">
                  <c:v>219.25406770514508</c:v>
                </c:pt>
                <c:pt idx="3">
                  <c:v>49.107098135295232</c:v>
                </c:pt>
                <c:pt idx="4">
                  <c:v>1.2631389084507044E-2</c:v>
                </c:pt>
                <c:pt idx="5">
                  <c:v>9.539549673749999</c:v>
                </c:pt>
                <c:pt idx="6">
                  <c:v>545.03177984730735</c:v>
                </c:pt>
                <c:pt idx="7">
                  <c:v>20.355997066666671</c:v>
                </c:pt>
              </c:numCache>
            </c:numRef>
          </c:val>
        </c:ser>
        <c:ser>
          <c:idx val="1"/>
          <c:order val="1"/>
          <c:tx>
            <c:strRef>
              <c:f>'HE resumen todos proyectos'!$FX$8:$FX$9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proyectos'!$FX$10:$FX$18</c:f>
              <c:numCache>
                <c:formatCode>0.00</c:formatCode>
                <c:ptCount val="9"/>
                <c:pt idx="2">
                  <c:v>0.450981459935275</c:v>
                </c:pt>
              </c:numCache>
            </c:numRef>
          </c:val>
        </c:ser>
        <c:ser>
          <c:idx val="2"/>
          <c:order val="2"/>
          <c:tx>
            <c:strRef>
              <c:f>'HE resumen todos proyectos'!$FY$8:$FY$9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proyectos'!$FY$10:$FY$18</c:f>
              <c:numCache>
                <c:formatCode>0.00</c:formatCode>
                <c:ptCount val="9"/>
                <c:pt idx="3">
                  <c:v>159.154903172974</c:v>
                </c:pt>
              </c:numCache>
            </c:numRef>
          </c:val>
        </c:ser>
        <c:ser>
          <c:idx val="3"/>
          <c:order val="3"/>
          <c:tx>
            <c:strRef>
              <c:f>'HE resumen todos proyectos'!$FZ$8:$FZ$9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proyectos'!$FZ$10:$FZ$18</c:f>
              <c:numCache>
                <c:formatCode>0.00</c:formatCode>
                <c:ptCount val="9"/>
                <c:pt idx="3">
                  <c:v>108.34929071553773</c:v>
                </c:pt>
              </c:numCache>
            </c:numRef>
          </c:val>
        </c:ser>
        <c:ser>
          <c:idx val="4"/>
          <c:order val="4"/>
          <c:tx>
            <c:strRef>
              <c:f>'HE resumen todos proyectos'!$GA$8:$GA$9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proyectos'!$GA$10:$GA$18</c:f>
              <c:numCache>
                <c:formatCode>0.00</c:formatCode>
                <c:ptCount val="9"/>
                <c:pt idx="3">
                  <c:v>57.634779438564095</c:v>
                </c:pt>
              </c:numCache>
            </c:numRef>
          </c:val>
        </c:ser>
        <c:ser>
          <c:idx val="5"/>
          <c:order val="5"/>
          <c:tx>
            <c:strRef>
              <c:f>'HE resumen todos proyectos'!$GB$8:$GB$9</c:f>
              <c:strCache>
                <c:ptCount val="2"/>
                <c:pt idx="0">
                  <c:v>Tipo de huella (hag)</c:v>
                </c:pt>
                <c:pt idx="1">
                  <c:v>Superficie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proyectos'!$GB$10:$GB$18</c:f>
              <c:numCache>
                <c:formatCode>0.00</c:formatCode>
                <c:ptCount val="9"/>
                <c:pt idx="8">
                  <c:v>0.81985803333333318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3 plantas </a:t>
            </a:r>
          </a:p>
        </c:rich>
      </c:tx>
      <c:overlay val="0"/>
    </c:title>
    <c:autoTitleDeleted val="0"/>
    <c:plotArea>
      <c:layout/>
      <c:pieChart>
        <c:varyColors val="1"/>
        <c:ser>
          <c:idx val="0"/>
          <c:order val="0"/>
          <c:tx>
            <c:strRef>
              <c:f>'HE resumen todos proyectos'!$FW$45:$FW$46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proyectos'!$FW$47:$FW$55</c:f>
              <c:numCache>
                <c:formatCode>0.00</c:formatCode>
                <c:ptCount val="9"/>
                <c:pt idx="0">
                  <c:v>1.3681796617254653</c:v>
                </c:pt>
                <c:pt idx="1">
                  <c:v>164.20794448966288</c:v>
                </c:pt>
                <c:pt idx="3">
                  <c:v>46.853526277580592</c:v>
                </c:pt>
                <c:pt idx="4">
                  <c:v>1.0611950704225355E-2</c:v>
                </c:pt>
                <c:pt idx="5">
                  <c:v>8.014417907727271</c:v>
                </c:pt>
                <c:pt idx="6">
                  <c:v>422.48765784504934</c:v>
                </c:pt>
                <c:pt idx="7">
                  <c:v>19.198611456000013</c:v>
                </c:pt>
              </c:numCache>
            </c:numRef>
          </c:val>
        </c:ser>
        <c:ser>
          <c:idx val="1"/>
          <c:order val="1"/>
          <c:tx>
            <c:strRef>
              <c:f>'HE resumen todos proyectos'!$FX$45:$FX$46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proyectos'!$FX$47:$FX$55</c:f>
              <c:numCache>
                <c:formatCode>0.00</c:formatCode>
                <c:ptCount val="9"/>
                <c:pt idx="2">
                  <c:v>0.17831888057899384</c:v>
                </c:pt>
              </c:numCache>
            </c:numRef>
          </c:val>
        </c:ser>
        <c:ser>
          <c:idx val="2"/>
          <c:order val="2"/>
          <c:tx>
            <c:strRef>
              <c:f>'HE resumen todos proyectos'!$FY$45:$FY$46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proyectos'!$FY$47:$FY$55</c:f>
              <c:numCache>
                <c:formatCode>0.00</c:formatCode>
                <c:ptCount val="9"/>
                <c:pt idx="3">
                  <c:v>127.45762946987378</c:v>
                </c:pt>
              </c:numCache>
            </c:numRef>
          </c:val>
        </c:ser>
        <c:ser>
          <c:idx val="3"/>
          <c:order val="3"/>
          <c:tx>
            <c:strRef>
              <c:f>'HE resumen todos proyectos'!$FZ$45:$FZ$46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proyectos'!$FZ$47:$FZ$55</c:f>
              <c:numCache>
                <c:formatCode>0.00</c:formatCode>
                <c:ptCount val="9"/>
                <c:pt idx="3">
                  <c:v>86.770457422449681</c:v>
                </c:pt>
              </c:numCache>
            </c:numRef>
          </c:val>
        </c:ser>
        <c:ser>
          <c:idx val="4"/>
          <c:order val="4"/>
          <c:tx>
            <c:strRef>
              <c:f>'HE resumen todos proyectos'!$GA$45:$GA$46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proyectos'!$GA$47:$GA$55</c:f>
              <c:numCache>
                <c:formatCode>0.00</c:formatCode>
                <c:ptCount val="9"/>
                <c:pt idx="3">
                  <c:v>46.156242854011047</c:v>
                </c:pt>
              </c:numCache>
            </c:numRef>
          </c:val>
        </c:ser>
        <c:ser>
          <c:idx val="5"/>
          <c:order val="5"/>
          <c:tx>
            <c:strRef>
              <c:f>'HE resumen todos proyectos'!$GB$45:$GB$46</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proyectos'!$GB$47:$GB$55</c:f>
              <c:numCache>
                <c:formatCode>0.00</c:formatCode>
                <c:ptCount val="9"/>
                <c:pt idx="8">
                  <c:v>0.31662948721212114</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77" l="0.70000000000000062" r="0.70000000000000062" t="0.7500000000000077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11381360"/>
        <c:axId val="311381904"/>
      </c:barChart>
      <c:catAx>
        <c:axId val="311381360"/>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311381904"/>
        <c:crosses val="autoZero"/>
        <c:auto val="1"/>
        <c:lblAlgn val="ctr"/>
        <c:lblOffset val="100"/>
        <c:noMultiLvlLbl val="0"/>
      </c:catAx>
      <c:valAx>
        <c:axId val="311381904"/>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311381360"/>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(2)'!$AX$8:$BI$8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11384624"/>
        <c:axId val="311385168"/>
      </c:barChart>
      <c:catAx>
        <c:axId val="311384624"/>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11385168"/>
        <c:crosses val="autoZero"/>
        <c:auto val="1"/>
        <c:lblAlgn val="ctr"/>
        <c:lblOffset val="100"/>
        <c:noMultiLvlLbl val="0"/>
      </c:catAx>
      <c:valAx>
        <c:axId val="31138516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1138462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(2)'!$AX$10:$BI$10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315499920"/>
        <c:axId val="315495568"/>
      </c:barChart>
      <c:catAx>
        <c:axId val="31549992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15495568"/>
        <c:crosses val="autoZero"/>
        <c:auto val="1"/>
        <c:lblAlgn val="ctr"/>
        <c:lblOffset val="100"/>
        <c:noMultiLvlLbl val="0"/>
      </c:catAx>
      <c:valAx>
        <c:axId val="31549556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15499920"/>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15490672"/>
        <c:axId val="315500464"/>
      </c:barChart>
      <c:catAx>
        <c:axId val="315490672"/>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315500464"/>
        <c:crosses val="autoZero"/>
        <c:auto val="1"/>
        <c:lblAlgn val="ctr"/>
        <c:lblOffset val="100"/>
        <c:noMultiLvlLbl val="0"/>
      </c:catAx>
      <c:valAx>
        <c:axId val="315500464"/>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315490672"/>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materiales'!$AY$8:$BJ$8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15486864"/>
        <c:axId val="315490128"/>
      </c:barChart>
      <c:catAx>
        <c:axId val="315486864"/>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15490128"/>
        <c:crosses val="autoZero"/>
        <c:auto val="1"/>
        <c:lblAlgn val="ctr"/>
        <c:lblOffset val="100"/>
        <c:noMultiLvlLbl val="0"/>
      </c:catAx>
      <c:valAx>
        <c:axId val="31549012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1548686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HE del</a:t>
            </a:r>
            <a:r>
              <a:rPr lang="en-US" baseline="0"/>
              <a:t> transporte de </a:t>
            </a:r>
            <a:r>
              <a:rPr lang="en-US"/>
              <a:t>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materiales'!$AY$9:$BJ$9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15491760"/>
        <c:axId val="315492304"/>
      </c:barChart>
      <c:catAx>
        <c:axId val="31549176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15492304"/>
        <c:crosses val="autoZero"/>
        <c:auto val="1"/>
        <c:lblAlgn val="ctr"/>
        <c:lblOffset val="100"/>
        <c:noMultiLvlLbl val="0"/>
      </c:catAx>
      <c:valAx>
        <c:axId val="315492304"/>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15491760"/>
        <c:crosses val="autoZero"/>
        <c:crossBetween val="between"/>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materiales'!$AY$10:$BJ$10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315499376"/>
        <c:axId val="315496112"/>
      </c:barChart>
      <c:catAx>
        <c:axId val="31549937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15496112"/>
        <c:crosses val="autoZero"/>
        <c:auto val="1"/>
        <c:lblAlgn val="ctr"/>
        <c:lblOffset val="100"/>
        <c:noMultiLvlLbl val="0"/>
      </c:catAx>
      <c:valAx>
        <c:axId val="31549611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15499376"/>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1.1255183611714903E-4"/>
          <c:y val="4.3007012183178595E-2"/>
          <c:w val="0.89194115871151269"/>
          <c:h val="0.86397774905002545"/>
        </c:manualLayout>
      </c:layout>
      <c:ofPieChart>
        <c:ofPieType val="bar"/>
        <c:varyColors val="1"/>
        <c:ser>
          <c:idx val="0"/>
          <c:order val="0"/>
          <c:dPt>
            <c:idx val="0"/>
            <c:bubble3D val="0"/>
            <c:spPr>
              <a:solidFill>
                <a:srgbClr val="8B3307"/>
              </a:solidFill>
            </c:spPr>
          </c:dPt>
          <c:dPt>
            <c:idx val="1"/>
            <c:bubble3D val="0"/>
            <c:spPr>
              <a:gradFill flip="none" rotWithShape="1">
                <a:gsLst>
                  <a:gs pos="0">
                    <a:srgbClr val="D8510A"/>
                  </a:gs>
                  <a:gs pos="50000">
                    <a:schemeClr val="accent6">
                      <a:lumMod val="40000"/>
                      <a:lumOff val="60000"/>
                    </a:schemeClr>
                  </a:gs>
                  <a:gs pos="100000">
                    <a:srgbClr val="D8510A"/>
                  </a:gs>
                </a:gsLst>
                <a:path path="circle">
                  <a:fillToRect l="100000" t="100000"/>
                </a:path>
                <a:tileRect r="-100000" b="-100000"/>
              </a:gradFill>
            </c:spPr>
          </c:dPt>
          <c:dPt>
            <c:idx val="2"/>
            <c:bubble3D val="0"/>
            <c:spPr>
              <a:solidFill>
                <a:srgbClr val="F7C275"/>
              </a:solidFill>
            </c:spPr>
          </c:dPt>
          <c:dPt>
            <c:idx val="3"/>
            <c:bubble3D val="0"/>
            <c:spPr>
              <a:solidFill>
                <a:schemeClr val="bg2">
                  <a:lumMod val="90000"/>
                </a:schemeClr>
              </a:solidFill>
            </c:spPr>
          </c:dPt>
          <c:dPt>
            <c:idx val="4"/>
            <c:bubble3D val="0"/>
            <c:spPr>
              <a:solidFill>
                <a:schemeClr val="tx2"/>
              </a:solidFill>
            </c:spPr>
          </c:dPt>
          <c:dPt>
            <c:idx val="5"/>
            <c:bubble3D val="0"/>
            <c:spPr>
              <a:solidFill>
                <a:schemeClr val="accent1"/>
              </a:solidFill>
            </c:spPr>
          </c:dPt>
          <c:dPt>
            <c:idx val="6"/>
            <c:bubble3D val="0"/>
            <c:spPr>
              <a:solidFill>
                <a:schemeClr val="accent1">
                  <a:lumMod val="20000"/>
                  <a:lumOff val="80000"/>
                </a:schemeClr>
              </a:solidFill>
            </c:spPr>
          </c:dPt>
          <c:dPt>
            <c:idx val="7"/>
            <c:bubble3D val="0"/>
            <c:spPr>
              <a:solidFill>
                <a:schemeClr val="accent3">
                  <a:lumMod val="75000"/>
                </a:schemeClr>
              </a:solidFill>
            </c:spPr>
          </c:dPt>
          <c:dPt>
            <c:idx val="8"/>
            <c:bubble3D val="0"/>
            <c:spPr>
              <a:solidFill>
                <a:schemeClr val="bg2">
                  <a:lumMod val="90000"/>
                </a:schemeClr>
              </a:solidFill>
            </c:spPr>
          </c:dPt>
          <c:dPt>
            <c:idx val="9"/>
            <c:bubble3D val="0"/>
            <c:spPr>
              <a:solidFill>
                <a:schemeClr val="bg2"/>
              </a:solidFill>
            </c:spPr>
          </c:dPt>
          <c:dPt>
            <c:idx val="11"/>
            <c:bubble3D val="0"/>
            <c:spPr>
              <a:solidFill>
                <a:schemeClr val="accent3">
                  <a:lumMod val="60000"/>
                  <a:lumOff val="40000"/>
                </a:schemeClr>
              </a:solidFill>
            </c:spPr>
          </c:dPt>
          <c:dPt>
            <c:idx val="12"/>
            <c:bubble3D val="0"/>
            <c:spPr>
              <a:solidFill>
                <a:schemeClr val="accent3">
                  <a:lumMod val="60000"/>
                  <a:lumOff val="40000"/>
                </a:schemeClr>
              </a:solidFill>
            </c:spPr>
          </c:dPt>
          <c:dLbls>
            <c:dLbl>
              <c:idx val="0"/>
              <c:numFmt formatCode="0.0%" sourceLinked="0"/>
              <c:spPr/>
              <c:txPr>
                <a:bodyPr/>
                <a:lstStyle/>
                <a:p>
                  <a:pPr>
                    <a:defRPr sz="1000" b="0" i="0" u="none" strike="noStrike" baseline="0">
                      <a:solidFill>
                        <a:srgbClr val="FFFFFF"/>
                      </a:solidFill>
                      <a:latin typeface="Calibri"/>
                      <a:ea typeface="Calibri"/>
                      <a:cs typeface="Calibri"/>
                    </a:defRPr>
                  </a:pPr>
                  <a:endParaRPr lang="es-ES"/>
                </a:p>
              </c:txPr>
              <c:showLegendKey val="0"/>
              <c:showVal val="0"/>
              <c:showCatName val="1"/>
              <c:showSerName val="0"/>
              <c:showPercent val="1"/>
              <c:showBubbleSize val="0"/>
            </c:dLbl>
            <c:dLbl>
              <c:idx val="1"/>
              <c:layout>
                <c:manualLayout>
                  <c:x val="0.13652695198814435"/>
                  <c:y val="-0.16699303891361406"/>
                </c:manualLayout>
              </c:layout>
              <c:tx>
                <c:rich>
                  <a:bodyPr/>
                  <a:lstStyle/>
                  <a:p>
                    <a:r>
                      <a:rPr lang="es-ES"/>
                      <a:t>Petróleo
45,0%</a:t>
                    </a:r>
                  </a:p>
                </c:rich>
              </c:tx>
              <c:dLblPos val="bestFit"/>
              <c:showLegendKey val="0"/>
              <c:showVal val="0"/>
              <c:showCatName val="0"/>
              <c:showSerName val="0"/>
              <c:showPercent val="0"/>
              <c:showBubbleSize val="0"/>
              <c:extLst>
                <c:ext xmlns:c15="http://schemas.microsoft.com/office/drawing/2012/chart" uri="{CE6537A1-D6FC-4f65-9D91-7224C49458BB}"/>
              </c:extLst>
            </c:dLbl>
            <c:dLbl>
              <c:idx val="2"/>
              <c:layout>
                <c:manualLayout>
                  <c:x val="6.2746710232649924E-2"/>
                  <c:y val="0.14492753623188406"/>
                </c:manualLayout>
              </c:layout>
              <c:tx>
                <c:rich>
                  <a:bodyPr/>
                  <a:lstStyle/>
                  <a:p>
                    <a:r>
                      <a:rPr lang="es-ES"/>
                      <a:t>Gas Natural
22,4%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3"/>
              <c:tx>
                <c:rich>
                  <a:bodyPr/>
                  <a:lstStyle/>
                  <a:p>
                    <a:r>
                      <a:rPr lang="es-ES"/>
                      <a:t>Nuclear
11,6%</a:t>
                    </a:r>
                  </a:p>
                </c:rich>
              </c:tx>
              <c:showLegendKey val="0"/>
              <c:showVal val="0"/>
              <c:showCatName val="0"/>
              <c:showSerName val="0"/>
              <c:showPercent val="0"/>
              <c:showBubbleSize val="0"/>
              <c:extLst>
                <c:ext xmlns:c15="http://schemas.microsoft.com/office/drawing/2012/chart" uri="{CE6537A1-D6FC-4f65-9D91-7224C49458BB}"/>
              </c:extLst>
            </c:dLbl>
            <c:dLbl>
              <c:idx val="4"/>
              <c:layout>
                <c:manualLayout>
                  <c:x val="-7.9645044369453799E-2"/>
                  <c:y val="-0.1529160831180731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4.1151998857285703E-2"/>
                  <c:y val="-0.16345045802081071"/>
                </c:manualLayout>
              </c:layout>
              <c:tx>
                <c:rich>
                  <a:bodyPr/>
                  <a:lstStyle/>
                  <a:p>
                    <a:r>
                      <a:rPr lang="es-ES" sz="1000" b="0" i="0" u="none" strike="noStrike" baseline="0">
                        <a:solidFill>
                          <a:srgbClr val="000000"/>
                        </a:solidFill>
                        <a:latin typeface="Calibri"/>
                      </a:rPr>
                      <a:t>Saldo </a:t>
                    </a:r>
                  </a:p>
                  <a:p>
                    <a:r>
                      <a:rPr lang="es-ES" sz="1000" b="0" i="0" u="none" strike="noStrike" baseline="0">
                        <a:solidFill>
                          <a:srgbClr val="000000"/>
                        </a:solidFill>
                        <a:latin typeface="Calibri"/>
                      </a:rPr>
                      <a:t>Eléctrico</a:t>
                    </a:r>
                  </a:p>
                  <a:p>
                    <a:r>
                      <a:rPr lang="es-ES" sz="1000" b="0" i="0" u="none" strike="noStrike" baseline="0">
                        <a:solidFill>
                          <a:srgbClr val="000000"/>
                        </a:solidFill>
                        <a:latin typeface="Calibri"/>
                      </a:rPr>
                      <a:t>-0,4%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6"/>
              <c:layout>
                <c:manualLayout>
                  <c:x val="-0.15912942220250639"/>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0.14114838638128324"/>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0.14943267416704931"/>
                  <c:y val="0"/>
                </c:manualLayout>
              </c:layout>
              <c:tx>
                <c:rich>
                  <a:bodyPr/>
                  <a:lstStyle/>
                  <a:p>
                    <a:r>
                      <a:rPr lang="es-ES" sz="1000" b="0" i="0" u="none" strike="noStrike" baseline="0">
                        <a:solidFill>
                          <a:srgbClr val="000000"/>
                        </a:solidFill>
                        <a:latin typeface="Calibri"/>
                      </a:rPr>
                      <a:t>Biomasa, </a:t>
                    </a:r>
                  </a:p>
                  <a:p>
                    <a:r>
                      <a:rPr lang="es-ES" sz="1000" b="0" i="0" u="none" strike="noStrike" baseline="0">
                        <a:solidFill>
                          <a:srgbClr val="000000"/>
                        </a:solidFill>
                        <a:latin typeface="Calibri"/>
                      </a:rPr>
                      <a:t>biogás y RSU</a:t>
                    </a:r>
                  </a:p>
                  <a:p>
                    <a:r>
                      <a:rPr lang="es-ES" sz="1000" b="0" i="0" u="none" strike="noStrike" baseline="0">
                        <a:solidFill>
                          <a:srgbClr val="000000"/>
                        </a:solidFill>
                        <a:latin typeface="Calibri"/>
                      </a:rPr>
                      <a:t>4,1%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9"/>
              <c:layout>
                <c:manualLayout>
                  <c:x val="-0.1380950140459157"/>
                  <c:y val="-1.8112239786820621E-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0"/>
              <c:layout>
                <c:manualLayout>
                  <c:x val="-0.13951113755772093"/>
                  <c:y val="3.933120955300492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1"/>
              <c:layout>
                <c:manualLayout>
                  <c:x val="3.0896898970807002E-3"/>
                  <c:y val="3.8277901829435655E-2"/>
                </c:manualLayout>
              </c:layout>
              <c:tx>
                <c:rich>
                  <a:bodyPr/>
                  <a:lstStyle/>
                  <a:p>
                    <a:r>
                      <a:rPr lang="es-ES"/>
                      <a:t>Geotérmica
0,01%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12"/>
              <c:layout>
                <c:manualLayout>
                  <c:x val="-4.8286821290195884E-3"/>
                  <c:y val="3.6288942143102246E-3"/>
                </c:manualLayout>
              </c:layout>
              <c:tx>
                <c:rich>
                  <a:bodyPr/>
                  <a:lstStyle/>
                  <a:p>
                    <a:r>
                      <a:rPr lang="es-ES"/>
                      <a:t>Energías Renovables
11,3%</a:t>
                    </a:r>
                  </a:p>
                </c:rich>
              </c:tx>
              <c:dLblPos val="bestFit"/>
              <c:showLegendKey val="0"/>
              <c:showVal val="0"/>
              <c:showCatName val="0"/>
              <c:showSerName val="0"/>
              <c:showPercent val="0"/>
              <c:showBubbleSize val="0"/>
              <c:extLst>
                <c:ext xmlns:c15="http://schemas.microsoft.com/office/drawing/2012/chart" uri="{CE6537A1-D6FC-4f65-9D91-7224C49458BB}"/>
              </c:extLst>
            </c:dLbl>
            <c:numFmt formatCode="0.0%" sourceLinked="0"/>
            <c:spPr>
              <a:noFill/>
              <a:ln>
                <a:noFill/>
              </a:ln>
              <a:effectLst/>
            </c:spPr>
            <c:txPr>
              <a:bodyPr/>
              <a:lstStyle/>
              <a:p>
                <a:pPr>
                  <a:defRPr sz="1000" b="0" i="0" u="none" strike="noStrike" baseline="0">
                    <a:solidFill>
                      <a:srgbClr val="000000"/>
                    </a:solidFill>
                    <a:latin typeface="Calibri"/>
                    <a:ea typeface="Calibri"/>
                    <a:cs typeface="Calibri"/>
                  </a:defRPr>
                </a:pPr>
                <a:endParaRPr lang="es-ES"/>
              </a:p>
            </c:txPr>
            <c:showLegendKey val="0"/>
            <c:showVal val="0"/>
            <c:showCatName val="1"/>
            <c:showSerName val="0"/>
            <c:showPercent val="1"/>
            <c:showBubbleSize val="0"/>
            <c:showLeaderLines val="1"/>
            <c:leaderLines>
              <c:spPr>
                <a:ln>
                  <a:solidFill>
                    <a:schemeClr val="tx1">
                      <a:lumMod val="50000"/>
                      <a:lumOff val="50000"/>
                    </a:schemeClr>
                  </a:solidFill>
                </a:ln>
              </c:spPr>
            </c:leaderLines>
            <c:extLst>
              <c:ext xmlns:c15="http://schemas.microsoft.com/office/drawing/2012/chart" uri="{CE6537A1-D6FC-4f65-9D91-7224C49458BB}"/>
            </c:extLst>
          </c:dLbls>
          <c:cat>
            <c:strLit>
              <c:ptCount val="12"/>
              <c:pt idx="0">
                <c:v>Carbón</c:v>
              </c:pt>
              <c:pt idx="1">
                <c:v>Petróleo</c:v>
              </c:pt>
              <c:pt idx="2">
                <c:v>Gas Natural</c:v>
              </c:pt>
              <c:pt idx="3">
                <c:v>Nuclear</c:v>
              </c:pt>
              <c:pt idx="4">
                <c:v>Residuos no Renovables</c:v>
              </c:pt>
              <c:pt idx="5">
                <c:v>Saldo Eléctrico</c:v>
              </c:pt>
              <c:pt idx="6">
                <c:v>Hidráulica</c:v>
              </c:pt>
              <c:pt idx="7">
                <c:v>Eólica</c:v>
              </c:pt>
              <c:pt idx="8">
                <c:v>Biomasa, biogás y RSU</c:v>
              </c:pt>
              <c:pt idx="9">
                <c:v>Biocarburantes</c:v>
              </c:pt>
              <c:pt idx="10">
                <c:v>Solar</c:v>
              </c:pt>
              <c:pt idx="11">
                <c:v>Geotérmica</c:v>
              </c:pt>
            </c:strLit>
          </c:cat>
          <c:val>
            <c:numLit>
              <c:formatCode>General</c:formatCode>
              <c:ptCount val="12"/>
              <c:pt idx="0">
                <c:v>12708.926782285</c:v>
              </c:pt>
              <c:pt idx="1">
                <c:v>58240.302928931989</c:v>
              </c:pt>
              <c:pt idx="2">
                <c:v>28986.217416999996</c:v>
              </c:pt>
              <c:pt idx="3">
                <c:v>15045.048483500002</c:v>
              </c:pt>
              <c:pt idx="4">
                <c:v>174.49567284470498</c:v>
              </c:pt>
              <c:pt idx="5">
                <c:v>-523.79183589799993</c:v>
              </c:pt>
              <c:pt idx="6">
                <c:v>2630.9474045174102</c:v>
              </c:pt>
              <c:pt idx="7">
                <c:v>3649.4</c:v>
              </c:pt>
              <c:pt idx="8">
                <c:v>5299.9236728447004</c:v>
              </c:pt>
              <c:pt idx="9">
                <c:v>1721.7161387557223</c:v>
              </c:pt>
              <c:pt idx="10">
                <c:v>1346.6592342965932</c:v>
              </c:pt>
              <c:pt idx="11">
                <c:v>17.031845501158021</c:v>
              </c:pt>
            </c:numLit>
          </c:val>
        </c:ser>
        <c:dLbls>
          <c:showLegendKey val="0"/>
          <c:showVal val="0"/>
          <c:showCatName val="0"/>
          <c:showSerName val="0"/>
          <c:showPercent val="0"/>
          <c:showBubbleSize val="0"/>
          <c:showLeaderLines val="1"/>
        </c:dLbls>
        <c:gapWidth val="257"/>
        <c:splitType val="pos"/>
        <c:splitPos val="6"/>
        <c:secondPieSize val="97"/>
        <c:serLines>
          <c:spPr>
            <a:ln>
              <a:solidFill>
                <a:schemeClr val="tx1">
                  <a:lumMod val="50000"/>
                  <a:lumOff val="50000"/>
                </a:schemeClr>
              </a:solidFill>
            </a:ln>
          </c:spPr>
        </c:serLines>
      </c:ofPieChart>
      <c:spPr>
        <a:noFill/>
        <a:ln w="25400">
          <a:noFill/>
        </a:ln>
      </c:spPr>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es-ES"/>
    </a:p>
  </c:txPr>
  <c:printSettings>
    <c:headerFooter/>
    <c:pageMargins b="0.75000000000000799" l="0.70000000000000062" r="0.70000000000000062" t="0.75000000000000799"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1.png"/><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8</xdr:col>
      <xdr:colOff>741098</xdr:colOff>
      <xdr:row>6</xdr:row>
      <xdr:rowOff>16002</xdr:rowOff>
    </xdr:from>
    <xdr:to>
      <xdr:col>14</xdr:col>
      <xdr:colOff>741099</xdr:colOff>
      <xdr:row>18</xdr:row>
      <xdr:rowOff>123765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1650</xdr:colOff>
      <xdr:row>37</xdr:row>
      <xdr:rowOff>191307</xdr:rowOff>
    </xdr:from>
    <xdr:to>
      <xdr:col>17</xdr:col>
      <xdr:colOff>1650</xdr:colOff>
      <xdr:row>52</xdr:row>
      <xdr:rowOff>21082</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85531</xdr:colOff>
      <xdr:row>6</xdr:row>
      <xdr:rowOff>32850</xdr:rowOff>
    </xdr:from>
    <xdr:to>
      <xdr:col>20</xdr:col>
      <xdr:colOff>633704</xdr:colOff>
      <xdr:row>18</xdr:row>
      <xdr:rowOff>93499</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9721</xdr:colOff>
      <xdr:row>56</xdr:row>
      <xdr:rowOff>155510</xdr:rowOff>
    </xdr:from>
    <xdr:to>
      <xdr:col>5</xdr:col>
      <xdr:colOff>227435</xdr:colOff>
      <xdr:row>69</xdr:row>
      <xdr:rowOff>41210</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260350</xdr:colOff>
      <xdr:row>33</xdr:row>
      <xdr:rowOff>158750</xdr:rowOff>
    </xdr:from>
    <xdr:to>
      <xdr:col>32</xdr:col>
      <xdr:colOff>812800</xdr:colOff>
      <xdr:row>49</xdr:row>
      <xdr:rowOff>673100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304798</xdr:colOff>
      <xdr:row>50</xdr:row>
      <xdr:rowOff>38100</xdr:rowOff>
    </xdr:from>
    <xdr:to>
      <xdr:col>32</xdr:col>
      <xdr:colOff>782636</xdr:colOff>
      <xdr:row>63</xdr:row>
      <xdr:rowOff>658018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286692</xdr:colOff>
      <xdr:row>63</xdr:row>
      <xdr:rowOff>733639</xdr:rowOff>
    </xdr:from>
    <xdr:to>
      <xdr:col>32</xdr:col>
      <xdr:colOff>812800</xdr:colOff>
      <xdr:row>77</xdr:row>
      <xdr:rowOff>165100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541193</xdr:colOff>
      <xdr:row>27</xdr:row>
      <xdr:rowOff>157595</xdr:rowOff>
    </xdr:from>
    <xdr:to>
      <xdr:col>23</xdr:col>
      <xdr:colOff>38100</xdr:colOff>
      <xdr:row>42</xdr:row>
      <xdr:rowOff>140011</xdr:rowOff>
    </xdr:to>
    <xdr:pic>
      <xdr:nvPicPr>
        <xdr:cNvPr id="4" name="3 Imagen"/>
        <xdr:cNvPicPr>
          <a:picLocks noChangeAspect="1"/>
        </xdr:cNvPicPr>
      </xdr:nvPicPr>
      <xdr:blipFill>
        <a:blip xmlns:r="http://schemas.openxmlformats.org/officeDocument/2006/relationships" r:embed="rId4" cstate="print"/>
        <a:stretch>
          <a:fillRect/>
        </a:stretch>
      </xdr:blipFill>
      <xdr:spPr>
        <a:xfrm>
          <a:off x="15958993" y="8069695"/>
          <a:ext cx="7129607" cy="4233928"/>
        </a:xfrm>
        <a:prstGeom prst="rect">
          <a:avLst/>
        </a:prstGeom>
      </xdr:spPr>
    </xdr:pic>
    <xdr:clientData/>
  </xdr:twoCellAnchor>
  <xdr:twoCellAnchor>
    <xdr:from>
      <xdr:col>15</xdr:col>
      <xdr:colOff>581024</xdr:colOff>
      <xdr:row>55</xdr:row>
      <xdr:rowOff>95250</xdr:rowOff>
    </xdr:from>
    <xdr:to>
      <xdr:col>20</xdr:col>
      <xdr:colOff>200526</xdr:colOff>
      <xdr:row>63</xdr:row>
      <xdr:rowOff>611605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219940</xdr:colOff>
      <xdr:row>81</xdr:row>
      <xdr:rowOff>123823</xdr:rowOff>
    </xdr:from>
    <xdr:to>
      <xdr:col>27</xdr:col>
      <xdr:colOff>754784</xdr:colOff>
      <xdr:row>92</xdr:row>
      <xdr:rowOff>146339</xdr:rowOff>
    </xdr:to>
    <xdr:graphicFrame macro="">
      <xdr:nvGraphicFramePr>
        <xdr:cNvPr id="9" name="Gráfico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33</xdr:row>
      <xdr:rowOff>0</xdr:rowOff>
    </xdr:from>
    <xdr:to>
      <xdr:col>41</xdr:col>
      <xdr:colOff>713891</xdr:colOff>
      <xdr:row>49</xdr:row>
      <xdr:rowOff>514350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274449</xdr:colOff>
      <xdr:row>33</xdr:row>
      <xdr:rowOff>32288</xdr:rowOff>
    </xdr:from>
    <xdr:to>
      <xdr:col>52</xdr:col>
      <xdr:colOff>148848</xdr:colOff>
      <xdr:row>49</xdr:row>
      <xdr:rowOff>546638</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0</xdr:colOff>
      <xdr:row>50</xdr:row>
      <xdr:rowOff>0</xdr:rowOff>
    </xdr:from>
    <xdr:to>
      <xdr:col>51</xdr:col>
      <xdr:colOff>831184</xdr:colOff>
      <xdr:row>63</xdr:row>
      <xdr:rowOff>619918</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201232</xdr:colOff>
      <xdr:row>63</xdr:row>
      <xdr:rowOff>751267</xdr:rowOff>
    </xdr:from>
    <xdr:to>
      <xdr:col>52</xdr:col>
      <xdr:colOff>43150</xdr:colOff>
      <xdr:row>77</xdr:row>
      <xdr:rowOff>182728</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454602</xdr:colOff>
      <xdr:row>10</xdr:row>
      <xdr:rowOff>129886</xdr:rowOff>
    </xdr:from>
    <xdr:to>
      <xdr:col>22</xdr:col>
      <xdr:colOff>882805</xdr:colOff>
      <xdr:row>27</xdr:row>
      <xdr:rowOff>60157</xdr:rowOff>
    </xdr:to>
    <xdr:graphicFrame macro="">
      <xdr:nvGraphicFramePr>
        <xdr:cNvPr id="17"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93</xdr:row>
      <xdr:rowOff>0</xdr:rowOff>
    </xdr:from>
    <xdr:to>
      <xdr:col>30</xdr:col>
      <xdr:colOff>838200</xdr:colOff>
      <xdr:row>107</xdr:row>
      <xdr:rowOff>520700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0</xdr:colOff>
      <xdr:row>110</xdr:row>
      <xdr:rowOff>0</xdr:rowOff>
    </xdr:from>
    <xdr:to>
      <xdr:col>30</xdr:col>
      <xdr:colOff>838200</xdr:colOff>
      <xdr:row>123</xdr:row>
      <xdr:rowOff>622300</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184</xdr:col>
      <xdr:colOff>685800</xdr:colOff>
      <xdr:row>24</xdr:row>
      <xdr:rowOff>38100</xdr:rowOff>
    </xdr:from>
    <xdr:to>
      <xdr:col>192</xdr:col>
      <xdr:colOff>95250</xdr:colOff>
      <xdr:row>36</xdr:row>
      <xdr:rowOff>228600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184</xdr:col>
      <xdr:colOff>409575</xdr:colOff>
      <xdr:row>61</xdr:row>
      <xdr:rowOff>114299</xdr:rowOff>
    </xdr:from>
    <xdr:to>
      <xdr:col>191</xdr:col>
      <xdr:colOff>752475</xdr:colOff>
      <xdr:row>73</xdr:row>
      <xdr:rowOff>238124</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752475</xdr:colOff>
      <xdr:row>80</xdr:row>
      <xdr:rowOff>57149</xdr:rowOff>
    </xdr:from>
    <xdr:to>
      <xdr:col>193</xdr:col>
      <xdr:colOff>161925</xdr:colOff>
      <xdr:row>91</xdr:row>
      <xdr:rowOff>85724</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723899</xdr:colOff>
      <xdr:row>98</xdr:row>
      <xdr:rowOff>28574</xdr:rowOff>
    </xdr:from>
    <xdr:to>
      <xdr:col>193</xdr:col>
      <xdr:colOff>276224</xdr:colOff>
      <xdr:row>112</xdr:row>
      <xdr:rowOff>161925</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184</xdr:col>
      <xdr:colOff>590550</xdr:colOff>
      <xdr:row>6</xdr:row>
      <xdr:rowOff>19050</xdr:rowOff>
    </xdr:from>
    <xdr:to>
      <xdr:col>191</xdr:col>
      <xdr:colOff>742950</xdr:colOff>
      <xdr:row>19</xdr:row>
      <xdr:rowOff>304800</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185</xdr:col>
      <xdr:colOff>0</xdr:colOff>
      <xdr:row>44</xdr:row>
      <xdr:rowOff>0</xdr:rowOff>
    </xdr:from>
    <xdr:to>
      <xdr:col>192</xdr:col>
      <xdr:colOff>342900</xdr:colOff>
      <xdr:row>56</xdr:row>
      <xdr:rowOff>200025</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464352</xdr:colOff>
      <xdr:row>381</xdr:row>
      <xdr:rowOff>194126</xdr:rowOff>
    </xdr:from>
    <xdr:to>
      <xdr:col>9</xdr:col>
      <xdr:colOff>353174</xdr:colOff>
      <xdr:row>396</xdr:row>
      <xdr:rowOff>128428</xdr:rowOff>
    </xdr:to>
    <xdr:graphicFrame macro="">
      <xdr:nvGraphicFramePr>
        <xdr:cNvPr id="2"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1442892</xdr:colOff>
      <xdr:row>14</xdr:row>
      <xdr:rowOff>52703</xdr:rowOff>
    </xdr:from>
    <xdr:to>
      <xdr:col>60</xdr:col>
      <xdr:colOff>356689</xdr:colOff>
      <xdr:row>37</xdr:row>
      <xdr:rowOff>92848</xdr:rowOff>
    </xdr:to>
    <xdr:graphicFrame macro="">
      <xdr:nvGraphicFramePr>
        <xdr:cNvPr id="3"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56</xdr:col>
      <xdr:colOff>671131</xdr:colOff>
      <xdr:row>34</xdr:row>
      <xdr:rowOff>48849</xdr:rowOff>
    </xdr:from>
    <xdr:to>
      <xdr:col>63</xdr:col>
      <xdr:colOff>75778</xdr:colOff>
      <xdr:row>59</xdr:row>
      <xdr:rowOff>4</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656993</xdr:colOff>
      <xdr:row>216</xdr:row>
      <xdr:rowOff>485761</xdr:rowOff>
    </xdr:from>
    <xdr:to>
      <xdr:col>12</xdr:col>
      <xdr:colOff>805962</xdr:colOff>
      <xdr:row>242</xdr:row>
      <xdr:rowOff>146538</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24422</xdr:colOff>
      <xdr:row>10</xdr:row>
      <xdr:rowOff>183173</xdr:rowOff>
    </xdr:from>
    <xdr:to>
      <xdr:col>52</xdr:col>
      <xdr:colOff>24423</xdr:colOff>
      <xdr:row>33</xdr:row>
      <xdr:rowOff>134328</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195384</xdr:colOff>
      <xdr:row>11</xdr:row>
      <xdr:rowOff>12211</xdr:rowOff>
    </xdr:from>
    <xdr:to>
      <xdr:col>58</xdr:col>
      <xdr:colOff>73271</xdr:colOff>
      <xdr:row>33</xdr:row>
      <xdr:rowOff>158751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488460</xdr:colOff>
      <xdr:row>34</xdr:row>
      <xdr:rowOff>48849</xdr:rowOff>
    </xdr:from>
    <xdr:to>
      <xdr:col>54</xdr:col>
      <xdr:colOff>989135</xdr:colOff>
      <xdr:row>59</xdr:row>
      <xdr:rowOff>4</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24</xdr:row>
      <xdr:rowOff>0</xdr:rowOff>
    </xdr:from>
    <xdr:to>
      <xdr:col>27</xdr:col>
      <xdr:colOff>257175</xdr:colOff>
      <xdr:row>36</xdr:row>
      <xdr:rowOff>38100</xdr:rowOff>
    </xdr:to>
    <xdr:graphicFrame macro="">
      <xdr:nvGraphicFramePr>
        <xdr:cNvPr id="4"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0.82423</cdr:x>
      <cdr:y>0.89096</cdr:y>
    </cdr:from>
    <cdr:to>
      <cdr:x>0.85584</cdr:x>
      <cdr:y>0.93442</cdr:y>
    </cdr:to>
    <cdr:cxnSp macro="">
      <cdr:nvCxnSpPr>
        <cdr:cNvPr id="3" name="2 Conector recto"/>
        <cdr:cNvCxnSpPr/>
      </cdr:nvCxnSpPr>
      <cdr:spPr>
        <a:xfrm xmlns:a="http://schemas.openxmlformats.org/drawingml/2006/main">
          <a:off x="4822513" y="2284726"/>
          <a:ext cx="178113" cy="10604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UARIO/Downloads/HEedificioVer04.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atricia/Dropbox/Herevea/copia%20de%20seguridad/PUC%2004_06_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tricia/Dropbox/Herevea/copia%20de%20seguridad/PUF%2004_06_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atricia/Dropbox/HEREVEA_00/MODELO_HEREVEA/HEREVEA_DEMOLICIO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Patricia/Dropbox/HEREVEA_00/Costes_indirectos/Costes%20Indirectos%20Rehabilitaci&#243;n_corregidosFreir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atricia/Dropbox/HEREVEA_00/HEREVEA_180515.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nthony/Dropbox/MY%20TESIS/BANCO_CUANTIFICACI&#211;N_RECURSOS/Banco%20Cuantificaci&#243;n%20de%20Recursos%20(BCRR)/BCRR.%20Barriada%20Renfe/HE%20Recuperaci&#243;n%20Completa/PUF%20RENF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Patujita/PatriciaDrive/Google%20Drive/HUELLA/TFM%20Blancas/Copia%20de%20C&#225;lculo%20de%20la%20huella%20ecol&#243;gica%20(Edificaci&#243;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ón proyecto"/>
      <sheetName val="Banco cuantificación"/>
      <sheetName val="HE Total"/>
      <sheetName val="Huella energética"/>
      <sheetName val="Huella vinc. suministro agua"/>
      <sheetName val="Huella alimentos y movilidad"/>
      <sheetName val="Huella materiales"/>
      <sheetName val="Huella residuos y s. consumida"/>
      <sheetName val="Datos auxiliares proyectos "/>
      <sheetName val="Datos auxiliares general"/>
      <sheetName val="Datos auxiliares maquinaria"/>
      <sheetName val="Datos auxiliares e. eléctrica"/>
      <sheetName val="Datos auxilares consumo agua"/>
      <sheetName val="Datos auxiliares mano de obra"/>
      <sheetName val="Datos auxiliares materiales"/>
      <sheetName val="Datos auxiliares residuos"/>
      <sheetName val="Factores de equivalencia"/>
    </sheetNames>
    <sheetDataSet>
      <sheetData sheetId="0">
        <row r="4">
          <cell r="P4" t="str">
            <v>Pala</v>
          </cell>
        </row>
        <row r="5">
          <cell r="P5" t="str">
            <v>Retroexcavadora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Recuperación (PUSD)"/>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Hoja1"/>
    </sheetNames>
    <sheetDataSet>
      <sheetData sheetId="0" refreshError="1"/>
      <sheetData sheetId="1" refreshError="1"/>
      <sheetData sheetId="2" refreshError="1"/>
      <sheetData sheetId="3" refreshError="1"/>
      <sheetData sheetId="4" refreshError="1"/>
      <sheetData sheetId="5" refreshError="1">
        <row r="333">
          <cell r="L333">
            <v>0.2</v>
          </cell>
        </row>
      </sheetData>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auxiliares proyectos "/>
      <sheetName val="Seleccion proyecto HEREVEA02"/>
      <sheetName val="Datos aux_selección_datos"/>
      <sheetName val="Banco cuantificación"/>
      <sheetName val="Huella maquinaria"/>
      <sheetName val="Huella mano de obra"/>
      <sheetName val="Selección_proyecto_HEREVEA_01"/>
      <sheetName val="Selección proyecto"/>
      <sheetName val="HE Total por Capitulos (2)"/>
      <sheetName val="Hoja1"/>
      <sheetName val="HE resumen todos proyectos"/>
      <sheetName val="HE Total por Capitulos"/>
      <sheetName val="HE Total"/>
      <sheetName val="Desglose Precios Auxiliares"/>
      <sheetName val="Huella materiales"/>
      <sheetName val="Huella materiales (2)"/>
      <sheetName val="Datos_aux_materiales"/>
      <sheetName val="Datos auxiliares materiales"/>
      <sheetName val="Huella consumo agua"/>
      <sheetName val="Huella residuos y s. consumida"/>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Características_proyectos"/>
      <sheetName val="Hoja2"/>
    </sheetNames>
    <sheetDataSet>
      <sheetData sheetId="0"/>
      <sheetData sheetId="1">
        <row r="8">
          <cell r="L8">
            <v>5550.5</v>
          </cell>
        </row>
        <row r="11">
          <cell r="L11">
            <v>0</v>
          </cell>
        </row>
        <row r="22">
          <cell r="D22">
            <v>0</v>
          </cell>
        </row>
      </sheetData>
      <sheetData sheetId="2"/>
      <sheetData sheetId="3"/>
      <sheetData sheetId="4">
        <row r="12">
          <cell r="N12" t="str">
            <v>CAPÍTULO 01</v>
          </cell>
        </row>
      </sheetData>
      <sheetData sheetId="5">
        <row r="16">
          <cell r="V16">
            <v>1.4553341727806359</v>
          </cell>
        </row>
        <row r="17">
          <cell r="V17">
            <v>3.3693520363248073</v>
          </cell>
        </row>
        <row r="19">
          <cell r="V19" t="str">
            <v>CAPÍTULO 01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COSTES INDIRECTOS"/>
      <sheetName val="HUELLAS POR CATEGORÍA"/>
      <sheetName val="TABLAS AUXILIARES"/>
      <sheetName val="HE IMPACTOS"/>
      <sheetName val="HE TIPO HUELLA"/>
    </sheetNames>
    <sheetDataSet>
      <sheetData sheetId="0"/>
      <sheetData sheetId="1"/>
      <sheetData sheetId="2">
        <row r="10">
          <cell r="G10">
            <v>127.08333333333333</v>
          </cell>
        </row>
        <row r="23">
          <cell r="L23">
            <v>208</v>
          </cell>
        </row>
        <row r="35">
          <cell r="H35">
            <v>18.28</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proyecto HEREVEA02"/>
      <sheetName val="Selección proyecto"/>
      <sheetName val="Datos aux_selección_datos"/>
      <sheetName val="Banco cuantificación"/>
      <sheetName val="HE resumen todos proyectos"/>
      <sheetName val="HE Total"/>
      <sheetName val="HE Total por Capitulos (2)"/>
      <sheetName val="Huella materiales"/>
      <sheetName val="Datos auxiliares materiales"/>
      <sheetName val="Huella energética"/>
      <sheetName val="Huella vinc. suministro agua"/>
      <sheetName val="Huella alimentos y movilidad"/>
      <sheetName val="Huella residuos y s. consumida"/>
      <sheetName val="Datos auxiliares proyectos "/>
      <sheetName val="Características_proyectos"/>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Hoja2"/>
    </sheetNames>
    <sheetDataSet>
      <sheetData sheetId="0"/>
      <sheetData sheetId="1"/>
      <sheetData sheetId="2"/>
      <sheetData sheetId="3"/>
      <sheetData sheetId="4"/>
      <sheetData sheetId="5"/>
      <sheetData sheetId="6">
        <row r="15">
          <cell r="C15" t="str">
            <v>Energía</v>
          </cell>
          <cell r="D15" t="str">
            <v>Pastos</v>
          </cell>
          <cell r="E15" t="str">
            <v>Mar</v>
          </cell>
          <cell r="F15" t="str">
            <v>Cultivos</v>
          </cell>
        </row>
        <row r="16">
          <cell r="C16">
            <v>264.74081427556962</v>
          </cell>
          <cell r="D16">
            <v>2.2491490410415276</v>
          </cell>
          <cell r="E16">
            <v>1.7140692288582609</v>
          </cell>
          <cell r="F16">
            <v>7.0739365000499657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sheetData sheetId="1"/>
      <sheetData sheetId="2">
        <row r="548">
          <cell r="H548">
            <v>4.3739999999999997</v>
          </cell>
        </row>
        <row r="586">
          <cell r="I586">
            <v>707.62832000000003</v>
          </cell>
        </row>
        <row r="587">
          <cell r="I587">
            <v>5679.2</v>
          </cell>
        </row>
        <row r="666">
          <cell r="H666">
            <v>1.7999999999999998</v>
          </cell>
        </row>
        <row r="668">
          <cell r="H668">
            <v>15.15</v>
          </cell>
        </row>
        <row r="755">
          <cell r="H755">
            <v>2.3997600000000001</v>
          </cell>
        </row>
        <row r="790">
          <cell r="H790">
            <v>67.67</v>
          </cell>
        </row>
        <row r="791">
          <cell r="H791">
            <v>67</v>
          </cell>
        </row>
        <row r="817">
          <cell r="H817">
            <v>5</v>
          </cell>
        </row>
        <row r="818">
          <cell r="H818">
            <v>5</v>
          </cell>
        </row>
        <row r="850">
          <cell r="H850">
            <v>1.0500000000000002E-3</v>
          </cell>
        </row>
        <row r="851">
          <cell r="H851">
            <v>1.2075</v>
          </cell>
        </row>
        <row r="864">
          <cell r="H864">
            <v>6.1800000000000001E-2</v>
          </cell>
        </row>
        <row r="889">
          <cell r="H889">
            <v>0.11840000000000001</v>
          </cell>
          <cell r="J889">
            <v>16.383600000000001</v>
          </cell>
        </row>
        <row r="1026">
          <cell r="I1026">
            <v>36.963300000000004</v>
          </cell>
        </row>
        <row r="1060">
          <cell r="I1060">
            <v>4.7936799999999993</v>
          </cell>
        </row>
        <row r="1063">
          <cell r="I1063">
            <v>2162.3204999999998</v>
          </cell>
        </row>
        <row r="1082">
          <cell r="H1082">
            <v>0.09</v>
          </cell>
        </row>
        <row r="1106">
          <cell r="H1106">
            <v>3.5000000000000003E-2</v>
          </cell>
        </row>
        <row r="1194">
          <cell r="H1194">
            <v>40</v>
          </cell>
        </row>
        <row r="1277">
          <cell r="H1277">
            <v>383.8</v>
          </cell>
        </row>
        <row r="1278">
          <cell r="H1278">
            <v>1151.3999999999999</v>
          </cell>
        </row>
        <row r="1357">
          <cell r="H1357">
            <v>40</v>
          </cell>
        </row>
        <row r="1436">
          <cell r="H1436">
            <v>30</v>
          </cell>
        </row>
        <row r="1451">
          <cell r="H1451">
            <v>10</v>
          </cell>
        </row>
        <row r="1452">
          <cell r="H1452">
            <v>10</v>
          </cell>
        </row>
        <row r="1478">
          <cell r="I1478">
            <v>178.9</v>
          </cell>
        </row>
        <row r="1491">
          <cell r="H1491">
            <v>60.6</v>
          </cell>
        </row>
        <row r="1492">
          <cell r="H1492">
            <v>242.4</v>
          </cell>
        </row>
        <row r="1493">
          <cell r="H1493">
            <v>60.6</v>
          </cell>
        </row>
        <row r="1620">
          <cell r="H1620">
            <v>40</v>
          </cell>
        </row>
        <row r="1621">
          <cell r="H1621">
            <v>120</v>
          </cell>
        </row>
        <row r="1622">
          <cell r="H1622">
            <v>40</v>
          </cell>
        </row>
        <row r="1633">
          <cell r="H1633">
            <v>40</v>
          </cell>
        </row>
        <row r="1659">
          <cell r="H1659">
            <v>80</v>
          </cell>
        </row>
        <row r="1660">
          <cell r="H1660">
            <v>800</v>
          </cell>
        </row>
        <row r="1661">
          <cell r="H1661">
            <v>800</v>
          </cell>
        </row>
        <row r="1662">
          <cell r="H1662">
            <v>800</v>
          </cell>
        </row>
        <row r="1663">
          <cell r="H1663">
            <v>40</v>
          </cell>
        </row>
        <row r="1734">
          <cell r="H1734">
            <v>40</v>
          </cell>
        </row>
        <row r="1735">
          <cell r="H1735">
            <v>40</v>
          </cell>
        </row>
        <row r="1789">
          <cell r="H1789">
            <v>40</v>
          </cell>
        </row>
        <row r="1802">
          <cell r="I1802">
            <v>149.47999999999999</v>
          </cell>
        </row>
        <row r="1815">
          <cell r="I1815">
            <v>221.79999999999998</v>
          </cell>
        </row>
        <row r="1816">
          <cell r="I1816">
            <v>80</v>
          </cell>
        </row>
        <row r="1829">
          <cell r="H1829">
            <v>707</v>
          </cell>
        </row>
        <row r="1830">
          <cell r="H1830">
            <v>707</v>
          </cell>
        </row>
        <row r="1844">
          <cell r="H1844">
            <v>787.8</v>
          </cell>
        </row>
        <row r="1859">
          <cell r="H1859">
            <v>646.4</v>
          </cell>
        </row>
        <row r="1860">
          <cell r="I1860">
            <v>1434.1999999999998</v>
          </cell>
        </row>
        <row r="1874">
          <cell r="H1874">
            <v>333.3</v>
          </cell>
        </row>
        <row r="1889">
          <cell r="H1889">
            <v>454.5</v>
          </cell>
        </row>
        <row r="2030">
          <cell r="H2030">
            <v>200</v>
          </cell>
        </row>
        <row r="2042">
          <cell r="H2042">
            <v>200</v>
          </cell>
        </row>
        <row r="2054">
          <cell r="H2054">
            <v>90</v>
          </cell>
        </row>
        <row r="2065">
          <cell r="H2065">
            <v>20</v>
          </cell>
        </row>
        <row r="2077">
          <cell r="H2077">
            <v>20</v>
          </cell>
        </row>
        <row r="2088">
          <cell r="H2088">
            <v>20</v>
          </cell>
        </row>
        <row r="2099">
          <cell r="H2099">
            <v>20</v>
          </cell>
        </row>
        <row r="2111">
          <cell r="K2111">
            <v>81.325199999999995</v>
          </cell>
        </row>
        <row r="2123">
          <cell r="K2123">
            <v>81.325199999999995</v>
          </cell>
        </row>
        <row r="2124">
          <cell r="K2124">
            <v>81.325199999999995</v>
          </cell>
        </row>
        <row r="2125">
          <cell r="H2125">
            <v>7.0400000000000009</v>
          </cell>
          <cell r="J2125">
            <v>154</v>
          </cell>
        </row>
        <row r="2138">
          <cell r="H2138">
            <v>626.20000000000005</v>
          </cell>
        </row>
        <row r="2150">
          <cell r="H2150">
            <v>353.5</v>
          </cell>
        </row>
        <row r="2161">
          <cell r="H2161">
            <v>26.532</v>
          </cell>
        </row>
        <row r="2173">
          <cell r="H2173">
            <v>4.2</v>
          </cell>
        </row>
        <row r="2186">
          <cell r="H2186">
            <v>2.4000000000000002E-3</v>
          </cell>
          <cell r="J2186">
            <v>0.46116000000000001</v>
          </cell>
          <cell r="L2186">
            <v>2.484</v>
          </cell>
        </row>
        <row r="2188">
          <cell r="H2188">
            <v>113.20800000000003</v>
          </cell>
          <cell r="J2188">
            <v>21752.917200000004</v>
          </cell>
          <cell r="L2188">
            <v>117170.28</v>
          </cell>
        </row>
        <row r="2296">
          <cell r="H2296">
            <v>7075.2</v>
          </cell>
        </row>
        <row r="2297">
          <cell r="H2297">
            <v>4864.2</v>
          </cell>
        </row>
        <row r="2310">
          <cell r="H2310">
            <v>486.42</v>
          </cell>
        </row>
        <row r="2358">
          <cell r="H2358">
            <v>2622.44</v>
          </cell>
        </row>
        <row r="2371">
          <cell r="K2371">
            <v>2008.19</v>
          </cell>
        </row>
        <row r="2385">
          <cell r="M2385">
            <v>23.610999999999997</v>
          </cell>
        </row>
        <row r="2400">
          <cell r="H2400">
            <v>1216.0574999999999</v>
          </cell>
        </row>
        <row r="2401">
          <cell r="I2401">
            <v>2948.6624999999999</v>
          </cell>
        </row>
        <row r="2412">
          <cell r="I2412">
            <v>44.120000000000005</v>
          </cell>
        </row>
        <row r="2413">
          <cell r="H2413">
            <v>108.968</v>
          </cell>
        </row>
        <row r="2426">
          <cell r="H2426">
            <v>36.366</v>
          </cell>
        </row>
        <row r="2442">
          <cell r="H2442">
            <v>1</v>
          </cell>
        </row>
        <row r="2443">
          <cell r="H2443">
            <v>3</v>
          </cell>
        </row>
        <row r="2482">
          <cell r="H2482">
            <v>0.56000000000000005</v>
          </cell>
        </row>
        <row r="2483">
          <cell r="H2483">
            <v>1.1599999999999999</v>
          </cell>
        </row>
        <row r="2484">
          <cell r="H2484">
            <v>1.35</v>
          </cell>
        </row>
        <row r="2531">
          <cell r="I2531">
            <v>21910.06</v>
          </cell>
        </row>
        <row r="2532">
          <cell r="H2532">
            <v>112.89600000000003</v>
          </cell>
        </row>
        <row r="2533">
          <cell r="H2533">
            <v>342.72</v>
          </cell>
        </row>
        <row r="2534">
          <cell r="H2534">
            <v>112.89600000000003</v>
          </cell>
        </row>
        <row r="2535">
          <cell r="H2535">
            <v>1149.1200000000001</v>
          </cell>
        </row>
        <row r="2536">
          <cell r="H2536">
            <v>0.20160000000000003</v>
          </cell>
        </row>
        <row r="2537">
          <cell r="H2537">
            <v>574.56000000000006</v>
          </cell>
        </row>
        <row r="2538">
          <cell r="H2538">
            <v>112.89600000000003</v>
          </cell>
        </row>
        <row r="2539">
          <cell r="H2539">
            <v>564.48</v>
          </cell>
        </row>
        <row r="2551">
          <cell r="H2551">
            <v>1.9890000000000001</v>
          </cell>
        </row>
        <row r="2552">
          <cell r="H2552">
            <v>0.66300000000000003</v>
          </cell>
        </row>
        <row r="2623">
          <cell r="H2623">
            <v>397.98</v>
          </cell>
        </row>
        <row r="2655">
          <cell r="M2655">
            <v>1716.5250000000001</v>
          </cell>
        </row>
        <row r="2656">
          <cell r="M2656">
            <v>1335.075</v>
          </cell>
        </row>
        <row r="2693">
          <cell r="K2693">
            <v>71</v>
          </cell>
        </row>
        <row r="2694">
          <cell r="K2694">
            <v>6958.6900000000005</v>
          </cell>
        </row>
      </sheetData>
      <sheetData sheetId="3">
        <row r="48">
          <cell r="H48">
            <v>5.2942000000000003E-2</v>
          </cell>
        </row>
        <row r="78">
          <cell r="G78">
            <v>12.743987199999999</v>
          </cell>
        </row>
        <row r="97">
          <cell r="G97">
            <v>0.218614</v>
          </cell>
        </row>
        <row r="108">
          <cell r="G108">
            <v>6.8467624999999996</v>
          </cell>
        </row>
        <row r="110">
          <cell r="R110">
            <v>174.27038202</v>
          </cell>
        </row>
        <row r="118">
          <cell r="G118">
            <v>55.493455944000011</v>
          </cell>
        </row>
        <row r="127">
          <cell r="G127">
            <v>20.0505888</v>
          </cell>
        </row>
        <row r="128">
          <cell r="V128">
            <v>91.885435772000008</v>
          </cell>
        </row>
      </sheetData>
      <sheetData sheetId="4"/>
      <sheetData sheetId="5"/>
      <sheetData sheetId="6"/>
      <sheetData sheetId="7"/>
      <sheetData sheetId="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iniciales"/>
      <sheetName val="Maquinaria"/>
      <sheetName val="Materiales"/>
      <sheetName val="Resumen Materiales"/>
      <sheetName val="Resumen"/>
      <sheetName val="Tablas Aux"/>
    </sheetNames>
    <sheetDataSet>
      <sheetData sheetId="0"/>
      <sheetData sheetId="1"/>
      <sheetData sheetId="2"/>
      <sheetData sheetId="3"/>
      <sheetData sheetId="4">
        <row r="68">
          <cell r="D68">
            <v>10</v>
          </cell>
        </row>
      </sheetData>
      <sheetData sheetId="5"/>
    </sheetDataSet>
  </externalBook>
</externalLink>
</file>

<file path=xl/theme/theme1.xml><?xml version="1.0" encoding="utf-8"?>
<a:theme xmlns:a="http://schemas.openxmlformats.org/drawingml/2006/main" name="Tema de Office">
  <a:themeElements>
    <a:clrScheme name="Concurrencia">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62.81.207.37:8080/"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23.bin"/><Relationship Id="rId4" Type="http://schemas.openxmlformats.org/officeDocument/2006/relationships/comments" Target="../comments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C91"/>
  <sheetViews>
    <sheetView tabSelected="1" topLeftCell="A34" zoomScale="71" zoomScaleNormal="71" workbookViewId="0">
      <selection activeCell="J60" sqref="J60"/>
    </sheetView>
  </sheetViews>
  <sheetFormatPr defaultColWidth="10.90625" defaultRowHeight="14.5"/>
  <cols>
    <col min="2" max="2" width="28.1796875" customWidth="1"/>
    <col min="3" max="3" width="15.81640625" customWidth="1"/>
    <col min="5" max="5" width="13.81640625" customWidth="1"/>
    <col min="8" max="8" width="13.81640625" customWidth="1"/>
    <col min="12" max="12" width="26.1796875" customWidth="1"/>
    <col min="19" max="19" width="14.81640625" customWidth="1"/>
  </cols>
  <sheetData>
    <row r="1" spans="1:12" ht="24.5">
      <c r="A1" s="4264" t="s">
        <v>1598</v>
      </c>
      <c r="B1" s="4264"/>
      <c r="C1" s="4264"/>
      <c r="D1" s="4264"/>
      <c r="E1" s="4264"/>
      <c r="F1" s="4264"/>
      <c r="G1" s="4264"/>
      <c r="H1" s="4264"/>
      <c r="I1" s="4264"/>
      <c r="J1" s="4264"/>
      <c r="K1" s="4264"/>
      <c r="L1" s="4264"/>
    </row>
    <row r="3" spans="1:12" ht="31.5" customHeight="1">
      <c r="B3" s="4274" t="s">
        <v>3346</v>
      </c>
      <c r="C3" s="4274"/>
      <c r="D3" s="4274"/>
      <c r="E3" s="4274"/>
      <c r="F3" s="4274"/>
      <c r="G3" s="4274"/>
      <c r="H3" s="4274"/>
    </row>
    <row r="4" spans="1:12" ht="21" customHeight="1">
      <c r="B4" s="3299"/>
      <c r="C4" s="3299"/>
      <c r="D4" s="3299"/>
      <c r="E4" s="3299"/>
      <c r="F4" s="3299"/>
      <c r="G4" s="3299"/>
      <c r="H4" s="3299"/>
    </row>
    <row r="5" spans="1:12" ht="21" customHeight="1">
      <c r="B5" s="3316" t="s">
        <v>3334</v>
      </c>
      <c r="C5" s="3317"/>
      <c r="D5" s="3317"/>
      <c r="E5" s="3317"/>
      <c r="F5" s="3317"/>
      <c r="G5" s="3317"/>
      <c r="H5" s="3317"/>
    </row>
    <row r="6" spans="1:12" ht="23.25" customHeight="1" thickBot="1">
      <c r="B6" s="203" t="s">
        <v>674</v>
      </c>
      <c r="C6" s="160" t="str">
        <f>'Seleccion proyecto HEREVEA02'!L6</f>
        <v>c107</v>
      </c>
    </row>
    <row r="7" spans="1:12" ht="16" thickBot="1">
      <c r="B7" s="4266" t="s">
        <v>363</v>
      </c>
      <c r="C7" s="4267"/>
      <c r="D7" s="4267"/>
      <c r="E7" s="4267"/>
      <c r="F7" s="4267"/>
      <c r="G7" s="4267"/>
      <c r="H7" s="4268"/>
    </row>
    <row r="8" spans="1:12" ht="18.5">
      <c r="B8" s="43"/>
      <c r="C8" s="4269" t="s">
        <v>524</v>
      </c>
      <c r="D8" s="4269"/>
      <c r="E8" s="4269"/>
      <c r="F8" s="4269"/>
      <c r="G8" s="4269"/>
      <c r="H8" s="4270"/>
    </row>
    <row r="9" spans="1:12" ht="31">
      <c r="B9" s="128" t="s">
        <v>364</v>
      </c>
      <c r="C9" s="129" t="s">
        <v>643</v>
      </c>
      <c r="D9" s="129" t="s">
        <v>371</v>
      </c>
      <c r="E9" s="129" t="s">
        <v>372</v>
      </c>
      <c r="F9" s="129" t="s">
        <v>373</v>
      </c>
      <c r="G9" s="129" t="s">
        <v>374</v>
      </c>
      <c r="H9" s="130" t="s">
        <v>523</v>
      </c>
    </row>
    <row r="10" spans="1:12" ht="15.5">
      <c r="B10" s="131" t="s">
        <v>365</v>
      </c>
      <c r="C10" s="133">
        <f>'Huella maquinaria'!P12</f>
        <v>0</v>
      </c>
      <c r="D10" s="133"/>
      <c r="E10" s="133"/>
      <c r="F10" s="133"/>
      <c r="G10" s="133"/>
      <c r="H10" s="134"/>
    </row>
    <row r="11" spans="1:12" ht="15.5">
      <c r="B11" s="131" t="s">
        <v>366</v>
      </c>
      <c r="C11" s="133">
        <f>'Huella maquinaria'!P32</f>
        <v>450.57061146502537</v>
      </c>
      <c r="D11" s="133"/>
      <c r="E11" s="133"/>
      <c r="F11" s="133"/>
      <c r="G11" s="133"/>
      <c r="H11" s="134"/>
      <c r="J11" s="38"/>
    </row>
    <row r="12" spans="1:12" ht="15.5">
      <c r="B12" s="131" t="s">
        <v>367</v>
      </c>
      <c r="C12" s="133"/>
      <c r="D12" s="133">
        <f>'Huella consumo agua'!C17</f>
        <v>0.25631395798834944</v>
      </c>
      <c r="E12" s="133"/>
      <c r="F12" s="133"/>
      <c r="G12" s="133"/>
      <c r="H12" s="134"/>
    </row>
    <row r="13" spans="1:12" ht="15.5">
      <c r="B13" s="131" t="s">
        <v>368</v>
      </c>
      <c r="C13" s="133">
        <f>'Huella mano de obra'!U16</f>
        <v>4.6255827870514468</v>
      </c>
      <c r="D13" s="133"/>
      <c r="E13" s="133">
        <f>'Huella mano de obra'!U17</f>
        <v>2.8822539399288161</v>
      </c>
      <c r="F13" s="133">
        <f>'Huella mano de obra'!U18</f>
        <v>2.1961242357314532</v>
      </c>
      <c r="G13" s="133">
        <f>'Huella mano de obra'!U19</f>
        <v>9.0633698617488534</v>
      </c>
      <c r="H13" s="134"/>
    </row>
    <row r="14" spans="1:12" ht="15.5">
      <c r="B14" s="131" t="s">
        <v>369</v>
      </c>
      <c r="C14" s="133">
        <f>'Huella mano de obra'!U44</f>
        <v>4.5298774647887325E-3</v>
      </c>
      <c r="D14" s="133"/>
      <c r="E14" s="133"/>
      <c r="F14" s="133"/>
      <c r="G14" s="133"/>
      <c r="H14" s="134"/>
    </row>
    <row r="15" spans="1:12" ht="15.5">
      <c r="B15" s="131" t="s">
        <v>819</v>
      </c>
      <c r="C15" s="133">
        <f>'Huella residuos y s. consumida'!G25</f>
        <v>3.4210798830000004</v>
      </c>
      <c r="D15" s="133"/>
      <c r="E15" s="133"/>
      <c r="F15" s="133"/>
      <c r="G15" s="133"/>
      <c r="H15" s="134"/>
    </row>
    <row r="16" spans="1:12" ht="15.5">
      <c r="B16" s="131" t="s">
        <v>286</v>
      </c>
      <c r="C16" s="1539">
        <f>'Huella materiales'!AX10</f>
        <v>3.5833712907798976</v>
      </c>
      <c r="D16" s="133"/>
      <c r="E16" s="133"/>
      <c r="F16" s="133"/>
      <c r="G16" s="133"/>
      <c r="H16" s="134"/>
    </row>
    <row r="17" spans="1:28" ht="15.5">
      <c r="B17" s="131" t="s">
        <v>820</v>
      </c>
      <c r="C17" s="133">
        <f>'Huella residuos y s. consumida'!G26</f>
        <v>54.61676748</v>
      </c>
      <c r="D17" s="135"/>
      <c r="E17" s="135"/>
      <c r="F17" s="135"/>
      <c r="G17" s="135"/>
      <c r="H17" s="136"/>
    </row>
    <row r="18" spans="1:28" ht="16" thickBot="1">
      <c r="B18" s="132" t="s">
        <v>370</v>
      </c>
      <c r="C18" s="135"/>
      <c r="D18" s="135"/>
      <c r="E18" s="135"/>
      <c r="F18" s="135"/>
      <c r="G18" s="135"/>
      <c r="H18" s="136">
        <f>'Huella residuos y s. consumida'!G34</f>
        <v>0.27863432189999998</v>
      </c>
      <c r="J18" s="38"/>
    </row>
    <row r="19" spans="1:28" ht="23.25" customHeight="1" thickBot="1">
      <c r="B19" s="1542" t="s">
        <v>645</v>
      </c>
      <c r="C19" s="1543">
        <f>C10+C11+C13+C14+C15+C16+C17</f>
        <v>516.82194278332145</v>
      </c>
      <c r="D19" s="1543">
        <f>SUM(D10:D18)</f>
        <v>0.25631395798834944</v>
      </c>
      <c r="E19" s="1543">
        <f>SUM(E10:E18)</f>
        <v>2.8822539399288161</v>
      </c>
      <c r="F19" s="1543">
        <f t="shared" ref="F19:H19" si="0">SUM(F10:F18)</f>
        <v>2.1961242357314532</v>
      </c>
      <c r="G19" s="1543">
        <f t="shared" si="0"/>
        <v>9.0633698617488534</v>
      </c>
      <c r="H19" s="1544">
        <f t="shared" si="0"/>
        <v>0.27863432189999998</v>
      </c>
      <c r="I19" s="97"/>
    </row>
    <row r="20" spans="1:28" ht="27.75" customHeight="1" thickBot="1">
      <c r="B20" s="139" t="s">
        <v>1596</v>
      </c>
      <c r="C20" s="1546">
        <f>C19/'Seleccion proyecto HEREVEA02'!L8</f>
        <v>4.6556471131783315E-2</v>
      </c>
      <c r="D20" s="1546">
        <f>D19/'Seleccion proyecto HEREVEA02'!L8</f>
        <v>2.3089331930244059E-5</v>
      </c>
      <c r="E20" s="1546">
        <f>E19/'Seleccion proyecto HEREVEA02'!L8</f>
        <v>2.5963985125341908E-4</v>
      </c>
      <c r="F20" s="1546">
        <f>F19/'Seleccion proyecto HEREVEA02'!L8</f>
        <v>1.9783176006810336E-4</v>
      </c>
      <c r="G20" s="1546">
        <f>G19/'Seleccion proyecto HEREVEA02'!L8</f>
        <v>8.1644853361439475E-4</v>
      </c>
      <c r="H20" s="1546">
        <f>H19/'Seleccion proyecto HEREVEA02'!L8</f>
        <v>2.51E-5</v>
      </c>
    </row>
    <row r="21" spans="1:28" ht="16" thickBot="1">
      <c r="B21" s="1545" t="s">
        <v>644</v>
      </c>
      <c r="C21" s="4271">
        <f>SUM(C19:H19)</f>
        <v>531.49863910061879</v>
      </c>
      <c r="D21" s="4272"/>
      <c r="E21" s="4272"/>
      <c r="F21" s="4272"/>
      <c r="G21" s="4272"/>
      <c r="H21" s="4273"/>
    </row>
    <row r="22" spans="1:28" ht="16" thickBot="1">
      <c r="B22" s="138" t="s">
        <v>873</v>
      </c>
      <c r="C22" s="4271">
        <f>SUM(C20:H20)</f>
        <v>4.7878580608649475E-2</v>
      </c>
      <c r="D22" s="4272"/>
      <c r="E22" s="4272"/>
      <c r="F22" s="4272"/>
      <c r="G22" s="4272"/>
      <c r="H22" s="4273"/>
    </row>
    <row r="23" spans="1:28" s="22" customFormat="1" ht="15.5">
      <c r="B23" s="674"/>
      <c r="C23" s="3298"/>
      <c r="D23" s="3298"/>
      <c r="E23" s="3298"/>
      <c r="F23" s="3298"/>
      <c r="G23" s="3298"/>
      <c r="H23" s="3298"/>
    </row>
    <row r="24" spans="1:28" s="22" customFormat="1" ht="15.5">
      <c r="B24" s="3316" t="s">
        <v>3335</v>
      </c>
      <c r="C24" s="3317"/>
      <c r="D24" s="3317"/>
      <c r="E24" s="3317"/>
      <c r="F24" s="3317"/>
      <c r="G24" s="3317"/>
      <c r="H24" s="3317"/>
    </row>
    <row r="26" spans="1:28" ht="31.5" thickBot="1">
      <c r="C26" s="129" t="s">
        <v>643</v>
      </c>
      <c r="D26" s="129" t="s">
        <v>371</v>
      </c>
      <c r="E26" s="129" t="s">
        <v>372</v>
      </c>
      <c r="F26" s="129" t="s">
        <v>373</v>
      </c>
      <c r="G26" s="129" t="s">
        <v>374</v>
      </c>
      <c r="H26" s="130" t="s">
        <v>523</v>
      </c>
    </row>
    <row r="27" spans="1:28" ht="15.5">
      <c r="B27" s="1542" t="s">
        <v>3134</v>
      </c>
      <c r="C27" s="3761">
        <f>C20*100</f>
        <v>4.6556471131783317</v>
      </c>
      <c r="D27" s="3761">
        <f>D20*100</f>
        <v>2.3089331930244059E-3</v>
      </c>
      <c r="E27" s="3761">
        <f>E20*100</f>
        <v>2.5963985125341909E-2</v>
      </c>
      <c r="F27" s="3761">
        <f>F20*100</f>
        <v>1.9783176006810337E-2</v>
      </c>
      <c r="G27" s="3761">
        <f t="shared" ref="G27:H27" si="1">G20*100</f>
        <v>8.1644853361439479E-2</v>
      </c>
      <c r="H27" s="3761">
        <f t="shared" si="1"/>
        <v>2.5100000000000001E-3</v>
      </c>
    </row>
    <row r="28" spans="1:28" s="22" customFormat="1" ht="15.5">
      <c r="A28" s="16"/>
      <c r="B28" s="673"/>
      <c r="C28" s="3315"/>
      <c r="D28" s="3315"/>
      <c r="E28" s="3315"/>
      <c r="F28" s="3315"/>
      <c r="G28" s="3315"/>
      <c r="H28" s="3315"/>
      <c r="I28" s="16"/>
      <c r="J28" s="16"/>
      <c r="K28" s="16"/>
    </row>
    <row r="29" spans="1:28" s="22" customFormat="1" ht="16" thickBot="1">
      <c r="A29" s="16"/>
      <c r="B29" s="673"/>
      <c r="C29" s="3315"/>
      <c r="D29" s="3315"/>
      <c r="E29" s="3315"/>
      <c r="F29" s="3315"/>
      <c r="G29" s="3315"/>
      <c r="H29" s="3315"/>
      <c r="I29" s="16"/>
      <c r="J29" s="16"/>
      <c r="K29" s="16"/>
      <c r="L29" s="16"/>
      <c r="M29" s="16"/>
      <c r="N29" s="16"/>
      <c r="O29" s="16"/>
      <c r="P29" s="16"/>
      <c r="Q29" s="16"/>
      <c r="R29" s="16"/>
    </row>
    <row r="30" spans="1:28" s="22" customFormat="1" ht="29.25" customHeight="1" thickBot="1">
      <c r="A30" s="3745"/>
      <c r="B30" s="3755" t="s">
        <v>3407</v>
      </c>
      <c r="C30" s="3746"/>
      <c r="D30" s="3643"/>
      <c r="E30" s="3747"/>
      <c r="F30" s="3746"/>
      <c r="G30" s="3746"/>
      <c r="H30" s="3748"/>
      <c r="I30" s="3749"/>
      <c r="J30" s="16"/>
      <c r="K30" s="3469"/>
      <c r="L30" s="3525"/>
      <c r="M30" s="3525" t="s">
        <v>3451</v>
      </c>
      <c r="N30" s="3525"/>
      <c r="O30" s="3525"/>
      <c r="P30" s="3525"/>
      <c r="Q30" s="3525"/>
      <c r="R30" s="3525"/>
      <c r="S30" s="3525"/>
      <c r="T30" s="3565"/>
      <c r="U30" s="3524"/>
      <c r="V30" s="3525"/>
      <c r="W30" s="3525"/>
      <c r="X30" s="3525"/>
      <c r="Y30" s="3525"/>
      <c r="Z30" s="3525"/>
      <c r="AA30" s="3525"/>
      <c r="AB30" s="3526"/>
    </row>
    <row r="31" spans="1:28" ht="24" customHeight="1">
      <c r="A31" s="16"/>
      <c r="B31" s="673"/>
      <c r="C31" s="3315"/>
      <c r="D31" s="3315"/>
      <c r="E31" s="3315"/>
      <c r="F31" s="3315"/>
      <c r="G31" s="3315"/>
      <c r="H31" s="3315"/>
      <c r="I31" s="16"/>
      <c r="J31" s="16"/>
      <c r="K31" s="19"/>
      <c r="L31" s="19"/>
      <c r="M31" s="19"/>
      <c r="N31" s="19"/>
      <c r="O31" s="19"/>
      <c r="P31" s="19"/>
      <c r="Q31" s="19"/>
      <c r="R31" s="19"/>
    </row>
    <row r="32" spans="1:28" s="22" customFormat="1" ht="24" customHeight="1">
      <c r="A32" s="3762">
        <f>'PEM Proyecto'!A6</f>
        <v>195</v>
      </c>
      <c r="B32" s="3752"/>
      <c r="C32" s="3753">
        <f>'PEM Proyecto'!C6</f>
        <v>11100.968999999999</v>
      </c>
      <c r="D32" s="3315"/>
      <c r="E32" s="3315"/>
      <c r="F32" s="3315"/>
      <c r="G32" s="3315"/>
      <c r="H32" s="3315"/>
      <c r="I32" s="16"/>
      <c r="J32" s="16"/>
      <c r="K32" s="3469"/>
      <c r="L32" s="3469"/>
      <c r="M32" s="3469"/>
      <c r="N32" s="3469"/>
      <c r="O32" s="3469"/>
      <c r="P32" s="3469"/>
      <c r="Q32" s="3469"/>
      <c r="R32" s="16"/>
    </row>
    <row r="33" spans="1:29" ht="18.5">
      <c r="A33" s="3763" t="str">
        <f>'PEM Proyecto'!A7</f>
        <v>Número de plantas S/R</v>
      </c>
      <c r="B33" s="3750"/>
      <c r="C33" s="3751">
        <f>'PEM Proyecto'!C7</f>
        <v>10</v>
      </c>
      <c r="D33" s="3315"/>
      <c r="E33" s="3315"/>
      <c r="F33" s="3315"/>
      <c r="G33" s="3315"/>
      <c r="H33" s="3315"/>
      <c r="I33" s="16"/>
      <c r="J33" s="16"/>
      <c r="K33" s="19"/>
      <c r="L33" s="19"/>
      <c r="M33" s="19"/>
      <c r="N33" s="19"/>
      <c r="O33" s="19"/>
      <c r="P33" s="19"/>
      <c r="Q33" s="19"/>
      <c r="R33" s="19"/>
      <c r="S33" s="22"/>
      <c r="T33" s="117"/>
      <c r="U33" s="117"/>
      <c r="V33" s="117"/>
      <c r="W33" s="117"/>
      <c r="X33" s="117"/>
      <c r="Y33" s="117"/>
      <c r="Z33" s="117"/>
      <c r="AA33" s="117"/>
      <c r="AB33" s="117"/>
      <c r="AC33" s="117"/>
    </row>
    <row r="34" spans="1:29" ht="20.25" customHeight="1">
      <c r="A34" s="3762" t="str">
        <f>'PEM Proyecto'!A8</f>
        <v>Altura total edificio (m)</v>
      </c>
      <c r="B34" s="3752"/>
      <c r="C34" s="3753">
        <f>'PEM Proyecto'!C8</f>
        <v>30.5</v>
      </c>
      <c r="D34" s="3315"/>
      <c r="E34" s="3315"/>
      <c r="F34" s="3315"/>
      <c r="G34" s="3315"/>
      <c r="H34" s="3315"/>
      <c r="I34" s="16"/>
      <c r="J34" s="16"/>
      <c r="K34" s="19"/>
      <c r="L34" s="3690" t="s">
        <v>3336</v>
      </c>
      <c r="M34" s="3318"/>
      <c r="N34" s="3318"/>
      <c r="O34" s="3318"/>
      <c r="P34" s="3318"/>
      <c r="Q34" s="3318"/>
      <c r="R34" s="3319"/>
      <c r="S34" s="22"/>
      <c r="T34" s="22"/>
      <c r="U34" s="22"/>
      <c r="V34" s="22"/>
      <c r="W34" s="22"/>
      <c r="X34" s="22"/>
      <c r="Y34" s="22"/>
      <c r="Z34" s="22"/>
      <c r="AA34" s="22"/>
      <c r="AB34" s="22"/>
      <c r="AC34" s="22"/>
    </row>
    <row r="35" spans="1:29" ht="15.5">
      <c r="A35" s="16"/>
      <c r="B35" s="673"/>
      <c r="C35" s="3315"/>
      <c r="D35" s="3315"/>
      <c r="E35" s="3315"/>
      <c r="F35" s="3315"/>
      <c r="G35" s="3315"/>
      <c r="H35" s="3315"/>
      <c r="I35" s="16"/>
      <c r="J35" s="16"/>
      <c r="K35" s="19"/>
      <c r="L35" s="19"/>
      <c r="M35" s="19"/>
      <c r="N35" s="19"/>
      <c r="O35" s="19"/>
      <c r="P35" s="19"/>
      <c r="Q35" s="19"/>
      <c r="R35" s="19"/>
      <c r="S35" s="22"/>
      <c r="T35" s="22"/>
      <c r="U35" s="22"/>
      <c r="V35" s="22"/>
      <c r="W35" s="22"/>
      <c r="X35" s="22"/>
      <c r="Y35" s="22"/>
      <c r="Z35" s="22"/>
      <c r="AA35" s="22"/>
      <c r="AB35" s="22"/>
      <c r="AC35" s="22"/>
    </row>
    <row r="36" spans="1:29" ht="31.5" customHeight="1" thickBot="1">
      <c r="A36" s="16"/>
      <c r="B36" s="673"/>
      <c r="C36" s="3315"/>
      <c r="D36" s="3315"/>
      <c r="E36" s="3315"/>
      <c r="F36" s="3315"/>
      <c r="G36" s="3315"/>
      <c r="H36" s="3315"/>
      <c r="I36" s="16"/>
      <c r="J36" s="16"/>
      <c r="K36" s="672"/>
      <c r="L36" s="19"/>
      <c r="M36" s="3689" t="s">
        <v>643</v>
      </c>
      <c r="N36" s="3689" t="s">
        <v>371</v>
      </c>
      <c r="O36" s="3689" t="s">
        <v>372</v>
      </c>
      <c r="P36" s="3689" t="s">
        <v>373</v>
      </c>
      <c r="Q36" s="3689" t="s">
        <v>374</v>
      </c>
      <c r="R36" s="130" t="s">
        <v>523</v>
      </c>
      <c r="S36" s="22"/>
      <c r="T36" s="653"/>
      <c r="U36" s="22"/>
      <c r="V36" s="653"/>
      <c r="W36" s="22"/>
      <c r="X36" s="653"/>
      <c r="Y36" s="22"/>
      <c r="Z36" s="653"/>
      <c r="AA36" s="22"/>
      <c r="AB36" s="653"/>
      <c r="AC36" s="22"/>
    </row>
    <row r="37" spans="1:29" ht="25" thickBot="1">
      <c r="A37" s="3718"/>
      <c r="B37" s="3720" t="s">
        <v>3482</v>
      </c>
      <c r="C37" s="3720"/>
      <c r="D37" s="3720"/>
      <c r="E37" s="3720"/>
      <c r="F37" s="3720"/>
      <c r="G37" s="3720"/>
      <c r="H37" s="3720"/>
      <c r="I37" s="3754"/>
      <c r="J37" s="3469"/>
      <c r="K37" s="19"/>
      <c r="L37" s="139" t="s">
        <v>3134</v>
      </c>
      <c r="M37" s="3007">
        <f t="shared" ref="M37:R37" si="2">C54*100</f>
        <v>0.59352269104655497</v>
      </c>
      <c r="N37" s="3007">
        <f t="shared" si="2"/>
        <v>2.3089331930244059E-3</v>
      </c>
      <c r="O37" s="3007">
        <f t="shared" si="2"/>
        <v>2.5963985125341909E-2</v>
      </c>
      <c r="P37" s="3007">
        <f t="shared" si="2"/>
        <v>1.9783176006810337E-2</v>
      </c>
      <c r="Q37" s="3007">
        <f t="shared" si="2"/>
        <v>8.1644853361439479E-2</v>
      </c>
      <c r="R37" s="3007">
        <f t="shared" si="2"/>
        <v>2.5100000000000001E-3</v>
      </c>
    </row>
    <row r="38" spans="1:29" ht="24.5">
      <c r="A38" s="16"/>
      <c r="B38" s="3469"/>
      <c r="C38" s="3469"/>
      <c r="D38" s="3469"/>
      <c r="E38" s="3469"/>
      <c r="F38" s="3469"/>
      <c r="G38" s="3469"/>
      <c r="H38" s="3469"/>
      <c r="I38" s="16"/>
      <c r="J38" s="19"/>
      <c r="K38" s="19"/>
      <c r="L38" s="19"/>
      <c r="M38" s="19"/>
      <c r="N38" s="19"/>
      <c r="O38" s="19"/>
      <c r="P38" s="19"/>
      <c r="Q38" s="19"/>
      <c r="R38" s="19"/>
    </row>
    <row r="39" spans="1:29" ht="24.5">
      <c r="A39" s="16"/>
      <c r="B39" s="3333"/>
      <c r="C39" s="3333"/>
      <c r="D39" s="3333"/>
      <c r="E39" s="3333"/>
      <c r="F39" s="3333"/>
      <c r="G39" s="3333"/>
      <c r="H39" s="3333"/>
      <c r="I39" s="16"/>
      <c r="J39" s="3469"/>
      <c r="K39" s="19"/>
      <c r="L39" s="19"/>
      <c r="M39" s="19"/>
      <c r="N39" s="19"/>
      <c r="O39" s="19"/>
      <c r="P39" s="19"/>
      <c r="Q39" s="19"/>
      <c r="R39" s="19"/>
    </row>
    <row r="40" spans="1:29" ht="15.5">
      <c r="A40" s="19"/>
      <c r="B40" s="3334"/>
      <c r="C40" s="516"/>
      <c r="D40" s="19"/>
      <c r="E40" s="19"/>
      <c r="F40" s="19"/>
      <c r="G40" s="19"/>
      <c r="H40" s="19"/>
      <c r="I40" s="19"/>
      <c r="J40" s="19"/>
      <c r="K40" s="19"/>
      <c r="L40" s="19"/>
      <c r="M40" s="19"/>
      <c r="N40" s="19"/>
      <c r="O40" s="19"/>
      <c r="P40" s="19"/>
      <c r="Q40" s="19"/>
      <c r="R40" s="19"/>
    </row>
    <row r="41" spans="1:29" ht="15.5">
      <c r="A41" s="19"/>
      <c r="B41" s="4275" t="s">
        <v>363</v>
      </c>
      <c r="C41" s="4275"/>
      <c r="D41" s="4275"/>
      <c r="E41" s="4275"/>
      <c r="F41" s="4275"/>
      <c r="G41" s="4275"/>
      <c r="H41" s="4275"/>
      <c r="I41" s="19"/>
      <c r="J41" s="19"/>
      <c r="K41" s="19"/>
      <c r="L41" s="19"/>
      <c r="M41" s="19"/>
      <c r="N41" s="19"/>
      <c r="O41" s="19"/>
      <c r="P41" s="19"/>
      <c r="Q41" s="19"/>
      <c r="R41" s="19"/>
      <c r="AB41" s="22"/>
    </row>
    <row r="42" spans="1:29" ht="15.5">
      <c r="A42" s="19"/>
      <c r="B42" s="4259" t="s">
        <v>993</v>
      </c>
      <c r="C42" s="4276" t="s">
        <v>3493</v>
      </c>
      <c r="D42" s="4276"/>
      <c r="E42" s="4276"/>
      <c r="F42" s="4276"/>
      <c r="G42" s="4276"/>
      <c r="H42" s="4276"/>
      <c r="I42" s="19"/>
      <c r="J42" s="19"/>
      <c r="K42" s="19"/>
      <c r="L42" s="19"/>
      <c r="M42" s="19"/>
      <c r="N42" s="19"/>
      <c r="O42" s="19"/>
      <c r="P42" s="19"/>
      <c r="Q42" s="19"/>
      <c r="R42" s="19"/>
    </row>
    <row r="43" spans="1:29" ht="31">
      <c r="A43" s="19"/>
      <c r="B43" s="4259"/>
      <c r="C43" s="3759" t="s">
        <v>643</v>
      </c>
      <c r="D43" s="3759" t="s">
        <v>371</v>
      </c>
      <c r="E43" s="3759" t="s">
        <v>372</v>
      </c>
      <c r="F43" s="3759" t="s">
        <v>373</v>
      </c>
      <c r="G43" s="3759" t="s">
        <v>374</v>
      </c>
      <c r="H43" s="3759" t="s">
        <v>523</v>
      </c>
      <c r="I43" s="19"/>
      <c r="J43" s="19"/>
      <c r="K43" s="19"/>
      <c r="L43" s="19"/>
      <c r="M43" s="19"/>
      <c r="N43" s="19"/>
      <c r="O43" s="19"/>
      <c r="P43" s="19"/>
      <c r="Q43" s="19"/>
      <c r="R43" s="19"/>
    </row>
    <row r="44" spans="1:29" ht="15.5">
      <c r="A44" s="19"/>
      <c r="B44" s="3764" t="s">
        <v>365</v>
      </c>
      <c r="C44" s="3760">
        <f>'Huella maquinaria'!M10+'Huella maquinaria'!M24</f>
        <v>2.8046515514587051</v>
      </c>
      <c r="D44" s="3760"/>
      <c r="E44" s="3760"/>
      <c r="F44" s="3760"/>
      <c r="G44" s="3760"/>
      <c r="H44" s="3760"/>
      <c r="I44" s="19"/>
      <c r="J44" s="19"/>
      <c r="K44" s="19"/>
      <c r="L44" s="19"/>
      <c r="M44" s="19"/>
      <c r="N44" s="19"/>
      <c r="O44" s="19"/>
      <c r="P44" s="19"/>
      <c r="Q44" s="19"/>
      <c r="R44" s="19"/>
    </row>
    <row r="45" spans="1:29" ht="15.5">
      <c r="A45" s="19"/>
      <c r="B45" s="3764" t="s">
        <v>366</v>
      </c>
      <c r="C45" s="3760">
        <f>'Huella maquinaria'!M37</f>
        <v>6.9873742661252631</v>
      </c>
      <c r="D45" s="3760"/>
      <c r="E45" s="3760"/>
      <c r="F45" s="3760"/>
      <c r="G45" s="3760"/>
      <c r="H45" s="3760"/>
      <c r="I45" s="19"/>
      <c r="J45" s="19"/>
      <c r="K45" s="19"/>
      <c r="L45" s="19"/>
      <c r="M45" s="19"/>
      <c r="N45" s="19"/>
      <c r="O45" s="19"/>
      <c r="P45" s="19"/>
      <c r="Q45" s="19"/>
      <c r="R45" s="19"/>
    </row>
    <row r="46" spans="1:29" ht="15.5">
      <c r="A46" s="19"/>
      <c r="B46" s="3764" t="s">
        <v>367</v>
      </c>
      <c r="C46" s="3760"/>
      <c r="D46" s="3760">
        <f>'Huella consumo agua'!C17</f>
        <v>0.25631395798834944</v>
      </c>
      <c r="E46" s="3760"/>
      <c r="F46" s="3760"/>
      <c r="G46" s="3760"/>
      <c r="H46" s="3760"/>
      <c r="I46" s="19"/>
      <c r="J46" s="19"/>
      <c r="K46" s="19"/>
      <c r="L46" s="19"/>
      <c r="M46" s="19"/>
      <c r="N46" s="19"/>
      <c r="O46" s="19"/>
      <c r="P46" s="19"/>
      <c r="Q46" s="19"/>
      <c r="R46" s="19"/>
    </row>
    <row r="47" spans="1:29" ht="15.5">
      <c r="A47" s="19"/>
      <c r="B47" s="3764" t="s">
        <v>368</v>
      </c>
      <c r="C47" s="3760">
        <f>'Huella mano de obra'!U16</f>
        <v>4.6255827870514468</v>
      </c>
      <c r="D47" s="3760"/>
      <c r="E47" s="3760">
        <f>'Huella mano de obra'!U17</f>
        <v>2.8822539399288161</v>
      </c>
      <c r="F47" s="3760">
        <f>'Huella mano de obra'!U18</f>
        <v>2.1961242357314532</v>
      </c>
      <c r="G47" s="3760">
        <f>'Huella mano de obra'!U19</f>
        <v>9.0633698617488534</v>
      </c>
      <c r="H47" s="3760"/>
      <c r="I47" s="19"/>
      <c r="J47" s="19"/>
      <c r="K47" s="19"/>
      <c r="L47" s="19"/>
      <c r="M47" s="19"/>
      <c r="N47" s="19"/>
      <c r="O47" s="19"/>
      <c r="P47" s="19"/>
      <c r="Q47" s="19"/>
      <c r="R47" s="19"/>
    </row>
    <row r="48" spans="1:29" ht="15.5">
      <c r="A48" s="19"/>
      <c r="B48" s="3764" t="s">
        <v>369</v>
      </c>
      <c r="C48" s="3760">
        <f>'Huella mano de obra'!U44</f>
        <v>4.5298774647887325E-3</v>
      </c>
      <c r="D48" s="3760"/>
      <c r="E48" s="3760"/>
      <c r="F48" s="3760"/>
      <c r="G48" s="3760"/>
      <c r="H48" s="3760"/>
      <c r="I48" s="19"/>
      <c r="J48" s="19"/>
      <c r="K48" s="19"/>
      <c r="L48" s="19"/>
      <c r="M48" s="19"/>
      <c r="N48" s="19"/>
      <c r="O48" s="19"/>
      <c r="P48" s="19"/>
      <c r="Q48" s="19"/>
      <c r="R48" s="19"/>
    </row>
    <row r="49" spans="1:18" ht="15.5">
      <c r="A49" s="19"/>
      <c r="B49" s="3764" t="s">
        <v>819</v>
      </c>
      <c r="C49" s="3760">
        <f>'Huella residuos y s. consumida'!G25</f>
        <v>3.4210798830000004</v>
      </c>
      <c r="D49" s="3760"/>
      <c r="E49" s="3760"/>
      <c r="F49" s="3760"/>
      <c r="G49" s="3760"/>
      <c r="H49" s="3760"/>
      <c r="I49" s="19"/>
      <c r="J49" s="19"/>
      <c r="K49" s="19"/>
      <c r="L49" s="19"/>
      <c r="M49" s="19"/>
      <c r="N49" s="19"/>
      <c r="O49" s="19"/>
      <c r="P49" s="19"/>
      <c r="Q49" s="19"/>
      <c r="R49" s="19"/>
    </row>
    <row r="50" spans="1:18" s="22" customFormat="1" ht="15.5">
      <c r="A50" s="19"/>
      <c r="B50" s="3764" t="s">
        <v>286</v>
      </c>
      <c r="C50" s="3760">
        <f>'Huella materiales (2)'!AV10</f>
        <v>48.001563406929549</v>
      </c>
      <c r="D50" s="3760"/>
      <c r="E50" s="3760"/>
      <c r="F50" s="3760"/>
      <c r="G50" s="3760"/>
      <c r="H50" s="3760"/>
      <c r="I50" s="19"/>
      <c r="J50" s="19"/>
      <c r="K50" s="16"/>
      <c r="L50" s="16"/>
      <c r="M50" s="16"/>
      <c r="N50" s="16"/>
      <c r="O50" s="16"/>
      <c r="P50" s="16"/>
      <c r="Q50" s="16"/>
      <c r="R50" s="16"/>
    </row>
    <row r="51" spans="1:18" ht="15.5">
      <c r="A51" s="19"/>
      <c r="B51" s="3764" t="s">
        <v>820</v>
      </c>
      <c r="C51" s="3760">
        <f>'Huella materiales (2)'!AV48</f>
        <v>4.198816901408451E-2</v>
      </c>
      <c r="D51" s="3760"/>
      <c r="E51" s="3760"/>
      <c r="F51" s="3760"/>
      <c r="G51" s="3760"/>
      <c r="H51" s="3760"/>
      <c r="I51" s="19"/>
      <c r="J51" s="19"/>
      <c r="K51" s="19"/>
      <c r="L51" s="19"/>
      <c r="M51" s="19"/>
      <c r="N51" s="19"/>
      <c r="O51" s="19"/>
      <c r="P51" s="19"/>
      <c r="Q51" s="19"/>
      <c r="R51" s="19"/>
    </row>
    <row r="52" spans="1:18" ht="23.25" customHeight="1">
      <c r="A52" s="19"/>
      <c r="B52" s="3764" t="s">
        <v>370</v>
      </c>
      <c r="C52" s="3760"/>
      <c r="D52" s="3760"/>
      <c r="E52" s="3760"/>
      <c r="F52" s="3760"/>
      <c r="G52" s="3760"/>
      <c r="H52" s="3760">
        <f>'Huella residuos y s. consumida'!G34</f>
        <v>0.27863432189999998</v>
      </c>
      <c r="I52" s="19"/>
      <c r="J52" s="19"/>
      <c r="K52" s="19"/>
      <c r="L52" s="19"/>
      <c r="M52" s="19"/>
      <c r="N52" s="19"/>
      <c r="O52" s="19"/>
      <c r="P52" s="19"/>
      <c r="Q52" s="19"/>
      <c r="R52" s="19"/>
    </row>
    <row r="53" spans="1:18" ht="15.5">
      <c r="A53" s="19"/>
      <c r="B53" s="3765" t="s">
        <v>645</v>
      </c>
      <c r="C53" s="3766">
        <f>C44+C45+C47+C48+C49+C50+C51</f>
        <v>65.886769941043838</v>
      </c>
      <c r="D53" s="3766">
        <f>SUM(D44:D52)</f>
        <v>0.25631395798834944</v>
      </c>
      <c r="E53" s="3766">
        <f>SUM(E44:E52)</f>
        <v>2.8822539399288161</v>
      </c>
      <c r="F53" s="3766">
        <f t="shared" ref="F53:H53" si="3">SUM(F44:F52)</f>
        <v>2.1961242357314532</v>
      </c>
      <c r="G53" s="3766">
        <f t="shared" si="3"/>
        <v>9.0633698617488534</v>
      </c>
      <c r="H53" s="3766">
        <f t="shared" si="3"/>
        <v>0.27863432189999998</v>
      </c>
      <c r="I53" s="19"/>
      <c r="J53" s="19"/>
      <c r="K53" s="19"/>
      <c r="L53" s="19"/>
      <c r="M53" s="19"/>
      <c r="N53" s="19"/>
      <c r="O53" s="19"/>
      <c r="P53" s="19"/>
      <c r="Q53" s="19"/>
      <c r="R53" s="19"/>
    </row>
    <row r="54" spans="1:18" ht="15.5">
      <c r="A54" s="19"/>
      <c r="B54" s="3767" t="s">
        <v>1596</v>
      </c>
      <c r="C54" s="3768">
        <f>C53/'Seleccion proyecto HEREVEA02'!L8</f>
        <v>5.9352269104655494E-3</v>
      </c>
      <c r="D54" s="3769">
        <f>D53/'Seleccion proyecto HEREVEA02'!L8</f>
        <v>2.3089331930244059E-5</v>
      </c>
      <c r="E54" s="3768">
        <f>E53/'Seleccion proyecto HEREVEA02'!L8</f>
        <v>2.5963985125341908E-4</v>
      </c>
      <c r="F54" s="3768">
        <f>F53/'Seleccion proyecto HEREVEA02'!L8</f>
        <v>1.9783176006810336E-4</v>
      </c>
      <c r="G54" s="3768">
        <f>G53/'Seleccion proyecto HEREVEA02'!L8</f>
        <v>8.1644853361439475E-4</v>
      </c>
      <c r="H54" s="3768">
        <f>H53/'Seleccion proyecto HEREVEA02'!L8</f>
        <v>2.51E-5</v>
      </c>
      <c r="I54" s="19"/>
      <c r="J54" s="19"/>
      <c r="K54" s="19"/>
      <c r="L54" s="19"/>
      <c r="M54" s="19"/>
      <c r="N54" s="19"/>
      <c r="O54" s="19"/>
      <c r="P54" s="19"/>
      <c r="Q54" s="19"/>
      <c r="R54" s="19"/>
    </row>
    <row r="55" spans="1:18" ht="15.5">
      <c r="A55" s="19"/>
      <c r="B55" s="3770" t="s">
        <v>644</v>
      </c>
      <c r="C55" s="4277">
        <f>SUM(C53:H53)</f>
        <v>80.563466258341307</v>
      </c>
      <c r="D55" s="4277"/>
      <c r="E55" s="4277"/>
      <c r="F55" s="4277"/>
      <c r="G55" s="4277"/>
      <c r="H55" s="4277"/>
      <c r="I55" s="19"/>
      <c r="J55" s="19"/>
      <c r="K55" s="19"/>
      <c r="L55" s="19"/>
      <c r="M55" s="19"/>
      <c r="N55" s="19"/>
      <c r="O55" s="19"/>
      <c r="P55" s="19"/>
      <c r="Q55" s="19"/>
      <c r="R55" s="19"/>
    </row>
    <row r="56" spans="1:18" ht="15.5">
      <c r="A56" s="19"/>
      <c r="B56" s="3771" t="s">
        <v>873</v>
      </c>
      <c r="C56" s="4265">
        <f>SUM(C54:H54)</f>
        <v>7.2573363873317106E-3</v>
      </c>
      <c r="D56" s="4265"/>
      <c r="E56" s="4265"/>
      <c r="F56" s="4265"/>
      <c r="G56" s="4265"/>
      <c r="H56" s="4265"/>
      <c r="I56" s="19"/>
      <c r="J56" s="19"/>
      <c r="K56" s="19"/>
      <c r="L56" s="19"/>
      <c r="M56" s="19"/>
      <c r="N56" s="19"/>
      <c r="O56" s="19"/>
      <c r="P56" s="19"/>
      <c r="Q56" s="19"/>
      <c r="R56" s="19"/>
    </row>
    <row r="57" spans="1:18" ht="15.5">
      <c r="A57" s="16"/>
      <c r="B57" s="674"/>
      <c r="C57" s="3300"/>
      <c r="D57" s="3300"/>
      <c r="E57" s="3300"/>
      <c r="F57" s="3300"/>
      <c r="G57" s="3300"/>
      <c r="H57" s="3300"/>
      <c r="I57" s="16"/>
      <c r="J57" s="16"/>
      <c r="K57" s="19"/>
      <c r="L57" s="19"/>
      <c r="M57" s="19"/>
      <c r="N57" s="19"/>
      <c r="O57" s="19"/>
      <c r="P57" s="19"/>
      <c r="Q57" s="19"/>
      <c r="R57" s="19"/>
    </row>
    <row r="58" spans="1:18" ht="15.5">
      <c r="A58" s="16"/>
      <c r="B58" s="674"/>
      <c r="C58" s="3300"/>
      <c r="D58" s="3300"/>
      <c r="E58" s="3300"/>
      <c r="F58" s="3300"/>
      <c r="G58" s="3300"/>
      <c r="H58" s="3300"/>
      <c r="I58" s="16"/>
      <c r="J58" s="16"/>
      <c r="K58" s="19"/>
      <c r="L58" s="19"/>
      <c r="M58" s="19"/>
      <c r="N58" s="19"/>
      <c r="O58" s="19"/>
      <c r="P58" s="19"/>
      <c r="Q58" s="19"/>
      <c r="R58" s="19"/>
    </row>
    <row r="59" spans="1:18" ht="15.5">
      <c r="A59" s="16"/>
      <c r="B59" s="674"/>
      <c r="C59" s="3300"/>
      <c r="D59" s="3300"/>
      <c r="E59" s="3300"/>
      <c r="F59" s="3300"/>
      <c r="G59" s="3300"/>
      <c r="H59" s="3300"/>
      <c r="I59" s="16"/>
      <c r="J59" s="16"/>
      <c r="K59" s="19"/>
      <c r="L59" s="19"/>
      <c r="M59" s="19"/>
      <c r="N59" s="19"/>
      <c r="O59" s="19"/>
      <c r="P59" s="19"/>
      <c r="Q59" s="19"/>
      <c r="R59" s="19"/>
    </row>
    <row r="60" spans="1:18" ht="15.5">
      <c r="A60" s="16"/>
      <c r="B60" s="674"/>
      <c r="C60" s="3300"/>
      <c r="D60" s="3300"/>
      <c r="E60" s="3300"/>
      <c r="F60" s="3300"/>
      <c r="G60" s="3300"/>
      <c r="H60" s="3300"/>
      <c r="I60" s="16"/>
      <c r="J60" s="16"/>
      <c r="K60" s="19"/>
      <c r="L60" s="19"/>
      <c r="M60" s="19"/>
      <c r="N60" s="19"/>
      <c r="O60" s="19"/>
      <c r="P60" s="19"/>
      <c r="Q60" s="19"/>
      <c r="R60" s="19"/>
    </row>
    <row r="61" spans="1:18" ht="15.5">
      <c r="A61" s="16"/>
      <c r="B61" s="674"/>
      <c r="C61" s="3300"/>
      <c r="D61" s="3300"/>
      <c r="E61" s="3300"/>
      <c r="F61" s="3300"/>
      <c r="G61" s="3300"/>
      <c r="H61" s="3300"/>
      <c r="I61" s="16"/>
      <c r="J61" s="16"/>
      <c r="K61" s="19"/>
      <c r="L61" s="19"/>
      <c r="M61" s="19"/>
      <c r="N61" s="19"/>
      <c r="O61" s="19"/>
      <c r="P61" s="19"/>
      <c r="Q61" s="19"/>
      <c r="R61" s="19"/>
    </row>
    <row r="62" spans="1:18" ht="15.5">
      <c r="A62" s="16"/>
      <c r="B62" s="674"/>
      <c r="C62" s="3300"/>
      <c r="D62" s="3300"/>
      <c r="E62" s="3300"/>
      <c r="F62" s="3300"/>
      <c r="G62" s="3300"/>
      <c r="H62" s="3300"/>
      <c r="I62" s="16"/>
      <c r="J62" s="16"/>
      <c r="K62" s="19"/>
      <c r="L62" s="19"/>
      <c r="M62" s="19"/>
      <c r="N62" s="19"/>
      <c r="O62" s="19"/>
      <c r="P62" s="19"/>
      <c r="Q62" s="19"/>
      <c r="R62" s="19"/>
    </row>
    <row r="63" spans="1:18" ht="15.5">
      <c r="A63" s="16"/>
      <c r="B63" s="674"/>
      <c r="C63" s="3300"/>
      <c r="D63" s="3300"/>
      <c r="E63" s="3300"/>
      <c r="F63" s="3300"/>
      <c r="G63" s="3300"/>
      <c r="H63" s="3300"/>
      <c r="I63" s="16"/>
      <c r="J63" s="16"/>
      <c r="K63" s="19"/>
      <c r="L63" s="19"/>
      <c r="M63" s="19"/>
      <c r="N63" s="19"/>
      <c r="O63" s="19"/>
      <c r="P63" s="19"/>
      <c r="Q63" s="19"/>
      <c r="R63" s="19"/>
    </row>
    <row r="64" spans="1:18" ht="15.5">
      <c r="A64" s="16"/>
      <c r="B64" s="674"/>
      <c r="C64" s="3300"/>
      <c r="D64" s="3300"/>
      <c r="E64" s="3300"/>
      <c r="F64" s="3300"/>
      <c r="G64" s="3300"/>
      <c r="H64" s="3300"/>
      <c r="I64" s="16"/>
      <c r="J64" s="16"/>
      <c r="K64" s="19"/>
      <c r="L64" s="19"/>
      <c r="M64" s="19"/>
      <c r="N64" s="19"/>
      <c r="O64" s="19"/>
      <c r="P64" s="19"/>
      <c r="Q64" s="19"/>
      <c r="R64" s="19"/>
    </row>
    <row r="65" spans="1:21">
      <c r="A65" s="19"/>
      <c r="B65" s="19"/>
      <c r="C65" s="19"/>
      <c r="D65" s="19"/>
      <c r="E65" s="19"/>
      <c r="F65" s="19"/>
      <c r="G65" s="19"/>
      <c r="H65" s="19"/>
      <c r="I65" s="19"/>
      <c r="J65" s="19"/>
      <c r="K65" s="19"/>
      <c r="L65" s="19"/>
      <c r="M65" s="19"/>
      <c r="N65" s="19"/>
      <c r="O65" s="19"/>
      <c r="P65" s="19"/>
      <c r="Q65" s="19"/>
      <c r="R65" s="19"/>
    </row>
    <row r="66" spans="1:21">
      <c r="A66" s="19"/>
      <c r="B66" s="19"/>
      <c r="C66" s="19"/>
      <c r="D66" s="19"/>
      <c r="E66" s="19"/>
      <c r="F66" s="19"/>
      <c r="G66" s="19"/>
      <c r="H66" s="19"/>
      <c r="I66" s="19"/>
      <c r="J66" s="19"/>
      <c r="K66" s="19"/>
      <c r="L66" s="19"/>
      <c r="M66" s="19"/>
      <c r="N66" s="19"/>
      <c r="O66" s="19"/>
      <c r="P66" s="19"/>
      <c r="Q66" s="19"/>
      <c r="R66" s="19"/>
    </row>
    <row r="67" spans="1:21" ht="24.5">
      <c r="A67" s="19"/>
      <c r="B67" s="19"/>
      <c r="C67" s="19"/>
      <c r="D67" s="19"/>
      <c r="E67" s="19"/>
      <c r="F67" s="19"/>
      <c r="G67" s="19"/>
      <c r="H67" s="19"/>
      <c r="I67" s="19"/>
      <c r="J67" s="19"/>
      <c r="K67" s="19"/>
      <c r="L67" s="19"/>
      <c r="M67" s="19"/>
      <c r="N67" s="3469"/>
      <c r="O67" s="3469"/>
      <c r="P67" s="3469"/>
      <c r="Q67" s="3469"/>
      <c r="R67" s="3469"/>
      <c r="S67" s="3469"/>
      <c r="T67" s="3469"/>
      <c r="U67" s="3469"/>
    </row>
    <row r="68" spans="1:21" ht="24.5">
      <c r="A68" s="19"/>
      <c r="B68" s="19"/>
      <c r="C68" s="19"/>
      <c r="D68" s="19"/>
      <c r="E68" s="19"/>
      <c r="F68" s="19"/>
      <c r="G68" s="19"/>
      <c r="H68" s="19"/>
      <c r="I68" s="19"/>
      <c r="J68" s="19"/>
      <c r="K68" s="19"/>
      <c r="L68" s="3469"/>
      <c r="M68" s="3469"/>
      <c r="N68" s="3469"/>
      <c r="O68" s="3469"/>
      <c r="P68" s="3469"/>
      <c r="Q68" s="3469"/>
      <c r="R68" s="3469"/>
      <c r="S68" s="3469"/>
    </row>
    <row r="69" spans="1:21">
      <c r="A69" s="19"/>
      <c r="B69" s="19"/>
      <c r="C69" s="19"/>
      <c r="D69" s="19"/>
      <c r="E69" s="19"/>
      <c r="F69" s="19"/>
      <c r="G69" s="19"/>
      <c r="H69" s="19"/>
      <c r="I69" s="19"/>
      <c r="J69" s="19"/>
      <c r="K69" s="19"/>
      <c r="L69" s="19"/>
      <c r="M69" s="19"/>
      <c r="N69" s="19"/>
      <c r="O69" s="19"/>
      <c r="P69" s="19"/>
      <c r="Q69" s="19"/>
      <c r="R69" s="19"/>
    </row>
    <row r="70" spans="1:21">
      <c r="A70" s="19"/>
      <c r="B70" s="19"/>
      <c r="C70" s="19"/>
      <c r="D70" s="19"/>
      <c r="E70" s="19"/>
      <c r="F70" s="19"/>
      <c r="G70" s="19"/>
      <c r="H70" s="19"/>
      <c r="I70" s="19"/>
      <c r="J70" s="19"/>
    </row>
    <row r="71" spans="1:21">
      <c r="A71" s="19"/>
      <c r="B71" s="19"/>
      <c r="C71" s="19"/>
      <c r="D71" s="19"/>
      <c r="E71" s="19"/>
      <c r="F71" s="19"/>
      <c r="G71" s="19"/>
      <c r="H71" s="19"/>
      <c r="I71" s="19"/>
      <c r="J71" s="19"/>
    </row>
    <row r="72" spans="1:21">
      <c r="A72" s="19"/>
      <c r="B72" s="19"/>
      <c r="C72" s="19"/>
      <c r="D72" s="19"/>
      <c r="E72" s="19"/>
      <c r="F72" s="19"/>
      <c r="G72" s="19"/>
      <c r="H72" s="19"/>
      <c r="I72" s="19"/>
      <c r="J72" s="19"/>
    </row>
    <row r="73" spans="1:21" ht="24.5">
      <c r="A73" s="3745"/>
      <c r="B73" s="3755" t="s">
        <v>3453</v>
      </c>
      <c r="C73" s="3755"/>
      <c r="D73" s="3755"/>
      <c r="E73" s="3755"/>
      <c r="F73" s="3755"/>
      <c r="G73" s="3755"/>
      <c r="H73" s="3755"/>
      <c r="I73" s="3749"/>
      <c r="J73" s="19"/>
    </row>
    <row r="74" spans="1:21">
      <c r="A74" s="19"/>
      <c r="B74" s="19"/>
      <c r="C74" s="19"/>
      <c r="D74" s="19"/>
      <c r="E74" s="19"/>
      <c r="F74" s="19"/>
      <c r="G74" s="19"/>
      <c r="H74" s="19"/>
      <c r="I74" s="19"/>
      <c r="J74" s="19"/>
    </row>
    <row r="75" spans="1:21" ht="37.5" customHeight="1">
      <c r="A75" s="19"/>
      <c r="B75" s="4263" t="s">
        <v>3454</v>
      </c>
      <c r="C75" s="4263"/>
      <c r="D75" s="3691"/>
      <c r="E75" s="19"/>
      <c r="F75" s="19"/>
      <c r="G75" s="19"/>
      <c r="H75" s="19"/>
      <c r="I75" s="19"/>
      <c r="J75" s="19"/>
    </row>
    <row r="76" spans="1:21" ht="37.5" customHeight="1">
      <c r="A76" s="19"/>
      <c r="B76" s="4263" t="s">
        <v>3455</v>
      </c>
      <c r="C76" s="4263"/>
      <c r="D76" s="3691"/>
      <c r="E76" s="19"/>
      <c r="F76" s="19"/>
      <c r="G76" s="19"/>
      <c r="H76" s="19"/>
      <c r="I76" s="19"/>
      <c r="J76" s="19"/>
    </row>
    <row r="77" spans="1:21">
      <c r="A77" s="19"/>
      <c r="B77" s="19"/>
      <c r="C77" s="19"/>
      <c r="D77" s="19"/>
      <c r="E77" s="19"/>
      <c r="F77" s="19"/>
      <c r="G77" s="19"/>
      <c r="H77" s="19"/>
      <c r="I77" s="19"/>
      <c r="J77" s="19"/>
    </row>
    <row r="78" spans="1:21" ht="24.5">
      <c r="A78" s="3756"/>
      <c r="B78" s="3757" t="s">
        <v>3452</v>
      </c>
      <c r="C78" s="3757"/>
      <c r="D78" s="3757"/>
      <c r="E78" s="3757"/>
      <c r="F78" s="3757"/>
      <c r="G78" s="3757"/>
      <c r="H78" s="3757"/>
      <c r="I78" s="3758"/>
      <c r="J78" s="19"/>
    </row>
    <row r="79" spans="1:21">
      <c r="A79" s="19"/>
      <c r="B79" s="19"/>
      <c r="C79" s="19"/>
      <c r="D79" s="19"/>
      <c r="E79" s="19"/>
      <c r="F79" s="19"/>
      <c r="G79" s="19"/>
      <c r="H79" s="19"/>
      <c r="I79" s="19"/>
      <c r="J79" s="19"/>
    </row>
    <row r="80" spans="1:21">
      <c r="A80" s="19"/>
      <c r="B80" s="19"/>
      <c r="C80" s="19"/>
      <c r="D80" s="19"/>
      <c r="E80" s="19"/>
      <c r="F80" s="19"/>
      <c r="G80" s="19"/>
      <c r="H80" s="19"/>
      <c r="I80" s="19"/>
      <c r="J80" s="19"/>
    </row>
    <row r="81" spans="1:10" ht="37.5" customHeight="1">
      <c r="A81" s="19"/>
      <c r="B81" s="4258" t="s">
        <v>3449</v>
      </c>
      <c r="C81" s="4258"/>
      <c r="D81" s="3692">
        <f>SUMIF('Datos auxiliares proyectos '!C3:C119,'Seleccion proyecto HEREVEA02'!L6,'Datos auxiliares proyectos '!I3:I119)</f>
        <v>0.24875371002384031</v>
      </c>
      <c r="E81" s="19"/>
      <c r="F81" s="19"/>
      <c r="G81" s="19"/>
      <c r="H81" s="19"/>
      <c r="I81" s="19"/>
      <c r="J81" s="19"/>
    </row>
    <row r="82" spans="1:10" ht="37.5" customHeight="1">
      <c r="A82" s="19"/>
      <c r="B82" s="4258" t="s">
        <v>3450</v>
      </c>
      <c r="C82" s="4258"/>
      <c r="D82" s="3692">
        <f>D81*'Seleccion proyecto HEREVEA02'!L8</f>
        <v>2761.4072236096404</v>
      </c>
      <c r="E82" s="19"/>
      <c r="F82" s="19"/>
      <c r="G82" s="19"/>
      <c r="H82" s="19"/>
      <c r="I82" s="19"/>
      <c r="J82" s="19"/>
    </row>
    <row r="83" spans="1:10">
      <c r="A83" s="19"/>
      <c r="B83" s="19"/>
      <c r="C83" s="19"/>
      <c r="D83" s="19"/>
      <c r="E83" s="19"/>
      <c r="F83" s="19"/>
      <c r="G83" s="19"/>
      <c r="H83" s="19"/>
      <c r="I83" s="19"/>
      <c r="J83" s="19"/>
    </row>
    <row r="84" spans="1:10">
      <c r="A84" s="19"/>
      <c r="B84" s="19"/>
      <c r="C84" s="19"/>
      <c r="D84" s="19"/>
      <c r="E84" s="19"/>
      <c r="F84" s="19"/>
      <c r="G84" s="19"/>
      <c r="H84" s="19"/>
      <c r="I84" s="19"/>
      <c r="J84" s="19"/>
    </row>
    <row r="85" spans="1:10" ht="51.75" customHeight="1">
      <c r="A85" s="4260" t="s">
        <v>3440</v>
      </c>
      <c r="B85" s="4261"/>
      <c r="C85" s="4261"/>
      <c r="D85" s="4261"/>
      <c r="E85" s="4261"/>
      <c r="F85" s="4261"/>
      <c r="G85" s="4261"/>
      <c r="H85" s="4261"/>
      <c r="I85" s="4262"/>
      <c r="J85" s="19"/>
    </row>
    <row r="86" spans="1:10">
      <c r="A86" s="19"/>
      <c r="B86" s="19"/>
      <c r="C86" s="19"/>
      <c r="D86" s="19"/>
      <c r="E86" s="19"/>
      <c r="F86" s="19"/>
      <c r="G86" s="19"/>
      <c r="H86" s="19"/>
      <c r="I86" s="19"/>
      <c r="J86" s="19"/>
    </row>
    <row r="87" spans="1:10">
      <c r="A87" s="19"/>
      <c r="B87" s="19"/>
      <c r="C87" s="19"/>
      <c r="D87" s="19"/>
      <c r="E87" s="19"/>
      <c r="F87" s="19"/>
      <c r="G87" s="19"/>
      <c r="H87" s="19"/>
      <c r="I87" s="19"/>
      <c r="J87" s="19"/>
    </row>
    <row r="88" spans="1:10" ht="37.5" customHeight="1">
      <c r="A88" s="19"/>
      <c r="B88" s="4257" t="s">
        <v>3491</v>
      </c>
      <c r="C88" s="4257"/>
      <c r="D88" s="3744">
        <f>C55</f>
        <v>80.563466258341307</v>
      </c>
      <c r="E88" s="19"/>
      <c r="F88" s="19"/>
      <c r="G88" s="19"/>
      <c r="H88" s="19"/>
      <c r="I88" s="19"/>
      <c r="J88" s="19"/>
    </row>
    <row r="89" spans="1:10">
      <c r="A89" s="19"/>
      <c r="B89" s="19"/>
      <c r="D89" s="19"/>
      <c r="E89" s="19"/>
      <c r="F89" s="19"/>
      <c r="G89" s="19"/>
      <c r="H89" s="19"/>
      <c r="I89" s="19"/>
      <c r="J89" s="19"/>
    </row>
    <row r="90" spans="1:10" ht="37.5" customHeight="1">
      <c r="A90" s="19"/>
      <c r="B90" s="4258" t="s">
        <v>3492</v>
      </c>
      <c r="C90" s="4258"/>
      <c r="D90" s="3692">
        <f>D76+D82</f>
        <v>2761.4072236096404</v>
      </c>
      <c r="E90" s="19"/>
      <c r="F90" s="19"/>
      <c r="G90" s="19"/>
      <c r="H90" s="19"/>
      <c r="I90" s="19"/>
      <c r="J90" s="19"/>
    </row>
    <row r="91" spans="1:10">
      <c r="A91" s="19"/>
      <c r="B91" s="19"/>
      <c r="C91" s="19"/>
      <c r="D91" s="19"/>
      <c r="E91" s="19"/>
      <c r="F91" s="19"/>
      <c r="G91" s="19"/>
      <c r="H91" s="19"/>
      <c r="I91" s="19"/>
      <c r="J91" s="19"/>
    </row>
  </sheetData>
  <mergeCells count="18">
    <mergeCell ref="A1:L1"/>
    <mergeCell ref="C56:H56"/>
    <mergeCell ref="B7:H7"/>
    <mergeCell ref="C8:H8"/>
    <mergeCell ref="C21:H21"/>
    <mergeCell ref="B3:H3"/>
    <mergeCell ref="C22:H22"/>
    <mergeCell ref="B41:H41"/>
    <mergeCell ref="C42:H42"/>
    <mergeCell ref="C55:H55"/>
    <mergeCell ref="B88:C88"/>
    <mergeCell ref="B90:C90"/>
    <mergeCell ref="B42:B43"/>
    <mergeCell ref="A85:I85"/>
    <mergeCell ref="B75:C75"/>
    <mergeCell ref="B76:C76"/>
    <mergeCell ref="B81:C81"/>
    <mergeCell ref="B82:C82"/>
  </mergeCells>
  <pageMargins left="0.70866141732283472" right="0.70866141732283472" top="0.74803149606299213" bottom="0.74803149606299213" header="0.31496062992125984" footer="0.31496062992125984"/>
  <pageSetup paperSize="9" scale="2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4"/>
  <sheetViews>
    <sheetView zoomScale="95" zoomScaleNormal="95" zoomScaleSheetLayoutView="64" workbookViewId="0">
      <selection activeCell="K59" sqref="K59"/>
    </sheetView>
  </sheetViews>
  <sheetFormatPr defaultColWidth="10.90625" defaultRowHeight="14.5"/>
  <cols>
    <col min="1" max="1" width="13.7265625" customWidth="1"/>
    <col min="2" max="2" width="38.54296875" style="202" customWidth="1"/>
    <col min="3" max="3" width="16.26953125" customWidth="1"/>
    <col min="4" max="4" width="24.7265625" style="202" customWidth="1"/>
    <col min="5" max="5" width="24.1796875" customWidth="1"/>
    <col min="6" max="6" width="21.54296875" customWidth="1"/>
    <col min="7" max="7" width="36.7265625" bestFit="1" customWidth="1"/>
    <col min="8" max="8" width="23.1796875" bestFit="1" customWidth="1"/>
    <col min="9" max="9" width="5.1796875" customWidth="1"/>
  </cols>
  <sheetData>
    <row r="1" spans="1:15" ht="27.5" thickBot="1">
      <c r="A1" s="4291" t="s">
        <v>1598</v>
      </c>
      <c r="B1" s="4292"/>
      <c r="C1" s="4292"/>
      <c r="D1" s="4292"/>
      <c r="E1" s="4292"/>
      <c r="F1" s="4292"/>
      <c r="G1" s="4293"/>
      <c r="H1" s="3704"/>
      <c r="I1" s="3705"/>
      <c r="J1" s="3530"/>
      <c r="K1" s="3530"/>
      <c r="L1" s="3530"/>
      <c r="M1" s="3530"/>
      <c r="N1" s="3530"/>
    </row>
    <row r="3" spans="1:15" ht="15" thickBot="1"/>
    <row r="4" spans="1:15" ht="25" thickBot="1">
      <c r="A4" s="3722" t="s">
        <v>3407</v>
      </c>
      <c r="B4" s="3723"/>
      <c r="C4" s="3724"/>
      <c r="D4" s="3725"/>
      <c r="E4" s="3726"/>
      <c r="F4" s="3724"/>
      <c r="G4" s="3727"/>
      <c r="H4" s="3527"/>
      <c r="I4" s="3528"/>
      <c r="J4" s="3469"/>
      <c r="K4" s="3469"/>
      <c r="L4" s="3469"/>
    </row>
    <row r="6" spans="1:15" ht="39.75" customHeight="1">
      <c r="A6" s="3702">
        <f>'Seleccion proyecto HEREVEA02'!K8</f>
        <v>195</v>
      </c>
      <c r="B6" s="3702"/>
      <c r="C6" s="3540">
        <f>'Seleccion proyecto HEREVEA02'!L8</f>
        <v>11100.968999999999</v>
      </c>
      <c r="I6" s="22"/>
      <c r="J6" s="22"/>
      <c r="K6" s="4278" t="s">
        <v>3437</v>
      </c>
      <c r="L6" s="4279"/>
      <c r="M6" s="4279"/>
      <c r="N6" s="4279"/>
      <c r="O6" s="4279"/>
    </row>
    <row r="7" spans="1:15" ht="31.5" customHeight="1">
      <c r="A7" s="3703" t="str">
        <f>'Seleccion proyecto HEREVEA02'!K10</f>
        <v>Número de plantas S/R</v>
      </c>
      <c r="B7" s="3703"/>
      <c r="C7" s="3667">
        <f>'Seleccion proyecto HEREVEA02'!L10</f>
        <v>10</v>
      </c>
      <c r="D7" s="3673"/>
    </row>
    <row r="8" spans="1:15" ht="36" customHeight="1">
      <c r="A8" s="3702" t="str">
        <f>'Seleccion proyecto HEREVEA02'!K14</f>
        <v>Altura total edificio (m)</v>
      </c>
      <c r="B8" s="3702"/>
      <c r="C8" s="3540">
        <f>'Seleccion proyecto HEREVEA02'!L14</f>
        <v>30.5</v>
      </c>
    </row>
    <row r="9" spans="1:15" ht="15" thickBot="1">
      <c r="A9" s="3470"/>
    </row>
    <row r="10" spans="1:15" ht="25" thickBot="1">
      <c r="A10" s="3718" t="s">
        <v>3406</v>
      </c>
      <c r="B10" s="3719"/>
      <c r="C10" s="3720"/>
      <c r="D10" s="3719"/>
      <c r="E10" s="3720"/>
      <c r="F10" s="3720"/>
      <c r="G10" s="3721"/>
      <c r="H10" s="3525"/>
      <c r="I10" s="3526"/>
      <c r="J10" s="3469"/>
      <c r="K10" s="3469"/>
      <c r="L10" s="3469"/>
      <c r="M10" s="3469"/>
      <c r="N10" s="3469"/>
    </row>
    <row r="12" spans="1:15" s="202" customFormat="1" ht="39" customHeight="1">
      <c r="A12" s="3567" t="s">
        <v>1601</v>
      </c>
      <c r="B12" s="3567" t="s">
        <v>1602</v>
      </c>
      <c r="C12" s="4294" t="s">
        <v>3481</v>
      </c>
      <c r="D12" s="4295"/>
      <c r="E12" s="4295"/>
      <c r="F12" s="4295"/>
      <c r="G12" s="4296"/>
      <c r="H12" s="4289" t="s">
        <v>3473</v>
      </c>
      <c r="I12" s="3634"/>
    </row>
    <row r="13" spans="1:15" s="202" customFormat="1" ht="57" customHeight="1">
      <c r="A13" s="3652"/>
      <c r="B13" s="3652"/>
      <c r="C13" s="3657" t="s">
        <v>3480</v>
      </c>
      <c r="D13" s="4301" t="s">
        <v>1397</v>
      </c>
      <c r="E13" s="4301"/>
      <c r="F13" s="4302"/>
      <c r="G13" s="3728" t="str">
        <f>'Seleccion proyecto HEREVEA02'!H11</f>
        <v>Grado de actuación (%)</v>
      </c>
      <c r="H13" s="4290"/>
      <c r="I13" s="3634"/>
    </row>
    <row r="14" spans="1:15" ht="18.5">
      <c r="A14" s="3668" t="str">
        <f>'Seleccion proyecto HEREVEA02'!B13</f>
        <v>CAPÍTULO 03. CIMENTACIONES</v>
      </c>
      <c r="B14" s="3668"/>
      <c r="C14" s="3653"/>
      <c r="D14" s="4282"/>
      <c r="E14" s="4283"/>
      <c r="F14" s="4284"/>
      <c r="G14" s="3510"/>
      <c r="H14" s="3516">
        <f>BCRR_REHAB!Q31</f>
        <v>0</v>
      </c>
      <c r="I14" s="2742"/>
    </row>
    <row r="15" spans="1:15" ht="18.5">
      <c r="A15" s="3471"/>
      <c r="B15" s="3666" t="str">
        <f>'Seleccion proyecto HEREVEA02'!C14</f>
        <v>m.  Reparación con micropilotes</v>
      </c>
      <c r="C15" s="3656"/>
      <c r="D15" s="3665"/>
      <c r="E15" s="3475" t="str">
        <f>'Seleccion proyecto HEREVEA02'!G14</f>
        <v>Recalce de zapata mediante micropilotes</v>
      </c>
      <c r="F15" s="3472"/>
      <c r="G15" s="3480" t="str">
        <f>'Seleccion proyecto HEREVEA02'!H14</f>
        <v>61 a 100</v>
      </c>
    </row>
    <row r="16" spans="1:15" ht="18.5">
      <c r="A16" s="3477" t="str">
        <f>'Seleccion proyecto HEREVEA02'!B15</f>
        <v>CAPÍTULO 04. SANEAMIENTO</v>
      </c>
      <c r="B16" s="3567"/>
      <c r="C16" s="3653"/>
      <c r="D16" s="4282"/>
      <c r="E16" s="4283"/>
      <c r="F16" s="4284"/>
      <c r="G16" s="3510"/>
      <c r="H16" s="3516">
        <f>BCRR_REHAB!Q145</f>
        <v>0</v>
      </c>
    </row>
    <row r="17" spans="1:8" ht="18.5">
      <c r="A17" s="3471"/>
      <c r="B17" s="3669" t="str">
        <f>'Seleccion proyecto HEREVEA02'!C16</f>
        <v xml:space="preserve">u.  Arquetas   </v>
      </c>
      <c r="C17" s="3514"/>
      <c r="D17" s="3658"/>
      <c r="E17" s="3476" t="str">
        <f>'Seleccion proyecto HEREVEA02'!G16</f>
        <v>No hay actuaciones</v>
      </c>
      <c r="F17" s="3473"/>
      <c r="G17" s="3474">
        <f>'Seleccion proyecto HEREVEA02'!H16</f>
        <v>0</v>
      </c>
    </row>
    <row r="18" spans="1:8" ht="18.5">
      <c r="A18" s="3478"/>
      <c r="B18" s="3666" t="str">
        <f>'Seleccion proyecto HEREVEA02'!C17</f>
        <v xml:space="preserve">m.  Colectores </v>
      </c>
      <c r="C18" s="3478"/>
      <c r="D18" s="3665"/>
      <c r="E18" s="3475" t="str">
        <f>'Seleccion proyecto HEREVEA02'!G17</f>
        <v>No hay actuaciones</v>
      </c>
      <c r="F18" s="3472"/>
      <c r="G18" s="3480">
        <f>'Seleccion proyecto HEREVEA02'!H17</f>
        <v>0</v>
      </c>
    </row>
    <row r="19" spans="1:8" ht="37.5" customHeight="1">
      <c r="A19" s="3471"/>
      <c r="B19" s="3669" t="str">
        <f>'Seleccion proyecto HEREVEA02'!C18</f>
        <v>m.  Bajantes</v>
      </c>
      <c r="C19" s="3514"/>
      <c r="D19" s="3658"/>
      <c r="E19" s="4285" t="str">
        <f>'Seleccion proyecto HEREVEA02'!G18</f>
        <v>No hay actuaciones</v>
      </c>
      <c r="F19" s="4286"/>
      <c r="G19" s="3474">
        <f>'Seleccion proyecto HEREVEA02'!H18</f>
        <v>0</v>
      </c>
    </row>
    <row r="20" spans="1:8" ht="18.5">
      <c r="A20" s="3477" t="str">
        <f>'Seleccion proyecto HEREVEA02'!B19</f>
        <v>CAPÍTULO 05. ESTRUCTURAS</v>
      </c>
      <c r="B20" s="3567"/>
      <c r="C20" s="3653"/>
      <c r="D20" s="4282"/>
      <c r="E20" s="4283"/>
      <c r="F20" s="4284"/>
      <c r="G20" s="3510"/>
      <c r="H20" s="3516">
        <f>BCRR_REHAB!Q1152</f>
        <v>0</v>
      </c>
    </row>
    <row r="21" spans="1:8" ht="18.5">
      <c r="A21" s="3478"/>
      <c r="B21" s="3666" t="str">
        <f>'Seleccion proyecto HEREVEA02'!C21</f>
        <v>m2. Forjados</v>
      </c>
      <c r="C21" s="3478"/>
      <c r="D21" s="3665"/>
      <c r="E21" s="3475" t="str">
        <f>'Seleccion proyecto HEREVEA02'!G21</f>
        <v>No hay actuaciones</v>
      </c>
      <c r="F21" s="3472"/>
      <c r="G21" s="3480">
        <f>'Seleccion proyecto HEREVEA02'!H21</f>
        <v>0</v>
      </c>
    </row>
    <row r="22" spans="1:8" ht="18.5">
      <c r="A22" s="3477" t="str">
        <f>'Seleccion proyecto HEREVEA02'!B25</f>
        <v>CAPÍTULO 06. ALBAÑILERÍA</v>
      </c>
      <c r="B22" s="3567"/>
      <c r="C22" s="3653"/>
      <c r="D22" s="4282"/>
      <c r="E22" s="4283"/>
      <c r="F22" s="4284"/>
      <c r="G22" s="3510"/>
      <c r="H22" s="3516">
        <f>BCRR_REHAB!Q1247</f>
        <v>0</v>
      </c>
    </row>
    <row r="23" spans="1:8" ht="18.5">
      <c r="A23" s="3471"/>
      <c r="B23" s="3669" t="str">
        <f>'Seleccion proyecto HEREVEA02'!C26</f>
        <v>m2. Distr. Tabiquería (Particiones)</v>
      </c>
      <c r="C23" s="3514"/>
      <c r="D23" s="3658" t="str">
        <f>'Seleccion proyecto HEREVEA02'!D27</f>
        <v>Fisuras</v>
      </c>
      <c r="E23" s="3660" t="str">
        <f>'Seleccion proyecto HEREVEA02'!G27</f>
        <v>No hay actuaciones</v>
      </c>
      <c r="F23" s="3661"/>
      <c r="G23" s="3474">
        <f>'Seleccion proyecto HEREVEA02'!H27</f>
        <v>0</v>
      </c>
    </row>
    <row r="24" spans="1:8" ht="18.5">
      <c r="A24" s="3479"/>
      <c r="B24" s="3666"/>
      <c r="C24" s="3478"/>
      <c r="D24" s="3665" t="str">
        <f>'Seleccion proyecto HEREVEA02'!D28</f>
        <v>Grietas</v>
      </c>
      <c r="E24" s="3662" t="str">
        <f>'Seleccion proyecto HEREVEA02'!G28</f>
        <v>No hay actuaciones</v>
      </c>
      <c r="F24" s="3663"/>
      <c r="G24" s="3480">
        <f>'Seleccion proyecto HEREVEA02'!H28</f>
        <v>0</v>
      </c>
    </row>
    <row r="25" spans="1:8" ht="18.5">
      <c r="A25" s="3471"/>
      <c r="B25" s="3669" t="str">
        <f>'Seleccion proyecto HEREVEA02'!C29</f>
        <v xml:space="preserve">m2. Cerramientos de Ladrillo </v>
      </c>
      <c r="C25" s="3514"/>
      <c r="D25" s="3658" t="str">
        <f>'Seleccion proyecto HEREVEA02'!D30</f>
        <v>Fisuras</v>
      </c>
      <c r="E25" s="3660" t="str">
        <f>'Seleccion proyecto HEREVEA02'!G30</f>
        <v>No hay actuaciones</v>
      </c>
      <c r="F25" s="3661"/>
      <c r="G25" s="3474">
        <f>'Seleccion proyecto HEREVEA02'!H30</f>
        <v>0</v>
      </c>
    </row>
    <row r="26" spans="1:8" ht="55.5" customHeight="1">
      <c r="A26" s="3479"/>
      <c r="B26" s="3666"/>
      <c r="C26" s="3478"/>
      <c r="D26" s="3665" t="str">
        <f>'Seleccion proyecto HEREVEA02'!D31</f>
        <v>Grietas</v>
      </c>
      <c r="E26" s="4280" t="str">
        <f>'Seleccion proyecto HEREVEA02'!G31</f>
        <v>No hay actuaciones</v>
      </c>
      <c r="F26" s="4281"/>
      <c r="G26" s="3480">
        <f>'Seleccion proyecto HEREVEA02'!H31</f>
        <v>0</v>
      </c>
    </row>
    <row r="27" spans="1:8" ht="18.5">
      <c r="A27" s="3471"/>
      <c r="B27" s="3669"/>
      <c r="C27" s="3514"/>
      <c r="D27" s="3658" t="str">
        <f>'Seleccion proyecto HEREVEA02'!D32</f>
        <v>Humedades en suelo</v>
      </c>
      <c r="E27" s="3664" t="str">
        <f>'Seleccion proyecto HEREVEA02'!G32</f>
        <v>No hay actuaciones</v>
      </c>
      <c r="F27" s="3661"/>
      <c r="G27" s="3474">
        <f>'Seleccion proyecto HEREVEA02'!H32</f>
        <v>0</v>
      </c>
    </row>
    <row r="28" spans="1:8" ht="18.5">
      <c r="A28" s="3479"/>
      <c r="B28" s="3666"/>
      <c r="C28" s="3478"/>
      <c r="D28" s="3688" t="str">
        <f>'Seleccion proyecto HEREVEA02'!D33</f>
        <v>Humedades en techo</v>
      </c>
      <c r="E28" s="4280" t="str">
        <f>'Seleccion proyecto HEREVEA02'!G33</f>
        <v>No hay actuaciones</v>
      </c>
      <c r="F28" s="4281"/>
      <c r="G28" s="3672">
        <f>'Seleccion proyecto HEREVEA02'!H33</f>
        <v>0</v>
      </c>
    </row>
    <row r="29" spans="1:8" ht="18.5">
      <c r="A29" s="3471"/>
      <c r="B29" s="3669" t="str">
        <f>'Seleccion proyecto HEREVEA02'!C34</f>
        <v xml:space="preserve">m2. Fábricas Interiores de Ladrillo </v>
      </c>
      <c r="C29" s="3514"/>
      <c r="D29" s="3658" t="str">
        <f>'Seleccion proyecto HEREVEA02'!D35</f>
        <v>Fisuras</v>
      </c>
      <c r="E29" s="3660" t="str">
        <f>'Seleccion proyecto HEREVEA02'!G35</f>
        <v>No hay actuaciones</v>
      </c>
      <c r="F29" s="3661"/>
      <c r="G29" s="3474">
        <f>'Seleccion proyecto HEREVEA02'!H35</f>
        <v>0</v>
      </c>
    </row>
    <row r="30" spans="1:8" ht="39.75" customHeight="1">
      <c r="A30" s="3479"/>
      <c r="B30" s="3666"/>
      <c r="C30" s="3478"/>
      <c r="D30" s="3665" t="str">
        <f>'Seleccion proyecto HEREVEA02'!D36</f>
        <v>Grietas</v>
      </c>
      <c r="E30" s="4280" t="str">
        <f>'Seleccion proyecto HEREVEA02'!G36</f>
        <v>No hay actuaciones</v>
      </c>
      <c r="F30" s="4281"/>
      <c r="G30" s="3480">
        <f>'Seleccion proyecto HEREVEA02'!H36</f>
        <v>0</v>
      </c>
    </row>
    <row r="31" spans="1:8" ht="18.5">
      <c r="A31" s="3471"/>
      <c r="B31" s="3670"/>
      <c r="C31" s="3471"/>
      <c r="D31" s="3658" t="str">
        <f>'Seleccion proyecto HEREVEA02'!D37</f>
        <v>Humedades en suelo</v>
      </c>
      <c r="E31" s="4305" t="str">
        <f>'Seleccion proyecto HEREVEA02'!G37</f>
        <v>No hay actuaciones</v>
      </c>
      <c r="F31" s="4306"/>
      <c r="G31" s="3474">
        <f>'Seleccion proyecto HEREVEA02'!H37</f>
        <v>0</v>
      </c>
    </row>
    <row r="32" spans="1:8" ht="18.5">
      <c r="A32" s="3477" t="str">
        <f>'Seleccion proyecto HEREVEA02'!B38</f>
        <v>CAPÍTULO 07. CUBIERTAS</v>
      </c>
      <c r="B32" s="3567"/>
      <c r="C32" s="3653"/>
      <c r="D32" s="3630"/>
      <c r="E32" s="3511"/>
      <c r="F32" s="3512"/>
      <c r="G32" s="3510"/>
      <c r="H32" s="3516">
        <f>BCRR_REHAB!Q4554</f>
        <v>0</v>
      </c>
    </row>
    <row r="33" spans="1:17" ht="51.75" customHeight="1">
      <c r="A33" s="3478"/>
      <c r="B33" s="3666" t="str">
        <f>'Seleccion proyecto HEREVEA02'!C39</f>
        <v>m2. Cubiertas Horizontales</v>
      </c>
      <c r="C33" s="3478"/>
      <c r="D33" s="3658" t="str">
        <f>'Seleccion proyecto HEREVEA02'!D40</f>
        <v>Cubierta completa</v>
      </c>
      <c r="E33" s="4287" t="str">
        <f>'Seleccion proyecto HEREVEA02'!G40</f>
        <v>Reparación faldón (superf.&gt;60%).Sustitución y reposición faldón completo. Rehab. energ. aislm.lana de oveja</v>
      </c>
      <c r="F33" s="4288"/>
      <c r="G33" s="3659">
        <f>'Seleccion proyecto HEREVEA02'!H40</f>
        <v>0</v>
      </c>
    </row>
    <row r="34" spans="1:17" ht="18.5">
      <c r="A34" s="3471"/>
      <c r="B34" s="3670"/>
      <c r="C34" s="3471"/>
      <c r="D34" s="3665" t="str">
        <f>'Seleccion proyecto HEREVEA02'!D41</f>
        <v>Faldón</v>
      </c>
      <c r="E34" s="3475" t="str">
        <f>'Seleccion proyecto HEREVEA02'!G41</f>
        <v>No hay actuaciones</v>
      </c>
      <c r="F34" s="3472"/>
      <c r="G34" s="3480">
        <f>'Seleccion proyecto HEREVEA02'!H41</f>
        <v>0</v>
      </c>
    </row>
    <row r="35" spans="1:17" ht="55.5">
      <c r="A35" s="3478"/>
      <c r="B35" s="3666"/>
      <c r="C35" s="3478"/>
      <c r="D35" s="3674" t="str">
        <f>'Seleccion proyecto HEREVEA02'!D42</f>
        <v>Encuentros con paramentos verticales</v>
      </c>
      <c r="E35" s="4303" t="str">
        <f>'Seleccion proyecto HEREVEA02'!G42</f>
        <v>No hay actuaciones</v>
      </c>
      <c r="F35" s="4304"/>
      <c r="G35" s="3659">
        <f>'Seleccion proyecto HEREVEA02'!H42</f>
        <v>0</v>
      </c>
    </row>
    <row r="36" spans="1:17" ht="18.5">
      <c r="A36" s="3471"/>
      <c r="B36" s="3670"/>
      <c r="C36" s="3471"/>
      <c r="D36" s="3665" t="str">
        <f>'Seleccion proyecto HEREVEA02'!D43</f>
        <v>Encuentros cazoletas</v>
      </c>
      <c r="E36" s="3475" t="str">
        <f>'Seleccion proyecto HEREVEA02'!G43</f>
        <v>No hay actuaciones</v>
      </c>
      <c r="F36" s="3472"/>
      <c r="G36" s="3480">
        <f>'Seleccion proyecto HEREVEA02'!H43</f>
        <v>0</v>
      </c>
    </row>
    <row r="37" spans="1:17" ht="40.5" customHeight="1">
      <c r="A37" s="3478"/>
      <c r="B37" s="3666" t="str">
        <f>'Seleccion proyecto HEREVEA02'!C44</f>
        <v>m2. Cubiertas Inclinadas</v>
      </c>
      <c r="C37" s="3478"/>
      <c r="D37" s="3658" t="str">
        <f>'Seleccion proyecto HEREVEA02'!D45</f>
        <v>Cubierta completa</v>
      </c>
      <c r="E37" s="4303" t="str">
        <f>'Seleccion proyecto HEREVEA02'!G45</f>
        <v>Reparación faldón (superf.&gt;60%).Sustitución y reposición faldón completo. Rehab. energ. aislm.lana de oveja</v>
      </c>
      <c r="F37" s="4304"/>
      <c r="G37" s="3474">
        <f>'Seleccion proyecto HEREVEA02'!H45</f>
        <v>0</v>
      </c>
    </row>
    <row r="38" spans="1:17" ht="18.5">
      <c r="A38" s="3471"/>
      <c r="B38" s="3670"/>
      <c r="C38" s="3471"/>
      <c r="D38" s="3665" t="str">
        <f>'Seleccion proyecto HEREVEA02'!D46</f>
        <v>Faldón</v>
      </c>
      <c r="E38" s="3475" t="str">
        <f>'Seleccion proyecto HEREVEA02'!G46</f>
        <v>No hay actuaciones</v>
      </c>
      <c r="F38" s="3472"/>
      <c r="G38" s="3480">
        <f>'Seleccion proyecto HEREVEA02'!H46</f>
        <v>0</v>
      </c>
    </row>
    <row r="39" spans="1:17" ht="18.5">
      <c r="A39" s="3478"/>
      <c r="B39" s="3666"/>
      <c r="C39" s="3478"/>
      <c r="D39" s="3658" t="str">
        <f>'Seleccion proyecto HEREVEA02'!D47</f>
        <v>Remates</v>
      </c>
      <c r="E39" s="3476" t="str">
        <f>'Seleccion proyecto HEREVEA02'!G47</f>
        <v>No hay actuaciones</v>
      </c>
      <c r="F39" s="3473"/>
      <c r="G39" s="3474">
        <f>'Seleccion proyecto HEREVEA02'!H47</f>
        <v>0</v>
      </c>
    </row>
    <row r="40" spans="1:17" ht="55.5">
      <c r="A40" s="3471"/>
      <c r="B40" s="3670"/>
      <c r="C40" s="3471"/>
      <c r="D40" s="3688" t="str">
        <f>'Seleccion proyecto HEREVEA02'!D48</f>
        <v>Encuentros con paramentos verticales</v>
      </c>
      <c r="E40" s="3665" t="str">
        <f>'Seleccion proyecto HEREVEA02'!G48</f>
        <v>No hay actuaciones</v>
      </c>
      <c r="F40" s="3472"/>
      <c r="G40" s="3480">
        <f>'Seleccion proyecto HEREVEA02'!H48</f>
        <v>0</v>
      </c>
    </row>
    <row r="41" spans="1:17" ht="18.5">
      <c r="A41" s="3477" t="str">
        <f>'Seleccion proyecto HEREVEA02'!B49</f>
        <v>CAPÍTULO 08. INSTALACIONES</v>
      </c>
      <c r="B41" s="3567"/>
      <c r="C41" s="3477"/>
      <c r="D41" s="3567"/>
      <c r="E41" s="3477"/>
      <c r="F41" s="3477"/>
      <c r="G41" s="3477"/>
      <c r="H41" s="3516">
        <f>BCRR_REHAB!Q5874</f>
        <v>777010.2540472137</v>
      </c>
      <c r="P41" s="3519"/>
      <c r="Q41" s="3529"/>
    </row>
    <row r="42" spans="1:17" ht="18.5">
      <c r="A42" s="3471"/>
      <c r="B42" s="3669" t="str">
        <f>'Seleccion proyecto HEREVEA02'!C50</f>
        <v>u.  Aparatos Climatización</v>
      </c>
      <c r="C42" s="3514"/>
      <c r="D42" s="3658"/>
      <c r="E42" s="3476" t="str">
        <f>'Seleccion proyecto HEREVEA02'!G50</f>
        <v>Nueva instalación</v>
      </c>
      <c r="F42" s="3473"/>
      <c r="G42" s="3474">
        <f>'Seleccion proyecto HEREVEA02'!H50</f>
        <v>100</v>
      </c>
      <c r="P42" s="3519"/>
      <c r="Q42" s="3529"/>
    </row>
    <row r="43" spans="1:17" ht="18.5">
      <c r="A43" s="3478"/>
      <c r="B43" s="3666" t="str">
        <f>'Seleccion proyecto HEREVEA02'!C51</f>
        <v>m2. Radiadores</v>
      </c>
      <c r="C43" s="3478"/>
      <c r="D43" s="3665"/>
      <c r="E43" s="3475" t="str">
        <f>'Seleccion proyecto HEREVEA02'!G51</f>
        <v>No hay actuaciones</v>
      </c>
      <c r="F43" s="3472"/>
      <c r="G43" s="3480">
        <f>'Seleccion proyecto HEREVEA02'!H51</f>
        <v>0</v>
      </c>
    </row>
    <row r="44" spans="1:17" ht="18.5">
      <c r="A44" s="3471"/>
      <c r="B44" s="3669" t="str">
        <f>'Seleccion proyecto HEREVEA02'!C52</f>
        <v>m.  Circuitos</v>
      </c>
      <c r="C44" s="3514"/>
      <c r="D44" s="3658"/>
      <c r="E44" s="3476" t="str">
        <f>'Seleccion proyecto HEREVEA02'!G52</f>
        <v>No hay actuaciones</v>
      </c>
      <c r="F44" s="3473"/>
      <c r="G44" s="3474">
        <f>'Seleccion proyecto HEREVEA02'!H52</f>
        <v>0</v>
      </c>
    </row>
    <row r="45" spans="1:17" ht="18.5">
      <c r="A45" s="3478"/>
      <c r="B45" s="3666" t="str">
        <f>'Seleccion proyecto HEREVEA02'!C53</f>
        <v>m.  Líneas y Derivaciones</v>
      </c>
      <c r="C45" s="3478"/>
      <c r="D45" s="3665"/>
      <c r="E45" s="3475" t="str">
        <f>'Seleccion proyecto HEREVEA02'!G53</f>
        <v>No hay actuaciones</v>
      </c>
      <c r="F45" s="3472"/>
      <c r="G45" s="3480">
        <f>'Seleccion proyecto HEREVEA02'!H53</f>
        <v>0</v>
      </c>
    </row>
    <row r="46" spans="1:17" ht="18.5">
      <c r="A46" s="3471"/>
      <c r="B46" s="3669" t="str">
        <f>'Seleccion proyecto HEREVEA02'!C54</f>
        <v>u.  Puntos de luz</v>
      </c>
      <c r="C46" s="3514"/>
      <c r="D46" s="3658"/>
      <c r="E46" s="3476" t="str">
        <f>'Seleccion proyecto HEREVEA02'!G54</f>
        <v>No hay actuaciones</v>
      </c>
      <c r="F46" s="3473"/>
      <c r="G46" s="3474">
        <f>'Seleccion proyecto HEREVEA02'!H54</f>
        <v>0</v>
      </c>
    </row>
    <row r="47" spans="1:17" ht="18.5">
      <c r="A47" s="3478"/>
      <c r="B47" s="3666" t="str">
        <f>'Seleccion proyecto HEREVEA02'!C55</f>
        <v>u.  Toma de corriente</v>
      </c>
      <c r="C47" s="3478"/>
      <c r="D47" s="3665"/>
      <c r="E47" s="3475" t="str">
        <f>'Seleccion proyecto HEREVEA02'!G55</f>
        <v>No hay actuaciones</v>
      </c>
      <c r="F47" s="3472"/>
      <c r="G47" s="3480">
        <f>'Seleccion proyecto HEREVEA02'!H55</f>
        <v>0</v>
      </c>
    </row>
    <row r="48" spans="1:17" ht="18.5">
      <c r="A48" s="3471"/>
      <c r="B48" s="3669" t="str">
        <f>'Seleccion proyecto HEREVEA02'!C56</f>
        <v>m. Conductor de Puesta a Tierra</v>
      </c>
      <c r="C48" s="3514"/>
      <c r="D48" s="3658"/>
      <c r="E48" s="3476" t="str">
        <f>'Seleccion proyecto HEREVEA02'!G56</f>
        <v>No hay actuaciones</v>
      </c>
      <c r="F48" s="3473"/>
      <c r="G48" s="3474">
        <f>'Seleccion proyecto HEREVEA02'!H56</f>
        <v>0</v>
      </c>
    </row>
    <row r="49" spans="1:13" ht="18.5">
      <c r="A49" s="3478"/>
      <c r="B49" s="3666" t="str">
        <f>'Seleccion proyecto HEREVEA02'!C57</f>
        <v>m.  Canalizaciones Agua Caliente</v>
      </c>
      <c r="C49" s="3478"/>
      <c r="D49" s="3665"/>
      <c r="E49" s="3475" t="str">
        <f>'Seleccion proyecto HEREVEA02'!G57</f>
        <v>No hay actuaciones</v>
      </c>
      <c r="F49" s="3472"/>
      <c r="G49" s="3480">
        <f>'Seleccion proyecto HEREVEA02'!H57</f>
        <v>0</v>
      </c>
    </row>
    <row r="50" spans="1:13" ht="18.5">
      <c r="A50" s="3471"/>
      <c r="B50" s="3669" t="str">
        <f>'Seleccion proyecto HEREVEA02'!C58</f>
        <v>u.  Desagües</v>
      </c>
      <c r="C50" s="3514"/>
      <c r="D50" s="3658"/>
      <c r="E50" s="3476">
        <f>'Seleccion proyecto HEREVEA02'!G58</f>
        <v>0</v>
      </c>
      <c r="F50" s="3473"/>
      <c r="G50" s="3474">
        <f>'Seleccion proyecto HEREVEA02'!H58</f>
        <v>0</v>
      </c>
    </row>
    <row r="51" spans="1:13" ht="18.5">
      <c r="A51" s="3478"/>
      <c r="B51" s="3666" t="str">
        <f>'Seleccion proyecto HEREVEA02'!C59</f>
        <v>m.  Canalizaciones Agua Fría</v>
      </c>
      <c r="C51" s="3478"/>
      <c r="D51" s="3665"/>
      <c r="E51" s="3475" t="str">
        <f>'Seleccion proyecto HEREVEA02'!G59</f>
        <v>No hay actuaciones</v>
      </c>
      <c r="F51" s="3472"/>
      <c r="G51" s="3480">
        <f>'Seleccion proyecto HEREVEA02'!H59</f>
        <v>0</v>
      </c>
    </row>
    <row r="52" spans="1:13" ht="18.5">
      <c r="A52" s="3471"/>
      <c r="B52" s="3669" t="str">
        <f>'Seleccion proyecto HEREVEA02'!C60</f>
        <v>u.  Aparatos Sanitarios</v>
      </c>
      <c r="C52" s="3514"/>
      <c r="D52" s="3658"/>
      <c r="E52" s="3476" t="str">
        <f>'Seleccion proyecto HEREVEA02'!G60</f>
        <v>No hay actuaciones</v>
      </c>
      <c r="F52" s="3473"/>
      <c r="G52" s="3474">
        <f>'Seleccion proyecto HEREVEA02'!H60</f>
        <v>0</v>
      </c>
    </row>
    <row r="53" spans="1:13" ht="36" customHeight="1">
      <c r="A53" s="3478"/>
      <c r="B53" s="3666" t="str">
        <f>'Seleccion proyecto HEREVEA02'!C61</f>
        <v>u. Termos/calentadores</v>
      </c>
      <c r="C53" s="3478"/>
      <c r="D53" s="3665"/>
      <c r="E53" s="4280" t="str">
        <f>'Seleccion proyecto HEREVEA02'!G61</f>
        <v>No hay actuaciones</v>
      </c>
      <c r="F53" s="4281"/>
      <c r="G53" s="3672">
        <f>'Seleccion proyecto HEREVEA02'!H61</f>
        <v>0</v>
      </c>
      <c r="M53" s="3517"/>
    </row>
    <row r="54" spans="1:13" ht="18.5">
      <c r="A54" s="3477" t="str">
        <f>'Seleccion proyecto HEREVEA02'!B62</f>
        <v>CAPÍTULO 11. CARPINTERÍA Y ELEMENTOS DE SEGURIDAD Y PROTECCIÓN</v>
      </c>
      <c r="B54" s="3567"/>
      <c r="C54" s="3477"/>
      <c r="D54" s="3567"/>
      <c r="E54" s="3477"/>
      <c r="F54" s="3477"/>
      <c r="G54" s="3477"/>
      <c r="H54" s="3516">
        <f>BCRR_REHAB!Q9066</f>
        <v>0</v>
      </c>
    </row>
    <row r="55" spans="1:13" ht="42" customHeight="1">
      <c r="A55" s="3471"/>
      <c r="B55" s="3669" t="str">
        <f>'Seleccion proyecto HEREVEA02'!C63</f>
        <v>m2. Carpintería Ligera</v>
      </c>
      <c r="C55" s="3514"/>
      <c r="D55" s="3665"/>
      <c r="E55" s="4280" t="str">
        <f>'Seleccion proyecto HEREVEA02'!G63</f>
        <v>No hay actuaciones</v>
      </c>
      <c r="F55" s="4281"/>
      <c r="G55" s="3672">
        <f>'Seleccion proyecto HEREVEA02'!H63</f>
        <v>0</v>
      </c>
    </row>
    <row r="56" spans="1:13" ht="18.5">
      <c r="A56" s="3478"/>
      <c r="B56" s="3666" t="str">
        <f>'Seleccion proyecto HEREVEA02'!C64</f>
        <v>m2. Carpintería Madera</v>
      </c>
      <c r="C56" s="3654"/>
      <c r="D56" s="3675"/>
      <c r="E56" s="3481" t="str">
        <f>'Seleccion proyecto HEREVEA02'!G64</f>
        <v>No hay actuaciones</v>
      </c>
      <c r="F56" s="3482"/>
      <c r="G56" s="3483">
        <f>'Seleccion proyecto HEREVEA02'!H64</f>
        <v>0</v>
      </c>
    </row>
    <row r="57" spans="1:13" ht="18.5">
      <c r="A57" s="3471"/>
      <c r="B57" s="3669" t="str">
        <f>'Seleccion proyecto HEREVEA02'!C65</f>
        <v>m2. Rejas</v>
      </c>
      <c r="C57" s="3514"/>
      <c r="D57" s="3665"/>
      <c r="E57" s="3475" t="str">
        <f>'Seleccion proyecto HEREVEA02'!G66</f>
        <v>No hay actuaciones</v>
      </c>
      <c r="F57" s="3472"/>
      <c r="G57" s="3480">
        <f>'Seleccion proyecto HEREVEA02'!H66</f>
        <v>0</v>
      </c>
    </row>
    <row r="58" spans="1:13" ht="18.5">
      <c r="A58" s="3567" t="s">
        <v>3483</v>
      </c>
      <c r="B58" s="3567"/>
      <c r="C58" s="3477"/>
      <c r="D58" s="3567"/>
      <c r="E58" s="3477"/>
      <c r="F58" s="3477"/>
      <c r="G58" s="3650" t="s">
        <v>3477</v>
      </c>
      <c r="H58" s="3516"/>
    </row>
    <row r="59" spans="1:13" ht="18.5">
      <c r="A59" s="3478"/>
      <c r="B59" s="3666" t="s">
        <v>3475</v>
      </c>
      <c r="C59" s="3654"/>
      <c r="D59" s="3675"/>
      <c r="E59" s="3481" t="str">
        <f>'Seleccion proyecto HEREVEA02'!G69</f>
        <v>Rectificación de peldañeado de escalera en zonas comunes</v>
      </c>
      <c r="F59" s="3482"/>
      <c r="G59" s="3833">
        <f>'Seleccion proyecto HEREVEA02'!H69</f>
        <v>100</v>
      </c>
    </row>
    <row r="60" spans="1:13" ht="18.5">
      <c r="A60" s="3471"/>
      <c r="B60" s="3669" t="s">
        <v>3476</v>
      </c>
      <c r="C60" s="3514"/>
      <c r="D60" s="3665"/>
      <c r="E60" s="3475" t="str">
        <f>'Seleccion proyecto HEREVEA02'!G70</f>
        <v>Instalación de rampa</v>
      </c>
      <c r="F60" s="3472"/>
      <c r="G60" s="3480">
        <f>'Seleccion proyecto HEREVEA02'!H70</f>
        <v>100</v>
      </c>
    </row>
    <row r="61" spans="1:13" ht="18.5">
      <c r="A61" s="3471"/>
      <c r="B61" s="3669" t="str">
        <f>'Seleccion proyecto HEREVEA02'!C71</f>
        <v>u. Portero electrónico</v>
      </c>
      <c r="C61" s="3514"/>
      <c r="D61" s="3675"/>
      <c r="E61" s="3481" t="str">
        <f>'Seleccion proyecto HEREVEA02'!G71</f>
        <v>No hay actuaciones</v>
      </c>
      <c r="F61" s="3482"/>
      <c r="G61" s="3833">
        <f>'Seleccion proyecto HEREVEA02'!H71</f>
        <v>0</v>
      </c>
    </row>
    <row r="62" spans="1:13" ht="18.5">
      <c r="A62" s="3471"/>
      <c r="B62" s="3669" t="str">
        <f>'Seleccion proyecto HEREVEA02'!C72</f>
        <v>u. Ascensor</v>
      </c>
      <c r="C62" s="3514"/>
      <c r="D62" s="3665"/>
      <c r="E62" s="3475" t="str">
        <f>'Seleccion proyecto HEREVEA02'!G72</f>
        <v>No hay actuaciones</v>
      </c>
      <c r="F62" s="3472"/>
      <c r="G62" s="3480">
        <f>'Seleccion proyecto HEREVEA02'!H72</f>
        <v>100</v>
      </c>
    </row>
    <row r="63" spans="1:13" ht="21">
      <c r="A63" s="3678"/>
      <c r="B63" s="3684"/>
      <c r="C63" s="3685"/>
      <c r="D63" s="3686"/>
      <c r="E63" s="3687"/>
      <c r="F63" s="3687"/>
      <c r="G63" s="3687"/>
      <c r="H63" s="3488">
        <f>BCRR_REHAB!Q9826</f>
        <v>0</v>
      </c>
    </row>
    <row r="64" spans="1:13" ht="15" thickBot="1"/>
    <row r="65" spans="1:18" ht="25" thickBot="1">
      <c r="A65" s="3718" t="s">
        <v>3487</v>
      </c>
      <c r="B65" s="3719"/>
      <c r="C65" s="3720"/>
      <c r="D65" s="3719"/>
      <c r="E65" s="3720"/>
      <c r="F65" s="3720"/>
      <c r="G65" s="3721"/>
      <c r="H65" s="3525"/>
      <c r="I65" s="3526"/>
    </row>
    <row r="67" spans="1:18" ht="21">
      <c r="A67" s="3680" t="str">
        <f>A14</f>
        <v>CAPÍTULO 03. CIMENTACIONES</v>
      </c>
      <c r="B67" s="3680"/>
      <c r="C67" s="3680"/>
      <c r="D67" s="3680"/>
      <c r="E67" s="3680"/>
      <c r="F67" s="3680"/>
      <c r="G67" s="3681">
        <f>H14</f>
        <v>0</v>
      </c>
      <c r="H67" s="3773">
        <f>G67/$H$102</f>
        <v>0</v>
      </c>
      <c r="I67" s="3772" t="s">
        <v>3494</v>
      </c>
      <c r="K67" s="3772" t="s">
        <v>3495</v>
      </c>
    </row>
    <row r="68" spans="1:18" ht="21">
      <c r="A68" s="3682" t="str">
        <f>A16</f>
        <v>CAPÍTULO 04. SANEAMIENTO</v>
      </c>
      <c r="B68" s="3682"/>
      <c r="C68" s="3682"/>
      <c r="D68" s="3682"/>
      <c r="E68" s="3682"/>
      <c r="F68" s="3682"/>
      <c r="G68" s="3683">
        <f>H16</f>
        <v>0</v>
      </c>
      <c r="H68" s="3773">
        <f>G68/$H$102</f>
        <v>0</v>
      </c>
      <c r="I68" s="3772" t="s">
        <v>3494</v>
      </c>
    </row>
    <row r="69" spans="1:18" ht="21">
      <c r="A69" s="3680" t="str">
        <f>A20</f>
        <v>CAPÍTULO 05. ESTRUCTURAS</v>
      </c>
      <c r="B69" s="3680"/>
      <c r="C69" s="3680"/>
      <c r="D69" s="3680"/>
      <c r="E69" s="3680"/>
      <c r="F69" s="3680"/>
      <c r="G69" s="3681">
        <f>H20</f>
        <v>0</v>
      </c>
      <c r="H69" s="3773">
        <f t="shared" ref="H69" si="0">G69/$H$102*100</f>
        <v>0</v>
      </c>
      <c r="I69" s="3772" t="s">
        <v>3494</v>
      </c>
      <c r="K69" t="s">
        <v>3496</v>
      </c>
    </row>
    <row r="70" spans="1:18" ht="25">
      <c r="A70" s="3682" t="str">
        <f>A22</f>
        <v>CAPÍTULO 06. ALBAÑILERÍA</v>
      </c>
      <c r="B70" s="3682"/>
      <c r="C70" s="3682"/>
      <c r="D70" s="3682"/>
      <c r="E70" s="3682"/>
      <c r="F70" s="3682"/>
      <c r="G70" s="3683">
        <f>H22</f>
        <v>0</v>
      </c>
      <c r="H70" s="3773">
        <f>G70/$H$102</f>
        <v>0</v>
      </c>
      <c r="I70" s="3772" t="s">
        <v>3494</v>
      </c>
      <c r="J70" s="3469"/>
      <c r="K70" s="3694"/>
      <c r="L70" s="3469"/>
      <c r="M70" s="3694"/>
      <c r="N70" s="3469"/>
      <c r="O70" s="3469"/>
      <c r="P70" s="3469"/>
      <c r="Q70" s="3469"/>
      <c r="R70" s="3469"/>
    </row>
    <row r="71" spans="1:18" ht="21">
      <c r="A71" s="3680" t="str">
        <f>A32</f>
        <v>CAPÍTULO 07. CUBIERTAS</v>
      </c>
      <c r="B71" s="3680"/>
      <c r="C71" s="3680"/>
      <c r="D71" s="3680"/>
      <c r="E71" s="3680"/>
      <c r="F71" s="3680"/>
      <c r="G71" s="3681">
        <f>H32</f>
        <v>0</v>
      </c>
      <c r="H71" s="3773">
        <f>G71/$H$102</f>
        <v>0</v>
      </c>
      <c r="I71" s="3772" t="s">
        <v>3494</v>
      </c>
    </row>
    <row r="72" spans="1:18" ht="21">
      <c r="A72" s="3682" t="str">
        <f>A41</f>
        <v>CAPÍTULO 08. INSTALACIONES</v>
      </c>
      <c r="B72" s="3682"/>
      <c r="C72" s="3682"/>
      <c r="D72" s="3682"/>
      <c r="E72" s="3682"/>
      <c r="F72" s="3682"/>
      <c r="G72" s="3683">
        <f>H41</f>
        <v>777010.2540472137</v>
      </c>
      <c r="H72" s="3773">
        <f>G72/$H$102</f>
        <v>0.12296084135169209</v>
      </c>
      <c r="I72" s="3772" t="s">
        <v>3494</v>
      </c>
    </row>
    <row r="73" spans="1:18" ht="21">
      <c r="A73" s="3680" t="str">
        <f>A54</f>
        <v>CAPÍTULO 11. CARPINTERÍA Y ELEMENTOS DE SEGURIDAD Y PROTECCIÓN</v>
      </c>
      <c r="B73" s="3680"/>
      <c r="C73" s="3680"/>
      <c r="D73" s="3680"/>
      <c r="E73" s="3680"/>
      <c r="F73" s="3680"/>
      <c r="G73" s="3681">
        <f>H54</f>
        <v>0</v>
      </c>
      <c r="H73" s="3773">
        <f>G73/$H$102</f>
        <v>0</v>
      </c>
      <c r="I73" s="3772" t="s">
        <v>3494</v>
      </c>
    </row>
    <row r="74" spans="1:18" ht="21">
      <c r="A74" s="3682" t="str">
        <f>A58</f>
        <v>CAPÍTULO DE ACCESIBILIDAD</v>
      </c>
      <c r="B74" s="3682"/>
      <c r="C74" s="3682"/>
      <c r="D74" s="3682"/>
      <c r="E74" s="3682"/>
      <c r="F74" s="3682"/>
      <c r="G74" s="3683">
        <f>H58</f>
        <v>0</v>
      </c>
      <c r="H74" s="3773">
        <f>G74/$H$102</f>
        <v>0</v>
      </c>
      <c r="I74" s="3772" t="s">
        <v>3494</v>
      </c>
    </row>
    <row r="75" spans="1:18" s="22" customFormat="1" ht="21">
      <c r="A75" s="3678"/>
      <c r="B75" s="3678"/>
      <c r="C75" s="3678"/>
      <c r="D75" s="3678"/>
      <c r="E75" s="3678"/>
      <c r="F75" s="3678"/>
      <c r="G75" s="3679"/>
    </row>
    <row r="76" spans="1:18" ht="21">
      <c r="A76" s="3486" t="s">
        <v>3484</v>
      </c>
      <c r="B76" s="3486"/>
      <c r="C76" s="3486"/>
      <c r="D76" s="3486"/>
      <c r="E76" s="3486"/>
      <c r="F76" s="3486"/>
      <c r="G76" s="3677">
        <f>H63</f>
        <v>0</v>
      </c>
      <c r="H76" s="3773">
        <f>G76/$H$102</f>
        <v>0</v>
      </c>
      <c r="I76" s="3772" t="s">
        <v>3494</v>
      </c>
    </row>
    <row r="77" spans="1:18" ht="21">
      <c r="A77" s="2327"/>
      <c r="B77" s="3676"/>
      <c r="C77" s="2327"/>
      <c r="D77" s="3676"/>
      <c r="E77" s="2327"/>
      <c r="F77" s="2327"/>
      <c r="G77" s="2327"/>
    </row>
    <row r="79" spans="1:18" ht="24.5">
      <c r="A79" s="3730" t="s">
        <v>3457</v>
      </c>
      <c r="B79" s="3731"/>
      <c r="C79" s="3732"/>
      <c r="D79" s="3731"/>
      <c r="E79" s="3732"/>
      <c r="F79" s="3732"/>
      <c r="G79" s="3733"/>
      <c r="H79" s="3729"/>
      <c r="I79" s="3729"/>
    </row>
    <row r="82" spans="1:9" ht="18.5">
      <c r="A82" s="3567" t="s">
        <v>1601</v>
      </c>
      <c r="B82" s="3567" t="s">
        <v>3408</v>
      </c>
      <c r="C82" s="3652"/>
      <c r="D82" s="4298" t="str">
        <f>'Seleccion proyecto HEREVEA02'!G6</f>
        <v>Actuación</v>
      </c>
      <c r="E82" s="4299"/>
      <c r="F82" s="4300"/>
      <c r="G82" s="3531" t="str">
        <f>'Seleccion proyecto HEREVEA02'!H6</f>
        <v>Grado de actuación (%)</v>
      </c>
      <c r="H82" s="3568" t="s">
        <v>3409</v>
      </c>
    </row>
    <row r="83" spans="1:9" ht="18.5">
      <c r="A83" s="3513" t="str">
        <f>'Seleccion proyecto HEREVEA02'!B7</f>
        <v>CAPÍTULO 01. DEMOLICIONES Y TRABAJOS PREVIOS</v>
      </c>
      <c r="B83" s="3668"/>
      <c r="C83" s="3513"/>
      <c r="D83" s="3630"/>
      <c r="E83" s="3511"/>
      <c r="F83" s="3512"/>
      <c r="G83" s="3515"/>
      <c r="H83" s="3516">
        <f>'BCRR DEMOLICION'!R8</f>
        <v>1403903.7284200001</v>
      </c>
      <c r="I83" s="2742"/>
    </row>
    <row r="84" spans="1:9" ht="36.75" customHeight="1">
      <c r="A84" s="3471"/>
      <c r="B84" s="3669" t="str">
        <f>'Seleccion proyecto HEREVEA02'!C8</f>
        <v>m3. Edificaciones</v>
      </c>
      <c r="C84" s="3514"/>
      <c r="D84" s="3658" t="s">
        <v>3405</v>
      </c>
      <c r="E84" s="4287" t="str">
        <f>'Seleccion proyecto HEREVEA02'!G8</f>
        <v>Edificio exento estructura hormigón m.mecánicos</v>
      </c>
      <c r="F84" s="4288"/>
      <c r="G84" s="3693">
        <f>'Seleccion proyecto HEREVEA02'!H8</f>
        <v>100</v>
      </c>
    </row>
    <row r="87" spans="1:9" ht="18.5">
      <c r="A87" s="3477" t="s">
        <v>3432</v>
      </c>
      <c r="B87" s="3567"/>
      <c r="C87" s="3653"/>
      <c r="D87" s="4282"/>
      <c r="E87" s="4283"/>
      <c r="F87" s="4284"/>
      <c r="G87" s="3510"/>
      <c r="H87" s="3521">
        <f>'BCRR DEMOLICION'!Q49</f>
        <v>764925.29785624996</v>
      </c>
    </row>
    <row r="88" spans="1:9" ht="39" customHeight="1">
      <c r="A88" s="3471"/>
      <c r="B88" s="3669" t="s">
        <v>3456</v>
      </c>
      <c r="C88" s="3514"/>
      <c r="D88" s="3658"/>
      <c r="E88" s="4285" t="str">
        <f>'Seleccion proyecto HEREVEA02'!G8</f>
        <v>Edificio exento estructura hormigón m.mecánicos</v>
      </c>
      <c r="F88" s="4286"/>
      <c r="G88" s="3520">
        <f>'Seleccion proyecto HEREVEA02'!H8</f>
        <v>100</v>
      </c>
    </row>
    <row r="89" spans="1:9" s="22" customFormat="1" ht="17.25" customHeight="1">
      <c r="A89" s="3695"/>
      <c r="B89" s="3734"/>
      <c r="C89" s="3735"/>
      <c r="D89" s="3734"/>
      <c r="E89" s="3736"/>
      <c r="F89" s="3736"/>
      <c r="G89" s="3737"/>
    </row>
    <row r="90" spans="1:9" s="22" customFormat="1" ht="20.25" customHeight="1">
      <c r="A90" s="3695"/>
      <c r="B90" s="3734"/>
      <c r="C90" s="3735"/>
      <c r="D90" s="3734"/>
      <c r="E90" s="3736"/>
      <c r="F90" s="3736"/>
      <c r="G90" s="3737"/>
    </row>
    <row r="91" spans="1:9" ht="24.5">
      <c r="A91" s="3730" t="s">
        <v>3488</v>
      </c>
      <c r="B91" s="3731"/>
      <c r="C91" s="3732"/>
      <c r="D91" s="3731"/>
      <c r="E91" s="3732"/>
      <c r="F91" s="3732"/>
      <c r="G91" s="3733"/>
      <c r="H91" s="3729"/>
      <c r="I91" s="3729"/>
    </row>
    <row r="92" spans="1:9" s="22" customFormat="1" ht="21" customHeight="1">
      <c r="A92" s="3695"/>
      <c r="B92" s="3671"/>
      <c r="C92" s="3529"/>
      <c r="D92" s="3671"/>
      <c r="E92" s="3696"/>
      <c r="F92" s="3697"/>
      <c r="G92" s="3698"/>
    </row>
    <row r="93" spans="1:9" ht="21">
      <c r="A93" s="3699" t="str">
        <f>A83</f>
        <v>CAPÍTULO 01. DEMOLICIONES Y TRABAJOS PREVIOS</v>
      </c>
      <c r="B93" s="3680"/>
      <c r="C93" s="3680"/>
      <c r="D93" s="3680"/>
      <c r="E93" s="3680"/>
      <c r="F93" s="3680"/>
      <c r="G93" s="3681">
        <f>H83</f>
        <v>1403903.7284200001</v>
      </c>
    </row>
    <row r="94" spans="1:9" ht="23.25" customHeight="1">
      <c r="A94" s="3682" t="str">
        <f>A87</f>
        <v>CAPÍTULO 17. GESTIÓN DE RESIDUOS</v>
      </c>
      <c r="B94" s="3682"/>
      <c r="C94" s="3682"/>
      <c r="D94" s="3682"/>
      <c r="E94" s="3682"/>
      <c r="F94" s="3682"/>
      <c r="G94" s="3683">
        <f>H87</f>
        <v>764925.29785624996</v>
      </c>
    </row>
    <row r="95" spans="1:9" s="22" customFormat="1" ht="23.25" customHeight="1">
      <c r="A95" s="3678"/>
      <c r="B95" s="3678"/>
      <c r="C95" s="3678"/>
      <c r="D95" s="3678"/>
      <c r="E95" s="3678"/>
      <c r="F95" s="3678"/>
      <c r="G95" s="3679"/>
    </row>
    <row r="96" spans="1:9" ht="21">
      <c r="A96" s="3486" t="s">
        <v>3485</v>
      </c>
      <c r="B96" s="3486"/>
      <c r="C96" s="3486"/>
      <c r="D96" s="3486"/>
      <c r="E96" s="3486"/>
      <c r="F96" s="3486"/>
      <c r="G96" s="3677">
        <f>SUM(G93:G94)</f>
        <v>2168829.0262762499</v>
      </c>
      <c r="H96" s="3773">
        <f>G96/H102</f>
        <v>0.34321431465007973</v>
      </c>
      <c r="I96" s="3772" t="s">
        <v>3494</v>
      </c>
    </row>
    <row r="97" spans="1:9" s="22" customFormat="1" ht="21">
      <c r="A97" s="3678"/>
      <c r="B97" s="3678"/>
      <c r="C97" s="3678"/>
      <c r="D97" s="3678"/>
      <c r="E97" s="3678"/>
      <c r="F97" s="3678"/>
      <c r="G97" s="3679"/>
    </row>
    <row r="98" spans="1:9" ht="15" thickBot="1"/>
    <row r="99" spans="1:9" ht="25" thickBot="1">
      <c r="A99" s="3714" t="s">
        <v>3433</v>
      </c>
      <c r="B99" s="3715"/>
      <c r="C99" s="3716"/>
      <c r="D99" s="3715"/>
      <c r="E99" s="3716"/>
      <c r="F99" s="3716"/>
      <c r="G99" s="3717"/>
      <c r="H99" s="3522"/>
      <c r="I99" s="3523"/>
    </row>
    <row r="100" spans="1:9" s="22" customFormat="1" ht="18.5">
      <c r="A100" s="3710"/>
      <c r="B100" s="3711"/>
      <c r="C100" s="3712"/>
      <c r="D100" s="3711"/>
      <c r="E100" s="3712"/>
      <c r="F100" s="3710"/>
      <c r="G100" s="3713"/>
    </row>
    <row r="101" spans="1:9" ht="24.75" customHeight="1">
      <c r="A101" s="3477"/>
      <c r="B101" s="3567"/>
      <c r="C101" s="3653"/>
      <c r="D101" s="4282" t="str">
        <f>'Seleccion proyecto HEREVEA02'!G6</f>
        <v>Actuación</v>
      </c>
      <c r="E101" s="4283"/>
      <c r="F101" s="4284"/>
      <c r="G101" s="3531" t="str">
        <f>'Seleccion proyecto HEREVEA02'!N6</f>
        <v>PEM/m2</v>
      </c>
      <c r="H101" s="3568" t="s">
        <v>3409</v>
      </c>
    </row>
    <row r="102" spans="1:9" ht="47.25" customHeight="1">
      <c r="A102" s="3700" t="s">
        <v>3436</v>
      </c>
      <c r="B102" s="3669"/>
      <c r="C102" s="3655"/>
      <c r="D102" s="4287" t="s">
        <v>3438</v>
      </c>
      <c r="E102" s="4297"/>
      <c r="F102" s="4288"/>
      <c r="G102" s="3539">
        <f>'Seleccion proyecto HEREVEA02'!N7</f>
        <v>569.24475028437007</v>
      </c>
      <c r="H102" s="3651">
        <f>C6*G102</f>
        <v>6319168.3263195325</v>
      </c>
      <c r="I102" s="3772"/>
    </row>
    <row r="103" spans="1:9" s="22" customFormat="1" ht="18.75" customHeight="1">
      <c r="A103" s="3739"/>
      <c r="B103" s="3734"/>
      <c r="C103" s="3735"/>
      <c r="D103" s="3740"/>
      <c r="E103" s="3740"/>
      <c r="F103" s="3740"/>
      <c r="G103" s="3741"/>
      <c r="H103" s="3774">
        <f>1</f>
        <v>1</v>
      </c>
      <c r="I103" s="3772" t="s">
        <v>3494</v>
      </c>
    </row>
    <row r="104" spans="1:9" ht="21" customHeight="1" thickBot="1"/>
    <row r="105" spans="1:9" ht="25" thickBot="1">
      <c r="A105" s="3714" t="s">
        <v>3489</v>
      </c>
      <c r="B105" s="3715"/>
      <c r="C105" s="3716"/>
      <c r="D105" s="3715"/>
      <c r="E105" s="3716"/>
      <c r="F105" s="3716"/>
      <c r="G105" s="3717"/>
      <c r="H105" s="3522"/>
      <c r="I105" s="3523"/>
    </row>
    <row r="107" spans="1:9" ht="21">
      <c r="A107" s="3701" t="s">
        <v>3486</v>
      </c>
      <c r="B107" s="3486"/>
      <c r="C107" s="3486"/>
      <c r="D107" s="3486"/>
      <c r="E107" s="3486"/>
      <c r="F107" s="3486"/>
      <c r="G107" s="3677">
        <f>H102</f>
        <v>6319168.3263195325</v>
      </c>
    </row>
    <row r="108" spans="1:9" s="22" customFormat="1" ht="21">
      <c r="A108" s="3738"/>
      <c r="B108" s="3678"/>
      <c r="C108" s="3678"/>
      <c r="D108" s="3678"/>
      <c r="E108" s="3678"/>
      <c r="F108" s="3678"/>
      <c r="G108" s="3679"/>
    </row>
    <row r="109" spans="1:9" ht="15" thickBot="1"/>
    <row r="110" spans="1:9" ht="25" thickBot="1">
      <c r="A110" s="3706" t="s">
        <v>3440</v>
      </c>
      <c r="B110" s="3707"/>
      <c r="C110" s="3708"/>
      <c r="D110" s="3707"/>
      <c r="E110" s="3708"/>
      <c r="F110" s="3708"/>
      <c r="G110" s="3709"/>
      <c r="H110" s="3536"/>
      <c r="I110" s="3537"/>
    </row>
    <row r="111" spans="1:9" ht="16.5" customHeight="1">
      <c r="F111" s="3538"/>
    </row>
    <row r="112" spans="1:9" ht="21">
      <c r="A112" s="3701" t="s">
        <v>3439</v>
      </c>
      <c r="B112" s="3486"/>
      <c r="C112" s="3486"/>
      <c r="D112" s="3486"/>
      <c r="E112" s="3486"/>
      <c r="F112" s="3486"/>
      <c r="G112" s="3742">
        <f>H63</f>
        <v>0</v>
      </c>
      <c r="H112" s="3773">
        <f>H76</f>
        <v>0</v>
      </c>
      <c r="I112" s="3772" t="s">
        <v>3494</v>
      </c>
    </row>
    <row r="113" spans="1:9" ht="21">
      <c r="G113" s="3743"/>
    </row>
    <row r="114" spans="1:9" ht="21">
      <c r="A114" s="3701" t="s">
        <v>3490</v>
      </c>
      <c r="B114" s="3486"/>
      <c r="C114" s="3486"/>
      <c r="D114" s="3486"/>
      <c r="E114" s="3486"/>
      <c r="F114" s="3486"/>
      <c r="G114" s="3742">
        <f>H83+H87+H102</f>
        <v>8487997.3525957819</v>
      </c>
      <c r="H114" s="3773">
        <f>H96+H102/H102</f>
        <v>1.3432143146500797</v>
      </c>
      <c r="I114" s="3772" t="s">
        <v>3494</v>
      </c>
    </row>
  </sheetData>
  <mergeCells count="25">
    <mergeCell ref="D102:F102"/>
    <mergeCell ref="E88:F88"/>
    <mergeCell ref="D82:F82"/>
    <mergeCell ref="D87:F87"/>
    <mergeCell ref="D13:F13"/>
    <mergeCell ref="E37:F37"/>
    <mergeCell ref="E26:F26"/>
    <mergeCell ref="E28:F28"/>
    <mergeCell ref="E30:F30"/>
    <mergeCell ref="E31:F31"/>
    <mergeCell ref="E35:F35"/>
    <mergeCell ref="E53:F53"/>
    <mergeCell ref="A1:G1"/>
    <mergeCell ref="D16:F16"/>
    <mergeCell ref="D20:F20"/>
    <mergeCell ref="C12:G12"/>
    <mergeCell ref="D101:F101"/>
    <mergeCell ref="D22:F22"/>
    <mergeCell ref="E84:F84"/>
    <mergeCell ref="K6:O6"/>
    <mergeCell ref="E55:F55"/>
    <mergeCell ref="D14:F14"/>
    <mergeCell ref="E19:F19"/>
    <mergeCell ref="E33:F33"/>
    <mergeCell ref="H12:H13"/>
  </mergeCells>
  <pageMargins left="0.70866141732283472" right="0.70866141732283472" top="0.74803149606299213" bottom="0.74803149606299213" header="0.31496062992125984" footer="0.31496062992125984"/>
  <pageSetup paperSize="9" scale="46" orientation="portrait" horizontalDpi="4294967295" verticalDpi="4294967295" r:id="rId1"/>
  <rowBreaks count="2" manualBreakCount="2">
    <brk id="40" max="16383" man="1"/>
    <brk id="77"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
  <dimension ref="A1:W145"/>
  <sheetViews>
    <sheetView topLeftCell="B5" zoomScale="98" zoomScaleNormal="98" workbookViewId="0">
      <selection activeCell="G83" sqref="G83"/>
    </sheetView>
  </sheetViews>
  <sheetFormatPr defaultColWidth="10.90625" defaultRowHeight="14.5"/>
  <cols>
    <col min="1" max="1" width="1.7265625" customWidth="1"/>
    <col min="2" max="2" width="30.7265625" customWidth="1"/>
    <col min="3" max="3" width="30.1796875" customWidth="1"/>
    <col min="4" max="4" width="34.453125" customWidth="1"/>
    <col min="5" max="5" width="7.54296875" customWidth="1"/>
    <col min="6" max="6" width="10.26953125" customWidth="1"/>
    <col min="7" max="7" width="99" customWidth="1"/>
    <col min="8" max="8" width="28.81640625" style="1846" bestFit="1" customWidth="1"/>
    <col min="9" max="9" width="60" hidden="1" customWidth="1"/>
    <col min="10" max="10" width="3.453125" customWidth="1"/>
    <col min="11" max="11" width="28.453125" customWidth="1"/>
    <col min="12" max="12" width="27.54296875" customWidth="1"/>
    <col min="13" max="13" width="35.453125" customWidth="1"/>
    <col min="15" max="15" width="13.453125" customWidth="1"/>
    <col min="16" max="16" width="14.54296875" customWidth="1"/>
    <col min="17" max="17" width="8.26953125" customWidth="1"/>
    <col min="18" max="18" width="49" customWidth="1"/>
  </cols>
  <sheetData>
    <row r="1" spans="1:22" ht="27.75" customHeight="1">
      <c r="A1" s="4264" t="s">
        <v>1598</v>
      </c>
      <c r="B1" s="4264"/>
      <c r="C1" s="4264"/>
      <c r="D1" s="4264"/>
      <c r="E1" s="4264"/>
      <c r="F1" s="4264"/>
      <c r="G1" s="4264"/>
      <c r="H1" s="4264"/>
      <c r="I1" s="4264"/>
      <c r="J1" s="4264"/>
      <c r="K1" s="4264"/>
      <c r="L1" s="4264"/>
    </row>
    <row r="2" spans="1:22" s="22" customFormat="1" ht="15" customHeight="1">
      <c r="A2" s="1547"/>
      <c r="B2" s="1547"/>
      <c r="C2" s="1547"/>
      <c r="D2" s="1547"/>
      <c r="E2" s="1547"/>
      <c r="F2" s="1547"/>
      <c r="G2" s="1547"/>
      <c r="H2" s="1912"/>
      <c r="I2" s="1547"/>
      <c r="J2" s="1547"/>
      <c r="K2" s="1547"/>
      <c r="L2" s="1547"/>
    </row>
    <row r="3" spans="1:22" ht="19.5" customHeight="1">
      <c r="B3" s="1175" t="s">
        <v>856</v>
      </c>
      <c r="C3" s="1"/>
      <c r="D3" s="1"/>
      <c r="E3" s="1"/>
      <c r="F3" s="1"/>
      <c r="G3" s="1"/>
      <c r="I3" s="273" t="s">
        <v>1477</v>
      </c>
      <c r="J3" s="1"/>
      <c r="K3" s="1548" t="s">
        <v>1870</v>
      </c>
      <c r="L3" s="1"/>
    </row>
    <row r="4" spans="1:22" ht="24.75" customHeight="1">
      <c r="C4" s="204" t="s">
        <v>674</v>
      </c>
      <c r="D4" s="204"/>
      <c r="E4" s="205" t="str">
        <f>L6</f>
        <v>c107</v>
      </c>
      <c r="J4" s="19"/>
      <c r="K4" s="19"/>
      <c r="L4" s="19"/>
      <c r="M4" s="19"/>
      <c r="N4" s="461"/>
      <c r="R4" s="19"/>
      <c r="S4" s="19"/>
      <c r="T4" s="19"/>
      <c r="U4" s="19"/>
      <c r="V4" s="19"/>
    </row>
    <row r="5" spans="1:22" ht="15.5">
      <c r="B5" s="4314" t="s">
        <v>3401</v>
      </c>
      <c r="C5" s="4315"/>
      <c r="D5" s="4315"/>
      <c r="E5" s="4315"/>
      <c r="F5" s="4315"/>
      <c r="G5" s="4315"/>
      <c r="H5" s="4316"/>
      <c r="J5" s="19"/>
      <c r="K5" s="3456" t="s">
        <v>509</v>
      </c>
      <c r="L5" s="2008" t="s">
        <v>1399</v>
      </c>
      <c r="M5" s="19"/>
      <c r="R5" s="19"/>
      <c r="S5" s="19"/>
      <c r="T5" s="19"/>
      <c r="U5" s="19"/>
      <c r="V5" s="19"/>
    </row>
    <row r="6" spans="1:22" ht="27.75" customHeight="1" thickBot="1">
      <c r="B6" s="2001" t="s">
        <v>162</v>
      </c>
      <c r="C6" s="2001" t="s">
        <v>163</v>
      </c>
      <c r="D6" s="2001"/>
      <c r="E6" s="2002" t="s">
        <v>294</v>
      </c>
      <c r="F6" s="2003" t="s">
        <v>289</v>
      </c>
      <c r="G6" s="1204" t="s">
        <v>1397</v>
      </c>
      <c r="H6" s="1202" t="s">
        <v>1597</v>
      </c>
      <c r="J6" s="19"/>
      <c r="K6" s="2007" t="s">
        <v>292</v>
      </c>
      <c r="L6" s="1565" t="s">
        <v>480</v>
      </c>
      <c r="M6" s="3532" t="s">
        <v>3434</v>
      </c>
      <c r="N6" s="3534" t="s">
        <v>3435</v>
      </c>
      <c r="R6" s="19"/>
      <c r="S6" s="1246"/>
      <c r="T6" s="19"/>
      <c r="U6" s="19"/>
      <c r="V6" s="19"/>
    </row>
    <row r="7" spans="1:22" ht="19.5" customHeight="1">
      <c r="B7" s="1217" t="s">
        <v>3402</v>
      </c>
      <c r="C7" s="3365"/>
      <c r="D7" s="3365"/>
      <c r="E7" s="3365"/>
      <c r="F7" s="3365"/>
      <c r="G7" s="3365"/>
      <c r="H7" s="1913"/>
      <c r="J7" s="19"/>
      <c r="K7" s="123" t="s">
        <v>638</v>
      </c>
      <c r="L7" s="124">
        <f>SUMIF('Datos auxiliares proyectos '!C3:C119,'Seleccion proyecto HEREVEA02'!L6,'Datos auxiliares proyectos '!G3:G119)</f>
        <v>5265973.6052662777</v>
      </c>
      <c r="M7" s="3533">
        <f>L7*1.2</f>
        <v>6319168.3263195334</v>
      </c>
      <c r="N7" s="3535">
        <f>M7/L8</f>
        <v>569.24475028437007</v>
      </c>
      <c r="R7" s="19"/>
      <c r="S7" s="1246"/>
      <c r="T7" s="19"/>
      <c r="U7" s="19"/>
      <c r="V7" s="19"/>
    </row>
    <row r="8" spans="1:22">
      <c r="B8" s="4202" t="s">
        <v>3379</v>
      </c>
      <c r="C8" s="4207" t="s">
        <v>3431</v>
      </c>
      <c r="D8" s="4208"/>
      <c r="E8" s="71">
        <f>L14</f>
        <v>30.5</v>
      </c>
      <c r="F8" s="39">
        <f>L7*E8</f>
        <v>160612194.96062148</v>
      </c>
      <c r="G8" s="1180" t="s">
        <v>3403</v>
      </c>
      <c r="H8" s="3457">
        <v>100</v>
      </c>
      <c r="I8" s="1185"/>
      <c r="J8" s="19"/>
      <c r="K8" s="123">
        <v>195</v>
      </c>
      <c r="L8" s="125">
        <f>SUMIF('Datos auxiliares proyectos '!C3:C119,'Seleccion proyecto HEREVEA02'!L6,'Datos auxiliares proyectos '!D3:D119)</f>
        <v>11100.968999999999</v>
      </c>
      <c r="M8" s="19"/>
      <c r="N8" s="28"/>
      <c r="R8" s="19"/>
      <c r="S8" s="1246"/>
      <c r="T8" s="19"/>
      <c r="U8" s="19"/>
      <c r="V8" s="19"/>
    </row>
    <row r="9" spans="1:22" ht="15.5">
      <c r="C9" s="204"/>
      <c r="D9" s="204"/>
      <c r="E9" s="205"/>
      <c r="H9" s="3404"/>
      <c r="I9" s="1206" t="s">
        <v>1404</v>
      </c>
      <c r="J9" s="19"/>
      <c r="K9" s="123" t="s">
        <v>303</v>
      </c>
      <c r="L9" s="124">
        <f>0.09*L7</f>
        <v>473937.62447396497</v>
      </c>
      <c r="M9" s="19"/>
      <c r="R9" s="19"/>
      <c r="S9" s="1246"/>
      <c r="T9" s="19"/>
      <c r="U9" s="19"/>
      <c r="V9" s="19"/>
    </row>
    <row r="10" spans="1:22" ht="15.5">
      <c r="B10" s="4307" t="s">
        <v>3400</v>
      </c>
      <c r="C10" s="4308"/>
      <c r="D10" s="4308"/>
      <c r="E10" s="4308"/>
      <c r="F10" s="4308"/>
      <c r="G10" s="4308"/>
      <c r="H10" s="4309"/>
      <c r="I10" s="1216"/>
      <c r="J10" s="19"/>
      <c r="K10" s="123" t="s">
        <v>504</v>
      </c>
      <c r="L10" s="1918">
        <f>SUMIF('Datos auxiliares proyectos '!C3:C119,'Seleccion proyecto HEREVEA02'!L6,'Datos auxiliares proyectos '!H3:H119)</f>
        <v>10</v>
      </c>
      <c r="M10" s="19"/>
      <c r="N10" s="28"/>
      <c r="R10" s="19"/>
      <c r="S10" s="1246"/>
      <c r="T10" s="19"/>
      <c r="U10" s="19"/>
      <c r="V10" s="19"/>
    </row>
    <row r="11" spans="1:22" ht="16" thickBot="1">
      <c r="B11" s="2001" t="s">
        <v>162</v>
      </c>
      <c r="C11" s="2001" t="s">
        <v>163</v>
      </c>
      <c r="D11" s="2001"/>
      <c r="E11" s="2002" t="s">
        <v>294</v>
      </c>
      <c r="F11" s="2003" t="s">
        <v>289</v>
      </c>
      <c r="G11" s="1204" t="s">
        <v>1397</v>
      </c>
      <c r="H11" s="1202" t="s">
        <v>1597</v>
      </c>
      <c r="I11" s="1183"/>
      <c r="J11" s="19"/>
      <c r="K11" s="4312" t="s">
        <v>3399</v>
      </c>
      <c r="L11" s="4313"/>
      <c r="M11" s="19"/>
      <c r="R11" s="19"/>
      <c r="S11" s="1246"/>
      <c r="T11" s="19"/>
      <c r="U11" s="19"/>
      <c r="V11" s="19"/>
    </row>
    <row r="12" spans="1:22" ht="21">
      <c r="B12" s="1199"/>
      <c r="C12" s="1200"/>
      <c r="D12" s="1200"/>
      <c r="E12" s="1200"/>
      <c r="F12" s="1201"/>
      <c r="G12" s="1198" t="s">
        <v>1411</v>
      </c>
      <c r="H12" s="1198" t="s">
        <v>1599</v>
      </c>
      <c r="I12" s="1207"/>
      <c r="J12" s="19"/>
      <c r="K12" s="4311" t="s">
        <v>3398</v>
      </c>
      <c r="L12" s="3455">
        <v>2.7</v>
      </c>
      <c r="M12" s="273" t="s">
        <v>3468</v>
      </c>
      <c r="N12" s="273" t="s">
        <v>3467</v>
      </c>
      <c r="O12" t="s">
        <v>3469</v>
      </c>
      <c r="P12" t="s">
        <v>3470</v>
      </c>
      <c r="R12" s="19"/>
      <c r="S12" s="1246"/>
      <c r="T12" s="19"/>
      <c r="U12" s="19"/>
      <c r="V12" s="19"/>
    </row>
    <row r="13" spans="1:22">
      <c r="B13" s="1217" t="s">
        <v>887</v>
      </c>
      <c r="C13" s="1218"/>
      <c r="D13" s="1218"/>
      <c r="E13" s="1218"/>
      <c r="F13" s="1218"/>
      <c r="G13" s="1218"/>
      <c r="H13" s="1913"/>
      <c r="I13" s="4310"/>
      <c r="J13" s="19"/>
      <c r="K13" s="4311"/>
      <c r="L13" s="223"/>
      <c r="M13">
        <v>172</v>
      </c>
      <c r="N13">
        <v>4</v>
      </c>
      <c r="O13">
        <f>M13*N13</f>
        <v>688</v>
      </c>
      <c r="P13">
        <f>O13*4</f>
        <v>2752</v>
      </c>
      <c r="Q13" s="663">
        <f>L8/P13</f>
        <v>4.0337823401162787</v>
      </c>
      <c r="R13" s="19"/>
      <c r="S13" s="1246"/>
      <c r="T13" s="19"/>
      <c r="U13" s="19"/>
      <c r="V13" s="19"/>
    </row>
    <row r="14" spans="1:22">
      <c r="B14" s="1999" t="s">
        <v>14</v>
      </c>
      <c r="C14" s="1999" t="s">
        <v>3425</v>
      </c>
      <c r="D14" s="1987" t="s">
        <v>2802</v>
      </c>
      <c r="E14" s="71">
        <f>SUMIF('Datos auxiliares proyectos '!$C$122:$DN$122,'Seleccion proyecto HEREVEA02'!$L$6,'Datos auxiliares proyectos '!C127:DN127)</f>
        <v>0</v>
      </c>
      <c r="F14" s="39">
        <f t="shared" ref="F14:F65" si="0">E14*$L$8</f>
        <v>0</v>
      </c>
      <c r="G14" s="1180" t="s">
        <v>3426</v>
      </c>
      <c r="H14" s="3499" t="s">
        <v>1583</v>
      </c>
      <c r="I14" s="4310"/>
      <c r="J14" s="19"/>
      <c r="K14" s="123" t="s">
        <v>3397</v>
      </c>
      <c r="L14" s="10">
        <f>L10*3+0.5</f>
        <v>30.5</v>
      </c>
      <c r="M14">
        <v>150</v>
      </c>
      <c r="N14">
        <v>4</v>
      </c>
      <c r="O14">
        <f>M14*N14</f>
        <v>600</v>
      </c>
      <c r="P14">
        <f>O14*4</f>
        <v>2400</v>
      </c>
      <c r="Q14" s="663">
        <f>L8/P14</f>
        <v>4.6254037499999994</v>
      </c>
      <c r="R14" s="19"/>
      <c r="S14" s="1246"/>
      <c r="T14" s="19"/>
      <c r="U14" s="19"/>
      <c r="V14" s="19"/>
    </row>
    <row r="15" spans="1:22" ht="15.5">
      <c r="B15" s="1549" t="s">
        <v>888</v>
      </c>
      <c r="C15" s="1266"/>
      <c r="D15" s="1266"/>
      <c r="E15" s="1266"/>
      <c r="F15" s="1266"/>
      <c r="G15" s="1266"/>
      <c r="H15" s="1914"/>
      <c r="I15" s="4310"/>
      <c r="K15" s="4312" t="s">
        <v>3471</v>
      </c>
      <c r="L15" s="4313"/>
      <c r="M15" t="s">
        <v>3478</v>
      </c>
      <c r="R15" s="19"/>
      <c r="S15" s="1246"/>
      <c r="T15" s="19"/>
      <c r="U15" s="19"/>
      <c r="V15" s="19"/>
    </row>
    <row r="16" spans="1:22">
      <c r="B16" s="1999" t="s">
        <v>177</v>
      </c>
      <c r="C16" s="1999" t="s">
        <v>178</v>
      </c>
      <c r="D16" s="1984" t="s">
        <v>2864</v>
      </c>
      <c r="E16" s="71">
        <f>SUMIF('Datos auxiliares proyectos '!$C$122:$DN$122,'Seleccion proyecto HEREVEA02'!$L$6,'Datos auxiliares proyectos '!C132:DN132)</f>
        <v>0</v>
      </c>
      <c r="F16" s="39">
        <f t="shared" si="0"/>
        <v>0</v>
      </c>
      <c r="G16" s="1180" t="s">
        <v>1478</v>
      </c>
      <c r="H16" s="3499">
        <v>0</v>
      </c>
      <c r="I16" s="1207"/>
      <c r="K16" s="3647">
        <v>0</v>
      </c>
      <c r="L16" s="3645">
        <f>ROUND(((L8/L10)/600),0)</f>
        <v>2</v>
      </c>
      <c r="M16" t="s">
        <v>3472</v>
      </c>
      <c r="R16" s="19"/>
      <c r="S16" s="1246"/>
      <c r="T16" s="19"/>
      <c r="U16" s="19"/>
      <c r="V16" s="19"/>
    </row>
    <row r="17" spans="2:22">
      <c r="B17" s="2000" t="s">
        <v>179</v>
      </c>
      <c r="C17" s="2000" t="s">
        <v>180</v>
      </c>
      <c r="D17" s="1984" t="s">
        <v>2811</v>
      </c>
      <c r="E17" s="1550">
        <f>SUMIF('Datos auxiliares proyectos '!$C$122:$DN$122,'Seleccion proyecto HEREVEA02'!$L$6,'Datos auxiliares proyectos '!C133:DN133)</f>
        <v>0.02</v>
      </c>
      <c r="F17" s="1551">
        <f t="shared" si="0"/>
        <v>222.01937999999998</v>
      </c>
      <c r="G17" s="1552" t="s">
        <v>1478</v>
      </c>
      <c r="H17" s="3500">
        <v>0</v>
      </c>
      <c r="I17" s="1207"/>
      <c r="K17" s="3001"/>
      <c r="L17" s="3648"/>
      <c r="R17" s="19"/>
      <c r="S17" s="1246"/>
      <c r="T17" s="19"/>
      <c r="U17" s="19"/>
      <c r="V17" s="19"/>
    </row>
    <row r="18" spans="2:22">
      <c r="B18" s="1999" t="s">
        <v>181</v>
      </c>
      <c r="C18" s="1999" t="s">
        <v>182</v>
      </c>
      <c r="D18" s="1984" t="s">
        <v>2814</v>
      </c>
      <c r="E18" s="71">
        <f>SUMIF('Datos auxiliares proyectos '!$C$122:$DN$122,'Seleccion proyecto HEREVEA02'!$L$6,'Datos auxiliares proyectos '!C134:DN134)</f>
        <v>0.11</v>
      </c>
      <c r="F18" s="39">
        <f t="shared" si="0"/>
        <v>1221.1065899999999</v>
      </c>
      <c r="G18" s="1180" t="s">
        <v>1478</v>
      </c>
      <c r="H18" s="3499">
        <v>0</v>
      </c>
      <c r="I18" s="1207"/>
      <c r="R18" s="19"/>
      <c r="S18" s="1246"/>
      <c r="T18" s="19"/>
      <c r="U18" s="19"/>
      <c r="V18" s="19"/>
    </row>
    <row r="19" spans="2:22">
      <c r="B19" s="1217" t="s">
        <v>889</v>
      </c>
      <c r="C19" s="1218"/>
      <c r="D19" s="1218"/>
      <c r="E19" s="1218"/>
      <c r="F19" s="1218"/>
      <c r="G19" s="1218"/>
      <c r="H19" s="1913"/>
      <c r="I19" s="1207"/>
      <c r="R19" s="19"/>
      <c r="S19" s="1246"/>
      <c r="T19" s="19"/>
      <c r="U19" s="19"/>
      <c r="V19" s="19"/>
    </row>
    <row r="20" spans="2:22">
      <c r="B20" s="1999" t="s">
        <v>40</v>
      </c>
      <c r="C20" s="1999" t="s">
        <v>41</v>
      </c>
      <c r="D20" s="1984"/>
      <c r="E20" s="71">
        <f>SUMIF('Datos auxiliares proyectos '!$C$122:$DN$122,'Seleccion proyecto HEREVEA02'!$L$6,'Datos auxiliares proyectos '!C135:DN135)</f>
        <v>0</v>
      </c>
      <c r="F20" s="39">
        <f t="shared" si="0"/>
        <v>0</v>
      </c>
      <c r="G20" s="1208"/>
      <c r="H20" s="3501"/>
      <c r="I20" s="1183"/>
      <c r="K20" s="1262"/>
      <c r="R20" s="19"/>
      <c r="S20" s="1246"/>
      <c r="T20" s="19"/>
      <c r="U20" s="19"/>
      <c r="V20" s="19"/>
    </row>
    <row r="21" spans="2:22">
      <c r="B21" s="1999" t="s">
        <v>183</v>
      </c>
      <c r="C21" s="1999" t="s">
        <v>184</v>
      </c>
      <c r="D21" s="1984" t="s">
        <v>2817</v>
      </c>
      <c r="E21" s="71">
        <f>SUMIF('Datos auxiliares proyectos '!$C$122:$DN$122,'Seleccion proyecto HEREVEA02'!$L$6,'Datos auxiliares proyectos '!C136:DN136)</f>
        <v>0.99</v>
      </c>
      <c r="F21" s="39">
        <f t="shared" si="0"/>
        <v>10989.959309999998</v>
      </c>
      <c r="G21" s="1180" t="s">
        <v>1478</v>
      </c>
      <c r="H21" s="3499">
        <v>0</v>
      </c>
      <c r="I21" s="4310"/>
      <c r="R21" s="19"/>
      <c r="S21" s="1246"/>
      <c r="T21" s="19"/>
      <c r="U21" s="19"/>
      <c r="V21" s="19"/>
    </row>
    <row r="22" spans="2:22" ht="17.25" customHeight="1">
      <c r="B22" s="1986" t="s">
        <v>50</v>
      </c>
      <c r="C22" s="1986" t="s">
        <v>49</v>
      </c>
      <c r="D22" s="4090"/>
      <c r="E22" s="71">
        <f>SUMIF('Datos auxiliares proyectos '!$C$122:$DN$122,'Seleccion proyecto HEREVEA02'!$L$6,'Datos auxiliares proyectos '!C137:DN137)</f>
        <v>13.03</v>
      </c>
      <c r="F22" s="39">
        <f t="shared" si="0"/>
        <v>144645.62606999997</v>
      </c>
      <c r="G22" s="1208"/>
      <c r="H22" s="3501"/>
      <c r="I22" s="4310"/>
      <c r="R22" s="19"/>
      <c r="S22" s="1246"/>
      <c r="T22" s="19"/>
      <c r="U22" s="19"/>
      <c r="V22" s="19"/>
    </row>
    <row r="23" spans="2:22" ht="17.25" customHeight="1">
      <c r="B23" s="1986" t="s">
        <v>185</v>
      </c>
      <c r="C23" s="1986" t="s">
        <v>186</v>
      </c>
      <c r="D23" s="4090"/>
      <c r="E23" s="71">
        <f>SUMIF('Datos auxiliares proyectos '!$C$122:$DN$122,'Seleccion proyecto HEREVEA02'!$L$6,'Datos auxiliares proyectos '!C138:DN138)</f>
        <v>0.81</v>
      </c>
      <c r="F23" s="39">
        <f t="shared" si="0"/>
        <v>8991.784889999999</v>
      </c>
      <c r="G23" s="1208"/>
      <c r="H23" s="3501"/>
      <c r="I23" s="4310"/>
      <c r="R23" s="19"/>
      <c r="S23" s="1246"/>
      <c r="T23" s="19"/>
      <c r="U23" s="19"/>
      <c r="V23" s="19"/>
    </row>
    <row r="24" spans="2:22" ht="17.25" customHeight="1">
      <c r="B24" s="1986" t="s">
        <v>50</v>
      </c>
      <c r="C24" s="1986" t="s">
        <v>51</v>
      </c>
      <c r="D24" s="4090"/>
      <c r="E24" s="1906">
        <f>SUMIF('Datos auxiliares proyectos '!$C$122:$DN$122,'Seleccion proyecto HEREVEA02'!$L$6,'Datos auxiliares proyectos '!C139:DN139)</f>
        <v>0.11</v>
      </c>
      <c r="F24" s="1907">
        <f t="shared" si="0"/>
        <v>1221.1065899999999</v>
      </c>
      <c r="G24" s="1908"/>
      <c r="H24" s="3502"/>
      <c r="I24" s="4310"/>
      <c r="R24" s="19"/>
      <c r="S24" s="1246"/>
      <c r="T24" s="19"/>
      <c r="U24" s="19"/>
      <c r="V24" s="19"/>
    </row>
    <row r="25" spans="2:22" ht="29.25" customHeight="1">
      <c r="B25" s="1217" t="s">
        <v>890</v>
      </c>
      <c r="C25" s="4198"/>
      <c r="D25" s="4198"/>
      <c r="E25" s="4187" t="s">
        <v>294</v>
      </c>
      <c r="F25" s="4188" t="s">
        <v>289</v>
      </c>
      <c r="G25" s="2005" t="s">
        <v>1397</v>
      </c>
      <c r="H25" s="2006" t="s">
        <v>1597</v>
      </c>
      <c r="I25" s="4310"/>
      <c r="K25" t="s">
        <v>3341</v>
      </c>
      <c r="R25" s="19"/>
      <c r="S25" s="1246"/>
      <c r="T25" s="19"/>
      <c r="U25" s="19"/>
      <c r="V25" s="19"/>
    </row>
    <row r="26" spans="2:22" ht="13.5" customHeight="1">
      <c r="B26" s="4199" t="s">
        <v>187</v>
      </c>
      <c r="C26" s="4199" t="s">
        <v>3417</v>
      </c>
      <c r="D26" s="4203"/>
      <c r="E26" s="4195">
        <f>SUMIF('Datos auxiliares proyectos '!$C$122:$DN$122,'Seleccion proyecto HEREVEA02'!$L$6,'Datos auxiliares proyectos '!C142:DN142)</f>
        <v>0.8</v>
      </c>
      <c r="F26" s="4196">
        <f t="shared" si="0"/>
        <v>8880.7752</v>
      </c>
      <c r="G26" s="2004"/>
      <c r="H26" s="3503"/>
      <c r="I26" s="4310"/>
      <c r="R26" s="19"/>
      <c r="S26" s="1246"/>
      <c r="T26" s="19"/>
      <c r="U26" s="19"/>
      <c r="V26" s="19"/>
    </row>
    <row r="27" spans="2:22" ht="13.5" customHeight="1">
      <c r="B27" s="1267"/>
      <c r="C27" s="1983" t="s">
        <v>3340</v>
      </c>
      <c r="D27" s="1911" t="s">
        <v>3419</v>
      </c>
      <c r="E27" s="4219"/>
      <c r="F27" s="4219"/>
      <c r="G27" s="1180" t="s">
        <v>1478</v>
      </c>
      <c r="H27" s="3499">
        <v>0</v>
      </c>
      <c r="I27" s="4310"/>
      <c r="R27" s="19"/>
      <c r="S27" s="1246"/>
      <c r="T27" s="19"/>
      <c r="U27" s="19"/>
      <c r="V27" s="19"/>
    </row>
    <row r="28" spans="2:22" ht="15.75" customHeight="1">
      <c r="B28" s="1905"/>
      <c r="C28" s="1987" t="s">
        <v>3339</v>
      </c>
      <c r="D28" s="1985" t="s">
        <v>3420</v>
      </c>
      <c r="E28" s="4216"/>
      <c r="F28" s="3364"/>
      <c r="G28" s="1552" t="s">
        <v>1478</v>
      </c>
      <c r="H28" s="3500">
        <v>0</v>
      </c>
      <c r="I28" s="4310"/>
      <c r="K28" t="s">
        <v>3342</v>
      </c>
      <c r="R28" s="19"/>
      <c r="S28" s="1246"/>
      <c r="T28" s="19"/>
      <c r="U28" s="19"/>
      <c r="V28" s="19"/>
    </row>
    <row r="29" spans="2:22">
      <c r="B29" s="4202" t="s">
        <v>1434</v>
      </c>
      <c r="C29" s="4199" t="s">
        <v>1435</v>
      </c>
      <c r="D29" s="4213"/>
      <c r="E29" s="4217">
        <f>SUMIF('Datos auxiliares proyectos '!$C$122:$DN$122,'Seleccion proyecto HEREVEA02'!$L$6,'Datos auxiliares proyectos '!C143:DN143)</f>
        <v>0.95</v>
      </c>
      <c r="F29" s="4214">
        <f t="shared" si="0"/>
        <v>10545.920549999999</v>
      </c>
      <c r="G29" s="1917"/>
      <c r="H29" s="3504"/>
      <c r="I29" s="4310"/>
      <c r="R29" s="19"/>
      <c r="S29" s="1246"/>
      <c r="T29" s="19"/>
      <c r="U29" s="19"/>
      <c r="V29" s="19"/>
    </row>
    <row r="30" spans="2:22">
      <c r="B30" s="1910"/>
      <c r="C30" s="1983" t="s">
        <v>1795</v>
      </c>
      <c r="D30" s="1911" t="s">
        <v>3419</v>
      </c>
      <c r="E30" s="4218"/>
      <c r="F30" s="4215"/>
      <c r="G30" s="1180" t="s">
        <v>1478</v>
      </c>
      <c r="H30" s="3499">
        <v>0</v>
      </c>
      <c r="I30" s="4310"/>
      <c r="R30" s="19"/>
      <c r="S30" s="1246"/>
      <c r="T30" s="19"/>
      <c r="U30" s="19"/>
      <c r="V30" s="19"/>
    </row>
    <row r="31" spans="2:22">
      <c r="B31" s="1634"/>
      <c r="C31" s="1983" t="s">
        <v>3586</v>
      </c>
      <c r="D31" s="1911" t="s">
        <v>3420</v>
      </c>
      <c r="E31" s="4091"/>
      <c r="F31" s="4092"/>
      <c r="G31" s="1180" t="s">
        <v>1478</v>
      </c>
      <c r="H31" s="3499">
        <v>0</v>
      </c>
      <c r="I31" s="4310"/>
      <c r="R31" s="19"/>
      <c r="S31" s="1246"/>
      <c r="T31" s="19"/>
      <c r="U31" s="19"/>
      <c r="V31" s="19"/>
    </row>
    <row r="32" spans="2:22">
      <c r="B32" s="1634"/>
      <c r="C32" s="1984" t="s">
        <v>1924</v>
      </c>
      <c r="D32" s="1909" t="s">
        <v>3422</v>
      </c>
      <c r="E32" s="1233"/>
      <c r="F32" s="1234"/>
      <c r="G32" s="1180" t="s">
        <v>1478</v>
      </c>
      <c r="H32" s="3499">
        <v>0</v>
      </c>
      <c r="I32" s="1207"/>
      <c r="R32" s="19"/>
      <c r="S32" s="1246"/>
      <c r="T32" s="19"/>
      <c r="U32" s="19"/>
      <c r="V32" s="19"/>
    </row>
    <row r="33" spans="2:22">
      <c r="B33" s="1634"/>
      <c r="C33" s="4204" t="s">
        <v>1925</v>
      </c>
      <c r="D33" s="4205" t="s">
        <v>3423</v>
      </c>
      <c r="E33" s="1233"/>
      <c r="F33" s="1234"/>
      <c r="G33" s="1180" t="s">
        <v>1478</v>
      </c>
      <c r="H33" s="3499">
        <v>0</v>
      </c>
      <c r="I33" s="4317" t="s">
        <v>1462</v>
      </c>
      <c r="R33" s="19"/>
      <c r="S33" s="1246"/>
      <c r="T33" s="19"/>
      <c r="U33" s="19"/>
      <c r="V33" s="19"/>
    </row>
    <row r="34" spans="2:22" ht="12.75" customHeight="1">
      <c r="B34" s="4199" t="s">
        <v>60</v>
      </c>
      <c r="C34" s="4199" t="s">
        <v>3418</v>
      </c>
      <c r="D34" s="4206"/>
      <c r="E34" s="1550">
        <f>SUMIF('Datos auxiliares proyectos '!$C$122:$DN$122,'Seleccion proyecto HEREVEA02'!$L$6,'Datos auxiliares proyectos '!C144:DN144)</f>
        <v>0.33</v>
      </c>
      <c r="F34" s="1551">
        <f t="shared" si="0"/>
        <v>3663.3197700000001</v>
      </c>
      <c r="G34" s="1552"/>
      <c r="H34" s="3500"/>
      <c r="I34" s="4318"/>
      <c r="R34" s="19"/>
      <c r="S34" s="1246"/>
      <c r="T34" s="19"/>
      <c r="U34" s="19"/>
      <c r="V34" s="19"/>
    </row>
    <row r="35" spans="2:22" ht="13.5" customHeight="1">
      <c r="B35" s="1634"/>
      <c r="C35" s="1983" t="s">
        <v>1951</v>
      </c>
      <c r="D35" s="1910" t="s">
        <v>3419</v>
      </c>
      <c r="E35" s="1229"/>
      <c r="F35" s="1268"/>
      <c r="G35" s="1552" t="s">
        <v>1478</v>
      </c>
      <c r="H35" s="3499">
        <v>0</v>
      </c>
      <c r="I35" s="4317" t="s">
        <v>1469</v>
      </c>
      <c r="R35" s="19"/>
      <c r="S35" s="1246"/>
      <c r="T35" s="19"/>
      <c r="U35" s="19"/>
      <c r="V35" s="19"/>
    </row>
    <row r="36" spans="2:22">
      <c r="B36" s="1634"/>
      <c r="C36" s="1983" t="s">
        <v>3905</v>
      </c>
      <c r="D36" s="1634" t="s">
        <v>3420</v>
      </c>
      <c r="E36" s="1229"/>
      <c r="F36" s="1268"/>
      <c r="G36" s="1552" t="s">
        <v>1478</v>
      </c>
      <c r="H36" s="3499">
        <v>0</v>
      </c>
      <c r="I36" s="4318"/>
      <c r="R36" s="19"/>
      <c r="S36" s="1246"/>
      <c r="T36" s="19"/>
      <c r="U36" s="19"/>
      <c r="V36" s="19"/>
    </row>
    <row r="37" spans="2:22" ht="16.5" customHeight="1">
      <c r="B37" s="1634"/>
      <c r="C37" s="1983" t="s">
        <v>1978</v>
      </c>
      <c r="D37" s="1634" t="s">
        <v>3422</v>
      </c>
      <c r="E37" s="1229"/>
      <c r="F37" s="1268"/>
      <c r="G37" s="1552" t="s">
        <v>1478</v>
      </c>
      <c r="H37" s="3499">
        <v>0</v>
      </c>
      <c r="I37" s="1278"/>
      <c r="K37" s="28"/>
      <c r="R37" s="19"/>
      <c r="S37" s="1246"/>
      <c r="T37" s="19"/>
      <c r="U37" s="19"/>
      <c r="V37" s="19"/>
    </row>
    <row r="38" spans="2:22">
      <c r="B38" s="1217" t="s">
        <v>891</v>
      </c>
      <c r="C38" s="4198"/>
      <c r="D38" s="4198"/>
      <c r="E38" s="3365"/>
      <c r="F38" s="3365"/>
      <c r="G38" s="3365"/>
      <c r="H38" s="3542"/>
      <c r="I38" s="1278"/>
      <c r="R38" s="19"/>
      <c r="S38" s="1246"/>
      <c r="T38" s="19"/>
      <c r="U38" s="19"/>
      <c r="V38" s="19"/>
    </row>
    <row r="39" spans="2:22">
      <c r="B39" s="4199" t="s">
        <v>190</v>
      </c>
      <c r="C39" s="4199" t="s">
        <v>191</v>
      </c>
      <c r="D39" s="4200"/>
      <c r="E39" s="4221">
        <f>SUMIF('Datos auxiliares proyectos '!$C$122:$DN$122,'Seleccion proyecto HEREVEA02'!$L$6,'Datos auxiliares proyectos '!C145:DN145)</f>
        <v>0.12</v>
      </c>
      <c r="F39" s="4222">
        <f>E39*$L$8</f>
        <v>1332.11628</v>
      </c>
      <c r="G39" s="4225"/>
      <c r="H39" s="4226"/>
      <c r="I39" s="1278"/>
      <c r="J39" s="2296" t="s">
        <v>3441</v>
      </c>
      <c r="K39" s="2296"/>
      <c r="L39" s="2296"/>
      <c r="R39" s="19"/>
      <c r="S39" s="1246"/>
      <c r="T39" s="19"/>
      <c r="U39" s="19"/>
      <c r="V39" s="19"/>
    </row>
    <row r="40" spans="2:22">
      <c r="B40" s="24"/>
      <c r="C40" s="1983" t="s">
        <v>3622</v>
      </c>
      <c r="D40" s="3541" t="s">
        <v>3421</v>
      </c>
      <c r="E40" s="383"/>
      <c r="F40" s="1270"/>
      <c r="G40" s="1552" t="s">
        <v>3617</v>
      </c>
      <c r="H40" s="3500">
        <v>0</v>
      </c>
      <c r="I40" s="1278"/>
      <c r="J40" s="2296" t="s">
        <v>3352</v>
      </c>
      <c r="K40" s="2296"/>
      <c r="L40" s="2296"/>
      <c r="R40" s="19"/>
      <c r="S40" s="1246"/>
      <c r="T40" s="19"/>
      <c r="U40" s="19"/>
      <c r="V40" s="19"/>
    </row>
    <row r="41" spans="2:22">
      <c r="B41" s="24"/>
      <c r="C41" s="1983" t="s">
        <v>1993</v>
      </c>
      <c r="D41" s="1191" t="s">
        <v>1490</v>
      </c>
      <c r="E41" s="1171"/>
      <c r="F41" s="1271"/>
      <c r="G41" s="1269" t="s">
        <v>1478</v>
      </c>
      <c r="H41" s="3499">
        <v>0</v>
      </c>
      <c r="I41" s="1184"/>
      <c r="R41" s="19"/>
      <c r="S41" s="1246"/>
      <c r="T41" s="19"/>
      <c r="U41" s="19"/>
      <c r="V41" s="19"/>
    </row>
    <row r="42" spans="2:22" ht="18" customHeight="1">
      <c r="B42" s="24"/>
      <c r="C42" s="1983" t="s">
        <v>1994</v>
      </c>
      <c r="D42" s="1191" t="s">
        <v>3424</v>
      </c>
      <c r="E42" s="1171"/>
      <c r="F42" s="1271"/>
      <c r="G42" s="1269" t="s">
        <v>1478</v>
      </c>
      <c r="H42" s="3499">
        <v>0</v>
      </c>
      <c r="I42" s="1278"/>
      <c r="R42" s="19"/>
      <c r="S42" s="1246"/>
      <c r="T42" s="19"/>
      <c r="U42" s="19"/>
      <c r="V42" s="19"/>
    </row>
    <row r="43" spans="2:22" ht="15" customHeight="1">
      <c r="B43" s="24"/>
      <c r="C43" s="1987" t="s">
        <v>1995</v>
      </c>
      <c r="D43" s="4197" t="s">
        <v>2015</v>
      </c>
      <c r="E43" s="1171"/>
      <c r="F43" s="1271"/>
      <c r="G43" s="1269" t="s">
        <v>1478</v>
      </c>
      <c r="H43" s="3499">
        <v>0</v>
      </c>
      <c r="I43" s="1278"/>
      <c r="R43" s="19"/>
      <c r="S43" s="1246"/>
      <c r="T43" s="19"/>
      <c r="U43" s="19"/>
      <c r="V43" s="19"/>
    </row>
    <row r="44" spans="2:22" ht="15" customHeight="1">
      <c r="B44" s="4199" t="s">
        <v>192</v>
      </c>
      <c r="C44" s="4199" t="s">
        <v>193</v>
      </c>
      <c r="D44" s="4201"/>
      <c r="E44" s="4221">
        <f>SUMIF('Datos auxiliares proyectos '!$C$122:$DN$122,'Seleccion proyecto HEREVEA02'!$L$6,'Datos auxiliares proyectos '!C146:DN146)</f>
        <v>0</v>
      </c>
      <c r="F44" s="4222">
        <f t="shared" si="0"/>
        <v>0</v>
      </c>
      <c r="G44" s="4223" t="s">
        <v>1478</v>
      </c>
      <c r="H44" s="4224">
        <v>0</v>
      </c>
      <c r="I44" s="1278"/>
      <c r="R44" s="19"/>
      <c r="S44" s="1246"/>
      <c r="T44" s="19"/>
      <c r="U44" s="19"/>
      <c r="V44" s="19"/>
    </row>
    <row r="45" spans="2:22" ht="15" customHeight="1">
      <c r="B45" s="1191"/>
      <c r="C45" s="1983" t="s">
        <v>3623</v>
      </c>
      <c r="D45" s="3541" t="s">
        <v>3421</v>
      </c>
      <c r="E45" s="1171"/>
      <c r="F45" s="1271"/>
      <c r="G45" s="1269" t="s">
        <v>3617</v>
      </c>
      <c r="H45" s="3499">
        <v>0</v>
      </c>
      <c r="I45" s="4320" t="s">
        <v>1423</v>
      </c>
      <c r="R45" s="19"/>
      <c r="S45" s="1246"/>
      <c r="T45" s="19"/>
      <c r="U45" s="19"/>
      <c r="V45" s="19"/>
    </row>
    <row r="46" spans="2:22">
      <c r="B46" s="1191"/>
      <c r="C46" s="1983" t="s">
        <v>2018</v>
      </c>
      <c r="D46" s="1191" t="s">
        <v>1490</v>
      </c>
      <c r="E46" s="1171"/>
      <c r="F46" s="1271"/>
      <c r="G46" s="1269" t="s">
        <v>1478</v>
      </c>
      <c r="H46" s="3499">
        <v>0</v>
      </c>
      <c r="I46" s="4321"/>
      <c r="R46" s="19"/>
      <c r="S46" s="1246"/>
      <c r="T46" s="19"/>
      <c r="U46" s="19"/>
      <c r="V46" s="19"/>
    </row>
    <row r="47" spans="2:22" ht="16.5" customHeight="1">
      <c r="B47" s="1191"/>
      <c r="C47" s="1983" t="s">
        <v>2019</v>
      </c>
      <c r="D47" s="1191" t="s">
        <v>1491</v>
      </c>
      <c r="E47" s="1171"/>
      <c r="F47" s="1271"/>
      <c r="G47" s="1269" t="s">
        <v>1478</v>
      </c>
      <c r="H47" s="3499">
        <v>0</v>
      </c>
      <c r="I47" s="4322"/>
      <c r="K47" t="s">
        <v>2128</v>
      </c>
      <c r="L47" t="s">
        <v>2134</v>
      </c>
      <c r="M47" s="2296" t="s">
        <v>2753</v>
      </c>
      <c r="N47" s="2296"/>
      <c r="O47" s="2296"/>
      <c r="R47" s="19"/>
      <c r="S47" s="1246"/>
      <c r="T47" s="19"/>
      <c r="U47" s="19"/>
      <c r="V47" s="19"/>
    </row>
    <row r="48" spans="2:22" ht="16.5" customHeight="1">
      <c r="B48" s="1191"/>
      <c r="C48" s="1983" t="s">
        <v>3903</v>
      </c>
      <c r="D48" s="1191" t="s">
        <v>3424</v>
      </c>
      <c r="E48" s="1171"/>
      <c r="F48" s="1271"/>
      <c r="G48" s="1269" t="s">
        <v>1478</v>
      </c>
      <c r="H48" s="3499">
        <v>0</v>
      </c>
      <c r="K48" t="s">
        <v>2127</v>
      </c>
      <c r="R48" s="19"/>
      <c r="S48" s="1246"/>
      <c r="T48" s="19"/>
      <c r="U48" s="19"/>
      <c r="V48" s="19"/>
    </row>
    <row r="49" spans="2:22">
      <c r="B49" s="1217" t="s">
        <v>892</v>
      </c>
      <c r="C49" s="1221"/>
      <c r="D49" s="1221"/>
      <c r="E49" s="1221"/>
      <c r="F49" s="1221"/>
      <c r="G49" s="1221" t="s">
        <v>1478</v>
      </c>
      <c r="H49" s="3505">
        <v>0</v>
      </c>
      <c r="K49" t="s">
        <v>2128</v>
      </c>
      <c r="L49" t="s">
        <v>2134</v>
      </c>
      <c r="M49" s="2296" t="s">
        <v>2753</v>
      </c>
      <c r="R49" s="19"/>
      <c r="S49" s="1246"/>
      <c r="T49" s="19"/>
      <c r="U49" s="19"/>
      <c r="V49" s="19"/>
    </row>
    <row r="50" spans="2:22" ht="15.75" customHeight="1">
      <c r="B50" s="4189" t="s">
        <v>69</v>
      </c>
      <c r="C50" s="4189" t="s">
        <v>70</v>
      </c>
      <c r="D50" s="1983" t="s">
        <v>2131</v>
      </c>
      <c r="E50" s="71">
        <f>SUMIF('Datos auxiliares proyectos '!$C$122:$DN$122,'Seleccion proyecto HEREVEA02'!$L$6,'Datos auxiliares proyectos '!C147:DN147)</f>
        <v>0.01</v>
      </c>
      <c r="F50" s="39">
        <f t="shared" si="0"/>
        <v>111.00968999999999</v>
      </c>
      <c r="G50" s="1180" t="s">
        <v>3411</v>
      </c>
      <c r="H50" s="3499">
        <v>100</v>
      </c>
      <c r="I50" s="22"/>
      <c r="R50" s="19"/>
      <c r="S50" s="1246"/>
      <c r="T50" s="19"/>
      <c r="U50" s="19"/>
      <c r="V50" s="19"/>
    </row>
    <row r="51" spans="2:22">
      <c r="B51" s="4189" t="s">
        <v>71</v>
      </c>
      <c r="C51" s="4189" t="s">
        <v>72</v>
      </c>
      <c r="D51" s="1983" t="s">
        <v>2132</v>
      </c>
      <c r="E51" s="39">
        <f>SUMIF('Datos auxiliares proyectos '!$C$122:$DN$122,'Seleccion proyecto HEREVEA02'!$L$6,'Datos auxiliares proyectos '!C149:DN149)</f>
        <v>0.02</v>
      </c>
      <c r="F51" s="39">
        <f t="shared" si="0"/>
        <v>222.01937999999998</v>
      </c>
      <c r="G51" s="1180" t="s">
        <v>1478</v>
      </c>
      <c r="H51" s="3499">
        <v>0</v>
      </c>
      <c r="I51" s="1279"/>
      <c r="R51" s="19"/>
      <c r="S51" s="1246"/>
      <c r="T51" s="19"/>
      <c r="U51" s="19"/>
      <c r="V51" s="19"/>
    </row>
    <row r="52" spans="2:22">
      <c r="B52" s="4190" t="s">
        <v>74</v>
      </c>
      <c r="C52" s="4190" t="s">
        <v>75</v>
      </c>
      <c r="D52" s="1983" t="s">
        <v>3540</v>
      </c>
      <c r="E52" s="71">
        <f>SUMIF('Datos auxiliares proyectos '!$C$122:$DN$122,'Seleccion proyecto HEREVEA02'!$L$6,'Datos auxiliares proyectos '!C150:DN150)</f>
        <v>0.64</v>
      </c>
      <c r="F52" s="39">
        <f t="shared" si="0"/>
        <v>7104.6201599999995</v>
      </c>
      <c r="G52" s="1180" t="s">
        <v>1478</v>
      </c>
      <c r="H52" s="3499">
        <v>0</v>
      </c>
      <c r="I52" s="1279"/>
      <c r="K52" s="97" t="s">
        <v>3465</v>
      </c>
      <c r="R52" s="19"/>
      <c r="S52" s="1246"/>
      <c r="T52" s="19"/>
      <c r="U52" s="19"/>
      <c r="V52" s="19"/>
    </row>
    <row r="53" spans="2:22">
      <c r="B53" s="4190" t="s">
        <v>196</v>
      </c>
      <c r="C53" s="4190" t="s">
        <v>197</v>
      </c>
      <c r="D53" s="1983" t="s">
        <v>3542</v>
      </c>
      <c r="E53" s="71">
        <f>SUMIF('Datos auxiliares proyectos '!$C$122:$DN$122,'Seleccion proyecto HEREVEA02'!$L$6,'Datos auxiliares proyectos '!C151:DN151)</f>
        <v>0.2</v>
      </c>
      <c r="F53" s="39">
        <f t="shared" si="0"/>
        <v>2220.1938</v>
      </c>
      <c r="G53" s="1180" t="s">
        <v>1478</v>
      </c>
      <c r="H53" s="3499">
        <v>0</v>
      </c>
      <c r="I53" s="1279"/>
      <c r="K53" s="97" t="s">
        <v>3466</v>
      </c>
      <c r="R53" s="19"/>
      <c r="S53" s="1246"/>
      <c r="T53" s="19"/>
      <c r="U53" s="19"/>
      <c r="V53" s="19"/>
    </row>
    <row r="54" spans="2:22">
      <c r="B54" s="4190" t="s">
        <v>78</v>
      </c>
      <c r="C54" s="4190" t="s">
        <v>79</v>
      </c>
      <c r="D54" s="1983" t="s">
        <v>3544</v>
      </c>
      <c r="E54" s="71">
        <f>SUMIF('Datos auxiliares proyectos '!$C$122:$DN$122,'Seleccion proyecto HEREVEA02'!$L$6,'Datos auxiliares proyectos '!C152:DN152)</f>
        <v>0.12</v>
      </c>
      <c r="F54" s="39">
        <f t="shared" si="0"/>
        <v>1332.11628</v>
      </c>
      <c r="G54" s="1180" t="s">
        <v>1478</v>
      </c>
      <c r="H54" s="3499">
        <v>0</v>
      </c>
      <c r="I54" s="1279"/>
      <c r="K54" s="97" t="s">
        <v>3479</v>
      </c>
      <c r="R54" s="19"/>
      <c r="S54" s="1246"/>
      <c r="T54" s="19"/>
      <c r="U54" s="19"/>
      <c r="V54" s="19"/>
    </row>
    <row r="55" spans="2:22">
      <c r="B55" s="4190" t="s">
        <v>82</v>
      </c>
      <c r="C55" s="4190" t="s">
        <v>83</v>
      </c>
      <c r="D55" s="1983" t="s">
        <v>3546</v>
      </c>
      <c r="E55" s="71">
        <f>SUMIF('Datos auxiliares proyectos '!$C$122:$DN$122,'Seleccion proyecto HEREVEA02'!$L$6,'Datos auxiliares proyectos '!C153:DN153)</f>
        <v>0.22</v>
      </c>
      <c r="F55" s="39">
        <f t="shared" si="0"/>
        <v>2442.2131799999997</v>
      </c>
      <c r="G55" s="1180" t="s">
        <v>1478</v>
      </c>
      <c r="H55" s="3499">
        <v>0</v>
      </c>
      <c r="I55" s="1278"/>
      <c r="R55" s="19"/>
      <c r="S55" s="1246"/>
      <c r="T55" s="19"/>
      <c r="U55" s="19"/>
      <c r="V55" s="19"/>
    </row>
    <row r="56" spans="2:22">
      <c r="B56" s="4190" t="s">
        <v>85</v>
      </c>
      <c r="C56" s="4190" t="s">
        <v>86</v>
      </c>
      <c r="D56" s="1983" t="s">
        <v>3548</v>
      </c>
      <c r="E56" s="71">
        <f>SUMIF('Datos auxiliares proyectos '!$C$122:$DN$122,'Seleccion proyecto HEREVEA02'!$L$6,'Datos auxiliares proyectos '!C154:DN154)</f>
        <v>0.17</v>
      </c>
      <c r="F56" s="39">
        <f t="shared" si="0"/>
        <v>1887.16473</v>
      </c>
      <c r="G56" s="1180" t="s">
        <v>1478</v>
      </c>
      <c r="H56" s="3499">
        <v>0</v>
      </c>
      <c r="I56" s="1278"/>
      <c r="R56" s="19"/>
      <c r="S56" s="1246"/>
      <c r="T56" s="19"/>
      <c r="U56" s="19"/>
      <c r="V56" s="19"/>
    </row>
    <row r="57" spans="2:22">
      <c r="B57" s="4190" t="s">
        <v>198</v>
      </c>
      <c r="C57" s="4190" t="s">
        <v>199</v>
      </c>
      <c r="D57" s="1983" t="s">
        <v>3913</v>
      </c>
      <c r="E57" s="71">
        <f>SUMIF('Datos auxiliares proyectos '!$C$122:$DN$122,'Seleccion proyecto HEREVEA02'!$L$6,'Datos auxiliares proyectos '!C155:DN155)</f>
        <v>0.19</v>
      </c>
      <c r="F57" s="39">
        <f t="shared" si="0"/>
        <v>2109.1841099999997</v>
      </c>
      <c r="G57" s="1180" t="s">
        <v>1478</v>
      </c>
      <c r="H57" s="3499">
        <v>0</v>
      </c>
      <c r="I57" s="1278"/>
      <c r="K57" t="s">
        <v>2402</v>
      </c>
      <c r="R57" s="19"/>
      <c r="S57" s="1246"/>
      <c r="T57" s="19"/>
      <c r="U57" s="19"/>
      <c r="V57" s="19"/>
    </row>
    <row r="58" spans="2:22">
      <c r="B58" s="4190" t="s">
        <v>200</v>
      </c>
      <c r="C58" s="4190" t="s">
        <v>201</v>
      </c>
      <c r="D58" s="1983" t="s">
        <v>3554</v>
      </c>
      <c r="E58" s="71">
        <f>SUMIF('Datos auxiliares proyectos '!$C$122:$DN$122,'Seleccion proyecto HEREVEA02'!$L$6,'Datos auxiliares proyectos '!C156:DN156)</f>
        <v>0.08</v>
      </c>
      <c r="F58" s="39">
        <f t="shared" si="0"/>
        <v>888.07751999999994</v>
      </c>
      <c r="G58" s="1180"/>
      <c r="H58" s="3499"/>
      <c r="I58" s="1278"/>
      <c r="R58" s="19"/>
      <c r="S58" s="1246"/>
      <c r="T58" s="19"/>
      <c r="U58" s="19"/>
      <c r="V58" s="19"/>
    </row>
    <row r="59" spans="2:22">
      <c r="B59" s="4190" t="s">
        <v>202</v>
      </c>
      <c r="C59" s="4190" t="s">
        <v>203</v>
      </c>
      <c r="D59" s="1983" t="s">
        <v>3914</v>
      </c>
      <c r="E59" s="71">
        <f>SUMIF('Datos auxiliares proyectos '!$C$122:$DN$122,'Seleccion proyecto HEREVEA02'!$L$6,'Datos auxiliares proyectos '!C157:DN157)</f>
        <v>0.45</v>
      </c>
      <c r="F59" s="39">
        <f t="shared" si="0"/>
        <v>4995.4360499999993</v>
      </c>
      <c r="G59" s="1180" t="s">
        <v>1478</v>
      </c>
      <c r="H59" s="3499">
        <v>0</v>
      </c>
      <c r="I59" s="1278"/>
      <c r="R59" s="19"/>
      <c r="S59" s="1246"/>
      <c r="T59" s="19"/>
      <c r="U59" s="19"/>
      <c r="V59" s="19"/>
    </row>
    <row r="60" spans="2:22">
      <c r="B60" s="4190" t="s">
        <v>204</v>
      </c>
      <c r="C60" s="4190" t="s">
        <v>205</v>
      </c>
      <c r="D60" s="1983" t="s">
        <v>3561</v>
      </c>
      <c r="E60" s="71">
        <f>SUMIF('Datos auxiliares proyectos '!$C$122:$DN$122,'Seleccion proyecto HEREVEA02'!$L$6,'Datos auxiliares proyectos '!C159:DN159)</f>
        <v>0.05</v>
      </c>
      <c r="F60" s="39">
        <f t="shared" si="0"/>
        <v>555.04845</v>
      </c>
      <c r="G60" s="1180" t="s">
        <v>1478</v>
      </c>
      <c r="H60" s="3499">
        <v>0</v>
      </c>
      <c r="I60" s="1278"/>
      <c r="R60" s="19"/>
      <c r="S60" s="1246"/>
      <c r="T60" s="19"/>
      <c r="U60" s="19"/>
      <c r="V60" s="19"/>
    </row>
    <row r="61" spans="2:22" ht="20.25" customHeight="1">
      <c r="B61" s="4190" t="s">
        <v>97</v>
      </c>
      <c r="C61" s="4190" t="s">
        <v>206</v>
      </c>
      <c r="D61" s="3821" t="s">
        <v>3902</v>
      </c>
      <c r="E61" s="71">
        <f>SUMIF('Datos auxiliares proyectos '!$C$122:$DN$122,'Seleccion proyecto HEREVEA02'!$L$6,'Datos auxiliares proyectos '!C160:DN160)</f>
        <v>0.01</v>
      </c>
      <c r="F61" s="39">
        <f t="shared" si="0"/>
        <v>111.00968999999999</v>
      </c>
      <c r="G61" s="1180" t="s">
        <v>1478</v>
      </c>
      <c r="H61" s="3499">
        <v>0</v>
      </c>
      <c r="I61" s="1278"/>
      <c r="R61" s="19"/>
      <c r="S61" s="1246"/>
      <c r="T61" s="19"/>
      <c r="U61" s="19"/>
      <c r="V61" s="19"/>
    </row>
    <row r="62" spans="2:22" ht="19.5" customHeight="1">
      <c r="B62" s="1217" t="s">
        <v>895</v>
      </c>
      <c r="C62" s="1221"/>
      <c r="D62" s="1221"/>
      <c r="E62" s="1221"/>
      <c r="F62" s="1221"/>
      <c r="G62" s="1221" t="s">
        <v>1478</v>
      </c>
      <c r="H62" s="3506">
        <v>0</v>
      </c>
      <c r="I62" s="16"/>
      <c r="R62" s="19"/>
      <c r="S62" s="961"/>
      <c r="T62" s="19"/>
      <c r="U62" s="19"/>
      <c r="V62" s="19"/>
    </row>
    <row r="63" spans="2:22">
      <c r="B63" s="4190" t="s">
        <v>125</v>
      </c>
      <c r="C63" s="4190" t="s">
        <v>126</v>
      </c>
      <c r="D63" s="1983" t="s">
        <v>3607</v>
      </c>
      <c r="E63" s="71">
        <f>SUMIF('Datos auxiliares proyectos '!$C$122:$DN$122,'Seleccion proyecto HEREVEA02'!$L$6,'Datos auxiliares proyectos '!C172:DN172)</f>
        <v>0.12</v>
      </c>
      <c r="F63" s="39">
        <f t="shared" si="0"/>
        <v>1332.11628</v>
      </c>
      <c r="G63" s="1180" t="s">
        <v>1478</v>
      </c>
      <c r="H63" s="3499">
        <v>0</v>
      </c>
      <c r="I63" s="2048"/>
      <c r="R63" s="19"/>
      <c r="S63" s="961"/>
      <c r="T63" s="19"/>
      <c r="U63" s="19"/>
      <c r="V63" s="19"/>
    </row>
    <row r="64" spans="2:22" ht="18.75" customHeight="1">
      <c r="B64" s="4190" t="s">
        <v>2084</v>
      </c>
      <c r="C64" s="4210" t="s">
        <v>128</v>
      </c>
      <c r="D64" s="1987" t="s">
        <v>3606</v>
      </c>
      <c r="E64" s="71">
        <f>SUMIF('Datos auxiliares proyectos '!$C$122:$DN$122,'Seleccion proyecto HEREVEA02'!$L$6,'Datos auxiliares proyectos '!C173:DN173)</f>
        <v>0</v>
      </c>
      <c r="F64" s="39">
        <f t="shared" ref="F64" si="1">E64*$L$8</f>
        <v>0</v>
      </c>
      <c r="G64" s="1180" t="s">
        <v>1478</v>
      </c>
      <c r="H64" s="3499">
        <v>0</v>
      </c>
      <c r="I64" s="16"/>
      <c r="K64" s="97" t="s">
        <v>3918</v>
      </c>
      <c r="R64" s="19"/>
      <c r="S64" s="961"/>
      <c r="T64" s="19"/>
      <c r="U64" s="19"/>
      <c r="V64" s="19"/>
    </row>
    <row r="65" spans="2:22">
      <c r="B65" s="4199" t="s">
        <v>145</v>
      </c>
      <c r="C65" s="4199" t="s">
        <v>146</v>
      </c>
      <c r="D65" s="4211"/>
      <c r="E65" s="4209">
        <f>SUMIF('Datos auxiliares proyectos '!$C$122:$DN$122,'Seleccion proyecto HEREVEA02'!$L$6,'Datos auxiliares proyectos '!C178:DN178)</f>
        <v>0.01</v>
      </c>
      <c r="F65" s="39">
        <f t="shared" si="0"/>
        <v>111.00968999999999</v>
      </c>
      <c r="G65" s="1180" t="s">
        <v>1478</v>
      </c>
      <c r="H65" s="3499">
        <v>0</v>
      </c>
      <c r="I65" s="1207"/>
      <c r="R65" s="19"/>
      <c r="S65" s="961"/>
      <c r="T65" s="19"/>
      <c r="U65" s="19"/>
      <c r="V65" s="19"/>
    </row>
    <row r="66" spans="2:22">
      <c r="B66" s="1191"/>
      <c r="C66" s="1983" t="s">
        <v>3919</v>
      </c>
      <c r="D66" s="1983" t="s">
        <v>3920</v>
      </c>
      <c r="E66" s="3320"/>
      <c r="F66" s="3321"/>
      <c r="G66" s="1180" t="s">
        <v>1478</v>
      </c>
      <c r="H66" s="3499">
        <v>0</v>
      </c>
      <c r="I66" s="1207"/>
      <c r="R66" s="19"/>
      <c r="S66" s="961"/>
      <c r="T66" s="19"/>
      <c r="U66" s="19"/>
      <c r="V66" s="19"/>
    </row>
    <row r="67" spans="2:22">
      <c r="B67" s="19"/>
      <c r="C67" s="19"/>
      <c r="D67" s="19"/>
      <c r="E67" s="19"/>
      <c r="F67" s="19"/>
      <c r="G67" s="19"/>
      <c r="H67" s="3634"/>
      <c r="I67" s="3631"/>
      <c r="R67" s="19"/>
      <c r="S67" s="961"/>
      <c r="T67" s="19"/>
      <c r="U67" s="19"/>
      <c r="V67" s="19"/>
    </row>
    <row r="68" spans="2:22">
      <c r="B68" s="1217" t="s">
        <v>3474</v>
      </c>
      <c r="C68" s="1221"/>
      <c r="D68" s="1221"/>
      <c r="E68" s="1221" t="s">
        <v>1549</v>
      </c>
      <c r="F68" s="1221"/>
      <c r="G68" s="1221"/>
      <c r="H68" s="3506"/>
      <c r="I68" s="3631"/>
      <c r="R68" s="19"/>
      <c r="S68" s="961"/>
      <c r="T68" s="19"/>
      <c r="U68" s="19"/>
      <c r="V68" s="19"/>
    </row>
    <row r="69" spans="2:22">
      <c r="B69" s="4190" t="s">
        <v>3587</v>
      </c>
      <c r="C69" s="4190" t="s">
        <v>3475</v>
      </c>
      <c r="D69" s="1983" t="s">
        <v>3707</v>
      </c>
      <c r="E69" s="71">
        <f>L10</f>
        <v>10</v>
      </c>
      <c r="F69" s="39"/>
      <c r="G69" s="1180" t="s">
        <v>3732</v>
      </c>
      <c r="H69" s="3499">
        <v>100</v>
      </c>
      <c r="I69" s="3631"/>
      <c r="K69" t="s">
        <v>3610</v>
      </c>
      <c r="R69" s="19"/>
      <c r="S69" s="961"/>
      <c r="T69" s="19"/>
      <c r="U69" s="19"/>
      <c r="V69" s="19"/>
    </row>
    <row r="70" spans="2:22">
      <c r="B70" s="4191" t="s">
        <v>3734</v>
      </c>
      <c r="C70" s="4190" t="s">
        <v>3608</v>
      </c>
      <c r="D70" s="1983" t="s">
        <v>3609</v>
      </c>
      <c r="E70" s="71">
        <v>1</v>
      </c>
      <c r="F70" s="39"/>
      <c r="G70" s="1180" t="s">
        <v>3588</v>
      </c>
      <c r="H70" s="3499">
        <v>100</v>
      </c>
      <c r="I70" s="1278"/>
      <c r="R70" s="19"/>
      <c r="S70" s="1246"/>
      <c r="T70" s="19"/>
      <c r="U70" s="19"/>
      <c r="V70" s="19"/>
    </row>
    <row r="71" spans="2:22">
      <c r="B71" s="4192" t="s">
        <v>3592</v>
      </c>
      <c r="C71" s="4193" t="s">
        <v>3591</v>
      </c>
      <c r="D71" s="1983" t="s">
        <v>3593</v>
      </c>
      <c r="E71" s="4044">
        <v>1</v>
      </c>
      <c r="F71" s="4042"/>
      <c r="G71" s="1180" t="s">
        <v>1478</v>
      </c>
      <c r="H71" s="3499">
        <v>0</v>
      </c>
      <c r="I71" s="3631"/>
      <c r="K71" s="961"/>
      <c r="L71" s="598"/>
      <c r="R71" s="19"/>
      <c r="S71" s="961"/>
      <c r="T71" s="19"/>
      <c r="U71" s="19"/>
      <c r="V71" s="19"/>
    </row>
    <row r="72" spans="2:22">
      <c r="B72" s="4194" t="s">
        <v>2619</v>
      </c>
      <c r="C72" s="1986" t="s">
        <v>2620</v>
      </c>
      <c r="D72" s="1983" t="s">
        <v>2621</v>
      </c>
      <c r="E72" s="4045">
        <v>0</v>
      </c>
      <c r="F72" s="4043"/>
      <c r="G72" s="1180" t="s">
        <v>1478</v>
      </c>
      <c r="H72" s="3499">
        <v>100</v>
      </c>
      <c r="I72" s="3789"/>
      <c r="K72" s="961"/>
      <c r="L72" s="598"/>
      <c r="R72" s="19"/>
      <c r="S72" s="961"/>
      <c r="T72" s="19"/>
      <c r="U72" s="19"/>
      <c r="V72" s="19"/>
    </row>
    <row r="73" spans="2:22">
      <c r="B73" s="3632"/>
      <c r="C73" s="961"/>
      <c r="D73" s="961"/>
      <c r="E73" s="448">
        <v>0</v>
      </c>
      <c r="F73" s="965"/>
      <c r="G73" s="448" t="s">
        <v>1478</v>
      </c>
      <c r="H73" s="1916"/>
      <c r="I73" s="1207"/>
      <c r="K73" s="16" t="s">
        <v>3594</v>
      </c>
      <c r="L73" s="16"/>
      <c r="R73" s="19"/>
      <c r="S73" s="961"/>
      <c r="T73" s="19"/>
      <c r="U73" s="19"/>
      <c r="V73" s="19"/>
    </row>
    <row r="74" spans="2:22">
      <c r="B74" s="3632"/>
      <c r="C74" s="961"/>
      <c r="D74" s="961"/>
      <c r="E74" s="448"/>
      <c r="F74" s="965"/>
      <c r="G74" s="448" t="s">
        <v>1478</v>
      </c>
      <c r="H74" s="1916"/>
      <c r="I74" s="16"/>
      <c r="J74" s="598"/>
      <c r="R74" s="19"/>
      <c r="S74" s="961"/>
      <c r="T74" s="19"/>
      <c r="U74" s="19"/>
      <c r="V74" s="19"/>
    </row>
    <row r="75" spans="2:22">
      <c r="B75" s="16"/>
      <c r="C75" s="19"/>
      <c r="D75" s="19"/>
      <c r="E75" s="19"/>
      <c r="F75" s="965"/>
      <c r="G75" s="448"/>
      <c r="H75" s="1916"/>
      <c r="I75" s="1238"/>
      <c r="J75" s="598"/>
      <c r="R75" s="19"/>
      <c r="S75" s="961"/>
      <c r="T75" s="19"/>
      <c r="U75" s="19"/>
      <c r="V75" s="19"/>
    </row>
    <row r="76" spans="2:22">
      <c r="B76" s="961"/>
      <c r="C76" s="961"/>
      <c r="D76" s="961"/>
      <c r="E76" s="448"/>
      <c r="F76" s="1244"/>
      <c r="G76" s="961"/>
      <c r="H76" s="1915"/>
      <c r="I76" s="1238"/>
      <c r="J76" s="16"/>
      <c r="R76" s="19"/>
      <c r="S76" s="961"/>
      <c r="T76" s="19"/>
      <c r="U76" s="19"/>
      <c r="V76" s="19"/>
    </row>
    <row r="77" spans="2:22">
      <c r="B77" s="961"/>
      <c r="C77" s="961"/>
      <c r="D77" s="961"/>
      <c r="E77" s="448"/>
      <c r="F77" s="1244"/>
      <c r="G77" s="19"/>
      <c r="I77" s="1238"/>
      <c r="R77" s="19"/>
      <c r="S77" s="961"/>
      <c r="T77" s="19"/>
      <c r="U77" s="19"/>
      <c r="V77" s="19"/>
    </row>
    <row r="78" spans="2:22">
      <c r="B78" s="4319"/>
      <c r="C78" s="961"/>
      <c r="D78" s="961"/>
      <c r="E78" s="448"/>
      <c r="F78" s="1245"/>
      <c r="G78" s="19"/>
      <c r="I78" s="16"/>
      <c r="R78" s="19"/>
      <c r="S78" s="961"/>
      <c r="T78" s="19"/>
      <c r="U78" s="19"/>
      <c r="V78" s="19"/>
    </row>
    <row r="79" spans="2:22">
      <c r="B79" s="4319"/>
      <c r="C79" s="961"/>
      <c r="D79" s="961"/>
      <c r="E79" s="448"/>
      <c r="F79" s="1245"/>
      <c r="G79" s="19"/>
      <c r="I79" s="16"/>
      <c r="R79" s="19"/>
      <c r="S79" s="961"/>
      <c r="T79" s="19"/>
      <c r="U79" s="19"/>
      <c r="V79" s="19"/>
    </row>
    <row r="80" spans="2:22">
      <c r="B80" s="19"/>
      <c r="C80" s="19"/>
      <c r="D80" s="19"/>
      <c r="E80" s="19"/>
      <c r="F80" s="19"/>
      <c r="G80" s="19"/>
      <c r="I80" s="16"/>
      <c r="K80" s="16"/>
      <c r="R80" s="19"/>
      <c r="S80" s="961"/>
      <c r="T80" s="19"/>
      <c r="U80" s="19"/>
      <c r="V80" s="19"/>
    </row>
    <row r="81" spans="2:23">
      <c r="B81" s="19"/>
      <c r="C81" s="19"/>
      <c r="D81" s="19"/>
      <c r="E81" s="19"/>
      <c r="F81" s="19"/>
      <c r="G81" s="19"/>
      <c r="I81" s="4310"/>
      <c r="K81" s="16"/>
      <c r="R81" s="19"/>
      <c r="S81" s="961"/>
      <c r="T81" s="19"/>
      <c r="U81" s="19"/>
      <c r="V81" s="19"/>
    </row>
    <row r="82" spans="2:23">
      <c r="B82" s="19"/>
      <c r="C82" s="19"/>
      <c r="D82" s="19"/>
      <c r="E82" s="19"/>
      <c r="F82" s="19"/>
      <c r="G82" s="19"/>
      <c r="I82" s="4310"/>
      <c r="K82" s="16"/>
      <c r="R82" s="19"/>
      <c r="S82" s="961"/>
      <c r="T82" s="19"/>
      <c r="U82" s="19"/>
      <c r="V82" s="19"/>
    </row>
    <row r="83" spans="2:23">
      <c r="I83" s="4310"/>
      <c r="J83" s="16"/>
      <c r="K83" s="16"/>
      <c r="R83" s="19"/>
      <c r="S83" s="961"/>
      <c r="T83" s="19"/>
      <c r="U83" s="19"/>
      <c r="V83" s="19"/>
    </row>
    <row r="84" spans="2:23">
      <c r="I84" s="1207"/>
      <c r="J84" s="16"/>
      <c r="R84" s="19"/>
      <c r="S84" s="961"/>
      <c r="T84" s="19"/>
      <c r="U84" s="19"/>
      <c r="V84" s="19"/>
    </row>
    <row r="85" spans="2:23" ht="15.75" customHeight="1">
      <c r="I85" s="1207"/>
      <c r="J85" s="598"/>
      <c r="R85" s="19"/>
      <c r="S85" s="961"/>
      <c r="T85" s="19"/>
      <c r="U85" s="19"/>
      <c r="V85" s="19"/>
    </row>
    <row r="86" spans="2:23" ht="19.5" customHeight="1">
      <c r="I86" s="1207"/>
      <c r="J86" s="598"/>
      <c r="K86" s="448"/>
      <c r="L86" s="961"/>
      <c r="M86" s="448"/>
      <c r="R86" s="19"/>
      <c r="S86" s="961"/>
      <c r="T86" s="19"/>
      <c r="U86" s="19"/>
      <c r="V86" s="19"/>
    </row>
    <row r="87" spans="2:23">
      <c r="I87" s="1207"/>
      <c r="K87" s="448"/>
      <c r="L87" s="961"/>
      <c r="M87" s="448"/>
      <c r="R87" s="19"/>
      <c r="S87" s="961"/>
      <c r="T87" s="19"/>
      <c r="U87" s="19"/>
      <c r="V87" s="19"/>
    </row>
    <row r="88" spans="2:23">
      <c r="I88" s="1207"/>
      <c r="K88" s="448"/>
      <c r="L88" s="961"/>
      <c r="M88" s="448"/>
      <c r="R88" s="19"/>
      <c r="S88" s="961"/>
      <c r="T88" s="19"/>
      <c r="U88" s="19"/>
      <c r="V88" s="19"/>
      <c r="W88" s="19"/>
    </row>
    <row r="89" spans="2:23" ht="14.25" customHeight="1">
      <c r="I89" s="1207"/>
      <c r="J89" s="961"/>
      <c r="K89" s="448"/>
      <c r="L89" s="961"/>
      <c r="M89" s="448"/>
      <c r="R89" s="19"/>
      <c r="S89" s="961"/>
      <c r="T89" s="19"/>
      <c r="U89" s="19"/>
      <c r="V89" s="19"/>
    </row>
    <row r="90" spans="2:23" ht="14.25" customHeight="1">
      <c r="I90" s="1207"/>
      <c r="J90" s="961"/>
      <c r="K90" s="961"/>
      <c r="L90" s="448"/>
      <c r="R90" s="19"/>
      <c r="S90" s="961"/>
      <c r="T90" s="19"/>
      <c r="U90" s="19"/>
      <c r="V90" s="19"/>
    </row>
    <row r="91" spans="2:23">
      <c r="I91" s="1207"/>
      <c r="J91" s="961"/>
      <c r="R91" s="19"/>
      <c r="S91" s="19"/>
      <c r="T91" s="19"/>
      <c r="U91" s="19"/>
      <c r="V91" s="19"/>
    </row>
    <row r="92" spans="2:23" ht="16.5" customHeight="1">
      <c r="I92" s="1207"/>
      <c r="J92" s="961"/>
      <c r="R92" s="19"/>
      <c r="S92" s="19"/>
      <c r="T92" s="19"/>
      <c r="U92" s="19"/>
      <c r="V92" s="19"/>
    </row>
    <row r="93" spans="2:23" ht="16.5" customHeight="1">
      <c r="I93" s="4310"/>
      <c r="J93" s="448"/>
      <c r="R93" s="19"/>
      <c r="S93" s="19"/>
      <c r="T93" s="19"/>
      <c r="U93" s="19"/>
      <c r="V93" s="19"/>
    </row>
    <row r="94" spans="2:23">
      <c r="I94" s="4310"/>
      <c r="R94" s="19"/>
      <c r="S94" s="19"/>
      <c r="T94" s="19"/>
      <c r="U94" s="19"/>
      <c r="V94" s="19"/>
    </row>
    <row r="95" spans="2:23">
      <c r="I95" s="4310"/>
      <c r="R95" s="19"/>
      <c r="S95" s="19"/>
      <c r="T95" s="19"/>
      <c r="U95" s="19"/>
      <c r="V95" s="19"/>
    </row>
    <row r="96" spans="2:23">
      <c r="I96" s="1207"/>
      <c r="R96" s="19"/>
      <c r="S96" s="19"/>
      <c r="T96" s="19"/>
      <c r="U96" s="19"/>
      <c r="V96" s="19"/>
    </row>
    <row r="97" spans="9:22">
      <c r="I97" s="1207"/>
      <c r="R97" s="19"/>
      <c r="S97" s="19"/>
      <c r="T97" s="19"/>
      <c r="U97" s="19"/>
      <c r="V97" s="19"/>
    </row>
    <row r="98" spans="9:22">
      <c r="I98" s="1207"/>
      <c r="R98" s="19"/>
      <c r="S98" s="19"/>
      <c r="T98" s="19"/>
      <c r="U98" s="19"/>
      <c r="V98" s="19"/>
    </row>
    <row r="99" spans="9:22">
      <c r="I99" s="1207"/>
      <c r="R99" s="19"/>
      <c r="S99" s="19"/>
      <c r="T99" s="19"/>
      <c r="U99" s="19"/>
      <c r="V99" s="19"/>
    </row>
    <row r="100" spans="9:22">
      <c r="I100" s="1207"/>
      <c r="R100" s="19"/>
      <c r="S100" s="19"/>
      <c r="T100" s="19"/>
      <c r="U100" s="19"/>
      <c r="V100" s="19"/>
    </row>
    <row r="101" spans="9:22">
      <c r="I101" s="1207"/>
      <c r="K101" s="16"/>
      <c r="L101" s="82"/>
      <c r="R101" s="19"/>
      <c r="S101" s="19"/>
      <c r="T101" s="19"/>
      <c r="U101" s="19"/>
      <c r="V101" s="19"/>
    </row>
    <row r="102" spans="9:22">
      <c r="I102" s="4310"/>
      <c r="K102" s="83"/>
      <c r="L102" s="84"/>
      <c r="R102" s="19"/>
      <c r="S102" s="19"/>
      <c r="T102" s="19"/>
      <c r="U102" s="19"/>
      <c r="V102" s="19"/>
    </row>
    <row r="103" spans="9:22">
      <c r="I103" s="4310"/>
      <c r="K103" s="83"/>
      <c r="L103" s="84"/>
      <c r="R103" s="19"/>
      <c r="S103" s="19"/>
      <c r="T103" s="19"/>
      <c r="U103" s="19"/>
      <c r="V103" s="19"/>
    </row>
    <row r="104" spans="9:22">
      <c r="I104" s="4310"/>
      <c r="K104" s="83"/>
      <c r="L104" s="85"/>
      <c r="R104" s="19"/>
      <c r="S104" s="19"/>
      <c r="T104" s="19"/>
      <c r="U104" s="19"/>
      <c r="V104" s="19"/>
    </row>
    <row r="105" spans="9:22">
      <c r="I105" s="1207"/>
      <c r="K105" s="83"/>
      <c r="L105" s="85"/>
      <c r="R105" s="19"/>
      <c r="S105" s="19"/>
      <c r="T105" s="19"/>
      <c r="U105" s="19"/>
      <c r="V105" s="19"/>
    </row>
    <row r="106" spans="9:22">
      <c r="I106" s="1207"/>
      <c r="R106" s="19"/>
      <c r="S106" s="19"/>
      <c r="T106" s="19"/>
      <c r="U106" s="19"/>
      <c r="V106" s="19"/>
    </row>
    <row r="107" spans="9:22">
      <c r="I107" s="1207"/>
      <c r="R107" s="19"/>
      <c r="S107" s="19"/>
      <c r="T107" s="19"/>
      <c r="U107" s="19"/>
      <c r="V107" s="19"/>
    </row>
    <row r="108" spans="9:22">
      <c r="I108" s="1207"/>
      <c r="R108" s="19"/>
      <c r="S108" s="19"/>
      <c r="T108" s="19"/>
      <c r="U108" s="19"/>
      <c r="V108" s="19"/>
    </row>
    <row r="109" spans="9:22">
      <c r="I109" s="1207"/>
      <c r="R109" s="19"/>
      <c r="S109" s="19"/>
      <c r="T109" s="19"/>
      <c r="U109" s="19"/>
      <c r="V109" s="19"/>
    </row>
    <row r="110" spans="9:22">
      <c r="I110" s="1207"/>
      <c r="R110" s="19"/>
      <c r="S110" s="19"/>
      <c r="T110" s="19"/>
      <c r="U110" s="19"/>
      <c r="V110" s="19"/>
    </row>
    <row r="111" spans="9:22">
      <c r="I111" s="1207"/>
      <c r="R111" s="19"/>
      <c r="S111" s="19"/>
      <c r="T111" s="19"/>
      <c r="U111" s="19"/>
      <c r="V111" s="19"/>
    </row>
    <row r="112" spans="9:22">
      <c r="I112" s="1280"/>
      <c r="R112" s="19"/>
      <c r="S112" s="19"/>
      <c r="T112" s="19"/>
      <c r="U112" s="19"/>
      <c r="V112" s="19"/>
    </row>
    <row r="113" spans="9:22">
      <c r="I113" s="1207"/>
      <c r="R113" s="19"/>
      <c r="S113" s="19"/>
      <c r="T113" s="19"/>
      <c r="U113" s="19"/>
      <c r="V113" s="19"/>
    </row>
    <row r="114" spans="9:22">
      <c r="I114" s="1207"/>
      <c r="R114" s="19"/>
      <c r="S114" s="19"/>
      <c r="T114" s="19"/>
      <c r="U114" s="19"/>
      <c r="V114" s="19"/>
    </row>
    <row r="115" spans="9:22">
      <c r="I115" s="1207"/>
      <c r="U115" s="19"/>
    </row>
    <row r="116" spans="9:22">
      <c r="I116" s="1207"/>
      <c r="U116" s="16"/>
    </row>
    <row r="117" spans="9:22">
      <c r="I117" s="1281"/>
      <c r="U117" s="16"/>
    </row>
    <row r="118" spans="9:22">
      <c r="I118" s="1207"/>
      <c r="U118" s="16"/>
    </row>
    <row r="119" spans="9:22">
      <c r="I119" s="1207"/>
      <c r="U119" s="16"/>
    </row>
    <row r="120" spans="9:22">
      <c r="I120" s="1207"/>
    </row>
    <row r="121" spans="9:22">
      <c r="I121" s="1282"/>
    </row>
    <row r="122" spans="9:22">
      <c r="I122" s="4310"/>
    </row>
    <row r="123" spans="9:22">
      <c r="I123" s="4310"/>
    </row>
    <row r="124" spans="9:22">
      <c r="I124" s="4310"/>
    </row>
    <row r="125" spans="9:22">
      <c r="I125" s="4310"/>
    </row>
    <row r="126" spans="9:22">
      <c r="I126" s="4310"/>
    </row>
    <row r="127" spans="9:22">
      <c r="I127" s="4310"/>
    </row>
    <row r="128" spans="9:22" ht="28.5" customHeight="1">
      <c r="I128" s="16"/>
    </row>
    <row r="129" spans="9:9" ht="30.75" customHeight="1">
      <c r="I129" s="4310"/>
    </row>
    <row r="130" spans="9:9" ht="29.25" customHeight="1">
      <c r="I130" s="4310"/>
    </row>
    <row r="131" spans="9:9" ht="27.75" customHeight="1">
      <c r="I131" s="4310"/>
    </row>
    <row r="132" spans="9:9" ht="29.25" customHeight="1">
      <c r="I132" s="16"/>
    </row>
    <row r="133" spans="9:9" ht="31.5" customHeight="1">
      <c r="I133" s="16"/>
    </row>
    <row r="142" spans="9:9" ht="18" customHeight="1"/>
    <row r="144" spans="9:9" ht="15.75" customHeight="1"/>
    <row r="145" ht="33.75" customHeight="1"/>
  </sheetData>
  <dataConsolidate link="1"/>
  <mergeCells count="18">
    <mergeCell ref="I33:I34"/>
    <mergeCell ref="I129:I131"/>
    <mergeCell ref="B78:B79"/>
    <mergeCell ref="I35:I36"/>
    <mergeCell ref="I45:I47"/>
    <mergeCell ref="I81:I83"/>
    <mergeCell ref="I93:I95"/>
    <mergeCell ref="I102:I104"/>
    <mergeCell ref="I122:I127"/>
    <mergeCell ref="B10:H10"/>
    <mergeCell ref="I13:I15"/>
    <mergeCell ref="I21:I24"/>
    <mergeCell ref="I25:I31"/>
    <mergeCell ref="A1:L1"/>
    <mergeCell ref="K12:K13"/>
    <mergeCell ref="K11:L11"/>
    <mergeCell ref="B5:H5"/>
    <mergeCell ref="K15:L15"/>
  </mergeCells>
  <dataValidations count="11">
    <dataValidation type="list" allowBlank="1" showInputMessage="1" showErrorMessage="1" sqref="I65:I66">
      <formula1>#REF!</formula1>
    </dataValidation>
    <dataValidation type="list" allowBlank="1" showInputMessage="1" showErrorMessage="1" sqref="I32">
      <formula1>$S$21:$S$23</formula1>
    </dataValidation>
    <dataValidation type="list" allowBlank="1" showInputMessage="1" showErrorMessage="1" sqref="I115">
      <formula1>$S$77:$S$78</formula1>
    </dataValidation>
    <dataValidation type="list" allowBlank="1" showInputMessage="1" showErrorMessage="1" sqref="I116">
      <formula1>$S$83:$S$86</formula1>
    </dataValidation>
    <dataValidation type="list" allowBlank="1" showInputMessage="1" showErrorMessage="1" sqref="G23:H23">
      <formula1>$S$35:$S$36</formula1>
    </dataValidation>
    <dataValidation type="list" allowBlank="1" showInputMessage="1" showErrorMessage="1" sqref="I98">
      <formula1>$S$47:$S$48</formula1>
    </dataValidation>
    <dataValidation type="list" allowBlank="1" showInputMessage="1" showErrorMessage="1" sqref="I73">
      <formula1>$S$62:$S$63</formula1>
    </dataValidation>
    <dataValidation type="list" allowBlank="1" showInputMessage="1" showErrorMessage="1" sqref="I76">
      <formula1>$S$64:$S$66</formula1>
    </dataValidation>
    <dataValidation type="list" allowBlank="1" showInputMessage="1" showErrorMessage="1" sqref="I16">
      <formula1>$S$12:$S$13</formula1>
    </dataValidation>
    <dataValidation type="list" allowBlank="1" showInputMessage="1" showErrorMessage="1" sqref="I17">
      <formula1>$S$14:$S$18</formula1>
    </dataValidation>
    <dataValidation type="list" allowBlank="1" showInputMessage="1" showErrorMessage="1" sqref="I113">
      <formula1>$S$69:$S$76</formula1>
    </dataValidation>
  </dataValidations>
  <pageMargins left="0.23622047244094491" right="0.23622047244094491" top="0.15748031496062992" bottom="0.19685039370078741" header="0.31496062992125984" footer="0.31496062992125984"/>
  <pageSetup paperSize="9" scale="60" fitToWidth="0" orientation="landscape" r:id="rId1"/>
  <colBreaks count="1" manualBreakCount="1">
    <brk id="12" max="1048575" man="1"/>
  </colBreaks>
  <legacyDrawing r:id="rId2"/>
  <extLst>
    <ext xmlns:x14="http://schemas.microsoft.com/office/spreadsheetml/2009/9/main" uri="{CCE6A557-97BC-4b89-ADB6-D9C93CAAB3DF}">
      <x14:dataValidations xmlns:xm="http://schemas.microsoft.com/office/excel/2006/main" count="50">
        <x14:dataValidation type="list" allowBlank="1" showInputMessage="1" showErrorMessage="1">
          <x14:formula1>
            <xm:f>'Datos aux_desplegables'!$G$13:$G$14</xm:f>
          </x14:formula1>
          <xm:sqref>H45 H40</xm:sqref>
        </x14:dataValidation>
        <x14:dataValidation type="list" allowBlank="1" showInputMessage="1" showErrorMessage="1">
          <x14:formula1>
            <xm:f>'Datos aux_desplegables'!$G$8:$G$10</xm:f>
          </x14:formula1>
          <xm:sqref>H31 H36</xm:sqref>
        </x14:dataValidation>
        <x14:dataValidation type="list" allowBlank="1" showInputMessage="1" showErrorMessage="1">
          <x14:formula1>
            <xm:f>'Datos aux_desplegables'!$G$6:$G$7</xm:f>
          </x14:formula1>
          <xm:sqref>H50:H51 H8 H61 H69:H72 H56</xm:sqref>
        </x14:dataValidation>
        <x14:dataValidation type="list" allowBlank="1" showInputMessage="1" showErrorMessage="1">
          <x14:formula1>
            <xm:f>'Datos aux_desplegables'!$D$65:$D$66</xm:f>
          </x14:formula1>
          <xm:sqref>G52:G55</xm:sqref>
        </x14:dataValidation>
        <x14:dataValidation type="list" allowBlank="1" showInputMessage="1" showErrorMessage="1">
          <x14:formula1>
            <xm:f>'Datos aux_desplegables'!$G$2:$G$5</xm:f>
          </x14:formula1>
          <xm:sqref>H21 H66 H27:H28 H37 H14 H16:H18 H30:H33 H35 H42:H43 H47:H48 H63:H64 H52:H60</xm:sqref>
        </x14:dataValidation>
        <x14:dataValidation type="list" allowBlank="1" showInputMessage="1" showErrorMessage="1">
          <x14:formula1>
            <xm:f>'Datos aux_desplegables'!$D$10:$D$13</xm:f>
          </x14:formula1>
          <xm:sqref>G17</xm:sqref>
        </x14:dataValidation>
        <x14:dataValidation type="list" allowBlank="1" showInputMessage="1" showErrorMessage="1">
          <x14:formula1>
            <xm:f>'Datos aux_desplegables'!$D$14:$D$16</xm:f>
          </x14:formula1>
          <xm:sqref>G18</xm:sqref>
        </x14:dataValidation>
        <x14:dataValidation type="list" allowBlank="1" showInputMessage="1" showErrorMessage="1">
          <x14:formula1>
            <xm:f>'Datos aux_desplegables'!$D$42:$D$44</xm:f>
          </x14:formula1>
          <xm:sqref>G40</xm:sqref>
        </x14:dataValidation>
        <x14:dataValidation type="list" allowBlank="1" showInputMessage="1" showErrorMessage="1">
          <x14:formula1>
            <xm:f>'Datos aux_desplegables'!$D$45:$D$46</xm:f>
          </x14:formula1>
          <xm:sqref>G41</xm:sqref>
        </x14:dataValidation>
        <x14:dataValidation type="list" allowBlank="1" showInputMessage="1" showErrorMessage="1">
          <x14:formula1>
            <xm:f>'Datos aux_desplegables'!$D$47:$D$48</xm:f>
          </x14:formula1>
          <xm:sqref>G43</xm:sqref>
        </x14:dataValidation>
        <x14:dataValidation type="list" allowBlank="1" showInputMessage="1" showErrorMessage="1">
          <x14:formula1>
            <xm:f>'Datos aux_desplegables'!$D$51:$D$53</xm:f>
          </x14:formula1>
          <xm:sqref>G45</xm:sqref>
        </x14:dataValidation>
        <x14:dataValidation type="list" allowBlank="1" showInputMessage="1" showErrorMessage="1">
          <x14:formula1>
            <xm:f>'Datos aux_desplegables'!$D$54:$D$55</xm:f>
          </x14:formula1>
          <xm:sqref>G46</xm:sqref>
        </x14:dataValidation>
        <x14:dataValidation type="list" allowBlank="1" showInputMessage="1" showErrorMessage="1">
          <x14:formula1>
            <xm:f>'Datos aux_desplegables'!$D$56:$D$57</xm:f>
          </x14:formula1>
          <xm:sqref>G47</xm:sqref>
        </x14:dataValidation>
        <x14:dataValidation type="list" allowBlank="1" showInputMessage="1" showErrorMessage="1">
          <x14:formula1>
            <xm:f>'Datos aux_desplegables'!$D$58:$D$59</xm:f>
          </x14:formula1>
          <xm:sqref>G48</xm:sqref>
        </x14:dataValidation>
        <x14:dataValidation type="list" allowBlank="1" showInputMessage="1" showErrorMessage="1">
          <x14:formula1>
            <xm:f>'Datos aux_desplegables'!$D$85:$D$87</xm:f>
          </x14:formula1>
          <xm:sqref>G61</xm:sqref>
        </x14:dataValidation>
        <x14:dataValidation type="list" allowBlank="1" showInputMessage="1" showErrorMessage="1">
          <x14:formula1>
            <xm:f>'Datos aux_desplegables'!$D$92:$D$95</xm:f>
          </x14:formula1>
          <xm:sqref>G64</xm:sqref>
        </x14:dataValidation>
        <x14:dataValidation type="list" allowBlank="1" showInputMessage="1" showErrorMessage="1">
          <x14:formula1>
            <xm:f>'Datos aux_desplegables'!$D$4:$D$5</xm:f>
          </x14:formula1>
          <xm:sqref>G14</xm:sqref>
        </x14:dataValidation>
        <x14:dataValidation type="list" allowBlank="1" showInputMessage="1" showErrorMessage="1">
          <x14:formula1>
            <xm:f>'Datos aux_desplegables'!$G$8:$G$9</xm:f>
          </x14:formula1>
          <xm:sqref>H46</xm:sqref>
        </x14:dataValidation>
        <x14:dataValidation type="list" allowBlank="1" showInputMessage="1" showErrorMessage="1">
          <x14:formula1>
            <xm:f>'Datos aux_desplegables'!$D$10:$D$12</xm:f>
          </x14:formula1>
          <xm:sqref>G17</xm:sqref>
        </x14:dataValidation>
        <x14:dataValidation type="list" allowBlank="1" showInputMessage="1" showErrorMessage="1">
          <x14:formula1>
            <xm:f>'Datos aux_desplegables'!$D$14:$D$15</xm:f>
          </x14:formula1>
          <xm:sqref>G18</xm:sqref>
        </x14:dataValidation>
        <x14:dataValidation type="list" allowBlank="1" showInputMessage="1" showErrorMessage="1">
          <x14:formula1>
            <xm:f>'Datos aux_desplegables'!$G$2:$G$4</xm:f>
          </x14:formula1>
          <xm:sqref>H41</xm:sqref>
        </x14:dataValidation>
        <x14:dataValidation type="list" allowBlank="1" showInputMessage="1" showErrorMessage="1">
          <x14:formula1>
            <xm:f>'Datos aux_desplegables'!$D$24:$D$25</xm:f>
          </x14:formula1>
          <xm:sqref>G30</xm:sqref>
        </x14:dataValidation>
        <x14:dataValidation type="list" allowBlank="1" showInputMessage="1" showErrorMessage="1">
          <x14:formula1>
            <xm:f>'Datos aux_desplegables'!$D$19:$D$20</xm:f>
          </x14:formula1>
          <xm:sqref>G27</xm:sqref>
        </x14:dataValidation>
        <x14:dataValidation type="list" allowBlank="1" showInputMessage="1" showErrorMessage="1">
          <x14:formula1>
            <xm:f>'Datos aux_desplegables'!$D$21:$D$23</xm:f>
          </x14:formula1>
          <xm:sqref>G28</xm:sqref>
        </x14:dataValidation>
        <x14:dataValidation type="list" allowBlank="1" showInputMessage="1" showErrorMessage="1">
          <x14:formula1>
            <xm:f>'Datos aux_desplegables'!$D$31:$D$32</xm:f>
          </x14:formula1>
          <xm:sqref>G32</xm:sqref>
        </x14:dataValidation>
        <x14:dataValidation type="list" allowBlank="1" showInputMessage="1" showErrorMessage="1">
          <x14:formula1>
            <xm:f>'Datos aux_desplegables'!$D$33:$D$34</xm:f>
          </x14:formula1>
          <xm:sqref>G33</xm:sqref>
        </x14:dataValidation>
        <x14:dataValidation type="list" allowBlank="1" showInputMessage="1" showErrorMessage="1">
          <x14:formula1>
            <xm:f>'Datos aux_desplegables'!$D$17:$D$18</xm:f>
          </x14:formula1>
          <xm:sqref>G21</xm:sqref>
        </x14:dataValidation>
        <x14:dataValidation type="list" allowBlank="1" showInputMessage="1" showErrorMessage="1">
          <x14:formula1>
            <xm:f>'Datos aux_desplegables'!$D$49:$D$50</xm:f>
          </x14:formula1>
          <xm:sqref>G42</xm:sqref>
        </x14:dataValidation>
        <x14:dataValidation type="list" allowBlank="1" showInputMessage="1" showErrorMessage="1">
          <x14:formula1>
            <xm:f>'Datos aux_desplegables'!$D$35:$D$36</xm:f>
          </x14:formula1>
          <xm:sqref>G35</xm:sqref>
        </x14:dataValidation>
        <x14:dataValidation type="list" allowBlank="1" showInputMessage="1" showErrorMessage="1">
          <x14:formula1>
            <xm:f>'Datos aux_desplegables'!$D$37:$D$39</xm:f>
          </x14:formula1>
          <xm:sqref>G36</xm:sqref>
        </x14:dataValidation>
        <x14:dataValidation type="list" allowBlank="1" showInputMessage="1" showErrorMessage="1">
          <x14:formula1>
            <xm:f>'Datos aux_desplegables'!$D$40:$D$41</xm:f>
          </x14:formula1>
          <xm:sqref>G37</xm:sqref>
        </x14:dataValidation>
        <x14:dataValidation type="list" allowBlank="1" showInputMessage="1" showErrorMessage="1">
          <x14:formula1>
            <xm:f>'Datos aux_desplegables'!$D$88:$D$91</xm:f>
          </x14:formula1>
          <xm:sqref>G63</xm:sqref>
        </x14:dataValidation>
        <x14:dataValidation type="list" allowBlank="1" showInputMessage="1" showErrorMessage="1">
          <x14:formula1>
            <xm:f>'Datos aux_desplegables'!$D$78:$D$79</xm:f>
          </x14:formula1>
          <xm:sqref>G58</xm:sqref>
        </x14:dataValidation>
        <x14:dataValidation type="list" allowBlank="1" showInputMessage="1" showErrorMessage="1">
          <x14:formula1>
            <xm:f>'Datos aux_desplegables'!$D$63:$D$64</xm:f>
          </x14:formula1>
          <xm:sqref>G51</xm:sqref>
        </x14:dataValidation>
        <x14:dataValidation type="list" allowBlank="1" showInputMessage="1" showErrorMessage="1">
          <x14:formula1>
            <xm:f>'Datos aux_desplegables'!$G$14:$G$14</xm:f>
          </x14:formula1>
          <xm:sqref>H45</xm:sqref>
        </x14:dataValidation>
        <x14:dataValidation type="list" allowBlank="1" showInputMessage="1" showErrorMessage="1">
          <x14:formula1>
            <xm:f>'Datos aux_desplegables'!$D$2:$D$3</xm:f>
          </x14:formula1>
          <xm:sqref>G8</xm:sqref>
        </x14:dataValidation>
        <x14:dataValidation type="list" allowBlank="1" showInputMessage="1" showErrorMessage="1">
          <x14:formula1>
            <xm:f>'Datos aux_desplegables'!$G$11:$G$12</xm:f>
          </x14:formula1>
          <xm:sqref>H46</xm:sqref>
        </x14:dataValidation>
        <x14:dataValidation type="list" allowBlank="1" showInputMessage="1" showErrorMessage="1">
          <x14:formula1>
            <xm:f>'Datos aux_desplegables'!$D$83:$D$84</xm:f>
          </x14:formula1>
          <xm:sqref>G60</xm:sqref>
        </x14:dataValidation>
        <x14:dataValidation type="list" allowBlank="1" showInputMessage="1" showErrorMessage="1">
          <x14:formula1>
            <xm:f>'Datos aux_desplegables'!$D$61:$D$62</xm:f>
          </x14:formula1>
          <xm:sqref>G50</xm:sqref>
        </x14:dataValidation>
        <x14:dataValidation type="list" allowBlank="1" showInputMessage="1" showErrorMessage="1">
          <x14:formula1>
            <xm:f>'Datos aux_desplegables'!$D$26:$D$30</xm:f>
          </x14:formula1>
          <xm:sqref>G31</xm:sqref>
        </x14:dataValidation>
        <x14:dataValidation type="list" allowBlank="1" showInputMessage="1" showErrorMessage="1">
          <x14:formula1>
            <xm:f>'Datos aux_desplegables'!$D$100:$D$101</xm:f>
          </x14:formula1>
          <xm:sqref>G71:G72</xm:sqref>
        </x14:dataValidation>
        <x14:dataValidation type="list" allowBlank="1" showInputMessage="1" showErrorMessage="1">
          <x14:formula1>
            <xm:f>'Datos aux_desplegables'!$D$102:$D$104</xm:f>
          </x14:formula1>
          <xm:sqref>G69</xm:sqref>
        </x14:dataValidation>
        <x14:dataValidation type="list" allowBlank="1" showInputMessage="1" showErrorMessage="1">
          <x14:formula1>
            <xm:f>'Datos aux_desplegables'!$D$105:$D$106</xm:f>
          </x14:formula1>
          <xm:sqref>G70</xm:sqref>
        </x14:dataValidation>
        <x14:dataValidation type="list" allowBlank="1" showInputMessage="1" showErrorMessage="1">
          <x14:formula1>
            <xm:f>'Datos aux_desplegables'!$D$6:$D$9</xm:f>
          </x14:formula1>
          <xm:sqref>G16</xm:sqref>
        </x14:dataValidation>
        <x14:dataValidation type="list" allowBlank="1" showInputMessage="1" showErrorMessage="1">
          <x14:formula1>
            <xm:f>'Datos aux_desplegables'!$D$73:$D$74</xm:f>
          </x14:formula1>
          <xm:sqref>G56</xm:sqref>
        </x14:dataValidation>
        <x14:dataValidation type="list" allowBlank="1" showInputMessage="1" showErrorMessage="1">
          <x14:formula1>
            <xm:f>'Datos aux_desplegables'!$I$2:$I$114</xm:f>
          </x14:formula1>
          <xm:sqref>L6</xm:sqref>
        </x14:dataValidation>
        <x14:dataValidation type="list" allowBlank="1" showInputMessage="1" showErrorMessage="1">
          <x14:formula1>
            <xm:f>'Datos aux_desplegables'!$D$75:$D$77</xm:f>
          </x14:formula1>
          <xm:sqref>G57</xm:sqref>
        </x14:dataValidation>
        <x14:dataValidation type="list" allowBlank="1" showInputMessage="1" showErrorMessage="1">
          <x14:formula1>
            <xm:f>'Datos aux_desplegables'!$D$80:$D$82</xm:f>
          </x14:formula1>
          <xm:sqref>G59</xm:sqref>
        </x14:dataValidation>
        <x14:dataValidation type="list" allowBlank="1" showInputMessage="1" showErrorMessage="1">
          <x14:formula1>
            <xm:f>'Datos aux_desplegables'!$D$96:$D$98</xm:f>
          </x14:formula1>
          <xm:sqref>G66</xm:sqref>
        </x14:dataValidation>
        <x14:dataValidation type="list" allowBlank="1" showInputMessage="1" showErrorMessage="1">
          <x14:formula1>
            <xm:f>'Datos aux_desplegables'!$D$96:$D$97</xm:f>
          </x14:formula1>
          <xm:sqref>G65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345"/>
  <sheetViews>
    <sheetView topLeftCell="A11322" zoomScale="64" zoomScaleNormal="64" workbookViewId="0">
      <selection activeCell="S10666" sqref="S10666"/>
    </sheetView>
  </sheetViews>
  <sheetFormatPr defaultColWidth="10.90625" defaultRowHeight="14.5"/>
  <cols>
    <col min="1" max="1" width="22.54296875" customWidth="1"/>
    <col min="2" max="2" width="16.81640625" customWidth="1"/>
    <col min="3" max="3" width="7" customWidth="1"/>
    <col min="4" max="4" width="11.7265625" customWidth="1"/>
    <col min="5" max="5" width="9.453125" style="3358" customWidth="1"/>
    <col min="6" max="6" width="114.1796875" customWidth="1"/>
    <col min="7" max="7" width="15" customWidth="1"/>
    <col min="8" max="8" width="14.1796875" customWidth="1"/>
    <col min="9" max="9" width="12.81640625" style="28" customWidth="1"/>
    <col min="10" max="10" width="15" customWidth="1"/>
    <col min="11" max="11" width="13.81640625" customWidth="1"/>
    <col min="12" max="12" width="15" style="28" customWidth="1"/>
    <col min="13" max="13" width="14.54296875" customWidth="1"/>
    <col min="14" max="14" width="15.54296875" customWidth="1"/>
    <col min="15" max="15" width="18.453125" customWidth="1"/>
    <col min="16" max="16" width="20.1796875" bestFit="1" customWidth="1"/>
    <col min="17" max="17" width="22.1796875" style="3383" customWidth="1"/>
    <col min="18" max="18" width="18" style="2339" customWidth="1"/>
    <col min="19" max="19" width="24" customWidth="1"/>
    <col min="20" max="20" width="21.7265625" customWidth="1"/>
    <col min="21" max="21" width="8.1796875" customWidth="1"/>
    <col min="22" max="22" width="28.54296875" customWidth="1"/>
    <col min="23" max="23" width="15" customWidth="1"/>
  </cols>
  <sheetData>
    <row r="1" spans="1:20" ht="24.5">
      <c r="A1" s="4264" t="s">
        <v>1598</v>
      </c>
      <c r="B1" s="4264"/>
      <c r="C1" s="4264"/>
      <c r="D1" s="4264"/>
      <c r="E1" s="4264"/>
      <c r="F1" s="4264"/>
      <c r="G1" s="4264"/>
      <c r="H1" s="4264"/>
      <c r="I1" s="4264"/>
      <c r="J1" s="4264"/>
      <c r="K1" s="4264"/>
      <c r="L1" s="4264"/>
      <c r="M1" s="4264"/>
      <c r="N1" s="4264"/>
      <c r="O1" s="4264"/>
      <c r="P1" s="4264"/>
      <c r="Q1" s="4264"/>
      <c r="R1" s="3801"/>
    </row>
    <row r="2" spans="1:20" s="22" customFormat="1" ht="24.5">
      <c r="A2" s="3342"/>
      <c r="B2" s="3342"/>
      <c r="C2" s="3342"/>
      <c r="D2" s="3342"/>
      <c r="E2" s="3342"/>
      <c r="F2" s="3342"/>
      <c r="G2" s="3342"/>
      <c r="H2" s="3342"/>
      <c r="I2" s="3342"/>
      <c r="J2" s="3342"/>
      <c r="K2" s="3342"/>
      <c r="L2" s="3342"/>
      <c r="M2" s="3342"/>
      <c r="N2" s="3342"/>
      <c r="O2" s="3342"/>
      <c r="P2" s="3342"/>
      <c r="Q2" s="3381"/>
      <c r="R2" s="3342"/>
    </row>
    <row r="3" spans="1:20" ht="24.75" customHeight="1">
      <c r="A3" s="4419" t="s">
        <v>3347</v>
      </c>
      <c r="B3" s="4420"/>
      <c r="C3" s="4420"/>
      <c r="D3" s="4420"/>
      <c r="E3" s="4420"/>
      <c r="F3" s="4420"/>
      <c r="G3" s="4420"/>
      <c r="H3" s="4420"/>
      <c r="I3" s="4420"/>
      <c r="J3" s="4420"/>
      <c r="K3" s="4420"/>
      <c r="L3" s="4420"/>
      <c r="M3" s="4420"/>
      <c r="N3" s="4420"/>
      <c r="O3" s="4420"/>
      <c r="P3" s="4420"/>
      <c r="Q3" s="4420"/>
      <c r="R3" s="3802"/>
      <c r="S3" s="202"/>
    </row>
    <row r="4" spans="1:20" ht="21" customHeight="1">
      <c r="F4" s="3357"/>
      <c r="G4" s="3357"/>
      <c r="H4" s="3358"/>
      <c r="I4" s="3358"/>
      <c r="J4" s="3358"/>
      <c r="K4" s="3358"/>
      <c r="L4" s="3358"/>
      <c r="M4" s="3358"/>
      <c r="N4" s="3358"/>
      <c r="O4" s="3358"/>
      <c r="P4" s="3358"/>
      <c r="Q4" s="3382"/>
      <c r="R4" s="3358"/>
      <c r="S4" s="3358"/>
    </row>
    <row r="5" spans="1:20" ht="23.25" customHeight="1">
      <c r="A5" s="3338"/>
      <c r="B5" s="3339"/>
      <c r="C5" s="3339"/>
      <c r="D5" s="3339"/>
      <c r="E5" s="3340"/>
      <c r="F5" s="3341" t="s">
        <v>671</v>
      </c>
      <c r="G5" s="3337"/>
      <c r="H5" s="3337" t="str">
        <f>'Seleccion proyecto HEREVEA02'!L6</f>
        <v>c107</v>
      </c>
      <c r="I5" s="199"/>
      <c r="J5" s="1"/>
      <c r="K5" s="1"/>
      <c r="L5" s="199"/>
      <c r="M5" s="1"/>
      <c r="N5" s="1"/>
    </row>
    <row r="6" spans="1:20" s="22" customFormat="1" ht="23.25" customHeight="1">
      <c r="E6" s="2120"/>
      <c r="F6" s="3335"/>
      <c r="G6" s="3335"/>
      <c r="H6" s="3335"/>
      <c r="I6" s="3336"/>
      <c r="J6" s="117"/>
      <c r="K6" s="117"/>
      <c r="L6" s="3336"/>
      <c r="M6" s="117"/>
      <c r="N6" s="117"/>
      <c r="Q6" s="3383"/>
      <c r="R6" s="2344"/>
    </row>
    <row r="7" spans="1:20" s="22" customFormat="1" ht="23.25" customHeight="1" thickBot="1">
      <c r="E7" s="2120"/>
      <c r="F7" s="3335"/>
      <c r="G7" s="3335"/>
      <c r="H7" s="3335"/>
      <c r="I7" s="3336"/>
      <c r="J7" s="117"/>
      <c r="K7" s="117"/>
      <c r="L7" s="3336"/>
      <c r="M7" s="117"/>
      <c r="N7" s="117"/>
      <c r="Q7" s="3383"/>
      <c r="R7" s="2344"/>
    </row>
    <row r="8" spans="1:20" ht="16" thickBot="1">
      <c r="A8" s="3375"/>
      <c r="B8" s="3376"/>
      <c r="C8" s="3376"/>
      <c r="D8" s="3376"/>
      <c r="E8" s="3376"/>
      <c r="F8" s="3376" t="s">
        <v>886</v>
      </c>
      <c r="G8" s="3376"/>
      <c r="H8" s="3376"/>
      <c r="I8" s="3376"/>
      <c r="J8" s="3376"/>
      <c r="K8" s="3376"/>
      <c r="L8" s="3376"/>
      <c r="M8" s="3376"/>
      <c r="N8" s="3376"/>
      <c r="O8" s="3376"/>
      <c r="P8" s="3376"/>
      <c r="Q8" s="3384"/>
      <c r="R8" s="3377"/>
      <c r="S8" s="1570"/>
      <c r="T8" s="1570"/>
    </row>
    <row r="9" spans="1:20">
      <c r="F9" s="3360"/>
      <c r="G9" s="3360"/>
      <c r="H9" s="3360"/>
      <c r="I9" s="1555"/>
      <c r="J9" s="3360"/>
      <c r="K9" s="3360"/>
      <c r="L9" s="1555"/>
      <c r="M9" s="3360"/>
      <c r="N9" s="3360"/>
      <c r="O9" s="3360"/>
      <c r="P9" s="3360"/>
      <c r="Q9" s="3385"/>
      <c r="R9" s="2338"/>
      <c r="S9" s="3360"/>
      <c r="T9" s="3360"/>
    </row>
    <row r="10" spans="1:20">
      <c r="A10" s="3344" t="s">
        <v>0</v>
      </c>
      <c r="B10" s="3345"/>
      <c r="C10" s="3345"/>
      <c r="D10" s="1573"/>
      <c r="E10" s="1303" t="s">
        <v>1605</v>
      </c>
      <c r="F10" s="1305" t="s">
        <v>1618</v>
      </c>
      <c r="G10" s="1315"/>
      <c r="H10" s="1288"/>
      <c r="I10" s="1557"/>
      <c r="J10" s="1288"/>
      <c r="K10" s="1288"/>
      <c r="L10" s="1557"/>
      <c r="M10" s="1288"/>
      <c r="N10" s="1288"/>
      <c r="O10" s="1288"/>
      <c r="P10" s="1283"/>
      <c r="Q10" s="3386"/>
    </row>
    <row r="11" spans="1:20">
      <c r="A11" s="3"/>
      <c r="B11" s="3"/>
      <c r="C11" s="4"/>
      <c r="D11" s="4"/>
      <c r="E11" s="3355"/>
      <c r="F11" s="3356"/>
      <c r="G11" s="1561"/>
      <c r="H11" s="3356"/>
      <c r="I11" s="105"/>
      <c r="J11" s="16"/>
      <c r="K11" s="16"/>
      <c r="L11" s="16"/>
      <c r="M11" s="16"/>
      <c r="N11" s="16"/>
      <c r="O11" s="16"/>
    </row>
    <row r="12" spans="1:20">
      <c r="A12" s="3"/>
      <c r="B12" s="3"/>
      <c r="C12" s="13"/>
      <c r="D12" s="13"/>
      <c r="E12" s="3355"/>
      <c r="F12" s="3356"/>
      <c r="G12" s="1561"/>
      <c r="H12" s="3356"/>
      <c r="I12" s="105"/>
      <c r="J12" s="16"/>
      <c r="K12" s="16"/>
      <c r="L12" s="16"/>
      <c r="M12" s="16"/>
      <c r="N12" s="16"/>
      <c r="O12" s="16"/>
    </row>
    <row r="13" spans="1:20">
      <c r="A13" s="3344" t="s">
        <v>4</v>
      </c>
      <c r="B13" s="3345"/>
      <c r="C13" s="3345"/>
      <c r="D13" s="1573"/>
      <c r="E13" s="1303" t="s">
        <v>1605</v>
      </c>
      <c r="F13" s="1305" t="s">
        <v>1619</v>
      </c>
      <c r="G13" s="1315"/>
      <c r="H13" s="1288"/>
      <c r="I13" s="1557"/>
      <c r="J13" s="1288"/>
      <c r="K13" s="1288"/>
      <c r="L13" s="1557"/>
      <c r="M13" s="1288"/>
      <c r="N13" s="1288"/>
      <c r="O13" s="1288"/>
      <c r="P13" s="1283"/>
      <c r="Q13" s="3386"/>
    </row>
    <row r="14" spans="1:20">
      <c r="A14" s="3"/>
      <c r="B14" s="3"/>
      <c r="C14" s="4"/>
      <c r="D14" s="4"/>
      <c r="E14" s="3355"/>
      <c r="F14" s="1"/>
      <c r="G14" s="199"/>
      <c r="H14" s="1"/>
      <c r="L14"/>
    </row>
    <row r="15" spans="1:20">
      <c r="A15" s="1"/>
      <c r="B15" s="1"/>
      <c r="C15" s="1"/>
      <c r="D15" s="1"/>
      <c r="F15" s="1"/>
      <c r="G15" s="199"/>
      <c r="H15" s="1"/>
      <c r="L15"/>
    </row>
    <row r="16" spans="1:20">
      <c r="A16" s="3344" t="s">
        <v>6</v>
      </c>
      <c r="B16" s="3345"/>
      <c r="C16" s="3345"/>
      <c r="D16" s="1573"/>
      <c r="E16" s="1303" t="s">
        <v>1605</v>
      </c>
      <c r="F16" s="1305" t="s">
        <v>1620</v>
      </c>
      <c r="G16" s="1315"/>
      <c r="H16" s="1288"/>
      <c r="I16" s="1557"/>
      <c r="J16" s="1288"/>
      <c r="K16" s="1288"/>
      <c r="L16" s="1557"/>
      <c r="M16" s="1288"/>
      <c r="N16" s="1288"/>
      <c r="O16" s="1288"/>
      <c r="P16" s="1283"/>
      <c r="Q16" s="3386"/>
    </row>
    <row r="17" spans="1:21">
      <c r="A17" s="3"/>
      <c r="B17" s="3"/>
      <c r="C17" s="4"/>
      <c r="D17" s="4"/>
      <c r="E17" s="3355"/>
      <c r="F17" s="1"/>
      <c r="G17" s="199"/>
      <c r="H17" s="1"/>
      <c r="L17"/>
    </row>
    <row r="18" spans="1:21">
      <c r="A18" s="5"/>
      <c r="B18" s="5"/>
      <c r="C18" s="2"/>
      <c r="D18" s="2"/>
      <c r="E18" s="2118"/>
      <c r="F18" s="1"/>
      <c r="G18" s="199"/>
      <c r="H18" s="1"/>
      <c r="L18"/>
    </row>
    <row r="19" spans="1:21">
      <c r="A19" s="3344" t="s">
        <v>8</v>
      </c>
      <c r="B19" s="3345"/>
      <c r="C19" s="3345"/>
      <c r="D19" s="1573"/>
      <c r="E19" s="1303" t="s">
        <v>1605</v>
      </c>
      <c r="F19" s="1305" t="s">
        <v>1621</v>
      </c>
      <c r="G19" s="1315"/>
      <c r="H19" s="1288"/>
      <c r="I19" s="1557"/>
      <c r="J19" s="1288"/>
      <c r="K19" s="1288"/>
      <c r="L19" s="1557"/>
      <c r="M19" s="1288"/>
      <c r="N19" s="1288"/>
      <c r="O19" s="1288"/>
      <c r="P19" s="1283"/>
      <c r="Q19" s="3386"/>
    </row>
    <row r="20" spans="1:21">
      <c r="A20" s="3"/>
      <c r="B20" s="3"/>
      <c r="C20" s="4"/>
      <c r="D20" s="4"/>
      <c r="E20" s="3355"/>
      <c r="F20" s="1"/>
      <c r="G20" s="199"/>
      <c r="H20" s="1"/>
      <c r="L20"/>
    </row>
    <row r="21" spans="1:21">
      <c r="A21" s="5"/>
      <c r="B21" s="5"/>
      <c r="C21" s="4542"/>
      <c r="D21" s="4543"/>
      <c r="E21" s="4543"/>
      <c r="F21" s="2"/>
      <c r="G21" s="199"/>
      <c r="H21" s="1"/>
      <c r="L21"/>
    </row>
    <row r="22" spans="1:21">
      <c r="A22" s="1"/>
      <c r="B22" s="1"/>
      <c r="C22" s="1"/>
      <c r="D22" s="1"/>
      <c r="F22" s="1"/>
      <c r="G22" s="199"/>
      <c r="H22" s="1"/>
      <c r="L22"/>
    </row>
    <row r="23" spans="1:21">
      <c r="A23" s="3344" t="s">
        <v>9</v>
      </c>
      <c r="B23" s="3345"/>
      <c r="C23" s="3345"/>
      <c r="D23" s="1573"/>
      <c r="E23" s="1303" t="s">
        <v>1605</v>
      </c>
      <c r="F23" s="1305" t="s">
        <v>1622</v>
      </c>
      <c r="G23" s="1315"/>
      <c r="H23" s="1288"/>
      <c r="I23" s="1557"/>
      <c r="J23" s="1288"/>
      <c r="K23" s="1288"/>
      <c r="L23" s="1557"/>
      <c r="M23" s="1288"/>
      <c r="N23" s="1288"/>
      <c r="O23" s="1288"/>
      <c r="P23" s="1283"/>
      <c r="Q23" s="3386"/>
    </row>
    <row r="24" spans="1:21">
      <c r="A24" s="3"/>
      <c r="B24" s="3"/>
      <c r="C24" s="4"/>
      <c r="D24" s="4"/>
      <c r="E24" s="3355"/>
      <c r="F24" s="1"/>
      <c r="G24" s="199"/>
      <c r="H24" s="1"/>
      <c r="L24"/>
    </row>
    <row r="25" spans="1:21">
      <c r="A25" s="1"/>
      <c r="B25" s="1"/>
      <c r="C25" s="1"/>
      <c r="D25" s="1"/>
      <c r="F25" s="1"/>
      <c r="G25" s="199"/>
      <c r="H25" s="1"/>
      <c r="L25"/>
    </row>
    <row r="26" spans="1:21">
      <c r="A26" s="3344" t="s">
        <v>10</v>
      </c>
      <c r="B26" s="3345"/>
      <c r="C26" s="3345"/>
      <c r="D26" s="1573"/>
      <c r="E26" s="1303" t="s">
        <v>1605</v>
      </c>
      <c r="F26" s="1305" t="s">
        <v>1623</v>
      </c>
      <c r="G26" s="1315"/>
      <c r="H26" s="1288"/>
      <c r="I26" s="1557"/>
      <c r="J26" s="1288"/>
      <c r="K26" s="1288"/>
      <c r="L26" s="1557"/>
      <c r="M26" s="1288"/>
      <c r="N26" s="1288"/>
      <c r="O26" s="1288"/>
      <c r="P26" s="1283"/>
      <c r="Q26" s="3386"/>
    </row>
    <row r="27" spans="1:21">
      <c r="F27" s="3"/>
      <c r="G27" s="3"/>
      <c r="H27" s="4"/>
      <c r="I27" s="1663"/>
      <c r="J27" s="4"/>
      <c r="K27" s="1"/>
      <c r="L27" s="199"/>
      <c r="M27" s="1"/>
      <c r="N27" s="1"/>
    </row>
    <row r="28" spans="1:21" ht="15" thickBot="1">
      <c r="B28" s="16"/>
      <c r="C28" s="16"/>
      <c r="D28" s="16"/>
      <c r="E28" s="2119"/>
      <c r="F28" s="3"/>
      <c r="G28" s="3"/>
      <c r="H28" s="13"/>
      <c r="I28" s="1561"/>
      <c r="J28" s="13"/>
      <c r="K28" s="1561"/>
      <c r="L28" s="1561"/>
      <c r="M28" s="1561"/>
      <c r="N28" s="1561"/>
      <c r="O28" s="16"/>
      <c r="P28" s="16"/>
      <c r="Q28" s="3387"/>
      <c r="R28" s="3363"/>
      <c r="S28" s="16"/>
      <c r="T28" s="16"/>
      <c r="U28" s="16"/>
    </row>
    <row r="29" spans="1:21" ht="24.75" customHeight="1" thickBot="1">
      <c r="A29" s="3375"/>
      <c r="B29" s="3376"/>
      <c r="C29" s="3376"/>
      <c r="D29" s="3376"/>
      <c r="E29" s="3376"/>
      <c r="F29" s="3376" t="s">
        <v>887</v>
      </c>
      <c r="G29" s="3376"/>
      <c r="H29" s="3376"/>
      <c r="I29" s="3376"/>
      <c r="J29" s="3376"/>
      <c r="K29" s="3376"/>
      <c r="L29" s="3376"/>
      <c r="M29" s="3376"/>
      <c r="N29" s="3376"/>
      <c r="O29" s="3376"/>
      <c r="P29" s="3376"/>
      <c r="Q29" s="4243"/>
      <c r="R29" s="4238"/>
      <c r="S29" s="1570"/>
      <c r="T29" s="1570"/>
    </row>
    <row r="30" spans="1:21" s="16" customFormat="1" ht="29">
      <c r="A30" s="4238"/>
      <c r="B30" s="4238"/>
      <c r="C30" s="4238"/>
      <c r="D30" s="4238"/>
      <c r="E30" s="4238"/>
      <c r="F30" s="4238"/>
      <c r="G30" s="4238"/>
      <c r="H30" s="4238"/>
      <c r="I30" s="4238"/>
      <c r="J30" s="4238"/>
      <c r="K30" s="4238"/>
      <c r="L30" s="4238"/>
      <c r="M30" s="4238"/>
      <c r="N30" s="4238"/>
      <c r="O30" s="4238"/>
      <c r="P30" s="4238"/>
      <c r="Q30" s="4241" t="s">
        <v>3413</v>
      </c>
      <c r="R30" s="4238"/>
      <c r="S30" s="1570"/>
      <c r="T30" s="1570"/>
    </row>
    <row r="31" spans="1:21" s="22" customFormat="1" ht="16" thickBot="1">
      <c r="E31" s="2120"/>
      <c r="F31" s="631"/>
      <c r="G31" s="631"/>
      <c r="H31" s="631"/>
      <c r="I31" s="1556"/>
      <c r="J31" s="631"/>
      <c r="K31" s="631"/>
      <c r="L31" s="1556"/>
      <c r="M31" s="631"/>
      <c r="N31" s="631"/>
      <c r="O31" s="631"/>
      <c r="P31" s="631"/>
      <c r="Q31" s="4242">
        <f>SUM(Q36:Q140)</f>
        <v>0</v>
      </c>
      <c r="R31" s="2340"/>
      <c r="S31" s="631"/>
      <c r="T31" s="631"/>
    </row>
    <row r="32" spans="1:21" s="22" customFormat="1" ht="15.5">
      <c r="E32" s="2120"/>
      <c r="F32" s="631"/>
      <c r="G32" s="631"/>
      <c r="H32" s="631"/>
      <c r="I32" s="1556"/>
      <c r="J32" s="631"/>
      <c r="K32" s="631"/>
      <c r="L32" s="1556"/>
      <c r="M32" s="631"/>
      <c r="N32" s="631"/>
      <c r="O32" s="631"/>
      <c r="P32" s="631"/>
      <c r="Q32" s="4239"/>
      <c r="R32" s="2340"/>
      <c r="S32" s="631"/>
      <c r="T32" s="631"/>
    </row>
    <row r="33" spans="1:21">
      <c r="A33" s="3344" t="s">
        <v>11</v>
      </c>
      <c r="B33" s="3345"/>
      <c r="C33" s="3345"/>
      <c r="D33" s="1573"/>
      <c r="E33" s="1303" t="s">
        <v>1357</v>
      </c>
      <c r="F33" s="1305" t="s">
        <v>12</v>
      </c>
      <c r="G33" s="1315"/>
      <c r="H33" s="1288"/>
      <c r="I33" s="1557"/>
      <c r="J33" s="1288"/>
      <c r="K33" s="1288"/>
      <c r="L33" s="1557"/>
      <c r="M33" s="1288"/>
      <c r="N33" s="1288"/>
      <c r="O33" s="1288"/>
      <c r="P33" s="1283"/>
    </row>
    <row r="34" spans="1:21">
      <c r="A34" s="3"/>
      <c r="F34" s="4"/>
      <c r="G34" s="4"/>
      <c r="H34" s="4"/>
      <c r="K34" s="1"/>
      <c r="L34" s="199"/>
      <c r="M34" s="1"/>
      <c r="N34" s="1"/>
    </row>
    <row r="35" spans="1:21">
      <c r="A35" s="1"/>
      <c r="F35" s="1"/>
      <c r="G35" s="1"/>
      <c r="H35" s="1"/>
      <c r="K35" s="1"/>
      <c r="L35" s="199"/>
      <c r="M35" s="1"/>
      <c r="N35" s="1"/>
    </row>
    <row r="36" spans="1:21">
      <c r="A36" s="3344" t="s">
        <v>14</v>
      </c>
      <c r="B36" s="3345"/>
      <c r="C36" s="3345"/>
      <c r="D36" s="1573"/>
      <c r="E36" s="1303" t="s">
        <v>1527</v>
      </c>
      <c r="F36" s="1305" t="s">
        <v>15</v>
      </c>
      <c r="G36" s="1315"/>
      <c r="H36" s="1288"/>
      <c r="I36" s="1557"/>
      <c r="J36" s="1288"/>
      <c r="K36" s="1288"/>
      <c r="L36" s="1557"/>
      <c r="M36" s="1288"/>
      <c r="N36" s="1288"/>
      <c r="O36" s="1288"/>
      <c r="P36" s="1283"/>
      <c r="Q36" s="3386"/>
    </row>
    <row r="37" spans="1:21" ht="17.25" customHeight="1">
      <c r="A37" s="3"/>
      <c r="F37" s="4"/>
      <c r="G37" s="4"/>
      <c r="H37" s="4"/>
      <c r="K37" s="1"/>
      <c r="L37" s="199"/>
      <c r="M37" s="1"/>
      <c r="N37" s="1"/>
    </row>
    <row r="38" spans="1:21">
      <c r="A38" s="3356"/>
      <c r="B38" s="16"/>
      <c r="C38" s="16"/>
      <c r="D38" s="16"/>
      <c r="E38" s="2119"/>
      <c r="F38" s="3356"/>
      <c r="G38" s="3356"/>
      <c r="H38" s="3356"/>
      <c r="K38" s="3356"/>
      <c r="L38" s="1561"/>
      <c r="M38" s="3356"/>
      <c r="N38" s="3356"/>
      <c r="O38" s="16"/>
      <c r="P38" s="16"/>
      <c r="Q38" s="3387"/>
      <c r="R38" s="3363"/>
      <c r="S38" s="16"/>
      <c r="T38" s="16"/>
      <c r="U38" s="16"/>
    </row>
    <row r="39" spans="1:21">
      <c r="A39" s="3344" t="s">
        <v>16</v>
      </c>
      <c r="B39" s="3345"/>
      <c r="C39" s="3345"/>
      <c r="D39" s="1573"/>
      <c r="E39" s="1303" t="s">
        <v>1617</v>
      </c>
      <c r="F39" s="1305" t="s">
        <v>17</v>
      </c>
      <c r="G39" s="1315"/>
      <c r="H39" s="1288"/>
      <c r="I39" s="1557"/>
      <c r="J39" s="1288"/>
      <c r="K39" s="1288"/>
      <c r="L39" s="1557"/>
      <c r="M39" s="1288"/>
      <c r="N39" s="1288"/>
      <c r="O39" s="1288"/>
      <c r="P39" s="1283"/>
      <c r="Q39" s="3386"/>
    </row>
    <row r="40" spans="1:21">
      <c r="A40" s="3"/>
      <c r="F40" s="4"/>
      <c r="G40" s="4"/>
      <c r="H40" s="4"/>
      <c r="K40" s="1"/>
      <c r="L40" s="199"/>
      <c r="M40" s="1"/>
      <c r="N40" s="1"/>
    </row>
    <row r="41" spans="1:21">
      <c r="A41" s="1"/>
      <c r="F41" s="1"/>
      <c r="G41" s="1"/>
      <c r="H41" s="1"/>
      <c r="K41" s="1"/>
      <c r="L41" s="199"/>
      <c r="M41" s="1"/>
      <c r="N41" s="1"/>
    </row>
    <row r="42" spans="1:21">
      <c r="A42" s="3344" t="s">
        <v>22</v>
      </c>
      <c r="B42" s="3345"/>
      <c r="C42" s="3345"/>
      <c r="D42" s="1573"/>
      <c r="E42" s="1303" t="s">
        <v>1617</v>
      </c>
      <c r="F42" s="1305" t="s">
        <v>23</v>
      </c>
      <c r="G42" s="1315"/>
      <c r="H42" s="1288"/>
      <c r="I42" s="1557"/>
      <c r="J42" s="1288"/>
      <c r="K42" s="1288"/>
      <c r="L42" s="1557"/>
      <c r="M42" s="1288"/>
      <c r="N42" s="1288"/>
      <c r="O42" s="1288"/>
      <c r="P42" s="1283"/>
      <c r="Q42" s="3386"/>
    </row>
    <row r="43" spans="1:21">
      <c r="A43" s="3"/>
      <c r="F43" s="4"/>
      <c r="G43" s="4"/>
      <c r="H43" s="4"/>
      <c r="K43" s="1"/>
      <c r="L43" s="199"/>
      <c r="M43" s="1"/>
      <c r="N43" s="1"/>
    </row>
    <row r="44" spans="1:21">
      <c r="A44" s="1"/>
      <c r="F44" s="1"/>
      <c r="G44" s="1"/>
      <c r="H44" s="1"/>
      <c r="K44" s="1"/>
      <c r="L44" s="199"/>
      <c r="M44" s="1"/>
      <c r="N44" s="1"/>
    </row>
    <row r="45" spans="1:21">
      <c r="A45" s="3344" t="s">
        <v>25</v>
      </c>
      <c r="B45" s="3345"/>
      <c r="C45" s="3345"/>
      <c r="D45" s="1573"/>
      <c r="E45" s="1303" t="s">
        <v>1605</v>
      </c>
      <c r="F45" s="1305" t="s">
        <v>26</v>
      </c>
      <c r="G45" s="1315"/>
      <c r="H45" s="1288"/>
      <c r="I45" s="1557"/>
      <c r="J45" s="1288"/>
      <c r="K45" s="1288"/>
      <c r="L45" s="1557"/>
      <c r="M45" s="1288"/>
      <c r="N45" s="1288"/>
      <c r="O45" s="1288"/>
      <c r="P45" s="1283"/>
      <c r="Q45" s="3386"/>
    </row>
    <row r="46" spans="1:21">
      <c r="A46" s="3"/>
      <c r="F46" s="4"/>
      <c r="G46" s="4"/>
      <c r="H46" s="4"/>
      <c r="K46" s="1"/>
      <c r="L46" s="199"/>
      <c r="M46" s="1"/>
      <c r="N46" s="1"/>
    </row>
    <row r="47" spans="1:21">
      <c r="A47" s="1"/>
      <c r="F47" s="1"/>
      <c r="G47" s="1"/>
      <c r="H47" s="1"/>
      <c r="K47" s="1"/>
      <c r="L47" s="199"/>
      <c r="M47" s="1"/>
      <c r="N47" s="1"/>
    </row>
    <row r="48" spans="1:21">
      <c r="A48" s="3344" t="s">
        <v>27</v>
      </c>
      <c r="B48" s="3345"/>
      <c r="C48" s="3345"/>
      <c r="D48" s="1573"/>
      <c r="E48" s="1303" t="s">
        <v>1605</v>
      </c>
      <c r="F48" s="1305" t="s">
        <v>28</v>
      </c>
      <c r="G48" s="1315"/>
      <c r="H48" s="1288"/>
      <c r="I48" s="1557"/>
      <c r="J48" s="1288"/>
      <c r="K48" s="1288"/>
      <c r="L48" s="1557"/>
      <c r="M48" s="1288"/>
      <c r="N48" s="1288"/>
      <c r="O48" s="1288"/>
      <c r="P48" s="1283"/>
      <c r="Q48" s="3386"/>
    </row>
    <row r="49" spans="1:27">
      <c r="A49" s="3"/>
      <c r="F49" s="4"/>
      <c r="G49" s="4"/>
      <c r="H49" s="4"/>
      <c r="K49" s="1"/>
      <c r="L49" s="199"/>
      <c r="M49" s="1"/>
      <c r="N49" s="1"/>
    </row>
    <row r="50" spans="1:27">
      <c r="A50" s="1304"/>
      <c r="B50" s="1304"/>
      <c r="C50" s="1304"/>
      <c r="D50" s="1304"/>
      <c r="E50" s="1304"/>
      <c r="F50" s="1583"/>
      <c r="G50" s="1583"/>
      <c r="H50" s="1296"/>
      <c r="I50" s="1558"/>
      <c r="J50" s="1296"/>
      <c r="K50" s="1296"/>
      <c r="L50" s="1558"/>
      <c r="M50" s="1296"/>
      <c r="N50" s="1296"/>
      <c r="O50" s="16"/>
      <c r="P50" s="16"/>
      <c r="Q50" s="3387"/>
    </row>
    <row r="51" spans="1:27">
      <c r="A51" s="1574" t="s">
        <v>29</v>
      </c>
      <c r="B51" s="1575"/>
      <c r="C51" s="1575"/>
      <c r="D51" s="1576"/>
      <c r="E51" s="1577" t="s">
        <v>1605</v>
      </c>
      <c r="F51" s="1578" t="s">
        <v>30</v>
      </c>
      <c r="G51" s="1579"/>
      <c r="H51" s="1580"/>
      <c r="I51" s="1581"/>
      <c r="J51" s="1580"/>
      <c r="K51" s="1580"/>
      <c r="L51" s="1581"/>
      <c r="M51" s="1580"/>
      <c r="N51" s="1580"/>
      <c r="O51" s="1580"/>
      <c r="P51" s="1582"/>
      <c r="Q51" s="3386"/>
    </row>
    <row r="52" spans="1:27">
      <c r="A52" s="3"/>
      <c r="F52" s="4"/>
      <c r="G52" s="4"/>
      <c r="H52" s="4"/>
      <c r="K52" s="1"/>
      <c r="L52" s="199"/>
      <c r="M52" s="1"/>
      <c r="N52" s="1"/>
    </row>
    <row r="53" spans="1:27">
      <c r="A53" s="1"/>
      <c r="F53" s="1"/>
      <c r="G53" s="1"/>
      <c r="H53" s="1"/>
      <c r="K53" s="1"/>
      <c r="L53" s="199"/>
      <c r="M53" s="1"/>
      <c r="N53" s="1"/>
    </row>
    <row r="54" spans="1:27">
      <c r="A54" s="3344" t="s">
        <v>31</v>
      </c>
      <c r="B54" s="3345"/>
      <c r="C54" s="3345"/>
      <c r="D54" s="1573"/>
      <c r="E54" s="1303" t="s">
        <v>1605</v>
      </c>
      <c r="F54" s="1305" t="s">
        <v>32</v>
      </c>
      <c r="G54" s="1315"/>
      <c r="H54" s="1288"/>
      <c r="I54" s="1557"/>
      <c r="J54" s="1288"/>
      <c r="K54" s="1288"/>
      <c r="L54" s="1557"/>
      <c r="M54" s="1288"/>
      <c r="N54" s="1288"/>
      <c r="O54" s="1288"/>
      <c r="P54" s="1283"/>
      <c r="Q54" s="3386"/>
    </row>
    <row r="55" spans="1:27">
      <c r="A55" s="3"/>
      <c r="F55" s="4"/>
      <c r="G55" s="4"/>
      <c r="H55" s="4"/>
      <c r="K55" s="1"/>
      <c r="L55" s="199"/>
      <c r="M55" s="1"/>
      <c r="N55" s="1"/>
    </row>
    <row r="56" spans="1:27">
      <c r="A56" s="3356"/>
      <c r="B56" s="16"/>
      <c r="C56" s="16"/>
      <c r="D56" s="16"/>
      <c r="E56" s="2119"/>
      <c r="F56" s="3356"/>
      <c r="G56" s="3356"/>
      <c r="H56" s="3356"/>
      <c r="K56" s="1561"/>
      <c r="L56" s="1561"/>
      <c r="M56" s="1561"/>
      <c r="N56" s="1561"/>
      <c r="O56" s="16"/>
      <c r="P56" s="16"/>
      <c r="Q56" s="3387"/>
      <c r="R56" s="3363"/>
      <c r="S56" s="16"/>
      <c r="T56" s="16"/>
    </row>
    <row r="57" spans="1:27">
      <c r="A57" s="3344" t="s">
        <v>34</v>
      </c>
      <c r="B57" s="3345"/>
      <c r="C57" s="3345"/>
      <c r="D57" s="1573"/>
      <c r="E57" s="1303" t="s">
        <v>1605</v>
      </c>
      <c r="F57" s="1305" t="s">
        <v>245</v>
      </c>
      <c r="G57" s="1315"/>
      <c r="H57" s="1288"/>
      <c r="I57" s="1557"/>
      <c r="J57" s="1288"/>
      <c r="K57" s="1288"/>
      <c r="L57" s="1557"/>
      <c r="M57" s="1288"/>
      <c r="N57" s="1288"/>
      <c r="O57" s="1288"/>
      <c r="P57" s="1283"/>
      <c r="Q57" s="3386"/>
      <c r="R57" s="3363"/>
      <c r="S57" s="16"/>
      <c r="T57" s="16"/>
      <c r="U57" s="16"/>
      <c r="V57" s="16"/>
      <c r="W57" s="16"/>
    </row>
    <row r="58" spans="1:27" s="22" customFormat="1">
      <c r="A58" s="1304"/>
      <c r="B58" s="1304"/>
      <c r="C58" s="1304"/>
      <c r="D58" s="1304"/>
      <c r="E58" s="1304"/>
      <c r="F58" s="1583"/>
      <c r="G58" s="1583"/>
      <c r="H58" s="1296"/>
      <c r="I58" s="1558"/>
      <c r="J58" s="1296"/>
      <c r="K58" s="1296"/>
      <c r="L58" s="1558"/>
      <c r="M58" s="1296"/>
      <c r="N58" s="1296"/>
      <c r="O58" s="1296"/>
      <c r="P58" s="1296"/>
      <c r="Q58" s="3386"/>
      <c r="R58" s="3363"/>
      <c r="S58" s="16"/>
      <c r="T58" s="16"/>
      <c r="U58" s="16"/>
      <c r="V58" s="16"/>
      <c r="W58" s="16"/>
    </row>
    <row r="59" spans="1:27">
      <c r="F59" s="3"/>
      <c r="G59" s="3"/>
      <c r="H59" s="4"/>
      <c r="I59" s="1663"/>
      <c r="J59" s="4"/>
      <c r="K59" s="1"/>
      <c r="L59" s="199"/>
      <c r="M59" s="1"/>
      <c r="N59" s="1"/>
      <c r="R59" s="3363"/>
      <c r="S59" s="16"/>
      <c r="T59" s="16"/>
      <c r="U59" s="16"/>
      <c r="V59" s="16"/>
      <c r="W59" s="16"/>
    </row>
    <row r="60" spans="1:27">
      <c r="A60" s="3344" t="s">
        <v>1385</v>
      </c>
      <c r="B60" s="3345"/>
      <c r="C60" s="3345"/>
      <c r="D60" s="1573"/>
      <c r="E60" s="1303" t="s">
        <v>1517</v>
      </c>
      <c r="F60" s="1305" t="s">
        <v>1384</v>
      </c>
      <c r="G60" s="1315"/>
      <c r="H60" s="1288"/>
      <c r="I60" s="1557"/>
      <c r="J60" s="1288"/>
      <c r="K60" s="1288"/>
      <c r="L60" s="1557"/>
      <c r="M60" s="1288"/>
      <c r="N60" s="1288"/>
      <c r="O60" s="1288"/>
      <c r="P60" s="1283"/>
      <c r="Q60" s="3386"/>
      <c r="R60" s="3363"/>
      <c r="S60" s="16"/>
      <c r="T60" s="16"/>
      <c r="U60" s="16"/>
      <c r="V60" s="16"/>
      <c r="W60" s="16"/>
    </row>
    <row r="61" spans="1:27">
      <c r="F61" s="3"/>
      <c r="G61" s="3"/>
      <c r="H61" s="4"/>
      <c r="I61" s="1663"/>
      <c r="J61" s="4"/>
      <c r="K61" s="1"/>
      <c r="L61" s="199"/>
      <c r="M61" s="1"/>
      <c r="N61" s="1"/>
      <c r="R61" s="3363"/>
      <c r="S61" s="16"/>
      <c r="T61" s="16"/>
      <c r="U61" s="16"/>
      <c r="V61" s="16"/>
      <c r="W61" s="16"/>
    </row>
    <row r="62" spans="1:27" ht="34" thickBot="1">
      <c r="F62" s="5"/>
      <c r="G62" s="5"/>
      <c r="H62" s="4212"/>
      <c r="I62" s="4164"/>
      <c r="J62" s="4164"/>
      <c r="K62" s="2"/>
      <c r="L62" s="2399" t="s">
        <v>2856</v>
      </c>
      <c r="M62" s="1"/>
      <c r="N62" s="1"/>
      <c r="R62" s="3363"/>
      <c r="S62" s="16"/>
      <c r="T62" s="16"/>
      <c r="U62" s="16"/>
      <c r="V62" s="16"/>
      <c r="W62" s="16"/>
    </row>
    <row r="63" spans="1:27" ht="36" customHeight="1">
      <c r="A63" s="4374" t="s">
        <v>2800</v>
      </c>
      <c r="B63" s="4375"/>
      <c r="C63" s="4375"/>
      <c r="D63" s="4376"/>
      <c r="E63" s="4380" t="s">
        <v>1527</v>
      </c>
      <c r="F63" s="4535" t="s">
        <v>2801</v>
      </c>
      <c r="G63" s="4493" t="s">
        <v>294</v>
      </c>
      <c r="H63" s="4493"/>
      <c r="I63" s="1665" t="s">
        <v>1565</v>
      </c>
      <c r="J63" s="3348" t="s">
        <v>1575</v>
      </c>
      <c r="K63" s="4493" t="s">
        <v>289</v>
      </c>
      <c r="L63" s="4406"/>
      <c r="M63" s="4445" t="s">
        <v>3351</v>
      </c>
      <c r="N63" s="4527"/>
      <c r="O63" s="4527"/>
      <c r="P63" s="4447"/>
      <c r="Q63" s="4244" t="s">
        <v>3921</v>
      </c>
      <c r="R63" s="1553"/>
      <c r="T63" s="1553"/>
      <c r="U63" s="1553"/>
      <c r="V63" s="3363"/>
      <c r="W63" s="16"/>
      <c r="X63" s="16"/>
      <c r="Y63" s="16"/>
      <c r="Z63" s="16"/>
      <c r="AA63" s="16"/>
    </row>
    <row r="64" spans="1:27" ht="26.25" customHeight="1" thickBot="1">
      <c r="A64" s="4377"/>
      <c r="B64" s="4378"/>
      <c r="C64" s="4378"/>
      <c r="D64" s="4379"/>
      <c r="E64" s="4381"/>
      <c r="F64" s="4536"/>
      <c r="G64" s="4451">
        <f>IF('Seleccion proyecto HEREVEA02'!G14="Recalce de zapata mediante micropilotes",'Seleccion proyecto HEREVEA02'!E14,0)</f>
        <v>0</v>
      </c>
      <c r="H64" s="4452"/>
      <c r="I64" s="3353">
        <f>IF('Seleccion proyecto HEREVEA02'!H14=0,0,IF('Seleccion proyecto HEREVEA02'!H14="1 a 30",0.3,IF('Seleccion proyecto HEREVEA02'!H14="31 a 60",0.6,IF('Seleccion proyecto HEREVEA02'!H14="61 a 100",1))))</f>
        <v>1</v>
      </c>
      <c r="J64" s="1351">
        <f>'Seleccion proyecto HEREVEA02'!L8</f>
        <v>11100.968999999999</v>
      </c>
      <c r="K64" s="4519">
        <f>G64*I64*J64</f>
        <v>0</v>
      </c>
      <c r="L64" s="4534"/>
      <c r="M64" s="4539">
        <f>P66+P81+P96+P110+P126</f>
        <v>142.67768098355197</v>
      </c>
      <c r="N64" s="4540"/>
      <c r="O64" s="4540"/>
      <c r="P64" s="4541"/>
      <c r="Q64" s="4245">
        <f>M64*K64</f>
        <v>0</v>
      </c>
      <c r="R64" s="2341" t="s">
        <v>2799</v>
      </c>
      <c r="S64" s="16"/>
      <c r="T64" s="16"/>
      <c r="U64" s="16"/>
      <c r="V64" s="16"/>
      <c r="W64" s="16"/>
    </row>
    <row r="65" spans="1:23" ht="16.5" customHeight="1">
      <c r="A65" s="88" t="s">
        <v>3764</v>
      </c>
      <c r="B65" s="4325" t="s">
        <v>1386</v>
      </c>
      <c r="C65" s="3350"/>
      <c r="D65" s="4327"/>
      <c r="E65" s="4329" t="s">
        <v>1605</v>
      </c>
      <c r="F65" s="4338" t="s">
        <v>1606</v>
      </c>
      <c r="G65" s="4331" t="s">
        <v>1568</v>
      </c>
      <c r="H65" s="4331" t="s">
        <v>1574</v>
      </c>
      <c r="I65" s="1572" t="s">
        <v>1559</v>
      </c>
      <c r="J65" s="1294" t="s">
        <v>1560</v>
      </c>
      <c r="K65" s="1294" t="s">
        <v>1569</v>
      </c>
      <c r="L65" s="4333" t="s">
        <v>3765</v>
      </c>
      <c r="M65" s="4366" t="s">
        <v>1571</v>
      </c>
      <c r="N65" s="4366" t="s">
        <v>1776</v>
      </c>
      <c r="O65" s="3343" t="s">
        <v>1563</v>
      </c>
      <c r="P65" s="3367" t="s">
        <v>1562</v>
      </c>
      <c r="Q65" s="3389"/>
      <c r="R65" s="1699" t="s">
        <v>1327</v>
      </c>
      <c r="S65" s="17"/>
      <c r="T65" s="17"/>
      <c r="U65" s="17"/>
      <c r="V65" s="17"/>
      <c r="W65" s="16"/>
    </row>
    <row r="66" spans="1:23">
      <c r="A66" s="1320" t="s">
        <v>2800</v>
      </c>
      <c r="B66" s="4326"/>
      <c r="C66" s="3351"/>
      <c r="D66" s="4328"/>
      <c r="E66" s="4330"/>
      <c r="F66" s="4338" t="s">
        <v>1</v>
      </c>
      <c r="G66" s="4332"/>
      <c r="H66" s="4332"/>
      <c r="I66" s="1345">
        <v>42</v>
      </c>
      <c r="J66" s="1860">
        <v>1.76E-4</v>
      </c>
      <c r="K66" s="1732">
        <f>I66*J66</f>
        <v>7.3920000000000001E-3</v>
      </c>
      <c r="L66" s="4334"/>
      <c r="M66" s="4324"/>
      <c r="N66" s="4324"/>
      <c r="O66" s="1298">
        <f>SUM(O68:O79)</f>
        <v>59.405500000000004</v>
      </c>
      <c r="P66" s="1698">
        <f>K66*O66</f>
        <v>0.43912545600000003</v>
      </c>
      <c r="Q66" s="3390"/>
      <c r="R66" s="1721">
        <f>SUM(P67:P79)</f>
        <v>0.43912545600000003</v>
      </c>
      <c r="S66" s="105"/>
      <c r="T66" s="105"/>
      <c r="U66" s="16"/>
      <c r="V66" s="16"/>
      <c r="W66" s="16"/>
    </row>
    <row r="67" spans="1:23">
      <c r="D67" s="1367"/>
      <c r="E67" s="2121"/>
      <c r="F67" s="1568" t="s">
        <v>1</v>
      </c>
      <c r="G67" s="1389"/>
      <c r="H67" s="1389"/>
      <c r="I67" s="1554"/>
      <c r="J67" s="1367"/>
      <c r="K67" s="1389" t="str">
        <f>IF(COUNT(G67:J67)=0,"",(SUM(G67:J67)/COUNT(G67:J67)))</f>
        <v/>
      </c>
      <c r="L67" s="1367"/>
      <c r="M67" s="1367" t="str">
        <f t="shared" ref="M67:M70" si="0">IF(COUNT(K67)=0,"",(K67*L67))</f>
        <v/>
      </c>
      <c r="N67" s="1367"/>
      <c r="O67" s="1389" t="str">
        <f>IF(COUNT(M67)=0,"",IF(S66="","",(M67*S66)))</f>
        <v/>
      </c>
      <c r="P67" s="1367"/>
      <c r="Q67" s="3387"/>
      <c r="R67" s="3363"/>
      <c r="S67" s="16"/>
      <c r="T67" s="16"/>
      <c r="U67" s="16"/>
      <c r="V67" s="16"/>
      <c r="W67" s="16"/>
    </row>
    <row r="68" spans="1:23">
      <c r="D68" s="1370"/>
      <c r="E68" s="2122"/>
      <c r="F68" s="1384"/>
      <c r="G68" s="1567"/>
      <c r="H68" s="1567"/>
      <c r="I68" s="1299"/>
      <c r="J68" s="1300"/>
      <c r="K68" s="1307" t="str">
        <f>IF(COUNT(G68:J68)=0,"",(SUM(G68:J68)/COUNT(G68:J68)))</f>
        <v/>
      </c>
      <c r="L68" s="1335"/>
      <c r="M68" s="1302" t="str">
        <f t="shared" si="0"/>
        <v/>
      </c>
      <c r="N68" s="1700"/>
      <c r="O68" s="1290" t="str">
        <f>IF(COUNT(M68)=0,"",IF(S66="","",(M68*S66)))</f>
        <v/>
      </c>
      <c r="P68" s="1332"/>
      <c r="Q68" s="3391"/>
      <c r="R68" s="3363"/>
      <c r="S68" s="16"/>
      <c r="T68" s="16"/>
      <c r="U68" s="16"/>
      <c r="V68" s="16"/>
      <c r="W68" s="16"/>
    </row>
    <row r="69" spans="1:23">
      <c r="D69" s="1370"/>
      <c r="E69" s="2122"/>
      <c r="F69" s="1384"/>
      <c r="G69" s="1567"/>
      <c r="H69" s="1567"/>
      <c r="I69" s="1299"/>
      <c r="J69" s="1300"/>
      <c r="K69" s="1307" t="str">
        <f>IF(COUNT(G69:J69)=0,"",(SUM(G69:J69)/COUNT(G69:J69)))</f>
        <v/>
      </c>
      <c r="L69" s="1335"/>
      <c r="M69" s="1302" t="str">
        <f t="shared" si="0"/>
        <v/>
      </c>
      <c r="N69" s="1700"/>
      <c r="O69" s="1290" t="str">
        <f>IF(COUNT(M69)=0,"",IF(S66="","",(M69*S66)))</f>
        <v/>
      </c>
      <c r="P69" s="1332"/>
      <c r="Q69" s="3391"/>
      <c r="R69" s="3363"/>
      <c r="S69" s="16"/>
      <c r="T69" s="16"/>
      <c r="U69" s="16"/>
      <c r="V69" s="16"/>
      <c r="W69" s="16"/>
    </row>
    <row r="70" spans="1:23">
      <c r="D70" s="1370"/>
      <c r="E70" s="2122"/>
      <c r="F70" s="1384"/>
      <c r="G70" s="1567"/>
      <c r="H70" s="1567"/>
      <c r="I70" s="1299"/>
      <c r="J70" s="1300"/>
      <c r="K70" s="1307" t="str">
        <f>IF(COUNT(G70:J70)=0,"",(SUM(G70:J70)/COUNT(G70:J70)))</f>
        <v/>
      </c>
      <c r="L70" s="1335"/>
      <c r="M70" s="1302" t="str">
        <f t="shared" si="0"/>
        <v/>
      </c>
      <c r="N70" s="1700"/>
      <c r="O70" s="1290" t="str">
        <f>IF(COUNT(M70)=0,"",IF(S66="","",(M70*S66)))</f>
        <v/>
      </c>
      <c r="P70" s="1332"/>
      <c r="Q70" s="3391"/>
      <c r="R70" s="3363"/>
      <c r="S70" s="16"/>
      <c r="T70" s="16"/>
      <c r="U70" s="16"/>
      <c r="V70" s="16"/>
      <c r="W70" s="16"/>
    </row>
    <row r="71" spans="1:23">
      <c r="D71" s="1359"/>
      <c r="E71" s="1858"/>
      <c r="F71" s="1360" t="s">
        <v>2</v>
      </c>
      <c r="G71" s="1362"/>
      <c r="H71" s="1362"/>
      <c r="I71" s="1381"/>
      <c r="J71" s="1362"/>
      <c r="K71" s="1380" t="str">
        <f>IF(COUNT(G71:J71)=0,"",(SUM(G71:J71)/COUNT(G71:J71)))</f>
        <v/>
      </c>
      <c r="L71" s="1381"/>
      <c r="M71" s="1381"/>
      <c r="N71" s="1381"/>
      <c r="O71" s="1359" t="str">
        <f>IF(COUNT(M71)=0,"",IF(S66="","",(M71*S66)))</f>
        <v/>
      </c>
      <c r="P71" s="1359"/>
      <c r="Q71" s="3387"/>
      <c r="R71" s="3363"/>
      <c r="S71" s="16"/>
      <c r="T71" s="16"/>
      <c r="U71" s="16"/>
      <c r="V71" s="16"/>
      <c r="W71" s="16"/>
    </row>
    <row r="72" spans="1:23">
      <c r="D72" s="1359" t="s">
        <v>1067</v>
      </c>
      <c r="E72" s="1858" t="s">
        <v>1508</v>
      </c>
      <c r="F72" s="1571" t="s">
        <v>1512</v>
      </c>
      <c r="G72" s="1362">
        <v>3.1</v>
      </c>
      <c r="H72" s="1362"/>
      <c r="I72" s="1289"/>
      <c r="J72" s="1341"/>
      <c r="K72" s="1307">
        <f>G72*K66</f>
        <v>2.29152E-2</v>
      </c>
      <c r="L72" s="1335">
        <f>K72*$K$64</f>
        <v>0</v>
      </c>
      <c r="M72" s="1302">
        <v>18.28</v>
      </c>
      <c r="N72" s="1700"/>
      <c r="O72" s="1290">
        <f>G72*M72</f>
        <v>56.668000000000006</v>
      </c>
      <c r="P72" s="1332">
        <f>M72*K72</f>
        <v>0.418889856</v>
      </c>
      <c r="Q72" s="3391"/>
      <c r="R72" s="3363"/>
      <c r="S72" s="16"/>
      <c r="T72" s="16"/>
      <c r="U72" s="16"/>
      <c r="V72" s="16"/>
      <c r="W72" s="16"/>
    </row>
    <row r="73" spans="1:23">
      <c r="D73" s="1359"/>
      <c r="E73" s="1858"/>
      <c r="F73" s="1571"/>
      <c r="G73" s="1362"/>
      <c r="H73" s="1362"/>
      <c r="I73" s="1289"/>
      <c r="J73" s="1341"/>
      <c r="K73" s="1307" t="str">
        <f>IF(COUNT(G73:J73)=0,"",(SUM(G73:J73)/COUNT(G73:J73)))</f>
        <v/>
      </c>
      <c r="L73" s="1335"/>
      <c r="M73" s="1302" t="str">
        <f>IF(COUNT(K73)=0,"",(K73*L73))</f>
        <v/>
      </c>
      <c r="N73" s="1700"/>
      <c r="O73" s="1290" t="str">
        <f>IF(COUNT(M73)=0,"",IF(S66="","",(M73*S66)))</f>
        <v/>
      </c>
      <c r="P73" s="1332"/>
      <c r="Q73" s="3391"/>
      <c r="R73" s="3363"/>
      <c r="S73" s="16"/>
      <c r="T73" s="16"/>
      <c r="U73" s="16"/>
      <c r="V73" s="16"/>
      <c r="W73" s="16"/>
    </row>
    <row r="74" spans="1:23">
      <c r="D74" s="1359"/>
      <c r="E74" s="1858"/>
      <c r="F74" s="1571"/>
      <c r="G74" s="1362"/>
      <c r="H74" s="1362"/>
      <c r="I74" s="1289"/>
      <c r="J74" s="1341"/>
      <c r="K74" s="1307" t="str">
        <f>IF(COUNT(G74:J74)=0,"",(SUM(G74:J74)/COUNT(G74:J74)))</f>
        <v/>
      </c>
      <c r="L74" s="1335"/>
      <c r="M74" s="1302" t="str">
        <f>IF(COUNT(K74)=0,"",(K74*L74))</f>
        <v/>
      </c>
      <c r="N74" s="1700"/>
      <c r="O74" s="1290" t="str">
        <f>IF(COUNT(M74)=0,"",IF(S66="","",(M74*S66)))</f>
        <v/>
      </c>
      <c r="P74" s="1332"/>
      <c r="Q74" s="3391"/>
      <c r="R74" s="3363"/>
      <c r="S74" s="16"/>
      <c r="T74" s="16"/>
      <c r="U74" s="16"/>
      <c r="V74" s="16"/>
      <c r="W74" s="16"/>
    </row>
    <row r="75" spans="1:23">
      <c r="D75" s="1373"/>
      <c r="E75" s="2123"/>
      <c r="F75" s="1374" t="s">
        <v>3</v>
      </c>
      <c r="G75" s="1376"/>
      <c r="H75" s="1376"/>
      <c r="I75" s="1382"/>
      <c r="J75" s="1383"/>
      <c r="K75" s="1383" t="str">
        <f>IF(COUNT(G75:J75)=0,"",(SUM(G75:J75)/COUNT(G75:J75)))</f>
        <v/>
      </c>
      <c r="L75" s="1413"/>
      <c r="M75" s="1376" t="str">
        <f>IF(COUNT(K75)=0,"",(K75*L75))</f>
        <v/>
      </c>
      <c r="N75" s="1376"/>
      <c r="O75" s="1376" t="str">
        <f>IF(COUNT(M75)=0,"",IF(S66="","",(M75*S66)))</f>
        <v/>
      </c>
      <c r="P75" s="1373"/>
      <c r="Q75" s="3387"/>
      <c r="R75" s="3363"/>
      <c r="S75" s="16"/>
      <c r="T75" s="16"/>
      <c r="U75" s="16"/>
      <c r="V75" s="16"/>
      <c r="W75" s="16"/>
    </row>
    <row r="76" spans="1:23">
      <c r="D76" s="1377" t="s">
        <v>1391</v>
      </c>
      <c r="E76" s="2124" t="s">
        <v>1508</v>
      </c>
      <c r="F76" s="1378" t="s">
        <v>1610</v>
      </c>
      <c r="G76" s="1379">
        <v>0.75</v>
      </c>
      <c r="H76" s="1379"/>
      <c r="I76" s="1299"/>
      <c r="J76" s="1300"/>
      <c r="K76" s="1307">
        <f>G76*K66</f>
        <v>5.5440000000000003E-3</v>
      </c>
      <c r="L76" s="1335">
        <f>K76*$K$64</f>
        <v>0</v>
      </c>
      <c r="M76" s="1302">
        <v>3.65</v>
      </c>
      <c r="N76" s="1700"/>
      <c r="O76" s="1290">
        <f>G76*M76</f>
        <v>2.7374999999999998</v>
      </c>
      <c r="P76" s="1332">
        <f>M76*K76</f>
        <v>2.0235599999999999E-2</v>
      </c>
      <c r="Q76" s="3391"/>
      <c r="R76" s="2337"/>
      <c r="S76" s="16"/>
      <c r="T76" s="16"/>
      <c r="U76" s="16"/>
      <c r="V76" s="16"/>
      <c r="W76" s="16"/>
    </row>
    <row r="77" spans="1:23">
      <c r="D77" s="1377"/>
      <c r="E77" s="2124"/>
      <c r="F77" s="1378"/>
      <c r="G77" s="1379"/>
      <c r="H77" s="1379"/>
      <c r="I77" s="1299"/>
      <c r="J77" s="1300"/>
      <c r="K77" s="1307" t="str">
        <f>IF(COUNT(G77:J77)=0,"",(SUM(G77:J77)/COUNT(G77:J77)))</f>
        <v/>
      </c>
      <c r="L77" s="1335"/>
      <c r="M77" s="1302" t="str">
        <f>IF(COUNT(K77)=0,"",(K77*L77))</f>
        <v/>
      </c>
      <c r="N77" s="1700"/>
      <c r="O77" s="1290" t="str">
        <f>IF(COUNT(M77)=0,"",IF(S66="","",(M77*S66)))</f>
        <v/>
      </c>
      <c r="P77" s="1332"/>
      <c r="Q77" s="3391"/>
      <c r="R77" s="3363"/>
      <c r="S77" s="16"/>
      <c r="T77" s="16"/>
      <c r="U77" s="16"/>
      <c r="V77" s="16"/>
      <c r="W77" s="16"/>
    </row>
    <row r="78" spans="1:23">
      <c r="D78" s="1377"/>
      <c r="E78" s="2124"/>
      <c r="F78" s="1378"/>
      <c r="G78" s="1379"/>
      <c r="H78" s="1379"/>
      <c r="I78" s="1299"/>
      <c r="J78" s="1300"/>
      <c r="K78" s="1307"/>
      <c r="L78" s="1335"/>
      <c r="M78" s="1302"/>
      <c r="N78" s="1700"/>
      <c r="O78" s="1290"/>
      <c r="P78" s="1332"/>
      <c r="Q78" s="3391"/>
      <c r="R78" s="3363"/>
      <c r="S78" s="16"/>
      <c r="T78" s="16"/>
      <c r="U78" s="16"/>
      <c r="V78" s="16"/>
      <c r="W78" s="16"/>
    </row>
    <row r="79" spans="1:23">
      <c r="D79" s="1377"/>
      <c r="E79" s="2124"/>
      <c r="F79" s="1378"/>
      <c r="G79" s="1379"/>
      <c r="H79" s="1379"/>
      <c r="I79" s="1299"/>
      <c r="J79" s="1300"/>
      <c r="K79" s="1307"/>
      <c r="L79" s="1335"/>
      <c r="M79" s="1302"/>
      <c r="N79" s="1700"/>
      <c r="O79" s="1290"/>
      <c r="P79" s="1332"/>
      <c r="Q79" s="3391"/>
      <c r="R79" s="3363"/>
      <c r="S79" s="16"/>
      <c r="T79" s="16"/>
      <c r="U79" s="16"/>
      <c r="V79" s="16"/>
      <c r="W79" s="16"/>
    </row>
    <row r="80" spans="1:23" ht="15" customHeight="1">
      <c r="A80" s="88" t="s">
        <v>3764</v>
      </c>
      <c r="B80" s="4325" t="s">
        <v>1387</v>
      </c>
      <c r="C80" s="3350"/>
      <c r="D80" s="4327"/>
      <c r="E80" s="4329" t="s">
        <v>1504</v>
      </c>
      <c r="F80" s="4338" t="s">
        <v>1607</v>
      </c>
      <c r="G80" s="4331" t="s">
        <v>1568</v>
      </c>
      <c r="H80" s="4331" t="s">
        <v>1574</v>
      </c>
      <c r="I80" s="1572" t="s">
        <v>1559</v>
      </c>
      <c r="J80" s="1294" t="s">
        <v>1560</v>
      </c>
      <c r="K80" s="1294" t="s">
        <v>1569</v>
      </c>
      <c r="L80" s="4333" t="s">
        <v>3765</v>
      </c>
      <c r="M80" s="4323" t="s">
        <v>1571</v>
      </c>
      <c r="N80" s="4323" t="s">
        <v>1776</v>
      </c>
      <c r="O80" s="3347" t="s">
        <v>1563</v>
      </c>
      <c r="P80" s="1566" t="s">
        <v>1562</v>
      </c>
      <c r="Q80" s="3389"/>
      <c r="R80" s="1699" t="s">
        <v>1327</v>
      </c>
      <c r="S80" s="17"/>
      <c r="T80" s="17"/>
      <c r="U80" s="17"/>
      <c r="V80" s="17"/>
      <c r="W80" s="16"/>
    </row>
    <row r="81" spans="1:23">
      <c r="A81" s="1320" t="s">
        <v>2800</v>
      </c>
      <c r="B81" s="4326"/>
      <c r="C81" s="3351"/>
      <c r="D81" s="4328"/>
      <c r="E81" s="4330"/>
      <c r="F81" s="4338" t="s">
        <v>1</v>
      </c>
      <c r="G81" s="4332"/>
      <c r="H81" s="4332"/>
      <c r="I81" s="1345">
        <v>42</v>
      </c>
      <c r="J81" s="1860">
        <v>1.76E-4</v>
      </c>
      <c r="K81" s="1307">
        <f>I81*J81</f>
        <v>7.3920000000000001E-3</v>
      </c>
      <c r="L81" s="4334"/>
      <c r="M81" s="4324"/>
      <c r="N81" s="4324"/>
      <c r="O81" s="1298">
        <f>SUM(O83:O93)</f>
        <v>84.3</v>
      </c>
      <c r="P81" s="1698">
        <f>K81*O81</f>
        <v>0.62314559999999997</v>
      </c>
      <c r="Q81" s="3390"/>
      <c r="R81" s="1721">
        <f>SUM(P82:P94)</f>
        <v>0.62045696000000006</v>
      </c>
      <c r="S81" s="105"/>
      <c r="T81" s="105"/>
      <c r="U81" s="16"/>
      <c r="V81" s="16"/>
      <c r="W81" s="16"/>
    </row>
    <row r="82" spans="1:23">
      <c r="D82" s="1367"/>
      <c r="E82" s="2121"/>
      <c r="F82" s="1568" t="s">
        <v>1</v>
      </c>
      <c r="G82" s="1389"/>
      <c r="H82" s="1389"/>
      <c r="I82" s="1554"/>
      <c r="J82" s="1367"/>
      <c r="K82" s="1389" t="str">
        <f>IF(COUNT(G82:J82)=0,"",(SUM(G82:J82)/COUNT(G82:J82)))</f>
        <v/>
      </c>
      <c r="L82" s="1367"/>
      <c r="M82" s="1367" t="str">
        <f t="shared" ref="M82:M85" si="1">IF(COUNT(K82)=0,"",(K82*L82))</f>
        <v/>
      </c>
      <c r="N82" s="1367"/>
      <c r="O82" s="1389" t="str">
        <f>IF(COUNT(M82)=0,"",IF(S81="","",(M82*S81)))</f>
        <v/>
      </c>
      <c r="P82" s="1554"/>
      <c r="Q82" s="3387"/>
      <c r="R82" s="3363"/>
      <c r="S82" s="16"/>
      <c r="T82" s="16"/>
      <c r="U82" s="16"/>
      <c r="V82" s="16"/>
      <c r="W82" s="16"/>
    </row>
    <row r="83" spans="1:23">
      <c r="D83" s="1370"/>
      <c r="E83" s="2122"/>
      <c r="F83" s="1384"/>
      <c r="G83" s="1567"/>
      <c r="H83" s="1567"/>
      <c r="I83" s="1299"/>
      <c r="J83" s="1300"/>
      <c r="K83" s="1307" t="str">
        <f>IF(COUNT(G83:J83)=0,"",(SUM(G83:J83)/COUNT(G83:J83)))</f>
        <v/>
      </c>
      <c r="L83" s="1335"/>
      <c r="M83" s="1302" t="str">
        <f t="shared" si="1"/>
        <v/>
      </c>
      <c r="N83" s="1700"/>
      <c r="O83" s="1290" t="str">
        <f>IF(COUNT(M83)=0,"",IF(S81="","",(M83*S81)))</f>
        <v/>
      </c>
      <c r="P83" s="1332"/>
      <c r="Q83" s="3391"/>
      <c r="R83" s="3363"/>
      <c r="S83" s="16"/>
      <c r="T83" s="16"/>
      <c r="U83" s="16"/>
      <c r="V83" s="16"/>
      <c r="W83" s="16"/>
    </row>
    <row r="84" spans="1:23">
      <c r="D84" s="1370"/>
      <c r="E84" s="2122"/>
      <c r="F84" s="1384"/>
      <c r="G84" s="1567"/>
      <c r="H84" s="1567"/>
      <c r="I84" s="1299"/>
      <c r="J84" s="1300"/>
      <c r="K84" s="1307" t="str">
        <f>IF(COUNT(G84:J84)=0,"",(SUM(G84:J84)/COUNT(G84:J84)))</f>
        <v/>
      </c>
      <c r="L84" s="1335"/>
      <c r="M84" s="1302" t="str">
        <f t="shared" si="1"/>
        <v/>
      </c>
      <c r="N84" s="1700"/>
      <c r="O84" s="1290" t="str">
        <f>IF(COUNT(M84)=0,"",IF(S81="","",(M84*S81)))</f>
        <v/>
      </c>
      <c r="P84" s="1332"/>
      <c r="Q84" s="3391"/>
      <c r="R84" s="3363"/>
      <c r="S84" s="16"/>
      <c r="T84" s="16"/>
      <c r="U84" s="16"/>
      <c r="V84" s="16"/>
      <c r="W84" s="16"/>
    </row>
    <row r="85" spans="1:23">
      <c r="D85" s="1370"/>
      <c r="E85" s="2122"/>
      <c r="F85" s="1384"/>
      <c r="G85" s="1567"/>
      <c r="H85" s="1567"/>
      <c r="I85" s="1299"/>
      <c r="J85" s="1300"/>
      <c r="K85" s="1307" t="str">
        <f>IF(COUNT(G85:J85)=0,"",(SUM(G85:J85)/COUNT(G85:J85)))</f>
        <v/>
      </c>
      <c r="L85" s="1335"/>
      <c r="M85" s="1302" t="str">
        <f t="shared" si="1"/>
        <v/>
      </c>
      <c r="N85" s="1700"/>
      <c r="O85" s="1290" t="str">
        <f>IF(COUNT(M85)=0,"",IF(S81="","",(M85*S81)))</f>
        <v/>
      </c>
      <c r="P85" s="1332"/>
      <c r="Q85" s="3391"/>
      <c r="R85" s="3363"/>
      <c r="S85" s="16"/>
      <c r="T85" s="16"/>
      <c r="U85" s="16"/>
      <c r="V85" s="16"/>
      <c r="W85" s="16"/>
    </row>
    <row r="86" spans="1:23">
      <c r="D86" s="1359"/>
      <c r="E86" s="1858"/>
      <c r="F86" s="1360" t="s">
        <v>2</v>
      </c>
      <c r="G86" s="1362"/>
      <c r="H86" s="1362"/>
      <c r="I86" s="1380"/>
      <c r="J86" s="1381"/>
      <c r="K86" s="1381" t="str">
        <f>IF(COUNT(G86:J86)=0,"",(SUM(G86:J86)/COUNT(G86:J86)))</f>
        <v/>
      </c>
      <c r="L86" s="1458"/>
      <c r="M86" s="1362"/>
      <c r="N86" s="1362"/>
      <c r="O86" s="1362" t="str">
        <f>IF(COUNT(M86)=0,"",IF(S81="","",(M86*S81)))</f>
        <v/>
      </c>
      <c r="P86" s="1458"/>
      <c r="Q86" s="3387"/>
      <c r="R86" s="3363"/>
      <c r="S86" s="16"/>
      <c r="T86" s="16"/>
      <c r="U86" s="16"/>
      <c r="V86" s="16"/>
      <c r="W86" s="16"/>
    </row>
    <row r="87" spans="1:23">
      <c r="D87" s="1363" t="s">
        <v>1165</v>
      </c>
      <c r="E87" s="2125" t="s">
        <v>1508</v>
      </c>
      <c r="F87" s="1385" t="s">
        <v>1611</v>
      </c>
      <c r="G87" s="1386">
        <v>1</v>
      </c>
      <c r="H87" s="1386"/>
      <c r="I87" s="1299"/>
      <c r="J87" s="1300"/>
      <c r="K87" s="1307">
        <f>(G87*$K$81)</f>
        <v>7.3920000000000001E-3</v>
      </c>
      <c r="L87" s="1335">
        <f>K87*$K$64</f>
        <v>0</v>
      </c>
      <c r="M87" s="1302">
        <v>18.739999999999998</v>
      </c>
      <c r="N87" s="1700"/>
      <c r="O87" s="1290">
        <f>ROUND(G87*M87,2)</f>
        <v>18.739999999999998</v>
      </c>
      <c r="P87" s="1332">
        <f>M87*K87</f>
        <v>0.13852608</v>
      </c>
      <c r="Q87" s="3391"/>
      <c r="R87" s="3363"/>
      <c r="S87" s="16"/>
      <c r="T87" s="16"/>
      <c r="U87" s="16"/>
      <c r="V87" s="16"/>
      <c r="W87" s="16"/>
    </row>
    <row r="88" spans="1:23">
      <c r="D88" s="1363" t="s">
        <v>1067</v>
      </c>
      <c r="E88" s="2125" t="s">
        <v>1508</v>
      </c>
      <c r="F88" s="1385" t="s">
        <v>1512</v>
      </c>
      <c r="G88" s="1386">
        <v>1.5</v>
      </c>
      <c r="H88" s="1386"/>
      <c r="I88" s="1299"/>
      <c r="J88" s="1300"/>
      <c r="K88" s="1307">
        <f>(G88*$K$81)</f>
        <v>1.1088000000000001E-2</v>
      </c>
      <c r="L88" s="1335">
        <f>K88*$K$64</f>
        <v>0</v>
      </c>
      <c r="M88" s="1302">
        <v>18.28</v>
      </c>
      <c r="N88" s="1700"/>
      <c r="O88" s="1290">
        <f>ROUND(G88*M88,2)</f>
        <v>27.42</v>
      </c>
      <c r="P88" s="1332">
        <f>ROUND(M88*K88,2)</f>
        <v>0.2</v>
      </c>
      <c r="Q88" s="3391"/>
      <c r="R88" s="3363"/>
      <c r="S88" s="16"/>
      <c r="T88" s="16"/>
      <c r="U88" s="16"/>
      <c r="V88" s="16"/>
      <c r="W88" s="16"/>
    </row>
    <row r="89" spans="1:23">
      <c r="D89" s="1363"/>
      <c r="E89" s="2125"/>
      <c r="F89" s="1385"/>
      <c r="G89" s="1386"/>
      <c r="H89" s="1386"/>
      <c r="I89" s="1299"/>
      <c r="J89" s="1300"/>
      <c r="K89" s="1307" t="str">
        <f>IF(COUNT(G89:J89)=0,"",(SUM(G89:J89)/COUNT(G89:J89)))</f>
        <v/>
      </c>
      <c r="L89" s="1335"/>
      <c r="M89" s="1302" t="str">
        <f>IF(COUNT(K89)=0,"",(K89*L89))</f>
        <v/>
      </c>
      <c r="N89" s="1700"/>
      <c r="O89" s="1290" t="str">
        <f>IF(COUNT(M89)=0,"",IF(S81="","",(M89*S81)))</f>
        <v/>
      </c>
      <c r="P89" s="1569"/>
      <c r="Q89" s="3391"/>
      <c r="R89" s="3363"/>
      <c r="S89" s="16"/>
      <c r="T89" s="16"/>
      <c r="U89" s="16"/>
      <c r="V89" s="16"/>
      <c r="W89" s="16"/>
    </row>
    <row r="90" spans="1:23">
      <c r="D90" s="1373"/>
      <c r="E90" s="2123"/>
      <c r="F90" s="1374" t="s">
        <v>3</v>
      </c>
      <c r="G90" s="1376"/>
      <c r="H90" s="1376"/>
      <c r="I90" s="1382"/>
      <c r="J90" s="1383"/>
      <c r="K90" s="1383" t="str">
        <f>IF(COUNT(G90:J90)=0,"",(SUM(G90:J90)/COUNT(G90:J90)))</f>
        <v/>
      </c>
      <c r="L90" s="1413"/>
      <c r="M90" s="1376" t="str">
        <f>IF(COUNT(K90)=0,"",(K90*L90))</f>
        <v/>
      </c>
      <c r="N90" s="1376"/>
      <c r="O90" s="1376" t="str">
        <f>IF(COUNT(M90)=0,"",IF(S81="","",(M90*S81)))</f>
        <v/>
      </c>
      <c r="P90" s="1413"/>
      <c r="Q90" s="3387"/>
      <c r="R90" s="3363"/>
      <c r="S90" s="16"/>
      <c r="T90" s="16"/>
      <c r="U90" s="16"/>
      <c r="V90" s="16"/>
      <c r="W90" s="16"/>
    </row>
    <row r="91" spans="1:23">
      <c r="D91" s="1377" t="s">
        <v>1392</v>
      </c>
      <c r="E91" s="2124" t="s">
        <v>1508</v>
      </c>
      <c r="F91" s="1378" t="s">
        <v>1616</v>
      </c>
      <c r="G91" s="1379">
        <v>1</v>
      </c>
      <c r="H91" s="1379"/>
      <c r="I91" s="1299"/>
      <c r="J91" s="1300"/>
      <c r="K91" s="1307">
        <f>G91*$K$81</f>
        <v>7.3920000000000001E-3</v>
      </c>
      <c r="L91" s="1335">
        <f>K91*$K$64</f>
        <v>0</v>
      </c>
      <c r="M91" s="1302">
        <v>38.14</v>
      </c>
      <c r="N91" s="1700"/>
      <c r="O91" s="1290">
        <f>ROUND(G91*M91,2)</f>
        <v>38.14</v>
      </c>
      <c r="P91" s="1332">
        <f>M91*K91</f>
        <v>0.28193087999999999</v>
      </c>
      <c r="Q91" s="3391"/>
      <c r="R91" s="2337"/>
      <c r="S91" s="16"/>
      <c r="T91" s="16"/>
      <c r="U91" s="16"/>
      <c r="V91" s="16"/>
      <c r="W91" s="16"/>
    </row>
    <row r="92" spans="1:23">
      <c r="D92" s="1377"/>
      <c r="E92" s="2124"/>
      <c r="F92" s="1378"/>
      <c r="G92" s="1379"/>
      <c r="H92" s="1379"/>
      <c r="I92" s="1299"/>
      <c r="J92" s="1300"/>
      <c r="K92" s="1307" t="str">
        <f>IF(COUNT(G92:J92)=0,"",(SUM(G92:J92)/COUNT(G92:J92)))</f>
        <v/>
      </c>
      <c r="L92" s="1335"/>
      <c r="M92" s="1302" t="str">
        <f>IF(COUNT(K92)=0,"",(K92*L92))</f>
        <v/>
      </c>
      <c r="N92" s="1700"/>
      <c r="O92" s="1290" t="str">
        <f>IF(COUNT(M92)=0,"",IF(S81="","",(M92*S81)))</f>
        <v/>
      </c>
      <c r="P92" s="1333"/>
      <c r="Q92" s="3391"/>
      <c r="R92" s="3363"/>
      <c r="S92" s="16"/>
      <c r="T92" s="16"/>
      <c r="U92" s="16"/>
      <c r="V92" s="16"/>
      <c r="W92" s="16"/>
    </row>
    <row r="93" spans="1:23">
      <c r="D93" s="1377"/>
      <c r="E93" s="2124"/>
      <c r="F93" s="1378"/>
      <c r="G93" s="1379"/>
      <c r="H93" s="1379"/>
      <c r="I93" s="1299"/>
      <c r="J93" s="1300"/>
      <c r="K93" s="1307"/>
      <c r="L93" s="1335"/>
      <c r="M93" s="1302"/>
      <c r="N93" s="1700"/>
      <c r="O93" s="1290"/>
      <c r="P93" s="1333"/>
      <c r="Q93" s="3391"/>
      <c r="R93" s="3363"/>
      <c r="S93" s="16"/>
      <c r="T93" s="16"/>
      <c r="U93" s="16"/>
      <c r="V93" s="16"/>
      <c r="W93" s="16"/>
    </row>
    <row r="94" spans="1:23">
      <c r="D94" s="1373"/>
      <c r="E94" s="2123"/>
      <c r="F94" s="1374"/>
      <c r="G94" s="1376"/>
      <c r="H94" s="1376"/>
      <c r="I94" s="1382"/>
      <c r="J94" s="1383"/>
      <c r="K94" s="1383"/>
      <c r="L94" s="1413"/>
      <c r="M94" s="1376"/>
      <c r="N94" s="1376"/>
      <c r="O94" s="1376"/>
      <c r="P94" s="1373"/>
      <c r="Q94" s="3387"/>
      <c r="R94" s="3363"/>
      <c r="S94" s="16"/>
      <c r="T94" s="16"/>
      <c r="U94" s="16"/>
      <c r="V94" s="16"/>
      <c r="W94" s="16"/>
    </row>
    <row r="95" spans="1:23" ht="15" customHeight="1">
      <c r="A95" s="88" t="s">
        <v>3764</v>
      </c>
      <c r="B95" s="4325" t="s">
        <v>1388</v>
      </c>
      <c r="C95" s="3350"/>
      <c r="D95" s="4327"/>
      <c r="E95" s="4329" t="s">
        <v>1504</v>
      </c>
      <c r="F95" s="4338" t="s">
        <v>1608</v>
      </c>
      <c r="G95" s="4331" t="s">
        <v>1568</v>
      </c>
      <c r="H95" s="4331" t="s">
        <v>1574</v>
      </c>
      <c r="I95" s="1572" t="s">
        <v>1559</v>
      </c>
      <c r="J95" s="1294" t="s">
        <v>1560</v>
      </c>
      <c r="K95" s="1294" t="s">
        <v>1569</v>
      </c>
      <c r="L95" s="4333" t="s">
        <v>3765</v>
      </c>
      <c r="M95" s="4323" t="s">
        <v>1571</v>
      </c>
      <c r="N95" s="4323" t="s">
        <v>1776</v>
      </c>
      <c r="O95" s="3347" t="s">
        <v>1563</v>
      </c>
      <c r="P95" s="1566" t="s">
        <v>1562</v>
      </c>
      <c r="Q95" s="3389"/>
      <c r="R95" s="1699" t="s">
        <v>1327</v>
      </c>
      <c r="S95" s="17"/>
      <c r="T95" s="17"/>
      <c r="U95" s="17"/>
      <c r="V95" s="17"/>
      <c r="W95" s="16"/>
    </row>
    <row r="96" spans="1:23">
      <c r="A96" s="1320" t="s">
        <v>2800</v>
      </c>
      <c r="B96" s="4326"/>
      <c r="C96" s="3351"/>
      <c r="D96" s="4328"/>
      <c r="E96" s="4330"/>
      <c r="F96" s="4338" t="s">
        <v>1</v>
      </c>
      <c r="G96" s="4332"/>
      <c r="H96" s="4332"/>
      <c r="I96" s="1345">
        <v>188</v>
      </c>
      <c r="J96" s="1860">
        <v>1.76E-4</v>
      </c>
      <c r="K96" s="1307">
        <f>I96*J96</f>
        <v>3.3087999999999999E-2</v>
      </c>
      <c r="L96" s="4334"/>
      <c r="M96" s="4324"/>
      <c r="N96" s="4324"/>
      <c r="O96" s="1298">
        <f>SUM(O98:O107)</f>
        <v>75.52</v>
      </c>
      <c r="P96" s="1698">
        <f>K96*O96</f>
        <v>2.4988057599999998</v>
      </c>
      <c r="Q96" s="3390"/>
      <c r="R96" s="1721">
        <f>SUM(P97:P107)</f>
        <v>2.4988057599999998</v>
      </c>
      <c r="S96" s="105"/>
      <c r="T96" s="105"/>
      <c r="U96" s="16"/>
      <c r="V96" s="16"/>
      <c r="W96" s="16"/>
    </row>
    <row r="97" spans="1:23">
      <c r="D97" s="1367"/>
      <c r="E97" s="2121"/>
      <c r="F97" s="1568" t="s">
        <v>1</v>
      </c>
      <c r="G97" s="1389"/>
      <c r="H97" s="1389"/>
      <c r="I97" s="1554"/>
      <c r="J97" s="1367"/>
      <c r="K97" s="1389" t="str">
        <f>IF(COUNT(G97:J97)=0,"",(SUM(G97:J97)/COUNT(G97:J97)))</f>
        <v/>
      </c>
      <c r="L97" s="1367"/>
      <c r="M97" s="1367" t="str">
        <f t="shared" ref="M97:M100" si="2">IF(COUNT(K97)=0,"",(K97*L97))</f>
        <v/>
      </c>
      <c r="N97" s="1367"/>
      <c r="O97" s="1389" t="str">
        <f>IF(COUNT(M97)=0,"",IF(S96="","",(M97*S96)))</f>
        <v/>
      </c>
      <c r="P97" s="1367"/>
      <c r="Q97" s="3387"/>
      <c r="R97" s="3363"/>
      <c r="S97" s="16"/>
      <c r="T97" s="16"/>
      <c r="U97" s="16"/>
      <c r="V97" s="16"/>
      <c r="W97" s="16"/>
    </row>
    <row r="98" spans="1:23">
      <c r="D98" s="1370"/>
      <c r="E98" s="2122"/>
      <c r="F98" s="1384"/>
      <c r="G98" s="1567"/>
      <c r="H98" s="1567"/>
      <c r="I98" s="1299"/>
      <c r="J98" s="1300"/>
      <c r="K98" s="1307" t="str">
        <f>IF(COUNT(G98:J98)=0,"",(SUM(G98:J98)/COUNT(G98:J98)))</f>
        <v/>
      </c>
      <c r="L98" s="1335"/>
      <c r="M98" s="1302" t="str">
        <f t="shared" si="2"/>
        <v/>
      </c>
      <c r="N98" s="1700"/>
      <c r="O98" s="1290" t="str">
        <f>IF(COUNT(M98)=0,"",IF(S96="","",(M98*S96)))</f>
        <v/>
      </c>
      <c r="P98" s="1332"/>
      <c r="Q98" s="3391"/>
      <c r="R98" s="3363"/>
      <c r="S98" s="16"/>
      <c r="T98" s="16"/>
      <c r="U98" s="16"/>
      <c r="V98" s="16"/>
      <c r="W98" s="16"/>
    </row>
    <row r="99" spans="1:23">
      <c r="D99" s="1370"/>
      <c r="E99" s="2122"/>
      <c r="F99" s="1384"/>
      <c r="G99" s="1567"/>
      <c r="H99" s="1567"/>
      <c r="I99" s="1299"/>
      <c r="J99" s="1300"/>
      <c r="K99" s="1307" t="str">
        <f>IF(COUNT(G99:J99)=0,"",(SUM(G99:J99)/COUNT(G99:J99)))</f>
        <v/>
      </c>
      <c r="L99" s="1335"/>
      <c r="M99" s="1302" t="str">
        <f t="shared" si="2"/>
        <v/>
      </c>
      <c r="N99" s="1700"/>
      <c r="O99" s="1290" t="str">
        <f>IF(COUNT(M99)=0,"",IF(S96="","",(M99*S96)))</f>
        <v/>
      </c>
      <c r="P99" s="1332"/>
      <c r="Q99" s="3391"/>
      <c r="R99" s="3363"/>
      <c r="S99" s="16"/>
      <c r="T99" s="16"/>
      <c r="U99" s="16"/>
      <c r="V99" s="16"/>
      <c r="W99" s="16"/>
    </row>
    <row r="100" spans="1:23">
      <c r="D100" s="1370"/>
      <c r="E100" s="2122"/>
      <c r="F100" s="1384"/>
      <c r="G100" s="1567"/>
      <c r="H100" s="1567"/>
      <c r="I100" s="1299"/>
      <c r="J100" s="1300"/>
      <c r="K100" s="1307" t="str">
        <f>IF(COUNT(G100:J100)=0,"",(SUM(G100:J100)/COUNT(G100:J100)))</f>
        <v/>
      </c>
      <c r="L100" s="1335"/>
      <c r="M100" s="1302" t="str">
        <f t="shared" si="2"/>
        <v/>
      </c>
      <c r="N100" s="1700"/>
      <c r="O100" s="1290" t="str">
        <f>IF(COUNT(M100)=0,"",IF(S96="","",(M100*S96)))</f>
        <v/>
      </c>
      <c r="P100" s="1332"/>
      <c r="Q100" s="3391"/>
      <c r="R100" s="3363"/>
      <c r="S100" s="16"/>
      <c r="T100" s="16"/>
      <c r="U100" s="16"/>
      <c r="V100" s="16"/>
      <c r="W100" s="16"/>
    </row>
    <row r="101" spans="1:23">
      <c r="D101" s="1359"/>
      <c r="E101" s="1858"/>
      <c r="F101" s="1360" t="s">
        <v>2</v>
      </c>
      <c r="G101" s="1362"/>
      <c r="H101" s="1362"/>
      <c r="I101" s="1380"/>
      <c r="J101" s="1381"/>
      <c r="K101" s="1381" t="str">
        <f>IF(COUNT(G101:J101)=0,"",(SUM(G101:J101)/COUNT(G101:J101)))</f>
        <v/>
      </c>
      <c r="L101" s="1458"/>
      <c r="M101" s="1362"/>
      <c r="N101" s="1362"/>
      <c r="O101" s="1362" t="str">
        <f>IF(COUNT(M101)=0,"",IF(S96="","",(M101*S96)))</f>
        <v/>
      </c>
      <c r="P101" s="1359"/>
      <c r="Q101" s="3387"/>
      <c r="R101" s="3363"/>
      <c r="S101" s="16"/>
      <c r="T101" s="16"/>
      <c r="U101" s="16"/>
      <c r="V101" s="16"/>
      <c r="W101" s="16"/>
    </row>
    <row r="102" spans="1:23">
      <c r="D102" s="1363" t="s">
        <v>1165</v>
      </c>
      <c r="E102" s="2125" t="s">
        <v>1508</v>
      </c>
      <c r="F102" s="1385" t="s">
        <v>1611</v>
      </c>
      <c r="G102" s="1386">
        <v>1</v>
      </c>
      <c r="H102" s="1386"/>
      <c r="I102" s="1299"/>
      <c r="J102" s="1300"/>
      <c r="K102" s="1307">
        <f>G102*K96</f>
        <v>3.3087999999999999E-2</v>
      </c>
      <c r="L102" s="1335">
        <f>K102*$K$64</f>
        <v>0</v>
      </c>
      <c r="M102" s="1302">
        <v>18.739999999999998</v>
      </c>
      <c r="N102" s="1700"/>
      <c r="O102" s="1290">
        <f>G102*M102</f>
        <v>18.739999999999998</v>
      </c>
      <c r="P102" s="1332">
        <f>M102*K102</f>
        <v>0.62006911999999992</v>
      </c>
      <c r="Q102" s="3391"/>
      <c r="R102" s="3363"/>
      <c r="S102" s="16"/>
      <c r="T102" s="16"/>
      <c r="U102" s="16"/>
      <c r="V102" s="16"/>
      <c r="W102" s="16"/>
    </row>
    <row r="103" spans="1:23">
      <c r="D103" s="1363" t="s">
        <v>1067</v>
      </c>
      <c r="E103" s="2125" t="s">
        <v>1508</v>
      </c>
      <c r="F103" s="1385" t="s">
        <v>1512</v>
      </c>
      <c r="G103" s="1386">
        <v>1.5</v>
      </c>
      <c r="H103" s="1386"/>
      <c r="I103" s="1299"/>
      <c r="J103" s="1300"/>
      <c r="K103" s="1307">
        <f>G103*K96</f>
        <v>4.9631999999999996E-2</v>
      </c>
      <c r="L103" s="1335">
        <f>K103*$K$64</f>
        <v>0</v>
      </c>
      <c r="M103" s="1302">
        <v>18.28</v>
      </c>
      <c r="N103" s="1700"/>
      <c r="O103" s="1290">
        <f>G103*M103</f>
        <v>27.42</v>
      </c>
      <c r="P103" s="1332">
        <f>M103*K103</f>
        <v>0.90727296000000002</v>
      </c>
      <c r="Q103" s="3391"/>
      <c r="R103" s="3363"/>
      <c r="S103" s="16"/>
      <c r="T103" s="16"/>
      <c r="U103" s="16"/>
      <c r="V103" s="16"/>
      <c r="W103" s="16"/>
    </row>
    <row r="104" spans="1:23">
      <c r="D104" s="1363"/>
      <c r="E104" s="2125"/>
      <c r="F104" s="1385"/>
      <c r="G104" s="1386"/>
      <c r="H104" s="1386"/>
      <c r="I104" s="1299"/>
      <c r="J104" s="1300"/>
      <c r="K104" s="1307" t="str">
        <f>IF(COUNT(G104:J104)=0,"",(SUM(G104:J104)/COUNT(G104:J104)))</f>
        <v/>
      </c>
      <c r="L104" s="1335"/>
      <c r="M104" s="1302" t="str">
        <f>IF(COUNT(K104)=0,"",(K104*L104))</f>
        <v/>
      </c>
      <c r="N104" s="1700"/>
      <c r="O104" s="1290" t="str">
        <f>IF(COUNT(M104)=0,"",IF(S96="","",(M104*S96)))</f>
        <v/>
      </c>
      <c r="P104" s="1332"/>
      <c r="Q104" s="3391"/>
      <c r="R104" s="3363"/>
      <c r="S104" s="16"/>
      <c r="T104" s="16"/>
      <c r="U104" s="16"/>
      <c r="V104" s="16"/>
      <c r="W104" s="16"/>
    </row>
    <row r="105" spans="1:23">
      <c r="D105" s="1373"/>
      <c r="E105" s="2123"/>
      <c r="F105" s="1374" t="s">
        <v>3</v>
      </c>
      <c r="G105" s="1376"/>
      <c r="H105" s="1376"/>
      <c r="I105" s="1382"/>
      <c r="J105" s="1383"/>
      <c r="K105" s="1383" t="str">
        <f>IF(COUNT(G105:J105)=0,"",(SUM(G105:J105)/COUNT(G105:J105)))</f>
        <v/>
      </c>
      <c r="L105" s="1413"/>
      <c r="M105" s="1376" t="str">
        <f>IF(COUNT(K105)=0,"",(K105*L105))</f>
        <v/>
      </c>
      <c r="N105" s="1376"/>
      <c r="O105" s="1376" t="str">
        <f>IF(COUNT(M105)=0,"",IF(S96="","",(M105*S96)))</f>
        <v/>
      </c>
      <c r="P105" s="1373"/>
      <c r="Q105" s="3387"/>
      <c r="R105" s="3363"/>
      <c r="S105" s="16"/>
      <c r="T105" s="16"/>
      <c r="U105" s="16"/>
      <c r="V105" s="16"/>
      <c r="W105" s="16"/>
    </row>
    <row r="106" spans="1:23">
      <c r="A106" t="s">
        <v>2871</v>
      </c>
      <c r="D106" s="1377" t="s">
        <v>1393</v>
      </c>
      <c r="E106" s="2124" t="s">
        <v>1508</v>
      </c>
      <c r="F106" s="1378" t="s">
        <v>1612</v>
      </c>
      <c r="G106" s="1379">
        <v>1</v>
      </c>
      <c r="H106" s="1379"/>
      <c r="I106" s="1299"/>
      <c r="J106" s="1300"/>
      <c r="K106" s="1307">
        <f>G106*K96</f>
        <v>3.3087999999999999E-2</v>
      </c>
      <c r="L106" s="1335">
        <f>K106*$K$64</f>
        <v>0</v>
      </c>
      <c r="M106" s="1302">
        <v>29.36</v>
      </c>
      <c r="N106" s="1700"/>
      <c r="O106" s="1290">
        <f>G106*M106</f>
        <v>29.36</v>
      </c>
      <c r="P106" s="1332">
        <f>M106*K106</f>
        <v>0.97146367999999994</v>
      </c>
      <c r="Q106" s="3391"/>
      <c r="R106" s="2337"/>
      <c r="S106" s="16"/>
      <c r="T106" s="16"/>
      <c r="U106" s="16"/>
      <c r="V106" s="16"/>
      <c r="W106" s="16"/>
    </row>
    <row r="107" spans="1:23">
      <c r="D107" s="1377"/>
      <c r="E107" s="2124"/>
      <c r="F107" s="1378"/>
      <c r="G107" s="1379"/>
      <c r="H107" s="1379"/>
      <c r="I107" s="1299"/>
      <c r="J107" s="1300"/>
      <c r="K107" s="1307" t="str">
        <f>IF(COUNT(G107:J107)=0,"",(SUM(G107:J107)/COUNT(G107:J107)))</f>
        <v/>
      </c>
      <c r="L107" s="1335"/>
      <c r="M107" s="1302" t="str">
        <f>IF(COUNT(K107)=0,"",(K107*L107))</f>
        <v/>
      </c>
      <c r="N107" s="1700"/>
      <c r="O107" s="1290" t="str">
        <f>IF(COUNT(M107)=0,"",IF(S96="","",(M107*S96)))</f>
        <v/>
      </c>
      <c r="P107" s="1333"/>
      <c r="Q107" s="3391"/>
      <c r="R107" s="2338"/>
    </row>
    <row r="108" spans="1:23">
      <c r="D108" s="1373"/>
      <c r="E108" s="2123"/>
      <c r="F108" s="1374"/>
      <c r="G108" s="1376"/>
      <c r="H108" s="1376"/>
      <c r="I108" s="1382"/>
      <c r="J108" s="1383"/>
      <c r="K108" s="1383" t="str">
        <f>IF(COUNT(G108:J108)=0,"",(SUM(G108:J108)/COUNT(G108:J108)))</f>
        <v/>
      </c>
      <c r="L108" s="1413"/>
      <c r="M108" s="1376" t="str">
        <f>IF(COUNT(K108)=0,"",(K108*L108))</f>
        <v/>
      </c>
      <c r="N108" s="1376"/>
      <c r="O108" s="1376" t="str">
        <f>IF(COUNT(M108)=0,"",IF(S96="","",(M108*S96)))</f>
        <v/>
      </c>
      <c r="P108" s="1373"/>
      <c r="Q108" s="3387"/>
      <c r="R108" s="2338"/>
    </row>
    <row r="109" spans="1:23" ht="15" customHeight="1">
      <c r="A109" s="88" t="s">
        <v>3764</v>
      </c>
      <c r="B109" s="4325" t="s">
        <v>1389</v>
      </c>
      <c r="C109" s="3350"/>
      <c r="D109" s="4327"/>
      <c r="E109" s="4329" t="s">
        <v>1527</v>
      </c>
      <c r="F109" s="4338" t="s">
        <v>1609</v>
      </c>
      <c r="G109" s="4331" t="s">
        <v>1568</v>
      </c>
      <c r="H109" s="4331" t="s">
        <v>1574</v>
      </c>
      <c r="I109" s="1572" t="s">
        <v>1559</v>
      </c>
      <c r="J109" s="1294" t="s">
        <v>1560</v>
      </c>
      <c r="K109" s="1294" t="s">
        <v>1569</v>
      </c>
      <c r="L109" s="4333" t="s">
        <v>3765</v>
      </c>
      <c r="M109" s="4323" t="s">
        <v>1571</v>
      </c>
      <c r="N109" s="4323" t="s">
        <v>1776</v>
      </c>
      <c r="O109" s="3347" t="s">
        <v>1563</v>
      </c>
      <c r="P109" s="1566" t="s">
        <v>1562</v>
      </c>
      <c r="Q109" s="3389"/>
      <c r="R109" s="1699" t="s">
        <v>1327</v>
      </c>
      <c r="S109" s="17"/>
      <c r="T109" s="17"/>
      <c r="U109" s="17"/>
      <c r="V109" s="17"/>
      <c r="W109" s="16"/>
    </row>
    <row r="110" spans="1:23">
      <c r="A110" s="1320" t="s">
        <v>2800</v>
      </c>
      <c r="B110" s="4326"/>
      <c r="C110" s="3351"/>
      <c r="D110" s="4328"/>
      <c r="E110" s="4330"/>
      <c r="F110" s="4338"/>
      <c r="G110" s="4332"/>
      <c r="H110" s="4332"/>
      <c r="I110" s="1345">
        <v>1092</v>
      </c>
      <c r="J110" s="1860">
        <v>1.76E-4</v>
      </c>
      <c r="K110" s="1307">
        <f>I110*J110</f>
        <v>0.192192</v>
      </c>
      <c r="L110" s="4334"/>
      <c r="M110" s="4324"/>
      <c r="N110" s="4324"/>
      <c r="O110" s="1298">
        <f>SUM(O112:O123)</f>
        <v>105.58529000000001</v>
      </c>
      <c r="P110" s="1698">
        <f>K110*O110</f>
        <v>20.292648055680004</v>
      </c>
      <c r="Q110" s="3390"/>
      <c r="R110" s="1721">
        <f>SUM(P112:P123)</f>
        <v>20.292648055680001</v>
      </c>
      <c r="S110" s="17"/>
      <c r="T110" s="17"/>
      <c r="U110" s="17"/>
      <c r="V110" s="17"/>
      <c r="W110" s="16"/>
    </row>
    <row r="111" spans="1:23">
      <c r="D111" s="1367"/>
      <c r="E111" s="2121"/>
      <c r="F111" s="1568" t="s">
        <v>1</v>
      </c>
      <c r="G111" s="1389"/>
      <c r="H111" s="1389"/>
      <c r="I111" s="1554"/>
      <c r="J111" s="1367"/>
      <c r="K111" s="1389" t="str">
        <f>IF(COUNT(G111:I111)=0,"",(SUM(G111:I111)/COUNT(G111:I111)))</f>
        <v/>
      </c>
      <c r="L111" s="1367"/>
      <c r="M111" s="1367" t="str">
        <f>IF(COUNT(K111)=0,"",(K111*L111))</f>
        <v/>
      </c>
      <c r="N111" s="1367"/>
      <c r="O111" s="1389"/>
      <c r="P111" s="1367"/>
      <c r="Q111" s="3387"/>
      <c r="R111" s="3363"/>
      <c r="S111" s="105"/>
      <c r="T111" s="105"/>
      <c r="U111" s="16"/>
      <c r="V111" s="16"/>
      <c r="W111" s="16"/>
    </row>
    <row r="112" spans="1:23">
      <c r="D112" s="1370" t="s">
        <v>1394</v>
      </c>
      <c r="E112" s="2122" t="s">
        <v>1577</v>
      </c>
      <c r="F112" s="1384" t="s">
        <v>1614</v>
      </c>
      <c r="G112" s="1567">
        <v>7.4999999999999997E-2</v>
      </c>
      <c r="H112" s="1567"/>
      <c r="I112" s="1299"/>
      <c r="J112" s="1300"/>
      <c r="K112" s="1307">
        <f>G112*K110</f>
        <v>1.4414399999999999E-2</v>
      </c>
      <c r="L112" s="1335">
        <f>K112*$K$64</f>
        <v>0</v>
      </c>
      <c r="M112" s="1302">
        <v>92.54</v>
      </c>
      <c r="N112" s="1700"/>
      <c r="O112" s="1290">
        <f>G112*M112</f>
        <v>6.9405000000000001</v>
      </c>
      <c r="P112" s="1332">
        <f>M112*K112</f>
        <v>1.333908576</v>
      </c>
      <c r="Q112" s="3391"/>
      <c r="R112" s="3363"/>
      <c r="S112" s="16"/>
      <c r="T112" s="16"/>
      <c r="U112" s="16"/>
      <c r="V112" s="16"/>
      <c r="W112" s="16"/>
    </row>
    <row r="113" spans="1:23">
      <c r="D113" s="1370" t="s">
        <v>1395</v>
      </c>
      <c r="E113" s="2122" t="s">
        <v>1527</v>
      </c>
      <c r="F113" s="1384" t="s">
        <v>1613</v>
      </c>
      <c r="G113" s="1567">
        <v>1</v>
      </c>
      <c r="H113" s="1567"/>
      <c r="I113" s="1299"/>
      <c r="J113" s="1300"/>
      <c r="K113" s="1307">
        <f>G113*K110</f>
        <v>0.192192</v>
      </c>
      <c r="L113" s="1335">
        <f>K113*$K$64</f>
        <v>0</v>
      </c>
      <c r="M113" s="1302">
        <v>26.46</v>
      </c>
      <c r="N113" s="1700"/>
      <c r="O113" s="1290">
        <f>G113*M113</f>
        <v>26.46</v>
      </c>
      <c r="P113" s="1332">
        <f>M113*K113</f>
        <v>5.0854003200000006</v>
      </c>
      <c r="Q113" s="3391"/>
      <c r="R113" s="3363"/>
      <c r="S113" s="16"/>
      <c r="T113" s="16"/>
      <c r="U113" s="16"/>
      <c r="V113" s="16"/>
      <c r="W113" s="16"/>
    </row>
    <row r="114" spans="1:23">
      <c r="D114" s="1370"/>
      <c r="E114" s="2122"/>
      <c r="F114" s="1384"/>
      <c r="G114" s="1567"/>
      <c r="H114" s="1567"/>
      <c r="I114" s="1299"/>
      <c r="J114" s="1300"/>
      <c r="K114" s="1307" t="str">
        <f>IF(COUNT(G114:J114)=0,"",(SUM(G114:J114)/COUNT(G114:J114)))</f>
        <v/>
      </c>
      <c r="L114" s="1335"/>
      <c r="M114" s="1302" t="str">
        <f t="shared" ref="M114:M115" si="3">IF(COUNT(K114)=0,"",(K114*L114))</f>
        <v/>
      </c>
      <c r="N114" s="1700"/>
      <c r="O114" s="1290" t="str">
        <f>IF(COUNT(M114)=0,"",IF(S111="","",(M114*S111)))</f>
        <v/>
      </c>
      <c r="P114" s="1332"/>
      <c r="Q114" s="3391"/>
      <c r="R114" s="3363"/>
      <c r="S114" s="16"/>
      <c r="T114" s="16"/>
      <c r="U114" s="16"/>
      <c r="V114" s="16"/>
      <c r="W114" s="16"/>
    </row>
    <row r="115" spans="1:23">
      <c r="D115" s="1370"/>
      <c r="E115" s="2122"/>
      <c r="F115" s="1384"/>
      <c r="G115" s="1567"/>
      <c r="H115" s="1567"/>
      <c r="I115" s="1299"/>
      <c r="J115" s="1300"/>
      <c r="K115" s="1307" t="str">
        <f>IF(COUNT(G115:J115)=0,"",(SUM(G115:J115)/COUNT(G115:J115)))</f>
        <v/>
      </c>
      <c r="L115" s="1335"/>
      <c r="M115" s="1302" t="str">
        <f t="shared" si="3"/>
        <v/>
      </c>
      <c r="N115" s="1700"/>
      <c r="O115" s="1290" t="str">
        <f>IF(COUNT(M115)=0,"",IF(S111="","",(M115*S111)))</f>
        <v/>
      </c>
      <c r="P115" s="1332"/>
      <c r="Q115" s="3391"/>
      <c r="R115" s="3363"/>
      <c r="S115" s="16"/>
      <c r="T115" s="16"/>
      <c r="U115" s="16"/>
      <c r="V115" s="16"/>
      <c r="W115" s="16"/>
    </row>
    <row r="116" spans="1:23">
      <c r="D116" s="1359"/>
      <c r="E116" s="1858"/>
      <c r="F116" s="1360" t="s">
        <v>2</v>
      </c>
      <c r="G116" s="1362"/>
      <c r="H116" s="1386"/>
      <c r="I116" s="1380"/>
      <c r="J116" s="1381"/>
      <c r="K116" s="1381" t="str">
        <f>IF(COUNT(G116:J116)=0,"",(SUM(G116:J116)/COUNT(G116:J116)))</f>
        <v/>
      </c>
      <c r="L116" s="1458"/>
      <c r="M116" s="1362"/>
      <c r="N116" s="1362"/>
      <c r="O116" s="1362" t="str">
        <f>IF(COUNT(M116)=0,"",IF(S111="","",(M116*S111)))</f>
        <v/>
      </c>
      <c r="P116" s="1359"/>
      <c r="Q116" s="3387"/>
      <c r="R116" s="3363"/>
      <c r="S116" s="16"/>
      <c r="T116" s="16"/>
      <c r="U116" s="16"/>
      <c r="V116" s="16"/>
      <c r="W116" s="16"/>
    </row>
    <row r="117" spans="1:23">
      <c r="D117" s="1363" t="s">
        <v>1077</v>
      </c>
      <c r="E117" s="2125" t="s">
        <v>1508</v>
      </c>
      <c r="F117" s="1385" t="s">
        <v>1539</v>
      </c>
      <c r="G117" s="1386">
        <v>0.183</v>
      </c>
      <c r="H117" s="1386"/>
      <c r="I117" s="1299"/>
      <c r="J117" s="1300"/>
      <c r="K117" s="1307">
        <f>G117*K110</f>
        <v>3.5171135999999999E-2</v>
      </c>
      <c r="L117" s="1335">
        <f>K117*$K$64</f>
        <v>0</v>
      </c>
      <c r="M117" s="1302">
        <v>19.23</v>
      </c>
      <c r="N117" s="1700"/>
      <c r="O117" s="1290">
        <f>G117*M117</f>
        <v>3.5190899999999998</v>
      </c>
      <c r="P117" s="1332">
        <f>M117*K117</f>
        <v>0.67634094527999999</v>
      </c>
      <c r="Q117" s="3391"/>
      <c r="R117" s="3363"/>
      <c r="S117" s="16"/>
      <c r="T117" s="16"/>
      <c r="U117" s="16"/>
      <c r="V117" s="16"/>
      <c r="W117" s="16"/>
    </row>
    <row r="118" spans="1:23">
      <c r="D118" s="1363" t="s">
        <v>1067</v>
      </c>
      <c r="E118" s="2125" t="s">
        <v>1508</v>
      </c>
      <c r="F118" s="1385" t="s">
        <v>1512</v>
      </c>
      <c r="G118" s="1386">
        <v>0.59</v>
      </c>
      <c r="H118" s="1386"/>
      <c r="I118" s="1299"/>
      <c r="J118" s="1300"/>
      <c r="K118" s="1307">
        <f>G118*K110</f>
        <v>0.11339328</v>
      </c>
      <c r="L118" s="1335">
        <f>K118*$K$64</f>
        <v>0</v>
      </c>
      <c r="M118" s="1302">
        <v>18.28</v>
      </c>
      <c r="N118" s="1700"/>
      <c r="O118" s="1290">
        <f>G118*M118</f>
        <v>10.7852</v>
      </c>
      <c r="P118" s="1332">
        <f>M118*K118</f>
        <v>2.0728291584000003</v>
      </c>
      <c r="Q118" s="3391"/>
      <c r="R118" s="3363"/>
      <c r="S118" s="16"/>
      <c r="T118" s="16"/>
      <c r="U118" s="16"/>
      <c r="V118" s="16"/>
      <c r="W118" s="16"/>
    </row>
    <row r="119" spans="1:23">
      <c r="D119" s="1363"/>
      <c r="E119" s="2125"/>
      <c r="F119" s="1385"/>
      <c r="G119" s="1386"/>
      <c r="H119" s="1386"/>
      <c r="I119" s="1299"/>
      <c r="J119" s="1300"/>
      <c r="K119" s="1307"/>
      <c r="L119" s="1335"/>
      <c r="M119" s="1302"/>
      <c r="N119" s="1700"/>
      <c r="O119" s="1290"/>
      <c r="P119" s="1332"/>
      <c r="Q119" s="3391"/>
      <c r="R119" s="3363"/>
      <c r="S119" s="16"/>
      <c r="T119" s="16"/>
      <c r="U119" s="16"/>
      <c r="V119" s="16"/>
      <c r="W119" s="16"/>
    </row>
    <row r="120" spans="1:23" ht="23.5">
      <c r="A120" s="2410" t="s">
        <v>2869</v>
      </c>
      <c r="B120" s="1982"/>
      <c r="D120" s="1373"/>
      <c r="E120" s="2123"/>
      <c r="F120" s="1374" t="s">
        <v>3</v>
      </c>
      <c r="G120" s="1376"/>
      <c r="H120" s="1376"/>
      <c r="I120" s="1382"/>
      <c r="J120" s="1383"/>
      <c r="K120" s="1383" t="str">
        <f>IF(COUNT(G120:J120)=0,"",(SUM(G120:J120)/COUNT(G120:J120)))</f>
        <v/>
      </c>
      <c r="L120" s="1413"/>
      <c r="M120" s="1376" t="str">
        <f>IF(COUNT(K120)=0,"",(K120*L120))</f>
        <v/>
      </c>
      <c r="N120" s="1376"/>
      <c r="O120" s="1376" t="str">
        <f>IF(COUNT(M120)=0,"",IF(S111="","",(M120*S111)))</f>
        <v/>
      </c>
      <c r="P120" s="1373"/>
      <c r="Q120" s="3387"/>
      <c r="R120" s="3363"/>
      <c r="S120" s="16"/>
      <c r="T120" s="16"/>
      <c r="U120" s="16"/>
      <c r="V120" s="16"/>
      <c r="W120" s="16"/>
    </row>
    <row r="121" spans="1:23" ht="23.5">
      <c r="A121" s="2409" t="s">
        <v>2870</v>
      </c>
      <c r="B121" s="2407"/>
      <c r="D121" s="2411" t="s">
        <v>1396</v>
      </c>
      <c r="E121" s="2412" t="s">
        <v>1508</v>
      </c>
      <c r="F121" s="2413" t="s">
        <v>1615</v>
      </c>
      <c r="G121" s="2406">
        <v>0.183</v>
      </c>
      <c r="H121" s="1379"/>
      <c r="I121" s="1299"/>
      <c r="J121" s="1300"/>
      <c r="K121" s="1307">
        <f>G121*K110</f>
        <v>3.5171135999999999E-2</v>
      </c>
      <c r="L121" s="1335">
        <f>K121*$K$64</f>
        <v>0</v>
      </c>
      <c r="M121" s="2414">
        <v>280</v>
      </c>
      <c r="N121" s="1700"/>
      <c r="O121" s="1290">
        <f>G121*M121</f>
        <v>51.24</v>
      </c>
      <c r="P121" s="1332">
        <f>M121*K121</f>
        <v>9.8479180799999995</v>
      </c>
      <c r="Q121" s="3391"/>
      <c r="R121" s="2337"/>
      <c r="S121" s="16"/>
      <c r="T121" s="16"/>
      <c r="U121" s="16"/>
      <c r="V121" s="16"/>
      <c r="W121" s="16"/>
    </row>
    <row r="122" spans="1:23" ht="21">
      <c r="A122" s="2405" t="s">
        <v>2865</v>
      </c>
      <c r="B122" s="1982"/>
      <c r="D122" s="2411" t="s">
        <v>1079</v>
      </c>
      <c r="E122" s="2412" t="s">
        <v>1504</v>
      </c>
      <c r="F122" s="2413" t="s">
        <v>2867</v>
      </c>
      <c r="G122" s="2406">
        <v>1</v>
      </c>
      <c r="H122" s="1379"/>
      <c r="I122" s="1299"/>
      <c r="J122" s="1300"/>
      <c r="K122" s="1307">
        <f>G122*K110</f>
        <v>0.192192</v>
      </c>
      <c r="L122" s="1335">
        <f>K122*$K$64</f>
        <v>0</v>
      </c>
      <c r="M122" s="2414">
        <v>6.45</v>
      </c>
      <c r="N122" s="1700"/>
      <c r="O122" s="1290">
        <f>G122*M122</f>
        <v>6.45</v>
      </c>
      <c r="P122" s="1332">
        <f>M122*K122</f>
        <v>1.2396384</v>
      </c>
      <c r="Q122" s="3391"/>
      <c r="R122" s="3363"/>
      <c r="S122" s="16"/>
      <c r="T122" s="16"/>
      <c r="U122" s="16"/>
      <c r="V122" s="16"/>
      <c r="W122" s="16"/>
    </row>
    <row r="123" spans="1:23" ht="23.5">
      <c r="A123" s="2409" t="s">
        <v>2868</v>
      </c>
      <c r="B123" s="2408"/>
      <c r="D123" s="1377" t="s">
        <v>1080</v>
      </c>
      <c r="E123" s="2124" t="s">
        <v>1508</v>
      </c>
      <c r="F123" s="1378" t="s">
        <v>1511</v>
      </c>
      <c r="G123" s="1379">
        <v>0.03</v>
      </c>
      <c r="H123" s="1379"/>
      <c r="I123" s="1299"/>
      <c r="J123" s="1300"/>
      <c r="K123" s="1307">
        <f>G123*K110</f>
        <v>5.76576E-3</v>
      </c>
      <c r="L123" s="1335">
        <f>K123*$K$64</f>
        <v>0</v>
      </c>
      <c r="M123" s="1302">
        <v>6.35</v>
      </c>
      <c r="N123" s="1700"/>
      <c r="O123" s="1290">
        <f>G123*M123</f>
        <v>0.19049999999999997</v>
      </c>
      <c r="P123" s="1332">
        <f>M123*K123</f>
        <v>3.6612576000000001E-2</v>
      </c>
      <c r="Q123" s="3391"/>
      <c r="R123" s="3363"/>
      <c r="S123" s="16"/>
      <c r="T123" s="16"/>
      <c r="U123" s="16"/>
      <c r="V123" s="16"/>
      <c r="W123" s="16"/>
    </row>
    <row r="124" spans="1:23">
      <c r="D124" s="1373"/>
      <c r="E124" s="2123"/>
      <c r="F124" s="1374"/>
      <c r="G124" s="1376"/>
      <c r="H124" s="1379"/>
      <c r="I124" s="1382"/>
      <c r="J124" s="1383"/>
      <c r="K124" s="1383" t="str">
        <f>IF(COUNT(G124:J124)=0,"",(SUM(G124:J124)/COUNT(G124:J124)))</f>
        <v/>
      </c>
      <c r="L124" s="1413"/>
      <c r="M124" s="1376" t="str">
        <f>IF(COUNT(K124)=0,"",(K124*L124))</f>
        <v/>
      </c>
      <c r="N124" s="1376"/>
      <c r="O124" s="1376" t="str">
        <f>IF(COUNT(M124)=0,"",IF(S111="","",(M124*S111)))</f>
        <v/>
      </c>
      <c r="P124" s="1373"/>
      <c r="Q124" s="3387"/>
      <c r="R124" s="2338"/>
    </row>
    <row r="125" spans="1:23" ht="15" customHeight="1">
      <c r="A125" s="88" t="s">
        <v>3764</v>
      </c>
      <c r="B125" s="4325" t="s">
        <v>1390</v>
      </c>
      <c r="C125" s="3350"/>
      <c r="D125" s="4327"/>
      <c r="E125" s="4329" t="s">
        <v>1527</v>
      </c>
      <c r="F125" s="4338" t="s">
        <v>1604</v>
      </c>
      <c r="G125" s="4331" t="s">
        <v>1568</v>
      </c>
      <c r="H125" s="4331" t="s">
        <v>1574</v>
      </c>
      <c r="I125" s="1572" t="s">
        <v>1559</v>
      </c>
      <c r="J125" s="1294" t="s">
        <v>1560</v>
      </c>
      <c r="K125" s="1294" t="s">
        <v>1569</v>
      </c>
      <c r="L125" s="4333" t="s">
        <v>3765</v>
      </c>
      <c r="M125" s="4323" t="s">
        <v>1571</v>
      </c>
      <c r="N125" s="4323" t="s">
        <v>1776</v>
      </c>
      <c r="O125" s="3347" t="s">
        <v>1563</v>
      </c>
      <c r="P125" s="1566" t="s">
        <v>1562</v>
      </c>
      <c r="Q125" s="3389"/>
      <c r="R125" s="1699" t="s">
        <v>1327</v>
      </c>
      <c r="S125" s="17"/>
      <c r="T125" s="17"/>
      <c r="U125" s="17"/>
      <c r="V125" s="16"/>
    </row>
    <row r="126" spans="1:23">
      <c r="A126" s="1320" t="s">
        <v>2800</v>
      </c>
      <c r="B126" s="4326"/>
      <c r="C126" s="3351"/>
      <c r="D126" s="4328"/>
      <c r="E126" s="4330"/>
      <c r="F126" s="4338"/>
      <c r="G126" s="4332"/>
      <c r="H126" s="4332"/>
      <c r="I126" s="1345">
        <v>4587.2</v>
      </c>
      <c r="J126" s="1860">
        <v>1.76E-4</v>
      </c>
      <c r="K126" s="1307">
        <f>I126*J126</f>
        <v>0.80734719999999993</v>
      </c>
      <c r="L126" s="4334"/>
      <c r="M126" s="4324"/>
      <c r="N126" s="4324"/>
      <c r="O126" s="1298">
        <f>SUM(O128:O139)</f>
        <v>147.17825999999997</v>
      </c>
      <c r="P126" s="1698">
        <f>O126*K126</f>
        <v>118.82395611187196</v>
      </c>
      <c r="Q126" s="3390"/>
      <c r="R126" s="1721">
        <f>SUM(P128:P139)</f>
        <v>118.82395611187201</v>
      </c>
      <c r="S126" s="17"/>
      <c r="T126" s="17"/>
      <c r="U126" s="17"/>
      <c r="V126" s="16"/>
    </row>
    <row r="127" spans="1:23">
      <c r="D127" s="1367"/>
      <c r="E127" s="2121"/>
      <c r="F127" s="1568" t="s">
        <v>1</v>
      </c>
      <c r="G127" s="1389"/>
      <c r="H127" s="1389"/>
      <c r="I127" s="1554"/>
      <c r="J127" s="1367"/>
      <c r="K127" s="1389" t="str">
        <f>IF(COUNT(G127:I127)=0,"",(SUM(G127:I127)/COUNT(G127:I127)))</f>
        <v/>
      </c>
      <c r="L127" s="1367"/>
      <c r="M127" s="1367" t="str">
        <f>IF(COUNT(K127)=0,"",(K127*L127))</f>
        <v/>
      </c>
      <c r="N127" s="1367"/>
      <c r="O127" s="1389"/>
      <c r="P127" s="1450"/>
      <c r="Q127" s="3387"/>
      <c r="R127" s="3363"/>
      <c r="S127" s="1173"/>
      <c r="T127" s="16"/>
      <c r="U127" s="16"/>
      <c r="V127" s="1173"/>
    </row>
    <row r="128" spans="1:23">
      <c r="D128" s="1370" t="s">
        <v>1394</v>
      </c>
      <c r="E128" s="2122" t="s">
        <v>1577</v>
      </c>
      <c r="F128" s="1384" t="s">
        <v>1614</v>
      </c>
      <c r="G128" s="1567">
        <v>7.4999999999999997E-2</v>
      </c>
      <c r="H128" s="1567"/>
      <c r="I128" s="1299"/>
      <c r="J128" s="1300"/>
      <c r="K128" s="1307">
        <f>G128*K126</f>
        <v>6.0551039999999993E-2</v>
      </c>
      <c r="L128" s="1335">
        <f>K128*$K$64</f>
        <v>0</v>
      </c>
      <c r="M128" s="1302">
        <v>92.54</v>
      </c>
      <c r="N128" s="1700"/>
      <c r="O128" s="1290">
        <f>G128*M128</f>
        <v>6.9405000000000001</v>
      </c>
      <c r="P128" s="1332">
        <f>M128*K128</f>
        <v>5.6033932416000001</v>
      </c>
      <c r="Q128" s="3391"/>
      <c r="R128" s="3363"/>
      <c r="S128" s="16"/>
      <c r="T128" s="16"/>
      <c r="U128" s="16"/>
      <c r="V128" s="16"/>
    </row>
    <row r="129" spans="1:22">
      <c r="D129" s="1370" t="s">
        <v>1395</v>
      </c>
      <c r="E129" s="2122" t="s">
        <v>1527</v>
      </c>
      <c r="F129" s="1384" t="s">
        <v>1613</v>
      </c>
      <c r="G129" s="1567">
        <v>1</v>
      </c>
      <c r="H129" s="1567"/>
      <c r="I129" s="1299"/>
      <c r="J129" s="1300"/>
      <c r="K129" s="1307">
        <f>G129*K126</f>
        <v>0.80734719999999993</v>
      </c>
      <c r="L129" s="1335">
        <f>K129*$K$64</f>
        <v>0</v>
      </c>
      <c r="M129" s="1302">
        <v>26.46</v>
      </c>
      <c r="N129" s="1700"/>
      <c r="O129" s="1290">
        <f>G129*M129</f>
        <v>26.46</v>
      </c>
      <c r="P129" s="1332">
        <f>M129*K129</f>
        <v>21.362406911999997</v>
      </c>
      <c r="Q129" s="3391"/>
      <c r="R129" s="3363"/>
      <c r="S129" s="16"/>
      <c r="T129" s="16"/>
      <c r="U129" s="16"/>
      <c r="V129" s="16"/>
    </row>
    <row r="130" spans="1:22">
      <c r="D130" s="1370"/>
      <c r="E130" s="2122"/>
      <c r="F130" s="1384"/>
      <c r="G130" s="1567"/>
      <c r="H130" s="1567"/>
      <c r="I130" s="1299"/>
      <c r="J130" s="1300"/>
      <c r="K130" s="1307" t="str">
        <f>IF(COUNT(G130:J130)=0,"",(SUM(G130:J130)/COUNT(G130:J130)))</f>
        <v/>
      </c>
      <c r="L130" s="1335"/>
      <c r="M130" s="1302" t="str">
        <f t="shared" ref="M130:M131" si="4">IF(COUNT(K130)=0,"",(K130*L130))</f>
        <v/>
      </c>
      <c r="N130" s="1700"/>
      <c r="O130" s="1290"/>
      <c r="P130" s="1332"/>
      <c r="Q130" s="3391"/>
      <c r="R130" s="3363"/>
      <c r="S130" s="16"/>
      <c r="T130" s="16"/>
      <c r="U130" s="16"/>
      <c r="V130" s="16"/>
    </row>
    <row r="131" spans="1:22">
      <c r="D131" s="1370"/>
      <c r="E131" s="2122"/>
      <c r="F131" s="1384"/>
      <c r="G131" s="1567"/>
      <c r="H131" s="1567"/>
      <c r="I131" s="1299"/>
      <c r="J131" s="1300"/>
      <c r="K131" s="1307" t="str">
        <f>IF(COUNT(G131:J131)=0,"",(SUM(G131:J131)/COUNT(G131:J131)))</f>
        <v/>
      </c>
      <c r="L131" s="1335"/>
      <c r="M131" s="1302" t="str">
        <f t="shared" si="4"/>
        <v/>
      </c>
      <c r="N131" s="1700"/>
      <c r="O131" s="1290"/>
      <c r="P131" s="1332"/>
      <c r="Q131" s="3391"/>
      <c r="R131" s="3363"/>
      <c r="S131" s="16"/>
      <c r="T131" s="16"/>
      <c r="U131" s="16"/>
      <c r="V131" s="16"/>
    </row>
    <row r="132" spans="1:22">
      <c r="D132" s="1359"/>
      <c r="E132" s="1858"/>
      <c r="F132" s="1360" t="s">
        <v>2</v>
      </c>
      <c r="G132" s="1362"/>
      <c r="H132" s="1386"/>
      <c r="I132" s="1380"/>
      <c r="J132" s="1381"/>
      <c r="K132" s="1381" t="str">
        <f>IF(COUNT(G132:J132)=0,"",(SUM(G132:J132)/COUNT(G132:J132)))</f>
        <v/>
      </c>
      <c r="L132" s="1458"/>
      <c r="M132" s="1362"/>
      <c r="N132" s="1362"/>
      <c r="O132" s="1362" t="str">
        <f>IF(COUNT(M132)=0,"",IF(S127="","",(M132*S127)))</f>
        <v/>
      </c>
      <c r="P132" s="1359"/>
      <c r="Q132" s="3387"/>
      <c r="R132" s="3363"/>
      <c r="S132" s="16"/>
      <c r="T132" s="16"/>
      <c r="U132" s="16"/>
      <c r="V132" s="16"/>
    </row>
    <row r="133" spans="1:22">
      <c r="D133" s="1363" t="s">
        <v>1077</v>
      </c>
      <c r="E133" s="2125" t="s">
        <v>1508</v>
      </c>
      <c r="F133" s="1385" t="s">
        <v>1539</v>
      </c>
      <c r="G133" s="1386">
        <v>0.32200000000000001</v>
      </c>
      <c r="H133" s="1386"/>
      <c r="I133" s="1299"/>
      <c r="J133" s="1300"/>
      <c r="K133" s="1307">
        <f>G133*K126</f>
        <v>0.2599657984</v>
      </c>
      <c r="L133" s="1335">
        <f>K133*$K$64</f>
        <v>0</v>
      </c>
      <c r="M133" s="1302">
        <v>19.23</v>
      </c>
      <c r="N133" s="1700"/>
      <c r="O133" s="1290">
        <f>G133*M133</f>
        <v>6.1920600000000006</v>
      </c>
      <c r="P133" s="1332">
        <f>M133*K133</f>
        <v>4.9991423032320004</v>
      </c>
      <c r="Q133" s="3391"/>
      <c r="R133" s="3363"/>
      <c r="S133" s="16"/>
      <c r="T133" s="16"/>
      <c r="U133" s="16"/>
      <c r="V133" s="16"/>
    </row>
    <row r="134" spans="1:22">
      <c r="D134" s="1363" t="s">
        <v>1067</v>
      </c>
      <c r="E134" s="2125" t="s">
        <v>1508</v>
      </c>
      <c r="F134" s="1385" t="s">
        <v>1512</v>
      </c>
      <c r="G134" s="1386">
        <v>0.59</v>
      </c>
      <c r="H134" s="1386"/>
      <c r="I134" s="1299"/>
      <c r="J134" s="1300"/>
      <c r="K134" s="1307">
        <f>G134*K126</f>
        <v>0.47633484799999992</v>
      </c>
      <c r="L134" s="1335">
        <f>K134*$K$64</f>
        <v>0</v>
      </c>
      <c r="M134" s="1302">
        <v>18.28</v>
      </c>
      <c r="N134" s="1700"/>
      <c r="O134" s="1290">
        <f>G134*M134</f>
        <v>10.7852</v>
      </c>
      <c r="P134" s="1332">
        <f>M134*K134</f>
        <v>8.7074010214399991</v>
      </c>
      <c r="Q134" s="3391"/>
      <c r="R134" s="3363"/>
      <c r="S134" s="16"/>
      <c r="T134" s="16"/>
      <c r="U134" s="16"/>
      <c r="V134" s="16"/>
    </row>
    <row r="135" spans="1:22">
      <c r="D135" s="1363"/>
      <c r="E135" s="2125"/>
      <c r="F135" s="1385"/>
      <c r="G135" s="1386"/>
      <c r="H135" s="1386"/>
      <c r="I135" s="1299"/>
      <c r="J135" s="1300"/>
      <c r="K135" s="1307" t="str">
        <f>IF(COUNT(G135:J135)=0,"",(SUM(G135:J135)/COUNT(G135:J135)))</f>
        <v/>
      </c>
      <c r="L135" s="1335"/>
      <c r="M135" s="1302" t="str">
        <f>IF(COUNT(K135)=0,"",(K135*L135))</f>
        <v/>
      </c>
      <c r="N135" s="1700"/>
      <c r="O135" s="1290" t="str">
        <f>IF(COUNT(M135)=0,"",IF(S127="","",(M135*S127)))</f>
        <v/>
      </c>
      <c r="P135" s="1332"/>
      <c r="Q135" s="3391"/>
      <c r="R135" s="3363"/>
      <c r="S135" s="16"/>
      <c r="T135" s="16"/>
      <c r="U135" s="16"/>
      <c r="V135" s="16"/>
    </row>
    <row r="136" spans="1:22" ht="23.5">
      <c r="A136" s="2410" t="s">
        <v>2869</v>
      </c>
      <c r="B136" s="1982"/>
      <c r="D136" s="1373"/>
      <c r="E136" s="2123"/>
      <c r="F136" s="1374" t="s">
        <v>3</v>
      </c>
      <c r="G136" s="1376"/>
      <c r="H136" s="1379"/>
      <c r="I136" s="1382"/>
      <c r="J136" s="1383"/>
      <c r="K136" s="1383" t="str">
        <f>IF(COUNT(G136:J136)=0,"",(SUM(G136:J136)/COUNT(G136:J136)))</f>
        <v/>
      </c>
      <c r="L136" s="1413"/>
      <c r="M136" s="1376" t="str">
        <f>IF(COUNT(K136)=0,"",(K136*L136))</f>
        <v/>
      </c>
      <c r="N136" s="1376"/>
      <c r="O136" s="1376" t="str">
        <f>IF(COUNT(M136)=0,"",IF(S127="","",(M136*S127)))</f>
        <v/>
      </c>
      <c r="P136" s="1373"/>
      <c r="Q136" s="3387"/>
      <c r="R136" s="3363"/>
      <c r="S136" s="16"/>
      <c r="T136" s="16"/>
      <c r="U136" s="16"/>
      <c r="V136" s="16"/>
    </row>
    <row r="137" spans="1:22" ht="23.5">
      <c r="A137" s="2409" t="s">
        <v>2870</v>
      </c>
      <c r="B137" s="2407"/>
      <c r="D137" s="2411" t="s">
        <v>1396</v>
      </c>
      <c r="E137" s="2412" t="s">
        <v>1508</v>
      </c>
      <c r="F137" s="2413" t="s">
        <v>1615</v>
      </c>
      <c r="G137" s="2406">
        <v>0.32200000000000001</v>
      </c>
      <c r="H137" s="1379"/>
      <c r="I137" s="1299"/>
      <c r="J137" s="1300"/>
      <c r="K137" s="1307">
        <f>G137*K126</f>
        <v>0.2599657984</v>
      </c>
      <c r="L137" s="1335">
        <f>K137*$K$64</f>
        <v>0</v>
      </c>
      <c r="M137" s="2414">
        <v>280</v>
      </c>
      <c r="N137" s="1700"/>
      <c r="O137" s="1290">
        <f>G137*M137</f>
        <v>90.16</v>
      </c>
      <c r="P137" s="1332">
        <f>M137*K137</f>
        <v>72.790423552000007</v>
      </c>
      <c r="Q137" s="3391"/>
      <c r="R137" s="2337"/>
      <c r="S137" s="16"/>
      <c r="T137" s="16"/>
      <c r="U137" s="16"/>
      <c r="V137" s="16"/>
    </row>
    <row r="138" spans="1:22">
      <c r="D138" s="2411" t="s">
        <v>1079</v>
      </c>
      <c r="E138" s="2412" t="s">
        <v>1504</v>
      </c>
      <c r="F138" s="2413" t="s">
        <v>2867</v>
      </c>
      <c r="G138" s="2406">
        <v>1</v>
      </c>
      <c r="H138" s="1379"/>
      <c r="I138" s="1299"/>
      <c r="J138" s="1300"/>
      <c r="K138" s="1307">
        <f>G138*K126</f>
        <v>0.80734719999999993</v>
      </c>
      <c r="L138" s="1335">
        <f>K138*$K$64</f>
        <v>0</v>
      </c>
      <c r="M138" s="2414">
        <v>6.45</v>
      </c>
      <c r="N138" s="1700"/>
      <c r="O138" s="1290">
        <f>G138*M138</f>
        <v>6.45</v>
      </c>
      <c r="P138" s="1332">
        <f>M138*K138</f>
        <v>5.20738944</v>
      </c>
      <c r="Q138" s="3391"/>
      <c r="R138" s="3363"/>
      <c r="S138" s="16"/>
      <c r="T138" s="16"/>
      <c r="U138" s="16"/>
      <c r="V138" s="16"/>
    </row>
    <row r="139" spans="1:22" ht="23.5">
      <c r="A139" s="2409" t="s">
        <v>2868</v>
      </c>
      <c r="B139" s="2408"/>
      <c r="D139" s="1377" t="s">
        <v>1080</v>
      </c>
      <c r="E139" s="2124" t="s">
        <v>1508</v>
      </c>
      <c r="F139" s="1378" t="s">
        <v>1511</v>
      </c>
      <c r="G139" s="1379">
        <v>0.03</v>
      </c>
      <c r="H139" s="1379"/>
      <c r="I139" s="1299"/>
      <c r="J139" s="1300"/>
      <c r="K139" s="1307">
        <f>G139*K126</f>
        <v>2.4220415999999998E-2</v>
      </c>
      <c r="L139" s="1335">
        <f>K139*$K$64</f>
        <v>0</v>
      </c>
      <c r="M139" s="1302">
        <v>6.35</v>
      </c>
      <c r="N139" s="1700"/>
      <c r="O139" s="1290">
        <f>G139*M139</f>
        <v>0.19049999999999997</v>
      </c>
      <c r="P139" s="1332">
        <f>M139*K139</f>
        <v>0.15379964159999998</v>
      </c>
      <c r="Q139" s="3391"/>
      <c r="R139" s="3363"/>
      <c r="S139" s="16"/>
      <c r="T139" s="16"/>
      <c r="U139" s="16"/>
      <c r="V139" s="16"/>
    </row>
    <row r="140" spans="1:22" ht="21">
      <c r="A140" s="2405" t="s">
        <v>2865</v>
      </c>
      <c r="B140" s="1982"/>
      <c r="D140" s="1373"/>
      <c r="E140" s="2123"/>
      <c r="F140" s="1374"/>
      <c r="G140" s="1376"/>
      <c r="H140" s="1376"/>
      <c r="I140" s="1382"/>
      <c r="J140" s="1383"/>
      <c r="K140" s="1383" t="str">
        <f>IF(COUNT(G140:J140)=0,"",(SUM(G140:J140)/COUNT(G140:J140)))</f>
        <v/>
      </c>
      <c r="L140" s="1413"/>
      <c r="M140" s="1376" t="str">
        <f>IF(COUNT(K140)=0,"",(K140*L140))</f>
        <v/>
      </c>
      <c r="N140" s="1376"/>
      <c r="O140" s="1376" t="str">
        <f>IF(COUNT(M140)=0,"",IF(S127="","",(M140*S127)))</f>
        <v/>
      </c>
      <c r="P140" s="1373"/>
      <c r="Q140" s="3387"/>
      <c r="R140" s="3363"/>
      <c r="S140" s="22"/>
      <c r="T140" s="22"/>
      <c r="U140" s="22"/>
      <c r="V140" s="22"/>
    </row>
    <row r="141" spans="1:22">
      <c r="F141" s="1"/>
      <c r="G141" s="1"/>
      <c r="H141" s="1"/>
      <c r="I141" s="199"/>
      <c r="J141" s="1"/>
      <c r="K141" s="1"/>
      <c r="L141" s="199"/>
      <c r="M141" s="1"/>
      <c r="N141" s="1"/>
    </row>
    <row r="142" spans="1:22" ht="15" thickBot="1">
      <c r="F142" s="628"/>
      <c r="G142" s="628"/>
      <c r="H142" s="629"/>
      <c r="I142" s="630"/>
      <c r="J142" s="629"/>
      <c r="K142" s="630"/>
      <c r="L142" s="630"/>
      <c r="M142" s="630"/>
      <c r="N142" s="630"/>
      <c r="O142" s="19"/>
      <c r="P142" s="19"/>
      <c r="Q142" s="3387"/>
      <c r="R142" s="2338"/>
    </row>
    <row r="143" spans="1:22" ht="25.5" customHeight="1" thickBot="1">
      <c r="A143" s="3375"/>
      <c r="B143" s="3376"/>
      <c r="C143" s="3376"/>
      <c r="D143" s="3376"/>
      <c r="E143" s="3376"/>
      <c r="F143" s="3376" t="s">
        <v>888</v>
      </c>
      <c r="G143" s="3376"/>
      <c r="H143" s="3376"/>
      <c r="I143" s="3376"/>
      <c r="J143" s="3376"/>
      <c r="K143" s="3376"/>
      <c r="L143" s="3376"/>
      <c r="M143" s="3376"/>
      <c r="N143" s="3376"/>
      <c r="O143" s="3376"/>
      <c r="P143" s="3376"/>
      <c r="Q143" s="3384"/>
      <c r="R143" s="4238"/>
      <c r="S143" s="1553"/>
      <c r="T143" s="1553"/>
    </row>
    <row r="144" spans="1:22" s="22" customFormat="1" ht="31.5" customHeight="1">
      <c r="A144" s="4238"/>
      <c r="B144" s="4238"/>
      <c r="C144" s="4238"/>
      <c r="D144" s="4238"/>
      <c r="E144" s="4238"/>
      <c r="F144" s="4238"/>
      <c r="G144" s="4238"/>
      <c r="H144" s="4238"/>
      <c r="I144" s="4238"/>
      <c r="J144" s="4238"/>
      <c r="K144" s="4238"/>
      <c r="L144" s="4238"/>
      <c r="M144" s="4238"/>
      <c r="N144" s="4238"/>
      <c r="O144" s="4238"/>
      <c r="P144" s="4238"/>
      <c r="Q144" s="4241" t="s">
        <v>3413</v>
      </c>
      <c r="R144" s="4238"/>
      <c r="S144" s="1553"/>
      <c r="T144" s="1553"/>
    </row>
    <row r="145" spans="1:20" ht="25.5" customHeight="1" thickBot="1">
      <c r="F145" s="1"/>
      <c r="G145" s="1"/>
      <c r="H145" s="1"/>
      <c r="I145" s="199"/>
      <c r="J145" s="1"/>
      <c r="K145" s="1"/>
      <c r="L145" s="199"/>
      <c r="M145" s="1"/>
      <c r="N145" s="1"/>
      <c r="Q145" s="4242">
        <f>SUM(Q149:Q1147)</f>
        <v>0</v>
      </c>
    </row>
    <row r="146" spans="1:20" s="22" customFormat="1" ht="25.5" customHeight="1">
      <c r="E146" s="2120"/>
      <c r="F146" s="117"/>
      <c r="G146" s="117"/>
      <c r="H146" s="117"/>
      <c r="I146" s="3336"/>
      <c r="J146" s="117"/>
      <c r="K146" s="117"/>
      <c r="L146" s="3336"/>
      <c r="M146" s="117"/>
      <c r="N146" s="117"/>
      <c r="Q146" s="4116"/>
      <c r="R146" s="2344"/>
    </row>
    <row r="147" spans="1:20" s="2327" customFormat="1" ht="19.5" customHeight="1">
      <c r="A147" s="4455" t="s">
        <v>38</v>
      </c>
      <c r="B147" s="4456"/>
      <c r="C147" s="4456"/>
      <c r="D147" s="4456"/>
      <c r="E147" s="2320" t="s">
        <v>1504</v>
      </c>
      <c r="F147" s="2321" t="s">
        <v>1572</v>
      </c>
      <c r="G147" s="2333"/>
      <c r="H147" s="2322"/>
      <c r="I147" s="2323"/>
      <c r="J147" s="2322"/>
      <c r="K147" s="2322"/>
      <c r="L147" s="2323"/>
      <c r="M147" s="2322"/>
      <c r="N147" s="2322"/>
      <c r="O147" s="2322"/>
      <c r="P147" s="2324"/>
      <c r="R147" s="2325"/>
      <c r="S147" s="2325"/>
    </row>
    <row r="148" spans="1:20" s="16" customFormat="1" ht="19.5" customHeight="1">
      <c r="A148" s="1304"/>
      <c r="B148" s="1304"/>
      <c r="C148" s="1304"/>
      <c r="D148" s="1304"/>
      <c r="E148" s="1304"/>
      <c r="F148" s="1296"/>
      <c r="G148" s="1296"/>
      <c r="H148" s="1296"/>
      <c r="I148" s="1558"/>
      <c r="J148" s="1296"/>
      <c r="K148" s="1296"/>
      <c r="L148" s="1558"/>
      <c r="M148" s="1296"/>
      <c r="N148" s="1296"/>
      <c r="O148" s="1296"/>
      <c r="P148" s="1296"/>
      <c r="Q148" s="3386"/>
      <c r="R148" s="1296"/>
      <c r="S148" s="1296"/>
    </row>
    <row r="149" spans="1:20">
      <c r="A149" s="4393" t="s">
        <v>162</v>
      </c>
      <c r="B149" s="4394"/>
      <c r="C149" s="4394"/>
      <c r="D149" s="4395"/>
      <c r="E149" s="4396" t="s">
        <v>1549</v>
      </c>
      <c r="F149" s="4397" t="s">
        <v>1550</v>
      </c>
      <c r="G149" s="4399" t="s">
        <v>1566</v>
      </c>
      <c r="H149" s="4400"/>
      <c r="I149" s="4400"/>
      <c r="J149" s="4400"/>
      <c r="K149" s="4400"/>
      <c r="L149" s="4401"/>
      <c r="M149" s="4529" t="s">
        <v>1567</v>
      </c>
      <c r="N149" s="4530"/>
      <c r="O149" s="4530"/>
      <c r="P149" s="4531"/>
    </row>
    <row r="150" spans="1:20" ht="21.75" customHeight="1" thickBot="1">
      <c r="A150" s="1324" t="s">
        <v>3766</v>
      </c>
      <c r="B150" s="1325" t="s">
        <v>1513</v>
      </c>
      <c r="C150" s="1326" t="s">
        <v>1573</v>
      </c>
      <c r="D150" s="1323" t="s">
        <v>1514</v>
      </c>
      <c r="E150" s="4396"/>
      <c r="F150" s="4398"/>
      <c r="G150" s="4402"/>
      <c r="H150" s="4403"/>
      <c r="I150" s="4403"/>
      <c r="J150" s="4403"/>
      <c r="K150" s="4403"/>
      <c r="L150" s="4404"/>
      <c r="M150" s="4434"/>
      <c r="N150" s="4435"/>
      <c r="O150" s="4435"/>
      <c r="P150" s="4436"/>
      <c r="Q150" s="3393"/>
    </row>
    <row r="151" spans="1:20" ht="35.25" customHeight="1">
      <c r="A151" s="4374" t="s">
        <v>2803</v>
      </c>
      <c r="B151" s="4375"/>
      <c r="C151" s="4375"/>
      <c r="D151" s="4376"/>
      <c r="E151" s="4380" t="s">
        <v>1504</v>
      </c>
      <c r="F151" s="4382" t="s">
        <v>1548</v>
      </c>
      <c r="G151" s="4493" t="s">
        <v>294</v>
      </c>
      <c r="H151" s="4493"/>
      <c r="I151" s="1665" t="s">
        <v>1565</v>
      </c>
      <c r="J151" s="3348" t="s">
        <v>1575</v>
      </c>
      <c r="K151" s="4493" t="s">
        <v>289</v>
      </c>
      <c r="L151" s="4406"/>
      <c r="M151" s="4445" t="s">
        <v>3349</v>
      </c>
      <c r="N151" s="4527"/>
      <c r="O151" s="4527"/>
      <c r="P151" s="4447"/>
      <c r="Q151" s="4244" t="s">
        <v>3922</v>
      </c>
    </row>
    <row r="152" spans="1:20" ht="21" customHeight="1" thickBot="1">
      <c r="A152" s="4377"/>
      <c r="B152" s="4378"/>
      <c r="C152" s="4378"/>
      <c r="D152" s="4379"/>
      <c r="E152" s="4381"/>
      <c r="F152" s="4383"/>
      <c r="G152" s="4451">
        <f>IF('Seleccion proyecto HEREVEA02'!G16="Sustitución y reposición",'Seleccion proyecto HEREVEA02'!E16,0)</f>
        <v>0</v>
      </c>
      <c r="H152" s="4452"/>
      <c r="I152" s="3353">
        <f>IF('Seleccion proyecto HEREVEA02'!H16=0,0,IF('Seleccion proyecto HEREVEA02'!H16="1 a 30",0.3,IF('Seleccion proyecto HEREVEA02'!H16="31 a 60",0.6,IF('Seleccion proyecto HEREVEA02'!H16="61 a 100",1))))</f>
        <v>0</v>
      </c>
      <c r="J152" s="1301">
        <f>'Seleccion proyecto HEREVEA02'!L8</f>
        <v>11100.968999999999</v>
      </c>
      <c r="K152" s="4519">
        <f>G152*I152*J152</f>
        <v>0</v>
      </c>
      <c r="L152" s="4534"/>
      <c r="M152" s="4360">
        <f>P154+P169+P195+P223+P250+P270</f>
        <v>688.66046752950501</v>
      </c>
      <c r="N152" s="4528"/>
      <c r="O152" s="4528"/>
      <c r="P152" s="4362"/>
      <c r="Q152" s="4245">
        <f>M152*K152</f>
        <v>0</v>
      </c>
      <c r="R152" s="2341" t="s">
        <v>2799</v>
      </c>
    </row>
    <row r="153" spans="1:20" ht="15" customHeight="1">
      <c r="A153" s="88" t="s">
        <v>3764</v>
      </c>
      <c r="B153" s="4367" t="s">
        <v>1496</v>
      </c>
      <c r="C153" s="3354"/>
      <c r="D153" s="4368"/>
      <c r="E153" s="4329" t="s">
        <v>1507</v>
      </c>
      <c r="F153" s="4338" t="s">
        <v>1515</v>
      </c>
      <c r="G153" s="4331" t="s">
        <v>1568</v>
      </c>
      <c r="H153" s="4331" t="s">
        <v>1574</v>
      </c>
      <c r="I153" s="1572" t="s">
        <v>1559</v>
      </c>
      <c r="J153" s="1294" t="s">
        <v>1560</v>
      </c>
      <c r="K153" s="1294" t="s">
        <v>1569</v>
      </c>
      <c r="L153" s="4532" t="s">
        <v>3765</v>
      </c>
      <c r="M153" s="4324" t="s">
        <v>1571</v>
      </c>
      <c r="N153" s="4366" t="s">
        <v>1776</v>
      </c>
      <c r="O153" s="3343" t="s">
        <v>1563</v>
      </c>
      <c r="P153" s="3349" t="s">
        <v>1562</v>
      </c>
      <c r="Q153" s="3389"/>
      <c r="R153" s="1699" t="s">
        <v>1327</v>
      </c>
      <c r="S153" s="17"/>
    </row>
    <row r="154" spans="1:20" ht="18.75" customHeight="1">
      <c r="A154" s="1320" t="s">
        <v>2803</v>
      </c>
      <c r="B154" s="4369"/>
      <c r="C154" s="3351"/>
      <c r="D154" s="4328"/>
      <c r="E154" s="4330"/>
      <c r="F154" s="4338"/>
      <c r="G154" s="4332"/>
      <c r="H154" s="4332"/>
      <c r="I154" s="1345">
        <v>8.6999999999999993</v>
      </c>
      <c r="J154" s="1307">
        <v>0.185</v>
      </c>
      <c r="K154" s="1307">
        <f>I154*J154</f>
        <v>1.6094999999999999</v>
      </c>
      <c r="L154" s="4533"/>
      <c r="M154" s="4335"/>
      <c r="N154" s="4324"/>
      <c r="O154" s="1298">
        <f>SUM(O156:O166)</f>
        <v>80.073490000000007</v>
      </c>
      <c r="P154" s="1337">
        <f>O154*K154</f>
        <v>128.87828215499999</v>
      </c>
      <c r="Q154" s="3390"/>
      <c r="R154" s="1721">
        <f>P160+P164+P165+P166</f>
        <v>128.87828215500002</v>
      </c>
      <c r="S154" s="16"/>
      <c r="T154" s="16"/>
    </row>
    <row r="155" spans="1:20">
      <c r="A155" s="1320"/>
      <c r="B155" s="22"/>
      <c r="C155" s="1327"/>
      <c r="D155" s="1367"/>
      <c r="E155" s="2121"/>
      <c r="F155" s="1389" t="s">
        <v>1</v>
      </c>
      <c r="G155" s="1369"/>
      <c r="H155" s="1369"/>
      <c r="I155" s="1409"/>
      <c r="J155" s="1390"/>
      <c r="K155" s="1391"/>
      <c r="L155" s="1559"/>
      <c r="M155" s="1369"/>
      <c r="N155" s="1369"/>
      <c r="O155" s="1369"/>
      <c r="P155" s="1392"/>
      <c r="Q155" s="3395"/>
      <c r="R155" s="1173"/>
      <c r="S155" s="17"/>
      <c r="T155" s="17"/>
    </row>
    <row r="156" spans="1:20">
      <c r="A156" s="1042"/>
      <c r="C156" s="1042"/>
      <c r="D156" s="1422"/>
      <c r="E156" s="2126"/>
      <c r="F156" s="1418"/>
      <c r="G156" s="1372"/>
      <c r="H156" s="1372"/>
      <c r="I156" s="198"/>
      <c r="J156" s="6"/>
      <c r="K156" s="1307" t="str">
        <f t="shared" ref="K156:K158" si="5">IF(COUNT(I156)=0,"",(I156*J156))</f>
        <v/>
      </c>
      <c r="L156" s="1335"/>
      <c r="M156" s="1499"/>
      <c r="N156" s="1701"/>
      <c r="O156" s="1290"/>
      <c r="P156" s="1332"/>
      <c r="Q156" s="3391"/>
      <c r="R156" s="2338"/>
      <c r="S156" s="105" t="str">
        <f>IF('Seleccion proyecto HEREVEA02'!G16="Sustitución y reposición",'Seleccion proyecto HEREVEA02'!E16,"")</f>
        <v/>
      </c>
      <c r="T156" s="105" t="str">
        <f>IF('Seleccion proyecto HEREVEA02'!G16="Sustitución y reposición",'Seleccion proyecto HEREVEA02'!E16,"")</f>
        <v/>
      </c>
    </row>
    <row r="157" spans="1:20">
      <c r="A157" s="1042"/>
      <c r="C157" s="1042"/>
      <c r="D157" s="1422"/>
      <c r="E157" s="2126"/>
      <c r="F157" s="1418"/>
      <c r="G157" s="1372"/>
      <c r="H157" s="1372"/>
      <c r="I157" s="198" t="str">
        <f ca="1">IF(COUNT(G157:O157)=0,"",(SUM(G157:O157)/COUNT(G157:O157)))</f>
        <v/>
      </c>
      <c r="J157" s="6"/>
      <c r="K157" s="1307" t="str">
        <f t="shared" ca="1" si="5"/>
        <v/>
      </c>
      <c r="L157" s="1335"/>
      <c r="M157" s="1499"/>
      <c r="N157" s="1701"/>
      <c r="O157" s="1290"/>
      <c r="P157" s="1332"/>
      <c r="Q157" s="3391"/>
      <c r="R157" s="2338"/>
      <c r="S157" t="str">
        <f>IF('Seleccion proyecto HEREVEA02'!G16="Sustitución y reposición",'Seleccion proyecto HEREVEA02'!F16,"")</f>
        <v/>
      </c>
    </row>
    <row r="158" spans="1:20">
      <c r="A158" s="1042"/>
      <c r="C158" s="1042"/>
      <c r="D158" s="1422"/>
      <c r="E158" s="2126"/>
      <c r="F158" s="1418"/>
      <c r="G158" s="1372"/>
      <c r="H158" s="1372"/>
      <c r="I158" s="198" t="str">
        <f ca="1">IF(COUNT(G158:O158)=0,"",(SUM(G158:O158)/COUNT(G158:O158)))</f>
        <v/>
      </c>
      <c r="J158" s="6"/>
      <c r="K158" s="1307" t="str">
        <f t="shared" ca="1" si="5"/>
        <v/>
      </c>
      <c r="L158" s="1335"/>
      <c r="M158" s="1499"/>
      <c r="N158" s="1701"/>
      <c r="O158" s="1290"/>
      <c r="P158" s="1332"/>
      <c r="Q158" s="3391"/>
      <c r="R158" s="2338"/>
    </row>
    <row r="159" spans="1:20">
      <c r="A159" s="1042"/>
      <c r="C159" s="1042"/>
      <c r="D159" s="1359"/>
      <c r="E159" s="1858"/>
      <c r="F159" s="1360" t="s">
        <v>2</v>
      </c>
      <c r="G159" s="1362"/>
      <c r="H159" s="1362"/>
      <c r="I159" s="1380"/>
      <c r="J159" s="1381"/>
      <c r="K159" s="1381"/>
      <c r="L159" s="1458"/>
      <c r="M159" s="1362"/>
      <c r="N159" s="1362"/>
      <c r="O159" s="1362"/>
      <c r="P159" s="1359"/>
      <c r="Q159" s="3387"/>
      <c r="R159" s="3363"/>
    </row>
    <row r="160" spans="1:20">
      <c r="A160" s="1321"/>
      <c r="B160" s="1295"/>
      <c r="C160" s="1321"/>
      <c r="D160" s="1363" t="s">
        <v>1067</v>
      </c>
      <c r="E160" s="2125" t="s">
        <v>1508</v>
      </c>
      <c r="F160" s="1385" t="s">
        <v>1512</v>
      </c>
      <c r="G160" s="1386">
        <f>1.629+2.1</f>
        <v>3.7290000000000001</v>
      </c>
      <c r="H160" s="1386"/>
      <c r="I160" s="1299"/>
      <c r="J160" s="1300"/>
      <c r="K160" s="1307">
        <f>G160*$K$154</f>
        <v>6.0018254999999998</v>
      </c>
      <c r="L160" s="1335">
        <f>$K$152*K160</f>
        <v>0</v>
      </c>
      <c r="M160" s="1302">
        <v>18.28</v>
      </c>
      <c r="N160" s="1700"/>
      <c r="O160" s="1290">
        <f>G160*M160</f>
        <v>68.166120000000006</v>
      </c>
      <c r="P160" s="1332">
        <f>M160*K160</f>
        <v>109.71337014000001</v>
      </c>
      <c r="Q160" s="3391"/>
      <c r="R160" s="2342"/>
    </row>
    <row r="161" spans="1:21">
      <c r="A161" s="1320"/>
      <c r="B161" s="22"/>
      <c r="C161" s="1320"/>
      <c r="D161" s="1363"/>
      <c r="E161" s="2125"/>
      <c r="F161" s="1385"/>
      <c r="G161" s="1386"/>
      <c r="H161" s="1386"/>
      <c r="I161" s="1299"/>
      <c r="J161" s="1300"/>
      <c r="K161" s="1307" t="str">
        <f>IF(COUNT(I161)=0,"",(I161*J161))</f>
        <v/>
      </c>
      <c r="L161" s="1335"/>
      <c r="M161" s="1302"/>
      <c r="N161" s="1700"/>
      <c r="O161" s="1290"/>
      <c r="P161" s="1332"/>
      <c r="Q161" s="3391"/>
      <c r="R161" s="2337"/>
    </row>
    <row r="162" spans="1:21">
      <c r="A162" s="1320"/>
      <c r="B162" s="22"/>
      <c r="C162" s="1320"/>
      <c r="D162" s="1363"/>
      <c r="E162" s="2125"/>
      <c r="F162" s="1385"/>
      <c r="G162" s="1386"/>
      <c r="H162" s="1386"/>
      <c r="I162" s="1299"/>
      <c r="J162" s="1300"/>
      <c r="K162" s="1307" t="str">
        <f>IF(COUNT(I162)=0,"",(I162*J162))</f>
        <v/>
      </c>
      <c r="L162" s="1335"/>
      <c r="M162" s="1302"/>
      <c r="N162" s="1700"/>
      <c r="O162" s="1290"/>
      <c r="P162" s="1332"/>
      <c r="Q162" s="3391"/>
      <c r="R162" s="3363"/>
    </row>
    <row r="163" spans="1:21">
      <c r="A163" s="1320"/>
      <c r="B163" s="22"/>
      <c r="C163" s="1320"/>
      <c r="D163" s="1373"/>
      <c r="E163" s="2123"/>
      <c r="F163" s="1374" t="s">
        <v>3</v>
      </c>
      <c r="G163" s="1376"/>
      <c r="H163" s="1376"/>
      <c r="I163" s="1382"/>
      <c r="J163" s="1383"/>
      <c r="K163" s="1383" t="str">
        <f>IF(COUNT(I163)=0,"",(I163*J163))</f>
        <v/>
      </c>
      <c r="L163" s="1413"/>
      <c r="M163" s="1376"/>
      <c r="N163" s="1376"/>
      <c r="O163" s="1376"/>
      <c r="P163" s="1373"/>
      <c r="Q163" s="3387"/>
      <c r="R163" s="3363"/>
    </row>
    <row r="164" spans="1:21">
      <c r="A164" s="1321"/>
      <c r="B164" s="1295"/>
      <c r="C164" s="1321"/>
      <c r="D164" s="1377" t="s">
        <v>1073</v>
      </c>
      <c r="E164" s="2124" t="s">
        <v>1508</v>
      </c>
      <c r="F164" s="1378" t="s">
        <v>1509</v>
      </c>
      <c r="G164" s="1379">
        <v>5.8000000000000003E-2</v>
      </c>
      <c r="H164" s="1379"/>
      <c r="I164" s="1299"/>
      <c r="J164" s="1300"/>
      <c r="K164" s="1307">
        <f>G164*$K$154</f>
        <v>9.3351000000000003E-2</v>
      </c>
      <c r="L164" s="1335">
        <f>$K$152*K164</f>
        <v>0</v>
      </c>
      <c r="M164" s="1302">
        <v>25.6</v>
      </c>
      <c r="N164" s="1700"/>
      <c r="O164" s="1290">
        <f>G164*M164</f>
        <v>1.4848000000000001</v>
      </c>
      <c r="P164" s="1332">
        <f>M164*K164</f>
        <v>2.3897856000000002</v>
      </c>
      <c r="Q164" s="3391"/>
      <c r="R164" s="2342"/>
    </row>
    <row r="165" spans="1:21">
      <c r="A165" s="1321"/>
      <c r="B165" s="1295"/>
      <c r="C165" s="1321"/>
      <c r="D165" s="1377" t="s">
        <v>1066</v>
      </c>
      <c r="E165" s="2124" t="s">
        <v>1508</v>
      </c>
      <c r="F165" s="1378" t="s">
        <v>1510</v>
      </c>
      <c r="G165" s="1379">
        <v>1.0999999999999999E-2</v>
      </c>
      <c r="H165" s="1379"/>
      <c r="I165" s="1299"/>
      <c r="J165" s="1300"/>
      <c r="K165" s="1307">
        <f>G165*$K$154</f>
        <v>1.7704499999999998E-2</v>
      </c>
      <c r="L165" s="1335">
        <f>$K$152*K165</f>
        <v>0</v>
      </c>
      <c r="M165" s="1302">
        <v>23.87</v>
      </c>
      <c r="N165" s="1700"/>
      <c r="O165" s="1290">
        <f>G165*M165</f>
        <v>0.26256999999999997</v>
      </c>
      <c r="P165" s="1333">
        <f>M165*K165</f>
        <v>0.42260641499999996</v>
      </c>
      <c r="Q165" s="3391"/>
      <c r="R165" s="2342"/>
    </row>
    <row r="166" spans="1:21">
      <c r="A166" s="1321"/>
      <c r="B166" s="1295"/>
      <c r="C166" s="1321"/>
      <c r="D166" s="1377" t="s">
        <v>1080</v>
      </c>
      <c r="E166" s="2124" t="s">
        <v>1508</v>
      </c>
      <c r="F166" s="1378" t="s">
        <v>1511</v>
      </c>
      <c r="G166" s="1379">
        <v>1.6</v>
      </c>
      <c r="H166" s="1379"/>
      <c r="I166" s="1299"/>
      <c r="J166" s="1300"/>
      <c r="K166" s="1307">
        <f>G166*$K$154</f>
        <v>2.5752000000000002</v>
      </c>
      <c r="L166" s="1335">
        <f>$K$152*K166</f>
        <v>0</v>
      </c>
      <c r="M166" s="1302">
        <v>6.35</v>
      </c>
      <c r="N166" s="1700"/>
      <c r="O166" s="1290">
        <f>G166*M166</f>
        <v>10.16</v>
      </c>
      <c r="P166" s="1333">
        <f>M166*K166</f>
        <v>16.352519999999998</v>
      </c>
      <c r="Q166" s="3391"/>
      <c r="R166" s="2342"/>
      <c r="U166" s="1293"/>
    </row>
    <row r="167" spans="1:21">
      <c r="A167" s="1321"/>
      <c r="B167" s="1295"/>
      <c r="C167" s="1321"/>
      <c r="D167" s="1377"/>
      <c r="E167" s="2124"/>
      <c r="F167" s="1378"/>
      <c r="G167" s="1379"/>
      <c r="H167" s="1379"/>
      <c r="I167" s="1299"/>
      <c r="J167" s="1300"/>
      <c r="K167" s="1307"/>
      <c r="L167" s="1335"/>
      <c r="M167" s="1302"/>
      <c r="N167" s="1700"/>
      <c r="O167" s="1290"/>
      <c r="P167" s="1333"/>
      <c r="Q167" s="3391"/>
      <c r="R167" s="2342"/>
      <c r="U167" s="1293"/>
    </row>
    <row r="168" spans="1:21" ht="15" customHeight="1">
      <c r="A168" s="88" t="s">
        <v>3764</v>
      </c>
      <c r="B168" s="4367" t="s">
        <v>1497</v>
      </c>
      <c r="C168" s="3350"/>
      <c r="D168" s="4327"/>
      <c r="E168" s="4329" t="s">
        <v>1504</v>
      </c>
      <c r="F168" s="4338" t="s">
        <v>1516</v>
      </c>
      <c r="G168" s="4331" t="s">
        <v>1568</v>
      </c>
      <c r="H168" s="4331" t="s">
        <v>1574</v>
      </c>
      <c r="I168" s="1572" t="s">
        <v>1559</v>
      </c>
      <c r="J168" s="1294" t="s">
        <v>1560</v>
      </c>
      <c r="K168" s="1294" t="s">
        <v>1561</v>
      </c>
      <c r="L168" s="4333" t="s">
        <v>3765</v>
      </c>
      <c r="M168" s="4335" t="s">
        <v>1571</v>
      </c>
      <c r="N168" s="4323" t="s">
        <v>1776</v>
      </c>
      <c r="O168" s="3347" t="s">
        <v>1563</v>
      </c>
      <c r="P168" s="1336" t="s">
        <v>1562</v>
      </c>
      <c r="Q168" s="3389"/>
      <c r="R168" s="1699" t="s">
        <v>1327</v>
      </c>
    </row>
    <row r="169" spans="1:21">
      <c r="A169" s="1320" t="s">
        <v>2803</v>
      </c>
      <c r="B169" s="4514"/>
      <c r="C169" s="3354"/>
      <c r="D169" s="4368"/>
      <c r="E169" s="4389"/>
      <c r="F169" s="4338"/>
      <c r="G169" s="4332"/>
      <c r="H169" s="4332"/>
      <c r="I169" s="1345">
        <v>2</v>
      </c>
      <c r="J169" s="1307">
        <v>0.185</v>
      </c>
      <c r="K169" s="1307">
        <f>I169*J169</f>
        <v>0.37</v>
      </c>
      <c r="L169" s="4334"/>
      <c r="M169" s="4335"/>
      <c r="N169" s="4324"/>
      <c r="O169" s="1298">
        <f>O171+O172+O173+O178+O213+O186+O191</f>
        <v>259.56706569000005</v>
      </c>
      <c r="P169" s="1337">
        <f>O169*K169</f>
        <v>96.039814305300013</v>
      </c>
      <c r="Q169" s="3390"/>
      <c r="R169" s="1721">
        <f>P171+P172+P173+P178+P213+P186+P191</f>
        <v>109.44872530529999</v>
      </c>
    </row>
    <row r="170" spans="1:21">
      <c r="A170" s="1042"/>
      <c r="B170" s="551"/>
      <c r="C170" s="1327"/>
      <c r="D170" s="1400"/>
      <c r="E170" s="2121"/>
      <c r="F170" s="1368" t="s">
        <v>1</v>
      </c>
      <c r="G170" s="1390"/>
      <c r="H170" s="1390"/>
      <c r="I170" s="1554"/>
      <c r="J170" s="1367"/>
      <c r="K170" s="1367"/>
      <c r="L170" s="1554"/>
      <c r="M170" s="1369"/>
      <c r="N170" s="1369"/>
      <c r="O170" s="1369"/>
      <c r="P170" s="1367"/>
      <c r="Q170" s="3387"/>
    </row>
    <row r="171" spans="1:21">
      <c r="A171" s="1042"/>
      <c r="B171" s="553"/>
      <c r="C171" s="1042"/>
      <c r="D171" s="1422" t="s">
        <v>1095</v>
      </c>
      <c r="E171" s="2126" t="s">
        <v>1517</v>
      </c>
      <c r="F171" s="1418" t="s">
        <v>1520</v>
      </c>
      <c r="G171" s="1372">
        <v>0.17399999999999999</v>
      </c>
      <c r="H171" s="1372"/>
      <c r="I171" s="198"/>
      <c r="J171" s="6"/>
      <c r="K171" s="1307">
        <f>G171*$K$169</f>
        <v>6.4379999999999993E-2</v>
      </c>
      <c r="L171" s="1335">
        <f t="shared" ref="L171:L191" si="6">$K$152*K171</f>
        <v>0</v>
      </c>
      <c r="M171" s="1499">
        <v>56.63</v>
      </c>
      <c r="N171" s="1701"/>
      <c r="O171" s="1290">
        <f>G171*M171</f>
        <v>9.8536199999999994</v>
      </c>
      <c r="P171" s="1332">
        <f>M171*K171</f>
        <v>3.6458393999999998</v>
      </c>
      <c r="Q171" s="3391"/>
    </row>
    <row r="172" spans="1:21">
      <c r="A172" s="1042"/>
      <c r="B172" s="553"/>
      <c r="C172" s="223"/>
      <c r="D172" s="1422" t="s">
        <v>1101</v>
      </c>
      <c r="E172" s="2127" t="s">
        <v>1521</v>
      </c>
      <c r="F172" s="1418" t="s">
        <v>1522</v>
      </c>
      <c r="G172" s="1567">
        <v>0.14699999999999999</v>
      </c>
      <c r="H172" s="1567"/>
      <c r="I172" s="197"/>
      <c r="J172" s="198"/>
      <c r="K172" s="1307">
        <f>G172*$K$169</f>
        <v>5.4389999999999994E-2</v>
      </c>
      <c r="L172" s="1335">
        <f t="shared" si="6"/>
        <v>0</v>
      </c>
      <c r="M172" s="1499">
        <v>73.92</v>
      </c>
      <c r="N172" s="1701"/>
      <c r="O172" s="1290">
        <f>G172*M172</f>
        <v>10.866239999999999</v>
      </c>
      <c r="P172" s="1332">
        <f>M172*K172</f>
        <v>4.0205088</v>
      </c>
      <c r="Q172" s="3391"/>
    </row>
    <row r="173" spans="1:21">
      <c r="A173" s="1042"/>
      <c r="B173" s="1042"/>
      <c r="C173" s="1356" t="s">
        <v>1100</v>
      </c>
      <c r="D173" s="1311"/>
      <c r="E173" s="2128" t="s">
        <v>1517</v>
      </c>
      <c r="F173" s="2251" t="s">
        <v>1518</v>
      </c>
      <c r="G173" s="1338"/>
      <c r="H173" s="1344">
        <v>1.7999999999999999E-2</v>
      </c>
      <c r="I173" s="1388"/>
      <c r="J173" s="1366"/>
      <c r="K173" s="1510"/>
      <c r="L173" s="1445"/>
      <c r="M173" s="1500"/>
      <c r="N173" s="1447">
        <f>SUM(N174:N177)</f>
        <v>67.452539999999999</v>
      </c>
      <c r="O173" s="1447">
        <f>SUM(O174:O177)</f>
        <v>1.2141457199999999</v>
      </c>
      <c r="P173" s="1447">
        <f>SUM(P174:P177)</f>
        <v>0.44923391639999999</v>
      </c>
      <c r="Q173" s="3391"/>
    </row>
    <row r="174" spans="1:21">
      <c r="A174" s="1042"/>
      <c r="B174" s="1042"/>
      <c r="C174" s="1042"/>
      <c r="D174" s="1396" t="s">
        <v>1069</v>
      </c>
      <c r="E174" s="1856" t="s">
        <v>1517</v>
      </c>
      <c r="F174" s="1397" t="s">
        <v>1578</v>
      </c>
      <c r="G174" s="1398">
        <v>0.26800000000000002</v>
      </c>
      <c r="H174" s="2206">
        <f>$H$173*G174</f>
        <v>4.8240000000000002E-3</v>
      </c>
      <c r="I174" s="27"/>
      <c r="J174" s="10"/>
      <c r="K174" s="1307">
        <f>H174*$K$169</f>
        <v>1.78488E-3</v>
      </c>
      <c r="L174" s="1335">
        <f t="shared" si="6"/>
        <v>0</v>
      </c>
      <c r="M174" s="1499">
        <v>0.55000000000000004</v>
      </c>
      <c r="N174" s="1724">
        <f>G174*M174</f>
        <v>0.14740000000000003</v>
      </c>
      <c r="O174" s="1719">
        <f>H174*M174</f>
        <v>2.6532000000000001E-3</v>
      </c>
      <c r="P174" s="1720">
        <f>M174*K174</f>
        <v>9.8168400000000003E-4</v>
      </c>
      <c r="Q174" s="3396"/>
    </row>
    <row r="175" spans="1:21">
      <c r="A175" s="1042"/>
      <c r="B175" s="1042"/>
      <c r="C175" s="1042"/>
      <c r="D175" s="1400" t="s">
        <v>1394</v>
      </c>
      <c r="E175" s="1856" t="s">
        <v>1577</v>
      </c>
      <c r="F175" s="1397" t="s">
        <v>1579</v>
      </c>
      <c r="G175" s="1398">
        <v>0.45300000000000001</v>
      </c>
      <c r="H175" s="1399">
        <f>$H$173*G175</f>
        <v>8.1539999999999998E-3</v>
      </c>
      <c r="I175" s="198"/>
      <c r="J175" s="198"/>
      <c r="K175" s="1307">
        <f>H175*$K$169</f>
        <v>3.0169799999999998E-3</v>
      </c>
      <c r="L175" s="1335">
        <f t="shared" si="6"/>
        <v>0</v>
      </c>
      <c r="M175" s="1499">
        <v>92.54</v>
      </c>
      <c r="N175" s="1724">
        <f>G175*M175</f>
        <v>41.920620000000007</v>
      </c>
      <c r="O175" s="1719">
        <f>H175*M175</f>
        <v>0.75457116000000002</v>
      </c>
      <c r="P175" s="1720">
        <f>M175*K175</f>
        <v>0.2791913292</v>
      </c>
      <c r="Q175" s="3396"/>
    </row>
    <row r="176" spans="1:21">
      <c r="A176" s="1042"/>
      <c r="B176" s="1042"/>
      <c r="C176" s="1042"/>
      <c r="D176" s="1400" t="s">
        <v>1576</v>
      </c>
      <c r="E176" s="1856" t="s">
        <v>1517</v>
      </c>
      <c r="F176" s="1397" t="s">
        <v>1580</v>
      </c>
      <c r="G176" s="1401">
        <v>1.004</v>
      </c>
      <c r="H176" s="1399">
        <f>$H$173*G176</f>
        <v>1.8071999999999998E-2</v>
      </c>
      <c r="I176" s="198"/>
      <c r="J176" s="198"/>
      <c r="K176" s="1307">
        <f>H176*$K$169</f>
        <v>6.6866399999999989E-3</v>
      </c>
      <c r="L176" s="1335">
        <f t="shared" si="6"/>
        <v>0</v>
      </c>
      <c r="M176" s="1499">
        <v>6.53</v>
      </c>
      <c r="N176" s="1724">
        <f>G176*M176</f>
        <v>6.5561199999999999</v>
      </c>
      <c r="O176" s="1719">
        <f>H176*M176</f>
        <v>0.11801015999999999</v>
      </c>
      <c r="P176" s="1720">
        <f>M176*K176</f>
        <v>4.3663759199999992E-2</v>
      </c>
      <c r="Q176" s="3396"/>
    </row>
    <row r="177" spans="1:17">
      <c r="A177" s="1042"/>
      <c r="B177" s="1042"/>
      <c r="C177" s="1042"/>
      <c r="D177" s="1393" t="s">
        <v>1067</v>
      </c>
      <c r="E177" s="2129" t="s">
        <v>1508</v>
      </c>
      <c r="F177" s="1394" t="s">
        <v>1512</v>
      </c>
      <c r="G177" s="1395">
        <v>1.03</v>
      </c>
      <c r="H177" s="1408">
        <f>$H$173*G177</f>
        <v>1.8539999999999997E-2</v>
      </c>
      <c r="I177" s="198"/>
      <c r="J177" s="198"/>
      <c r="K177" s="1307">
        <f>H177*$K$169</f>
        <v>6.8597999999999992E-3</v>
      </c>
      <c r="L177" s="1335">
        <f t="shared" si="6"/>
        <v>0</v>
      </c>
      <c r="M177" s="1499">
        <v>18.28</v>
      </c>
      <c r="N177" s="1724">
        <f>G177*M177</f>
        <v>18.828400000000002</v>
      </c>
      <c r="O177" s="1719">
        <f>H177*M177</f>
        <v>0.33891119999999997</v>
      </c>
      <c r="P177" s="1720">
        <f>M177*K177</f>
        <v>0.12539714399999999</v>
      </c>
      <c r="Q177" s="3396"/>
    </row>
    <row r="178" spans="1:17">
      <c r="A178" s="1042"/>
      <c r="B178" s="553"/>
      <c r="C178" s="1419" t="s">
        <v>1127</v>
      </c>
      <c r="D178" s="1311"/>
      <c r="E178" s="2128" t="s">
        <v>1517</v>
      </c>
      <c r="F178" s="2250" t="s">
        <v>1519</v>
      </c>
      <c r="G178" s="1338"/>
      <c r="H178" s="1344">
        <v>7.9000000000000001E-2</v>
      </c>
      <c r="I178" s="1460"/>
      <c r="J178" s="1387"/>
      <c r="K178" s="1459"/>
      <c r="L178" s="1457"/>
      <c r="M178" s="1501"/>
      <c r="N178" s="1447">
        <f>SUM(N179:N182)</f>
        <v>50.044430000000006</v>
      </c>
      <c r="O178" s="1447">
        <f>SUM(O179:O182)</f>
        <v>3.9535099699999998</v>
      </c>
      <c r="P178" s="1447">
        <f>SUM(P179:P182)</f>
        <v>1.4627986889000002</v>
      </c>
      <c r="Q178" s="3391"/>
    </row>
    <row r="179" spans="1:17">
      <c r="A179" s="1042"/>
      <c r="B179" s="553"/>
      <c r="C179" s="18"/>
      <c r="D179" s="1396" t="s">
        <v>1069</v>
      </c>
      <c r="E179" s="2130" t="s">
        <v>1517</v>
      </c>
      <c r="F179" s="1414" t="s">
        <v>1578</v>
      </c>
      <c r="G179" s="1415">
        <v>0.26300000000000001</v>
      </c>
      <c r="H179" s="1399">
        <f>$H$178*G179</f>
        <v>2.0777E-2</v>
      </c>
      <c r="I179" s="197"/>
      <c r="J179" s="198"/>
      <c r="K179" s="1307">
        <f>H179*$K$169</f>
        <v>7.6874899999999999E-3</v>
      </c>
      <c r="L179" s="1335">
        <f t="shared" si="6"/>
        <v>0</v>
      </c>
      <c r="M179" s="1499">
        <v>0.55000000000000004</v>
      </c>
      <c r="N179" s="1724">
        <f>G179*M179</f>
        <v>0.14465000000000003</v>
      </c>
      <c r="O179" s="1290">
        <f>H179*M179</f>
        <v>1.1427350000000001E-2</v>
      </c>
      <c r="P179" s="1332">
        <f>M179*K179</f>
        <v>4.2281195000000004E-3</v>
      </c>
      <c r="Q179" s="3391"/>
    </row>
    <row r="180" spans="1:17">
      <c r="A180" s="1042"/>
      <c r="B180" s="553"/>
      <c r="C180" s="1042"/>
      <c r="D180" s="1400" t="s">
        <v>1394</v>
      </c>
      <c r="E180" s="1856" t="s">
        <v>1577</v>
      </c>
      <c r="F180" s="1397" t="s">
        <v>1579</v>
      </c>
      <c r="G180" s="1416">
        <v>0.25800000000000001</v>
      </c>
      <c r="H180" s="1399">
        <f>$H$178*G180</f>
        <v>2.0382000000000001E-2</v>
      </c>
      <c r="I180" s="197"/>
      <c r="J180" s="198"/>
      <c r="K180" s="1307">
        <f>H180*$K$169</f>
        <v>7.5413400000000005E-3</v>
      </c>
      <c r="L180" s="1335">
        <f t="shared" si="6"/>
        <v>0</v>
      </c>
      <c r="M180" s="1499">
        <v>92.54</v>
      </c>
      <c r="N180" s="1724">
        <f>G180*M180</f>
        <v>23.875320000000002</v>
      </c>
      <c r="O180" s="1290">
        <f>H180*M180</f>
        <v>1.8861502800000003</v>
      </c>
      <c r="P180" s="1332">
        <f>M180*K180</f>
        <v>0.69787560360000012</v>
      </c>
      <c r="Q180" s="3391"/>
    </row>
    <row r="181" spans="1:17">
      <c r="A181" s="1042"/>
      <c r="B181" s="553"/>
      <c r="C181" s="1042"/>
      <c r="D181" s="1400" t="s">
        <v>1576</v>
      </c>
      <c r="E181" s="1856" t="s">
        <v>1517</v>
      </c>
      <c r="F181" s="1397" t="s">
        <v>1580</v>
      </c>
      <c r="G181" s="1416">
        <v>1.1020000000000001</v>
      </c>
      <c r="H181" s="1399">
        <f>$H$178*G181</f>
        <v>8.705800000000001E-2</v>
      </c>
      <c r="I181" s="1289"/>
      <c r="J181" s="198"/>
      <c r="K181" s="1307">
        <f>H181*$K$169</f>
        <v>3.2211460000000004E-2</v>
      </c>
      <c r="L181" s="1335">
        <f t="shared" si="6"/>
        <v>0</v>
      </c>
      <c r="M181" s="1499">
        <v>6.53</v>
      </c>
      <c r="N181" s="1724">
        <f>G181*M181</f>
        <v>7.196060000000001</v>
      </c>
      <c r="O181" s="1290">
        <f>H181*M181</f>
        <v>0.56848874000000005</v>
      </c>
      <c r="P181" s="1332">
        <f>M181*K181</f>
        <v>0.21034083380000004</v>
      </c>
      <c r="Q181" s="3391"/>
    </row>
    <row r="182" spans="1:17">
      <c r="A182" s="1042"/>
      <c r="B182" s="553"/>
      <c r="C182" s="1042"/>
      <c r="D182" s="1404" t="s">
        <v>1067</v>
      </c>
      <c r="E182" s="1857" t="s">
        <v>1508</v>
      </c>
      <c r="F182" s="1406" t="s">
        <v>1512</v>
      </c>
      <c r="G182" s="1407">
        <v>1.03</v>
      </c>
      <c r="H182" s="1408">
        <f>$H$178*G182</f>
        <v>8.1369999999999998E-2</v>
      </c>
      <c r="I182" s="1289"/>
      <c r="J182" s="198"/>
      <c r="K182" s="1307">
        <f>H182*$K$169</f>
        <v>3.0106899999999999E-2</v>
      </c>
      <c r="L182" s="1335">
        <f>$K$152*K182</f>
        <v>0</v>
      </c>
      <c r="M182" s="1499">
        <v>18.28</v>
      </c>
      <c r="N182" s="1724">
        <f>G182*M182</f>
        <v>18.828400000000002</v>
      </c>
      <c r="O182" s="1290">
        <f>H182*M182</f>
        <v>1.4874436</v>
      </c>
      <c r="P182" s="1332">
        <f>M182*K182</f>
        <v>0.55035413200000005</v>
      </c>
      <c r="Q182" s="3391"/>
    </row>
    <row r="183" spans="1:17">
      <c r="A183" s="1042"/>
      <c r="B183" s="553"/>
      <c r="C183" s="1042"/>
      <c r="D183" s="1404"/>
      <c r="E183" s="1857"/>
      <c r="F183" s="1406"/>
      <c r="G183" s="1407"/>
      <c r="H183" s="1408"/>
      <c r="I183" s="1289"/>
      <c r="J183" s="198"/>
      <c r="K183" s="1307"/>
      <c r="L183" s="1335"/>
      <c r="M183" s="1499"/>
      <c r="N183" s="1724"/>
      <c r="O183" s="1290"/>
      <c r="P183" s="1332"/>
      <c r="Q183" s="3391"/>
    </row>
    <row r="184" spans="1:17">
      <c r="A184" s="1042"/>
      <c r="B184" s="553"/>
      <c r="C184" s="1320"/>
      <c r="D184" s="1410"/>
      <c r="E184" s="1858"/>
      <c r="F184" s="1360" t="s">
        <v>2</v>
      </c>
      <c r="G184" s="1360"/>
      <c r="H184" s="1362"/>
      <c r="I184" s="1380" t="str">
        <f ca="1">IF(COUNT(H184:O184)=0,"",(SUM(H184:O184)/COUNT(H184:O184)))</f>
        <v/>
      </c>
      <c r="J184" s="1381"/>
      <c r="K184" s="1359" t="str">
        <f>IF(COUNT(#REF!)=0,"",IF(#REF!="","",(#REF!*#REF!)))</f>
        <v/>
      </c>
      <c r="L184" s="1458"/>
      <c r="M184" s="1502"/>
      <c r="N184" s="1502"/>
      <c r="O184" s="1362"/>
      <c r="P184" s="1359"/>
      <c r="Q184" s="3387"/>
    </row>
    <row r="185" spans="1:17">
      <c r="A185" s="1042"/>
      <c r="B185" s="553"/>
      <c r="C185" s="223"/>
      <c r="D185" s="1359" t="s">
        <v>1067</v>
      </c>
      <c r="E185" s="1858" t="s">
        <v>1508</v>
      </c>
      <c r="F185" s="1361" t="s">
        <v>1512</v>
      </c>
      <c r="G185" s="2084">
        <f>1.3*(2.05+1)</f>
        <v>3.9649999999999999</v>
      </c>
      <c r="H185" s="2249"/>
      <c r="I185" s="198"/>
      <c r="J185" s="6"/>
      <c r="K185" s="1307">
        <f>G185*$K$169</f>
        <v>1.46705</v>
      </c>
      <c r="L185" s="1335">
        <f>$K$152*K185</f>
        <v>0</v>
      </c>
      <c r="M185" s="1499">
        <v>18.28</v>
      </c>
      <c r="N185" s="1701"/>
      <c r="O185" s="1290">
        <f>ROUND(G185*M185,2)</f>
        <v>72.48</v>
      </c>
      <c r="P185" s="1332">
        <f>M185*K185</f>
        <v>26.817674</v>
      </c>
      <c r="Q185" s="3391"/>
    </row>
    <row r="186" spans="1:17">
      <c r="A186" s="1042"/>
      <c r="B186" s="1042"/>
      <c r="C186" s="1420" t="s">
        <v>1523</v>
      </c>
      <c r="D186" s="1311"/>
      <c r="E186" s="2128" t="s">
        <v>1508</v>
      </c>
      <c r="F186" s="2248" t="s">
        <v>1524</v>
      </c>
      <c r="G186" s="1338"/>
      <c r="H186" s="1344">
        <f>1.3*(2.85)</f>
        <v>3.7050000000000001</v>
      </c>
      <c r="I186" s="1388"/>
      <c r="J186" s="1366"/>
      <c r="K186" s="1448"/>
      <c r="L186" s="1457"/>
      <c r="M186" s="1503"/>
      <c r="N186" s="1447">
        <f>SUM(N187:N188)</f>
        <v>37.510000000000005</v>
      </c>
      <c r="O186" s="1447">
        <f>SUM(O187:O188)</f>
        <v>138.97455000000002</v>
      </c>
      <c r="P186" s="1447">
        <f>SUM(P187:P188)</f>
        <v>51.420583499999999</v>
      </c>
      <c r="Q186" s="3391"/>
    </row>
    <row r="187" spans="1:17">
      <c r="A187" s="1042"/>
      <c r="B187" s="1042"/>
      <c r="C187" s="18"/>
      <c r="D187" s="1402" t="s">
        <v>1067</v>
      </c>
      <c r="E187" s="1857" t="s">
        <v>1508</v>
      </c>
      <c r="F187" s="1403" t="s">
        <v>5</v>
      </c>
      <c r="G187" s="1362">
        <v>1</v>
      </c>
      <c r="H187" s="1359">
        <f>H186*G187</f>
        <v>3.7050000000000001</v>
      </c>
      <c r="I187" s="198"/>
      <c r="J187" s="6"/>
      <c r="K187" s="1307">
        <f>H187*$K$169</f>
        <v>1.3708499999999999</v>
      </c>
      <c r="L187" s="1335">
        <f t="shared" si="6"/>
        <v>0</v>
      </c>
      <c r="M187" s="1499">
        <v>18.28</v>
      </c>
      <c r="N187" s="1724">
        <f>G187*M187</f>
        <v>18.28</v>
      </c>
      <c r="O187" s="1290">
        <f>H187*M187</f>
        <v>67.727400000000003</v>
      </c>
      <c r="P187" s="1332">
        <f>M187*K187</f>
        <v>25.059138000000001</v>
      </c>
      <c r="Q187" s="3391"/>
    </row>
    <row r="188" spans="1:17">
      <c r="A188" s="1042"/>
      <c r="B188" s="1042"/>
      <c r="C188" s="1042"/>
      <c r="D188" s="1402" t="s">
        <v>1077</v>
      </c>
      <c r="E188" s="1857" t="s">
        <v>1508</v>
      </c>
      <c r="F188" s="1403" t="s">
        <v>37</v>
      </c>
      <c r="G188" s="1362">
        <v>1</v>
      </c>
      <c r="H188" s="1359">
        <f>H186*G188</f>
        <v>3.7050000000000001</v>
      </c>
      <c r="I188" s="198"/>
      <c r="J188" s="6"/>
      <c r="K188" s="1307">
        <f>H188*$K$169</f>
        <v>1.3708499999999999</v>
      </c>
      <c r="L188" s="1335">
        <f t="shared" si="6"/>
        <v>0</v>
      </c>
      <c r="M188" s="1499">
        <v>19.23</v>
      </c>
      <c r="N188" s="1724">
        <f>G188*M188</f>
        <v>19.23</v>
      </c>
      <c r="O188" s="1290">
        <f>H188*M188</f>
        <v>71.247150000000005</v>
      </c>
      <c r="P188" s="1332">
        <f>M188*K188</f>
        <v>26.361445499999999</v>
      </c>
      <c r="Q188" s="3391"/>
    </row>
    <row r="189" spans="1:17">
      <c r="A189" s="1042"/>
      <c r="B189" s="1042"/>
      <c r="C189" s="1042"/>
      <c r="D189" s="1402"/>
      <c r="E189" s="1857"/>
      <c r="F189" s="1403"/>
      <c r="G189" s="1362"/>
      <c r="H189" s="1359"/>
      <c r="I189" s="198"/>
      <c r="J189" s="6"/>
      <c r="K189" s="1307"/>
      <c r="L189" s="1335">
        <f t="shared" si="6"/>
        <v>0</v>
      </c>
      <c r="M189" s="1499"/>
      <c r="N189" s="1724"/>
      <c r="O189" s="1290"/>
      <c r="P189" s="1332"/>
      <c r="Q189" s="3391"/>
    </row>
    <row r="190" spans="1:17">
      <c r="A190" s="1042"/>
      <c r="B190" s="1042"/>
      <c r="C190" s="1042"/>
      <c r="D190" s="1411"/>
      <c r="E190" s="2123"/>
      <c r="F190" s="1374" t="s">
        <v>3</v>
      </c>
      <c r="G190" s="1374"/>
      <c r="H190" s="1376"/>
      <c r="I190" s="1382" t="str">
        <f ca="1">IF(COUNT(H190:O190)=0,"",(SUM(H190:O190)/COUNT(H190:O190)))</f>
        <v/>
      </c>
      <c r="J190" s="1383"/>
      <c r="K190" s="1373" t="str">
        <f>IF(COUNT(K213)=0,"",IF($S$156="","",(K213*$S$156)))</f>
        <v/>
      </c>
      <c r="L190" s="1413"/>
      <c r="M190" s="1505"/>
      <c r="N190" s="1505"/>
      <c r="O190" s="1376"/>
      <c r="P190" s="1413"/>
      <c r="Q190" s="3387"/>
    </row>
    <row r="191" spans="1:17">
      <c r="A191" s="1042"/>
      <c r="B191" s="1042"/>
      <c r="C191" s="1042"/>
      <c r="D191" s="1412" t="s">
        <v>1080</v>
      </c>
      <c r="E191" s="2124" t="s">
        <v>1508</v>
      </c>
      <c r="F191" s="1378" t="s">
        <v>1511</v>
      </c>
      <c r="G191" s="1378"/>
      <c r="H191" s="1379">
        <v>3.5</v>
      </c>
      <c r="I191" s="198"/>
      <c r="J191" s="6"/>
      <c r="K191" s="1307">
        <f>H191*$K$169</f>
        <v>1.2949999999999999</v>
      </c>
      <c r="L191" s="1335">
        <f t="shared" si="6"/>
        <v>0</v>
      </c>
      <c r="M191" s="1499">
        <v>6.35</v>
      </c>
      <c r="N191" s="1701"/>
      <c r="O191" s="1290">
        <f>H191*M191</f>
        <v>22.224999999999998</v>
      </c>
      <c r="P191" s="1332">
        <f>M191*K191</f>
        <v>8.2232499999999984</v>
      </c>
      <c r="Q191" s="3391"/>
    </row>
    <row r="192" spans="1:17">
      <c r="A192" s="1042"/>
      <c r="B192" s="1042"/>
      <c r="C192" s="1042"/>
      <c r="D192" s="1412"/>
      <c r="E192" s="2124"/>
      <c r="F192" s="1378"/>
      <c r="G192" s="1378"/>
      <c r="H192" s="1379"/>
      <c r="I192" s="198" t="str">
        <f ca="1">IF(COUNT(H192:O192)=0,"",(SUM(H192:O192)/COUNT(H192:O192)))</f>
        <v/>
      </c>
      <c r="J192" s="6"/>
      <c r="K192" s="1307"/>
      <c r="L192" s="1335"/>
      <c r="M192" s="1499"/>
      <c r="N192" s="1701"/>
      <c r="O192" s="1290"/>
      <c r="P192" s="1332"/>
      <c r="Q192" s="3391"/>
    </row>
    <row r="193" spans="1:18">
      <c r="A193" s="1042"/>
      <c r="B193" s="223"/>
      <c r="C193" s="223"/>
      <c r="D193" s="1412"/>
      <c r="E193" s="2124"/>
      <c r="F193" s="1378"/>
      <c r="G193" s="1378"/>
      <c r="H193" s="1379"/>
      <c r="I193" s="198" t="str">
        <f ca="1">IF(COUNT(H193:O193)=0,"",(SUM(H193:O193)/COUNT(H193:O193)))</f>
        <v/>
      </c>
      <c r="J193" s="6"/>
      <c r="K193" s="1307"/>
      <c r="L193" s="1335"/>
      <c r="M193" s="1499"/>
      <c r="N193" s="1701"/>
      <c r="O193" s="1290"/>
      <c r="P193" s="1332"/>
      <c r="Q193" s="3391"/>
    </row>
    <row r="194" spans="1:18" ht="15" customHeight="1">
      <c r="A194" s="88" t="s">
        <v>3764</v>
      </c>
      <c r="B194" s="4514" t="s">
        <v>1498</v>
      </c>
      <c r="C194" s="3354"/>
      <c r="D194" s="4327" t="s">
        <v>1551</v>
      </c>
      <c r="E194" s="4329" t="s">
        <v>1504</v>
      </c>
      <c r="F194" s="4338" t="s">
        <v>1505</v>
      </c>
      <c r="G194" s="4331" t="s">
        <v>1568</v>
      </c>
      <c r="H194" s="4331" t="s">
        <v>1574</v>
      </c>
      <c r="I194" s="1572" t="s">
        <v>1559</v>
      </c>
      <c r="J194" s="1294" t="s">
        <v>1560</v>
      </c>
      <c r="K194" s="1294" t="s">
        <v>1561</v>
      </c>
      <c r="L194" s="4333" t="s">
        <v>3765</v>
      </c>
      <c r="M194" s="4335" t="s">
        <v>1571</v>
      </c>
      <c r="N194" s="4323" t="s">
        <v>1776</v>
      </c>
      <c r="O194" s="3347" t="s">
        <v>1563</v>
      </c>
      <c r="P194" s="1336" t="s">
        <v>1562</v>
      </c>
      <c r="Q194" s="3389"/>
      <c r="R194" s="1699" t="s">
        <v>1327</v>
      </c>
    </row>
    <row r="195" spans="1:18">
      <c r="A195" s="1320" t="s">
        <v>2803</v>
      </c>
      <c r="B195" s="4369"/>
      <c r="C195" s="3354"/>
      <c r="D195" s="4328"/>
      <c r="E195" s="4330"/>
      <c r="F195" s="4338"/>
      <c r="G195" s="4332"/>
      <c r="H195" s="4332"/>
      <c r="I195" s="1350">
        <v>3</v>
      </c>
      <c r="J195" s="1307">
        <v>0.185</v>
      </c>
      <c r="K195" s="1307">
        <f>I195*J195</f>
        <v>0.55499999999999994</v>
      </c>
      <c r="L195" s="4334"/>
      <c r="M195" s="4335"/>
      <c r="N195" s="4324"/>
      <c r="O195" s="1298">
        <f>O197+O198+O199+O200+O201+O206+O213+O214+O219</f>
        <v>294.47556569000005</v>
      </c>
      <c r="P195" s="1337">
        <f>O195*K195</f>
        <v>163.43393895795001</v>
      </c>
      <c r="Q195" s="3390"/>
      <c r="R195" s="1721">
        <f>P197+P198+P199+P200+P201+P206+P213+P214+P219</f>
        <v>163.43404995795001</v>
      </c>
    </row>
    <row r="196" spans="1:18">
      <c r="A196" s="1042"/>
      <c r="C196" s="18"/>
      <c r="D196" s="1400"/>
      <c r="E196" s="2121"/>
      <c r="F196" s="1368" t="s">
        <v>1</v>
      </c>
      <c r="G196" s="1368"/>
      <c r="H196" s="1423"/>
      <c r="I196" s="1667"/>
      <c r="J196" s="1424"/>
      <c r="K196" s="1425"/>
      <c r="L196" s="1560"/>
      <c r="M196" s="1426"/>
      <c r="N196" s="1426"/>
      <c r="O196" s="1427"/>
      <c r="P196" s="1427"/>
      <c r="Q196" s="3397"/>
      <c r="R196" s="3363"/>
    </row>
    <row r="197" spans="1:18">
      <c r="A197" s="1042"/>
      <c r="C197" s="1042"/>
      <c r="D197" s="1428" t="s">
        <v>1095</v>
      </c>
      <c r="E197" s="2122" t="s">
        <v>1517</v>
      </c>
      <c r="F197" s="1371" t="s">
        <v>1520</v>
      </c>
      <c r="G197" s="1372">
        <v>0.17399999999999999</v>
      </c>
      <c r="H197" s="1372"/>
      <c r="I197" s="197"/>
      <c r="J197" s="198"/>
      <c r="K197" s="1307">
        <f>G197*$K$195</f>
        <v>9.6569999999999989E-2</v>
      </c>
      <c r="L197" s="1335">
        <f t="shared" ref="L197:L216" si="7">$K$152*K197</f>
        <v>0</v>
      </c>
      <c r="M197" s="1499">
        <v>56.63</v>
      </c>
      <c r="N197" s="1701"/>
      <c r="O197" s="1290">
        <f>G197*M197</f>
        <v>9.8536199999999994</v>
      </c>
      <c r="P197" s="1332">
        <f>M197*K197</f>
        <v>5.4687590999999998</v>
      </c>
      <c r="Q197" s="3391"/>
      <c r="R197" s="2337"/>
    </row>
    <row r="198" spans="1:18">
      <c r="A198" s="1042"/>
      <c r="C198" s="1042"/>
      <c r="D198" s="1428" t="s">
        <v>1101</v>
      </c>
      <c r="E198" s="2122" t="s">
        <v>1521</v>
      </c>
      <c r="F198" s="1371" t="s">
        <v>1522</v>
      </c>
      <c r="G198" s="1372">
        <v>0.14699999999999999</v>
      </c>
      <c r="H198" s="1372"/>
      <c r="I198" s="197"/>
      <c r="J198" s="198"/>
      <c r="K198" s="1307">
        <f>G198*$K$195</f>
        <v>8.1584999999999991E-2</v>
      </c>
      <c r="L198" s="1335">
        <f t="shared" si="7"/>
        <v>0</v>
      </c>
      <c r="M198" s="1499">
        <v>73.92</v>
      </c>
      <c r="N198" s="1701"/>
      <c r="O198" s="1290">
        <f>G198*M198</f>
        <v>10.866239999999999</v>
      </c>
      <c r="P198" s="1332">
        <f>M198*K198</f>
        <v>6.0307631999999991</v>
      </c>
      <c r="Q198" s="3391"/>
      <c r="R198" s="2337"/>
    </row>
    <row r="199" spans="1:18">
      <c r="A199" s="1042"/>
      <c r="C199" s="1042"/>
      <c r="D199" s="1428" t="s">
        <v>1098</v>
      </c>
      <c r="E199" s="2122" t="s">
        <v>1507</v>
      </c>
      <c r="F199" s="1371" t="s">
        <v>1525</v>
      </c>
      <c r="G199" s="1372">
        <v>0.45</v>
      </c>
      <c r="H199" s="1372"/>
      <c r="I199" s="197"/>
      <c r="J199" s="198"/>
      <c r="K199" s="1307">
        <f>G199*$K$195</f>
        <v>0.24974999999999997</v>
      </c>
      <c r="L199" s="1335">
        <f t="shared" si="7"/>
        <v>0</v>
      </c>
      <c r="M199" s="1499">
        <v>26.13</v>
      </c>
      <c r="N199" s="1701"/>
      <c r="O199" s="1290">
        <f>G199*M199</f>
        <v>11.7585</v>
      </c>
      <c r="P199" s="1332">
        <f>M199*K199</f>
        <v>6.5259674999999993</v>
      </c>
      <c r="Q199" s="3391"/>
      <c r="R199" s="2337"/>
    </row>
    <row r="200" spans="1:18">
      <c r="A200" s="1042"/>
      <c r="C200" s="223"/>
      <c r="D200" s="1428" t="s">
        <v>1526</v>
      </c>
      <c r="E200" s="2122" t="s">
        <v>1527</v>
      </c>
      <c r="F200" s="1371" t="s">
        <v>1528</v>
      </c>
      <c r="G200" s="1372">
        <v>1</v>
      </c>
      <c r="H200" s="1372"/>
      <c r="I200" s="197"/>
      <c r="J200" s="198"/>
      <c r="K200" s="1307">
        <f>G200*$K$195</f>
        <v>0.55499999999999994</v>
      </c>
      <c r="L200" s="1335">
        <f t="shared" si="7"/>
        <v>0</v>
      </c>
      <c r="M200" s="1499">
        <v>23.15</v>
      </c>
      <c r="N200" s="1701"/>
      <c r="O200" s="1290">
        <f>G200*M200</f>
        <v>23.15</v>
      </c>
      <c r="P200" s="1332">
        <f>M200*K200</f>
        <v>12.848249999999998</v>
      </c>
      <c r="Q200" s="3391"/>
      <c r="R200" s="2337"/>
    </row>
    <row r="201" spans="1:18">
      <c r="A201" s="1042"/>
      <c r="C201" s="1356" t="s">
        <v>1100</v>
      </c>
      <c r="D201" s="1311"/>
      <c r="E201" s="2131" t="s">
        <v>1517</v>
      </c>
      <c r="F201" s="1318" t="s">
        <v>1518</v>
      </c>
      <c r="G201" s="1830"/>
      <c r="H201" s="1830">
        <v>1.7999999999999999E-2</v>
      </c>
      <c r="I201" s="1444"/>
      <c r="J201" s="1388"/>
      <c r="K201" s="1459"/>
      <c r="L201" s="1457"/>
      <c r="M201" s="1500"/>
      <c r="N201" s="1447">
        <f>SUM(N202:N205)</f>
        <v>67.452539999999999</v>
      </c>
      <c r="O201" s="1447">
        <f>SUM(O202:O205)</f>
        <v>1.2141457199999999</v>
      </c>
      <c r="P201" s="1447">
        <f>SUM(P202:P205)</f>
        <v>0.67385087459999982</v>
      </c>
      <c r="Q201" s="3391"/>
      <c r="R201" s="3363"/>
    </row>
    <row r="202" spans="1:18">
      <c r="A202" s="1042"/>
      <c r="C202" s="1327"/>
      <c r="D202" s="1396" t="s">
        <v>1069</v>
      </c>
      <c r="E202" s="1856" t="s">
        <v>1517</v>
      </c>
      <c r="F202" s="1397" t="s">
        <v>1578</v>
      </c>
      <c r="G202" s="1398">
        <v>0.26800000000000002</v>
      </c>
      <c r="H202" s="1399">
        <f>$H$201*G202</f>
        <v>4.8240000000000002E-3</v>
      </c>
      <c r="I202" s="197"/>
      <c r="J202" s="198"/>
      <c r="K202" s="1307">
        <f>H202*$K$195</f>
        <v>2.67732E-3</v>
      </c>
      <c r="L202" s="1335">
        <f t="shared" si="7"/>
        <v>0</v>
      </c>
      <c r="M202" s="1499">
        <v>0.55000000000000004</v>
      </c>
      <c r="N202" s="1724">
        <f>G202*M202</f>
        <v>0.14740000000000003</v>
      </c>
      <c r="O202" s="1719">
        <f>H202*M202</f>
        <v>2.6532000000000001E-3</v>
      </c>
      <c r="P202" s="1720">
        <f>M202*K202</f>
        <v>1.472526E-3</v>
      </c>
      <c r="Q202" s="3396"/>
      <c r="R202" s="3363"/>
    </row>
    <row r="203" spans="1:18">
      <c r="A203" s="1042"/>
      <c r="C203" s="1320"/>
      <c r="D203" s="1400" t="s">
        <v>1394</v>
      </c>
      <c r="E203" s="1856" t="s">
        <v>1577</v>
      </c>
      <c r="F203" s="1397" t="s">
        <v>1579</v>
      </c>
      <c r="G203" s="1398">
        <v>0.45300000000000001</v>
      </c>
      <c r="H203" s="1399">
        <f>$H$201*G203</f>
        <v>8.1539999999999998E-3</v>
      </c>
      <c r="I203" s="197"/>
      <c r="J203" s="198"/>
      <c r="K203" s="1307">
        <f>H203*$K$195</f>
        <v>4.5254699999999993E-3</v>
      </c>
      <c r="L203" s="1335">
        <f t="shared" si="7"/>
        <v>0</v>
      </c>
      <c r="M203" s="1499">
        <v>92.54</v>
      </c>
      <c r="N203" s="1724">
        <f>G203*M203</f>
        <v>41.920620000000007</v>
      </c>
      <c r="O203" s="1719">
        <f>H203*M203</f>
        <v>0.75457116000000002</v>
      </c>
      <c r="P203" s="1720">
        <f>M203*K203</f>
        <v>0.41878699379999995</v>
      </c>
      <c r="Q203" s="3396"/>
      <c r="R203" s="3363"/>
    </row>
    <row r="204" spans="1:18">
      <c r="A204" s="1042"/>
      <c r="C204" s="1320"/>
      <c r="D204" s="1400" t="s">
        <v>1576</v>
      </c>
      <c r="E204" s="1856" t="s">
        <v>1517</v>
      </c>
      <c r="F204" s="1397" t="s">
        <v>1580</v>
      </c>
      <c r="G204" s="1401">
        <v>1.004</v>
      </c>
      <c r="H204" s="1399">
        <f>$H$201*G204</f>
        <v>1.8071999999999998E-2</v>
      </c>
      <c r="I204" s="197"/>
      <c r="J204" s="198"/>
      <c r="K204" s="1307">
        <f>H204*$K$195</f>
        <v>1.0029959999999997E-2</v>
      </c>
      <c r="L204" s="1335">
        <f t="shared" si="7"/>
        <v>0</v>
      </c>
      <c r="M204" s="1499">
        <v>6.53</v>
      </c>
      <c r="N204" s="1724">
        <f>G204*M204</f>
        <v>6.5561199999999999</v>
      </c>
      <c r="O204" s="1719">
        <f>H204*M204</f>
        <v>0.11801015999999999</v>
      </c>
      <c r="P204" s="1720">
        <f>M204*K204</f>
        <v>6.5495638799999992E-2</v>
      </c>
      <c r="Q204" s="3396"/>
      <c r="R204" s="3363"/>
    </row>
    <row r="205" spans="1:18">
      <c r="A205" s="1042"/>
      <c r="C205" s="1320"/>
      <c r="D205" s="1404" t="s">
        <v>1067</v>
      </c>
      <c r="E205" s="1857" t="s">
        <v>1508</v>
      </c>
      <c r="F205" s="1403" t="s">
        <v>1512</v>
      </c>
      <c r="G205" s="1408">
        <v>1.03</v>
      </c>
      <c r="H205" s="1408">
        <f>$H$201*G205</f>
        <v>1.8539999999999997E-2</v>
      </c>
      <c r="I205" s="197"/>
      <c r="J205" s="198"/>
      <c r="K205" s="1307">
        <f>H205*$K$195</f>
        <v>1.0289699999999997E-2</v>
      </c>
      <c r="L205" s="1335">
        <f t="shared" si="7"/>
        <v>0</v>
      </c>
      <c r="M205" s="1499">
        <v>18.28</v>
      </c>
      <c r="N205" s="1724">
        <f>G205*M205</f>
        <v>18.828400000000002</v>
      </c>
      <c r="O205" s="1719">
        <f>H205*M205</f>
        <v>0.33891119999999997</v>
      </c>
      <c r="P205" s="1720">
        <f>M205*K205</f>
        <v>0.18809571599999997</v>
      </c>
      <c r="Q205" s="3396"/>
      <c r="R205" s="3363"/>
    </row>
    <row r="206" spans="1:18">
      <c r="A206" s="1042"/>
      <c r="C206" s="1356" t="s">
        <v>1127</v>
      </c>
      <c r="D206" s="1311"/>
      <c r="E206" s="2131" t="s">
        <v>1517</v>
      </c>
      <c r="F206" s="1318" t="s">
        <v>1519</v>
      </c>
      <c r="G206" s="1344"/>
      <c r="H206" s="1344">
        <v>7.9000000000000001E-2</v>
      </c>
      <c r="I206" s="1444"/>
      <c r="J206" s="1388"/>
      <c r="K206" s="1459"/>
      <c r="L206" s="1457"/>
      <c r="M206" s="1500"/>
      <c r="N206" s="1447">
        <f>SUM(N207:N210)</f>
        <v>50.044430000000006</v>
      </c>
      <c r="O206" s="1447">
        <f>SUM(O207:O210)</f>
        <v>3.9535099699999998</v>
      </c>
      <c r="P206" s="1447">
        <f>SUM(P207:P210)</f>
        <v>2.1941980333500002</v>
      </c>
      <c r="Q206" s="3391"/>
      <c r="R206" s="3363"/>
    </row>
    <row r="207" spans="1:18">
      <c r="A207" s="1042"/>
      <c r="C207" s="1327"/>
      <c r="D207" s="1400" t="s">
        <v>1069</v>
      </c>
      <c r="E207" s="1856" t="s">
        <v>1517</v>
      </c>
      <c r="F207" s="1397" t="s">
        <v>1578</v>
      </c>
      <c r="G207" s="1416">
        <v>0.26300000000000001</v>
      </c>
      <c r="H207" s="1399">
        <f>$H$206*G207</f>
        <v>2.0777E-2</v>
      </c>
      <c r="I207" s="197"/>
      <c r="J207" s="198"/>
      <c r="K207" s="1307">
        <f>H207*$K$195</f>
        <v>1.1531234999999999E-2</v>
      </c>
      <c r="L207" s="1335">
        <f t="shared" si="7"/>
        <v>0</v>
      </c>
      <c r="M207" s="1499">
        <v>0.55000000000000004</v>
      </c>
      <c r="N207" s="1724">
        <f>G207*M207</f>
        <v>0.14465000000000003</v>
      </c>
      <c r="O207" s="1719">
        <f>H207*M207</f>
        <v>1.1427350000000001E-2</v>
      </c>
      <c r="P207" s="1720">
        <f>M207*K207</f>
        <v>6.3421792499999997E-3</v>
      </c>
      <c r="Q207" s="3396"/>
      <c r="R207" s="3363"/>
    </row>
    <row r="208" spans="1:18">
      <c r="A208" s="1042"/>
      <c r="C208" s="1320"/>
      <c r="D208" s="1400" t="s">
        <v>1394</v>
      </c>
      <c r="E208" s="1856" t="s">
        <v>1577</v>
      </c>
      <c r="F208" s="1397" t="s">
        <v>1579</v>
      </c>
      <c r="G208" s="1416">
        <v>0.25800000000000001</v>
      </c>
      <c r="H208" s="1399">
        <f>$H$206*G208</f>
        <v>2.0382000000000001E-2</v>
      </c>
      <c r="I208" s="197"/>
      <c r="J208" s="198"/>
      <c r="K208" s="1307">
        <f>H208*$K$195</f>
        <v>1.1312009999999999E-2</v>
      </c>
      <c r="L208" s="1335">
        <f t="shared" si="7"/>
        <v>0</v>
      </c>
      <c r="M208" s="1499">
        <v>92.54</v>
      </c>
      <c r="N208" s="1724">
        <f>G208*M208</f>
        <v>23.875320000000002</v>
      </c>
      <c r="O208" s="1719">
        <f>H208*M208</f>
        <v>1.8861502800000003</v>
      </c>
      <c r="P208" s="1720">
        <f>M208*K208</f>
        <v>1.0468134054</v>
      </c>
      <c r="Q208" s="3396"/>
      <c r="R208" s="3363"/>
    </row>
    <row r="209" spans="1:18">
      <c r="A209" s="1042"/>
      <c r="C209" s="1320"/>
      <c r="D209" s="1400" t="s">
        <v>1576</v>
      </c>
      <c r="E209" s="1856" t="s">
        <v>1517</v>
      </c>
      <c r="F209" s="1397" t="s">
        <v>1580</v>
      </c>
      <c r="G209" s="1416">
        <v>1.1020000000000001</v>
      </c>
      <c r="H209" s="1399">
        <f>$H$206*G209</f>
        <v>8.705800000000001E-2</v>
      </c>
      <c r="I209" s="197"/>
      <c r="J209" s="198"/>
      <c r="K209" s="1307">
        <f>H209*$K$195</f>
        <v>4.8317190000000003E-2</v>
      </c>
      <c r="L209" s="1335">
        <f t="shared" si="7"/>
        <v>0</v>
      </c>
      <c r="M209" s="1499">
        <v>6.53</v>
      </c>
      <c r="N209" s="1724">
        <f>G209*M209</f>
        <v>7.196060000000001</v>
      </c>
      <c r="O209" s="1719">
        <f>H209*M209</f>
        <v>0.56848874000000005</v>
      </c>
      <c r="P209" s="1720">
        <f>M209*K209</f>
        <v>0.31551125070000002</v>
      </c>
      <c r="Q209" s="3396"/>
      <c r="R209" s="3363"/>
    </row>
    <row r="210" spans="1:18">
      <c r="A210" s="1042"/>
      <c r="C210" s="1320"/>
      <c r="D210" s="1404" t="s">
        <v>1067</v>
      </c>
      <c r="E210" s="1857" t="s">
        <v>1508</v>
      </c>
      <c r="F210" s="1406" t="s">
        <v>1512</v>
      </c>
      <c r="G210" s="1407">
        <v>1.03</v>
      </c>
      <c r="H210" s="1408">
        <f>$H$206*G210</f>
        <v>8.1369999999999998E-2</v>
      </c>
      <c r="I210" s="197"/>
      <c r="J210" s="198"/>
      <c r="K210" s="1307">
        <f>H210*$K$195</f>
        <v>4.5160349999999995E-2</v>
      </c>
      <c r="L210" s="1335">
        <f t="shared" si="7"/>
        <v>0</v>
      </c>
      <c r="M210" s="1499">
        <v>18.28</v>
      </c>
      <c r="N210" s="1724">
        <f>G210*M210</f>
        <v>18.828400000000002</v>
      </c>
      <c r="O210" s="1719">
        <f>H210*M210</f>
        <v>1.4874436</v>
      </c>
      <c r="P210" s="1720">
        <f>M210*K210</f>
        <v>0.82553119799999997</v>
      </c>
      <c r="Q210" s="3396"/>
      <c r="R210" s="3363"/>
    </row>
    <row r="211" spans="1:18">
      <c r="A211" s="1042"/>
      <c r="C211" s="1320"/>
      <c r="D211" s="1400"/>
      <c r="E211" s="1856"/>
      <c r="F211" s="1397"/>
      <c r="G211" s="1416"/>
      <c r="H211" s="1399"/>
      <c r="I211" s="197"/>
      <c r="J211" s="198"/>
      <c r="K211" s="1307"/>
      <c r="L211" s="1335"/>
      <c r="M211" s="1499"/>
      <c r="N211" s="1724"/>
      <c r="O211" s="1719"/>
      <c r="P211" s="1720"/>
      <c r="Q211" s="3396"/>
      <c r="R211" s="3363"/>
    </row>
    <row r="212" spans="1:18">
      <c r="A212" s="1042"/>
      <c r="C212" s="223"/>
      <c r="D212" s="1404"/>
      <c r="E212" s="1858"/>
      <c r="F212" s="1360" t="s">
        <v>2</v>
      </c>
      <c r="G212" s="1360"/>
      <c r="H212" s="1362"/>
      <c r="I212" s="1380" t="str">
        <f ca="1">IF(COUNT(H212:O212)=0,"",(SUM(H212:O212)/COUNT(H212:O212)))</f>
        <v/>
      </c>
      <c r="J212" s="1381"/>
      <c r="K212" s="1359" t="str">
        <f>IF(COUNT(#REF!)=0,"",IF(#REF!="","",(#REF!*#REF!)))</f>
        <v/>
      </c>
      <c r="L212" s="1458"/>
      <c r="M212" s="1502"/>
      <c r="N212" s="1702"/>
      <c r="O212" s="1429"/>
      <c r="P212" s="1359"/>
      <c r="Q212" s="3387"/>
      <c r="R212" s="3363"/>
    </row>
    <row r="213" spans="1:18">
      <c r="A213" s="1042"/>
      <c r="B213" s="553"/>
      <c r="C213" s="223"/>
      <c r="D213" s="1359" t="s">
        <v>1067</v>
      </c>
      <c r="E213" s="1858" t="s">
        <v>1508</v>
      </c>
      <c r="F213" s="1361" t="s">
        <v>1512</v>
      </c>
      <c r="G213" s="2084">
        <f>1.3*(2.05+1)</f>
        <v>3.9649999999999999</v>
      </c>
      <c r="H213" s="2249"/>
      <c r="I213" s="198"/>
      <c r="J213" s="6"/>
      <c r="K213" s="1307">
        <f>G213*K195</f>
        <v>2.2005749999999997</v>
      </c>
      <c r="L213" s="1335">
        <f>$K$152*K213</f>
        <v>0</v>
      </c>
      <c r="M213" s="1499">
        <v>18.28</v>
      </c>
      <c r="N213" s="1701"/>
      <c r="O213" s="1290">
        <f>ROUND(G213*M213,2)</f>
        <v>72.48</v>
      </c>
      <c r="P213" s="1332">
        <f>M213*K213</f>
        <v>40.226510999999995</v>
      </c>
      <c r="Q213" s="3391"/>
    </row>
    <row r="214" spans="1:18">
      <c r="A214" s="1042"/>
      <c r="C214" s="1356" t="s">
        <v>1523</v>
      </c>
      <c r="D214" s="1311"/>
      <c r="E214" s="2128" t="s">
        <v>1508</v>
      </c>
      <c r="F214" s="1313" t="s">
        <v>1524</v>
      </c>
      <c r="G214" s="2247"/>
      <c r="H214" s="2247">
        <v>3.7050000000000001</v>
      </c>
      <c r="I214" s="1455"/>
      <c r="J214" s="1388"/>
      <c r="K214" s="1448"/>
      <c r="L214" s="1457"/>
      <c r="M214" s="1503"/>
      <c r="N214" s="1447">
        <f>SUM(N215:N216)</f>
        <v>37.510000000000005</v>
      </c>
      <c r="O214" s="1447">
        <f>SUM(O215:O216)</f>
        <v>138.97455000000002</v>
      </c>
      <c r="P214" s="1447">
        <f>SUM(P215:P216)</f>
        <v>77.130875250000003</v>
      </c>
      <c r="Q214" s="3391"/>
      <c r="R214" s="3363"/>
    </row>
    <row r="215" spans="1:18">
      <c r="A215" s="1042"/>
      <c r="C215" s="1042"/>
      <c r="D215" s="1430" t="s">
        <v>1067</v>
      </c>
      <c r="E215" s="1857" t="s">
        <v>1508</v>
      </c>
      <c r="F215" s="1403" t="s">
        <v>5</v>
      </c>
      <c r="G215" s="1431">
        <v>1</v>
      </c>
      <c r="H215" s="1362">
        <f>H214*G215</f>
        <v>3.7050000000000001</v>
      </c>
      <c r="I215" s="198"/>
      <c r="J215" s="6"/>
      <c r="K215" s="1307">
        <f>H215*$K$195</f>
        <v>2.0562749999999999</v>
      </c>
      <c r="L215" s="1335">
        <f t="shared" si="7"/>
        <v>0</v>
      </c>
      <c r="M215" s="1499">
        <v>18.28</v>
      </c>
      <c r="N215" s="1724">
        <f>G215*M215</f>
        <v>18.28</v>
      </c>
      <c r="O215" s="1746">
        <f>H215*M215</f>
        <v>67.727400000000003</v>
      </c>
      <c r="P215" s="1720">
        <f>M215*K215</f>
        <v>37.588706999999999</v>
      </c>
      <c r="Q215" s="3396"/>
      <c r="R215" s="2337"/>
    </row>
    <row r="216" spans="1:18">
      <c r="A216" s="1042"/>
      <c r="C216" s="1042"/>
      <c r="D216" s="1430" t="s">
        <v>1077</v>
      </c>
      <c r="E216" s="1857" t="s">
        <v>1508</v>
      </c>
      <c r="F216" s="1403" t="s">
        <v>37</v>
      </c>
      <c r="G216" s="1431">
        <v>1</v>
      </c>
      <c r="H216" s="1362">
        <f>H214*G216</f>
        <v>3.7050000000000001</v>
      </c>
      <c r="I216" s="198"/>
      <c r="J216" s="6"/>
      <c r="K216" s="1307">
        <f>H216*K195</f>
        <v>2.0562749999999999</v>
      </c>
      <c r="L216" s="1335">
        <f t="shared" si="7"/>
        <v>0</v>
      </c>
      <c r="M216" s="1499">
        <v>19.23</v>
      </c>
      <c r="N216" s="1724">
        <f>G216*M216</f>
        <v>19.23</v>
      </c>
      <c r="O216" s="1746">
        <f>H216*M216</f>
        <v>71.247150000000005</v>
      </c>
      <c r="P216" s="1720">
        <f>M216*K216</f>
        <v>39.542168249999996</v>
      </c>
      <c r="Q216" s="3396"/>
      <c r="R216" s="3363"/>
    </row>
    <row r="217" spans="1:18">
      <c r="A217" s="1042"/>
      <c r="C217" s="1042"/>
      <c r="D217" s="1430"/>
      <c r="E217" s="1857"/>
      <c r="F217" s="1403"/>
      <c r="G217" s="1431"/>
      <c r="H217" s="1362"/>
      <c r="I217" s="198"/>
      <c r="J217" s="6"/>
      <c r="K217" s="1307"/>
      <c r="L217" s="1335"/>
      <c r="M217" s="1499"/>
      <c r="N217" s="1703"/>
      <c r="O217" s="1310"/>
      <c r="P217" s="1332"/>
      <c r="Q217" s="3391"/>
      <c r="R217" s="3363"/>
    </row>
    <row r="218" spans="1:18">
      <c r="A218" s="1042"/>
      <c r="C218" s="1042"/>
      <c r="D218" s="1373"/>
      <c r="E218" s="2123"/>
      <c r="F218" s="1374" t="s">
        <v>3</v>
      </c>
      <c r="G218" s="1374"/>
      <c r="H218" s="1376"/>
      <c r="I218" s="1382" t="str">
        <f ca="1">IF(COUNT(H218:O218)=0,"",(SUM(H218:O218)/COUNT(H218:O218)))</f>
        <v/>
      </c>
      <c r="J218" s="1383"/>
      <c r="K218" s="1373"/>
      <c r="L218" s="1413"/>
      <c r="M218" s="1376"/>
      <c r="N218" s="1432"/>
      <c r="O218" s="1432"/>
      <c r="P218" s="1373"/>
      <c r="Q218" s="3387"/>
      <c r="R218" s="3363"/>
    </row>
    <row r="219" spans="1:18">
      <c r="A219" s="1042"/>
      <c r="B219" s="1042"/>
      <c r="C219" s="1042"/>
      <c r="D219" s="1412" t="s">
        <v>1080</v>
      </c>
      <c r="E219" s="2124" t="s">
        <v>1508</v>
      </c>
      <c r="F219" s="1378" t="s">
        <v>1511</v>
      </c>
      <c r="G219" s="1378"/>
      <c r="H219" s="1379">
        <v>3.5</v>
      </c>
      <c r="I219" s="198"/>
      <c r="J219" s="6"/>
      <c r="K219" s="1307">
        <f>H219*K195</f>
        <v>1.9424999999999999</v>
      </c>
      <c r="L219" s="1335">
        <f t="shared" ref="L219" si="8">$K$152*K219</f>
        <v>0</v>
      </c>
      <c r="M219" s="1499">
        <v>6.35</v>
      </c>
      <c r="N219" s="1701"/>
      <c r="O219" s="1290">
        <f>H219*M219</f>
        <v>22.224999999999998</v>
      </c>
      <c r="P219" s="1332">
        <f>M219*K219</f>
        <v>12.334874999999998</v>
      </c>
      <c r="Q219" s="3391"/>
    </row>
    <row r="220" spans="1:18">
      <c r="A220" s="1042"/>
      <c r="C220" s="1042"/>
      <c r="D220" s="1440"/>
      <c r="E220" s="2132"/>
      <c r="F220" s="1441"/>
      <c r="G220" s="1441"/>
      <c r="H220" s="1442"/>
      <c r="I220" s="197" t="str">
        <f ca="1">IF(COUNT(H220:O220)=0,"",(SUM(H220:O220)/COUNT(H220:O220)))</f>
        <v/>
      </c>
      <c r="J220" s="198"/>
      <c r="K220" s="1307"/>
      <c r="L220" s="1335" t="str">
        <f>IF(COUNT(#REF!)=0,"",IF(#REF!="","",(#REF!*#REF!)))</f>
        <v/>
      </c>
      <c r="M220" s="1499"/>
      <c r="N220" s="1701"/>
      <c r="O220" s="1290"/>
      <c r="P220" s="1332"/>
      <c r="Q220" s="3391"/>
      <c r="R220" s="3363"/>
    </row>
    <row r="221" spans="1:18">
      <c r="A221" s="1042"/>
      <c r="C221" s="223"/>
      <c r="D221" s="1440"/>
      <c r="E221" s="2132"/>
      <c r="F221" s="1441"/>
      <c r="G221" s="1441"/>
      <c r="H221" s="1442"/>
      <c r="I221" s="197" t="str">
        <f ca="1">IF(COUNT(H221:O221)=0,"",(SUM(H221:O221)/COUNT(H221:O221)))</f>
        <v/>
      </c>
      <c r="J221" s="198"/>
      <c r="K221" s="1307"/>
      <c r="L221" s="1335" t="str">
        <f>IF(COUNT(K220)=0,"",IF(#REF!="","",(K220*#REF!)))</f>
        <v/>
      </c>
      <c r="M221" s="1499"/>
      <c r="N221" s="1701"/>
      <c r="O221" s="1290"/>
      <c r="P221" s="1332"/>
      <c r="Q221" s="3391"/>
      <c r="R221" s="3363"/>
    </row>
    <row r="222" spans="1:18" ht="15" customHeight="1">
      <c r="A222" s="88" t="s">
        <v>3764</v>
      </c>
      <c r="B222" s="4367" t="s">
        <v>1499</v>
      </c>
      <c r="C222" s="3350"/>
      <c r="D222" s="4327"/>
      <c r="E222" s="4329" t="s">
        <v>1504</v>
      </c>
      <c r="F222" s="4338" t="s">
        <v>1506</v>
      </c>
      <c r="G222" s="4331" t="s">
        <v>1568</v>
      </c>
      <c r="H222" s="4331" t="s">
        <v>1574</v>
      </c>
      <c r="I222" s="1572" t="s">
        <v>1559</v>
      </c>
      <c r="J222" s="1294" t="s">
        <v>1560</v>
      </c>
      <c r="K222" s="1294" t="s">
        <v>1561</v>
      </c>
      <c r="L222" s="4333" t="s">
        <v>3765</v>
      </c>
      <c r="M222" s="4335" t="s">
        <v>1571</v>
      </c>
      <c r="N222" s="4323" t="s">
        <v>1776</v>
      </c>
      <c r="O222" s="3347" t="s">
        <v>1563</v>
      </c>
      <c r="P222" s="1336" t="s">
        <v>1562</v>
      </c>
      <c r="Q222" s="3389"/>
      <c r="R222" s="1699" t="s">
        <v>1327</v>
      </c>
    </row>
    <row r="223" spans="1:18">
      <c r="A223" s="1320" t="s">
        <v>2803</v>
      </c>
      <c r="B223" s="4369"/>
      <c r="C223" s="3351"/>
      <c r="D223" s="4328"/>
      <c r="E223" s="4330"/>
      <c r="F223" s="4338"/>
      <c r="G223" s="4332"/>
      <c r="H223" s="4332"/>
      <c r="I223" s="1345">
        <v>0.4</v>
      </c>
      <c r="J223" s="1307">
        <v>0.185</v>
      </c>
      <c r="K223" s="1297">
        <f>I223*J223</f>
        <v>7.3999999999999996E-2</v>
      </c>
      <c r="L223" s="4334"/>
      <c r="M223" s="4335"/>
      <c r="N223" s="4324"/>
      <c r="O223" s="1298">
        <f>O225+O228+O227+O229+O226+O230+O235+O242+O246+O241+O247</f>
        <v>677.01845667999999</v>
      </c>
      <c r="P223" s="1337">
        <f>O223*K223</f>
        <v>50.099365794319993</v>
      </c>
      <c r="Q223" s="3390"/>
      <c r="R223" s="1721">
        <f>P225+P228+P227+P226+P229+P230+P235+P242+P246+P241+P247</f>
        <v>50.09919631508</v>
      </c>
    </row>
    <row r="224" spans="1:18">
      <c r="A224" s="1042"/>
      <c r="C224" s="551"/>
      <c r="D224" s="1367"/>
      <c r="E224" s="2121"/>
      <c r="F224" s="1368" t="s">
        <v>1</v>
      </c>
      <c r="G224" s="1368"/>
      <c r="H224" s="1369"/>
      <c r="I224" s="1391"/>
      <c r="J224" s="1369"/>
      <c r="K224" s="1367"/>
      <c r="L224" s="1554"/>
      <c r="M224" s="1369"/>
      <c r="N224" s="1369"/>
      <c r="O224" s="1369"/>
      <c r="P224" s="1367"/>
      <c r="Q224" s="3387"/>
      <c r="R224" s="1721"/>
    </row>
    <row r="225" spans="1:18">
      <c r="A225" s="1042"/>
      <c r="C225" s="553"/>
      <c r="D225" s="2362" t="s">
        <v>1095</v>
      </c>
      <c r="E225" s="2133" t="s">
        <v>1517</v>
      </c>
      <c r="F225" s="1434" t="s">
        <v>1520</v>
      </c>
      <c r="G225" s="1435">
        <v>0.48599999999999999</v>
      </c>
      <c r="H225" s="1435"/>
      <c r="I225" s="197"/>
      <c r="J225" s="198"/>
      <c r="K225" s="1307">
        <f>G225*$K$223</f>
        <v>3.5963999999999996E-2</v>
      </c>
      <c r="L225" s="1335">
        <f t="shared" ref="L225:L247" si="9">$K$152*K225</f>
        <v>0</v>
      </c>
      <c r="M225" s="1499">
        <v>56.63</v>
      </c>
      <c r="N225" s="1701"/>
      <c r="O225" s="1290">
        <f>G225*M225</f>
        <v>27.522180000000002</v>
      </c>
      <c r="P225" s="1332">
        <f>M225*K225</f>
        <v>2.0366413199999998</v>
      </c>
      <c r="Q225" s="3391"/>
      <c r="R225" s="1721"/>
    </row>
    <row r="226" spans="1:18">
      <c r="A226" s="1042"/>
      <c r="C226" s="553"/>
      <c r="D226" s="2362" t="s">
        <v>1101</v>
      </c>
      <c r="E226" s="2133" t="s">
        <v>1521</v>
      </c>
      <c r="F226" s="2361" t="s">
        <v>1522</v>
      </c>
      <c r="G226" s="2360">
        <v>1.0840000000000001</v>
      </c>
      <c r="H226" s="2360"/>
      <c r="I226" s="197"/>
      <c r="J226" s="198"/>
      <c r="K226" s="1307">
        <f>G226*$K$223</f>
        <v>8.0215999999999996E-2</v>
      </c>
      <c r="L226" s="1335">
        <f>$K$152*K226</f>
        <v>0</v>
      </c>
      <c r="M226" s="1499">
        <v>73.92</v>
      </c>
      <c r="N226" s="1701"/>
      <c r="O226" s="1290">
        <f>G226*M226</f>
        <v>80.129280000000008</v>
      </c>
      <c r="P226" s="1332">
        <f>M226*K226</f>
        <v>5.9295667199999995</v>
      </c>
      <c r="Q226" s="3391"/>
      <c r="R226" s="1721"/>
    </row>
    <row r="227" spans="1:18">
      <c r="A227" s="1042"/>
      <c r="C227" s="553"/>
      <c r="D227" s="2362" t="s">
        <v>1529</v>
      </c>
      <c r="E227" s="2133" t="s">
        <v>1504</v>
      </c>
      <c r="F227" s="1434" t="s">
        <v>1530</v>
      </c>
      <c r="G227" s="2359">
        <v>1</v>
      </c>
      <c r="H227" s="2359"/>
      <c r="I227" s="197"/>
      <c r="J227" s="198"/>
      <c r="K227" s="1307">
        <f>G227*$K$223</f>
        <v>7.3999999999999996E-2</v>
      </c>
      <c r="L227" s="1335">
        <f t="shared" si="9"/>
        <v>0</v>
      </c>
      <c r="M227" s="1499">
        <v>6.38</v>
      </c>
      <c r="N227" s="1701"/>
      <c r="O227" s="1290">
        <f>G227*M227</f>
        <v>6.38</v>
      </c>
      <c r="P227" s="1332">
        <f>M227*K227</f>
        <v>0.47211999999999998</v>
      </c>
      <c r="Q227" s="3391"/>
      <c r="R227" s="1721"/>
    </row>
    <row r="228" spans="1:18">
      <c r="A228" s="1042"/>
      <c r="C228" s="553"/>
      <c r="D228" s="1367" t="s">
        <v>1098</v>
      </c>
      <c r="E228" s="2133" t="s">
        <v>1507</v>
      </c>
      <c r="F228" s="1436" t="s">
        <v>1525</v>
      </c>
      <c r="G228" s="1435">
        <v>1.21</v>
      </c>
      <c r="H228" s="1435"/>
      <c r="I228" s="197"/>
      <c r="J228" s="198"/>
      <c r="K228" s="1307">
        <f>G228*$K$223</f>
        <v>8.9539999999999995E-2</v>
      </c>
      <c r="L228" s="1335">
        <f>$K$152*K228</f>
        <v>0</v>
      </c>
      <c r="M228" s="1499">
        <v>26.13</v>
      </c>
      <c r="N228" s="1701"/>
      <c r="O228" s="1290">
        <f>G228*M228</f>
        <v>31.617299999999997</v>
      </c>
      <c r="P228" s="1332">
        <f>M228*K228</f>
        <v>2.3396801999999997</v>
      </c>
      <c r="Q228" s="3391"/>
      <c r="R228" s="1721"/>
    </row>
    <row r="229" spans="1:18">
      <c r="A229" s="1042"/>
      <c r="C229" s="553"/>
      <c r="D229" s="2362" t="s">
        <v>2804</v>
      </c>
      <c r="E229" s="2133" t="s">
        <v>1504</v>
      </c>
      <c r="F229" s="2361" t="s">
        <v>2805</v>
      </c>
      <c r="G229" s="2360">
        <v>4</v>
      </c>
      <c r="H229" s="2360"/>
      <c r="I229" s="197"/>
      <c r="J229" s="198"/>
      <c r="K229" s="1307">
        <f>G229*$K$223</f>
        <v>0.29599999999999999</v>
      </c>
      <c r="L229" s="1335">
        <f t="shared" si="9"/>
        <v>0</v>
      </c>
      <c r="M229" s="1499">
        <v>6.53</v>
      </c>
      <c r="N229" s="1701"/>
      <c r="O229" s="1290">
        <f>G229*M229</f>
        <v>26.12</v>
      </c>
      <c r="P229" s="1332">
        <f>M229*K229</f>
        <v>1.9328799999999999</v>
      </c>
      <c r="Q229" s="3391"/>
      <c r="R229" s="1721"/>
    </row>
    <row r="230" spans="1:18">
      <c r="A230" s="1042"/>
      <c r="C230" s="1356" t="s">
        <v>1100</v>
      </c>
      <c r="D230" s="1311"/>
      <c r="E230" s="2131" t="s">
        <v>1517</v>
      </c>
      <c r="F230" s="1318" t="s">
        <v>1518</v>
      </c>
      <c r="G230" s="1830"/>
      <c r="H230" s="1830">
        <v>6.2E-2</v>
      </c>
      <c r="I230" s="1444"/>
      <c r="J230" s="1388"/>
      <c r="K230" s="1445"/>
      <c r="L230" s="1445"/>
      <c r="M230" s="1500"/>
      <c r="N230" s="1447">
        <f>SUM(N231:N234)</f>
        <v>67.452539999999999</v>
      </c>
      <c r="O230" s="1447">
        <f>SUM(O231:O234)</f>
        <v>4.1846966800000001</v>
      </c>
      <c r="P230" s="1447">
        <f>SUM(P231:P234)</f>
        <v>0.30947225351999996</v>
      </c>
      <c r="Q230" s="3391"/>
      <c r="R230" s="1721"/>
    </row>
    <row r="231" spans="1:18">
      <c r="A231" s="1042"/>
      <c r="C231" s="1327"/>
      <c r="D231" s="1396" t="s">
        <v>1069</v>
      </c>
      <c r="E231" s="1856" t="s">
        <v>1517</v>
      </c>
      <c r="F231" s="1397" t="s">
        <v>1578</v>
      </c>
      <c r="G231" s="1398">
        <v>0.26800000000000002</v>
      </c>
      <c r="H231" s="1399">
        <f>$H$230*G231</f>
        <v>1.6616000000000002E-2</v>
      </c>
      <c r="I231" s="197"/>
      <c r="J231" s="198"/>
      <c r="K231" s="1307">
        <f>H231*$K$223</f>
        <v>1.2295840000000001E-3</v>
      </c>
      <c r="L231" s="1335">
        <f t="shared" si="9"/>
        <v>0</v>
      </c>
      <c r="M231" s="1499">
        <v>0.55000000000000004</v>
      </c>
      <c r="N231" s="1718">
        <f>G231*M231</f>
        <v>0.14740000000000003</v>
      </c>
      <c r="O231" s="1719">
        <f>H231*M231</f>
        <v>9.1388000000000025E-3</v>
      </c>
      <c r="P231" s="1720">
        <f>M231*K231</f>
        <v>6.7627120000000017E-4</v>
      </c>
      <c r="Q231" s="3396"/>
      <c r="R231" s="1721"/>
    </row>
    <row r="232" spans="1:18">
      <c r="A232" s="1042"/>
      <c r="C232" s="1320"/>
      <c r="D232" s="1400" t="s">
        <v>1394</v>
      </c>
      <c r="E232" s="1856" t="s">
        <v>1577</v>
      </c>
      <c r="F232" s="1397" t="s">
        <v>1579</v>
      </c>
      <c r="G232" s="1398">
        <v>0.45300000000000001</v>
      </c>
      <c r="H232" s="1399">
        <f>$H$230*G232</f>
        <v>2.8086E-2</v>
      </c>
      <c r="I232" s="197"/>
      <c r="J232" s="198"/>
      <c r="K232" s="1307">
        <f>H232*$K$223</f>
        <v>2.0783640000000001E-3</v>
      </c>
      <c r="L232" s="1335">
        <f t="shared" si="9"/>
        <v>0</v>
      </c>
      <c r="M232" s="1499">
        <v>92.54</v>
      </c>
      <c r="N232" s="1718">
        <f>G232*M232</f>
        <v>41.920620000000007</v>
      </c>
      <c r="O232" s="1290">
        <f>H232*M232</f>
        <v>2.59907844</v>
      </c>
      <c r="P232" s="1332">
        <f>M232*K232</f>
        <v>0.19233180456000001</v>
      </c>
      <c r="Q232" s="3391"/>
      <c r="R232" s="1721"/>
    </row>
    <row r="233" spans="1:18">
      <c r="A233" s="1042"/>
      <c r="C233" s="1320"/>
      <c r="D233" s="1400" t="s">
        <v>1576</v>
      </c>
      <c r="E233" s="1856" t="s">
        <v>1517</v>
      </c>
      <c r="F233" s="1397" t="s">
        <v>1580</v>
      </c>
      <c r="G233" s="1401">
        <v>1.004</v>
      </c>
      <c r="H233" s="1399">
        <f>$H$230*G233</f>
        <v>6.2247999999999998E-2</v>
      </c>
      <c r="I233" s="197"/>
      <c r="J233" s="198"/>
      <c r="K233" s="1307">
        <f>H233*$K$223</f>
        <v>4.6063519999999993E-3</v>
      </c>
      <c r="L233" s="1335">
        <f t="shared" si="9"/>
        <v>0</v>
      </c>
      <c r="M233" s="1499">
        <v>6.53</v>
      </c>
      <c r="N233" s="1718">
        <f>G233*M233</f>
        <v>6.5561199999999999</v>
      </c>
      <c r="O233" s="1290">
        <f>H233*M233</f>
        <v>0.40647944000000003</v>
      </c>
      <c r="P233" s="1332">
        <f>M233*K233</f>
        <v>3.0079478559999998E-2</v>
      </c>
      <c r="Q233" s="3391"/>
      <c r="R233" s="1721"/>
    </row>
    <row r="234" spans="1:18">
      <c r="A234" s="1042"/>
      <c r="C234" s="1320"/>
      <c r="D234" s="1404" t="s">
        <v>1067</v>
      </c>
      <c r="E234" s="1857" t="s">
        <v>1508</v>
      </c>
      <c r="F234" s="1403" t="s">
        <v>1512</v>
      </c>
      <c r="G234" s="1408">
        <v>1.03</v>
      </c>
      <c r="H234" s="1408">
        <f>$H$230*G234</f>
        <v>6.386E-2</v>
      </c>
      <c r="I234" s="197"/>
      <c r="J234" s="198"/>
      <c r="K234" s="1307">
        <f>H234*$K$223</f>
        <v>4.7256399999999997E-3</v>
      </c>
      <c r="L234" s="1335">
        <f t="shared" si="9"/>
        <v>0</v>
      </c>
      <c r="M234" s="1499">
        <v>18.28</v>
      </c>
      <c r="N234" s="1718">
        <f>G234*M234</f>
        <v>18.828400000000002</v>
      </c>
      <c r="O234" s="1290">
        <f>ROUND(H234*M234,2)</f>
        <v>1.17</v>
      </c>
      <c r="P234" s="1332">
        <f>M234*K234</f>
        <v>8.6384699199999998E-2</v>
      </c>
      <c r="Q234" s="3391"/>
      <c r="R234" s="1721"/>
    </row>
    <row r="235" spans="1:18">
      <c r="A235" s="1042"/>
      <c r="C235" s="1356" t="s">
        <v>1127</v>
      </c>
      <c r="D235" s="1311"/>
      <c r="E235" s="2131" t="s">
        <v>1517</v>
      </c>
      <c r="F235" s="1318" t="s">
        <v>1519</v>
      </c>
      <c r="G235" s="1352"/>
      <c r="H235" s="1344">
        <v>0.45800000000000002</v>
      </c>
      <c r="I235" s="1444"/>
      <c r="J235" s="1388"/>
      <c r="K235" s="1445"/>
      <c r="L235" s="1445"/>
      <c r="M235" s="1500"/>
      <c r="N235" s="1447">
        <f>SUM(N236:N239)</f>
        <v>50.044430000000006</v>
      </c>
      <c r="O235" s="1447">
        <f>SUM(O236:O239)</f>
        <v>22.92</v>
      </c>
      <c r="P235" s="1447">
        <f>SUM(P236:P239)</f>
        <v>1.6961058215600002</v>
      </c>
      <c r="Q235" s="3391"/>
      <c r="R235" s="1721"/>
    </row>
    <row r="236" spans="1:18">
      <c r="A236" s="1042"/>
      <c r="C236" s="1327"/>
      <c r="D236" s="1400" t="s">
        <v>1069</v>
      </c>
      <c r="E236" s="1856" t="s">
        <v>1517</v>
      </c>
      <c r="F236" s="1397" t="s">
        <v>1578</v>
      </c>
      <c r="G236" s="1416">
        <v>0.26300000000000001</v>
      </c>
      <c r="H236" s="1399">
        <f>$H$235*G236</f>
        <v>0.12045400000000001</v>
      </c>
      <c r="I236" s="197"/>
      <c r="J236" s="198"/>
      <c r="K236" s="1307">
        <f>H236*$K$223</f>
        <v>8.9135959999999993E-3</v>
      </c>
      <c r="L236" s="1335">
        <f t="shared" si="9"/>
        <v>0</v>
      </c>
      <c r="M236" s="1499">
        <v>0.55000000000000004</v>
      </c>
      <c r="N236" s="1718">
        <f>G236*M236</f>
        <v>0.14465000000000003</v>
      </c>
      <c r="O236" s="1719">
        <f>ROUND(H236*M236,2)</f>
        <v>7.0000000000000007E-2</v>
      </c>
      <c r="P236" s="1720">
        <f>M236*K236</f>
        <v>4.9024778E-3</v>
      </c>
      <c r="Q236" s="3396"/>
      <c r="R236" s="1721"/>
    </row>
    <row r="237" spans="1:18">
      <c r="A237" s="1042"/>
      <c r="C237" s="1320"/>
      <c r="D237" s="1400" t="s">
        <v>1394</v>
      </c>
      <c r="E237" s="1856" t="s">
        <v>1577</v>
      </c>
      <c r="F237" s="1397" t="s">
        <v>1579</v>
      </c>
      <c r="G237" s="1416">
        <v>0.25800000000000001</v>
      </c>
      <c r="H237" s="1399">
        <f>$H$235*G237</f>
        <v>0.11816400000000001</v>
      </c>
      <c r="I237" s="197"/>
      <c r="J237" s="198"/>
      <c r="K237" s="1307">
        <f>H237*$K$223</f>
        <v>8.7441359999999996E-3</v>
      </c>
      <c r="L237" s="1335">
        <f t="shared" si="9"/>
        <v>0</v>
      </c>
      <c r="M237" s="1499">
        <v>92.54</v>
      </c>
      <c r="N237" s="1718">
        <f>G237*M237</f>
        <v>23.875320000000002</v>
      </c>
      <c r="O237" s="1719">
        <f>ROUND(H237*M237,2)</f>
        <v>10.93</v>
      </c>
      <c r="P237" s="1720">
        <f>M237*K237</f>
        <v>0.80918234544000001</v>
      </c>
      <c r="Q237" s="3396"/>
      <c r="R237" s="1721"/>
    </row>
    <row r="238" spans="1:18">
      <c r="A238" s="1042"/>
      <c r="C238" s="1320"/>
      <c r="D238" s="1400" t="s">
        <v>1576</v>
      </c>
      <c r="E238" s="1856" t="s">
        <v>1517</v>
      </c>
      <c r="F238" s="1397" t="s">
        <v>1580</v>
      </c>
      <c r="G238" s="1416">
        <v>1.1020000000000001</v>
      </c>
      <c r="H238" s="1399">
        <f>$H$235*G238</f>
        <v>0.50471600000000005</v>
      </c>
      <c r="I238" s="197"/>
      <c r="J238" s="198"/>
      <c r="K238" s="1307">
        <f>H238*$K$223</f>
        <v>3.7348984000000002E-2</v>
      </c>
      <c r="L238" s="1335">
        <f t="shared" si="9"/>
        <v>0</v>
      </c>
      <c r="M238" s="1499">
        <v>6.53</v>
      </c>
      <c r="N238" s="1718">
        <f>G238*M238</f>
        <v>7.196060000000001</v>
      </c>
      <c r="O238" s="1719">
        <f>ROUND(H238*M238,2)</f>
        <v>3.3</v>
      </c>
      <c r="P238" s="1720">
        <f>M238*K238</f>
        <v>0.24388886552000003</v>
      </c>
      <c r="Q238" s="3396"/>
      <c r="R238" s="1721"/>
    </row>
    <row r="239" spans="1:18">
      <c r="A239" s="1042"/>
      <c r="C239" s="1320"/>
      <c r="D239" s="1404" t="s">
        <v>1067</v>
      </c>
      <c r="E239" s="1857" t="s">
        <v>1508</v>
      </c>
      <c r="F239" s="1406" t="s">
        <v>1512</v>
      </c>
      <c r="G239" s="1407">
        <v>1.03</v>
      </c>
      <c r="H239" s="1408">
        <f>$H$235*G239</f>
        <v>0.47174000000000005</v>
      </c>
      <c r="I239" s="197"/>
      <c r="J239" s="198"/>
      <c r="K239" s="1307">
        <f>H239*$K$223</f>
        <v>3.4908760000000004E-2</v>
      </c>
      <c r="L239" s="1335">
        <f t="shared" si="9"/>
        <v>0</v>
      </c>
      <c r="M239" s="1499">
        <v>18.28</v>
      </c>
      <c r="N239" s="1718">
        <f>G239*M239</f>
        <v>18.828400000000002</v>
      </c>
      <c r="O239" s="1719">
        <f>ROUND(H239*M239,2)</f>
        <v>8.6199999999999992</v>
      </c>
      <c r="P239" s="1720">
        <f>M239*K239</f>
        <v>0.63813213280000014</v>
      </c>
      <c r="Q239" s="3396"/>
      <c r="R239" s="1721"/>
    </row>
    <row r="240" spans="1:18">
      <c r="A240" s="1042"/>
      <c r="C240" s="1042"/>
      <c r="D240" s="1404"/>
      <c r="E240" s="1858"/>
      <c r="F240" s="1360" t="s">
        <v>2</v>
      </c>
      <c r="G240" s="1360"/>
      <c r="H240" s="1362"/>
      <c r="I240" s="1380"/>
      <c r="J240" s="1381"/>
      <c r="K240" s="1359" t="str">
        <f>IF(COUNT(#REF!)=0,"",IF(#REF!="","",(#REF!*#REF!)))</f>
        <v/>
      </c>
      <c r="L240" s="1359"/>
      <c r="M240" s="1502"/>
      <c r="N240" s="1702"/>
      <c r="O240" s="1429"/>
      <c r="P240" s="1359"/>
      <c r="Q240" s="3387"/>
      <c r="R240" s="1721"/>
    </row>
    <row r="241" spans="1:19">
      <c r="A241" s="1042"/>
      <c r="C241" s="1161"/>
      <c r="D241" s="1437" t="s">
        <v>1067</v>
      </c>
      <c r="E241" s="2134" t="s">
        <v>1508</v>
      </c>
      <c r="F241" s="1438" t="s">
        <v>1512</v>
      </c>
      <c r="G241" s="1438"/>
      <c r="H241" s="1439">
        <f>1.45+3.5</f>
        <v>4.95</v>
      </c>
      <c r="I241" s="197"/>
      <c r="J241" s="198"/>
      <c r="K241" s="1307">
        <f>H241*$K$223</f>
        <v>0.36630000000000001</v>
      </c>
      <c r="L241" s="1335">
        <f t="shared" si="9"/>
        <v>0</v>
      </c>
      <c r="M241" s="1499">
        <v>18.28</v>
      </c>
      <c r="N241" s="1701"/>
      <c r="O241" s="1290">
        <f>H241*M241</f>
        <v>90.486000000000004</v>
      </c>
      <c r="P241" s="1332">
        <f>M241*K241</f>
        <v>6.6959640000000009</v>
      </c>
      <c r="Q241" s="3391"/>
      <c r="R241" s="1721"/>
    </row>
    <row r="242" spans="1:19">
      <c r="A242" s="1042"/>
      <c r="C242" s="1358" t="s">
        <v>1523</v>
      </c>
      <c r="D242" s="1329"/>
      <c r="E242" s="2135" t="s">
        <v>1508</v>
      </c>
      <c r="F242" s="1330" t="s">
        <v>1524</v>
      </c>
      <c r="G242" s="1331"/>
      <c r="H242" s="1331">
        <f>8+1.2</f>
        <v>9.1999999999999993</v>
      </c>
      <c r="I242" s="1444"/>
      <c r="J242" s="1388"/>
      <c r="K242" s="1448"/>
      <c r="L242" s="1335">
        <f t="shared" si="9"/>
        <v>0</v>
      </c>
      <c r="M242" s="1503"/>
      <c r="N242" s="1447">
        <f>SUM(N243:N244)</f>
        <v>37.510000000000005</v>
      </c>
      <c r="O242" s="1447">
        <f>SUM(O243:O244)</f>
        <v>345.09199999999998</v>
      </c>
      <c r="P242" s="1447">
        <f>SUM(P243:P244)</f>
        <v>25.536808000000001</v>
      </c>
      <c r="Q242" s="3391"/>
      <c r="R242" s="1721"/>
    </row>
    <row r="243" spans="1:19">
      <c r="A243" s="1042"/>
      <c r="C243" s="1042"/>
      <c r="D243" s="1402" t="s">
        <v>1067</v>
      </c>
      <c r="E243" s="1857" t="s">
        <v>1508</v>
      </c>
      <c r="F243" s="1430" t="s">
        <v>5</v>
      </c>
      <c r="G243" s="1362">
        <v>1</v>
      </c>
      <c r="H243" s="1362">
        <f>$H$242*G243</f>
        <v>9.1999999999999993</v>
      </c>
      <c r="I243" s="197"/>
      <c r="J243" s="198"/>
      <c r="K243" s="1307">
        <f>H243*$K$223</f>
        <v>0.68079999999999996</v>
      </c>
      <c r="L243" s="1335">
        <f t="shared" si="9"/>
        <v>0</v>
      </c>
      <c r="M243" s="1499">
        <v>18.28</v>
      </c>
      <c r="N243" s="1718">
        <f>G243*M243</f>
        <v>18.28</v>
      </c>
      <c r="O243" s="1746">
        <f>H243*M243</f>
        <v>168.17599999999999</v>
      </c>
      <c r="P243" s="1720">
        <f>M243*K243</f>
        <v>12.445024</v>
      </c>
      <c r="Q243" s="3396"/>
      <c r="R243" s="1721"/>
    </row>
    <row r="244" spans="1:19">
      <c r="A244" s="1042"/>
      <c r="C244" s="1042"/>
      <c r="D244" s="1402" t="s">
        <v>1077</v>
      </c>
      <c r="E244" s="1857" t="s">
        <v>1508</v>
      </c>
      <c r="F244" s="1430" t="s">
        <v>37</v>
      </c>
      <c r="G244" s="1362">
        <v>1</v>
      </c>
      <c r="H244" s="1362">
        <f>$H$242*G244</f>
        <v>9.1999999999999993</v>
      </c>
      <c r="I244" s="197"/>
      <c r="J244" s="198"/>
      <c r="K244" s="1307">
        <f>H244*$K$223</f>
        <v>0.68079999999999996</v>
      </c>
      <c r="L244" s="1335">
        <f t="shared" si="9"/>
        <v>0</v>
      </c>
      <c r="M244" s="1499">
        <v>19.23</v>
      </c>
      <c r="N244" s="1718">
        <f>G244*M244</f>
        <v>19.23</v>
      </c>
      <c r="O244" s="1746">
        <f>H244*M244</f>
        <v>176.916</v>
      </c>
      <c r="P244" s="1720">
        <f>M244*K244</f>
        <v>13.091783999999999</v>
      </c>
      <c r="Q244" s="3396"/>
      <c r="R244" s="1721"/>
    </row>
    <row r="245" spans="1:19">
      <c r="A245" s="1042"/>
      <c r="C245" s="1042"/>
      <c r="D245" s="1411"/>
      <c r="E245" s="2123"/>
      <c r="F245" s="1374" t="s">
        <v>3</v>
      </c>
      <c r="G245" s="1374"/>
      <c r="H245" s="1376"/>
      <c r="I245" s="1382"/>
      <c r="J245" s="1383"/>
      <c r="K245" s="1373" t="str">
        <f>IF(COUNT(#REF!)=0,"",IF(#REF!="","",(#REF!*#REF!)))</f>
        <v/>
      </c>
      <c r="L245" s="1373"/>
      <c r="M245" s="1505"/>
      <c r="N245" s="1704"/>
      <c r="O245" s="1432"/>
      <c r="P245" s="1373"/>
      <c r="Q245" s="3387"/>
      <c r="R245" s="1721"/>
    </row>
    <row r="246" spans="1:19">
      <c r="A246" s="1042"/>
      <c r="C246" s="1042"/>
      <c r="D246" s="1440" t="s">
        <v>1068</v>
      </c>
      <c r="E246" s="2132" t="s">
        <v>1508</v>
      </c>
      <c r="F246" s="1441" t="s">
        <v>1531</v>
      </c>
      <c r="G246" s="1442">
        <v>0.4</v>
      </c>
      <c r="H246" s="1442"/>
      <c r="I246" s="197"/>
      <c r="J246" s="198"/>
      <c r="K246" s="1307">
        <f>G246*$K$223</f>
        <v>2.9600000000000001E-2</v>
      </c>
      <c r="L246" s="1335">
        <f t="shared" si="9"/>
        <v>0</v>
      </c>
      <c r="M246" s="1499">
        <v>34.979999999999997</v>
      </c>
      <c r="N246" s="1701"/>
      <c r="O246" s="1290">
        <f>G246*M246</f>
        <v>13.991999999999999</v>
      </c>
      <c r="P246" s="1332">
        <f>M246*K246</f>
        <v>1.0354079999999999</v>
      </c>
      <c r="Q246" s="3391"/>
      <c r="R246" s="1721"/>
    </row>
    <row r="247" spans="1:19">
      <c r="A247" s="1042"/>
      <c r="B247" s="1042"/>
      <c r="C247" s="1042"/>
      <c r="D247" s="1412" t="s">
        <v>1080</v>
      </c>
      <c r="E247" s="2124" t="s">
        <v>1508</v>
      </c>
      <c r="F247" s="1378" t="s">
        <v>1511</v>
      </c>
      <c r="G247" s="2200">
        <v>4.5</v>
      </c>
      <c r="H247" s="1379"/>
      <c r="I247" s="198"/>
      <c r="J247" s="6"/>
      <c r="K247" s="1307">
        <f>G247*$K$223</f>
        <v>0.33299999999999996</v>
      </c>
      <c r="L247" s="1335">
        <f t="shared" si="9"/>
        <v>0</v>
      </c>
      <c r="M247" s="1499">
        <v>6.35</v>
      </c>
      <c r="N247" s="1701"/>
      <c r="O247" s="1290">
        <f>G247*M247</f>
        <v>28.574999999999999</v>
      </c>
      <c r="P247" s="1332">
        <f>M247*K247</f>
        <v>2.1145499999999995</v>
      </c>
      <c r="Q247" s="3391"/>
    </row>
    <row r="248" spans="1:19">
      <c r="A248" s="1042"/>
      <c r="C248" s="223"/>
      <c r="D248" s="1440"/>
      <c r="E248" s="2132"/>
      <c r="F248" s="1441"/>
      <c r="G248" s="1441"/>
      <c r="H248" s="1442"/>
      <c r="I248" s="197" t="str">
        <f ca="1">IF(COUNT(H248:O248)=0,"",(SUM(H248:O248)/COUNT(H248:O248)))</f>
        <v/>
      </c>
      <c r="J248" s="198"/>
      <c r="K248" s="1307"/>
      <c r="L248" s="1335" t="str">
        <f>IF(COUNT(#REF!)=0,"",IF(#REF!="","",(#REF!*#REF!)))</f>
        <v/>
      </c>
      <c r="M248" s="1499"/>
      <c r="N248" s="1701"/>
      <c r="O248" s="1290"/>
      <c r="P248" s="1332"/>
      <c r="Q248" s="3391"/>
      <c r="R248" s="2338"/>
    </row>
    <row r="249" spans="1:19" ht="15" customHeight="1">
      <c r="A249" s="88" t="s">
        <v>3764</v>
      </c>
      <c r="B249" s="4367" t="s">
        <v>1500</v>
      </c>
      <c r="C249" s="3350"/>
      <c r="D249" s="4327"/>
      <c r="E249" s="4329" t="s">
        <v>1507</v>
      </c>
      <c r="F249" s="4338" t="s">
        <v>1501</v>
      </c>
      <c r="G249" s="4331" t="s">
        <v>1568</v>
      </c>
      <c r="H249" s="4331" t="s">
        <v>1574</v>
      </c>
      <c r="I249" s="1572" t="s">
        <v>1559</v>
      </c>
      <c r="J249" s="1294" t="s">
        <v>1560</v>
      </c>
      <c r="K249" s="1294" t="s">
        <v>1561</v>
      </c>
      <c r="L249" s="4333" t="s">
        <v>3765</v>
      </c>
      <c r="M249" s="4335" t="s">
        <v>1571</v>
      </c>
      <c r="N249" s="4323" t="s">
        <v>1776</v>
      </c>
      <c r="O249" s="3347" t="s">
        <v>1563</v>
      </c>
      <c r="P249" s="1336" t="s">
        <v>1562</v>
      </c>
      <c r="Q249" s="3389"/>
      <c r="R249" s="1699" t="s">
        <v>1327</v>
      </c>
    </row>
    <row r="250" spans="1:19">
      <c r="A250" s="1320" t="s">
        <v>2803</v>
      </c>
      <c r="B250" s="4369"/>
      <c r="C250" s="3351"/>
      <c r="D250" s="4328"/>
      <c r="E250" s="4330"/>
      <c r="F250" s="4338"/>
      <c r="G250" s="4332"/>
      <c r="H250" s="4332"/>
      <c r="I250" s="1345">
        <v>8.6999999999999993</v>
      </c>
      <c r="J250" s="1307">
        <v>0.185</v>
      </c>
      <c r="K250" s="1297">
        <f>I250*J250</f>
        <v>1.6094999999999999</v>
      </c>
      <c r="L250" s="4334"/>
      <c r="M250" s="4335"/>
      <c r="N250" s="4324"/>
      <c r="O250" s="1298">
        <f>SUM(O252:O268)</f>
        <v>92.61911000000002</v>
      </c>
      <c r="P250" s="1337">
        <f>O250*K250</f>
        <v>149.07045754500004</v>
      </c>
      <c r="Q250" s="3390"/>
      <c r="R250" s="1721">
        <f>SUM(P252:P268)</f>
        <v>149.07139105499999</v>
      </c>
    </row>
    <row r="251" spans="1:19">
      <c r="A251" s="1042"/>
      <c r="C251" s="18"/>
      <c r="D251" s="1449"/>
      <c r="E251" s="2121"/>
      <c r="F251" s="1368" t="s">
        <v>1</v>
      </c>
      <c r="G251" s="1368"/>
      <c r="H251" s="1369"/>
      <c r="I251" s="1409"/>
      <c r="J251" s="1391"/>
      <c r="K251" s="1367"/>
      <c r="L251" s="1554"/>
      <c r="M251" s="1369"/>
      <c r="N251" s="1369"/>
      <c r="O251" s="1369"/>
      <c r="P251" s="1367"/>
      <c r="Q251" s="3387"/>
      <c r="R251" s="2338"/>
    </row>
    <row r="252" spans="1:19">
      <c r="A252" s="1042"/>
      <c r="C252" s="1042"/>
      <c r="D252" s="1370" t="s">
        <v>1075</v>
      </c>
      <c r="E252" s="2122" t="s">
        <v>1357</v>
      </c>
      <c r="F252" s="1371" t="s">
        <v>1532</v>
      </c>
      <c r="G252" s="1372">
        <v>1</v>
      </c>
      <c r="H252" s="1372"/>
      <c r="I252" s="1286"/>
      <c r="J252" s="198"/>
      <c r="K252" s="1307">
        <f t="shared" ref="K252:K258" si="10">G252*$K$250</f>
        <v>1.6094999999999999</v>
      </c>
      <c r="L252" s="1335">
        <f>$K$152*K252</f>
        <v>0</v>
      </c>
      <c r="M252" s="1302">
        <v>0.81</v>
      </c>
      <c r="N252" s="1700"/>
      <c r="O252" s="1290">
        <f t="shared" ref="O252:O258" si="11">G252*M252</f>
        <v>0.81</v>
      </c>
      <c r="P252" s="1332">
        <f t="shared" ref="P252:P258" si="12">M252*K252</f>
        <v>1.303695</v>
      </c>
      <c r="Q252" s="3391"/>
      <c r="R252" s="2343"/>
      <c r="S252" s="106"/>
    </row>
    <row r="253" spans="1:19">
      <c r="A253" s="1042"/>
      <c r="C253" s="1042"/>
      <c r="D253" s="1370" t="s">
        <v>1533</v>
      </c>
      <c r="E253" s="2122" t="s">
        <v>1357</v>
      </c>
      <c r="F253" s="1371" t="s">
        <v>1534</v>
      </c>
      <c r="G253" s="1372">
        <v>0.99</v>
      </c>
      <c r="H253" s="1372"/>
      <c r="I253" s="1286"/>
      <c r="J253" s="198"/>
      <c r="K253" s="1307">
        <f t="shared" si="10"/>
        <v>1.593405</v>
      </c>
      <c r="L253" s="1335">
        <f t="shared" ref="L253:L258" si="13">$K$152*K253</f>
        <v>0</v>
      </c>
      <c r="M253" s="1302">
        <v>0.93</v>
      </c>
      <c r="N253" s="1700"/>
      <c r="O253" s="1290">
        <f t="shared" si="11"/>
        <v>0.92070000000000007</v>
      </c>
      <c r="P253" s="1332">
        <f t="shared" si="12"/>
        <v>1.48186665</v>
      </c>
      <c r="Q253" s="3391"/>
      <c r="R253" s="2343"/>
    </row>
    <row r="254" spans="1:19">
      <c r="A254" s="1042"/>
      <c r="C254" s="1042"/>
      <c r="D254" s="1370" t="s">
        <v>1116</v>
      </c>
      <c r="E254" s="2122" t="s">
        <v>1504</v>
      </c>
      <c r="F254" s="1371" t="s">
        <v>1535</v>
      </c>
      <c r="G254" s="1372">
        <v>5.4</v>
      </c>
      <c r="H254" s="1372"/>
      <c r="I254" s="1286"/>
      <c r="J254" s="198"/>
      <c r="K254" s="1307">
        <f t="shared" si="10"/>
        <v>8.6913</v>
      </c>
      <c r="L254" s="1335">
        <f t="shared" si="13"/>
        <v>0</v>
      </c>
      <c r="M254" s="1302">
        <v>0.84</v>
      </c>
      <c r="N254" s="1700"/>
      <c r="O254" s="1290">
        <f t="shared" si="11"/>
        <v>4.5360000000000005</v>
      </c>
      <c r="P254" s="1332">
        <f t="shared" si="12"/>
        <v>7.3006919999999997</v>
      </c>
      <c r="Q254" s="3391"/>
      <c r="R254" s="2343"/>
    </row>
    <row r="255" spans="1:19">
      <c r="A255" s="1042"/>
      <c r="C255" s="1042"/>
      <c r="D255" s="1370" t="s">
        <v>1115</v>
      </c>
      <c r="E255" s="2122" t="s">
        <v>1527</v>
      </c>
      <c r="F255" s="1371" t="s">
        <v>1536</v>
      </c>
      <c r="G255" s="1372">
        <v>1.397</v>
      </c>
      <c r="H255" s="1372"/>
      <c r="I255" s="1286"/>
      <c r="J255" s="198"/>
      <c r="K255" s="1307">
        <f t="shared" si="10"/>
        <v>2.2484715</v>
      </c>
      <c r="L255" s="1335">
        <f t="shared" si="13"/>
        <v>0</v>
      </c>
      <c r="M255" s="1302">
        <v>3.54</v>
      </c>
      <c r="N255" s="1700"/>
      <c r="O255" s="1290">
        <f t="shared" si="11"/>
        <v>4.9453800000000001</v>
      </c>
      <c r="P255" s="1332">
        <f t="shared" si="12"/>
        <v>7.9595891099999996</v>
      </c>
      <c r="Q255" s="3391"/>
      <c r="R255" s="2343"/>
    </row>
    <row r="256" spans="1:19">
      <c r="A256" s="1042"/>
      <c r="C256" s="1042"/>
      <c r="D256" s="1370" t="s">
        <v>1113</v>
      </c>
      <c r="E256" s="2122" t="s">
        <v>1517</v>
      </c>
      <c r="F256" s="1371" t="s">
        <v>1537</v>
      </c>
      <c r="G256" s="1372">
        <v>0.105</v>
      </c>
      <c r="H256" s="1372"/>
      <c r="I256" s="1286"/>
      <c r="J256" s="198"/>
      <c r="K256" s="1307">
        <f t="shared" si="10"/>
        <v>0.16899749999999999</v>
      </c>
      <c r="L256" s="1335">
        <f t="shared" si="13"/>
        <v>0</v>
      </c>
      <c r="M256" s="1302">
        <v>60.26</v>
      </c>
      <c r="N256" s="1700"/>
      <c r="O256" s="1290">
        <f t="shared" si="11"/>
        <v>6.3272999999999993</v>
      </c>
      <c r="P256" s="1332">
        <f t="shared" si="12"/>
        <v>10.18378935</v>
      </c>
      <c r="Q256" s="3391"/>
      <c r="R256" s="2343"/>
    </row>
    <row r="257" spans="1:18">
      <c r="A257" s="1042"/>
      <c r="C257" s="1042"/>
      <c r="D257" s="1370" t="s">
        <v>1114</v>
      </c>
      <c r="E257" s="2122" t="s">
        <v>1517</v>
      </c>
      <c r="F257" s="1371" t="s">
        <v>1538</v>
      </c>
      <c r="G257" s="1372">
        <v>1E-3</v>
      </c>
      <c r="H257" s="1372"/>
      <c r="I257" s="1286"/>
      <c r="J257" s="198"/>
      <c r="K257" s="1307">
        <f t="shared" si="10"/>
        <v>1.6095E-3</v>
      </c>
      <c r="L257" s="1335">
        <f t="shared" si="13"/>
        <v>0</v>
      </c>
      <c r="M257" s="1302">
        <v>225.64</v>
      </c>
      <c r="N257" s="1700"/>
      <c r="O257" s="1290">
        <f t="shared" si="11"/>
        <v>0.22563999999999998</v>
      </c>
      <c r="P257" s="1332">
        <f t="shared" si="12"/>
        <v>0.36316757999999999</v>
      </c>
      <c r="Q257" s="3391"/>
      <c r="R257" s="2343"/>
    </row>
    <row r="258" spans="1:18">
      <c r="A258" s="1042"/>
      <c r="C258" s="1042"/>
      <c r="D258" s="1370" t="s">
        <v>1082</v>
      </c>
      <c r="E258" s="2122" t="s">
        <v>1504</v>
      </c>
      <c r="F258" s="1371" t="s">
        <v>1541</v>
      </c>
      <c r="G258" s="1372">
        <v>1</v>
      </c>
      <c r="H258" s="1372"/>
      <c r="I258" s="1286"/>
      <c r="J258" s="198"/>
      <c r="K258" s="1307">
        <f t="shared" si="10"/>
        <v>1.6094999999999999</v>
      </c>
      <c r="L258" s="1335">
        <f t="shared" si="13"/>
        <v>0</v>
      </c>
      <c r="M258" s="1302">
        <v>0.3</v>
      </c>
      <c r="N258" s="1700"/>
      <c r="O258" s="1290">
        <f t="shared" si="11"/>
        <v>0.3</v>
      </c>
      <c r="P258" s="1332">
        <f t="shared" si="12"/>
        <v>0.48284999999999995</v>
      </c>
      <c r="Q258" s="3391"/>
      <c r="R258" s="2343"/>
    </row>
    <row r="259" spans="1:18">
      <c r="A259" s="1042"/>
      <c r="C259" s="1042"/>
      <c r="D259" s="1370"/>
      <c r="E259" s="2122"/>
      <c r="F259" s="1371"/>
      <c r="G259" s="1372"/>
      <c r="H259" s="1372"/>
      <c r="I259" s="1286" t="str">
        <f ca="1">IF(COUNT(G259:O259)=0,"",(SUM(G259:O259)/COUNT(G259:O259)))</f>
        <v/>
      </c>
      <c r="J259" s="198"/>
      <c r="K259" s="1307" t="str">
        <f>IF(COUNT(#REF!)=0,"",IF($S$156="","",(#REF!*$S$156)))</f>
        <v/>
      </c>
      <c r="L259" s="1335"/>
      <c r="M259" s="1302"/>
      <c r="N259" s="1700"/>
      <c r="O259" s="1290"/>
      <c r="P259" s="1332"/>
      <c r="Q259" s="3391"/>
      <c r="R259" s="2338"/>
    </row>
    <row r="260" spans="1:18">
      <c r="A260" s="1042"/>
      <c r="C260" s="1042"/>
      <c r="D260" s="1370"/>
      <c r="E260" s="2122"/>
      <c r="F260" s="1371"/>
      <c r="G260" s="1372"/>
      <c r="H260" s="1372"/>
      <c r="I260" s="1286" t="str">
        <f ca="1">IF(COUNT(G260:O260)=0,"",(SUM(G260:O260)/COUNT(G260:O260)))</f>
        <v/>
      </c>
      <c r="J260" s="198"/>
      <c r="K260" s="1307" t="str">
        <f>IF(COUNT(#REF!)=0,"",IF(#REF!="","",(#REF!*#REF!)))</f>
        <v/>
      </c>
      <c r="L260" s="1335"/>
      <c r="M260" s="1302"/>
      <c r="N260" s="1700"/>
      <c r="O260" s="1290"/>
      <c r="P260" s="1332"/>
      <c r="Q260" s="3391"/>
      <c r="R260" s="2338"/>
    </row>
    <row r="261" spans="1:18">
      <c r="A261" s="1042"/>
      <c r="C261" s="1042"/>
      <c r="D261" s="1359"/>
      <c r="E261" s="1858"/>
      <c r="F261" s="1360" t="s">
        <v>2</v>
      </c>
      <c r="G261" s="1362"/>
      <c r="H261" s="1362"/>
      <c r="I261" s="1380" t="str">
        <f ca="1">IF(COUNT(G261:O261)=0,"",(SUM(G261:O261)/COUNT(G261:O261)))</f>
        <v/>
      </c>
      <c r="J261" s="1381"/>
      <c r="K261" s="1359" t="str">
        <f>IF(COUNT(#REF!)=0,"",IF(#REF!="","",(#REF!*#REF!)))</f>
        <v/>
      </c>
      <c r="L261" s="1458"/>
      <c r="M261" s="1362"/>
      <c r="N261" s="1429"/>
      <c r="O261" s="1429"/>
      <c r="P261" s="1359"/>
      <c r="Q261" s="3387"/>
      <c r="R261" s="2338"/>
    </row>
    <row r="262" spans="1:18">
      <c r="A262" s="1042"/>
      <c r="C262" s="1042"/>
      <c r="D262" s="1363" t="s">
        <v>1077</v>
      </c>
      <c r="E262" s="2125" t="s">
        <v>1508</v>
      </c>
      <c r="F262" s="1364" t="s">
        <v>1539</v>
      </c>
      <c r="G262" s="1365">
        <v>0.435</v>
      </c>
      <c r="H262" s="1365"/>
      <c r="I262" s="1286"/>
      <c r="J262" s="198"/>
      <c r="K262" s="1307">
        <f>G262*$K$250</f>
        <v>0.70013249999999994</v>
      </c>
      <c r="L262" s="1335">
        <f>$K$152*K262</f>
        <v>0</v>
      </c>
      <c r="M262" s="1302">
        <v>19.23</v>
      </c>
      <c r="N262" s="1700"/>
      <c r="O262" s="1290">
        <f>G262*M262</f>
        <v>8.3650500000000001</v>
      </c>
      <c r="P262" s="1332">
        <f>M262*K262</f>
        <v>13.463547974999999</v>
      </c>
      <c r="Q262" s="3391"/>
      <c r="R262" s="2343"/>
    </row>
    <row r="263" spans="1:18">
      <c r="A263" s="1042"/>
      <c r="C263" s="1042"/>
      <c r="D263" s="1363" t="s">
        <v>1076</v>
      </c>
      <c r="E263" s="2125" t="s">
        <v>1508</v>
      </c>
      <c r="F263" s="1364" t="s">
        <v>1540</v>
      </c>
      <c r="G263" s="1365">
        <v>0.25600000000000001</v>
      </c>
      <c r="H263" s="1365"/>
      <c r="I263" s="1286"/>
      <c r="J263" s="198"/>
      <c r="K263" s="1307">
        <f>G263*$K$250</f>
        <v>0.41203200000000001</v>
      </c>
      <c r="L263" s="1335">
        <f>$K$152*K263</f>
        <v>0</v>
      </c>
      <c r="M263" s="1302">
        <v>19.23</v>
      </c>
      <c r="N263" s="1700"/>
      <c r="O263" s="1290">
        <f>G263*M263</f>
        <v>4.9228800000000001</v>
      </c>
      <c r="P263" s="1332">
        <f>M263*K263</f>
        <v>7.9233753600000005</v>
      </c>
      <c r="Q263" s="3391"/>
      <c r="R263" s="2343"/>
    </row>
    <row r="264" spans="1:18">
      <c r="A264" s="1042"/>
      <c r="C264" s="1042"/>
      <c r="D264" s="1363" t="s">
        <v>1067</v>
      </c>
      <c r="E264" s="2125" t="s">
        <v>1508</v>
      </c>
      <c r="F264" s="1364" t="s">
        <v>1512</v>
      </c>
      <c r="G264" s="1365">
        <v>3.3220000000000001</v>
      </c>
      <c r="H264" s="1365"/>
      <c r="I264" s="1286"/>
      <c r="J264" s="198"/>
      <c r="K264" s="1307">
        <f>G264*$K$250</f>
        <v>5.3467589999999996</v>
      </c>
      <c r="L264" s="1335">
        <f>$K$152*K264</f>
        <v>0</v>
      </c>
      <c r="M264" s="1302">
        <v>18.28</v>
      </c>
      <c r="N264" s="1700"/>
      <c r="O264" s="1290">
        <f>G264*M264</f>
        <v>60.726160000000007</v>
      </c>
      <c r="P264" s="1332">
        <f>M264*K264</f>
        <v>97.738754520000001</v>
      </c>
      <c r="Q264" s="3391"/>
      <c r="R264" s="2343"/>
    </row>
    <row r="265" spans="1:18">
      <c r="A265" s="1042"/>
      <c r="C265" s="1042"/>
      <c r="D265" s="1373"/>
      <c r="E265" s="2123"/>
      <c r="F265" s="1374" t="s">
        <v>3</v>
      </c>
      <c r="G265" s="1376"/>
      <c r="H265" s="1376"/>
      <c r="I265" s="1382"/>
      <c r="J265" s="1383"/>
      <c r="K265" s="1373" t="str">
        <f>IF(COUNT(#REF!)=0,"",IF($S$156="","",(#REF!*$S$156)))</f>
        <v/>
      </c>
      <c r="L265" s="1413"/>
      <c r="M265" s="1376"/>
      <c r="N265" s="1432"/>
      <c r="O265" s="1432"/>
      <c r="P265" s="1373"/>
      <c r="Q265" s="3387"/>
      <c r="R265" s="2338"/>
    </row>
    <row r="266" spans="1:18">
      <c r="A266" s="1042"/>
      <c r="C266" s="1042"/>
      <c r="D266" s="1377" t="s">
        <v>1087</v>
      </c>
      <c r="E266" s="2124" t="s">
        <v>1508</v>
      </c>
      <c r="F266" s="1378" t="s">
        <v>1542</v>
      </c>
      <c r="G266" s="1379">
        <v>0.35799999999999998</v>
      </c>
      <c r="H266" s="1379"/>
      <c r="I266" s="1286"/>
      <c r="J266" s="198"/>
      <c r="K266" s="1307">
        <f>G266*$K$250</f>
        <v>0.57620099999999996</v>
      </c>
      <c r="L266" s="1335">
        <f>$K$152*K266</f>
        <v>0</v>
      </c>
      <c r="M266" s="1302">
        <v>1.51</v>
      </c>
      <c r="N266" s="1700"/>
      <c r="O266" s="1290">
        <f>ROUND(G266*M266,2)</f>
        <v>0.54</v>
      </c>
      <c r="P266" s="1332">
        <f>M266*K266</f>
        <v>0.87006350999999993</v>
      </c>
      <c r="Q266" s="3391"/>
      <c r="R266" s="2343"/>
    </row>
    <row r="267" spans="1:18">
      <c r="A267" s="1042"/>
      <c r="C267" s="1042"/>
      <c r="D267" s="1440"/>
      <c r="E267" s="2132"/>
      <c r="F267" s="1441"/>
      <c r="G267" s="1441"/>
      <c r="H267" s="1442"/>
      <c r="I267" s="197" t="str">
        <f ca="1">IF(COUNT(H267:O267)=0,"",(SUM(H267:O267)/COUNT(H267:O267)))</f>
        <v/>
      </c>
      <c r="J267" s="198"/>
      <c r="K267" s="1307"/>
      <c r="L267" s="1335" t="str">
        <f>IF(COUNT(#REF!)=0,"",IF($S$156="","",(#REF!*$S$156)))</f>
        <v/>
      </c>
      <c r="M267" s="1499"/>
      <c r="N267" s="1701"/>
      <c r="O267" s="1290"/>
      <c r="P267" s="1332"/>
      <c r="Q267" s="3391"/>
      <c r="R267" s="2338"/>
    </row>
    <row r="268" spans="1:18">
      <c r="A268" s="1042"/>
      <c r="C268" s="223"/>
      <c r="D268" s="1440"/>
      <c r="E268" s="2132"/>
      <c r="F268" s="1441"/>
      <c r="G268" s="1441"/>
      <c r="H268" s="1442"/>
      <c r="I268" s="197" t="str">
        <f ca="1">IF(COUNT(H268:O268)=0,"",(SUM(H268:O268)/COUNT(H268:O268)))</f>
        <v/>
      </c>
      <c r="J268" s="198"/>
      <c r="K268" s="1307"/>
      <c r="L268" s="1335" t="str">
        <f>IF(COUNT(#REF!)=0,"",IF(#REF!="","",(#REF!*#REF!)))</f>
        <v/>
      </c>
      <c r="M268" s="1499"/>
      <c r="N268" s="1701"/>
      <c r="O268" s="1290"/>
      <c r="P268" s="1332"/>
      <c r="Q268" s="3391"/>
      <c r="R268" s="2338"/>
    </row>
    <row r="269" spans="1:18" ht="15" customHeight="1">
      <c r="A269" s="88" t="s">
        <v>3764</v>
      </c>
      <c r="B269" s="4367" t="s">
        <v>1502</v>
      </c>
      <c r="C269" s="3350"/>
      <c r="D269" s="4327"/>
      <c r="E269" s="4329" t="s">
        <v>1507</v>
      </c>
      <c r="F269" s="4338" t="s">
        <v>1503</v>
      </c>
      <c r="G269" s="4331" t="s">
        <v>1568</v>
      </c>
      <c r="H269" s="4331" t="s">
        <v>1574</v>
      </c>
      <c r="I269" s="1572" t="s">
        <v>1559</v>
      </c>
      <c r="J269" s="1294" t="s">
        <v>1560</v>
      </c>
      <c r="K269" s="1294" t="s">
        <v>1561</v>
      </c>
      <c r="L269" s="4333" t="s">
        <v>3765</v>
      </c>
      <c r="M269" s="4335" t="s">
        <v>1571</v>
      </c>
      <c r="N269" s="4323" t="s">
        <v>1776</v>
      </c>
      <c r="O269" s="3347" t="s">
        <v>1563</v>
      </c>
      <c r="P269" s="1336" t="s">
        <v>1562</v>
      </c>
      <c r="Q269" s="3389"/>
      <c r="R269" s="1699" t="s">
        <v>1327</v>
      </c>
    </row>
    <row r="270" spans="1:18">
      <c r="A270" s="1320" t="s">
        <v>2803</v>
      </c>
      <c r="B270" s="4369"/>
      <c r="C270" s="3351"/>
      <c r="D270" s="4328"/>
      <c r="E270" s="4330"/>
      <c r="F270" s="4338"/>
      <c r="G270" s="4332"/>
      <c r="H270" s="4332"/>
      <c r="I270" s="1345">
        <v>8.6999999999999993</v>
      </c>
      <c r="J270" s="1307">
        <v>0.185</v>
      </c>
      <c r="K270" s="1297">
        <f>I270*J270</f>
        <v>1.6094999999999999</v>
      </c>
      <c r="L270" s="4334"/>
      <c r="M270" s="4335"/>
      <c r="N270" s="4324"/>
      <c r="O270" s="1298">
        <f>O272+O273+O274+O278+O285+O286</f>
        <v>62.838526729999998</v>
      </c>
      <c r="P270" s="1337">
        <f>O270*K270</f>
        <v>101.138608771935</v>
      </c>
      <c r="Q270" s="3390"/>
      <c r="R270" s="1721">
        <f>P272+P273+P274+P278+P285+P286</f>
        <v>101.13562821936</v>
      </c>
    </row>
    <row r="271" spans="1:18">
      <c r="A271" s="1042"/>
      <c r="B271" s="18"/>
      <c r="D271" s="1449"/>
      <c r="E271" s="2121"/>
      <c r="F271" s="1368" t="s">
        <v>1</v>
      </c>
      <c r="G271" s="1368"/>
      <c r="H271" s="1369"/>
      <c r="I271" s="1409"/>
      <c r="J271" s="1391"/>
      <c r="K271" s="1367"/>
      <c r="L271" s="1554"/>
      <c r="M271" s="1369"/>
      <c r="N271" s="1369"/>
      <c r="O271" s="1369"/>
      <c r="P271" s="1367"/>
      <c r="Q271" s="3387"/>
      <c r="R271" s="2343"/>
    </row>
    <row r="272" spans="1:18">
      <c r="A272" s="1042"/>
      <c r="B272" s="1042"/>
      <c r="D272" s="1450" t="s">
        <v>1094</v>
      </c>
      <c r="E272" s="1856" t="s">
        <v>1517</v>
      </c>
      <c r="F272" s="1397" t="s">
        <v>1543</v>
      </c>
      <c r="G272" s="1372">
        <v>0.02</v>
      </c>
      <c r="H272" s="1372"/>
      <c r="I272" s="1286"/>
      <c r="J272" s="198"/>
      <c r="K272" s="1307">
        <f>G272*$K$270</f>
        <v>3.2189999999999996E-2</v>
      </c>
      <c r="L272" s="1335">
        <f>$K$152*K272</f>
        <v>0</v>
      </c>
      <c r="M272" s="1302">
        <v>8.39</v>
      </c>
      <c r="N272" s="1700"/>
      <c r="O272" s="1290">
        <f>G272*M272</f>
        <v>0.1678</v>
      </c>
      <c r="P272" s="1332">
        <f>M272*K272</f>
        <v>0.27007409999999998</v>
      </c>
      <c r="Q272" s="3391"/>
      <c r="R272" s="2343"/>
    </row>
    <row r="273" spans="1:18">
      <c r="A273" s="1042"/>
      <c r="B273" s="1042"/>
      <c r="D273" s="1370" t="s">
        <v>1545</v>
      </c>
      <c r="E273" s="2122" t="s">
        <v>1504</v>
      </c>
      <c r="F273" s="1371" t="s">
        <v>1546</v>
      </c>
      <c r="G273" s="1372">
        <v>8</v>
      </c>
      <c r="H273" s="1372"/>
      <c r="I273" s="1286"/>
      <c r="J273" s="198"/>
      <c r="K273" s="1307">
        <f>G273*$K$270</f>
        <v>12.875999999999999</v>
      </c>
      <c r="L273" s="1335">
        <f>$K$152*K273</f>
        <v>0</v>
      </c>
      <c r="M273" s="1302">
        <v>3.5</v>
      </c>
      <c r="N273" s="1700"/>
      <c r="O273" s="1290">
        <f>ROUND(G273*M273,2)</f>
        <v>28</v>
      </c>
      <c r="P273" s="1332">
        <f>M273*K273</f>
        <v>45.065999999999995</v>
      </c>
      <c r="Q273" s="3391"/>
      <c r="R273" s="2343"/>
    </row>
    <row r="274" spans="1:18">
      <c r="A274" s="1042"/>
      <c r="B274" s="1042"/>
      <c r="C274" s="1356" t="s">
        <v>1155</v>
      </c>
      <c r="D274" s="1311"/>
      <c r="E274" s="2136" t="s">
        <v>1517</v>
      </c>
      <c r="F274" s="1354" t="s">
        <v>1544</v>
      </c>
      <c r="G274" s="1355"/>
      <c r="H274" s="1355">
        <v>1E-3</v>
      </c>
      <c r="I274" s="1455"/>
      <c r="J274" s="1388"/>
      <c r="K274" s="1445"/>
      <c r="L274" s="1457"/>
      <c r="M274" s="1446"/>
      <c r="N274" s="1447">
        <f>SUM(N275:N277)</f>
        <v>114.04755</v>
      </c>
      <c r="O274" s="1447">
        <f>SUM(O275:O277)</f>
        <v>0.11589940000000001</v>
      </c>
      <c r="P274" s="1447">
        <f>SUM(P275:P277)</f>
        <v>0.183559531725</v>
      </c>
      <c r="Q274" s="3391"/>
      <c r="R274" s="2343"/>
    </row>
    <row r="275" spans="1:18">
      <c r="A275" s="1042"/>
      <c r="B275" s="553"/>
      <c r="C275" s="1327"/>
      <c r="D275" s="1451" t="s">
        <v>1069</v>
      </c>
      <c r="E275" s="1856" t="s">
        <v>1517</v>
      </c>
      <c r="F275" s="1421" t="s">
        <v>1578</v>
      </c>
      <c r="G275" s="1452">
        <v>0.89100000000000001</v>
      </c>
      <c r="H275" s="1453">
        <f>$H$274*G275</f>
        <v>8.9100000000000008E-4</v>
      </c>
      <c r="I275" s="1286"/>
      <c r="J275" s="198"/>
      <c r="K275" s="1307">
        <f>H275*$K$270</f>
        <v>1.4340645E-3</v>
      </c>
      <c r="L275" s="1335">
        <f>$K$152*K275</f>
        <v>0</v>
      </c>
      <c r="M275" s="1302">
        <v>0.55000000000000004</v>
      </c>
      <c r="N275" s="1718">
        <f>G275*M275</f>
        <v>0.49005000000000004</v>
      </c>
      <c r="O275" s="1719">
        <f>ROUND(H275*M275,2)</f>
        <v>0</v>
      </c>
      <c r="P275" s="1720">
        <f>M275*K275</f>
        <v>7.887354750000001E-4</v>
      </c>
      <c r="Q275" s="3396"/>
      <c r="R275" s="2343"/>
    </row>
    <row r="276" spans="1:18">
      <c r="A276" s="1042"/>
      <c r="B276" s="553"/>
      <c r="C276" s="1320"/>
      <c r="D276" s="1367" t="s">
        <v>1394</v>
      </c>
      <c r="E276" s="1856" t="s">
        <v>1577</v>
      </c>
      <c r="F276" s="1421" t="s">
        <v>1579</v>
      </c>
      <c r="G276" s="1452">
        <v>0.51500000000000001</v>
      </c>
      <c r="H276" s="1453">
        <f>$H$274*G276</f>
        <v>5.1500000000000005E-4</v>
      </c>
      <c r="I276" s="1286"/>
      <c r="J276" s="198"/>
      <c r="K276" s="1307">
        <f>H276*$K$270</f>
        <v>8.2889250000000008E-4</v>
      </c>
      <c r="L276" s="1335">
        <f>$K$152*K276</f>
        <v>0</v>
      </c>
      <c r="M276" s="1302">
        <v>92.54</v>
      </c>
      <c r="N276" s="1718">
        <f>G276*M276</f>
        <v>47.658100000000005</v>
      </c>
      <c r="O276" s="1719">
        <f>ROUND(H276*M276,2)</f>
        <v>0.05</v>
      </c>
      <c r="P276" s="1720">
        <f>M276*K276</f>
        <v>7.6705711950000019E-2</v>
      </c>
      <c r="Q276" s="3396"/>
      <c r="R276" s="2343"/>
    </row>
    <row r="277" spans="1:18">
      <c r="A277" s="1042"/>
      <c r="B277" s="553"/>
      <c r="C277" s="225"/>
      <c r="D277" s="1443" t="s">
        <v>1067</v>
      </c>
      <c r="E277" s="1857" t="s">
        <v>1508</v>
      </c>
      <c r="F277" s="1430" t="s">
        <v>1512</v>
      </c>
      <c r="G277" s="1431">
        <v>3.605</v>
      </c>
      <c r="H277" s="1454">
        <f>$H$274*G277</f>
        <v>3.6050000000000001E-3</v>
      </c>
      <c r="I277" s="1286"/>
      <c r="J277" s="198"/>
      <c r="K277" s="1307">
        <f>H277*$K$270</f>
        <v>5.8022474999999997E-3</v>
      </c>
      <c r="L277" s="1335">
        <f>$K$152*K277</f>
        <v>0</v>
      </c>
      <c r="M277" s="1302">
        <v>18.28</v>
      </c>
      <c r="N277" s="1718">
        <f>G277*M277</f>
        <v>65.8994</v>
      </c>
      <c r="O277" s="1719">
        <f>H277*M277</f>
        <v>6.5899400000000011E-2</v>
      </c>
      <c r="P277" s="1720">
        <f>M277*K277</f>
        <v>0.1060650843</v>
      </c>
      <c r="Q277" s="3396"/>
      <c r="R277" s="2343"/>
    </row>
    <row r="278" spans="1:18">
      <c r="A278" s="1042"/>
      <c r="B278" s="1042"/>
      <c r="C278" s="1356" t="s">
        <v>1127</v>
      </c>
      <c r="D278" s="1311"/>
      <c r="E278" s="2137" t="s">
        <v>1517</v>
      </c>
      <c r="F278" s="1319" t="s">
        <v>1519</v>
      </c>
      <c r="G278" s="1353"/>
      <c r="H278" s="1353">
        <v>3.1E-2</v>
      </c>
      <c r="I278" s="1444"/>
      <c r="J278" s="1388"/>
      <c r="K278" s="1445"/>
      <c r="L278" s="1457"/>
      <c r="M278" s="1446"/>
      <c r="N278" s="1447">
        <f>SUM(N279:N281)</f>
        <v>31.216030000000003</v>
      </c>
      <c r="O278" s="1447">
        <f>SUM(O279:O282)</f>
        <v>1.5513773300000002</v>
      </c>
      <c r="P278" s="1447">
        <f>SUM(P279:P282)</f>
        <v>2.4969418126349998</v>
      </c>
      <c r="Q278" s="3391"/>
      <c r="R278" s="2343"/>
    </row>
    <row r="279" spans="1:18">
      <c r="A279" s="1042"/>
      <c r="B279" s="1042"/>
      <c r="C279" s="1327"/>
      <c r="D279" s="1400" t="s">
        <v>1069</v>
      </c>
      <c r="E279" s="1856" t="s">
        <v>1517</v>
      </c>
      <c r="F279" s="1397" t="s">
        <v>1578</v>
      </c>
      <c r="G279" s="1416">
        <v>0.26300000000000001</v>
      </c>
      <c r="H279" s="1399">
        <f>$H$278*G279</f>
        <v>8.1530000000000005E-3</v>
      </c>
      <c r="I279" s="197"/>
      <c r="J279" s="198"/>
      <c r="K279" s="1307">
        <f>H279*$K$270</f>
        <v>1.31222535E-2</v>
      </c>
      <c r="L279" s="1335">
        <f>$K$152*K279</f>
        <v>0</v>
      </c>
      <c r="M279" s="1302">
        <v>0.55000000000000004</v>
      </c>
      <c r="N279" s="1718">
        <f>G279*M279</f>
        <v>0.14465000000000003</v>
      </c>
      <c r="O279" s="1290">
        <f>H279*M279</f>
        <v>4.484150000000001E-3</v>
      </c>
      <c r="P279" s="1332">
        <f>M279*K279</f>
        <v>7.2172394250000008E-3</v>
      </c>
      <c r="Q279" s="3391"/>
      <c r="R279" s="2338"/>
    </row>
    <row r="280" spans="1:18">
      <c r="A280" s="1042"/>
      <c r="B280" s="1042"/>
      <c r="C280" s="1320"/>
      <c r="D280" s="1400" t="s">
        <v>1394</v>
      </c>
      <c r="E280" s="1856" t="s">
        <v>1577</v>
      </c>
      <c r="F280" s="1397" t="s">
        <v>1579</v>
      </c>
      <c r="G280" s="1416">
        <v>0.25800000000000001</v>
      </c>
      <c r="H280" s="1399">
        <f>$H$278*G280</f>
        <v>7.9979999999999999E-3</v>
      </c>
      <c r="I280" s="197"/>
      <c r="J280" s="198"/>
      <c r="K280" s="1307">
        <f>H280*$K$270</f>
        <v>1.2872781E-2</v>
      </c>
      <c r="L280" s="1335">
        <f>$K$152*K280</f>
        <v>0</v>
      </c>
      <c r="M280" s="1302">
        <v>92.54</v>
      </c>
      <c r="N280" s="1718">
        <f>G280*M280</f>
        <v>23.875320000000002</v>
      </c>
      <c r="O280" s="1290">
        <f>H280*M280</f>
        <v>0.74013492000000003</v>
      </c>
      <c r="P280" s="1332">
        <f>M280*K280</f>
        <v>1.19124715374</v>
      </c>
      <c r="Q280" s="3391"/>
      <c r="R280" s="2338"/>
    </row>
    <row r="281" spans="1:18">
      <c r="A281" s="1042"/>
      <c r="B281" s="1042"/>
      <c r="C281" s="1320"/>
      <c r="D281" s="1400" t="s">
        <v>1576</v>
      </c>
      <c r="E281" s="1856" t="s">
        <v>1517</v>
      </c>
      <c r="F281" s="1397" t="s">
        <v>1580</v>
      </c>
      <c r="G281" s="1416">
        <v>1.1020000000000001</v>
      </c>
      <c r="H281" s="1399">
        <f>$H$278*G281</f>
        <v>3.4162000000000005E-2</v>
      </c>
      <c r="I281" s="197"/>
      <c r="J281" s="198"/>
      <c r="K281" s="1307">
        <f>H281*$K$270</f>
        <v>5.4983739000000004E-2</v>
      </c>
      <c r="L281" s="1335">
        <f>$K$152*K281</f>
        <v>0</v>
      </c>
      <c r="M281" s="1302">
        <v>6.53</v>
      </c>
      <c r="N281" s="1718">
        <f>G281*M281</f>
        <v>7.196060000000001</v>
      </c>
      <c r="O281" s="1290">
        <f>H281*M281</f>
        <v>0.22307786000000004</v>
      </c>
      <c r="P281" s="1332">
        <f>M281*K281</f>
        <v>0.35904381567000004</v>
      </c>
      <c r="Q281" s="3391"/>
      <c r="R281" s="2338"/>
    </row>
    <row r="282" spans="1:18">
      <c r="A282" s="1042"/>
      <c r="B282" s="1042"/>
      <c r="C282" s="1320"/>
      <c r="D282" s="1404" t="s">
        <v>1067</v>
      </c>
      <c r="E282" s="1857" t="s">
        <v>1508</v>
      </c>
      <c r="F282" s="1406" t="s">
        <v>1512</v>
      </c>
      <c r="G282" s="1407">
        <v>1.03</v>
      </c>
      <c r="H282" s="1408">
        <f>$H$278*G282</f>
        <v>3.193E-2</v>
      </c>
      <c r="I282" s="197"/>
      <c r="J282" s="198"/>
      <c r="K282" s="1307">
        <f>H282*$K$270</f>
        <v>5.1391334999999996E-2</v>
      </c>
      <c r="L282" s="1335">
        <f>$K$152*K282</f>
        <v>0</v>
      </c>
      <c r="M282" s="1302">
        <v>18.28</v>
      </c>
      <c r="N282" s="1718">
        <f>G282*M282</f>
        <v>18.828400000000002</v>
      </c>
      <c r="O282" s="1290">
        <f>H282*M282</f>
        <v>0.58368039999999999</v>
      </c>
      <c r="P282" s="1332">
        <f>M282*K282</f>
        <v>0.93943360379999996</v>
      </c>
      <c r="Q282" s="3391"/>
      <c r="R282" s="2338"/>
    </row>
    <row r="283" spans="1:18">
      <c r="A283" s="1042"/>
      <c r="B283" s="1042"/>
      <c r="C283" s="88"/>
      <c r="D283" s="1400"/>
      <c r="E283" s="1856"/>
      <c r="F283" s="1397"/>
      <c r="G283" s="1416"/>
      <c r="H283" s="1399"/>
      <c r="I283" s="197"/>
      <c r="J283" s="198"/>
      <c r="K283" s="1307"/>
      <c r="L283" s="1335"/>
      <c r="M283" s="1302"/>
      <c r="N283" s="1718"/>
      <c r="O283" s="1290"/>
      <c r="P283" s="1332"/>
      <c r="Q283" s="3391"/>
      <c r="R283" s="2338"/>
    </row>
    <row r="284" spans="1:18">
      <c r="A284" s="1042"/>
      <c r="B284" s="1042"/>
      <c r="C284" s="88"/>
      <c r="D284" s="1359"/>
      <c r="E284" s="1858"/>
      <c r="F284" s="1360" t="s">
        <v>2</v>
      </c>
      <c r="G284" s="1360"/>
      <c r="H284" s="1362"/>
      <c r="I284" s="1380" t="str">
        <f ca="1">IF(COUNT(H284:O284)=0,"",(SUM(H284:O284)/COUNT(H284:O284)))</f>
        <v/>
      </c>
      <c r="J284" s="1381"/>
      <c r="K284" s="1359" t="str">
        <f>IF(COUNT(#REF!)=0,"",IF(#REF!="","",(#REF!*#REF!)))</f>
        <v/>
      </c>
      <c r="L284" s="1458"/>
      <c r="M284" s="1362"/>
      <c r="N284" s="1362"/>
      <c r="O284" s="1362"/>
      <c r="P284" s="1458"/>
      <c r="Q284" s="3387"/>
      <c r="R284" s="2343"/>
    </row>
    <row r="285" spans="1:18">
      <c r="A285" s="1042"/>
      <c r="B285" s="1042"/>
      <c r="C285" s="88"/>
      <c r="D285" s="1363" t="s">
        <v>1134</v>
      </c>
      <c r="E285" s="2125" t="s">
        <v>1508</v>
      </c>
      <c r="F285" s="1364" t="s">
        <v>1547</v>
      </c>
      <c r="G285" s="1365">
        <v>1.163</v>
      </c>
      <c r="H285" s="1365"/>
      <c r="I285" s="1286"/>
      <c r="J285" s="198"/>
      <c r="K285" s="1307">
        <f>G285*$K$270</f>
        <v>1.8718485</v>
      </c>
      <c r="L285" s="1335">
        <f>$K$152*K285</f>
        <v>0</v>
      </c>
      <c r="M285" s="1302">
        <v>19.23</v>
      </c>
      <c r="N285" s="1302"/>
      <c r="O285" s="1291">
        <f>G285*M285</f>
        <v>22.36449</v>
      </c>
      <c r="P285" s="1332">
        <f>M285*K285</f>
        <v>35.995646655000002</v>
      </c>
      <c r="Q285" s="3391"/>
      <c r="R285" s="2343"/>
    </row>
    <row r="286" spans="1:18">
      <c r="A286" s="1042"/>
      <c r="B286" s="1042"/>
      <c r="C286" s="88"/>
      <c r="D286" s="1363" t="s">
        <v>1067</v>
      </c>
      <c r="E286" s="2125" t="s">
        <v>1508</v>
      </c>
      <c r="F286" s="1364" t="s">
        <v>1512</v>
      </c>
      <c r="G286" s="1365">
        <v>0.58199999999999996</v>
      </c>
      <c r="H286" s="1365"/>
      <c r="I286" s="1286"/>
      <c r="J286" s="198"/>
      <c r="K286" s="1307">
        <f>G286*$K$270</f>
        <v>0.93672899999999992</v>
      </c>
      <c r="L286" s="1335">
        <f>$K$152*K286</f>
        <v>0</v>
      </c>
      <c r="M286" s="1302">
        <v>18.28</v>
      </c>
      <c r="N286" s="1302"/>
      <c r="O286" s="1291">
        <f>G286*M286</f>
        <v>10.638959999999999</v>
      </c>
      <c r="P286" s="1332">
        <f>M286*K286</f>
        <v>17.123406119999999</v>
      </c>
      <c r="Q286" s="3391"/>
      <c r="R286" s="2338"/>
    </row>
    <row r="287" spans="1:18">
      <c r="A287" s="1042"/>
      <c r="B287" s="1042"/>
      <c r="C287" s="88"/>
      <c r="D287" s="1363"/>
      <c r="E287" s="2125"/>
      <c r="F287" s="1364"/>
      <c r="G287" s="1364"/>
      <c r="H287" s="1365"/>
      <c r="I287" s="1286" t="str">
        <f t="shared" ref="I287:I291" ca="1" si="14">IF(COUNT(H287:O287)=0,"",(SUM(H287:O287)/COUNT(H287:O287)))</f>
        <v/>
      </c>
      <c r="J287" s="198"/>
      <c r="K287" s="1307"/>
      <c r="L287" s="1335" t="str">
        <f>IF(COUNT(#REF!)=0,"",IF($S$156="","",(#REF!*$S$156)))</f>
        <v/>
      </c>
      <c r="M287" s="1302"/>
      <c r="N287" s="1302"/>
      <c r="O287" s="1291"/>
      <c r="P287" s="1332"/>
      <c r="Q287" s="3391"/>
      <c r="R287" s="2338"/>
    </row>
    <row r="288" spans="1:18">
      <c r="A288" s="1042"/>
      <c r="B288" s="1042"/>
      <c r="C288" s="88"/>
      <c r="D288" s="1373"/>
      <c r="E288" s="2123"/>
      <c r="F288" s="1374" t="s">
        <v>3</v>
      </c>
      <c r="G288" s="1374"/>
      <c r="H288" s="1376"/>
      <c r="I288" s="1382" t="str">
        <f t="shared" ca="1" si="14"/>
        <v/>
      </c>
      <c r="J288" s="1383"/>
      <c r="K288" s="1373"/>
      <c r="L288" s="1413"/>
      <c r="M288" s="1376"/>
      <c r="N288" s="1376"/>
      <c r="O288" s="1376"/>
      <c r="P288" s="1413"/>
      <c r="Q288" s="3387"/>
      <c r="R288" s="2343"/>
    </row>
    <row r="289" spans="1:23">
      <c r="A289" s="1042"/>
      <c r="B289" s="1042"/>
      <c r="C289" s="88"/>
      <c r="D289" s="1440"/>
      <c r="E289" s="2132"/>
      <c r="F289" s="1441"/>
      <c r="G289" s="1441"/>
      <c r="H289" s="1442"/>
      <c r="I289" s="197" t="str">
        <f t="shared" ca="1" si="14"/>
        <v/>
      </c>
      <c r="J289" s="198"/>
      <c r="K289" s="1307"/>
      <c r="L289" s="1335" t="str">
        <f>IF(COUNT(K288)=0,"",IF(#REF!="","",(K288*#REF!)))</f>
        <v/>
      </c>
      <c r="M289" s="1499"/>
      <c r="N289" s="1701"/>
      <c r="O289" s="1290"/>
      <c r="P289" s="1332"/>
      <c r="Q289" s="3391"/>
      <c r="R289" s="2338"/>
    </row>
    <row r="290" spans="1:23">
      <c r="A290" s="1042"/>
      <c r="B290" s="1042"/>
      <c r="C290" s="88"/>
      <c r="D290" s="1440"/>
      <c r="E290" s="2132"/>
      <c r="F290" s="1441"/>
      <c r="G290" s="1441"/>
      <c r="H290" s="1442"/>
      <c r="I290" s="197" t="str">
        <f t="shared" ca="1" si="14"/>
        <v/>
      </c>
      <c r="J290" s="198"/>
      <c r="K290" s="1307"/>
      <c r="L290" s="1335" t="str">
        <f>IF(COUNT(#REF!)=0,"",IF(#REF!="","",(#REF!*#REF!)))</f>
        <v/>
      </c>
      <c r="M290" s="1499"/>
      <c r="N290" s="1701"/>
      <c r="O290" s="1290"/>
      <c r="P290" s="1332"/>
      <c r="Q290" s="3391"/>
      <c r="R290" s="2338"/>
    </row>
    <row r="291" spans="1:23">
      <c r="A291" s="1042"/>
      <c r="B291" s="223"/>
      <c r="C291" s="581"/>
      <c r="D291" s="1440"/>
      <c r="E291" s="2132"/>
      <c r="F291" s="1955"/>
      <c r="G291" s="1955"/>
      <c r="H291" s="1956"/>
      <c r="I291" s="197" t="str">
        <f t="shared" ca="1" si="14"/>
        <v/>
      </c>
      <c r="J291" s="198"/>
      <c r="K291" s="1307"/>
      <c r="L291" s="1335" t="str">
        <f>IF(COUNT(K290)=0,"",IF(#REF!="","",(K290*#REF!)))</f>
        <v/>
      </c>
      <c r="M291" s="1499"/>
      <c r="N291" s="1701"/>
      <c r="O291" s="1290"/>
      <c r="P291" s="1332"/>
      <c r="Q291" s="3391"/>
      <c r="R291" s="2338"/>
    </row>
    <row r="292" spans="1:23" s="16" customFormat="1" ht="28.5">
      <c r="D292" s="1795"/>
      <c r="E292" s="2179"/>
      <c r="F292" s="1795"/>
      <c r="G292" s="1795"/>
      <c r="H292" s="1797"/>
      <c r="I292" s="1561"/>
      <c r="J292" s="1561"/>
      <c r="K292" s="1639"/>
      <c r="L292" s="2400" t="s">
        <v>2856</v>
      </c>
      <c r="M292" s="1292"/>
      <c r="N292" s="1292"/>
      <c r="O292" s="1292"/>
      <c r="P292" s="1292"/>
      <c r="Q292" s="3391"/>
      <c r="R292" s="3363"/>
    </row>
    <row r="293" spans="1:23">
      <c r="A293" s="4396" t="s">
        <v>162</v>
      </c>
      <c r="B293" s="4396"/>
      <c r="C293" s="4396"/>
      <c r="D293" s="4396"/>
      <c r="E293" s="4396" t="s">
        <v>1549</v>
      </c>
      <c r="F293" s="4397" t="s">
        <v>1550</v>
      </c>
      <c r="G293" s="4399" t="s">
        <v>1566</v>
      </c>
      <c r="H293" s="4400"/>
      <c r="I293" s="4400"/>
      <c r="J293" s="4400"/>
      <c r="K293" s="4400"/>
      <c r="L293" s="4401"/>
      <c r="M293" s="4405" t="s">
        <v>1567</v>
      </c>
      <c r="N293" s="4405"/>
      <c r="O293" s="4405"/>
      <c r="P293" s="4405"/>
      <c r="Q293" s="3395"/>
      <c r="R293" s="2338"/>
    </row>
    <row r="294" spans="1:23">
      <c r="A294" s="1324" t="s">
        <v>3766</v>
      </c>
      <c r="B294" s="1325" t="s">
        <v>1513</v>
      </c>
      <c r="C294" s="1326" t="s">
        <v>1573</v>
      </c>
      <c r="D294" s="1323" t="s">
        <v>1514</v>
      </c>
      <c r="E294" s="4396"/>
      <c r="F294" s="4398"/>
      <c r="G294" s="4402"/>
      <c r="H294" s="4403"/>
      <c r="I294" s="4403"/>
      <c r="J294" s="4403"/>
      <c r="K294" s="4403"/>
      <c r="L294" s="4404"/>
      <c r="M294" s="4405"/>
      <c r="N294" s="4405"/>
      <c r="O294" s="4405"/>
      <c r="P294" s="4405"/>
      <c r="Q294" s="3395"/>
      <c r="R294" s="2338"/>
    </row>
    <row r="295" spans="1:23">
      <c r="A295" s="4374" t="s">
        <v>2806</v>
      </c>
      <c r="B295" s="4375"/>
      <c r="C295" s="4375"/>
      <c r="D295" s="4376"/>
      <c r="E295" s="4380" t="s">
        <v>1504</v>
      </c>
      <c r="F295" s="4382" t="s">
        <v>1624</v>
      </c>
      <c r="G295" s="4493" t="s">
        <v>294</v>
      </c>
      <c r="H295" s="4493"/>
      <c r="I295" s="1665" t="s">
        <v>1565</v>
      </c>
      <c r="J295" s="3348" t="s">
        <v>1575</v>
      </c>
      <c r="K295" s="4493" t="s">
        <v>289</v>
      </c>
      <c r="L295" s="4493"/>
      <c r="M295" s="4445" t="s">
        <v>3349</v>
      </c>
      <c r="N295" s="4527"/>
      <c r="O295" s="4527"/>
      <c r="P295" s="4448"/>
      <c r="Q295" s="3394" t="s">
        <v>3923</v>
      </c>
      <c r="R295" s="3368"/>
      <c r="S295" s="16"/>
      <c r="T295" s="1553"/>
      <c r="U295" s="1553"/>
      <c r="V295" s="1553"/>
      <c r="W295" s="2338"/>
    </row>
    <row r="296" spans="1:23" ht="15.5">
      <c r="A296" s="4377"/>
      <c r="B296" s="4378"/>
      <c r="C296" s="4378"/>
      <c r="D296" s="4379"/>
      <c r="E296" s="4381"/>
      <c r="F296" s="4383"/>
      <c r="G296" s="4451">
        <f>IF('Seleccion proyecto HEREVEA02'!G16="Arqueta nueva (porcentaje de incremento en inst.existente)",'Seleccion proyecto HEREVEA02'!E16,0)</f>
        <v>0</v>
      </c>
      <c r="H296" s="4452"/>
      <c r="I296" s="3353">
        <f>IF('Seleccion proyecto HEREVEA02'!H16=0,0,IF('Seleccion proyecto HEREVEA02'!H16="1 a 30",0.3, IF('Seleccion proyecto HEREVEA02'!H16="31 a 60", 0.6, IF('Seleccion proyecto HEREVEA02'!H16="61 a 100", 1))))</f>
        <v>0</v>
      </c>
      <c r="J296" s="1351">
        <f>'Seleccion proyecto HEREVEA02'!L8</f>
        <v>11100.968999999999</v>
      </c>
      <c r="K296" s="4358">
        <f>G296*I296*J296</f>
        <v>0</v>
      </c>
      <c r="L296" s="4359"/>
      <c r="M296" s="4360">
        <f>P298+P313+P340+P359+P379</f>
        <v>17.463833752820001</v>
      </c>
      <c r="N296" s="4528"/>
      <c r="O296" s="4528"/>
      <c r="P296" s="4449"/>
      <c r="Q296" s="3388">
        <f>M296*K296</f>
        <v>0</v>
      </c>
      <c r="R296" s="3369"/>
      <c r="S296" s="16"/>
      <c r="T296" s="3366"/>
      <c r="U296" s="3366"/>
      <c r="V296" s="3366"/>
      <c r="W296" s="2338"/>
    </row>
    <row r="297" spans="1:23" ht="15" customHeight="1">
      <c r="A297" s="88" t="s">
        <v>3764</v>
      </c>
      <c r="B297" s="4367" t="s">
        <v>1496</v>
      </c>
      <c r="C297" s="3350"/>
      <c r="D297" s="4327"/>
      <c r="E297" s="4329" t="s">
        <v>1507</v>
      </c>
      <c r="F297" s="4338" t="s">
        <v>1554</v>
      </c>
      <c r="G297" s="4331" t="s">
        <v>1568</v>
      </c>
      <c r="H297" s="4331" t="s">
        <v>1574</v>
      </c>
      <c r="I297" s="1572" t="s">
        <v>1559</v>
      </c>
      <c r="J297" s="1294" t="s">
        <v>1560</v>
      </c>
      <c r="K297" s="1294" t="s">
        <v>1561</v>
      </c>
      <c r="L297" s="4333" t="s">
        <v>3765</v>
      </c>
      <c r="M297" s="4335" t="s">
        <v>1571</v>
      </c>
      <c r="N297" s="4323" t="s">
        <v>1776</v>
      </c>
      <c r="O297" s="3347" t="s">
        <v>1563</v>
      </c>
      <c r="P297" s="1336" t="s">
        <v>1562</v>
      </c>
      <c r="Q297" s="3389"/>
      <c r="R297" s="1699" t="s">
        <v>1327</v>
      </c>
    </row>
    <row r="298" spans="1:23">
      <c r="A298" s="1320" t="s">
        <v>1552</v>
      </c>
      <c r="B298" s="4369"/>
      <c r="C298" s="3351"/>
      <c r="D298" s="4328"/>
      <c r="E298" s="4330"/>
      <c r="F298" s="4338"/>
      <c r="G298" s="4332"/>
      <c r="H298" s="4332"/>
      <c r="I298" s="1345">
        <v>1.5</v>
      </c>
      <c r="J298" s="1307">
        <v>1.4E-2</v>
      </c>
      <c r="K298" s="1297">
        <f>I298*J298</f>
        <v>2.1000000000000001E-2</v>
      </c>
      <c r="L298" s="4334"/>
      <c r="M298" s="4335"/>
      <c r="N298" s="4324"/>
      <c r="O298" s="1298">
        <f>SUM(O300:O310)</f>
        <v>187.89</v>
      </c>
      <c r="P298" s="1337">
        <f>O298*K298</f>
        <v>3.9456899999999999</v>
      </c>
      <c r="Q298" s="3390"/>
      <c r="R298" s="1721">
        <f>P304+P308+P309+P310</f>
        <v>3.9457410300000006</v>
      </c>
    </row>
    <row r="299" spans="1:23">
      <c r="A299" s="1042"/>
      <c r="B299" s="552"/>
      <c r="C299" s="18"/>
      <c r="D299" s="1463"/>
      <c r="E299" s="2121"/>
      <c r="F299" s="1368" t="s">
        <v>1</v>
      </c>
      <c r="G299" s="1464"/>
      <c r="H299" s="1426"/>
      <c r="I299" s="1391"/>
      <c r="J299" s="1369"/>
      <c r="K299" s="1369"/>
      <c r="L299" s="1554"/>
      <c r="M299" s="1369"/>
      <c r="N299" s="1369"/>
      <c r="O299" s="1369"/>
      <c r="P299" s="1367"/>
      <c r="Q299" s="3387"/>
      <c r="R299" s="2338"/>
    </row>
    <row r="300" spans="1:23">
      <c r="A300" s="1042"/>
      <c r="B300" s="88"/>
      <c r="C300" s="1042"/>
      <c r="D300" s="1587"/>
      <c r="E300" s="2138"/>
      <c r="F300" s="1587"/>
      <c r="G300" s="1367"/>
      <c r="H300" s="1588"/>
      <c r="I300" s="1286" t="str">
        <f t="shared" ref="I300:I302" si="15">IF(COUNT(H301:O301)=0,"",(SUM(H301:O301)/COUNT(H301:O301)))</f>
        <v/>
      </c>
      <c r="J300" s="1287"/>
      <c r="K300" s="1307" t="str">
        <f t="shared" ref="K300:K302" si="16">IF(COUNT(I300)=0,"",(I300*J300))</f>
        <v/>
      </c>
      <c r="L300" s="1335" t="str">
        <f>IF(COUNT(K300)=0,"",IF(#REF!="","",(K300*#REF!)))</f>
        <v/>
      </c>
      <c r="M300" s="1499"/>
      <c r="N300" s="1701"/>
      <c r="O300" s="1290"/>
      <c r="P300" s="1332"/>
      <c r="Q300" s="3391"/>
      <c r="R300" s="2338"/>
    </row>
    <row r="301" spans="1:23">
      <c r="A301" s="1042"/>
      <c r="B301" s="88"/>
      <c r="C301" s="1042"/>
      <c r="D301" s="1587"/>
      <c r="E301" s="2138"/>
      <c r="F301" s="1587"/>
      <c r="G301" s="1367"/>
      <c r="H301" s="1588"/>
      <c r="I301" s="1286" t="str">
        <f t="shared" si="15"/>
        <v/>
      </c>
      <c r="J301" s="1287"/>
      <c r="K301" s="1307" t="str">
        <f t="shared" si="16"/>
        <v/>
      </c>
      <c r="L301" s="1335" t="str">
        <f>IF(COUNT(K301)=0,"",IF(#REF!="","",(K301*#REF!)))</f>
        <v/>
      </c>
      <c r="M301" s="1499"/>
      <c r="N301" s="1701"/>
      <c r="O301" s="1290"/>
      <c r="P301" s="1332"/>
      <c r="Q301" s="3391"/>
      <c r="R301" s="2338"/>
    </row>
    <row r="302" spans="1:23">
      <c r="A302" s="1042"/>
      <c r="B302" s="88"/>
      <c r="C302" s="1042"/>
      <c r="D302" s="1587"/>
      <c r="E302" s="2138"/>
      <c r="F302" s="1587"/>
      <c r="G302" s="1367"/>
      <c r="H302" s="1588"/>
      <c r="I302" s="1286" t="str">
        <f t="shared" si="15"/>
        <v/>
      </c>
      <c r="J302" s="1287"/>
      <c r="K302" s="1307" t="str">
        <f t="shared" si="16"/>
        <v/>
      </c>
      <c r="L302" s="1335" t="str">
        <f>IF(COUNT(K302)=0,"",IF(#REF!="","",(K302*#REF!)))</f>
        <v/>
      </c>
      <c r="M302" s="1499"/>
      <c r="N302" s="1701"/>
      <c r="O302" s="1290"/>
      <c r="P302" s="1332"/>
      <c r="Q302" s="3391"/>
      <c r="R302" s="2338"/>
    </row>
    <row r="303" spans="1:23">
      <c r="A303" s="1042"/>
      <c r="B303" s="88"/>
      <c r="C303" s="1042"/>
      <c r="D303" s="1404"/>
      <c r="E303" s="1858"/>
      <c r="F303" s="1465" t="s">
        <v>2</v>
      </c>
      <c r="G303" s="1466"/>
      <c r="H303" s="1362"/>
      <c r="I303" s="1380"/>
      <c r="J303" s="1381"/>
      <c r="K303" s="1381"/>
      <c r="L303" s="1458"/>
      <c r="M303" s="1362"/>
      <c r="N303" s="1705"/>
      <c r="O303" s="1469"/>
      <c r="P303" s="1470"/>
      <c r="Q303" s="3398"/>
      <c r="R303" s="2338"/>
    </row>
    <row r="304" spans="1:23">
      <c r="A304" s="1042"/>
      <c r="B304" s="88"/>
      <c r="C304" s="1042"/>
      <c r="D304" s="1363" t="s">
        <v>1067</v>
      </c>
      <c r="E304" s="2125" t="s">
        <v>1508</v>
      </c>
      <c r="F304" s="1385" t="s">
        <v>1512</v>
      </c>
      <c r="G304" s="1386">
        <f>1.629+2.1</f>
        <v>3.7290000000000001</v>
      </c>
      <c r="H304" s="1386"/>
      <c r="I304" s="1289"/>
      <c r="J304" s="1341"/>
      <c r="K304" s="1307">
        <f>G304*$K$298</f>
        <v>7.8309000000000004E-2</v>
      </c>
      <c r="L304" s="1335">
        <f>K304*$K$296</f>
        <v>0</v>
      </c>
      <c r="M304" s="1499">
        <v>18.28</v>
      </c>
      <c r="N304" s="1499"/>
      <c r="O304" s="1291">
        <f>ROUND(G304*M304,2)</f>
        <v>68.17</v>
      </c>
      <c r="P304" s="1332">
        <f>M304*K304</f>
        <v>1.4314885200000003</v>
      </c>
      <c r="Q304" s="3391"/>
      <c r="R304" s="2338"/>
    </row>
    <row r="305" spans="1:18">
      <c r="A305" s="1042"/>
      <c r="B305" s="88"/>
      <c r="C305" s="1042"/>
      <c r="D305" s="1363"/>
      <c r="E305" s="2125"/>
      <c r="F305" s="1385"/>
      <c r="G305" s="1466"/>
      <c r="H305" s="1386"/>
      <c r="I305" s="1289"/>
      <c r="J305" s="1341"/>
      <c r="K305" s="1307"/>
      <c r="L305" s="1335"/>
      <c r="M305" s="1499"/>
      <c r="N305" s="1499"/>
      <c r="O305" s="1291"/>
      <c r="P305" s="1332"/>
      <c r="Q305" s="3391"/>
      <c r="R305" s="2338"/>
    </row>
    <row r="306" spans="1:18">
      <c r="A306" s="1042"/>
      <c r="B306" s="88"/>
      <c r="C306" s="1042"/>
      <c r="D306" s="1363"/>
      <c r="E306" s="2125"/>
      <c r="F306" s="1385"/>
      <c r="G306" s="1466"/>
      <c r="H306" s="1386"/>
      <c r="I306" s="1289"/>
      <c r="J306" s="1341"/>
      <c r="K306" s="1307"/>
      <c r="L306" s="1335"/>
      <c r="M306" s="1499"/>
      <c r="N306" s="1499"/>
      <c r="O306" s="1291"/>
      <c r="P306" s="1332"/>
      <c r="Q306" s="3391"/>
      <c r="R306" s="2338"/>
    </row>
    <row r="307" spans="1:18">
      <c r="A307" s="1042"/>
      <c r="B307" s="88"/>
      <c r="C307" s="1042"/>
      <c r="D307" s="1411"/>
      <c r="E307" s="2123"/>
      <c r="F307" s="1475" t="s">
        <v>3</v>
      </c>
      <c r="G307" s="1373"/>
      <c r="H307" s="1376"/>
      <c r="I307" s="1382"/>
      <c r="J307" s="1383"/>
      <c r="K307" s="1373"/>
      <c r="L307" s="1413"/>
      <c r="M307" s="1508"/>
      <c r="N307" s="1706"/>
      <c r="O307" s="1486"/>
      <c r="P307" s="1373"/>
      <c r="Q307" s="3387"/>
      <c r="R307" s="2338"/>
    </row>
    <row r="308" spans="1:18">
      <c r="A308" s="1042"/>
      <c r="B308" s="88"/>
      <c r="C308" s="1042"/>
      <c r="D308" s="1378" t="s">
        <v>1073</v>
      </c>
      <c r="E308" s="2139" t="s">
        <v>1508</v>
      </c>
      <c r="F308" s="1476" t="s">
        <v>1509</v>
      </c>
      <c r="G308" s="1379">
        <v>5.8000000000000003E-2</v>
      </c>
      <c r="H308" s="1379"/>
      <c r="I308" s="1289"/>
      <c r="J308" s="1341"/>
      <c r="K308" s="1307">
        <f>G308*$K$298</f>
        <v>1.2180000000000001E-3</v>
      </c>
      <c r="L308" s="1335">
        <f>K308*$K$296</f>
        <v>0</v>
      </c>
      <c r="M308" s="1499">
        <v>23.87</v>
      </c>
      <c r="N308" s="1499"/>
      <c r="O308" s="1291">
        <f>ROUND(G308*M308,2)</f>
        <v>1.38</v>
      </c>
      <c r="P308" s="1332">
        <f>M308*K308</f>
        <v>2.9073660000000005E-2</v>
      </c>
      <c r="Q308" s="3391"/>
      <c r="R308" s="2338"/>
    </row>
    <row r="309" spans="1:18">
      <c r="A309" s="1042"/>
      <c r="B309" s="88"/>
      <c r="C309" s="1042"/>
      <c r="D309" s="1478" t="s">
        <v>1066</v>
      </c>
      <c r="E309" s="2140" t="s">
        <v>1508</v>
      </c>
      <c r="F309" s="1479" t="s">
        <v>1510</v>
      </c>
      <c r="G309" s="1481">
        <v>1.0999999999999999E-2</v>
      </c>
      <c r="H309" s="1481"/>
      <c r="I309" s="1347"/>
      <c r="J309" s="1348"/>
      <c r="K309" s="1307">
        <f>G309*$K$298</f>
        <v>2.31E-4</v>
      </c>
      <c r="L309" s="1335">
        <f>K309*$K$296</f>
        <v>0</v>
      </c>
      <c r="M309" s="1509">
        <v>6.35</v>
      </c>
      <c r="N309" s="1509"/>
      <c r="O309" s="1339">
        <f>ROUND(G309*M309,2)</f>
        <v>7.0000000000000007E-2</v>
      </c>
      <c r="P309" s="1332">
        <f>M309*K309</f>
        <v>1.46685E-3</v>
      </c>
      <c r="Q309" s="3391"/>
      <c r="R309" s="2338"/>
    </row>
    <row r="310" spans="1:18">
      <c r="A310" s="1042"/>
      <c r="B310" s="88"/>
      <c r="C310" s="1042"/>
      <c r="D310" s="1482" t="s">
        <v>1080</v>
      </c>
      <c r="E310" s="2141" t="s">
        <v>1508</v>
      </c>
      <c r="F310" s="1483" t="s">
        <v>1511</v>
      </c>
      <c r="G310" s="1484">
        <v>1.6</v>
      </c>
      <c r="H310" s="1484"/>
      <c r="I310" s="1349"/>
      <c r="J310" s="1341"/>
      <c r="K310" s="1307">
        <f>G310*$K$298</f>
        <v>3.3600000000000005E-2</v>
      </c>
      <c r="L310" s="1335">
        <f>K310*$K$296</f>
        <v>0</v>
      </c>
      <c r="M310" s="1499">
        <v>73.92</v>
      </c>
      <c r="N310" s="1499"/>
      <c r="O310" s="1291">
        <f>ROUND(G310*M310,2)</f>
        <v>118.27</v>
      </c>
      <c r="P310" s="1332">
        <f>M310*K310</f>
        <v>2.4837120000000006</v>
      </c>
      <c r="Q310" s="3391"/>
      <c r="R310" s="2338"/>
    </row>
    <row r="311" spans="1:18">
      <c r="A311" s="1042"/>
      <c r="B311" s="581"/>
      <c r="C311" s="223"/>
      <c r="D311" s="1440"/>
      <c r="E311" s="2132"/>
      <c r="F311" s="1441"/>
      <c r="G311" s="1441"/>
      <c r="H311" s="1442"/>
      <c r="I311" s="197" t="str">
        <f>IF(COUNT(G312:O312)=0,"",(SUM(G312:O312)/COUNT(G312:O312)))</f>
        <v/>
      </c>
      <c r="J311" s="198"/>
      <c r="K311" s="1307" t="str">
        <f>IF(COUNT(I311)=0,"",(I311*J311))</f>
        <v/>
      </c>
      <c r="L311" s="1335"/>
      <c r="M311" s="1499"/>
      <c r="N311" s="1701"/>
      <c r="O311" s="1290"/>
      <c r="P311" s="1332"/>
      <c r="Q311" s="3391"/>
      <c r="R311" s="2338"/>
    </row>
    <row r="312" spans="1:18" ht="15" customHeight="1">
      <c r="A312" s="88" t="s">
        <v>3764</v>
      </c>
      <c r="B312" s="4367" t="s">
        <v>1625</v>
      </c>
      <c r="C312" s="3350"/>
      <c r="D312" s="4327"/>
      <c r="E312" s="4329" t="s">
        <v>1504</v>
      </c>
      <c r="F312" s="4338" t="s">
        <v>1626</v>
      </c>
      <c r="G312" s="4331" t="s">
        <v>1568</v>
      </c>
      <c r="H312" s="4331" t="s">
        <v>1574</v>
      </c>
      <c r="I312" s="1572" t="s">
        <v>1559</v>
      </c>
      <c r="J312" s="1294" t="s">
        <v>1560</v>
      </c>
      <c r="K312" s="1294" t="s">
        <v>1561</v>
      </c>
      <c r="L312" s="4333" t="s">
        <v>3765</v>
      </c>
      <c r="M312" s="4335" t="s">
        <v>1571</v>
      </c>
      <c r="N312" s="4323" t="s">
        <v>1776</v>
      </c>
      <c r="O312" s="3347" t="s">
        <v>1563</v>
      </c>
      <c r="P312" s="1336" t="s">
        <v>1562</v>
      </c>
      <c r="Q312" s="3389"/>
      <c r="R312" s="1699" t="s">
        <v>1327</v>
      </c>
    </row>
    <row r="313" spans="1:18">
      <c r="A313" s="1320" t="s">
        <v>1552</v>
      </c>
      <c r="B313" s="4369"/>
      <c r="C313" s="3351"/>
      <c r="D313" s="4328"/>
      <c r="E313" s="4330"/>
      <c r="F313" s="4338"/>
      <c r="G313" s="4332"/>
      <c r="H313" s="4332"/>
      <c r="I313" s="1345">
        <v>1</v>
      </c>
      <c r="J313" s="1350">
        <v>1.4E-2</v>
      </c>
      <c r="K313" s="1297">
        <f>I313*J313</f>
        <v>1.4E-2</v>
      </c>
      <c r="L313" s="4334"/>
      <c r="M313" s="4335"/>
      <c r="N313" s="4324"/>
      <c r="O313" s="1298">
        <f>O315+O316+O317+O318+O323+O331+O332</f>
        <v>210.57709663000003</v>
      </c>
      <c r="P313" s="1298">
        <f>O313*K313</f>
        <v>2.9480793528200007</v>
      </c>
      <c r="Q313" s="3391"/>
      <c r="R313" s="1721">
        <f>P315+P316+P317+P318+P323+P331+P332</f>
        <v>2.9480513528200003</v>
      </c>
    </row>
    <row r="314" spans="1:18">
      <c r="A314" s="1042"/>
      <c r="B314" s="1511"/>
      <c r="D314" s="1367"/>
      <c r="E314" s="2121"/>
      <c r="F314" s="1389" t="s">
        <v>1</v>
      </c>
      <c r="G314" s="1472"/>
      <c r="H314" s="1472"/>
      <c r="I314" s="1391"/>
      <c r="J314" s="1369"/>
      <c r="K314" s="1369"/>
      <c r="L314" s="1554"/>
      <c r="M314" s="1487"/>
      <c r="N314" s="1487"/>
      <c r="O314" s="1487"/>
      <c r="P314" s="1367"/>
      <c r="Q314" s="3387"/>
      <c r="R314" s="2338"/>
    </row>
    <row r="315" spans="1:18">
      <c r="A315" s="1042"/>
      <c r="B315" s="595"/>
      <c r="D315" s="1587" t="s">
        <v>1098</v>
      </c>
      <c r="E315" s="2138" t="s">
        <v>1507</v>
      </c>
      <c r="F315" s="1587" t="s">
        <v>1525</v>
      </c>
      <c r="G315" s="1588">
        <v>0.45</v>
      </c>
      <c r="H315" s="1588"/>
      <c r="I315" s="1286"/>
      <c r="J315" s="1287"/>
      <c r="K315" s="1307">
        <f>G315*$K$313</f>
        <v>6.3E-3</v>
      </c>
      <c r="L315" s="1335">
        <f>K315*$K$296</f>
        <v>0</v>
      </c>
      <c r="M315" s="1499">
        <v>26.13</v>
      </c>
      <c r="N315" s="1701"/>
      <c r="O315" s="1291">
        <f>G315*M315</f>
        <v>11.7585</v>
      </c>
      <c r="P315" s="1332">
        <f>M315*K315</f>
        <v>0.16461899999999999</v>
      </c>
      <c r="Q315" s="3391"/>
      <c r="R315" s="2338"/>
    </row>
    <row r="316" spans="1:18">
      <c r="A316" s="1042"/>
      <c r="B316" s="595"/>
      <c r="D316" s="1587" t="s">
        <v>1101</v>
      </c>
      <c r="E316" s="2138" t="s">
        <v>1521</v>
      </c>
      <c r="F316" s="1587" t="s">
        <v>1522</v>
      </c>
      <c r="G316" s="1588">
        <v>0.21</v>
      </c>
      <c r="H316" s="1588"/>
      <c r="I316" s="1286"/>
      <c r="J316" s="1287"/>
      <c r="K316" s="1307">
        <f>G316*$K$313</f>
        <v>2.9399999999999999E-3</v>
      </c>
      <c r="L316" s="1335">
        <f>K316*$K$296</f>
        <v>0</v>
      </c>
      <c r="M316" s="1499">
        <v>73.92</v>
      </c>
      <c r="N316" s="1701"/>
      <c r="O316" s="1291">
        <f>G316*M316</f>
        <v>15.523199999999999</v>
      </c>
      <c r="P316" s="1332">
        <f>M316*K316</f>
        <v>0.21732479999999998</v>
      </c>
      <c r="Q316" s="3391"/>
      <c r="R316" s="2338"/>
    </row>
    <row r="317" spans="1:18">
      <c r="A317" s="1042"/>
      <c r="B317" s="595"/>
      <c r="D317" s="1587" t="s">
        <v>1095</v>
      </c>
      <c r="E317" s="2138" t="s">
        <v>1517</v>
      </c>
      <c r="F317" s="1587" t="s">
        <v>1520</v>
      </c>
      <c r="G317" s="1588">
        <v>0.14699999999999999</v>
      </c>
      <c r="H317" s="1588"/>
      <c r="I317" s="1286"/>
      <c r="J317" s="1287"/>
      <c r="K317" s="1307">
        <f>G317*$K$313</f>
        <v>2.0579999999999999E-3</v>
      </c>
      <c r="L317" s="1335">
        <f>K317*$K$296</f>
        <v>0</v>
      </c>
      <c r="M317" s="1499">
        <v>56.63</v>
      </c>
      <c r="N317" s="1701"/>
      <c r="O317" s="1291">
        <f>G317*M317</f>
        <v>8.3246099999999998</v>
      </c>
      <c r="P317" s="1332">
        <f>M317*K317</f>
        <v>0.11654454</v>
      </c>
      <c r="Q317" s="3391"/>
      <c r="R317" s="2338"/>
    </row>
    <row r="318" spans="1:18">
      <c r="A318" s="1042"/>
      <c r="B318" s="595"/>
      <c r="C318" s="1322" t="s">
        <v>1100</v>
      </c>
      <c r="D318" s="1585"/>
      <c r="E318" s="2142" t="s">
        <v>1517</v>
      </c>
      <c r="F318" s="1586" t="s">
        <v>1518</v>
      </c>
      <c r="G318" s="1344"/>
      <c r="H318" s="1344">
        <v>2.5999999999999999E-2</v>
      </c>
      <c r="I318" s="1455"/>
      <c r="J318" s="1488"/>
      <c r="K318" s="1445"/>
      <c r="L318" s="1457"/>
      <c r="M318" s="1500"/>
      <c r="N318" s="1446">
        <f>SUM(N319:N322)</f>
        <v>67.452539999999999</v>
      </c>
      <c r="O318" s="1446">
        <f>SUM(O319:O322)</f>
        <v>1.7537660400000004</v>
      </c>
      <c r="P318" s="1446">
        <f>SUM(P319:P322)</f>
        <v>2.4552724560000003E-2</v>
      </c>
      <c r="Q318" s="3391"/>
      <c r="R318" s="2338"/>
    </row>
    <row r="319" spans="1:18">
      <c r="A319" s="1042"/>
      <c r="B319" s="16"/>
      <c r="C319" s="1327"/>
      <c r="D319" s="1396" t="s">
        <v>1069</v>
      </c>
      <c r="E319" s="1856" t="s">
        <v>1517</v>
      </c>
      <c r="F319" s="1397" t="s">
        <v>1578</v>
      </c>
      <c r="G319" s="1398">
        <v>0.26800000000000002</v>
      </c>
      <c r="H319" s="1399">
        <f>$H$318*G319</f>
        <v>6.9680000000000002E-3</v>
      </c>
      <c r="I319" s="197"/>
      <c r="J319" s="198"/>
      <c r="K319" s="1307">
        <f>H319*$K$313</f>
        <v>9.7552000000000004E-5</v>
      </c>
      <c r="L319" s="1335">
        <f>K319*$K$296</f>
        <v>0</v>
      </c>
      <c r="M319" s="1499">
        <v>0.55000000000000004</v>
      </c>
      <c r="N319" s="1724">
        <f>G319*M319</f>
        <v>0.14740000000000003</v>
      </c>
      <c r="O319" s="1725">
        <f>H319*M319</f>
        <v>3.8324000000000006E-3</v>
      </c>
      <c r="P319" s="1720">
        <f>M319*K319</f>
        <v>5.3653600000000004E-5</v>
      </c>
      <c r="Q319" s="3396"/>
      <c r="R319" s="2338"/>
    </row>
    <row r="320" spans="1:18">
      <c r="A320" s="1042"/>
      <c r="B320" s="16"/>
      <c r="C320" s="1320"/>
      <c r="D320" s="1400" t="s">
        <v>1394</v>
      </c>
      <c r="E320" s="1856" t="s">
        <v>1577</v>
      </c>
      <c r="F320" s="1397" t="s">
        <v>1579</v>
      </c>
      <c r="G320" s="1398">
        <v>0.45300000000000001</v>
      </c>
      <c r="H320" s="1399">
        <f>$H$318*G320</f>
        <v>1.1778E-2</v>
      </c>
      <c r="I320" s="197"/>
      <c r="J320" s="198"/>
      <c r="K320" s="1307">
        <f>H320*$K$313</f>
        <v>1.6489200000000001E-4</v>
      </c>
      <c r="L320" s="1335">
        <f>K320*$K$296</f>
        <v>0</v>
      </c>
      <c r="M320" s="1499">
        <v>92.54</v>
      </c>
      <c r="N320" s="1724">
        <f>G320*M320</f>
        <v>41.920620000000007</v>
      </c>
      <c r="O320" s="1725">
        <f>H320*M320</f>
        <v>1.0899361200000002</v>
      </c>
      <c r="P320" s="1720">
        <f>M320*K320</f>
        <v>1.5259105680000001E-2</v>
      </c>
      <c r="Q320" s="3396"/>
      <c r="R320" s="2338"/>
    </row>
    <row r="321" spans="1:18">
      <c r="A321" s="1042"/>
      <c r="B321" s="16"/>
      <c r="C321" s="1320"/>
      <c r="D321" s="1400" t="s">
        <v>1576</v>
      </c>
      <c r="E321" s="1856" t="s">
        <v>1517</v>
      </c>
      <c r="F321" s="1397" t="s">
        <v>1580</v>
      </c>
      <c r="G321" s="1401">
        <v>1.004</v>
      </c>
      <c r="H321" s="1399">
        <f>$H$318*G321</f>
        <v>2.6103999999999999E-2</v>
      </c>
      <c r="I321" s="197"/>
      <c r="J321" s="198"/>
      <c r="K321" s="1307">
        <f>H321*$K$313</f>
        <v>3.6545600000000001E-4</v>
      </c>
      <c r="L321" s="1335">
        <f>K321*$K$296</f>
        <v>0</v>
      </c>
      <c r="M321" s="1499">
        <v>6.53</v>
      </c>
      <c r="N321" s="1724">
        <f>G321*M321</f>
        <v>6.5561199999999999</v>
      </c>
      <c r="O321" s="1725">
        <f>H321*M321</f>
        <v>0.17045911999999999</v>
      </c>
      <c r="P321" s="1720">
        <f>M321*K321</f>
        <v>2.3864276800000003E-3</v>
      </c>
      <c r="Q321" s="3396"/>
      <c r="R321" s="2338"/>
    </row>
    <row r="322" spans="1:18">
      <c r="A322" s="1042"/>
      <c r="B322" s="16"/>
      <c r="C322" s="225"/>
      <c r="D322" s="1404" t="s">
        <v>1067</v>
      </c>
      <c r="E322" s="1857" t="s">
        <v>1508</v>
      </c>
      <c r="F322" s="1403" t="s">
        <v>1512</v>
      </c>
      <c r="G322" s="1408">
        <v>1.03</v>
      </c>
      <c r="H322" s="1408">
        <f>$H$318*G322</f>
        <v>2.6779999999999998E-2</v>
      </c>
      <c r="I322" s="197"/>
      <c r="J322" s="198"/>
      <c r="K322" s="1307">
        <f>H322*$K$313</f>
        <v>3.7492E-4</v>
      </c>
      <c r="L322" s="1335">
        <f>K322*$K$296</f>
        <v>0</v>
      </c>
      <c r="M322" s="1499">
        <v>18.28</v>
      </c>
      <c r="N322" s="1724">
        <f>G322*M322</f>
        <v>18.828400000000002</v>
      </c>
      <c r="O322" s="1725">
        <f>H322*M322</f>
        <v>0.48953839999999998</v>
      </c>
      <c r="P322" s="1720">
        <f>M322*K322</f>
        <v>6.8535376E-3</v>
      </c>
      <c r="Q322" s="3396"/>
      <c r="R322" s="2338"/>
    </row>
    <row r="323" spans="1:18">
      <c r="A323" s="1042"/>
      <c r="B323" s="595"/>
      <c r="C323" s="1316" t="s">
        <v>1127</v>
      </c>
      <c r="D323" s="1311"/>
      <c r="E323" s="2143" t="s">
        <v>1517</v>
      </c>
      <c r="F323" s="1312" t="s">
        <v>1519</v>
      </c>
      <c r="G323" s="1314"/>
      <c r="H323" s="1314">
        <v>0.113</v>
      </c>
      <c r="I323" s="1455"/>
      <c r="J323" s="1488"/>
      <c r="K323" s="1445"/>
      <c r="L323" s="1457"/>
      <c r="M323" s="1500"/>
      <c r="N323" s="1446">
        <f>SUM(N324:N327)</f>
        <v>50.044430000000006</v>
      </c>
      <c r="O323" s="1446">
        <f>SUM(O324:O327)</f>
        <v>5.6550205900000012</v>
      </c>
      <c r="P323" s="1446">
        <f>SUM(P324:P327)</f>
        <v>7.9170288260000013E-2</v>
      </c>
      <c r="Q323" s="3391"/>
      <c r="R323" s="2338"/>
    </row>
    <row r="324" spans="1:18">
      <c r="B324" s="1320"/>
      <c r="C324" s="18"/>
      <c r="D324" s="1367" t="s">
        <v>1069</v>
      </c>
      <c r="E324" s="1856" t="s">
        <v>1517</v>
      </c>
      <c r="F324" s="1397" t="s">
        <v>1578</v>
      </c>
      <c r="G324" s="1416">
        <v>0.26300000000000001</v>
      </c>
      <c r="H324" s="1399">
        <f>$H$323*G324</f>
        <v>2.9719000000000002E-2</v>
      </c>
      <c r="I324" s="197"/>
      <c r="J324" s="198"/>
      <c r="K324" s="1307">
        <f>H324*$K$313</f>
        <v>4.1606600000000004E-4</v>
      </c>
      <c r="L324" s="1335">
        <f>K324*$K$296</f>
        <v>0</v>
      </c>
      <c r="M324" s="1499">
        <v>0.55000000000000004</v>
      </c>
      <c r="N324" s="1724">
        <f>G324*M324</f>
        <v>0.14465000000000003</v>
      </c>
      <c r="O324" s="1725">
        <f>H324*M324</f>
        <v>1.6345450000000001E-2</v>
      </c>
      <c r="P324" s="1720">
        <f>M324*K324</f>
        <v>2.2883630000000005E-4</v>
      </c>
      <c r="Q324" s="3396"/>
      <c r="R324" s="2338"/>
    </row>
    <row r="325" spans="1:18">
      <c r="A325" s="1042"/>
      <c r="B325" s="16"/>
      <c r="C325" s="1042"/>
      <c r="D325" s="1367" t="s">
        <v>1394</v>
      </c>
      <c r="E325" s="1856" t="s">
        <v>1577</v>
      </c>
      <c r="F325" s="1397" t="s">
        <v>1579</v>
      </c>
      <c r="G325" s="1416">
        <v>0.25800000000000001</v>
      </c>
      <c r="H325" s="1399">
        <f>$H$323*G325</f>
        <v>2.9154000000000003E-2</v>
      </c>
      <c r="I325" s="197"/>
      <c r="J325" s="198"/>
      <c r="K325" s="1307">
        <f>H325*$K$313</f>
        <v>4.0815600000000007E-4</v>
      </c>
      <c r="L325" s="1335">
        <f>K325*$K$296</f>
        <v>0</v>
      </c>
      <c r="M325" s="1499">
        <v>92.54</v>
      </c>
      <c r="N325" s="1724">
        <f>G325*M325</f>
        <v>23.875320000000002</v>
      </c>
      <c r="O325" s="1725">
        <f>H325*M325</f>
        <v>2.6979111600000003</v>
      </c>
      <c r="P325" s="1720">
        <f>M325*K325</f>
        <v>3.7770756240000009E-2</v>
      </c>
      <c r="Q325" s="3396"/>
      <c r="R325" s="2338"/>
    </row>
    <row r="326" spans="1:18">
      <c r="A326" s="1042"/>
      <c r="B326" s="16"/>
      <c r="C326" s="1042"/>
      <c r="D326" s="1367" t="s">
        <v>1576</v>
      </c>
      <c r="E326" s="1856" t="s">
        <v>1517</v>
      </c>
      <c r="F326" s="1397" t="s">
        <v>1580</v>
      </c>
      <c r="G326" s="1416">
        <v>1.1020000000000001</v>
      </c>
      <c r="H326" s="1399">
        <f>$H$323*G326</f>
        <v>0.12452600000000001</v>
      </c>
      <c r="I326" s="197"/>
      <c r="J326" s="198"/>
      <c r="K326" s="1307">
        <f>H326*$K$313</f>
        <v>1.7433640000000003E-3</v>
      </c>
      <c r="L326" s="1335">
        <f>K326*$K$296</f>
        <v>0</v>
      </c>
      <c r="M326" s="1499">
        <v>6.53</v>
      </c>
      <c r="N326" s="1724">
        <f>G326*M326</f>
        <v>7.196060000000001</v>
      </c>
      <c r="O326" s="1725">
        <f>H326*M326</f>
        <v>0.81315478000000008</v>
      </c>
      <c r="P326" s="1720">
        <f>M326*K326</f>
        <v>1.1384166920000003E-2</v>
      </c>
      <c r="Q326" s="3396"/>
      <c r="R326" s="2338"/>
    </row>
    <row r="327" spans="1:18">
      <c r="A327" s="1042"/>
      <c r="B327" s="16"/>
      <c r="C327" s="1042"/>
      <c r="D327" s="1359" t="s">
        <v>1067</v>
      </c>
      <c r="E327" s="1857" t="s">
        <v>1508</v>
      </c>
      <c r="F327" s="1406" t="s">
        <v>1512</v>
      </c>
      <c r="G327" s="1407">
        <v>1.03</v>
      </c>
      <c r="H327" s="1408">
        <f>$H$323*G327</f>
        <v>0.11639000000000001</v>
      </c>
      <c r="I327" s="197"/>
      <c r="J327" s="198"/>
      <c r="K327" s="1307">
        <f>H327*$K$313</f>
        <v>1.6294600000000001E-3</v>
      </c>
      <c r="L327" s="1335">
        <f>K327*$K$296</f>
        <v>0</v>
      </c>
      <c r="M327" s="1499">
        <v>18.28</v>
      </c>
      <c r="N327" s="1724">
        <f>G327*M327</f>
        <v>18.828400000000002</v>
      </c>
      <c r="O327" s="1725">
        <f>H327*M327</f>
        <v>2.1276092000000002</v>
      </c>
      <c r="P327" s="1720">
        <f>M327*K327</f>
        <v>2.9786528800000003E-2</v>
      </c>
      <c r="Q327" s="3396"/>
      <c r="R327" s="2338"/>
    </row>
    <row r="328" spans="1:18">
      <c r="A328" s="1042"/>
      <c r="B328" s="16"/>
      <c r="C328" s="1042"/>
      <c r="D328" s="1367"/>
      <c r="E328" s="1856"/>
      <c r="F328" s="1397"/>
      <c r="G328" s="1416"/>
      <c r="H328" s="1399"/>
      <c r="I328" s="197"/>
      <c r="J328" s="198"/>
      <c r="K328" s="1307"/>
      <c r="L328" s="1335"/>
      <c r="M328" s="1499"/>
      <c r="N328" s="1724"/>
      <c r="O328" s="1719"/>
      <c r="P328" s="1720"/>
      <c r="Q328" s="3396"/>
      <c r="R328" s="2338"/>
    </row>
    <row r="329" spans="1:18">
      <c r="A329" s="1042"/>
      <c r="B329" s="16"/>
      <c r="C329" s="1042"/>
      <c r="D329" s="1367"/>
      <c r="E329" s="1856"/>
      <c r="F329" s="1397"/>
      <c r="G329" s="1416"/>
      <c r="H329" s="1399"/>
      <c r="I329" s="197"/>
      <c r="J329" s="198"/>
      <c r="K329" s="1307"/>
      <c r="L329" s="1335"/>
      <c r="M329" s="1499"/>
      <c r="N329" s="1724"/>
      <c r="O329" s="1719"/>
      <c r="P329" s="1720"/>
      <c r="Q329" s="3396"/>
      <c r="R329" s="2338"/>
    </row>
    <row r="330" spans="1:18">
      <c r="A330" s="1042"/>
      <c r="B330" s="16"/>
      <c r="C330" s="1042"/>
      <c r="D330" s="1359"/>
      <c r="E330" s="1858"/>
      <c r="F330" s="1360" t="s">
        <v>2</v>
      </c>
      <c r="G330" s="1466"/>
      <c r="H330" s="1362"/>
      <c r="I330" s="1380"/>
      <c r="J330" s="1381"/>
      <c r="K330" s="1359"/>
      <c r="L330" s="1458"/>
      <c r="M330" s="1507"/>
      <c r="N330" s="1708"/>
      <c r="O330" s="1489"/>
      <c r="P330" s="1359"/>
      <c r="Q330" s="3387"/>
      <c r="R330" s="2338"/>
    </row>
    <row r="331" spans="1:18">
      <c r="A331" s="1042"/>
      <c r="B331" s="16"/>
      <c r="C331" s="1042"/>
      <c r="D331" s="1363" t="s">
        <v>1067</v>
      </c>
      <c r="E331" s="2125" t="s">
        <v>1508</v>
      </c>
      <c r="F331" s="1364" t="s">
        <v>1512</v>
      </c>
      <c r="G331" s="1365">
        <v>2.6</v>
      </c>
      <c r="H331" s="1365"/>
      <c r="I331" s="1286"/>
      <c r="J331" s="1287"/>
      <c r="K331" s="1307">
        <f>G331*$K$313</f>
        <v>3.6400000000000002E-2</v>
      </c>
      <c r="L331" s="1335">
        <f>K331*$K$296</f>
        <v>0</v>
      </c>
      <c r="M331" s="1499">
        <v>18.28</v>
      </c>
      <c r="N331" s="1499"/>
      <c r="O331" s="1291">
        <f>ROUND(G331*M331,2)</f>
        <v>47.53</v>
      </c>
      <c r="P331" s="1332">
        <f>M331*K331</f>
        <v>0.66539200000000009</v>
      </c>
      <c r="Q331" s="3391"/>
      <c r="R331" s="2338"/>
    </row>
    <row r="332" spans="1:18">
      <c r="A332" s="1042"/>
      <c r="B332" s="16"/>
      <c r="C332" s="1358" t="s">
        <v>1523</v>
      </c>
      <c r="D332" s="1329"/>
      <c r="E332" s="2135" t="s">
        <v>1508</v>
      </c>
      <c r="F332" s="1330" t="s">
        <v>1524</v>
      </c>
      <c r="G332" s="1331"/>
      <c r="H332" s="1331">
        <v>3.2</v>
      </c>
      <c r="I332" s="1455"/>
      <c r="J332" s="1488"/>
      <c r="K332" s="1510"/>
      <c r="L332" s="1445"/>
      <c r="M332" s="1500"/>
      <c r="N332" s="1446">
        <f>SUM(N333:N334)</f>
        <v>37.510000000000005</v>
      </c>
      <c r="O332" s="1446">
        <f>SUM(O333:O334)</f>
        <v>120.03200000000001</v>
      </c>
      <c r="P332" s="1446">
        <f>SUM(P333:P334)</f>
        <v>1.6804480000000002</v>
      </c>
      <c r="Q332" s="3391"/>
      <c r="R332" s="2338"/>
    </row>
    <row r="333" spans="1:18">
      <c r="A333" s="1042"/>
      <c r="B333" s="16"/>
      <c r="C333" s="1042"/>
      <c r="D333" s="1402" t="s">
        <v>1067</v>
      </c>
      <c r="E333" s="1857" t="s">
        <v>1508</v>
      </c>
      <c r="F333" s="1430" t="s">
        <v>5</v>
      </c>
      <c r="G333" s="1362">
        <v>1</v>
      </c>
      <c r="H333" s="1362">
        <f>$H$332*G333</f>
        <v>3.2</v>
      </c>
      <c r="I333" s="1286"/>
      <c r="J333" s="1287"/>
      <c r="K333" s="1307">
        <f>H333*$K$313</f>
        <v>4.4800000000000006E-2</v>
      </c>
      <c r="L333" s="1335">
        <f>K333*$K$296</f>
        <v>0</v>
      </c>
      <c r="M333" s="1499">
        <v>18.28</v>
      </c>
      <c r="N333" s="1724">
        <f>G333*M333</f>
        <v>18.28</v>
      </c>
      <c r="O333" s="1725">
        <f>H333*M333</f>
        <v>58.496000000000009</v>
      </c>
      <c r="P333" s="1720">
        <f>M333*K333</f>
        <v>0.81894400000000012</v>
      </c>
      <c r="Q333" s="3396"/>
      <c r="R333" s="2338"/>
    </row>
    <row r="334" spans="1:18">
      <c r="A334" s="1042"/>
      <c r="B334" s="16"/>
      <c r="C334" s="1042"/>
      <c r="D334" s="1402" t="s">
        <v>1077</v>
      </c>
      <c r="E334" s="1857" t="s">
        <v>1508</v>
      </c>
      <c r="F334" s="1430" t="s">
        <v>37</v>
      </c>
      <c r="G334" s="1362">
        <v>1</v>
      </c>
      <c r="H334" s="1362">
        <f>$H$332*G334</f>
        <v>3.2</v>
      </c>
      <c r="I334" s="1286"/>
      <c r="J334" s="1340"/>
      <c r="K334" s="1307">
        <f>H334*$K$313</f>
        <v>4.4800000000000006E-2</v>
      </c>
      <c r="L334" s="1335">
        <f>K334*$K$296</f>
        <v>0</v>
      </c>
      <c r="M334" s="1499">
        <v>19.23</v>
      </c>
      <c r="N334" s="1724">
        <f>G334*M334</f>
        <v>19.23</v>
      </c>
      <c r="O334" s="1725">
        <f>H334*M334</f>
        <v>61.536000000000001</v>
      </c>
      <c r="P334" s="1720">
        <f>M334*K334</f>
        <v>0.86150400000000016</v>
      </c>
      <c r="Q334" s="3396"/>
      <c r="R334" s="2338"/>
    </row>
    <row r="335" spans="1:18">
      <c r="A335" s="1042"/>
      <c r="B335" s="16"/>
      <c r="C335" s="1042"/>
      <c r="D335" s="1373"/>
      <c r="E335" s="2123"/>
      <c r="F335" s="1374" t="s">
        <v>3</v>
      </c>
      <c r="G335" s="1492"/>
      <c r="H335" s="1376"/>
      <c r="I335" s="1382"/>
      <c r="J335" s="1383"/>
      <c r="K335" s="1383"/>
      <c r="L335" s="1413"/>
      <c r="M335" s="1485"/>
      <c r="N335" s="1493"/>
      <c r="O335" s="1493"/>
      <c r="P335" s="1413"/>
      <c r="Q335" s="3387"/>
      <c r="R335" s="2338"/>
    </row>
    <row r="336" spans="1:18">
      <c r="A336" s="1042"/>
      <c r="B336" s="16"/>
      <c r="C336" s="1042"/>
      <c r="D336" s="1440"/>
      <c r="E336" s="2132"/>
      <c r="F336" s="1441"/>
      <c r="G336" s="1441"/>
      <c r="H336" s="1442"/>
      <c r="I336" s="197"/>
      <c r="J336" s="198"/>
      <c r="K336" s="1307"/>
      <c r="L336" s="1335"/>
      <c r="M336" s="1499"/>
      <c r="N336" s="1701"/>
      <c r="O336" s="1290"/>
      <c r="P336" s="1332"/>
      <c r="Q336" s="3391"/>
      <c r="R336" s="2338"/>
    </row>
    <row r="337" spans="1:18">
      <c r="A337" s="1042"/>
      <c r="B337" s="16"/>
      <c r="C337" s="1042"/>
      <c r="D337" s="1440"/>
      <c r="E337" s="2132"/>
      <c r="F337" s="1441"/>
      <c r="G337" s="1441"/>
      <c r="H337" s="1442"/>
      <c r="I337" s="197" t="str">
        <f>IF(COUNT(H338:O338)=0,"",(SUM(H338:O338)/COUNT(H338:O338)))</f>
        <v/>
      </c>
      <c r="J337" s="198"/>
      <c r="K337" s="1307"/>
      <c r="L337" s="1335"/>
      <c r="M337" s="1499"/>
      <c r="N337" s="1701"/>
      <c r="O337" s="1290"/>
      <c r="P337" s="1332"/>
      <c r="Q337" s="3391"/>
      <c r="R337" s="2338"/>
    </row>
    <row r="338" spans="1:18">
      <c r="A338" s="1042"/>
      <c r="B338" s="3359"/>
      <c r="C338" s="223"/>
      <c r="D338" s="1440"/>
      <c r="E338" s="2132"/>
      <c r="F338" s="1441"/>
      <c r="G338" s="1441"/>
      <c r="H338" s="1442"/>
      <c r="I338" s="197" t="str">
        <f>IF(COUNT(G358:O358)=0,"",(SUM(G358:O358)/COUNT(G358:O358)))</f>
        <v/>
      </c>
      <c r="J338" s="198"/>
      <c r="K338" s="1307"/>
      <c r="L338" s="1335"/>
      <c r="M338" s="1499"/>
      <c r="N338" s="1701"/>
      <c r="O338" s="1290"/>
      <c r="P338" s="1332"/>
      <c r="Q338" s="3391"/>
      <c r="R338" s="2338"/>
    </row>
    <row r="339" spans="1:18" ht="15" customHeight="1">
      <c r="A339" s="88" t="s">
        <v>3764</v>
      </c>
      <c r="B339" s="4367" t="s">
        <v>1627</v>
      </c>
      <c r="C339" s="3350"/>
      <c r="D339" s="4327"/>
      <c r="E339" s="4337" t="s">
        <v>1527</v>
      </c>
      <c r="F339" s="4338" t="s">
        <v>1628</v>
      </c>
      <c r="G339" s="4331" t="s">
        <v>1568</v>
      </c>
      <c r="H339" s="4331" t="s">
        <v>1574</v>
      </c>
      <c r="I339" s="1572" t="s">
        <v>1559</v>
      </c>
      <c r="J339" s="1294" t="s">
        <v>1560</v>
      </c>
      <c r="K339" s="1294" t="s">
        <v>1561</v>
      </c>
      <c r="L339" s="4333" t="s">
        <v>3765</v>
      </c>
      <c r="M339" s="4335" t="s">
        <v>1571</v>
      </c>
      <c r="N339" s="4323" t="s">
        <v>1776</v>
      </c>
      <c r="O339" s="3347" t="s">
        <v>1563</v>
      </c>
      <c r="P339" s="1336" t="s">
        <v>1562</v>
      </c>
      <c r="Q339" s="3389"/>
      <c r="R339" s="1699" t="s">
        <v>1327</v>
      </c>
    </row>
    <row r="340" spans="1:18">
      <c r="A340" s="1320" t="s">
        <v>1552</v>
      </c>
      <c r="B340" s="4369"/>
      <c r="C340" s="3351"/>
      <c r="D340" s="4328"/>
      <c r="E340" s="4337"/>
      <c r="F340" s="4338"/>
      <c r="G340" s="4332"/>
      <c r="H340" s="4332"/>
      <c r="I340" s="1345">
        <v>21</v>
      </c>
      <c r="J340" s="1350">
        <v>1.4E-2</v>
      </c>
      <c r="K340" s="1297">
        <f>I340*J340</f>
        <v>0.29399999999999998</v>
      </c>
      <c r="L340" s="4334"/>
      <c r="M340" s="4335"/>
      <c r="N340" s="4324"/>
      <c r="O340" s="1298">
        <f>O342+O343+O344+O345+O349+O350+O351+O355</f>
        <v>24.847600000000003</v>
      </c>
      <c r="P340" s="1337">
        <f>O340*K340</f>
        <v>7.3051944000000004</v>
      </c>
      <c r="Q340" s="3390"/>
      <c r="R340" s="1721">
        <f>P342+P343+P344+P345+P349+P350+P351+P355</f>
        <v>7.305076800000001</v>
      </c>
    </row>
    <row r="341" spans="1:18">
      <c r="A341" s="1042"/>
      <c r="B341" s="552"/>
      <c r="C341" s="18"/>
      <c r="D341" s="1400"/>
      <c r="E341" s="2121"/>
      <c r="F341" s="2232" t="s">
        <v>1</v>
      </c>
      <c r="G341" s="1472"/>
      <c r="H341" s="2245"/>
      <c r="I341" s="1391"/>
      <c r="J341" s="1369"/>
      <c r="K341" s="1369"/>
      <c r="L341" s="1554"/>
      <c r="M341" s="1490"/>
      <c r="N341" s="1491"/>
      <c r="O341" s="1491"/>
      <c r="P341" s="1367"/>
      <c r="Q341" s="3387"/>
      <c r="R341" s="2338"/>
    </row>
    <row r="342" spans="1:18">
      <c r="A342" s="1042"/>
      <c r="B342" s="88"/>
      <c r="C342" s="1042"/>
      <c r="D342" s="1471" t="s">
        <v>1576</v>
      </c>
      <c r="E342" s="2144" t="s">
        <v>1517</v>
      </c>
      <c r="F342" s="1590" t="s">
        <v>1580</v>
      </c>
      <c r="G342" s="1399">
        <v>0.12</v>
      </c>
      <c r="H342" s="1399"/>
      <c r="I342" s="1346"/>
      <c r="J342" s="1341"/>
      <c r="K342" s="1307">
        <f>G342*$K$340</f>
        <v>3.5279999999999999E-2</v>
      </c>
      <c r="L342" s="1335">
        <f>K342*$K$296</f>
        <v>0</v>
      </c>
      <c r="M342" s="1302">
        <v>6.53</v>
      </c>
      <c r="N342" s="1700"/>
      <c r="O342" s="1290">
        <f>ROUND(G342*M342,2)</f>
        <v>0.78</v>
      </c>
      <c r="P342" s="1332">
        <f>M342*K342</f>
        <v>0.23037840000000001</v>
      </c>
      <c r="Q342" s="3391"/>
      <c r="R342" s="2338"/>
    </row>
    <row r="343" spans="1:18">
      <c r="A343" s="1042"/>
      <c r="B343" s="88"/>
      <c r="C343" s="1042"/>
      <c r="D343" s="1471" t="s">
        <v>1630</v>
      </c>
      <c r="E343" s="2144" t="s">
        <v>1527</v>
      </c>
      <c r="F343" s="1590" t="s">
        <v>1631</v>
      </c>
      <c r="G343" s="1399">
        <v>1.01</v>
      </c>
      <c r="H343" s="1399"/>
      <c r="I343" s="1346"/>
      <c r="J343" s="1341"/>
      <c r="K343" s="1307">
        <f>G343*$K$340</f>
        <v>0.29693999999999998</v>
      </c>
      <c r="L343" s="1335">
        <f>K343*$K$296</f>
        <v>0</v>
      </c>
      <c r="M343" s="1302">
        <v>0.6</v>
      </c>
      <c r="N343" s="1700"/>
      <c r="O343" s="1290">
        <f>ROUND(G343*M343,2)</f>
        <v>0.61</v>
      </c>
      <c r="P343" s="1332">
        <f>M343*K343</f>
        <v>0.17816399999999999</v>
      </c>
      <c r="Q343" s="3391"/>
      <c r="R343" s="2338"/>
    </row>
    <row r="344" spans="1:18">
      <c r="A344" s="1042"/>
      <c r="B344" s="88"/>
      <c r="C344" s="1042"/>
      <c r="D344" s="1471" t="s">
        <v>1082</v>
      </c>
      <c r="E344" s="2144" t="s">
        <v>1504</v>
      </c>
      <c r="F344" s="1590" t="s">
        <v>1541</v>
      </c>
      <c r="G344" s="1399">
        <v>1</v>
      </c>
      <c r="H344" s="1399"/>
      <c r="I344" s="1346"/>
      <c r="J344" s="1341"/>
      <c r="K344" s="1307">
        <f>G344*$K$340</f>
        <v>0.29399999999999998</v>
      </c>
      <c r="L344" s="1335">
        <f>K344*$K$296</f>
        <v>0</v>
      </c>
      <c r="M344" s="1302">
        <v>0.3</v>
      </c>
      <c r="N344" s="1744"/>
      <c r="O344" s="1290">
        <f>ROUND(G344*M344,2)</f>
        <v>0.3</v>
      </c>
      <c r="P344" s="1332">
        <f>M344*K344</f>
        <v>8.8199999999999987E-2</v>
      </c>
      <c r="Q344" s="3391"/>
      <c r="R344" s="2338"/>
    </row>
    <row r="345" spans="1:18">
      <c r="A345" s="1042"/>
      <c r="B345" s="88"/>
      <c r="C345" s="1042"/>
      <c r="D345" s="1471" t="s">
        <v>1097</v>
      </c>
      <c r="E345" s="2144" t="s">
        <v>1504</v>
      </c>
      <c r="F345" s="1590" t="s">
        <v>1632</v>
      </c>
      <c r="G345" s="1399">
        <v>1</v>
      </c>
      <c r="H345" s="1399"/>
      <c r="I345" s="1346"/>
      <c r="J345" s="1341"/>
      <c r="K345" s="1307">
        <f>G345*$K$340</f>
        <v>0.29399999999999998</v>
      </c>
      <c r="L345" s="1335">
        <f>K345*$K$296</f>
        <v>0</v>
      </c>
      <c r="M345" s="1302">
        <v>0.55000000000000004</v>
      </c>
      <c r="N345" s="1744"/>
      <c r="O345" s="1290">
        <f>ROUND(G345*M345,2)</f>
        <v>0.55000000000000004</v>
      </c>
      <c r="P345" s="1332">
        <f>M345*K345</f>
        <v>0.16170000000000001</v>
      </c>
      <c r="Q345" s="3391"/>
      <c r="R345" s="2338"/>
    </row>
    <row r="346" spans="1:18">
      <c r="A346" s="1042"/>
      <c r="B346" s="88"/>
      <c r="C346" s="1042"/>
      <c r="D346" s="1471"/>
      <c r="E346" s="2144"/>
      <c r="F346" s="1590"/>
      <c r="G346" s="1367"/>
      <c r="H346" s="1591"/>
      <c r="I346" s="1346"/>
      <c r="J346" s="1341"/>
      <c r="K346" s="1307" t="str">
        <f>IF(COUNT(#REF!)=0,"",IF(#REF!="","",(#REF!*#REF!)))</f>
        <v/>
      </c>
      <c r="L346" s="1335"/>
      <c r="M346" s="1309"/>
      <c r="N346" s="1744"/>
      <c r="O346" s="1735"/>
      <c r="P346" s="1332"/>
      <c r="Q346" s="3391"/>
      <c r="R346" s="2338"/>
    </row>
    <row r="347" spans="1:18">
      <c r="A347" s="1042"/>
      <c r="B347" s="88"/>
      <c r="C347" s="1042"/>
      <c r="D347" s="1471"/>
      <c r="E347" s="2144"/>
      <c r="F347" s="1590"/>
      <c r="G347" s="1367"/>
      <c r="H347" s="1591"/>
      <c r="I347" s="1346"/>
      <c r="J347" s="1341"/>
      <c r="K347" s="1307" t="str">
        <f>IF(COUNT(#REF!)=0,"",IF(#REF!="","",(#REF!*#REF!)))</f>
        <v/>
      </c>
      <c r="L347" s="1335"/>
      <c r="M347" s="1309"/>
      <c r="N347" s="1744"/>
      <c r="O347" s="1735"/>
      <c r="P347" s="1332"/>
      <c r="Q347" s="3391"/>
      <c r="R347" s="2338"/>
    </row>
    <row r="348" spans="1:18">
      <c r="A348" s="1042"/>
      <c r="B348" s="88"/>
      <c r="C348" s="1042"/>
      <c r="D348" s="1404"/>
      <c r="E348" s="1858"/>
      <c r="F348" s="2243" t="s">
        <v>2</v>
      </c>
      <c r="G348" s="1466"/>
      <c r="H348" s="1502"/>
      <c r="I348" s="1380"/>
      <c r="J348" s="1381"/>
      <c r="K348" s="1359" t="str">
        <f>IF(COUNT(#REF!)=0,"",IF(#REF!="","",(#REF!*#REF!)))</f>
        <v/>
      </c>
      <c r="L348" s="1458"/>
      <c r="M348" s="1429"/>
      <c r="N348" s="1362"/>
      <c r="O348" s="1708"/>
      <c r="P348" s="1359"/>
      <c r="Q348" s="3387"/>
      <c r="R348" s="2338"/>
    </row>
    <row r="349" spans="1:18">
      <c r="A349" s="1042"/>
      <c r="B349" s="88"/>
      <c r="C349" s="1042"/>
      <c r="D349" s="1471" t="s">
        <v>1099</v>
      </c>
      <c r="E349" s="2144" t="s">
        <v>1508</v>
      </c>
      <c r="F349" s="1590" t="s">
        <v>1633</v>
      </c>
      <c r="G349" s="1399">
        <v>0.1</v>
      </c>
      <c r="H349" s="1399"/>
      <c r="I349" s="1286"/>
      <c r="J349" s="198"/>
      <c r="K349" s="1307">
        <f>G349*$K$340</f>
        <v>2.9399999999999999E-2</v>
      </c>
      <c r="L349" s="1335">
        <f>K349*$K$296</f>
        <v>0</v>
      </c>
      <c r="M349" s="1742">
        <v>19.23</v>
      </c>
      <c r="N349" s="1302"/>
      <c r="O349" s="1745">
        <f>G349*M349</f>
        <v>1.923</v>
      </c>
      <c r="P349" s="1720">
        <f>M349*K349</f>
        <v>0.56536200000000003</v>
      </c>
      <c r="Q349" s="3396"/>
      <c r="R349" s="2338"/>
    </row>
    <row r="350" spans="1:18">
      <c r="A350" s="1042"/>
      <c r="B350" s="88"/>
      <c r="C350" s="1042"/>
      <c r="D350" s="1471" t="s">
        <v>1067</v>
      </c>
      <c r="E350" s="2144" t="s">
        <v>1508</v>
      </c>
      <c r="F350" s="1590" t="s">
        <v>1512</v>
      </c>
      <c r="G350" s="1399">
        <v>0.9</v>
      </c>
      <c r="H350" s="1399"/>
      <c r="I350" s="1286"/>
      <c r="J350" s="198"/>
      <c r="K350" s="1307">
        <f>G350*$K$340</f>
        <v>0.2646</v>
      </c>
      <c r="L350" s="1335">
        <f>K350*$K$296</f>
        <v>0</v>
      </c>
      <c r="M350" s="1742">
        <v>18.28</v>
      </c>
      <c r="N350" s="1302"/>
      <c r="O350" s="1745">
        <f>G350*M350</f>
        <v>16.452000000000002</v>
      </c>
      <c r="P350" s="1720">
        <f>M350*K350</f>
        <v>4.8368880000000001</v>
      </c>
      <c r="Q350" s="3396"/>
      <c r="R350" s="2338"/>
    </row>
    <row r="351" spans="1:18">
      <c r="A351" s="1042"/>
      <c r="B351" s="88"/>
      <c r="C351" s="1358" t="s">
        <v>1523</v>
      </c>
      <c r="D351" s="1329"/>
      <c r="E351" s="2135" t="s">
        <v>1508</v>
      </c>
      <c r="F351" s="2244" t="s">
        <v>1524</v>
      </c>
      <c r="G351" s="1776"/>
      <c r="H351" s="2246">
        <v>0.1</v>
      </c>
      <c r="I351" s="1455"/>
      <c r="J351" s="1388"/>
      <c r="K351" s="1510"/>
      <c r="L351" s="1445"/>
      <c r="M351" s="1743"/>
      <c r="N351" s="1446">
        <f>SUM(N352:N353)</f>
        <v>37.510000000000005</v>
      </c>
      <c r="O351" s="1446">
        <f>SUM(O352:O353)</f>
        <v>3.7510000000000003</v>
      </c>
      <c r="P351" s="1446">
        <f>SUM(P352:P353)</f>
        <v>1.1027940000000001</v>
      </c>
      <c r="Q351" s="3391"/>
      <c r="R351" s="2338"/>
    </row>
    <row r="352" spans="1:18">
      <c r="A352" s="1042"/>
      <c r="B352" s="88"/>
      <c r="C352" s="1042"/>
      <c r="D352" s="1402" t="s">
        <v>1067</v>
      </c>
      <c r="E352" s="1857" t="s">
        <v>1508</v>
      </c>
      <c r="F352" s="1430" t="s">
        <v>5</v>
      </c>
      <c r="G352" s="1362">
        <v>1</v>
      </c>
      <c r="H352" s="1362">
        <f>$H$351*G352</f>
        <v>0.1</v>
      </c>
      <c r="I352" s="1286"/>
      <c r="J352" s="198"/>
      <c r="K352" s="1307">
        <f>H352*$K$340</f>
        <v>2.9399999999999999E-2</v>
      </c>
      <c r="L352" s="1335">
        <f>K352*$K$296</f>
        <v>0</v>
      </c>
      <c r="M352" s="1302">
        <v>18.28</v>
      </c>
      <c r="N352" s="1724">
        <f>G352*M352</f>
        <v>18.28</v>
      </c>
      <c r="O352" s="1725">
        <f>H352*M352</f>
        <v>1.8280000000000003</v>
      </c>
      <c r="P352" s="1720">
        <f>M352*K352</f>
        <v>0.53743200000000002</v>
      </c>
      <c r="Q352" s="3396"/>
      <c r="R352" s="2338"/>
    </row>
    <row r="353" spans="1:18">
      <c r="A353" s="1042"/>
      <c r="B353" s="88"/>
      <c r="C353" s="1042"/>
      <c r="D353" s="1402" t="s">
        <v>1077</v>
      </c>
      <c r="E353" s="1857" t="s">
        <v>1508</v>
      </c>
      <c r="F353" s="1430" t="s">
        <v>37</v>
      </c>
      <c r="G353" s="1362">
        <v>1</v>
      </c>
      <c r="H353" s="1362">
        <f>$H$351*G353</f>
        <v>0.1</v>
      </c>
      <c r="I353" s="1286"/>
      <c r="J353" s="198"/>
      <c r="K353" s="1307">
        <f>H353*$K$340</f>
        <v>2.9399999999999999E-2</v>
      </c>
      <c r="L353" s="1335">
        <f>K353*$K$296</f>
        <v>0</v>
      </c>
      <c r="M353" s="1302">
        <v>19.23</v>
      </c>
      <c r="N353" s="1724">
        <f>G353*M353</f>
        <v>19.23</v>
      </c>
      <c r="O353" s="1725">
        <f>H353*M353</f>
        <v>1.923</v>
      </c>
      <c r="P353" s="1720">
        <f>M353*K353</f>
        <v>0.56536200000000003</v>
      </c>
      <c r="Q353" s="3396"/>
      <c r="R353" s="2338"/>
    </row>
    <row r="354" spans="1:18">
      <c r="A354" s="1042"/>
      <c r="B354" s="88"/>
      <c r="C354" s="1042"/>
      <c r="D354" s="1411"/>
      <c r="E354" s="2123"/>
      <c r="F354" s="1374" t="s">
        <v>3</v>
      </c>
      <c r="G354" s="1476"/>
      <c r="H354" s="1376"/>
      <c r="I354" s="1496"/>
      <c r="J354" s="1383"/>
      <c r="K354" s="1373"/>
      <c r="L354" s="1413"/>
      <c r="M354" s="1432"/>
      <c r="N354" s="1376"/>
      <c r="O354" s="1706"/>
      <c r="P354" s="1373"/>
      <c r="Q354" s="3387"/>
      <c r="R354" s="2338"/>
    </row>
    <row r="355" spans="1:18">
      <c r="A355" s="1042"/>
      <c r="B355" s="88"/>
      <c r="C355" s="1042"/>
      <c r="D355" s="1592" t="s">
        <v>1070</v>
      </c>
      <c r="E355" s="2145" t="s">
        <v>1508</v>
      </c>
      <c r="F355" s="1592" t="s">
        <v>1634</v>
      </c>
      <c r="G355" s="1593"/>
      <c r="H355" s="1379">
        <v>0.16</v>
      </c>
      <c r="I355" s="1286"/>
      <c r="J355" s="198"/>
      <c r="K355" s="1307">
        <f>H355*$K$340</f>
        <v>4.7039999999999998E-2</v>
      </c>
      <c r="L355" s="1335">
        <f>K355*$K$296</f>
        <v>0</v>
      </c>
      <c r="M355" s="1742">
        <v>3.01</v>
      </c>
      <c r="N355" s="1302"/>
      <c r="O355" s="1735">
        <f>H355*M355</f>
        <v>0.48159999999999997</v>
      </c>
      <c r="P355" s="1332">
        <f>M355*K355</f>
        <v>0.14159039999999998</v>
      </c>
      <c r="Q355" s="3391"/>
      <c r="R355" s="2338"/>
    </row>
    <row r="356" spans="1:18">
      <c r="A356" s="1042"/>
      <c r="B356" s="88"/>
      <c r="C356" s="1042"/>
      <c r="D356" s="1440"/>
      <c r="E356" s="2132"/>
      <c r="F356" s="1441"/>
      <c r="G356" s="1441"/>
      <c r="H356" s="1442"/>
      <c r="I356" s="197" t="str">
        <f>IF(COUNT(#REF!)=0,"",(SUM(#REF!)/COUNT(#REF!)))</f>
        <v/>
      </c>
      <c r="J356" s="198"/>
      <c r="K356" s="1307"/>
      <c r="L356" s="1335"/>
      <c r="M356" s="1728"/>
      <c r="N356" s="1302"/>
      <c r="O356" s="1735"/>
      <c r="P356" s="1332"/>
      <c r="Q356" s="3391"/>
      <c r="R356" s="2338"/>
    </row>
    <row r="357" spans="1:18">
      <c r="A357" s="1042"/>
      <c r="B357" s="581"/>
      <c r="C357" s="223"/>
      <c r="D357" s="1440"/>
      <c r="E357" s="2132"/>
      <c r="F357" s="1441"/>
      <c r="G357" s="1441"/>
      <c r="H357" s="1442"/>
      <c r="I357" s="197" t="str">
        <f>IF(COUNT(#REF!)=0,"",(SUM(#REF!)/COUNT(#REF!)))</f>
        <v/>
      </c>
      <c r="J357" s="198"/>
      <c r="K357" s="1307"/>
      <c r="L357" s="1335"/>
      <c r="M357" s="1728"/>
      <c r="N357" s="1302"/>
      <c r="O357" s="1735"/>
      <c r="P357" s="1332"/>
      <c r="Q357" s="3391"/>
      <c r="R357" s="2338"/>
    </row>
    <row r="358" spans="1:18" ht="15" customHeight="1">
      <c r="A358" s="88" t="s">
        <v>3764</v>
      </c>
      <c r="B358" s="4367" t="s">
        <v>1500</v>
      </c>
      <c r="C358" s="3350"/>
      <c r="D358" s="4327"/>
      <c r="E358" s="4337" t="s">
        <v>1507</v>
      </c>
      <c r="F358" s="4338" t="s">
        <v>1629</v>
      </c>
      <c r="G358" s="4331" t="s">
        <v>1568</v>
      </c>
      <c r="H358" s="4331" t="s">
        <v>1574</v>
      </c>
      <c r="I358" s="1572" t="s">
        <v>1559</v>
      </c>
      <c r="J358" s="1294" t="s">
        <v>1560</v>
      </c>
      <c r="K358" s="1294" t="s">
        <v>1561</v>
      </c>
      <c r="L358" s="4333" t="s">
        <v>3765</v>
      </c>
      <c r="M358" s="4335" t="s">
        <v>1571</v>
      </c>
      <c r="N358" s="4323" t="s">
        <v>1776</v>
      </c>
      <c r="O358" s="3347" t="s">
        <v>1563</v>
      </c>
      <c r="P358" s="1336" t="s">
        <v>1562</v>
      </c>
      <c r="Q358" s="3389"/>
      <c r="R358" s="1699" t="s">
        <v>1327</v>
      </c>
    </row>
    <row r="359" spans="1:18">
      <c r="A359" s="1320" t="s">
        <v>1552</v>
      </c>
      <c r="B359" s="4369"/>
      <c r="C359" s="3351"/>
      <c r="D359" s="4328"/>
      <c r="E359" s="4337"/>
      <c r="F359" s="4338"/>
      <c r="G359" s="4332"/>
      <c r="H359" s="4332"/>
      <c r="I359" s="1345">
        <v>1.5</v>
      </c>
      <c r="J359" s="1350">
        <v>1.4E-2</v>
      </c>
      <c r="K359" s="1297">
        <f>I359*J359</f>
        <v>2.1000000000000001E-2</v>
      </c>
      <c r="L359" s="4334"/>
      <c r="M359" s="4335"/>
      <c r="N359" s="4324"/>
      <c r="O359" s="1298">
        <f>SUM(O361:O377)</f>
        <v>92.64</v>
      </c>
      <c r="P359" s="1337">
        <f>O359*K359</f>
        <v>1.9454400000000001</v>
      </c>
      <c r="Q359" s="3390"/>
      <c r="R359" s="1721">
        <f>SUM(P361:P377)</f>
        <v>1.9450134900000002</v>
      </c>
    </row>
    <row r="360" spans="1:18">
      <c r="A360" s="1042"/>
      <c r="B360" s="552"/>
      <c r="C360" s="18"/>
      <c r="D360" s="1400"/>
      <c r="E360" s="2121"/>
      <c r="F360" s="1389" t="s">
        <v>1</v>
      </c>
      <c r="G360" s="1472"/>
      <c r="H360" s="1390"/>
      <c r="I360" s="1391"/>
      <c r="J360" s="1369"/>
      <c r="K360" s="1369"/>
      <c r="L360" s="1554"/>
      <c r="M360" s="1490"/>
      <c r="N360" s="1491"/>
      <c r="O360" s="1491"/>
      <c r="P360" s="1367"/>
      <c r="Q360" s="3387"/>
      <c r="R360" s="2338"/>
    </row>
    <row r="361" spans="1:18">
      <c r="A361" s="1042"/>
      <c r="B361" s="88"/>
      <c r="C361" s="1042"/>
      <c r="D361" s="1371" t="s">
        <v>1075</v>
      </c>
      <c r="E361" s="2144" t="s">
        <v>1357</v>
      </c>
      <c r="F361" s="1471" t="s">
        <v>1532</v>
      </c>
      <c r="G361" s="1372">
        <v>1</v>
      </c>
      <c r="H361" s="1372"/>
      <c r="I361" s="1346"/>
      <c r="J361" s="1341"/>
      <c r="K361" s="1307">
        <f t="shared" ref="K361:K367" si="17">G361*$K$359</f>
        <v>2.1000000000000001E-2</v>
      </c>
      <c r="L361" s="1335">
        <f t="shared" ref="L361:L367" si="18">K361*$K$296</f>
        <v>0</v>
      </c>
      <c r="M361" s="1302">
        <v>0.81</v>
      </c>
      <c r="N361" s="1302"/>
      <c r="O361" s="1291">
        <f t="shared" ref="O361:O367" si="19">ROUND(G361*M361,2)</f>
        <v>0.81</v>
      </c>
      <c r="P361" s="1332">
        <f t="shared" ref="P361:P367" si="20">M361*K361</f>
        <v>1.7010000000000001E-2</v>
      </c>
      <c r="Q361" s="3391"/>
      <c r="R361" s="2338"/>
    </row>
    <row r="362" spans="1:18">
      <c r="A362" s="1042"/>
      <c r="B362" s="88"/>
      <c r="C362" s="1042"/>
      <c r="D362" s="1371" t="s">
        <v>1533</v>
      </c>
      <c r="E362" s="2144" t="s">
        <v>1357</v>
      </c>
      <c r="F362" s="1471" t="s">
        <v>1534</v>
      </c>
      <c r="G362" s="1372">
        <v>0.99</v>
      </c>
      <c r="H362" s="1372"/>
      <c r="I362" s="1346"/>
      <c r="J362" s="1341"/>
      <c r="K362" s="1307">
        <f t="shared" si="17"/>
        <v>2.0789999999999999E-2</v>
      </c>
      <c r="L362" s="1335">
        <f t="shared" si="18"/>
        <v>0</v>
      </c>
      <c r="M362" s="1302">
        <v>0.93</v>
      </c>
      <c r="N362" s="1302"/>
      <c r="O362" s="1291">
        <f t="shared" si="19"/>
        <v>0.92</v>
      </c>
      <c r="P362" s="1332">
        <f t="shared" si="20"/>
        <v>1.93347E-2</v>
      </c>
      <c r="Q362" s="3391"/>
      <c r="R362" s="2338"/>
    </row>
    <row r="363" spans="1:18">
      <c r="A363" s="1042"/>
      <c r="B363" s="88"/>
      <c r="C363" s="1042"/>
      <c r="D363" s="1371" t="s">
        <v>1116</v>
      </c>
      <c r="E363" s="2144" t="s">
        <v>1504</v>
      </c>
      <c r="F363" s="1471" t="s">
        <v>1535</v>
      </c>
      <c r="G363" s="1372">
        <v>5.4</v>
      </c>
      <c r="H363" s="1372"/>
      <c r="I363" s="1346"/>
      <c r="J363" s="1341"/>
      <c r="K363" s="1307">
        <f t="shared" si="17"/>
        <v>0.11340000000000001</v>
      </c>
      <c r="L363" s="1335">
        <f t="shared" si="18"/>
        <v>0</v>
      </c>
      <c r="M363" s="1302">
        <v>0.84</v>
      </c>
      <c r="N363" s="1302"/>
      <c r="O363" s="1291">
        <f t="shared" si="19"/>
        <v>4.54</v>
      </c>
      <c r="P363" s="1332">
        <f t="shared" si="20"/>
        <v>9.5256000000000007E-2</v>
      </c>
      <c r="Q363" s="3391"/>
      <c r="R363" s="2338"/>
    </row>
    <row r="364" spans="1:18">
      <c r="A364" s="1042"/>
      <c r="B364" s="88"/>
      <c r="C364" s="1042"/>
      <c r="D364" s="1371" t="s">
        <v>1115</v>
      </c>
      <c r="E364" s="2144" t="s">
        <v>1527</v>
      </c>
      <c r="F364" s="1471" t="s">
        <v>1536</v>
      </c>
      <c r="G364" s="1372">
        <v>1.397</v>
      </c>
      <c r="H364" s="1372"/>
      <c r="I364" s="1346"/>
      <c r="J364" s="1341"/>
      <c r="K364" s="1307">
        <f t="shared" si="17"/>
        <v>2.9337000000000002E-2</v>
      </c>
      <c r="L364" s="1335">
        <f t="shared" si="18"/>
        <v>0</v>
      </c>
      <c r="M364" s="1302">
        <v>3.54</v>
      </c>
      <c r="N364" s="1302"/>
      <c r="O364" s="1291">
        <f t="shared" si="19"/>
        <v>4.95</v>
      </c>
      <c r="P364" s="1332">
        <f t="shared" si="20"/>
        <v>0.10385298000000001</v>
      </c>
      <c r="Q364" s="3391"/>
      <c r="R364" s="2338"/>
    </row>
    <row r="365" spans="1:18">
      <c r="A365" s="1042"/>
      <c r="B365" s="88"/>
      <c r="C365" s="1042"/>
      <c r="D365" s="1371" t="s">
        <v>1113</v>
      </c>
      <c r="E365" s="2144" t="s">
        <v>1517</v>
      </c>
      <c r="F365" s="1471" t="s">
        <v>1537</v>
      </c>
      <c r="G365" s="1372">
        <v>0.105</v>
      </c>
      <c r="H365" s="1372"/>
      <c r="I365" s="1346"/>
      <c r="J365" s="1341"/>
      <c r="K365" s="1307">
        <f t="shared" si="17"/>
        <v>2.2049999999999999E-3</v>
      </c>
      <c r="L365" s="1335">
        <f t="shared" si="18"/>
        <v>0</v>
      </c>
      <c r="M365" s="1302">
        <v>60.26</v>
      </c>
      <c r="N365" s="1302"/>
      <c r="O365" s="1291">
        <f t="shared" si="19"/>
        <v>6.33</v>
      </c>
      <c r="P365" s="1332">
        <f t="shared" si="20"/>
        <v>0.1328733</v>
      </c>
      <c r="Q365" s="3391"/>
      <c r="R365" s="2338"/>
    </row>
    <row r="366" spans="1:18">
      <c r="A366" s="1042"/>
      <c r="B366" s="88"/>
      <c r="C366" s="1042"/>
      <c r="D366" s="1371" t="s">
        <v>1114</v>
      </c>
      <c r="E366" s="2144" t="s">
        <v>1517</v>
      </c>
      <c r="F366" s="1471" t="s">
        <v>1538</v>
      </c>
      <c r="G366" s="1372">
        <v>1E-3</v>
      </c>
      <c r="H366" s="1372"/>
      <c r="I366" s="1346"/>
      <c r="J366" s="1341"/>
      <c r="K366" s="1307">
        <f t="shared" si="17"/>
        <v>2.1000000000000002E-5</v>
      </c>
      <c r="L366" s="1335">
        <f t="shared" si="18"/>
        <v>0</v>
      </c>
      <c r="M366" s="1302">
        <v>225.64</v>
      </c>
      <c r="N366" s="1302"/>
      <c r="O366" s="1291">
        <f t="shared" si="19"/>
        <v>0.23</v>
      </c>
      <c r="P366" s="1332">
        <f t="shared" si="20"/>
        <v>4.73844E-3</v>
      </c>
      <c r="Q366" s="3391"/>
      <c r="R366" s="2338"/>
    </row>
    <row r="367" spans="1:18">
      <c r="A367" s="1042"/>
      <c r="B367" s="88"/>
      <c r="C367" s="1042"/>
      <c r="D367" s="1384" t="s">
        <v>1082</v>
      </c>
      <c r="E367" s="2146" t="s">
        <v>1504</v>
      </c>
      <c r="F367" s="1471" t="s">
        <v>1541</v>
      </c>
      <c r="G367" s="1372">
        <v>1</v>
      </c>
      <c r="H367" s="1372"/>
      <c r="I367" s="1346"/>
      <c r="J367" s="1341"/>
      <c r="K367" s="1307">
        <f t="shared" si="17"/>
        <v>2.1000000000000001E-2</v>
      </c>
      <c r="L367" s="1335">
        <f t="shared" si="18"/>
        <v>0</v>
      </c>
      <c r="M367" s="1302">
        <v>0.3</v>
      </c>
      <c r="N367" s="1302"/>
      <c r="O367" s="1291">
        <f t="shared" si="19"/>
        <v>0.3</v>
      </c>
      <c r="P367" s="1332">
        <f t="shared" si="20"/>
        <v>6.3E-3</v>
      </c>
      <c r="Q367" s="3391"/>
      <c r="R367" s="2338"/>
    </row>
    <row r="368" spans="1:18">
      <c r="A368" s="1042"/>
      <c r="B368" s="88"/>
      <c r="C368" s="1042"/>
      <c r="D368" s="1384"/>
      <c r="E368" s="2146"/>
      <c r="F368" s="1471"/>
      <c r="G368" s="1471"/>
      <c r="H368" s="1372"/>
      <c r="I368" s="1346"/>
      <c r="J368" s="1341"/>
      <c r="K368" s="1307" t="str">
        <f>IF(COUNT(#REF!)=0,"",IF(#REF!="","",(#REF!*#REF!)))</f>
        <v/>
      </c>
      <c r="L368" s="1335"/>
      <c r="M368" s="1302"/>
      <c r="N368" s="1302"/>
      <c r="O368" s="1291"/>
      <c r="P368" s="1332"/>
      <c r="Q368" s="3391"/>
      <c r="R368" s="2338"/>
    </row>
    <row r="369" spans="1:18">
      <c r="A369" s="1042"/>
      <c r="B369" s="88"/>
      <c r="C369" s="1042"/>
      <c r="D369" s="1384"/>
      <c r="E369" s="2146"/>
      <c r="F369" s="1471"/>
      <c r="G369" s="1471"/>
      <c r="H369" s="1372"/>
      <c r="I369" s="1346"/>
      <c r="J369" s="1341"/>
      <c r="K369" s="1307" t="str">
        <f>IF(COUNT(#REF!)=0,"",IF(#REF!="","",(#REF!*#REF!)))</f>
        <v/>
      </c>
      <c r="L369" s="1335"/>
      <c r="M369" s="1302"/>
      <c r="N369" s="1302"/>
      <c r="O369" s="1291"/>
      <c r="P369" s="1332"/>
      <c r="Q369" s="3391"/>
      <c r="R369" s="2338"/>
    </row>
    <row r="370" spans="1:18">
      <c r="A370" s="1042"/>
      <c r="B370" s="88"/>
      <c r="C370" s="1042"/>
      <c r="D370" s="1404"/>
      <c r="E370" s="1858"/>
      <c r="F370" s="1360" t="s">
        <v>2</v>
      </c>
      <c r="G370" s="1466"/>
      <c r="H370" s="1362"/>
      <c r="I370" s="1380"/>
      <c r="J370" s="1381"/>
      <c r="K370" s="1359" t="str">
        <f>IF(COUNT(#REF!)=0,"",IF(#REF!="","",(#REF!*#REF!)))</f>
        <v/>
      </c>
      <c r="L370" s="1458"/>
      <c r="M370" s="1362"/>
      <c r="N370" s="1362"/>
      <c r="O370" s="1708"/>
      <c r="P370" s="1359"/>
      <c r="Q370" s="3387"/>
      <c r="R370" s="2338"/>
    </row>
    <row r="371" spans="1:18">
      <c r="A371" s="1042"/>
      <c r="B371" s="88"/>
      <c r="C371" s="1042"/>
      <c r="D371" s="1495" t="s">
        <v>1077</v>
      </c>
      <c r="E371" s="2147" t="s">
        <v>1508</v>
      </c>
      <c r="F371" s="1473" t="s">
        <v>1539</v>
      </c>
      <c r="G371" s="1365">
        <v>0.435</v>
      </c>
      <c r="H371" s="1365"/>
      <c r="I371" s="1286"/>
      <c r="J371" s="198"/>
      <c r="K371" s="1307">
        <f>G371*$K$359</f>
        <v>9.1350000000000008E-3</v>
      </c>
      <c r="L371" s="1335">
        <f>K371*$K$296</f>
        <v>0</v>
      </c>
      <c r="M371" s="1302">
        <v>19.23</v>
      </c>
      <c r="N371" s="1700"/>
      <c r="O371" s="1290">
        <f>ROUND(G371*M371,2)</f>
        <v>8.3699999999999992</v>
      </c>
      <c r="P371" s="1332">
        <f>M371*K371</f>
        <v>0.17566605000000002</v>
      </c>
      <c r="Q371" s="3391"/>
      <c r="R371" s="2338"/>
    </row>
    <row r="372" spans="1:18">
      <c r="A372" s="1042"/>
      <c r="B372" s="88"/>
      <c r="C372" s="1042"/>
      <c r="D372" s="1364" t="s">
        <v>1076</v>
      </c>
      <c r="E372" s="2148" t="s">
        <v>1508</v>
      </c>
      <c r="F372" s="1473" t="s">
        <v>1540</v>
      </c>
      <c r="G372" s="1365">
        <v>0.25600000000000001</v>
      </c>
      <c r="H372" s="1365"/>
      <c r="I372" s="1286"/>
      <c r="J372" s="198"/>
      <c r="K372" s="1307">
        <f>G372*$K$359</f>
        <v>5.3760000000000006E-3</v>
      </c>
      <c r="L372" s="1335">
        <f>K372*$K$296</f>
        <v>0</v>
      </c>
      <c r="M372" s="1302">
        <v>19.23</v>
      </c>
      <c r="N372" s="1700"/>
      <c r="O372" s="1290">
        <f>ROUND(G372*M372,2)</f>
        <v>4.92</v>
      </c>
      <c r="P372" s="1332">
        <f>M372*K372</f>
        <v>0.10338048000000001</v>
      </c>
      <c r="Q372" s="3391"/>
      <c r="R372" s="2338"/>
    </row>
    <row r="373" spans="1:18">
      <c r="A373" s="1042"/>
      <c r="B373" s="88"/>
      <c r="C373" s="1042"/>
      <c r="D373" s="1385" t="s">
        <v>1067</v>
      </c>
      <c r="E373" s="2149" t="s">
        <v>1508</v>
      </c>
      <c r="F373" s="1473" t="s">
        <v>1512</v>
      </c>
      <c r="G373" s="1365">
        <v>3.3220000000000001</v>
      </c>
      <c r="H373" s="1365"/>
      <c r="I373" s="1286"/>
      <c r="J373" s="198"/>
      <c r="K373" s="1307">
        <f>G373*$K$359</f>
        <v>6.9762000000000005E-2</v>
      </c>
      <c r="L373" s="1335">
        <f>K373*$K$296</f>
        <v>0</v>
      </c>
      <c r="M373" s="1302">
        <v>18.28</v>
      </c>
      <c r="N373" s="1700"/>
      <c r="O373" s="1290">
        <f>ROUND(G373*M373,2)</f>
        <v>60.73</v>
      </c>
      <c r="P373" s="1332">
        <f>M373*K373</f>
        <v>1.2752493600000001</v>
      </c>
      <c r="Q373" s="3391"/>
      <c r="R373" s="2338"/>
    </row>
    <row r="374" spans="1:18">
      <c r="A374" s="1042"/>
      <c r="B374" s="88"/>
      <c r="C374" s="1042"/>
      <c r="D374" s="1411"/>
      <c r="E374" s="2123"/>
      <c r="F374" s="1374" t="s">
        <v>3</v>
      </c>
      <c r="G374" s="1376"/>
      <c r="H374" s="1376"/>
      <c r="I374" s="1496"/>
      <c r="J374" s="1383"/>
      <c r="K374" s="1373"/>
      <c r="L374" s="1413"/>
      <c r="M374" s="1376"/>
      <c r="N374" s="1376"/>
      <c r="O374" s="1706"/>
      <c r="P374" s="1373"/>
      <c r="Q374" s="3387"/>
      <c r="R374" s="2338"/>
    </row>
    <row r="375" spans="1:18">
      <c r="A375" s="1042"/>
      <c r="B375" s="88"/>
      <c r="C375" s="1042"/>
      <c r="D375" s="1377" t="s">
        <v>1087</v>
      </c>
      <c r="E375" s="2124" t="s">
        <v>1508</v>
      </c>
      <c r="F375" s="1378" t="s">
        <v>1542</v>
      </c>
      <c r="G375" s="1379">
        <v>0.35799999999999998</v>
      </c>
      <c r="H375" s="1379"/>
      <c r="I375" s="1286"/>
      <c r="J375" s="198"/>
      <c r="K375" s="1307">
        <f>G375*$K$359</f>
        <v>7.5180000000000004E-3</v>
      </c>
      <c r="L375" s="1335">
        <f>K375*$K$296</f>
        <v>0</v>
      </c>
      <c r="M375" s="1302">
        <v>1.51</v>
      </c>
      <c r="N375" s="1700"/>
      <c r="O375" s="1290">
        <f>ROUND(G375*M375,2)</f>
        <v>0.54</v>
      </c>
      <c r="P375" s="1332">
        <f>M375*K375</f>
        <v>1.135218E-2</v>
      </c>
      <c r="Q375" s="3391"/>
      <c r="R375" s="2338"/>
    </row>
    <row r="376" spans="1:18">
      <c r="A376" s="1042"/>
      <c r="B376" s="88"/>
      <c r="C376" s="1042"/>
      <c r="D376" s="1440"/>
      <c r="E376" s="2132"/>
      <c r="F376" s="1441"/>
      <c r="G376" s="1441"/>
      <c r="H376" s="1442"/>
      <c r="I376" s="197" t="str">
        <f>IF(COUNT(H377:O377)=0,"",(SUM(H377:O377)/COUNT(H377:O377)))</f>
        <v/>
      </c>
      <c r="J376" s="198"/>
      <c r="K376" s="1307"/>
      <c r="L376" s="1335"/>
      <c r="M376" s="1499"/>
      <c r="N376" s="1701"/>
      <c r="O376" s="1290"/>
      <c r="P376" s="1332"/>
      <c r="Q376" s="3391"/>
      <c r="R376" s="2338"/>
    </row>
    <row r="377" spans="1:18">
      <c r="A377" s="1042"/>
      <c r="B377" s="581"/>
      <c r="C377" s="223"/>
      <c r="D377" s="1440"/>
      <c r="E377" s="2132"/>
      <c r="F377" s="1441"/>
      <c r="G377" s="1441"/>
      <c r="H377" s="1442"/>
      <c r="I377" s="197" t="str">
        <f>IF(COUNT(G378:O378)=0,"",(SUM(G378:O378)/COUNT(G378:O378)))</f>
        <v/>
      </c>
      <c r="J377" s="198"/>
      <c r="K377" s="1307"/>
      <c r="L377" s="1335"/>
      <c r="M377" s="1499"/>
      <c r="N377" s="1701"/>
      <c r="O377" s="1290"/>
      <c r="P377" s="1332"/>
      <c r="Q377" s="3391"/>
      <c r="R377" s="2338"/>
    </row>
    <row r="378" spans="1:18" ht="15" customHeight="1">
      <c r="A378" s="88" t="s">
        <v>3764</v>
      </c>
      <c r="B378" s="4367" t="s">
        <v>1502</v>
      </c>
      <c r="C378" s="3350"/>
      <c r="D378" s="4327"/>
      <c r="E378" s="4337" t="s">
        <v>1507</v>
      </c>
      <c r="F378" s="4338" t="s">
        <v>2784</v>
      </c>
      <c r="G378" s="4331" t="s">
        <v>1568</v>
      </c>
      <c r="H378" s="4331" t="s">
        <v>1574</v>
      </c>
      <c r="I378" s="1572" t="s">
        <v>1559</v>
      </c>
      <c r="J378" s="1294" t="s">
        <v>1560</v>
      </c>
      <c r="K378" s="1294" t="s">
        <v>1561</v>
      </c>
      <c r="L378" s="4333" t="s">
        <v>3765</v>
      </c>
      <c r="M378" s="4335" t="s">
        <v>1571</v>
      </c>
      <c r="N378" s="4323" t="s">
        <v>1776</v>
      </c>
      <c r="O378" s="3347" t="s">
        <v>1563</v>
      </c>
      <c r="P378" s="1336" t="s">
        <v>1562</v>
      </c>
      <c r="Q378" s="3389"/>
      <c r="R378" s="1699" t="s">
        <v>1327</v>
      </c>
    </row>
    <row r="379" spans="1:18">
      <c r="A379" s="1320" t="s">
        <v>1552</v>
      </c>
      <c r="B379" s="4369"/>
      <c r="C379" s="3351"/>
      <c r="D379" s="4328"/>
      <c r="E379" s="4337"/>
      <c r="F379" s="4338"/>
      <c r="G379" s="4332"/>
      <c r="H379" s="4332"/>
      <c r="I379" s="1345">
        <v>1.5</v>
      </c>
      <c r="J379" s="1307">
        <v>1.4E-2</v>
      </c>
      <c r="K379" s="1297">
        <f>I379*J379</f>
        <v>2.1000000000000001E-2</v>
      </c>
      <c r="L379" s="4334"/>
      <c r="M379" s="4335"/>
      <c r="N379" s="4324"/>
      <c r="O379" s="1298">
        <f>O381+O382+O383+O387+O395+O396</f>
        <v>62.83</v>
      </c>
      <c r="P379" s="1337">
        <f>O379*K379</f>
        <v>1.3194300000000001</v>
      </c>
      <c r="Q379" s="3390"/>
      <c r="R379" s="1721">
        <f>P381+P382+P383+P387+P395+P396</f>
        <v>1.3195701724800002</v>
      </c>
    </row>
    <row r="380" spans="1:18">
      <c r="A380" s="553"/>
      <c r="B380" s="18"/>
      <c r="C380" s="552"/>
      <c r="D380" s="1367"/>
      <c r="E380" s="2121"/>
      <c r="F380" s="1389" t="s">
        <v>1</v>
      </c>
      <c r="G380" s="1472"/>
      <c r="H380" s="1369"/>
      <c r="I380" s="1391"/>
      <c r="J380" s="1369"/>
      <c r="K380" s="1369"/>
      <c r="L380" s="1554"/>
      <c r="M380" s="1487"/>
      <c r="N380" s="1487"/>
      <c r="O380" s="1487"/>
      <c r="P380" s="1367"/>
      <c r="Q380" s="3387"/>
      <c r="R380" s="2338"/>
    </row>
    <row r="381" spans="1:18">
      <c r="A381" s="553"/>
      <c r="B381" s="1042"/>
      <c r="C381" s="88"/>
      <c r="D381" s="1421" t="s">
        <v>1094</v>
      </c>
      <c r="E381" s="1856" t="s">
        <v>1517</v>
      </c>
      <c r="F381" s="1421" t="s">
        <v>1543</v>
      </c>
      <c r="G381" s="1452">
        <v>0.02</v>
      </c>
      <c r="H381" s="1452"/>
      <c r="I381" s="1342"/>
      <c r="J381" s="198"/>
      <c r="K381" s="1307">
        <f>G381*$K$379</f>
        <v>4.2000000000000002E-4</v>
      </c>
      <c r="L381" s="1335">
        <f>K381*$K$296</f>
        <v>0</v>
      </c>
      <c r="M381" s="1302">
        <v>8.39</v>
      </c>
      <c r="N381" s="1700"/>
      <c r="O381" s="1290">
        <f>ROUND(G381*M381,2)</f>
        <v>0.17</v>
      </c>
      <c r="P381" s="1332">
        <f>M381*K381</f>
        <v>3.5238000000000005E-3</v>
      </c>
      <c r="Q381" s="3391"/>
      <c r="R381" s="2338"/>
    </row>
    <row r="382" spans="1:18">
      <c r="A382" s="553"/>
      <c r="B382" s="1042"/>
      <c r="C382" s="88"/>
      <c r="D382" s="1370" t="s">
        <v>1545</v>
      </c>
      <c r="E382" s="2122" t="s">
        <v>1504</v>
      </c>
      <c r="F382" s="1370" t="s">
        <v>1546</v>
      </c>
      <c r="G382" s="1372">
        <v>8</v>
      </c>
      <c r="H382" s="1372"/>
      <c r="I382" s="1286"/>
      <c r="J382" s="198"/>
      <c r="K382" s="1307">
        <f>G382*$K$379</f>
        <v>0.16800000000000001</v>
      </c>
      <c r="L382" s="1335">
        <f>K382*$K$296</f>
        <v>0</v>
      </c>
      <c r="M382" s="1302">
        <v>3.5</v>
      </c>
      <c r="N382" s="1700"/>
      <c r="O382" s="1290">
        <f>ROUND(G382*M382,2)</f>
        <v>28</v>
      </c>
      <c r="P382" s="1332">
        <f>M382*K382</f>
        <v>0.58800000000000008</v>
      </c>
      <c r="Q382" s="3391"/>
      <c r="R382" s="2338"/>
    </row>
    <row r="383" spans="1:18">
      <c r="A383" s="553"/>
      <c r="B383" s="1042"/>
      <c r="C383" s="1317" t="s">
        <v>1155</v>
      </c>
      <c r="D383" s="1311"/>
      <c r="E383" s="2131" t="s">
        <v>1517</v>
      </c>
      <c r="F383" s="1343" t="s">
        <v>1544</v>
      </c>
      <c r="G383" s="1344"/>
      <c r="H383" s="1344">
        <v>1E-3</v>
      </c>
      <c r="I383" s="1497"/>
      <c r="J383" s="1388"/>
      <c r="K383" s="1459"/>
      <c r="L383" s="1457"/>
      <c r="M383" s="1446"/>
      <c r="N383" s="1446">
        <f>SUM(N384:N386)</f>
        <v>114.04755</v>
      </c>
      <c r="O383" s="1446">
        <f>SUM(O384:O386)</f>
        <v>0.12000000000000001</v>
      </c>
      <c r="P383" s="1446">
        <f>SUM(P384:P386)</f>
        <v>2.3949985500000006E-3</v>
      </c>
      <c r="Q383" s="3391"/>
      <c r="R383" s="2338"/>
    </row>
    <row r="384" spans="1:18">
      <c r="A384" s="553"/>
      <c r="B384" s="1042"/>
      <c r="C384" s="1511"/>
      <c r="D384" s="1451" t="s">
        <v>1069</v>
      </c>
      <c r="E384" s="1856" t="s">
        <v>1517</v>
      </c>
      <c r="F384" s="1421" t="s">
        <v>1578</v>
      </c>
      <c r="G384" s="1452">
        <v>0.89100000000000001</v>
      </c>
      <c r="H384" s="1453">
        <f>G384*$H$383</f>
        <v>8.9100000000000008E-4</v>
      </c>
      <c r="I384" s="1286"/>
      <c r="J384" s="198"/>
      <c r="K384" s="1307">
        <f t="shared" ref="K384:K391" si="21">H384*$K$379</f>
        <v>1.8711000000000004E-5</v>
      </c>
      <c r="L384" s="1335">
        <f>K384*$K$296</f>
        <v>0</v>
      </c>
      <c r="M384" s="1302">
        <v>0.55000000000000004</v>
      </c>
      <c r="N384" s="1724">
        <f>G384*M384</f>
        <v>0.49005000000000004</v>
      </c>
      <c r="O384" s="1725">
        <f>ROUND(H384*M384,2)</f>
        <v>0</v>
      </c>
      <c r="P384" s="1720">
        <f>M384*K384</f>
        <v>1.0291050000000004E-5</v>
      </c>
      <c r="Q384" s="3396"/>
      <c r="R384" s="2338"/>
    </row>
    <row r="385" spans="1:18">
      <c r="A385" s="553"/>
      <c r="B385" s="1042"/>
      <c r="C385" s="595"/>
      <c r="D385" s="1367" t="s">
        <v>1394</v>
      </c>
      <c r="E385" s="1856" t="s">
        <v>1577</v>
      </c>
      <c r="F385" s="1421" t="s">
        <v>1579</v>
      </c>
      <c r="G385" s="1452">
        <v>0.51500000000000001</v>
      </c>
      <c r="H385" s="1453">
        <f>G385*$H$383</f>
        <v>5.1500000000000005E-4</v>
      </c>
      <c r="I385" s="1286"/>
      <c r="J385" s="198"/>
      <c r="K385" s="1307">
        <f>H385*$K$379</f>
        <v>1.0815000000000002E-5</v>
      </c>
      <c r="L385" s="1335">
        <f>K385*$K$296</f>
        <v>0</v>
      </c>
      <c r="M385" s="1302">
        <v>92.54</v>
      </c>
      <c r="N385" s="1724">
        <f>G385*M385</f>
        <v>47.658100000000005</v>
      </c>
      <c r="O385" s="1725">
        <f>ROUND(H385*M385,2)</f>
        <v>0.05</v>
      </c>
      <c r="P385" s="1720">
        <f>M385*K385</f>
        <v>1.0008201000000004E-3</v>
      </c>
      <c r="Q385" s="3396"/>
      <c r="R385" s="2338"/>
    </row>
    <row r="386" spans="1:18">
      <c r="A386" s="553"/>
      <c r="B386" s="1042"/>
      <c r="C386" s="1512"/>
      <c r="D386" s="1443" t="s">
        <v>1067</v>
      </c>
      <c r="E386" s="1857" t="s">
        <v>1508</v>
      </c>
      <c r="F386" s="1430" t="s">
        <v>1512</v>
      </c>
      <c r="G386" s="1431">
        <v>3.605</v>
      </c>
      <c r="H386" s="1454">
        <f>G386*$H$383</f>
        <v>3.6050000000000001E-3</v>
      </c>
      <c r="I386" s="1286"/>
      <c r="J386" s="198"/>
      <c r="K386" s="1307">
        <f t="shared" si="21"/>
        <v>7.5705000000000008E-5</v>
      </c>
      <c r="L386" s="1335">
        <f>K386*$K$296</f>
        <v>0</v>
      </c>
      <c r="M386" s="1302">
        <v>18.28</v>
      </c>
      <c r="N386" s="1724">
        <f>G386*M386</f>
        <v>65.8994</v>
      </c>
      <c r="O386" s="1725">
        <f>ROUND(H386*M386,2)</f>
        <v>7.0000000000000007E-2</v>
      </c>
      <c r="P386" s="1720">
        <f>M386*K386</f>
        <v>1.3838874000000002E-3</v>
      </c>
      <c r="Q386" s="3396"/>
      <c r="R386" s="2338"/>
    </row>
    <row r="387" spans="1:18">
      <c r="A387" s="553"/>
      <c r="B387" s="1042"/>
      <c r="C387" s="1317" t="s">
        <v>1127</v>
      </c>
      <c r="D387" s="1311"/>
      <c r="E387" s="2131" t="s">
        <v>1517</v>
      </c>
      <c r="F387" s="1343" t="s">
        <v>1519</v>
      </c>
      <c r="G387" s="1344"/>
      <c r="H387" s="1344">
        <v>3.1E-2</v>
      </c>
      <c r="I387" s="1497"/>
      <c r="J387" s="1388"/>
      <c r="K387" s="1445"/>
      <c r="L387" s="1457"/>
      <c r="M387" s="1446"/>
      <c r="N387" s="1446">
        <f>SUM(N388:N391)</f>
        <v>50.044430000000006</v>
      </c>
      <c r="O387" s="1446">
        <f>SUM(O388:O391)</f>
        <v>1.54</v>
      </c>
      <c r="P387" s="1446">
        <f>SUM(P388:P391)</f>
        <v>3.2578923930000003E-2</v>
      </c>
      <c r="Q387" s="3391"/>
      <c r="R387" s="2338"/>
    </row>
    <row r="388" spans="1:18">
      <c r="B388" s="1042"/>
      <c r="D388" s="1367" t="s">
        <v>1069</v>
      </c>
      <c r="E388" s="1856" t="s">
        <v>1517</v>
      </c>
      <c r="F388" s="1397" t="s">
        <v>1578</v>
      </c>
      <c r="G388" s="1416">
        <v>0.26300000000000001</v>
      </c>
      <c r="H388" s="1399">
        <f>$H$477*G388</f>
        <v>8.1530000000000005E-3</v>
      </c>
      <c r="I388" s="197"/>
      <c r="J388" s="198"/>
      <c r="K388" s="1307">
        <f t="shared" si="21"/>
        <v>1.7121300000000003E-4</v>
      </c>
      <c r="L388" s="1335">
        <f>K388*$K$296</f>
        <v>0</v>
      </c>
      <c r="M388" s="1302">
        <v>0.55000000000000004</v>
      </c>
      <c r="N388" s="1724">
        <f>G388*M388</f>
        <v>0.14465000000000003</v>
      </c>
      <c r="O388" s="1725">
        <f>ROUND(H388*M388,2)</f>
        <v>0</v>
      </c>
      <c r="P388" s="1720">
        <f>M388*K388</f>
        <v>9.4167150000000019E-5</v>
      </c>
      <c r="Q388" s="3396"/>
      <c r="R388" s="2338"/>
    </row>
    <row r="389" spans="1:18">
      <c r="A389" s="553"/>
      <c r="B389" s="1042"/>
      <c r="C389" s="88"/>
      <c r="D389" s="1367" t="s">
        <v>1394</v>
      </c>
      <c r="E389" s="1856" t="s">
        <v>1577</v>
      </c>
      <c r="F389" s="1397" t="s">
        <v>1579</v>
      </c>
      <c r="G389" s="1416">
        <v>0.25800000000000001</v>
      </c>
      <c r="H389" s="1399">
        <f>$H$477*G389</f>
        <v>7.9979999999999999E-3</v>
      </c>
      <c r="I389" s="197"/>
      <c r="J389" s="198"/>
      <c r="K389" s="1307">
        <f t="shared" si="21"/>
        <v>1.6795800000000001E-4</v>
      </c>
      <c r="L389" s="1335">
        <f>K389*$K$296</f>
        <v>0</v>
      </c>
      <c r="M389" s="1302">
        <v>92.54</v>
      </c>
      <c r="N389" s="1724">
        <f>G389*M389</f>
        <v>23.875320000000002</v>
      </c>
      <c r="O389" s="1725">
        <f>ROUND(H389*M389,2)</f>
        <v>0.74</v>
      </c>
      <c r="P389" s="1720">
        <f>M389*K389</f>
        <v>1.5542833320000001E-2</v>
      </c>
      <c r="Q389" s="3396"/>
      <c r="R389" s="2338"/>
    </row>
    <row r="390" spans="1:18">
      <c r="A390" s="553"/>
      <c r="B390" s="1042"/>
      <c r="C390" s="88"/>
      <c r="D390" s="1367" t="s">
        <v>1576</v>
      </c>
      <c r="E390" s="1856" t="s">
        <v>1517</v>
      </c>
      <c r="F390" s="1397" t="s">
        <v>1580</v>
      </c>
      <c r="G390" s="1416">
        <v>1.1020000000000001</v>
      </c>
      <c r="H390" s="1399">
        <f>$H$477*G390</f>
        <v>3.4162000000000005E-2</v>
      </c>
      <c r="I390" s="197"/>
      <c r="J390" s="198"/>
      <c r="K390" s="1307">
        <f t="shared" si="21"/>
        <v>7.1740200000000012E-4</v>
      </c>
      <c r="L390" s="1335">
        <f>K390*$K$296</f>
        <v>0</v>
      </c>
      <c r="M390" s="1302">
        <v>6.53</v>
      </c>
      <c r="N390" s="1724">
        <f>G390*M390</f>
        <v>7.196060000000001</v>
      </c>
      <c r="O390" s="1725">
        <f>ROUND(H390*M390,2)</f>
        <v>0.22</v>
      </c>
      <c r="P390" s="1720">
        <f>M390*K390</f>
        <v>4.684635060000001E-3</v>
      </c>
      <c r="Q390" s="3396"/>
      <c r="R390" s="2338"/>
    </row>
    <row r="391" spans="1:18">
      <c r="A391" s="553"/>
      <c r="B391" s="1042"/>
      <c r="C391" s="88"/>
      <c r="D391" s="1359" t="s">
        <v>1067</v>
      </c>
      <c r="E391" s="1857" t="s">
        <v>1508</v>
      </c>
      <c r="F391" s="1406" t="s">
        <v>1512</v>
      </c>
      <c r="G391" s="1407">
        <v>1.03</v>
      </c>
      <c r="H391" s="1408">
        <f>$H$477*G391</f>
        <v>3.193E-2</v>
      </c>
      <c r="I391" s="197"/>
      <c r="J391" s="198"/>
      <c r="K391" s="1307">
        <f t="shared" si="21"/>
        <v>6.7053000000000002E-4</v>
      </c>
      <c r="L391" s="1335">
        <f>K391*$K$296</f>
        <v>0</v>
      </c>
      <c r="M391" s="1302">
        <v>18.28</v>
      </c>
      <c r="N391" s="1724">
        <f>G391*M391</f>
        <v>18.828400000000002</v>
      </c>
      <c r="O391" s="1725">
        <f>ROUND(H391*M391,2)</f>
        <v>0.57999999999999996</v>
      </c>
      <c r="P391" s="1720">
        <f>M391*K391</f>
        <v>1.2257288400000002E-2</v>
      </c>
      <c r="Q391" s="3396"/>
      <c r="R391" s="2338"/>
    </row>
    <row r="392" spans="1:18">
      <c r="A392" s="553"/>
      <c r="B392" s="1042"/>
      <c r="C392" s="88"/>
      <c r="D392" s="1367"/>
      <c r="E392" s="1856"/>
      <c r="F392" s="1397"/>
      <c r="G392" s="1416"/>
      <c r="H392" s="1399"/>
      <c r="I392" s="197"/>
      <c r="J392" s="198"/>
      <c r="K392" s="1307" t="str">
        <f>IF(COUNT(#REF!)=0,"",IF(#REF!="","",(#REF!*#REF!)))</f>
        <v/>
      </c>
      <c r="L392" s="1335"/>
      <c r="M392" s="1302"/>
      <c r="N392" s="1724"/>
      <c r="O392" s="1719"/>
      <c r="P392" s="1720"/>
      <c r="Q392" s="3396"/>
      <c r="R392" s="2338"/>
    </row>
    <row r="393" spans="1:18">
      <c r="A393" s="553"/>
      <c r="B393" s="1042"/>
      <c r="C393" s="88"/>
      <c r="D393" s="1367"/>
      <c r="E393" s="1856"/>
      <c r="F393" s="1397"/>
      <c r="G393" s="1416"/>
      <c r="H393" s="1399"/>
      <c r="I393" s="197"/>
      <c r="J393" s="198"/>
      <c r="K393" s="1307" t="str">
        <f>IF(COUNT(#REF!)=0,"",IF(#REF!="","",(#REF!*#REF!)))</f>
        <v/>
      </c>
      <c r="L393" s="1335"/>
      <c r="M393" s="1302"/>
      <c r="N393" s="1724"/>
      <c r="O393" s="1719"/>
      <c r="P393" s="1720"/>
      <c r="Q393" s="3396"/>
      <c r="R393" s="2338"/>
    </row>
    <row r="394" spans="1:18">
      <c r="A394" s="553"/>
      <c r="B394" s="1042"/>
      <c r="C394" s="88"/>
      <c r="D394" s="1359"/>
      <c r="E394" s="1858"/>
      <c r="F394" s="1465" t="s">
        <v>2</v>
      </c>
      <c r="G394" s="1466"/>
      <c r="H394" s="1362"/>
      <c r="I394" s="1381"/>
      <c r="J394" s="1381"/>
      <c r="K394" s="1359"/>
      <c r="L394" s="1458"/>
      <c r="M394" s="1498"/>
      <c r="N394" s="1498"/>
      <c r="O394" s="1498"/>
      <c r="P394" s="1359"/>
      <c r="Q394" s="3387"/>
      <c r="R394" s="2338"/>
    </row>
    <row r="395" spans="1:18">
      <c r="A395" s="553"/>
      <c r="B395" s="1042"/>
      <c r="C395" s="88"/>
      <c r="D395" s="1363" t="s">
        <v>1134</v>
      </c>
      <c r="E395" s="2125" t="s">
        <v>1508</v>
      </c>
      <c r="F395" s="1363" t="s">
        <v>1547</v>
      </c>
      <c r="G395" s="1408">
        <v>1.163</v>
      </c>
      <c r="H395" s="1408"/>
      <c r="I395" s="1340"/>
      <c r="J395" s="198"/>
      <c r="K395" s="1307">
        <f>G395*$K$379</f>
        <v>2.4423000000000004E-2</v>
      </c>
      <c r="L395" s="1335">
        <f>K395*$K$296</f>
        <v>0</v>
      </c>
      <c r="M395" s="1302">
        <v>19.23</v>
      </c>
      <c r="N395" s="1700"/>
      <c r="O395" s="1290">
        <f>ROUND(G395*M395,2)</f>
        <v>22.36</v>
      </c>
      <c r="P395" s="1332">
        <f>M395*K395</f>
        <v>0.46965429000000009</v>
      </c>
      <c r="Q395" s="3391"/>
      <c r="R395" s="2338"/>
    </row>
    <row r="396" spans="1:18">
      <c r="A396" s="553"/>
      <c r="B396" s="1042"/>
      <c r="C396" s="88"/>
      <c r="D396" s="1363" t="s">
        <v>1067</v>
      </c>
      <c r="E396" s="2125" t="s">
        <v>1508</v>
      </c>
      <c r="F396" s="1363" t="s">
        <v>1512</v>
      </c>
      <c r="G396" s="1408">
        <v>0.58199999999999996</v>
      </c>
      <c r="H396" s="1408"/>
      <c r="I396" s="1340"/>
      <c r="J396" s="198"/>
      <c r="K396" s="1307">
        <f>G396*$K$379</f>
        <v>1.2222E-2</v>
      </c>
      <c r="L396" s="1335">
        <f>K396*$K$296</f>
        <v>0</v>
      </c>
      <c r="M396" s="1302">
        <v>18.28</v>
      </c>
      <c r="N396" s="1700"/>
      <c r="O396" s="1290">
        <f>ROUND(G396*M396,2)</f>
        <v>10.64</v>
      </c>
      <c r="P396" s="1332">
        <f>M396*K396</f>
        <v>0.22341816</v>
      </c>
      <c r="Q396" s="3391"/>
      <c r="R396" s="2338"/>
    </row>
    <row r="397" spans="1:18">
      <c r="A397" s="553"/>
      <c r="B397" s="1042"/>
      <c r="C397" s="88"/>
      <c r="D397" s="1363"/>
      <c r="E397" s="2125"/>
      <c r="F397" s="1363"/>
      <c r="G397" s="1474"/>
      <c r="H397" s="1408"/>
      <c r="I397" s="1340"/>
      <c r="J397" s="198"/>
      <c r="K397" s="1307"/>
      <c r="L397" s="1335"/>
      <c r="M397" s="1302"/>
      <c r="N397" s="1700"/>
      <c r="O397" s="1290"/>
      <c r="P397" s="1332"/>
      <c r="Q397" s="3391"/>
      <c r="R397" s="2338"/>
    </row>
    <row r="398" spans="1:18">
      <c r="A398" s="553"/>
      <c r="B398" s="1042"/>
      <c r="C398" s="88"/>
      <c r="D398" s="1373"/>
      <c r="E398" s="2123"/>
      <c r="F398" s="1475" t="s">
        <v>3</v>
      </c>
      <c r="G398" s="1377"/>
      <c r="H398" s="1376"/>
      <c r="I398" s="1383" t="str">
        <f>IF(COUNT(#REF!)=0,"",(SUM(#REF!)/COUNT(#REF!)))</f>
        <v/>
      </c>
      <c r="J398" s="1383"/>
      <c r="K398" s="1383"/>
      <c r="L398" s="1413"/>
      <c r="M398" s="1376"/>
      <c r="N398" s="1376"/>
      <c r="O398" s="1376"/>
      <c r="P398" s="1373"/>
      <c r="Q398" s="3387"/>
      <c r="R398" s="2338"/>
    </row>
    <row r="399" spans="1:18">
      <c r="A399" s="553"/>
      <c r="B399" s="1042"/>
      <c r="C399" s="88"/>
      <c r="D399" s="1440"/>
      <c r="E399" s="2132"/>
      <c r="F399" s="1441"/>
      <c r="G399" s="1441"/>
      <c r="H399" s="1442"/>
      <c r="I399" s="197" t="str">
        <f>IF(COUNT(H400:O400)=0,"",(SUM(H400:O400)/COUNT(H400:O400)))</f>
        <v/>
      </c>
      <c r="J399" s="198"/>
      <c r="K399" s="1307"/>
      <c r="L399" s="1335"/>
      <c r="M399" s="1499"/>
      <c r="N399" s="1701"/>
      <c r="O399" s="1290"/>
      <c r="P399" s="1332"/>
      <c r="Q399" s="3391"/>
      <c r="R399" s="2338"/>
    </row>
    <row r="400" spans="1:18">
      <c r="A400" s="553"/>
      <c r="B400" s="1042"/>
      <c r="C400" s="88"/>
      <c r="D400" s="1440"/>
      <c r="E400" s="2132"/>
      <c r="F400" s="1441"/>
      <c r="G400" s="1441"/>
      <c r="H400" s="1442"/>
      <c r="I400" s="197" t="str">
        <f>IF(COUNT(H401:O401)=0,"",(SUM(H401:O401)/COUNT(H401:O401)))</f>
        <v/>
      </c>
      <c r="J400" s="198"/>
      <c r="K400" s="1307"/>
      <c r="L400" s="1335"/>
      <c r="M400" s="1499"/>
      <c r="N400" s="1701"/>
      <c r="O400" s="1290"/>
      <c r="P400" s="1332"/>
      <c r="Q400" s="3391"/>
      <c r="R400" s="2338"/>
    </row>
    <row r="401" spans="1:18">
      <c r="A401" s="554"/>
      <c r="B401" s="223"/>
      <c r="C401" s="581"/>
      <c r="D401" s="1440"/>
      <c r="E401" s="2132"/>
      <c r="F401" s="1441"/>
      <c r="G401" s="1441"/>
      <c r="H401" s="1442"/>
      <c r="I401" s="197"/>
      <c r="J401" s="198"/>
      <c r="K401" s="1307"/>
      <c r="L401" s="1335"/>
      <c r="M401" s="1499"/>
      <c r="N401" s="1701"/>
      <c r="O401" s="1290"/>
      <c r="P401" s="1332"/>
      <c r="Q401" s="3391"/>
      <c r="R401" s="2338"/>
    </row>
    <row r="402" spans="1:18" ht="31">
      <c r="A402" s="19"/>
      <c r="H402" s="629"/>
      <c r="I402" s="630"/>
      <c r="J402" s="630"/>
      <c r="K402" s="630"/>
      <c r="L402" s="2401" t="s">
        <v>2856</v>
      </c>
      <c r="M402" s="629"/>
      <c r="N402" s="629"/>
      <c r="O402" s="629"/>
      <c r="P402" s="19"/>
      <c r="Q402" s="3387"/>
      <c r="R402" s="2338"/>
    </row>
    <row r="403" spans="1:18">
      <c r="A403" s="4393" t="s">
        <v>162</v>
      </c>
      <c r="B403" s="4394"/>
      <c r="C403" s="4394"/>
      <c r="D403" s="4395"/>
      <c r="E403" s="4396" t="s">
        <v>1549</v>
      </c>
      <c r="F403" s="4397" t="s">
        <v>1550</v>
      </c>
      <c r="G403" s="4399" t="s">
        <v>1566</v>
      </c>
      <c r="H403" s="4400"/>
      <c r="I403" s="4400"/>
      <c r="J403" s="4400"/>
      <c r="K403" s="4400"/>
      <c r="L403" s="4401"/>
      <c r="M403" s="4405" t="s">
        <v>1567</v>
      </c>
      <c r="N403" s="4405"/>
      <c r="O403" s="4405"/>
      <c r="P403" s="4405"/>
      <c r="Q403" s="3395"/>
      <c r="R403" s="2338"/>
    </row>
    <row r="404" spans="1:18" ht="15" thickBot="1">
      <c r="A404" s="1324" t="s">
        <v>3766</v>
      </c>
      <c r="B404" s="1325" t="s">
        <v>1513</v>
      </c>
      <c r="C404" s="1326" t="s">
        <v>1573</v>
      </c>
      <c r="D404" s="1323" t="s">
        <v>1514</v>
      </c>
      <c r="E404" s="4396"/>
      <c r="F404" s="4398"/>
      <c r="G404" s="4402"/>
      <c r="H404" s="4403"/>
      <c r="I404" s="4403"/>
      <c r="J404" s="4403"/>
      <c r="K404" s="4403"/>
      <c r="L404" s="4404"/>
      <c r="M404" s="4405"/>
      <c r="N404" s="4405"/>
      <c r="O404" s="4405"/>
      <c r="P404" s="4405"/>
      <c r="Q404" s="3395"/>
      <c r="R404" s="2338"/>
    </row>
    <row r="405" spans="1:18">
      <c r="A405" s="4374" t="s">
        <v>2807</v>
      </c>
      <c r="B405" s="4375"/>
      <c r="C405" s="4375"/>
      <c r="D405" s="4376"/>
      <c r="E405" s="4380" t="s">
        <v>1504</v>
      </c>
      <c r="F405" s="4382" t="s">
        <v>1553</v>
      </c>
      <c r="G405" s="4493" t="s">
        <v>294</v>
      </c>
      <c r="H405" s="4493"/>
      <c r="I405" s="1665" t="s">
        <v>1565</v>
      </c>
      <c r="J405" s="3348" t="s">
        <v>1575</v>
      </c>
      <c r="K405" s="4493" t="s">
        <v>289</v>
      </c>
      <c r="L405" s="4493"/>
      <c r="M405" s="4445" t="s">
        <v>3349</v>
      </c>
      <c r="N405" s="4527"/>
      <c r="O405" s="4527"/>
      <c r="P405" s="4447"/>
      <c r="Q405" s="4244" t="s">
        <v>3924</v>
      </c>
      <c r="R405" s="1173"/>
    </row>
    <row r="406" spans="1:18" ht="16" thickBot="1">
      <c r="A406" s="4377"/>
      <c r="B406" s="4378"/>
      <c r="C406" s="4378"/>
      <c r="D406" s="4379"/>
      <c r="E406" s="4381"/>
      <c r="F406" s="4383"/>
      <c r="G406" s="4451">
        <f>IF('Seleccion proyecto HEREVEA02'!G16="Reparación de impermeabilización",'Seleccion proyecto HEREVEA02'!E16,0)</f>
        <v>0</v>
      </c>
      <c r="H406" s="4452"/>
      <c r="I406" s="3353">
        <f>IF('Seleccion proyecto HEREVEA02'!H16=0,0,IF('Seleccion proyecto HEREVEA02'!H16="1 a 30",0.3, IF('Seleccion proyecto HEREVEA02'!H16="31 a 60", 0.6, IF('Seleccion proyecto HEREVEA02'!H16="61 a 100", 1))))</f>
        <v>0</v>
      </c>
      <c r="J406" s="1351">
        <f>'Seleccion proyecto HEREVEA02'!L8</f>
        <v>11100.968999999999</v>
      </c>
      <c r="K406" s="4358">
        <f>G406*I406*J406</f>
        <v>0</v>
      </c>
      <c r="L406" s="4359"/>
      <c r="M406" s="4360">
        <f>P408+P423+P448+P469</f>
        <v>580.59163170079</v>
      </c>
      <c r="N406" s="4528"/>
      <c r="O406" s="4528"/>
      <c r="P406" s="4362"/>
      <c r="Q406" s="4245">
        <f>M406*K406</f>
        <v>0</v>
      </c>
      <c r="R406" s="1173"/>
    </row>
    <row r="407" spans="1:18" ht="15" customHeight="1">
      <c r="A407" s="88" t="s">
        <v>3764</v>
      </c>
      <c r="B407" s="4367" t="s">
        <v>1496</v>
      </c>
      <c r="C407" s="3350"/>
      <c r="D407" s="4327"/>
      <c r="E407" s="4329" t="s">
        <v>1507</v>
      </c>
      <c r="F407" s="4338" t="s">
        <v>1554</v>
      </c>
      <c r="G407" s="4331" t="s">
        <v>1568</v>
      </c>
      <c r="H407" s="4331" t="s">
        <v>1574</v>
      </c>
      <c r="I407" s="1572" t="s">
        <v>1559</v>
      </c>
      <c r="J407" s="1294" t="s">
        <v>1560</v>
      </c>
      <c r="K407" s="1294" t="s">
        <v>1561</v>
      </c>
      <c r="L407" s="4333" t="s">
        <v>3765</v>
      </c>
      <c r="M407" s="4335" t="s">
        <v>1571</v>
      </c>
      <c r="N407" s="4323" t="s">
        <v>1776</v>
      </c>
      <c r="O407" s="3347" t="s">
        <v>1563</v>
      </c>
      <c r="P407" s="1336" t="s">
        <v>1562</v>
      </c>
      <c r="Q407" s="3389"/>
      <c r="R407" s="1699" t="s">
        <v>1327</v>
      </c>
    </row>
    <row r="408" spans="1:18">
      <c r="A408" s="1320" t="s">
        <v>1552</v>
      </c>
      <c r="B408" s="4369"/>
      <c r="C408" s="3351"/>
      <c r="D408" s="4328"/>
      <c r="E408" s="4330"/>
      <c r="F408" s="4338"/>
      <c r="G408" s="4332"/>
      <c r="H408" s="4332"/>
      <c r="I408" s="1345">
        <v>1.5</v>
      </c>
      <c r="J408" s="1307">
        <v>1</v>
      </c>
      <c r="K408" s="1297">
        <f>I408*J408</f>
        <v>1.5</v>
      </c>
      <c r="L408" s="4334"/>
      <c r="M408" s="4335"/>
      <c r="N408" s="4324"/>
      <c r="O408" s="1298">
        <f>SUM(O410:O420)</f>
        <v>187.89</v>
      </c>
      <c r="P408" s="1337">
        <f>O408*K408</f>
        <v>281.83499999999998</v>
      </c>
      <c r="Q408" s="3390"/>
      <c r="R408" s="1721">
        <f>SUM(P410:P421)</f>
        <v>281.83864500000004</v>
      </c>
    </row>
    <row r="409" spans="1:18">
      <c r="A409" s="1042"/>
      <c r="B409" s="552"/>
      <c r="C409" s="18"/>
      <c r="D409" s="1463"/>
      <c r="E409" s="2121"/>
      <c r="F409" s="1368" t="s">
        <v>1</v>
      </c>
      <c r="G409" s="1426"/>
      <c r="H409" s="1426"/>
      <c r="I409" s="1391"/>
      <c r="J409" s="1369"/>
      <c r="K409" s="1369"/>
      <c r="L409" s="1554"/>
      <c r="M409" s="1369"/>
      <c r="N409" s="1369"/>
      <c r="O409" s="1369"/>
      <c r="P409" s="1367"/>
      <c r="Q409" s="3387"/>
      <c r="R409" s="2338"/>
    </row>
    <row r="410" spans="1:18">
      <c r="A410" s="1042"/>
      <c r="B410" s="88"/>
      <c r="C410" s="1042"/>
      <c r="D410" s="1672"/>
      <c r="E410" s="2160"/>
      <c r="F410" s="2224"/>
      <c r="G410" s="1674"/>
      <c r="H410" s="1674"/>
      <c r="I410" s="197" t="str">
        <f>IF(COUNT(G411:O411)=0,"",(SUM(G411:O411)/COUNT(G411:O411)))</f>
        <v/>
      </c>
      <c r="J410" s="198"/>
      <c r="K410" s="198" t="str">
        <f t="shared" ref="K410:K412" si="22">IF(COUNT(I410)=0,"",(I410*J410))</f>
        <v/>
      </c>
      <c r="L410" s="27" t="str">
        <f>IF(COUNT(K410)=0,"",IF(#REF!="","",(K410*#REF!)))</f>
        <v/>
      </c>
      <c r="M410" s="6"/>
      <c r="N410" s="6"/>
      <c r="O410" s="6"/>
      <c r="P410" s="10"/>
      <c r="Q410" s="3387"/>
      <c r="R410" s="2338"/>
    </row>
    <row r="411" spans="1:18">
      <c r="A411" s="1042"/>
      <c r="B411" s="88"/>
      <c r="C411" s="1042"/>
      <c r="D411" s="1367"/>
      <c r="E411" s="2121"/>
      <c r="F411" s="1736"/>
      <c r="G411" s="1369"/>
      <c r="H411" s="1369"/>
      <c r="I411" s="197" t="str">
        <f>IF(COUNT(G412:O412)=0,"",(SUM(G412:O412)/COUNT(G412:O412)))</f>
        <v/>
      </c>
      <c r="J411" s="198"/>
      <c r="K411" s="198" t="str">
        <f t="shared" si="22"/>
        <v/>
      </c>
      <c r="L411" s="27" t="str">
        <f>IF(COUNT(K411)=0,"",IF(#REF!="","",(K411*#REF!)))</f>
        <v/>
      </c>
      <c r="M411" s="8"/>
      <c r="N411" s="8"/>
      <c r="O411" s="8"/>
      <c r="P411" s="10"/>
      <c r="Q411" s="3387"/>
      <c r="R411" s="2338"/>
    </row>
    <row r="412" spans="1:18">
      <c r="A412" s="1042"/>
      <c r="B412" s="88"/>
      <c r="C412" s="1042"/>
      <c r="D412" s="1367"/>
      <c r="E412" s="2121"/>
      <c r="F412" s="1736"/>
      <c r="G412" s="1369"/>
      <c r="H412" s="1369"/>
      <c r="I412" s="197" t="str">
        <f>IF(COUNT(G413:O413)=0,"",(SUM(G413:O413)/COUNT(G413:O413)))</f>
        <v/>
      </c>
      <c r="J412" s="198"/>
      <c r="K412" s="198" t="str">
        <f t="shared" si="22"/>
        <v/>
      </c>
      <c r="L412" s="27" t="str">
        <f>IF(COUNT(K412)=0,"",IF(#REF!="","",(K412*#REF!)))</f>
        <v/>
      </c>
      <c r="M412" s="8"/>
      <c r="N412" s="8"/>
      <c r="O412" s="8"/>
      <c r="P412" s="10"/>
      <c r="Q412" s="3387"/>
      <c r="R412" s="2338"/>
    </row>
    <row r="413" spans="1:18">
      <c r="A413" s="1042"/>
      <c r="B413" s="88"/>
      <c r="C413" s="1042"/>
      <c r="D413" s="1404"/>
      <c r="E413" s="1858"/>
      <c r="F413" s="1465" t="s">
        <v>2</v>
      </c>
      <c r="G413" s="1362"/>
      <c r="H413" s="1362"/>
      <c r="I413" s="1380"/>
      <c r="J413" s="1381"/>
      <c r="K413" s="1381"/>
      <c r="L413" s="1458"/>
      <c r="M413" s="1362"/>
      <c r="N413" s="1705"/>
      <c r="O413" s="1469"/>
      <c r="P413" s="1470"/>
      <c r="Q413" s="3398"/>
      <c r="R413" s="2343"/>
    </row>
    <row r="414" spans="1:18">
      <c r="A414" s="1042"/>
      <c r="B414" s="88"/>
      <c r="C414" s="1042"/>
      <c r="D414" s="1467" t="s">
        <v>1067</v>
      </c>
      <c r="E414" s="2150" t="s">
        <v>1508</v>
      </c>
      <c r="F414" s="1468" t="s">
        <v>1512</v>
      </c>
      <c r="G414" s="1386">
        <f>1.629+2.1</f>
        <v>3.7290000000000001</v>
      </c>
      <c r="H414" s="1386"/>
      <c r="I414" s="1380"/>
      <c r="J414" s="1381"/>
      <c r="K414" s="1307">
        <f>G414*$K$408</f>
        <v>5.5935000000000006</v>
      </c>
      <c r="L414" s="1335">
        <f>K414*$K$406</f>
        <v>0</v>
      </c>
      <c r="M414" s="1499">
        <v>18.28</v>
      </c>
      <c r="N414" s="1499"/>
      <c r="O414" s="1291">
        <f>ROUND(G414*M414,2)</f>
        <v>68.17</v>
      </c>
      <c r="P414" s="1332">
        <f>M414*K414</f>
        <v>102.24918000000002</v>
      </c>
      <c r="Q414" s="3391"/>
      <c r="R414" s="2338"/>
    </row>
    <row r="415" spans="1:18">
      <c r="A415" s="1042"/>
      <c r="B415" s="88"/>
      <c r="C415" s="1042"/>
      <c r="D415" s="1359"/>
      <c r="E415" s="1858"/>
      <c r="F415" s="1359"/>
      <c r="G415" s="1359"/>
      <c r="H415" s="1359"/>
      <c r="I415" s="197"/>
      <c r="J415" s="198"/>
      <c r="K415" s="10"/>
      <c r="L415" s="27"/>
      <c r="M415" s="444"/>
      <c r="N415" s="444"/>
      <c r="O415" s="6"/>
      <c r="P415" s="10"/>
      <c r="Q415" s="3387"/>
      <c r="R415" s="2338"/>
    </row>
    <row r="416" spans="1:18">
      <c r="A416" s="1042"/>
      <c r="B416" s="88"/>
      <c r="C416" s="1042"/>
      <c r="D416" s="1359"/>
      <c r="E416" s="1858"/>
      <c r="F416" s="1474"/>
      <c r="G416" s="1466"/>
      <c r="H416" s="1466"/>
      <c r="I416" s="197"/>
      <c r="J416" s="198"/>
      <c r="K416" s="10"/>
      <c r="L416" s="27"/>
      <c r="M416" s="1506"/>
      <c r="N416" s="1506"/>
      <c r="O416" s="8"/>
      <c r="P416" s="10"/>
      <c r="Q416" s="3387"/>
      <c r="R416" s="2338"/>
    </row>
    <row r="417" spans="1:18">
      <c r="A417" s="1042"/>
      <c r="B417" s="88"/>
      <c r="C417" s="1042"/>
      <c r="D417" s="1411"/>
      <c r="E417" s="2123"/>
      <c r="F417" s="1475" t="s">
        <v>3</v>
      </c>
      <c r="G417" s="1376"/>
      <c r="H417" s="1376"/>
      <c r="I417" s="1382"/>
      <c r="J417" s="1383"/>
      <c r="K417" s="1373"/>
      <c r="L417" s="1413"/>
      <c r="M417" s="1508"/>
      <c r="N417" s="1706"/>
      <c r="O417" s="1486"/>
      <c r="P417" s="1373"/>
      <c r="Q417" s="3387"/>
      <c r="R417" s="2343"/>
    </row>
    <row r="418" spans="1:18">
      <c r="A418" s="1042"/>
      <c r="B418" s="88"/>
      <c r="C418" s="1042"/>
      <c r="D418" s="1378" t="s">
        <v>1073</v>
      </c>
      <c r="E418" s="2139" t="s">
        <v>1508</v>
      </c>
      <c r="F418" s="1476" t="s">
        <v>1509</v>
      </c>
      <c r="G418" s="1379">
        <v>5.8000000000000003E-2</v>
      </c>
      <c r="H418" s="1379"/>
      <c r="I418" s="1289"/>
      <c r="J418" s="1341"/>
      <c r="K418" s="1307">
        <f>G418*$K$408</f>
        <v>8.7000000000000008E-2</v>
      </c>
      <c r="L418" s="1335">
        <f>K418*$K$406</f>
        <v>0</v>
      </c>
      <c r="M418" s="1499">
        <v>23.87</v>
      </c>
      <c r="N418" s="1499"/>
      <c r="O418" s="1291">
        <f>ROUND(G418*M418,2)</f>
        <v>1.38</v>
      </c>
      <c r="P418" s="1332">
        <f>M418*K418</f>
        <v>2.0766900000000001</v>
      </c>
      <c r="Q418" s="3391"/>
      <c r="R418" s="2338"/>
    </row>
    <row r="419" spans="1:18">
      <c r="A419" s="1042"/>
      <c r="B419" s="88"/>
      <c r="C419" s="1042"/>
      <c r="D419" s="1478" t="s">
        <v>1066</v>
      </c>
      <c r="E419" s="2140" t="s">
        <v>1508</v>
      </c>
      <c r="F419" s="1479" t="s">
        <v>1510</v>
      </c>
      <c r="G419" s="1481">
        <v>1.0999999999999999E-2</v>
      </c>
      <c r="H419" s="1481"/>
      <c r="I419" s="1347"/>
      <c r="J419" s="1348"/>
      <c r="K419" s="1307">
        <f>G419*$K$408</f>
        <v>1.6500000000000001E-2</v>
      </c>
      <c r="L419" s="1335">
        <f>K419*$K$406</f>
        <v>0</v>
      </c>
      <c r="M419" s="1509">
        <v>6.35</v>
      </c>
      <c r="N419" s="1509"/>
      <c r="O419" s="1339">
        <f>ROUND(G419*M419,2)</f>
        <v>7.0000000000000007E-2</v>
      </c>
      <c r="P419" s="1332">
        <f>M419*K419</f>
        <v>0.10477499999999999</v>
      </c>
      <c r="Q419" s="3391"/>
      <c r="R419" s="2338"/>
    </row>
    <row r="420" spans="1:18">
      <c r="A420" s="1042"/>
      <c r="B420" s="88"/>
      <c r="C420" s="1042"/>
      <c r="D420" s="1482" t="s">
        <v>1080</v>
      </c>
      <c r="E420" s="2141" t="s">
        <v>1508</v>
      </c>
      <c r="F420" s="1483" t="s">
        <v>1511</v>
      </c>
      <c r="G420" s="1484">
        <v>1.6</v>
      </c>
      <c r="H420" s="1484"/>
      <c r="I420" s="1349"/>
      <c r="J420" s="1341"/>
      <c r="K420" s="1307">
        <f>G420*$K$408</f>
        <v>2.4000000000000004</v>
      </c>
      <c r="L420" s="1335">
        <f>K420*$K$406</f>
        <v>0</v>
      </c>
      <c r="M420" s="1499">
        <v>73.92</v>
      </c>
      <c r="N420" s="1499"/>
      <c r="O420" s="1291">
        <f>ROUND(G420*M420,2)</f>
        <v>118.27</v>
      </c>
      <c r="P420" s="1332">
        <f>M420*K420</f>
        <v>177.40800000000004</v>
      </c>
      <c r="Q420" s="3391"/>
      <c r="R420" s="2338"/>
    </row>
    <row r="421" spans="1:18" s="19" customFormat="1">
      <c r="A421" s="1042"/>
      <c r="B421" s="581"/>
      <c r="C421" s="223"/>
      <c r="D421" s="1440"/>
      <c r="E421" s="2132"/>
      <c r="F421" s="1441"/>
      <c r="G421" s="1442"/>
      <c r="H421" s="1442"/>
      <c r="I421" s="197" t="str">
        <f>IF(COUNT(G422:O422)=0,"",(SUM(G422:O422)/COUNT(G422:O422)))</f>
        <v/>
      </c>
      <c r="J421" s="198"/>
      <c r="K421" s="1307" t="str">
        <f>IF(COUNT(I421)=0,"",(I421*J421))</f>
        <v/>
      </c>
      <c r="L421" s="1335"/>
      <c r="M421" s="1499"/>
      <c r="N421" s="1701"/>
      <c r="O421" s="1290"/>
      <c r="P421" s="1332"/>
      <c r="Q421" s="3391"/>
      <c r="R421" s="2338"/>
    </row>
    <row r="422" spans="1:18" ht="15" customHeight="1">
      <c r="A422" s="88" t="s">
        <v>3764</v>
      </c>
      <c r="B422" s="4367" t="s">
        <v>1555</v>
      </c>
      <c r="C422" s="3350"/>
      <c r="D422" s="4327"/>
      <c r="E422" s="4329" t="s">
        <v>1504</v>
      </c>
      <c r="F422" s="4338" t="s">
        <v>1556</v>
      </c>
      <c r="G422" s="4331" t="s">
        <v>1568</v>
      </c>
      <c r="H422" s="4331" t="s">
        <v>1574</v>
      </c>
      <c r="I422" s="1572" t="s">
        <v>1559</v>
      </c>
      <c r="J422" s="1294" t="s">
        <v>1560</v>
      </c>
      <c r="K422" s="1294" t="s">
        <v>1561</v>
      </c>
      <c r="L422" s="4333" t="s">
        <v>3765</v>
      </c>
      <c r="M422" s="4335" t="s">
        <v>1571</v>
      </c>
      <c r="N422" s="4323" t="s">
        <v>1776</v>
      </c>
      <c r="O422" s="3347" t="s">
        <v>1563</v>
      </c>
      <c r="P422" s="1336" t="s">
        <v>1562</v>
      </c>
      <c r="Q422" s="3389"/>
      <c r="R422" s="1699" t="s">
        <v>1327</v>
      </c>
    </row>
    <row r="423" spans="1:18">
      <c r="A423" s="1320" t="s">
        <v>1552</v>
      </c>
      <c r="B423" s="4369"/>
      <c r="C423" s="3351"/>
      <c r="D423" s="4328"/>
      <c r="E423" s="4330"/>
      <c r="F423" s="4338"/>
      <c r="G423" s="4332"/>
      <c r="H423" s="4332"/>
      <c r="I423" s="1345">
        <v>1</v>
      </c>
      <c r="J423" s="1350">
        <v>1</v>
      </c>
      <c r="K423" s="1297">
        <f>I423*J423</f>
        <v>1</v>
      </c>
      <c r="L423" s="4334"/>
      <c r="M423" s="4335"/>
      <c r="N423" s="4324"/>
      <c r="O423" s="1298">
        <f>SUM(O425:O440)</f>
        <v>140.46</v>
      </c>
      <c r="P423" s="1298">
        <f>SUM(P425:P446)</f>
        <v>49.574456700790002</v>
      </c>
      <c r="Q423" s="3391"/>
      <c r="R423" s="1721">
        <f>SUM(P425:P441)</f>
        <v>49.574456700790002</v>
      </c>
    </row>
    <row r="424" spans="1:18">
      <c r="A424" s="1042"/>
      <c r="B424" s="552"/>
      <c r="D424" s="1367"/>
      <c r="E424" s="2121"/>
      <c r="F424" s="1389" t="s">
        <v>1</v>
      </c>
      <c r="G424" s="1472"/>
      <c r="H424" s="1390"/>
      <c r="I424" s="1391"/>
      <c r="J424" s="1369"/>
      <c r="K424" s="1369"/>
      <c r="L424" s="1554"/>
      <c r="M424" s="1487"/>
      <c r="N424" s="1487"/>
      <c r="O424" s="1487"/>
      <c r="P424" s="1367"/>
      <c r="Q424" s="3387"/>
      <c r="R424" s="2343"/>
    </row>
    <row r="425" spans="1:18">
      <c r="A425" s="1042"/>
      <c r="B425" s="88"/>
      <c r="D425" s="1471" t="s">
        <v>1130</v>
      </c>
      <c r="E425" s="2144" t="s">
        <v>1507</v>
      </c>
      <c r="F425" s="1471" t="s">
        <v>1557</v>
      </c>
      <c r="G425" s="1372">
        <f>2.16*1.111</f>
        <v>2.3997600000000001</v>
      </c>
      <c r="H425" s="1390"/>
      <c r="I425" s="1286"/>
      <c r="J425" s="1287"/>
      <c r="K425" s="1307">
        <f>G425*$K$423</f>
        <v>2.3997600000000001</v>
      </c>
      <c r="L425" s="1335">
        <f>K425*$K$406</f>
        <v>0</v>
      </c>
      <c r="M425" s="1499">
        <v>6.65</v>
      </c>
      <c r="N425" s="1499"/>
      <c r="O425" s="1291">
        <f>ROUND(G425*M425,2)</f>
        <v>15.96</v>
      </c>
      <c r="P425" s="1332">
        <f>M425*K425</f>
        <v>15.958404000000002</v>
      </c>
      <c r="Q425" s="3391"/>
      <c r="R425" s="2343"/>
    </row>
    <row r="426" spans="1:18">
      <c r="A426" s="1042"/>
      <c r="B426" s="88"/>
      <c r="C426" s="1322" t="s">
        <v>1100</v>
      </c>
      <c r="D426" s="1311"/>
      <c r="E426" s="2151" t="s">
        <v>1517</v>
      </c>
      <c r="F426" s="1312" t="s">
        <v>1518</v>
      </c>
      <c r="G426" s="1314"/>
      <c r="H426" s="1314">
        <v>1.7999999999999999E-2</v>
      </c>
      <c r="I426" s="1455"/>
      <c r="J426" s="1488"/>
      <c r="K426" s="1445"/>
      <c r="L426" s="1457"/>
      <c r="M426" s="1500"/>
      <c r="N426" s="1446">
        <f>SUM(N427:N430)</f>
        <v>67.452539999999999</v>
      </c>
      <c r="O426" s="1446">
        <f>SUM(O427:O430)</f>
        <v>2.04</v>
      </c>
      <c r="P426" s="1446">
        <f>SUM(P427:P430)</f>
        <v>0.15115205368000001</v>
      </c>
      <c r="Q426" s="3391"/>
      <c r="R426" s="2343"/>
    </row>
    <row r="427" spans="1:18">
      <c r="A427" s="1042"/>
      <c r="B427" s="19"/>
      <c r="C427" s="1327"/>
      <c r="D427" s="1396" t="s">
        <v>1069</v>
      </c>
      <c r="E427" s="1856" t="s">
        <v>1517</v>
      </c>
      <c r="F427" s="1397" t="s">
        <v>1578</v>
      </c>
      <c r="G427" s="1398">
        <v>0.26800000000000002</v>
      </c>
      <c r="H427" s="1399">
        <f>$H$426*G427</f>
        <v>4.8240000000000002E-3</v>
      </c>
      <c r="I427" s="197"/>
      <c r="J427" s="198"/>
      <c r="K427" s="1307">
        <f>H427*$K$223</f>
        <v>3.5697600000000001E-4</v>
      </c>
      <c r="L427" s="1335">
        <f>K427*$K$406</f>
        <v>0</v>
      </c>
      <c r="M427" s="1499">
        <v>0.55000000000000004</v>
      </c>
      <c r="N427" s="1724">
        <f>G427*M427</f>
        <v>0.14740000000000003</v>
      </c>
      <c r="O427" s="1725">
        <f>ROUND(H427*M427,2)</f>
        <v>0</v>
      </c>
      <c r="P427" s="1720">
        <f>M427*K427</f>
        <v>1.9633680000000003E-4</v>
      </c>
      <c r="Q427" s="3396"/>
      <c r="R427" s="2343"/>
    </row>
    <row r="428" spans="1:18">
      <c r="A428" s="1042"/>
      <c r="B428" s="19"/>
      <c r="C428" s="1320"/>
      <c r="D428" s="1400" t="s">
        <v>1394</v>
      </c>
      <c r="E428" s="1856" t="s">
        <v>1577</v>
      </c>
      <c r="F428" s="1397" t="s">
        <v>1579</v>
      </c>
      <c r="G428" s="1398">
        <v>0.45300000000000001</v>
      </c>
      <c r="H428" s="1399">
        <f>$H$426*G428</f>
        <v>8.1539999999999998E-3</v>
      </c>
      <c r="I428" s="197"/>
      <c r="J428" s="198"/>
      <c r="K428" s="1307">
        <f>H428*$K$223</f>
        <v>6.0339599999999997E-4</v>
      </c>
      <c r="L428" s="1335">
        <f>K428*$K$406</f>
        <v>0</v>
      </c>
      <c r="M428" s="1499">
        <v>92.54</v>
      </c>
      <c r="N428" s="1724">
        <f>G428*M428</f>
        <v>41.920620000000007</v>
      </c>
      <c r="O428" s="1290">
        <f>ROUND(H428*M428,2)</f>
        <v>0.75</v>
      </c>
      <c r="P428" s="1332">
        <f>M428*K428</f>
        <v>5.5838265839999998E-2</v>
      </c>
      <c r="Q428" s="3391"/>
      <c r="R428" s="2343"/>
    </row>
    <row r="429" spans="1:18">
      <c r="A429" s="1042"/>
      <c r="B429" s="19"/>
      <c r="C429" s="1320"/>
      <c r="D429" s="1400" t="s">
        <v>1576</v>
      </c>
      <c r="E429" s="1856" t="s">
        <v>1517</v>
      </c>
      <c r="F429" s="1397" t="s">
        <v>1580</v>
      </c>
      <c r="G429" s="1401">
        <v>1.004</v>
      </c>
      <c r="H429" s="1399">
        <f>$H$426*G429</f>
        <v>1.8071999999999998E-2</v>
      </c>
      <c r="I429" s="197"/>
      <c r="J429" s="198"/>
      <c r="K429" s="1307">
        <f>H429*$K$223</f>
        <v>1.3373279999999998E-3</v>
      </c>
      <c r="L429" s="1335">
        <f>K429*$K$406</f>
        <v>0</v>
      </c>
      <c r="M429" s="1499">
        <v>6.53</v>
      </c>
      <c r="N429" s="1724">
        <f>G429*M429</f>
        <v>6.5561199999999999</v>
      </c>
      <c r="O429" s="1290">
        <f>ROUND(H429*M429,2)</f>
        <v>0.12</v>
      </c>
      <c r="P429" s="1332">
        <f>M429*K429</f>
        <v>8.7327518399999988E-3</v>
      </c>
      <c r="Q429" s="3391"/>
      <c r="R429" s="2343"/>
    </row>
    <row r="430" spans="1:18">
      <c r="A430" s="1042"/>
      <c r="B430" s="19"/>
      <c r="C430" s="225"/>
      <c r="D430" s="1404" t="s">
        <v>1067</v>
      </c>
      <c r="E430" s="1857" t="s">
        <v>1508</v>
      </c>
      <c r="F430" s="1403" t="s">
        <v>1512</v>
      </c>
      <c r="G430" s="1408">
        <v>1.03</v>
      </c>
      <c r="H430" s="1408">
        <f>$H$230*G430</f>
        <v>6.386E-2</v>
      </c>
      <c r="I430" s="197"/>
      <c r="J430" s="198"/>
      <c r="K430" s="1307">
        <f>H430*$K$223</f>
        <v>4.7256399999999997E-3</v>
      </c>
      <c r="L430" s="1335">
        <f>K430*$K$406</f>
        <v>0</v>
      </c>
      <c r="M430" s="1499">
        <v>18.28</v>
      </c>
      <c r="N430" s="1724">
        <f>G430*M430</f>
        <v>18.828400000000002</v>
      </c>
      <c r="O430" s="1290">
        <f>ROUND(H430*M430,2)</f>
        <v>1.17</v>
      </c>
      <c r="P430" s="1332">
        <f>M430*K430</f>
        <v>8.6384699199999998E-2</v>
      </c>
      <c r="Q430" s="3391"/>
      <c r="R430" s="2343"/>
    </row>
    <row r="431" spans="1:18">
      <c r="A431" s="1042"/>
      <c r="B431" s="88"/>
      <c r="C431" s="1316" t="s">
        <v>1127</v>
      </c>
      <c r="D431" s="1311"/>
      <c r="E431" s="2143" t="s">
        <v>1517</v>
      </c>
      <c r="F431" s="1312" t="s">
        <v>1519</v>
      </c>
      <c r="G431" s="1314"/>
      <c r="H431" s="1314">
        <v>7.9000000000000001E-2</v>
      </c>
      <c r="I431" s="1455"/>
      <c r="J431" s="1488"/>
      <c r="K431" s="1445"/>
      <c r="L431" s="1457"/>
      <c r="M431" s="1500"/>
      <c r="N431" s="1446">
        <f>SUM(N432:N435)</f>
        <v>50.044430000000006</v>
      </c>
      <c r="O431" s="1446">
        <f>SUM(O432:O435)</f>
        <v>49.92</v>
      </c>
      <c r="P431" s="1446">
        <f>SUM(P432:P435)</f>
        <v>6.363174296715</v>
      </c>
      <c r="Q431" s="3391"/>
      <c r="R431" s="2343"/>
    </row>
    <row r="432" spans="1:18">
      <c r="B432" s="1042"/>
      <c r="C432" s="18"/>
      <c r="D432" s="1367" t="s">
        <v>1069</v>
      </c>
      <c r="E432" s="1856" t="s">
        <v>1517</v>
      </c>
      <c r="F432" s="1397" t="s">
        <v>1578</v>
      </c>
      <c r="G432" s="1416">
        <v>0.26300000000000001</v>
      </c>
      <c r="H432" s="1399">
        <f>$H$431*G432</f>
        <v>2.0777E-2</v>
      </c>
      <c r="I432" s="197"/>
      <c r="J432" s="198"/>
      <c r="K432" s="1307">
        <f>H432*$K$270</f>
        <v>3.3440581499999997E-2</v>
      </c>
      <c r="L432" s="1335">
        <f>K432*$K$406</f>
        <v>0</v>
      </c>
      <c r="M432" s="1499">
        <v>0.55000000000000004</v>
      </c>
      <c r="N432" s="1724">
        <f>G432*M432</f>
        <v>0.14465000000000003</v>
      </c>
      <c r="O432" s="1725">
        <f>ROUND(H432*M432,2)</f>
        <v>0.01</v>
      </c>
      <c r="P432" s="1720">
        <f>M432*K432</f>
        <v>1.8392319825E-2</v>
      </c>
      <c r="Q432" s="3396"/>
    </row>
    <row r="433" spans="1:18">
      <c r="A433" s="1042"/>
      <c r="B433" s="19"/>
      <c r="C433" s="1042"/>
      <c r="D433" s="1367" t="s">
        <v>1394</v>
      </c>
      <c r="E433" s="1856" t="s">
        <v>1577</v>
      </c>
      <c r="F433" s="1397" t="s">
        <v>1579</v>
      </c>
      <c r="G433" s="1416">
        <v>0.25800000000000001</v>
      </c>
      <c r="H433" s="1399">
        <f>$H$431*G433</f>
        <v>2.0382000000000001E-2</v>
      </c>
      <c r="I433" s="197"/>
      <c r="J433" s="198"/>
      <c r="K433" s="1307">
        <f>H433*$K$270</f>
        <v>3.2804829000000001E-2</v>
      </c>
      <c r="L433" s="1335">
        <f>K433*$K$406</f>
        <v>0</v>
      </c>
      <c r="M433" s="1499">
        <v>92.54</v>
      </c>
      <c r="N433" s="1724">
        <f>G433*M433</f>
        <v>23.875320000000002</v>
      </c>
      <c r="O433" s="1719">
        <f>ROUND(G433*M433,2)</f>
        <v>23.88</v>
      </c>
      <c r="P433" s="1720">
        <f>M433*K433</f>
        <v>3.0357588756600005</v>
      </c>
      <c r="Q433" s="3396"/>
      <c r="R433" s="2338"/>
    </row>
    <row r="434" spans="1:18">
      <c r="A434" s="1042"/>
      <c r="B434" s="19"/>
      <c r="C434" s="1042"/>
      <c r="D434" s="1367" t="s">
        <v>1576</v>
      </c>
      <c r="E434" s="1856" t="s">
        <v>1517</v>
      </c>
      <c r="F434" s="1397" t="s">
        <v>1580</v>
      </c>
      <c r="G434" s="1416">
        <v>1.1020000000000001</v>
      </c>
      <c r="H434" s="1399">
        <f>$H$431*G434</f>
        <v>8.705800000000001E-2</v>
      </c>
      <c r="I434" s="197"/>
      <c r="J434" s="198"/>
      <c r="K434" s="1307">
        <f>H434*$K$270</f>
        <v>0.14011985100000002</v>
      </c>
      <c r="L434" s="1335">
        <f>K434*$K$406</f>
        <v>0</v>
      </c>
      <c r="M434" s="1499">
        <v>6.53</v>
      </c>
      <c r="N434" s="1724">
        <f>G434*M434</f>
        <v>7.196060000000001</v>
      </c>
      <c r="O434" s="1719">
        <f>ROUND(G434*M434,2)</f>
        <v>7.2</v>
      </c>
      <c r="P434" s="1720">
        <f>M434*K434</f>
        <v>0.91498262703000011</v>
      </c>
      <c r="Q434" s="3396"/>
      <c r="R434" s="2338"/>
    </row>
    <row r="435" spans="1:18">
      <c r="A435" s="1042"/>
      <c r="B435" s="19"/>
      <c r="C435" s="1042"/>
      <c r="D435" s="1359" t="s">
        <v>1067</v>
      </c>
      <c r="E435" s="1857" t="s">
        <v>1508</v>
      </c>
      <c r="F435" s="1406" t="s">
        <v>1512</v>
      </c>
      <c r="G435" s="1407">
        <v>1.03</v>
      </c>
      <c r="H435" s="1408">
        <f>$H$431*G435</f>
        <v>8.1369999999999998E-2</v>
      </c>
      <c r="I435" s="197"/>
      <c r="J435" s="198"/>
      <c r="K435" s="1307">
        <f>H435*$K$270</f>
        <v>0.13096501499999999</v>
      </c>
      <c r="L435" s="1335">
        <f>K435*$K$406</f>
        <v>0</v>
      </c>
      <c r="M435" s="1499">
        <v>18.28</v>
      </c>
      <c r="N435" s="1724">
        <f>G435*M435</f>
        <v>18.828400000000002</v>
      </c>
      <c r="O435" s="1719">
        <f>ROUND(G435*M435,2)</f>
        <v>18.829999999999998</v>
      </c>
      <c r="P435" s="1720">
        <f>M435*K435</f>
        <v>2.3940404742000001</v>
      </c>
      <c r="Q435" s="3396"/>
      <c r="R435" s="2338"/>
    </row>
    <row r="436" spans="1:18">
      <c r="A436" s="1042"/>
      <c r="B436" s="19"/>
      <c r="C436" s="1042"/>
      <c r="D436" s="1367"/>
      <c r="E436" s="1856"/>
      <c r="F436" s="1397"/>
      <c r="G436" s="1416"/>
      <c r="H436" s="1399"/>
      <c r="I436" s="197"/>
      <c r="J436" s="198"/>
      <c r="K436" s="1307"/>
      <c r="L436" s="1335"/>
      <c r="M436" s="1499"/>
      <c r="N436" s="1724"/>
      <c r="O436" s="1719"/>
      <c r="P436" s="1720"/>
      <c r="Q436" s="3396"/>
      <c r="R436" s="2338"/>
    </row>
    <row r="437" spans="1:18">
      <c r="A437" s="1042"/>
      <c r="B437" s="19"/>
      <c r="C437" s="1042"/>
      <c r="D437" s="1367"/>
      <c r="E437" s="1856"/>
      <c r="F437" s="1397"/>
      <c r="G437" s="1416"/>
      <c r="H437" s="1399"/>
      <c r="I437" s="197"/>
      <c r="J437" s="198"/>
      <c r="K437" s="1307"/>
      <c r="L437" s="1335"/>
      <c r="M437" s="1499"/>
      <c r="N437" s="1724"/>
      <c r="O437" s="1719"/>
      <c r="P437" s="1720"/>
      <c r="Q437" s="3396"/>
      <c r="R437" s="2338"/>
    </row>
    <row r="438" spans="1:18">
      <c r="A438" s="1042"/>
      <c r="B438" s="19"/>
      <c r="C438" s="1042"/>
      <c r="D438" s="1359"/>
      <c r="E438" s="1858"/>
      <c r="F438" s="1360" t="s">
        <v>2</v>
      </c>
      <c r="G438" s="1466"/>
      <c r="H438" s="1362"/>
      <c r="I438" s="1380"/>
      <c r="J438" s="1381"/>
      <c r="K438" s="1359"/>
      <c r="L438" s="1458"/>
      <c r="M438" s="1507"/>
      <c r="N438" s="1708"/>
      <c r="O438" s="1489"/>
      <c r="P438" s="1359"/>
      <c r="Q438" s="3387"/>
      <c r="R438" s="2343"/>
    </row>
    <row r="439" spans="1:18">
      <c r="A439" s="1042"/>
      <c r="B439" s="19"/>
      <c r="C439" s="1042"/>
      <c r="D439" s="1363" t="s">
        <v>1067</v>
      </c>
      <c r="E439" s="2125" t="s">
        <v>1508</v>
      </c>
      <c r="F439" s="1364" t="s">
        <v>1512</v>
      </c>
      <c r="G439" s="1365">
        <v>0.89900000000000002</v>
      </c>
      <c r="H439" s="1365"/>
      <c r="I439" s="1286"/>
      <c r="J439" s="1287"/>
      <c r="K439" s="1307">
        <f>G439*$K$423</f>
        <v>0.89900000000000002</v>
      </c>
      <c r="L439" s="1335">
        <f>K439*$K$406</f>
        <v>0</v>
      </c>
      <c r="M439" s="1499">
        <v>18.28</v>
      </c>
      <c r="N439" s="1499"/>
      <c r="O439" s="1291">
        <f>ROUND(G439*M439,2)</f>
        <v>16.43</v>
      </c>
      <c r="P439" s="1332">
        <f>M439*K439</f>
        <v>16.433720000000001</v>
      </c>
      <c r="Q439" s="3391"/>
      <c r="R439" s="2343"/>
    </row>
    <row r="440" spans="1:18">
      <c r="A440" s="1042"/>
      <c r="B440" s="19"/>
      <c r="C440" s="1042"/>
      <c r="D440" s="1363" t="s">
        <v>1133</v>
      </c>
      <c r="E440" s="2125" t="s">
        <v>1508</v>
      </c>
      <c r="F440" s="1364" t="s">
        <v>1558</v>
      </c>
      <c r="G440" s="1365">
        <v>0.216</v>
      </c>
      <c r="H440" s="1365"/>
      <c r="I440" s="1286"/>
      <c r="J440" s="1287"/>
      <c r="K440" s="1307">
        <f>G440*$K$423</f>
        <v>0.216</v>
      </c>
      <c r="L440" s="1335">
        <f>K440*$K$406</f>
        <v>0</v>
      </c>
      <c r="M440" s="1499">
        <v>19.23</v>
      </c>
      <c r="N440" s="1499"/>
      <c r="O440" s="1291">
        <f>ROUND(G440*M440,2)</f>
        <v>4.1500000000000004</v>
      </c>
      <c r="P440" s="1332">
        <f>M440*K440</f>
        <v>4.1536800000000005</v>
      </c>
      <c r="Q440" s="3391"/>
      <c r="R440" s="2343"/>
    </row>
    <row r="441" spans="1:18">
      <c r="A441" s="1042"/>
      <c r="B441" s="19"/>
      <c r="C441" s="1042"/>
      <c r="D441" s="1363"/>
      <c r="E441" s="2125"/>
      <c r="F441" s="1364"/>
      <c r="G441" s="1365"/>
      <c r="H441" s="1365"/>
      <c r="I441" s="1286"/>
      <c r="J441" s="1287"/>
      <c r="K441" s="1307"/>
      <c r="L441" s="1335"/>
      <c r="M441" s="1499"/>
      <c r="N441" s="1499"/>
      <c r="O441" s="1291"/>
      <c r="P441" s="1332"/>
      <c r="Q441" s="3391"/>
      <c r="R441" s="2343"/>
    </row>
    <row r="442" spans="1:18">
      <c r="A442" s="1042"/>
      <c r="B442" s="19"/>
      <c r="C442" s="1042"/>
      <c r="D442" s="1363"/>
      <c r="E442" s="2125"/>
      <c r="F442" s="1364"/>
      <c r="G442" s="1365"/>
      <c r="H442" s="1365"/>
      <c r="I442" s="1286"/>
      <c r="J442" s="1287"/>
      <c r="K442" s="1307"/>
      <c r="L442" s="1335"/>
      <c r="M442" s="1499"/>
      <c r="N442" s="1499"/>
      <c r="O442" s="1291"/>
      <c r="P442" s="1332"/>
      <c r="Q442" s="3391"/>
      <c r="R442" s="2343"/>
    </row>
    <row r="443" spans="1:18">
      <c r="A443" s="1042"/>
      <c r="B443" s="19"/>
      <c r="C443" s="1042"/>
      <c r="D443" s="1373"/>
      <c r="E443" s="2123"/>
      <c r="F443" s="1374" t="s">
        <v>3</v>
      </c>
      <c r="G443" s="1492"/>
      <c r="H443" s="1376"/>
      <c r="I443" s="1382"/>
      <c r="J443" s="1383"/>
      <c r="K443" s="1383"/>
      <c r="L443" s="1413"/>
      <c r="M443" s="1485"/>
      <c r="N443" s="1493"/>
      <c r="O443" s="1493"/>
      <c r="P443" s="1413"/>
      <c r="Q443" s="3387"/>
      <c r="R443" s="2343"/>
    </row>
    <row r="444" spans="1:18">
      <c r="A444" s="1042"/>
      <c r="B444" s="19"/>
      <c r="C444" s="1042"/>
      <c r="D444" s="1440"/>
      <c r="E444" s="2132"/>
      <c r="F444" s="1441"/>
      <c r="G444" s="1441"/>
      <c r="H444" s="1442"/>
      <c r="I444" s="197"/>
      <c r="J444" s="198"/>
      <c r="K444" s="1307"/>
      <c r="L444" s="1335"/>
      <c r="M444" s="1499"/>
      <c r="N444" s="1701"/>
      <c r="O444" s="1290"/>
      <c r="P444" s="1332"/>
      <c r="Q444" s="3391"/>
      <c r="R444" s="2338"/>
    </row>
    <row r="445" spans="1:18">
      <c r="A445" s="1042"/>
      <c r="B445" s="19"/>
      <c r="C445" s="1042"/>
      <c r="D445" s="1440"/>
      <c r="E445" s="2132"/>
      <c r="F445" s="1441"/>
      <c r="G445" s="1441"/>
      <c r="H445" s="1442"/>
      <c r="I445" s="197" t="str">
        <f>IF(COUNT(H446:O446)=0,"",(SUM(H446:O446)/COUNT(H446:O446)))</f>
        <v/>
      </c>
      <c r="J445" s="198"/>
      <c r="K445" s="1307"/>
      <c r="L445" s="1335"/>
      <c r="M445" s="1499"/>
      <c r="N445" s="1701"/>
      <c r="O445" s="1290"/>
      <c r="P445" s="1332"/>
      <c r="Q445" s="3391"/>
      <c r="R445" s="2338"/>
    </row>
    <row r="446" spans="1:18">
      <c r="A446" s="1042"/>
      <c r="B446" s="3359"/>
      <c r="C446" s="223"/>
      <c r="D446" s="1440"/>
      <c r="E446" s="2132"/>
      <c r="F446" s="1441"/>
      <c r="G446" s="1441"/>
      <c r="H446" s="1442"/>
      <c r="I446" s="197" t="str">
        <f>IF(COUNT(G447:O447)=0,"",(SUM(G447:O447)/COUNT(G447:O447)))</f>
        <v/>
      </c>
      <c r="J446" s="198"/>
      <c r="K446" s="1307"/>
      <c r="L446" s="1335"/>
      <c r="M446" s="1499"/>
      <c r="N446" s="1701"/>
      <c r="O446" s="1290"/>
      <c r="P446" s="1332"/>
      <c r="Q446" s="3391"/>
    </row>
    <row r="447" spans="1:18" ht="15" customHeight="1">
      <c r="A447" s="88" t="s">
        <v>3764</v>
      </c>
      <c r="B447" s="4367" t="s">
        <v>1500</v>
      </c>
      <c r="C447" s="3350"/>
      <c r="D447" s="4327"/>
      <c r="E447" s="4337" t="s">
        <v>1507</v>
      </c>
      <c r="F447" s="4338" t="s">
        <v>1501</v>
      </c>
      <c r="G447" s="4331" t="s">
        <v>1568</v>
      </c>
      <c r="H447" s="4331" t="s">
        <v>1574</v>
      </c>
      <c r="I447" s="1572" t="s">
        <v>1559</v>
      </c>
      <c r="J447" s="1294" t="s">
        <v>1560</v>
      </c>
      <c r="K447" s="1294" t="s">
        <v>1561</v>
      </c>
      <c r="L447" s="4333" t="s">
        <v>3765</v>
      </c>
      <c r="M447" s="4335" t="s">
        <v>1571</v>
      </c>
      <c r="N447" s="4323" t="s">
        <v>1776</v>
      </c>
      <c r="O447" s="3347" t="s">
        <v>1563</v>
      </c>
      <c r="P447" s="1336" t="s">
        <v>1562</v>
      </c>
      <c r="Q447" s="3389"/>
      <c r="R447" s="1699" t="s">
        <v>1327</v>
      </c>
    </row>
    <row r="448" spans="1:18">
      <c r="A448" s="1320" t="s">
        <v>1552</v>
      </c>
      <c r="B448" s="4369"/>
      <c r="C448" s="3351"/>
      <c r="D448" s="4328"/>
      <c r="E448" s="4337"/>
      <c r="F448" s="4338"/>
      <c r="G448" s="4332"/>
      <c r="H448" s="4332"/>
      <c r="I448" s="1345">
        <v>1.5</v>
      </c>
      <c r="J448" s="1350">
        <v>1</v>
      </c>
      <c r="K448" s="1297">
        <f>I448*J448</f>
        <v>1.5</v>
      </c>
      <c r="L448" s="4334"/>
      <c r="M448" s="4335"/>
      <c r="N448" s="4324"/>
      <c r="O448" s="1298">
        <f>SUM(O450:O467)</f>
        <v>102.67559</v>
      </c>
      <c r="P448" s="1337">
        <f>O448*K448</f>
        <v>154.013385</v>
      </c>
      <c r="Q448" s="3390"/>
      <c r="R448" s="1721">
        <f>SUM(P450:P467)</f>
        <v>154.013385</v>
      </c>
    </row>
    <row r="449" spans="1:18">
      <c r="A449" s="1042"/>
      <c r="B449" s="552"/>
      <c r="C449" s="18"/>
      <c r="D449" s="1400"/>
      <c r="E449" s="2121"/>
      <c r="F449" s="1389" t="s">
        <v>1</v>
      </c>
      <c r="G449" s="1390"/>
      <c r="H449" s="1390"/>
      <c r="I449" s="1391"/>
      <c r="J449" s="1369"/>
      <c r="K449" s="1369"/>
      <c r="L449" s="1554"/>
      <c r="M449" s="1490"/>
      <c r="N449" s="1491"/>
      <c r="O449" s="1491"/>
      <c r="P449" s="1367"/>
      <c r="Q449" s="3387"/>
      <c r="R449" s="2343"/>
    </row>
    <row r="450" spans="1:18">
      <c r="A450" s="1042"/>
      <c r="B450" s="88"/>
      <c r="C450" s="1042"/>
      <c r="D450" s="1371" t="s">
        <v>1075</v>
      </c>
      <c r="E450" s="2144" t="s">
        <v>1357</v>
      </c>
      <c r="F450" s="1471" t="s">
        <v>1532</v>
      </c>
      <c r="G450" s="1372">
        <v>1</v>
      </c>
      <c r="H450" s="1372"/>
      <c r="I450" s="1346"/>
      <c r="J450" s="1341"/>
      <c r="K450" s="1307">
        <f t="shared" ref="K450:K456" si="23">G450*$K$448</f>
        <v>1.5</v>
      </c>
      <c r="L450" s="1335">
        <f t="shared" ref="L450:L456" si="24">K450*$K$406</f>
        <v>0</v>
      </c>
      <c r="M450" s="1302">
        <v>0.81</v>
      </c>
      <c r="N450" s="1302"/>
      <c r="O450" s="1291">
        <f t="shared" ref="O450:O456" si="25">G450*M450</f>
        <v>0.81</v>
      </c>
      <c r="P450" s="1332">
        <f t="shared" ref="P450:P456" si="26">M450*K450</f>
        <v>1.2150000000000001</v>
      </c>
      <c r="Q450" s="3391"/>
      <c r="R450" s="2343"/>
    </row>
    <row r="451" spans="1:18">
      <c r="A451" s="1042"/>
      <c r="B451" s="88"/>
      <c r="C451" s="1042"/>
      <c r="D451" s="1371" t="s">
        <v>1533</v>
      </c>
      <c r="E451" s="2144" t="s">
        <v>1357</v>
      </c>
      <c r="F451" s="1471" t="s">
        <v>1534</v>
      </c>
      <c r="G451" s="1372">
        <v>0.99</v>
      </c>
      <c r="H451" s="1372"/>
      <c r="I451" s="1346"/>
      <c r="J451" s="1341"/>
      <c r="K451" s="1307">
        <f t="shared" si="23"/>
        <v>1.4849999999999999</v>
      </c>
      <c r="L451" s="1335">
        <f t="shared" si="24"/>
        <v>0</v>
      </c>
      <c r="M451" s="1302">
        <v>0.93</v>
      </c>
      <c r="N451" s="1302"/>
      <c r="O451" s="1291">
        <f t="shared" si="25"/>
        <v>0.92070000000000007</v>
      </c>
      <c r="P451" s="1332">
        <f t="shared" si="26"/>
        <v>1.3810499999999999</v>
      </c>
      <c r="Q451" s="3391"/>
      <c r="R451" s="2343"/>
    </row>
    <row r="452" spans="1:18">
      <c r="A452" s="1042"/>
      <c r="B452" s="88"/>
      <c r="C452" s="1042"/>
      <c r="D452" s="1371" t="s">
        <v>1116</v>
      </c>
      <c r="E452" s="2144" t="s">
        <v>1504</v>
      </c>
      <c r="F452" s="1471" t="s">
        <v>1535</v>
      </c>
      <c r="G452" s="1372">
        <v>5.4</v>
      </c>
      <c r="H452" s="1372"/>
      <c r="I452" s="1346"/>
      <c r="J452" s="1341"/>
      <c r="K452" s="1307">
        <f t="shared" si="23"/>
        <v>8.1000000000000014</v>
      </c>
      <c r="L452" s="1335">
        <f t="shared" si="24"/>
        <v>0</v>
      </c>
      <c r="M452" s="1302">
        <v>0.84</v>
      </c>
      <c r="N452" s="1302"/>
      <c r="O452" s="1291">
        <f t="shared" si="25"/>
        <v>4.5360000000000005</v>
      </c>
      <c r="P452" s="1332">
        <f t="shared" si="26"/>
        <v>6.8040000000000012</v>
      </c>
      <c r="Q452" s="3391"/>
      <c r="R452" s="2343"/>
    </row>
    <row r="453" spans="1:18">
      <c r="A453" s="1042"/>
      <c r="B453" s="88"/>
      <c r="C453" s="1042"/>
      <c r="D453" s="1371" t="s">
        <v>1115</v>
      </c>
      <c r="E453" s="2144" t="s">
        <v>1527</v>
      </c>
      <c r="F453" s="1471" t="s">
        <v>1536</v>
      </c>
      <c r="G453" s="1372">
        <v>1.397</v>
      </c>
      <c r="H453" s="1372"/>
      <c r="I453" s="1346"/>
      <c r="J453" s="1341"/>
      <c r="K453" s="1307">
        <f t="shared" si="23"/>
        <v>2.0954999999999999</v>
      </c>
      <c r="L453" s="1335">
        <f t="shared" si="24"/>
        <v>0</v>
      </c>
      <c r="M453" s="1302">
        <v>3.54</v>
      </c>
      <c r="N453" s="1302"/>
      <c r="O453" s="1291">
        <f t="shared" si="25"/>
        <v>4.9453800000000001</v>
      </c>
      <c r="P453" s="1332">
        <f t="shared" si="26"/>
        <v>7.4180700000000002</v>
      </c>
      <c r="Q453" s="3391"/>
      <c r="R453" s="2343"/>
    </row>
    <row r="454" spans="1:18">
      <c r="A454" s="1042"/>
      <c r="B454" s="88"/>
      <c r="C454" s="1042"/>
      <c r="D454" s="1371" t="s">
        <v>1113</v>
      </c>
      <c r="E454" s="2144" t="s">
        <v>1517</v>
      </c>
      <c r="F454" s="1471" t="s">
        <v>1537</v>
      </c>
      <c r="G454" s="1372">
        <v>0.105</v>
      </c>
      <c r="H454" s="1372"/>
      <c r="I454" s="1346"/>
      <c r="J454" s="1341"/>
      <c r="K454" s="1307">
        <f t="shared" si="23"/>
        <v>0.1575</v>
      </c>
      <c r="L454" s="1335">
        <f t="shared" si="24"/>
        <v>0</v>
      </c>
      <c r="M454" s="1302">
        <v>60.26</v>
      </c>
      <c r="N454" s="1302"/>
      <c r="O454" s="1291">
        <f t="shared" si="25"/>
        <v>6.3272999999999993</v>
      </c>
      <c r="P454" s="1332">
        <f t="shared" si="26"/>
        <v>9.4909499999999998</v>
      </c>
      <c r="Q454" s="3391"/>
      <c r="R454" s="2343"/>
    </row>
    <row r="455" spans="1:18">
      <c r="A455" s="1042"/>
      <c r="B455" s="88"/>
      <c r="C455" s="1042"/>
      <c r="D455" s="1371" t="s">
        <v>1114</v>
      </c>
      <c r="E455" s="2144" t="s">
        <v>1517</v>
      </c>
      <c r="F455" s="1471" t="s">
        <v>1538</v>
      </c>
      <c r="G455" s="1372">
        <v>1E-3</v>
      </c>
      <c r="H455" s="1372"/>
      <c r="I455" s="1346"/>
      <c r="J455" s="1341"/>
      <c r="K455" s="1307">
        <f t="shared" si="23"/>
        <v>1.5E-3</v>
      </c>
      <c r="L455" s="1335">
        <f t="shared" si="24"/>
        <v>0</v>
      </c>
      <c r="M455" s="1302">
        <v>225.64</v>
      </c>
      <c r="N455" s="1302"/>
      <c r="O455" s="1291">
        <f t="shared" si="25"/>
        <v>0.22563999999999998</v>
      </c>
      <c r="P455" s="1332">
        <f t="shared" si="26"/>
        <v>0.33845999999999998</v>
      </c>
      <c r="Q455" s="3391"/>
      <c r="R455" s="2343"/>
    </row>
    <row r="456" spans="1:18">
      <c r="A456" s="1042"/>
      <c r="B456" s="88"/>
      <c r="C456" s="1042"/>
      <c r="D456" s="1384" t="s">
        <v>1082</v>
      </c>
      <c r="E456" s="2146" t="s">
        <v>1504</v>
      </c>
      <c r="F456" s="1471" t="s">
        <v>1541</v>
      </c>
      <c r="G456" s="1372">
        <v>1</v>
      </c>
      <c r="H456" s="1372"/>
      <c r="I456" s="1346"/>
      <c r="J456" s="1341"/>
      <c r="K456" s="1307">
        <f t="shared" si="23"/>
        <v>1.5</v>
      </c>
      <c r="L456" s="1335">
        <f t="shared" si="24"/>
        <v>0</v>
      </c>
      <c r="M456" s="1302">
        <v>0.3</v>
      </c>
      <c r="N456" s="1302"/>
      <c r="O456" s="1291">
        <f t="shared" si="25"/>
        <v>0.3</v>
      </c>
      <c r="P456" s="1332">
        <f t="shared" si="26"/>
        <v>0.44999999999999996</v>
      </c>
      <c r="Q456" s="3391"/>
      <c r="R456" s="2338"/>
    </row>
    <row r="457" spans="1:18">
      <c r="A457" s="1042"/>
      <c r="B457" s="88"/>
      <c r="C457" s="1042"/>
      <c r="D457" s="1384"/>
      <c r="E457" s="2146"/>
      <c r="F457" s="1471"/>
      <c r="G457" s="1372"/>
      <c r="H457" s="1372"/>
      <c r="I457" s="1346"/>
      <c r="J457" s="1341"/>
      <c r="K457" s="1307" t="str">
        <f>IF(COUNT(#REF!)=0,"",IF(#REF!="","",(#REF!*#REF!)))</f>
        <v/>
      </c>
      <c r="L457" s="1335"/>
      <c r="M457" s="1302"/>
      <c r="N457" s="1302"/>
      <c r="O457" s="1291"/>
      <c r="P457" s="1332"/>
      <c r="Q457" s="3391"/>
      <c r="R457" s="2338"/>
    </row>
    <row r="458" spans="1:18">
      <c r="A458" s="1042"/>
      <c r="B458" s="88"/>
      <c r="C458" s="1042"/>
      <c r="D458" s="1384"/>
      <c r="E458" s="2146"/>
      <c r="F458" s="1471"/>
      <c r="G458" s="1372"/>
      <c r="H458" s="1372"/>
      <c r="I458" s="1346"/>
      <c r="J458" s="1341"/>
      <c r="K458" s="1307" t="str">
        <f>IF(COUNT(#REF!)=0,"",IF(#REF!="","",(#REF!*#REF!)))</f>
        <v/>
      </c>
      <c r="L458" s="1335"/>
      <c r="M458" s="1302"/>
      <c r="N458" s="1302"/>
      <c r="O458" s="1291"/>
      <c r="P458" s="1332"/>
      <c r="Q458" s="3391"/>
      <c r="R458" s="2338"/>
    </row>
    <row r="459" spans="1:18">
      <c r="A459" s="1042"/>
      <c r="B459" s="88"/>
      <c r="C459" s="1042"/>
      <c r="D459" s="1404"/>
      <c r="E459" s="1858"/>
      <c r="F459" s="1360" t="s">
        <v>2</v>
      </c>
      <c r="G459" s="1362"/>
      <c r="H459" s="1362"/>
      <c r="I459" s="1380"/>
      <c r="J459" s="1381"/>
      <c r="K459" s="1359" t="str">
        <f>IF(COUNT(#REF!)=0,"",IF(#REF!="","",(#REF!*#REF!)))</f>
        <v/>
      </c>
      <c r="L459" s="1458"/>
      <c r="M459" s="1362"/>
      <c r="N459" s="1362"/>
      <c r="O459" s="1708"/>
      <c r="P459" s="1359"/>
      <c r="Q459" s="3387"/>
      <c r="R459" s="2343"/>
    </row>
    <row r="460" spans="1:18">
      <c r="A460" s="1042"/>
      <c r="B460" s="88"/>
      <c r="C460" s="1042"/>
      <c r="D460" s="1495" t="s">
        <v>1077</v>
      </c>
      <c r="E460" s="2147" t="s">
        <v>1508</v>
      </c>
      <c r="F460" s="1473" t="s">
        <v>1539</v>
      </c>
      <c r="G460" s="1365">
        <v>0.435</v>
      </c>
      <c r="H460" s="1365"/>
      <c r="I460" s="1286"/>
      <c r="J460" s="198"/>
      <c r="K460" s="1307">
        <f>G460*$K$448</f>
        <v>0.65249999999999997</v>
      </c>
      <c r="L460" s="1335">
        <f>K460*$K$406</f>
        <v>0</v>
      </c>
      <c r="M460" s="1302">
        <v>19.23</v>
      </c>
      <c r="N460" s="1700"/>
      <c r="O460" s="1290">
        <f>G460*M460</f>
        <v>8.3650500000000001</v>
      </c>
      <c r="P460" s="1332">
        <f>M460*K460</f>
        <v>12.547575</v>
      </c>
      <c r="Q460" s="3391"/>
      <c r="R460" s="2343"/>
    </row>
    <row r="461" spans="1:18">
      <c r="A461" s="1042"/>
      <c r="B461" s="88"/>
      <c r="C461" s="1042"/>
      <c r="D461" s="1364" t="s">
        <v>1076</v>
      </c>
      <c r="E461" s="2148" t="s">
        <v>1508</v>
      </c>
      <c r="F461" s="1473" t="s">
        <v>1540</v>
      </c>
      <c r="G461" s="1365">
        <v>0.25600000000000001</v>
      </c>
      <c r="H461" s="1365"/>
      <c r="I461" s="1286"/>
      <c r="J461" s="198"/>
      <c r="K461" s="1307">
        <f>G461*$K$448</f>
        <v>0.38400000000000001</v>
      </c>
      <c r="L461" s="1335">
        <f>K461*$K$406</f>
        <v>0</v>
      </c>
      <c r="M461" s="1302">
        <v>20.23</v>
      </c>
      <c r="N461" s="1700"/>
      <c r="O461" s="1290">
        <f>G461*M461</f>
        <v>5.1788800000000004</v>
      </c>
      <c r="P461" s="1332">
        <f>M461*K461</f>
        <v>7.7683200000000001</v>
      </c>
      <c r="Q461" s="3391"/>
      <c r="R461" s="2343"/>
    </row>
    <row r="462" spans="1:18">
      <c r="A462" s="1042"/>
      <c r="B462" s="88"/>
      <c r="C462" s="1042"/>
      <c r="D462" s="1385" t="s">
        <v>1067</v>
      </c>
      <c r="E462" s="2149" t="s">
        <v>1508</v>
      </c>
      <c r="F462" s="1473" t="s">
        <v>1512</v>
      </c>
      <c r="G462" s="1365">
        <v>3.3220000000000001</v>
      </c>
      <c r="H462" s="1365"/>
      <c r="I462" s="1286"/>
      <c r="J462" s="198"/>
      <c r="K462" s="1307">
        <f>G462*$K$448</f>
        <v>4.9830000000000005</v>
      </c>
      <c r="L462" s="1335">
        <f>K462*$K$406</f>
        <v>0</v>
      </c>
      <c r="M462" s="1302">
        <v>21.23</v>
      </c>
      <c r="N462" s="1700"/>
      <c r="O462" s="1290">
        <f>G462*M462</f>
        <v>70.526060000000001</v>
      </c>
      <c r="P462" s="1332">
        <f>M462*K462</f>
        <v>105.78909000000002</v>
      </c>
      <c r="Q462" s="3391"/>
      <c r="R462" s="2338"/>
    </row>
    <row r="463" spans="1:18">
      <c r="A463" s="1042"/>
      <c r="B463" s="88"/>
      <c r="C463" s="1042"/>
      <c r="D463" s="1385"/>
      <c r="E463" s="2149"/>
      <c r="F463" s="1473"/>
      <c r="G463" s="1365"/>
      <c r="H463" s="1365"/>
      <c r="I463" s="1286"/>
      <c r="J463" s="198"/>
      <c r="K463" s="1307"/>
      <c r="L463" s="1335"/>
      <c r="M463" s="1302"/>
      <c r="N463" s="1700"/>
      <c r="O463" s="1290"/>
      <c r="P463" s="1332"/>
      <c r="Q463" s="3391"/>
      <c r="R463" s="2338"/>
    </row>
    <row r="464" spans="1:18">
      <c r="A464" s="1042"/>
      <c r="B464" s="88"/>
      <c r="C464" s="1042"/>
      <c r="D464" s="1411"/>
      <c r="E464" s="2123"/>
      <c r="F464" s="1374" t="s">
        <v>3</v>
      </c>
      <c r="G464" s="1376"/>
      <c r="H464" s="1376"/>
      <c r="I464" s="1496"/>
      <c r="J464" s="1383"/>
      <c r="K464" s="1373"/>
      <c r="L464" s="1413"/>
      <c r="M464" s="1376"/>
      <c r="N464" s="1376"/>
      <c r="O464" s="1706"/>
      <c r="P464" s="1373"/>
      <c r="Q464" s="3387"/>
      <c r="R464" s="2343"/>
    </row>
    <row r="465" spans="1:18">
      <c r="A465" s="1042"/>
      <c r="B465" s="88"/>
      <c r="C465" s="1042"/>
      <c r="D465" s="1377" t="s">
        <v>1087</v>
      </c>
      <c r="E465" s="2124" t="s">
        <v>1508</v>
      </c>
      <c r="F465" s="1378" t="s">
        <v>1542</v>
      </c>
      <c r="G465" s="1379">
        <v>0.35799999999999998</v>
      </c>
      <c r="H465" s="1379"/>
      <c r="I465" s="1286"/>
      <c r="J465" s="198"/>
      <c r="K465" s="1307">
        <f>G465*$K$448</f>
        <v>0.53699999999999992</v>
      </c>
      <c r="L465" s="1335">
        <f>K465*$K$406</f>
        <v>0</v>
      </c>
      <c r="M465" s="1302">
        <v>1.51</v>
      </c>
      <c r="N465" s="1700"/>
      <c r="O465" s="1290">
        <f>G465*M465</f>
        <v>0.54057999999999995</v>
      </c>
      <c r="P465" s="1332">
        <f>M465*K465</f>
        <v>0.81086999999999987</v>
      </c>
      <c r="Q465" s="3391"/>
      <c r="R465" s="2338"/>
    </row>
    <row r="466" spans="1:18">
      <c r="A466" s="1042"/>
      <c r="B466" s="88"/>
      <c r="C466" s="1042"/>
      <c r="D466" s="1440"/>
      <c r="E466" s="2132"/>
      <c r="F466" s="1441"/>
      <c r="G466" s="1442"/>
      <c r="H466" s="1442"/>
      <c r="I466" s="197" t="str">
        <f>IF(COUNT(#REF!)=0,"",(SUM(#REF!)/COUNT(#REF!)))</f>
        <v/>
      </c>
      <c r="J466" s="198"/>
      <c r="K466" s="1307"/>
      <c r="L466" s="1335"/>
      <c r="M466" s="1499"/>
      <c r="N466" s="1701"/>
      <c r="O466" s="1290"/>
      <c r="P466" s="1332"/>
      <c r="Q466" s="3391"/>
      <c r="R466" s="2338"/>
    </row>
    <row r="467" spans="1:18">
      <c r="A467" s="1042"/>
      <c r="B467" s="581"/>
      <c r="C467" s="223"/>
      <c r="D467" s="1440"/>
      <c r="E467" s="2132"/>
      <c r="F467" s="1441"/>
      <c r="G467" s="1442"/>
      <c r="H467" s="1442"/>
      <c r="I467" s="197" t="str">
        <f>IF(COUNT(G468:O468)=0,"",(SUM(G468:O468)/COUNT(G468:O468)))</f>
        <v/>
      </c>
      <c r="J467" s="198"/>
      <c r="K467" s="1307"/>
      <c r="L467" s="1335"/>
      <c r="M467" s="1499"/>
      <c r="N467" s="1701"/>
      <c r="O467" s="1290"/>
      <c r="P467" s="1332"/>
      <c r="Q467" s="3391"/>
    </row>
    <row r="468" spans="1:18" ht="15" customHeight="1">
      <c r="A468" s="88" t="s">
        <v>3764</v>
      </c>
      <c r="B468" s="4367" t="s">
        <v>1502</v>
      </c>
      <c r="C468" s="3350"/>
      <c r="D468" s="4327"/>
      <c r="E468" s="4337" t="s">
        <v>1507</v>
      </c>
      <c r="F468" s="4338" t="s">
        <v>2784</v>
      </c>
      <c r="G468" s="4331" t="s">
        <v>1568</v>
      </c>
      <c r="H468" s="4331" t="s">
        <v>1574</v>
      </c>
      <c r="I468" s="1572" t="s">
        <v>1559</v>
      </c>
      <c r="J468" s="1294" t="s">
        <v>1560</v>
      </c>
      <c r="K468" s="1294" t="s">
        <v>1561</v>
      </c>
      <c r="L468" s="4333" t="s">
        <v>3765</v>
      </c>
      <c r="M468" s="4335" t="s">
        <v>1571</v>
      </c>
      <c r="N468" s="4323" t="s">
        <v>1776</v>
      </c>
      <c r="O468" s="3347" t="s">
        <v>1563</v>
      </c>
      <c r="P468" s="1336" t="s">
        <v>1562</v>
      </c>
      <c r="Q468" s="3389"/>
      <c r="R468" s="1699" t="s">
        <v>1327</v>
      </c>
    </row>
    <row r="469" spans="1:18">
      <c r="A469" s="1320" t="s">
        <v>1552</v>
      </c>
      <c r="B469" s="4369"/>
      <c r="C469" s="3351"/>
      <c r="D469" s="4328"/>
      <c r="E469" s="4337"/>
      <c r="F469" s="4338"/>
      <c r="G469" s="4332"/>
      <c r="H469" s="4332"/>
      <c r="I469" s="1345">
        <v>1.5</v>
      </c>
      <c r="J469" s="1307">
        <v>1</v>
      </c>
      <c r="K469" s="1297">
        <f>I469*J469</f>
        <v>1.5</v>
      </c>
      <c r="L469" s="4334"/>
      <c r="M469" s="4335"/>
      <c r="N469" s="4324"/>
      <c r="O469" s="1298">
        <f>O471+O472+O473+O477+O485+O486</f>
        <v>63.445860000000003</v>
      </c>
      <c r="P469" s="1337">
        <f>O469*K469</f>
        <v>95.168790000000001</v>
      </c>
      <c r="Q469" s="3390"/>
      <c r="R469" s="1721">
        <f>P471+P472+P473+P477+P485+P486</f>
        <v>95.173087319999993</v>
      </c>
    </row>
    <row r="470" spans="1:18">
      <c r="A470" s="553"/>
      <c r="B470" s="18"/>
      <c r="C470" s="552"/>
      <c r="D470" s="1367"/>
      <c r="E470" s="2121"/>
      <c r="F470" s="1389" t="s">
        <v>1</v>
      </c>
      <c r="G470" s="1369"/>
      <c r="H470" s="1369"/>
      <c r="I470" s="1391"/>
      <c r="J470" s="1369"/>
      <c r="K470" s="1369"/>
      <c r="L470" s="1554"/>
      <c r="M470" s="1487"/>
      <c r="N470" s="1487"/>
      <c r="O470" s="1487"/>
      <c r="P470" s="1367"/>
      <c r="Q470" s="3387"/>
      <c r="R470" s="2343"/>
    </row>
    <row r="471" spans="1:18">
      <c r="A471" s="553"/>
      <c r="B471" s="1042"/>
      <c r="C471" s="88"/>
      <c r="D471" s="1421" t="s">
        <v>1094</v>
      </c>
      <c r="E471" s="1856" t="s">
        <v>1517</v>
      </c>
      <c r="F471" s="1421" t="s">
        <v>1543</v>
      </c>
      <c r="G471" s="1452">
        <v>0.02</v>
      </c>
      <c r="H471" s="1452"/>
      <c r="I471" s="1342"/>
      <c r="J471" s="198"/>
      <c r="K471" s="1307">
        <f>G471*$K$469</f>
        <v>0.03</v>
      </c>
      <c r="L471" s="1335">
        <f t="shared" ref="L471:L486" si="27">K471*$K$406</f>
        <v>0</v>
      </c>
      <c r="M471" s="1302">
        <v>8.39</v>
      </c>
      <c r="N471" s="1700"/>
      <c r="O471" s="1290">
        <f>ROUND(G471*M471,2)</f>
        <v>0.17</v>
      </c>
      <c r="P471" s="1332">
        <f>M471*K471</f>
        <v>0.25170000000000003</v>
      </c>
      <c r="Q471" s="3391"/>
      <c r="R471" s="2343"/>
    </row>
    <row r="472" spans="1:18">
      <c r="A472" s="553"/>
      <c r="B472" s="1042"/>
      <c r="C472" s="88"/>
      <c r="D472" s="1370" t="s">
        <v>1545</v>
      </c>
      <c r="E472" s="2122" t="s">
        <v>1504</v>
      </c>
      <c r="F472" s="1370" t="s">
        <v>1546</v>
      </c>
      <c r="G472" s="1372">
        <v>8</v>
      </c>
      <c r="H472" s="1372"/>
      <c r="I472" s="1286"/>
      <c r="J472" s="198"/>
      <c r="K472" s="1307">
        <f>G472*$K$469</f>
        <v>12</v>
      </c>
      <c r="L472" s="1335">
        <f t="shared" si="27"/>
        <v>0</v>
      </c>
      <c r="M472" s="1302">
        <v>3.5</v>
      </c>
      <c r="N472" s="1700"/>
      <c r="O472" s="1290">
        <f>ROUND(G472*M472,2)</f>
        <v>28</v>
      </c>
      <c r="P472" s="1332">
        <f>M472*K472</f>
        <v>42</v>
      </c>
      <c r="Q472" s="3391"/>
      <c r="R472" s="2338"/>
    </row>
    <row r="473" spans="1:18">
      <c r="A473" s="553"/>
      <c r="B473" s="1042"/>
      <c r="C473" s="1317" t="s">
        <v>1155</v>
      </c>
      <c r="D473" s="1311"/>
      <c r="E473" s="2131" t="s">
        <v>1517</v>
      </c>
      <c r="F473" s="1343" t="s">
        <v>1544</v>
      </c>
      <c r="G473" s="1344"/>
      <c r="H473" s="1344">
        <v>1E-3</v>
      </c>
      <c r="I473" s="1497"/>
      <c r="J473" s="1388"/>
      <c r="K473" s="1459"/>
      <c r="L473" s="1457"/>
      <c r="M473" s="1446"/>
      <c r="N473" s="1446">
        <f>SUM(N474:N476)</f>
        <v>114.04755</v>
      </c>
      <c r="O473" s="1446">
        <f>SUM(O474:O476)</f>
        <v>0.12000000000000001</v>
      </c>
      <c r="P473" s="1446">
        <f>SUM(P474:P476)</f>
        <v>0.17107132500000002</v>
      </c>
      <c r="Q473" s="3391"/>
      <c r="R473" s="2343"/>
    </row>
    <row r="474" spans="1:18">
      <c r="A474" s="553"/>
      <c r="B474" s="1042"/>
      <c r="C474" s="1511"/>
      <c r="D474" s="1451" t="s">
        <v>1069</v>
      </c>
      <c r="E474" s="1856" t="s">
        <v>1517</v>
      </c>
      <c r="F474" s="1421" t="s">
        <v>1578</v>
      </c>
      <c r="G474" s="1452">
        <v>0.89100000000000001</v>
      </c>
      <c r="H474" s="1453">
        <f>$H$473*G474</f>
        <v>8.9100000000000008E-4</v>
      </c>
      <c r="I474" s="1286"/>
      <c r="J474" s="198"/>
      <c r="K474" s="1307">
        <f>H474*$K$469</f>
        <v>1.3365E-3</v>
      </c>
      <c r="L474" s="1335">
        <f t="shared" si="27"/>
        <v>0</v>
      </c>
      <c r="M474" s="1302">
        <v>0.55000000000000004</v>
      </c>
      <c r="N474" s="1724">
        <f>G474*M474</f>
        <v>0.49005000000000004</v>
      </c>
      <c r="O474" s="1725">
        <f>ROUND(H474*M474,2)</f>
        <v>0</v>
      </c>
      <c r="P474" s="1720">
        <f>M474*K474</f>
        <v>7.3507500000000007E-4</v>
      </c>
      <c r="Q474" s="3396"/>
      <c r="R474" s="2343"/>
    </row>
    <row r="475" spans="1:18">
      <c r="A475" s="553"/>
      <c r="B475" s="1042"/>
      <c r="C475" s="595"/>
      <c r="D475" s="1367" t="s">
        <v>1394</v>
      </c>
      <c r="E475" s="1856" t="s">
        <v>1577</v>
      </c>
      <c r="F475" s="1421" t="s">
        <v>1579</v>
      </c>
      <c r="G475" s="1452">
        <v>0.51500000000000001</v>
      </c>
      <c r="H475" s="1453">
        <f>$H$473*G475</f>
        <v>5.1500000000000005E-4</v>
      </c>
      <c r="I475" s="1286"/>
      <c r="J475" s="198"/>
      <c r="K475" s="1307">
        <f>H475*$K$469</f>
        <v>7.7250000000000007E-4</v>
      </c>
      <c r="L475" s="1335">
        <f t="shared" si="27"/>
        <v>0</v>
      </c>
      <c r="M475" s="1302">
        <v>92.54</v>
      </c>
      <c r="N475" s="1724">
        <f>G475*M475</f>
        <v>47.658100000000005</v>
      </c>
      <c r="O475" s="1725">
        <f>ROUND(H475*M475,2)</f>
        <v>0.05</v>
      </c>
      <c r="P475" s="1720">
        <f>M475*K475</f>
        <v>7.1487150000000013E-2</v>
      </c>
      <c r="Q475" s="3396"/>
      <c r="R475" s="2343"/>
    </row>
    <row r="476" spans="1:18">
      <c r="A476" s="553"/>
      <c r="B476" s="1042"/>
      <c r="C476" s="1512"/>
      <c r="D476" s="1443" t="s">
        <v>1067</v>
      </c>
      <c r="E476" s="1857" t="s">
        <v>1508</v>
      </c>
      <c r="F476" s="1430" t="s">
        <v>1512</v>
      </c>
      <c r="G476" s="1431">
        <v>3.605</v>
      </c>
      <c r="H476" s="1454">
        <f>$H$473*G476</f>
        <v>3.6050000000000001E-3</v>
      </c>
      <c r="I476" s="1286"/>
      <c r="J476" s="198"/>
      <c r="K476" s="1307">
        <f>H476*$K$469</f>
        <v>5.4075E-3</v>
      </c>
      <c r="L476" s="1335">
        <f t="shared" si="27"/>
        <v>0</v>
      </c>
      <c r="M476" s="1302">
        <v>18.28</v>
      </c>
      <c r="N476" s="1724">
        <f>G476*M476</f>
        <v>65.8994</v>
      </c>
      <c r="O476" s="1725">
        <f>ROUND(H476*M476,2)</f>
        <v>7.0000000000000007E-2</v>
      </c>
      <c r="P476" s="1720">
        <f>M476*K476</f>
        <v>9.8849100000000009E-2</v>
      </c>
      <c r="Q476" s="3396"/>
      <c r="R476" s="2343"/>
    </row>
    <row r="477" spans="1:18">
      <c r="A477" s="553"/>
      <c r="B477" s="1042"/>
      <c r="C477" s="1317" t="s">
        <v>1127</v>
      </c>
      <c r="D477" s="1311"/>
      <c r="E477" s="2131" t="s">
        <v>1517</v>
      </c>
      <c r="F477" s="1343" t="s">
        <v>1519</v>
      </c>
      <c r="G477" s="1344"/>
      <c r="H477" s="1344">
        <v>3.1E-2</v>
      </c>
      <c r="I477" s="1497"/>
      <c r="J477" s="1388"/>
      <c r="K477" s="1445"/>
      <c r="L477" s="1457"/>
      <c r="M477" s="1446"/>
      <c r="N477" s="1446">
        <f>SUM(N478:N481)</f>
        <v>50.044430000000006</v>
      </c>
      <c r="O477" s="1446">
        <f>SUM(O478:O481)</f>
        <v>1.54</v>
      </c>
      <c r="P477" s="1446">
        <f>SUM(P478:P481)</f>
        <v>2.3270659950000003</v>
      </c>
      <c r="Q477" s="3391"/>
      <c r="R477" s="2343"/>
    </row>
    <row r="478" spans="1:18">
      <c r="B478" s="1042"/>
      <c r="D478" s="1367" t="s">
        <v>1069</v>
      </c>
      <c r="E478" s="1856" t="s">
        <v>1517</v>
      </c>
      <c r="F478" s="1397" t="s">
        <v>1578</v>
      </c>
      <c r="G478" s="1416">
        <v>0.26300000000000001</v>
      </c>
      <c r="H478" s="1399">
        <f>$H$477*G478</f>
        <v>8.1530000000000005E-3</v>
      </c>
      <c r="I478" s="197"/>
      <c r="J478" s="198"/>
      <c r="K478" s="1307">
        <f>H478*$K$469</f>
        <v>1.2229500000000001E-2</v>
      </c>
      <c r="L478" s="1335">
        <f t="shared" si="27"/>
        <v>0</v>
      </c>
      <c r="M478" s="1302">
        <v>0.55000000000000004</v>
      </c>
      <c r="N478" s="1724">
        <f>G478*M478</f>
        <v>0.14465000000000003</v>
      </c>
      <c r="O478" s="1725">
        <f>ROUND(H478*M478,2)</f>
        <v>0</v>
      </c>
      <c r="P478" s="1720">
        <f>M478*K478</f>
        <v>6.7262250000000006E-3</v>
      </c>
      <c r="Q478" s="3396"/>
    </row>
    <row r="479" spans="1:18">
      <c r="A479" s="553"/>
      <c r="B479" s="1042"/>
      <c r="C479" s="88"/>
      <c r="D479" s="1367" t="s">
        <v>1394</v>
      </c>
      <c r="E479" s="1856" t="s">
        <v>1577</v>
      </c>
      <c r="F479" s="1397" t="s">
        <v>1579</v>
      </c>
      <c r="G479" s="1416">
        <v>0.25800000000000001</v>
      </c>
      <c r="H479" s="1399">
        <f>$H$477*G479</f>
        <v>7.9979999999999999E-3</v>
      </c>
      <c r="I479" s="197"/>
      <c r="J479" s="198"/>
      <c r="K479" s="1307">
        <f>H479*$K$469</f>
        <v>1.1997000000000001E-2</v>
      </c>
      <c r="L479" s="1335">
        <f t="shared" si="27"/>
        <v>0</v>
      </c>
      <c r="M479" s="1302">
        <v>92.54</v>
      </c>
      <c r="N479" s="1724">
        <f>G479*M479</f>
        <v>23.875320000000002</v>
      </c>
      <c r="O479" s="1725">
        <f>ROUND(H479*M479,2)</f>
        <v>0.74</v>
      </c>
      <c r="P479" s="1720">
        <f>M479*K479</f>
        <v>1.11020238</v>
      </c>
      <c r="Q479" s="3396"/>
      <c r="R479" s="2338"/>
    </row>
    <row r="480" spans="1:18">
      <c r="A480" s="553"/>
      <c r="B480" s="1042"/>
      <c r="C480" s="88"/>
      <c r="D480" s="1367" t="s">
        <v>1576</v>
      </c>
      <c r="E480" s="1856" t="s">
        <v>1517</v>
      </c>
      <c r="F480" s="1397" t="s">
        <v>1580</v>
      </c>
      <c r="G480" s="1416">
        <v>1.1020000000000001</v>
      </c>
      <c r="H480" s="1399">
        <f>$H$477*G480</f>
        <v>3.4162000000000005E-2</v>
      </c>
      <c r="I480" s="197"/>
      <c r="J480" s="198"/>
      <c r="K480" s="1307">
        <f>H480*$K$469</f>
        <v>5.1243000000000011E-2</v>
      </c>
      <c r="L480" s="1335">
        <f t="shared" si="27"/>
        <v>0</v>
      </c>
      <c r="M480" s="1302">
        <v>6.53</v>
      </c>
      <c r="N480" s="1724">
        <f>G480*M480</f>
        <v>7.196060000000001</v>
      </c>
      <c r="O480" s="1725">
        <f>ROUND(H480*M480,2)</f>
        <v>0.22</v>
      </c>
      <c r="P480" s="1720">
        <f>M480*K480</f>
        <v>0.33461679000000011</v>
      </c>
      <c r="Q480" s="3396"/>
      <c r="R480" s="2338"/>
    </row>
    <row r="481" spans="1:19">
      <c r="A481" s="553"/>
      <c r="B481" s="1042"/>
      <c r="C481" s="88"/>
      <c r="D481" s="1359" t="s">
        <v>1067</v>
      </c>
      <c r="E481" s="1857" t="s">
        <v>1508</v>
      </c>
      <c r="F481" s="1406" t="s">
        <v>1512</v>
      </c>
      <c r="G481" s="1407">
        <v>1.03</v>
      </c>
      <c r="H481" s="1408">
        <f>$H$477*G481</f>
        <v>3.193E-2</v>
      </c>
      <c r="I481" s="197"/>
      <c r="J481" s="198"/>
      <c r="K481" s="1307">
        <f>H481*$K$469</f>
        <v>4.7895E-2</v>
      </c>
      <c r="L481" s="1335">
        <f t="shared" si="27"/>
        <v>0</v>
      </c>
      <c r="M481" s="1302">
        <v>18.28</v>
      </c>
      <c r="N481" s="1724">
        <f>G481*M481</f>
        <v>18.828400000000002</v>
      </c>
      <c r="O481" s="1725">
        <f>ROUND(H481*M481,2)</f>
        <v>0.57999999999999996</v>
      </c>
      <c r="P481" s="1720">
        <f>M481*K481</f>
        <v>0.87552060000000009</v>
      </c>
      <c r="Q481" s="3396"/>
      <c r="R481" s="2338"/>
    </row>
    <row r="482" spans="1:19">
      <c r="A482" s="553"/>
      <c r="B482" s="1042"/>
      <c r="C482" s="88"/>
      <c r="D482" s="1367"/>
      <c r="E482" s="1856"/>
      <c r="F482" s="1397"/>
      <c r="G482" s="1416"/>
      <c r="H482" s="1399"/>
      <c r="I482" s="197"/>
      <c r="J482" s="198"/>
      <c r="K482" s="1307" t="str">
        <f>IF(COUNT(#REF!)=0,"",IF(#REF!="","",(#REF!*#REF!)))</f>
        <v/>
      </c>
      <c r="L482" s="1335"/>
      <c r="M482" s="1302"/>
      <c r="N482" s="1724"/>
      <c r="O482" s="1725"/>
      <c r="P482" s="1720"/>
      <c r="Q482" s="3396"/>
      <c r="R482" s="2338"/>
    </row>
    <row r="483" spans="1:19">
      <c r="A483" s="553"/>
      <c r="B483" s="1042"/>
      <c r="C483" s="88"/>
      <c r="D483" s="1367"/>
      <c r="E483" s="1856"/>
      <c r="F483" s="1397"/>
      <c r="G483" s="1416"/>
      <c r="H483" s="1399"/>
      <c r="I483" s="197"/>
      <c r="J483" s="198"/>
      <c r="K483" s="1307" t="str">
        <f>IF(COUNT(#REF!)=0,"",IF(#REF!="","",(#REF!*#REF!)))</f>
        <v/>
      </c>
      <c r="L483" s="1335"/>
      <c r="M483" s="1302"/>
      <c r="N483" s="1724"/>
      <c r="O483" s="1725"/>
      <c r="P483" s="1720"/>
      <c r="Q483" s="3396"/>
      <c r="R483" s="2338"/>
    </row>
    <row r="484" spans="1:19">
      <c r="A484" s="553"/>
      <c r="B484" s="1042"/>
      <c r="C484" s="88"/>
      <c r="D484" s="1359"/>
      <c r="E484" s="1858"/>
      <c r="F484" s="1465" t="s">
        <v>2</v>
      </c>
      <c r="G484" s="1466"/>
      <c r="H484" s="1362"/>
      <c r="I484" s="1381"/>
      <c r="J484" s="1381"/>
      <c r="K484" s="1359"/>
      <c r="L484" s="1458"/>
      <c r="M484" s="1498"/>
      <c r="N484" s="1498"/>
      <c r="O484" s="1498"/>
      <c r="P484" s="1359"/>
      <c r="Q484" s="3387"/>
      <c r="R484" s="2343"/>
    </row>
    <row r="485" spans="1:19">
      <c r="A485" s="553"/>
      <c r="B485" s="1042"/>
      <c r="C485" s="88"/>
      <c r="D485" s="1363" t="s">
        <v>1134</v>
      </c>
      <c r="E485" s="2125" t="s">
        <v>1508</v>
      </c>
      <c r="F485" s="1363" t="s">
        <v>1547</v>
      </c>
      <c r="G485" s="1408">
        <v>1.163</v>
      </c>
      <c r="H485" s="1408"/>
      <c r="I485" s="1340"/>
      <c r="J485" s="198"/>
      <c r="K485" s="1307">
        <f>G485*$K$469</f>
        <v>1.7444999999999999</v>
      </c>
      <c r="L485" s="1335">
        <f t="shared" si="27"/>
        <v>0</v>
      </c>
      <c r="M485" s="1302">
        <v>18.28</v>
      </c>
      <c r="N485" s="1700"/>
      <c r="O485" s="1290">
        <f>ROUND(G485*M485,2)</f>
        <v>21.26</v>
      </c>
      <c r="P485" s="1332">
        <f>M485*K485</f>
        <v>31.88946</v>
      </c>
      <c r="Q485" s="3391"/>
      <c r="R485" s="2343"/>
    </row>
    <row r="486" spans="1:19">
      <c r="A486" s="553"/>
      <c r="B486" s="1042"/>
      <c r="C486" s="88"/>
      <c r="D486" s="1363" t="s">
        <v>1067</v>
      </c>
      <c r="E486" s="2125" t="s">
        <v>1508</v>
      </c>
      <c r="F486" s="1363" t="s">
        <v>1512</v>
      </c>
      <c r="G486" s="1408">
        <v>0.58199999999999996</v>
      </c>
      <c r="H486" s="1408"/>
      <c r="I486" s="1340"/>
      <c r="J486" s="198"/>
      <c r="K486" s="1307">
        <f>G486*$K$469</f>
        <v>0.873</v>
      </c>
      <c r="L486" s="1335">
        <f t="shared" si="27"/>
        <v>0</v>
      </c>
      <c r="M486" s="1302">
        <v>21.23</v>
      </c>
      <c r="N486" s="1700"/>
      <c r="O486" s="1290">
        <f>G486*M486</f>
        <v>12.35586</v>
      </c>
      <c r="P486" s="1332">
        <f>M486*K486</f>
        <v>18.53379</v>
      </c>
      <c r="Q486" s="3391"/>
      <c r="R486" s="2338"/>
    </row>
    <row r="487" spans="1:19">
      <c r="A487" s="553"/>
      <c r="B487" s="1042"/>
      <c r="C487" s="88"/>
      <c r="D487" s="1363"/>
      <c r="E487" s="2125"/>
      <c r="F487" s="1363"/>
      <c r="G487" s="1408"/>
      <c r="H487" s="1408"/>
      <c r="I487" s="1340"/>
      <c r="J487" s="198"/>
      <c r="K487" s="1307"/>
      <c r="L487" s="1335"/>
      <c r="M487" s="1302"/>
      <c r="N487" s="1700"/>
      <c r="O487" s="1290"/>
      <c r="P487" s="1332"/>
      <c r="Q487" s="3391"/>
      <c r="R487" s="2338"/>
    </row>
    <row r="488" spans="1:19">
      <c r="A488" s="553"/>
      <c r="B488" s="1042"/>
      <c r="C488" s="88"/>
      <c r="D488" s="1373"/>
      <c r="E488" s="2123"/>
      <c r="F488" s="1475" t="s">
        <v>3</v>
      </c>
      <c r="G488" s="1377"/>
      <c r="H488" s="1376"/>
      <c r="I488" s="1383" t="str">
        <f>IF(COUNT(H489:O489)=0,"",(SUM(H489:O489)/COUNT(H489:O489)))</f>
        <v/>
      </c>
      <c r="J488" s="1383"/>
      <c r="K488" s="1383"/>
      <c r="L488" s="1413"/>
      <c r="M488" s="1376"/>
      <c r="N488" s="1376"/>
      <c r="O488" s="1376"/>
      <c r="P488" s="1373"/>
      <c r="Q488" s="3387"/>
      <c r="R488" s="2343"/>
    </row>
    <row r="489" spans="1:19">
      <c r="A489" s="553"/>
      <c r="B489" s="1042"/>
      <c r="C489" s="88"/>
      <c r="D489" s="1440"/>
      <c r="E489" s="2132"/>
      <c r="F489" s="1441"/>
      <c r="G489" s="1441"/>
      <c r="H489" s="1442"/>
      <c r="I489" s="197" t="str">
        <f>IF(COUNT(#REF!)=0,"",(SUM(#REF!)/COUNT(#REF!)))</f>
        <v/>
      </c>
      <c r="J489" s="198"/>
      <c r="K489" s="1307"/>
      <c r="L489" s="1335"/>
      <c r="M489" s="1499"/>
      <c r="N489" s="1701"/>
      <c r="O489" s="1290"/>
      <c r="P489" s="1332"/>
      <c r="Q489" s="3391"/>
      <c r="R489" s="2338"/>
    </row>
    <row r="490" spans="1:19">
      <c r="A490" s="553"/>
      <c r="B490" s="1042"/>
      <c r="C490" s="88"/>
      <c r="D490" s="1440"/>
      <c r="E490" s="2132"/>
      <c r="F490" s="1441"/>
      <c r="G490" s="1441"/>
      <c r="H490" s="1442"/>
      <c r="I490" s="197" t="str">
        <f>IF(COUNT(H491:O491)=0,"",(SUM(H491:O491)/COUNT(H491:O491)))</f>
        <v/>
      </c>
      <c r="J490" s="198"/>
      <c r="K490" s="1307"/>
      <c r="L490" s="1335"/>
      <c r="M490" s="1499"/>
      <c r="N490" s="1701"/>
      <c r="O490" s="1290"/>
      <c r="P490" s="1332"/>
      <c r="Q490" s="3391"/>
    </row>
    <row r="491" spans="1:19">
      <c r="A491" s="554"/>
      <c r="B491" s="223"/>
      <c r="C491" s="581"/>
      <c r="D491" s="1440"/>
      <c r="E491" s="2132"/>
      <c r="F491" s="1441"/>
      <c r="G491" s="1441"/>
      <c r="H491" s="1442"/>
      <c r="I491" s="197"/>
      <c r="J491" s="198"/>
      <c r="K491" s="1307"/>
      <c r="L491" s="1335"/>
      <c r="M491" s="1499"/>
      <c r="N491" s="1701"/>
      <c r="O491" s="1290"/>
      <c r="P491" s="1332"/>
      <c r="Q491" s="3391"/>
      <c r="R491" s="2338"/>
    </row>
    <row r="492" spans="1:19">
      <c r="F492" s="628"/>
      <c r="G492" s="628"/>
      <c r="H492" s="629"/>
      <c r="I492" s="630"/>
      <c r="J492" s="629"/>
      <c r="K492" s="630"/>
      <c r="L492" s="630"/>
      <c r="M492" s="630"/>
      <c r="N492" s="630"/>
      <c r="O492" s="19"/>
      <c r="P492" s="19"/>
      <c r="Q492" s="3387"/>
      <c r="R492" s="2338"/>
    </row>
    <row r="493" spans="1:19">
      <c r="F493" s="628"/>
      <c r="G493" s="628"/>
      <c r="H493" s="629"/>
      <c r="I493" s="630"/>
      <c r="J493" s="629"/>
      <c r="K493" s="630"/>
      <c r="L493" s="630"/>
      <c r="M493" s="630"/>
      <c r="N493" s="630"/>
      <c r="O493" s="19"/>
      <c r="P493" s="19"/>
      <c r="Q493" s="3387"/>
      <c r="R493" s="2338"/>
    </row>
    <row r="494" spans="1:19" ht="19.5" customHeight="1">
      <c r="A494" s="4391" t="s">
        <v>179</v>
      </c>
      <c r="B494" s="4392"/>
      <c r="C494" s="4392"/>
      <c r="D494" s="4392"/>
      <c r="E494" s="1303" t="s">
        <v>1527</v>
      </c>
      <c r="F494" s="1305" t="s">
        <v>1481</v>
      </c>
      <c r="G494" s="1315"/>
      <c r="H494" s="1288"/>
      <c r="I494" s="1557"/>
      <c r="J494" s="1288"/>
      <c r="K494" s="1288"/>
      <c r="L494" s="1557"/>
      <c r="M494" s="1288"/>
      <c r="N494" s="1288"/>
      <c r="O494" s="1288"/>
      <c r="P494" s="1283"/>
      <c r="Q494" s="3386"/>
      <c r="R494" s="1296"/>
      <c r="S494" s="1296"/>
    </row>
    <row r="495" spans="1:19" ht="31">
      <c r="F495" s="628"/>
      <c r="G495" s="628"/>
      <c r="H495" s="629"/>
      <c r="I495" s="630"/>
      <c r="J495" s="629"/>
      <c r="K495" s="630"/>
      <c r="L495" s="2401" t="s">
        <v>2856</v>
      </c>
      <c r="M495" s="630"/>
      <c r="N495" s="630"/>
      <c r="O495" s="19"/>
      <c r="P495" s="19"/>
      <c r="Q495" s="3387"/>
      <c r="R495" s="2338"/>
    </row>
    <row r="496" spans="1:19">
      <c r="A496" s="4393" t="s">
        <v>162</v>
      </c>
      <c r="B496" s="4394"/>
      <c r="C496" s="4394"/>
      <c r="D496" s="4395"/>
      <c r="E496" s="4396" t="s">
        <v>1549</v>
      </c>
      <c r="F496" s="4397" t="s">
        <v>1550</v>
      </c>
      <c r="G496" s="4399" t="s">
        <v>1566</v>
      </c>
      <c r="H496" s="4400"/>
      <c r="I496" s="4400"/>
      <c r="J496" s="4400"/>
      <c r="K496" s="4400"/>
      <c r="L496" s="4401"/>
      <c r="M496" s="4405" t="s">
        <v>1567</v>
      </c>
      <c r="N496" s="4405"/>
      <c r="O496" s="4405"/>
      <c r="P496" s="4405"/>
      <c r="Q496" s="3395"/>
      <c r="R496" s="2338"/>
    </row>
    <row r="497" spans="1:18" ht="15" thickBot="1">
      <c r="A497" s="1324" t="s">
        <v>3766</v>
      </c>
      <c r="B497" s="1325" t="s">
        <v>1513</v>
      </c>
      <c r="C497" s="1326" t="s">
        <v>1573</v>
      </c>
      <c r="D497" s="1323" t="s">
        <v>1514</v>
      </c>
      <c r="E497" s="4396"/>
      <c r="F497" s="4398"/>
      <c r="G497" s="4402"/>
      <c r="H497" s="4403"/>
      <c r="I497" s="4403"/>
      <c r="J497" s="4403"/>
      <c r="K497" s="4403"/>
      <c r="L497" s="4404"/>
      <c r="M497" s="4405"/>
      <c r="N497" s="4405"/>
      <c r="O497" s="4405"/>
      <c r="P497" s="4405"/>
      <c r="Q497" s="3395"/>
      <c r="R497" s="2338"/>
    </row>
    <row r="498" spans="1:18">
      <c r="A498" s="4374" t="s">
        <v>2810</v>
      </c>
      <c r="B498" s="4375"/>
      <c r="C498" s="4375"/>
      <c r="D498" s="4376"/>
      <c r="E498" s="4380" t="s">
        <v>1504</v>
      </c>
      <c r="F498" s="4382" t="s">
        <v>1635</v>
      </c>
      <c r="G498" s="4406" t="s">
        <v>294</v>
      </c>
      <c r="H498" s="4407"/>
      <c r="I498" s="1665" t="s">
        <v>1565</v>
      </c>
      <c r="J498" s="3348" t="s">
        <v>1575</v>
      </c>
      <c r="K498" s="4406" t="s">
        <v>289</v>
      </c>
      <c r="L498" s="4407"/>
      <c r="M498" s="4408" t="s">
        <v>3349</v>
      </c>
      <c r="N498" s="4408"/>
      <c r="O498" s="4408"/>
      <c r="P498" s="4409"/>
      <c r="Q498" s="4244" t="s">
        <v>3925</v>
      </c>
      <c r="R498" s="2338"/>
    </row>
    <row r="499" spans="1:18" ht="16" thickBot="1">
      <c r="A499" s="4377"/>
      <c r="B499" s="4378"/>
      <c r="C499" s="4378"/>
      <c r="D499" s="4379"/>
      <c r="E499" s="4381"/>
      <c r="F499" s="4383"/>
      <c r="G499" s="4410">
        <f>IF('Seleccion proyecto HEREVEA02'!G17="Sustitución y reposición en polietileno",'Seleccion proyecto HEREVEA02'!E17,0)</f>
        <v>0</v>
      </c>
      <c r="H499" s="4411"/>
      <c r="I499" s="3353">
        <f>IF('Seleccion proyecto HEREVEA02'!H17=0,0,IF('Seleccion proyecto HEREVEA02'!H17="1 a 30",0.3, IF('Seleccion proyecto HEREVEA02'!H17="31 a 60", 0.6, IF('Seleccion proyecto HEREVEA02'!H17="61 a 100", 1))))</f>
        <v>0</v>
      </c>
      <c r="J499" s="1351">
        <f>'Seleccion proyecto HEREVEA02'!L8</f>
        <v>11100.968999999999</v>
      </c>
      <c r="K499" s="4412">
        <f>G499*I499*J499</f>
        <v>0</v>
      </c>
      <c r="L499" s="4413"/>
      <c r="M499" s="4360">
        <f>P501+P516+P532+P551+P571</f>
        <v>214.69496265000001</v>
      </c>
      <c r="N499" s="4361"/>
      <c r="O499" s="4361"/>
      <c r="P499" s="4362"/>
      <c r="Q499" s="4245">
        <f>M499*K499</f>
        <v>0</v>
      </c>
      <c r="R499" s="2338"/>
    </row>
    <row r="500" spans="1:18" ht="15" customHeight="1">
      <c r="A500" s="88" t="s">
        <v>3764</v>
      </c>
      <c r="B500" s="4367" t="s">
        <v>1496</v>
      </c>
      <c r="C500" s="3350"/>
      <c r="D500" s="4327"/>
      <c r="E500" s="4329" t="s">
        <v>1507</v>
      </c>
      <c r="F500" s="4338" t="s">
        <v>1554</v>
      </c>
      <c r="G500" s="4331" t="s">
        <v>1568</v>
      </c>
      <c r="H500" s="4331" t="s">
        <v>1574</v>
      </c>
      <c r="I500" s="1572" t="s">
        <v>1559</v>
      </c>
      <c r="J500" s="1294" t="s">
        <v>1560</v>
      </c>
      <c r="K500" s="1294" t="s">
        <v>1561</v>
      </c>
      <c r="L500" s="4333" t="s">
        <v>3765</v>
      </c>
      <c r="M500" s="4335" t="s">
        <v>1571</v>
      </c>
      <c r="N500" s="4323" t="s">
        <v>1776</v>
      </c>
      <c r="O500" s="3347" t="s">
        <v>1563</v>
      </c>
      <c r="P500" s="1336" t="s">
        <v>1562</v>
      </c>
      <c r="Q500" s="3389"/>
      <c r="R500" s="1699" t="s">
        <v>1327</v>
      </c>
    </row>
    <row r="501" spans="1:18">
      <c r="A501" s="1320" t="s">
        <v>2810</v>
      </c>
      <c r="B501" s="4369"/>
      <c r="C501" s="3351"/>
      <c r="D501" s="4328"/>
      <c r="E501" s="4330"/>
      <c r="F501" s="4338"/>
      <c r="G501" s="4332"/>
      <c r="H501" s="4332"/>
      <c r="I501" s="1345">
        <v>1.5</v>
      </c>
      <c r="J501" s="1307">
        <v>1.7000000000000001E-2</v>
      </c>
      <c r="K501" s="1297">
        <f>I501*J501</f>
        <v>2.5500000000000002E-2</v>
      </c>
      <c r="L501" s="4334"/>
      <c r="M501" s="4335"/>
      <c r="N501" s="4324"/>
      <c r="O501" s="1298">
        <f>O507+O511+O512+O513</f>
        <v>187.89</v>
      </c>
      <c r="P501" s="1337">
        <f>O501*K501</f>
        <v>4.7911950000000001</v>
      </c>
      <c r="Q501" s="3390"/>
      <c r="R501" s="1721">
        <f>SUM(P503:P513)</f>
        <v>4.7912569650000005</v>
      </c>
    </row>
    <row r="502" spans="1:18">
      <c r="A502" s="1042"/>
      <c r="B502" s="552"/>
      <c r="C502" s="18"/>
      <c r="D502" s="1463"/>
      <c r="E502" s="2121"/>
      <c r="F502" s="1368" t="s">
        <v>1</v>
      </c>
      <c r="G502" s="1426"/>
      <c r="H502" s="1426"/>
      <c r="I502" s="1391"/>
      <c r="J502" s="1369"/>
      <c r="K502" s="1369"/>
      <c r="L502" s="1554"/>
      <c r="M502" s="1369"/>
      <c r="N502" s="1369"/>
      <c r="O502" s="1369"/>
      <c r="P502" s="1367"/>
      <c r="Q502" s="3387"/>
      <c r="R502" s="2338"/>
    </row>
    <row r="503" spans="1:18">
      <c r="A503" s="1042"/>
      <c r="B503" s="88"/>
      <c r="C503" s="1042"/>
      <c r="D503" s="1370"/>
      <c r="E503" s="2152"/>
      <c r="F503" s="1471"/>
      <c r="G503" s="1372"/>
      <c r="H503" s="1372"/>
      <c r="I503" s="1286" t="str">
        <f>IF(COUNT(G504:O504)=0,"",(SUM(G504:O504)/COUNT(G504:O504)))</f>
        <v/>
      </c>
      <c r="J503" s="1287"/>
      <c r="K503" s="1307" t="str">
        <f t="shared" ref="K503:K505" si="28">IF(COUNT(I503)=0,"",(I503*J503))</f>
        <v/>
      </c>
      <c r="L503" s="1335" t="str">
        <f>IF(COUNT(K503)=0,"",IF(#REF!="","",(K503*#REF!)))</f>
        <v/>
      </c>
      <c r="M503" s="1499"/>
      <c r="N503" s="1499"/>
      <c r="O503" s="1291"/>
      <c r="P503" s="1332"/>
      <c r="Q503" s="3391"/>
      <c r="R503" s="2338"/>
    </row>
    <row r="504" spans="1:18">
      <c r="A504" s="1042"/>
      <c r="B504" s="88"/>
      <c r="C504" s="1042"/>
      <c r="D504" s="1370"/>
      <c r="E504" s="2152"/>
      <c r="F504" s="1471"/>
      <c r="G504" s="1372"/>
      <c r="H504" s="1372"/>
      <c r="I504" s="1286" t="str">
        <f>IF(COUNT(#REF!)=0,"",(SUM(#REF!)/COUNT(#REF!)))</f>
        <v/>
      </c>
      <c r="J504" s="1287"/>
      <c r="K504" s="1307" t="str">
        <f t="shared" si="28"/>
        <v/>
      </c>
      <c r="L504" s="1335" t="str">
        <f>IF(COUNT(K504)=0,"",IF(#REF!="","",(K504*#REF!)))</f>
        <v/>
      </c>
      <c r="M504" s="1499"/>
      <c r="N504" s="1499"/>
      <c r="O504" s="1291"/>
      <c r="P504" s="1332"/>
      <c r="Q504" s="3391"/>
      <c r="R504" s="2338"/>
    </row>
    <row r="505" spans="1:18">
      <c r="A505" s="1042"/>
      <c r="B505" s="88"/>
      <c r="C505" s="1042"/>
      <c r="D505" s="1370"/>
      <c r="E505" s="2152"/>
      <c r="F505" s="1471"/>
      <c r="G505" s="1372"/>
      <c r="H505" s="1372"/>
      <c r="I505" s="1286" t="str">
        <f>IF(COUNT(G506:O506)=0,"",(SUM(G506:O506)/COUNT(G506:O506)))</f>
        <v/>
      </c>
      <c r="J505" s="1287"/>
      <c r="K505" s="1307" t="str">
        <f t="shared" si="28"/>
        <v/>
      </c>
      <c r="L505" s="1335" t="str">
        <f>IF(COUNT(K505)=0,"",IF(#REF!="","",(K505*#REF!)))</f>
        <v/>
      </c>
      <c r="M505" s="1499"/>
      <c r="N505" s="1499"/>
      <c r="O505" s="1291"/>
      <c r="P505" s="1332"/>
      <c r="Q505" s="3391"/>
      <c r="R505" s="2338"/>
    </row>
    <row r="506" spans="1:18">
      <c r="A506" s="1042"/>
      <c r="B506" s="88"/>
      <c r="C506" s="1042"/>
      <c r="D506" s="1404"/>
      <c r="E506" s="1858"/>
      <c r="F506" s="1465" t="s">
        <v>2</v>
      </c>
      <c r="G506" s="1362"/>
      <c r="H506" s="1362"/>
      <c r="I506" s="1380"/>
      <c r="J506" s="1381"/>
      <c r="K506" s="1381"/>
      <c r="L506" s="1458"/>
      <c r="M506" s="1362"/>
      <c r="N506" s="1705"/>
      <c r="O506" s="1469"/>
      <c r="P506" s="1470"/>
      <c r="Q506" s="3398"/>
      <c r="R506" s="2338"/>
    </row>
    <row r="507" spans="1:18">
      <c r="A507" s="1042"/>
      <c r="B507" s="88"/>
      <c r="C507" s="1042"/>
      <c r="D507" s="1363" t="s">
        <v>1067</v>
      </c>
      <c r="E507" s="2125" t="s">
        <v>1508</v>
      </c>
      <c r="F507" s="1385" t="s">
        <v>1512</v>
      </c>
      <c r="G507" s="1386">
        <f>1.629+2.1</f>
        <v>3.7290000000000001</v>
      </c>
      <c r="H507" s="1386"/>
      <c r="I507" s="1289"/>
      <c r="J507" s="1341"/>
      <c r="K507" s="1307">
        <f>G507*$K$501</f>
        <v>9.5089500000000007E-2</v>
      </c>
      <c r="L507" s="1335">
        <f>K507*$K$499</f>
        <v>0</v>
      </c>
      <c r="M507" s="1499">
        <v>18.28</v>
      </c>
      <c r="N507" s="1499"/>
      <c r="O507" s="1291">
        <f>ROUND(G507*M507,2)</f>
        <v>68.17</v>
      </c>
      <c r="P507" s="1332">
        <f>M507*K507</f>
        <v>1.7382360600000002</v>
      </c>
      <c r="Q507" s="3391"/>
      <c r="R507" s="2338"/>
    </row>
    <row r="508" spans="1:18">
      <c r="A508" s="1042"/>
      <c r="B508" s="88"/>
      <c r="C508" s="1042"/>
      <c r="D508" s="1363"/>
      <c r="E508" s="2125"/>
      <c r="F508" s="1385"/>
      <c r="G508" s="1386"/>
      <c r="H508" s="1386"/>
      <c r="I508" s="1289"/>
      <c r="J508" s="1341"/>
      <c r="K508" s="1307"/>
      <c r="L508" s="1335"/>
      <c r="M508" s="1499"/>
      <c r="N508" s="1499"/>
      <c r="O508" s="1291"/>
      <c r="P508" s="1332"/>
      <c r="Q508" s="3391"/>
      <c r="R508" s="2338"/>
    </row>
    <row r="509" spans="1:18">
      <c r="A509" s="1042"/>
      <c r="B509" s="88"/>
      <c r="C509" s="1042"/>
      <c r="D509" s="1363"/>
      <c r="E509" s="2125"/>
      <c r="F509" s="1385"/>
      <c r="G509" s="1386"/>
      <c r="H509" s="1386"/>
      <c r="I509" s="1289"/>
      <c r="J509" s="1341"/>
      <c r="K509" s="1307"/>
      <c r="L509" s="1335"/>
      <c r="M509" s="1499"/>
      <c r="N509" s="1499"/>
      <c r="O509" s="1291"/>
      <c r="P509" s="1332"/>
      <c r="Q509" s="3391"/>
      <c r="R509" s="2338"/>
    </row>
    <row r="510" spans="1:18">
      <c r="A510" s="1042"/>
      <c r="B510" s="88"/>
      <c r="C510" s="1042"/>
      <c r="D510" s="1411"/>
      <c r="E510" s="2123"/>
      <c r="F510" s="1475" t="s">
        <v>3</v>
      </c>
      <c r="G510" s="1376"/>
      <c r="H510" s="1376"/>
      <c r="I510" s="1382"/>
      <c r="J510" s="1383"/>
      <c r="K510" s="1373"/>
      <c r="L510" s="1413"/>
      <c r="M510" s="1508"/>
      <c r="N510" s="1706"/>
      <c r="O510" s="1486"/>
      <c r="P510" s="1373"/>
      <c r="Q510" s="3387"/>
      <c r="R510" s="2338"/>
    </row>
    <row r="511" spans="1:18">
      <c r="A511" s="1042"/>
      <c r="B511" s="88"/>
      <c r="C511" s="1042"/>
      <c r="D511" s="1378" t="s">
        <v>1073</v>
      </c>
      <c r="E511" s="2139" t="s">
        <v>1508</v>
      </c>
      <c r="F511" s="1476" t="s">
        <v>1509</v>
      </c>
      <c r="G511" s="1379">
        <v>5.8000000000000003E-2</v>
      </c>
      <c r="H511" s="1379"/>
      <c r="I511" s="1289"/>
      <c r="J511" s="1341"/>
      <c r="K511" s="1307">
        <f>G511*$K$501</f>
        <v>1.4790000000000003E-3</v>
      </c>
      <c r="L511" s="1335">
        <f>K511*$K$499</f>
        <v>0</v>
      </c>
      <c r="M511" s="1499">
        <v>23.87</v>
      </c>
      <c r="N511" s="1499"/>
      <c r="O511" s="1291">
        <f>ROUND(G511*M511,2)</f>
        <v>1.38</v>
      </c>
      <c r="P511" s="1332">
        <f>M511*K511</f>
        <v>3.5303730000000005E-2</v>
      </c>
      <c r="Q511" s="3391"/>
      <c r="R511" s="2338"/>
    </row>
    <row r="512" spans="1:18">
      <c r="A512" s="1042"/>
      <c r="B512" s="88"/>
      <c r="C512" s="1042"/>
      <c r="D512" s="1478" t="s">
        <v>1066</v>
      </c>
      <c r="E512" s="2140" t="s">
        <v>1508</v>
      </c>
      <c r="F512" s="1479" t="s">
        <v>1510</v>
      </c>
      <c r="G512" s="1481">
        <v>1.0999999999999999E-2</v>
      </c>
      <c r="H512" s="1481"/>
      <c r="I512" s="1347"/>
      <c r="J512" s="1348"/>
      <c r="K512" s="1307">
        <f>G512*$K$501</f>
        <v>2.8049999999999999E-4</v>
      </c>
      <c r="L512" s="1335">
        <f>K512*$K$499</f>
        <v>0</v>
      </c>
      <c r="M512" s="1509">
        <v>6.35</v>
      </c>
      <c r="N512" s="1509"/>
      <c r="O512" s="1339">
        <f>ROUND(G512*M512,2)</f>
        <v>7.0000000000000007E-2</v>
      </c>
      <c r="P512" s="1332">
        <f>M512*K512</f>
        <v>1.7811749999999999E-3</v>
      </c>
      <c r="Q512" s="3391"/>
      <c r="R512" s="2338"/>
    </row>
    <row r="513" spans="1:18">
      <c r="A513" s="1042"/>
      <c r="B513" s="88"/>
      <c r="C513" s="1042"/>
      <c r="D513" s="1482" t="s">
        <v>1080</v>
      </c>
      <c r="E513" s="2141" t="s">
        <v>1508</v>
      </c>
      <c r="F513" s="1483" t="s">
        <v>1511</v>
      </c>
      <c r="G513" s="1484">
        <v>1.6</v>
      </c>
      <c r="H513" s="1484"/>
      <c r="I513" s="1349"/>
      <c r="J513" s="1341"/>
      <c r="K513" s="1307">
        <f>G513*$K$501</f>
        <v>4.0800000000000003E-2</v>
      </c>
      <c r="L513" s="1335">
        <f>K513*$K$499</f>
        <v>0</v>
      </c>
      <c r="M513" s="1499">
        <v>73.92</v>
      </c>
      <c r="N513" s="1499"/>
      <c r="O513" s="1291">
        <f>ROUND(G513*M513,2)</f>
        <v>118.27</v>
      </c>
      <c r="P513" s="1332">
        <f>M513*K513</f>
        <v>3.0159360000000004</v>
      </c>
      <c r="Q513" s="3391"/>
      <c r="R513" s="2338"/>
    </row>
    <row r="514" spans="1:18">
      <c r="A514" s="1042"/>
      <c r="B514" s="88"/>
      <c r="C514" s="1042"/>
      <c r="D514" s="1482"/>
      <c r="E514" s="2141"/>
      <c r="F514" s="1483"/>
      <c r="G514" s="1484"/>
      <c r="H514" s="1484"/>
      <c r="I514" s="1349"/>
      <c r="J514" s="1341"/>
      <c r="K514" s="1307"/>
      <c r="L514" s="1335"/>
      <c r="M514" s="1499"/>
      <c r="N514" s="1499"/>
      <c r="O514" s="1291"/>
      <c r="P514" s="1332"/>
      <c r="Q514" s="3391"/>
      <c r="R514" s="2338"/>
    </row>
    <row r="515" spans="1:18" ht="15" customHeight="1">
      <c r="A515" s="88" t="s">
        <v>3764</v>
      </c>
      <c r="B515" s="4367" t="s">
        <v>1636</v>
      </c>
      <c r="C515" s="3350"/>
      <c r="D515" s="4327"/>
      <c r="E515" s="4329" t="s">
        <v>1527</v>
      </c>
      <c r="F515" s="4338" t="s">
        <v>1637</v>
      </c>
      <c r="G515" s="4331" t="s">
        <v>1568</v>
      </c>
      <c r="H515" s="4331" t="s">
        <v>1574</v>
      </c>
      <c r="I515" s="1572" t="s">
        <v>1559</v>
      </c>
      <c r="J515" s="1294" t="s">
        <v>1560</v>
      </c>
      <c r="K515" s="1294" t="s">
        <v>1561</v>
      </c>
      <c r="L515" s="4333" t="s">
        <v>3765</v>
      </c>
      <c r="M515" s="4335" t="s">
        <v>1571</v>
      </c>
      <c r="N515" s="4323" t="s">
        <v>1776</v>
      </c>
      <c r="O515" s="3347" t="s">
        <v>1563</v>
      </c>
      <c r="P515" s="1336" t="s">
        <v>1562</v>
      </c>
      <c r="Q515" s="3389"/>
      <c r="R515" s="1699" t="s">
        <v>1327</v>
      </c>
    </row>
    <row r="516" spans="1:18">
      <c r="A516" s="1320" t="s">
        <v>2810</v>
      </c>
      <c r="B516" s="4369"/>
      <c r="C516" s="3351"/>
      <c r="D516" s="4328"/>
      <c r="E516" s="4330"/>
      <c r="F516" s="4338"/>
      <c r="G516" s="4332"/>
      <c r="H516" s="4332"/>
      <c r="I516" s="1345">
        <v>60</v>
      </c>
      <c r="J516" s="1307">
        <v>1.7000000000000001E-2</v>
      </c>
      <c r="K516" s="1297">
        <f>I516*J516</f>
        <v>1.02</v>
      </c>
      <c r="L516" s="4334"/>
      <c r="M516" s="4335"/>
      <c r="N516" s="4324"/>
      <c r="O516" s="1298">
        <f>SUM(O518:O530)</f>
        <v>175.44077000000001</v>
      </c>
      <c r="P516" s="1337">
        <f>O516*K516</f>
        <v>178.94958540000002</v>
      </c>
      <c r="Q516" s="3390"/>
      <c r="R516" s="1721">
        <f>SUM(P518:P530)</f>
        <v>178.94591340000002</v>
      </c>
    </row>
    <row r="517" spans="1:18">
      <c r="A517" s="1042"/>
      <c r="B517" s="1511"/>
      <c r="C517" s="18"/>
      <c r="D517" s="1463"/>
      <c r="E517" s="2121"/>
      <c r="F517" s="1368" t="s">
        <v>1</v>
      </c>
      <c r="G517" s="1426"/>
      <c r="H517" s="1426"/>
      <c r="I517" s="1391"/>
      <c r="J517" s="1369"/>
      <c r="K517" s="1369"/>
      <c r="L517" s="1554"/>
      <c r="M517" s="1369"/>
      <c r="N517" s="1369"/>
      <c r="O517" s="1369"/>
      <c r="P517" s="1367"/>
      <c r="Q517" s="3387"/>
      <c r="R517" s="2338"/>
    </row>
    <row r="518" spans="1:18">
      <c r="A518" s="1042"/>
      <c r="B518" s="595"/>
      <c r="C518" s="1042"/>
      <c r="D518" s="1371" t="s">
        <v>1097</v>
      </c>
      <c r="E518" s="2144" t="s">
        <v>1504</v>
      </c>
      <c r="F518" s="1471" t="s">
        <v>1632</v>
      </c>
      <c r="G518" s="1372">
        <v>3</v>
      </c>
      <c r="H518" s="1372"/>
      <c r="I518" s="1346" t="str">
        <f>IF(COUNT(#REF!)=0,"",(SUM(#REF!)/COUNT(#REF!)))</f>
        <v/>
      </c>
      <c r="J518" s="1341"/>
      <c r="K518" s="1307">
        <f>G518*$K$516</f>
        <v>3.06</v>
      </c>
      <c r="L518" s="1335">
        <f>K518*$K$499</f>
        <v>0</v>
      </c>
      <c r="M518" s="1302">
        <v>0.55000000000000004</v>
      </c>
      <c r="N518" s="1302"/>
      <c r="O518" s="1291">
        <f>G518*M518</f>
        <v>1.6500000000000001</v>
      </c>
      <c r="P518" s="1332">
        <f>M518*K518</f>
        <v>1.6830000000000003</v>
      </c>
      <c r="Q518" s="3391"/>
      <c r="R518" s="2338"/>
    </row>
    <row r="519" spans="1:18">
      <c r="A519" s="1042"/>
      <c r="B519" s="595"/>
      <c r="C519" s="1042"/>
      <c r="D519" s="1370"/>
      <c r="E519" s="2152"/>
      <c r="F519" s="1471"/>
      <c r="G519" s="1494"/>
      <c r="H519" s="1372"/>
      <c r="I519" s="1286" t="str">
        <f t="shared" ref="I519:I520" si="29">IF(COUNT(H520:O520)=0,"",(SUM(H520:O520)/COUNT(H520:O520)))</f>
        <v/>
      </c>
      <c r="J519" s="1287"/>
      <c r="K519" s="1307" t="str">
        <f t="shared" ref="K519:K520" si="30">IF(COUNT(I519)=0,"",(I519*J519))</f>
        <v/>
      </c>
      <c r="L519" s="1335"/>
      <c r="M519" s="1499"/>
      <c r="N519" s="1499"/>
      <c r="O519" s="1291"/>
      <c r="P519" s="1332"/>
      <c r="Q519" s="3391"/>
      <c r="R519" s="2338"/>
    </row>
    <row r="520" spans="1:18">
      <c r="A520" s="1042"/>
      <c r="B520" s="595"/>
      <c r="C520" s="1042"/>
      <c r="D520" s="1370"/>
      <c r="E520" s="2152"/>
      <c r="F520" s="1471"/>
      <c r="G520" s="1494"/>
      <c r="H520" s="1372"/>
      <c r="I520" s="1286" t="str">
        <f t="shared" si="29"/>
        <v/>
      </c>
      <c r="J520" s="1287"/>
      <c r="K520" s="1307" t="str">
        <f t="shared" si="30"/>
        <v/>
      </c>
      <c r="L520" s="1335"/>
      <c r="M520" s="1499"/>
      <c r="N520" s="1499"/>
      <c r="O520" s="1291"/>
      <c r="P520" s="1332"/>
      <c r="Q520" s="3391"/>
      <c r="R520" s="2338"/>
    </row>
    <row r="521" spans="1:18">
      <c r="A521" s="1042"/>
      <c r="B521" s="595"/>
      <c r="C521" s="1042"/>
      <c r="D521" s="1404"/>
      <c r="E521" s="1858"/>
      <c r="F521" s="1465" t="s">
        <v>2</v>
      </c>
      <c r="G521" s="1466"/>
      <c r="H521" s="1362"/>
      <c r="I521" s="1380"/>
      <c r="J521" s="1381"/>
      <c r="K521" s="1381"/>
      <c r="L521" s="1458"/>
      <c r="M521" s="1362"/>
      <c r="N521" s="1705"/>
      <c r="O521" s="1469"/>
      <c r="P521" s="1470"/>
      <c r="Q521" s="3398"/>
      <c r="R521" s="2338"/>
    </row>
    <row r="522" spans="1:18">
      <c r="A522" s="1042"/>
      <c r="B522" s="595"/>
      <c r="C522" s="1358" t="s">
        <v>1638</v>
      </c>
      <c r="D522" s="1329"/>
      <c r="E522" s="2135" t="s">
        <v>1508</v>
      </c>
      <c r="F522" s="1312" t="s">
        <v>1639</v>
      </c>
      <c r="G522" s="1584"/>
      <c r="H522" s="1584">
        <v>1</v>
      </c>
      <c r="I522" s="1444"/>
      <c r="J522" s="1388"/>
      <c r="K522" s="1510"/>
      <c r="L522" s="1445"/>
      <c r="M522" s="1500"/>
      <c r="N522" s="1446">
        <f>SUM(N523:N527)</f>
        <v>26.338200000000001</v>
      </c>
      <c r="O522" s="1446">
        <f>SUM(O523:O527)</f>
        <v>27.724460000000004</v>
      </c>
      <c r="P522" s="1446">
        <f>SUM(P523:P527)</f>
        <v>28.277113200000002</v>
      </c>
      <c r="Q522" s="3391"/>
      <c r="R522" s="2338"/>
    </row>
    <row r="523" spans="1:18">
      <c r="A523" s="1042"/>
      <c r="B523" s="595"/>
      <c r="C523" s="1042"/>
      <c r="D523" s="1402" t="s">
        <v>1067</v>
      </c>
      <c r="E523" s="1857" t="s">
        <v>1508</v>
      </c>
      <c r="F523" s="1430" t="s">
        <v>1512</v>
      </c>
      <c r="G523" s="1362">
        <v>1</v>
      </c>
      <c r="H523" s="1362">
        <f>$H$522*G523</f>
        <v>1</v>
      </c>
      <c r="I523" s="197"/>
      <c r="J523" s="198"/>
      <c r="K523" s="1307">
        <f>H523*$K$516</f>
        <v>1.02</v>
      </c>
      <c r="L523" s="1335">
        <f t="shared" ref="L523:L524" si="31">K523*$K$499</f>
        <v>0</v>
      </c>
      <c r="M523" s="1499">
        <v>18.28</v>
      </c>
      <c r="N523" s="1724">
        <f>G523*M523</f>
        <v>18.28</v>
      </c>
      <c r="O523" s="1725">
        <f>ROUND(H523*M523,2)</f>
        <v>18.28</v>
      </c>
      <c r="P523" s="1720">
        <f>M523*K523</f>
        <v>18.645600000000002</v>
      </c>
      <c r="Q523" s="3396"/>
      <c r="R523" s="2338"/>
    </row>
    <row r="524" spans="1:18" s="22" customFormat="1">
      <c r="A524" s="1320"/>
      <c r="B524" s="595"/>
      <c r="C524" s="1042"/>
      <c r="D524" s="1402" t="s">
        <v>1088</v>
      </c>
      <c r="E524" s="1857" t="s">
        <v>1508</v>
      </c>
      <c r="F524" s="1430" t="s">
        <v>1611</v>
      </c>
      <c r="G524" s="1362">
        <v>0.43</v>
      </c>
      <c r="H524" s="1362">
        <f>$H$522*G524</f>
        <v>0.43</v>
      </c>
      <c r="I524" s="197"/>
      <c r="J524" s="198"/>
      <c r="K524" s="1307">
        <f>H524*$K$516</f>
        <v>0.43859999999999999</v>
      </c>
      <c r="L524" s="1335">
        <f t="shared" si="31"/>
        <v>0</v>
      </c>
      <c r="M524" s="1499">
        <v>18.739999999999998</v>
      </c>
      <c r="N524" s="1724">
        <f>G524*M524</f>
        <v>8.0581999999999994</v>
      </c>
      <c r="O524" s="1725">
        <f>ROUND(H524*M524,2)</f>
        <v>8.06</v>
      </c>
      <c r="P524" s="1720">
        <f>M524*K524</f>
        <v>8.2193639999999988</v>
      </c>
      <c r="Q524" s="3396"/>
      <c r="R524" s="3363"/>
    </row>
    <row r="525" spans="1:18" s="22" customFormat="1">
      <c r="A525" s="1320"/>
      <c r="B525" s="595"/>
      <c r="C525" s="1042"/>
      <c r="D525" s="1402"/>
      <c r="E525" s="1857"/>
      <c r="F525" s="1430"/>
      <c r="G525" s="1362"/>
      <c r="H525" s="1362"/>
      <c r="I525" s="197"/>
      <c r="J525" s="198"/>
      <c r="K525" s="1307"/>
      <c r="L525" s="1335"/>
      <c r="M525" s="1972"/>
      <c r="N525" s="2225"/>
      <c r="O525" s="2226"/>
      <c r="P525" s="1720"/>
      <c r="Q525" s="3396"/>
      <c r="R525" s="3363"/>
    </row>
    <row r="526" spans="1:18" s="22" customFormat="1">
      <c r="A526" s="1320"/>
      <c r="B526" s="595"/>
      <c r="C526" s="1042"/>
      <c r="D526" s="1411"/>
      <c r="E526" s="2123"/>
      <c r="F526" s="1475" t="s">
        <v>3</v>
      </c>
      <c r="G526" s="1373"/>
      <c r="H526" s="1376"/>
      <c r="I526" s="1382"/>
      <c r="J526" s="1383"/>
      <c r="K526" s="1373"/>
      <c r="L526" s="1413"/>
      <c r="M526" s="1508"/>
      <c r="N526" s="1706"/>
      <c r="O526" s="1486"/>
      <c r="P526" s="1373"/>
      <c r="Q526" s="3387"/>
      <c r="R526" s="3363"/>
    </row>
    <row r="527" spans="1:18" s="22" customFormat="1">
      <c r="A527" s="1320"/>
      <c r="B527" s="595"/>
      <c r="C527" s="1042"/>
      <c r="D527" s="1378" t="s">
        <v>1073</v>
      </c>
      <c r="E527" s="2139" t="s">
        <v>1508</v>
      </c>
      <c r="F527" s="1476" t="s">
        <v>1509</v>
      </c>
      <c r="G527" s="1379">
        <v>5.8000000000000003E-2</v>
      </c>
      <c r="H527" s="1379"/>
      <c r="I527" s="1289"/>
      <c r="J527" s="1341"/>
      <c r="K527" s="1307">
        <f>G527*$K$516</f>
        <v>5.9160000000000004E-2</v>
      </c>
      <c r="L527" s="1335">
        <f t="shared" ref="L527:L529" si="32">K527*$K$499</f>
        <v>0</v>
      </c>
      <c r="M527" s="1499">
        <v>23.87</v>
      </c>
      <c r="N527" s="1499"/>
      <c r="O527" s="1291">
        <f>G527*M527</f>
        <v>1.38446</v>
      </c>
      <c r="P527" s="1332">
        <f>M527*K527</f>
        <v>1.4121492000000002</v>
      </c>
      <c r="Q527" s="3391"/>
      <c r="R527" s="3363"/>
    </row>
    <row r="528" spans="1:18" s="22" customFormat="1">
      <c r="A528" s="1320"/>
      <c r="B528" s="595"/>
      <c r="C528" s="1042"/>
      <c r="D528" s="1478" t="s">
        <v>1066</v>
      </c>
      <c r="E528" s="2140" t="s">
        <v>1508</v>
      </c>
      <c r="F528" s="1479" t="s">
        <v>1510</v>
      </c>
      <c r="G528" s="1481">
        <v>1.0999999999999999E-2</v>
      </c>
      <c r="H528" s="1481"/>
      <c r="I528" s="1347"/>
      <c r="J528" s="1348"/>
      <c r="K528" s="1307">
        <f>G528*$K$516</f>
        <v>1.1219999999999999E-2</v>
      </c>
      <c r="L528" s="1335">
        <f t="shared" si="32"/>
        <v>0</v>
      </c>
      <c r="M528" s="1509">
        <v>6.35</v>
      </c>
      <c r="N528" s="1509"/>
      <c r="O528" s="1291">
        <f>G528*M528</f>
        <v>6.9849999999999995E-2</v>
      </c>
      <c r="P528" s="1332">
        <f>M528*K528</f>
        <v>7.1246999999999991E-2</v>
      </c>
      <c r="Q528" s="3391"/>
      <c r="R528" s="3363"/>
    </row>
    <row r="529" spans="1:18" s="22" customFormat="1">
      <c r="A529" s="1320"/>
      <c r="B529" s="595"/>
      <c r="C529" s="1042"/>
      <c r="D529" s="1482" t="s">
        <v>1080</v>
      </c>
      <c r="E529" s="2141" t="s">
        <v>1508</v>
      </c>
      <c r="F529" s="1483" t="s">
        <v>1511</v>
      </c>
      <c r="G529" s="1484">
        <v>1.6</v>
      </c>
      <c r="H529" s="1484"/>
      <c r="I529" s="1349"/>
      <c r="J529" s="1341"/>
      <c r="K529" s="1307">
        <f>G529*$K$516</f>
        <v>1.6320000000000001</v>
      </c>
      <c r="L529" s="1335">
        <f t="shared" si="32"/>
        <v>0</v>
      </c>
      <c r="M529" s="1499">
        <v>73.92</v>
      </c>
      <c r="N529" s="1499"/>
      <c r="O529" s="1291">
        <f>G529*M529</f>
        <v>118.27200000000001</v>
      </c>
      <c r="P529" s="1332">
        <f>M529*K529</f>
        <v>120.63744000000001</v>
      </c>
      <c r="Q529" s="3391"/>
      <c r="R529" s="3363"/>
    </row>
    <row r="530" spans="1:18">
      <c r="A530" s="1042"/>
      <c r="B530" s="1512"/>
      <c r="C530" s="223"/>
      <c r="D530" s="1440"/>
      <c r="E530" s="2132"/>
      <c r="F530" s="1441"/>
      <c r="G530" s="1441"/>
      <c r="H530" s="1442"/>
      <c r="I530" s="197" t="str">
        <f>IF(COUNT(G531:O531)=0,"",(SUM(G531:O531)/COUNT(G531:O531)))</f>
        <v/>
      </c>
      <c r="J530" s="198"/>
      <c r="K530" s="1307" t="str">
        <f>IF(COUNT(I530)=0,"",(I530*J530))</f>
        <v/>
      </c>
      <c r="L530" s="1335"/>
      <c r="M530" s="1499"/>
      <c r="N530" s="1701"/>
      <c r="O530" s="1290"/>
      <c r="P530" s="1332"/>
      <c r="Q530" s="3391"/>
      <c r="R530" s="2338"/>
    </row>
    <row r="531" spans="1:18" ht="15" customHeight="1">
      <c r="A531" s="88" t="s">
        <v>3764</v>
      </c>
      <c r="B531" s="4367" t="s">
        <v>1627</v>
      </c>
      <c r="C531" s="3350"/>
      <c r="D531" s="4327"/>
      <c r="E531" s="4329" t="s">
        <v>1527</v>
      </c>
      <c r="F531" s="4338" t="s">
        <v>1628</v>
      </c>
      <c r="G531" s="4331" t="s">
        <v>1568</v>
      </c>
      <c r="H531" s="4331" t="s">
        <v>1574</v>
      </c>
      <c r="I531" s="1572" t="s">
        <v>1559</v>
      </c>
      <c r="J531" s="1294" t="s">
        <v>1560</v>
      </c>
      <c r="K531" s="1294" t="s">
        <v>1561</v>
      </c>
      <c r="L531" s="4333" t="s">
        <v>3765</v>
      </c>
      <c r="M531" s="4335" t="s">
        <v>1571</v>
      </c>
      <c r="N531" s="4323" t="s">
        <v>1776</v>
      </c>
      <c r="O531" s="3347" t="s">
        <v>1563</v>
      </c>
      <c r="P531" s="1336" t="s">
        <v>1562</v>
      </c>
      <c r="Q531" s="3389"/>
      <c r="R531" s="1699" t="s">
        <v>1327</v>
      </c>
    </row>
    <row r="532" spans="1:18">
      <c r="A532" s="1320" t="s">
        <v>2810</v>
      </c>
      <c r="B532" s="4369"/>
      <c r="C532" s="3351"/>
      <c r="D532" s="4328"/>
      <c r="E532" s="4330"/>
      <c r="F532" s="4338"/>
      <c r="G532" s="4332"/>
      <c r="H532" s="4332"/>
      <c r="I532" s="1345">
        <v>60</v>
      </c>
      <c r="J532" s="1307">
        <v>1.7000000000000001E-2</v>
      </c>
      <c r="K532" s="1297">
        <f>I532*J532</f>
        <v>1.02</v>
      </c>
      <c r="L532" s="4334"/>
      <c r="M532" s="4335"/>
      <c r="N532" s="4324"/>
      <c r="O532" s="1298">
        <f>SUM(O534:O549)</f>
        <v>26.189999999999998</v>
      </c>
      <c r="P532" s="1298">
        <f>SUM(P534:P549)</f>
        <v>26.717472000000001</v>
      </c>
      <c r="Q532" s="3391"/>
      <c r="R532" s="1721">
        <f>SUM(P534:P549)</f>
        <v>26.717472000000001</v>
      </c>
    </row>
    <row r="533" spans="1:18">
      <c r="A533" s="1042"/>
      <c r="B533" s="1511"/>
      <c r="D533" s="1367"/>
      <c r="E533" s="2121"/>
      <c r="F533" s="1389" t="s">
        <v>1</v>
      </c>
      <c r="G533" s="1390"/>
      <c r="H533" s="1390"/>
      <c r="I533" s="1391"/>
      <c r="J533" s="1369"/>
      <c r="K533" s="1369"/>
      <c r="L533" s="1554"/>
      <c r="M533" s="1487"/>
      <c r="N533" s="1487"/>
      <c r="O533" s="1487"/>
      <c r="P533" s="1367"/>
      <c r="Q533" s="3387"/>
      <c r="R533" s="2338"/>
    </row>
    <row r="534" spans="1:18">
      <c r="A534" s="1042"/>
      <c r="B534" s="595"/>
      <c r="D534" s="1370" t="s">
        <v>1576</v>
      </c>
      <c r="E534" s="2152" t="s">
        <v>1517</v>
      </c>
      <c r="F534" s="1471" t="s">
        <v>1580</v>
      </c>
      <c r="G534" s="1372">
        <v>0.12</v>
      </c>
      <c r="H534" s="1372"/>
      <c r="I534" s="1286"/>
      <c r="J534" s="1287"/>
      <c r="K534" s="1307">
        <f>G534*$K$532</f>
        <v>0.12239999999999999</v>
      </c>
      <c r="L534" s="1335">
        <f t="shared" ref="L534:L537" si="33">K534*$K$499</f>
        <v>0</v>
      </c>
      <c r="M534" s="1499">
        <v>6.53</v>
      </c>
      <c r="N534" s="1499"/>
      <c r="O534" s="1291">
        <f>ROUND(G534*M534,2)</f>
        <v>0.78</v>
      </c>
      <c r="P534" s="1332">
        <f>M534*K534</f>
        <v>0.79927199999999998</v>
      </c>
      <c r="Q534" s="3391"/>
      <c r="R534" s="2338"/>
    </row>
    <row r="535" spans="1:18">
      <c r="A535" s="1042"/>
      <c r="B535" s="595"/>
      <c r="D535" s="1370" t="s">
        <v>1630</v>
      </c>
      <c r="E535" s="2152" t="s">
        <v>1527</v>
      </c>
      <c r="F535" s="1471" t="s">
        <v>1631</v>
      </c>
      <c r="G535" s="1372">
        <v>1.01</v>
      </c>
      <c r="H535" s="1372"/>
      <c r="I535" s="1286"/>
      <c r="J535" s="1287"/>
      <c r="K535" s="1307">
        <f>G535*$K$532</f>
        <v>1.0302</v>
      </c>
      <c r="L535" s="1335">
        <f t="shared" si="33"/>
        <v>0</v>
      </c>
      <c r="M535" s="1499">
        <v>0.6</v>
      </c>
      <c r="N535" s="1499"/>
      <c r="O535" s="1291">
        <f>ROUND(G535*M535,2)</f>
        <v>0.61</v>
      </c>
      <c r="P535" s="1332">
        <f>M535*K535</f>
        <v>0.61812</v>
      </c>
      <c r="Q535" s="3391"/>
      <c r="R535" s="2338"/>
    </row>
    <row r="536" spans="1:18">
      <c r="A536" s="1042"/>
      <c r="B536" s="595"/>
      <c r="D536" s="1370" t="s">
        <v>1097</v>
      </c>
      <c r="E536" s="2152" t="s">
        <v>1504</v>
      </c>
      <c r="F536" s="1471" t="s">
        <v>1632</v>
      </c>
      <c r="G536" s="1372">
        <v>1</v>
      </c>
      <c r="H536" s="1372"/>
      <c r="I536" s="1286"/>
      <c r="J536" s="1287"/>
      <c r="K536" s="1307">
        <f>G536*$K$532</f>
        <v>1.02</v>
      </c>
      <c r="L536" s="1335">
        <f t="shared" si="33"/>
        <v>0</v>
      </c>
      <c r="M536" s="1499">
        <v>0.55000000000000004</v>
      </c>
      <c r="N536" s="1499"/>
      <c r="O536" s="1291">
        <f>ROUND(G536*M536,2)</f>
        <v>0.55000000000000004</v>
      </c>
      <c r="P536" s="1332">
        <f>M536*K536</f>
        <v>0.56100000000000005</v>
      </c>
      <c r="Q536" s="3391"/>
      <c r="R536" s="2338"/>
    </row>
    <row r="537" spans="1:18">
      <c r="A537" s="1042"/>
      <c r="B537" s="595"/>
      <c r="D537" s="1370" t="s">
        <v>1082</v>
      </c>
      <c r="E537" s="2152" t="s">
        <v>1504</v>
      </c>
      <c r="F537" s="1471" t="s">
        <v>1541</v>
      </c>
      <c r="G537" s="1567">
        <v>1</v>
      </c>
      <c r="H537" s="1567"/>
      <c r="I537" s="1286"/>
      <c r="J537" s="1287"/>
      <c r="K537" s="1307">
        <f>G537*$K$532</f>
        <v>1.02</v>
      </c>
      <c r="L537" s="1335">
        <f t="shared" si="33"/>
        <v>0</v>
      </c>
      <c r="M537" s="1499">
        <v>0.3</v>
      </c>
      <c r="N537" s="1499"/>
      <c r="O537" s="1291">
        <f>ROUND(G537*M537,2)</f>
        <v>0.3</v>
      </c>
      <c r="P537" s="1332">
        <f>M537*K537</f>
        <v>0.30599999999999999</v>
      </c>
      <c r="Q537" s="3391"/>
      <c r="R537" s="2338"/>
    </row>
    <row r="538" spans="1:18">
      <c r="A538" s="1042"/>
      <c r="B538" s="16"/>
      <c r="C538" s="1042"/>
      <c r="D538" s="1370"/>
      <c r="E538" s="2152"/>
      <c r="F538" s="1590"/>
      <c r="G538" s="2252"/>
      <c r="H538" s="2252"/>
      <c r="I538" s="1286"/>
      <c r="J538" s="1287"/>
      <c r="K538" s="1307"/>
      <c r="L538" s="1335"/>
      <c r="M538" s="1499"/>
      <c r="N538" s="1499"/>
      <c r="O538" s="1291"/>
      <c r="P538" s="1332"/>
      <c r="Q538" s="3391"/>
      <c r="R538" s="2338"/>
    </row>
    <row r="539" spans="1:18">
      <c r="A539" s="1042"/>
      <c r="B539" s="16"/>
      <c r="C539" s="1042"/>
      <c r="D539" s="1370"/>
      <c r="E539" s="2152"/>
      <c r="F539" s="1590"/>
      <c r="G539" s="2252"/>
      <c r="H539" s="2252"/>
      <c r="I539" s="1286"/>
      <c r="J539" s="1287"/>
      <c r="K539" s="1307"/>
      <c r="L539" s="1335"/>
      <c r="M539" s="1499"/>
      <c r="N539" s="1499"/>
      <c r="O539" s="1291"/>
      <c r="P539" s="1332"/>
      <c r="Q539" s="3391"/>
      <c r="R539" s="2338"/>
    </row>
    <row r="540" spans="1:18">
      <c r="A540" s="1042"/>
      <c r="B540" s="16"/>
      <c r="C540" s="1042"/>
      <c r="D540" s="1359"/>
      <c r="E540" s="1858"/>
      <c r="F540" s="1360" t="s">
        <v>2</v>
      </c>
      <c r="G540" s="1466"/>
      <c r="H540" s="1466"/>
      <c r="I540" s="1380"/>
      <c r="J540" s="1381"/>
      <c r="K540" s="1359"/>
      <c r="L540" s="1458"/>
      <c r="M540" s="1507"/>
      <c r="N540" s="1708"/>
      <c r="O540" s="1489"/>
      <c r="P540" s="1359"/>
      <c r="Q540" s="3387"/>
      <c r="R540" s="2338"/>
    </row>
    <row r="541" spans="1:18">
      <c r="A541" s="1042"/>
      <c r="B541" s="16"/>
      <c r="C541" s="1042"/>
      <c r="D541" s="1402" t="s">
        <v>1067</v>
      </c>
      <c r="E541" s="1857" t="s">
        <v>1508</v>
      </c>
      <c r="F541" s="1430" t="s">
        <v>5</v>
      </c>
      <c r="G541" s="1362">
        <v>0.9</v>
      </c>
      <c r="H541" s="1362"/>
      <c r="I541" s="1289"/>
      <c r="J541" s="1341"/>
      <c r="K541" s="1307">
        <f>G541*$K$532</f>
        <v>0.91800000000000004</v>
      </c>
      <c r="L541" s="1335">
        <f>K541*$K$499</f>
        <v>0</v>
      </c>
      <c r="M541" s="1499">
        <v>18.28</v>
      </c>
      <c r="N541" s="1724"/>
      <c r="O541" s="1291">
        <f>ROUND(G541*M541,2)</f>
        <v>16.45</v>
      </c>
      <c r="P541" s="1332">
        <f>M541*K541</f>
        <v>16.781040000000001</v>
      </c>
      <c r="Q541" s="3391"/>
      <c r="R541" s="2338"/>
    </row>
    <row r="542" spans="1:18">
      <c r="A542" s="1042"/>
      <c r="B542" s="16"/>
      <c r="C542" s="1358" t="s">
        <v>1523</v>
      </c>
      <c r="D542" s="1329"/>
      <c r="E542" s="2135" t="s">
        <v>1508</v>
      </c>
      <c r="F542" s="1330" t="s">
        <v>1524</v>
      </c>
      <c r="G542" s="1776"/>
      <c r="H542" s="1776">
        <v>0.1</v>
      </c>
      <c r="I542" s="1455"/>
      <c r="J542" s="1488"/>
      <c r="K542" s="1510"/>
      <c r="L542" s="1445"/>
      <c r="M542" s="1500"/>
      <c r="N542" s="1446">
        <f>SUM(N543:N546)</f>
        <v>37.510000000000005</v>
      </c>
      <c r="O542" s="1446">
        <f>SUM(O543:O546)</f>
        <v>3.75</v>
      </c>
      <c r="P542" s="1446">
        <f>SUM(P543:P546)</f>
        <v>3.8260200000000006</v>
      </c>
      <c r="Q542" s="3391"/>
      <c r="R542" s="2338"/>
    </row>
    <row r="543" spans="1:18">
      <c r="A543" s="1042"/>
      <c r="B543" s="16"/>
      <c r="C543" s="1042"/>
      <c r="D543" s="1402" t="s">
        <v>1067</v>
      </c>
      <c r="E543" s="1857" t="s">
        <v>1508</v>
      </c>
      <c r="F543" s="1430" t="s">
        <v>5</v>
      </c>
      <c r="G543" s="1362">
        <v>1</v>
      </c>
      <c r="H543" s="1362">
        <f>$H$351*G543</f>
        <v>0.1</v>
      </c>
      <c r="I543" s="1286"/>
      <c r="J543" s="1287"/>
      <c r="K543" s="1307">
        <f>H543*$K$532</f>
        <v>0.10200000000000001</v>
      </c>
      <c r="L543" s="1335">
        <f t="shared" ref="L543:L544" si="34">K543*$K$499</f>
        <v>0</v>
      </c>
      <c r="M543" s="1499">
        <v>18.28</v>
      </c>
      <c r="N543" s="1724">
        <f>G543*M543</f>
        <v>18.28</v>
      </c>
      <c r="O543" s="1725">
        <f>ROUND(H543*M543,2)</f>
        <v>1.83</v>
      </c>
      <c r="P543" s="1720">
        <f>M543*K543</f>
        <v>1.8645600000000002</v>
      </c>
      <c r="Q543" s="3396"/>
      <c r="R543" s="2338"/>
    </row>
    <row r="544" spans="1:18">
      <c r="A544" s="1042"/>
      <c r="B544" s="16"/>
      <c r="C544" s="1042"/>
      <c r="D544" s="1402" t="s">
        <v>1077</v>
      </c>
      <c r="E544" s="1857" t="s">
        <v>1508</v>
      </c>
      <c r="F544" s="1430" t="s">
        <v>37</v>
      </c>
      <c r="G544" s="1362">
        <v>1</v>
      </c>
      <c r="H544" s="1362">
        <f>$H$351*G544</f>
        <v>0.1</v>
      </c>
      <c r="I544" s="1286"/>
      <c r="J544" s="1287"/>
      <c r="K544" s="1307">
        <f>H544*$K$532</f>
        <v>0.10200000000000001</v>
      </c>
      <c r="L544" s="1335">
        <f t="shared" si="34"/>
        <v>0</v>
      </c>
      <c r="M544" s="1285">
        <v>19.23</v>
      </c>
      <c r="N544" s="1724">
        <f>G544*M544</f>
        <v>19.23</v>
      </c>
      <c r="O544" s="1725">
        <f>ROUND(H544*M544,2)</f>
        <v>1.92</v>
      </c>
      <c r="P544" s="1720">
        <f>M544*K544</f>
        <v>1.9614600000000002</v>
      </c>
      <c r="Q544" s="3396"/>
      <c r="R544" s="2338"/>
    </row>
    <row r="545" spans="1:18">
      <c r="A545" s="1042"/>
      <c r="B545" s="16"/>
      <c r="C545" s="1042"/>
      <c r="D545" s="1402"/>
      <c r="E545" s="1857"/>
      <c r="F545" s="1430"/>
      <c r="G545" s="1362"/>
      <c r="H545" s="1362"/>
      <c r="I545" s="1286"/>
      <c r="J545" s="1287"/>
      <c r="K545" s="1307"/>
      <c r="L545" s="1335"/>
      <c r="M545" s="1285"/>
      <c r="N545" s="1709"/>
      <c r="O545" s="1291"/>
      <c r="P545" s="1332"/>
      <c r="Q545" s="3391"/>
      <c r="R545" s="2338"/>
    </row>
    <row r="546" spans="1:18">
      <c r="A546" s="1042"/>
      <c r="B546" s="16"/>
      <c r="C546" s="1042"/>
      <c r="D546" s="1373"/>
      <c r="E546" s="2123"/>
      <c r="F546" s="1374" t="s">
        <v>3</v>
      </c>
      <c r="G546" s="1492"/>
      <c r="H546" s="1376"/>
      <c r="I546" s="1382"/>
      <c r="J546" s="1383"/>
      <c r="K546" s="1383"/>
      <c r="L546" s="1413"/>
      <c r="M546" s="1485"/>
      <c r="N546" s="1493"/>
      <c r="O546" s="1493"/>
      <c r="P546" s="1413"/>
      <c r="Q546" s="3387"/>
      <c r="R546" s="2338"/>
    </row>
    <row r="547" spans="1:18">
      <c r="A547" s="1042"/>
      <c r="B547" s="16"/>
      <c r="C547" s="1042"/>
      <c r="D547" s="1440"/>
      <c r="E547" s="2132"/>
      <c r="F547" s="1441"/>
      <c r="G547" s="1441"/>
      <c r="H547" s="1442"/>
      <c r="I547" s="197"/>
      <c r="J547" s="198"/>
      <c r="K547" s="1307"/>
      <c r="L547" s="1335"/>
      <c r="M547" s="1499"/>
      <c r="N547" s="1701"/>
      <c r="O547" s="1290"/>
      <c r="P547" s="1332"/>
      <c r="Q547" s="3391"/>
      <c r="R547" s="2338"/>
    </row>
    <row r="548" spans="1:18">
      <c r="A548" s="1042"/>
      <c r="B548" s="16"/>
      <c r="C548" s="1042"/>
      <c r="D548" s="1440"/>
      <c r="E548" s="2132"/>
      <c r="F548" s="1441"/>
      <c r="G548" s="1441"/>
      <c r="H548" s="1442"/>
      <c r="I548" s="197" t="str">
        <f>IF(COUNT(H549:O549)=0,"",(SUM(H549:O549)/COUNT(H549:O549)))</f>
        <v/>
      </c>
      <c r="J548" s="198"/>
      <c r="K548" s="1307"/>
      <c r="L548" s="1335"/>
      <c r="M548" s="1499"/>
      <c r="N548" s="1701"/>
      <c r="O548" s="1290"/>
      <c r="P548" s="1332"/>
      <c r="Q548" s="3391"/>
      <c r="R548" s="2338"/>
    </row>
    <row r="549" spans="1:18">
      <c r="A549" s="1042"/>
      <c r="B549" s="1596"/>
      <c r="C549" s="223"/>
      <c r="D549" s="1440"/>
      <c r="E549" s="2132"/>
      <c r="F549" s="1441"/>
      <c r="G549" s="1441"/>
      <c r="H549" s="1442"/>
      <c r="I549" s="197" t="str">
        <f>IF(COUNT(G550:O550)=0,"",(SUM(G550:O550)/COUNT(G550:O550)))</f>
        <v/>
      </c>
      <c r="J549" s="198"/>
      <c r="K549" s="1307"/>
      <c r="L549" s="1335"/>
      <c r="M549" s="1499"/>
      <c r="N549" s="1701"/>
      <c r="O549" s="1290"/>
      <c r="P549" s="1332"/>
      <c r="Q549" s="3391"/>
      <c r="R549" s="2338"/>
    </row>
    <row r="550" spans="1:18" ht="15" customHeight="1">
      <c r="A550" s="88" t="s">
        <v>3764</v>
      </c>
      <c r="B550" s="4367" t="s">
        <v>1500</v>
      </c>
      <c r="C550" s="3350"/>
      <c r="D550" s="4327"/>
      <c r="E550" s="4337" t="s">
        <v>1507</v>
      </c>
      <c r="F550" s="4338" t="s">
        <v>1501</v>
      </c>
      <c r="G550" s="4331" t="s">
        <v>1568</v>
      </c>
      <c r="H550" s="4331" t="s">
        <v>1574</v>
      </c>
      <c r="I550" s="1572" t="s">
        <v>1559</v>
      </c>
      <c r="J550" s="1294" t="s">
        <v>1560</v>
      </c>
      <c r="K550" s="1294" t="s">
        <v>1561</v>
      </c>
      <c r="L550" s="4333" t="s">
        <v>3765</v>
      </c>
      <c r="M550" s="4335" t="s">
        <v>1571</v>
      </c>
      <c r="N550" s="4323" t="s">
        <v>1776</v>
      </c>
      <c r="O550" s="3347" t="s">
        <v>1563</v>
      </c>
      <c r="P550" s="1336" t="s">
        <v>1562</v>
      </c>
      <c r="Q550" s="3389"/>
      <c r="R550" s="1699" t="s">
        <v>1327</v>
      </c>
    </row>
    <row r="551" spans="1:18">
      <c r="A551" s="1320" t="s">
        <v>2810</v>
      </c>
      <c r="B551" s="4369"/>
      <c r="C551" s="3351"/>
      <c r="D551" s="4328"/>
      <c r="E551" s="4337"/>
      <c r="F551" s="4338"/>
      <c r="G551" s="4332"/>
      <c r="H551" s="4332"/>
      <c r="I551" s="1345">
        <v>1.5</v>
      </c>
      <c r="J551" s="1307">
        <v>1.7000000000000001E-2</v>
      </c>
      <c r="K551" s="1297">
        <f>I551*J551</f>
        <v>2.5500000000000002E-2</v>
      </c>
      <c r="L551" s="4334"/>
      <c r="M551" s="4335"/>
      <c r="N551" s="4324"/>
      <c r="O551" s="1298">
        <f>SUM(O553:O569)</f>
        <v>102.7</v>
      </c>
      <c r="P551" s="1337">
        <f>O551*K551</f>
        <v>2.6188500000000001</v>
      </c>
      <c r="Q551" s="3390"/>
      <c r="R551" s="1721">
        <f>SUM(P553:P569)</f>
        <v>2.6182275449999999</v>
      </c>
    </row>
    <row r="552" spans="1:18">
      <c r="A552" s="1042"/>
      <c r="B552" s="552"/>
      <c r="C552" s="18"/>
      <c r="D552" s="1400"/>
      <c r="E552" s="2121"/>
      <c r="F552" s="1389" t="s">
        <v>1</v>
      </c>
      <c r="G552" s="1390"/>
      <c r="H552" s="1390"/>
      <c r="I552" s="1391"/>
      <c r="J552" s="1369"/>
      <c r="K552" s="1369"/>
      <c r="L552" s="1554"/>
      <c r="M552" s="1490"/>
      <c r="N552" s="1491"/>
      <c r="O552" s="1491"/>
      <c r="P552" s="1367"/>
      <c r="Q552" s="3387"/>
      <c r="R552" s="2338"/>
    </row>
    <row r="553" spans="1:18">
      <c r="A553" s="1042"/>
      <c r="B553" s="88"/>
      <c r="C553" s="1042"/>
      <c r="D553" s="1371" t="s">
        <v>1075</v>
      </c>
      <c r="E553" s="2144" t="s">
        <v>1357</v>
      </c>
      <c r="F553" s="1471" t="s">
        <v>1532</v>
      </c>
      <c r="G553" s="1372">
        <v>1</v>
      </c>
      <c r="H553" s="1372"/>
      <c r="I553" s="1346"/>
      <c r="J553" s="1341"/>
      <c r="K553" s="1307">
        <f t="shared" ref="K553:K559" si="35">G553*$K$551</f>
        <v>2.5500000000000002E-2</v>
      </c>
      <c r="L553" s="1335">
        <f t="shared" ref="L553:L559" si="36">K553*$K$499</f>
        <v>0</v>
      </c>
      <c r="M553" s="1302">
        <v>0.81</v>
      </c>
      <c r="N553" s="1302"/>
      <c r="O553" s="1291">
        <f t="shared" ref="O553:O559" si="37">ROUND(G553*M553,2)</f>
        <v>0.81</v>
      </c>
      <c r="P553" s="1332">
        <f t="shared" ref="P553:P559" si="38">M553*K553</f>
        <v>2.0655000000000003E-2</v>
      </c>
      <c r="Q553" s="3391"/>
      <c r="R553" s="2338"/>
    </row>
    <row r="554" spans="1:18">
      <c r="A554" s="1042"/>
      <c r="B554" s="88"/>
      <c r="C554" s="1042"/>
      <c r="D554" s="1371" t="s">
        <v>1533</v>
      </c>
      <c r="E554" s="2144" t="s">
        <v>1357</v>
      </c>
      <c r="F554" s="1471" t="s">
        <v>1534</v>
      </c>
      <c r="G554" s="1372">
        <v>0.99</v>
      </c>
      <c r="H554" s="1372"/>
      <c r="I554" s="1346"/>
      <c r="J554" s="1341"/>
      <c r="K554" s="1307">
        <f t="shared" si="35"/>
        <v>2.5245E-2</v>
      </c>
      <c r="L554" s="1335">
        <f t="shared" si="36"/>
        <v>0</v>
      </c>
      <c r="M554" s="1302">
        <v>0.93</v>
      </c>
      <c r="N554" s="1302"/>
      <c r="O554" s="1291">
        <f t="shared" si="37"/>
        <v>0.92</v>
      </c>
      <c r="P554" s="1332">
        <f t="shared" si="38"/>
        <v>2.3477850000000001E-2</v>
      </c>
      <c r="Q554" s="3391"/>
      <c r="R554" s="2338"/>
    </row>
    <row r="555" spans="1:18">
      <c r="A555" s="1042"/>
      <c r="B555" s="88"/>
      <c r="C555" s="1042"/>
      <c r="D555" s="1371" t="s">
        <v>1116</v>
      </c>
      <c r="E555" s="2144" t="s">
        <v>1504</v>
      </c>
      <c r="F555" s="1471" t="s">
        <v>1535</v>
      </c>
      <c r="G555" s="1372">
        <v>5.4</v>
      </c>
      <c r="H555" s="1372"/>
      <c r="I555" s="1346"/>
      <c r="J555" s="1341"/>
      <c r="K555" s="1307">
        <f t="shared" si="35"/>
        <v>0.13770000000000002</v>
      </c>
      <c r="L555" s="1335">
        <f t="shared" si="36"/>
        <v>0</v>
      </c>
      <c r="M555" s="1302">
        <v>0.84</v>
      </c>
      <c r="N555" s="1302"/>
      <c r="O555" s="1291">
        <f t="shared" si="37"/>
        <v>4.54</v>
      </c>
      <c r="P555" s="1332">
        <f t="shared" si="38"/>
        <v>0.11566800000000001</v>
      </c>
      <c r="Q555" s="3391"/>
      <c r="R555" s="2338"/>
    </row>
    <row r="556" spans="1:18">
      <c r="A556" s="1042"/>
      <c r="B556" s="88"/>
      <c r="C556" s="1042"/>
      <c r="D556" s="1371" t="s">
        <v>1115</v>
      </c>
      <c r="E556" s="2144" t="s">
        <v>1527</v>
      </c>
      <c r="F556" s="1471" t="s">
        <v>1536</v>
      </c>
      <c r="G556" s="1372">
        <v>1.397</v>
      </c>
      <c r="H556" s="1372"/>
      <c r="I556" s="1346"/>
      <c r="J556" s="1341"/>
      <c r="K556" s="1307">
        <f t="shared" si="35"/>
        <v>3.5623500000000002E-2</v>
      </c>
      <c r="L556" s="1335">
        <f t="shared" si="36"/>
        <v>0</v>
      </c>
      <c r="M556" s="1302">
        <v>3.54</v>
      </c>
      <c r="N556" s="1302"/>
      <c r="O556" s="1291">
        <f t="shared" si="37"/>
        <v>4.95</v>
      </c>
      <c r="P556" s="1332">
        <f t="shared" si="38"/>
        <v>0.12610719000000001</v>
      </c>
      <c r="Q556" s="3391"/>
      <c r="R556" s="2338"/>
    </row>
    <row r="557" spans="1:18">
      <c r="A557" s="1042"/>
      <c r="B557" s="88"/>
      <c r="C557" s="1042"/>
      <c r="D557" s="1371" t="s">
        <v>1113</v>
      </c>
      <c r="E557" s="2144" t="s">
        <v>1517</v>
      </c>
      <c r="F557" s="1471" t="s">
        <v>1537</v>
      </c>
      <c r="G557" s="1372">
        <v>0.105</v>
      </c>
      <c r="H557" s="1372"/>
      <c r="I557" s="1346"/>
      <c r="J557" s="1341"/>
      <c r="K557" s="1307">
        <f t="shared" si="35"/>
        <v>2.6775000000000002E-3</v>
      </c>
      <c r="L557" s="1335">
        <f t="shared" si="36"/>
        <v>0</v>
      </c>
      <c r="M557" s="1302">
        <v>60.26</v>
      </c>
      <c r="N557" s="1302"/>
      <c r="O557" s="1291">
        <f t="shared" si="37"/>
        <v>6.33</v>
      </c>
      <c r="P557" s="1332">
        <f t="shared" si="38"/>
        <v>0.16134614999999999</v>
      </c>
      <c r="Q557" s="3391"/>
      <c r="R557" s="2338"/>
    </row>
    <row r="558" spans="1:18">
      <c r="A558" s="1042"/>
      <c r="B558" s="88"/>
      <c r="C558" s="1042"/>
      <c r="D558" s="1371" t="s">
        <v>1114</v>
      </c>
      <c r="E558" s="2144" t="s">
        <v>1517</v>
      </c>
      <c r="F558" s="1471" t="s">
        <v>1538</v>
      </c>
      <c r="G558" s="1372">
        <v>1E-3</v>
      </c>
      <c r="H558" s="1372"/>
      <c r="I558" s="1346"/>
      <c r="J558" s="1341"/>
      <c r="K558" s="1307">
        <f t="shared" si="35"/>
        <v>2.5500000000000003E-5</v>
      </c>
      <c r="L558" s="1335">
        <f t="shared" si="36"/>
        <v>0</v>
      </c>
      <c r="M558" s="1302">
        <v>225.64</v>
      </c>
      <c r="N558" s="1302"/>
      <c r="O558" s="1291">
        <f t="shared" si="37"/>
        <v>0.23</v>
      </c>
      <c r="P558" s="1332">
        <f t="shared" si="38"/>
        <v>5.7538200000000006E-3</v>
      </c>
      <c r="Q558" s="3391"/>
      <c r="R558" s="2338"/>
    </row>
    <row r="559" spans="1:18">
      <c r="A559" s="1042"/>
      <c r="B559" s="88"/>
      <c r="C559" s="1042"/>
      <c r="D559" s="1384" t="s">
        <v>1082</v>
      </c>
      <c r="E559" s="2146" t="s">
        <v>1504</v>
      </c>
      <c r="F559" s="1471" t="s">
        <v>1541</v>
      </c>
      <c r="G559" s="1372">
        <v>1</v>
      </c>
      <c r="H559" s="1372"/>
      <c r="I559" s="1346"/>
      <c r="J559" s="1341"/>
      <c r="K559" s="1307">
        <f t="shared" si="35"/>
        <v>2.5500000000000002E-2</v>
      </c>
      <c r="L559" s="1335">
        <f t="shared" si="36"/>
        <v>0</v>
      </c>
      <c r="M559" s="1302">
        <v>0.3</v>
      </c>
      <c r="N559" s="1302"/>
      <c r="O559" s="1291">
        <f t="shared" si="37"/>
        <v>0.3</v>
      </c>
      <c r="P559" s="1332">
        <f t="shared" si="38"/>
        <v>7.6500000000000005E-3</v>
      </c>
      <c r="Q559" s="3391"/>
      <c r="R559" s="2338"/>
    </row>
    <row r="560" spans="1:18">
      <c r="A560" s="1042"/>
      <c r="B560" s="88"/>
      <c r="C560" s="1042"/>
      <c r="D560" s="1384"/>
      <c r="E560" s="2146"/>
      <c r="F560" s="1471"/>
      <c r="G560" s="1372"/>
      <c r="H560" s="1372"/>
      <c r="I560" s="1346"/>
      <c r="J560" s="1341"/>
      <c r="K560" s="1307" t="str">
        <f>IF(COUNT(#REF!)=0,"",IF(#REF!="","",(#REF!*#REF!)))</f>
        <v/>
      </c>
      <c r="L560" s="1335"/>
      <c r="M560" s="1302"/>
      <c r="N560" s="1302"/>
      <c r="O560" s="1291"/>
      <c r="P560" s="1332"/>
      <c r="Q560" s="3391"/>
      <c r="R560" s="2338"/>
    </row>
    <row r="561" spans="1:18">
      <c r="A561" s="1042"/>
      <c r="B561" s="88"/>
      <c r="C561" s="1042"/>
      <c r="D561" s="1384"/>
      <c r="E561" s="2146"/>
      <c r="F561" s="1471"/>
      <c r="G561" s="1372"/>
      <c r="H561" s="1372"/>
      <c r="I561" s="1346"/>
      <c r="J561" s="1341"/>
      <c r="K561" s="1307" t="str">
        <f>IF(COUNT(#REF!)=0,"",IF(#REF!="","",(#REF!*#REF!)))</f>
        <v/>
      </c>
      <c r="L561" s="1335"/>
      <c r="M561" s="1302"/>
      <c r="N561" s="1302"/>
      <c r="O561" s="1291"/>
      <c r="P561" s="1332"/>
      <c r="Q561" s="3391"/>
      <c r="R561" s="2338"/>
    </row>
    <row r="562" spans="1:18">
      <c r="A562" s="1042"/>
      <c r="B562" s="88"/>
      <c r="C562" s="1042"/>
      <c r="D562" s="1404"/>
      <c r="E562" s="1858"/>
      <c r="F562" s="1360" t="s">
        <v>2</v>
      </c>
      <c r="G562" s="1362"/>
      <c r="H562" s="1362"/>
      <c r="I562" s="1380"/>
      <c r="J562" s="1381"/>
      <c r="K562" s="1359" t="str">
        <f>IF(COUNT(#REF!)=0,"",IF(#REF!="","",(#REF!*#REF!)))</f>
        <v/>
      </c>
      <c r="L562" s="1458"/>
      <c r="M562" s="1362"/>
      <c r="N562" s="1362"/>
      <c r="O562" s="1708"/>
      <c r="P562" s="1359"/>
      <c r="Q562" s="3387"/>
      <c r="R562" s="2338"/>
    </row>
    <row r="563" spans="1:18">
      <c r="A563" s="1042"/>
      <c r="B563" s="88"/>
      <c r="C563" s="1042"/>
      <c r="D563" s="1495" t="s">
        <v>1077</v>
      </c>
      <c r="E563" s="2147" t="s">
        <v>1508</v>
      </c>
      <c r="F563" s="1473" t="s">
        <v>1539</v>
      </c>
      <c r="G563" s="1365">
        <v>0.435</v>
      </c>
      <c r="H563" s="1365"/>
      <c r="I563" s="1286"/>
      <c r="J563" s="198"/>
      <c r="K563" s="1307">
        <f>G563*$K$551</f>
        <v>1.10925E-2</v>
      </c>
      <c r="L563" s="1335">
        <f t="shared" ref="L563:L565" si="39">K563*$K$499</f>
        <v>0</v>
      </c>
      <c r="M563" s="1302">
        <v>19.23</v>
      </c>
      <c r="N563" s="1700"/>
      <c r="O563" s="1290">
        <f>ROUND(G563*M563,2)</f>
        <v>8.3699999999999992</v>
      </c>
      <c r="P563" s="1332">
        <f>M563*K563</f>
        <v>0.21330877500000001</v>
      </c>
      <c r="Q563" s="3391"/>
      <c r="R563" s="2338"/>
    </row>
    <row r="564" spans="1:18">
      <c r="A564" s="1042"/>
      <c r="B564" s="88"/>
      <c r="C564" s="1042"/>
      <c r="D564" s="1364" t="s">
        <v>1076</v>
      </c>
      <c r="E564" s="2148" t="s">
        <v>1508</v>
      </c>
      <c r="F564" s="1473" t="s">
        <v>1540</v>
      </c>
      <c r="G564" s="1365">
        <v>0.25600000000000001</v>
      </c>
      <c r="H564" s="1365"/>
      <c r="I564" s="1286"/>
      <c r="J564" s="198"/>
      <c r="K564" s="1307">
        <f>G564*$K$551</f>
        <v>6.5280000000000008E-3</v>
      </c>
      <c r="L564" s="1335">
        <f t="shared" si="39"/>
        <v>0</v>
      </c>
      <c r="M564" s="1302">
        <v>20.23</v>
      </c>
      <c r="N564" s="1700"/>
      <c r="O564" s="1290">
        <f>ROUND(G564*M564,2)</f>
        <v>5.18</v>
      </c>
      <c r="P564" s="1332">
        <f>M564*K564</f>
        <v>0.13206144000000003</v>
      </c>
      <c r="Q564" s="3391"/>
      <c r="R564" s="2338"/>
    </row>
    <row r="565" spans="1:18">
      <c r="A565" s="1042"/>
      <c r="B565" s="88"/>
      <c r="C565" s="1042"/>
      <c r="D565" s="1385" t="s">
        <v>1067</v>
      </c>
      <c r="E565" s="2149" t="s">
        <v>1508</v>
      </c>
      <c r="F565" s="1473" t="s">
        <v>1512</v>
      </c>
      <c r="G565" s="1365">
        <v>3.3220000000000001</v>
      </c>
      <c r="H565" s="1365"/>
      <c r="I565" s="1286"/>
      <c r="J565" s="198"/>
      <c r="K565" s="1307">
        <f>G565*$K$551</f>
        <v>8.4711000000000009E-2</v>
      </c>
      <c r="L565" s="1335">
        <f t="shared" si="39"/>
        <v>0</v>
      </c>
      <c r="M565" s="1302">
        <v>21.23</v>
      </c>
      <c r="N565" s="1700"/>
      <c r="O565" s="1290">
        <f>ROUND(G565*M565,2)</f>
        <v>70.53</v>
      </c>
      <c r="P565" s="1332">
        <f>M565*K565</f>
        <v>1.7984145300000003</v>
      </c>
      <c r="Q565" s="3391"/>
      <c r="R565" s="2338"/>
    </row>
    <row r="566" spans="1:18">
      <c r="A566" s="1042"/>
      <c r="B566" s="88"/>
      <c r="C566" s="1042"/>
      <c r="D566" s="1411"/>
      <c r="E566" s="2123"/>
      <c r="F566" s="1374" t="s">
        <v>3</v>
      </c>
      <c r="G566" s="1376"/>
      <c r="H566" s="1376"/>
      <c r="I566" s="1496"/>
      <c r="J566" s="1383"/>
      <c r="K566" s="1373"/>
      <c r="L566" s="1413"/>
      <c r="M566" s="1376"/>
      <c r="N566" s="1376"/>
      <c r="O566" s="1706"/>
      <c r="P566" s="1373"/>
      <c r="Q566" s="3387"/>
      <c r="R566" s="2338"/>
    </row>
    <row r="567" spans="1:18">
      <c r="A567" s="1042"/>
      <c r="B567" s="88"/>
      <c r="C567" s="1042"/>
      <c r="D567" s="1377" t="s">
        <v>1087</v>
      </c>
      <c r="E567" s="2124" t="s">
        <v>1508</v>
      </c>
      <c r="F567" s="1378" t="s">
        <v>1542</v>
      </c>
      <c r="G567" s="1379">
        <v>0.35799999999999998</v>
      </c>
      <c r="H567" s="1379"/>
      <c r="I567" s="1286"/>
      <c r="J567" s="198"/>
      <c r="K567" s="1307">
        <f>G567*$K$551</f>
        <v>9.129E-3</v>
      </c>
      <c r="L567" s="1335">
        <f t="shared" ref="L567" si="40">K567*$K$499</f>
        <v>0</v>
      </c>
      <c r="M567" s="1302">
        <v>1.51</v>
      </c>
      <c r="N567" s="1700"/>
      <c r="O567" s="1290">
        <f>ROUND(G567*M567,2)</f>
        <v>0.54</v>
      </c>
      <c r="P567" s="1332">
        <f>M567*K567</f>
        <v>1.378479E-2</v>
      </c>
      <c r="Q567" s="3391"/>
      <c r="R567" s="2338"/>
    </row>
    <row r="568" spans="1:18">
      <c r="A568" s="1042"/>
      <c r="B568" s="88"/>
      <c r="C568" s="1042"/>
      <c r="D568" s="1440"/>
      <c r="E568" s="2132"/>
      <c r="F568" s="1441"/>
      <c r="G568" s="1442"/>
      <c r="H568" s="1442"/>
      <c r="I568" s="197" t="str">
        <f>IF(COUNT(G569:O569)=0,"",(SUM(G569:O569)/COUNT(G569:O569)))</f>
        <v/>
      </c>
      <c r="J568" s="198"/>
      <c r="K568" s="1307"/>
      <c r="L568" s="1335"/>
      <c r="M568" s="1499"/>
      <c r="N568" s="1701"/>
      <c r="O568" s="1290"/>
      <c r="P568" s="1332"/>
      <c r="Q568" s="3391"/>
      <c r="R568" s="2338"/>
    </row>
    <row r="569" spans="1:18">
      <c r="A569" s="1042"/>
      <c r="B569" s="581"/>
      <c r="C569" s="223"/>
      <c r="D569" s="1440"/>
      <c r="E569" s="2132"/>
      <c r="F569" s="1441"/>
      <c r="G569" s="1442"/>
      <c r="H569" s="1442"/>
      <c r="I569" s="197" t="str">
        <f>IF(COUNT(G570:O570)=0,"",(SUM(G570:O570)/COUNT(G570:O570)))</f>
        <v/>
      </c>
      <c r="J569" s="198"/>
      <c r="K569" s="1307"/>
      <c r="L569" s="1335"/>
      <c r="M569" s="1499"/>
      <c r="N569" s="1701"/>
      <c r="O569" s="1290"/>
      <c r="P569" s="1332"/>
      <c r="Q569" s="3391"/>
      <c r="R569" s="2338"/>
    </row>
    <row r="570" spans="1:18" ht="15" customHeight="1">
      <c r="A570" s="88" t="s">
        <v>3764</v>
      </c>
      <c r="B570" s="4367" t="s">
        <v>1502</v>
      </c>
      <c r="C570" s="3350"/>
      <c r="D570" s="4327"/>
      <c r="E570" s="4337" t="s">
        <v>1507</v>
      </c>
      <c r="F570" s="4338" t="s">
        <v>2784</v>
      </c>
      <c r="G570" s="4331" t="s">
        <v>1568</v>
      </c>
      <c r="H570" s="4331" t="s">
        <v>1574</v>
      </c>
      <c r="I570" s="1572" t="s">
        <v>1559</v>
      </c>
      <c r="J570" s="1294" t="s">
        <v>1560</v>
      </c>
      <c r="K570" s="1294" t="s">
        <v>1561</v>
      </c>
      <c r="L570" s="4333" t="s">
        <v>3765</v>
      </c>
      <c r="M570" s="4335" t="s">
        <v>1571</v>
      </c>
      <c r="N570" s="4323" t="s">
        <v>1776</v>
      </c>
      <c r="O570" s="3347" t="s">
        <v>1563</v>
      </c>
      <c r="P570" s="1336" t="s">
        <v>1562</v>
      </c>
      <c r="Q570" s="3389"/>
      <c r="R570" s="1699" t="s">
        <v>1327</v>
      </c>
    </row>
    <row r="571" spans="1:18">
      <c r="A571" s="1320" t="s">
        <v>2810</v>
      </c>
      <c r="B571" s="4369"/>
      <c r="C571" s="3351"/>
      <c r="D571" s="4328"/>
      <c r="E571" s="4337"/>
      <c r="F571" s="4338"/>
      <c r="G571" s="4332"/>
      <c r="H571" s="4332"/>
      <c r="I571" s="1345">
        <v>1.5</v>
      </c>
      <c r="J571" s="1307">
        <v>1.7000000000000001E-2</v>
      </c>
      <c r="K571" s="1297">
        <f>I571*J571</f>
        <v>2.5500000000000002E-2</v>
      </c>
      <c r="L571" s="4334"/>
      <c r="M571" s="4335"/>
      <c r="N571" s="4324"/>
      <c r="O571" s="1298">
        <f>O573+O574+O575+O579+O587+O588</f>
        <v>63.445500000000003</v>
      </c>
      <c r="P571" s="1337">
        <f>O571*K571</f>
        <v>1.6178602500000001</v>
      </c>
      <c r="Q571" s="3390"/>
      <c r="R571" s="1721">
        <f>P573+P574+P575+P579+P587+P588</f>
        <v>1.6179424844400003</v>
      </c>
    </row>
    <row r="572" spans="1:18">
      <c r="A572" s="553"/>
      <c r="B572" s="18"/>
      <c r="C572" s="552"/>
      <c r="D572" s="1367"/>
      <c r="E572" s="2121"/>
      <c r="F572" s="1389" t="s">
        <v>1</v>
      </c>
      <c r="G572" s="1369"/>
      <c r="H572" s="1369"/>
      <c r="I572" s="1391"/>
      <c r="J572" s="1369"/>
      <c r="K572" s="1369"/>
      <c r="L572" s="1554"/>
      <c r="M572" s="1487"/>
      <c r="N572" s="1487"/>
      <c r="O572" s="1487"/>
      <c r="P572" s="1367"/>
      <c r="Q572" s="3387"/>
      <c r="R572" s="2338"/>
    </row>
    <row r="573" spans="1:18">
      <c r="A573" s="553"/>
      <c r="B573" s="1042"/>
      <c r="C573" s="88"/>
      <c r="D573" s="1421" t="s">
        <v>1094</v>
      </c>
      <c r="E573" s="1856" t="s">
        <v>1517</v>
      </c>
      <c r="F573" s="1421" t="s">
        <v>1543</v>
      </c>
      <c r="G573" s="1452">
        <v>0.02</v>
      </c>
      <c r="H573" s="1452"/>
      <c r="I573" s="1342"/>
      <c r="J573" s="198"/>
      <c r="K573" s="1307">
        <f>G573*$K$571</f>
        <v>5.1000000000000004E-4</v>
      </c>
      <c r="L573" s="1335">
        <f t="shared" ref="L573:L574" si="41">K573*$K$499</f>
        <v>0</v>
      </c>
      <c r="M573" s="1302">
        <v>8.39</v>
      </c>
      <c r="N573" s="1700"/>
      <c r="O573" s="1290">
        <f>ROUND(G573*M573,2)</f>
        <v>0.17</v>
      </c>
      <c r="P573" s="1332">
        <f>M573*K573</f>
        <v>4.2789000000000004E-3</v>
      </c>
      <c r="Q573" s="3391"/>
      <c r="R573" s="2338"/>
    </row>
    <row r="574" spans="1:18">
      <c r="A574" s="553"/>
      <c r="B574" s="1042"/>
      <c r="C574" s="88"/>
      <c r="D574" s="1370" t="s">
        <v>1545</v>
      </c>
      <c r="E574" s="2122" t="s">
        <v>1504</v>
      </c>
      <c r="F574" s="1370" t="s">
        <v>1546</v>
      </c>
      <c r="G574" s="1372">
        <v>8</v>
      </c>
      <c r="H574" s="1372"/>
      <c r="I574" s="1286"/>
      <c r="J574" s="198"/>
      <c r="K574" s="1307">
        <f>G574*$K$571</f>
        <v>0.20400000000000001</v>
      </c>
      <c r="L574" s="1335">
        <f t="shared" si="41"/>
        <v>0</v>
      </c>
      <c r="M574" s="1302">
        <v>3.5</v>
      </c>
      <c r="N574" s="1700"/>
      <c r="O574" s="1290">
        <f>ROUND(G574*M574,2)</f>
        <v>28</v>
      </c>
      <c r="P574" s="1332">
        <f>M574*K574</f>
        <v>0.71400000000000008</v>
      </c>
      <c r="Q574" s="3391"/>
      <c r="R574" s="2338"/>
    </row>
    <row r="575" spans="1:18">
      <c r="A575" s="553"/>
      <c r="B575" s="1042"/>
      <c r="C575" s="1317" t="s">
        <v>1155</v>
      </c>
      <c r="D575" s="1311"/>
      <c r="E575" s="2131" t="s">
        <v>1517</v>
      </c>
      <c r="F575" s="1343" t="s">
        <v>1544</v>
      </c>
      <c r="G575" s="1344"/>
      <c r="H575" s="1344">
        <v>1E-3</v>
      </c>
      <c r="I575" s="1497"/>
      <c r="J575" s="1388"/>
      <c r="K575" s="1459"/>
      <c r="L575" s="1457"/>
      <c r="M575" s="1446"/>
      <c r="N575" s="1446">
        <f>SUM(N576:N578)</f>
        <v>114.04755</v>
      </c>
      <c r="O575" s="1446">
        <f>SUM(O576:O578)</f>
        <v>0.12000000000000001</v>
      </c>
      <c r="P575" s="1741">
        <f>SUM(P576:P578)</f>
        <v>2.9082125250000004E-3</v>
      </c>
      <c r="Q575" s="3391"/>
      <c r="R575" s="2338"/>
    </row>
    <row r="576" spans="1:18">
      <c r="A576" s="553"/>
      <c r="B576" s="1042"/>
      <c r="C576" s="1511"/>
      <c r="D576" s="1451" t="s">
        <v>1069</v>
      </c>
      <c r="E576" s="1856" t="s">
        <v>1517</v>
      </c>
      <c r="F576" s="1421" t="s">
        <v>1578</v>
      </c>
      <c r="G576" s="1452">
        <v>0.89100000000000001</v>
      </c>
      <c r="H576" s="1453">
        <f>$H$575*G576</f>
        <v>8.9100000000000008E-4</v>
      </c>
      <c r="I576" s="1286"/>
      <c r="J576" s="198"/>
      <c r="K576" s="1307">
        <f>H576*$K$571</f>
        <v>2.2720500000000004E-5</v>
      </c>
      <c r="L576" s="1335">
        <f t="shared" ref="L576:L578" si="42">K576*$K$499</f>
        <v>0</v>
      </c>
      <c r="M576" s="1302">
        <v>0.55000000000000004</v>
      </c>
      <c r="N576" s="1724">
        <f>G576*M576</f>
        <v>0.49005000000000004</v>
      </c>
      <c r="O576" s="1725">
        <f>ROUND(H576*M576,2)</f>
        <v>0</v>
      </c>
      <c r="P576" s="1734">
        <f>M576*K576</f>
        <v>1.2496275000000003E-5</v>
      </c>
      <c r="Q576" s="3396"/>
      <c r="R576" s="2338"/>
    </row>
    <row r="577" spans="1:18">
      <c r="A577" s="553"/>
      <c r="B577" s="1042"/>
      <c r="C577" s="595"/>
      <c r="D577" s="1367" t="s">
        <v>1394</v>
      </c>
      <c r="E577" s="1856" t="s">
        <v>1577</v>
      </c>
      <c r="F577" s="1421" t="s">
        <v>1579</v>
      </c>
      <c r="G577" s="1452">
        <v>0.51500000000000001</v>
      </c>
      <c r="H577" s="1453">
        <f>$H$575*G577</f>
        <v>5.1500000000000005E-4</v>
      </c>
      <c r="I577" s="1286"/>
      <c r="J577" s="198"/>
      <c r="K577" s="1307">
        <f>H577*$K$571</f>
        <v>1.3132500000000002E-5</v>
      </c>
      <c r="L577" s="1335">
        <f t="shared" si="42"/>
        <v>0</v>
      </c>
      <c r="M577" s="1302">
        <v>92.54</v>
      </c>
      <c r="N577" s="1724">
        <f>G577*M577</f>
        <v>47.658100000000005</v>
      </c>
      <c r="O577" s="1725">
        <f>ROUND(H577*M577,2)</f>
        <v>0.05</v>
      </c>
      <c r="P577" s="1727">
        <f>M577*K577</f>
        <v>1.2152815500000003E-3</v>
      </c>
      <c r="Q577" s="3396"/>
      <c r="R577" s="2338"/>
    </row>
    <row r="578" spans="1:18">
      <c r="A578" s="553"/>
      <c r="B578" s="1042"/>
      <c r="C578" s="1512"/>
      <c r="D578" s="1443" t="s">
        <v>1067</v>
      </c>
      <c r="E578" s="1857" t="s">
        <v>1508</v>
      </c>
      <c r="F578" s="1430" t="s">
        <v>1512</v>
      </c>
      <c r="G578" s="1431">
        <v>3.605</v>
      </c>
      <c r="H578" s="1454">
        <f>$H$575*G578</f>
        <v>3.6050000000000001E-3</v>
      </c>
      <c r="I578" s="1286"/>
      <c r="J578" s="198"/>
      <c r="K578" s="1307">
        <f>H578*$K$571</f>
        <v>9.1927500000000011E-5</v>
      </c>
      <c r="L578" s="1335">
        <f t="shared" si="42"/>
        <v>0</v>
      </c>
      <c r="M578" s="1302">
        <v>18.28</v>
      </c>
      <c r="N578" s="1724">
        <f>G578*M578</f>
        <v>65.8994</v>
      </c>
      <c r="O578" s="1725">
        <f>ROUND(H578*M578,2)</f>
        <v>7.0000000000000007E-2</v>
      </c>
      <c r="P578" s="1727">
        <f>M578*K578</f>
        <v>1.6804347000000002E-3</v>
      </c>
      <c r="Q578" s="3396"/>
      <c r="R578" s="2338"/>
    </row>
    <row r="579" spans="1:18">
      <c r="A579" s="553"/>
      <c r="B579" s="1042"/>
      <c r="C579" s="1317" t="s">
        <v>1127</v>
      </c>
      <c r="D579" s="1311"/>
      <c r="E579" s="2131" t="s">
        <v>1517</v>
      </c>
      <c r="F579" s="1343" t="s">
        <v>1519</v>
      </c>
      <c r="G579" s="1344"/>
      <c r="H579" s="1344">
        <v>3.1E-2</v>
      </c>
      <c r="I579" s="1497"/>
      <c r="J579" s="1388"/>
      <c r="K579" s="1445"/>
      <c r="L579" s="1457"/>
      <c r="M579" s="1446"/>
      <c r="N579" s="1446">
        <f>SUM(N580:N583)</f>
        <v>50.044430000000006</v>
      </c>
      <c r="O579" s="1446">
        <f>SUM(O580:O583)</f>
        <v>1.54</v>
      </c>
      <c r="P579" s="1446">
        <f>SUM(P580:P583)</f>
        <v>3.9560121915000003E-2</v>
      </c>
      <c r="Q579" s="3391"/>
      <c r="R579" s="2338"/>
    </row>
    <row r="580" spans="1:18">
      <c r="B580" s="1042"/>
      <c r="D580" s="1367" t="s">
        <v>1069</v>
      </c>
      <c r="E580" s="1856" t="s">
        <v>1517</v>
      </c>
      <c r="F580" s="1397" t="s">
        <v>1578</v>
      </c>
      <c r="G580" s="1416">
        <v>0.26300000000000001</v>
      </c>
      <c r="H580" s="1399">
        <f>$H$579*G580</f>
        <v>8.1530000000000005E-3</v>
      </c>
      <c r="I580" s="197"/>
      <c r="J580" s="198"/>
      <c r="K580" s="1307">
        <f>H580*$K$571</f>
        <v>2.0790150000000004E-4</v>
      </c>
      <c r="L580" s="1335">
        <f t="shared" ref="L580:L583" si="43">K580*$K$499</f>
        <v>0</v>
      </c>
      <c r="M580" s="1302">
        <v>0.55000000000000004</v>
      </c>
      <c r="N580" s="1724">
        <f>G580*M580</f>
        <v>0.14465000000000003</v>
      </c>
      <c r="O580" s="1725">
        <f>ROUND(H580*M580,2)</f>
        <v>0</v>
      </c>
      <c r="P580" s="1720">
        <f>M580*K580</f>
        <v>1.1434582500000003E-4</v>
      </c>
      <c r="Q580" s="3396"/>
      <c r="R580" s="2338"/>
    </row>
    <row r="581" spans="1:18">
      <c r="A581" s="553"/>
      <c r="B581" s="1042"/>
      <c r="C581" s="88"/>
      <c r="D581" s="1367" t="s">
        <v>1394</v>
      </c>
      <c r="E581" s="1856" t="s">
        <v>1577</v>
      </c>
      <c r="F581" s="1397" t="s">
        <v>1579</v>
      </c>
      <c r="G581" s="1416">
        <v>0.25800000000000001</v>
      </c>
      <c r="H581" s="1399">
        <f>$H$579*G581</f>
        <v>7.9979999999999999E-3</v>
      </c>
      <c r="I581" s="197"/>
      <c r="J581" s="198"/>
      <c r="K581" s="1307">
        <f>H581*$K$571</f>
        <v>2.0394900000000001E-4</v>
      </c>
      <c r="L581" s="1335">
        <f t="shared" si="43"/>
        <v>0</v>
      </c>
      <c r="M581" s="1302">
        <v>92.54</v>
      </c>
      <c r="N581" s="1724">
        <f>G581*M581</f>
        <v>23.875320000000002</v>
      </c>
      <c r="O581" s="1725">
        <f>ROUND(H581*M581,2)</f>
        <v>0.74</v>
      </c>
      <c r="P581" s="1720">
        <f>M581*K581</f>
        <v>1.8873440460000002E-2</v>
      </c>
      <c r="Q581" s="3396"/>
      <c r="R581" s="2338"/>
    </row>
    <row r="582" spans="1:18">
      <c r="A582" s="553"/>
      <c r="B582" s="1042"/>
      <c r="C582" s="88"/>
      <c r="D582" s="1367" t="s">
        <v>1576</v>
      </c>
      <c r="E582" s="1856" t="s">
        <v>1517</v>
      </c>
      <c r="F582" s="1397" t="s">
        <v>1580</v>
      </c>
      <c r="G582" s="1416">
        <v>1.1020000000000001</v>
      </c>
      <c r="H582" s="1399">
        <f>$H$579*G582</f>
        <v>3.4162000000000005E-2</v>
      </c>
      <c r="I582" s="197"/>
      <c r="J582" s="198"/>
      <c r="K582" s="1307">
        <f>H582*$K$571</f>
        <v>8.7113100000000014E-4</v>
      </c>
      <c r="L582" s="1335">
        <f t="shared" si="43"/>
        <v>0</v>
      </c>
      <c r="M582" s="1302">
        <v>6.53</v>
      </c>
      <c r="N582" s="1724">
        <f>G582*M582</f>
        <v>7.196060000000001</v>
      </c>
      <c r="O582" s="1725">
        <f>ROUND(H582*M582,2)</f>
        <v>0.22</v>
      </c>
      <c r="P582" s="1720">
        <f>M582*K582</f>
        <v>5.688485430000001E-3</v>
      </c>
      <c r="Q582" s="3396"/>
      <c r="R582" s="2338"/>
    </row>
    <row r="583" spans="1:18">
      <c r="A583" s="553"/>
      <c r="B583" s="1042"/>
      <c r="C583" s="88"/>
      <c r="D583" s="1359" t="s">
        <v>1067</v>
      </c>
      <c r="E583" s="1857" t="s">
        <v>1508</v>
      </c>
      <c r="F583" s="1406" t="s">
        <v>1512</v>
      </c>
      <c r="G583" s="1407">
        <v>1.03</v>
      </c>
      <c r="H583" s="1408">
        <f>$H$579*G583</f>
        <v>3.193E-2</v>
      </c>
      <c r="I583" s="197"/>
      <c r="J583" s="198"/>
      <c r="K583" s="1307">
        <f>H583*$K$571</f>
        <v>8.1421500000000008E-4</v>
      </c>
      <c r="L583" s="1335">
        <f t="shared" si="43"/>
        <v>0</v>
      </c>
      <c r="M583" s="1302">
        <v>18.28</v>
      </c>
      <c r="N583" s="1724">
        <f>G583*M583</f>
        <v>18.828400000000002</v>
      </c>
      <c r="O583" s="1725">
        <f>ROUND(H583*M583,2)</f>
        <v>0.57999999999999996</v>
      </c>
      <c r="P583" s="1720">
        <f>M583*K583</f>
        <v>1.4883850200000001E-2</v>
      </c>
      <c r="Q583" s="3396"/>
      <c r="R583" s="2338"/>
    </row>
    <row r="584" spans="1:18">
      <c r="A584" s="553"/>
      <c r="B584" s="1042"/>
      <c r="C584" s="88"/>
      <c r="D584" s="1367"/>
      <c r="E584" s="1856"/>
      <c r="F584" s="1397"/>
      <c r="G584" s="1416"/>
      <c r="H584" s="1399"/>
      <c r="I584" s="197"/>
      <c r="J584" s="198"/>
      <c r="K584" s="1307" t="str">
        <f>IF(COUNT(#REF!)=0,"",IF(#REF!="","",(#REF!*#REF!)))</f>
        <v/>
      </c>
      <c r="L584" s="1335"/>
      <c r="M584" s="1302"/>
      <c r="N584" s="1700"/>
      <c r="O584" s="1290"/>
      <c r="P584" s="1332"/>
      <c r="Q584" s="3391"/>
      <c r="R584" s="2338"/>
    </row>
    <row r="585" spans="1:18">
      <c r="A585" s="553"/>
      <c r="B585" s="1042"/>
      <c r="C585" s="88"/>
      <c r="D585" s="1367"/>
      <c r="E585" s="1856"/>
      <c r="F585" s="1397"/>
      <c r="G585" s="1416"/>
      <c r="H585" s="1399"/>
      <c r="I585" s="197"/>
      <c r="J585" s="198"/>
      <c r="K585" s="1307" t="str">
        <f>IF(COUNT(#REF!)=0,"",IF(#REF!="","",(#REF!*#REF!)))</f>
        <v/>
      </c>
      <c r="L585" s="1335"/>
      <c r="M585" s="1302"/>
      <c r="N585" s="1700"/>
      <c r="O585" s="1290"/>
      <c r="P585" s="1332"/>
      <c r="Q585" s="3391"/>
      <c r="R585" s="2338"/>
    </row>
    <row r="586" spans="1:18">
      <c r="A586" s="553"/>
      <c r="B586" s="1042"/>
      <c r="C586" s="88"/>
      <c r="D586" s="1359"/>
      <c r="E586" s="1858"/>
      <c r="F586" s="1465" t="s">
        <v>2</v>
      </c>
      <c r="G586" s="1466"/>
      <c r="H586" s="1362"/>
      <c r="I586" s="1381"/>
      <c r="J586" s="1381"/>
      <c r="K586" s="1359"/>
      <c r="L586" s="1458"/>
      <c r="M586" s="1498"/>
      <c r="N586" s="1498"/>
      <c r="O586" s="1498"/>
      <c r="P586" s="1359"/>
      <c r="Q586" s="3387"/>
      <c r="R586" s="2338"/>
    </row>
    <row r="587" spans="1:18">
      <c r="A587" s="553"/>
      <c r="B587" s="1042"/>
      <c r="C587" s="88"/>
      <c r="D587" s="1363" t="s">
        <v>1134</v>
      </c>
      <c r="E587" s="2125" t="s">
        <v>1508</v>
      </c>
      <c r="F587" s="1363" t="s">
        <v>1547</v>
      </c>
      <c r="G587" s="1408">
        <v>1.163</v>
      </c>
      <c r="H587" s="1408"/>
      <c r="I587" s="1340"/>
      <c r="J587" s="198"/>
      <c r="K587" s="1307">
        <f>G587*$K$571</f>
        <v>2.9656500000000002E-2</v>
      </c>
      <c r="L587" s="1335">
        <f t="shared" ref="L587:L588" si="44">K587*$K$499</f>
        <v>0</v>
      </c>
      <c r="M587" s="1302">
        <v>18.28</v>
      </c>
      <c r="N587" s="1700"/>
      <c r="O587" s="1290">
        <f>G587*M587</f>
        <v>21.259640000000001</v>
      </c>
      <c r="P587" s="1332">
        <f>M587*K587</f>
        <v>0.54212082000000006</v>
      </c>
      <c r="Q587" s="3391"/>
      <c r="R587" s="2338"/>
    </row>
    <row r="588" spans="1:18">
      <c r="A588" s="553"/>
      <c r="B588" s="1042"/>
      <c r="C588" s="88"/>
      <c r="D588" s="1363" t="s">
        <v>1067</v>
      </c>
      <c r="E588" s="2125" t="s">
        <v>1508</v>
      </c>
      <c r="F588" s="1363" t="s">
        <v>1512</v>
      </c>
      <c r="G588" s="1408">
        <v>0.58199999999999996</v>
      </c>
      <c r="H588" s="1408"/>
      <c r="I588" s="1340"/>
      <c r="J588" s="198"/>
      <c r="K588" s="1307">
        <f>G588*$K$571</f>
        <v>1.4841E-2</v>
      </c>
      <c r="L588" s="1335">
        <f t="shared" si="44"/>
        <v>0</v>
      </c>
      <c r="M588" s="1302">
        <v>21.23</v>
      </c>
      <c r="N588" s="1700"/>
      <c r="O588" s="1290">
        <f>G588*M588</f>
        <v>12.35586</v>
      </c>
      <c r="P588" s="1332">
        <f>M588*K588</f>
        <v>0.31507443000000002</v>
      </c>
      <c r="Q588" s="3391"/>
      <c r="R588" s="2338"/>
    </row>
    <row r="589" spans="1:18">
      <c r="A589" s="553"/>
      <c r="B589" s="1042"/>
      <c r="C589" s="88"/>
      <c r="D589" s="1363"/>
      <c r="E589" s="2125"/>
      <c r="F589" s="1363"/>
      <c r="G589" s="1474"/>
      <c r="H589" s="1408"/>
      <c r="I589" s="1340"/>
      <c r="J589" s="198"/>
      <c r="K589" s="1307"/>
      <c r="L589" s="1335"/>
      <c r="M589" s="1302"/>
      <c r="N589" s="1700"/>
      <c r="O589" s="1290"/>
      <c r="P589" s="1332"/>
      <c r="Q589" s="3391"/>
      <c r="R589" s="2338"/>
    </row>
    <row r="590" spans="1:18">
      <c r="A590" s="553"/>
      <c r="B590" s="1042"/>
      <c r="C590" s="88"/>
      <c r="D590" s="1373"/>
      <c r="E590" s="2123"/>
      <c r="F590" s="1475" t="s">
        <v>3</v>
      </c>
      <c r="G590" s="1377"/>
      <c r="H590" s="1376"/>
      <c r="I590" s="1383" t="str">
        <f>IF(COUNT(H591:O591)=0,"",(SUM(H591:O591)/COUNT(H591:O591)))</f>
        <v/>
      </c>
      <c r="J590" s="1383"/>
      <c r="K590" s="1383"/>
      <c r="L590" s="1413"/>
      <c r="M590" s="1376"/>
      <c r="N590" s="1376"/>
      <c r="O590" s="1376"/>
      <c r="P590" s="1373"/>
      <c r="Q590" s="3387"/>
      <c r="R590" s="2338"/>
    </row>
    <row r="591" spans="1:18">
      <c r="A591" s="553"/>
      <c r="B591" s="1042"/>
      <c r="C591" s="88"/>
      <c r="D591" s="1440"/>
      <c r="E591" s="2132"/>
      <c r="F591" s="1441"/>
      <c r="G591" s="1441"/>
      <c r="H591" s="1442"/>
      <c r="I591" s="197" t="str">
        <f>IF(COUNT(#REF!)=0,"",(SUM(#REF!)/COUNT(#REF!)))</f>
        <v/>
      </c>
      <c r="J591" s="198"/>
      <c r="K591" s="1307"/>
      <c r="L591" s="1335"/>
      <c r="M591" s="1499"/>
      <c r="N591" s="1701"/>
      <c r="O591" s="1290"/>
      <c r="P591" s="1332"/>
      <c r="Q591" s="3391"/>
      <c r="R591" s="2338"/>
    </row>
    <row r="592" spans="1:18">
      <c r="A592" s="553"/>
      <c r="B592" s="1042"/>
      <c r="C592" s="88"/>
      <c r="D592" s="1440"/>
      <c r="E592" s="2132"/>
      <c r="F592" s="1441"/>
      <c r="G592" s="1441"/>
      <c r="H592" s="1442"/>
      <c r="I592" s="197" t="str">
        <f>IF(COUNT(H593:O593)=0,"",(SUM(H593:O593)/COUNT(H593:O593)))</f>
        <v/>
      </c>
      <c r="J592" s="198"/>
      <c r="K592" s="1307"/>
      <c r="L592" s="1335"/>
      <c r="M592" s="1499"/>
      <c r="N592" s="1701"/>
      <c r="O592" s="1290"/>
      <c r="P592" s="1332"/>
      <c r="Q592" s="3391"/>
      <c r="R592" s="2338"/>
    </row>
    <row r="593" spans="1:18">
      <c r="A593" s="553"/>
      <c r="B593" s="223"/>
      <c r="C593" s="581"/>
      <c r="D593" s="4229"/>
      <c r="E593" s="4179"/>
      <c r="F593" s="1955"/>
      <c r="G593" s="1955"/>
      <c r="H593" s="1956"/>
      <c r="I593" s="197"/>
      <c r="J593" s="3991"/>
      <c r="K593" s="1307"/>
      <c r="L593" s="1335"/>
      <c r="M593" s="3992"/>
      <c r="N593" s="1701"/>
      <c r="O593" s="1290"/>
      <c r="P593" s="3919"/>
      <c r="Q593" s="3391"/>
      <c r="R593" s="2338"/>
    </row>
    <row r="594" spans="1:18" s="16" customFormat="1" ht="28.5">
      <c r="D594" s="1795"/>
      <c r="E594" s="2179"/>
      <c r="F594" s="1795"/>
      <c r="G594" s="1795"/>
      <c r="H594" s="1797"/>
      <c r="I594" s="1561"/>
      <c r="J594" s="1561"/>
      <c r="K594" s="1639"/>
      <c r="L594" s="2400" t="s">
        <v>2856</v>
      </c>
      <c r="M594" s="1292"/>
      <c r="N594" s="1292"/>
      <c r="O594" s="1292"/>
      <c r="P594" s="1292"/>
      <c r="Q594" s="3391"/>
      <c r="R594" s="4174"/>
    </row>
    <row r="595" spans="1:18" ht="17.25" customHeight="1">
      <c r="A595" s="4495" t="s">
        <v>162</v>
      </c>
      <c r="B595" s="4496"/>
      <c r="C595" s="4496"/>
      <c r="D595" s="4497"/>
      <c r="E595" s="4396" t="s">
        <v>1549</v>
      </c>
      <c r="F595" s="4397" t="s">
        <v>1550</v>
      </c>
      <c r="G595" s="4399" t="s">
        <v>1566</v>
      </c>
      <c r="H595" s="4400"/>
      <c r="I595" s="4400"/>
      <c r="J595" s="4400"/>
      <c r="K595" s="4400"/>
      <c r="L595" s="4401"/>
      <c r="M595" s="4405" t="s">
        <v>1567</v>
      </c>
      <c r="N595" s="4405"/>
      <c r="O595" s="4405"/>
      <c r="P595" s="4405"/>
      <c r="Q595" s="3395"/>
      <c r="R595" s="2338"/>
    </row>
    <row r="596" spans="1:18" ht="15" thickBot="1">
      <c r="A596" s="1324" t="s">
        <v>3766</v>
      </c>
      <c r="B596" s="1325" t="s">
        <v>1513</v>
      </c>
      <c r="C596" s="1326" t="s">
        <v>1573</v>
      </c>
      <c r="D596" s="1323" t="s">
        <v>1514</v>
      </c>
      <c r="E596" s="4396"/>
      <c r="F596" s="4398"/>
      <c r="G596" s="4402"/>
      <c r="H596" s="4403"/>
      <c r="I596" s="4403"/>
      <c r="J596" s="4403"/>
      <c r="K596" s="4403"/>
      <c r="L596" s="4404"/>
      <c r="M596" s="4405"/>
      <c r="N596" s="4405"/>
      <c r="O596" s="4405"/>
      <c r="P596" s="4405"/>
      <c r="Q596" s="3395"/>
      <c r="R596" s="2338"/>
    </row>
    <row r="597" spans="1:18">
      <c r="A597" s="4374" t="s">
        <v>2808</v>
      </c>
      <c r="B597" s="4375"/>
      <c r="C597" s="4375"/>
      <c r="D597" s="4376"/>
      <c r="E597" s="4380" t="s">
        <v>1527</v>
      </c>
      <c r="F597" s="4382" t="s">
        <v>1640</v>
      </c>
      <c r="G597" s="4406" t="s">
        <v>294</v>
      </c>
      <c r="H597" s="4407"/>
      <c r="I597" s="1665" t="s">
        <v>1565</v>
      </c>
      <c r="J597" s="3348" t="s">
        <v>1575</v>
      </c>
      <c r="K597" s="4406" t="s">
        <v>289</v>
      </c>
      <c r="L597" s="4407"/>
      <c r="M597" s="4408" t="s">
        <v>3349</v>
      </c>
      <c r="N597" s="4408"/>
      <c r="O597" s="4408"/>
      <c r="P597" s="4409"/>
      <c r="Q597" s="4244" t="s">
        <v>3926</v>
      </c>
      <c r="R597" s="2338"/>
    </row>
    <row r="598" spans="1:18" ht="16" thickBot="1">
      <c r="A598" s="4377"/>
      <c r="B598" s="4378"/>
      <c r="C598" s="4378"/>
      <c r="D598" s="4379"/>
      <c r="E598" s="4381"/>
      <c r="F598" s="4383"/>
      <c r="G598" s="4410">
        <f>IF('Seleccion proyecto HEREVEA02'!G17="Sustitución y reposición en hormigón",'Seleccion proyecto HEREVEA02'!E17,0)</f>
        <v>0</v>
      </c>
      <c r="H598" s="4411"/>
      <c r="I598" s="3353">
        <f>IF('Seleccion proyecto HEREVEA02'!H17=0,0,IF('Seleccion proyecto HEREVEA02'!H17="1 a 30",0.3, IF('Seleccion proyecto HEREVEA02'!H17="31 a 60", 0.6, IF('Seleccion proyecto HEREVEA02'!H17="61 a 100", 1))))</f>
        <v>0</v>
      </c>
      <c r="J598" s="1351">
        <f>'Seleccion proyecto HEREVEA02'!$L$8</f>
        <v>11100.968999999999</v>
      </c>
      <c r="K598" s="4412">
        <f>G598*I598*J598</f>
        <v>0</v>
      </c>
      <c r="L598" s="4413"/>
      <c r="M598" s="4360">
        <f>P600+P615+P630+P647+P668</f>
        <v>162.24052156943998</v>
      </c>
      <c r="N598" s="4361"/>
      <c r="O598" s="4361"/>
      <c r="P598" s="4362"/>
      <c r="Q598" s="4245">
        <f>M598*K598</f>
        <v>0</v>
      </c>
      <c r="R598" s="2338"/>
    </row>
    <row r="599" spans="1:18" ht="15" customHeight="1">
      <c r="A599" s="18" t="s">
        <v>3764</v>
      </c>
      <c r="B599" s="4367" t="s">
        <v>1496</v>
      </c>
      <c r="C599" s="3350"/>
      <c r="D599" s="4327"/>
      <c r="E599" s="4329" t="s">
        <v>1507</v>
      </c>
      <c r="F599" s="4338" t="s">
        <v>1554</v>
      </c>
      <c r="G599" s="4331" t="s">
        <v>1568</v>
      </c>
      <c r="H599" s="4331" t="s">
        <v>1574</v>
      </c>
      <c r="I599" s="1572" t="s">
        <v>1559</v>
      </c>
      <c r="J599" s="1294" t="s">
        <v>1560</v>
      </c>
      <c r="K599" s="1294" t="s">
        <v>1561</v>
      </c>
      <c r="L599" s="4333" t="s">
        <v>3765</v>
      </c>
      <c r="M599" s="4335" t="s">
        <v>1571</v>
      </c>
      <c r="N599" s="4323" t="s">
        <v>1776</v>
      </c>
      <c r="O599" s="3347" t="s">
        <v>1563</v>
      </c>
      <c r="P599" s="1336" t="s">
        <v>1562</v>
      </c>
      <c r="Q599" s="3389"/>
      <c r="R599" s="1699" t="s">
        <v>1327</v>
      </c>
    </row>
    <row r="600" spans="1:18">
      <c r="A600" s="1320" t="s">
        <v>2808</v>
      </c>
      <c r="B600" s="4369"/>
      <c r="C600" s="3351"/>
      <c r="D600" s="4328"/>
      <c r="E600" s="4330"/>
      <c r="F600" s="4338"/>
      <c r="G600" s="4332"/>
      <c r="H600" s="4332"/>
      <c r="I600" s="1345">
        <v>1.5</v>
      </c>
      <c r="J600" s="1307">
        <v>1.7000000000000001E-2</v>
      </c>
      <c r="K600" s="1297">
        <f>I600*J600</f>
        <v>2.5500000000000002E-2</v>
      </c>
      <c r="L600" s="4334"/>
      <c r="M600" s="4335"/>
      <c r="N600" s="4324"/>
      <c r="O600" s="1298">
        <f>O606+O610+O611+O612</f>
        <v>187.89631000000003</v>
      </c>
      <c r="P600" s="1337">
        <f>O600*K600</f>
        <v>4.7913559050000014</v>
      </c>
      <c r="Q600" s="3390"/>
      <c r="R600" s="1721">
        <f>P606+P610+P611+P612</f>
        <v>4.7912569650000005</v>
      </c>
    </row>
    <row r="601" spans="1:18">
      <c r="A601" s="1042"/>
      <c r="B601" s="20"/>
      <c r="C601" s="18"/>
      <c r="D601" s="1463"/>
      <c r="E601" s="2121"/>
      <c r="F601" s="1368" t="s">
        <v>1</v>
      </c>
      <c r="G601" s="1426"/>
      <c r="H601" s="1426"/>
      <c r="I601" s="1391"/>
      <c r="J601" s="1369"/>
      <c r="K601" s="1369"/>
      <c r="L601" s="1554"/>
      <c r="M601" s="1369"/>
      <c r="N601" s="1369"/>
      <c r="O601" s="1369"/>
      <c r="P601" s="1367"/>
      <c r="Q601" s="3387"/>
      <c r="R601" s="2338"/>
    </row>
    <row r="602" spans="1:18">
      <c r="A602" s="1042"/>
      <c r="B602" s="19"/>
      <c r="C602" s="1042"/>
      <c r="D602" s="1371"/>
      <c r="E602" s="2144"/>
      <c r="F602" s="1471"/>
      <c r="G602" s="1372"/>
      <c r="H602" s="1372"/>
      <c r="I602" s="1346" t="str">
        <f>IF(COUNT(G603:O603)=0,"",(SUM(G603:O603)/COUNT(G603:O603)))</f>
        <v/>
      </c>
      <c r="J602" s="1341"/>
      <c r="K602" s="1307" t="str">
        <f t="shared" ref="K602:K604" si="45">IF(COUNT(I602)=0,"",(I602*J602))</f>
        <v/>
      </c>
      <c r="L602" s="1335"/>
      <c r="M602" s="1302"/>
      <c r="N602" s="1302"/>
      <c r="O602" s="1291"/>
      <c r="P602" s="1332"/>
      <c r="Q602" s="3391"/>
      <c r="R602" s="2338"/>
    </row>
    <row r="603" spans="1:18">
      <c r="A603" s="1042"/>
      <c r="B603" s="19"/>
      <c r="C603" s="1042"/>
      <c r="D603" s="1371"/>
      <c r="E603" s="2144"/>
      <c r="F603" s="1471"/>
      <c r="G603" s="1372"/>
      <c r="H603" s="1372"/>
      <c r="I603" s="1346" t="str">
        <f>IF(COUNT(G604:O604)=0,"",(SUM(G604:O604)/COUNT(G604:O604)))</f>
        <v/>
      </c>
      <c r="J603" s="1341"/>
      <c r="K603" s="1307" t="str">
        <f t="shared" si="45"/>
        <v/>
      </c>
      <c r="L603" s="1335"/>
      <c r="M603" s="1302"/>
      <c r="N603" s="1302"/>
      <c r="O603" s="1291"/>
      <c r="P603" s="1332"/>
      <c r="Q603" s="3391"/>
      <c r="R603" s="2338"/>
    </row>
    <row r="604" spans="1:18">
      <c r="A604" s="1042"/>
      <c r="B604" s="19"/>
      <c r="C604" s="1042"/>
      <c r="D604" s="1371"/>
      <c r="E604" s="2144"/>
      <c r="F604" s="1471"/>
      <c r="G604" s="1372"/>
      <c r="H604" s="1372"/>
      <c r="I604" s="1346" t="str">
        <f>IF(COUNT(G605:O605)=0,"",(SUM(G605:O605)/COUNT(G605:O605)))</f>
        <v/>
      </c>
      <c r="J604" s="1341"/>
      <c r="K604" s="1307" t="str">
        <f t="shared" si="45"/>
        <v/>
      </c>
      <c r="L604" s="1335"/>
      <c r="M604" s="1302"/>
      <c r="N604" s="1302"/>
      <c r="O604" s="1291"/>
      <c r="P604" s="1332"/>
      <c r="Q604" s="3391"/>
      <c r="R604" s="2338"/>
    </row>
    <row r="605" spans="1:18">
      <c r="A605" s="1042"/>
      <c r="B605" s="19"/>
      <c r="C605" s="1042"/>
      <c r="D605" s="1404"/>
      <c r="E605" s="1858"/>
      <c r="F605" s="1465" t="s">
        <v>2</v>
      </c>
      <c r="G605" s="1362"/>
      <c r="H605" s="1362"/>
      <c r="I605" s="1380"/>
      <c r="J605" s="1381"/>
      <c r="K605" s="1381"/>
      <c r="L605" s="1458"/>
      <c r="M605" s="1362"/>
      <c r="N605" s="1705"/>
      <c r="O605" s="1469"/>
      <c r="P605" s="1470"/>
      <c r="Q605" s="3398"/>
      <c r="R605" s="2338"/>
    </row>
    <row r="606" spans="1:18">
      <c r="A606" s="1042"/>
      <c r="B606" s="19"/>
      <c r="C606" s="1042"/>
      <c r="D606" s="1363" t="s">
        <v>1067</v>
      </c>
      <c r="E606" s="2125" t="s">
        <v>1508</v>
      </c>
      <c r="F606" s="1385" t="s">
        <v>1512</v>
      </c>
      <c r="G606" s="1386">
        <f>1.629+2.1</f>
        <v>3.7290000000000001</v>
      </c>
      <c r="H606" s="1386"/>
      <c r="I606" s="1380"/>
      <c r="J606" s="1381"/>
      <c r="K606" s="1307">
        <f>G606*$K$600</f>
        <v>9.5089500000000007E-2</v>
      </c>
      <c r="L606" s="1335">
        <f t="shared" ref="L606" si="46">K606*$K$598</f>
        <v>0</v>
      </c>
      <c r="M606" s="1499">
        <v>18.28</v>
      </c>
      <c r="N606" s="1499"/>
      <c r="O606" s="1291">
        <f>ROUND(G606*M606,2)</f>
        <v>68.17</v>
      </c>
      <c r="P606" s="1332">
        <f>M606*K606</f>
        <v>1.7382360600000002</v>
      </c>
      <c r="Q606" s="3391"/>
      <c r="R606" s="2338"/>
    </row>
    <row r="607" spans="1:18">
      <c r="A607" s="1042"/>
      <c r="B607" s="19"/>
      <c r="C607" s="1042"/>
      <c r="D607" s="1363"/>
      <c r="E607" s="2125"/>
      <c r="F607" s="1385"/>
      <c r="G607" s="1386"/>
      <c r="H607" s="1386"/>
      <c r="I607" s="1380"/>
      <c r="J607" s="1381"/>
      <c r="K607" s="1307"/>
      <c r="L607" s="1335"/>
      <c r="M607" s="1499"/>
      <c r="N607" s="1499"/>
      <c r="O607" s="1291"/>
      <c r="P607" s="1332"/>
      <c r="Q607" s="3391"/>
      <c r="R607" s="2338"/>
    </row>
    <row r="608" spans="1:18">
      <c r="A608" s="1042"/>
      <c r="B608" s="19"/>
      <c r="C608" s="1042"/>
      <c r="D608" s="1363"/>
      <c r="E608" s="2125"/>
      <c r="F608" s="1385"/>
      <c r="G608" s="1386"/>
      <c r="H608" s="1386"/>
      <c r="I608" s="1380"/>
      <c r="J608" s="1381"/>
      <c r="K608" s="1307"/>
      <c r="L608" s="1335"/>
      <c r="M608" s="1499"/>
      <c r="N608" s="1499"/>
      <c r="O608" s="1291"/>
      <c r="P608" s="1332"/>
      <c r="Q608" s="3391"/>
      <c r="R608" s="2338"/>
    </row>
    <row r="609" spans="1:18">
      <c r="A609" s="1042"/>
      <c r="B609" s="19"/>
      <c r="C609" s="1042"/>
      <c r="D609" s="1411"/>
      <c r="E609" s="2123"/>
      <c r="F609" s="1475" t="s">
        <v>3</v>
      </c>
      <c r="G609" s="1376"/>
      <c r="H609" s="1376"/>
      <c r="I609" s="1382"/>
      <c r="J609" s="1383"/>
      <c r="K609" s="1373"/>
      <c r="L609" s="1413"/>
      <c r="M609" s="1508"/>
      <c r="N609" s="1706"/>
      <c r="O609" s="1486"/>
      <c r="P609" s="1373"/>
      <c r="Q609" s="3387"/>
      <c r="R609" s="2338"/>
    </row>
    <row r="610" spans="1:18">
      <c r="A610" s="1042"/>
      <c r="B610" s="19"/>
      <c r="C610" s="1042"/>
      <c r="D610" s="1378" t="s">
        <v>1073</v>
      </c>
      <c r="E610" s="2139" t="s">
        <v>1508</v>
      </c>
      <c r="F610" s="1476" t="s">
        <v>1509</v>
      </c>
      <c r="G610" s="1379">
        <v>5.8000000000000003E-2</v>
      </c>
      <c r="H610" s="1379"/>
      <c r="I610" s="1289"/>
      <c r="J610" s="1341"/>
      <c r="K610" s="1307">
        <f>G610*$K$600</f>
        <v>1.4790000000000003E-3</v>
      </c>
      <c r="L610" s="1335">
        <f t="shared" ref="L610:L612" si="47">K610*$K$598</f>
        <v>0</v>
      </c>
      <c r="M610" s="1499">
        <v>23.87</v>
      </c>
      <c r="N610" s="1499"/>
      <c r="O610" s="1291">
        <f>G610*M610</f>
        <v>1.38446</v>
      </c>
      <c r="P610" s="1332">
        <f>M610*K610</f>
        <v>3.5303730000000005E-2</v>
      </c>
      <c r="Q610" s="3391"/>
      <c r="R610" s="2338"/>
    </row>
    <row r="611" spans="1:18">
      <c r="A611" s="1042"/>
      <c r="B611" s="19"/>
      <c r="C611" s="1042"/>
      <c r="D611" s="1478" t="s">
        <v>1066</v>
      </c>
      <c r="E611" s="2140" t="s">
        <v>1508</v>
      </c>
      <c r="F611" s="1479" t="s">
        <v>1510</v>
      </c>
      <c r="G611" s="1481">
        <v>1.0999999999999999E-2</v>
      </c>
      <c r="H611" s="1481"/>
      <c r="I611" s="1347"/>
      <c r="J611" s="1348"/>
      <c r="K611" s="1307">
        <f>G611*$K$600</f>
        <v>2.8049999999999999E-4</v>
      </c>
      <c r="L611" s="1335">
        <f t="shared" si="47"/>
        <v>0</v>
      </c>
      <c r="M611" s="1509">
        <v>6.35</v>
      </c>
      <c r="N611" s="1509"/>
      <c r="O611" s="1291">
        <f>G611*M611</f>
        <v>6.9849999999999995E-2</v>
      </c>
      <c r="P611" s="1332">
        <f>M611*K611</f>
        <v>1.7811749999999999E-3</v>
      </c>
      <c r="Q611" s="3391"/>
      <c r="R611" s="2338"/>
    </row>
    <row r="612" spans="1:18">
      <c r="A612" s="1042"/>
      <c r="B612" s="19"/>
      <c r="C612" s="1042"/>
      <c r="D612" s="1482" t="s">
        <v>1080</v>
      </c>
      <c r="E612" s="2141" t="s">
        <v>1508</v>
      </c>
      <c r="F612" s="1483" t="s">
        <v>1511</v>
      </c>
      <c r="G612" s="1484">
        <v>1.6</v>
      </c>
      <c r="H612" s="1484"/>
      <c r="I612" s="1349"/>
      <c r="J612" s="1341"/>
      <c r="K612" s="1307">
        <f>G612*$K$600</f>
        <v>4.0800000000000003E-2</v>
      </c>
      <c r="L612" s="1335">
        <f t="shared" si="47"/>
        <v>0</v>
      </c>
      <c r="M612" s="1499">
        <v>73.92</v>
      </c>
      <c r="N612" s="1499"/>
      <c r="O612" s="1291">
        <f>G612*M612</f>
        <v>118.27200000000001</v>
      </c>
      <c r="P612" s="1332">
        <f>M612*K612</f>
        <v>3.0159360000000004</v>
      </c>
      <c r="Q612" s="3391"/>
      <c r="R612" s="2338"/>
    </row>
    <row r="613" spans="1:18">
      <c r="A613" s="1042"/>
      <c r="B613" s="19"/>
      <c r="C613" s="223"/>
      <c r="D613" s="1377"/>
      <c r="E613" s="2124"/>
      <c r="F613" s="1377"/>
      <c r="G613" s="1377"/>
      <c r="H613" s="1597"/>
      <c r="I613" s="1349"/>
      <c r="J613" s="1341"/>
      <c r="K613" s="1307"/>
      <c r="L613" s="1594"/>
      <c r="M613" s="1499"/>
      <c r="N613" s="1499"/>
      <c r="O613" s="1291"/>
      <c r="P613" s="1332"/>
      <c r="Q613" s="3391"/>
      <c r="R613" s="2338"/>
    </row>
    <row r="614" spans="1:18" ht="15" customHeight="1">
      <c r="A614" s="88" t="s">
        <v>3764</v>
      </c>
      <c r="B614" s="4367" t="s">
        <v>1636</v>
      </c>
      <c r="C614" s="3350"/>
      <c r="D614" s="4327"/>
      <c r="E614" s="4329" t="s">
        <v>1527</v>
      </c>
      <c r="F614" s="4338" t="s">
        <v>1637</v>
      </c>
      <c r="G614" s="4331" t="s">
        <v>1568</v>
      </c>
      <c r="H614" s="4331" t="s">
        <v>1574</v>
      </c>
      <c r="I614" s="1572" t="s">
        <v>1559</v>
      </c>
      <c r="J614" s="1294" t="s">
        <v>1560</v>
      </c>
      <c r="K614" s="1294" t="s">
        <v>1561</v>
      </c>
      <c r="L614" s="4333" t="s">
        <v>3765</v>
      </c>
      <c r="M614" s="4335" t="s">
        <v>1571</v>
      </c>
      <c r="N614" s="4323" t="s">
        <v>1776</v>
      </c>
      <c r="O614" s="3347" t="s">
        <v>1563</v>
      </c>
      <c r="P614" s="1336" t="s">
        <v>1562</v>
      </c>
      <c r="Q614" s="3389"/>
      <c r="R614" s="1699" t="s">
        <v>1327</v>
      </c>
    </row>
    <row r="615" spans="1:18">
      <c r="A615" s="1320" t="s">
        <v>2808</v>
      </c>
      <c r="B615" s="4369"/>
      <c r="C615" s="3351"/>
      <c r="D615" s="4328"/>
      <c r="E615" s="4330"/>
      <c r="F615" s="4338"/>
      <c r="G615" s="4332"/>
      <c r="H615" s="4332"/>
      <c r="I615" s="1345">
        <v>60</v>
      </c>
      <c r="J615" s="1307">
        <v>1.7000000000000001E-2</v>
      </c>
      <c r="K615" s="1297">
        <f>I615*J615</f>
        <v>1.02</v>
      </c>
      <c r="L615" s="4334"/>
      <c r="M615" s="4335"/>
      <c r="N615" s="4324"/>
      <c r="O615" s="1298">
        <f>O617+O620+O625+O626+O627</f>
        <v>124.00999999999999</v>
      </c>
      <c r="P615" s="1337">
        <f>O615*K615</f>
        <v>126.49019999999999</v>
      </c>
      <c r="Q615" s="3390"/>
      <c r="R615" s="1721">
        <f>P617+P620+P625+P626+P627</f>
        <v>126.49033260000002</v>
      </c>
    </row>
    <row r="616" spans="1:18">
      <c r="A616" s="1042"/>
      <c r="B616" s="1511"/>
      <c r="C616" s="18"/>
      <c r="D616" s="1463"/>
      <c r="E616" s="2121"/>
      <c r="F616" s="1368" t="s">
        <v>1</v>
      </c>
      <c r="G616" s="1426"/>
      <c r="H616" s="1426"/>
      <c r="I616" s="1391"/>
      <c r="J616" s="1369"/>
      <c r="K616" s="1369"/>
      <c r="L616" s="1554"/>
      <c r="M616" s="1369"/>
      <c r="N616" s="1369"/>
      <c r="O616" s="1369"/>
      <c r="P616" s="1367"/>
      <c r="Q616" s="3387"/>
      <c r="R616" s="2338"/>
    </row>
    <row r="617" spans="1:18">
      <c r="A617" s="1042"/>
      <c r="B617" s="595"/>
      <c r="C617" s="1042"/>
      <c r="D617" s="1371" t="s">
        <v>1097</v>
      </c>
      <c r="E617" s="2144" t="s">
        <v>1504</v>
      </c>
      <c r="F617" s="1471" t="s">
        <v>1632</v>
      </c>
      <c r="G617" s="1372">
        <v>3</v>
      </c>
      <c r="H617" s="1372"/>
      <c r="I617" s="1346" t="str">
        <f>IF(COUNT(#REF!)=0,"",(SUM(#REF!)/COUNT(#REF!)))</f>
        <v/>
      </c>
      <c r="J617" s="1341"/>
      <c r="K617" s="1307">
        <f>G617*$K$615</f>
        <v>3.06</v>
      </c>
      <c r="L617" s="1335">
        <f t="shared" ref="L617" si="48">K617*$K$598</f>
        <v>0</v>
      </c>
      <c r="M617" s="1302">
        <v>0.55000000000000004</v>
      </c>
      <c r="N617" s="1302"/>
      <c r="O617" s="1291">
        <f>ROUND(G617*M617,2)</f>
        <v>1.65</v>
      </c>
      <c r="P617" s="1332">
        <f>M617*K617</f>
        <v>1.6830000000000003</v>
      </c>
      <c r="Q617" s="3391"/>
      <c r="R617" s="2338"/>
    </row>
    <row r="618" spans="1:18">
      <c r="A618" s="1042"/>
      <c r="B618" s="595"/>
      <c r="C618" s="1042"/>
      <c r="D618" s="1371"/>
      <c r="E618" s="2144"/>
      <c r="F618" s="1471"/>
      <c r="G618" s="1494"/>
      <c r="H618" s="1372"/>
      <c r="I618" s="1346" t="str">
        <f t="shared" ref="I618" si="49">IF(COUNT(H619:O619)=0,"",(SUM(H619:O619)/COUNT(H619:O619)))</f>
        <v/>
      </c>
      <c r="J618" s="1341"/>
      <c r="K618" s="1307" t="str">
        <f t="shared" ref="K618" si="50">IF(COUNT(I618)=0,"",(I618*J618))</f>
        <v/>
      </c>
      <c r="L618" s="1335"/>
      <c r="M618" s="1302"/>
      <c r="N618" s="1302"/>
      <c r="O618" s="1291"/>
      <c r="P618" s="1332"/>
      <c r="Q618" s="3391"/>
      <c r="R618" s="2338"/>
    </row>
    <row r="619" spans="1:18">
      <c r="A619" s="1042"/>
      <c r="B619" s="595"/>
      <c r="C619" s="1042"/>
      <c r="D619" s="1404"/>
      <c r="E619" s="1858"/>
      <c r="F619" s="1465" t="s">
        <v>2</v>
      </c>
      <c r="G619" s="1466"/>
      <c r="H619" s="1362"/>
      <c r="I619" s="1380"/>
      <c r="J619" s="1381"/>
      <c r="K619" s="1381"/>
      <c r="L619" s="1458"/>
      <c r="M619" s="1362"/>
      <c r="N619" s="1705"/>
      <c r="O619" s="1469"/>
      <c r="P619" s="1470"/>
      <c r="Q619" s="3398"/>
      <c r="R619" s="2338"/>
    </row>
    <row r="620" spans="1:18">
      <c r="A620" s="1042"/>
      <c r="B620" s="595"/>
      <c r="C620" s="1358" t="s">
        <v>1638</v>
      </c>
      <c r="D620" s="1329"/>
      <c r="E620" s="2135" t="s">
        <v>1508</v>
      </c>
      <c r="F620" s="1312" t="s">
        <v>1639</v>
      </c>
      <c r="G620" s="1584"/>
      <c r="H620" s="1584">
        <v>1</v>
      </c>
      <c r="I620" s="1444"/>
      <c r="J620" s="1388"/>
      <c r="K620" s="1510"/>
      <c r="L620" s="1445"/>
      <c r="M620" s="1500"/>
      <c r="N620" s="1446">
        <f>SUM(N621:N622)</f>
        <v>26.338200000000001</v>
      </c>
      <c r="O620" s="1446">
        <f>SUM(O621:O622)</f>
        <v>2.64</v>
      </c>
      <c r="P620" s="1446">
        <f>SUM(P621:P622)</f>
        <v>2.6864964000000002</v>
      </c>
      <c r="Q620" s="3391"/>
      <c r="R620" s="2338"/>
    </row>
    <row r="621" spans="1:18">
      <c r="A621" s="1042"/>
      <c r="B621" s="595"/>
      <c r="C621" s="1042"/>
      <c r="D621" s="1402" t="s">
        <v>1067</v>
      </c>
      <c r="E621" s="1857" t="s">
        <v>1508</v>
      </c>
      <c r="F621" s="1430" t="s">
        <v>1512</v>
      </c>
      <c r="G621" s="1362">
        <v>1</v>
      </c>
      <c r="H621" s="1362">
        <f>$H$351*G621</f>
        <v>0.1</v>
      </c>
      <c r="I621" s="197"/>
      <c r="J621" s="198"/>
      <c r="K621" s="1307">
        <f>H621*$K$615</f>
        <v>0.10200000000000001</v>
      </c>
      <c r="L621" s="1335">
        <f t="shared" ref="L621:L622" si="51">K621*$K$598</f>
        <v>0</v>
      </c>
      <c r="M621" s="1499">
        <v>18.28</v>
      </c>
      <c r="N621" s="1724">
        <f>G621*M621</f>
        <v>18.28</v>
      </c>
      <c r="O621" s="1725">
        <f>ROUND(H621*M621,2)</f>
        <v>1.83</v>
      </c>
      <c r="P621" s="1720">
        <f>M621*K621</f>
        <v>1.8645600000000002</v>
      </c>
      <c r="Q621" s="3396"/>
      <c r="R621" s="2338"/>
    </row>
    <row r="622" spans="1:18">
      <c r="A622" s="1320"/>
      <c r="B622" s="595"/>
      <c r="C622" s="1042"/>
      <c r="D622" s="1402" t="s">
        <v>1088</v>
      </c>
      <c r="E622" s="1857" t="s">
        <v>1508</v>
      </c>
      <c r="F622" s="1430" t="s">
        <v>1611</v>
      </c>
      <c r="G622" s="1362">
        <v>0.43</v>
      </c>
      <c r="H622" s="1362">
        <f>$H$351*G622</f>
        <v>4.3000000000000003E-2</v>
      </c>
      <c r="I622" s="197"/>
      <c r="J622" s="198"/>
      <c r="K622" s="1307">
        <f>H622*$K$615</f>
        <v>4.3860000000000003E-2</v>
      </c>
      <c r="L622" s="1335">
        <f t="shared" si="51"/>
        <v>0</v>
      </c>
      <c r="M622" s="1499">
        <v>18.739999999999998</v>
      </c>
      <c r="N622" s="1724">
        <f>G622*M622</f>
        <v>8.0581999999999994</v>
      </c>
      <c r="O622" s="1725">
        <f>ROUND(H622*M622,2)</f>
        <v>0.81</v>
      </c>
      <c r="P622" s="1720">
        <f>M622*K622</f>
        <v>0.82193640000000001</v>
      </c>
      <c r="Q622" s="3396"/>
      <c r="R622" s="2338"/>
    </row>
    <row r="623" spans="1:18">
      <c r="A623" s="1320"/>
      <c r="B623" s="595"/>
      <c r="C623" s="1042"/>
      <c r="D623" s="1402"/>
      <c r="E623" s="1857"/>
      <c r="F623" s="1430"/>
      <c r="G623" s="1362"/>
      <c r="H623" s="1362"/>
      <c r="I623" s="197"/>
      <c r="J623" s="198"/>
      <c r="K623" s="1307"/>
      <c r="L623" s="1335"/>
      <c r="M623" s="1972"/>
      <c r="N623" s="2225"/>
      <c r="O623" s="2226"/>
      <c r="P623" s="1720"/>
      <c r="Q623" s="3396"/>
      <c r="R623" s="2338"/>
    </row>
    <row r="624" spans="1:18">
      <c r="A624" s="1320"/>
      <c r="B624" s="595"/>
      <c r="C624" s="1042"/>
      <c r="D624" s="1411"/>
      <c r="E624" s="2123"/>
      <c r="F624" s="1475" t="s">
        <v>3</v>
      </c>
      <c r="G624" s="1373"/>
      <c r="H624" s="1376"/>
      <c r="I624" s="1382"/>
      <c r="J624" s="1383"/>
      <c r="K624" s="1373"/>
      <c r="L624" s="1413"/>
      <c r="M624" s="1508"/>
      <c r="N624" s="1706"/>
      <c r="O624" s="1486"/>
      <c r="P624" s="1373"/>
      <c r="Q624" s="3387"/>
      <c r="R624" s="2338"/>
    </row>
    <row r="625" spans="1:18">
      <c r="A625" s="1320"/>
      <c r="B625" s="595"/>
      <c r="C625" s="1042"/>
      <c r="D625" s="1378" t="s">
        <v>1073</v>
      </c>
      <c r="E625" s="2139" t="s">
        <v>1508</v>
      </c>
      <c r="F625" s="1476" t="s">
        <v>1509</v>
      </c>
      <c r="G625" s="1379">
        <v>5.8000000000000003E-2</v>
      </c>
      <c r="H625" s="1379"/>
      <c r="I625" s="1289"/>
      <c r="J625" s="1341"/>
      <c r="K625" s="1307">
        <f>G625*$K$615</f>
        <v>5.9160000000000004E-2</v>
      </c>
      <c r="L625" s="1335">
        <f t="shared" ref="L625:L627" si="52">K625*$K$598</f>
        <v>0</v>
      </c>
      <c r="M625" s="1499">
        <v>23.87</v>
      </c>
      <c r="N625" s="1499"/>
      <c r="O625" s="1291">
        <f>ROUND(G625*M625,2)</f>
        <v>1.38</v>
      </c>
      <c r="P625" s="1332">
        <f>M625*K625</f>
        <v>1.4121492000000002</v>
      </c>
      <c r="Q625" s="3391"/>
      <c r="R625" s="2338"/>
    </row>
    <row r="626" spans="1:18">
      <c r="A626" s="1320"/>
      <c r="B626" s="595"/>
      <c r="C626" s="1042"/>
      <c r="D626" s="1478" t="s">
        <v>1066</v>
      </c>
      <c r="E626" s="2140" t="s">
        <v>1508</v>
      </c>
      <c r="F626" s="1479" t="s">
        <v>1510</v>
      </c>
      <c r="G626" s="1481">
        <v>1.0999999999999999E-2</v>
      </c>
      <c r="H626" s="1481"/>
      <c r="I626" s="1347"/>
      <c r="J626" s="1348"/>
      <c r="K626" s="1307">
        <f>G626*$K$615</f>
        <v>1.1219999999999999E-2</v>
      </c>
      <c r="L626" s="1335">
        <f t="shared" si="52"/>
        <v>0</v>
      </c>
      <c r="M626" s="1509">
        <v>6.35</v>
      </c>
      <c r="N626" s="1509"/>
      <c r="O626" s="1339">
        <f>ROUND(G626*M626,2)</f>
        <v>7.0000000000000007E-2</v>
      </c>
      <c r="P626" s="1332">
        <f>M626*K626</f>
        <v>7.1246999999999991E-2</v>
      </c>
      <c r="Q626" s="3391"/>
      <c r="R626" s="2338"/>
    </row>
    <row r="627" spans="1:18">
      <c r="A627" s="1320"/>
      <c r="B627" s="595"/>
      <c r="C627" s="1042"/>
      <c r="D627" s="1482" t="s">
        <v>1080</v>
      </c>
      <c r="E627" s="2141" t="s">
        <v>1508</v>
      </c>
      <c r="F627" s="1483" t="s">
        <v>1511</v>
      </c>
      <c r="G627" s="1484">
        <v>1.6</v>
      </c>
      <c r="H627" s="1484"/>
      <c r="I627" s="1349"/>
      <c r="J627" s="1341"/>
      <c r="K627" s="1307">
        <f>G627*$K$615</f>
        <v>1.6320000000000001</v>
      </c>
      <c r="L627" s="1335">
        <f t="shared" si="52"/>
        <v>0</v>
      </c>
      <c r="M627" s="1499">
        <v>73.92</v>
      </c>
      <c r="N627" s="1499"/>
      <c r="O627" s="1291">
        <f>ROUND(G627*M627,2)</f>
        <v>118.27</v>
      </c>
      <c r="P627" s="1332">
        <f>M627*K627</f>
        <v>120.63744000000001</v>
      </c>
      <c r="Q627" s="3391"/>
      <c r="R627" s="2338"/>
    </row>
    <row r="628" spans="1:18">
      <c r="A628" s="1042"/>
      <c r="B628" s="1512"/>
      <c r="C628" s="223"/>
      <c r="D628" s="1440"/>
      <c r="E628" s="2132"/>
      <c r="F628" s="1441"/>
      <c r="G628" s="1441"/>
      <c r="H628" s="1442"/>
      <c r="I628" s="197" t="str">
        <f>IF(COUNT(G629:O629)=0,"",(SUM(G629:O629)/COUNT(G629:O629)))</f>
        <v/>
      </c>
      <c r="J628" s="198"/>
      <c r="K628" s="1307" t="str">
        <f>IF(COUNT(I628)=0,"",(I628*J628))</f>
        <v/>
      </c>
      <c r="L628" s="1335"/>
      <c r="M628" s="1499"/>
      <c r="N628" s="1701"/>
      <c r="O628" s="1290"/>
      <c r="P628" s="1332"/>
      <c r="Q628" s="3391"/>
      <c r="R628" s="2338"/>
    </row>
    <row r="629" spans="1:18" ht="15" customHeight="1">
      <c r="A629" s="88" t="s">
        <v>3764</v>
      </c>
      <c r="B629" s="4367" t="s">
        <v>1641</v>
      </c>
      <c r="C629" s="3350"/>
      <c r="D629" s="4327"/>
      <c r="E629" s="4329" t="s">
        <v>1527</v>
      </c>
      <c r="F629" s="4327" t="s">
        <v>1651</v>
      </c>
      <c r="G629" s="4331" t="s">
        <v>1568</v>
      </c>
      <c r="H629" s="4331" t="s">
        <v>1574</v>
      </c>
      <c r="I629" s="1572" t="s">
        <v>1559</v>
      </c>
      <c r="J629" s="1294" t="s">
        <v>1560</v>
      </c>
      <c r="K629" s="1294" t="s">
        <v>1561</v>
      </c>
      <c r="L629" s="4333" t="s">
        <v>3765</v>
      </c>
      <c r="M629" s="4335" t="s">
        <v>1571</v>
      </c>
      <c r="N629" s="4323" t="s">
        <v>1776</v>
      </c>
      <c r="O629" s="3347" t="s">
        <v>1563</v>
      </c>
      <c r="P629" s="1336" t="s">
        <v>1562</v>
      </c>
      <c r="Q629" s="3389"/>
      <c r="R629" s="1699" t="s">
        <v>1327</v>
      </c>
    </row>
    <row r="630" spans="1:18">
      <c r="A630" s="1320" t="s">
        <v>2808</v>
      </c>
      <c r="B630" s="4369"/>
      <c r="C630" s="3351"/>
      <c r="D630" s="4328"/>
      <c r="E630" s="4330"/>
      <c r="F630" s="4328"/>
      <c r="G630" s="4332"/>
      <c r="H630" s="4332"/>
      <c r="I630" s="1345">
        <v>60</v>
      </c>
      <c r="J630" s="1307">
        <v>1.7000000000000001E-2</v>
      </c>
      <c r="K630" s="1297">
        <f>I630*J630</f>
        <v>1.02</v>
      </c>
      <c r="L630" s="4334"/>
      <c r="M630" s="4335"/>
      <c r="N630" s="4324"/>
      <c r="O630" s="1298">
        <f>O632+O633+O637+O638</f>
        <v>26.198200000000003</v>
      </c>
      <c r="P630" s="1337">
        <f>O630*K630</f>
        <v>26.722164000000003</v>
      </c>
      <c r="Q630" s="3390"/>
      <c r="R630" s="1721">
        <f>P632+P633+P637+P638</f>
        <v>26.722163999999999</v>
      </c>
    </row>
    <row r="631" spans="1:18">
      <c r="A631" s="1042"/>
      <c r="B631" s="1511"/>
      <c r="D631" s="1367"/>
      <c r="E631" s="2121"/>
      <c r="F631" s="1389" t="s">
        <v>1</v>
      </c>
      <c r="G631" s="1390"/>
      <c r="H631" s="1390"/>
      <c r="I631" s="1391"/>
      <c r="J631" s="1369"/>
      <c r="K631" s="1369"/>
      <c r="L631" s="1554"/>
      <c r="M631" s="1487"/>
      <c r="N631" s="1487"/>
      <c r="O631" s="1487"/>
      <c r="P631" s="1367"/>
      <c r="Q631" s="3387"/>
      <c r="R631" s="2338"/>
    </row>
    <row r="632" spans="1:18">
      <c r="A632" s="1042"/>
      <c r="B632" s="595"/>
      <c r="D632" s="1370" t="s">
        <v>1576</v>
      </c>
      <c r="E632" s="2152" t="s">
        <v>1517</v>
      </c>
      <c r="F632" s="1471" t="s">
        <v>1580</v>
      </c>
      <c r="G632" s="1372">
        <v>0.12</v>
      </c>
      <c r="H632" s="1372"/>
      <c r="I632" s="1286"/>
      <c r="J632" s="1287"/>
      <c r="K632" s="1307">
        <f>G632*$K$630</f>
        <v>0.12239999999999999</v>
      </c>
      <c r="L632" s="1335">
        <f t="shared" ref="L632:L633" si="53">K632*$K$598</f>
        <v>0</v>
      </c>
      <c r="M632" s="1499">
        <v>6.53</v>
      </c>
      <c r="N632" s="1499"/>
      <c r="O632" s="1291">
        <f>G632*M632</f>
        <v>0.78359999999999996</v>
      </c>
      <c r="P632" s="1332">
        <f>M632*K632</f>
        <v>0.79927199999999998</v>
      </c>
      <c r="Q632" s="3391"/>
      <c r="R632" s="2338"/>
    </row>
    <row r="633" spans="1:18">
      <c r="A633" s="1042"/>
      <c r="B633" s="595"/>
      <c r="D633" s="1370" t="s">
        <v>1649</v>
      </c>
      <c r="E633" s="2152" t="s">
        <v>1527</v>
      </c>
      <c r="F633" s="1471" t="s">
        <v>1650</v>
      </c>
      <c r="G633" s="1567">
        <v>1.01</v>
      </c>
      <c r="H633" s="1567"/>
      <c r="I633" s="1286"/>
      <c r="J633" s="1287"/>
      <c r="K633" s="1307">
        <f>G633*$K$630</f>
        <v>1.0302</v>
      </c>
      <c r="L633" s="1335">
        <f t="shared" si="53"/>
        <v>0</v>
      </c>
      <c r="M633" s="1499">
        <v>5.16</v>
      </c>
      <c r="N633" s="1499"/>
      <c r="O633" s="1291">
        <f>G633*M633</f>
        <v>5.2115999999999998</v>
      </c>
      <c r="P633" s="1332">
        <f>M633*K633</f>
        <v>5.3158320000000003</v>
      </c>
      <c r="Q633" s="3391"/>
      <c r="R633" s="2338"/>
    </row>
    <row r="634" spans="1:18">
      <c r="A634" s="1042"/>
      <c r="B634" s="16"/>
      <c r="C634" s="553"/>
      <c r="D634" s="1370"/>
      <c r="E634" s="2152"/>
      <c r="F634" s="1590"/>
      <c r="G634" s="2252"/>
      <c r="H634" s="2252"/>
      <c r="I634" s="1286"/>
      <c r="J634" s="1287"/>
      <c r="K634" s="1307"/>
      <c r="L634" s="1335"/>
      <c r="M634" s="1499"/>
      <c r="N634" s="1499"/>
      <c r="O634" s="1291"/>
      <c r="P634" s="1332"/>
      <c r="Q634" s="3391"/>
      <c r="R634" s="2338"/>
    </row>
    <row r="635" spans="1:18">
      <c r="A635" s="1042"/>
      <c r="B635" s="16"/>
      <c r="C635" s="1042"/>
      <c r="D635" s="1370"/>
      <c r="E635" s="2152"/>
      <c r="F635" s="1590"/>
      <c r="G635" s="2252"/>
      <c r="H635" s="2252"/>
      <c r="I635" s="1286"/>
      <c r="J635" s="1287"/>
      <c r="K635" s="1307"/>
      <c r="L635" s="1335"/>
      <c r="M635" s="1499"/>
      <c r="N635" s="1499"/>
      <c r="O635" s="1291"/>
      <c r="P635" s="1332"/>
      <c r="Q635" s="3391"/>
      <c r="R635" s="2338"/>
    </row>
    <row r="636" spans="1:18">
      <c r="A636" s="1042"/>
      <c r="B636" s="16"/>
      <c r="C636" s="1042"/>
      <c r="D636" s="1359"/>
      <c r="E636" s="1858"/>
      <c r="F636" s="1360" t="s">
        <v>2</v>
      </c>
      <c r="G636" s="1466"/>
      <c r="H636" s="1466"/>
      <c r="I636" s="1380"/>
      <c r="J636" s="1381"/>
      <c r="K636" s="1359"/>
      <c r="L636" s="1458"/>
      <c r="M636" s="1507"/>
      <c r="N636" s="1737"/>
      <c r="O636" s="1489"/>
      <c r="P636" s="1359"/>
      <c r="Q636" s="3387"/>
      <c r="R636" s="2338"/>
    </row>
    <row r="637" spans="1:18">
      <c r="A637" s="1042"/>
      <c r="B637" s="16"/>
      <c r="C637" s="1042"/>
      <c r="D637" s="1402" t="s">
        <v>1067</v>
      </c>
      <c r="E637" s="1857" t="s">
        <v>1508</v>
      </c>
      <c r="F637" s="1430" t="s">
        <v>5</v>
      </c>
      <c r="G637" s="1362">
        <v>0.9</v>
      </c>
      <c r="H637" s="1362"/>
      <c r="I637" s="1380"/>
      <c r="J637" s="1381"/>
      <c r="K637" s="1307">
        <f>G637*$K$630</f>
        <v>0.91800000000000004</v>
      </c>
      <c r="L637" s="1335">
        <f t="shared" ref="L637" si="54">K637*$K$598</f>
        <v>0</v>
      </c>
      <c r="M637" s="1499">
        <v>18.28</v>
      </c>
      <c r="N637" s="1499"/>
      <c r="O637" s="1291">
        <f>G637*M637</f>
        <v>16.452000000000002</v>
      </c>
      <c r="P637" s="1332">
        <f>M637*K637</f>
        <v>16.781040000000001</v>
      </c>
      <c r="Q637" s="3391"/>
      <c r="R637" s="2338"/>
    </row>
    <row r="638" spans="1:18">
      <c r="A638" s="1042"/>
      <c r="B638" s="16"/>
      <c r="C638" s="1358" t="s">
        <v>1523</v>
      </c>
      <c r="D638" s="1329"/>
      <c r="E638" s="2135" t="s">
        <v>1508</v>
      </c>
      <c r="F638" s="1330" t="s">
        <v>1524</v>
      </c>
      <c r="G638" s="1776"/>
      <c r="H638" s="1776">
        <v>0.1</v>
      </c>
      <c r="I638" s="1455"/>
      <c r="J638" s="1488"/>
      <c r="K638" s="1510"/>
      <c r="L638" s="1445"/>
      <c r="M638" s="1500"/>
      <c r="N638" s="1446">
        <f>SUM(N639:N640)</f>
        <v>37.510000000000005</v>
      </c>
      <c r="O638" s="1446">
        <f>SUM(O639:O640)</f>
        <v>3.7510000000000003</v>
      </c>
      <c r="P638" s="1446">
        <f>SUM(P639:P640)</f>
        <v>3.8260200000000006</v>
      </c>
      <c r="Q638" s="3391"/>
      <c r="R638" s="2338"/>
    </row>
    <row r="639" spans="1:18">
      <c r="A639" s="1042"/>
      <c r="B639" s="16"/>
      <c r="C639" s="1042"/>
      <c r="D639" s="1402" t="s">
        <v>1067</v>
      </c>
      <c r="E639" s="1857" t="s">
        <v>1508</v>
      </c>
      <c r="F639" s="1430" t="s">
        <v>5</v>
      </c>
      <c r="G639" s="1362">
        <v>1</v>
      </c>
      <c r="H639" s="1362">
        <f>$H$351*G639</f>
        <v>0.1</v>
      </c>
      <c r="I639" s="1286"/>
      <c r="J639" s="1287"/>
      <c r="K639" s="1307">
        <f>H639*$K$630</f>
        <v>0.10200000000000001</v>
      </c>
      <c r="L639" s="1335">
        <f t="shared" ref="L639:L640" si="55">K639*$K$598</f>
        <v>0</v>
      </c>
      <c r="M639" s="1499">
        <v>18.28</v>
      </c>
      <c r="N639" s="1724">
        <f>G639*M639</f>
        <v>18.28</v>
      </c>
      <c r="O639" s="1719">
        <f>H639*M639</f>
        <v>1.8280000000000003</v>
      </c>
      <c r="P639" s="1720">
        <f>M639*K639</f>
        <v>1.8645600000000002</v>
      </c>
      <c r="Q639" s="3396"/>
      <c r="R639" s="2338"/>
    </row>
    <row r="640" spans="1:18">
      <c r="A640" s="1042"/>
      <c r="B640" s="16"/>
      <c r="C640" s="1042"/>
      <c r="D640" s="1402" t="s">
        <v>1077</v>
      </c>
      <c r="E640" s="1857" t="s">
        <v>1508</v>
      </c>
      <c r="F640" s="1430" t="s">
        <v>37</v>
      </c>
      <c r="G640" s="1362">
        <v>1</v>
      </c>
      <c r="H640" s="1362">
        <f>$H$638*G640</f>
        <v>0.1</v>
      </c>
      <c r="I640" s="1286"/>
      <c r="J640" s="1287"/>
      <c r="K640" s="1307">
        <f>H640*$K$630</f>
        <v>0.10200000000000001</v>
      </c>
      <c r="L640" s="1335">
        <f t="shared" si="55"/>
        <v>0</v>
      </c>
      <c r="M640" s="1285">
        <v>19.23</v>
      </c>
      <c r="N640" s="1724">
        <f>G640*M640</f>
        <v>19.23</v>
      </c>
      <c r="O640" s="1719">
        <f>H640*M640</f>
        <v>1.923</v>
      </c>
      <c r="P640" s="1720">
        <f>M640*K640</f>
        <v>1.9614600000000002</v>
      </c>
      <c r="Q640" s="3396"/>
      <c r="R640" s="2338"/>
    </row>
    <row r="641" spans="1:18">
      <c r="A641" s="1042"/>
      <c r="B641" s="16"/>
      <c r="C641" s="1042"/>
      <c r="D641" s="1402"/>
      <c r="E641" s="1857"/>
      <c r="F641" s="1430"/>
      <c r="G641" s="1362"/>
      <c r="H641" s="1362"/>
      <c r="I641" s="1286"/>
      <c r="J641" s="1287"/>
      <c r="K641" s="1307"/>
      <c r="L641" s="1335"/>
      <c r="M641" s="1285"/>
      <c r="N641" s="1724"/>
      <c r="O641" s="1719"/>
      <c r="P641" s="1720"/>
      <c r="Q641" s="3396"/>
      <c r="R641" s="2338"/>
    </row>
    <row r="642" spans="1:18">
      <c r="A642" s="1042"/>
      <c r="B642" s="16"/>
      <c r="C642" s="1042"/>
      <c r="D642" s="1373"/>
      <c r="E642" s="2123"/>
      <c r="F642" s="1374" t="s">
        <v>3</v>
      </c>
      <c r="G642" s="1492"/>
      <c r="H642" s="1376"/>
      <c r="I642" s="1382"/>
      <c r="J642" s="1383"/>
      <c r="K642" s="1383"/>
      <c r="L642" s="1413"/>
      <c r="M642" s="1485"/>
      <c r="N642" s="1493"/>
      <c r="O642" s="1493"/>
      <c r="P642" s="1413"/>
      <c r="Q642" s="3387"/>
      <c r="R642" s="2338"/>
    </row>
    <row r="643" spans="1:18">
      <c r="A643" s="1042"/>
      <c r="B643" s="16"/>
      <c r="C643" s="1042"/>
      <c r="D643" s="1440"/>
      <c r="E643" s="2132"/>
      <c r="F643" s="1441"/>
      <c r="G643" s="1441"/>
      <c r="H643" s="1442"/>
      <c r="I643" s="197"/>
      <c r="J643" s="198"/>
      <c r="K643" s="1307"/>
      <c r="L643" s="1335"/>
      <c r="M643" s="1499"/>
      <c r="N643" s="1701"/>
      <c r="O643" s="1290"/>
      <c r="P643" s="1332"/>
      <c r="Q643" s="3391"/>
      <c r="R643" s="2338"/>
    </row>
    <row r="644" spans="1:18">
      <c r="A644" s="1042"/>
      <c r="B644" s="16"/>
      <c r="C644" s="1042"/>
      <c r="D644" s="1440"/>
      <c r="E644" s="2132"/>
      <c r="F644" s="1441"/>
      <c r="G644" s="1441"/>
      <c r="H644" s="1442"/>
      <c r="I644" s="197" t="str">
        <f>IF(COUNT(H645:O645)=0,"",(SUM(H645:O645)/COUNT(H645:O645)))</f>
        <v/>
      </c>
      <c r="J644" s="198"/>
      <c r="K644" s="1307"/>
      <c r="L644" s="1335"/>
      <c r="M644" s="1499"/>
      <c r="N644" s="1701"/>
      <c r="O644" s="1290"/>
      <c r="P644" s="1332"/>
      <c r="Q644" s="3391"/>
      <c r="R644" s="2338"/>
    </row>
    <row r="645" spans="1:18">
      <c r="A645" s="1042"/>
      <c r="B645" s="1596"/>
      <c r="C645" s="223"/>
      <c r="D645" s="1440"/>
      <c r="E645" s="2132"/>
      <c r="F645" s="1441"/>
      <c r="G645" s="1441"/>
      <c r="H645" s="1442"/>
      <c r="I645" s="197" t="str">
        <f>IF(COUNT(G646:O646)=0,"",(SUM(G646:O646)/COUNT(G646:O646)))</f>
        <v/>
      </c>
      <c r="J645" s="198"/>
      <c r="K645" s="1307"/>
      <c r="L645" s="1335"/>
      <c r="M645" s="1499"/>
      <c r="N645" s="1701"/>
      <c r="O645" s="1290"/>
      <c r="P645" s="1332"/>
      <c r="Q645" s="3391"/>
      <c r="R645" s="2338"/>
    </row>
    <row r="646" spans="1:18" ht="15" customHeight="1">
      <c r="A646" s="88" t="s">
        <v>3764</v>
      </c>
      <c r="B646" s="4367" t="s">
        <v>1500</v>
      </c>
      <c r="C646" s="3350"/>
      <c r="D646" s="4327"/>
      <c r="E646" s="4337" t="s">
        <v>1507</v>
      </c>
      <c r="F646" s="4338" t="s">
        <v>1501</v>
      </c>
      <c r="G646" s="4331" t="s">
        <v>1568</v>
      </c>
      <c r="H646" s="4331" t="s">
        <v>1574</v>
      </c>
      <c r="I646" s="1572" t="s">
        <v>1559</v>
      </c>
      <c r="J646" s="1294" t="s">
        <v>1560</v>
      </c>
      <c r="K646" s="1294" t="s">
        <v>1561</v>
      </c>
      <c r="L646" s="4333" t="s">
        <v>3765</v>
      </c>
      <c r="M646" s="4335" t="s">
        <v>1571</v>
      </c>
      <c r="N646" s="4323" t="s">
        <v>1776</v>
      </c>
      <c r="O646" s="3347" t="s">
        <v>1563</v>
      </c>
      <c r="P646" s="1336" t="s">
        <v>1562</v>
      </c>
      <c r="Q646" s="3389"/>
      <c r="R646" s="1699" t="s">
        <v>1327</v>
      </c>
    </row>
    <row r="647" spans="1:18">
      <c r="A647" s="1320" t="s">
        <v>2808</v>
      </c>
      <c r="B647" s="4369"/>
      <c r="C647" s="3351"/>
      <c r="D647" s="4328"/>
      <c r="E647" s="4337"/>
      <c r="F647" s="4338"/>
      <c r="G647" s="4332"/>
      <c r="H647" s="4332"/>
      <c r="I647" s="1345">
        <v>1.5</v>
      </c>
      <c r="J647" s="1307">
        <v>1.7000000000000001E-2</v>
      </c>
      <c r="K647" s="1297">
        <f>I647*J647</f>
        <v>2.5500000000000002E-2</v>
      </c>
      <c r="L647" s="4334"/>
      <c r="M647" s="4335"/>
      <c r="N647" s="4324"/>
      <c r="O647" s="1298">
        <f>SUM(O649:O666)</f>
        <v>102.7</v>
      </c>
      <c r="P647" s="1337">
        <f>O647*K647</f>
        <v>2.6188500000000001</v>
      </c>
      <c r="Q647" s="3390"/>
      <c r="R647" s="1721">
        <f>SUM(P649:P666)</f>
        <v>2.6182275449999999</v>
      </c>
    </row>
    <row r="648" spans="1:18">
      <c r="A648" s="1042"/>
      <c r="B648" s="552"/>
      <c r="C648" s="18"/>
      <c r="D648" s="1400"/>
      <c r="E648" s="2121"/>
      <c r="F648" s="1389" t="s">
        <v>1</v>
      </c>
      <c r="G648" s="1390"/>
      <c r="H648" s="1390"/>
      <c r="I648" s="1391"/>
      <c r="J648" s="1369"/>
      <c r="K648" s="1369"/>
      <c r="L648" s="1554"/>
      <c r="M648" s="1490"/>
      <c r="N648" s="1491"/>
      <c r="O648" s="1491"/>
      <c r="P648" s="1367"/>
      <c r="Q648" s="3387"/>
      <c r="R648" s="2338"/>
    </row>
    <row r="649" spans="1:18">
      <c r="A649" s="1042"/>
      <c r="B649" s="88"/>
      <c r="C649" s="1042"/>
      <c r="D649" s="1371" t="s">
        <v>1075</v>
      </c>
      <c r="E649" s="2144" t="s">
        <v>1357</v>
      </c>
      <c r="F649" s="1471" t="s">
        <v>1532</v>
      </c>
      <c r="G649" s="1372">
        <v>1</v>
      </c>
      <c r="H649" s="1372"/>
      <c r="I649" s="1346"/>
      <c r="J649" s="1341"/>
      <c r="K649" s="1307">
        <f t="shared" ref="K649:K655" si="56">G649*$K$647</f>
        <v>2.5500000000000002E-2</v>
      </c>
      <c r="L649" s="1335">
        <f t="shared" ref="L649:L655" si="57">K649*$K$598</f>
        <v>0</v>
      </c>
      <c r="M649" s="1302">
        <v>0.81</v>
      </c>
      <c r="N649" s="1302"/>
      <c r="O649" s="1291">
        <f t="shared" ref="O649:O655" si="58">ROUND(G649*M649,2)</f>
        <v>0.81</v>
      </c>
      <c r="P649" s="1332">
        <f t="shared" ref="P649:P655" si="59">M649*K649</f>
        <v>2.0655000000000003E-2</v>
      </c>
      <c r="Q649" s="3391"/>
      <c r="R649" s="2338"/>
    </row>
    <row r="650" spans="1:18">
      <c r="A650" s="1042"/>
      <c r="B650" s="88"/>
      <c r="C650" s="1042"/>
      <c r="D650" s="1371" t="s">
        <v>1533</v>
      </c>
      <c r="E650" s="2144" t="s">
        <v>1357</v>
      </c>
      <c r="F650" s="1471" t="s">
        <v>1534</v>
      </c>
      <c r="G650" s="1372">
        <v>0.99</v>
      </c>
      <c r="H650" s="1372"/>
      <c r="I650" s="1346"/>
      <c r="J650" s="1341"/>
      <c r="K650" s="1307">
        <f t="shared" si="56"/>
        <v>2.5245E-2</v>
      </c>
      <c r="L650" s="1335">
        <f t="shared" si="57"/>
        <v>0</v>
      </c>
      <c r="M650" s="1302">
        <v>0.93</v>
      </c>
      <c r="N650" s="1302"/>
      <c r="O650" s="1291">
        <f t="shared" si="58"/>
        <v>0.92</v>
      </c>
      <c r="P650" s="1332">
        <f t="shared" si="59"/>
        <v>2.3477850000000001E-2</v>
      </c>
      <c r="Q650" s="3391"/>
      <c r="R650" s="2338"/>
    </row>
    <row r="651" spans="1:18">
      <c r="A651" s="1042"/>
      <c r="B651" s="88"/>
      <c r="C651" s="1042"/>
      <c r="D651" s="1371" t="s">
        <v>1116</v>
      </c>
      <c r="E651" s="2144" t="s">
        <v>1504</v>
      </c>
      <c r="F651" s="1471" t="s">
        <v>1535</v>
      </c>
      <c r="G651" s="1372">
        <v>5.4</v>
      </c>
      <c r="H651" s="1372"/>
      <c r="I651" s="1346"/>
      <c r="J651" s="1341"/>
      <c r="K651" s="1307">
        <f t="shared" si="56"/>
        <v>0.13770000000000002</v>
      </c>
      <c r="L651" s="1335">
        <f t="shared" si="57"/>
        <v>0</v>
      </c>
      <c r="M651" s="1302">
        <v>0.84</v>
      </c>
      <c r="N651" s="1302"/>
      <c r="O651" s="1291">
        <f t="shared" si="58"/>
        <v>4.54</v>
      </c>
      <c r="P651" s="1332">
        <f t="shared" si="59"/>
        <v>0.11566800000000001</v>
      </c>
      <c r="Q651" s="3391"/>
      <c r="R651" s="2338"/>
    </row>
    <row r="652" spans="1:18">
      <c r="A652" s="1042"/>
      <c r="B652" s="88"/>
      <c r="C652" s="1042"/>
      <c r="D652" s="1371" t="s">
        <v>1115</v>
      </c>
      <c r="E652" s="2144" t="s">
        <v>1527</v>
      </c>
      <c r="F652" s="1471" t="s">
        <v>1536</v>
      </c>
      <c r="G652" s="1372">
        <v>1.397</v>
      </c>
      <c r="H652" s="1372"/>
      <c r="I652" s="1346"/>
      <c r="J652" s="1341"/>
      <c r="K652" s="1307">
        <f t="shared" si="56"/>
        <v>3.5623500000000002E-2</v>
      </c>
      <c r="L652" s="1335">
        <f t="shared" si="57"/>
        <v>0</v>
      </c>
      <c r="M652" s="1302">
        <v>3.54</v>
      </c>
      <c r="N652" s="1302"/>
      <c r="O652" s="1291">
        <f t="shared" si="58"/>
        <v>4.95</v>
      </c>
      <c r="P652" s="1332">
        <f t="shared" si="59"/>
        <v>0.12610719000000001</v>
      </c>
      <c r="Q652" s="3391"/>
      <c r="R652" s="2338"/>
    </row>
    <row r="653" spans="1:18">
      <c r="A653" s="1042"/>
      <c r="B653" s="88"/>
      <c r="C653" s="1042"/>
      <c r="D653" s="1371" t="s">
        <v>1113</v>
      </c>
      <c r="E653" s="2144" t="s">
        <v>1517</v>
      </c>
      <c r="F653" s="1471" t="s">
        <v>1537</v>
      </c>
      <c r="G653" s="1372">
        <v>0.105</v>
      </c>
      <c r="H653" s="1372"/>
      <c r="I653" s="1346"/>
      <c r="J653" s="1341"/>
      <c r="K653" s="1307">
        <f t="shared" si="56"/>
        <v>2.6775000000000002E-3</v>
      </c>
      <c r="L653" s="1335">
        <f t="shared" si="57"/>
        <v>0</v>
      </c>
      <c r="M653" s="1302">
        <v>60.26</v>
      </c>
      <c r="N653" s="1302"/>
      <c r="O653" s="1291">
        <f t="shared" si="58"/>
        <v>6.33</v>
      </c>
      <c r="P653" s="1332">
        <f t="shared" si="59"/>
        <v>0.16134614999999999</v>
      </c>
      <c r="Q653" s="3391"/>
      <c r="R653" s="2338"/>
    </row>
    <row r="654" spans="1:18">
      <c r="A654" s="1042"/>
      <c r="B654" s="88"/>
      <c r="C654" s="1042"/>
      <c r="D654" s="1371" t="s">
        <v>1114</v>
      </c>
      <c r="E654" s="2144" t="s">
        <v>1517</v>
      </c>
      <c r="F654" s="1471" t="s">
        <v>1538</v>
      </c>
      <c r="G654" s="1372">
        <v>1E-3</v>
      </c>
      <c r="H654" s="1372"/>
      <c r="I654" s="1346"/>
      <c r="J654" s="1341"/>
      <c r="K654" s="1307">
        <f t="shared" si="56"/>
        <v>2.5500000000000003E-5</v>
      </c>
      <c r="L654" s="1335">
        <f t="shared" si="57"/>
        <v>0</v>
      </c>
      <c r="M654" s="1302">
        <v>225.64</v>
      </c>
      <c r="N654" s="1302"/>
      <c r="O654" s="1291">
        <f t="shared" si="58"/>
        <v>0.23</v>
      </c>
      <c r="P654" s="1332">
        <f t="shared" si="59"/>
        <v>5.7538200000000006E-3</v>
      </c>
      <c r="Q654" s="3391"/>
      <c r="R654" s="2338"/>
    </row>
    <row r="655" spans="1:18">
      <c r="A655" s="1042"/>
      <c r="B655" s="88"/>
      <c r="C655" s="1042"/>
      <c r="D655" s="1384" t="s">
        <v>1082</v>
      </c>
      <c r="E655" s="2146" t="s">
        <v>1504</v>
      </c>
      <c r="F655" s="1471" t="s">
        <v>1541</v>
      </c>
      <c r="G655" s="1372">
        <v>1</v>
      </c>
      <c r="H655" s="1372"/>
      <c r="I655" s="1346"/>
      <c r="J655" s="1341"/>
      <c r="K655" s="1307">
        <f t="shared" si="56"/>
        <v>2.5500000000000002E-2</v>
      </c>
      <c r="L655" s="1335">
        <f t="shared" si="57"/>
        <v>0</v>
      </c>
      <c r="M655" s="1302">
        <v>0.3</v>
      </c>
      <c r="N655" s="1302"/>
      <c r="O655" s="1291">
        <f t="shared" si="58"/>
        <v>0.3</v>
      </c>
      <c r="P655" s="1332">
        <f t="shared" si="59"/>
        <v>7.6500000000000005E-3</v>
      </c>
      <c r="Q655" s="3391"/>
      <c r="R655" s="2338"/>
    </row>
    <row r="656" spans="1:18">
      <c r="A656" s="1042"/>
      <c r="B656" s="88"/>
      <c r="C656" s="1042"/>
      <c r="D656" s="1384"/>
      <c r="E656" s="2146"/>
      <c r="F656" s="1471"/>
      <c r="G656" s="1372"/>
      <c r="H656" s="1372"/>
      <c r="I656" s="1346"/>
      <c r="J656" s="1341"/>
      <c r="K656" s="1307" t="str">
        <f>IF(COUNT(#REF!)=0,"",IF(#REF!="","",(#REF!*#REF!)))</f>
        <v/>
      </c>
      <c r="L656" s="1335"/>
      <c r="M656" s="1302"/>
      <c r="N656" s="1302"/>
      <c r="O656" s="1291"/>
      <c r="P656" s="1332"/>
      <c r="Q656" s="3391"/>
      <c r="R656" s="2338"/>
    </row>
    <row r="657" spans="1:18">
      <c r="A657" s="1042"/>
      <c r="B657" s="88"/>
      <c r="C657" s="1042"/>
      <c r="D657" s="1384"/>
      <c r="E657" s="2146"/>
      <c r="F657" s="1471"/>
      <c r="G657" s="1372"/>
      <c r="H657" s="1372"/>
      <c r="I657" s="1346"/>
      <c r="J657" s="1341"/>
      <c r="K657" s="1307" t="str">
        <f>IF(COUNT(#REF!)=0,"",IF(#REF!="","",(#REF!*#REF!)))</f>
        <v/>
      </c>
      <c r="L657" s="1335"/>
      <c r="M657" s="1302"/>
      <c r="N657" s="1302"/>
      <c r="O657" s="1291"/>
      <c r="P657" s="1332"/>
      <c r="Q657" s="3391"/>
      <c r="R657" s="2338"/>
    </row>
    <row r="658" spans="1:18">
      <c r="A658" s="1042"/>
      <c r="B658" s="88"/>
      <c r="C658" s="1042"/>
      <c r="D658" s="1404"/>
      <c r="E658" s="1858"/>
      <c r="F658" s="1360" t="s">
        <v>2</v>
      </c>
      <c r="G658" s="1362"/>
      <c r="H658" s="1362"/>
      <c r="I658" s="1380"/>
      <c r="J658" s="1381"/>
      <c r="K658" s="1359" t="str">
        <f>IF(COUNT(#REF!)=0,"",IF(#REF!="","",(#REF!*#REF!)))</f>
        <v/>
      </c>
      <c r="L658" s="1458"/>
      <c r="M658" s="1362"/>
      <c r="N658" s="1362"/>
      <c r="O658" s="1708"/>
      <c r="P658" s="1359"/>
      <c r="Q658" s="3387"/>
      <c r="R658" s="2338"/>
    </row>
    <row r="659" spans="1:18">
      <c r="A659" s="1042"/>
      <c r="B659" s="88"/>
      <c r="C659" s="1042"/>
      <c r="D659" s="1495" t="s">
        <v>1077</v>
      </c>
      <c r="E659" s="2147" t="s">
        <v>1508</v>
      </c>
      <c r="F659" s="1473" t="s">
        <v>1539</v>
      </c>
      <c r="G659" s="1365">
        <v>0.435</v>
      </c>
      <c r="H659" s="1365"/>
      <c r="I659" s="1286"/>
      <c r="J659" s="198"/>
      <c r="K659" s="1307">
        <f>G659*$K$647</f>
        <v>1.10925E-2</v>
      </c>
      <c r="L659" s="1335">
        <f t="shared" ref="L659:L661" si="60">K659*$K$598</f>
        <v>0</v>
      </c>
      <c r="M659" s="1302">
        <v>19.23</v>
      </c>
      <c r="N659" s="1700"/>
      <c r="O659" s="1290">
        <f>ROUND(G659*M659,2)</f>
        <v>8.3699999999999992</v>
      </c>
      <c r="P659" s="1332">
        <f>M659*K659</f>
        <v>0.21330877500000001</v>
      </c>
      <c r="Q659" s="3391"/>
      <c r="R659" s="2338"/>
    </row>
    <row r="660" spans="1:18">
      <c r="A660" s="1042"/>
      <c r="B660" s="88"/>
      <c r="C660" s="1042"/>
      <c r="D660" s="1364" t="s">
        <v>1076</v>
      </c>
      <c r="E660" s="2148" t="s">
        <v>1508</v>
      </c>
      <c r="F660" s="1473" t="s">
        <v>1540</v>
      </c>
      <c r="G660" s="1365">
        <v>0.25600000000000001</v>
      </c>
      <c r="H660" s="1365"/>
      <c r="I660" s="1286"/>
      <c r="J660" s="198"/>
      <c r="K660" s="1307">
        <f>G660*$K$647</f>
        <v>6.5280000000000008E-3</v>
      </c>
      <c r="L660" s="1335">
        <f t="shared" si="60"/>
        <v>0</v>
      </c>
      <c r="M660" s="1302">
        <v>20.23</v>
      </c>
      <c r="N660" s="1700"/>
      <c r="O660" s="1290">
        <f>ROUND(G660*M660,2)</f>
        <v>5.18</v>
      </c>
      <c r="P660" s="1332">
        <f>M660*K660</f>
        <v>0.13206144000000003</v>
      </c>
      <c r="Q660" s="3391"/>
      <c r="R660" s="2338"/>
    </row>
    <row r="661" spans="1:18">
      <c r="A661" s="1042"/>
      <c r="B661" s="88"/>
      <c r="C661" s="1042"/>
      <c r="D661" s="1385" t="s">
        <v>1067</v>
      </c>
      <c r="E661" s="2149" t="s">
        <v>1508</v>
      </c>
      <c r="F661" s="1473" t="s">
        <v>1512</v>
      </c>
      <c r="G661" s="1365">
        <v>3.3220000000000001</v>
      </c>
      <c r="H661" s="1365"/>
      <c r="I661" s="1286"/>
      <c r="J661" s="198"/>
      <c r="K661" s="1307">
        <f>G661*$K$647</f>
        <v>8.4711000000000009E-2</v>
      </c>
      <c r="L661" s="1335">
        <f t="shared" si="60"/>
        <v>0</v>
      </c>
      <c r="M661" s="1302">
        <v>21.23</v>
      </c>
      <c r="N661" s="1700"/>
      <c r="O661" s="1290">
        <f>ROUND(G661*M661,2)</f>
        <v>70.53</v>
      </c>
      <c r="P661" s="1332">
        <f>M661*K661</f>
        <v>1.7984145300000003</v>
      </c>
      <c r="Q661" s="3391"/>
      <c r="R661" s="2338"/>
    </row>
    <row r="662" spans="1:18">
      <c r="A662" s="1042"/>
      <c r="B662" s="88"/>
      <c r="C662" s="1042"/>
      <c r="D662" s="1385"/>
      <c r="E662" s="2149"/>
      <c r="F662" s="1473"/>
      <c r="G662" s="1365"/>
      <c r="H662" s="1365"/>
      <c r="I662" s="1286"/>
      <c r="J662" s="198"/>
      <c r="K662" s="1307"/>
      <c r="L662" s="1335"/>
      <c r="M662" s="1302"/>
      <c r="N662" s="1700"/>
      <c r="O662" s="1290"/>
      <c r="P662" s="1332"/>
      <c r="Q662" s="3391"/>
      <c r="R662" s="2338"/>
    </row>
    <row r="663" spans="1:18">
      <c r="A663" s="1042"/>
      <c r="B663" s="88"/>
      <c r="C663" s="1042"/>
      <c r="D663" s="1411"/>
      <c r="E663" s="2123"/>
      <c r="F663" s="1374" t="s">
        <v>3</v>
      </c>
      <c r="G663" s="1376"/>
      <c r="H663" s="1376"/>
      <c r="I663" s="1496"/>
      <c r="J663" s="1383"/>
      <c r="K663" s="1373"/>
      <c r="L663" s="1413"/>
      <c r="M663" s="1376"/>
      <c r="N663" s="1376"/>
      <c r="O663" s="1706"/>
      <c r="P663" s="1373"/>
      <c r="Q663" s="3387"/>
      <c r="R663" s="2338"/>
    </row>
    <row r="664" spans="1:18">
      <c r="A664" s="1042"/>
      <c r="B664" s="88"/>
      <c r="C664" s="1042"/>
      <c r="D664" s="1377" t="s">
        <v>1087</v>
      </c>
      <c r="E664" s="2124" t="s">
        <v>1508</v>
      </c>
      <c r="F664" s="1378" t="s">
        <v>1542</v>
      </c>
      <c r="G664" s="1379">
        <v>0.35799999999999998</v>
      </c>
      <c r="H664" s="1379"/>
      <c r="I664" s="1286"/>
      <c r="J664" s="198"/>
      <c r="K664" s="1307">
        <f>G664*$K$647</f>
        <v>9.129E-3</v>
      </c>
      <c r="L664" s="1335">
        <f>K664*$K$598</f>
        <v>0</v>
      </c>
      <c r="M664" s="1302">
        <v>1.51</v>
      </c>
      <c r="N664" s="1700"/>
      <c r="O664" s="1290">
        <f>ROUND(G664*M664,2)</f>
        <v>0.54</v>
      </c>
      <c r="P664" s="1332">
        <f>M664*K664</f>
        <v>1.378479E-2</v>
      </c>
      <c r="Q664" s="3391"/>
      <c r="R664" s="2338"/>
    </row>
    <row r="665" spans="1:18">
      <c r="A665" s="1042"/>
      <c r="B665" s="88"/>
      <c r="C665" s="1042"/>
      <c r="D665" s="1440"/>
      <c r="E665" s="2132"/>
      <c r="F665" s="1441"/>
      <c r="G665" s="1441"/>
      <c r="H665" s="1442"/>
      <c r="I665" s="197" t="str">
        <f>IF(COUNT(#REF!)=0,"",(SUM(#REF!)/COUNT(#REF!)))</f>
        <v/>
      </c>
      <c r="J665" s="198"/>
      <c r="K665" s="1307"/>
      <c r="L665" s="1335"/>
      <c r="M665" s="1499"/>
      <c r="N665" s="1701"/>
      <c r="O665" s="1290"/>
      <c r="P665" s="1332"/>
      <c r="Q665" s="3391"/>
      <c r="R665" s="2338"/>
    </row>
    <row r="666" spans="1:18">
      <c r="A666" s="1042"/>
      <c r="B666" s="581"/>
      <c r="C666" s="223"/>
      <c r="D666" s="1440"/>
      <c r="E666" s="2132"/>
      <c r="F666" s="1441"/>
      <c r="G666" s="1441"/>
      <c r="H666" s="1442"/>
      <c r="I666" s="197" t="str">
        <f>IF(COUNT(G667:O667)=0,"",(SUM(G667:O667)/COUNT(G667:O667)))</f>
        <v/>
      </c>
      <c r="J666" s="198"/>
      <c r="K666" s="1307"/>
      <c r="L666" s="1335"/>
      <c r="M666" s="1499"/>
      <c r="N666" s="1701"/>
      <c r="O666" s="1290"/>
      <c r="P666" s="1332"/>
      <c r="Q666" s="3391"/>
      <c r="R666" s="2338"/>
    </row>
    <row r="667" spans="1:18" ht="15" customHeight="1">
      <c r="A667" s="88" t="s">
        <v>3764</v>
      </c>
      <c r="B667" s="4367" t="s">
        <v>1502</v>
      </c>
      <c r="C667" s="3350"/>
      <c r="D667" s="4327"/>
      <c r="E667" s="4337" t="s">
        <v>1507</v>
      </c>
      <c r="F667" s="4338" t="s">
        <v>2784</v>
      </c>
      <c r="G667" s="4331" t="s">
        <v>1568</v>
      </c>
      <c r="H667" s="4331" t="s">
        <v>1574</v>
      </c>
      <c r="I667" s="1572" t="s">
        <v>1559</v>
      </c>
      <c r="J667" s="1294" t="s">
        <v>1560</v>
      </c>
      <c r="K667" s="1294" t="s">
        <v>1561</v>
      </c>
      <c r="L667" s="4333" t="s">
        <v>3765</v>
      </c>
      <c r="M667" s="4335" t="s">
        <v>1571</v>
      </c>
      <c r="N667" s="4323" t="s">
        <v>1776</v>
      </c>
      <c r="O667" s="3347" t="s">
        <v>1563</v>
      </c>
      <c r="P667" s="1336" t="s">
        <v>1562</v>
      </c>
      <c r="Q667" s="3389"/>
      <c r="R667" s="1699" t="s">
        <v>1327</v>
      </c>
    </row>
    <row r="668" spans="1:18">
      <c r="A668" s="1320" t="s">
        <v>2808</v>
      </c>
      <c r="B668" s="4369"/>
      <c r="C668" s="3351"/>
      <c r="D668" s="4328"/>
      <c r="E668" s="4337"/>
      <c r="F668" s="4338"/>
      <c r="G668" s="4332"/>
      <c r="H668" s="4332"/>
      <c r="I668" s="1345">
        <v>1.5</v>
      </c>
      <c r="J668" s="1307">
        <v>1.7000000000000001E-2</v>
      </c>
      <c r="K668" s="1297">
        <f>I668*J668</f>
        <v>2.5500000000000002E-2</v>
      </c>
      <c r="L668" s="4334"/>
      <c r="M668" s="4335"/>
      <c r="N668" s="4324"/>
      <c r="O668" s="1298">
        <f>O670+O671+O672+O676+O684+O685</f>
        <v>63.449084880000001</v>
      </c>
      <c r="P668" s="1337">
        <f>O668*K668</f>
        <v>1.61795166444</v>
      </c>
      <c r="Q668" s="3390"/>
      <c r="R668" s="1721">
        <f>P670+P671+P672+P676+P684+P685</f>
        <v>1.6179424844400003</v>
      </c>
    </row>
    <row r="669" spans="1:18">
      <c r="A669" s="553"/>
      <c r="B669" s="18"/>
      <c r="C669" s="552"/>
      <c r="D669" s="1367"/>
      <c r="E669" s="2121"/>
      <c r="F669" s="1389" t="s">
        <v>1</v>
      </c>
      <c r="G669" s="1369"/>
      <c r="H669" s="1369"/>
      <c r="I669" s="1391"/>
      <c r="J669" s="1369"/>
      <c r="K669" s="1369"/>
      <c r="L669" s="1554"/>
      <c r="M669" s="1487"/>
      <c r="N669" s="1487"/>
      <c r="O669" s="1487"/>
      <c r="P669" s="1367"/>
      <c r="Q669" s="3387"/>
      <c r="R669" s="2338"/>
    </row>
    <row r="670" spans="1:18">
      <c r="A670" s="553"/>
      <c r="B670" s="1042"/>
      <c r="C670" s="88"/>
      <c r="D670" s="1421" t="s">
        <v>1094</v>
      </c>
      <c r="E670" s="1856" t="s">
        <v>1517</v>
      </c>
      <c r="F670" s="1421" t="s">
        <v>1543</v>
      </c>
      <c r="G670" s="1452">
        <v>0.02</v>
      </c>
      <c r="H670" s="1452"/>
      <c r="I670" s="1342"/>
      <c r="J670" s="198"/>
      <c r="K670" s="1307">
        <f>G670*$K$668</f>
        <v>5.1000000000000004E-4</v>
      </c>
      <c r="L670" s="1335">
        <f>K670*$K$598</f>
        <v>0</v>
      </c>
      <c r="M670" s="1302">
        <v>8.39</v>
      </c>
      <c r="N670" s="1700"/>
      <c r="O670" s="1290">
        <f>G670*M670</f>
        <v>0.1678</v>
      </c>
      <c r="P670" s="1739">
        <f>M670*K670</f>
        <v>4.2789000000000004E-3</v>
      </c>
      <c r="Q670" s="3391"/>
      <c r="R670" s="2338"/>
    </row>
    <row r="671" spans="1:18">
      <c r="A671" s="553"/>
      <c r="B671" s="1042"/>
      <c r="C671" s="88"/>
      <c r="D671" s="1370" t="s">
        <v>1545</v>
      </c>
      <c r="E671" s="2122" t="s">
        <v>1504</v>
      </c>
      <c r="F671" s="1370" t="s">
        <v>1546</v>
      </c>
      <c r="G671" s="1372">
        <v>8</v>
      </c>
      <c r="H671" s="1372"/>
      <c r="I671" s="1286"/>
      <c r="J671" s="198"/>
      <c r="K671" s="1307">
        <f>G671*$K$668</f>
        <v>0.20400000000000001</v>
      </c>
      <c r="L671" s="1335">
        <f>K671*$K$598</f>
        <v>0</v>
      </c>
      <c r="M671" s="1302">
        <v>3.5</v>
      </c>
      <c r="N671" s="1700"/>
      <c r="O671" s="1290">
        <f>G671*M671</f>
        <v>28</v>
      </c>
      <c r="P671" s="1332">
        <f>M671*K671</f>
        <v>0.71400000000000008</v>
      </c>
      <c r="Q671" s="3391"/>
      <c r="R671" s="2338"/>
    </row>
    <row r="672" spans="1:18">
      <c r="A672" s="553"/>
      <c r="B672" s="1042"/>
      <c r="C672" s="1317" t="s">
        <v>1155</v>
      </c>
      <c r="D672" s="1311"/>
      <c r="E672" s="2131" t="s">
        <v>1517</v>
      </c>
      <c r="F672" s="1343" t="s">
        <v>1544</v>
      </c>
      <c r="G672" s="1344"/>
      <c r="H672" s="1344">
        <v>1E-3</v>
      </c>
      <c r="I672" s="1497"/>
      <c r="J672" s="1388"/>
      <c r="K672" s="1459"/>
      <c r="L672" s="1457"/>
      <c r="M672" s="1446"/>
      <c r="N672" s="1446">
        <f>SUM(N673:N675)</f>
        <v>114.04755</v>
      </c>
      <c r="O672" s="1447">
        <f>SUM(O673:O675)</f>
        <v>0.11404755000000003</v>
      </c>
      <c r="P672" s="1738">
        <f>SUM(P673:P675)</f>
        <v>2.9082125250000004E-3</v>
      </c>
      <c r="Q672" s="3391"/>
      <c r="R672" s="2338"/>
    </row>
    <row r="673" spans="1:18">
      <c r="A673" s="553"/>
      <c r="B673" s="1042"/>
      <c r="C673" s="1511"/>
      <c r="D673" s="1451" t="s">
        <v>1069</v>
      </c>
      <c r="E673" s="1856" t="s">
        <v>1517</v>
      </c>
      <c r="F673" s="1421" t="s">
        <v>1578</v>
      </c>
      <c r="G673" s="1452">
        <v>0.89100000000000001</v>
      </c>
      <c r="H673" s="1453">
        <f>$H$672*G673</f>
        <v>8.9100000000000008E-4</v>
      </c>
      <c r="I673" s="1286"/>
      <c r="J673" s="198"/>
      <c r="K673" s="1722">
        <f>H673*$K$668</f>
        <v>2.2720500000000004E-5</v>
      </c>
      <c r="L673" s="1335">
        <f t="shared" ref="L673:L675" si="61">K673*$K$598</f>
        <v>0</v>
      </c>
      <c r="M673" s="1302">
        <v>0.55000000000000004</v>
      </c>
      <c r="N673" s="1724">
        <f>G673*M673</f>
        <v>0.49005000000000004</v>
      </c>
      <c r="O673" s="1740">
        <f>H673*M673</f>
        <v>4.9005000000000012E-4</v>
      </c>
      <c r="P673" s="1734">
        <f>M673*K673</f>
        <v>1.2496275000000003E-5</v>
      </c>
      <c r="Q673" s="3396"/>
      <c r="R673" s="2338"/>
    </row>
    <row r="674" spans="1:18">
      <c r="A674" s="553"/>
      <c r="B674" s="1042"/>
      <c r="C674" s="595"/>
      <c r="D674" s="1367" t="s">
        <v>1394</v>
      </c>
      <c r="E674" s="1856" t="s">
        <v>1577</v>
      </c>
      <c r="F674" s="1421" t="s">
        <v>1579</v>
      </c>
      <c r="G674" s="1452">
        <v>0.51500000000000001</v>
      </c>
      <c r="H674" s="1453">
        <f>$H$672*G674</f>
        <v>5.1500000000000005E-4</v>
      </c>
      <c r="I674" s="1286"/>
      <c r="J674" s="198"/>
      <c r="K674" s="1722">
        <f>H674*$K$668</f>
        <v>1.3132500000000002E-5</v>
      </c>
      <c r="L674" s="1335">
        <f t="shared" si="61"/>
        <v>0</v>
      </c>
      <c r="M674" s="1302">
        <v>92.54</v>
      </c>
      <c r="N674" s="1724">
        <f>G674*M674</f>
        <v>47.658100000000005</v>
      </c>
      <c r="O674" s="1719">
        <f>H674*M674</f>
        <v>4.7658100000000009E-2</v>
      </c>
      <c r="P674" s="1727">
        <f>M674*K674</f>
        <v>1.2152815500000003E-3</v>
      </c>
      <c r="Q674" s="3396"/>
      <c r="R674" s="2338"/>
    </row>
    <row r="675" spans="1:18">
      <c r="A675" s="553"/>
      <c r="B675" s="1042"/>
      <c r="C675" s="1512"/>
      <c r="D675" s="1443" t="s">
        <v>1067</v>
      </c>
      <c r="E675" s="1857" t="s">
        <v>1508</v>
      </c>
      <c r="F675" s="1430" t="s">
        <v>1512</v>
      </c>
      <c r="G675" s="1431">
        <v>3.605</v>
      </c>
      <c r="H675" s="1454">
        <f>$H$672*G675</f>
        <v>3.6050000000000001E-3</v>
      </c>
      <c r="I675" s="1286"/>
      <c r="J675" s="198"/>
      <c r="K675" s="1722">
        <f>H675*$K$668</f>
        <v>9.1927500000000011E-5</v>
      </c>
      <c r="L675" s="1335">
        <f t="shared" si="61"/>
        <v>0</v>
      </c>
      <c r="M675" s="1302">
        <v>18.28</v>
      </c>
      <c r="N675" s="1724">
        <f>G675*M675</f>
        <v>65.8994</v>
      </c>
      <c r="O675" s="1719">
        <f>H675*M675</f>
        <v>6.5899400000000011E-2</v>
      </c>
      <c r="P675" s="1727">
        <f>M675*K675</f>
        <v>1.6804347000000002E-3</v>
      </c>
      <c r="Q675" s="3396"/>
      <c r="R675" s="2338"/>
    </row>
    <row r="676" spans="1:18">
      <c r="A676" s="553"/>
      <c r="B676" s="1042"/>
      <c r="C676" s="1317" t="s">
        <v>1127</v>
      </c>
      <c r="D676" s="1311"/>
      <c r="E676" s="2131" t="s">
        <v>1517</v>
      </c>
      <c r="F676" s="1343" t="s">
        <v>1519</v>
      </c>
      <c r="G676" s="1344"/>
      <c r="H676" s="1344">
        <v>3.1E-2</v>
      </c>
      <c r="I676" s="1497"/>
      <c r="J676" s="1388"/>
      <c r="K676" s="1445"/>
      <c r="L676" s="1457"/>
      <c r="M676" s="1446"/>
      <c r="N676" s="1446">
        <f>SUM(N677:N680)</f>
        <v>50.044430000000006</v>
      </c>
      <c r="O676" s="1447">
        <f>SUM(O677:O680)</f>
        <v>1.5513773300000002</v>
      </c>
      <c r="P676" s="1447">
        <f>SUM(P677:P680)</f>
        <v>3.9560121915000003E-2</v>
      </c>
      <c r="Q676" s="3391"/>
      <c r="R676" s="2338"/>
    </row>
    <row r="677" spans="1:18">
      <c r="B677" s="1042"/>
      <c r="D677" s="1367" t="s">
        <v>1069</v>
      </c>
      <c r="E677" s="1856" t="s">
        <v>1517</v>
      </c>
      <c r="F677" s="1397" t="s">
        <v>1578</v>
      </c>
      <c r="G677" s="1416">
        <v>0.26300000000000001</v>
      </c>
      <c r="H677" s="1399">
        <f>$H$676*G677</f>
        <v>8.1530000000000005E-3</v>
      </c>
      <c r="I677" s="197"/>
      <c r="J677" s="198"/>
      <c r="K677" s="1732">
        <f>H677*$K$668</f>
        <v>2.0790150000000004E-4</v>
      </c>
      <c r="L677" s="1335">
        <f t="shared" ref="L677:L680" si="62">K677*$K$598</f>
        <v>0</v>
      </c>
      <c r="M677" s="1302">
        <v>0.55000000000000004</v>
      </c>
      <c r="N677" s="1724">
        <f>G677*M677</f>
        <v>0.14465000000000003</v>
      </c>
      <c r="O677" s="1719">
        <f>H677*M677</f>
        <v>4.484150000000001E-3</v>
      </c>
      <c r="P677" s="1720">
        <f>M677*K677</f>
        <v>1.1434582500000003E-4</v>
      </c>
      <c r="Q677" s="3396"/>
      <c r="R677" s="2338"/>
    </row>
    <row r="678" spans="1:18">
      <c r="A678" s="553"/>
      <c r="B678" s="1042"/>
      <c r="C678" s="88"/>
      <c r="D678" s="1367" t="s">
        <v>1394</v>
      </c>
      <c r="E678" s="1856" t="s">
        <v>1577</v>
      </c>
      <c r="F678" s="1397" t="s">
        <v>1579</v>
      </c>
      <c r="G678" s="1416">
        <v>0.25800000000000001</v>
      </c>
      <c r="H678" s="1399">
        <f>$H$676*G678</f>
        <v>7.9979999999999999E-3</v>
      </c>
      <c r="I678" s="197"/>
      <c r="J678" s="198"/>
      <c r="K678" s="1732">
        <f>H678*$K$668</f>
        <v>2.0394900000000001E-4</v>
      </c>
      <c r="L678" s="1335">
        <f t="shared" si="62"/>
        <v>0</v>
      </c>
      <c r="M678" s="1302">
        <v>92.54</v>
      </c>
      <c r="N678" s="1724">
        <f>G678*M678</f>
        <v>23.875320000000002</v>
      </c>
      <c r="O678" s="1719">
        <f>H678*M678</f>
        <v>0.74013492000000003</v>
      </c>
      <c r="P678" s="1720">
        <f>M678*K678</f>
        <v>1.8873440460000002E-2</v>
      </c>
      <c r="Q678" s="3396"/>
      <c r="R678" s="2338"/>
    </row>
    <row r="679" spans="1:18">
      <c r="A679" s="553"/>
      <c r="B679" s="1042"/>
      <c r="C679" s="88"/>
      <c r="D679" s="1367" t="s">
        <v>1576</v>
      </c>
      <c r="E679" s="1856" t="s">
        <v>1517</v>
      </c>
      <c r="F679" s="1397" t="s">
        <v>1580</v>
      </c>
      <c r="G679" s="1416">
        <v>1.1020000000000001</v>
      </c>
      <c r="H679" s="1399">
        <f>$H$676*G679</f>
        <v>3.4162000000000005E-2</v>
      </c>
      <c r="I679" s="197"/>
      <c r="J679" s="198"/>
      <c r="K679" s="1307">
        <f>H679*$K$668</f>
        <v>8.7113100000000014E-4</v>
      </c>
      <c r="L679" s="1335">
        <f t="shared" si="62"/>
        <v>0</v>
      </c>
      <c r="M679" s="1302">
        <v>6.53</v>
      </c>
      <c r="N679" s="1724">
        <f>G679*M679</f>
        <v>7.196060000000001</v>
      </c>
      <c r="O679" s="1719">
        <f>H679*M679</f>
        <v>0.22307786000000004</v>
      </c>
      <c r="P679" s="1720">
        <f>M679*K679</f>
        <v>5.688485430000001E-3</v>
      </c>
      <c r="Q679" s="3396"/>
      <c r="R679" s="2338"/>
    </row>
    <row r="680" spans="1:18">
      <c r="A680" s="553"/>
      <c r="B680" s="1042"/>
      <c r="C680" s="88"/>
      <c r="D680" s="1359" t="s">
        <v>1067</v>
      </c>
      <c r="E680" s="1857" t="s">
        <v>1508</v>
      </c>
      <c r="F680" s="1406" t="s">
        <v>1512</v>
      </c>
      <c r="G680" s="1407">
        <v>1.03</v>
      </c>
      <c r="H680" s="1408">
        <f>$H$676*G680</f>
        <v>3.193E-2</v>
      </c>
      <c r="I680" s="197"/>
      <c r="J680" s="198"/>
      <c r="K680" s="1307">
        <f>H680*$K$668</f>
        <v>8.1421500000000008E-4</v>
      </c>
      <c r="L680" s="1335">
        <f t="shared" si="62"/>
        <v>0</v>
      </c>
      <c r="M680" s="1302">
        <v>18.28</v>
      </c>
      <c r="N680" s="1724">
        <f>G680*M680</f>
        <v>18.828400000000002</v>
      </c>
      <c r="O680" s="1719">
        <f>H680*M680</f>
        <v>0.58368039999999999</v>
      </c>
      <c r="P680" s="1720">
        <f>M680*K680</f>
        <v>1.4883850200000001E-2</v>
      </c>
      <c r="Q680" s="3396"/>
      <c r="R680" s="2338"/>
    </row>
    <row r="681" spans="1:18">
      <c r="A681" s="553"/>
      <c r="B681" s="1042"/>
      <c r="C681" s="88"/>
      <c r="D681" s="1367"/>
      <c r="E681" s="1856"/>
      <c r="F681" s="1397"/>
      <c r="G681" s="1416"/>
      <c r="H681" s="1399"/>
      <c r="I681" s="197"/>
      <c r="J681" s="198"/>
      <c r="K681" s="1307" t="str">
        <f>IF(COUNT(#REF!)=0,"",IF(#REF!="","",(#REF!*#REF!)))</f>
        <v/>
      </c>
      <c r="L681" s="1335"/>
      <c r="M681" s="1302"/>
      <c r="N681" s="1724"/>
      <c r="O681" s="1719"/>
      <c r="P681" s="1720"/>
      <c r="Q681" s="3396"/>
      <c r="R681" s="2338"/>
    </row>
    <row r="682" spans="1:18">
      <c r="A682" s="553"/>
      <c r="B682" s="1042"/>
      <c r="C682" s="88"/>
      <c r="D682" s="1367"/>
      <c r="E682" s="1856"/>
      <c r="F682" s="1397"/>
      <c r="G682" s="1416"/>
      <c r="H682" s="1399"/>
      <c r="I682" s="197"/>
      <c r="J682" s="198"/>
      <c r="K682" s="1307" t="str">
        <f>IF(COUNT(#REF!)=0,"",IF(#REF!="","",(#REF!*#REF!)))</f>
        <v/>
      </c>
      <c r="L682" s="1335"/>
      <c r="M682" s="1302"/>
      <c r="N682" s="1724"/>
      <c r="O682" s="1719"/>
      <c r="P682" s="1720"/>
      <c r="Q682" s="3396"/>
      <c r="R682" s="2338"/>
    </row>
    <row r="683" spans="1:18">
      <c r="A683" s="553"/>
      <c r="B683" s="1042"/>
      <c r="C683" s="88"/>
      <c r="D683" s="1359"/>
      <c r="E683" s="1858"/>
      <c r="F683" s="1465" t="s">
        <v>2</v>
      </c>
      <c r="G683" s="1466"/>
      <c r="H683" s="1362"/>
      <c r="I683" s="1381"/>
      <c r="J683" s="1381"/>
      <c r="K683" s="1359"/>
      <c r="L683" s="1458"/>
      <c r="M683" s="1498"/>
      <c r="N683" s="1498"/>
      <c r="O683" s="1498"/>
      <c r="P683" s="1359"/>
      <c r="Q683" s="3387"/>
      <c r="R683" s="2338"/>
    </row>
    <row r="684" spans="1:18">
      <c r="A684" s="553"/>
      <c r="B684" s="1042"/>
      <c r="C684" s="88"/>
      <c r="D684" s="1363" t="s">
        <v>1134</v>
      </c>
      <c r="E684" s="2125" t="s">
        <v>1508</v>
      </c>
      <c r="F684" s="1363" t="s">
        <v>1547</v>
      </c>
      <c r="G684" s="1408">
        <v>1.163</v>
      </c>
      <c r="H684" s="1408"/>
      <c r="I684" s="1340"/>
      <c r="J684" s="198"/>
      <c r="K684" s="1307">
        <f>G684*$K$668</f>
        <v>2.9656500000000002E-2</v>
      </c>
      <c r="L684" s="1335">
        <f t="shared" ref="L684:L685" si="63">K684*$K$598</f>
        <v>0</v>
      </c>
      <c r="M684" s="1302">
        <v>18.28</v>
      </c>
      <c r="N684" s="1700"/>
      <c r="O684" s="1290">
        <f>ROUND(G684*M684,2)</f>
        <v>21.26</v>
      </c>
      <c r="P684" s="1332">
        <f>M684*K684</f>
        <v>0.54212082000000006</v>
      </c>
      <c r="Q684" s="3391"/>
      <c r="R684" s="2338"/>
    </row>
    <row r="685" spans="1:18">
      <c r="A685" s="553"/>
      <c r="B685" s="1042"/>
      <c r="C685" s="88"/>
      <c r="D685" s="1363" t="s">
        <v>1067</v>
      </c>
      <c r="E685" s="2125" t="s">
        <v>1508</v>
      </c>
      <c r="F685" s="1363" t="s">
        <v>1512</v>
      </c>
      <c r="G685" s="1408">
        <v>0.58199999999999996</v>
      </c>
      <c r="H685" s="1408"/>
      <c r="I685" s="1340"/>
      <c r="J685" s="198"/>
      <c r="K685" s="1307">
        <f>G685*$K$668</f>
        <v>1.4841E-2</v>
      </c>
      <c r="L685" s="1335">
        <f t="shared" si="63"/>
        <v>0</v>
      </c>
      <c r="M685" s="1302">
        <v>21.23</v>
      </c>
      <c r="N685" s="1700"/>
      <c r="O685" s="1290">
        <f>G685*M685</f>
        <v>12.35586</v>
      </c>
      <c r="P685" s="1332">
        <f>M685*K685</f>
        <v>0.31507443000000002</v>
      </c>
      <c r="Q685" s="3391"/>
      <c r="R685" s="2338"/>
    </row>
    <row r="686" spans="1:18">
      <c r="A686" s="553"/>
      <c r="B686" s="1042"/>
      <c r="C686" s="88"/>
      <c r="D686" s="1363"/>
      <c r="E686" s="2125"/>
      <c r="F686" s="1363"/>
      <c r="G686" s="1474"/>
      <c r="H686" s="1408"/>
      <c r="I686" s="1340"/>
      <c r="J686" s="198"/>
      <c r="K686" s="1307"/>
      <c r="L686" s="1335"/>
      <c r="M686" s="1302"/>
      <c r="N686" s="1700"/>
      <c r="O686" s="1290"/>
      <c r="P686" s="1332"/>
      <c r="Q686" s="3391"/>
      <c r="R686" s="2338"/>
    </row>
    <row r="687" spans="1:18">
      <c r="A687" s="553"/>
      <c r="B687" s="1042"/>
      <c r="C687" s="88"/>
      <c r="D687" s="1373"/>
      <c r="E687" s="2123"/>
      <c r="F687" s="1475" t="s">
        <v>3</v>
      </c>
      <c r="G687" s="1377"/>
      <c r="H687" s="1376"/>
      <c r="I687" s="1383" t="str">
        <f>IF(COUNT(H688:O688)=0,"",(SUM(H688:O688)/COUNT(H688:O688)))</f>
        <v/>
      </c>
      <c r="J687" s="1383"/>
      <c r="K687" s="1383"/>
      <c r="L687" s="1413"/>
      <c r="M687" s="1376"/>
      <c r="N687" s="1376"/>
      <c r="O687" s="1376"/>
      <c r="P687" s="1373"/>
      <c r="Q687" s="3387"/>
      <c r="R687" s="2338"/>
    </row>
    <row r="688" spans="1:18">
      <c r="A688" s="553"/>
      <c r="B688" s="1042"/>
      <c r="C688" s="88"/>
      <c r="D688" s="1440"/>
      <c r="E688" s="2132"/>
      <c r="F688" s="1441"/>
      <c r="G688" s="1441"/>
      <c r="H688" s="1442"/>
      <c r="I688" s="197" t="str">
        <f>IF(COUNT(#REF!)=0,"",(SUM(#REF!)/COUNT(#REF!)))</f>
        <v/>
      </c>
      <c r="J688" s="198"/>
      <c r="K688" s="1307"/>
      <c r="L688" s="1335"/>
      <c r="M688" s="1499"/>
      <c r="N688" s="1701"/>
      <c r="O688" s="1290"/>
      <c r="P688" s="1332"/>
      <c r="Q688" s="3391"/>
      <c r="R688" s="2338"/>
    </row>
    <row r="689" spans="1:18">
      <c r="A689" s="553"/>
      <c r="B689" s="1042"/>
      <c r="C689" s="88"/>
      <c r="D689" s="1440"/>
      <c r="E689" s="2132"/>
      <c r="F689" s="1441"/>
      <c r="G689" s="1441"/>
      <c r="H689" s="1442"/>
      <c r="I689" s="197" t="str">
        <f>IF(COUNT(H690:O690)=0,"",(SUM(H690:O690)/COUNT(H690:O690)))</f>
        <v/>
      </c>
      <c r="J689" s="198"/>
      <c r="K689" s="1307"/>
      <c r="L689" s="1335"/>
      <c r="M689" s="1499"/>
      <c r="N689" s="1701"/>
      <c r="O689" s="1290"/>
      <c r="P689" s="1332"/>
      <c r="Q689" s="3391"/>
      <c r="R689" s="2338"/>
    </row>
    <row r="690" spans="1:18">
      <c r="A690" s="554"/>
      <c r="B690" s="223"/>
      <c r="C690" s="581"/>
      <c r="D690" s="1440"/>
      <c r="E690" s="2132"/>
      <c r="F690" s="1955"/>
      <c r="G690" s="1955"/>
      <c r="H690" s="1956"/>
      <c r="I690" s="197"/>
      <c r="J690" s="198"/>
      <c r="K690" s="1307"/>
      <c r="L690" s="1335"/>
      <c r="M690" s="1499"/>
      <c r="N690" s="1701"/>
      <c r="O690" s="1290"/>
      <c r="P690" s="1332"/>
      <c r="Q690" s="3391"/>
      <c r="R690" s="2338"/>
    </row>
    <row r="691" spans="1:18" s="22" customFormat="1" ht="28.5">
      <c r="A691" s="1765"/>
      <c r="B691" s="1596"/>
      <c r="C691" s="1596"/>
      <c r="D691" s="2240"/>
      <c r="E691" s="2179"/>
      <c r="F691" s="1795"/>
      <c r="G691" s="1795"/>
      <c r="H691" s="1797"/>
      <c r="I691" s="1561"/>
      <c r="J691" s="1561"/>
      <c r="K691" s="1639"/>
      <c r="L691" s="2400" t="s">
        <v>2856</v>
      </c>
      <c r="M691" s="1292"/>
      <c r="N691" s="1292"/>
      <c r="O691" s="1292"/>
      <c r="P691" s="1292"/>
      <c r="Q691" s="3391"/>
      <c r="R691" s="3363"/>
    </row>
    <row r="692" spans="1:18">
      <c r="A692" s="4393" t="s">
        <v>162</v>
      </c>
      <c r="B692" s="4394"/>
      <c r="C692" s="4394"/>
      <c r="D692" s="4395"/>
      <c r="E692" s="4396" t="s">
        <v>1549</v>
      </c>
      <c r="F692" s="4397" t="s">
        <v>1550</v>
      </c>
      <c r="G692" s="4399" t="s">
        <v>1566</v>
      </c>
      <c r="H692" s="4400"/>
      <c r="I692" s="4400"/>
      <c r="J692" s="4400"/>
      <c r="K692" s="4400"/>
      <c r="L692" s="4401"/>
      <c r="M692" s="4405" t="s">
        <v>1567</v>
      </c>
      <c r="N692" s="4405"/>
      <c r="O692" s="4405"/>
      <c r="P692" s="4405"/>
      <c r="Q692" s="3395"/>
      <c r="R692" s="2338"/>
    </row>
    <row r="693" spans="1:18" ht="15" thickBot="1">
      <c r="A693" s="1324" t="s">
        <v>3766</v>
      </c>
      <c r="B693" s="1325" t="s">
        <v>1513</v>
      </c>
      <c r="C693" s="1326" t="s">
        <v>1573</v>
      </c>
      <c r="D693" s="1323" t="s">
        <v>1514</v>
      </c>
      <c r="E693" s="4396"/>
      <c r="F693" s="4397"/>
      <c r="G693" s="4402"/>
      <c r="H693" s="4403"/>
      <c r="I693" s="4403"/>
      <c r="J693" s="4403"/>
      <c r="K693" s="4403"/>
      <c r="L693" s="4404"/>
      <c r="M693" s="4405"/>
      <c r="N693" s="4405"/>
      <c r="O693" s="4405"/>
      <c r="P693" s="4405"/>
      <c r="Q693" s="3395"/>
      <c r="R693" s="2338"/>
    </row>
    <row r="694" spans="1:18" ht="36.75" customHeight="1">
      <c r="A694" s="4374" t="s">
        <v>2809</v>
      </c>
      <c r="B694" s="4375"/>
      <c r="C694" s="4375"/>
      <c r="D694" s="4376"/>
      <c r="E694" s="4380" t="s">
        <v>1527</v>
      </c>
      <c r="F694" s="4382" t="s">
        <v>1710</v>
      </c>
      <c r="G694" s="4406" t="s">
        <v>294</v>
      </c>
      <c r="H694" s="4407"/>
      <c r="I694" s="1665" t="s">
        <v>1565</v>
      </c>
      <c r="J694" s="3348" t="s">
        <v>1575</v>
      </c>
      <c r="K694" s="4406" t="s">
        <v>289</v>
      </c>
      <c r="L694" s="4407"/>
      <c r="M694" s="4408" t="s">
        <v>3349</v>
      </c>
      <c r="N694" s="4408"/>
      <c r="O694" s="4408"/>
      <c r="P694" s="4409"/>
      <c r="Q694" s="4244" t="s">
        <v>3927</v>
      </c>
      <c r="R694" s="2338"/>
    </row>
    <row r="695" spans="1:18" ht="20.25" customHeight="1" thickBot="1">
      <c r="A695" s="4377"/>
      <c r="B695" s="4378"/>
      <c r="C695" s="4378"/>
      <c r="D695" s="4379"/>
      <c r="E695" s="4381"/>
      <c r="F695" s="4383"/>
      <c r="G695" s="4410">
        <f>IF('Seleccion proyecto HEREVEA02'!G17="Sustitución y reposición en fibrocemento NT",'Seleccion proyecto HEREVEA02'!E17,0)</f>
        <v>0</v>
      </c>
      <c r="H695" s="4411"/>
      <c r="I695" s="3353">
        <f>IF('Seleccion proyecto HEREVEA02'!H17=0,0,IF('Seleccion proyecto HEREVEA02'!H17="1 a 30",0.3, IF('Seleccion proyecto HEREVEA02'!H17="31 a 60", 0.6, IF('Seleccion proyecto HEREVEA02'!H17="61 a 100", 1))))</f>
        <v>0</v>
      </c>
      <c r="J695" s="1351">
        <f>'Seleccion proyecto HEREVEA02'!$L$8</f>
        <v>11100.968999999999</v>
      </c>
      <c r="K695" s="4412">
        <f>G695*I695*J695</f>
        <v>0</v>
      </c>
      <c r="L695" s="4413"/>
      <c r="M695" s="4360">
        <f>P697+P712+P728+P747+P768</f>
        <v>174.56713499999998</v>
      </c>
      <c r="N695" s="4361"/>
      <c r="O695" s="4361"/>
      <c r="P695" s="4362"/>
      <c r="Q695" s="4245">
        <f>M695*K695</f>
        <v>0</v>
      </c>
      <c r="R695" s="2338"/>
    </row>
    <row r="696" spans="1:18" ht="15" customHeight="1">
      <c r="A696" s="18" t="s">
        <v>3764</v>
      </c>
      <c r="B696" s="4367" t="s">
        <v>1496</v>
      </c>
      <c r="C696" s="3350"/>
      <c r="D696" s="4327"/>
      <c r="E696" s="4329" t="s">
        <v>1507</v>
      </c>
      <c r="F696" s="4338" t="s">
        <v>1554</v>
      </c>
      <c r="G696" s="4331" t="s">
        <v>1568</v>
      </c>
      <c r="H696" s="4331" t="s">
        <v>1574</v>
      </c>
      <c r="I696" s="1572" t="s">
        <v>1559</v>
      </c>
      <c r="J696" s="1294" t="s">
        <v>1560</v>
      </c>
      <c r="K696" s="1294" t="s">
        <v>1561</v>
      </c>
      <c r="L696" s="4333" t="s">
        <v>3765</v>
      </c>
      <c r="M696" s="4335" t="s">
        <v>1571</v>
      </c>
      <c r="N696" s="4323" t="s">
        <v>1776</v>
      </c>
      <c r="O696" s="3347" t="s">
        <v>1563</v>
      </c>
      <c r="P696" s="1336" t="s">
        <v>1562</v>
      </c>
      <c r="Q696" s="3389"/>
      <c r="R696" s="1699" t="s">
        <v>1327</v>
      </c>
    </row>
    <row r="697" spans="1:18">
      <c r="A697" s="1320" t="s">
        <v>2809</v>
      </c>
      <c r="B697" s="4369"/>
      <c r="C697" s="3351"/>
      <c r="D697" s="4328"/>
      <c r="E697" s="4330"/>
      <c r="F697" s="4338"/>
      <c r="G697" s="4332"/>
      <c r="H697" s="4332"/>
      <c r="I697" s="1345">
        <v>1.5</v>
      </c>
      <c r="J697" s="1307">
        <v>1.7000000000000001E-2</v>
      </c>
      <c r="K697" s="1297">
        <f>I697*J697</f>
        <v>2.5500000000000002E-2</v>
      </c>
      <c r="L697" s="4334"/>
      <c r="M697" s="4335"/>
      <c r="N697" s="4324"/>
      <c r="O697" s="1298">
        <f>O703+O707+O708+O709</f>
        <v>187.89</v>
      </c>
      <c r="P697" s="1337">
        <f>O697*K697</f>
        <v>4.7911950000000001</v>
      </c>
      <c r="Q697" s="3390"/>
      <c r="R697" s="1721">
        <f>P703+P707+P708+P709</f>
        <v>4.7912569650000005</v>
      </c>
    </row>
    <row r="698" spans="1:18">
      <c r="A698" s="1320"/>
      <c r="B698" s="20"/>
      <c r="C698" s="18"/>
      <c r="D698" s="1463"/>
      <c r="E698" s="2121"/>
      <c r="F698" s="1368" t="s">
        <v>1</v>
      </c>
      <c r="G698" s="1426"/>
      <c r="H698" s="1426"/>
      <c r="I698" s="1391"/>
      <c r="J698" s="1369"/>
      <c r="K698" s="1369"/>
      <c r="L698" s="1554"/>
      <c r="M698" s="1369"/>
      <c r="N698" s="1369"/>
      <c r="O698" s="1369"/>
      <c r="P698" s="1367"/>
      <c r="Q698" s="3387"/>
      <c r="R698" s="2338"/>
    </row>
    <row r="699" spans="1:18">
      <c r="A699" s="1320"/>
      <c r="B699" s="19"/>
      <c r="C699" s="1042"/>
      <c r="D699" s="1371"/>
      <c r="E699" s="2144"/>
      <c r="F699" s="1471"/>
      <c r="G699" s="1372"/>
      <c r="H699" s="1372"/>
      <c r="I699" s="1346" t="str">
        <f>IF(COUNT(G700:O700)=0,"",(SUM(G700:O700)/COUNT(G700:O700)))</f>
        <v/>
      </c>
      <c r="J699" s="1341"/>
      <c r="K699" s="1307" t="str">
        <f t="shared" ref="K699:K701" si="64">IF(COUNT(I699)=0,"",(I699*J699))</f>
        <v/>
      </c>
      <c r="L699" s="1335" t="str">
        <f>IF(COUNT(K699)=0,"",IF(#REF!="","",(K699*#REF!)))</f>
        <v/>
      </c>
      <c r="M699" s="1302"/>
      <c r="N699" s="1302"/>
      <c r="O699" s="1291"/>
      <c r="P699" s="1332"/>
      <c r="Q699" s="3391"/>
      <c r="R699" s="2338"/>
    </row>
    <row r="700" spans="1:18">
      <c r="A700" s="1320"/>
      <c r="B700" s="19"/>
      <c r="C700" s="1042"/>
      <c r="D700" s="1371"/>
      <c r="E700" s="2144"/>
      <c r="F700" s="1471"/>
      <c r="G700" s="1372"/>
      <c r="H700" s="1372"/>
      <c r="I700" s="1346" t="str">
        <f>IF(COUNT(G701:O701)=0,"",(SUM(G701:O701)/COUNT(G701:O701)))</f>
        <v/>
      </c>
      <c r="J700" s="1341"/>
      <c r="K700" s="1307" t="str">
        <f t="shared" si="64"/>
        <v/>
      </c>
      <c r="L700" s="1335" t="str">
        <f>IF(COUNT(K700)=0,"",IF(#REF!="","",(K700*#REF!)))</f>
        <v/>
      </c>
      <c r="M700" s="1302"/>
      <c r="N700" s="1302"/>
      <c r="O700" s="1291"/>
      <c r="P700" s="1332"/>
      <c r="Q700" s="3391"/>
      <c r="R700" s="2338"/>
    </row>
    <row r="701" spans="1:18">
      <c r="A701" s="1320"/>
      <c r="B701" s="19"/>
      <c r="C701" s="1042"/>
      <c r="D701" s="1371"/>
      <c r="E701" s="2144"/>
      <c r="F701" s="1471"/>
      <c r="G701" s="1372"/>
      <c r="H701" s="1372"/>
      <c r="I701" s="1346" t="str">
        <f>IF(COUNT(G702:O702)=0,"",(SUM(G702:O702)/COUNT(G702:O702)))</f>
        <v/>
      </c>
      <c r="J701" s="1341"/>
      <c r="K701" s="1307" t="str">
        <f t="shared" si="64"/>
        <v/>
      </c>
      <c r="L701" s="1335" t="str">
        <f>IF(COUNT(K701)=0,"",IF(#REF!="","",(K701*#REF!)))</f>
        <v/>
      </c>
      <c r="M701" s="1302"/>
      <c r="N701" s="1302"/>
      <c r="O701" s="1291"/>
      <c r="P701" s="1332"/>
      <c r="Q701" s="3391"/>
      <c r="R701" s="2338"/>
    </row>
    <row r="702" spans="1:18">
      <c r="A702" s="1320"/>
      <c r="B702" s="19"/>
      <c r="C702" s="1042"/>
      <c r="D702" s="1404"/>
      <c r="E702" s="1858"/>
      <c r="F702" s="1465" t="s">
        <v>2</v>
      </c>
      <c r="G702" s="1362"/>
      <c r="H702" s="1362"/>
      <c r="I702" s="1380"/>
      <c r="J702" s="1381"/>
      <c r="K702" s="1381"/>
      <c r="L702" s="1458"/>
      <c r="M702" s="1362"/>
      <c r="N702" s="1705"/>
      <c r="O702" s="1469"/>
      <c r="P702" s="1470"/>
      <c r="Q702" s="3398"/>
      <c r="R702" s="2338"/>
    </row>
    <row r="703" spans="1:18">
      <c r="A703" s="1320"/>
      <c r="B703" s="19"/>
      <c r="C703" s="1042"/>
      <c r="D703" s="1363" t="s">
        <v>1067</v>
      </c>
      <c r="E703" s="2125" t="s">
        <v>1508</v>
      </c>
      <c r="F703" s="1385" t="s">
        <v>1512</v>
      </c>
      <c r="G703" s="1386">
        <f>1.629+2.1</f>
        <v>3.7290000000000001</v>
      </c>
      <c r="H703" s="1386"/>
      <c r="I703" s="1289"/>
      <c r="J703" s="1341"/>
      <c r="K703" s="1307">
        <f>G703*$K$697</f>
        <v>9.5089500000000007E-2</v>
      </c>
      <c r="L703" s="1335">
        <f>K703*$K$695</f>
        <v>0</v>
      </c>
      <c r="M703" s="1499">
        <v>18.28</v>
      </c>
      <c r="N703" s="1499"/>
      <c r="O703" s="1291">
        <f>ROUND(G703*M703,2)</f>
        <v>68.17</v>
      </c>
      <c r="P703" s="1332">
        <f>M703*K703</f>
        <v>1.7382360600000002</v>
      </c>
      <c r="Q703" s="3391"/>
      <c r="R703" s="2338"/>
    </row>
    <row r="704" spans="1:18">
      <c r="A704" s="1320"/>
      <c r="B704" s="19"/>
      <c r="C704" s="1042"/>
      <c r="D704" s="1363"/>
      <c r="E704" s="2125"/>
      <c r="F704" s="1385"/>
      <c r="G704" s="1386"/>
      <c r="H704" s="1386"/>
      <c r="I704" s="1289"/>
      <c r="J704" s="1341"/>
      <c r="K704" s="1307"/>
      <c r="L704" s="1335"/>
      <c r="M704" s="1499"/>
      <c r="N704" s="1499"/>
      <c r="O704" s="1291"/>
      <c r="P704" s="1332"/>
      <c r="Q704" s="3391"/>
      <c r="R704" s="2338"/>
    </row>
    <row r="705" spans="1:18">
      <c r="A705" s="1320"/>
      <c r="B705" s="19"/>
      <c r="C705" s="1042"/>
      <c r="D705" s="1363"/>
      <c r="E705" s="2125"/>
      <c r="F705" s="1385"/>
      <c r="G705" s="1386"/>
      <c r="H705" s="1386"/>
      <c r="I705" s="1289"/>
      <c r="J705" s="1341"/>
      <c r="K705" s="1307"/>
      <c r="L705" s="1335"/>
      <c r="M705" s="1499"/>
      <c r="N705" s="1499"/>
      <c r="O705" s="1291"/>
      <c r="P705" s="1332"/>
      <c r="Q705" s="3391"/>
      <c r="R705" s="2338"/>
    </row>
    <row r="706" spans="1:18">
      <c r="A706" s="1320"/>
      <c r="B706" s="19"/>
      <c r="C706" s="1042"/>
      <c r="D706" s="1411"/>
      <c r="E706" s="2123"/>
      <c r="F706" s="1475" t="s">
        <v>3</v>
      </c>
      <c r="G706" s="1376"/>
      <c r="H706" s="1376"/>
      <c r="I706" s="1382"/>
      <c r="J706" s="1383"/>
      <c r="K706" s="1373"/>
      <c r="L706" s="1413"/>
      <c r="M706" s="1508"/>
      <c r="N706" s="1706"/>
      <c r="O706" s="1486"/>
      <c r="P706" s="1373"/>
      <c r="Q706" s="3387"/>
      <c r="R706" s="2338"/>
    </row>
    <row r="707" spans="1:18">
      <c r="A707" s="1320"/>
      <c r="B707" s="19"/>
      <c r="C707" s="1042"/>
      <c r="D707" s="1378" t="s">
        <v>1073</v>
      </c>
      <c r="E707" s="2139" t="s">
        <v>1508</v>
      </c>
      <c r="F707" s="1476" t="s">
        <v>1509</v>
      </c>
      <c r="G707" s="1379">
        <v>5.8000000000000003E-2</v>
      </c>
      <c r="H707" s="1379"/>
      <c r="I707" s="1289"/>
      <c r="J707" s="1341"/>
      <c r="K707" s="1307">
        <f>G707*$K$697</f>
        <v>1.4790000000000003E-3</v>
      </c>
      <c r="L707" s="1335">
        <f>K707*$K$695</f>
        <v>0</v>
      </c>
      <c r="M707" s="1499">
        <v>23.87</v>
      </c>
      <c r="N707" s="1499"/>
      <c r="O707" s="1291">
        <f>ROUND(G707*M707,2)</f>
        <v>1.38</v>
      </c>
      <c r="P707" s="1332">
        <f>M707*K707</f>
        <v>3.5303730000000005E-2</v>
      </c>
      <c r="Q707" s="3391"/>
      <c r="R707" s="2338"/>
    </row>
    <row r="708" spans="1:18">
      <c r="A708" s="1320"/>
      <c r="B708" s="19"/>
      <c r="C708" s="1042"/>
      <c r="D708" s="1478" t="s">
        <v>1066</v>
      </c>
      <c r="E708" s="2140" t="s">
        <v>1508</v>
      </c>
      <c r="F708" s="1479" t="s">
        <v>1510</v>
      </c>
      <c r="G708" s="1481">
        <v>1.0999999999999999E-2</v>
      </c>
      <c r="H708" s="1481"/>
      <c r="I708" s="1347"/>
      <c r="J708" s="1348"/>
      <c r="K708" s="1307">
        <f>G708*$K$697</f>
        <v>2.8049999999999999E-4</v>
      </c>
      <c r="L708" s="1335">
        <f>K708*$K$695</f>
        <v>0</v>
      </c>
      <c r="M708" s="1509">
        <v>6.35</v>
      </c>
      <c r="N708" s="1509"/>
      <c r="O708" s="1339">
        <f>ROUND(G708*M708,2)</f>
        <v>7.0000000000000007E-2</v>
      </c>
      <c r="P708" s="1332">
        <f>M708*K708</f>
        <v>1.7811749999999999E-3</v>
      </c>
      <c r="Q708" s="3391"/>
      <c r="R708" s="2338"/>
    </row>
    <row r="709" spans="1:18">
      <c r="A709" s="1320"/>
      <c r="B709" s="19"/>
      <c r="C709" s="1042"/>
      <c r="D709" s="1482" t="s">
        <v>1080</v>
      </c>
      <c r="E709" s="2141" t="s">
        <v>1508</v>
      </c>
      <c r="F709" s="1483" t="s">
        <v>1511</v>
      </c>
      <c r="G709" s="1484">
        <v>1.6</v>
      </c>
      <c r="H709" s="1484"/>
      <c r="I709" s="1349"/>
      <c r="J709" s="1341"/>
      <c r="K709" s="1307">
        <f>G709*$K$697</f>
        <v>4.0800000000000003E-2</v>
      </c>
      <c r="L709" s="1335">
        <f>K709*$K$695</f>
        <v>0</v>
      </c>
      <c r="M709" s="1499">
        <v>73.92</v>
      </c>
      <c r="N709" s="1499"/>
      <c r="O709" s="1291">
        <f>ROUND(G709*M709,2)</f>
        <v>118.27</v>
      </c>
      <c r="P709" s="1332">
        <f>M709*K709</f>
        <v>3.0159360000000004</v>
      </c>
      <c r="Q709" s="3391"/>
      <c r="R709" s="2338"/>
    </row>
    <row r="710" spans="1:18">
      <c r="A710" s="1320"/>
      <c r="B710" s="19"/>
      <c r="C710" s="223"/>
      <c r="D710" s="1377"/>
      <c r="E710" s="2124"/>
      <c r="F710" s="1377"/>
      <c r="G710" s="1597"/>
      <c r="H710" s="1597"/>
      <c r="I710" s="1349"/>
      <c r="J710" s="1341"/>
      <c r="K710" s="1307"/>
      <c r="L710" s="1594"/>
      <c r="M710" s="1499"/>
      <c r="N710" s="1499"/>
      <c r="O710" s="1291"/>
      <c r="P710" s="1332"/>
      <c r="Q710" s="3391"/>
      <c r="R710" s="2338"/>
    </row>
    <row r="711" spans="1:18" ht="15" customHeight="1">
      <c r="A711" s="88" t="s">
        <v>3764</v>
      </c>
      <c r="B711" s="4367" t="s">
        <v>1636</v>
      </c>
      <c r="C711" s="3350"/>
      <c r="D711" s="4327"/>
      <c r="E711" s="4329" t="s">
        <v>1527</v>
      </c>
      <c r="F711" s="4338" t="s">
        <v>1637</v>
      </c>
      <c r="G711" s="4331" t="s">
        <v>1568</v>
      </c>
      <c r="H711" s="4331" t="s">
        <v>1574</v>
      </c>
      <c r="I711" s="1572" t="s">
        <v>1559</v>
      </c>
      <c r="J711" s="1294" t="s">
        <v>1560</v>
      </c>
      <c r="K711" s="1294" t="s">
        <v>1561</v>
      </c>
      <c r="L711" s="4333" t="s">
        <v>3765</v>
      </c>
      <c r="M711" s="4335" t="s">
        <v>1571</v>
      </c>
      <c r="N711" s="4323" t="s">
        <v>1776</v>
      </c>
      <c r="O711" s="3347" t="s">
        <v>1563</v>
      </c>
      <c r="P711" s="1336" t="s">
        <v>1562</v>
      </c>
      <c r="Q711" s="3389"/>
      <c r="R711" s="1699" t="s">
        <v>1327</v>
      </c>
    </row>
    <row r="712" spans="1:18">
      <c r="A712" s="595" t="s">
        <v>2809</v>
      </c>
      <c r="B712" s="4369"/>
      <c r="C712" s="3351"/>
      <c r="D712" s="4328"/>
      <c r="E712" s="4330"/>
      <c r="F712" s="4338"/>
      <c r="G712" s="4332"/>
      <c r="H712" s="4332"/>
      <c r="I712" s="1345">
        <v>60</v>
      </c>
      <c r="J712" s="1307">
        <v>1.7000000000000001E-2</v>
      </c>
      <c r="K712" s="1297">
        <f>I712*J712</f>
        <v>1.02</v>
      </c>
      <c r="L712" s="4334"/>
      <c r="M712" s="4335"/>
      <c r="N712" s="4324"/>
      <c r="O712" s="1298">
        <f>O714+O718+O723+O724+O725</f>
        <v>124.00999999999999</v>
      </c>
      <c r="P712" s="1337">
        <f>O712*K712</f>
        <v>126.49019999999999</v>
      </c>
      <c r="Q712" s="3390"/>
      <c r="R712" s="1721">
        <f>P714+P718+P723+P724+P725</f>
        <v>126.49033260000002</v>
      </c>
    </row>
    <row r="713" spans="1:18">
      <c r="A713" s="1320"/>
      <c r="B713" s="1511"/>
      <c r="C713" s="18"/>
      <c r="D713" s="1463"/>
      <c r="E713" s="2121"/>
      <c r="F713" s="1368" t="s">
        <v>1</v>
      </c>
      <c r="G713" s="1426"/>
      <c r="H713" s="1426"/>
      <c r="I713" s="1391"/>
      <c r="J713" s="1369"/>
      <c r="K713" s="1369"/>
      <c r="L713" s="1554"/>
      <c r="M713" s="1369"/>
      <c r="N713" s="1369"/>
      <c r="O713" s="1369"/>
      <c r="P713" s="1367"/>
      <c r="Q713" s="3387"/>
      <c r="R713" s="2338"/>
    </row>
    <row r="714" spans="1:18">
      <c r="A714" s="1320"/>
      <c r="B714" s="595"/>
      <c r="C714" s="1042"/>
      <c r="D714" s="1371" t="s">
        <v>1097</v>
      </c>
      <c r="E714" s="2144" t="s">
        <v>1504</v>
      </c>
      <c r="F714" s="1471" t="s">
        <v>1632</v>
      </c>
      <c r="G714" s="1372">
        <v>3</v>
      </c>
      <c r="H714" s="1372"/>
      <c r="I714" s="1346" t="str">
        <f>IF(COUNT(#REF!)=0,"",(SUM(#REF!)/COUNT(#REF!)))</f>
        <v/>
      </c>
      <c r="J714" s="1341"/>
      <c r="K714" s="1307">
        <f>G714*$K$712</f>
        <v>3.06</v>
      </c>
      <c r="L714" s="1335">
        <f>K714*$K$695</f>
        <v>0</v>
      </c>
      <c r="M714" s="1302">
        <v>0.55000000000000004</v>
      </c>
      <c r="N714" s="1302"/>
      <c r="O714" s="1291">
        <f>ROUND(G714*M714,2)</f>
        <v>1.65</v>
      </c>
      <c r="P714" s="1332">
        <f>M714*K714</f>
        <v>1.6830000000000003</v>
      </c>
      <c r="Q714" s="3391"/>
      <c r="R714" s="2338"/>
    </row>
    <row r="715" spans="1:18">
      <c r="A715" s="1320"/>
      <c r="B715" s="595"/>
      <c r="C715" s="1042"/>
      <c r="D715" s="1371"/>
      <c r="E715" s="2144"/>
      <c r="F715" s="1471"/>
      <c r="G715" s="1494"/>
      <c r="H715" s="1372"/>
      <c r="I715" s="1346" t="str">
        <f>IF(COUNT(#REF!)=0,"",(SUM(#REF!)/COUNT(#REF!)))</f>
        <v/>
      </c>
      <c r="J715" s="1341"/>
      <c r="K715" s="1307" t="str">
        <f t="shared" ref="K715:K716" si="65">IF(COUNT(I715)=0,"",(I715*J715))</f>
        <v/>
      </c>
      <c r="L715" s="1335"/>
      <c r="M715" s="1302"/>
      <c r="N715" s="1302"/>
      <c r="O715" s="1291"/>
      <c r="P715" s="1332"/>
      <c r="Q715" s="3391"/>
      <c r="R715" s="2338"/>
    </row>
    <row r="716" spans="1:18">
      <c r="A716" s="1320"/>
      <c r="B716" s="595"/>
      <c r="C716" s="1042"/>
      <c r="D716" s="1371"/>
      <c r="E716" s="2144"/>
      <c r="F716" s="1471"/>
      <c r="G716" s="1494"/>
      <c r="H716" s="1372"/>
      <c r="I716" s="1346" t="str">
        <f t="shared" ref="I716" si="66">IF(COUNT(H717:O717)=0,"",(SUM(H717:O717)/COUNT(H717:O717)))</f>
        <v/>
      </c>
      <c r="J716" s="1341"/>
      <c r="K716" s="1307" t="str">
        <f t="shared" si="65"/>
        <v/>
      </c>
      <c r="L716" s="1335"/>
      <c r="M716" s="1302"/>
      <c r="N716" s="1302"/>
      <c r="O716" s="1291"/>
      <c r="P716" s="1332"/>
      <c r="Q716" s="3391"/>
      <c r="R716" s="2338"/>
    </row>
    <row r="717" spans="1:18">
      <c r="A717" s="1320"/>
      <c r="B717" s="595"/>
      <c r="C717" s="1042"/>
      <c r="D717" s="1404"/>
      <c r="E717" s="1858"/>
      <c r="F717" s="1465" t="s">
        <v>2</v>
      </c>
      <c r="G717" s="1466"/>
      <c r="H717" s="1362"/>
      <c r="I717" s="1380"/>
      <c r="J717" s="1381"/>
      <c r="K717" s="1381"/>
      <c r="L717" s="1458"/>
      <c r="M717" s="1362"/>
      <c r="N717" s="1705"/>
      <c r="O717" s="1469"/>
      <c r="P717" s="1470"/>
      <c r="Q717" s="3398"/>
      <c r="R717" s="2338"/>
    </row>
    <row r="718" spans="1:18">
      <c r="A718" s="1320"/>
      <c r="B718" s="595"/>
      <c r="C718" s="1358" t="s">
        <v>1638</v>
      </c>
      <c r="D718" s="1329"/>
      <c r="E718" s="2135" t="s">
        <v>1508</v>
      </c>
      <c r="F718" s="1312" t="s">
        <v>1639</v>
      </c>
      <c r="G718" s="1584"/>
      <c r="H718" s="1584">
        <v>1</v>
      </c>
      <c r="I718" s="1444"/>
      <c r="J718" s="1388"/>
      <c r="K718" s="1510"/>
      <c r="L718" s="1445"/>
      <c r="M718" s="1500"/>
      <c r="N718" s="1446">
        <f>SUM(N719:N722)</f>
        <v>26.338200000000001</v>
      </c>
      <c r="O718" s="1447">
        <f>SUM(O719:O722)</f>
        <v>2.64</v>
      </c>
      <c r="P718" s="1447">
        <f>SUM(P719:P722)</f>
        <v>2.6864964000000002</v>
      </c>
      <c r="Q718" s="3391"/>
      <c r="R718" s="2338"/>
    </row>
    <row r="719" spans="1:18">
      <c r="A719" s="1320"/>
      <c r="B719" s="595"/>
      <c r="C719" s="1042"/>
      <c r="D719" s="1402" t="s">
        <v>1067</v>
      </c>
      <c r="E719" s="1857" t="s">
        <v>1508</v>
      </c>
      <c r="F719" s="1430" t="s">
        <v>1512</v>
      </c>
      <c r="G719" s="1362">
        <v>1</v>
      </c>
      <c r="H719" s="1362">
        <f>$H$351*G719</f>
        <v>0.1</v>
      </c>
      <c r="I719" s="197"/>
      <c r="J719" s="198"/>
      <c r="K719" s="1307">
        <f>H719*$K$712</f>
        <v>0.10200000000000001</v>
      </c>
      <c r="L719" s="1335">
        <f>K719*$K$695</f>
        <v>0</v>
      </c>
      <c r="M719" s="1499">
        <v>18.28</v>
      </c>
      <c r="N719" s="1724">
        <f>G719*M719</f>
        <v>18.28</v>
      </c>
      <c r="O719" s="1719">
        <f>ROUND(H719*M719,2)</f>
        <v>1.83</v>
      </c>
      <c r="P719" s="1720">
        <f>M719*K719</f>
        <v>1.8645600000000002</v>
      </c>
      <c r="Q719" s="3396"/>
      <c r="R719" s="2338"/>
    </row>
    <row r="720" spans="1:18">
      <c r="A720" s="1320"/>
      <c r="B720" s="595"/>
      <c r="C720" s="1042"/>
      <c r="D720" s="1402" t="s">
        <v>1088</v>
      </c>
      <c r="E720" s="1857" t="s">
        <v>1508</v>
      </c>
      <c r="F720" s="1430" t="s">
        <v>1611</v>
      </c>
      <c r="G720" s="1362">
        <v>0.43</v>
      </c>
      <c r="H720" s="1362">
        <f>$H$351*G720</f>
        <v>4.3000000000000003E-2</v>
      </c>
      <c r="I720" s="197"/>
      <c r="J720" s="198"/>
      <c r="K720" s="1307">
        <f>H720*$K$712</f>
        <v>4.3860000000000003E-2</v>
      </c>
      <c r="L720" s="1335">
        <f>K720*$K$695</f>
        <v>0</v>
      </c>
      <c r="M720" s="1499">
        <v>18.739999999999998</v>
      </c>
      <c r="N720" s="1724">
        <f>G720*M720</f>
        <v>8.0581999999999994</v>
      </c>
      <c r="O720" s="1719">
        <f>ROUND(H720*M720,2)</f>
        <v>0.81</v>
      </c>
      <c r="P720" s="1720">
        <f>M720*K720</f>
        <v>0.82193640000000001</v>
      </c>
      <c r="Q720" s="3396"/>
      <c r="R720" s="2338"/>
    </row>
    <row r="721" spans="1:18">
      <c r="A721" s="1320"/>
      <c r="B721" s="595"/>
      <c r="C721" s="1042"/>
      <c r="D721" s="1402"/>
      <c r="E721" s="1857"/>
      <c r="F721" s="1430"/>
      <c r="G721" s="1362"/>
      <c r="H721" s="1362"/>
      <c r="I721" s="197"/>
      <c r="J721" s="198"/>
      <c r="K721" s="1307"/>
      <c r="L721" s="1335"/>
      <c r="M721" s="1972"/>
      <c r="N721" s="2225"/>
      <c r="O721" s="2226"/>
      <c r="P721" s="1720"/>
      <c r="Q721" s="3396"/>
      <c r="R721" s="2338"/>
    </row>
    <row r="722" spans="1:18">
      <c r="A722" s="1320"/>
      <c r="B722" s="595"/>
      <c r="C722" s="1042"/>
      <c r="D722" s="1411"/>
      <c r="E722" s="2123"/>
      <c r="F722" s="1475" t="s">
        <v>3</v>
      </c>
      <c r="G722" s="1373"/>
      <c r="H722" s="1376"/>
      <c r="I722" s="1382"/>
      <c r="J722" s="1383"/>
      <c r="K722" s="1373"/>
      <c r="L722" s="1413"/>
      <c r="M722" s="1508"/>
      <c r="N722" s="1706"/>
      <c r="O722" s="1486"/>
      <c r="P722" s="1373"/>
      <c r="Q722" s="3387"/>
      <c r="R722" s="2338"/>
    </row>
    <row r="723" spans="1:18">
      <c r="A723" s="1320"/>
      <c r="B723" s="595"/>
      <c r="C723" s="1042"/>
      <c r="D723" s="1378" t="s">
        <v>1073</v>
      </c>
      <c r="E723" s="2139" t="s">
        <v>1508</v>
      </c>
      <c r="F723" s="1476" t="s">
        <v>1509</v>
      </c>
      <c r="G723" s="1477"/>
      <c r="H723" s="1379">
        <v>5.8000000000000003E-2</v>
      </c>
      <c r="I723" s="1289"/>
      <c r="J723" s="1341"/>
      <c r="K723" s="1307">
        <f>H723*$K$712</f>
        <v>5.9160000000000004E-2</v>
      </c>
      <c r="L723" s="1335">
        <f>K723*$K$695</f>
        <v>0</v>
      </c>
      <c r="M723" s="1499">
        <v>23.87</v>
      </c>
      <c r="N723" s="1499"/>
      <c r="O723" s="1291">
        <f>ROUND(H723*M723,2)</f>
        <v>1.38</v>
      </c>
      <c r="P723" s="1332">
        <f>M723*K723</f>
        <v>1.4121492000000002</v>
      </c>
      <c r="Q723" s="3391"/>
      <c r="R723" s="2338"/>
    </row>
    <row r="724" spans="1:18">
      <c r="A724" s="1320"/>
      <c r="B724" s="595"/>
      <c r="C724" s="1042"/>
      <c r="D724" s="1478" t="s">
        <v>1066</v>
      </c>
      <c r="E724" s="2140" t="s">
        <v>1508</v>
      </c>
      <c r="F724" s="1479" t="s">
        <v>1510</v>
      </c>
      <c r="G724" s="1480"/>
      <c r="H724" s="1481">
        <v>1.0999999999999999E-2</v>
      </c>
      <c r="I724" s="1347"/>
      <c r="J724" s="1348"/>
      <c r="K724" s="1307">
        <f>H724*$K$712</f>
        <v>1.1219999999999999E-2</v>
      </c>
      <c r="L724" s="1335">
        <f>K724*$K$695</f>
        <v>0</v>
      </c>
      <c r="M724" s="1509">
        <v>6.35</v>
      </c>
      <c r="N724" s="1509"/>
      <c r="O724" s="1339">
        <f>ROUND(H724*M724,2)</f>
        <v>7.0000000000000007E-2</v>
      </c>
      <c r="P724" s="1332">
        <f>M724*K724</f>
        <v>7.1246999999999991E-2</v>
      </c>
      <c r="Q724" s="3391"/>
      <c r="R724" s="2338"/>
    </row>
    <row r="725" spans="1:18">
      <c r="A725" s="1320"/>
      <c r="B725" s="595"/>
      <c r="C725" s="1042"/>
      <c r="D725" s="1482" t="s">
        <v>1080</v>
      </c>
      <c r="E725" s="2141" t="s">
        <v>1508</v>
      </c>
      <c r="F725" s="1483" t="s">
        <v>1511</v>
      </c>
      <c r="G725" s="1483"/>
      <c r="H725" s="1484">
        <v>1.6</v>
      </c>
      <c r="I725" s="1349"/>
      <c r="J725" s="1341"/>
      <c r="K725" s="1307">
        <f>H725*$K$712</f>
        <v>1.6320000000000001</v>
      </c>
      <c r="L725" s="1335">
        <f>K725*$K$695</f>
        <v>0</v>
      </c>
      <c r="M725" s="1499">
        <v>73.92</v>
      </c>
      <c r="N725" s="1499"/>
      <c r="O725" s="1291">
        <f>ROUND(H725*M725,2)</f>
        <v>118.27</v>
      </c>
      <c r="P725" s="1332">
        <f>M725*K725</f>
        <v>120.63744000000001</v>
      </c>
      <c r="Q725" s="3391"/>
      <c r="R725" s="2338"/>
    </row>
    <row r="726" spans="1:18">
      <c r="A726" s="1320"/>
      <c r="B726" s="1512"/>
      <c r="C726" s="223"/>
      <c r="D726" s="1440"/>
      <c r="E726" s="2132"/>
      <c r="F726" s="1441"/>
      <c r="G726" s="1441"/>
      <c r="H726" s="1442"/>
      <c r="I726" s="197" t="str">
        <f>IF(COUNT(G727:O727)=0,"",(SUM(G727:O727)/COUNT(G727:O727)))</f>
        <v/>
      </c>
      <c r="J726" s="198"/>
      <c r="K726" s="1307" t="str">
        <f>IF(COUNT(I726)=0,"",(I726*J726))</f>
        <v/>
      </c>
      <c r="L726" s="1335"/>
      <c r="M726" s="1499"/>
      <c r="N726" s="1701"/>
      <c r="O726" s="1290"/>
      <c r="P726" s="1332"/>
      <c r="Q726" s="3391"/>
      <c r="R726" s="2338"/>
    </row>
    <row r="727" spans="1:18" ht="15" customHeight="1">
      <c r="A727" s="88" t="s">
        <v>3764</v>
      </c>
      <c r="B727" s="4367" t="s">
        <v>1645</v>
      </c>
      <c r="C727" s="3350"/>
      <c r="D727" s="4327"/>
      <c r="E727" s="4329" t="s">
        <v>1527</v>
      </c>
      <c r="F727" s="4338" t="s">
        <v>1648</v>
      </c>
      <c r="G727" s="4331" t="s">
        <v>1568</v>
      </c>
      <c r="H727" s="4331" t="s">
        <v>1574</v>
      </c>
      <c r="I727" s="1572" t="s">
        <v>1559</v>
      </c>
      <c r="J727" s="1294" t="s">
        <v>1560</v>
      </c>
      <c r="K727" s="1294" t="s">
        <v>1561</v>
      </c>
      <c r="L727" s="4333" t="s">
        <v>3765</v>
      </c>
      <c r="M727" s="4335" t="s">
        <v>1571</v>
      </c>
      <c r="N727" s="4323" t="s">
        <v>1776</v>
      </c>
      <c r="O727" s="3347" t="s">
        <v>1563</v>
      </c>
      <c r="P727" s="1336" t="s">
        <v>1562</v>
      </c>
      <c r="Q727" s="3389"/>
      <c r="R727" s="1699" t="s">
        <v>1327</v>
      </c>
    </row>
    <row r="728" spans="1:18">
      <c r="A728" s="595" t="s">
        <v>2809</v>
      </c>
      <c r="B728" s="4369"/>
      <c r="C728" s="3351"/>
      <c r="D728" s="4328"/>
      <c r="E728" s="4330"/>
      <c r="F728" s="4338"/>
      <c r="G728" s="4332"/>
      <c r="H728" s="4332"/>
      <c r="I728" s="1345">
        <v>60</v>
      </c>
      <c r="J728" s="1307">
        <v>1.7000000000000001E-2</v>
      </c>
      <c r="K728" s="1297">
        <f>I728*J728</f>
        <v>1.02</v>
      </c>
      <c r="L728" s="4334"/>
      <c r="M728" s="4335"/>
      <c r="N728" s="4324"/>
      <c r="O728" s="1298">
        <f>O730+O731+O732+O733+O737+O738</f>
        <v>39.119999999999997</v>
      </c>
      <c r="P728" s="1298">
        <f>K728*O728</f>
        <v>39.9024</v>
      </c>
      <c r="Q728" s="3391"/>
      <c r="R728" s="1721">
        <f>P730+P731+P732+P733+P737+P738</f>
        <v>39.897503999999998</v>
      </c>
    </row>
    <row r="729" spans="1:18">
      <c r="A729" s="1320"/>
      <c r="B729" s="1511"/>
      <c r="D729" s="1367"/>
      <c r="E729" s="2121"/>
      <c r="F729" s="1389" t="s">
        <v>1</v>
      </c>
      <c r="G729" s="1390"/>
      <c r="H729" s="1390"/>
      <c r="I729" s="1391"/>
      <c r="J729" s="1369"/>
      <c r="K729" s="1369"/>
      <c r="L729" s="1554"/>
      <c r="M729" s="1487"/>
      <c r="N729" s="1487"/>
      <c r="O729" s="1487"/>
      <c r="P729" s="1367"/>
      <c r="Q729" s="3387"/>
      <c r="R729" s="2338"/>
    </row>
    <row r="730" spans="1:18">
      <c r="A730" s="1320"/>
      <c r="B730" s="595"/>
      <c r="D730" s="1370" t="s">
        <v>1576</v>
      </c>
      <c r="E730" s="2152" t="s">
        <v>1517</v>
      </c>
      <c r="F730" s="1471" t="s">
        <v>1580</v>
      </c>
      <c r="G730" s="1372">
        <v>0.12</v>
      </c>
      <c r="H730" s="1372"/>
      <c r="I730" s="1286"/>
      <c r="J730" s="1287"/>
      <c r="K730" s="1307">
        <f>G730*$K$728</f>
        <v>0.12239999999999999</v>
      </c>
      <c r="L730" s="1335">
        <f>K730*$K$695</f>
        <v>0</v>
      </c>
      <c r="M730" s="1499">
        <v>6.53</v>
      </c>
      <c r="N730" s="1499"/>
      <c r="O730" s="1291">
        <f>ROUND(G730*M730,2)</f>
        <v>0.78</v>
      </c>
      <c r="P730" s="1332">
        <f>M730*K730</f>
        <v>0.79927199999999998</v>
      </c>
      <c r="Q730" s="3391"/>
      <c r="R730" s="2338"/>
    </row>
    <row r="731" spans="1:18">
      <c r="A731" s="1320"/>
      <c r="B731" s="595"/>
      <c r="D731" s="1598" t="s">
        <v>1646</v>
      </c>
      <c r="E731" s="2152" t="s">
        <v>1527</v>
      </c>
      <c r="F731" s="1598" t="s">
        <v>1647</v>
      </c>
      <c r="G731" s="1372">
        <v>1.01</v>
      </c>
      <c r="H731" s="1372"/>
      <c r="I731" s="1286"/>
      <c r="J731" s="1287"/>
      <c r="K731" s="1307">
        <f>G731*$K$728</f>
        <v>1.0302</v>
      </c>
      <c r="L731" s="1335">
        <f>K731*$K$695</f>
        <v>0</v>
      </c>
      <c r="M731" s="1499">
        <v>11.76</v>
      </c>
      <c r="N731" s="1499"/>
      <c r="O731" s="1291">
        <f>ROUND(G731*M731,2)</f>
        <v>11.88</v>
      </c>
      <c r="P731" s="1332">
        <f>M731*K731</f>
        <v>12.115152</v>
      </c>
      <c r="Q731" s="3391"/>
      <c r="R731" s="2338"/>
    </row>
    <row r="732" spans="1:18">
      <c r="A732" s="1320"/>
      <c r="B732" s="16"/>
      <c r="C732" s="553"/>
      <c r="D732" s="1598" t="s">
        <v>1082</v>
      </c>
      <c r="E732" s="2152" t="s">
        <v>1504</v>
      </c>
      <c r="F732" s="1598" t="s">
        <v>1541</v>
      </c>
      <c r="G732" s="1372">
        <v>1</v>
      </c>
      <c r="H732" s="1372"/>
      <c r="I732" s="197"/>
      <c r="J732" s="198"/>
      <c r="K732" s="1307">
        <f>G732*$K$728</f>
        <v>1.02</v>
      </c>
      <c r="L732" s="1335">
        <f>K732*$K$695</f>
        <v>0</v>
      </c>
      <c r="M732" s="1499">
        <v>0.3</v>
      </c>
      <c r="N732" s="1499"/>
      <c r="O732" s="1291">
        <f>ROUND(G732*M732,2)</f>
        <v>0.3</v>
      </c>
      <c r="P732" s="1332">
        <f>M732*K732</f>
        <v>0.30599999999999999</v>
      </c>
      <c r="Q732" s="3391"/>
      <c r="R732" s="2338"/>
    </row>
    <row r="733" spans="1:18">
      <c r="A733" s="1320"/>
      <c r="B733" s="16"/>
      <c r="C733" s="553"/>
      <c r="D733" s="1598" t="s">
        <v>1097</v>
      </c>
      <c r="E733" s="2152" t="s">
        <v>1504</v>
      </c>
      <c r="F733" s="1598" t="s">
        <v>1632</v>
      </c>
      <c r="G733" s="1372">
        <v>4</v>
      </c>
      <c r="H733" s="1372"/>
      <c r="I733" s="197"/>
      <c r="J733" s="198"/>
      <c r="K733" s="1307">
        <f>G733*$K$728</f>
        <v>4.08</v>
      </c>
      <c r="L733" s="1335">
        <f>K733*$K$695</f>
        <v>0</v>
      </c>
      <c r="M733" s="1499">
        <v>0.55000000000000004</v>
      </c>
      <c r="N733" s="1499"/>
      <c r="O733" s="1291">
        <f>ROUND(G733*M733,2)</f>
        <v>2.2000000000000002</v>
      </c>
      <c r="P733" s="1332">
        <f>M733*K733</f>
        <v>2.2440000000000002</v>
      </c>
      <c r="Q733" s="3391"/>
      <c r="R733" s="2338"/>
    </row>
    <row r="734" spans="1:18">
      <c r="A734" s="1320"/>
      <c r="B734" s="16"/>
      <c r="C734" s="1042"/>
      <c r="D734" s="1598"/>
      <c r="E734" s="2152"/>
      <c r="F734" s="1598"/>
      <c r="G734" s="1494"/>
      <c r="H734" s="1372"/>
      <c r="I734" s="197"/>
      <c r="J734" s="198"/>
      <c r="K734" s="1307"/>
      <c r="L734" s="1335"/>
      <c r="M734" s="1499"/>
      <c r="N734" s="1499"/>
      <c r="O734" s="1291"/>
      <c r="P734" s="1332"/>
      <c r="Q734" s="3391"/>
      <c r="R734" s="2338"/>
    </row>
    <row r="735" spans="1:18">
      <c r="A735" s="1320"/>
      <c r="B735" s="16"/>
      <c r="C735" s="1042"/>
      <c r="D735" s="1598"/>
      <c r="E735" s="2152"/>
      <c r="F735" s="1598"/>
      <c r="G735" s="1494"/>
      <c r="H735" s="1372"/>
      <c r="I735" s="197"/>
      <c r="J735" s="198"/>
      <c r="K735" s="1307"/>
      <c r="L735" s="1335"/>
      <c r="M735" s="1499"/>
      <c r="N735" s="1499"/>
      <c r="O735" s="1291"/>
      <c r="P735" s="1332"/>
      <c r="Q735" s="3391"/>
      <c r="R735" s="2338"/>
    </row>
    <row r="736" spans="1:18">
      <c r="A736" s="1320"/>
      <c r="B736" s="16"/>
      <c r="C736" s="1042"/>
      <c r="D736" s="1359"/>
      <c r="E736" s="1858"/>
      <c r="F736" s="1360" t="s">
        <v>2</v>
      </c>
      <c r="G736" s="1466"/>
      <c r="H736" s="1362"/>
      <c r="I736" s="1380"/>
      <c r="J736" s="1381"/>
      <c r="K736" s="1359"/>
      <c r="L736" s="1458"/>
      <c r="M736" s="1507"/>
      <c r="N736" s="1737"/>
      <c r="O736" s="1489"/>
      <c r="P736" s="1359"/>
      <c r="Q736" s="3387"/>
      <c r="R736" s="2338"/>
    </row>
    <row r="737" spans="1:18">
      <c r="A737" s="1320"/>
      <c r="B737" s="16"/>
      <c r="C737" s="1042"/>
      <c r="D737" s="1402" t="s">
        <v>1067</v>
      </c>
      <c r="E737" s="1857" t="s">
        <v>1508</v>
      </c>
      <c r="F737" s="1430" t="s">
        <v>5</v>
      </c>
      <c r="G737" s="1362">
        <v>0.9</v>
      </c>
      <c r="H737" s="1362"/>
      <c r="I737" s="1380"/>
      <c r="J737" s="1381"/>
      <c r="K737" s="1307">
        <f>G737*$K$728</f>
        <v>0.91800000000000004</v>
      </c>
      <c r="L737" s="1335">
        <f>K737*$K$695</f>
        <v>0</v>
      </c>
      <c r="M737" s="1595">
        <v>18.28</v>
      </c>
      <c r="N737" s="1498"/>
      <c r="O737" s="1291">
        <f>ROUND(G737*M737,2)</f>
        <v>16.45</v>
      </c>
      <c r="P737" s="1332">
        <f>M737*K737</f>
        <v>16.781040000000001</v>
      </c>
      <c r="Q737" s="3391"/>
      <c r="R737" s="2338"/>
    </row>
    <row r="738" spans="1:18">
      <c r="A738" s="1320"/>
      <c r="B738" s="16"/>
      <c r="C738" s="1358" t="s">
        <v>1523</v>
      </c>
      <c r="D738" s="1329"/>
      <c r="E738" s="2135" t="s">
        <v>1508</v>
      </c>
      <c r="F738" s="1330" t="s">
        <v>1524</v>
      </c>
      <c r="G738" s="1776"/>
      <c r="H738" s="1776">
        <v>0.2</v>
      </c>
      <c r="I738" s="1455"/>
      <c r="J738" s="1488"/>
      <c r="K738" s="1510"/>
      <c r="L738" s="1445"/>
      <c r="M738" s="1500"/>
      <c r="N738" s="1447">
        <f>SUM(N739:N741)</f>
        <v>37.510000000000005</v>
      </c>
      <c r="O738" s="1447">
        <f>SUM(O739:O741)</f>
        <v>7.51</v>
      </c>
      <c r="P738" s="1447">
        <f>SUM(P739:P741)</f>
        <v>7.6520400000000013</v>
      </c>
      <c r="Q738" s="3391"/>
      <c r="R738" s="2338"/>
    </row>
    <row r="739" spans="1:18">
      <c r="A739" s="1320"/>
      <c r="B739" s="16"/>
      <c r="C739" s="1042"/>
      <c r="D739" s="1402" t="s">
        <v>1067</v>
      </c>
      <c r="E739" s="1857" t="s">
        <v>1508</v>
      </c>
      <c r="F739" s="1430" t="s">
        <v>5</v>
      </c>
      <c r="G739" s="1362">
        <v>1</v>
      </c>
      <c r="H739" s="1362">
        <f>$H$738*G739</f>
        <v>0.2</v>
      </c>
      <c r="I739" s="1286"/>
      <c r="J739" s="1287"/>
      <c r="K739" s="1307">
        <f>H739*$K$728</f>
        <v>0.20400000000000001</v>
      </c>
      <c r="L739" s="1335">
        <f>K739*$K$695</f>
        <v>0</v>
      </c>
      <c r="M739" s="1499">
        <v>18.28</v>
      </c>
      <c r="N739" s="1724">
        <f>G739*M739</f>
        <v>18.28</v>
      </c>
      <c r="O739" s="1719">
        <f>ROUND(H739*M739,2)</f>
        <v>3.66</v>
      </c>
      <c r="P739" s="1720">
        <f>M739*K739</f>
        <v>3.7291200000000004</v>
      </c>
      <c r="Q739" s="3396"/>
      <c r="R739" s="2338"/>
    </row>
    <row r="740" spans="1:18">
      <c r="A740" s="1320"/>
      <c r="B740" s="16"/>
      <c r="C740" s="1042"/>
      <c r="D740" s="1402" t="s">
        <v>1077</v>
      </c>
      <c r="E740" s="1857" t="s">
        <v>1508</v>
      </c>
      <c r="F740" s="1430" t="s">
        <v>37</v>
      </c>
      <c r="G740" s="1362">
        <v>1</v>
      </c>
      <c r="H740" s="1362">
        <f>$H$738*G740</f>
        <v>0.2</v>
      </c>
      <c r="I740" s="1286"/>
      <c r="J740" s="1287"/>
      <c r="K740" s="1307">
        <f>H740*$K$728</f>
        <v>0.20400000000000001</v>
      </c>
      <c r="L740" s="1335">
        <f>K740*$K$695</f>
        <v>0</v>
      </c>
      <c r="M740" s="1285">
        <v>19.23</v>
      </c>
      <c r="N740" s="1724">
        <f>G740*M740</f>
        <v>19.23</v>
      </c>
      <c r="O740" s="1725">
        <f>ROUND(H740*M740,2)</f>
        <v>3.85</v>
      </c>
      <c r="P740" s="1720">
        <f>M740*K740</f>
        <v>3.9229200000000004</v>
      </c>
      <c r="Q740" s="3396"/>
      <c r="R740" s="2338"/>
    </row>
    <row r="741" spans="1:18">
      <c r="A741" s="1320"/>
      <c r="B741" s="16"/>
      <c r="C741" s="1042"/>
      <c r="D741" s="1402"/>
      <c r="E741" s="1857"/>
      <c r="F741" s="1430"/>
      <c r="G741" s="1362"/>
      <c r="H741" s="1362"/>
      <c r="I741" s="1286"/>
      <c r="J741" s="1287"/>
      <c r="K741" s="1307"/>
      <c r="L741" s="1335"/>
      <c r="M741" s="1285"/>
      <c r="N741" s="1724"/>
      <c r="O741" s="1291"/>
      <c r="P741" s="1332"/>
      <c r="Q741" s="3391"/>
      <c r="R741" s="2338"/>
    </row>
    <row r="742" spans="1:18">
      <c r="A742" s="1320"/>
      <c r="B742" s="16"/>
      <c r="C742" s="1042"/>
      <c r="D742" s="1373"/>
      <c r="E742" s="2123"/>
      <c r="F742" s="1374" t="s">
        <v>3</v>
      </c>
      <c r="G742" s="1492"/>
      <c r="H742" s="1376"/>
      <c r="I742" s="1382"/>
      <c r="J742" s="1383"/>
      <c r="K742" s="1383"/>
      <c r="L742" s="1413"/>
      <c r="M742" s="1485"/>
      <c r="N742" s="1493"/>
      <c r="O742" s="1493"/>
      <c r="P742" s="1413"/>
      <c r="Q742" s="3387"/>
      <c r="R742" s="2338"/>
    </row>
    <row r="743" spans="1:18">
      <c r="A743" s="1320"/>
      <c r="B743" s="16"/>
      <c r="C743" s="1042"/>
      <c r="D743" s="1440"/>
      <c r="E743" s="2132"/>
      <c r="F743" s="1441"/>
      <c r="G743" s="1441"/>
      <c r="H743" s="1442"/>
      <c r="I743" s="197"/>
      <c r="J743" s="198"/>
      <c r="K743" s="1307"/>
      <c r="L743" s="1335"/>
      <c r="M743" s="1499"/>
      <c r="N743" s="1701"/>
      <c r="O743" s="1290"/>
      <c r="P743" s="1332"/>
      <c r="Q743" s="3391"/>
      <c r="R743" s="2338"/>
    </row>
    <row r="744" spans="1:18">
      <c r="A744" s="1320"/>
      <c r="B744" s="16"/>
      <c r="C744" s="1042"/>
      <c r="D744" s="1440"/>
      <c r="E744" s="2132"/>
      <c r="F744" s="1441"/>
      <c r="G744" s="1441"/>
      <c r="H744" s="1442"/>
      <c r="I744" s="197" t="str">
        <f>IF(COUNT(H745:O745)=0,"",(SUM(H745:O745)/COUNT(H745:O745)))</f>
        <v/>
      </c>
      <c r="J744" s="198"/>
      <c r="K744" s="1307"/>
      <c r="L744" s="1335"/>
      <c r="M744" s="1499"/>
      <c r="N744" s="1701"/>
      <c r="O744" s="1290"/>
      <c r="P744" s="1332"/>
      <c r="Q744" s="3391"/>
      <c r="R744" s="2338"/>
    </row>
    <row r="745" spans="1:18">
      <c r="A745" s="1320"/>
      <c r="B745" s="1596"/>
      <c r="C745" s="223"/>
      <c r="D745" s="1440"/>
      <c r="E745" s="2132"/>
      <c r="F745" s="1441"/>
      <c r="G745" s="1441"/>
      <c r="H745" s="1442"/>
      <c r="I745" s="197" t="str">
        <f>IF(COUNT(G746:O746)=0,"",(SUM(G746:O746)/COUNT(G746:O746)))</f>
        <v/>
      </c>
      <c r="J745" s="198"/>
      <c r="K745" s="1307"/>
      <c r="L745" s="1335"/>
      <c r="M745" s="1499"/>
      <c r="N745" s="1701"/>
      <c r="O745" s="1290"/>
      <c r="P745" s="1332"/>
      <c r="Q745" s="3391"/>
      <c r="R745" s="2338"/>
    </row>
    <row r="746" spans="1:18" ht="15" customHeight="1">
      <c r="A746" s="88" t="s">
        <v>3764</v>
      </c>
      <c r="B746" s="4367" t="s">
        <v>1500</v>
      </c>
      <c r="C746" s="3350"/>
      <c r="D746" s="4327"/>
      <c r="E746" s="4337" t="s">
        <v>1507</v>
      </c>
      <c r="F746" s="4338" t="s">
        <v>1501</v>
      </c>
      <c r="G746" s="4331" t="s">
        <v>1568</v>
      </c>
      <c r="H746" s="4331" t="s">
        <v>1574</v>
      </c>
      <c r="I746" s="1572" t="s">
        <v>1559</v>
      </c>
      <c r="J746" s="1294" t="s">
        <v>1560</v>
      </c>
      <c r="K746" s="1294" t="s">
        <v>1561</v>
      </c>
      <c r="L746" s="4333" t="s">
        <v>3765</v>
      </c>
      <c r="M746" s="4335" t="s">
        <v>1571</v>
      </c>
      <c r="N746" s="4323" t="s">
        <v>1776</v>
      </c>
      <c r="O746" s="3347" t="s">
        <v>1563</v>
      </c>
      <c r="P746" s="1336" t="s">
        <v>1562</v>
      </c>
      <c r="Q746" s="3389"/>
      <c r="R746" s="1699" t="s">
        <v>1327</v>
      </c>
    </row>
    <row r="747" spans="1:18">
      <c r="A747" s="595" t="s">
        <v>2809</v>
      </c>
      <c r="B747" s="4369"/>
      <c r="C747" s="3351"/>
      <c r="D747" s="4328"/>
      <c r="E747" s="4337"/>
      <c r="F747" s="4338"/>
      <c r="G747" s="4332"/>
      <c r="H747" s="4332"/>
      <c r="I747" s="1345">
        <v>1.5</v>
      </c>
      <c r="J747" s="1307">
        <v>1.7000000000000001E-2</v>
      </c>
      <c r="K747" s="1297">
        <f>I747*J747</f>
        <v>2.5500000000000002E-2</v>
      </c>
      <c r="L747" s="4334"/>
      <c r="M747" s="4335"/>
      <c r="N747" s="4324"/>
      <c r="O747" s="1298">
        <f>SUM(O749:O766)</f>
        <v>102.7</v>
      </c>
      <c r="P747" s="1337">
        <f>O747*K747</f>
        <v>2.6188500000000001</v>
      </c>
      <c r="Q747" s="3390"/>
      <c r="R747" s="1721">
        <f>SUM(P749:P767)</f>
        <v>2.6182275449999999</v>
      </c>
    </row>
    <row r="748" spans="1:18">
      <c r="A748" s="1320"/>
      <c r="B748" s="552"/>
      <c r="C748" s="18"/>
      <c r="D748" s="1400"/>
      <c r="E748" s="2121"/>
      <c r="F748" s="1389" t="s">
        <v>1</v>
      </c>
      <c r="G748" s="1390"/>
      <c r="H748" s="1390"/>
      <c r="I748" s="1391"/>
      <c r="J748" s="1369"/>
      <c r="K748" s="1369"/>
      <c r="L748" s="1554"/>
      <c r="M748" s="1490"/>
      <c r="N748" s="1491"/>
      <c r="O748" s="1491"/>
      <c r="P748" s="1367"/>
      <c r="Q748" s="3387"/>
      <c r="R748" s="2338"/>
    </row>
    <row r="749" spans="1:18">
      <c r="A749" s="1320"/>
      <c r="B749" s="88"/>
      <c r="C749" s="1042"/>
      <c r="D749" s="1371" t="s">
        <v>1075</v>
      </c>
      <c r="E749" s="2144" t="s">
        <v>1357</v>
      </c>
      <c r="F749" s="1471" t="s">
        <v>1532</v>
      </c>
      <c r="G749" s="1372">
        <v>1</v>
      </c>
      <c r="H749" s="1372"/>
      <c r="I749" s="1346"/>
      <c r="J749" s="1341"/>
      <c r="K749" s="1307">
        <f t="shared" ref="K749:K755" si="67">G749*$K$747</f>
        <v>2.5500000000000002E-2</v>
      </c>
      <c r="L749" s="1335">
        <f t="shared" ref="L749:L755" si="68">K749*$K$695</f>
        <v>0</v>
      </c>
      <c r="M749" s="1302">
        <v>0.81</v>
      </c>
      <c r="N749" s="1302"/>
      <c r="O749" s="1291">
        <f t="shared" ref="O749:O755" si="69">ROUND(G749*M749,2)</f>
        <v>0.81</v>
      </c>
      <c r="P749" s="1332">
        <f t="shared" ref="P749:P755" si="70">M749*K749</f>
        <v>2.0655000000000003E-2</v>
      </c>
      <c r="Q749" s="3391"/>
      <c r="R749" s="2338"/>
    </row>
    <row r="750" spans="1:18">
      <c r="A750" s="1320"/>
      <c r="B750" s="88"/>
      <c r="C750" s="1042"/>
      <c r="D750" s="1371" t="s">
        <v>1533</v>
      </c>
      <c r="E750" s="2144" t="s">
        <v>1357</v>
      </c>
      <c r="F750" s="1471" t="s">
        <v>1534</v>
      </c>
      <c r="G750" s="1372">
        <v>0.99</v>
      </c>
      <c r="H750" s="1372"/>
      <c r="I750" s="1346"/>
      <c r="J750" s="1341"/>
      <c r="K750" s="1307">
        <f t="shared" si="67"/>
        <v>2.5245E-2</v>
      </c>
      <c r="L750" s="1335">
        <f t="shared" si="68"/>
        <v>0</v>
      </c>
      <c r="M750" s="1302">
        <v>0.93</v>
      </c>
      <c r="N750" s="1302"/>
      <c r="O750" s="1291">
        <f t="shared" si="69"/>
        <v>0.92</v>
      </c>
      <c r="P750" s="1332">
        <f t="shared" si="70"/>
        <v>2.3477850000000001E-2</v>
      </c>
      <c r="Q750" s="3391"/>
      <c r="R750" s="2338"/>
    </row>
    <row r="751" spans="1:18">
      <c r="A751" s="1320"/>
      <c r="B751" s="88"/>
      <c r="C751" s="1042"/>
      <c r="D751" s="1371" t="s">
        <v>1116</v>
      </c>
      <c r="E751" s="2144" t="s">
        <v>1504</v>
      </c>
      <c r="F751" s="1471" t="s">
        <v>1535</v>
      </c>
      <c r="G751" s="1372">
        <v>5.4</v>
      </c>
      <c r="H751" s="1372"/>
      <c r="I751" s="1346"/>
      <c r="J751" s="1341"/>
      <c r="K751" s="1307">
        <f t="shared" si="67"/>
        <v>0.13770000000000002</v>
      </c>
      <c r="L751" s="1335">
        <f t="shared" si="68"/>
        <v>0</v>
      </c>
      <c r="M751" s="1302">
        <v>0.84</v>
      </c>
      <c r="N751" s="1302"/>
      <c r="O751" s="1291">
        <f t="shared" si="69"/>
        <v>4.54</v>
      </c>
      <c r="P751" s="1332">
        <f t="shared" si="70"/>
        <v>0.11566800000000001</v>
      </c>
      <c r="Q751" s="3391"/>
      <c r="R751" s="2338"/>
    </row>
    <row r="752" spans="1:18">
      <c r="A752" s="1320"/>
      <c r="B752" s="88"/>
      <c r="C752" s="1042"/>
      <c r="D752" s="1371" t="s">
        <v>1115</v>
      </c>
      <c r="E752" s="2144" t="s">
        <v>1527</v>
      </c>
      <c r="F752" s="1471" t="s">
        <v>1536</v>
      </c>
      <c r="G752" s="1372">
        <v>1.397</v>
      </c>
      <c r="H752" s="1372"/>
      <c r="I752" s="1346"/>
      <c r="J752" s="1341"/>
      <c r="K752" s="1307">
        <f t="shared" si="67"/>
        <v>3.5623500000000002E-2</v>
      </c>
      <c r="L752" s="1335">
        <f t="shared" si="68"/>
        <v>0</v>
      </c>
      <c r="M752" s="1302">
        <v>3.54</v>
      </c>
      <c r="N752" s="1302"/>
      <c r="O752" s="1291">
        <f t="shared" si="69"/>
        <v>4.95</v>
      </c>
      <c r="P752" s="1332">
        <f t="shared" si="70"/>
        <v>0.12610719000000001</v>
      </c>
      <c r="Q752" s="3391"/>
      <c r="R752" s="2338"/>
    </row>
    <row r="753" spans="1:20">
      <c r="A753" s="1320"/>
      <c r="B753" s="88"/>
      <c r="C753" s="1042"/>
      <c r="D753" s="1371" t="s">
        <v>1113</v>
      </c>
      <c r="E753" s="2144" t="s">
        <v>1517</v>
      </c>
      <c r="F753" s="1471" t="s">
        <v>1537</v>
      </c>
      <c r="G753" s="1372">
        <v>0.105</v>
      </c>
      <c r="H753" s="1372"/>
      <c r="I753" s="1346"/>
      <c r="J753" s="1341"/>
      <c r="K753" s="1307">
        <f t="shared" si="67"/>
        <v>2.6775000000000002E-3</v>
      </c>
      <c r="L753" s="1335">
        <f t="shared" si="68"/>
        <v>0</v>
      </c>
      <c r="M753" s="1302">
        <v>60.26</v>
      </c>
      <c r="N753" s="1302"/>
      <c r="O753" s="1291">
        <f t="shared" si="69"/>
        <v>6.33</v>
      </c>
      <c r="P753" s="1332">
        <f t="shared" si="70"/>
        <v>0.16134614999999999</v>
      </c>
      <c r="Q753" s="3391"/>
    </row>
    <row r="754" spans="1:20">
      <c r="A754" s="1320"/>
      <c r="B754" s="88"/>
      <c r="C754" s="1042"/>
      <c r="D754" s="1371" t="s">
        <v>1114</v>
      </c>
      <c r="E754" s="2144" t="s">
        <v>1517</v>
      </c>
      <c r="F754" s="1471" t="s">
        <v>1538</v>
      </c>
      <c r="G754" s="1372">
        <v>1E-3</v>
      </c>
      <c r="H754" s="1372"/>
      <c r="I754" s="1346"/>
      <c r="J754" s="1341"/>
      <c r="K754" s="1307">
        <f t="shared" si="67"/>
        <v>2.5500000000000003E-5</v>
      </c>
      <c r="L754" s="1335">
        <f t="shared" si="68"/>
        <v>0</v>
      </c>
      <c r="M754" s="1302">
        <v>225.64</v>
      </c>
      <c r="N754" s="1302"/>
      <c r="O754" s="1291">
        <f t="shared" si="69"/>
        <v>0.23</v>
      </c>
      <c r="P754" s="1332">
        <f t="shared" si="70"/>
        <v>5.7538200000000006E-3</v>
      </c>
      <c r="Q754" s="3391"/>
    </row>
    <row r="755" spans="1:20">
      <c r="A755" s="1320"/>
      <c r="B755" s="88"/>
      <c r="C755" s="1042"/>
      <c r="D755" s="1384" t="s">
        <v>1082</v>
      </c>
      <c r="E755" s="2146" t="s">
        <v>1504</v>
      </c>
      <c r="F755" s="1471" t="s">
        <v>1541</v>
      </c>
      <c r="G755" s="1372">
        <v>1</v>
      </c>
      <c r="H755" s="1372"/>
      <c r="I755" s="1346"/>
      <c r="J755" s="1341"/>
      <c r="K755" s="1307">
        <f t="shared" si="67"/>
        <v>2.5500000000000002E-2</v>
      </c>
      <c r="L755" s="1335">
        <f t="shared" si="68"/>
        <v>0</v>
      </c>
      <c r="M755" s="1302">
        <v>0.3</v>
      </c>
      <c r="N755" s="1302"/>
      <c r="O755" s="1291">
        <f t="shared" si="69"/>
        <v>0.3</v>
      </c>
      <c r="P755" s="1332">
        <f t="shared" si="70"/>
        <v>7.6500000000000005E-3</v>
      </c>
      <c r="Q755" s="3391"/>
    </row>
    <row r="756" spans="1:20">
      <c r="A756" s="1320"/>
      <c r="B756" s="88"/>
      <c r="C756" s="1042"/>
      <c r="D756" s="1384"/>
      <c r="E756" s="2146"/>
      <c r="F756" s="1471"/>
      <c r="G756" s="1372"/>
      <c r="H756" s="1372"/>
      <c r="I756" s="1346"/>
      <c r="J756" s="1341"/>
      <c r="K756" s="1307" t="str">
        <f>IF(COUNT(#REF!)=0,"",IF(#REF!="","",(#REF!*#REF!)))</f>
        <v/>
      </c>
      <c r="L756" s="1335"/>
      <c r="M756" s="1302"/>
      <c r="N756" s="1302"/>
      <c r="O756" s="1291"/>
      <c r="P756" s="1332"/>
      <c r="Q756" s="3391"/>
    </row>
    <row r="757" spans="1:20">
      <c r="A757" s="1320"/>
      <c r="B757" s="88"/>
      <c r="C757" s="1042"/>
      <c r="D757" s="1384"/>
      <c r="E757" s="2146"/>
      <c r="F757" s="1471"/>
      <c r="G757" s="1372"/>
      <c r="H757" s="1372"/>
      <c r="I757" s="1346"/>
      <c r="J757" s="1341"/>
      <c r="K757" s="1307" t="str">
        <f>IF(COUNT(#REF!)=0,"",IF(#REF!="","",(#REF!*#REF!)))</f>
        <v/>
      </c>
      <c r="L757" s="1335"/>
      <c r="M757" s="1302"/>
      <c r="N757" s="1302"/>
      <c r="O757" s="1291"/>
      <c r="P757" s="1332"/>
      <c r="Q757" s="3391"/>
    </row>
    <row r="758" spans="1:20">
      <c r="A758" s="1320"/>
      <c r="B758" s="88"/>
      <c r="C758" s="1042"/>
      <c r="D758" s="1404"/>
      <c r="E758" s="1858"/>
      <c r="F758" s="1360" t="s">
        <v>2</v>
      </c>
      <c r="G758" s="1362"/>
      <c r="H758" s="1362"/>
      <c r="I758" s="1380"/>
      <c r="J758" s="1381"/>
      <c r="K758" s="1359" t="str">
        <f>IF(COUNT(#REF!)=0,"",IF(#REF!="","",(#REF!*#REF!)))</f>
        <v/>
      </c>
      <c r="L758" s="1458"/>
      <c r="M758" s="1362"/>
      <c r="N758" s="1362"/>
      <c r="O758" s="1708"/>
      <c r="P758" s="1359"/>
      <c r="Q758" s="3387"/>
    </row>
    <row r="759" spans="1:20">
      <c r="A759" s="1320"/>
      <c r="B759" s="88"/>
      <c r="C759" s="1042"/>
      <c r="D759" s="1495" t="s">
        <v>1077</v>
      </c>
      <c r="E759" s="2147" t="s">
        <v>1508</v>
      </c>
      <c r="F759" s="1473" t="s">
        <v>1539</v>
      </c>
      <c r="G759" s="1365">
        <v>0.435</v>
      </c>
      <c r="H759" s="1365"/>
      <c r="I759" s="1286"/>
      <c r="J759" s="198"/>
      <c r="K759" s="1307">
        <f>G759*$K$747</f>
        <v>1.10925E-2</v>
      </c>
      <c r="L759" s="1335">
        <f>K759*$K$695</f>
        <v>0</v>
      </c>
      <c r="M759" s="1302">
        <v>19.23</v>
      </c>
      <c r="N759" s="1700"/>
      <c r="O759" s="1290">
        <f>ROUND(G759*M759,2)</f>
        <v>8.3699999999999992</v>
      </c>
      <c r="P759" s="1332">
        <f>M759*K759</f>
        <v>0.21330877500000001</v>
      </c>
      <c r="Q759" s="3391"/>
      <c r="R759" s="3363"/>
      <c r="S759" s="16"/>
      <c r="T759" s="16"/>
    </row>
    <row r="760" spans="1:20">
      <c r="A760" s="1320"/>
      <c r="B760" s="88"/>
      <c r="C760" s="1042"/>
      <c r="D760" s="1364" t="s">
        <v>1076</v>
      </c>
      <c r="E760" s="2148" t="s">
        <v>1508</v>
      </c>
      <c r="F760" s="1473" t="s">
        <v>1540</v>
      </c>
      <c r="G760" s="1365">
        <v>0.25600000000000001</v>
      </c>
      <c r="H760" s="1365"/>
      <c r="I760" s="1286"/>
      <c r="J760" s="198"/>
      <c r="K760" s="1307">
        <f>G760*$K$747</f>
        <v>6.5280000000000008E-3</v>
      </c>
      <c r="L760" s="1335">
        <f>K760*$K$695</f>
        <v>0</v>
      </c>
      <c r="M760" s="1302">
        <v>20.23</v>
      </c>
      <c r="N760" s="1700"/>
      <c r="O760" s="1290">
        <f>ROUND(G760*M760,2)</f>
        <v>5.18</v>
      </c>
      <c r="P760" s="1332">
        <f>M760*K760</f>
        <v>0.13206144000000003</v>
      </c>
      <c r="Q760" s="3391"/>
      <c r="R760" s="3363"/>
      <c r="S760" s="17"/>
      <c r="T760" s="17"/>
    </row>
    <row r="761" spans="1:20">
      <c r="A761" s="1320"/>
      <c r="B761" s="88"/>
      <c r="C761" s="1042"/>
      <c r="D761" s="1385" t="s">
        <v>1067</v>
      </c>
      <c r="E761" s="2149" t="s">
        <v>1508</v>
      </c>
      <c r="F761" s="1468" t="s">
        <v>1512</v>
      </c>
      <c r="G761" s="1386">
        <v>3.3220000000000001</v>
      </c>
      <c r="H761" s="1386"/>
      <c r="I761" s="1286"/>
      <c r="J761" s="198"/>
      <c r="K761" s="1307">
        <f>G761*$K$747</f>
        <v>8.4711000000000009E-2</v>
      </c>
      <c r="L761" s="1335">
        <f>K761*$K$695</f>
        <v>0</v>
      </c>
      <c r="M761" s="1302">
        <v>21.23</v>
      </c>
      <c r="N761" s="1700"/>
      <c r="O761" s="1290">
        <f>ROUND(G761*M761,2)</f>
        <v>70.53</v>
      </c>
      <c r="P761" s="1332">
        <f>M761*K761</f>
        <v>1.7984145300000003</v>
      </c>
      <c r="Q761" s="3391"/>
      <c r="R761" s="1173"/>
      <c r="S761" s="105"/>
      <c r="T761" s="105"/>
    </row>
    <row r="762" spans="1:20">
      <c r="A762" s="1320"/>
      <c r="B762" s="88"/>
      <c r="C762" s="1042"/>
      <c r="D762" s="1363"/>
      <c r="E762" s="2125"/>
      <c r="F762" s="1363"/>
      <c r="G762" s="1408"/>
      <c r="H762" s="1408"/>
      <c r="I762" s="1286"/>
      <c r="J762" s="198"/>
      <c r="K762" s="1307"/>
      <c r="L762" s="1335"/>
      <c r="M762" s="1302"/>
      <c r="N762" s="1700"/>
      <c r="O762" s="1973"/>
      <c r="P762" s="1332"/>
      <c r="Q762" s="3391"/>
      <c r="R762" s="1173"/>
      <c r="S762" s="105"/>
      <c r="T762" s="105"/>
    </row>
    <row r="763" spans="1:20">
      <c r="A763" s="1320"/>
      <c r="B763" s="88"/>
      <c r="C763" s="1042"/>
      <c r="D763" s="2227"/>
      <c r="E763" s="2228"/>
      <c r="F763" s="2229" t="s">
        <v>3</v>
      </c>
      <c r="G763" s="1969"/>
      <c r="H763" s="1969"/>
      <c r="I763" s="1496"/>
      <c r="J763" s="1383"/>
      <c r="K763" s="1373"/>
      <c r="L763" s="1413"/>
      <c r="M763" s="1376"/>
      <c r="N763" s="1376"/>
      <c r="O763" s="1706"/>
      <c r="P763" s="1373"/>
      <c r="Q763" s="3387"/>
      <c r="R763" s="3363"/>
      <c r="S763" s="16"/>
      <c r="T763" s="16"/>
    </row>
    <row r="764" spans="1:20">
      <c r="A764" s="1320"/>
      <c r="B764" s="88"/>
      <c r="C764" s="1042"/>
      <c r="D764" s="1377" t="s">
        <v>1087</v>
      </c>
      <c r="E764" s="2124" t="s">
        <v>1508</v>
      </c>
      <c r="F764" s="1378" t="s">
        <v>1542</v>
      </c>
      <c r="G764" s="1379">
        <v>0.35799999999999998</v>
      </c>
      <c r="H764" s="1379"/>
      <c r="I764" s="1286"/>
      <c r="J764" s="198"/>
      <c r="K764" s="1307">
        <f>G764*$K$747</f>
        <v>9.129E-3</v>
      </c>
      <c r="L764" s="1335">
        <f>K764*$K$695</f>
        <v>0</v>
      </c>
      <c r="M764" s="1302">
        <v>1.51</v>
      </c>
      <c r="N764" s="1700"/>
      <c r="O764" s="1290">
        <f>ROUND(G764*M764,2)</f>
        <v>0.54</v>
      </c>
      <c r="P764" s="1332">
        <f>M764*K764</f>
        <v>1.378479E-2</v>
      </c>
      <c r="Q764" s="3391"/>
      <c r="R764" s="3363"/>
      <c r="S764" s="16"/>
      <c r="T764" s="16"/>
    </row>
    <row r="765" spans="1:20">
      <c r="A765" s="1320"/>
      <c r="B765" s="88"/>
      <c r="C765" s="1042"/>
      <c r="D765" s="1440"/>
      <c r="E765" s="2132"/>
      <c r="F765" s="1441"/>
      <c r="G765" s="1442"/>
      <c r="H765" s="1442"/>
      <c r="I765" s="197" t="str">
        <f>IF(COUNT(#REF!)=0,"",(SUM(#REF!)/COUNT(#REF!)))</f>
        <v/>
      </c>
      <c r="J765" s="198"/>
      <c r="K765" s="1307"/>
      <c r="L765" s="1335"/>
      <c r="M765" s="1499"/>
      <c r="N765" s="1701"/>
      <c r="O765" s="1290"/>
      <c r="P765" s="1332"/>
      <c r="Q765" s="3391"/>
      <c r="R765" s="2338"/>
    </row>
    <row r="766" spans="1:20">
      <c r="A766" s="1320"/>
      <c r="B766" s="581"/>
      <c r="C766" s="223"/>
      <c r="D766" s="1440"/>
      <c r="E766" s="2132"/>
      <c r="F766" s="1441"/>
      <c r="G766" s="1442"/>
      <c r="H766" s="1442"/>
      <c r="I766" s="197" t="str">
        <f>IF(COUNT(G767:O767)=0,"",(SUM(G767:O767)/COUNT(G767:O767)))</f>
        <v/>
      </c>
      <c r="J766" s="198"/>
      <c r="K766" s="1307"/>
      <c r="L766" s="1335"/>
      <c r="M766" s="1499"/>
      <c r="N766" s="1701"/>
      <c r="O766" s="1290"/>
      <c r="P766" s="1332"/>
      <c r="Q766" s="3391"/>
      <c r="R766" s="2338"/>
    </row>
    <row r="767" spans="1:20" ht="15" customHeight="1">
      <c r="A767" s="88" t="s">
        <v>3764</v>
      </c>
      <c r="B767" s="4367" t="s">
        <v>1502</v>
      </c>
      <c r="C767" s="3350"/>
      <c r="D767" s="4327"/>
      <c r="E767" s="4337" t="s">
        <v>1507</v>
      </c>
      <c r="F767" s="4338" t="s">
        <v>2784</v>
      </c>
      <c r="G767" s="4331" t="s">
        <v>1568</v>
      </c>
      <c r="H767" s="4331" t="s">
        <v>1574</v>
      </c>
      <c r="I767" s="1572" t="s">
        <v>1559</v>
      </c>
      <c r="J767" s="1294" t="s">
        <v>1560</v>
      </c>
      <c r="K767" s="1294" t="s">
        <v>1561</v>
      </c>
      <c r="L767" s="4333" t="s">
        <v>3765</v>
      </c>
      <c r="M767" s="4335" t="s">
        <v>1571</v>
      </c>
      <c r="N767" s="4323" t="s">
        <v>1776</v>
      </c>
      <c r="O767" s="3347" t="s">
        <v>1563</v>
      </c>
      <c r="P767" s="1336" t="s">
        <v>1562</v>
      </c>
      <c r="Q767" s="3389"/>
      <c r="R767" s="1699" t="s">
        <v>1327</v>
      </c>
    </row>
    <row r="768" spans="1:20">
      <c r="A768" s="595" t="s">
        <v>2809</v>
      </c>
      <c r="B768" s="4369"/>
      <c r="C768" s="3351"/>
      <c r="D768" s="4328"/>
      <c r="E768" s="4337"/>
      <c r="F768" s="4338"/>
      <c r="G768" s="4332"/>
      <c r="H768" s="4332"/>
      <c r="I768" s="1345">
        <v>1.5</v>
      </c>
      <c r="J768" s="1307">
        <v>1.7000000000000001E-2</v>
      </c>
      <c r="K768" s="1297">
        <f>I768*J768</f>
        <v>2.5500000000000002E-2</v>
      </c>
      <c r="L768" s="4334"/>
      <c r="M768" s="4335"/>
      <c r="N768" s="4324"/>
      <c r="O768" s="1298">
        <f>O770+O771+O772+O776</f>
        <v>29.980000000000004</v>
      </c>
      <c r="P768" s="1337">
        <f>O768*K768</f>
        <v>0.76449000000000011</v>
      </c>
      <c r="Q768" s="3390"/>
      <c r="R768" s="1721">
        <f>P770+P771+P772+P776</f>
        <v>0.76443332803499997</v>
      </c>
    </row>
    <row r="769" spans="1:20">
      <c r="A769" s="1599"/>
      <c r="B769" s="18"/>
      <c r="C769" s="552"/>
      <c r="D769" s="1367"/>
      <c r="E769" s="2121"/>
      <c r="F769" s="1389" t="s">
        <v>1</v>
      </c>
      <c r="G769" s="1369"/>
      <c r="H769" s="1369"/>
      <c r="I769" s="1391"/>
      <c r="J769" s="1369"/>
      <c r="K769" s="1369"/>
      <c r="L769" s="1554"/>
      <c r="M769" s="1487"/>
      <c r="N769" s="1487"/>
      <c r="O769" s="1487"/>
      <c r="P769" s="1367"/>
      <c r="Q769" s="3387"/>
      <c r="R769" s="2338"/>
    </row>
    <row r="770" spans="1:20">
      <c r="A770" s="1599"/>
      <c r="B770" s="1042"/>
      <c r="C770" s="88"/>
      <c r="D770" s="1421" t="s">
        <v>1094</v>
      </c>
      <c r="E770" s="1856" t="s">
        <v>1517</v>
      </c>
      <c r="F770" s="1421" t="s">
        <v>1543</v>
      </c>
      <c r="G770" s="1452">
        <v>0.02</v>
      </c>
      <c r="H770" s="1452"/>
      <c r="I770" s="1342"/>
      <c r="J770" s="198"/>
      <c r="K770" s="1307">
        <f>G770*$K$768</f>
        <v>5.1000000000000004E-4</v>
      </c>
      <c r="L770" s="1335">
        <f>K770*$K$695</f>
        <v>0</v>
      </c>
      <c r="M770" s="1302">
        <v>8.39</v>
      </c>
      <c r="N770" s="1700"/>
      <c r="O770" s="1290">
        <f>ROUND(G770*M770,2)</f>
        <v>0.17</v>
      </c>
      <c r="P770" s="1332">
        <f>M770*K770</f>
        <v>4.2789000000000004E-3</v>
      </c>
      <c r="Q770" s="3391"/>
      <c r="R770" s="2338"/>
    </row>
    <row r="771" spans="1:20">
      <c r="A771" s="1599"/>
      <c r="B771" s="1042"/>
      <c r="C771" s="88"/>
      <c r="D771" s="1370" t="s">
        <v>1545</v>
      </c>
      <c r="E771" s="2122" t="s">
        <v>1504</v>
      </c>
      <c r="F771" s="1370" t="s">
        <v>1546</v>
      </c>
      <c r="G771" s="1372">
        <v>8</v>
      </c>
      <c r="H771" s="1372"/>
      <c r="I771" s="1286"/>
      <c r="J771" s="198"/>
      <c r="K771" s="1307">
        <f>G771*$K$768</f>
        <v>0.20400000000000001</v>
      </c>
      <c r="L771" s="1335">
        <f>K771*$K$695</f>
        <v>0</v>
      </c>
      <c r="M771" s="1302">
        <v>3.5</v>
      </c>
      <c r="N771" s="1700"/>
      <c r="O771" s="1290">
        <f>ROUND(G771*M771,2)</f>
        <v>28</v>
      </c>
      <c r="P771" s="1332">
        <f>M771*K771</f>
        <v>0.71400000000000008</v>
      </c>
      <c r="Q771" s="3391"/>
      <c r="R771" s="2338"/>
    </row>
    <row r="772" spans="1:20">
      <c r="A772" s="1599"/>
      <c r="B772" s="1042"/>
      <c r="C772" s="1317" t="s">
        <v>1155</v>
      </c>
      <c r="D772" s="1311"/>
      <c r="E772" s="2131" t="s">
        <v>1517</v>
      </c>
      <c r="F772" s="1343" t="s">
        <v>1544</v>
      </c>
      <c r="G772" s="1344"/>
      <c r="H772" s="1344">
        <v>1E-3</v>
      </c>
      <c r="I772" s="1497"/>
      <c r="J772" s="1388"/>
      <c r="K772" s="1459"/>
      <c r="L772" s="1457"/>
      <c r="M772" s="1446"/>
      <c r="N772" s="1447">
        <f>SUM(N773:N775)</f>
        <v>114.04755</v>
      </c>
      <c r="O772" s="1447">
        <f>SUM(O773:O775)</f>
        <v>0.12000000000000001</v>
      </c>
      <c r="P772" s="1447">
        <f>SUM(P773:P775)</f>
        <v>2.9082125250000004E-3</v>
      </c>
      <c r="Q772" s="3391"/>
      <c r="R772" s="2338"/>
    </row>
    <row r="773" spans="1:20">
      <c r="A773" s="1599"/>
      <c r="B773" s="1042"/>
      <c r="C773" s="1511"/>
      <c r="D773" s="1451" t="s">
        <v>1069</v>
      </c>
      <c r="E773" s="1856" t="s">
        <v>1517</v>
      </c>
      <c r="F773" s="1421" t="s">
        <v>1578</v>
      </c>
      <c r="G773" s="1452">
        <v>0.89100000000000001</v>
      </c>
      <c r="H773" s="1453">
        <f>$H$772*G773</f>
        <v>8.9100000000000008E-4</v>
      </c>
      <c r="I773" s="1286"/>
      <c r="J773" s="198"/>
      <c r="K773" s="1307">
        <f>H773*$K$768</f>
        <v>2.2720500000000004E-5</v>
      </c>
      <c r="L773" s="1335">
        <f>K773*$K$695</f>
        <v>0</v>
      </c>
      <c r="M773" s="1302">
        <v>0.55000000000000004</v>
      </c>
      <c r="N773" s="1724">
        <f>G773*M773</f>
        <v>0.49005000000000004</v>
      </c>
      <c r="O773" s="1719">
        <f>ROUND(H773*M773,2)</f>
        <v>0</v>
      </c>
      <c r="P773" s="1720">
        <f>M773*K773</f>
        <v>1.2496275000000003E-5</v>
      </c>
      <c r="Q773" s="3396"/>
      <c r="R773" s="2338"/>
    </row>
    <row r="774" spans="1:20">
      <c r="A774" s="1599"/>
      <c r="B774" s="1042"/>
      <c r="C774" s="595"/>
      <c r="D774" s="1367" t="s">
        <v>1394</v>
      </c>
      <c r="E774" s="1856" t="s">
        <v>1577</v>
      </c>
      <c r="F774" s="1421" t="s">
        <v>1579</v>
      </c>
      <c r="G774" s="1452">
        <v>0.51500000000000001</v>
      </c>
      <c r="H774" s="1453">
        <f>$H$772*G774</f>
        <v>5.1500000000000005E-4</v>
      </c>
      <c r="I774" s="1286"/>
      <c r="J774" s="198"/>
      <c r="K774" s="1307">
        <f>H774*$K$768</f>
        <v>1.3132500000000002E-5</v>
      </c>
      <c r="L774" s="1335">
        <f>K774*$K$695</f>
        <v>0</v>
      </c>
      <c r="M774" s="1302">
        <v>92.54</v>
      </c>
      <c r="N774" s="1724">
        <f>G774*M774</f>
        <v>47.658100000000005</v>
      </c>
      <c r="O774" s="1719">
        <f>ROUND(H774*M774,2)</f>
        <v>0.05</v>
      </c>
      <c r="P774" s="1720">
        <f>M774*K774</f>
        <v>1.2152815500000003E-3</v>
      </c>
      <c r="Q774" s="3396"/>
      <c r="R774" s="2338"/>
    </row>
    <row r="775" spans="1:20">
      <c r="A775" s="1599"/>
      <c r="B775" s="1042"/>
      <c r="C775" s="1512"/>
      <c r="D775" s="1443" t="s">
        <v>1067</v>
      </c>
      <c r="E775" s="1857" t="s">
        <v>1508</v>
      </c>
      <c r="F775" s="1430" t="s">
        <v>1512</v>
      </c>
      <c r="G775" s="1431">
        <v>3.605</v>
      </c>
      <c r="H775" s="1454">
        <f>$H$772*G775</f>
        <v>3.6050000000000001E-3</v>
      </c>
      <c r="I775" s="1286"/>
      <c r="J775" s="198"/>
      <c r="K775" s="1307">
        <f>H775*$K$768</f>
        <v>9.1927500000000011E-5</v>
      </c>
      <c r="L775" s="1335">
        <f>K775*$K$695</f>
        <v>0</v>
      </c>
      <c r="M775" s="1302">
        <v>18.28</v>
      </c>
      <c r="N775" s="1724">
        <f>G775*M775</f>
        <v>65.8994</v>
      </c>
      <c r="O775" s="1719">
        <f>ROUND(H775*M775,2)</f>
        <v>7.0000000000000007E-2</v>
      </c>
      <c r="P775" s="1720">
        <f>M775*K775</f>
        <v>1.6804347000000002E-3</v>
      </c>
      <c r="Q775" s="3396"/>
      <c r="R775" s="2338"/>
    </row>
    <row r="776" spans="1:20">
      <c r="A776" s="1599"/>
      <c r="B776" s="1042"/>
      <c r="C776" s="1317" t="s">
        <v>1127</v>
      </c>
      <c r="D776" s="1311"/>
      <c r="E776" s="2131" t="s">
        <v>1517</v>
      </c>
      <c r="F776" s="1343" t="s">
        <v>1519</v>
      </c>
      <c r="G776" s="1344"/>
      <c r="H776" s="1344">
        <v>3.1E-2</v>
      </c>
      <c r="I776" s="1497"/>
      <c r="J776" s="1388"/>
      <c r="K776" s="1445"/>
      <c r="L776" s="1457"/>
      <c r="M776" s="1446"/>
      <c r="N776" s="1447">
        <f>SUM(N777:N780)</f>
        <v>54.707420000000006</v>
      </c>
      <c r="O776" s="1447">
        <f>SUM(O777:O780)</f>
        <v>1.69</v>
      </c>
      <c r="P776" s="1447">
        <f>SUM(P777:P780)</f>
        <v>4.3246215510000005E-2</v>
      </c>
      <c r="Q776" s="3391"/>
      <c r="R776" s="2338"/>
    </row>
    <row r="777" spans="1:20">
      <c r="A777" s="22"/>
      <c r="B777" s="1042"/>
      <c r="D777" s="1367" t="s">
        <v>1069</v>
      </c>
      <c r="E777" s="1856" t="s">
        <v>1517</v>
      </c>
      <c r="F777" s="1397" t="s">
        <v>1578</v>
      </c>
      <c r="G777" s="1416">
        <v>0.26300000000000001</v>
      </c>
      <c r="H777" s="1399">
        <f>$H$776*G777</f>
        <v>8.1530000000000005E-3</v>
      </c>
      <c r="I777" s="197"/>
      <c r="J777" s="198"/>
      <c r="K777" s="1307">
        <f>H777*$K$768</f>
        <v>2.0790150000000004E-4</v>
      </c>
      <c r="L777" s="1335">
        <f>K777*$K$695</f>
        <v>0</v>
      </c>
      <c r="M777" s="1302">
        <v>18.28</v>
      </c>
      <c r="N777" s="1724">
        <f>G777*M777</f>
        <v>4.8076400000000001</v>
      </c>
      <c r="O777" s="1719">
        <f>ROUND(H777*M777,2)</f>
        <v>0.15</v>
      </c>
      <c r="P777" s="1720">
        <f>M777*K777</f>
        <v>3.800439420000001E-3</v>
      </c>
      <c r="Q777" s="3396"/>
      <c r="R777" s="2338"/>
    </row>
    <row r="778" spans="1:20">
      <c r="A778" s="1599"/>
      <c r="B778" s="1042"/>
      <c r="C778" s="88"/>
      <c r="D778" s="1367" t="s">
        <v>1394</v>
      </c>
      <c r="E778" s="1856" t="s">
        <v>1577</v>
      </c>
      <c r="F778" s="1397" t="s">
        <v>1579</v>
      </c>
      <c r="G778" s="1416">
        <v>0.25800000000000001</v>
      </c>
      <c r="H778" s="1399">
        <f>$H$776*G778</f>
        <v>7.9979999999999999E-3</v>
      </c>
      <c r="I778" s="197"/>
      <c r="J778" s="198"/>
      <c r="K778" s="1307">
        <f>H778*$K$768</f>
        <v>2.0394900000000001E-4</v>
      </c>
      <c r="L778" s="1335">
        <f>K778*$K$695</f>
        <v>0</v>
      </c>
      <c r="M778" s="1302">
        <v>92.54</v>
      </c>
      <c r="N778" s="1724">
        <f>G778*M778</f>
        <v>23.875320000000002</v>
      </c>
      <c r="O778" s="1719">
        <f>ROUND(H778*M778,2)</f>
        <v>0.74</v>
      </c>
      <c r="P778" s="1720">
        <f>M778*K778</f>
        <v>1.8873440460000002E-2</v>
      </c>
      <c r="Q778" s="3396"/>
      <c r="R778" s="2343"/>
    </row>
    <row r="779" spans="1:20">
      <c r="A779" s="1599"/>
      <c r="B779" s="1042"/>
      <c r="C779" s="88"/>
      <c r="D779" s="1367" t="s">
        <v>1576</v>
      </c>
      <c r="E779" s="1856" t="s">
        <v>1517</v>
      </c>
      <c r="F779" s="1397" t="s">
        <v>1580</v>
      </c>
      <c r="G779" s="1416">
        <v>1.1020000000000001</v>
      </c>
      <c r="H779" s="1399">
        <f>$H$776*G779</f>
        <v>3.4162000000000005E-2</v>
      </c>
      <c r="I779" s="197"/>
      <c r="J779" s="198"/>
      <c r="K779" s="1307">
        <f>H779*$K$768</f>
        <v>8.7113100000000014E-4</v>
      </c>
      <c r="L779" s="1335">
        <f>K779*$K$695</f>
        <v>0</v>
      </c>
      <c r="M779" s="1302">
        <v>6.53</v>
      </c>
      <c r="N779" s="1724">
        <f>G779*M779</f>
        <v>7.196060000000001</v>
      </c>
      <c r="O779" s="1719">
        <f>ROUND(H779*M779,2)</f>
        <v>0.22</v>
      </c>
      <c r="P779" s="1720">
        <f>M779*K779</f>
        <v>5.688485430000001E-3</v>
      </c>
      <c r="Q779" s="3396"/>
      <c r="R779" s="2338"/>
    </row>
    <row r="780" spans="1:20">
      <c r="A780" s="1599"/>
      <c r="B780" s="1042"/>
      <c r="C780" s="88"/>
      <c r="D780" s="1359" t="s">
        <v>1067</v>
      </c>
      <c r="E780" s="1857" t="s">
        <v>1508</v>
      </c>
      <c r="F780" s="1406" t="s">
        <v>1512</v>
      </c>
      <c r="G780" s="1407">
        <v>1.03</v>
      </c>
      <c r="H780" s="1408">
        <f>$H$776*G780</f>
        <v>3.193E-2</v>
      </c>
      <c r="I780" s="197"/>
      <c r="J780" s="198"/>
      <c r="K780" s="1307">
        <f>H780*$K$768</f>
        <v>8.1421500000000008E-4</v>
      </c>
      <c r="L780" s="1335">
        <f>K780*$K$695</f>
        <v>0</v>
      </c>
      <c r="M780" s="1302">
        <v>18.28</v>
      </c>
      <c r="N780" s="1724">
        <f>G780*M780</f>
        <v>18.828400000000002</v>
      </c>
      <c r="O780" s="1719">
        <f>ROUND(H780*M780,2)</f>
        <v>0.57999999999999996</v>
      </c>
      <c r="P780" s="1720">
        <f>M780*K780</f>
        <v>1.4883850200000001E-2</v>
      </c>
      <c r="Q780" s="3396"/>
      <c r="R780" s="2338"/>
    </row>
    <row r="781" spans="1:20">
      <c r="A781" s="1599"/>
      <c r="B781" s="1042"/>
      <c r="C781" s="88"/>
      <c r="D781" s="1367"/>
      <c r="E781" s="1856"/>
      <c r="F781" s="1397"/>
      <c r="G781" s="1416"/>
      <c r="H781" s="1399"/>
      <c r="I781" s="197"/>
      <c r="J781" s="198"/>
      <c r="K781" s="1307" t="str">
        <f>IF(COUNT(#REF!)=0,"",IF(#REF!="","",(#REF!*#REF!)))</f>
        <v/>
      </c>
      <c r="L781" s="1335"/>
      <c r="M781" s="1302"/>
      <c r="N781" s="1724"/>
      <c r="O781" s="1719"/>
      <c r="P781" s="1720"/>
      <c r="Q781" s="3396"/>
      <c r="R781" s="3363"/>
      <c r="S781" s="16"/>
      <c r="T781" s="16"/>
    </row>
    <row r="782" spans="1:20">
      <c r="A782" s="1599"/>
      <c r="B782" s="1042"/>
      <c r="C782" s="88"/>
      <c r="D782" s="1367"/>
      <c r="E782" s="1856"/>
      <c r="F782" s="1397"/>
      <c r="G782" s="1416"/>
      <c r="H782" s="1399"/>
      <c r="I782" s="197"/>
      <c r="J782" s="198"/>
      <c r="K782" s="1307" t="str">
        <f>IF(COUNT(#REF!)=0,"",IF(#REF!="","",(#REF!*#REF!)))</f>
        <v/>
      </c>
      <c r="L782" s="1335"/>
      <c r="M782" s="1302"/>
      <c r="N782" s="1724"/>
      <c r="O782" s="1719"/>
      <c r="P782" s="1720"/>
      <c r="Q782" s="3396"/>
      <c r="R782" s="3363"/>
      <c r="S782" s="16"/>
      <c r="T782" s="16"/>
    </row>
    <row r="783" spans="1:20">
      <c r="A783" s="1599"/>
      <c r="B783" s="1042"/>
      <c r="C783" s="88"/>
      <c r="D783" s="1359"/>
      <c r="E783" s="1858"/>
      <c r="F783" s="1465" t="s">
        <v>2</v>
      </c>
      <c r="G783" s="1466"/>
      <c r="H783" s="1362"/>
      <c r="I783" s="1381"/>
      <c r="J783" s="1381"/>
      <c r="K783" s="1359"/>
      <c r="L783" s="1458"/>
      <c r="M783" s="1498"/>
      <c r="N783" s="1498"/>
      <c r="O783" s="1498"/>
      <c r="P783" s="1359"/>
      <c r="Q783" s="3387"/>
      <c r="R783" s="3363"/>
      <c r="S783" s="16"/>
      <c r="T783" s="16"/>
    </row>
    <row r="784" spans="1:20">
      <c r="A784" s="1599"/>
      <c r="B784" s="1042"/>
      <c r="C784" s="88"/>
      <c r="D784" s="1363" t="s">
        <v>1134</v>
      </c>
      <c r="E784" s="2125" t="s">
        <v>1508</v>
      </c>
      <c r="F784" s="1363" t="s">
        <v>1547</v>
      </c>
      <c r="G784" s="1408">
        <v>1.163</v>
      </c>
      <c r="H784" s="1408"/>
      <c r="I784" s="1340"/>
      <c r="J784" s="198"/>
      <c r="K784" s="1307">
        <f>G784*$K$768</f>
        <v>2.9656500000000002E-2</v>
      </c>
      <c r="L784" s="1335">
        <f>K784*$K$695</f>
        <v>0</v>
      </c>
      <c r="M784" s="1302">
        <v>18.28</v>
      </c>
      <c r="N784" s="1700"/>
      <c r="O784" s="1290">
        <f>ROUND(G785*M784,2)</f>
        <v>10.64</v>
      </c>
      <c r="P784" s="1332">
        <f>M784*K784</f>
        <v>0.54212082000000006</v>
      </c>
      <c r="Q784" s="3391"/>
      <c r="R784" s="3363"/>
      <c r="S784" s="17"/>
      <c r="T784" s="17"/>
    </row>
    <row r="785" spans="1:20">
      <c r="A785" s="1599"/>
      <c r="B785" s="1042"/>
      <c r="C785" s="88"/>
      <c r="D785" s="1363" t="s">
        <v>1067</v>
      </c>
      <c r="E785" s="2125" t="s">
        <v>1508</v>
      </c>
      <c r="F785" s="1363" t="s">
        <v>1512</v>
      </c>
      <c r="G785" s="1408">
        <v>0.58199999999999996</v>
      </c>
      <c r="H785" s="1408"/>
      <c r="I785" s="1340"/>
      <c r="J785" s="198"/>
      <c r="K785" s="1307">
        <f>G785*$K$768</f>
        <v>1.4841E-2</v>
      </c>
      <c r="L785" s="1335">
        <f>K785*$K$695</f>
        <v>0</v>
      </c>
      <c r="M785" s="1302">
        <v>21.23</v>
      </c>
      <c r="N785" s="1700"/>
      <c r="O785" s="1290">
        <f>ROUND(G785*M785,2)</f>
        <v>12.36</v>
      </c>
      <c r="P785" s="1332">
        <f>M785*K785</f>
        <v>0.31507443000000002</v>
      </c>
      <c r="Q785" s="3391"/>
      <c r="R785" s="1173"/>
      <c r="S785" s="105"/>
      <c r="T785" s="105"/>
    </row>
    <row r="786" spans="1:20">
      <c r="A786" s="1599"/>
      <c r="B786" s="1042"/>
      <c r="C786" s="88"/>
      <c r="D786" s="1363"/>
      <c r="E786" s="2125"/>
      <c r="F786" s="1363"/>
      <c r="G786" s="1474"/>
      <c r="H786" s="1408"/>
      <c r="I786" s="1340"/>
      <c r="J786" s="198"/>
      <c r="K786" s="1307"/>
      <c r="L786" s="1335"/>
      <c r="M786" s="1302"/>
      <c r="N786" s="1700"/>
      <c r="O786" s="1290"/>
      <c r="P786" s="1332"/>
      <c r="Q786" s="3391"/>
      <c r="R786" s="3363"/>
      <c r="S786" s="16"/>
      <c r="T786" s="16"/>
    </row>
    <row r="787" spans="1:20">
      <c r="A787" s="1599"/>
      <c r="B787" s="1042"/>
      <c r="C787" s="88"/>
      <c r="D787" s="1373"/>
      <c r="E787" s="2123"/>
      <c r="F787" s="1475" t="s">
        <v>3</v>
      </c>
      <c r="G787" s="1377"/>
      <c r="H787" s="1376"/>
      <c r="I787" s="1383" t="str">
        <f>IF(COUNT(#REF!)=0,"",(SUM(#REF!)/COUNT(#REF!)))</f>
        <v/>
      </c>
      <c r="J787" s="1383"/>
      <c r="K787" s="1383"/>
      <c r="L787" s="1413"/>
      <c r="M787" s="1376"/>
      <c r="N787" s="1376"/>
      <c r="O787" s="1376"/>
      <c r="P787" s="1373"/>
      <c r="Q787" s="3387"/>
      <c r="R787" s="2338"/>
    </row>
    <row r="788" spans="1:20">
      <c r="A788" s="1599"/>
      <c r="B788" s="1042"/>
      <c r="C788" s="88"/>
      <c r="D788" s="1440"/>
      <c r="E788" s="2132"/>
      <c r="F788" s="1441"/>
      <c r="G788" s="1441"/>
      <c r="H788" s="1442"/>
      <c r="I788" s="197" t="str">
        <f>IF(COUNT(H789:O789)=0,"",(SUM(H789:O789)/COUNT(H789:O789)))</f>
        <v/>
      </c>
      <c r="J788" s="198"/>
      <c r="K788" s="1307"/>
      <c r="L788" s="1335"/>
      <c r="M788" s="1499"/>
      <c r="N788" s="1701"/>
      <c r="O788" s="1290"/>
      <c r="P788" s="1332"/>
      <c r="Q788" s="3391"/>
      <c r="R788" s="2338"/>
    </row>
    <row r="789" spans="1:20">
      <c r="A789" s="1599"/>
      <c r="B789" s="1042"/>
      <c r="C789" s="88"/>
      <c r="D789" s="1440"/>
      <c r="E789" s="2132"/>
      <c r="F789" s="1441"/>
      <c r="G789" s="1441"/>
      <c r="H789" s="1442"/>
      <c r="I789" s="197" t="str">
        <f>IF(COUNT(H790:O790)=0,"",(SUM(H790:O790)/COUNT(H790:O790)))</f>
        <v/>
      </c>
      <c r="J789" s="198"/>
      <c r="K789" s="1307"/>
      <c r="L789" s="1335"/>
      <c r="M789" s="1499"/>
      <c r="N789" s="1701"/>
      <c r="O789" s="1290"/>
      <c r="P789" s="1332"/>
      <c r="Q789" s="3391"/>
      <c r="R789" s="2338"/>
    </row>
    <row r="790" spans="1:20">
      <c r="A790" s="1599"/>
      <c r="B790" s="223"/>
      <c r="C790" s="581"/>
      <c r="D790" s="4229"/>
      <c r="E790" s="4179"/>
      <c r="F790" s="1955"/>
      <c r="G790" s="1955"/>
      <c r="H790" s="1956"/>
      <c r="I790" s="197"/>
      <c r="J790" s="3991"/>
      <c r="K790" s="1307"/>
      <c r="L790" s="1335"/>
      <c r="M790" s="3992"/>
      <c r="N790" s="1701"/>
      <c r="O790" s="1290"/>
      <c r="P790" s="3919"/>
      <c r="Q790" s="3391"/>
      <c r="R790" s="2338"/>
    </row>
    <row r="791" spans="1:20" s="16" customFormat="1" ht="31">
      <c r="D791" s="1795"/>
      <c r="E791" s="2179"/>
      <c r="F791" s="1795"/>
      <c r="G791" s="1795"/>
      <c r="H791" s="1797"/>
      <c r="I791" s="1561"/>
      <c r="J791" s="1561"/>
      <c r="K791" s="1639"/>
      <c r="L791" s="2402" t="s">
        <v>2856</v>
      </c>
      <c r="M791" s="1292"/>
      <c r="N791" s="1292"/>
      <c r="O791" s="1292"/>
      <c r="P791" s="1292"/>
      <c r="Q791" s="3391"/>
      <c r="R791" s="4174"/>
    </row>
    <row r="792" spans="1:20" s="19" customFormat="1" ht="18.75" customHeight="1">
      <c r="A792" s="4495" t="s">
        <v>162</v>
      </c>
      <c r="B792" s="4496"/>
      <c r="C792" s="4496"/>
      <c r="D792" s="4497"/>
      <c r="E792" s="4396" t="s">
        <v>1549</v>
      </c>
      <c r="F792" s="4397" t="s">
        <v>1550</v>
      </c>
      <c r="G792" s="4399" t="s">
        <v>1566</v>
      </c>
      <c r="H792" s="4400"/>
      <c r="I792" s="4400"/>
      <c r="J792" s="4400"/>
      <c r="K792" s="4400"/>
      <c r="L792" s="4401"/>
      <c r="M792" s="4405" t="s">
        <v>1567</v>
      </c>
      <c r="N792" s="4405"/>
      <c r="O792" s="4405"/>
      <c r="P792" s="4405"/>
      <c r="Q792" s="3395"/>
      <c r="R792" s="2338"/>
    </row>
    <row r="793" spans="1:20" s="19" customFormat="1" ht="15" thickBot="1">
      <c r="A793" s="1324" t="s">
        <v>3766</v>
      </c>
      <c r="B793" s="1325" t="s">
        <v>1513</v>
      </c>
      <c r="C793" s="1326" t="s">
        <v>1573</v>
      </c>
      <c r="D793" s="1323" t="s">
        <v>1514</v>
      </c>
      <c r="E793" s="4396"/>
      <c r="F793" s="4398"/>
      <c r="G793" s="4402"/>
      <c r="H793" s="4403"/>
      <c r="I793" s="4403"/>
      <c r="J793" s="4403"/>
      <c r="K793" s="4403"/>
      <c r="L793" s="4404"/>
      <c r="M793" s="4405"/>
      <c r="N793" s="4405"/>
      <c r="O793" s="4405"/>
      <c r="P793" s="4405"/>
      <c r="Q793" s="3395"/>
      <c r="R793" s="2338"/>
    </row>
    <row r="794" spans="1:20" s="19" customFormat="1">
      <c r="A794" s="4374" t="s">
        <v>2812</v>
      </c>
      <c r="B794" s="4375"/>
      <c r="C794" s="4375"/>
      <c r="D794" s="4376"/>
      <c r="E794" s="4380" t="s">
        <v>1527</v>
      </c>
      <c r="F794" s="4523" t="s">
        <v>1652</v>
      </c>
      <c r="G794" s="4406" t="s">
        <v>294</v>
      </c>
      <c r="H794" s="4407"/>
      <c r="I794" s="1665" t="s">
        <v>1565</v>
      </c>
      <c r="J794" s="3348" t="s">
        <v>1575</v>
      </c>
      <c r="K794" s="4406" t="s">
        <v>289</v>
      </c>
      <c r="L794" s="4407"/>
      <c r="M794" s="4408" t="s">
        <v>3349</v>
      </c>
      <c r="N794" s="4408"/>
      <c r="O794" s="4408"/>
      <c r="P794" s="4409"/>
      <c r="Q794" s="4244" t="s">
        <v>3928</v>
      </c>
      <c r="R794" s="2338"/>
    </row>
    <row r="795" spans="1:20" s="19" customFormat="1" ht="16" thickBot="1">
      <c r="A795" s="4377"/>
      <c r="B795" s="4378"/>
      <c r="C795" s="4378"/>
      <c r="D795" s="4379"/>
      <c r="E795" s="4381"/>
      <c r="F795" s="4524"/>
      <c r="G795" s="4410">
        <f>IF('Seleccion proyecto HEREVEA02'!G18="Sustitución y reposición en polipropileno",'Seleccion proyecto HEREVEA02'!E18,0)</f>
        <v>0</v>
      </c>
      <c r="H795" s="4411"/>
      <c r="I795" s="3353">
        <f>IF('Seleccion proyecto HEREVEA02'!H18=0,0,IF('Seleccion proyecto HEREVEA02'!H18="1 a 30",0.3, IF('Seleccion proyecto HEREVEA02'!H18="31 a 60", 0.6, IF('Seleccion proyecto HEREVEA02'!H18="61 a 100", 1))))</f>
        <v>0</v>
      </c>
      <c r="J795" s="1351">
        <f>'Seleccion proyecto HEREVEA02'!$L$8</f>
        <v>11100.968999999999</v>
      </c>
      <c r="K795" s="4412">
        <f>G795*I795*J795</f>
        <v>0</v>
      </c>
      <c r="L795" s="4413"/>
      <c r="M795" s="4360">
        <f>P797+P811+P824+P838+P851+P868+P885+P905+P923+P940+P955</f>
        <v>12.785409981315</v>
      </c>
      <c r="N795" s="4361"/>
      <c r="O795" s="4361"/>
      <c r="P795" s="4362"/>
      <c r="Q795" s="4245">
        <f>M795*K795</f>
        <v>0</v>
      </c>
      <c r="R795" s="2338"/>
    </row>
    <row r="796" spans="1:20" s="19" customFormat="1" ht="15" customHeight="1">
      <c r="A796" s="18" t="s">
        <v>3764</v>
      </c>
      <c r="B796" s="4367" t="s">
        <v>1653</v>
      </c>
      <c r="C796" s="3350"/>
      <c r="D796" s="4327"/>
      <c r="E796" s="4329" t="s">
        <v>1527</v>
      </c>
      <c r="F796" s="4367" t="s">
        <v>1662</v>
      </c>
      <c r="G796" s="4525" t="s">
        <v>1568</v>
      </c>
      <c r="H796" s="4331" t="s">
        <v>1574</v>
      </c>
      <c r="I796" s="1572" t="s">
        <v>1559</v>
      </c>
      <c r="J796" s="1600" t="s">
        <v>1560</v>
      </c>
      <c r="K796" s="1294" t="s">
        <v>1561</v>
      </c>
      <c r="L796" s="4333" t="s">
        <v>3765</v>
      </c>
      <c r="M796" s="4335" t="s">
        <v>1571</v>
      </c>
      <c r="N796" s="4323" t="s">
        <v>1776</v>
      </c>
      <c r="O796" s="3347" t="s">
        <v>1563</v>
      </c>
      <c r="P796" s="1336" t="s">
        <v>1562</v>
      </c>
      <c r="Q796" s="3389"/>
      <c r="R796" s="1699" t="s">
        <v>1327</v>
      </c>
    </row>
    <row r="797" spans="1:20" s="19" customFormat="1">
      <c r="A797" s="1320" t="s">
        <v>2812</v>
      </c>
      <c r="B797" s="4369"/>
      <c r="C797" s="3351"/>
      <c r="D797" s="4328"/>
      <c r="E797" s="4330"/>
      <c r="F797" s="4369"/>
      <c r="G797" s="4526"/>
      <c r="H797" s="4332"/>
      <c r="I797" s="1345">
        <v>5</v>
      </c>
      <c r="J797" s="1601">
        <v>1.4999999999999999E-2</v>
      </c>
      <c r="K797" s="1297">
        <f>I797*J797</f>
        <v>7.4999999999999997E-2</v>
      </c>
      <c r="L797" s="4334"/>
      <c r="M797" s="4335"/>
      <c r="N797" s="4324"/>
      <c r="O797" s="1298">
        <f>SUM(O799:O809)</f>
        <v>3.67</v>
      </c>
      <c r="P797" s="1337">
        <f>O797*K797</f>
        <v>0.27524999999999999</v>
      </c>
      <c r="Q797" s="3390"/>
      <c r="R797" s="1721">
        <f>SUM(P799:P808)</f>
        <v>0.27562500000000001</v>
      </c>
    </row>
    <row r="798" spans="1:20" s="19" customFormat="1">
      <c r="A798" s="1320"/>
      <c r="C798" s="18"/>
      <c r="D798" s="1463"/>
      <c r="E798" s="2121"/>
      <c r="F798" s="1368" t="s">
        <v>1</v>
      </c>
      <c r="G798" s="1426"/>
      <c r="H798" s="1426"/>
      <c r="I798" s="1391"/>
      <c r="J798" s="1369"/>
      <c r="K798" s="1369"/>
      <c r="L798" s="1554"/>
      <c r="M798" s="1369"/>
      <c r="N798" s="1369"/>
      <c r="O798" s="1369"/>
      <c r="P798" s="1367"/>
      <c r="Q798" s="3387"/>
      <c r="R798" s="2338"/>
    </row>
    <row r="799" spans="1:20" s="19" customFormat="1">
      <c r="A799" s="4453" t="s">
        <v>2815</v>
      </c>
      <c r="C799" s="1042"/>
      <c r="D799" s="1371"/>
      <c r="E799" s="2144"/>
      <c r="F799" s="1471"/>
      <c r="G799" s="1372"/>
      <c r="H799" s="1372"/>
      <c r="I799" s="1346" t="str">
        <f>IF(COUNT(G800:O800)=0,"",(SUM(G800:O800)/COUNT(G800:O800)))</f>
        <v/>
      </c>
      <c r="J799" s="1341"/>
      <c r="K799" s="1307" t="str">
        <f t="shared" ref="K799:K801" si="71">IF(COUNT(I799)=0,"",(I799*J799))</f>
        <v/>
      </c>
      <c r="L799" s="1335" t="str">
        <f>IF(COUNT(K799)=0,"",IF(#REF!="","",(K799*#REF!)))</f>
        <v/>
      </c>
      <c r="M799" s="1302"/>
      <c r="N799" s="1302"/>
      <c r="O799" s="1291"/>
      <c r="P799" s="1332"/>
      <c r="Q799" s="3391"/>
      <c r="R799" s="2338"/>
    </row>
    <row r="800" spans="1:20" s="19" customFormat="1">
      <c r="A800" s="4453"/>
      <c r="C800" s="1042"/>
      <c r="D800" s="1371"/>
      <c r="E800" s="2144"/>
      <c r="F800" s="1471"/>
      <c r="G800" s="1372"/>
      <c r="H800" s="1372"/>
      <c r="I800" s="1346" t="str">
        <f>IF(COUNT(G801:O801)=0,"",(SUM(G801:O801)/COUNT(G801:O801)))</f>
        <v/>
      </c>
      <c r="J800" s="1341"/>
      <c r="K800" s="1307" t="str">
        <f t="shared" si="71"/>
        <v/>
      </c>
      <c r="L800" s="1335" t="str">
        <f>IF(COUNT(K800)=0,"",IF(#REF!="","",(K800*#REF!)))</f>
        <v/>
      </c>
      <c r="M800" s="1302"/>
      <c r="N800" s="1302"/>
      <c r="O800" s="1291"/>
      <c r="P800" s="1332"/>
      <c r="Q800" s="3391"/>
      <c r="R800" s="2338"/>
    </row>
    <row r="801" spans="1:18" s="19" customFormat="1">
      <c r="A801" s="4453"/>
      <c r="C801" s="1042"/>
      <c r="D801" s="1371"/>
      <c r="E801" s="2144"/>
      <c r="F801" s="1471"/>
      <c r="G801" s="1372"/>
      <c r="H801" s="1372"/>
      <c r="I801" s="1346" t="str">
        <f>IF(COUNT(G802:O802)=0,"",(SUM(G802:O802)/COUNT(G802:O802)))</f>
        <v/>
      </c>
      <c r="J801" s="1341"/>
      <c r="K801" s="1307" t="str">
        <f t="shared" si="71"/>
        <v/>
      </c>
      <c r="L801" s="1335" t="str">
        <f>IF(COUNT(K801)=0,"",IF(#REF!="","",(K801*#REF!)))</f>
        <v/>
      </c>
      <c r="M801" s="1302"/>
      <c r="N801" s="1302"/>
      <c r="O801" s="1291"/>
      <c r="P801" s="1332"/>
      <c r="Q801" s="3391"/>
      <c r="R801" s="2338"/>
    </row>
    <row r="802" spans="1:18" s="19" customFormat="1">
      <c r="A802" s="4453"/>
      <c r="C802" s="1042"/>
      <c r="D802" s="1404"/>
      <c r="E802" s="1858"/>
      <c r="F802" s="1465" t="s">
        <v>2</v>
      </c>
      <c r="G802" s="1362"/>
      <c r="H802" s="1362"/>
      <c r="I802" s="1380"/>
      <c r="J802" s="1381"/>
      <c r="K802" s="1381"/>
      <c r="L802" s="1458"/>
      <c r="M802" s="1362"/>
      <c r="N802" s="1705"/>
      <c r="O802" s="1469"/>
      <c r="P802" s="1470"/>
      <c r="Q802" s="3398"/>
      <c r="R802" s="2338"/>
    </row>
    <row r="803" spans="1:18" s="19" customFormat="1">
      <c r="A803" s="4453"/>
      <c r="C803" s="1042"/>
      <c r="D803" s="1363" t="s">
        <v>1067</v>
      </c>
      <c r="E803" s="2125" t="s">
        <v>1508</v>
      </c>
      <c r="F803" s="1385" t="s">
        <v>1512</v>
      </c>
      <c r="G803" s="1386">
        <v>0.18</v>
      </c>
      <c r="H803" s="1386"/>
      <c r="I803" s="1380"/>
      <c r="J803" s="1381"/>
      <c r="K803" s="1307">
        <f>G803*$K$797</f>
        <v>1.35E-2</v>
      </c>
      <c r="L803" s="1335">
        <f>K803*$K$795</f>
        <v>0</v>
      </c>
      <c r="M803" s="1499">
        <v>18.28</v>
      </c>
      <c r="N803" s="1499"/>
      <c r="O803" s="1291">
        <f>ROUND(G803*M803,2)</f>
        <v>3.29</v>
      </c>
      <c r="P803" s="1332">
        <f>M803*K803</f>
        <v>0.24678</v>
      </c>
      <c r="Q803" s="3391"/>
      <c r="R803" s="2338"/>
    </row>
    <row r="804" spans="1:18" s="19" customFormat="1">
      <c r="A804" s="4453"/>
      <c r="C804" s="1042"/>
      <c r="D804" s="1363" t="s">
        <v>1121</v>
      </c>
      <c r="E804" s="2125" t="s">
        <v>1508</v>
      </c>
      <c r="F804" s="1385" t="s">
        <v>1663</v>
      </c>
      <c r="G804" s="1386">
        <v>0.02</v>
      </c>
      <c r="H804" s="1386"/>
      <c r="I804" s="1380"/>
      <c r="J804" s="1381"/>
      <c r="K804" s="1307">
        <f>G804*$K$797</f>
        <v>1.5E-3</v>
      </c>
      <c r="L804" s="1335">
        <f>K804*$K$795</f>
        <v>0</v>
      </c>
      <c r="M804" s="1499">
        <v>19.23</v>
      </c>
      <c r="N804" s="1499"/>
      <c r="O804" s="1291">
        <f>ROUND(G804*M804,2)</f>
        <v>0.38</v>
      </c>
      <c r="P804" s="1332">
        <f>M804*K804</f>
        <v>2.8845000000000003E-2</v>
      </c>
      <c r="Q804" s="3391"/>
      <c r="R804" s="2338"/>
    </row>
    <row r="805" spans="1:18" s="19" customFormat="1">
      <c r="A805" s="4453"/>
      <c r="C805" s="1042"/>
      <c r="D805" s="1363"/>
      <c r="E805" s="2125"/>
      <c r="F805" s="1385"/>
      <c r="G805" s="1386"/>
      <c r="H805" s="1386"/>
      <c r="I805" s="1380"/>
      <c r="J805" s="1381"/>
      <c r="K805" s="1307"/>
      <c r="L805" s="1335"/>
      <c r="M805" s="1499"/>
      <c r="N805" s="1499"/>
      <c r="O805" s="1291"/>
      <c r="P805" s="1332"/>
      <c r="Q805" s="3391"/>
      <c r="R805" s="2338"/>
    </row>
    <row r="806" spans="1:18" s="19" customFormat="1">
      <c r="A806" s="1320"/>
      <c r="C806" s="1042"/>
      <c r="D806" s="1411"/>
      <c r="E806" s="2123"/>
      <c r="F806" s="1475" t="s">
        <v>3</v>
      </c>
      <c r="G806" s="1376"/>
      <c r="H806" s="1376"/>
      <c r="I806" s="1382"/>
      <c r="J806" s="1383"/>
      <c r="K806" s="1373"/>
      <c r="L806" s="1413"/>
      <c r="M806" s="1508"/>
      <c r="N806" s="1706"/>
      <c r="O806" s="1486"/>
      <c r="P806" s="1373"/>
      <c r="Q806" s="3387"/>
      <c r="R806" s="2338"/>
    </row>
    <row r="807" spans="1:18" s="19" customFormat="1">
      <c r="A807" s="1320"/>
      <c r="C807" s="1042"/>
      <c r="D807" s="1378"/>
      <c r="E807" s="2139"/>
      <c r="F807" s="1476"/>
      <c r="G807" s="1379"/>
      <c r="H807" s="1379"/>
      <c r="I807" s="1289"/>
      <c r="J807" s="1341"/>
      <c r="K807" s="1307"/>
      <c r="L807" s="1335"/>
      <c r="M807" s="1499"/>
      <c r="N807" s="1499"/>
      <c r="O807" s="1291"/>
      <c r="P807" s="1332"/>
      <c r="Q807" s="3391"/>
      <c r="R807" s="2338"/>
    </row>
    <row r="808" spans="1:18" s="19" customFormat="1">
      <c r="A808" s="1320"/>
      <c r="C808" s="1042"/>
      <c r="D808" s="1482"/>
      <c r="E808" s="2141"/>
      <c r="F808" s="1483"/>
      <c r="G808" s="1484"/>
      <c r="H808" s="1484"/>
      <c r="I808" s="1349"/>
      <c r="J808" s="1341"/>
      <c r="K808" s="1307"/>
      <c r="L808" s="1335"/>
      <c r="M808" s="1499"/>
      <c r="N808" s="1499"/>
      <c r="O808" s="1291"/>
      <c r="P808" s="1332"/>
      <c r="Q808" s="3391"/>
      <c r="R808" s="2338"/>
    </row>
    <row r="809" spans="1:18" s="19" customFormat="1">
      <c r="A809" s="1320"/>
      <c r="C809" s="223"/>
      <c r="D809" s="1377"/>
      <c r="E809" s="2124"/>
      <c r="F809" s="1377"/>
      <c r="G809" s="1597"/>
      <c r="H809" s="1597"/>
      <c r="I809" s="1349"/>
      <c r="J809" s="1341"/>
      <c r="K809" s="1307"/>
      <c r="L809" s="1594"/>
      <c r="M809" s="1499"/>
      <c r="N809" s="1499"/>
      <c r="O809" s="1291"/>
      <c r="P809" s="1332"/>
      <c r="Q809" s="3391"/>
      <c r="R809" s="2338"/>
    </row>
    <row r="810" spans="1:18" s="19" customFormat="1" ht="15" customHeight="1">
      <c r="A810" s="19" t="s">
        <v>3764</v>
      </c>
      <c r="B810" s="4325" t="s">
        <v>1654</v>
      </c>
      <c r="C810" s="3350"/>
      <c r="D810" s="4327"/>
      <c r="E810" s="4329" t="s">
        <v>1507</v>
      </c>
      <c r="F810" s="4338" t="s">
        <v>1664</v>
      </c>
      <c r="G810" s="4331" t="s">
        <v>1568</v>
      </c>
      <c r="H810" s="4331" t="s">
        <v>1574</v>
      </c>
      <c r="I810" s="1572" t="s">
        <v>1559</v>
      </c>
      <c r="J810" s="1294" t="s">
        <v>1560</v>
      </c>
      <c r="K810" s="1294" t="s">
        <v>1561</v>
      </c>
      <c r="L810" s="4333" t="s">
        <v>3765</v>
      </c>
      <c r="M810" s="4335" t="s">
        <v>1571</v>
      </c>
      <c r="N810" s="4323" t="s">
        <v>1776</v>
      </c>
      <c r="O810" s="3347" t="s">
        <v>1563</v>
      </c>
      <c r="P810" s="1336" t="s">
        <v>1562</v>
      </c>
      <c r="Q810" s="3389"/>
      <c r="R810" s="1699" t="s">
        <v>1327</v>
      </c>
    </row>
    <row r="811" spans="1:18" s="19" customFormat="1">
      <c r="A811" s="1599" t="s">
        <v>2812</v>
      </c>
      <c r="B811" s="4326"/>
      <c r="C811" s="3351"/>
      <c r="D811" s="4328"/>
      <c r="E811" s="4330"/>
      <c r="F811" s="4338"/>
      <c r="G811" s="4332"/>
      <c r="H811" s="4332"/>
      <c r="I811" s="1345">
        <v>2.4</v>
      </c>
      <c r="J811" s="1307">
        <v>1.4999999999999999E-2</v>
      </c>
      <c r="K811" s="1297">
        <f>I811*J811</f>
        <v>3.5999999999999997E-2</v>
      </c>
      <c r="L811" s="4334"/>
      <c r="M811" s="4335"/>
      <c r="N811" s="4324"/>
      <c r="O811" s="1298">
        <f>SUM(O813:O821)</f>
        <v>11.48</v>
      </c>
      <c r="P811" s="1337">
        <f>O811*K811</f>
        <v>0.41327999999999998</v>
      </c>
      <c r="Q811" s="3390"/>
      <c r="R811" s="1721">
        <f>SUM(P813:P822)</f>
        <v>0.41327424000000001</v>
      </c>
    </row>
    <row r="812" spans="1:18" s="19" customFormat="1">
      <c r="A812" s="1320"/>
      <c r="B812" s="1511"/>
      <c r="C812" s="18"/>
      <c r="D812" s="1463"/>
      <c r="E812" s="2121"/>
      <c r="F812" s="1368" t="s">
        <v>1</v>
      </c>
      <c r="G812" s="1426"/>
      <c r="H812" s="1426"/>
      <c r="I812" s="1391"/>
      <c r="J812" s="1369"/>
      <c r="K812" s="1369"/>
      <c r="L812" s="1554"/>
      <c r="M812" s="1369"/>
      <c r="N812" s="1369"/>
      <c r="O812" s="1369"/>
      <c r="P812" s="1367"/>
      <c r="Q812" s="3387"/>
      <c r="R812" s="2338"/>
    </row>
    <row r="813" spans="1:18" s="19" customFormat="1">
      <c r="A813" s="1320"/>
      <c r="B813" s="595"/>
      <c r="C813" s="1042"/>
      <c r="D813" s="1370"/>
      <c r="E813" s="2152"/>
      <c r="F813" s="1471"/>
      <c r="G813" s="1372"/>
      <c r="H813" s="1372"/>
      <c r="I813" s="1286" t="str">
        <f>IF(COUNT(G814:O814)=0,"",(SUM(G814:O814)/COUNT(G814:O814)))</f>
        <v/>
      </c>
      <c r="J813" s="1287"/>
      <c r="K813" s="1307" t="str">
        <f t="shared" ref="K813:K815" si="72">IF(COUNT(I813)=0,"",(I813*J813))</f>
        <v/>
      </c>
      <c r="L813" s="1335"/>
      <c r="M813" s="1499"/>
      <c r="N813" s="1499"/>
      <c r="O813" s="1291"/>
      <c r="P813" s="1332"/>
      <c r="Q813" s="3391"/>
      <c r="R813" s="2338"/>
    </row>
    <row r="814" spans="1:18" s="19" customFormat="1">
      <c r="A814" s="1320"/>
      <c r="B814" s="595"/>
      <c r="C814" s="1042"/>
      <c r="D814" s="1598"/>
      <c r="E814" s="2152"/>
      <c r="F814" s="1598"/>
      <c r="G814" s="1372"/>
      <c r="H814" s="1372"/>
      <c r="I814" s="1286" t="str">
        <f>IF(COUNT(G815:O815)=0,"",(SUM(G815:O815)/COUNT(G815:O815)))</f>
        <v/>
      </c>
      <c r="J814" s="1287"/>
      <c r="K814" s="1307" t="str">
        <f t="shared" si="72"/>
        <v/>
      </c>
      <c r="L814" s="1335"/>
      <c r="M814" s="1499"/>
      <c r="N814" s="1499"/>
      <c r="O814" s="1291"/>
      <c r="P814" s="1332"/>
      <c r="Q814" s="3391"/>
      <c r="R814" s="2338"/>
    </row>
    <row r="815" spans="1:18" s="19" customFormat="1">
      <c r="A815" s="1320"/>
      <c r="B815" s="595"/>
      <c r="C815" s="1042"/>
      <c r="D815" s="1370"/>
      <c r="E815" s="2152"/>
      <c r="F815" s="1471"/>
      <c r="G815" s="1372"/>
      <c r="H815" s="1372"/>
      <c r="I815" s="1286" t="str">
        <f>IF(COUNT(G816:O816)=0,"",(SUM(G816:O816)/COUNT(G816:O816)))</f>
        <v/>
      </c>
      <c r="J815" s="1287"/>
      <c r="K815" s="1307" t="str">
        <f t="shared" si="72"/>
        <v/>
      </c>
      <c r="L815" s="1335"/>
      <c r="M815" s="1499"/>
      <c r="N815" s="1499"/>
      <c r="O815" s="1291"/>
      <c r="P815" s="1332"/>
      <c r="Q815" s="3391"/>
      <c r="R815" s="2338"/>
    </row>
    <row r="816" spans="1:18" s="19" customFormat="1">
      <c r="A816" s="1320"/>
      <c r="B816" s="595"/>
      <c r="C816" s="1042"/>
      <c r="D816" s="1404"/>
      <c r="E816" s="1858"/>
      <c r="F816" s="1465" t="s">
        <v>2</v>
      </c>
      <c r="G816" s="1362"/>
      <c r="H816" s="1362"/>
      <c r="I816" s="1380"/>
      <c r="J816" s="1381"/>
      <c r="K816" s="1381"/>
      <c r="L816" s="1458"/>
      <c r="M816" s="1362"/>
      <c r="N816" s="1705"/>
      <c r="O816" s="1469"/>
      <c r="P816" s="1470"/>
      <c r="Q816" s="3398"/>
      <c r="R816" s="2338"/>
    </row>
    <row r="817" spans="1:18" s="19" customFormat="1">
      <c r="A817" s="1320"/>
      <c r="B817" s="595"/>
      <c r="C817" s="1042"/>
      <c r="D817" s="1402" t="s">
        <v>1067</v>
      </c>
      <c r="E817" s="1857" t="s">
        <v>1508</v>
      </c>
      <c r="F817" s="1430" t="s">
        <v>1512</v>
      </c>
      <c r="G817" s="1362">
        <v>0.628</v>
      </c>
      <c r="H817" s="1362"/>
      <c r="I817" s="197"/>
      <c r="J817" s="198"/>
      <c r="K817" s="1307">
        <f>G817*$K$811</f>
        <v>2.2608E-2</v>
      </c>
      <c r="L817" s="1335">
        <f>K817*$K$795</f>
        <v>0</v>
      </c>
      <c r="M817" s="1499">
        <v>18.28</v>
      </c>
      <c r="N817" s="1499"/>
      <c r="O817" s="1291">
        <f>ROUND(G817*M817,2)</f>
        <v>11.48</v>
      </c>
      <c r="P817" s="1332">
        <f>M817*K817</f>
        <v>0.41327424000000001</v>
      </c>
      <c r="Q817" s="3391"/>
      <c r="R817" s="2338"/>
    </row>
    <row r="818" spans="1:18" s="19" customFormat="1">
      <c r="A818" s="1320"/>
      <c r="B818" s="595"/>
      <c r="C818" s="1042"/>
      <c r="D818" s="1402"/>
      <c r="E818" s="1857"/>
      <c r="F818" s="1430"/>
      <c r="G818" s="1362"/>
      <c r="H818" s="1362"/>
      <c r="I818" s="197"/>
      <c r="J818" s="198"/>
      <c r="K818" s="1307"/>
      <c r="L818" s="1335"/>
      <c r="M818" s="1499"/>
      <c r="N818" s="1499"/>
      <c r="O818" s="1291"/>
      <c r="P818" s="1332"/>
      <c r="Q818" s="3391"/>
      <c r="R818" s="2338"/>
    </row>
    <row r="819" spans="1:18" s="19" customFormat="1">
      <c r="A819" s="1320"/>
      <c r="B819" s="595"/>
      <c r="C819" s="1042"/>
      <c r="D819" s="1411"/>
      <c r="E819" s="2123"/>
      <c r="F819" s="1475" t="s">
        <v>3</v>
      </c>
      <c r="G819" s="1376"/>
      <c r="H819" s="1376"/>
      <c r="I819" s="1382"/>
      <c r="J819" s="1383"/>
      <c r="K819" s="1373"/>
      <c r="L819" s="1413"/>
      <c r="M819" s="1508"/>
      <c r="N819" s="1706"/>
      <c r="O819" s="1486"/>
      <c r="P819" s="1373"/>
      <c r="Q819" s="3387"/>
      <c r="R819" s="2338"/>
    </row>
    <row r="820" spans="1:18" s="19" customFormat="1">
      <c r="A820" s="1320"/>
      <c r="B820" s="595"/>
      <c r="C820" s="1042"/>
      <c r="D820" s="1378"/>
      <c r="E820" s="2139"/>
      <c r="F820" s="1476"/>
      <c r="G820" s="1379"/>
      <c r="H820" s="1379"/>
      <c r="I820" s="1289"/>
      <c r="J820" s="1341"/>
      <c r="K820" s="1307"/>
      <c r="L820" s="1335"/>
      <c r="M820" s="1499"/>
      <c r="N820" s="1499"/>
      <c r="O820" s="1291"/>
      <c r="P820" s="1332"/>
      <c r="Q820" s="3391"/>
      <c r="R820" s="2338"/>
    </row>
    <row r="821" spans="1:18" s="19" customFormat="1">
      <c r="A821" s="1320"/>
      <c r="B821" s="595"/>
      <c r="C821" s="1042"/>
      <c r="D821" s="1482"/>
      <c r="E821" s="2141"/>
      <c r="F821" s="1483"/>
      <c r="G821" s="1484"/>
      <c r="H821" s="1484"/>
      <c r="I821" s="1349"/>
      <c r="J821" s="1341"/>
      <c r="K821" s="1307"/>
      <c r="L821" s="1335"/>
      <c r="M821" s="1499"/>
      <c r="N821" s="1499"/>
      <c r="O821" s="1291"/>
      <c r="P821" s="1332"/>
      <c r="Q821" s="3391"/>
      <c r="R821" s="2338"/>
    </row>
    <row r="822" spans="1:18" s="19" customFormat="1">
      <c r="A822" s="1320"/>
      <c r="B822" s="1512"/>
      <c r="C822" s="223"/>
      <c r="D822" s="1440"/>
      <c r="E822" s="2132"/>
      <c r="F822" s="1441"/>
      <c r="G822" s="1442"/>
      <c r="H822" s="1442"/>
      <c r="I822" s="197" t="str">
        <f>IF(COUNT(G823:O823)=0,"",(SUM(G823:O823)/COUNT(G823:O823)))</f>
        <v/>
      </c>
      <c r="J822" s="198"/>
      <c r="K822" s="1307" t="str">
        <f>IF(COUNT(I822)=0,"",(I822*J822))</f>
        <v/>
      </c>
      <c r="L822" s="1335"/>
      <c r="M822" s="1499"/>
      <c r="N822" s="1701"/>
      <c r="O822" s="1290"/>
      <c r="P822" s="1332"/>
      <c r="Q822" s="3391"/>
      <c r="R822" s="2338"/>
    </row>
    <row r="823" spans="1:18" s="19" customFormat="1" ht="15" customHeight="1">
      <c r="A823" s="18" t="s">
        <v>3764</v>
      </c>
      <c r="B823" s="4367" t="s">
        <v>1655</v>
      </c>
      <c r="C823" s="3350"/>
      <c r="D823" s="4327"/>
      <c r="E823" s="4329" t="s">
        <v>1507</v>
      </c>
      <c r="F823" s="4338" t="s">
        <v>1665</v>
      </c>
      <c r="G823" s="4331" t="s">
        <v>1568</v>
      </c>
      <c r="H823" s="4331" t="s">
        <v>1574</v>
      </c>
      <c r="I823" s="1572" t="s">
        <v>1559</v>
      </c>
      <c r="J823" s="1294" t="s">
        <v>1560</v>
      </c>
      <c r="K823" s="1294" t="s">
        <v>1561</v>
      </c>
      <c r="L823" s="4333" t="s">
        <v>3765</v>
      </c>
      <c r="M823" s="4335" t="s">
        <v>1571</v>
      </c>
      <c r="N823" s="4323" t="s">
        <v>1776</v>
      </c>
      <c r="O823" s="3347" t="s">
        <v>1563</v>
      </c>
      <c r="P823" s="1336" t="s">
        <v>1562</v>
      </c>
      <c r="Q823" s="3389"/>
      <c r="R823" s="1699" t="s">
        <v>1327</v>
      </c>
    </row>
    <row r="824" spans="1:18" s="19" customFormat="1">
      <c r="A824" s="1320" t="s">
        <v>2812</v>
      </c>
      <c r="B824" s="4369"/>
      <c r="C824" s="3351"/>
      <c r="D824" s="4328"/>
      <c r="E824" s="4330"/>
      <c r="F824" s="4338"/>
      <c r="G824" s="4332"/>
      <c r="H824" s="4332"/>
      <c r="I824" s="1345">
        <v>3.2</v>
      </c>
      <c r="J824" s="1307">
        <v>1.4999999999999999E-2</v>
      </c>
      <c r="K824" s="1297">
        <f>I824*J824</f>
        <v>4.8000000000000001E-2</v>
      </c>
      <c r="L824" s="4334"/>
      <c r="M824" s="4335"/>
      <c r="N824" s="4324"/>
      <c r="O824" s="1298">
        <f>SUM(O826:O835)</f>
        <v>4.9400000000000004</v>
      </c>
      <c r="P824" s="1337">
        <f>O824*K824</f>
        <v>0.23712000000000003</v>
      </c>
      <c r="Q824" s="3390"/>
      <c r="R824" s="1721">
        <f>SUM(P826:P836)</f>
        <v>0.23690880000000003</v>
      </c>
    </row>
    <row r="825" spans="1:18" s="19" customFormat="1">
      <c r="A825" s="1320"/>
      <c r="B825" s="1511"/>
      <c r="C825"/>
      <c r="D825" s="1367"/>
      <c r="E825" s="2121"/>
      <c r="F825" s="1389" t="s">
        <v>1</v>
      </c>
      <c r="G825" s="1390"/>
      <c r="H825" s="1390"/>
      <c r="I825" s="1391"/>
      <c r="J825" s="1369"/>
      <c r="K825" s="1369"/>
      <c r="L825" s="1554"/>
      <c r="M825" s="1487"/>
      <c r="N825" s="1487"/>
      <c r="O825" s="1487"/>
      <c r="P825" s="1367"/>
      <c r="Q825" s="3387"/>
      <c r="R825" s="2338"/>
    </row>
    <row r="826" spans="1:18" s="19" customFormat="1">
      <c r="A826" s="1320"/>
      <c r="B826" s="595"/>
      <c r="C826"/>
      <c r="D826" s="1370"/>
      <c r="E826" s="2152"/>
      <c r="F826" s="1471"/>
      <c r="G826" s="1372"/>
      <c r="H826" s="1372"/>
      <c r="I826" s="1286"/>
      <c r="J826" s="1287"/>
      <c r="K826" s="1307"/>
      <c r="L826" s="1335"/>
      <c r="M826" s="1499"/>
      <c r="N826" s="1499"/>
      <c r="O826" s="1291"/>
      <c r="P826" s="1332"/>
      <c r="Q826" s="3391"/>
      <c r="R826" s="2338"/>
    </row>
    <row r="827" spans="1:18" s="19" customFormat="1">
      <c r="A827" s="1320"/>
      <c r="B827" s="16"/>
      <c r="C827" s="1042"/>
      <c r="D827" s="1598"/>
      <c r="E827" s="2152"/>
      <c r="F827" s="1598"/>
      <c r="G827" s="1372"/>
      <c r="H827" s="1372"/>
      <c r="I827" s="197"/>
      <c r="J827" s="198"/>
      <c r="K827" s="1307"/>
      <c r="L827" s="1335"/>
      <c r="M827" s="1499"/>
      <c r="N827" s="1499"/>
      <c r="O827" s="1291"/>
      <c r="P827" s="1332"/>
      <c r="Q827" s="3391"/>
      <c r="R827" s="2338"/>
    </row>
    <row r="828" spans="1:18" s="19" customFormat="1">
      <c r="A828" s="1320"/>
      <c r="B828" s="16"/>
      <c r="C828" s="1042"/>
      <c r="D828" s="1598"/>
      <c r="E828" s="2152"/>
      <c r="F828" s="1598"/>
      <c r="G828" s="1372"/>
      <c r="H828" s="1372"/>
      <c r="I828" s="197"/>
      <c r="J828" s="198"/>
      <c r="K828" s="1307"/>
      <c r="L828" s="1335"/>
      <c r="M828" s="1499"/>
      <c r="N828" s="1499"/>
      <c r="O828" s="1291"/>
      <c r="P828" s="1332"/>
      <c r="Q828" s="3391"/>
      <c r="R828" s="2338"/>
    </row>
    <row r="829" spans="1:18" s="19" customFormat="1">
      <c r="A829" s="1320"/>
      <c r="B829" s="16"/>
      <c r="C829" s="1042"/>
      <c r="D829" s="1359"/>
      <c r="E829" s="1858"/>
      <c r="F829" s="1360" t="s">
        <v>2</v>
      </c>
      <c r="G829" s="1362"/>
      <c r="H829" s="1362"/>
      <c r="I829" s="1380"/>
      <c r="J829" s="1381"/>
      <c r="K829" s="1359"/>
      <c r="L829" s="1458"/>
      <c r="M829" s="1507"/>
      <c r="N829" s="1708"/>
      <c r="O829" s="1489"/>
      <c r="P829" s="1359"/>
      <c r="Q829" s="3387"/>
      <c r="R829" s="2338"/>
    </row>
    <row r="830" spans="1:18" s="19" customFormat="1">
      <c r="A830" s="1320"/>
      <c r="B830" s="16"/>
      <c r="C830" s="1042"/>
      <c r="D830" s="1402" t="s">
        <v>1067</v>
      </c>
      <c r="E830" s="1857" t="s">
        <v>1508</v>
      </c>
      <c r="F830" s="1430" t="s">
        <v>5</v>
      </c>
      <c r="G830" s="1362">
        <v>0.27</v>
      </c>
      <c r="H830" s="1362"/>
      <c r="I830" s="1289"/>
      <c r="J830" s="1341"/>
      <c r="K830" s="1307">
        <f>G830*$K$824</f>
        <v>1.2960000000000001E-2</v>
      </c>
      <c r="L830" s="1335">
        <f>K830*$K$795</f>
        <v>0</v>
      </c>
      <c r="M830" s="1595">
        <v>18.28</v>
      </c>
      <c r="N830" s="1595"/>
      <c r="O830" s="1291">
        <f>ROUND(G830*M830,2)</f>
        <v>4.9400000000000004</v>
      </c>
      <c r="P830" s="1332">
        <f>M830*K830</f>
        <v>0.23690880000000003</v>
      </c>
      <c r="Q830" s="3391"/>
      <c r="R830" s="2338"/>
    </row>
    <row r="831" spans="1:18" s="19" customFormat="1">
      <c r="A831" s="1320"/>
      <c r="B831" s="16"/>
      <c r="C831" s="1042"/>
      <c r="D831" s="1402"/>
      <c r="E831" s="1857"/>
      <c r="F831" s="1430"/>
      <c r="G831" s="1362"/>
      <c r="H831" s="1362"/>
      <c r="I831" s="1286"/>
      <c r="J831" s="1287"/>
      <c r="K831" s="1307"/>
      <c r="L831" s="1335"/>
      <c r="M831" s="1499"/>
      <c r="N831" s="1499"/>
      <c r="O831" s="1291"/>
      <c r="P831" s="1332"/>
      <c r="Q831" s="3391"/>
      <c r="R831" s="2338"/>
    </row>
    <row r="832" spans="1:18" s="19" customFormat="1">
      <c r="A832" s="1320"/>
      <c r="B832" s="16"/>
      <c r="C832" s="1042"/>
      <c r="D832" s="1402"/>
      <c r="E832" s="1857"/>
      <c r="F832" s="1430"/>
      <c r="G832" s="1362"/>
      <c r="H832" s="1362"/>
      <c r="I832" s="1286"/>
      <c r="J832" s="1287"/>
      <c r="K832" s="1307"/>
      <c r="L832" s="1335"/>
      <c r="M832" s="1285"/>
      <c r="N832" s="1709"/>
      <c r="O832" s="1291"/>
      <c r="P832" s="1332"/>
      <c r="Q832" s="3391"/>
      <c r="R832" s="2338"/>
    </row>
    <row r="833" spans="1:18" s="19" customFormat="1">
      <c r="A833" s="1320"/>
      <c r="B833" s="16"/>
      <c r="C833" s="1042"/>
      <c r="D833" s="1373"/>
      <c r="E833" s="2123"/>
      <c r="F833" s="1374" t="s">
        <v>3</v>
      </c>
      <c r="G833" s="1376"/>
      <c r="H833" s="1376"/>
      <c r="I833" s="1382"/>
      <c r="J833" s="1383"/>
      <c r="K833" s="1383"/>
      <c r="L833" s="1413"/>
      <c r="M833" s="1485"/>
      <c r="N833" s="1493"/>
      <c r="O833" s="1493"/>
      <c r="P833" s="1413"/>
      <c r="Q833" s="3387"/>
      <c r="R833" s="2338"/>
    </row>
    <row r="834" spans="1:18" s="19" customFormat="1">
      <c r="A834" s="1320"/>
      <c r="B834" s="16"/>
      <c r="C834" s="1042"/>
      <c r="D834" s="1440"/>
      <c r="E834" s="2132"/>
      <c r="F834" s="1441"/>
      <c r="G834" s="1442"/>
      <c r="H834" s="1442"/>
      <c r="I834" s="197"/>
      <c r="J834" s="198"/>
      <c r="K834" s="1307"/>
      <c r="L834" s="1335"/>
      <c r="M834" s="1499"/>
      <c r="N834" s="1701"/>
      <c r="O834" s="1290"/>
      <c r="P834" s="1332"/>
      <c r="Q834" s="3391"/>
      <c r="R834" s="2338"/>
    </row>
    <row r="835" spans="1:18" s="19" customFormat="1">
      <c r="A835" s="1320"/>
      <c r="B835" s="16"/>
      <c r="C835" s="1042"/>
      <c r="D835" s="1440"/>
      <c r="E835" s="2132"/>
      <c r="F835" s="1441"/>
      <c r="G835" s="1442"/>
      <c r="H835" s="1442"/>
      <c r="I835" s="197" t="str">
        <f>IF(COUNT(G836:O836)=0,"",(SUM(G836:O836)/COUNT(G836:O836)))</f>
        <v/>
      </c>
      <c r="J835" s="198"/>
      <c r="K835" s="1307"/>
      <c r="L835" s="1335"/>
      <c r="M835" s="1499"/>
      <c r="N835" s="1701"/>
      <c r="O835" s="1290"/>
      <c r="P835" s="1332"/>
      <c r="Q835" s="3391"/>
      <c r="R835" s="2338"/>
    </row>
    <row r="836" spans="1:18" s="19" customFormat="1">
      <c r="A836" s="1320"/>
      <c r="B836" s="1596"/>
      <c r="C836" s="223"/>
      <c r="D836" s="1440"/>
      <c r="E836" s="2132"/>
      <c r="F836" s="1441"/>
      <c r="G836" s="1442"/>
      <c r="H836" s="1442"/>
      <c r="I836" s="197" t="str">
        <f>IF(COUNT(G837:O837)=0,"",(SUM(G837:O837)/COUNT(G837:O837)))</f>
        <v/>
      </c>
      <c r="J836" s="198"/>
      <c r="K836" s="1307"/>
      <c r="L836" s="1335"/>
      <c r="M836" s="1499"/>
      <c r="N836" s="1701"/>
      <c r="O836" s="1290"/>
      <c r="P836" s="1332"/>
      <c r="Q836" s="3391"/>
      <c r="R836" s="2338"/>
    </row>
    <row r="837" spans="1:18" s="19" customFormat="1" ht="15" customHeight="1">
      <c r="A837" s="18" t="s">
        <v>3764</v>
      </c>
      <c r="B837" s="4367" t="s">
        <v>1656</v>
      </c>
      <c r="C837" s="3350"/>
      <c r="D837" s="4327"/>
      <c r="E837" s="4337" t="s">
        <v>1527</v>
      </c>
      <c r="F837" s="4338" t="s">
        <v>1666</v>
      </c>
      <c r="G837" s="4331" t="s">
        <v>1568</v>
      </c>
      <c r="H837" s="4331" t="s">
        <v>1574</v>
      </c>
      <c r="I837" s="1572" t="s">
        <v>1559</v>
      </c>
      <c r="J837" s="1294" t="s">
        <v>1560</v>
      </c>
      <c r="K837" s="1294" t="s">
        <v>1561</v>
      </c>
      <c r="L837" s="4333" t="s">
        <v>3765</v>
      </c>
      <c r="M837" s="4335" t="s">
        <v>1571</v>
      </c>
      <c r="N837" s="4323" t="s">
        <v>1776</v>
      </c>
      <c r="O837" s="3347" t="s">
        <v>1563</v>
      </c>
      <c r="P837" s="1336" t="s">
        <v>1562</v>
      </c>
      <c r="Q837" s="3389"/>
      <c r="R837" s="1699" t="s">
        <v>1327</v>
      </c>
    </row>
    <row r="838" spans="1:18" s="19" customFormat="1">
      <c r="A838" s="1320" t="s">
        <v>2812</v>
      </c>
      <c r="B838" s="4369"/>
      <c r="C838" s="3351"/>
      <c r="D838" s="4328"/>
      <c r="E838" s="4337"/>
      <c r="F838" s="4338"/>
      <c r="G838" s="4332"/>
      <c r="H838" s="4332"/>
      <c r="I838" s="1345">
        <v>67</v>
      </c>
      <c r="J838" s="1307">
        <v>1.4999999999999999E-2</v>
      </c>
      <c r="K838" s="1297">
        <f>I838*J838</f>
        <v>1.0049999999999999</v>
      </c>
      <c r="L838" s="4334"/>
      <c r="M838" s="4335"/>
      <c r="N838" s="4324"/>
      <c r="O838" s="1298">
        <f>SUM(O840:O849)</f>
        <v>4.8433400000000004</v>
      </c>
      <c r="P838" s="1337">
        <f>O838*K838</f>
        <v>4.8675566999999997</v>
      </c>
      <c r="Q838" s="3390"/>
      <c r="R838" s="1721">
        <f>SUM(P840:P849)</f>
        <v>4.8675566999999997</v>
      </c>
    </row>
    <row r="839" spans="1:18" s="19" customFormat="1">
      <c r="A839" s="1320"/>
      <c r="B839" s="552"/>
      <c r="C839" s="18"/>
      <c r="D839" s="1400"/>
      <c r="E839" s="2121"/>
      <c r="F839" s="1389" t="s">
        <v>1</v>
      </c>
      <c r="G839" s="1390"/>
      <c r="H839" s="1390"/>
      <c r="I839" s="1391"/>
      <c r="J839" s="1369"/>
      <c r="K839" s="1369"/>
      <c r="L839" s="1554"/>
      <c r="M839" s="1490"/>
      <c r="N839" s="1491"/>
      <c r="O839" s="1491"/>
      <c r="P839" s="1367"/>
      <c r="Q839" s="3387"/>
      <c r="R839" s="2338"/>
    </row>
    <row r="840" spans="1:18" s="19" customFormat="1">
      <c r="A840" s="1320"/>
      <c r="B840" s="88"/>
      <c r="C840" s="1042"/>
      <c r="D840" s="1384"/>
      <c r="E840" s="2146"/>
      <c r="F840" s="1471"/>
      <c r="G840" s="1372"/>
      <c r="H840" s="1372"/>
      <c r="I840" s="1346"/>
      <c r="J840" s="1341"/>
      <c r="K840" s="1307" t="str">
        <f>IF(COUNT(#REF!)=0,"",IF(#REF!="","",(#REF!*#REF!)))</f>
        <v/>
      </c>
      <c r="L840" s="1335"/>
      <c r="M840" s="1302"/>
      <c r="N840" s="1302"/>
      <c r="O840" s="1291"/>
      <c r="P840" s="1332"/>
      <c r="Q840" s="3391"/>
      <c r="R840" s="2338"/>
    </row>
    <row r="841" spans="1:18" s="19" customFormat="1">
      <c r="A841" s="1320"/>
      <c r="B841" s="88"/>
      <c r="C841" s="1042"/>
      <c r="D841" s="1384"/>
      <c r="E841" s="2146"/>
      <c r="F841" s="1471"/>
      <c r="G841" s="1372"/>
      <c r="H841" s="1372"/>
      <c r="I841" s="1346"/>
      <c r="J841" s="1341"/>
      <c r="K841" s="1307" t="str">
        <f>IF(COUNT(#REF!)=0,"",IF(#REF!="","",(#REF!*#REF!)))</f>
        <v/>
      </c>
      <c r="L841" s="1335"/>
      <c r="M841" s="1302"/>
      <c r="N841" s="1302"/>
      <c r="O841" s="1291"/>
      <c r="P841" s="1332"/>
      <c r="Q841" s="3391"/>
      <c r="R841" s="2338"/>
    </row>
    <row r="842" spans="1:18" s="19" customFormat="1">
      <c r="A842" s="1320"/>
      <c r="B842" s="88"/>
      <c r="C842" s="1042"/>
      <c r="D842" s="1384"/>
      <c r="E842" s="2146"/>
      <c r="F842" s="1471"/>
      <c r="G842" s="1372"/>
      <c r="H842" s="1372"/>
      <c r="I842" s="1346"/>
      <c r="J842" s="1341"/>
      <c r="K842" s="1307" t="str">
        <f>IF(COUNT(#REF!)=0,"",IF(#REF!="","",(#REF!*#REF!)))</f>
        <v/>
      </c>
      <c r="L842" s="1335"/>
      <c r="M842" s="1302"/>
      <c r="N842" s="1302"/>
      <c r="O842" s="1291"/>
      <c r="P842" s="1332"/>
      <c r="Q842" s="3391"/>
      <c r="R842" s="2338"/>
    </row>
    <row r="843" spans="1:18" s="19" customFormat="1">
      <c r="A843" s="1320"/>
      <c r="B843" s="88"/>
      <c r="C843" s="1042"/>
      <c r="D843" s="1404"/>
      <c r="E843" s="1858"/>
      <c r="F843" s="1360" t="s">
        <v>2</v>
      </c>
      <c r="G843" s="1362"/>
      <c r="H843" s="1362"/>
      <c r="I843" s="1380"/>
      <c r="J843" s="1381"/>
      <c r="K843" s="1359" t="str">
        <f>IF(COUNT(#REF!)=0,"",IF(#REF!="","",(#REF!*#REF!)))</f>
        <v/>
      </c>
      <c r="L843" s="1458"/>
      <c r="M843" s="1362"/>
      <c r="N843" s="1362"/>
      <c r="O843" s="1708"/>
      <c r="P843" s="1359"/>
      <c r="Q843" s="3387"/>
      <c r="R843" s="2338"/>
    </row>
    <row r="844" spans="1:18" s="19" customFormat="1">
      <c r="A844" s="1320"/>
      <c r="B844" s="88"/>
      <c r="C844" s="1042"/>
      <c r="D844" s="1495" t="s">
        <v>1121</v>
      </c>
      <c r="E844" s="2147" t="s">
        <v>1508</v>
      </c>
      <c r="F844" s="1473" t="s">
        <v>1667</v>
      </c>
      <c r="G844" s="1365">
        <v>0.23</v>
      </c>
      <c r="H844" s="1365"/>
      <c r="I844" s="1286"/>
      <c r="J844" s="198"/>
      <c r="K844" s="1307">
        <f>G844*$K$838</f>
        <v>0.23114999999999999</v>
      </c>
      <c r="L844" s="1335">
        <f>K844*$K$795</f>
        <v>0</v>
      </c>
      <c r="M844" s="1302">
        <v>19.23</v>
      </c>
      <c r="N844" s="1302"/>
      <c r="O844" s="1735">
        <f>(G844*M844)</f>
        <v>4.4229000000000003</v>
      </c>
      <c r="P844" s="1332">
        <f>M844*K844</f>
        <v>4.4450145000000001</v>
      </c>
      <c r="Q844" s="3391"/>
      <c r="R844" s="2338"/>
    </row>
    <row r="845" spans="1:18" s="19" customFormat="1">
      <c r="A845" s="1320"/>
      <c r="B845" s="88"/>
      <c r="C845" s="1042"/>
      <c r="D845" s="1385" t="s">
        <v>1067</v>
      </c>
      <c r="E845" s="2149" t="s">
        <v>1508</v>
      </c>
      <c r="F845" s="1473" t="s">
        <v>1512</v>
      </c>
      <c r="G845" s="1365">
        <v>2.3E-2</v>
      </c>
      <c r="H845" s="1365"/>
      <c r="I845" s="1286"/>
      <c r="J845" s="198"/>
      <c r="K845" s="1307">
        <f>G845*$K$838</f>
        <v>2.3114999999999997E-2</v>
      </c>
      <c r="L845" s="1335">
        <f>K845*$K$795</f>
        <v>0</v>
      </c>
      <c r="M845" s="1302">
        <v>18.28</v>
      </c>
      <c r="N845" s="1700"/>
      <c r="O845" s="1290">
        <f>(G845*M845)</f>
        <v>0.42044000000000004</v>
      </c>
      <c r="P845" s="1332">
        <f>M845*K845</f>
        <v>0.42254219999999998</v>
      </c>
      <c r="Q845" s="3391"/>
      <c r="R845" s="2338"/>
    </row>
    <row r="846" spans="1:18" s="19" customFormat="1">
      <c r="A846" s="1320"/>
      <c r="B846" s="88"/>
      <c r="C846" s="1042"/>
      <c r="D846" s="1411"/>
      <c r="E846" s="2123"/>
      <c r="F846" s="1374" t="s">
        <v>3</v>
      </c>
      <c r="G846" s="1376"/>
      <c r="H846" s="1376"/>
      <c r="I846" s="1496"/>
      <c r="J846" s="1383"/>
      <c r="K846" s="1373"/>
      <c r="L846" s="1413"/>
      <c r="M846" s="1376"/>
      <c r="N846" s="1376"/>
      <c r="O846" s="1706"/>
      <c r="P846" s="1373"/>
      <c r="Q846" s="3387"/>
      <c r="R846" s="2338"/>
    </row>
    <row r="847" spans="1:18" s="19" customFormat="1">
      <c r="A847" s="1320"/>
      <c r="B847" s="88"/>
      <c r="C847" s="1042"/>
      <c r="D847" s="1377"/>
      <c r="E847" s="2124"/>
      <c r="F847" s="1378"/>
      <c r="G847" s="1379"/>
      <c r="H847" s="1379"/>
      <c r="I847" s="1286"/>
      <c r="J847" s="198"/>
      <c r="K847" s="1307"/>
      <c r="L847" s="1335"/>
      <c r="M847" s="1302"/>
      <c r="N847" s="1700"/>
      <c r="O847" s="1290"/>
      <c r="P847" s="1332"/>
      <c r="Q847" s="3391"/>
      <c r="R847" s="2338"/>
    </row>
    <row r="848" spans="1:18" s="19" customFormat="1">
      <c r="A848" s="1320"/>
      <c r="B848" s="88"/>
      <c r="C848" s="1042"/>
      <c r="D848" s="1440"/>
      <c r="E848" s="2132"/>
      <c r="F848" s="1441"/>
      <c r="G848" s="1442"/>
      <c r="H848" s="1442"/>
      <c r="I848" s="197" t="str">
        <f>IF(COUNT(G849:O849)=0,"",(SUM(G849:O849)/COUNT(G849:O849)))</f>
        <v/>
      </c>
      <c r="J848" s="198"/>
      <c r="K848" s="1307"/>
      <c r="L848" s="1335"/>
      <c r="M848" s="1499"/>
      <c r="N848" s="1701"/>
      <c r="O848" s="1290"/>
      <c r="P848" s="1332"/>
      <c r="Q848" s="3391"/>
      <c r="R848" s="2338"/>
    </row>
    <row r="849" spans="1:18" s="19" customFormat="1">
      <c r="A849" s="1320"/>
      <c r="B849" s="581"/>
      <c r="C849" s="223"/>
      <c r="D849" s="1440"/>
      <c r="E849" s="2132"/>
      <c r="F849" s="1441"/>
      <c r="G849" s="1442"/>
      <c r="H849" s="1442"/>
      <c r="I849" s="197" t="str">
        <f>IF(COUNT(G850:O850)=0,"",(SUM(G850:O850)/COUNT(G850:O850)))</f>
        <v/>
      </c>
      <c r="J849" s="198"/>
      <c r="K849" s="1307"/>
      <c r="L849" s="1335"/>
      <c r="M849" s="1499"/>
      <c r="N849" s="1701"/>
      <c r="O849" s="1290"/>
      <c r="P849" s="1332"/>
      <c r="Q849" s="3391"/>
      <c r="R849" s="2338"/>
    </row>
    <row r="850" spans="1:18" s="19" customFormat="1" ht="15" customHeight="1">
      <c r="A850" s="18" t="s">
        <v>3764</v>
      </c>
      <c r="B850" s="4367" t="s">
        <v>1657</v>
      </c>
      <c r="C850" s="3350"/>
      <c r="D850" s="4327"/>
      <c r="E850" s="4337" t="s">
        <v>1504</v>
      </c>
      <c r="F850" s="4522" t="s">
        <v>1668</v>
      </c>
      <c r="G850" s="4331" t="s">
        <v>1568</v>
      </c>
      <c r="H850" s="4331" t="s">
        <v>1574</v>
      </c>
      <c r="I850" s="1572" t="s">
        <v>1559</v>
      </c>
      <c r="J850" s="1294" t="s">
        <v>1560</v>
      </c>
      <c r="K850" s="1294" t="s">
        <v>1561</v>
      </c>
      <c r="L850" s="4333" t="s">
        <v>3765</v>
      </c>
      <c r="M850" s="4335" t="s">
        <v>1571</v>
      </c>
      <c r="N850" s="4323" t="s">
        <v>1776</v>
      </c>
      <c r="O850" s="3347" t="s">
        <v>1563</v>
      </c>
      <c r="P850" s="1336" t="s">
        <v>1562</v>
      </c>
      <c r="Q850" s="3389"/>
      <c r="R850" s="1699" t="s">
        <v>1327</v>
      </c>
    </row>
    <row r="851" spans="1:18" s="19" customFormat="1">
      <c r="A851" s="1320" t="s">
        <v>2812</v>
      </c>
      <c r="B851" s="4369"/>
      <c r="C851" s="3351"/>
      <c r="D851" s="4328"/>
      <c r="E851" s="4337"/>
      <c r="F851" s="4522"/>
      <c r="G851" s="4332"/>
      <c r="H851" s="4332"/>
      <c r="I851" s="1345">
        <v>5</v>
      </c>
      <c r="J851" s="1307">
        <v>1.4999999999999999E-2</v>
      </c>
      <c r="K851" s="1297">
        <f>I851*J851</f>
        <v>7.4999999999999997E-2</v>
      </c>
      <c r="L851" s="4334"/>
      <c r="M851" s="4335"/>
      <c r="N851" s="4324"/>
      <c r="O851" s="1298">
        <f>SUM(O853:O859)+O860</f>
        <v>44.79</v>
      </c>
      <c r="P851" s="1337">
        <f>O851*K851</f>
        <v>3.3592499999999998</v>
      </c>
      <c r="Q851" s="3390"/>
      <c r="R851" s="1721">
        <f>P853+P854+P855+P856+P859+P860</f>
        <v>3.3591884999999997</v>
      </c>
    </row>
    <row r="852" spans="1:18" s="19" customFormat="1">
      <c r="A852" s="1599"/>
      <c r="B852" s="18"/>
      <c r="C852" s="552"/>
      <c r="D852" s="1367"/>
      <c r="E852" s="2121"/>
      <c r="F852" s="1389" t="s">
        <v>1</v>
      </c>
      <c r="G852" s="1369"/>
      <c r="H852" s="1369"/>
      <c r="I852" s="1391"/>
      <c r="J852" s="1369"/>
      <c r="K852" s="1369"/>
      <c r="L852" s="1554"/>
      <c r="M852" s="1487"/>
      <c r="N852" s="1487"/>
      <c r="O852" s="1487"/>
      <c r="P852" s="1367"/>
      <c r="Q852" s="3387"/>
      <c r="R852" s="2338"/>
    </row>
    <row r="853" spans="1:18" s="19" customFormat="1">
      <c r="A853" s="1599"/>
      <c r="B853" s="1042"/>
      <c r="C853" s="88"/>
      <c r="D853" s="1471" t="s">
        <v>1669</v>
      </c>
      <c r="E853" s="2144" t="s">
        <v>1504</v>
      </c>
      <c r="F853" s="1471" t="s">
        <v>1670</v>
      </c>
      <c r="G853" s="1372">
        <v>1</v>
      </c>
      <c r="H853" s="1372"/>
      <c r="I853" s="1342"/>
      <c r="J853" s="198"/>
      <c r="K853" s="1307">
        <f>G853*$K$851</f>
        <v>7.4999999999999997E-2</v>
      </c>
      <c r="L853" s="1335">
        <f>K853*$K$795</f>
        <v>0</v>
      </c>
      <c r="M853" s="1302">
        <v>20.18</v>
      </c>
      <c r="N853" s="1700"/>
      <c r="O853" s="1290">
        <f>ROUND(G853*M853,2)</f>
        <v>20.18</v>
      </c>
      <c r="P853" s="1332">
        <f>M853*K853</f>
        <v>1.5134999999999998</v>
      </c>
      <c r="Q853" s="3391"/>
      <c r="R853" s="2338"/>
    </row>
    <row r="854" spans="1:18" s="19" customFormat="1">
      <c r="A854" s="1599"/>
      <c r="B854" s="1042"/>
      <c r="C854" s="88"/>
      <c r="D854" s="1471" t="s">
        <v>1671</v>
      </c>
      <c r="E854" s="2144" t="s">
        <v>1504</v>
      </c>
      <c r="F854" s="1471" t="s">
        <v>1672</v>
      </c>
      <c r="G854" s="1372">
        <v>1</v>
      </c>
      <c r="H854" s="1372"/>
      <c r="I854" s="1286"/>
      <c r="J854" s="198"/>
      <c r="K854" s="1307">
        <f>G854*$K$851</f>
        <v>7.4999999999999997E-2</v>
      </c>
      <c r="L854" s="1335">
        <f>K854*$K$795</f>
        <v>0</v>
      </c>
      <c r="M854" s="1302">
        <v>6.24</v>
      </c>
      <c r="N854" s="1700"/>
      <c r="O854" s="1290">
        <f>ROUND(G854*M854,2)</f>
        <v>6.24</v>
      </c>
      <c r="P854" s="1332">
        <f>M854*K854</f>
        <v>0.46799999999999997</v>
      </c>
      <c r="Q854" s="3391"/>
      <c r="R854" s="2338"/>
    </row>
    <row r="855" spans="1:18" s="19" customFormat="1">
      <c r="A855" s="1599"/>
      <c r="B855" s="1042"/>
      <c r="C855" s="88"/>
      <c r="D855" s="1471" t="s">
        <v>1097</v>
      </c>
      <c r="E855" s="2144" t="s">
        <v>1504</v>
      </c>
      <c r="F855" s="1471" t="s">
        <v>1632</v>
      </c>
      <c r="G855" s="1372">
        <v>4</v>
      </c>
      <c r="H855" s="1372"/>
      <c r="I855" s="198"/>
      <c r="J855" s="198"/>
      <c r="K855" s="1307">
        <f>G855*$K$851</f>
        <v>0.3</v>
      </c>
      <c r="L855" s="1335">
        <f>K855*$K$795</f>
        <v>0</v>
      </c>
      <c r="M855" s="1302">
        <v>0.55000000000000004</v>
      </c>
      <c r="N855" s="1700"/>
      <c r="O855" s="1290">
        <f>ROUND(G855*M855,2)</f>
        <v>2.2000000000000002</v>
      </c>
      <c r="P855" s="1332">
        <f>M855*K855</f>
        <v>0.16500000000000001</v>
      </c>
      <c r="Q855" s="3391"/>
      <c r="R855" s="2338"/>
    </row>
    <row r="856" spans="1:18" s="19" customFormat="1">
      <c r="A856" s="1599"/>
      <c r="B856" s="1042"/>
      <c r="C856" s="88"/>
      <c r="D856" s="1471" t="s">
        <v>1082</v>
      </c>
      <c r="E856" s="2144" t="s">
        <v>1504</v>
      </c>
      <c r="F856" s="1471" t="s">
        <v>1541</v>
      </c>
      <c r="G856" s="1372">
        <v>1</v>
      </c>
      <c r="H856" s="1372"/>
      <c r="I856" s="198"/>
      <c r="J856" s="198"/>
      <c r="K856" s="1307">
        <f>G856*$K$851</f>
        <v>7.4999999999999997E-2</v>
      </c>
      <c r="L856" s="1335">
        <f>K856*$K$795</f>
        <v>0</v>
      </c>
      <c r="M856" s="1302">
        <v>0.3</v>
      </c>
      <c r="N856" s="1700"/>
      <c r="O856" s="1290">
        <f>ROUND(G856*M856,2)</f>
        <v>0.3</v>
      </c>
      <c r="P856" s="1332">
        <f>M856*K856</f>
        <v>2.2499999999999999E-2</v>
      </c>
      <c r="Q856" s="3391"/>
      <c r="R856" s="2338"/>
    </row>
    <row r="857" spans="1:18" s="19" customFormat="1">
      <c r="A857" s="1599"/>
      <c r="B857" s="1042"/>
      <c r="C857" s="88"/>
      <c r="D857" s="1606"/>
      <c r="E857" s="2153"/>
      <c r="F857" s="1607" t="s">
        <v>1704</v>
      </c>
      <c r="G857" s="2234"/>
      <c r="H857" s="2234"/>
      <c r="I857" s="198"/>
      <c r="J857" s="198"/>
      <c r="K857" s="10" t="str">
        <f>IF(COUNT(#REF!)=0,"",IF(#REF!="","",(#REF!*#REF!)))</f>
        <v/>
      </c>
      <c r="L857" s="27"/>
      <c r="M857" s="8"/>
      <c r="N857" s="8"/>
      <c r="O857" s="8"/>
      <c r="P857" s="10"/>
      <c r="Q857" s="3387"/>
      <c r="R857" s="2338"/>
    </row>
    <row r="858" spans="1:18" s="19" customFormat="1">
      <c r="A858" s="1599"/>
      <c r="B858" s="1042"/>
      <c r="C858" s="88"/>
      <c r="D858" s="1359"/>
      <c r="E858" s="1858"/>
      <c r="F858" s="1465" t="s">
        <v>2</v>
      </c>
      <c r="G858" s="1362"/>
      <c r="H858" s="1362"/>
      <c r="I858" s="1381"/>
      <c r="J858" s="1381"/>
      <c r="K858" s="1359"/>
      <c r="L858" s="1458"/>
      <c r="M858" s="1498"/>
      <c r="N858" s="1498"/>
      <c r="O858" s="1498"/>
      <c r="P858" s="1359"/>
      <c r="Q858" s="3387"/>
      <c r="R858" s="2338"/>
    </row>
    <row r="859" spans="1:18" s="19" customFormat="1">
      <c r="A859" s="1599"/>
      <c r="B859" s="1042"/>
      <c r="C859" s="88"/>
      <c r="D859" s="1363" t="s">
        <v>1099</v>
      </c>
      <c r="E859" s="2125" t="s">
        <v>1508</v>
      </c>
      <c r="F859" s="1363" t="s">
        <v>1633</v>
      </c>
      <c r="G859" s="1408">
        <v>0.4</v>
      </c>
      <c r="H859" s="1408"/>
      <c r="I859" s="1340"/>
      <c r="J859" s="198"/>
      <c r="K859" s="1307">
        <f>G859*$K$851</f>
        <v>0.03</v>
      </c>
      <c r="L859" s="1335">
        <f>K859*$K$795</f>
        <v>0</v>
      </c>
      <c r="M859" s="1302">
        <v>19.23</v>
      </c>
      <c r="N859" s="1700"/>
      <c r="O859" s="1290">
        <f>ROUND(G859*M859,2)</f>
        <v>7.69</v>
      </c>
      <c r="P859" s="1332">
        <f>M859*K859</f>
        <v>0.57689999999999997</v>
      </c>
      <c r="Q859" s="3391"/>
      <c r="R859" s="2338"/>
    </row>
    <row r="860" spans="1:18" s="19" customFormat="1">
      <c r="A860" s="1599"/>
      <c r="B860" s="1042"/>
      <c r="C860" s="1358" t="s">
        <v>1523</v>
      </c>
      <c r="D860" s="1329"/>
      <c r="E860" s="2135" t="s">
        <v>1508</v>
      </c>
      <c r="F860" s="1330" t="s">
        <v>1524</v>
      </c>
      <c r="G860" s="1776"/>
      <c r="H860" s="1776">
        <v>0.218</v>
      </c>
      <c r="I860" s="1488"/>
      <c r="J860" s="1388"/>
      <c r="K860" s="1510"/>
      <c r="L860" s="1445"/>
      <c r="M860" s="1446"/>
      <c r="N860" s="1447">
        <f>SUM(N861:N864)</f>
        <v>37.510000000000005</v>
      </c>
      <c r="O860" s="1447">
        <f>SUM(O861:O862)</f>
        <v>8.18</v>
      </c>
      <c r="P860" s="1447">
        <f>SUM(P861:P864)</f>
        <v>0.61328850000000001</v>
      </c>
      <c r="Q860" s="3391"/>
      <c r="R860" s="2338"/>
    </row>
    <row r="861" spans="1:18" s="19" customFormat="1">
      <c r="A861" s="1599"/>
      <c r="B861" s="1042"/>
      <c r="C861" s="1042"/>
      <c r="D861" s="1402" t="s">
        <v>1067</v>
      </c>
      <c r="E861" s="1857" t="s">
        <v>1508</v>
      </c>
      <c r="F861" s="1430" t="s">
        <v>5</v>
      </c>
      <c r="G861" s="1362">
        <v>1</v>
      </c>
      <c r="H861" s="1408">
        <f>G861*$H$860</f>
        <v>0.218</v>
      </c>
      <c r="I861" s="1340"/>
      <c r="J861" s="198"/>
      <c r="K861" s="1307">
        <f>H861*$K$851</f>
        <v>1.635E-2</v>
      </c>
      <c r="L861" s="1335">
        <f>K861*$K$795</f>
        <v>0</v>
      </c>
      <c r="M861" s="1302">
        <v>18.28</v>
      </c>
      <c r="N861" s="1724">
        <f>G861*M861</f>
        <v>18.28</v>
      </c>
      <c r="O861" s="1719">
        <f>ROUND(H861*M861,2)</f>
        <v>3.99</v>
      </c>
      <c r="P861" s="1720">
        <f>M861*K861</f>
        <v>0.29887800000000003</v>
      </c>
      <c r="Q861" s="3396"/>
      <c r="R861" s="2338"/>
    </row>
    <row r="862" spans="1:18" s="19" customFormat="1">
      <c r="A862" s="1599"/>
      <c r="B862" s="1042"/>
      <c r="C862" s="1042"/>
      <c r="D862" s="1402" t="s">
        <v>1077</v>
      </c>
      <c r="E862" s="1857" t="s">
        <v>1508</v>
      </c>
      <c r="F862" s="1430" t="s">
        <v>37</v>
      </c>
      <c r="G862" s="1362">
        <v>1</v>
      </c>
      <c r="H862" s="1408">
        <f>G862*$H$860</f>
        <v>0.218</v>
      </c>
      <c r="I862" s="198"/>
      <c r="J862" s="198"/>
      <c r="K862" s="1307">
        <f>H862*$K$851</f>
        <v>1.635E-2</v>
      </c>
      <c r="L862" s="1335">
        <f>K862*$K$795</f>
        <v>0</v>
      </c>
      <c r="M862" s="1302">
        <v>19.23</v>
      </c>
      <c r="N862" s="1724">
        <f>G862*M862</f>
        <v>19.23</v>
      </c>
      <c r="O862" s="1719">
        <f>ROUND(H862*M862,2)</f>
        <v>4.1900000000000004</v>
      </c>
      <c r="P862" s="1720">
        <f>M862*K862</f>
        <v>0.31441049999999998</v>
      </c>
      <c r="Q862" s="3396"/>
      <c r="R862" s="2338"/>
    </row>
    <row r="863" spans="1:18" s="19" customFormat="1">
      <c r="A863" s="1599"/>
      <c r="B863" s="1042"/>
      <c r="C863" s="88"/>
      <c r="D863" s="1373"/>
      <c r="E863" s="2123"/>
      <c r="F863" s="1475" t="s">
        <v>3</v>
      </c>
      <c r="G863" s="1377"/>
      <c r="H863" s="1376"/>
      <c r="I863" s="1383" t="str">
        <f>IF(COUNT(H864:O864)=0,"",(SUM(H864:O864)/COUNT(H864:O864)))</f>
        <v/>
      </c>
      <c r="J863" s="1383"/>
      <c r="K863" s="1383"/>
      <c r="L863" s="1413"/>
      <c r="M863" s="1376"/>
      <c r="N863" s="1376"/>
      <c r="O863" s="1376"/>
      <c r="P863" s="1373"/>
      <c r="Q863" s="3387"/>
      <c r="R863" s="2338"/>
    </row>
    <row r="864" spans="1:18" s="19" customFormat="1">
      <c r="A864" s="1599"/>
      <c r="B864" s="1042"/>
      <c r="C864" s="88"/>
      <c r="D864" s="1440"/>
      <c r="E864" s="2132"/>
      <c r="F864" s="1441"/>
      <c r="G864" s="1441"/>
      <c r="H864" s="1442"/>
      <c r="I864" s="197" t="str">
        <f>IF(COUNT(#REF!)=0,"",(SUM(#REF!)/COUNT(#REF!)))</f>
        <v/>
      </c>
      <c r="J864" s="198"/>
      <c r="K864" s="1307"/>
      <c r="L864" s="1335"/>
      <c r="M864" s="1499"/>
      <c r="N864" s="1701"/>
      <c r="O864" s="1290"/>
      <c r="P864" s="1332"/>
      <c r="Q864" s="3391"/>
      <c r="R864" s="2338"/>
    </row>
    <row r="865" spans="1:21" s="19" customFormat="1">
      <c r="A865" s="1599"/>
      <c r="B865" s="1042"/>
      <c r="C865" s="88"/>
      <c r="D865" s="1440"/>
      <c r="E865" s="2132"/>
      <c r="F865" s="1441"/>
      <c r="G865" s="1441"/>
      <c r="H865" s="1442"/>
      <c r="I865" s="197" t="str">
        <f>IF(COUNT(H866:O866)=0,"",(SUM(H866:O866)/COUNT(H866:O866)))</f>
        <v/>
      </c>
      <c r="J865" s="198"/>
      <c r="K865" s="1307"/>
      <c r="L865" s="1335"/>
      <c r="M865" s="1499"/>
      <c r="N865" s="1701"/>
      <c r="O865" s="1290"/>
      <c r="P865" s="1332"/>
      <c r="Q865" s="3391"/>
      <c r="R865" s="2338"/>
    </row>
    <row r="866" spans="1:21" s="19" customFormat="1">
      <c r="A866" s="1599"/>
      <c r="B866" s="223"/>
      <c r="C866" s="581"/>
      <c r="D866" s="1440"/>
      <c r="E866" s="2132"/>
      <c r="F866" s="1441"/>
      <c r="G866" s="1441"/>
      <c r="H866" s="1442"/>
      <c r="I866" s="197"/>
      <c r="J866" s="198"/>
      <c r="K866" s="1307"/>
      <c r="L866" s="1335"/>
      <c r="M866" s="1499"/>
      <c r="N866" s="1701"/>
      <c r="O866" s="1290"/>
      <c r="P866" s="1332"/>
      <c r="Q866" s="3391"/>
      <c r="R866" s="2338"/>
    </row>
    <row r="867" spans="1:21" s="19" customFormat="1" ht="15" customHeight="1">
      <c r="A867" s="18" t="s">
        <v>3764</v>
      </c>
      <c r="B867" s="4325" t="s">
        <v>1658</v>
      </c>
      <c r="C867" s="3350"/>
      <c r="D867" s="4327"/>
      <c r="E867" s="4337" t="s">
        <v>1527</v>
      </c>
      <c r="F867" s="4338" t="s">
        <v>1673</v>
      </c>
      <c r="G867" s="4331" t="s">
        <v>1568</v>
      </c>
      <c r="H867" s="4331" t="s">
        <v>1574</v>
      </c>
      <c r="I867" s="1572" t="s">
        <v>1559</v>
      </c>
      <c r="J867" s="1294" t="s">
        <v>1560</v>
      </c>
      <c r="K867" s="1294" t="s">
        <v>1561</v>
      </c>
      <c r="L867" s="4333" t="s">
        <v>3765</v>
      </c>
      <c r="M867" s="4335" t="s">
        <v>1571</v>
      </c>
      <c r="N867" s="4323" t="s">
        <v>1776</v>
      </c>
      <c r="O867" s="3347" t="s">
        <v>1563</v>
      </c>
      <c r="P867" s="1336" t="s">
        <v>1562</v>
      </c>
      <c r="Q867" s="3389"/>
      <c r="R867" s="1699" t="s">
        <v>1327</v>
      </c>
    </row>
    <row r="868" spans="1:21" s="19" customFormat="1">
      <c r="A868" s="1320" t="s">
        <v>2812</v>
      </c>
      <c r="B868" s="4326"/>
      <c r="C868" s="3351"/>
      <c r="D868" s="4328"/>
      <c r="E868" s="4337"/>
      <c r="F868" s="4338"/>
      <c r="G868" s="4332"/>
      <c r="H868" s="4332"/>
      <c r="I868" s="1345">
        <v>67</v>
      </c>
      <c r="J868" s="1307">
        <v>1.4999999999999999E-2</v>
      </c>
      <c r="K868" s="1297">
        <v>2.5500000000000002E-2</v>
      </c>
      <c r="L868" s="4334"/>
      <c r="M868" s="4335"/>
      <c r="N868" s="4324"/>
      <c r="O868" s="1298">
        <f>O870+O871+O872+O873+O877</f>
        <v>81.830000000000013</v>
      </c>
      <c r="P868" s="1337">
        <f>K868*O868</f>
        <v>2.0866650000000004</v>
      </c>
      <c r="Q868" s="3390"/>
      <c r="R868" s="1721">
        <f>P870+P871+P872+P873+P877</f>
        <v>2.0866568400000003</v>
      </c>
    </row>
    <row r="869" spans="1:21" s="19" customFormat="1">
      <c r="B869" s="551"/>
      <c r="C869" s="18"/>
      <c r="D869" s="1400"/>
      <c r="E869" s="2121"/>
      <c r="F869" s="2232" t="s">
        <v>1</v>
      </c>
      <c r="G869" s="1369"/>
      <c r="H869" s="1369"/>
      <c r="I869" s="1391"/>
      <c r="J869" s="1369"/>
      <c r="K869" s="1369"/>
      <c r="L869" s="1554"/>
      <c r="M869" s="1487"/>
      <c r="N869" s="1487"/>
      <c r="O869" s="1487"/>
      <c r="P869" s="1367"/>
      <c r="Q869" s="3387"/>
      <c r="R869" s="2338"/>
    </row>
    <row r="870" spans="1:21" s="19" customFormat="1">
      <c r="B870" s="553"/>
      <c r="C870" s="1042"/>
      <c r="D870" s="1610" t="s">
        <v>1674</v>
      </c>
      <c r="E870" s="2154" t="s">
        <v>1527</v>
      </c>
      <c r="F870" s="1590" t="s">
        <v>1675</v>
      </c>
      <c r="G870" s="1588">
        <v>1.01</v>
      </c>
      <c r="H870" s="1588"/>
      <c r="I870" s="1342"/>
      <c r="J870" s="198"/>
      <c r="K870" s="1307">
        <f>G870*$K$868</f>
        <v>2.5755000000000004E-2</v>
      </c>
      <c r="L870" s="1335">
        <f>K870*$K$795</f>
        <v>0</v>
      </c>
      <c r="M870" s="1302">
        <v>20.25</v>
      </c>
      <c r="N870" s="1700"/>
      <c r="O870" s="1290">
        <f>ROUND(G870*M870,2)</f>
        <v>20.45</v>
      </c>
      <c r="P870" s="1332">
        <f>M870*K870</f>
        <v>0.52153875000000005</v>
      </c>
      <c r="Q870" s="3391"/>
      <c r="R870" s="2338"/>
      <c r="T870" s="16"/>
      <c r="U870" s="16"/>
    </row>
    <row r="871" spans="1:21" s="19" customFormat="1">
      <c r="B871" s="553"/>
      <c r="C871" s="1042"/>
      <c r="D871" s="1610" t="s">
        <v>1676</v>
      </c>
      <c r="E871" s="2154" t="s">
        <v>1504</v>
      </c>
      <c r="F871" s="1590" t="s">
        <v>1677</v>
      </c>
      <c r="G871" s="1588">
        <v>1</v>
      </c>
      <c r="H871" s="1588"/>
      <c r="I871" s="1286"/>
      <c r="J871" s="198"/>
      <c r="K871" s="1307">
        <f>G871*$K$868</f>
        <v>2.5500000000000002E-2</v>
      </c>
      <c r="L871" s="1335">
        <f>K871*$K$795</f>
        <v>0</v>
      </c>
      <c r="M871" s="1302">
        <v>48.5</v>
      </c>
      <c r="N871" s="1700"/>
      <c r="O871" s="1290">
        <f>ROUND(G871*M871,2)</f>
        <v>48.5</v>
      </c>
      <c r="P871" s="1332">
        <f>M871*K871</f>
        <v>1.23675</v>
      </c>
      <c r="Q871" s="3391"/>
      <c r="R871" s="2338"/>
      <c r="T871" s="1292"/>
      <c r="U871" s="1292"/>
    </row>
    <row r="872" spans="1:21" s="19" customFormat="1">
      <c r="B872" s="553"/>
      <c r="C872" s="1320"/>
      <c r="D872" s="1610" t="s">
        <v>1097</v>
      </c>
      <c r="E872" s="2154" t="s">
        <v>1504</v>
      </c>
      <c r="F872" s="1613" t="s">
        <v>1632</v>
      </c>
      <c r="G872" s="1588">
        <v>8</v>
      </c>
      <c r="H872" s="1588"/>
      <c r="I872" s="1614"/>
      <c r="J872" s="1341"/>
      <c r="K872" s="1307">
        <f>G872*$K$868</f>
        <v>0.20400000000000001</v>
      </c>
      <c r="L872" s="1335">
        <f>K872*$K$795</f>
        <v>0</v>
      </c>
      <c r="M872" s="1302">
        <v>0.55000000000000004</v>
      </c>
      <c r="N872" s="1700"/>
      <c r="O872" s="1290">
        <f>ROUND(G872*M872,2)</f>
        <v>4.4000000000000004</v>
      </c>
      <c r="P872" s="1332">
        <f>M872*K872</f>
        <v>0.11220000000000002</v>
      </c>
      <c r="Q872" s="3391"/>
      <c r="R872" s="2338"/>
      <c r="T872" s="16"/>
      <c r="U872" s="16"/>
    </row>
    <row r="873" spans="1:21" s="19" customFormat="1">
      <c r="B873" s="553"/>
      <c r="C873" s="1320"/>
      <c r="D873" s="1610" t="s">
        <v>1082</v>
      </c>
      <c r="E873" s="2154" t="s">
        <v>1504</v>
      </c>
      <c r="F873" s="1613" t="s">
        <v>1541</v>
      </c>
      <c r="G873" s="1588">
        <v>1</v>
      </c>
      <c r="H873" s="1588"/>
      <c r="I873" s="1286"/>
      <c r="J873" s="198"/>
      <c r="K873" s="1307">
        <f>G873*$K$868</f>
        <v>2.5500000000000002E-2</v>
      </c>
      <c r="L873" s="1335">
        <f>K873*$K$795</f>
        <v>0</v>
      </c>
      <c r="M873" s="1302">
        <v>0.3</v>
      </c>
      <c r="N873" s="1700"/>
      <c r="O873" s="1290">
        <f>ROUND(G873*M873,2)</f>
        <v>0.3</v>
      </c>
      <c r="P873" s="1332">
        <f>M873*K873</f>
        <v>7.6500000000000005E-3</v>
      </c>
      <c r="Q873" s="3391"/>
      <c r="R873" s="2338"/>
      <c r="T873" s="16"/>
      <c r="U873" s="16"/>
    </row>
    <row r="874" spans="1:21" s="19" customFormat="1">
      <c r="B874" s="1042"/>
      <c r="C874" s="88"/>
      <c r="D874" s="1367"/>
      <c r="E874" s="1856"/>
      <c r="F874" s="1671"/>
      <c r="G874" s="1452"/>
      <c r="H874" s="1452"/>
      <c r="I874" s="197"/>
      <c r="J874" s="198"/>
      <c r="K874" s="1307" t="s">
        <v>506</v>
      </c>
      <c r="L874" s="1335"/>
      <c r="M874" s="1302"/>
      <c r="N874" s="1700"/>
      <c r="O874" s="1290"/>
      <c r="P874" s="1332"/>
      <c r="Q874" s="3391"/>
      <c r="R874" s="2338"/>
    </row>
    <row r="875" spans="1:21" s="19" customFormat="1">
      <c r="B875" s="1042"/>
      <c r="C875" s="88"/>
      <c r="D875" s="1367"/>
      <c r="E875" s="1856"/>
      <c r="F875" s="1397"/>
      <c r="G875" s="1415"/>
      <c r="H875" s="1399"/>
      <c r="I875" s="197"/>
      <c r="J875" s="198"/>
      <c r="K875" s="1307" t="s">
        <v>506</v>
      </c>
      <c r="L875" s="1335"/>
      <c r="M875" s="1302"/>
      <c r="N875" s="1700"/>
      <c r="O875" s="1290"/>
      <c r="P875" s="1332"/>
      <c r="Q875" s="3391"/>
      <c r="R875" s="2338"/>
    </row>
    <row r="876" spans="1:21" s="19" customFormat="1">
      <c r="B876" s="1042"/>
      <c r="C876" s="88"/>
      <c r="D876" s="1359"/>
      <c r="E876" s="1858"/>
      <c r="F876" s="1465" t="s">
        <v>2</v>
      </c>
      <c r="G876" s="1466"/>
      <c r="H876" s="1362"/>
      <c r="I876" s="1381"/>
      <c r="J876" s="1381"/>
      <c r="K876" s="1359"/>
      <c r="L876" s="1458"/>
      <c r="M876" s="1498"/>
      <c r="N876" s="1498"/>
      <c r="O876" s="1498"/>
      <c r="P876" s="1359"/>
      <c r="Q876" s="3387"/>
      <c r="R876" s="2338"/>
    </row>
    <row r="877" spans="1:21" s="19" customFormat="1">
      <c r="B877" s="1042"/>
      <c r="C877" s="1358" t="s">
        <v>1523</v>
      </c>
      <c r="D877" s="1329"/>
      <c r="E877" s="2135" t="s">
        <v>1508</v>
      </c>
      <c r="F877" s="1330" t="s">
        <v>1524</v>
      </c>
      <c r="G877" s="1584"/>
      <c r="H877" s="1584">
        <v>0.218</v>
      </c>
      <c r="I877" s="1488"/>
      <c r="J877" s="1388"/>
      <c r="K877" s="1510"/>
      <c r="L877" s="1445"/>
      <c r="M877" s="1446"/>
      <c r="N877" s="1447">
        <f>SUM(N878:N881)</f>
        <v>37.510000000000005</v>
      </c>
      <c r="O877" s="1447">
        <f>SUM(O878:O879)</f>
        <v>8.18</v>
      </c>
      <c r="P877" s="1447">
        <f>SUM(P878:P881)</f>
        <v>0.20851809000000004</v>
      </c>
      <c r="Q877" s="3391"/>
      <c r="R877" s="2338"/>
    </row>
    <row r="878" spans="1:21" s="19" customFormat="1">
      <c r="B878" s="1042"/>
      <c r="C878" s="1042"/>
      <c r="D878" s="1402" t="s">
        <v>1067</v>
      </c>
      <c r="E878" s="1857" t="s">
        <v>1508</v>
      </c>
      <c r="F878" s="1430" t="s">
        <v>5</v>
      </c>
      <c r="G878" s="1362">
        <v>1</v>
      </c>
      <c r="H878" s="1408">
        <f>G878*$H$860</f>
        <v>0.218</v>
      </c>
      <c r="I878" s="1340"/>
      <c r="J878" s="198"/>
      <c r="K878" s="1307">
        <f>H878*$K$868</f>
        <v>5.5590000000000006E-3</v>
      </c>
      <c r="L878" s="1335">
        <f>K878*$K$795</f>
        <v>0</v>
      </c>
      <c r="M878" s="1302">
        <v>18.28</v>
      </c>
      <c r="N878" s="1724">
        <f>G878*M878</f>
        <v>18.28</v>
      </c>
      <c r="O878" s="1290">
        <f>ROUND(H878*M878,2)</f>
        <v>3.99</v>
      </c>
      <c r="P878" s="1332">
        <f>M878*K878</f>
        <v>0.10161852000000002</v>
      </c>
      <c r="Q878" s="3391"/>
      <c r="R878" s="2338"/>
    </row>
    <row r="879" spans="1:21" s="19" customFormat="1">
      <c r="B879" s="1042"/>
      <c r="C879" s="1042"/>
      <c r="D879" s="1402" t="s">
        <v>1077</v>
      </c>
      <c r="E879" s="1857" t="s">
        <v>1508</v>
      </c>
      <c r="F879" s="1430" t="s">
        <v>37</v>
      </c>
      <c r="G879" s="1362">
        <v>1</v>
      </c>
      <c r="H879" s="1408">
        <f>G879*$H$860</f>
        <v>0.218</v>
      </c>
      <c r="I879" s="198"/>
      <c r="J879" s="198"/>
      <c r="K879" s="1307">
        <f>H879*$K$868</f>
        <v>5.5590000000000006E-3</v>
      </c>
      <c r="L879" s="1335">
        <f>K879*$K$795</f>
        <v>0</v>
      </c>
      <c r="M879" s="1302">
        <v>19.23</v>
      </c>
      <c r="N879" s="1724">
        <f>G879*M879</f>
        <v>19.23</v>
      </c>
      <c r="O879" s="1290">
        <f>ROUND(H879*M879,2)</f>
        <v>4.1900000000000004</v>
      </c>
      <c r="P879" s="1332">
        <f>M879*K879</f>
        <v>0.10689957000000001</v>
      </c>
      <c r="Q879" s="3391"/>
      <c r="R879" s="2338"/>
    </row>
    <row r="880" spans="1:21" s="19" customFormat="1">
      <c r="B880" s="1042"/>
      <c r="C880" s="88"/>
      <c r="D880" s="1373"/>
      <c r="E880" s="2123"/>
      <c r="F880" s="1475" t="s">
        <v>3</v>
      </c>
      <c r="G880" s="1377"/>
      <c r="H880" s="1376"/>
      <c r="I880" s="1383" t="s">
        <v>506</v>
      </c>
      <c r="J880" s="1383"/>
      <c r="K880" s="1383"/>
      <c r="L880" s="1413" t="s">
        <v>506</v>
      </c>
      <c r="M880" s="1376"/>
      <c r="N880" s="1376"/>
      <c r="O880" s="1376"/>
      <c r="P880" s="1373"/>
      <c r="Q880" s="3387"/>
      <c r="R880" s="2338"/>
    </row>
    <row r="881" spans="1:18" s="19" customFormat="1">
      <c r="B881" s="1042"/>
      <c r="C881" s="88"/>
      <c r="D881" s="1440"/>
      <c r="E881" s="2132"/>
      <c r="F881" s="1441"/>
      <c r="G881" s="1441"/>
      <c r="H881" s="1442"/>
      <c r="I881" s="197" t="s">
        <v>506</v>
      </c>
      <c r="J881" s="198"/>
      <c r="K881" s="1307"/>
      <c r="L881" s="1335" t="s">
        <v>506</v>
      </c>
      <c r="M881" s="1499"/>
      <c r="N881" s="1701"/>
      <c r="O881" s="1290"/>
      <c r="P881" s="1332"/>
      <c r="Q881" s="3391"/>
      <c r="R881" s="2338"/>
    </row>
    <row r="882" spans="1:18" s="19" customFormat="1">
      <c r="B882" s="1042"/>
      <c r="C882" s="88"/>
      <c r="D882" s="1440"/>
      <c r="E882" s="2132"/>
      <c r="F882" s="1441"/>
      <c r="G882" s="1441"/>
      <c r="H882" s="1442"/>
      <c r="I882" s="197" t="s">
        <v>506</v>
      </c>
      <c r="J882" s="198"/>
      <c r="K882" s="1307"/>
      <c r="L882" s="1335" t="s">
        <v>506</v>
      </c>
      <c r="M882" s="1499"/>
      <c r="N882" s="1701"/>
      <c r="O882" s="1290"/>
      <c r="P882" s="1332"/>
      <c r="Q882" s="3391"/>
      <c r="R882" s="2338"/>
    </row>
    <row r="883" spans="1:18" s="19" customFormat="1">
      <c r="B883" s="223"/>
      <c r="C883" s="581"/>
      <c r="D883" s="1440"/>
      <c r="E883" s="2132"/>
      <c r="F883" s="1441"/>
      <c r="G883" s="1441"/>
      <c r="H883" s="1442"/>
      <c r="I883" s="197"/>
      <c r="J883" s="198"/>
      <c r="K883" s="1307"/>
      <c r="L883" s="1335"/>
      <c r="M883" s="1499"/>
      <c r="N883" s="1701"/>
      <c r="O883" s="1290"/>
      <c r="P883" s="1332"/>
      <c r="Q883" s="3391"/>
      <c r="R883" s="2338"/>
    </row>
    <row r="884" spans="1:18" s="19" customFormat="1" ht="15" customHeight="1">
      <c r="A884" s="18" t="s">
        <v>3764</v>
      </c>
      <c r="B884" s="4325" t="s">
        <v>57</v>
      </c>
      <c r="C884" s="3350"/>
      <c r="D884" s="4327"/>
      <c r="E884" s="4337" t="s">
        <v>1507</v>
      </c>
      <c r="F884" s="4338" t="s">
        <v>1678</v>
      </c>
      <c r="G884" s="4331" t="s">
        <v>1568</v>
      </c>
      <c r="H884" s="4331" t="s">
        <v>1574</v>
      </c>
      <c r="I884" s="1572" t="s">
        <v>1559</v>
      </c>
      <c r="J884" s="1294" t="s">
        <v>1560</v>
      </c>
      <c r="K884" s="1294" t="s">
        <v>1561</v>
      </c>
      <c r="L884" s="4333" t="s">
        <v>3765</v>
      </c>
      <c r="M884" s="4335" t="s">
        <v>1571</v>
      </c>
      <c r="N884" s="4323" t="s">
        <v>1776</v>
      </c>
      <c r="O884" s="3347" t="s">
        <v>1563</v>
      </c>
      <c r="P884" s="1336" t="s">
        <v>1562</v>
      </c>
      <c r="Q884" s="3389"/>
      <c r="R884" s="1699" t="s">
        <v>1327</v>
      </c>
    </row>
    <row r="885" spans="1:18" s="19" customFormat="1">
      <c r="A885" s="1320" t="s">
        <v>2812</v>
      </c>
      <c r="B885" s="4326"/>
      <c r="C885" s="3351"/>
      <c r="D885" s="4328"/>
      <c r="E885" s="4337"/>
      <c r="F885" s="4338"/>
      <c r="G885" s="4332"/>
      <c r="H885" s="4332"/>
      <c r="I885" s="1345">
        <v>3.2</v>
      </c>
      <c r="J885" s="1307">
        <v>1.4999999999999999E-2</v>
      </c>
      <c r="K885" s="1297">
        <v>2.5500000000000002E-2</v>
      </c>
      <c r="L885" s="4334"/>
      <c r="M885" s="4335"/>
      <c r="N885" s="4324"/>
      <c r="O885" s="1298">
        <f>O887+O888+O897+O898</f>
        <v>10.8170731</v>
      </c>
      <c r="P885" s="1337">
        <f>K885*O885</f>
        <v>0.27583536405000003</v>
      </c>
      <c r="Q885" s="3390"/>
      <c r="R885" s="1721">
        <f>P887+P888+P897+P898</f>
        <v>0.27583536405000003</v>
      </c>
    </row>
    <row r="886" spans="1:18" s="19" customFormat="1">
      <c r="B886" s="18"/>
      <c r="C886" s="552"/>
      <c r="D886" s="1367"/>
      <c r="E886" s="2121"/>
      <c r="F886" s="1389" t="s">
        <v>1</v>
      </c>
      <c r="G886" s="1369"/>
      <c r="H886" s="1369"/>
      <c r="I886" s="1391"/>
      <c r="J886" s="1369"/>
      <c r="K886" s="1369"/>
      <c r="L886" s="1554"/>
      <c r="M886" s="1487"/>
      <c r="N886" s="1487"/>
      <c r="O886" s="1487"/>
      <c r="P886" s="1367"/>
      <c r="Q886" s="3387"/>
      <c r="R886" s="2338"/>
    </row>
    <row r="887" spans="1:18" s="19" customFormat="1">
      <c r="B887" s="1042"/>
      <c r="C887" s="88"/>
      <c r="D887" s="1598" t="s">
        <v>1123</v>
      </c>
      <c r="E887" s="2154" t="s">
        <v>1521</v>
      </c>
      <c r="F887" s="1598" t="s">
        <v>1679</v>
      </c>
      <c r="G887" s="1612">
        <v>3.6999999999999998E-2</v>
      </c>
      <c r="H887" s="1612"/>
      <c r="I887" s="1342"/>
      <c r="J887" s="198"/>
      <c r="K887" s="1307">
        <f>G887*$K$885</f>
        <v>9.435E-4</v>
      </c>
      <c r="L887" s="1335">
        <f>K887*$K$795</f>
        <v>0</v>
      </c>
      <c r="M887" s="1302">
        <v>61.71</v>
      </c>
      <c r="N887" s="1700"/>
      <c r="O887" s="1726">
        <f>G887*M887</f>
        <v>2.2832699999999999</v>
      </c>
      <c r="P887" s="1727">
        <f>M887*K887</f>
        <v>5.8223385000000002E-2</v>
      </c>
      <c r="Q887" s="3396"/>
      <c r="R887" s="2338"/>
    </row>
    <row r="888" spans="1:18" s="19" customFormat="1">
      <c r="B888" s="1042"/>
      <c r="C888" s="1317" t="s">
        <v>1680</v>
      </c>
      <c r="D888" s="1311"/>
      <c r="E888" s="2131" t="s">
        <v>1517</v>
      </c>
      <c r="F888" s="1343" t="s">
        <v>1681</v>
      </c>
      <c r="G888" s="1344"/>
      <c r="H888" s="1344">
        <v>0.01</v>
      </c>
      <c r="I888" s="1497"/>
      <c r="J888" s="1388"/>
      <c r="K888" s="1459"/>
      <c r="L888" s="1457"/>
      <c r="M888" s="1446"/>
      <c r="N888" s="1447">
        <f>SUM(N889:N893)</f>
        <v>98.738309999999998</v>
      </c>
      <c r="O888" s="1447">
        <f>SUM(O889:O893)</f>
        <v>0.98738309999999996</v>
      </c>
      <c r="P888" s="1447">
        <f>SUM(P889:P893)</f>
        <v>2.517826905E-2</v>
      </c>
      <c r="Q888" s="3391"/>
      <c r="R888" s="2338"/>
    </row>
    <row r="889" spans="1:18" s="19" customFormat="1">
      <c r="B889" s="1042"/>
      <c r="C889" s="1511"/>
      <c r="D889" s="1451" t="s">
        <v>1069</v>
      </c>
      <c r="E889" s="1856" t="s">
        <v>1517</v>
      </c>
      <c r="F889" s="1421" t="s">
        <v>1578</v>
      </c>
      <c r="G889" s="1452">
        <v>0.26300000000000001</v>
      </c>
      <c r="H889" s="1453">
        <f>$H$888*G889</f>
        <v>2.63E-3</v>
      </c>
      <c r="I889" s="1286"/>
      <c r="J889" s="198"/>
      <c r="K889" s="1732">
        <f>H889*$K$885</f>
        <v>6.7065000000000009E-5</v>
      </c>
      <c r="L889" s="1335">
        <f>K889*$K$795</f>
        <v>0</v>
      </c>
      <c r="M889" s="1302">
        <v>0.55000000000000004</v>
      </c>
      <c r="N889" s="1724">
        <f>G889*M889</f>
        <v>0.14465000000000003</v>
      </c>
      <c r="O889" s="1726">
        <f>H889*M889</f>
        <v>1.4465000000000001E-3</v>
      </c>
      <c r="P889" s="1727">
        <f>M889*K889</f>
        <v>3.6885750000000008E-5</v>
      </c>
      <c r="Q889" s="3396"/>
      <c r="R889" s="2338"/>
    </row>
    <row r="890" spans="1:18" s="19" customFormat="1">
      <c r="B890" s="1042"/>
      <c r="C890" s="595"/>
      <c r="D890" s="1367" t="s">
        <v>1394</v>
      </c>
      <c r="E890" s="1856" t="s">
        <v>1577</v>
      </c>
      <c r="F890" s="1421" t="s">
        <v>1579</v>
      </c>
      <c r="G890" s="1452">
        <v>0.25800000000000001</v>
      </c>
      <c r="H890" s="1453">
        <f>$H$888*G890</f>
        <v>2.5800000000000003E-3</v>
      </c>
      <c r="I890" s="1286"/>
      <c r="J890" s="198"/>
      <c r="K890" s="1732">
        <f>H890*$K$885</f>
        <v>6.5790000000000005E-5</v>
      </c>
      <c r="L890" s="1335">
        <f>K890*$K$795</f>
        <v>0</v>
      </c>
      <c r="M890" s="1302">
        <v>92.54</v>
      </c>
      <c r="N890" s="1724">
        <f>G890*M890</f>
        <v>23.875320000000002</v>
      </c>
      <c r="O890" s="1726">
        <f>H890*M890</f>
        <v>0.23875320000000003</v>
      </c>
      <c r="P890" s="1727">
        <f>M890*K890</f>
        <v>6.0882066000000007E-3</v>
      </c>
      <c r="Q890" s="3396"/>
      <c r="R890" s="2338"/>
    </row>
    <row r="891" spans="1:18" s="19" customFormat="1">
      <c r="B891" s="1042"/>
      <c r="C891" s="595"/>
      <c r="D891" s="1603" t="s">
        <v>1682</v>
      </c>
      <c r="E891" s="1856" t="s">
        <v>1683</v>
      </c>
      <c r="F891" s="1421" t="s">
        <v>1684</v>
      </c>
      <c r="G891" s="1452">
        <v>1.288</v>
      </c>
      <c r="H891" s="1453">
        <f>$H$888*G891</f>
        <v>1.2880000000000001E-2</v>
      </c>
      <c r="I891" s="1286"/>
      <c r="J891" s="198"/>
      <c r="K891" s="1732">
        <f>H891*$K$885</f>
        <v>3.2844000000000005E-4</v>
      </c>
      <c r="L891" s="1335">
        <f>K891*$K$795</f>
        <v>0</v>
      </c>
      <c r="M891" s="1302">
        <v>1.26</v>
      </c>
      <c r="N891" s="1724">
        <f>G891*M891</f>
        <v>1.6228800000000001</v>
      </c>
      <c r="O891" s="1726">
        <f>H891*M891</f>
        <v>1.6228800000000002E-2</v>
      </c>
      <c r="P891" s="1727">
        <f>M891*K891</f>
        <v>4.1383440000000005E-4</v>
      </c>
      <c r="Q891" s="3396"/>
      <c r="R891" s="2338"/>
    </row>
    <row r="892" spans="1:18" s="19" customFormat="1">
      <c r="B892" s="1042"/>
      <c r="C892" s="595"/>
      <c r="D892" s="1603" t="s">
        <v>1576</v>
      </c>
      <c r="E892" s="1856" t="s">
        <v>1517</v>
      </c>
      <c r="F892" s="1421" t="s">
        <v>1580</v>
      </c>
      <c r="G892" s="1452">
        <v>1.1020000000000001</v>
      </c>
      <c r="H892" s="1453">
        <f>$H$888*G892</f>
        <v>1.102E-2</v>
      </c>
      <c r="I892" s="1286"/>
      <c r="J892" s="198"/>
      <c r="K892" s="1732">
        <f>H892*$K$885</f>
        <v>2.8101000000000005E-4</v>
      </c>
      <c r="L892" s="1335">
        <f>K892*$K$795</f>
        <v>0</v>
      </c>
      <c r="M892" s="1302">
        <v>6.53</v>
      </c>
      <c r="N892" s="1724">
        <f>G892*M892</f>
        <v>7.196060000000001</v>
      </c>
      <c r="O892" s="1726">
        <f>H892*M892</f>
        <v>7.19606E-2</v>
      </c>
      <c r="P892" s="1727">
        <f>M892*K892</f>
        <v>1.8349953000000004E-3</v>
      </c>
      <c r="Q892" s="3396"/>
      <c r="R892" s="2338"/>
    </row>
    <row r="893" spans="1:18" s="19" customFormat="1">
      <c r="B893" s="553"/>
      <c r="C893" s="1320"/>
      <c r="D893" s="1393" t="s">
        <v>1067</v>
      </c>
      <c r="E893" s="1857" t="s">
        <v>1508</v>
      </c>
      <c r="F893" s="1430" t="s">
        <v>1512</v>
      </c>
      <c r="G893" s="1431">
        <v>3.605</v>
      </c>
      <c r="H893" s="1454">
        <f>$H$888*G893</f>
        <v>3.6049999999999999E-2</v>
      </c>
      <c r="I893" s="1286"/>
      <c r="J893" s="198"/>
      <c r="K893" s="1307">
        <f>H893*$K$885</f>
        <v>9.19275E-4</v>
      </c>
      <c r="L893" s="1335">
        <f>K893*$K$795</f>
        <v>0</v>
      </c>
      <c r="M893" s="1302">
        <v>18.28</v>
      </c>
      <c r="N893" s="1724">
        <f>G893*M893</f>
        <v>65.8994</v>
      </c>
      <c r="O893" s="1726">
        <f>H893*M893</f>
        <v>0.65899399999999997</v>
      </c>
      <c r="P893" s="1727">
        <f>M893*K893</f>
        <v>1.6804347000000001E-2</v>
      </c>
      <c r="Q893" s="3396"/>
      <c r="R893" s="2338"/>
    </row>
    <row r="894" spans="1:18" s="19" customFormat="1">
      <c r="B894" s="1042"/>
      <c r="C894"/>
      <c r="D894" s="1367"/>
      <c r="E894" s="1856"/>
      <c r="F894" s="1397"/>
      <c r="G894" s="1416"/>
      <c r="H894" s="1399"/>
      <c r="I894" s="197"/>
      <c r="J894" s="198"/>
      <c r="K894" s="1307"/>
      <c r="L894" s="1335"/>
      <c r="M894" s="1302"/>
      <c r="N894" s="1700"/>
      <c r="O894" s="1290"/>
      <c r="P894" s="1332"/>
      <c r="Q894" s="3391"/>
      <c r="R894" s="2338"/>
    </row>
    <row r="895" spans="1:18" s="19" customFormat="1">
      <c r="B895" s="1042"/>
      <c r="C895" s="88"/>
      <c r="D895" s="1367"/>
      <c r="E895" s="2121"/>
      <c r="F895" s="1736"/>
      <c r="G895" s="1736"/>
      <c r="H895" s="1369"/>
      <c r="I895" s="198"/>
      <c r="J895" s="198"/>
      <c r="K895" s="1307" t="s">
        <v>506</v>
      </c>
      <c r="L895" s="1335"/>
      <c r="M895" s="1302"/>
      <c r="N895" s="1700"/>
      <c r="O895" s="1290"/>
      <c r="P895" s="1332"/>
      <c r="Q895" s="3391"/>
      <c r="R895" s="2338"/>
    </row>
    <row r="896" spans="1:18" s="19" customFormat="1">
      <c r="B896" s="1042"/>
      <c r="C896" s="88"/>
      <c r="D896" s="1359"/>
      <c r="E896" s="1858"/>
      <c r="F896" s="1465" t="s">
        <v>2</v>
      </c>
      <c r="G896" s="1466"/>
      <c r="H896" s="1362"/>
      <c r="I896" s="1381"/>
      <c r="J896" s="1381"/>
      <c r="K896" s="1359"/>
      <c r="L896" s="1458"/>
      <c r="M896" s="1498"/>
      <c r="N896" s="1498"/>
      <c r="O896" s="1498"/>
      <c r="P896" s="1359"/>
      <c r="Q896" s="3387"/>
      <c r="R896" s="2338"/>
    </row>
    <row r="897" spans="1:18" s="19" customFormat="1">
      <c r="B897" s="1042"/>
      <c r="C897" s="88"/>
      <c r="D897" s="1363" t="s">
        <v>1121</v>
      </c>
      <c r="E897" s="2125" t="s">
        <v>1508</v>
      </c>
      <c r="F897" s="1363" t="s">
        <v>1663</v>
      </c>
      <c r="G897" s="1408">
        <v>0.26600000000000001</v>
      </c>
      <c r="H897" s="1408"/>
      <c r="I897" s="1340"/>
      <c r="J897" s="198"/>
      <c r="K897" s="1307">
        <f>G897*$K$885</f>
        <v>6.7830000000000008E-3</v>
      </c>
      <c r="L897" s="1335">
        <f>K897*$K$795</f>
        <v>0</v>
      </c>
      <c r="M897" s="1302">
        <v>19.23</v>
      </c>
      <c r="N897" s="1700"/>
      <c r="O897" s="1290">
        <f>G897*M897</f>
        <v>5.1151800000000005</v>
      </c>
      <c r="P897" s="1332">
        <f>M897*K897</f>
        <v>0.13043709000000001</v>
      </c>
      <c r="Q897" s="3391"/>
      <c r="R897" s="2338"/>
    </row>
    <row r="898" spans="1:18" s="19" customFormat="1">
      <c r="B898" s="1042"/>
      <c r="C898" s="88"/>
      <c r="D898" s="1363" t="s">
        <v>1067</v>
      </c>
      <c r="E898" s="2125" t="s">
        <v>1508</v>
      </c>
      <c r="F898" s="1363" t="s">
        <v>1512</v>
      </c>
      <c r="G898" s="1408">
        <v>0.13300000000000001</v>
      </c>
      <c r="H898" s="1408"/>
      <c r="I898" s="1340"/>
      <c r="J898" s="198"/>
      <c r="K898" s="1307">
        <f>G898*$K$885</f>
        <v>3.3915000000000004E-3</v>
      </c>
      <c r="L898" s="1335">
        <f>K898*$K$795</f>
        <v>0</v>
      </c>
      <c r="M898" s="1302">
        <v>18.28</v>
      </c>
      <c r="N898" s="1700"/>
      <c r="O898" s="1290">
        <f>G898*M898</f>
        <v>2.4312400000000003</v>
      </c>
      <c r="P898" s="1332">
        <f>M898*K898</f>
        <v>6.1996620000000009E-2</v>
      </c>
      <c r="Q898" s="3391"/>
      <c r="R898" s="2338"/>
    </row>
    <row r="899" spans="1:18" s="19" customFormat="1">
      <c r="B899" s="1042"/>
      <c r="C899" s="88"/>
      <c r="D899" s="1363"/>
      <c r="E899" s="2125"/>
      <c r="F899" s="1363"/>
      <c r="G899" s="1474"/>
      <c r="H899" s="1408"/>
      <c r="I899" s="1340"/>
      <c r="J899" s="198"/>
      <c r="K899" s="1307"/>
      <c r="L899" s="1335"/>
      <c r="M899" s="1302"/>
      <c r="N899" s="1700"/>
      <c r="O899" s="1290"/>
      <c r="P899" s="1332"/>
      <c r="Q899" s="3391"/>
      <c r="R899" s="2338"/>
    </row>
    <row r="900" spans="1:18" s="19" customFormat="1">
      <c r="B900" s="1042"/>
      <c r="C900" s="88"/>
      <c r="D900" s="1373"/>
      <c r="E900" s="2123"/>
      <c r="F900" s="1475" t="s">
        <v>3</v>
      </c>
      <c r="G900" s="1377"/>
      <c r="H900" s="1376"/>
      <c r="I900" s="1383" t="s">
        <v>506</v>
      </c>
      <c r="J900" s="1383"/>
      <c r="K900" s="1383"/>
      <c r="L900" s="1413" t="s">
        <v>506</v>
      </c>
      <c r="M900" s="1376"/>
      <c r="N900" s="1376"/>
      <c r="O900" s="1376"/>
      <c r="P900" s="1373"/>
      <c r="Q900" s="3387"/>
      <c r="R900" s="2338"/>
    </row>
    <row r="901" spans="1:18" s="19" customFormat="1">
      <c r="B901" s="1042"/>
      <c r="C901" s="88"/>
      <c r="D901" s="1440"/>
      <c r="E901" s="2132"/>
      <c r="F901" s="1441"/>
      <c r="G901" s="1441"/>
      <c r="H901" s="1442"/>
      <c r="I901" s="197" t="s">
        <v>506</v>
      </c>
      <c r="J901" s="198"/>
      <c r="K901" s="1307"/>
      <c r="L901" s="1335" t="s">
        <v>506</v>
      </c>
      <c r="M901" s="1499"/>
      <c r="N901" s="1701"/>
      <c r="O901" s="1290"/>
      <c r="P901" s="1332"/>
      <c r="Q901" s="3391"/>
      <c r="R901" s="2338"/>
    </row>
    <row r="902" spans="1:18" s="19" customFormat="1">
      <c r="B902" s="1042"/>
      <c r="C902" s="88"/>
      <c r="D902" s="1440"/>
      <c r="E902" s="2132"/>
      <c r="F902" s="1441"/>
      <c r="G902" s="1441"/>
      <c r="H902" s="1442"/>
      <c r="I902" s="197" t="s">
        <v>506</v>
      </c>
      <c r="J902" s="198"/>
      <c r="K902" s="1307"/>
      <c r="L902" s="1335" t="s">
        <v>506</v>
      </c>
      <c r="M902" s="1499"/>
      <c r="N902" s="1701"/>
      <c r="O902" s="1290"/>
      <c r="P902" s="1332"/>
      <c r="Q902" s="3391"/>
      <c r="R902" s="2338"/>
    </row>
    <row r="903" spans="1:18" s="19" customFormat="1">
      <c r="B903" s="223"/>
      <c r="C903" s="581"/>
      <c r="D903" s="1440"/>
      <c r="E903" s="2132"/>
      <c r="F903" s="1441"/>
      <c r="G903" s="1441"/>
      <c r="H903" s="1442"/>
      <c r="I903" s="197"/>
      <c r="J903" s="198"/>
      <c r="K903" s="1307"/>
      <c r="L903" s="1335"/>
      <c r="M903" s="1499"/>
      <c r="N903" s="1701"/>
      <c r="O903" s="1290"/>
      <c r="P903" s="1332"/>
      <c r="Q903" s="3391"/>
      <c r="R903" s="2338"/>
    </row>
    <row r="904" spans="1:18" s="19" customFormat="1" ht="15" customHeight="1">
      <c r="A904" s="18" t="s">
        <v>3764</v>
      </c>
      <c r="B904" s="4325" t="s">
        <v>1659</v>
      </c>
      <c r="C904" s="3350"/>
      <c r="D904" s="4327"/>
      <c r="E904" s="4337" t="s">
        <v>1507</v>
      </c>
      <c r="F904" s="4338" t="s">
        <v>1685</v>
      </c>
      <c r="G904" s="4331" t="s">
        <v>1568</v>
      </c>
      <c r="H904" s="4331" t="s">
        <v>1574</v>
      </c>
      <c r="I904" s="1572" t="s">
        <v>1559</v>
      </c>
      <c r="J904" s="1294" t="s">
        <v>1560</v>
      </c>
      <c r="K904" s="1294" t="s">
        <v>1561</v>
      </c>
      <c r="L904" s="4333" t="s">
        <v>3765</v>
      </c>
      <c r="M904" s="4335" t="s">
        <v>1571</v>
      </c>
      <c r="N904" s="4323" t="s">
        <v>1776</v>
      </c>
      <c r="O904" s="3347" t="s">
        <v>1563</v>
      </c>
      <c r="P904" s="1336" t="s">
        <v>1562</v>
      </c>
      <c r="Q904" s="3389"/>
      <c r="R904" s="1699" t="s">
        <v>1327</v>
      </c>
    </row>
    <row r="905" spans="1:18" s="19" customFormat="1">
      <c r="A905" s="1320" t="s">
        <v>2812</v>
      </c>
      <c r="B905" s="4326"/>
      <c r="C905" s="3351"/>
      <c r="D905" s="4328"/>
      <c r="E905" s="4337"/>
      <c r="F905" s="4338"/>
      <c r="G905" s="4332"/>
      <c r="H905" s="4332"/>
      <c r="I905" s="1345">
        <v>2.4</v>
      </c>
      <c r="J905" s="1307">
        <v>1.4999999999999999E-2</v>
      </c>
      <c r="K905" s="1297">
        <v>2.5500000000000002E-2</v>
      </c>
      <c r="L905" s="4334"/>
      <c r="M905" s="4335"/>
      <c r="N905" s="4324"/>
      <c r="O905" s="1298">
        <f>O907+O915</f>
        <v>13.241683030000001</v>
      </c>
      <c r="P905" s="1337">
        <f>K905*O905</f>
        <v>0.33766291726500003</v>
      </c>
      <c r="Q905" s="3390"/>
      <c r="R905" s="1721">
        <f>P907+P915</f>
        <v>0.33766291726500008</v>
      </c>
    </row>
    <row r="906" spans="1:18" s="19" customFormat="1">
      <c r="B906" s="551"/>
      <c r="C906" s="18"/>
      <c r="D906" s="1400"/>
      <c r="E906" s="2121"/>
      <c r="F906" s="1389" t="s">
        <v>1</v>
      </c>
      <c r="G906" s="1472"/>
      <c r="H906" s="1369"/>
      <c r="I906" s="1391"/>
      <c r="J906" s="1369"/>
      <c r="K906" s="1369"/>
      <c r="L906" s="1554"/>
      <c r="M906" s="1487"/>
      <c r="N906" s="1487"/>
      <c r="O906" s="1487"/>
      <c r="P906" s="1367"/>
      <c r="Q906" s="3387"/>
      <c r="R906" s="2338"/>
    </row>
    <row r="907" spans="1:18" s="19" customFormat="1">
      <c r="B907" s="1042"/>
      <c r="C907" s="1317" t="s">
        <v>1127</v>
      </c>
      <c r="D907" s="1311"/>
      <c r="E907" s="2131" t="s">
        <v>1517</v>
      </c>
      <c r="F907" s="1343" t="s">
        <v>1519</v>
      </c>
      <c r="G907" s="1344"/>
      <c r="H907" s="1344">
        <v>2.1000000000000001E-2</v>
      </c>
      <c r="I907" s="1497"/>
      <c r="J907" s="1388"/>
      <c r="K907" s="1445"/>
      <c r="L907" s="1457"/>
      <c r="M907" s="1446"/>
      <c r="N907" s="1447">
        <f>SUM(N908:N909)</f>
        <v>24.019970000000001</v>
      </c>
      <c r="O907" s="1447">
        <f>SUM(O908:O911)</f>
        <v>1.0509330300000002</v>
      </c>
      <c r="P907" s="1447">
        <f>SUM(P908:P911)</f>
        <v>2.679879226500001E-2</v>
      </c>
      <c r="Q907" s="3391"/>
      <c r="R907" s="2338"/>
    </row>
    <row r="908" spans="1:18" s="19" customFormat="1">
      <c r="B908" s="1042"/>
      <c r="C908"/>
      <c r="D908" s="1367" t="s">
        <v>1069</v>
      </c>
      <c r="E908" s="1856" t="s">
        <v>1517</v>
      </c>
      <c r="F908" s="1397" t="s">
        <v>1578</v>
      </c>
      <c r="G908" s="1416">
        <v>0.26300000000000001</v>
      </c>
      <c r="H908" s="1399">
        <f>G908*$H$907</f>
        <v>5.523000000000001E-3</v>
      </c>
      <c r="I908" s="197"/>
      <c r="J908" s="198"/>
      <c r="K908" s="1307">
        <f>H908*$K$905</f>
        <v>1.4083650000000004E-4</v>
      </c>
      <c r="L908" s="1335">
        <f>K908*$K$795</f>
        <v>0</v>
      </c>
      <c r="M908" s="1302">
        <v>0.55000000000000004</v>
      </c>
      <c r="N908" s="1724">
        <f>G908*M908</f>
        <v>0.14465000000000003</v>
      </c>
      <c r="O908" s="1726">
        <f>H908*M908</f>
        <v>3.0376500000000007E-3</v>
      </c>
      <c r="P908" s="1727">
        <f>M908*K908</f>
        <v>7.7460075000000033E-5</v>
      </c>
      <c r="Q908" s="3396"/>
      <c r="R908" s="2338"/>
    </row>
    <row r="909" spans="1:18" s="19" customFormat="1">
      <c r="B909" s="1042"/>
      <c r="C909" s="88"/>
      <c r="D909" s="1367" t="s">
        <v>1394</v>
      </c>
      <c r="E909" s="1856" t="s">
        <v>1577</v>
      </c>
      <c r="F909" s="1397" t="s">
        <v>1579</v>
      </c>
      <c r="G909" s="1416">
        <v>0.25800000000000001</v>
      </c>
      <c r="H909" s="1399">
        <f>G909*$H$907</f>
        <v>5.4180000000000001E-3</v>
      </c>
      <c r="I909" s="197"/>
      <c r="J909" s="198"/>
      <c r="K909" s="1307">
        <f>H909*$K$905</f>
        <v>1.38159E-4</v>
      </c>
      <c r="L909" s="1335">
        <f>K909*$K$795</f>
        <v>0</v>
      </c>
      <c r="M909" s="1302">
        <v>92.54</v>
      </c>
      <c r="N909" s="1724">
        <f>G909*M909</f>
        <v>23.875320000000002</v>
      </c>
      <c r="O909" s="1726">
        <f>H909*M909</f>
        <v>0.50138172000000003</v>
      </c>
      <c r="P909" s="1720">
        <f>M909*K909</f>
        <v>1.2785233860000002E-2</v>
      </c>
      <c r="Q909" s="3396"/>
      <c r="R909" s="2338"/>
    </row>
    <row r="910" spans="1:18" s="19" customFormat="1">
      <c r="B910" s="1042"/>
      <c r="C910" s="88"/>
      <c r="D910" s="1367" t="s">
        <v>1576</v>
      </c>
      <c r="E910" s="1856" t="s">
        <v>1517</v>
      </c>
      <c r="F910" s="1397" t="s">
        <v>1580</v>
      </c>
      <c r="G910" s="1416">
        <v>1.1020000000000001</v>
      </c>
      <c r="H910" s="1399">
        <f>G910*$H$907</f>
        <v>2.3142000000000003E-2</v>
      </c>
      <c r="I910" s="197"/>
      <c r="J910" s="198"/>
      <c r="K910" s="1307">
        <f>H910*$K$905</f>
        <v>5.9012100000000009E-4</v>
      </c>
      <c r="L910" s="1335">
        <f>K910*$K$795</f>
        <v>0</v>
      </c>
      <c r="M910" s="1302">
        <v>6.53</v>
      </c>
      <c r="N910" s="1724">
        <f>G910*M910</f>
        <v>7.196060000000001</v>
      </c>
      <c r="O910" s="1726">
        <f>H910*M910</f>
        <v>0.15111726000000003</v>
      </c>
      <c r="P910" s="1720">
        <f>M910*K910</f>
        <v>3.8534901300000006E-3</v>
      </c>
      <c r="Q910" s="3396"/>
      <c r="R910" s="2338"/>
    </row>
    <row r="911" spans="1:18" s="19" customFormat="1">
      <c r="B911" s="1042"/>
      <c r="C911" s="88"/>
      <c r="D911" s="1359" t="s">
        <v>1067</v>
      </c>
      <c r="E911" s="1857" t="s">
        <v>1508</v>
      </c>
      <c r="F911" s="1406" t="s">
        <v>1512</v>
      </c>
      <c r="G911" s="1407">
        <v>1.03</v>
      </c>
      <c r="H911" s="1408">
        <f>G911*$H$907</f>
        <v>2.1630000000000003E-2</v>
      </c>
      <c r="I911" s="197"/>
      <c r="J911" s="198"/>
      <c r="K911" s="1307">
        <f>H911*$K$905</f>
        <v>5.5156500000000017E-4</v>
      </c>
      <c r="L911" s="1335">
        <f>K911*$K$795</f>
        <v>0</v>
      </c>
      <c r="M911" s="1302">
        <v>18.28</v>
      </c>
      <c r="N911" s="1724">
        <f>G911*M911</f>
        <v>18.828400000000002</v>
      </c>
      <c r="O911" s="1726">
        <f>H911*M911</f>
        <v>0.39539640000000009</v>
      </c>
      <c r="P911" s="1720">
        <f>M911*K911</f>
        <v>1.0082608200000004E-2</v>
      </c>
      <c r="Q911" s="3396"/>
      <c r="R911" s="2338"/>
    </row>
    <row r="912" spans="1:18" s="19" customFormat="1">
      <c r="B912" s="1042"/>
      <c r="C912" s="88"/>
      <c r="D912" s="1367"/>
      <c r="E912" s="1856"/>
      <c r="F912" s="1397"/>
      <c r="G912" s="1416"/>
      <c r="H912" s="1399"/>
      <c r="I912" s="197"/>
      <c r="J912" s="198"/>
      <c r="K912" s="1307" t="s">
        <v>506</v>
      </c>
      <c r="L912" s="1335"/>
      <c r="M912" s="1302"/>
      <c r="N912" s="1724"/>
      <c r="O912" s="1726"/>
      <c r="P912" s="1720"/>
      <c r="Q912" s="3396"/>
      <c r="R912" s="2338"/>
    </row>
    <row r="913" spans="1:18" s="19" customFormat="1">
      <c r="B913" s="1042"/>
      <c r="C913" s="88"/>
      <c r="D913" s="1367"/>
      <c r="E913" s="1856"/>
      <c r="F913" s="1397"/>
      <c r="G913" s="1416"/>
      <c r="H913" s="1399"/>
      <c r="I913" s="197"/>
      <c r="J913" s="198"/>
      <c r="K913" s="1307" t="s">
        <v>506</v>
      </c>
      <c r="L913" s="1335"/>
      <c r="M913" s="1302"/>
      <c r="N913" s="1724"/>
      <c r="O913" s="1726"/>
      <c r="P913" s="1720"/>
      <c r="Q913" s="3396"/>
      <c r="R913" s="2338"/>
    </row>
    <row r="914" spans="1:18" s="19" customFormat="1">
      <c r="B914" s="1042"/>
      <c r="C914" s="88"/>
      <c r="D914" s="1359"/>
      <c r="E914" s="1858"/>
      <c r="F914" s="1465" t="s">
        <v>2</v>
      </c>
      <c r="G914" s="1466"/>
      <c r="H914" s="1362"/>
      <c r="I914" s="1381"/>
      <c r="J914" s="1381"/>
      <c r="K914" s="1359"/>
      <c r="L914" s="1458"/>
      <c r="M914" s="1498"/>
      <c r="N914" s="1498"/>
      <c r="O914" s="1498"/>
      <c r="P914" s="1359"/>
      <c r="Q914" s="3387"/>
      <c r="R914" s="2338"/>
    </row>
    <row r="915" spans="1:18" s="19" customFormat="1">
      <c r="B915" s="1042"/>
      <c r="C915" s="1358" t="s">
        <v>1523</v>
      </c>
      <c r="D915" s="1329"/>
      <c r="E915" s="2135" t="s">
        <v>1508</v>
      </c>
      <c r="F915" s="1330" t="s">
        <v>1524</v>
      </c>
      <c r="G915" s="1584"/>
      <c r="H915" s="1584">
        <v>0.32500000000000001</v>
      </c>
      <c r="I915" s="1488"/>
      <c r="J915" s="1388"/>
      <c r="K915" s="1510"/>
      <c r="L915" s="1445"/>
      <c r="M915" s="1446"/>
      <c r="N915" s="1447">
        <f>SUM(N916:N917)</f>
        <v>37.510000000000005</v>
      </c>
      <c r="O915" s="1447">
        <f>SUM(O916:O917)</f>
        <v>12.190750000000001</v>
      </c>
      <c r="P915" s="1447">
        <f>SUM(P916:P917)</f>
        <v>0.31086412500000005</v>
      </c>
      <c r="Q915" s="3391"/>
      <c r="R915" s="2338"/>
    </row>
    <row r="916" spans="1:18" s="19" customFormat="1">
      <c r="B916" s="1042"/>
      <c r="C916" s="1042"/>
      <c r="D916" s="1402" t="s">
        <v>1067</v>
      </c>
      <c r="E916" s="1857" t="s">
        <v>1508</v>
      </c>
      <c r="F916" s="1430" t="s">
        <v>5</v>
      </c>
      <c r="G916" s="1362">
        <v>1</v>
      </c>
      <c r="H916" s="1408">
        <f>G916*$H$915</f>
        <v>0.32500000000000001</v>
      </c>
      <c r="I916" s="1340"/>
      <c r="J916" s="198"/>
      <c r="K916" s="1307">
        <f>H916*$K$905</f>
        <v>8.2875000000000015E-3</v>
      </c>
      <c r="L916" s="1335">
        <f>K916*$K$795</f>
        <v>0</v>
      </c>
      <c r="M916" s="1302">
        <v>18.28</v>
      </c>
      <c r="N916" s="1724">
        <f>G916*M916</f>
        <v>18.28</v>
      </c>
      <c r="O916" s="1726">
        <f>H916*M916</f>
        <v>5.9410000000000007</v>
      </c>
      <c r="P916" s="1727">
        <f>M916*K916</f>
        <v>0.15149550000000003</v>
      </c>
      <c r="Q916" s="3396"/>
      <c r="R916" s="2338"/>
    </row>
    <row r="917" spans="1:18" s="19" customFormat="1">
      <c r="B917" s="1042"/>
      <c r="C917" s="1042"/>
      <c r="D917" s="1402" t="s">
        <v>1077</v>
      </c>
      <c r="E917" s="1857" t="s">
        <v>1508</v>
      </c>
      <c r="F917" s="1430" t="s">
        <v>37</v>
      </c>
      <c r="G917" s="1362">
        <v>1</v>
      </c>
      <c r="H917" s="1408">
        <f>G917*$H$915</f>
        <v>0.32500000000000001</v>
      </c>
      <c r="I917" s="198"/>
      <c r="J917" s="198"/>
      <c r="K917" s="1307">
        <f>H917*$K$905</f>
        <v>8.2875000000000015E-3</v>
      </c>
      <c r="L917" s="1335">
        <f>K917*$K$795</f>
        <v>0</v>
      </c>
      <c r="M917" s="1302">
        <v>19.23</v>
      </c>
      <c r="N917" s="1724">
        <f>G917*M917</f>
        <v>19.23</v>
      </c>
      <c r="O917" s="1719">
        <f>(H917*M917)</f>
        <v>6.2497500000000006</v>
      </c>
      <c r="P917" s="1332">
        <f>M917*K917</f>
        <v>0.15936862500000004</v>
      </c>
      <c r="Q917" s="3391"/>
      <c r="R917" s="2338"/>
    </row>
    <row r="918" spans="1:18" s="19" customFormat="1">
      <c r="B918" s="1042"/>
      <c r="C918" s="88"/>
      <c r="D918" s="1373"/>
      <c r="E918" s="2123"/>
      <c r="F918" s="1475" t="s">
        <v>3</v>
      </c>
      <c r="G918" s="1377"/>
      <c r="H918" s="1376"/>
      <c r="I918" s="1383" t="s">
        <v>506</v>
      </c>
      <c r="J918" s="1383"/>
      <c r="K918" s="1383"/>
      <c r="L918" s="1413" t="s">
        <v>506</v>
      </c>
      <c r="M918" s="1376"/>
      <c r="N918" s="1376"/>
      <c r="O918" s="1376"/>
      <c r="P918" s="1373"/>
      <c r="Q918" s="3387"/>
      <c r="R918" s="2338"/>
    </row>
    <row r="919" spans="1:18" s="19" customFormat="1">
      <c r="B919" s="1042"/>
      <c r="C919" s="88"/>
      <c r="D919" s="1440"/>
      <c r="E919" s="2132"/>
      <c r="F919" s="1441"/>
      <c r="G919" s="1441"/>
      <c r="H919" s="1442"/>
      <c r="I919" s="197" t="s">
        <v>506</v>
      </c>
      <c r="J919" s="198"/>
      <c r="K919" s="1307"/>
      <c r="L919" s="1335" t="s">
        <v>506</v>
      </c>
      <c r="M919" s="1499"/>
      <c r="N919" s="1701"/>
      <c r="O919" s="1290"/>
      <c r="P919" s="1332"/>
      <c r="Q919" s="3391"/>
      <c r="R919" s="2338"/>
    </row>
    <row r="920" spans="1:18" s="19" customFormat="1">
      <c r="B920" s="1042"/>
      <c r="C920" s="88"/>
      <c r="D920" s="1440"/>
      <c r="E920" s="2132"/>
      <c r="F920" s="1441"/>
      <c r="G920" s="1441"/>
      <c r="H920" s="1442"/>
      <c r="I920" s="197" t="s">
        <v>506</v>
      </c>
      <c r="J920" s="198"/>
      <c r="K920" s="1307"/>
      <c r="L920" s="1335" t="s">
        <v>506</v>
      </c>
      <c r="M920" s="1499"/>
      <c r="N920" s="1701"/>
      <c r="O920" s="1290"/>
      <c r="P920" s="1332"/>
      <c r="Q920" s="3391"/>
      <c r="R920" s="2338"/>
    </row>
    <row r="921" spans="1:18" s="19" customFormat="1">
      <c r="B921" s="223"/>
      <c r="C921" s="581"/>
      <c r="D921" s="1440"/>
      <c r="E921" s="2132"/>
      <c r="F921" s="1441"/>
      <c r="G921" s="1441"/>
      <c r="H921" s="1442"/>
      <c r="I921" s="197"/>
      <c r="J921" s="198"/>
      <c r="K921" s="1307"/>
      <c r="L921" s="1335"/>
      <c r="M921" s="1499"/>
      <c r="N921" s="1701"/>
      <c r="O921" s="1290"/>
      <c r="P921" s="1332"/>
      <c r="Q921" s="3391"/>
      <c r="R921" s="2338"/>
    </row>
    <row r="922" spans="1:18" s="19" customFormat="1" ht="15" customHeight="1">
      <c r="A922" s="18" t="s">
        <v>3764</v>
      </c>
      <c r="B922" s="4325" t="s">
        <v>1660</v>
      </c>
      <c r="C922" s="3350"/>
      <c r="D922" s="4327"/>
      <c r="E922" s="4337" t="s">
        <v>1507</v>
      </c>
      <c r="F922" s="4338" t="s">
        <v>1689</v>
      </c>
      <c r="G922" s="4331" t="s">
        <v>1568</v>
      </c>
      <c r="H922" s="4331" t="s">
        <v>1574</v>
      </c>
      <c r="I922" s="1572" t="s">
        <v>1559</v>
      </c>
      <c r="J922" s="1294" t="s">
        <v>1560</v>
      </c>
      <c r="K922" s="1294" t="s">
        <v>1561</v>
      </c>
      <c r="L922" s="4333" t="s">
        <v>3765</v>
      </c>
      <c r="M922" s="4335" t="s">
        <v>1571</v>
      </c>
      <c r="N922" s="4323" t="s">
        <v>1776</v>
      </c>
      <c r="O922" s="3347" t="s">
        <v>1563</v>
      </c>
      <c r="P922" s="1336" t="s">
        <v>1562</v>
      </c>
      <c r="Q922" s="3389"/>
      <c r="R922" s="1699" t="s">
        <v>1327</v>
      </c>
    </row>
    <row r="923" spans="1:18" s="19" customFormat="1">
      <c r="A923" s="1320" t="s">
        <v>2812</v>
      </c>
      <c r="B923" s="4390"/>
      <c r="C923" s="3354"/>
      <c r="D923" s="4368"/>
      <c r="E923" s="4329"/>
      <c r="F923" s="4338"/>
      <c r="G923" s="4332"/>
      <c r="H923" s="4332"/>
      <c r="I923" s="1345">
        <v>2.4</v>
      </c>
      <c r="J923" s="1307">
        <v>1.4999999999999999E-2</v>
      </c>
      <c r="K923" s="1297">
        <v>2.5500000000000002E-2</v>
      </c>
      <c r="L923" s="4334"/>
      <c r="M923" s="4335"/>
      <c r="N923" s="4324"/>
      <c r="O923" s="1298">
        <f>SUM(O925:O938)</f>
        <v>19.72</v>
      </c>
      <c r="P923" s="1337">
        <f>K923*O923</f>
        <v>0.50285999999999997</v>
      </c>
      <c r="Q923" s="3390"/>
      <c r="R923" s="1721">
        <f>SUM(P925:P938)</f>
        <v>0.5717450850000001</v>
      </c>
    </row>
    <row r="924" spans="1:18" s="19" customFormat="1">
      <c r="B924" s="1628"/>
      <c r="C924" s="3352"/>
      <c r="D924" s="1400"/>
      <c r="E924" s="2121"/>
      <c r="F924" s="1389" t="s">
        <v>1</v>
      </c>
      <c r="G924" s="1629"/>
      <c r="H924" s="1629"/>
      <c r="I924" s="1630"/>
      <c r="J924" s="1609"/>
      <c r="K924" s="1424"/>
      <c r="L924" s="1631"/>
      <c r="M924" s="1426"/>
      <c r="N924" s="1710"/>
      <c r="O924" s="1632"/>
      <c r="P924" s="1633"/>
      <c r="Q924" s="3390"/>
      <c r="R924" s="2338"/>
    </row>
    <row r="925" spans="1:18" s="19" customFormat="1">
      <c r="B925" s="553"/>
      <c r="C925" s="1042"/>
      <c r="D925" s="1626" t="s">
        <v>1145</v>
      </c>
      <c r="E925" s="2156" t="s">
        <v>1577</v>
      </c>
      <c r="F925" s="1587" t="s">
        <v>1690</v>
      </c>
      <c r="G925" s="1588">
        <v>1E-3</v>
      </c>
      <c r="H925" s="1588"/>
      <c r="I925" s="1349"/>
      <c r="J925" s="8"/>
      <c r="K925" s="1722">
        <f>G925*$K$923</f>
        <v>2.5500000000000003E-5</v>
      </c>
      <c r="L925" s="1334">
        <f>K925*$K$795</f>
        <v>0</v>
      </c>
      <c r="M925" s="1302">
        <v>246.4</v>
      </c>
      <c r="N925" s="1700"/>
      <c r="O925" s="1290">
        <f>ROUND(G925*M925,2)</f>
        <v>0.25</v>
      </c>
      <c r="P925" s="1332">
        <f>M925*K925</f>
        <v>6.2832000000000009E-3</v>
      </c>
      <c r="Q925" s="3391"/>
      <c r="R925" s="2338"/>
    </row>
    <row r="926" spans="1:18" s="19" customFormat="1">
      <c r="B926" s="553"/>
      <c r="C926" s="1042"/>
      <c r="D926" s="1618" t="s">
        <v>1147</v>
      </c>
      <c r="E926" s="2138" t="s">
        <v>1357</v>
      </c>
      <c r="F926" s="1587" t="s">
        <v>1691</v>
      </c>
      <c r="G926" s="1588">
        <v>1</v>
      </c>
      <c r="H926" s="1588"/>
      <c r="I926" s="1617"/>
      <c r="J926" s="198"/>
      <c r="K926" s="1307">
        <f>G926*$K$923</f>
        <v>2.5500000000000002E-2</v>
      </c>
      <c r="L926" s="1335">
        <f>K926*$K$795</f>
        <v>0</v>
      </c>
      <c r="M926" s="1302">
        <v>0.22</v>
      </c>
      <c r="N926" s="1700"/>
      <c r="O926" s="1290">
        <f>ROUND(G926*M926,2)</f>
        <v>0.22</v>
      </c>
      <c r="P926" s="1332">
        <f>M926*K926</f>
        <v>5.6100000000000004E-3</v>
      </c>
      <c r="Q926" s="3391"/>
      <c r="R926" s="2338"/>
    </row>
    <row r="927" spans="1:18" s="19" customFormat="1">
      <c r="B927" s="553"/>
      <c r="C927" s="1042"/>
      <c r="D927" s="1618" t="s">
        <v>1692</v>
      </c>
      <c r="E927" s="2138" t="s">
        <v>1504</v>
      </c>
      <c r="F927" s="1587" t="s">
        <v>1693</v>
      </c>
      <c r="G927" s="1588">
        <v>47.17</v>
      </c>
      <c r="H927" s="1588"/>
      <c r="I927" s="1286"/>
      <c r="J927" s="198"/>
      <c r="K927" s="1307">
        <f>G927*$K$923</f>
        <v>1.2028350000000001</v>
      </c>
      <c r="L927" s="1335">
        <f>K927*$K$795</f>
        <v>0</v>
      </c>
      <c r="M927" s="1302">
        <v>0.17</v>
      </c>
      <c r="N927" s="1700"/>
      <c r="O927" s="1290">
        <f>ROUND(G927*M927,2)</f>
        <v>8.02</v>
      </c>
      <c r="P927" s="1332">
        <f>M927*K927</f>
        <v>0.20448195000000002</v>
      </c>
      <c r="Q927" s="3391"/>
      <c r="R927" s="2338"/>
    </row>
    <row r="928" spans="1:18" s="19" customFormat="1">
      <c r="B928" s="553"/>
      <c r="C928" s="1042"/>
      <c r="D928" s="1618" t="s">
        <v>1097</v>
      </c>
      <c r="E928" s="2138" t="s">
        <v>1504</v>
      </c>
      <c r="F928" s="1587" t="s">
        <v>1632</v>
      </c>
      <c r="G928" s="1588">
        <v>1</v>
      </c>
      <c r="H928" s="1588"/>
      <c r="I928" s="1286"/>
      <c r="J928" s="198"/>
      <c r="K928" s="1307">
        <f>G928*$K$4084</f>
        <v>0.15075720000000001</v>
      </c>
      <c r="L928" s="1335">
        <f>K928*$K$795</f>
        <v>0</v>
      </c>
      <c r="M928" s="1302">
        <v>0.55000000000000004</v>
      </c>
      <c r="N928" s="1700"/>
      <c r="O928" s="1290">
        <f>G928*M928</f>
        <v>0.55000000000000004</v>
      </c>
      <c r="P928" s="1332">
        <f>M928*K928</f>
        <v>8.2916460000000011E-2</v>
      </c>
      <c r="Q928" s="3391"/>
      <c r="R928" s="2338"/>
    </row>
    <row r="929" spans="1:19" s="19" customFormat="1">
      <c r="B929" s="553"/>
      <c r="C929" s="1042"/>
      <c r="D929" s="1618"/>
      <c r="E929" s="2138"/>
      <c r="F929" s="1587"/>
      <c r="G929" s="1588"/>
      <c r="H929" s="1588"/>
      <c r="I929" s="1286"/>
      <c r="J929" s="198"/>
      <c r="K929" s="1307" t="s">
        <v>506</v>
      </c>
      <c r="L929" s="1335"/>
      <c r="M929" s="1302"/>
      <c r="N929" s="1700"/>
      <c r="O929" s="1290"/>
      <c r="P929" s="1332"/>
      <c r="Q929" s="3391"/>
      <c r="R929" s="2338"/>
    </row>
    <row r="930" spans="1:19" s="19" customFormat="1">
      <c r="B930" s="553"/>
      <c r="C930" s="1042"/>
      <c r="D930" s="1618"/>
      <c r="E930" s="2138"/>
      <c r="F930" s="1587"/>
      <c r="G930" s="1588"/>
      <c r="H930" s="1588"/>
      <c r="I930" s="1286"/>
      <c r="J930" s="198"/>
      <c r="K930" s="1307" t="s">
        <v>506</v>
      </c>
      <c r="L930" s="1335"/>
      <c r="M930" s="1302"/>
      <c r="N930" s="1700"/>
      <c r="O930" s="1290"/>
      <c r="P930" s="1332"/>
      <c r="Q930" s="3391"/>
      <c r="R930" s="2338"/>
    </row>
    <row r="931" spans="1:19" s="19" customFormat="1">
      <c r="B931" s="553"/>
      <c r="C931" s="1042"/>
      <c r="D931" s="1404"/>
      <c r="E931" s="1858"/>
      <c r="F931" s="1465" t="s">
        <v>2</v>
      </c>
      <c r="G931" s="1466"/>
      <c r="H931" s="1466"/>
      <c r="I931" s="1381"/>
      <c r="J931" s="1381"/>
      <c r="K931" s="1359"/>
      <c r="L931" s="1458"/>
      <c r="M931" s="1498"/>
      <c r="N931" s="1498"/>
      <c r="O931" s="1498"/>
      <c r="P931" s="1359"/>
      <c r="Q931" s="3387"/>
      <c r="R931" s="2338"/>
    </row>
    <row r="932" spans="1:19" s="19" customFormat="1">
      <c r="B932" s="553"/>
      <c r="C932" s="1042"/>
      <c r="D932" s="1627" t="s">
        <v>1088</v>
      </c>
      <c r="E932" s="2157" t="s">
        <v>1508</v>
      </c>
      <c r="F932" s="1620" t="s">
        <v>1694</v>
      </c>
      <c r="G932" s="1621">
        <v>0.375</v>
      </c>
      <c r="H932" s="1621"/>
      <c r="I932" s="1340"/>
      <c r="J932" s="198"/>
      <c r="K932" s="1307">
        <f>G932*$K$923</f>
        <v>9.5625000000000016E-3</v>
      </c>
      <c r="L932" s="1335">
        <f>K932*$K$795</f>
        <v>0</v>
      </c>
      <c r="M932" s="1602">
        <v>19.23</v>
      </c>
      <c r="N932" s="1711"/>
      <c r="O932" s="1290">
        <f>ROUND(G932*M932,2)</f>
        <v>7.21</v>
      </c>
      <c r="P932" s="1332">
        <f>M932*K932</f>
        <v>0.18388687500000003</v>
      </c>
      <c r="Q932" s="3391"/>
      <c r="R932" s="2338"/>
    </row>
    <row r="933" spans="1:19" s="19" customFormat="1">
      <c r="B933" s="553"/>
      <c r="C933" s="1042"/>
      <c r="D933" s="1627" t="s">
        <v>1067</v>
      </c>
      <c r="E933" s="2157" t="s">
        <v>1508</v>
      </c>
      <c r="F933" s="1620" t="s">
        <v>1512</v>
      </c>
      <c r="G933" s="1621">
        <v>0.19</v>
      </c>
      <c r="H933" s="1621"/>
      <c r="I933" s="1340"/>
      <c r="J933" s="198"/>
      <c r="K933" s="1307">
        <f>G933*$K$923</f>
        <v>4.8450000000000003E-3</v>
      </c>
      <c r="L933" s="1335">
        <f>K933*$K$795</f>
        <v>0</v>
      </c>
      <c r="M933" s="1602">
        <v>18.28</v>
      </c>
      <c r="N933" s="1711"/>
      <c r="O933" s="1290">
        <f>ROUND(G933*M933,2)</f>
        <v>3.47</v>
      </c>
      <c r="P933" s="1332">
        <f>M933*K933</f>
        <v>8.8566600000000009E-2</v>
      </c>
      <c r="Q933" s="3391"/>
      <c r="R933" s="2338"/>
    </row>
    <row r="934" spans="1:19" s="19" customFormat="1">
      <c r="B934" s="553"/>
      <c r="C934" s="1042"/>
      <c r="D934" s="1627"/>
      <c r="E934" s="2157"/>
      <c r="F934" s="1620"/>
      <c r="G934" s="1621"/>
      <c r="H934" s="1621"/>
      <c r="I934" s="1340"/>
      <c r="J934" s="198"/>
      <c r="K934" s="1307"/>
      <c r="L934" s="1335"/>
      <c r="M934" s="1602"/>
      <c r="N934" s="1711"/>
      <c r="O934" s="1290"/>
      <c r="P934" s="1332"/>
      <c r="Q934" s="3391"/>
      <c r="R934" s="2338"/>
    </row>
    <row r="935" spans="1:19" s="19" customFormat="1">
      <c r="B935" s="553"/>
      <c r="C935" s="1042"/>
      <c r="D935" s="1411"/>
      <c r="E935" s="2123"/>
      <c r="F935" s="1475" t="s">
        <v>3</v>
      </c>
      <c r="G935" s="1377"/>
      <c r="H935" s="1376"/>
      <c r="I935" s="1383" t="s">
        <v>506</v>
      </c>
      <c r="J935" s="1383"/>
      <c r="K935" s="1383"/>
      <c r="L935" s="1413" t="s">
        <v>506</v>
      </c>
      <c r="M935" s="1376"/>
      <c r="N935" s="1376"/>
      <c r="O935" s="1376"/>
      <c r="P935" s="1373"/>
      <c r="Q935" s="3387"/>
      <c r="R935" s="2338"/>
    </row>
    <row r="936" spans="1:19" s="19" customFormat="1">
      <c r="B936" s="553"/>
      <c r="C936" s="1042"/>
      <c r="D936" s="1440"/>
      <c r="E936" s="2132"/>
      <c r="F936" s="1441"/>
      <c r="G936" s="1441"/>
      <c r="H936" s="1442"/>
      <c r="I936" s="197" t="s">
        <v>506</v>
      </c>
      <c r="J936" s="198"/>
      <c r="K936" s="1307"/>
      <c r="L936" s="1335" t="s">
        <v>506</v>
      </c>
      <c r="M936" s="1499"/>
      <c r="N936" s="1701"/>
      <c r="O936" s="1290"/>
      <c r="P936" s="1332"/>
      <c r="Q936" s="3391"/>
      <c r="R936" s="2338"/>
    </row>
    <row r="937" spans="1:19" s="19" customFormat="1">
      <c r="B937" s="553"/>
      <c r="C937" s="1320"/>
      <c r="D937" s="1440"/>
      <c r="E937" s="2132"/>
      <c r="F937" s="1441"/>
      <c r="G937" s="1441"/>
      <c r="H937" s="1442"/>
      <c r="I937" s="197" t="s">
        <v>506</v>
      </c>
      <c r="J937" s="198"/>
      <c r="K937" s="1307"/>
      <c r="L937" s="1335" t="s">
        <v>506</v>
      </c>
      <c r="M937" s="1499"/>
      <c r="N937" s="1701"/>
      <c r="O937" s="1290"/>
      <c r="P937" s="1332"/>
      <c r="Q937" s="3391"/>
      <c r="R937" s="2338"/>
    </row>
    <row r="938" spans="1:19" s="19" customFormat="1">
      <c r="B938" s="554"/>
      <c r="C938" s="225"/>
      <c r="D938" s="1440"/>
      <c r="E938" s="2132"/>
      <c r="F938" s="1441"/>
      <c r="G938" s="1441"/>
      <c r="H938" s="1442"/>
      <c r="I938" s="197"/>
      <c r="J938" s="198"/>
      <c r="K938" s="1307"/>
      <c r="L938" s="1335"/>
      <c r="M938" s="1499"/>
      <c r="N938" s="1701"/>
      <c r="O938" s="1290"/>
      <c r="P938" s="1332"/>
      <c r="Q938" s="3391"/>
      <c r="R938" s="2338"/>
    </row>
    <row r="939" spans="1:19" s="19" customFormat="1" ht="15" customHeight="1">
      <c r="A939" s="18" t="s">
        <v>3764</v>
      </c>
      <c r="B939" s="4325" t="s">
        <v>1712</v>
      </c>
      <c r="C939" s="3354"/>
      <c r="D939" s="4327"/>
      <c r="E939" s="4337" t="s">
        <v>1507</v>
      </c>
      <c r="F939" s="4338" t="s">
        <v>1714</v>
      </c>
      <c r="G939" s="4331" t="s">
        <v>1568</v>
      </c>
      <c r="H939" s="4331" t="s">
        <v>1574</v>
      </c>
      <c r="I939" s="1572" t="s">
        <v>1559</v>
      </c>
      <c r="J939" s="1294" t="s">
        <v>1560</v>
      </c>
      <c r="K939" s="1294" t="s">
        <v>1561</v>
      </c>
      <c r="L939" s="4333" t="s">
        <v>3765</v>
      </c>
      <c r="M939" s="4335" t="s">
        <v>1571</v>
      </c>
      <c r="N939" s="4323" t="s">
        <v>1776</v>
      </c>
      <c r="O939" s="3347" t="s">
        <v>1563</v>
      </c>
      <c r="P939" s="1336" t="s">
        <v>1562</v>
      </c>
      <c r="Q939" s="3389"/>
      <c r="R939" s="1699" t="s">
        <v>1327</v>
      </c>
    </row>
    <row r="940" spans="1:19" s="19" customFormat="1">
      <c r="A940" s="1320" t="s">
        <v>2812</v>
      </c>
      <c r="B940" s="4326"/>
      <c r="C940" s="3351"/>
      <c r="D940" s="4328"/>
      <c r="E940" s="4337"/>
      <c r="F940" s="4338"/>
      <c r="G940" s="4332"/>
      <c r="H940" s="4332"/>
      <c r="I940" s="1345">
        <v>0.8</v>
      </c>
      <c r="J940" s="1307">
        <v>1.4999999999999999E-2</v>
      </c>
      <c r="K940" s="1297">
        <v>2.5500000000000002E-2</v>
      </c>
      <c r="L940" s="4334"/>
      <c r="M940" s="4335"/>
      <c r="N940" s="4324"/>
      <c r="O940" s="1298">
        <f>SUM(O942:O952)</f>
        <v>7.8699999999999992</v>
      </c>
      <c r="P940" s="1337">
        <f>K940*O940</f>
        <v>0.200685</v>
      </c>
      <c r="Q940" s="3390"/>
      <c r="R940" s="1721">
        <f>SUM(P942:P953)</f>
        <v>0.20077297500000002</v>
      </c>
    </row>
    <row r="941" spans="1:19" s="19" customFormat="1">
      <c r="B941" s="551"/>
      <c r="C941" s="18"/>
      <c r="D941" s="1400"/>
      <c r="E941" s="2121"/>
      <c r="F941" s="1389" t="s">
        <v>1</v>
      </c>
      <c r="G941" s="1369"/>
      <c r="H941" s="1369"/>
      <c r="I941" s="1391"/>
      <c r="J941" s="1369"/>
      <c r="K941" s="1369"/>
      <c r="L941" s="1554"/>
      <c r="M941" s="1487"/>
      <c r="N941" s="1487"/>
      <c r="O941" s="1487"/>
      <c r="P941" s="1367"/>
      <c r="Q941" s="3387"/>
      <c r="R941" s="2338"/>
    </row>
    <row r="942" spans="1:19" s="19" customFormat="1">
      <c r="B942" s="553"/>
      <c r="C942" s="1042"/>
      <c r="D942" s="1615" t="s">
        <v>1128</v>
      </c>
      <c r="E942" s="1856" t="s">
        <v>1517</v>
      </c>
      <c r="F942" s="1421" t="s">
        <v>1695</v>
      </c>
      <c r="G942" s="1604">
        <v>1.4999999999999999E-2</v>
      </c>
      <c r="H942" s="1604"/>
      <c r="I942" s="1342"/>
      <c r="J942" s="198"/>
      <c r="K942" s="1732">
        <f>G942*$K$940</f>
        <v>3.8250000000000003E-4</v>
      </c>
      <c r="L942" s="1335">
        <f>K942*$K$795</f>
        <v>0</v>
      </c>
      <c r="M942" s="1302">
        <v>104.28</v>
      </c>
      <c r="N942" s="1700"/>
      <c r="O942" s="1290">
        <f>ROUND(G942*M942,2)</f>
        <v>1.56</v>
      </c>
      <c r="P942" s="1332">
        <f>M942*K942</f>
        <v>3.9887100000000002E-2</v>
      </c>
      <c r="Q942" s="3391"/>
      <c r="R942" s="2338"/>
    </row>
    <row r="943" spans="1:19" s="19" customFormat="1">
      <c r="B943" s="553"/>
      <c r="C943" s="1042"/>
      <c r="D943" s="1428" t="s">
        <v>1152</v>
      </c>
      <c r="E943" s="2122" t="s">
        <v>1517</v>
      </c>
      <c r="F943" s="1370" t="s">
        <v>1696</v>
      </c>
      <c r="G943" s="1452">
        <v>5.0000000000000001E-3</v>
      </c>
      <c r="H943" s="1452"/>
      <c r="I943" s="1286"/>
      <c r="J943" s="198"/>
      <c r="K943" s="1732">
        <f>G943*$K$940</f>
        <v>1.2750000000000001E-4</v>
      </c>
      <c r="L943" s="1335">
        <f>K943*$K$795</f>
        <v>0</v>
      </c>
      <c r="M943" s="1302">
        <v>108.05</v>
      </c>
      <c r="N943" s="1700"/>
      <c r="O943" s="1290">
        <f>ROUND(G943*M943,2)</f>
        <v>0.54</v>
      </c>
      <c r="P943" s="1332">
        <f>M943*K943</f>
        <v>1.3776375E-2</v>
      </c>
      <c r="Q943" s="3391"/>
      <c r="R943" s="2338"/>
    </row>
    <row r="944" spans="1:19">
      <c r="A944" s="19"/>
      <c r="B944" s="553"/>
      <c r="C944" s="1042"/>
      <c r="D944" s="1400"/>
      <c r="E944" s="1856"/>
      <c r="F944" s="1397"/>
      <c r="G944" s="1399"/>
      <c r="H944" s="1399"/>
      <c r="I944" s="197"/>
      <c r="J944" s="198"/>
      <c r="K944" s="1307" t="s">
        <v>506</v>
      </c>
      <c r="L944" s="1335"/>
      <c r="M944" s="1302"/>
      <c r="N944" s="1700"/>
      <c r="O944" s="1290"/>
      <c r="P944" s="1332"/>
      <c r="Q944" s="3391"/>
      <c r="R944" s="2338"/>
      <c r="S944" s="19"/>
    </row>
    <row r="945" spans="1:19">
      <c r="A945" s="19"/>
      <c r="B945" s="553"/>
      <c r="C945" s="1042"/>
      <c r="D945" s="1400"/>
      <c r="E945" s="1856"/>
      <c r="F945" s="1397"/>
      <c r="G945" s="1399"/>
      <c r="H945" s="1399"/>
      <c r="I945" s="197"/>
      <c r="J945" s="198"/>
      <c r="K945" s="1307" t="s">
        <v>506</v>
      </c>
      <c r="L945" s="1335"/>
      <c r="M945" s="1302"/>
      <c r="N945" s="1700"/>
      <c r="O945" s="1290"/>
      <c r="P945" s="1332"/>
      <c r="Q945" s="3391"/>
      <c r="R945" s="2338"/>
      <c r="S945" s="19"/>
    </row>
    <row r="946" spans="1:19">
      <c r="A946" s="19"/>
      <c r="B946" s="553"/>
      <c r="C946" s="1042"/>
      <c r="D946" s="1404"/>
      <c r="E946" s="1858"/>
      <c r="F946" s="1465" t="s">
        <v>2</v>
      </c>
      <c r="G946" s="1362"/>
      <c r="H946" s="1362"/>
      <c r="I946" s="1381"/>
      <c r="J946" s="1381"/>
      <c r="K946" s="1359"/>
      <c r="L946" s="1458"/>
      <c r="M946" s="1498"/>
      <c r="N946" s="1498"/>
      <c r="O946" s="1498"/>
      <c r="P946" s="1359"/>
      <c r="Q946" s="3387"/>
      <c r="R946" s="2338"/>
      <c r="S946" s="19"/>
    </row>
    <row r="947" spans="1:19">
      <c r="A947" s="19"/>
      <c r="B947" s="553"/>
      <c r="C947" s="1042"/>
      <c r="D947" s="1622" t="s">
        <v>1153</v>
      </c>
      <c r="E947" s="2125" t="s">
        <v>1508</v>
      </c>
      <c r="F947" s="1363" t="s">
        <v>1697</v>
      </c>
      <c r="G947" s="1408">
        <v>0.3</v>
      </c>
      <c r="H947" s="1408"/>
      <c r="I947" s="1340"/>
      <c r="J947" s="198"/>
      <c r="K947" s="1307">
        <f>G947*$K$940</f>
        <v>7.6500000000000005E-3</v>
      </c>
      <c r="L947" s="1335">
        <f>K947*$K$795</f>
        <v>0</v>
      </c>
      <c r="M947" s="1302">
        <v>19.23</v>
      </c>
      <c r="N947" s="1700"/>
      <c r="O947" s="1290">
        <f>ROUND(G947*M947,2)</f>
        <v>5.77</v>
      </c>
      <c r="P947" s="1332">
        <f>M947*K947</f>
        <v>0.1471095</v>
      </c>
      <c r="Q947" s="3391"/>
      <c r="R947" s="2338"/>
      <c r="S947" s="19"/>
    </row>
    <row r="948" spans="1:19">
      <c r="A948" s="19"/>
      <c r="B948" s="553"/>
      <c r="C948" s="1042"/>
      <c r="D948" s="1622"/>
      <c r="E948" s="2125"/>
      <c r="F948" s="1363"/>
      <c r="G948" s="1408"/>
      <c r="H948" s="1408"/>
      <c r="I948" s="1340"/>
      <c r="J948" s="198"/>
      <c r="K948" s="1307"/>
      <c r="L948" s="1335"/>
      <c r="M948" s="1302"/>
      <c r="N948" s="1700"/>
      <c r="O948" s="1290"/>
      <c r="P948" s="1332"/>
      <c r="Q948" s="3391"/>
      <c r="R948" s="2338"/>
      <c r="S948" s="19"/>
    </row>
    <row r="949" spans="1:19">
      <c r="A949" s="19"/>
      <c r="B949" s="553"/>
      <c r="C949" s="1042"/>
      <c r="D949" s="1622"/>
      <c r="E949" s="2125"/>
      <c r="F949" s="1363"/>
      <c r="G949" s="1408"/>
      <c r="H949" s="1408"/>
      <c r="I949" s="1340"/>
      <c r="J949" s="198"/>
      <c r="K949" s="1307"/>
      <c r="L949" s="1335"/>
      <c r="M949" s="1302"/>
      <c r="N949" s="1700"/>
      <c r="O949" s="1290"/>
      <c r="P949" s="1332"/>
      <c r="Q949" s="3391"/>
      <c r="R949" s="2338"/>
      <c r="S949" s="19"/>
    </row>
    <row r="950" spans="1:19">
      <c r="A950" s="19"/>
      <c r="B950" s="553"/>
      <c r="C950" s="1042"/>
      <c r="D950" s="1411"/>
      <c r="E950" s="2123"/>
      <c r="F950" s="1475" t="s">
        <v>3</v>
      </c>
      <c r="G950" s="1377"/>
      <c r="H950" s="1377"/>
      <c r="I950" s="1383" t="s">
        <v>506</v>
      </c>
      <c r="J950" s="1383"/>
      <c r="K950" s="1383"/>
      <c r="L950" s="1413"/>
      <c r="M950" s="1376"/>
      <c r="N950" s="1376"/>
      <c r="O950" s="1376"/>
      <c r="P950" s="1373"/>
      <c r="Q950" s="3387"/>
      <c r="R950" s="2338"/>
      <c r="S950" s="19"/>
    </row>
    <row r="951" spans="1:19">
      <c r="A951" s="19"/>
      <c r="B951" s="553"/>
      <c r="C951" s="1042"/>
      <c r="D951" s="1440"/>
      <c r="E951" s="2132"/>
      <c r="F951" s="1441"/>
      <c r="G951" s="1441"/>
      <c r="H951" s="1442"/>
      <c r="I951" s="197" t="s">
        <v>506</v>
      </c>
      <c r="J951" s="198"/>
      <c r="K951" s="1307"/>
      <c r="L951" s="1335" t="s">
        <v>506</v>
      </c>
      <c r="M951" s="1499"/>
      <c r="N951" s="1701"/>
      <c r="O951" s="1290"/>
      <c r="P951" s="1332"/>
      <c r="Q951" s="3391"/>
      <c r="R951" s="2338"/>
      <c r="S951" s="19"/>
    </row>
    <row r="952" spans="1:19">
      <c r="A952" s="19"/>
      <c r="B952" s="553"/>
      <c r="C952" s="1042"/>
      <c r="D952" s="1440"/>
      <c r="E952" s="2132"/>
      <c r="F952" s="1441"/>
      <c r="G952" s="1441"/>
      <c r="H952" s="1442"/>
      <c r="I952" s="197" t="s">
        <v>506</v>
      </c>
      <c r="J952" s="198"/>
      <c r="K952" s="1307"/>
      <c r="L952" s="1335" t="s">
        <v>506</v>
      </c>
      <c r="M952" s="1499"/>
      <c r="N952" s="1701"/>
      <c r="O952" s="1290"/>
      <c r="P952" s="1332"/>
      <c r="Q952" s="3391"/>
      <c r="R952" s="2338"/>
      <c r="S952" s="19"/>
    </row>
    <row r="953" spans="1:19">
      <c r="A953" s="19"/>
      <c r="B953" s="554"/>
      <c r="C953" s="223"/>
      <c r="D953" s="1440"/>
      <c r="E953" s="2132"/>
      <c r="F953" s="1441"/>
      <c r="G953" s="1441"/>
      <c r="H953" s="1442"/>
      <c r="I953" s="197"/>
      <c r="J953" s="198"/>
      <c r="K953" s="1307"/>
      <c r="L953" s="1335"/>
      <c r="M953" s="1499"/>
      <c r="N953" s="1701"/>
      <c r="O953" s="1290"/>
      <c r="P953" s="1332"/>
      <c r="Q953" s="3391"/>
      <c r="R953" s="2338"/>
      <c r="S953" s="19"/>
    </row>
    <row r="954" spans="1:19" ht="15" customHeight="1">
      <c r="A954" s="18" t="s">
        <v>3764</v>
      </c>
      <c r="B954" s="4325" t="s">
        <v>1661</v>
      </c>
      <c r="C954" s="3350"/>
      <c r="D954" s="4327"/>
      <c r="E954" s="4337" t="s">
        <v>1507</v>
      </c>
      <c r="F954" s="4338" t="s">
        <v>1699</v>
      </c>
      <c r="G954" s="4331" t="s">
        <v>1568</v>
      </c>
      <c r="H954" s="4331" t="s">
        <v>1574</v>
      </c>
      <c r="I954" s="1572" t="s">
        <v>1559</v>
      </c>
      <c r="J954" s="1294" t="s">
        <v>1560</v>
      </c>
      <c r="K954" s="1294" t="s">
        <v>1561</v>
      </c>
      <c r="L954" s="4333" t="s">
        <v>3765</v>
      </c>
      <c r="M954" s="4335" t="s">
        <v>1571</v>
      </c>
      <c r="N954" s="4323" t="s">
        <v>1776</v>
      </c>
      <c r="O954" s="3347" t="s">
        <v>1563</v>
      </c>
      <c r="P954" s="1336" t="s">
        <v>1562</v>
      </c>
      <c r="Q954" s="3389"/>
      <c r="R954" s="1699" t="s">
        <v>1327</v>
      </c>
      <c r="S954" s="19"/>
    </row>
    <row r="955" spans="1:19">
      <c r="A955" s="1320" t="s">
        <v>2812</v>
      </c>
      <c r="B955" s="4326"/>
      <c r="C955" s="3354"/>
      <c r="D955" s="4328"/>
      <c r="E955" s="4337"/>
      <c r="F955" s="4338"/>
      <c r="G955" s="4332"/>
      <c r="H955" s="4332"/>
      <c r="I955" s="1345">
        <v>0.8</v>
      </c>
      <c r="J955" s="1307">
        <v>1.4999999999999999E-2</v>
      </c>
      <c r="K955" s="1297">
        <v>2.5500000000000002E-2</v>
      </c>
      <c r="L955" s="4334"/>
      <c r="M955" s="4335"/>
      <c r="N955" s="4324"/>
      <c r="O955" s="1298">
        <f>SUM(O957:O969)</f>
        <v>8.99</v>
      </c>
      <c r="P955" s="1337">
        <f>K955*O955</f>
        <v>0.22924500000000003</v>
      </c>
      <c r="Q955" s="3390"/>
      <c r="R955" s="1721">
        <f>SUM(P957:P969)</f>
        <v>0.22916952000000002</v>
      </c>
      <c r="S955" s="19"/>
    </row>
    <row r="956" spans="1:19">
      <c r="A956" s="19"/>
      <c r="B956" s="551"/>
      <c r="C956" s="18"/>
      <c r="D956" s="1400"/>
      <c r="E956" s="2121"/>
      <c r="F956" s="1389" t="s">
        <v>1</v>
      </c>
      <c r="G956" s="1369"/>
      <c r="H956" s="1369"/>
      <c r="I956" s="1391"/>
      <c r="J956" s="1369"/>
      <c r="K956" s="1369"/>
      <c r="L956" s="1554"/>
      <c r="M956" s="1487"/>
      <c r="N956" s="1487"/>
      <c r="O956" s="1487"/>
      <c r="P956" s="1367"/>
      <c r="Q956" s="3387"/>
      <c r="R956" s="2338"/>
      <c r="S956" s="19"/>
    </row>
    <row r="957" spans="1:19">
      <c r="A957" s="19"/>
      <c r="B957" s="553"/>
      <c r="C957" s="1042"/>
      <c r="D957" s="1615" t="s">
        <v>1698</v>
      </c>
      <c r="E957" s="1856" t="s">
        <v>1357</v>
      </c>
      <c r="F957" s="1421" t="s">
        <v>1699</v>
      </c>
      <c r="G957" s="1605">
        <v>0.45</v>
      </c>
      <c r="H957" s="1605"/>
      <c r="I957" s="1342"/>
      <c r="J957" s="198"/>
      <c r="K957" s="1307">
        <f>G957*$K$955</f>
        <v>1.1475000000000001E-2</v>
      </c>
      <c r="L957" s="1335">
        <f>K957*$K$795</f>
        <v>0</v>
      </c>
      <c r="M957" s="1302">
        <v>1.7</v>
      </c>
      <c r="N957" s="1700"/>
      <c r="O957" s="1290">
        <f>ROUND(G957*M957,2)</f>
        <v>0.77</v>
      </c>
      <c r="P957" s="1332">
        <f>M957*K957</f>
        <v>1.9507500000000001E-2</v>
      </c>
      <c r="Q957" s="3391"/>
      <c r="R957" s="2338"/>
      <c r="S957" s="19"/>
    </row>
    <row r="958" spans="1:19">
      <c r="A958" s="19"/>
      <c r="B958" s="553"/>
      <c r="C958" s="1042"/>
      <c r="D958" s="1615" t="s">
        <v>1214</v>
      </c>
      <c r="E958" s="1856" t="s">
        <v>1357</v>
      </c>
      <c r="F958" s="1421" t="s">
        <v>1700</v>
      </c>
      <c r="G958" s="1452">
        <v>0.35</v>
      </c>
      <c r="H958" s="1452"/>
      <c r="I958" s="1286"/>
      <c r="J958" s="198"/>
      <c r="K958" s="1307">
        <f>G958*$K$955</f>
        <v>8.9250000000000006E-3</v>
      </c>
      <c r="L958" s="1335">
        <f>K958*$K$795</f>
        <v>0</v>
      </c>
      <c r="M958" s="1302">
        <v>4.2</v>
      </c>
      <c r="N958" s="1700"/>
      <c r="O958" s="1290">
        <f>ROUND(G958*M958,2)</f>
        <v>1.47</v>
      </c>
      <c r="P958" s="1332">
        <f>M958*K958</f>
        <v>3.7485000000000004E-2</v>
      </c>
      <c r="Q958" s="3391"/>
      <c r="R958" s="3363"/>
      <c r="S958" s="16"/>
    </row>
    <row r="959" spans="1:19">
      <c r="A959" s="19"/>
      <c r="B959" s="553"/>
      <c r="C959" s="1320"/>
      <c r="D959" s="1400" t="s">
        <v>1701</v>
      </c>
      <c r="E959" s="1856" t="s">
        <v>1504</v>
      </c>
      <c r="F959" s="1421" t="s">
        <v>1541</v>
      </c>
      <c r="G959" s="1399">
        <v>0.2</v>
      </c>
      <c r="H959" s="1399"/>
      <c r="I959" s="1614"/>
      <c r="J959" s="1341"/>
      <c r="K959" s="1307">
        <f>G959*$K$955</f>
        <v>5.1000000000000004E-3</v>
      </c>
      <c r="L959" s="1335">
        <f>K959*$K$795</f>
        <v>0</v>
      </c>
      <c r="M959" s="1302">
        <v>0.3</v>
      </c>
      <c r="N959" s="1700"/>
      <c r="O959" s="1290">
        <f>ROUND(G959*M959,2)</f>
        <v>0.06</v>
      </c>
      <c r="P959" s="1332">
        <f>M959*K959</f>
        <v>1.5300000000000001E-3</v>
      </c>
      <c r="Q959" s="3391"/>
      <c r="R959" s="3363"/>
      <c r="S959" s="16"/>
    </row>
    <row r="960" spans="1:19">
      <c r="A960" s="19"/>
      <c r="B960" s="553"/>
      <c r="C960" s="1042"/>
      <c r="D960" s="1400"/>
      <c r="E960" s="1856"/>
      <c r="F960" s="1421"/>
      <c r="G960" s="1399"/>
      <c r="H960" s="1399"/>
      <c r="I960" s="1614"/>
      <c r="J960" s="1341"/>
      <c r="K960" s="1307" t="s">
        <v>506</v>
      </c>
      <c r="L960" s="1335"/>
      <c r="M960" s="1302"/>
      <c r="N960" s="1700"/>
      <c r="O960" s="1290"/>
      <c r="P960" s="1332"/>
      <c r="Q960" s="3391"/>
      <c r="R960" s="3363"/>
      <c r="S960" s="16"/>
    </row>
    <row r="961" spans="1:24">
      <c r="A961" s="19"/>
      <c r="B961" s="553"/>
      <c r="C961" s="1042"/>
      <c r="D961" s="1400"/>
      <c r="E961" s="1856"/>
      <c r="F961" s="1421"/>
      <c r="G961" s="1399"/>
      <c r="H961" s="1399"/>
      <c r="I961" s="1614"/>
      <c r="J961" s="1341"/>
      <c r="K961" s="1307" t="s">
        <v>506</v>
      </c>
      <c r="L961" s="1335"/>
      <c r="M961" s="1302"/>
      <c r="N961" s="1700"/>
      <c r="O961" s="1290"/>
      <c r="P961" s="1332"/>
      <c r="Q961" s="3391"/>
      <c r="R961" s="3363"/>
      <c r="S961" s="16"/>
    </row>
    <row r="962" spans="1:24">
      <c r="A962" s="19"/>
      <c r="B962" s="553"/>
      <c r="C962" s="1042"/>
      <c r="D962" s="1404"/>
      <c r="E962" s="1858"/>
      <c r="F962" s="1465" t="s">
        <v>2</v>
      </c>
      <c r="G962" s="1362"/>
      <c r="H962" s="1362"/>
      <c r="I962" s="1381"/>
      <c r="J962" s="1381"/>
      <c r="K962" s="1359"/>
      <c r="L962" s="1458"/>
      <c r="M962" s="1498"/>
      <c r="N962" s="1498"/>
      <c r="O962" s="1498"/>
      <c r="P962" s="1359"/>
      <c r="Q962" s="3387"/>
      <c r="R962" s="3363"/>
      <c r="S962" s="16"/>
    </row>
    <row r="963" spans="1:24">
      <c r="A963" s="19"/>
      <c r="B963" s="553"/>
      <c r="C963" s="1042"/>
      <c r="D963" s="1623" t="s">
        <v>1702</v>
      </c>
      <c r="E963" s="2158" t="s">
        <v>1508</v>
      </c>
      <c r="F963" s="1624" t="s">
        <v>1703</v>
      </c>
      <c r="G963" s="1625">
        <v>0.34799999999999998</v>
      </c>
      <c r="H963" s="1625"/>
      <c r="I963" s="1340"/>
      <c r="J963" s="198"/>
      <c r="K963" s="1307">
        <f>G963*$K$955</f>
        <v>8.8739999999999999E-3</v>
      </c>
      <c r="L963" s="1335">
        <f>K963*$K$795</f>
        <v>0</v>
      </c>
      <c r="M963" s="1302">
        <v>19.23</v>
      </c>
      <c r="N963" s="1700"/>
      <c r="O963" s="1290">
        <f>ROUND(G963*M963,2)</f>
        <v>6.69</v>
      </c>
      <c r="P963" s="1332">
        <f>M963*K963</f>
        <v>0.17064702000000001</v>
      </c>
      <c r="Q963" s="3391"/>
      <c r="R963" s="3363"/>
      <c r="S963" s="16"/>
    </row>
    <row r="964" spans="1:24">
      <c r="A964" s="19"/>
      <c r="B964" s="553"/>
      <c r="C964" s="1042"/>
      <c r="D964" s="1623"/>
      <c r="E964" s="2158"/>
      <c r="F964" s="1624"/>
      <c r="G964" s="1625"/>
      <c r="H964" s="1625"/>
      <c r="I964" s="1340"/>
      <c r="J964" s="198"/>
      <c r="K964" s="1307"/>
      <c r="L964" s="1335"/>
      <c r="M964" s="1302"/>
      <c r="N964" s="1700"/>
      <c r="O964" s="1290"/>
      <c r="P964" s="1332"/>
      <c r="Q964" s="3391"/>
      <c r="R964" s="3363"/>
      <c r="S964" s="16"/>
    </row>
    <row r="965" spans="1:24">
      <c r="A965" s="19"/>
      <c r="B965" s="553"/>
      <c r="C965" s="1042"/>
      <c r="D965" s="1623"/>
      <c r="E965" s="2158"/>
      <c r="F965" s="1624"/>
      <c r="G965" s="1625"/>
      <c r="H965" s="1625"/>
      <c r="I965" s="1340"/>
      <c r="J965" s="198"/>
      <c r="K965" s="1307"/>
      <c r="L965" s="1335"/>
      <c r="M965" s="1302"/>
      <c r="N965" s="1700"/>
      <c r="O965" s="1290"/>
      <c r="P965" s="1332"/>
      <c r="Q965" s="3391"/>
      <c r="R965" s="3363"/>
      <c r="S965" s="16"/>
    </row>
    <row r="966" spans="1:24">
      <c r="B966" s="553"/>
      <c r="C966" s="1042"/>
      <c r="D966" s="1411"/>
      <c r="E966" s="2123"/>
      <c r="F966" s="1475" t="s">
        <v>3</v>
      </c>
      <c r="G966" s="1377"/>
      <c r="H966" s="1377"/>
      <c r="I966" s="1383" t="s">
        <v>506</v>
      </c>
      <c r="J966" s="1383"/>
      <c r="K966" s="1383"/>
      <c r="L966" s="1413" t="s">
        <v>506</v>
      </c>
      <c r="M966" s="1376"/>
      <c r="N966" s="1376"/>
      <c r="O966" s="1376"/>
      <c r="P966" s="1373"/>
      <c r="Q966" s="3387"/>
      <c r="R966" s="3363"/>
      <c r="S966" s="17"/>
      <c r="T966" s="17"/>
    </row>
    <row r="967" spans="1:24">
      <c r="B967" s="553"/>
      <c r="C967" s="1042"/>
      <c r="D967" s="1440"/>
      <c r="E967" s="2132"/>
      <c r="F967" s="1441"/>
      <c r="G967" s="1441"/>
      <c r="H967" s="1442"/>
      <c r="I967" s="197" t="s">
        <v>506</v>
      </c>
      <c r="J967" s="198"/>
      <c r="K967" s="1307"/>
      <c r="L967" s="1335" t="s">
        <v>506</v>
      </c>
      <c r="M967" s="1499"/>
      <c r="N967" s="1701"/>
      <c r="O967" s="1290"/>
      <c r="P967" s="1332"/>
      <c r="Q967" s="3391"/>
      <c r="R967" s="1173"/>
      <c r="S967" s="105"/>
      <c r="T967" s="105"/>
    </row>
    <row r="968" spans="1:24">
      <c r="B968" s="553"/>
      <c r="C968" s="1042"/>
      <c r="D968" s="1440"/>
      <c r="E968" s="2132"/>
      <c r="F968" s="1441"/>
      <c r="G968" s="1441"/>
      <c r="H968" s="1442"/>
      <c r="I968" s="197" t="s">
        <v>506</v>
      </c>
      <c r="J968" s="198"/>
      <c r="K968" s="1307"/>
      <c r="L968" s="1335" t="s">
        <v>506</v>
      </c>
      <c r="M968" s="1499"/>
      <c r="N968" s="1701"/>
      <c r="O968" s="1290"/>
      <c r="P968" s="1332"/>
      <c r="Q968" s="3391"/>
      <c r="R968" s="2338"/>
    </row>
    <row r="969" spans="1:24">
      <c r="B969" s="554"/>
      <c r="C969" s="223"/>
      <c r="D969" s="1440"/>
      <c r="E969" s="2132"/>
      <c r="F969" s="1441"/>
      <c r="G969" s="1441"/>
      <c r="H969" s="1442"/>
      <c r="I969" s="197"/>
      <c r="J969" s="198"/>
      <c r="K969" s="1307"/>
      <c r="L969" s="1335"/>
      <c r="M969" s="1499"/>
      <c r="N969" s="1701"/>
      <c r="O969" s="1290"/>
      <c r="P969" s="1332"/>
      <c r="Q969" s="3391"/>
      <c r="R969" s="2338"/>
    </row>
    <row r="970" spans="1:24" ht="28.5">
      <c r="B970" s="22"/>
      <c r="C970" s="16"/>
      <c r="D970" s="22"/>
      <c r="E970" s="2120"/>
      <c r="F970" s="15"/>
      <c r="G970" s="1608"/>
      <c r="H970" s="13"/>
      <c r="I970" s="1561"/>
      <c r="J970" s="13"/>
      <c r="K970" s="1561"/>
      <c r="L970" s="2400" t="s">
        <v>2856</v>
      </c>
      <c r="M970" s="1561"/>
      <c r="N970" s="1561"/>
      <c r="O970" s="16"/>
      <c r="P970" s="16"/>
      <c r="Q970" s="3387"/>
      <c r="R970" s="3363"/>
      <c r="S970" s="22"/>
      <c r="T970" s="22"/>
      <c r="U970" s="22"/>
      <c r="V970" s="22"/>
      <c r="W970" s="22"/>
      <c r="X970" s="22"/>
    </row>
    <row r="971" spans="1:24">
      <c r="A971" s="4393" t="s">
        <v>162</v>
      </c>
      <c r="B971" s="4394"/>
      <c r="C971" s="4394"/>
      <c r="D971" s="4395"/>
      <c r="E971" s="4396" t="s">
        <v>1549</v>
      </c>
      <c r="F971" s="4397" t="s">
        <v>1550</v>
      </c>
      <c r="G971" s="4399" t="s">
        <v>1566</v>
      </c>
      <c r="H971" s="4400"/>
      <c r="I971" s="4400"/>
      <c r="J971" s="4400"/>
      <c r="K971" s="4400"/>
      <c r="L971" s="4401"/>
      <c r="M971" s="4405" t="s">
        <v>1567</v>
      </c>
      <c r="N971" s="4405"/>
      <c r="O971" s="4405"/>
      <c r="P971" s="4405"/>
      <c r="Q971" s="3395"/>
      <c r="R971" s="3363"/>
      <c r="S971" s="22"/>
      <c r="T971" s="22"/>
      <c r="U971" s="22"/>
      <c r="V971" s="22"/>
      <c r="W971" s="22"/>
      <c r="X971" s="22"/>
    </row>
    <row r="972" spans="1:24">
      <c r="A972" s="1324" t="s">
        <v>3766</v>
      </c>
      <c r="B972" s="1325" t="s">
        <v>1513</v>
      </c>
      <c r="C972" s="1326" t="s">
        <v>1573</v>
      </c>
      <c r="D972" s="1323" t="s">
        <v>1514</v>
      </c>
      <c r="E972" s="4396"/>
      <c r="F972" s="4398"/>
      <c r="G972" s="4402"/>
      <c r="H972" s="4403"/>
      <c r="I972" s="4403"/>
      <c r="J972" s="4403"/>
      <c r="K972" s="4403"/>
      <c r="L972" s="4404"/>
      <c r="M972" s="4405"/>
      <c r="N972" s="4405"/>
      <c r="O972" s="4405"/>
      <c r="P972" s="4405"/>
      <c r="Q972" s="3395"/>
      <c r="R972" s="3363"/>
      <c r="S972" s="22"/>
      <c r="T972" s="22"/>
      <c r="U972" s="22"/>
      <c r="V972" s="22"/>
      <c r="W972" s="22"/>
      <c r="X972" s="22"/>
    </row>
    <row r="973" spans="1:24">
      <c r="A973" s="4374" t="s">
        <v>2813</v>
      </c>
      <c r="B973" s="4375"/>
      <c r="C973" s="4375"/>
      <c r="D973" s="4376"/>
      <c r="E973" s="4380" t="s">
        <v>1527</v>
      </c>
      <c r="F973" s="4523" t="s">
        <v>1711</v>
      </c>
      <c r="G973" s="4406" t="s">
        <v>294</v>
      </c>
      <c r="H973" s="4407"/>
      <c r="I973" s="1665" t="s">
        <v>1565</v>
      </c>
      <c r="J973" s="3348" t="s">
        <v>1575</v>
      </c>
      <c r="K973" s="4406" t="s">
        <v>289</v>
      </c>
      <c r="L973" s="4407"/>
      <c r="M973" s="4408" t="s">
        <v>3349</v>
      </c>
      <c r="N973" s="4408"/>
      <c r="O973" s="4408"/>
      <c r="P973" s="4408"/>
      <c r="Q973" s="3394" t="s">
        <v>3929</v>
      </c>
      <c r="R973" s="3363"/>
      <c r="S973" s="22"/>
      <c r="T973" s="22"/>
      <c r="U973" s="22"/>
      <c r="V973" s="22"/>
      <c r="W973" s="22"/>
      <c r="X973" s="22"/>
    </row>
    <row r="974" spans="1:24" ht="15.5">
      <c r="A974" s="4377"/>
      <c r="B974" s="4378"/>
      <c r="C974" s="4378"/>
      <c r="D974" s="4379"/>
      <c r="E974" s="4381"/>
      <c r="F974" s="4524"/>
      <c r="G974" s="4410">
        <f>IF('Seleccion proyecto HEREVEA02'!G18="Sustitución y reposición en fibrocemento NT",'Seleccion proyecto HEREVEA02'!E18,0)</f>
        <v>0</v>
      </c>
      <c r="H974" s="4411"/>
      <c r="I974" s="3353">
        <f>IF('Seleccion proyecto HEREVEA02'!H18=0,0,IF('Seleccion proyecto HEREVEA02'!H18="1 a 30",0.3, IF('Seleccion proyecto HEREVEA02'!H18="31 a 60", 0.6, IF('Seleccion proyecto HEREVEA02'!H18="61 a 100", 1))))</f>
        <v>0</v>
      </c>
      <c r="J974" s="1351">
        <f>'Seleccion proyecto HEREVEA02'!$L$8</f>
        <v>11100.968999999999</v>
      </c>
      <c r="K974" s="4412">
        <f>G974*I974*J974</f>
        <v>0</v>
      </c>
      <c r="L974" s="4413"/>
      <c r="M974" s="4360">
        <f>P976+P990+P1003+P1017+P1030+P1047+P1063+P1083+P1101+P1118+P1133</f>
        <v>37.398464477879998</v>
      </c>
      <c r="N974" s="4361"/>
      <c r="O974" s="4361"/>
      <c r="P974" s="4449"/>
      <c r="Q974" s="3388">
        <f>M974*K974</f>
        <v>0</v>
      </c>
      <c r="R974" s="3363"/>
      <c r="S974" s="22"/>
      <c r="T974" s="22"/>
      <c r="U974" s="22"/>
      <c r="V974" s="22"/>
      <c r="W974" s="22"/>
      <c r="X974" s="22"/>
    </row>
    <row r="975" spans="1:24" ht="15" customHeight="1">
      <c r="A975" s="18" t="s">
        <v>3764</v>
      </c>
      <c r="B975" s="4367" t="s">
        <v>1653</v>
      </c>
      <c r="C975" s="3350"/>
      <c r="D975" s="4327"/>
      <c r="E975" s="4329" t="s">
        <v>1527</v>
      </c>
      <c r="F975" s="4367" t="s">
        <v>1662</v>
      </c>
      <c r="G975" s="4331" t="s">
        <v>1568</v>
      </c>
      <c r="H975" s="4331" t="s">
        <v>1574</v>
      </c>
      <c r="I975" s="1572" t="s">
        <v>1559</v>
      </c>
      <c r="J975" s="1600" t="s">
        <v>1560</v>
      </c>
      <c r="K975" s="1294" t="s">
        <v>1561</v>
      </c>
      <c r="L975" s="4333" t="s">
        <v>3765</v>
      </c>
      <c r="M975" s="4335" t="s">
        <v>1571</v>
      </c>
      <c r="N975" s="4323" t="s">
        <v>1776</v>
      </c>
      <c r="O975" s="3347" t="s">
        <v>1563</v>
      </c>
      <c r="P975" s="1336" t="s">
        <v>1562</v>
      </c>
      <c r="Q975" s="3389"/>
      <c r="R975" s="1699" t="s">
        <v>1327</v>
      </c>
      <c r="S975" s="22"/>
      <c r="T975" s="22"/>
      <c r="U975" s="22"/>
      <c r="V975" s="22"/>
      <c r="W975" s="22"/>
      <c r="X975" s="22"/>
    </row>
    <row r="976" spans="1:24">
      <c r="A976" s="1733" t="s">
        <v>2813</v>
      </c>
      <c r="B976" s="4369"/>
      <c r="C976" s="3351"/>
      <c r="D976" s="4328"/>
      <c r="E976" s="4330"/>
      <c r="F976" s="4369"/>
      <c r="G976" s="4332"/>
      <c r="H976" s="4332"/>
      <c r="I976" s="1345">
        <v>5</v>
      </c>
      <c r="J976" s="1601">
        <v>1.4999999999999999E-2</v>
      </c>
      <c r="K976" s="1297">
        <f>I976*J976</f>
        <v>7.4999999999999997E-2</v>
      </c>
      <c r="L976" s="4334"/>
      <c r="M976" s="4335"/>
      <c r="N976" s="4324"/>
      <c r="O976" s="1298">
        <f>SUM(O978:O988)</f>
        <v>3.67</v>
      </c>
      <c r="P976" s="1337">
        <f>O976*K976</f>
        <v>0.27524999999999999</v>
      </c>
      <c r="Q976" s="3390"/>
      <c r="R976" s="1721">
        <f>SUM(P978:P988)</f>
        <v>0.27562500000000001</v>
      </c>
      <c r="S976" s="22"/>
      <c r="T976" s="22"/>
      <c r="U976" s="22"/>
      <c r="V976" s="22"/>
      <c r="W976" s="22"/>
      <c r="X976" s="22"/>
    </row>
    <row r="977" spans="1:24">
      <c r="A977" s="1320"/>
      <c r="B977" s="19"/>
      <c r="C977" s="18"/>
      <c r="D977" s="1463"/>
      <c r="E977" s="2121"/>
      <c r="F977" s="1368" t="s">
        <v>1</v>
      </c>
      <c r="G977" s="1426"/>
      <c r="H977" s="1426"/>
      <c r="I977" s="1391"/>
      <c r="J977" s="1369"/>
      <c r="K977" s="1369"/>
      <c r="L977" s="1554"/>
      <c r="M977" s="1369"/>
      <c r="N977" s="1369"/>
      <c r="O977" s="1369"/>
      <c r="P977" s="1367"/>
      <c r="Q977" s="3387"/>
      <c r="R977" s="3363"/>
      <c r="S977" s="22"/>
      <c r="T977" s="22"/>
      <c r="U977" s="22"/>
      <c r="V977" s="22"/>
      <c r="W977" s="22"/>
      <c r="X977" s="22"/>
    </row>
    <row r="978" spans="1:24" ht="15" customHeight="1">
      <c r="A978" s="4453" t="s">
        <v>2815</v>
      </c>
      <c r="B978" s="19"/>
      <c r="C978" s="1042"/>
      <c r="D978" s="1400"/>
      <c r="E978" s="1856"/>
      <c r="F978" s="1421"/>
      <c r="G978" s="1399"/>
      <c r="H978" s="1399"/>
      <c r="I978" s="1614" t="str">
        <f>IF(COUNT(G979:O979)=0,"",(SUM(G979:O979)/COUNT(G979:O979)))</f>
        <v/>
      </c>
      <c r="J978" s="1341"/>
      <c r="K978" s="1307" t="str">
        <f t="shared" ref="K978:K980" si="73">IF(COUNT(I978)=0,"",(I978*J978))</f>
        <v/>
      </c>
      <c r="L978" s="1335"/>
      <c r="M978" s="1302"/>
      <c r="N978" s="1700"/>
      <c r="O978" s="1290"/>
      <c r="P978" s="1332"/>
      <c r="Q978" s="3391"/>
      <c r="R978" s="3363"/>
      <c r="S978" s="22"/>
      <c r="T978" s="22"/>
      <c r="U978" s="22"/>
      <c r="V978" s="22"/>
      <c r="W978" s="22"/>
      <c r="X978" s="22"/>
    </row>
    <row r="979" spans="1:24" ht="15" customHeight="1">
      <c r="A979" s="4453"/>
      <c r="B979" s="19"/>
      <c r="C979" s="1042"/>
      <c r="D979" s="1400"/>
      <c r="E979" s="1856"/>
      <c r="F979" s="1421"/>
      <c r="G979" s="1399"/>
      <c r="H979" s="1399"/>
      <c r="I979" s="1614" t="str">
        <f>IF(COUNT(#REF!)=0,"",(SUM(#REF!)/COUNT(#REF!)))</f>
        <v/>
      </c>
      <c r="J979" s="1341"/>
      <c r="K979" s="1307" t="str">
        <f t="shared" si="73"/>
        <v/>
      </c>
      <c r="L979" s="1335"/>
      <c r="M979" s="1302"/>
      <c r="N979" s="1700"/>
      <c r="O979" s="1290"/>
      <c r="P979" s="1332"/>
      <c r="Q979" s="3391"/>
      <c r="R979" s="3363"/>
      <c r="S979" s="22"/>
      <c r="T979" s="22"/>
      <c r="U979" s="22"/>
      <c r="V979" s="22"/>
      <c r="W979" s="22"/>
      <c r="X979" s="22"/>
    </row>
    <row r="980" spans="1:24" ht="15" customHeight="1">
      <c r="A980" s="4453"/>
      <c r="B980" s="19"/>
      <c r="C980" s="1042"/>
      <c r="D980" s="1400"/>
      <c r="E980" s="1856"/>
      <c r="F980" s="1421"/>
      <c r="G980" s="1399"/>
      <c r="H980" s="1399"/>
      <c r="I980" s="1614" t="str">
        <f>IF(COUNT(G981:O981)=0,"",(SUM(G981:O981)/COUNT(G981:O981)))</f>
        <v/>
      </c>
      <c r="J980" s="1341"/>
      <c r="K980" s="1307" t="str">
        <f t="shared" si="73"/>
        <v/>
      </c>
      <c r="L980" s="1335"/>
      <c r="M980" s="1302"/>
      <c r="N980" s="1700"/>
      <c r="O980" s="1290"/>
      <c r="P980" s="1332"/>
      <c r="Q980" s="3391"/>
      <c r="R980" s="3363"/>
      <c r="S980" s="22"/>
      <c r="T980" s="22"/>
      <c r="U980" s="22"/>
      <c r="V980" s="22"/>
      <c r="W980" s="22"/>
      <c r="X980" s="22"/>
    </row>
    <row r="981" spans="1:24" ht="15" customHeight="1">
      <c r="A981" s="4453"/>
      <c r="B981" s="19"/>
      <c r="C981" s="1042"/>
      <c r="D981" s="1404"/>
      <c r="E981" s="1858"/>
      <c r="F981" s="1465" t="s">
        <v>2</v>
      </c>
      <c r="G981" s="1362"/>
      <c r="H981" s="1362"/>
      <c r="I981" s="1380"/>
      <c r="J981" s="1381"/>
      <c r="K981" s="1381"/>
      <c r="L981" s="1458"/>
      <c r="M981" s="1362"/>
      <c r="N981" s="1705"/>
      <c r="O981" s="1469"/>
      <c r="P981" s="1470"/>
      <c r="Q981" s="3398"/>
      <c r="R981" s="3363"/>
      <c r="S981" s="22"/>
      <c r="T981" s="22"/>
      <c r="U981" s="22"/>
      <c r="V981" s="22"/>
      <c r="W981" s="22"/>
      <c r="X981" s="22"/>
    </row>
    <row r="982" spans="1:24" ht="15" customHeight="1">
      <c r="A982" s="4453"/>
      <c r="B982" s="19"/>
      <c r="C982" s="1042"/>
      <c r="D982" s="1363" t="s">
        <v>1067</v>
      </c>
      <c r="E982" s="2125" t="s">
        <v>1508</v>
      </c>
      <c r="F982" s="1385" t="s">
        <v>1512</v>
      </c>
      <c r="G982" s="1386">
        <v>0.18</v>
      </c>
      <c r="H982" s="1386"/>
      <c r="I982" s="1380"/>
      <c r="J982" s="1381"/>
      <c r="K982" s="1307">
        <f>G982*$K$976</f>
        <v>1.35E-2</v>
      </c>
      <c r="L982" s="1335">
        <f>K982*$K$974</f>
        <v>0</v>
      </c>
      <c r="M982" s="1499">
        <v>18.28</v>
      </c>
      <c r="N982" s="1499"/>
      <c r="O982" s="1291">
        <f>ROUND(G982*M982,2)</f>
        <v>3.29</v>
      </c>
      <c r="P982" s="1332">
        <f>M982*K982</f>
        <v>0.24678</v>
      </c>
      <c r="Q982" s="3391"/>
      <c r="R982" s="3363"/>
      <c r="S982" s="22"/>
      <c r="T982" s="22"/>
      <c r="U982" s="22"/>
      <c r="V982" s="22"/>
      <c r="W982" s="22"/>
      <c r="X982" s="22"/>
    </row>
    <row r="983" spans="1:24" ht="15" customHeight="1">
      <c r="A983" s="4453"/>
      <c r="B983" s="19"/>
      <c r="C983" s="1042"/>
      <c r="D983" s="1363" t="s">
        <v>1121</v>
      </c>
      <c r="E983" s="2125" t="s">
        <v>1508</v>
      </c>
      <c r="F983" s="1385" t="s">
        <v>1663</v>
      </c>
      <c r="G983" s="1386">
        <v>0.02</v>
      </c>
      <c r="H983" s="1386"/>
      <c r="I983" s="1380"/>
      <c r="J983" s="1381"/>
      <c r="K983" s="1307">
        <f>G983*$K$976</f>
        <v>1.5E-3</v>
      </c>
      <c r="L983" s="1335">
        <f>K983*$K$974</f>
        <v>0</v>
      </c>
      <c r="M983" s="1499">
        <v>19.23</v>
      </c>
      <c r="N983" s="1499"/>
      <c r="O983" s="1291">
        <f>ROUND(G983*M983,2)</f>
        <v>0.38</v>
      </c>
      <c r="P983" s="1332">
        <f>M983*K983</f>
        <v>2.8845000000000003E-2</v>
      </c>
      <c r="Q983" s="3391"/>
      <c r="R983" s="3363"/>
      <c r="S983" s="22"/>
      <c r="T983" s="22"/>
      <c r="U983" s="22"/>
      <c r="V983" s="22"/>
      <c r="W983" s="22"/>
      <c r="X983" s="22"/>
    </row>
    <row r="984" spans="1:24">
      <c r="A984" s="4453"/>
      <c r="B984" s="19"/>
      <c r="C984" s="1042"/>
      <c r="D984" s="1363"/>
      <c r="E984" s="2125"/>
      <c r="F984" s="1385"/>
      <c r="G984" s="1386"/>
      <c r="H984" s="1386"/>
      <c r="I984" s="1380"/>
      <c r="J984" s="1381"/>
      <c r="K984" s="1307"/>
      <c r="L984" s="1335"/>
      <c r="M984" s="1499"/>
      <c r="N984" s="1499"/>
      <c r="O984" s="1291"/>
      <c r="P984" s="1332"/>
      <c r="Q984" s="3391"/>
      <c r="R984" s="3363"/>
      <c r="S984" s="22"/>
      <c r="T984" s="22"/>
      <c r="U984" s="22"/>
      <c r="V984" s="22"/>
      <c r="W984" s="22"/>
      <c r="X984" s="22"/>
    </row>
    <row r="985" spans="1:24">
      <c r="A985" s="1320"/>
      <c r="B985" s="19"/>
      <c r="C985" s="1042"/>
      <c r="D985" s="1411"/>
      <c r="E985" s="2123"/>
      <c r="F985" s="1475" t="s">
        <v>3</v>
      </c>
      <c r="G985" s="1373"/>
      <c r="H985" s="1376"/>
      <c r="I985" s="1382"/>
      <c r="J985" s="1383"/>
      <c r="K985" s="1373"/>
      <c r="L985" s="1413"/>
      <c r="M985" s="1508"/>
      <c r="N985" s="1706"/>
      <c r="O985" s="1486"/>
      <c r="P985" s="1373"/>
      <c r="Q985" s="3387"/>
      <c r="R985" s="3363"/>
      <c r="S985" s="22"/>
      <c r="T985" s="22"/>
      <c r="U985" s="22"/>
      <c r="V985" s="22"/>
      <c r="W985" s="22"/>
      <c r="X985" s="22"/>
    </row>
    <row r="986" spans="1:24">
      <c r="A986" s="1320"/>
      <c r="B986" s="19"/>
      <c r="C986" s="1042"/>
      <c r="D986" s="1378"/>
      <c r="E986" s="2139"/>
      <c r="F986" s="1476"/>
      <c r="G986" s="1477"/>
      <c r="H986" s="1379"/>
      <c r="I986" s="1289"/>
      <c r="J986" s="1341"/>
      <c r="K986" s="1307"/>
      <c r="L986" s="1335"/>
      <c r="M986" s="1499"/>
      <c r="N986" s="1499"/>
      <c r="O986" s="1291"/>
      <c r="P986" s="1332"/>
      <c r="Q986" s="3391"/>
      <c r="R986" s="3363"/>
      <c r="S986" s="22"/>
      <c r="T986" s="22"/>
      <c r="U986" s="22"/>
      <c r="V986" s="22"/>
      <c r="W986" s="22"/>
      <c r="X986" s="22"/>
    </row>
    <row r="987" spans="1:24">
      <c r="A987" s="1320"/>
      <c r="B987" s="19"/>
      <c r="C987" s="1042"/>
      <c r="D987" s="1482"/>
      <c r="E987" s="2141"/>
      <c r="F987" s="1483"/>
      <c r="G987" s="1483"/>
      <c r="H987" s="1484"/>
      <c r="I987" s="1349"/>
      <c r="J987" s="1341"/>
      <c r="K987" s="1307"/>
      <c r="L987" s="1335"/>
      <c r="M987" s="1499"/>
      <c r="N987" s="1499"/>
      <c r="O987" s="1291"/>
      <c r="P987" s="1332"/>
      <c r="Q987" s="3391"/>
      <c r="R987" s="3363"/>
      <c r="S987" s="22"/>
      <c r="T987" s="22"/>
      <c r="U987" s="22"/>
      <c r="V987" s="22"/>
      <c r="W987" s="22"/>
      <c r="X987" s="22"/>
    </row>
    <row r="988" spans="1:24">
      <c r="A988" s="1320"/>
      <c r="B988" s="19"/>
      <c r="C988" s="223"/>
      <c r="D988" s="1377"/>
      <c r="E988" s="2124"/>
      <c r="F988" s="1377"/>
      <c r="G988" s="1377"/>
      <c r="H988" s="1597"/>
      <c r="I988" s="1349"/>
      <c r="J988" s="1341"/>
      <c r="K988" s="1307"/>
      <c r="L988" s="1594"/>
      <c r="M988" s="1499"/>
      <c r="N988" s="1499"/>
      <c r="O988" s="1291"/>
      <c r="P988" s="1332"/>
      <c r="Q988" s="3391"/>
      <c r="R988" s="3363"/>
      <c r="S988" s="22"/>
      <c r="T988" s="22"/>
      <c r="U988" s="22"/>
      <c r="V988" s="22"/>
      <c r="W988" s="22"/>
      <c r="X988" s="22"/>
    </row>
    <row r="989" spans="1:24" ht="15" customHeight="1">
      <c r="A989" s="18" t="s">
        <v>3764</v>
      </c>
      <c r="B989" s="4367" t="s">
        <v>1654</v>
      </c>
      <c r="C989" s="3350"/>
      <c r="D989" s="4327"/>
      <c r="E989" s="4329" t="s">
        <v>1507</v>
      </c>
      <c r="F989" s="4338" t="s">
        <v>1664</v>
      </c>
      <c r="G989" s="4331" t="s">
        <v>1568</v>
      </c>
      <c r="H989" s="4331" t="s">
        <v>1574</v>
      </c>
      <c r="I989" s="1572" t="s">
        <v>1559</v>
      </c>
      <c r="J989" s="1294" t="s">
        <v>1560</v>
      </c>
      <c r="K989" s="1294" t="s">
        <v>1561</v>
      </c>
      <c r="L989" s="4333" t="s">
        <v>3765</v>
      </c>
      <c r="M989" s="4335" t="s">
        <v>1571</v>
      </c>
      <c r="N989" s="4323" t="s">
        <v>1776</v>
      </c>
      <c r="O989" s="3347" t="s">
        <v>1563</v>
      </c>
      <c r="P989" s="1336" t="s">
        <v>1562</v>
      </c>
      <c r="Q989" s="3389"/>
      <c r="R989" s="1699" t="s">
        <v>1327</v>
      </c>
      <c r="S989" s="22"/>
      <c r="T989" s="22"/>
      <c r="U989" s="22"/>
      <c r="V989" s="22"/>
      <c r="W989" s="22"/>
      <c r="X989" s="22"/>
    </row>
    <row r="990" spans="1:24">
      <c r="A990" s="1733" t="s">
        <v>2813</v>
      </c>
      <c r="B990" s="4369"/>
      <c r="C990" s="3351"/>
      <c r="D990" s="4328"/>
      <c r="E990" s="4330"/>
      <c r="F990" s="4338"/>
      <c r="G990" s="4332"/>
      <c r="H990" s="4332"/>
      <c r="I990" s="1345">
        <v>2.4</v>
      </c>
      <c r="J990" s="1307">
        <v>1.4999999999999999E-2</v>
      </c>
      <c r="K990" s="1297">
        <f>I990*J990</f>
        <v>3.5999999999999997E-2</v>
      </c>
      <c r="L990" s="4334"/>
      <c r="M990" s="4335"/>
      <c r="N990" s="4324"/>
      <c r="O990" s="1298">
        <f>SUM(O992:O1000)</f>
        <v>11.48</v>
      </c>
      <c r="P990" s="1337">
        <f>O990*K990</f>
        <v>0.41327999999999998</v>
      </c>
      <c r="Q990" s="3390"/>
      <c r="R990" s="1721">
        <f>P996</f>
        <v>0.41327424000000001</v>
      </c>
      <c r="S990" s="22"/>
      <c r="T990" s="22"/>
      <c r="U990" s="22"/>
      <c r="V990" s="22"/>
      <c r="W990" s="22"/>
      <c r="X990" s="22"/>
    </row>
    <row r="991" spans="1:24">
      <c r="A991" s="1320"/>
      <c r="B991" s="1511"/>
      <c r="C991" s="18"/>
      <c r="D991" s="1463"/>
      <c r="E991" s="2121"/>
      <c r="F991" s="1368" t="s">
        <v>1</v>
      </c>
      <c r="G991" s="1426"/>
      <c r="H991" s="1426"/>
      <c r="I991" s="1391"/>
      <c r="J991" s="1369"/>
      <c r="K991" s="1369"/>
      <c r="L991" s="1554"/>
      <c r="M991" s="1369"/>
      <c r="N991" s="1369"/>
      <c r="O991" s="1369"/>
      <c r="P991" s="1367"/>
      <c r="Q991" s="3387"/>
      <c r="R991" s="3363"/>
      <c r="S991" s="22"/>
      <c r="T991" s="22"/>
      <c r="U991" s="22"/>
      <c r="V991" s="22"/>
      <c r="W991" s="22"/>
      <c r="X991" s="22"/>
    </row>
    <row r="992" spans="1:24">
      <c r="A992" s="1320"/>
      <c r="B992" s="595"/>
      <c r="C992" s="1042"/>
      <c r="D992" s="1400"/>
      <c r="E992" s="1856"/>
      <c r="F992" s="1421"/>
      <c r="G992" s="1399"/>
      <c r="H992" s="1399"/>
      <c r="I992" s="1614" t="str">
        <f>IF(COUNT(G993:O993)=0,"",(SUM(G993:O993)/COUNT(G993:O993)))</f>
        <v/>
      </c>
      <c r="J992" s="1341"/>
      <c r="K992" s="1307" t="str">
        <f t="shared" ref="K992:K994" si="74">IF(COUNT(I992)=0,"",(I992*J992))</f>
        <v/>
      </c>
      <c r="L992" s="1335"/>
      <c r="M992" s="1302"/>
      <c r="N992" s="1700"/>
      <c r="O992" s="1290"/>
      <c r="P992" s="1332"/>
      <c r="Q992" s="3391"/>
      <c r="R992" s="3363"/>
      <c r="S992" s="22"/>
      <c r="T992" s="22"/>
      <c r="U992" s="22"/>
      <c r="V992" s="22"/>
      <c r="W992" s="22"/>
      <c r="X992" s="22"/>
    </row>
    <row r="993" spans="1:24">
      <c r="A993" s="1320"/>
      <c r="B993" s="595"/>
      <c r="C993" s="1042"/>
      <c r="D993" s="1400"/>
      <c r="E993" s="1856"/>
      <c r="F993" s="1421"/>
      <c r="G993" s="1399"/>
      <c r="H993" s="1399"/>
      <c r="I993" s="1614" t="str">
        <f>IF(COUNT(G994:O994)=0,"",(SUM(G994:O994)/COUNT(G994:O994)))</f>
        <v/>
      </c>
      <c r="J993" s="1341"/>
      <c r="K993" s="1307" t="str">
        <f t="shared" si="74"/>
        <v/>
      </c>
      <c r="L993" s="1335"/>
      <c r="M993" s="1302"/>
      <c r="N993" s="1700"/>
      <c r="O993" s="1290"/>
      <c r="P993" s="1332"/>
      <c r="Q993" s="3391"/>
      <c r="R993" s="3363"/>
      <c r="S993" s="22"/>
      <c r="T993" s="22"/>
      <c r="U993" s="22"/>
      <c r="V993" s="22"/>
      <c r="W993" s="22"/>
      <c r="X993" s="22"/>
    </row>
    <row r="994" spans="1:24">
      <c r="A994" s="1320"/>
      <c r="B994" s="595"/>
      <c r="C994" s="1042"/>
      <c r="D994" s="1400"/>
      <c r="E994" s="1856"/>
      <c r="F994" s="1421"/>
      <c r="G994" s="1399"/>
      <c r="H994" s="1399"/>
      <c r="I994" s="1614" t="str">
        <f>IF(COUNT(G995:O995)=0,"",(SUM(G995:O995)/COUNT(G995:O995)))</f>
        <v/>
      </c>
      <c r="J994" s="1341"/>
      <c r="K994" s="1307" t="str">
        <f t="shared" si="74"/>
        <v/>
      </c>
      <c r="L994" s="1335"/>
      <c r="M994" s="1302"/>
      <c r="N994" s="1700"/>
      <c r="O994" s="1290"/>
      <c r="P994" s="1332"/>
      <c r="Q994" s="3391"/>
      <c r="R994" s="3363"/>
      <c r="S994" s="22"/>
      <c r="T994" s="22"/>
      <c r="U994" s="22"/>
      <c r="V994" s="22"/>
      <c r="W994" s="22"/>
      <c r="X994" s="22"/>
    </row>
    <row r="995" spans="1:24">
      <c r="A995" s="1320"/>
      <c r="B995" s="595"/>
      <c r="C995" s="1042"/>
      <c r="D995" s="1404"/>
      <c r="E995" s="1858"/>
      <c r="F995" s="1465" t="s">
        <v>2</v>
      </c>
      <c r="G995" s="1362"/>
      <c r="H995" s="1362"/>
      <c r="I995" s="1380"/>
      <c r="J995" s="1381"/>
      <c r="K995" s="1381"/>
      <c r="L995" s="1458"/>
      <c r="M995" s="1362"/>
      <c r="N995" s="1705"/>
      <c r="O995" s="1469"/>
      <c r="P995" s="1470"/>
      <c r="Q995" s="3398"/>
      <c r="R995" s="3363"/>
      <c r="S995" s="22"/>
      <c r="T995" s="22"/>
      <c r="U995" s="22"/>
      <c r="V995" s="22"/>
      <c r="W995" s="22"/>
      <c r="X995" s="22"/>
    </row>
    <row r="996" spans="1:24">
      <c r="A996" s="1320"/>
      <c r="B996" s="595"/>
      <c r="C996" s="1042"/>
      <c r="D996" s="1402" t="s">
        <v>1067</v>
      </c>
      <c r="E996" s="1857" t="s">
        <v>1508</v>
      </c>
      <c r="F996" s="1430" t="s">
        <v>1512</v>
      </c>
      <c r="G996" s="1362">
        <v>0.628</v>
      </c>
      <c r="H996" s="1362"/>
      <c r="I996" s="197"/>
      <c r="J996" s="198"/>
      <c r="K996" s="1307">
        <f>G996*$K$990</f>
        <v>2.2608E-2</v>
      </c>
      <c r="L996" s="1335">
        <f>K996*$K$974</f>
        <v>0</v>
      </c>
      <c r="M996" s="1499">
        <v>18.28</v>
      </c>
      <c r="N996" s="1499"/>
      <c r="O996" s="1291">
        <f>ROUND(G996*M996,2)</f>
        <v>11.48</v>
      </c>
      <c r="P996" s="1332">
        <f>M996*K996</f>
        <v>0.41327424000000001</v>
      </c>
      <c r="Q996" s="3391"/>
      <c r="R996" s="3363"/>
      <c r="S996" s="22"/>
      <c r="T996" s="22"/>
      <c r="U996" s="22"/>
      <c r="V996" s="22"/>
      <c r="W996" s="22"/>
      <c r="X996" s="22"/>
    </row>
    <row r="997" spans="1:24">
      <c r="A997" s="1320"/>
      <c r="B997" s="595"/>
      <c r="C997" s="1042"/>
      <c r="D997" s="1402"/>
      <c r="E997" s="1857"/>
      <c r="F997" s="1430"/>
      <c r="G997" s="1362"/>
      <c r="H997" s="1362"/>
      <c r="I997" s="197"/>
      <c r="J997" s="198"/>
      <c r="K997" s="1307"/>
      <c r="L997" s="1335"/>
      <c r="M997" s="1499"/>
      <c r="N997" s="1499"/>
      <c r="O997" s="1291"/>
      <c r="P997" s="1332"/>
      <c r="Q997" s="3391"/>
      <c r="R997" s="3363"/>
      <c r="S997" s="22"/>
      <c r="T997" s="22"/>
      <c r="U997" s="22"/>
      <c r="V997" s="22"/>
      <c r="W997" s="22"/>
      <c r="X997" s="22"/>
    </row>
    <row r="998" spans="1:24">
      <c r="A998" s="1320"/>
      <c r="B998" s="595"/>
      <c r="C998" s="1042"/>
      <c r="D998" s="1411"/>
      <c r="E998" s="2123"/>
      <c r="F998" s="1475" t="s">
        <v>3</v>
      </c>
      <c r="G998" s="1373"/>
      <c r="H998" s="1376"/>
      <c r="I998" s="1382"/>
      <c r="J998" s="1383"/>
      <c r="K998" s="1373"/>
      <c r="L998" s="1413"/>
      <c r="M998" s="1508"/>
      <c r="N998" s="1706"/>
      <c r="O998" s="1486"/>
      <c r="P998" s="1373"/>
      <c r="Q998" s="3387"/>
      <c r="R998" s="3363"/>
      <c r="S998" s="22"/>
      <c r="T998" s="22"/>
      <c r="U998" s="22"/>
      <c r="V998" s="22"/>
      <c r="W998" s="22"/>
      <c r="X998" s="22"/>
    </row>
    <row r="999" spans="1:24">
      <c r="A999" s="1320"/>
      <c r="B999" s="595"/>
      <c r="C999" s="1042"/>
      <c r="D999" s="1378"/>
      <c r="E999" s="2139"/>
      <c r="F999" s="1476"/>
      <c r="G999" s="1477"/>
      <c r="H999" s="1379"/>
      <c r="I999" s="1289"/>
      <c r="J999" s="1341"/>
      <c r="K999" s="1307"/>
      <c r="L999" s="1335"/>
      <c r="M999" s="1499"/>
      <c r="N999" s="1499"/>
      <c r="O999" s="1291"/>
      <c r="P999" s="1332"/>
      <c r="Q999" s="3391"/>
      <c r="R999" s="3363"/>
      <c r="S999" s="22"/>
      <c r="T999" s="22"/>
      <c r="U999" s="22"/>
      <c r="V999" s="22"/>
      <c r="W999" s="22"/>
      <c r="X999" s="22"/>
    </row>
    <row r="1000" spans="1:24">
      <c r="A1000" s="1320"/>
      <c r="B1000" s="595"/>
      <c r="C1000" s="1042"/>
      <c r="D1000" s="1482"/>
      <c r="E1000" s="2141"/>
      <c r="F1000" s="1483"/>
      <c r="G1000" s="1483"/>
      <c r="H1000" s="1484"/>
      <c r="I1000" s="1349"/>
      <c r="J1000" s="1341"/>
      <c r="K1000" s="1307"/>
      <c r="L1000" s="1335"/>
      <c r="M1000" s="1499"/>
      <c r="N1000" s="1499"/>
      <c r="O1000" s="1291"/>
      <c r="P1000" s="1332"/>
      <c r="Q1000" s="3391"/>
      <c r="R1000" s="3363"/>
      <c r="S1000" s="22"/>
      <c r="T1000" s="22"/>
      <c r="U1000" s="22"/>
      <c r="V1000" s="22"/>
      <c r="W1000" s="22"/>
      <c r="X1000" s="22"/>
    </row>
    <row r="1001" spans="1:24">
      <c r="A1001" s="1320"/>
      <c r="B1001" s="1512"/>
      <c r="C1001" s="223"/>
      <c r="D1001" s="1440"/>
      <c r="E1001" s="2132"/>
      <c r="F1001" s="1441"/>
      <c r="G1001" s="1441"/>
      <c r="H1001" s="1442"/>
      <c r="I1001" s="197" t="str">
        <f>IF(COUNT(G1002:O1002)=0,"",(SUM(G1002:O1002)/COUNT(G1002:O1002)))</f>
        <v/>
      </c>
      <c r="J1001" s="198"/>
      <c r="K1001" s="1307" t="str">
        <f>IF(COUNT(I1001)=0,"",(I1001*J1001))</f>
        <v/>
      </c>
      <c r="L1001" s="1335"/>
      <c r="M1001" s="1499"/>
      <c r="N1001" s="1701"/>
      <c r="O1001" s="1290"/>
      <c r="P1001" s="1332"/>
      <c r="Q1001" s="3391"/>
      <c r="R1001" s="3363"/>
      <c r="S1001" s="22"/>
      <c r="T1001" s="22"/>
      <c r="U1001" s="22"/>
      <c r="V1001" s="22"/>
      <c r="W1001" s="22"/>
      <c r="X1001" s="22"/>
    </row>
    <row r="1002" spans="1:24" ht="15" customHeight="1">
      <c r="A1002" s="18" t="s">
        <v>3764</v>
      </c>
      <c r="B1002" s="4367" t="s">
        <v>1655</v>
      </c>
      <c r="C1002" s="3350"/>
      <c r="D1002" s="4327"/>
      <c r="E1002" s="4329" t="s">
        <v>1507</v>
      </c>
      <c r="F1002" s="4338" t="s">
        <v>1665</v>
      </c>
      <c r="G1002" s="4331" t="s">
        <v>1568</v>
      </c>
      <c r="H1002" s="4331" t="s">
        <v>1574</v>
      </c>
      <c r="I1002" s="1572" t="s">
        <v>1559</v>
      </c>
      <c r="J1002" s="1294" t="s">
        <v>1560</v>
      </c>
      <c r="K1002" s="1294" t="s">
        <v>1561</v>
      </c>
      <c r="L1002" s="4333" t="s">
        <v>3765</v>
      </c>
      <c r="M1002" s="4335" t="s">
        <v>1571</v>
      </c>
      <c r="N1002" s="4323" t="s">
        <v>1776</v>
      </c>
      <c r="O1002" s="3347" t="s">
        <v>1563</v>
      </c>
      <c r="P1002" s="1336" t="s">
        <v>1562</v>
      </c>
      <c r="Q1002" s="3389"/>
      <c r="R1002" s="1699" t="s">
        <v>1327</v>
      </c>
      <c r="S1002" s="22"/>
      <c r="T1002" s="22"/>
      <c r="U1002" s="22"/>
      <c r="V1002" s="22"/>
      <c r="W1002" s="22"/>
      <c r="X1002" s="22"/>
    </row>
    <row r="1003" spans="1:24">
      <c r="A1003" s="1733" t="s">
        <v>2813</v>
      </c>
      <c r="B1003" s="4369"/>
      <c r="C1003" s="3351"/>
      <c r="D1003" s="4328"/>
      <c r="E1003" s="4330"/>
      <c r="F1003" s="4338"/>
      <c r="G1003" s="4332"/>
      <c r="H1003" s="4332"/>
      <c r="I1003" s="1345">
        <v>3.2</v>
      </c>
      <c r="J1003" s="1307">
        <v>1.4999999999999999E-2</v>
      </c>
      <c r="K1003" s="1297">
        <f>I1003*J1003</f>
        <v>4.8000000000000001E-2</v>
      </c>
      <c r="L1003" s="4334"/>
      <c r="M1003" s="4335"/>
      <c r="N1003" s="4324"/>
      <c r="O1003" s="1298">
        <f>SUM(O1005:O1014)</f>
        <v>4.9400000000000004</v>
      </c>
      <c r="P1003" s="1337">
        <f>O1003*K1003</f>
        <v>0.23712000000000003</v>
      </c>
      <c r="Q1003" s="3390"/>
      <c r="R1003" s="1721">
        <f>P1005+P1009</f>
        <v>0.23690880000000003</v>
      </c>
      <c r="S1003" s="22"/>
      <c r="T1003" s="22"/>
      <c r="U1003" s="22"/>
      <c r="V1003" s="22"/>
      <c r="W1003" s="22"/>
      <c r="X1003" s="22"/>
    </row>
    <row r="1004" spans="1:24">
      <c r="A1004" s="1320"/>
      <c r="B1004" s="1511"/>
      <c r="D1004" s="1367"/>
      <c r="E1004" s="2121"/>
      <c r="F1004" s="1389" t="s">
        <v>1</v>
      </c>
      <c r="G1004" s="1390"/>
      <c r="H1004" s="1390"/>
      <c r="I1004" s="1391"/>
      <c r="J1004" s="1369"/>
      <c r="K1004" s="1369"/>
      <c r="L1004" s="1554"/>
      <c r="M1004" s="1487"/>
      <c r="N1004" s="1487"/>
      <c r="O1004" s="1487"/>
      <c r="P1004" s="1367"/>
      <c r="Q1004" s="3387"/>
      <c r="R1004" s="3363"/>
      <c r="S1004" s="22"/>
      <c r="T1004" s="22"/>
      <c r="U1004" s="22"/>
      <c r="V1004" s="22"/>
      <c r="W1004" s="22"/>
      <c r="X1004" s="22"/>
    </row>
    <row r="1005" spans="1:24">
      <c r="A1005" s="1320"/>
      <c r="B1005" s="16"/>
      <c r="C1005" s="553"/>
      <c r="D1005" s="1598"/>
      <c r="E1005" s="2152"/>
      <c r="F1005" s="1598"/>
      <c r="G1005" s="1372"/>
      <c r="H1005" s="1372"/>
      <c r="I1005" s="197"/>
      <c r="J1005" s="198"/>
      <c r="K1005" s="1307"/>
      <c r="L1005" s="1335"/>
      <c r="M1005" s="1499"/>
      <c r="N1005" s="1499"/>
      <c r="O1005" s="1291"/>
      <c r="P1005" s="1332"/>
      <c r="Q1005" s="3391"/>
      <c r="R1005" s="3363"/>
      <c r="S1005" s="22"/>
      <c r="T1005" s="22"/>
      <c r="U1005" s="22"/>
      <c r="V1005" s="22"/>
      <c r="W1005" s="22"/>
      <c r="X1005" s="22"/>
    </row>
    <row r="1006" spans="1:24">
      <c r="A1006" s="1320"/>
      <c r="B1006" s="16"/>
      <c r="C1006" s="1042"/>
      <c r="D1006" s="1400"/>
      <c r="E1006" s="1856"/>
      <c r="F1006" s="1421"/>
      <c r="G1006" s="1399"/>
      <c r="H1006" s="1399"/>
      <c r="I1006" s="1614"/>
      <c r="J1006" s="1341"/>
      <c r="K1006" s="1307"/>
      <c r="L1006" s="1335"/>
      <c r="M1006" s="1302"/>
      <c r="N1006" s="1700"/>
      <c r="O1006" s="1290"/>
      <c r="P1006" s="1332"/>
      <c r="Q1006" s="3391"/>
      <c r="R1006" s="3363"/>
      <c r="S1006" s="22"/>
      <c r="T1006" s="22"/>
      <c r="U1006" s="22"/>
      <c r="V1006" s="22"/>
      <c r="W1006" s="22"/>
      <c r="X1006" s="22"/>
    </row>
    <row r="1007" spans="1:24">
      <c r="A1007" s="1320"/>
      <c r="B1007" s="16"/>
      <c r="C1007" s="1042"/>
      <c r="D1007" s="1400"/>
      <c r="E1007" s="1856"/>
      <c r="F1007" s="1421"/>
      <c r="G1007" s="1399"/>
      <c r="H1007" s="1399"/>
      <c r="I1007" s="1614"/>
      <c r="J1007" s="1341"/>
      <c r="K1007" s="1307"/>
      <c r="L1007" s="1335"/>
      <c r="M1007" s="1302"/>
      <c r="N1007" s="1700"/>
      <c r="O1007" s="1290"/>
      <c r="P1007" s="1332"/>
      <c r="Q1007" s="3391"/>
      <c r="R1007" s="3363"/>
      <c r="S1007" s="22"/>
      <c r="T1007" s="22"/>
      <c r="U1007" s="22"/>
      <c r="V1007" s="22"/>
      <c r="W1007" s="22"/>
      <c r="X1007" s="22"/>
    </row>
    <row r="1008" spans="1:24">
      <c r="A1008" s="1320"/>
      <c r="B1008" s="16"/>
      <c r="C1008" s="1042"/>
      <c r="D1008" s="1359"/>
      <c r="E1008" s="1858"/>
      <c r="F1008" s="1360" t="s">
        <v>2</v>
      </c>
      <c r="G1008" s="1362"/>
      <c r="H1008" s="1362"/>
      <c r="I1008" s="1380"/>
      <c r="J1008" s="1381"/>
      <c r="K1008" s="1359"/>
      <c r="L1008" s="1458"/>
      <c r="M1008" s="1507"/>
      <c r="N1008" s="1708"/>
      <c r="O1008" s="1489"/>
      <c r="P1008" s="1359"/>
      <c r="Q1008" s="3387"/>
      <c r="R1008" s="3363"/>
      <c r="S1008" s="22"/>
      <c r="T1008" s="22"/>
      <c r="U1008" s="22"/>
      <c r="V1008" s="22"/>
      <c r="W1008" s="22"/>
      <c r="X1008" s="22"/>
    </row>
    <row r="1009" spans="1:24">
      <c r="A1009" s="1320"/>
      <c r="B1009" s="16"/>
      <c r="C1009" s="1042"/>
      <c r="D1009" s="1402" t="s">
        <v>1067</v>
      </c>
      <c r="E1009" s="1857" t="s">
        <v>1508</v>
      </c>
      <c r="F1009" s="1430" t="s">
        <v>5</v>
      </c>
      <c r="G1009" s="1362">
        <v>0.27</v>
      </c>
      <c r="H1009" s="1362"/>
      <c r="I1009" s="1289"/>
      <c r="J1009" s="1341"/>
      <c r="K1009" s="1307">
        <f>G1009*$K$1003</f>
        <v>1.2960000000000001E-2</v>
      </c>
      <c r="L1009" s="1335">
        <f>K1009*$K$974</f>
        <v>0</v>
      </c>
      <c r="M1009" s="1595">
        <v>18.28</v>
      </c>
      <c r="N1009" s="1595"/>
      <c r="O1009" s="1291">
        <f>ROUND(G1009*M1009,2)</f>
        <v>4.9400000000000004</v>
      </c>
      <c r="P1009" s="1332">
        <f>M1009*K1009</f>
        <v>0.23690880000000003</v>
      </c>
      <c r="Q1009" s="3391"/>
      <c r="R1009" s="3363"/>
      <c r="S1009" s="22"/>
      <c r="T1009" s="22"/>
      <c r="U1009" s="22"/>
      <c r="V1009" s="22"/>
      <c r="W1009" s="22"/>
      <c r="X1009" s="22"/>
    </row>
    <row r="1010" spans="1:24">
      <c r="A1010" s="1320"/>
      <c r="B1010" s="16"/>
      <c r="C1010" s="1042"/>
      <c r="D1010" s="1402"/>
      <c r="E1010" s="1857"/>
      <c r="F1010" s="1430"/>
      <c r="G1010" s="1362"/>
      <c r="H1010" s="1362"/>
      <c r="I1010" s="1286"/>
      <c r="J1010" s="1287"/>
      <c r="K1010" s="1307"/>
      <c r="L1010" s="1335"/>
      <c r="M1010" s="1499"/>
      <c r="N1010" s="1499"/>
      <c r="O1010" s="1291"/>
      <c r="P1010" s="1332"/>
      <c r="Q1010" s="3391"/>
      <c r="R1010" s="3363"/>
      <c r="S1010" s="22"/>
      <c r="T1010" s="22"/>
      <c r="U1010" s="22"/>
      <c r="V1010" s="22"/>
      <c r="W1010" s="22"/>
      <c r="X1010" s="22"/>
    </row>
    <row r="1011" spans="1:24">
      <c r="A1011" s="1320"/>
      <c r="B1011" s="16"/>
      <c r="C1011" s="1042"/>
      <c r="D1011" s="1402"/>
      <c r="E1011" s="1857"/>
      <c r="F1011" s="1430"/>
      <c r="G1011" s="1362"/>
      <c r="H1011" s="1362"/>
      <c r="I1011" s="1286"/>
      <c r="J1011" s="1287"/>
      <c r="K1011" s="1307"/>
      <c r="L1011" s="1335"/>
      <c r="M1011" s="1285"/>
      <c r="N1011" s="1709"/>
      <c r="O1011" s="1291"/>
      <c r="P1011" s="1332"/>
      <c r="Q1011" s="3391"/>
      <c r="R1011" s="3363"/>
      <c r="S1011" s="22"/>
      <c r="T1011" s="22"/>
      <c r="U1011" s="22"/>
      <c r="V1011" s="22"/>
      <c r="W1011" s="22"/>
      <c r="X1011" s="22"/>
    </row>
    <row r="1012" spans="1:24">
      <c r="A1012" s="1320"/>
      <c r="B1012" s="16"/>
      <c r="C1012" s="1042"/>
      <c r="D1012" s="1373"/>
      <c r="E1012" s="2123"/>
      <c r="F1012" s="1374" t="s">
        <v>3</v>
      </c>
      <c r="G1012" s="1492"/>
      <c r="H1012" s="1376"/>
      <c r="I1012" s="1382"/>
      <c r="J1012" s="1383"/>
      <c r="K1012" s="1383"/>
      <c r="L1012" s="1413"/>
      <c r="M1012" s="1485"/>
      <c r="N1012" s="1493"/>
      <c r="O1012" s="1493"/>
      <c r="P1012" s="1413"/>
      <c r="Q1012" s="3387"/>
      <c r="R1012" s="3363"/>
      <c r="S1012" s="22"/>
      <c r="T1012" s="22"/>
      <c r="U1012" s="22"/>
      <c r="V1012" s="22"/>
      <c r="W1012" s="22"/>
      <c r="X1012" s="22"/>
    </row>
    <row r="1013" spans="1:24">
      <c r="A1013" s="1320"/>
      <c r="B1013" s="16"/>
      <c r="C1013" s="1042"/>
      <c r="D1013" s="1440"/>
      <c r="E1013" s="2132"/>
      <c r="F1013" s="1441"/>
      <c r="G1013" s="1441"/>
      <c r="H1013" s="1442"/>
      <c r="I1013" s="197"/>
      <c r="J1013" s="198"/>
      <c r="K1013" s="1307"/>
      <c r="L1013" s="1335"/>
      <c r="M1013" s="1499"/>
      <c r="N1013" s="1701"/>
      <c r="O1013" s="1290"/>
      <c r="P1013" s="1332"/>
      <c r="Q1013" s="3391"/>
      <c r="R1013" s="3363"/>
      <c r="S1013" s="22"/>
      <c r="T1013" s="22"/>
      <c r="U1013" s="22"/>
      <c r="V1013" s="22"/>
      <c r="W1013" s="22"/>
      <c r="X1013" s="22"/>
    </row>
    <row r="1014" spans="1:24">
      <c r="A1014" s="1320"/>
      <c r="B1014" s="16"/>
      <c r="C1014" s="1042"/>
      <c r="D1014" s="1440"/>
      <c r="E1014" s="2132"/>
      <c r="F1014" s="1441"/>
      <c r="G1014" s="1441"/>
      <c r="H1014" s="1442"/>
      <c r="I1014" s="197" t="str">
        <f>IF(COUNT(H1015:O1015)=0,"",(SUM(H1015:O1015)/COUNT(H1015:O1015)))</f>
        <v/>
      </c>
      <c r="J1014" s="198"/>
      <c r="K1014" s="1307"/>
      <c r="L1014" s="1335"/>
      <c r="M1014" s="1499"/>
      <c r="N1014" s="1701"/>
      <c r="O1014" s="1290"/>
      <c r="P1014" s="1332"/>
      <c r="Q1014" s="3391"/>
      <c r="R1014" s="3363"/>
      <c r="S1014" s="22"/>
      <c r="T1014" s="22"/>
      <c r="U1014" s="22"/>
      <c r="V1014" s="22"/>
      <c r="W1014" s="22"/>
      <c r="X1014" s="22"/>
    </row>
    <row r="1015" spans="1:24">
      <c r="A1015" s="1320"/>
      <c r="B1015" s="1596"/>
      <c r="C1015" s="223"/>
      <c r="D1015" s="1440"/>
      <c r="E1015" s="2132"/>
      <c r="F1015" s="1441"/>
      <c r="G1015" s="1441"/>
      <c r="H1015" s="1442"/>
      <c r="I1015" s="197" t="str">
        <f>IF(COUNT(G1016:O1016)=0,"",(SUM(G1016:O1016)/COUNT(G1016:O1016)))</f>
        <v/>
      </c>
      <c r="J1015" s="198"/>
      <c r="K1015" s="1307"/>
      <c r="L1015" s="1335"/>
      <c r="M1015" s="1499"/>
      <c r="N1015" s="1701"/>
      <c r="O1015" s="1290"/>
      <c r="P1015" s="1332"/>
      <c r="Q1015" s="3391"/>
      <c r="R1015" s="3363"/>
      <c r="S1015" s="22"/>
      <c r="T1015" s="22"/>
      <c r="U1015" s="22"/>
      <c r="V1015" s="22"/>
      <c r="W1015" s="22"/>
      <c r="X1015" s="22"/>
    </row>
    <row r="1016" spans="1:24" ht="15" customHeight="1">
      <c r="A1016" s="18" t="s">
        <v>3764</v>
      </c>
      <c r="B1016" s="4367" t="s">
        <v>1656</v>
      </c>
      <c r="C1016" s="3350"/>
      <c r="D1016" s="4327"/>
      <c r="E1016" s="4337" t="s">
        <v>1527</v>
      </c>
      <c r="F1016" s="4338" t="s">
        <v>1666</v>
      </c>
      <c r="G1016" s="4331" t="s">
        <v>1568</v>
      </c>
      <c r="H1016" s="4331" t="s">
        <v>1574</v>
      </c>
      <c r="I1016" s="1572" t="s">
        <v>1559</v>
      </c>
      <c r="J1016" s="1294" t="s">
        <v>1560</v>
      </c>
      <c r="K1016" s="1294" t="s">
        <v>1561</v>
      </c>
      <c r="L1016" s="4333" t="s">
        <v>3765</v>
      </c>
      <c r="M1016" s="4335" t="s">
        <v>1571</v>
      </c>
      <c r="N1016" s="4323" t="s">
        <v>1776</v>
      </c>
      <c r="O1016" s="3347" t="s">
        <v>1563</v>
      </c>
      <c r="P1016" s="1336" t="s">
        <v>1562</v>
      </c>
      <c r="Q1016" s="3389"/>
      <c r="R1016" s="1699" t="s">
        <v>1327</v>
      </c>
      <c r="S1016" s="22"/>
      <c r="T1016" s="22"/>
      <c r="U1016" s="22"/>
      <c r="V1016" s="22"/>
      <c r="W1016" s="22"/>
      <c r="X1016" s="22"/>
    </row>
    <row r="1017" spans="1:24">
      <c r="A1017" s="1733" t="s">
        <v>2813</v>
      </c>
      <c r="B1017" s="4369"/>
      <c r="C1017" s="3351"/>
      <c r="D1017" s="4328"/>
      <c r="E1017" s="4337"/>
      <c r="F1017" s="4338"/>
      <c r="G1017" s="4332"/>
      <c r="H1017" s="4332"/>
      <c r="I1017" s="1345">
        <v>67</v>
      </c>
      <c r="J1017" s="1307">
        <v>1.4999999999999999E-2</v>
      </c>
      <c r="K1017" s="1297">
        <f>I1017*J1017</f>
        <v>1.0049999999999999</v>
      </c>
      <c r="L1017" s="4334"/>
      <c r="M1017" s="4335"/>
      <c r="N1017" s="4324"/>
      <c r="O1017" s="1298">
        <f>SUM(O1019:O1027)</f>
        <v>4.84</v>
      </c>
      <c r="P1017" s="1337">
        <f>O1017*K1017</f>
        <v>4.8641999999999994</v>
      </c>
      <c r="Q1017" s="3390"/>
      <c r="R1017" s="1721">
        <f>P1023+P1024</f>
        <v>4.8675566999999997</v>
      </c>
      <c r="S1017" s="22"/>
      <c r="T1017" s="22"/>
      <c r="U1017" s="22"/>
      <c r="V1017" s="22"/>
      <c r="W1017" s="22"/>
      <c r="X1017" s="22"/>
    </row>
    <row r="1018" spans="1:24">
      <c r="A1018" s="1320"/>
      <c r="B1018" s="552"/>
      <c r="C1018" s="18"/>
      <c r="D1018" s="1400"/>
      <c r="E1018" s="2121"/>
      <c r="F1018" s="1389" t="s">
        <v>1</v>
      </c>
      <c r="G1018" s="1390"/>
      <c r="H1018" s="1390"/>
      <c r="I1018" s="1391"/>
      <c r="J1018" s="1369"/>
      <c r="K1018" s="1369"/>
      <c r="L1018" s="1554"/>
      <c r="M1018" s="1490"/>
      <c r="N1018" s="1491"/>
      <c r="O1018" s="1491"/>
      <c r="P1018" s="1367"/>
      <c r="Q1018" s="3387"/>
      <c r="R1018" s="3363"/>
      <c r="S1018" s="22"/>
      <c r="T1018" s="22"/>
      <c r="U1018" s="22"/>
      <c r="V1018" s="22"/>
      <c r="W1018" s="22"/>
      <c r="X1018" s="22"/>
    </row>
    <row r="1019" spans="1:24">
      <c r="A1019" s="1320"/>
      <c r="B1019" s="88"/>
      <c r="C1019" s="1042"/>
      <c r="D1019" s="1384"/>
      <c r="E1019" s="2146"/>
      <c r="F1019" s="1471"/>
      <c r="G1019" s="1372"/>
      <c r="H1019" s="1372"/>
      <c r="I1019" s="1346"/>
      <c r="J1019" s="1341"/>
      <c r="K1019" s="1307" t="str">
        <f>IF(COUNT(#REF!)=0,"",IF(#REF!="","",(#REF!*#REF!)))</f>
        <v/>
      </c>
      <c r="L1019" s="1335"/>
      <c r="M1019" s="1302"/>
      <c r="N1019" s="1302"/>
      <c r="O1019" s="1291"/>
      <c r="P1019" s="1332"/>
      <c r="Q1019" s="3391"/>
      <c r="R1019" s="3363"/>
      <c r="S1019" s="22"/>
      <c r="T1019" s="22"/>
      <c r="U1019" s="22"/>
      <c r="V1019" s="22"/>
      <c r="W1019" s="22"/>
      <c r="X1019" s="22"/>
    </row>
    <row r="1020" spans="1:24">
      <c r="A1020" s="1320"/>
      <c r="B1020" s="88"/>
      <c r="C1020" s="1042"/>
      <c r="D1020" s="1384"/>
      <c r="E1020" s="2146"/>
      <c r="F1020" s="1471"/>
      <c r="G1020" s="1372"/>
      <c r="H1020" s="1372"/>
      <c r="I1020" s="1346"/>
      <c r="J1020" s="1341"/>
      <c r="K1020" s="1307" t="str">
        <f>IF(COUNT(#REF!)=0,"",IF(#REF!="","",(#REF!*#REF!)))</f>
        <v/>
      </c>
      <c r="L1020" s="1335"/>
      <c r="M1020" s="1302"/>
      <c r="N1020" s="1302"/>
      <c r="O1020" s="1291"/>
      <c r="P1020" s="1332"/>
      <c r="Q1020" s="3391"/>
      <c r="R1020" s="3363"/>
      <c r="S1020" s="22"/>
      <c r="T1020" s="22"/>
      <c r="U1020" s="22"/>
      <c r="V1020" s="22"/>
      <c r="W1020" s="22"/>
      <c r="X1020" s="22"/>
    </row>
    <row r="1021" spans="1:24">
      <c r="A1021" s="1320"/>
      <c r="B1021" s="88"/>
      <c r="C1021" s="1042"/>
      <c r="D1021" s="1384"/>
      <c r="E1021" s="2146"/>
      <c r="F1021" s="1471"/>
      <c r="G1021" s="1372"/>
      <c r="H1021" s="1372"/>
      <c r="I1021" s="1346"/>
      <c r="J1021" s="1341"/>
      <c r="K1021" s="1307" t="str">
        <f>IF(COUNT(#REF!)=0,"",IF(#REF!="","",(#REF!*#REF!)))</f>
        <v/>
      </c>
      <c r="L1021" s="1335"/>
      <c r="M1021" s="1302"/>
      <c r="N1021" s="1302"/>
      <c r="O1021" s="1291"/>
      <c r="P1021" s="1332"/>
      <c r="Q1021" s="3391"/>
      <c r="R1021" s="3363"/>
      <c r="S1021" s="22"/>
      <c r="T1021" s="22"/>
      <c r="U1021" s="22"/>
      <c r="V1021" s="22"/>
      <c r="W1021" s="22"/>
      <c r="X1021" s="22"/>
    </row>
    <row r="1022" spans="1:24">
      <c r="A1022" s="1320"/>
      <c r="B1022" s="88"/>
      <c r="C1022" s="1042"/>
      <c r="D1022" s="1404"/>
      <c r="E1022" s="1858"/>
      <c r="F1022" s="1360" t="s">
        <v>2</v>
      </c>
      <c r="G1022" s="1362"/>
      <c r="H1022" s="1362"/>
      <c r="I1022" s="1380"/>
      <c r="J1022" s="1381"/>
      <c r="K1022" s="1359" t="str">
        <f>IF(COUNT(#REF!)=0,"",IF(#REF!="","",(#REF!*#REF!)))</f>
        <v/>
      </c>
      <c r="L1022" s="1458"/>
      <c r="M1022" s="1362"/>
      <c r="N1022" s="1362"/>
      <c r="O1022" s="1708"/>
      <c r="P1022" s="1359"/>
      <c r="Q1022" s="3387"/>
      <c r="R1022" s="3363"/>
      <c r="S1022" s="22"/>
      <c r="T1022" s="22"/>
      <c r="U1022" s="22"/>
      <c r="V1022" s="22"/>
      <c r="W1022" s="22"/>
      <c r="X1022" s="22"/>
    </row>
    <row r="1023" spans="1:24">
      <c r="A1023" s="1320"/>
      <c r="B1023" s="88"/>
      <c r="C1023" s="1042"/>
      <c r="D1023" s="1495" t="s">
        <v>1121</v>
      </c>
      <c r="E1023" s="2147" t="s">
        <v>1508</v>
      </c>
      <c r="F1023" s="1473" t="s">
        <v>1667</v>
      </c>
      <c r="G1023" s="1365">
        <v>0.23</v>
      </c>
      <c r="H1023" s="1365"/>
      <c r="I1023" s="1286"/>
      <c r="J1023" s="198"/>
      <c r="K1023" s="1307">
        <f>G1023*$K$1017</f>
        <v>0.23114999999999999</v>
      </c>
      <c r="L1023" s="1335">
        <f>K1023*$K$974</f>
        <v>0</v>
      </c>
      <c r="M1023" s="1302">
        <v>19.23</v>
      </c>
      <c r="N1023" s="1700"/>
      <c r="O1023" s="1290">
        <f>ROUND(G1023*M1023,2)</f>
        <v>4.42</v>
      </c>
      <c r="P1023" s="1332">
        <f>M1023*K1023</f>
        <v>4.4450145000000001</v>
      </c>
      <c r="Q1023" s="3391"/>
      <c r="R1023" s="3363"/>
      <c r="S1023" s="22"/>
      <c r="T1023" s="22"/>
      <c r="U1023" s="22"/>
      <c r="V1023" s="22"/>
      <c r="W1023" s="22"/>
      <c r="X1023" s="22"/>
    </row>
    <row r="1024" spans="1:24">
      <c r="A1024" s="1320"/>
      <c r="B1024" s="88"/>
      <c r="C1024" s="1042"/>
      <c r="D1024" s="1385" t="s">
        <v>1067</v>
      </c>
      <c r="E1024" s="2149" t="s">
        <v>1508</v>
      </c>
      <c r="F1024" s="1473" t="s">
        <v>1512</v>
      </c>
      <c r="G1024" s="1365">
        <v>2.3E-2</v>
      </c>
      <c r="H1024" s="1365"/>
      <c r="I1024" s="1286"/>
      <c r="J1024" s="198"/>
      <c r="K1024" s="1307">
        <f>G1024*$K$1017</f>
        <v>2.3114999999999997E-2</v>
      </c>
      <c r="L1024" s="1335">
        <f>K1024*$K$974</f>
        <v>0</v>
      </c>
      <c r="M1024" s="1302">
        <v>18.28</v>
      </c>
      <c r="N1024" s="1700"/>
      <c r="O1024" s="1290">
        <f>ROUND(G1024*M1024,2)</f>
        <v>0.42</v>
      </c>
      <c r="P1024" s="1332">
        <f>M1024*K1024</f>
        <v>0.42254219999999998</v>
      </c>
      <c r="Q1024" s="3391"/>
      <c r="R1024" s="3363"/>
      <c r="S1024" s="22"/>
      <c r="T1024" s="22"/>
      <c r="U1024" s="22"/>
      <c r="V1024" s="22"/>
      <c r="W1024" s="22"/>
      <c r="X1024" s="22"/>
    </row>
    <row r="1025" spans="1:24">
      <c r="A1025" s="1320"/>
      <c r="B1025" s="88"/>
      <c r="C1025" s="1042"/>
      <c r="D1025" s="1411"/>
      <c r="E1025" s="2123"/>
      <c r="F1025" s="1374" t="s">
        <v>3</v>
      </c>
      <c r="G1025" s="1476"/>
      <c r="H1025" s="1376"/>
      <c r="I1025" s="1496"/>
      <c r="J1025" s="1383"/>
      <c r="K1025" s="1373"/>
      <c r="L1025" s="1413"/>
      <c r="M1025" s="1376"/>
      <c r="N1025" s="1376"/>
      <c r="O1025" s="1706"/>
      <c r="P1025" s="1373"/>
      <c r="Q1025" s="3387"/>
      <c r="R1025" s="3363"/>
      <c r="S1025" s="22"/>
      <c r="T1025" s="22"/>
      <c r="U1025" s="22"/>
      <c r="V1025" s="22"/>
      <c r="W1025" s="22"/>
      <c r="X1025" s="22"/>
    </row>
    <row r="1026" spans="1:24">
      <c r="A1026" s="1320"/>
      <c r="B1026" s="88"/>
      <c r="C1026" s="1042"/>
      <c r="D1026" s="1377"/>
      <c r="E1026" s="2124"/>
      <c r="F1026" s="1378"/>
      <c r="G1026" s="1476"/>
      <c r="H1026" s="1379"/>
      <c r="I1026" s="1286"/>
      <c r="J1026" s="198"/>
      <c r="K1026" s="1307"/>
      <c r="L1026" s="1335"/>
      <c r="M1026" s="1302"/>
      <c r="N1026" s="1700"/>
      <c r="O1026" s="1290"/>
      <c r="P1026" s="1332"/>
      <c r="Q1026" s="3391"/>
      <c r="R1026" s="3363"/>
      <c r="S1026" s="22"/>
      <c r="T1026" s="22"/>
      <c r="U1026" s="22"/>
      <c r="V1026" s="22"/>
      <c r="W1026" s="22"/>
      <c r="X1026" s="22"/>
    </row>
    <row r="1027" spans="1:24">
      <c r="A1027" s="1320"/>
      <c r="B1027" s="88"/>
      <c r="C1027" s="1042"/>
      <c r="D1027" s="1440"/>
      <c r="E1027" s="2132"/>
      <c r="F1027" s="1441"/>
      <c r="G1027" s="1441"/>
      <c r="H1027" s="1442"/>
      <c r="I1027" s="197" t="str">
        <f>IF(COUNT(H1028:O1028)=0,"",(SUM(H1028:O1028)/COUNT(H1028:O1028)))</f>
        <v/>
      </c>
      <c r="J1027" s="198"/>
      <c r="K1027" s="1307"/>
      <c r="L1027" s="1335"/>
      <c r="M1027" s="1499"/>
      <c r="N1027" s="1701"/>
      <c r="O1027" s="1290"/>
      <c r="P1027" s="1332"/>
      <c r="Q1027" s="3391"/>
      <c r="R1027" s="3363"/>
      <c r="S1027" s="22"/>
      <c r="T1027" s="22"/>
      <c r="U1027" s="22"/>
      <c r="V1027" s="22"/>
      <c r="W1027" s="22"/>
      <c r="X1027" s="22"/>
    </row>
    <row r="1028" spans="1:24">
      <c r="A1028" s="1320"/>
      <c r="B1028" s="581"/>
      <c r="C1028" s="223"/>
      <c r="D1028" s="1440"/>
      <c r="E1028" s="2132"/>
      <c r="F1028" s="1441"/>
      <c r="G1028" s="1441"/>
      <c r="H1028" s="1442"/>
      <c r="I1028" s="197" t="str">
        <f>IF(COUNT(G1029:O1029)=0,"",(SUM(G1029:O1029)/COUNT(G1029:O1029)))</f>
        <v/>
      </c>
      <c r="J1028" s="198"/>
      <c r="K1028" s="1307"/>
      <c r="L1028" s="1335"/>
      <c r="M1028" s="1499"/>
      <c r="N1028" s="1701"/>
      <c r="O1028" s="1290"/>
      <c r="P1028" s="1332"/>
      <c r="Q1028" s="3391"/>
      <c r="R1028" s="3363"/>
      <c r="S1028" s="22"/>
      <c r="T1028" s="22"/>
      <c r="U1028" s="22"/>
      <c r="V1028" s="22"/>
      <c r="W1028" s="22"/>
      <c r="X1028" s="22"/>
    </row>
    <row r="1029" spans="1:24" ht="15" customHeight="1">
      <c r="A1029" s="18" t="s">
        <v>3764</v>
      </c>
      <c r="B1029" s="4367" t="s">
        <v>1657</v>
      </c>
      <c r="C1029" s="3350"/>
      <c r="D1029" s="4327"/>
      <c r="E1029" s="4337" t="s">
        <v>1504</v>
      </c>
      <c r="F1029" s="4522" t="s">
        <v>1668</v>
      </c>
      <c r="G1029" s="4331" t="s">
        <v>1568</v>
      </c>
      <c r="H1029" s="4331" t="s">
        <v>1574</v>
      </c>
      <c r="I1029" s="1572" t="s">
        <v>1559</v>
      </c>
      <c r="J1029" s="1294" t="s">
        <v>1560</v>
      </c>
      <c r="K1029" s="1294" t="s">
        <v>1561</v>
      </c>
      <c r="L1029" s="4333" t="s">
        <v>3765</v>
      </c>
      <c r="M1029" s="4335" t="s">
        <v>1571</v>
      </c>
      <c r="N1029" s="4323" t="s">
        <v>1776</v>
      </c>
      <c r="O1029" s="3347" t="s">
        <v>1563</v>
      </c>
      <c r="P1029" s="1336" t="s">
        <v>1562</v>
      </c>
      <c r="Q1029" s="3389"/>
      <c r="R1029" s="1699" t="s">
        <v>1327</v>
      </c>
      <c r="S1029" s="22"/>
      <c r="T1029" s="22"/>
      <c r="U1029" s="22"/>
      <c r="V1029" s="22"/>
      <c r="W1029" s="22"/>
      <c r="X1029" s="22"/>
    </row>
    <row r="1030" spans="1:24">
      <c r="A1030" s="1733" t="s">
        <v>2813</v>
      </c>
      <c r="B1030" s="4369"/>
      <c r="C1030" s="3351"/>
      <c r="D1030" s="4328"/>
      <c r="E1030" s="4337"/>
      <c r="F1030" s="4522"/>
      <c r="G1030" s="4332"/>
      <c r="H1030" s="4332"/>
      <c r="I1030" s="1345">
        <v>5</v>
      </c>
      <c r="J1030" s="1307">
        <v>1.4999999999999999E-2</v>
      </c>
      <c r="K1030" s="1297">
        <f>I1030*J1030</f>
        <v>7.4999999999999997E-2</v>
      </c>
      <c r="L1030" s="4334"/>
      <c r="M1030" s="4335"/>
      <c r="N1030" s="4324"/>
      <c r="O1030" s="1298">
        <f>O1032+O1033+O1034+O1035+O1038+O1039</f>
        <v>44.789180000000002</v>
      </c>
      <c r="P1030" s="1337">
        <f>O1030*K1030</f>
        <v>3.3591885000000001</v>
      </c>
      <c r="Q1030" s="3390"/>
      <c r="R1030" s="1721">
        <f>P1032+P1033+P1034+P1035+P1038+P1039</f>
        <v>3.3591884999999997</v>
      </c>
      <c r="S1030" s="22"/>
      <c r="T1030" s="22"/>
      <c r="U1030" s="22"/>
      <c r="V1030" s="22"/>
      <c r="W1030" s="22"/>
      <c r="X1030" s="22"/>
    </row>
    <row r="1031" spans="1:24">
      <c r="A1031" s="1599"/>
      <c r="B1031" s="18"/>
      <c r="C1031" s="552"/>
      <c r="D1031" s="1367"/>
      <c r="E1031" s="2121"/>
      <c r="F1031" s="1389" t="s">
        <v>1</v>
      </c>
      <c r="G1031" s="1369"/>
      <c r="H1031" s="1369"/>
      <c r="I1031" s="1391"/>
      <c r="J1031" s="1369"/>
      <c r="K1031" s="1369"/>
      <c r="L1031" s="1554"/>
      <c r="M1031" s="1487"/>
      <c r="N1031" s="1487"/>
      <c r="O1031" s="1487"/>
      <c r="P1031" s="1367"/>
      <c r="Q1031" s="3387"/>
      <c r="R1031" s="3363"/>
      <c r="S1031" s="22"/>
      <c r="T1031" s="22"/>
      <c r="U1031" s="22"/>
      <c r="V1031" s="22"/>
      <c r="W1031" s="22"/>
      <c r="X1031" s="22"/>
    </row>
    <row r="1032" spans="1:24">
      <c r="A1032" s="1599"/>
      <c r="B1032" s="1042"/>
      <c r="C1032" s="88"/>
      <c r="D1032" s="1471" t="s">
        <v>1669</v>
      </c>
      <c r="E1032" s="2144" t="s">
        <v>1504</v>
      </c>
      <c r="F1032" s="1471" t="s">
        <v>1670</v>
      </c>
      <c r="G1032" s="1372">
        <v>1</v>
      </c>
      <c r="H1032" s="1372"/>
      <c r="I1032" s="1342"/>
      <c r="J1032" s="198"/>
      <c r="K1032" s="1307">
        <f>G1032*$K$1030</f>
        <v>7.4999999999999997E-2</v>
      </c>
      <c r="L1032" s="1335">
        <f>K1032*$K$974</f>
        <v>0</v>
      </c>
      <c r="M1032" s="1302">
        <v>20.18</v>
      </c>
      <c r="N1032" s="1700"/>
      <c r="O1032" s="1290">
        <f>G1032*M1032</f>
        <v>20.18</v>
      </c>
      <c r="P1032" s="1332">
        <f>M1032*K1032</f>
        <v>1.5134999999999998</v>
      </c>
      <c r="Q1032" s="3391"/>
      <c r="R1032" s="3363"/>
      <c r="S1032" s="22"/>
      <c r="T1032" s="22"/>
      <c r="U1032" s="22"/>
      <c r="V1032" s="22"/>
      <c r="W1032" s="22"/>
      <c r="X1032" s="22"/>
    </row>
    <row r="1033" spans="1:24">
      <c r="A1033" s="1599"/>
      <c r="B1033" s="1042"/>
      <c r="C1033" s="88"/>
      <c r="D1033" s="1471" t="s">
        <v>1671</v>
      </c>
      <c r="E1033" s="2144" t="s">
        <v>1504</v>
      </c>
      <c r="F1033" s="1471" t="s">
        <v>1672</v>
      </c>
      <c r="G1033" s="1372">
        <v>1</v>
      </c>
      <c r="H1033" s="1372"/>
      <c r="I1033" s="1286"/>
      <c r="J1033" s="198"/>
      <c r="K1033" s="1307">
        <f>G1033*$K$1030</f>
        <v>7.4999999999999997E-2</v>
      </c>
      <c r="L1033" s="1335">
        <f>K1033*$K$974</f>
        <v>0</v>
      </c>
      <c r="M1033" s="1302">
        <v>6.24</v>
      </c>
      <c r="N1033" s="1700"/>
      <c r="O1033" s="1290">
        <f>G1033*M1033</f>
        <v>6.24</v>
      </c>
      <c r="P1033" s="1332">
        <f>M1033*K1033</f>
        <v>0.46799999999999997</v>
      </c>
      <c r="Q1033" s="3391"/>
      <c r="R1033" s="3363"/>
      <c r="S1033" s="22"/>
      <c r="T1033" s="22"/>
      <c r="U1033" s="22"/>
      <c r="V1033" s="22"/>
      <c r="W1033" s="22"/>
      <c r="X1033" s="22"/>
    </row>
    <row r="1034" spans="1:24">
      <c r="A1034" s="1599"/>
      <c r="B1034" s="1042"/>
      <c r="C1034" s="88"/>
      <c r="D1034" s="1471" t="s">
        <v>1097</v>
      </c>
      <c r="E1034" s="2144" t="s">
        <v>1504</v>
      </c>
      <c r="F1034" s="1471" t="s">
        <v>1632</v>
      </c>
      <c r="G1034" s="1372">
        <v>4</v>
      </c>
      <c r="H1034" s="1372"/>
      <c r="I1034" s="198"/>
      <c r="J1034" s="198"/>
      <c r="K1034" s="1307">
        <f>G1034*$K$1030</f>
        <v>0.3</v>
      </c>
      <c r="L1034" s="1335">
        <f>K1034*$K$974</f>
        <v>0</v>
      </c>
      <c r="M1034" s="1302">
        <v>0.55000000000000004</v>
      </c>
      <c r="N1034" s="1700"/>
      <c r="O1034" s="1290">
        <f>G1034*M1034</f>
        <v>2.2000000000000002</v>
      </c>
      <c r="P1034" s="1332">
        <f>M1034*K1034</f>
        <v>0.16500000000000001</v>
      </c>
      <c r="Q1034" s="3391"/>
      <c r="R1034" s="3363"/>
      <c r="S1034" s="22"/>
      <c r="T1034" s="22"/>
      <c r="U1034" s="22"/>
      <c r="V1034" s="22"/>
      <c r="W1034" s="22"/>
      <c r="X1034" s="22"/>
    </row>
    <row r="1035" spans="1:24">
      <c r="A1035" s="1599"/>
      <c r="B1035" s="1042"/>
      <c r="C1035" s="88"/>
      <c r="D1035" s="1471" t="s">
        <v>1082</v>
      </c>
      <c r="E1035" s="2144" t="s">
        <v>1504</v>
      </c>
      <c r="F1035" s="1471" t="s">
        <v>1541</v>
      </c>
      <c r="G1035" s="1372">
        <v>1</v>
      </c>
      <c r="H1035" s="1372"/>
      <c r="I1035" s="198"/>
      <c r="J1035" s="198"/>
      <c r="K1035" s="1307">
        <f>G1035*$K$1030</f>
        <v>7.4999999999999997E-2</v>
      </c>
      <c r="L1035" s="1335">
        <f>K1035*$K$974</f>
        <v>0</v>
      </c>
      <c r="M1035" s="1302">
        <v>0.3</v>
      </c>
      <c r="N1035" s="1700"/>
      <c r="O1035" s="1290">
        <f>G1035*M1035</f>
        <v>0.3</v>
      </c>
      <c r="P1035" s="1332">
        <f>M1035*K1035</f>
        <v>2.2499999999999999E-2</v>
      </c>
      <c r="Q1035" s="3391"/>
      <c r="R1035" s="3363"/>
      <c r="S1035" s="22"/>
      <c r="T1035" s="22"/>
      <c r="U1035" s="22"/>
      <c r="V1035" s="22"/>
      <c r="W1035" s="22"/>
      <c r="X1035" s="22"/>
    </row>
    <row r="1036" spans="1:24">
      <c r="A1036" s="1599"/>
      <c r="B1036" s="1042"/>
      <c r="C1036" s="88"/>
      <c r="D1036" s="1606"/>
      <c r="E1036" s="2153"/>
      <c r="F1036" s="1607" t="s">
        <v>1704</v>
      </c>
      <c r="G1036" s="1372"/>
      <c r="H1036" s="1372"/>
      <c r="I1036" s="198"/>
      <c r="J1036" s="198"/>
      <c r="K1036" s="1307" t="str">
        <f>IF(COUNT(#REF!)=0,"",IF(#REF!="","",(#REF!*#REF!)))</f>
        <v/>
      </c>
      <c r="L1036" s="1335"/>
      <c r="M1036" s="1302"/>
      <c r="N1036" s="1700"/>
      <c r="O1036" s="1290"/>
      <c r="P1036" s="1332"/>
      <c r="Q1036" s="3391"/>
      <c r="R1036" s="3363"/>
      <c r="S1036" s="22"/>
      <c r="T1036" s="22"/>
      <c r="U1036" s="22"/>
      <c r="V1036" s="22"/>
      <c r="W1036" s="22"/>
      <c r="X1036" s="22"/>
    </row>
    <row r="1037" spans="1:24">
      <c r="A1037" s="1599"/>
      <c r="B1037" s="1042"/>
      <c r="C1037" s="88"/>
      <c r="D1037" s="1359"/>
      <c r="E1037" s="1858"/>
      <c r="F1037" s="1465" t="s">
        <v>2</v>
      </c>
      <c r="G1037" s="1466"/>
      <c r="H1037" s="1362"/>
      <c r="I1037" s="1381"/>
      <c r="J1037" s="1381"/>
      <c r="K1037" s="1359"/>
      <c r="L1037" s="1458"/>
      <c r="M1037" s="1498"/>
      <c r="N1037" s="1498"/>
      <c r="O1037" s="1498"/>
      <c r="P1037" s="1359"/>
      <c r="Q1037" s="3387"/>
      <c r="R1037" s="3363"/>
      <c r="S1037" s="22"/>
      <c r="T1037" s="22"/>
      <c r="U1037" s="22"/>
      <c r="V1037" s="22"/>
      <c r="W1037" s="22"/>
      <c r="X1037" s="22"/>
    </row>
    <row r="1038" spans="1:24">
      <c r="A1038" s="1599"/>
      <c r="B1038" s="1042"/>
      <c r="C1038" s="88"/>
      <c r="D1038" s="1363" t="s">
        <v>1099</v>
      </c>
      <c r="E1038" s="2125" t="s">
        <v>1508</v>
      </c>
      <c r="F1038" s="1363" t="s">
        <v>1633</v>
      </c>
      <c r="G1038" s="1408">
        <v>0.4</v>
      </c>
      <c r="H1038" s="1408"/>
      <c r="I1038" s="1340"/>
      <c r="J1038" s="198"/>
      <c r="K1038" s="1307">
        <f>G1038*$K$1030</f>
        <v>0.03</v>
      </c>
      <c r="L1038" s="1335">
        <f>K1038*$K$974</f>
        <v>0</v>
      </c>
      <c r="M1038" s="1302">
        <v>19.23</v>
      </c>
      <c r="N1038" s="1700"/>
      <c r="O1038" s="1290">
        <f>G1038*M1038</f>
        <v>7.6920000000000002</v>
      </c>
      <c r="P1038" s="1332">
        <f>M1038*K1038</f>
        <v>0.57689999999999997</v>
      </c>
      <c r="Q1038" s="3391"/>
      <c r="R1038" s="3363"/>
      <c r="S1038" s="22"/>
      <c r="T1038" s="22"/>
      <c r="U1038" s="22"/>
      <c r="V1038" s="22"/>
      <c r="W1038" s="22"/>
      <c r="X1038" s="22"/>
    </row>
    <row r="1039" spans="1:24">
      <c r="A1039" s="1599"/>
      <c r="B1039" s="1042"/>
      <c r="C1039" s="1358" t="s">
        <v>1523</v>
      </c>
      <c r="D1039" s="1329"/>
      <c r="E1039" s="2135" t="s">
        <v>1508</v>
      </c>
      <c r="F1039" s="1330" t="s">
        <v>1524</v>
      </c>
      <c r="G1039" s="2231"/>
      <c r="H1039" s="1776">
        <v>0.218</v>
      </c>
      <c r="I1039" s="1488"/>
      <c r="J1039" s="1388"/>
      <c r="K1039" s="1510"/>
      <c r="L1039" s="1445"/>
      <c r="M1039" s="1446"/>
      <c r="N1039" s="1447">
        <f>SUM(N1040:N1041)</f>
        <v>37.510000000000005</v>
      </c>
      <c r="O1039" s="1447">
        <f>SUM(O1040:O1041)</f>
        <v>8.1771799999999999</v>
      </c>
      <c r="P1039" s="1447">
        <f>SUM(P1040:P1041)</f>
        <v>0.61328850000000001</v>
      </c>
      <c r="Q1039" s="3391"/>
      <c r="R1039" s="3363"/>
      <c r="S1039" s="22"/>
      <c r="T1039" s="22"/>
      <c r="U1039" s="22"/>
      <c r="V1039" s="22"/>
      <c r="W1039" s="22"/>
      <c r="X1039" s="22"/>
    </row>
    <row r="1040" spans="1:24">
      <c r="A1040" s="1599"/>
      <c r="B1040" s="1042"/>
      <c r="C1040" s="1042"/>
      <c r="D1040" s="1402" t="s">
        <v>1067</v>
      </c>
      <c r="E1040" s="1857" t="s">
        <v>1508</v>
      </c>
      <c r="F1040" s="1430" t="s">
        <v>5</v>
      </c>
      <c r="G1040" s="1362">
        <v>1</v>
      </c>
      <c r="H1040" s="1408">
        <f>G1040*$H$1039</f>
        <v>0.218</v>
      </c>
      <c r="I1040" s="1340"/>
      <c r="J1040" s="198"/>
      <c r="K1040" s="1307">
        <f>H1040*$K$1030</f>
        <v>1.635E-2</v>
      </c>
      <c r="L1040" s="1335">
        <f>K1040*$K$974</f>
        <v>0</v>
      </c>
      <c r="M1040" s="1302">
        <v>18.28</v>
      </c>
      <c r="N1040" s="1724">
        <f>G1040*M1040</f>
        <v>18.28</v>
      </c>
      <c r="O1040" s="1726">
        <f>H1040*M1040</f>
        <v>3.9850400000000001</v>
      </c>
      <c r="P1040" s="1727">
        <f>M1040*K1040</f>
        <v>0.29887800000000003</v>
      </c>
      <c r="Q1040" s="3396"/>
      <c r="R1040" s="3363"/>
      <c r="S1040" s="22"/>
      <c r="T1040" s="22"/>
      <c r="U1040" s="22"/>
      <c r="V1040" s="22"/>
      <c r="W1040" s="22"/>
      <c r="X1040" s="22"/>
    </row>
    <row r="1041" spans="1:24">
      <c r="A1041" s="1599"/>
      <c r="B1041" s="1042"/>
      <c r="C1041" s="1042"/>
      <c r="D1041" s="1402" t="s">
        <v>1077</v>
      </c>
      <c r="E1041" s="1857" t="s">
        <v>1508</v>
      </c>
      <c r="F1041" s="1430" t="s">
        <v>37</v>
      </c>
      <c r="G1041" s="1362">
        <v>1</v>
      </c>
      <c r="H1041" s="1408">
        <f>G1041*$H$1039</f>
        <v>0.218</v>
      </c>
      <c r="I1041" s="198"/>
      <c r="J1041" s="198"/>
      <c r="K1041" s="1307">
        <f>H1041*$K$1030</f>
        <v>1.635E-2</v>
      </c>
      <c r="L1041" s="1335">
        <f>K1041*$K$974</f>
        <v>0</v>
      </c>
      <c r="M1041" s="1302">
        <v>19.23</v>
      </c>
      <c r="N1041" s="1724">
        <f>G1041*M1041</f>
        <v>19.23</v>
      </c>
      <c r="O1041" s="1726">
        <f>H1041*M1041</f>
        <v>4.1921400000000002</v>
      </c>
      <c r="P1041" s="1727">
        <f>M1041*K1041</f>
        <v>0.31441049999999998</v>
      </c>
      <c r="Q1041" s="3396"/>
      <c r="R1041" s="3363"/>
      <c r="S1041" s="22"/>
      <c r="T1041" s="22"/>
      <c r="U1041" s="22"/>
      <c r="V1041" s="22"/>
      <c r="W1041" s="22"/>
      <c r="X1041" s="22"/>
    </row>
    <row r="1042" spans="1:24">
      <c r="A1042" s="1599"/>
      <c r="B1042" s="1042"/>
      <c r="C1042" s="88"/>
      <c r="D1042" s="1373"/>
      <c r="E1042" s="2123"/>
      <c r="F1042" s="1475" t="s">
        <v>3</v>
      </c>
      <c r="G1042" s="1377"/>
      <c r="H1042" s="1376"/>
      <c r="I1042" s="1383" t="str">
        <f>IF(COUNT(#REF!)=0,"",(SUM(#REF!)/COUNT(#REF!)))</f>
        <v/>
      </c>
      <c r="J1042" s="1383"/>
      <c r="K1042" s="1383"/>
      <c r="L1042" s="1413"/>
      <c r="M1042" s="1376"/>
      <c r="N1042" s="1376"/>
      <c r="O1042" s="1376"/>
      <c r="P1042" s="1373"/>
      <c r="Q1042" s="3387"/>
      <c r="R1042" s="3363"/>
      <c r="S1042" s="22"/>
      <c r="T1042" s="22"/>
      <c r="U1042" s="22"/>
      <c r="V1042" s="22"/>
      <c r="W1042" s="22"/>
      <c r="X1042" s="22"/>
    </row>
    <row r="1043" spans="1:24">
      <c r="A1043" s="1599"/>
      <c r="B1043" s="1042"/>
      <c r="C1043" s="88"/>
      <c r="D1043" s="1440"/>
      <c r="E1043" s="2132"/>
      <c r="F1043" s="1441"/>
      <c r="G1043" s="1441"/>
      <c r="H1043" s="1442"/>
      <c r="I1043" s="197" t="str">
        <f>IF(COUNT(H1044:O1044)=0,"",(SUM(H1044:O1044)/COUNT(H1044:O1044)))</f>
        <v/>
      </c>
      <c r="J1043" s="198"/>
      <c r="K1043" s="1307"/>
      <c r="L1043" s="1335"/>
      <c r="M1043" s="1499"/>
      <c r="N1043" s="1701"/>
      <c r="O1043" s="1290"/>
      <c r="P1043" s="1332"/>
      <c r="Q1043" s="3391"/>
      <c r="R1043" s="3363"/>
      <c r="S1043" s="22"/>
      <c r="T1043" s="22"/>
      <c r="U1043" s="22"/>
      <c r="V1043" s="22"/>
      <c r="W1043" s="22"/>
      <c r="X1043" s="22"/>
    </row>
    <row r="1044" spans="1:24">
      <c r="A1044" s="1599"/>
      <c r="B1044" s="1042"/>
      <c r="C1044" s="88"/>
      <c r="D1044" s="1440"/>
      <c r="E1044" s="2132"/>
      <c r="F1044" s="1441"/>
      <c r="G1044" s="1441"/>
      <c r="H1044" s="1442"/>
      <c r="I1044" s="197" t="str">
        <f>IF(COUNT(H1045:O1045)=0,"",(SUM(H1045:O1045)/COUNT(H1045:O1045)))</f>
        <v/>
      </c>
      <c r="J1044" s="198"/>
      <c r="K1044" s="1307"/>
      <c r="L1044" s="1335"/>
      <c r="M1044" s="1499"/>
      <c r="N1044" s="1701"/>
      <c r="O1044" s="1290"/>
      <c r="P1044" s="1332"/>
      <c r="Q1044" s="3391"/>
      <c r="R1044" s="3363"/>
      <c r="S1044" s="22"/>
      <c r="T1044" s="22"/>
      <c r="U1044" s="22"/>
      <c r="V1044" s="22"/>
      <c r="W1044" s="22"/>
      <c r="X1044" s="22"/>
    </row>
    <row r="1045" spans="1:24">
      <c r="A1045" s="1599"/>
      <c r="B1045" s="223"/>
      <c r="C1045" s="581"/>
      <c r="D1045" s="1440"/>
      <c r="E1045" s="2132"/>
      <c r="F1045" s="1441"/>
      <c r="G1045" s="1441"/>
      <c r="H1045" s="1442"/>
      <c r="I1045" s="197"/>
      <c r="J1045" s="198"/>
      <c r="K1045" s="1307"/>
      <c r="L1045" s="1335"/>
      <c r="M1045" s="1499"/>
      <c r="N1045" s="1701"/>
      <c r="O1045" s="1290"/>
      <c r="P1045" s="1332"/>
      <c r="Q1045" s="3391"/>
      <c r="R1045" s="3363"/>
      <c r="S1045" s="22"/>
      <c r="T1045" s="22"/>
      <c r="U1045" s="22"/>
      <c r="V1045" s="22"/>
      <c r="W1045" s="22"/>
      <c r="X1045" s="22"/>
    </row>
    <row r="1046" spans="1:24" ht="15" customHeight="1">
      <c r="A1046" s="88" t="s">
        <v>3764</v>
      </c>
      <c r="B1046" s="4367" t="s">
        <v>1705</v>
      </c>
      <c r="C1046" s="3350"/>
      <c r="D1046" s="4327"/>
      <c r="E1046" s="4337" t="s">
        <v>1527</v>
      </c>
      <c r="F1046" s="4338" t="s">
        <v>1707</v>
      </c>
      <c r="G1046" s="4331" t="s">
        <v>1568</v>
      </c>
      <c r="H1046" s="4331" t="s">
        <v>1574</v>
      </c>
      <c r="I1046" s="1572" t="s">
        <v>1559</v>
      </c>
      <c r="J1046" s="1294" t="s">
        <v>1560</v>
      </c>
      <c r="K1046" s="1294" t="s">
        <v>1561</v>
      </c>
      <c r="L1046" s="4333" t="s">
        <v>3765</v>
      </c>
      <c r="M1046" s="4335" t="s">
        <v>1571</v>
      </c>
      <c r="N1046" s="4323" t="s">
        <v>1776</v>
      </c>
      <c r="O1046" s="3347" t="s">
        <v>1563</v>
      </c>
      <c r="P1046" s="1336" t="s">
        <v>1562</v>
      </c>
      <c r="Q1046" s="3389"/>
      <c r="R1046" s="1699" t="s">
        <v>1327</v>
      </c>
      <c r="S1046" s="22"/>
      <c r="T1046" s="22"/>
      <c r="U1046" s="22"/>
      <c r="V1046" s="22"/>
      <c r="W1046" s="22"/>
      <c r="X1046" s="22"/>
    </row>
    <row r="1047" spans="1:24">
      <c r="A1047" s="1733" t="s">
        <v>2813</v>
      </c>
      <c r="B1047" s="4369"/>
      <c r="C1047" s="3351"/>
      <c r="D1047" s="4328"/>
      <c r="E1047" s="4337"/>
      <c r="F1047" s="4338"/>
      <c r="G1047" s="4332"/>
      <c r="H1047" s="4332"/>
      <c r="I1047" s="1345">
        <v>67</v>
      </c>
      <c r="J1047" s="1307">
        <v>1.4999999999999999E-2</v>
      </c>
      <c r="K1047" s="1297">
        <f>I1047*J1047</f>
        <v>1.0049999999999999</v>
      </c>
      <c r="L1047" s="4334"/>
      <c r="M1047" s="4335"/>
      <c r="N1047" s="4324"/>
      <c r="O1047" s="1298">
        <f>O1049+O1050+O1051+O1055</f>
        <v>26.2102</v>
      </c>
      <c r="P1047" s="1337">
        <f>K1047*O1047</f>
        <v>26.341250999999996</v>
      </c>
      <c r="Q1047" s="3390"/>
      <c r="R1047" s="1721">
        <f>P1049+P1050+P1051+P1055</f>
        <v>26.341251</v>
      </c>
      <c r="S1047" s="22"/>
      <c r="T1047" s="22"/>
      <c r="U1047" s="22"/>
      <c r="V1047" s="22"/>
      <c r="W1047" s="22"/>
      <c r="X1047" s="22"/>
    </row>
    <row r="1048" spans="1:24">
      <c r="A1048" s="19"/>
      <c r="B1048" s="551"/>
      <c r="C1048" s="18"/>
      <c r="D1048" s="1400"/>
      <c r="E1048" s="2121"/>
      <c r="F1048" s="1389" t="s">
        <v>1</v>
      </c>
      <c r="G1048" s="1369"/>
      <c r="H1048" s="1369"/>
      <c r="I1048" s="1391"/>
      <c r="J1048" s="1369"/>
      <c r="K1048" s="1369"/>
      <c r="L1048" s="1554"/>
      <c r="M1048" s="1487"/>
      <c r="N1048" s="1487"/>
      <c r="O1048" s="1487"/>
      <c r="P1048" s="1367"/>
      <c r="Q1048" s="3387"/>
      <c r="R1048" s="3363"/>
      <c r="S1048" s="22"/>
      <c r="T1048" s="22"/>
      <c r="U1048" s="22"/>
      <c r="V1048" s="22"/>
      <c r="W1048" s="22"/>
      <c r="X1048" s="22"/>
    </row>
    <row r="1049" spans="1:24">
      <c r="A1049" s="19"/>
      <c r="B1049" s="553"/>
      <c r="C1049" s="1042"/>
      <c r="D1049" s="1610" t="s">
        <v>1708</v>
      </c>
      <c r="E1049" s="2154" t="s">
        <v>1527</v>
      </c>
      <c r="F1049" s="1613" t="s">
        <v>1709</v>
      </c>
      <c r="G1049" s="1588">
        <v>1.01</v>
      </c>
      <c r="H1049" s="1588"/>
      <c r="I1049" s="1342"/>
      <c r="J1049" s="198"/>
      <c r="K1049" s="1307">
        <f>G1049*$K$1047</f>
        <v>1.01505</v>
      </c>
      <c r="L1049" s="1335">
        <f>K1049*$K$974</f>
        <v>0</v>
      </c>
      <c r="M1049" s="1302">
        <v>8.6199999999999992</v>
      </c>
      <c r="N1049" s="1700"/>
      <c r="O1049" s="1290">
        <f>(G1049*M1049)</f>
        <v>8.7061999999999991</v>
      </c>
      <c r="P1049" s="1332">
        <f>M1049*K1049</f>
        <v>8.7497309999999988</v>
      </c>
      <c r="Q1049" s="3391"/>
      <c r="R1049" s="3363"/>
      <c r="S1049" s="22"/>
      <c r="T1049" s="22"/>
      <c r="U1049" s="22"/>
      <c r="V1049" s="22"/>
      <c r="W1049" s="22"/>
      <c r="X1049" s="22"/>
    </row>
    <row r="1050" spans="1:24">
      <c r="A1050" s="19"/>
      <c r="B1050" s="553"/>
      <c r="C1050" s="1320"/>
      <c r="D1050" s="1610" t="s">
        <v>1097</v>
      </c>
      <c r="E1050" s="2154" t="s">
        <v>1504</v>
      </c>
      <c r="F1050" s="1613" t="s">
        <v>1632</v>
      </c>
      <c r="G1050" s="1588">
        <v>4</v>
      </c>
      <c r="H1050" s="1588"/>
      <c r="I1050" s="1614"/>
      <c r="J1050" s="1341"/>
      <c r="K1050" s="1307">
        <f>G1050*$K$1047</f>
        <v>4.0199999999999996</v>
      </c>
      <c r="L1050" s="1335">
        <f>K1050*$K$974</f>
        <v>0</v>
      </c>
      <c r="M1050" s="1302">
        <v>0.55000000000000004</v>
      </c>
      <c r="N1050" s="1700"/>
      <c r="O1050" s="1290">
        <f>(G1050*M1050)</f>
        <v>2.2000000000000002</v>
      </c>
      <c r="P1050" s="1332">
        <f>M1050*K1050</f>
        <v>2.2109999999999999</v>
      </c>
      <c r="Q1050" s="3391"/>
      <c r="R1050" s="3363"/>
      <c r="S1050" s="22"/>
      <c r="T1050" s="22"/>
      <c r="U1050" s="22"/>
      <c r="V1050" s="22"/>
      <c r="W1050" s="22"/>
      <c r="X1050" s="22"/>
    </row>
    <row r="1051" spans="1:24">
      <c r="A1051" s="19"/>
      <c r="B1051" s="553"/>
      <c r="C1051" s="1320"/>
      <c r="D1051" s="1610" t="s">
        <v>1082</v>
      </c>
      <c r="E1051" s="2154" t="s">
        <v>1504</v>
      </c>
      <c r="F1051" s="1613" t="s">
        <v>1541</v>
      </c>
      <c r="G1051" s="1588">
        <v>1</v>
      </c>
      <c r="H1051" s="1588"/>
      <c r="I1051" s="1286"/>
      <c r="J1051" s="198"/>
      <c r="K1051" s="1307">
        <f>G1051*$K$1047</f>
        <v>1.0049999999999999</v>
      </c>
      <c r="L1051" s="1335">
        <f>K1051*$K$974</f>
        <v>0</v>
      </c>
      <c r="M1051" s="1302">
        <v>0.3</v>
      </c>
      <c r="N1051" s="1700"/>
      <c r="O1051" s="1290">
        <f>(G1051*M1051)</f>
        <v>0.3</v>
      </c>
      <c r="P1051" s="1332">
        <f>M1051*K1051</f>
        <v>0.30149999999999993</v>
      </c>
      <c r="Q1051" s="3391"/>
      <c r="R1051" s="3363"/>
      <c r="S1051" s="22"/>
      <c r="T1051" s="22"/>
      <c r="U1051" s="22"/>
      <c r="V1051" s="22"/>
      <c r="W1051" s="22"/>
      <c r="X1051" s="22"/>
    </row>
    <row r="1052" spans="1:24">
      <c r="A1052" s="19"/>
      <c r="B1052" s="553"/>
      <c r="C1052" s="1320"/>
      <c r="D1052" s="1400"/>
      <c r="E1052" s="1856"/>
      <c r="F1052" s="2230"/>
      <c r="G1052" s="1453"/>
      <c r="H1052" s="1453"/>
      <c r="I1052" s="1286"/>
      <c r="J1052" s="198"/>
      <c r="K1052" s="1307"/>
      <c r="L1052" s="1335"/>
      <c r="M1052" s="1302"/>
      <c r="N1052" s="1700"/>
      <c r="O1052" s="1290"/>
      <c r="P1052" s="1332"/>
      <c r="Q1052" s="3391"/>
      <c r="R1052" s="3363"/>
      <c r="S1052" s="22"/>
      <c r="T1052" s="22"/>
      <c r="U1052" s="22"/>
      <c r="V1052" s="22"/>
      <c r="W1052" s="22"/>
      <c r="X1052" s="22"/>
    </row>
    <row r="1053" spans="1:24">
      <c r="A1053" s="19"/>
      <c r="B1053" s="1042"/>
      <c r="C1053" s="88"/>
      <c r="D1053" s="1610"/>
      <c r="E1053" s="2154"/>
      <c r="F1053" s="1613"/>
      <c r="G1053" s="1588"/>
      <c r="H1053" s="1588"/>
      <c r="I1053" s="1286"/>
      <c r="J1053" s="198"/>
      <c r="K1053" s="1307" t="s">
        <v>506</v>
      </c>
      <c r="L1053" s="1335"/>
      <c r="M1053" s="1302"/>
      <c r="N1053" s="1700"/>
      <c r="O1053" s="1290"/>
      <c r="P1053" s="1332"/>
      <c r="Q1053" s="3391"/>
      <c r="R1053" s="3363"/>
      <c r="S1053" s="22"/>
      <c r="T1053" s="22"/>
      <c r="U1053" s="22"/>
      <c r="V1053" s="22"/>
      <c r="W1053" s="22"/>
      <c r="X1053" s="22"/>
    </row>
    <row r="1054" spans="1:24">
      <c r="A1054" s="19"/>
      <c r="B1054" s="1042"/>
      <c r="C1054" s="88"/>
      <c r="D1054" s="1359"/>
      <c r="E1054" s="1858"/>
      <c r="F1054" s="1465" t="s">
        <v>2</v>
      </c>
      <c r="G1054" s="1466"/>
      <c r="H1054" s="1362"/>
      <c r="I1054" s="1381"/>
      <c r="J1054" s="1381"/>
      <c r="K1054" s="1359"/>
      <c r="L1054" s="1458"/>
      <c r="M1054" s="1498"/>
      <c r="N1054" s="1498"/>
      <c r="O1054" s="1498"/>
      <c r="P1054" s="1359"/>
      <c r="Q1054" s="3387"/>
      <c r="R1054" s="3363"/>
      <c r="S1054" s="22"/>
      <c r="T1054" s="22"/>
      <c r="U1054" s="22"/>
      <c r="V1054" s="22"/>
      <c r="W1054" s="22"/>
      <c r="X1054" s="22"/>
    </row>
    <row r="1055" spans="1:24">
      <c r="A1055" s="19"/>
      <c r="B1055" s="1042"/>
      <c r="C1055" s="1358" t="s">
        <v>1523</v>
      </c>
      <c r="D1055" s="1329"/>
      <c r="E1055" s="2135" t="s">
        <v>1508</v>
      </c>
      <c r="F1055" s="1330" t="s">
        <v>1524</v>
      </c>
      <c r="G1055" s="1584"/>
      <c r="H1055" s="1584">
        <v>0.4</v>
      </c>
      <c r="I1055" s="1488"/>
      <c r="J1055" s="1388"/>
      <c r="K1055" s="1510"/>
      <c r="L1055" s="1445"/>
      <c r="M1055" s="1446"/>
      <c r="N1055" s="1447">
        <f>SUM(N1056:N1057)</f>
        <v>37.510000000000005</v>
      </c>
      <c r="O1055" s="1447">
        <f>SUM(O1056:O1057)</f>
        <v>15.004000000000001</v>
      </c>
      <c r="P1055" s="1447">
        <f>SUM(P1056:P1057)</f>
        <v>15.07902</v>
      </c>
      <c r="Q1055" s="3391"/>
      <c r="R1055" s="3363"/>
      <c r="S1055" s="22"/>
      <c r="T1055" s="22"/>
      <c r="U1055" s="22"/>
      <c r="V1055" s="22"/>
      <c r="W1055" s="22"/>
      <c r="X1055" s="22"/>
    </row>
    <row r="1056" spans="1:24">
      <c r="A1056" s="19"/>
      <c r="B1056" s="1042"/>
      <c r="C1056" s="1042"/>
      <c r="D1056" s="1402" t="s">
        <v>1067</v>
      </c>
      <c r="E1056" s="1857" t="s">
        <v>1508</v>
      </c>
      <c r="F1056" s="1430" t="s">
        <v>5</v>
      </c>
      <c r="G1056" s="1362">
        <v>1</v>
      </c>
      <c r="H1056" s="1408">
        <f>G1056*$H$1055</f>
        <v>0.4</v>
      </c>
      <c r="I1056" s="1340"/>
      <c r="J1056" s="198"/>
      <c r="K1056" s="1307">
        <f>H1056*$K$1047</f>
        <v>0.40199999999999997</v>
      </c>
      <c r="L1056" s="1335">
        <f>K1056*$K$974</f>
        <v>0</v>
      </c>
      <c r="M1056" s="1302">
        <v>18.28</v>
      </c>
      <c r="N1056" s="1724">
        <f>G1056*M1056</f>
        <v>18.28</v>
      </c>
      <c r="O1056" s="1726">
        <f>H1056*M1056</f>
        <v>7.3120000000000012</v>
      </c>
      <c r="P1056" s="1727">
        <f>M1056*K1056</f>
        <v>7.34856</v>
      </c>
      <c r="Q1056" s="3396"/>
      <c r="R1056" s="3363"/>
      <c r="S1056" s="22"/>
      <c r="T1056" s="22"/>
      <c r="U1056" s="22"/>
      <c r="V1056" s="22"/>
      <c r="W1056" s="22"/>
      <c r="X1056" s="22"/>
    </row>
    <row r="1057" spans="1:24">
      <c r="A1057" s="19"/>
      <c r="B1057" s="1042"/>
      <c r="C1057" s="1042"/>
      <c r="D1057" s="1402" t="s">
        <v>1077</v>
      </c>
      <c r="E1057" s="1857" t="s">
        <v>1508</v>
      </c>
      <c r="F1057" s="1430" t="s">
        <v>37</v>
      </c>
      <c r="G1057" s="1362">
        <v>1</v>
      </c>
      <c r="H1057" s="1408">
        <f>G1057*$H$1055</f>
        <v>0.4</v>
      </c>
      <c r="I1057" s="198"/>
      <c r="J1057" s="198"/>
      <c r="K1057" s="1307">
        <f>H1057*$K$1047</f>
        <v>0.40199999999999997</v>
      </c>
      <c r="L1057" s="1335">
        <f>K1057*$K$974</f>
        <v>0</v>
      </c>
      <c r="M1057" s="1302">
        <v>19.23</v>
      </c>
      <c r="N1057" s="1724">
        <f>G1057*M1057</f>
        <v>19.23</v>
      </c>
      <c r="O1057" s="1726">
        <f>H1057*M1057</f>
        <v>7.6920000000000002</v>
      </c>
      <c r="P1057" s="1727">
        <f>M1057*K1057</f>
        <v>7.7304599999999999</v>
      </c>
      <c r="Q1057" s="3396"/>
      <c r="R1057" s="3363"/>
      <c r="S1057" s="22"/>
      <c r="T1057" s="22"/>
      <c r="U1057" s="22"/>
      <c r="V1057" s="22"/>
      <c r="W1057" s="22"/>
      <c r="X1057" s="22"/>
    </row>
    <row r="1058" spans="1:24">
      <c r="A1058" s="19"/>
      <c r="B1058" s="1042"/>
      <c r="C1058" s="88"/>
      <c r="D1058" s="1373"/>
      <c r="E1058" s="2123"/>
      <c r="F1058" s="1475" t="s">
        <v>3</v>
      </c>
      <c r="G1058" s="1377"/>
      <c r="H1058" s="1376"/>
      <c r="I1058" s="1383" t="s">
        <v>506</v>
      </c>
      <c r="J1058" s="1383"/>
      <c r="K1058" s="1383"/>
      <c r="L1058" s="1413" t="s">
        <v>506</v>
      </c>
      <c r="M1058" s="1376"/>
      <c r="N1058" s="1376"/>
      <c r="O1058" s="1376"/>
      <c r="P1058" s="1373"/>
      <c r="Q1058" s="3387"/>
      <c r="R1058" s="3363"/>
      <c r="S1058" s="22"/>
      <c r="T1058" s="22"/>
      <c r="U1058" s="22"/>
      <c r="V1058" s="22"/>
      <c r="W1058" s="22"/>
      <c r="X1058" s="22"/>
    </row>
    <row r="1059" spans="1:24">
      <c r="A1059" s="19"/>
      <c r="B1059" s="1042"/>
      <c r="C1059" s="88"/>
      <c r="D1059" s="1440"/>
      <c r="E1059" s="2132"/>
      <c r="F1059" s="1441"/>
      <c r="G1059" s="1441"/>
      <c r="H1059" s="1442"/>
      <c r="I1059" s="197" t="s">
        <v>506</v>
      </c>
      <c r="J1059" s="198"/>
      <c r="K1059" s="1307"/>
      <c r="L1059" s="1335" t="s">
        <v>506</v>
      </c>
      <c r="M1059" s="1499"/>
      <c r="N1059" s="1701"/>
      <c r="O1059" s="1290"/>
      <c r="P1059" s="1332"/>
      <c r="Q1059" s="3391"/>
      <c r="R1059" s="3363"/>
      <c r="S1059" s="22"/>
      <c r="T1059" s="22"/>
      <c r="U1059" s="22"/>
      <c r="V1059" s="22"/>
      <c r="W1059" s="22"/>
      <c r="X1059" s="22"/>
    </row>
    <row r="1060" spans="1:24">
      <c r="A1060" s="19"/>
      <c r="B1060" s="1042"/>
      <c r="C1060" s="88"/>
      <c r="D1060" s="1440"/>
      <c r="E1060" s="2132"/>
      <c r="F1060" s="1441"/>
      <c r="G1060" s="1441"/>
      <c r="H1060" s="1442"/>
      <c r="I1060" s="197" t="s">
        <v>506</v>
      </c>
      <c r="J1060" s="198"/>
      <c r="K1060" s="1307"/>
      <c r="L1060" s="1335" t="s">
        <v>506</v>
      </c>
      <c r="M1060" s="1499"/>
      <c r="N1060" s="1701"/>
      <c r="O1060" s="1290"/>
      <c r="P1060" s="1332"/>
      <c r="Q1060" s="3391"/>
      <c r="R1060" s="3363"/>
      <c r="S1060" s="22"/>
      <c r="T1060" s="22"/>
      <c r="U1060" s="22"/>
      <c r="V1060" s="22"/>
      <c r="W1060" s="22"/>
      <c r="X1060" s="22"/>
    </row>
    <row r="1061" spans="1:24">
      <c r="A1061" s="19"/>
      <c r="B1061" s="223"/>
      <c r="C1061" s="581"/>
      <c r="D1061" s="1440"/>
      <c r="E1061" s="2132"/>
      <c r="F1061" s="1441"/>
      <c r="G1061" s="1441"/>
      <c r="H1061" s="1442"/>
      <c r="I1061" s="197"/>
      <c r="J1061" s="198"/>
      <c r="K1061" s="1307"/>
      <c r="L1061" s="1335"/>
      <c r="M1061" s="1499"/>
      <c r="N1061" s="1701"/>
      <c r="O1061" s="1290"/>
      <c r="P1061" s="1332"/>
      <c r="Q1061" s="3391"/>
      <c r="R1061" s="3363"/>
      <c r="S1061" s="22"/>
      <c r="T1061" s="22"/>
      <c r="U1061" s="22"/>
      <c r="V1061" s="22"/>
      <c r="W1061" s="22"/>
      <c r="X1061" s="22"/>
    </row>
    <row r="1062" spans="1:24" ht="15" customHeight="1">
      <c r="A1062" s="88" t="s">
        <v>3764</v>
      </c>
      <c r="B1062" s="4367" t="s">
        <v>57</v>
      </c>
      <c r="C1062" s="3350"/>
      <c r="D1062" s="4327"/>
      <c r="E1062" s="4337" t="s">
        <v>1507</v>
      </c>
      <c r="F1062" s="4338" t="s">
        <v>1678</v>
      </c>
      <c r="G1062" s="4331" t="s">
        <v>1568</v>
      </c>
      <c r="H1062" s="4331" t="s">
        <v>1574</v>
      </c>
      <c r="I1062" s="1572" t="s">
        <v>1559</v>
      </c>
      <c r="J1062" s="1294" t="s">
        <v>1560</v>
      </c>
      <c r="K1062" s="1294" t="s">
        <v>1561</v>
      </c>
      <c r="L1062" s="4333" t="s">
        <v>3765</v>
      </c>
      <c r="M1062" s="4335" t="s">
        <v>1571</v>
      </c>
      <c r="N1062" s="4323" t="s">
        <v>1776</v>
      </c>
      <c r="O1062" s="3347" t="s">
        <v>1563</v>
      </c>
      <c r="P1062" s="1336" t="s">
        <v>1562</v>
      </c>
      <c r="Q1062" s="3389"/>
      <c r="R1062" s="1699" t="s">
        <v>1327</v>
      </c>
      <c r="S1062" s="22"/>
      <c r="T1062" s="22"/>
      <c r="U1062" s="22"/>
      <c r="V1062" s="22"/>
      <c r="W1062" s="22"/>
      <c r="X1062" s="22"/>
    </row>
    <row r="1063" spans="1:24">
      <c r="A1063" s="1733" t="s">
        <v>2813</v>
      </c>
      <c r="B1063" s="4326"/>
      <c r="C1063" s="3351"/>
      <c r="D1063" s="4328"/>
      <c r="E1063" s="4337"/>
      <c r="F1063" s="4338"/>
      <c r="G1063" s="4332"/>
      <c r="H1063" s="4332"/>
      <c r="I1063" s="1345">
        <v>3.2</v>
      </c>
      <c r="J1063" s="1307">
        <v>1.4999999999999999E-2</v>
      </c>
      <c r="K1063" s="1297">
        <f>I1063*J1063</f>
        <v>4.8000000000000001E-2</v>
      </c>
      <c r="L1063" s="4334"/>
      <c r="M1063" s="4335"/>
      <c r="N1063" s="4324"/>
      <c r="O1063" s="1298">
        <f>O1065+O1066+O1075+O1076</f>
        <v>10.817383100000001</v>
      </c>
      <c r="P1063" s="1337">
        <f>K1063*O1063</f>
        <v>0.51923438880000006</v>
      </c>
      <c r="Q1063" s="3390"/>
      <c r="R1063" s="1721">
        <f>P1065+P1066+P1075+P1076</f>
        <v>0.51921950880000012</v>
      </c>
      <c r="S1063" s="22"/>
      <c r="T1063" s="22"/>
      <c r="U1063" s="22"/>
      <c r="V1063" s="22"/>
      <c r="W1063" s="22"/>
      <c r="X1063" s="22"/>
    </row>
    <row r="1064" spans="1:24">
      <c r="A1064" s="19"/>
      <c r="B1064" s="18"/>
      <c r="C1064" s="552"/>
      <c r="D1064" s="1367"/>
      <c r="E1064" s="2121"/>
      <c r="F1064" s="1389" t="s">
        <v>1</v>
      </c>
      <c r="G1064" s="1369"/>
      <c r="H1064" s="1369"/>
      <c r="I1064" s="1391"/>
      <c r="J1064" s="1369"/>
      <c r="K1064" s="1369"/>
      <c r="L1064" s="1554"/>
      <c r="M1064" s="1487"/>
      <c r="N1064" s="1487"/>
      <c r="O1064" s="1487"/>
      <c r="P1064" s="1367"/>
      <c r="Q1064" s="3387"/>
      <c r="R1064" s="3363"/>
      <c r="S1064" s="22"/>
      <c r="T1064" s="22"/>
      <c r="U1064" s="22"/>
      <c r="V1064" s="22"/>
      <c r="W1064" s="22"/>
      <c r="X1064" s="22"/>
    </row>
    <row r="1065" spans="1:24">
      <c r="A1065" s="19"/>
      <c r="B1065" s="1042"/>
      <c r="C1065" s="88"/>
      <c r="D1065" s="1598" t="s">
        <v>1123</v>
      </c>
      <c r="E1065" s="2154" t="s">
        <v>1521</v>
      </c>
      <c r="F1065" s="1598" t="s">
        <v>1679</v>
      </c>
      <c r="G1065" s="1612">
        <v>3.6999999999999998E-2</v>
      </c>
      <c r="H1065" s="1612"/>
      <c r="I1065" s="1342"/>
      <c r="J1065" s="198"/>
      <c r="K1065" s="1307">
        <f>G1065*$K$1063</f>
        <v>1.776E-3</v>
      </c>
      <c r="L1065" s="1335">
        <f>K1065*$K$974</f>
        <v>0</v>
      </c>
      <c r="M1065" s="1302">
        <v>61.71</v>
      </c>
      <c r="N1065" s="1700"/>
      <c r="O1065" s="1290">
        <f>ROUND(G1065*M1065,2)</f>
        <v>2.2799999999999998</v>
      </c>
      <c r="P1065" s="1332">
        <f>M1065*K1065</f>
        <v>0.10959696000000001</v>
      </c>
      <c r="Q1065" s="3391"/>
      <c r="R1065" s="3363"/>
      <c r="S1065" s="22"/>
      <c r="T1065" s="22"/>
      <c r="U1065" s="22"/>
      <c r="V1065" s="22"/>
      <c r="W1065" s="22"/>
      <c r="X1065" s="22"/>
    </row>
    <row r="1066" spans="1:24">
      <c r="A1066" s="19"/>
      <c r="B1066" s="1042"/>
      <c r="C1066" s="1317" t="s">
        <v>1680</v>
      </c>
      <c r="D1066" s="1311"/>
      <c r="E1066" s="2131" t="s">
        <v>1517</v>
      </c>
      <c r="F1066" s="1343" t="s">
        <v>1681</v>
      </c>
      <c r="G1066" s="1344"/>
      <c r="H1066" s="1344">
        <v>0.01</v>
      </c>
      <c r="I1066" s="1497"/>
      <c r="J1066" s="1388"/>
      <c r="K1066" s="1459"/>
      <c r="L1066" s="1457"/>
      <c r="M1066" s="1446"/>
      <c r="N1066" s="1447">
        <f>SUM(N1067:N1071)</f>
        <v>98.738309999999998</v>
      </c>
      <c r="O1066" s="1447">
        <f>SUM(O1067:O1071)</f>
        <v>0.98738309999999996</v>
      </c>
      <c r="P1066" s="1447">
        <f>SUM(P1067:P1071)</f>
        <v>4.7394388799999999E-2</v>
      </c>
      <c r="Q1066" s="3391"/>
      <c r="R1066" s="3363"/>
      <c r="S1066" s="22"/>
      <c r="T1066" s="22"/>
      <c r="U1066" s="22"/>
      <c r="V1066" s="22"/>
      <c r="W1066" s="22"/>
      <c r="X1066" s="22"/>
    </row>
    <row r="1067" spans="1:24">
      <c r="A1067" s="19"/>
      <c r="B1067" s="1042"/>
      <c r="C1067" s="1511"/>
      <c r="D1067" s="1451" t="s">
        <v>1069</v>
      </c>
      <c r="E1067" s="1856" t="s">
        <v>1517</v>
      </c>
      <c r="F1067" s="1421" t="s">
        <v>1578</v>
      </c>
      <c r="G1067" s="1452">
        <v>0.26300000000000001</v>
      </c>
      <c r="H1067" s="1453">
        <f>$H$1066*G1067</f>
        <v>2.63E-3</v>
      </c>
      <c r="I1067" s="1286"/>
      <c r="J1067" s="198"/>
      <c r="K1067" s="1732">
        <f>H1067*$K$1063</f>
        <v>1.2624000000000001E-4</v>
      </c>
      <c r="L1067" s="1335">
        <f>K1067*$K$974</f>
        <v>0</v>
      </c>
      <c r="M1067" s="1302">
        <v>0.55000000000000004</v>
      </c>
      <c r="N1067" s="1724">
        <f>G1067*M1067</f>
        <v>0.14465000000000003</v>
      </c>
      <c r="O1067" s="1726">
        <f>H1067*M1067</f>
        <v>1.4465000000000001E-3</v>
      </c>
      <c r="P1067" s="1734">
        <f>M1067*K1067</f>
        <v>6.9432000000000009E-5</v>
      </c>
      <c r="Q1067" s="3396"/>
      <c r="R1067" s="3363"/>
      <c r="S1067" s="22"/>
      <c r="T1067" s="22"/>
      <c r="U1067" s="22"/>
      <c r="V1067" s="22"/>
      <c r="W1067" s="22"/>
      <c r="X1067" s="22"/>
    </row>
    <row r="1068" spans="1:24">
      <c r="A1068" s="19"/>
      <c r="B1068" s="1042"/>
      <c r="C1068" s="595"/>
      <c r="D1068" s="1367" t="s">
        <v>1394</v>
      </c>
      <c r="E1068" s="1856" t="s">
        <v>1577</v>
      </c>
      <c r="F1068" s="1421" t="s">
        <v>1579</v>
      </c>
      <c r="G1068" s="1452">
        <v>0.25800000000000001</v>
      </c>
      <c r="H1068" s="1453">
        <f>$H$1066*G1068</f>
        <v>2.5800000000000003E-3</v>
      </c>
      <c r="I1068" s="1286"/>
      <c r="J1068" s="198"/>
      <c r="K1068" s="1732">
        <f>H1068*$K$1063</f>
        <v>1.2384000000000001E-4</v>
      </c>
      <c r="L1068" s="1335">
        <f>K1068*$K$974</f>
        <v>0</v>
      </c>
      <c r="M1068" s="1302">
        <v>92.54</v>
      </c>
      <c r="N1068" s="1724">
        <f>G1068*M1068</f>
        <v>23.875320000000002</v>
      </c>
      <c r="O1068" s="1726">
        <f>H1068*M1068</f>
        <v>0.23875320000000003</v>
      </c>
      <c r="P1068" s="1727">
        <f>M1068*K1068</f>
        <v>1.1460153600000002E-2</v>
      </c>
      <c r="Q1068" s="3396"/>
      <c r="R1068" s="3363"/>
      <c r="S1068" s="22"/>
      <c r="T1068" s="22"/>
      <c r="U1068" s="22"/>
      <c r="V1068" s="22"/>
      <c r="W1068" s="22"/>
      <c r="X1068" s="22"/>
    </row>
    <row r="1069" spans="1:24">
      <c r="A1069" s="19"/>
      <c r="B1069" s="1042"/>
      <c r="C1069" s="595"/>
      <c r="D1069" s="1603" t="s">
        <v>1682</v>
      </c>
      <c r="E1069" s="1856" t="s">
        <v>1683</v>
      </c>
      <c r="F1069" s="1421" t="s">
        <v>1684</v>
      </c>
      <c r="G1069" s="1452">
        <v>1.288</v>
      </c>
      <c r="H1069" s="1453">
        <f>$H$1066*G1069</f>
        <v>1.2880000000000001E-2</v>
      </c>
      <c r="I1069" s="1286"/>
      <c r="J1069" s="198"/>
      <c r="K1069" s="1732">
        <f>H1069*$K$1063</f>
        <v>6.1824000000000004E-4</v>
      </c>
      <c r="L1069" s="1335">
        <f>K1069*$K$974</f>
        <v>0</v>
      </c>
      <c r="M1069" s="1302">
        <v>1.26</v>
      </c>
      <c r="N1069" s="1724">
        <f>G1069*M1069</f>
        <v>1.6228800000000001</v>
      </c>
      <c r="O1069" s="1726">
        <f>H1069*M1069</f>
        <v>1.6228800000000002E-2</v>
      </c>
      <c r="P1069" s="1727">
        <f>M1069*K1069</f>
        <v>7.7898240000000003E-4</v>
      </c>
      <c r="Q1069" s="3396"/>
      <c r="R1069" s="3363"/>
      <c r="S1069" s="22"/>
      <c r="T1069" s="22"/>
      <c r="U1069" s="22"/>
      <c r="V1069" s="22"/>
      <c r="W1069" s="22"/>
      <c r="X1069" s="22"/>
    </row>
    <row r="1070" spans="1:24">
      <c r="A1070" s="19"/>
      <c r="B1070" s="1042"/>
      <c r="C1070" s="595"/>
      <c r="D1070" s="1603" t="s">
        <v>1576</v>
      </c>
      <c r="E1070" s="1856" t="s">
        <v>1517</v>
      </c>
      <c r="F1070" s="1421" t="s">
        <v>1580</v>
      </c>
      <c r="G1070" s="1452">
        <v>1.1020000000000001</v>
      </c>
      <c r="H1070" s="1453">
        <f>$H$1066*G1070</f>
        <v>1.102E-2</v>
      </c>
      <c r="I1070" s="1286"/>
      <c r="J1070" s="198"/>
      <c r="K1070" s="1732">
        <f>H1070*$K$1063</f>
        <v>5.2895999999999998E-4</v>
      </c>
      <c r="L1070" s="1335">
        <f>K1070*$K$974</f>
        <v>0</v>
      </c>
      <c r="M1070" s="1302">
        <v>6.53</v>
      </c>
      <c r="N1070" s="1724">
        <f>G1070*M1070</f>
        <v>7.196060000000001</v>
      </c>
      <c r="O1070" s="1726">
        <f>H1070*M1070</f>
        <v>7.19606E-2</v>
      </c>
      <c r="P1070" s="1727">
        <f>M1070*K1070</f>
        <v>3.4541087999999998E-3</v>
      </c>
      <c r="Q1070" s="3396"/>
      <c r="R1070" s="3363"/>
      <c r="S1070" s="22"/>
      <c r="T1070" s="22"/>
      <c r="U1070" s="22"/>
      <c r="V1070" s="22"/>
      <c r="W1070" s="22"/>
      <c r="X1070" s="22"/>
    </row>
    <row r="1071" spans="1:24">
      <c r="A1071" s="19"/>
      <c r="B1071" s="1042"/>
      <c r="C1071" s="595"/>
      <c r="D1071" s="1443" t="s">
        <v>1067</v>
      </c>
      <c r="E1071" s="1857" t="s">
        <v>1508</v>
      </c>
      <c r="F1071" s="1430" t="s">
        <v>1512</v>
      </c>
      <c r="G1071" s="1431">
        <v>3.605</v>
      </c>
      <c r="H1071" s="1454">
        <f>$H$1066*G1071</f>
        <v>3.6049999999999999E-2</v>
      </c>
      <c r="I1071" s="1286"/>
      <c r="J1071" s="198"/>
      <c r="K1071" s="1732">
        <f>H1071*$K$1063</f>
        <v>1.7304E-3</v>
      </c>
      <c r="L1071" s="1335">
        <f>K1071*$K$974</f>
        <v>0</v>
      </c>
      <c r="M1071" s="1302">
        <v>18.28</v>
      </c>
      <c r="N1071" s="1724">
        <f>G1071*M1071</f>
        <v>65.8994</v>
      </c>
      <c r="O1071" s="1726">
        <f>H1071*M1071</f>
        <v>0.65899399999999997</v>
      </c>
      <c r="P1071" s="1727">
        <f>M1071*K1071</f>
        <v>3.1631711999999999E-2</v>
      </c>
      <c r="Q1071" s="3396"/>
      <c r="R1071" s="3363"/>
      <c r="S1071" s="22"/>
      <c r="T1071" s="22"/>
      <c r="U1071" s="22"/>
      <c r="V1071" s="22"/>
      <c r="W1071" s="22"/>
      <c r="X1071" s="22"/>
    </row>
    <row r="1072" spans="1:24">
      <c r="A1072" s="19"/>
      <c r="B1072" s="1042"/>
      <c r="D1072" s="1367"/>
      <c r="E1072" s="1856"/>
      <c r="F1072" s="1397"/>
      <c r="G1072" s="1416"/>
      <c r="H1072" s="1399"/>
      <c r="I1072" s="197"/>
      <c r="J1072" s="198"/>
      <c r="K1072" s="1307"/>
      <c r="L1072" s="1335"/>
      <c r="M1072" s="1302"/>
      <c r="N1072" s="1700"/>
      <c r="O1072" s="1290"/>
      <c r="P1072" s="1332"/>
      <c r="Q1072" s="3391"/>
      <c r="R1072" s="3363"/>
      <c r="S1072" s="22"/>
      <c r="T1072" s="22"/>
      <c r="U1072" s="22"/>
      <c r="V1072" s="22"/>
      <c r="W1072" s="22"/>
      <c r="X1072" s="22"/>
    </row>
    <row r="1073" spans="1:24">
      <c r="A1073" s="19"/>
      <c r="B1073" s="1042"/>
      <c r="C1073" s="88"/>
      <c r="D1073" s="1367"/>
      <c r="E1073" s="1856"/>
      <c r="F1073" s="1397"/>
      <c r="G1073" s="1416"/>
      <c r="H1073" s="1399"/>
      <c r="I1073" s="197"/>
      <c r="J1073" s="198"/>
      <c r="K1073" s="1307"/>
      <c r="L1073" s="1335"/>
      <c r="M1073" s="1302"/>
      <c r="N1073" s="1700"/>
      <c r="O1073" s="1290"/>
      <c r="P1073" s="1332"/>
      <c r="Q1073" s="3391"/>
      <c r="R1073" s="3363"/>
      <c r="S1073" s="22"/>
      <c r="T1073" s="22"/>
      <c r="U1073" s="22"/>
      <c r="V1073" s="22"/>
      <c r="W1073" s="22"/>
      <c r="X1073" s="22"/>
    </row>
    <row r="1074" spans="1:24">
      <c r="A1074" s="19"/>
      <c r="B1074" s="1042"/>
      <c r="C1074" s="88"/>
      <c r="D1074" s="1359"/>
      <c r="E1074" s="1858"/>
      <c r="F1074" s="1465" t="s">
        <v>2</v>
      </c>
      <c r="G1074" s="1466"/>
      <c r="H1074" s="1466"/>
      <c r="I1074" s="1381"/>
      <c r="J1074" s="1381"/>
      <c r="K1074" s="1359"/>
      <c r="L1074" s="1458"/>
      <c r="M1074" s="1498"/>
      <c r="N1074" s="1498"/>
      <c r="O1074" s="1498"/>
      <c r="P1074" s="1359"/>
      <c r="Q1074" s="3387"/>
      <c r="R1074" s="3363"/>
      <c r="S1074" s="22"/>
      <c r="T1074" s="22"/>
      <c r="U1074" s="22"/>
      <c r="V1074" s="22"/>
      <c r="W1074" s="22"/>
      <c r="X1074" s="22"/>
    </row>
    <row r="1075" spans="1:24">
      <c r="A1075" s="19"/>
      <c r="B1075" s="1042"/>
      <c r="C1075" s="88"/>
      <c r="D1075" s="1363" t="s">
        <v>1121</v>
      </c>
      <c r="E1075" s="2125" t="s">
        <v>1508</v>
      </c>
      <c r="F1075" s="1363" t="s">
        <v>1663</v>
      </c>
      <c r="G1075" s="1408">
        <v>0.26600000000000001</v>
      </c>
      <c r="H1075" s="1408"/>
      <c r="I1075" s="1340"/>
      <c r="J1075" s="198"/>
      <c r="K1075" s="1307">
        <f>G1075*$K$1063</f>
        <v>1.2768000000000002E-2</v>
      </c>
      <c r="L1075" s="1335">
        <f>K1075*$K$974</f>
        <v>0</v>
      </c>
      <c r="M1075" s="1302">
        <v>19.23</v>
      </c>
      <c r="N1075" s="1700"/>
      <c r="O1075" s="1290">
        <f>ROUND(G1075*M1075,2)</f>
        <v>5.12</v>
      </c>
      <c r="P1075" s="1332">
        <f>M1075*K1075</f>
        <v>0.24552864000000005</v>
      </c>
      <c r="Q1075" s="3391"/>
      <c r="R1075" s="3363"/>
      <c r="S1075" s="22"/>
      <c r="T1075" s="22"/>
      <c r="U1075" s="22"/>
      <c r="V1075" s="22"/>
      <c r="W1075" s="22"/>
      <c r="X1075" s="22"/>
    </row>
    <row r="1076" spans="1:24">
      <c r="A1076" s="19"/>
      <c r="B1076" s="1042"/>
      <c r="C1076" s="88"/>
      <c r="D1076" s="1363" t="s">
        <v>1067</v>
      </c>
      <c r="E1076" s="2125" t="s">
        <v>1508</v>
      </c>
      <c r="F1076" s="1363" t="s">
        <v>1512</v>
      </c>
      <c r="G1076" s="1408">
        <v>0.13300000000000001</v>
      </c>
      <c r="H1076" s="1408"/>
      <c r="I1076" s="1340"/>
      <c r="J1076" s="198"/>
      <c r="K1076" s="1307">
        <f>G1076*$K$1063</f>
        <v>6.3840000000000008E-3</v>
      </c>
      <c r="L1076" s="1335">
        <f>K1076*$K$974</f>
        <v>0</v>
      </c>
      <c r="M1076" s="1302">
        <v>18.28</v>
      </c>
      <c r="N1076" s="1700"/>
      <c r="O1076" s="1290">
        <f>ROUND(G1076*M1076,2)</f>
        <v>2.4300000000000002</v>
      </c>
      <c r="P1076" s="1332">
        <f>M1076*K1076</f>
        <v>0.11669952000000001</v>
      </c>
      <c r="Q1076" s="3391"/>
      <c r="R1076" s="3363"/>
      <c r="S1076" s="22"/>
      <c r="T1076" s="22"/>
      <c r="U1076" s="22"/>
      <c r="V1076" s="22"/>
      <c r="W1076" s="22"/>
      <c r="X1076" s="22"/>
    </row>
    <row r="1077" spans="1:24">
      <c r="A1077" s="19"/>
      <c r="B1077" s="1042"/>
      <c r="C1077" s="88"/>
      <c r="D1077" s="1363"/>
      <c r="E1077" s="2125"/>
      <c r="F1077" s="1363"/>
      <c r="G1077" s="1474"/>
      <c r="H1077" s="1474"/>
      <c r="I1077" s="1340"/>
      <c r="J1077" s="198"/>
      <c r="K1077" s="1307"/>
      <c r="L1077" s="1335"/>
      <c r="M1077" s="1302"/>
      <c r="N1077" s="1700"/>
      <c r="O1077" s="1290"/>
      <c r="P1077" s="1332"/>
      <c r="Q1077" s="3391"/>
      <c r="R1077" s="3363"/>
      <c r="S1077" s="22"/>
      <c r="T1077" s="22"/>
      <c r="U1077" s="22"/>
      <c r="V1077" s="22"/>
      <c r="W1077" s="22"/>
      <c r="X1077" s="22"/>
    </row>
    <row r="1078" spans="1:24">
      <c r="A1078" s="19"/>
      <c r="B1078" s="1042"/>
      <c r="C1078" s="88"/>
      <c r="D1078" s="1373"/>
      <c r="E1078" s="2123"/>
      <c r="F1078" s="1475" t="s">
        <v>3</v>
      </c>
      <c r="G1078" s="1377"/>
      <c r="H1078" s="1376"/>
      <c r="I1078" s="1383" t="s">
        <v>506</v>
      </c>
      <c r="J1078" s="1383"/>
      <c r="K1078" s="1383"/>
      <c r="L1078" s="1413" t="s">
        <v>506</v>
      </c>
      <c r="M1078" s="1376"/>
      <c r="N1078" s="1376"/>
      <c r="O1078" s="1376"/>
      <c r="P1078" s="1373"/>
      <c r="Q1078" s="3387"/>
      <c r="R1078" s="3363"/>
      <c r="S1078" s="22"/>
      <c r="T1078" s="22"/>
      <c r="U1078" s="22"/>
      <c r="V1078" s="22"/>
      <c r="W1078" s="22"/>
      <c r="X1078" s="22"/>
    </row>
    <row r="1079" spans="1:24">
      <c r="A1079" s="19"/>
      <c r="B1079" s="1042"/>
      <c r="C1079" s="88"/>
      <c r="D1079" s="1440"/>
      <c r="E1079" s="2132"/>
      <c r="F1079" s="1441"/>
      <c r="G1079" s="1441"/>
      <c r="H1079" s="1442"/>
      <c r="I1079" s="197" t="s">
        <v>506</v>
      </c>
      <c r="J1079" s="198"/>
      <c r="K1079" s="1307"/>
      <c r="L1079" s="1335" t="s">
        <v>506</v>
      </c>
      <c r="M1079" s="1499"/>
      <c r="N1079" s="1701"/>
      <c r="O1079" s="1290"/>
      <c r="P1079" s="1332"/>
      <c r="Q1079" s="3391"/>
      <c r="R1079" s="3363"/>
      <c r="S1079" s="22"/>
      <c r="T1079" s="22"/>
      <c r="U1079" s="22"/>
      <c r="V1079" s="22"/>
      <c r="W1079" s="22"/>
      <c r="X1079" s="22"/>
    </row>
    <row r="1080" spans="1:24">
      <c r="A1080" s="19"/>
      <c r="B1080" s="1042"/>
      <c r="C1080" s="88"/>
      <c r="D1080" s="1440"/>
      <c r="E1080" s="2132"/>
      <c r="F1080" s="1441"/>
      <c r="G1080" s="1441"/>
      <c r="H1080" s="1442"/>
      <c r="I1080" s="197" t="s">
        <v>506</v>
      </c>
      <c r="J1080" s="198"/>
      <c r="K1080" s="1307"/>
      <c r="L1080" s="1335" t="s">
        <v>506</v>
      </c>
      <c r="M1080" s="1499"/>
      <c r="N1080" s="1701"/>
      <c r="O1080" s="1290"/>
      <c r="P1080" s="1332"/>
      <c r="Q1080" s="3391"/>
      <c r="R1080" s="3363"/>
      <c r="S1080" s="22"/>
      <c r="T1080" s="22"/>
      <c r="U1080" s="22"/>
      <c r="V1080" s="22"/>
      <c r="W1080" s="22"/>
      <c r="X1080" s="22"/>
    </row>
    <row r="1081" spans="1:24">
      <c r="A1081" s="19"/>
      <c r="B1081" s="223"/>
      <c r="C1081" s="581"/>
      <c r="D1081" s="1440"/>
      <c r="E1081" s="2132"/>
      <c r="F1081" s="1441"/>
      <c r="G1081" s="1441"/>
      <c r="H1081" s="1442"/>
      <c r="I1081" s="197"/>
      <c r="J1081" s="198"/>
      <c r="K1081" s="1307"/>
      <c r="L1081" s="1335"/>
      <c r="M1081" s="1499"/>
      <c r="N1081" s="1701"/>
      <c r="O1081" s="1290"/>
      <c r="P1081" s="1332"/>
      <c r="Q1081" s="3391"/>
      <c r="R1081" s="3363"/>
      <c r="S1081" s="22"/>
      <c r="T1081" s="22"/>
      <c r="U1081" s="22"/>
      <c r="V1081" s="22"/>
      <c r="W1081" s="22"/>
      <c r="X1081" s="22"/>
    </row>
    <row r="1082" spans="1:24" ht="15" customHeight="1">
      <c r="A1082" s="18" t="s">
        <v>3764</v>
      </c>
      <c r="B1082" s="4325" t="s">
        <v>1659</v>
      </c>
      <c r="C1082" s="3350"/>
      <c r="D1082" s="4327"/>
      <c r="E1082" s="4337" t="s">
        <v>1507</v>
      </c>
      <c r="F1082" s="4338" t="s">
        <v>1685</v>
      </c>
      <c r="G1082" s="4331" t="s">
        <v>1568</v>
      </c>
      <c r="H1082" s="4331" t="s">
        <v>1574</v>
      </c>
      <c r="I1082" s="1572" t="s">
        <v>1559</v>
      </c>
      <c r="J1082" s="1294" t="s">
        <v>1560</v>
      </c>
      <c r="K1082" s="1294" t="s">
        <v>1561</v>
      </c>
      <c r="L1082" s="4333" t="s">
        <v>3765</v>
      </c>
      <c r="M1082" s="4335" t="s">
        <v>1571</v>
      </c>
      <c r="N1082" s="4323" t="s">
        <v>1776</v>
      </c>
      <c r="O1082" s="3347" t="s">
        <v>1563</v>
      </c>
      <c r="P1082" s="1336" t="s">
        <v>1562</v>
      </c>
      <c r="Q1082" s="3389"/>
      <c r="R1082" s="1699" t="s">
        <v>1327</v>
      </c>
      <c r="S1082" s="22"/>
      <c r="T1082" s="22"/>
      <c r="U1082" s="22"/>
      <c r="V1082" s="22"/>
      <c r="W1082" s="22"/>
      <c r="X1082" s="22"/>
    </row>
    <row r="1083" spans="1:24">
      <c r="A1083" s="1733" t="s">
        <v>2813</v>
      </c>
      <c r="B1083" s="4326"/>
      <c r="C1083" s="3351"/>
      <c r="D1083" s="4328"/>
      <c r="E1083" s="4337"/>
      <c r="F1083" s="4338"/>
      <c r="G1083" s="4332"/>
      <c r="H1083" s="4332"/>
      <c r="I1083" s="1345">
        <v>2.4</v>
      </c>
      <c r="J1083" s="1307">
        <v>1.4999999999999999E-2</v>
      </c>
      <c r="K1083" s="1297">
        <f>I1083*J1083</f>
        <v>3.5999999999999997E-2</v>
      </c>
      <c r="L1083" s="4334"/>
      <c r="M1083" s="4335"/>
      <c r="N1083" s="4324"/>
      <c r="O1083" s="1298">
        <f>O1085+O1093+O1097</f>
        <v>13.241683030000001</v>
      </c>
      <c r="P1083" s="1337">
        <f>K1083*O1083</f>
        <v>0.47670058908000001</v>
      </c>
      <c r="Q1083" s="3390"/>
      <c r="R1083" s="1721">
        <f>P1085+P1093+P1097</f>
        <v>0.47670058908000001</v>
      </c>
      <c r="S1083" s="22"/>
      <c r="T1083" s="22"/>
      <c r="U1083" s="22"/>
      <c r="V1083" s="22"/>
      <c r="W1083" s="22"/>
      <c r="X1083" s="22"/>
    </row>
    <row r="1084" spans="1:24">
      <c r="A1084" s="19"/>
      <c r="B1084" s="551"/>
      <c r="C1084" s="18"/>
      <c r="D1084" s="1400"/>
      <c r="E1084" s="2121"/>
      <c r="F1084" s="1389" t="s">
        <v>1</v>
      </c>
      <c r="G1084" s="1369"/>
      <c r="H1084" s="1369"/>
      <c r="I1084" s="1391"/>
      <c r="J1084" s="1369"/>
      <c r="K1084" s="1369"/>
      <c r="L1084" s="1554"/>
      <c r="M1084" s="1487"/>
      <c r="N1084" s="1487"/>
      <c r="O1084" s="1487"/>
      <c r="P1084" s="1367"/>
      <c r="Q1084" s="3387"/>
      <c r="R1084" s="3363"/>
      <c r="S1084" s="22"/>
      <c r="T1084" s="22"/>
      <c r="U1084" s="22"/>
      <c r="V1084" s="22"/>
      <c r="W1084" s="22"/>
      <c r="X1084" s="22"/>
    </row>
    <row r="1085" spans="1:24">
      <c r="A1085" s="19"/>
      <c r="B1085" s="1042"/>
      <c r="C1085" s="1317" t="s">
        <v>1127</v>
      </c>
      <c r="D1085" s="1311"/>
      <c r="E1085" s="2131" t="s">
        <v>1517</v>
      </c>
      <c r="F1085" s="1343" t="s">
        <v>1519</v>
      </c>
      <c r="G1085" s="1344"/>
      <c r="H1085" s="1344">
        <v>2.1000000000000001E-2</v>
      </c>
      <c r="I1085" s="1497"/>
      <c r="J1085" s="1388"/>
      <c r="K1085" s="1445"/>
      <c r="L1085" s="1457"/>
      <c r="M1085" s="1446"/>
      <c r="N1085" s="1447">
        <f>SUM(N1086:N1089)</f>
        <v>50.044430000000006</v>
      </c>
      <c r="O1085" s="1447">
        <f>SUM(O1086:O1089)</f>
        <v>1.0509330300000002</v>
      </c>
      <c r="P1085" s="1447">
        <f>SUM(P1086:P1089)</f>
        <v>3.783358908E-2</v>
      </c>
      <c r="Q1085" s="3391"/>
      <c r="R1085" s="3363"/>
      <c r="S1085" s="22"/>
      <c r="T1085" s="22"/>
      <c r="U1085" s="22"/>
      <c r="V1085" s="22"/>
      <c r="W1085" s="22"/>
      <c r="X1085" s="22"/>
    </row>
    <row r="1086" spans="1:24">
      <c r="A1086" s="19"/>
      <c r="B1086" s="1042"/>
      <c r="D1086" s="1367" t="s">
        <v>1069</v>
      </c>
      <c r="E1086" s="1856" t="s">
        <v>1517</v>
      </c>
      <c r="F1086" s="1397" t="s">
        <v>1578</v>
      </c>
      <c r="G1086" s="1416">
        <v>0.26300000000000001</v>
      </c>
      <c r="H1086" s="1399">
        <f>H1085*G1086</f>
        <v>5.523000000000001E-3</v>
      </c>
      <c r="I1086" s="197"/>
      <c r="J1086" s="198"/>
      <c r="K1086" s="1307">
        <f>H1086*$K$1083</f>
        <v>1.9882800000000001E-4</v>
      </c>
      <c r="L1086" s="1335">
        <f>K1086*$K$974</f>
        <v>0</v>
      </c>
      <c r="M1086" s="1302">
        <v>0.55000000000000004</v>
      </c>
      <c r="N1086" s="1724">
        <f>G1086*M1086</f>
        <v>0.14465000000000003</v>
      </c>
      <c r="O1086" s="1726">
        <f>H1086*M1086</f>
        <v>3.0376500000000007E-3</v>
      </c>
      <c r="P1086" s="1731">
        <f>M1086*K1086</f>
        <v>1.0935540000000001E-4</v>
      </c>
      <c r="Q1086" s="3396"/>
      <c r="R1086" s="3363"/>
      <c r="S1086" s="22"/>
      <c r="T1086" s="22"/>
      <c r="U1086" s="22"/>
      <c r="V1086" s="22"/>
      <c r="W1086" s="22"/>
      <c r="X1086" s="22"/>
    </row>
    <row r="1087" spans="1:24">
      <c r="A1087" s="19"/>
      <c r="B1087" s="1042"/>
      <c r="C1087" s="88"/>
      <c r="D1087" s="1367" t="s">
        <v>1394</v>
      </c>
      <c r="E1087" s="1856" t="s">
        <v>1577</v>
      </c>
      <c r="F1087" s="1397" t="s">
        <v>1579</v>
      </c>
      <c r="G1087" s="1416">
        <v>0.25800000000000001</v>
      </c>
      <c r="H1087" s="1399">
        <f>H1085*G1087</f>
        <v>5.4180000000000001E-3</v>
      </c>
      <c r="I1087" s="197"/>
      <c r="J1087" s="198"/>
      <c r="K1087" s="1307">
        <f>H1087*$K$1083</f>
        <v>1.9504799999999999E-4</v>
      </c>
      <c r="L1087" s="1335">
        <f>K1087*$K$974</f>
        <v>0</v>
      </c>
      <c r="M1087" s="1302">
        <v>92.54</v>
      </c>
      <c r="N1087" s="1724">
        <f>G1087*M1087</f>
        <v>23.875320000000002</v>
      </c>
      <c r="O1087" s="1726">
        <f>H1087*M1087</f>
        <v>0.50138172000000003</v>
      </c>
      <c r="P1087" s="1727">
        <f>M1087*K1087</f>
        <v>1.8049741920000001E-2</v>
      </c>
      <c r="Q1087" s="3396"/>
      <c r="R1087" s="3363"/>
      <c r="S1087" s="22"/>
      <c r="T1087" s="22"/>
      <c r="U1087" s="22"/>
      <c r="V1087" s="22"/>
      <c r="W1087" s="22"/>
      <c r="X1087" s="22"/>
    </row>
    <row r="1088" spans="1:24">
      <c r="A1088" s="19"/>
      <c r="B1088" s="1042"/>
      <c r="C1088" s="88"/>
      <c r="D1088" s="1367" t="s">
        <v>1576</v>
      </c>
      <c r="E1088" s="1856" t="s">
        <v>1517</v>
      </c>
      <c r="F1088" s="1397" t="s">
        <v>1580</v>
      </c>
      <c r="G1088" s="1416">
        <v>1.1020000000000001</v>
      </c>
      <c r="H1088" s="1399">
        <f>H1085*G1088</f>
        <v>2.3142000000000003E-2</v>
      </c>
      <c r="I1088" s="197"/>
      <c r="J1088" s="198"/>
      <c r="K1088" s="1307">
        <f>H1088*$K$1083</f>
        <v>8.33112E-4</v>
      </c>
      <c r="L1088" s="1335">
        <f>K1088*$K$974</f>
        <v>0</v>
      </c>
      <c r="M1088" s="1302">
        <v>6.53</v>
      </c>
      <c r="N1088" s="1724">
        <f>G1088*M1088</f>
        <v>7.196060000000001</v>
      </c>
      <c r="O1088" s="1726">
        <f>H1088*M1088</f>
        <v>0.15111726000000003</v>
      </c>
      <c r="P1088" s="1727">
        <f>M1088*K1088</f>
        <v>5.4402213600000006E-3</v>
      </c>
      <c r="Q1088" s="3396"/>
      <c r="R1088" s="3363"/>
      <c r="S1088" s="22"/>
      <c r="T1088" s="22"/>
      <c r="U1088" s="22"/>
      <c r="V1088" s="22"/>
      <c r="W1088" s="22"/>
      <c r="X1088" s="22"/>
    </row>
    <row r="1089" spans="1:24">
      <c r="A1089" s="19"/>
      <c r="B1089" s="1042"/>
      <c r="C1089" s="88"/>
      <c r="D1089" s="1359" t="s">
        <v>1067</v>
      </c>
      <c r="E1089" s="1857" t="s">
        <v>1508</v>
      </c>
      <c r="F1089" s="1406" t="s">
        <v>1512</v>
      </c>
      <c r="G1089" s="1407">
        <v>1.03</v>
      </c>
      <c r="H1089" s="1408">
        <f>H1085*G1089</f>
        <v>2.1630000000000003E-2</v>
      </c>
      <c r="I1089" s="197"/>
      <c r="J1089" s="198"/>
      <c r="K1089" s="1307">
        <f>H1089*$K$1083</f>
        <v>7.7868000000000002E-4</v>
      </c>
      <c r="L1089" s="1335">
        <f>K1089*$K$974</f>
        <v>0</v>
      </c>
      <c r="M1089" s="1302">
        <v>18.28</v>
      </c>
      <c r="N1089" s="1724">
        <f>G1089*M1089</f>
        <v>18.828400000000002</v>
      </c>
      <c r="O1089" s="1726">
        <f>H1089*M1089</f>
        <v>0.39539640000000009</v>
      </c>
      <c r="P1089" s="1727">
        <f>M1089*K1089</f>
        <v>1.42342704E-2</v>
      </c>
      <c r="Q1089" s="3396"/>
      <c r="R1089" s="3363"/>
      <c r="S1089" s="22"/>
      <c r="T1089" s="22"/>
      <c r="U1089" s="22"/>
      <c r="V1089" s="22"/>
      <c r="W1089" s="22"/>
      <c r="X1089" s="22"/>
    </row>
    <row r="1090" spans="1:24">
      <c r="A1090" s="19"/>
      <c r="B1090" s="1042"/>
      <c r="C1090" s="88"/>
      <c r="D1090" s="1367"/>
      <c r="E1090" s="1856"/>
      <c r="F1090" s="1397"/>
      <c r="G1090" s="1416"/>
      <c r="H1090" s="1399"/>
      <c r="I1090" s="197"/>
      <c r="J1090" s="198"/>
      <c r="K1090" s="1307" t="s">
        <v>506</v>
      </c>
      <c r="L1090" s="1335"/>
      <c r="M1090" s="1302"/>
      <c r="N1090" s="1724"/>
      <c r="O1090" s="1726"/>
      <c r="P1090" s="1727"/>
      <c r="Q1090" s="3396"/>
      <c r="R1090" s="3363"/>
      <c r="S1090" s="22"/>
      <c r="T1090" s="22"/>
      <c r="U1090" s="22"/>
      <c r="V1090" s="22"/>
      <c r="W1090" s="22"/>
      <c r="X1090" s="22"/>
    </row>
    <row r="1091" spans="1:24">
      <c r="A1091" s="19"/>
      <c r="B1091" s="1042"/>
      <c r="C1091" s="88"/>
      <c r="D1091" s="1367"/>
      <c r="E1091" s="1856"/>
      <c r="F1091" s="1397"/>
      <c r="G1091" s="1416"/>
      <c r="H1091" s="1399"/>
      <c r="I1091" s="197"/>
      <c r="J1091" s="198"/>
      <c r="K1091" s="1307" t="s">
        <v>506</v>
      </c>
      <c r="L1091" s="1335"/>
      <c r="M1091" s="1302"/>
      <c r="N1091" s="1724"/>
      <c r="O1091" s="1726"/>
      <c r="P1091" s="1727"/>
      <c r="Q1091" s="3396"/>
      <c r="R1091" s="3363"/>
      <c r="S1091" s="22"/>
      <c r="T1091" s="22"/>
      <c r="U1091" s="22"/>
      <c r="V1091" s="22"/>
      <c r="W1091" s="22"/>
      <c r="X1091" s="22"/>
    </row>
    <row r="1092" spans="1:24">
      <c r="A1092" s="19"/>
      <c r="B1092" s="1042"/>
      <c r="C1092" s="88"/>
      <c r="D1092" s="1359"/>
      <c r="E1092" s="1858"/>
      <c r="F1092" s="1465" t="s">
        <v>2</v>
      </c>
      <c r="G1092" s="1466"/>
      <c r="H1092" s="1362"/>
      <c r="I1092" s="1381"/>
      <c r="J1092" s="1381"/>
      <c r="K1092" s="1359"/>
      <c r="L1092" s="1458"/>
      <c r="M1092" s="1498"/>
      <c r="N1092" s="1498"/>
      <c r="O1092" s="1498"/>
      <c r="P1092" s="1359"/>
      <c r="Q1092" s="3387"/>
      <c r="R1092" s="3363"/>
      <c r="S1092" s="22"/>
      <c r="T1092" s="22"/>
      <c r="U1092" s="22"/>
      <c r="V1092" s="22"/>
      <c r="W1092" s="22"/>
      <c r="X1092" s="22"/>
    </row>
    <row r="1093" spans="1:24">
      <c r="A1093" s="19"/>
      <c r="B1093" s="1042"/>
      <c r="C1093" s="1358" t="s">
        <v>1523</v>
      </c>
      <c r="D1093" s="1329"/>
      <c r="E1093" s="2135" t="s">
        <v>1508</v>
      </c>
      <c r="F1093" s="1330" t="s">
        <v>1524</v>
      </c>
      <c r="G1093" s="1584"/>
      <c r="H1093" s="1584">
        <v>0.32500000000000001</v>
      </c>
      <c r="I1093" s="1488"/>
      <c r="J1093" s="1388"/>
      <c r="K1093" s="1510"/>
      <c r="L1093" s="1445"/>
      <c r="M1093" s="1446"/>
      <c r="N1093" s="1447">
        <f>SUM(N1094:N1095)</f>
        <v>37.510000000000005</v>
      </c>
      <c r="O1093" s="1447">
        <f>SUM(O1094:O1095)</f>
        <v>12.190750000000001</v>
      </c>
      <c r="P1093" s="1447">
        <f>SUM(P1094:P1095)</f>
        <v>0.43886700000000001</v>
      </c>
      <c r="Q1093" s="3391"/>
      <c r="R1093" s="3363"/>
      <c r="S1093" s="22"/>
      <c r="T1093" s="22"/>
      <c r="U1093" s="22"/>
      <c r="V1093" s="22"/>
      <c r="W1093" s="22"/>
      <c r="X1093" s="22"/>
    </row>
    <row r="1094" spans="1:24">
      <c r="A1094" s="19"/>
      <c r="B1094" s="1042"/>
      <c r="C1094" s="1042"/>
      <c r="D1094" s="1402" t="s">
        <v>1067</v>
      </c>
      <c r="E1094" s="1857" t="s">
        <v>1508</v>
      </c>
      <c r="F1094" s="1430" t="s">
        <v>5</v>
      </c>
      <c r="G1094" s="1362">
        <v>1</v>
      </c>
      <c r="H1094" s="1408">
        <f>G1094*$H$915</f>
        <v>0.32500000000000001</v>
      </c>
      <c r="I1094" s="1340"/>
      <c r="J1094" s="198"/>
      <c r="K1094" s="1307">
        <f>H1094*$K$1083</f>
        <v>1.17E-2</v>
      </c>
      <c r="L1094" s="1335">
        <f>K1094*$K$974</f>
        <v>0</v>
      </c>
      <c r="M1094" s="1302">
        <v>18.28</v>
      </c>
      <c r="N1094" s="1724">
        <f>G1094*M1094</f>
        <v>18.28</v>
      </c>
      <c r="O1094" s="1726">
        <f>H1094*M1094</f>
        <v>5.9410000000000007</v>
      </c>
      <c r="P1094" s="1727">
        <f>M1094*K1094</f>
        <v>0.21387600000000001</v>
      </c>
      <c r="Q1094" s="3396"/>
      <c r="R1094" s="3363"/>
      <c r="S1094" s="22"/>
      <c r="T1094" s="22"/>
      <c r="U1094" s="22"/>
      <c r="V1094" s="22"/>
      <c r="W1094" s="22"/>
      <c r="X1094" s="22"/>
    </row>
    <row r="1095" spans="1:24">
      <c r="A1095" s="19"/>
      <c r="B1095" s="1042"/>
      <c r="C1095" s="1042"/>
      <c r="D1095" s="1402" t="s">
        <v>1077</v>
      </c>
      <c r="E1095" s="1857" t="s">
        <v>1508</v>
      </c>
      <c r="F1095" s="1430" t="s">
        <v>37</v>
      </c>
      <c r="G1095" s="1362">
        <v>1</v>
      </c>
      <c r="H1095" s="1408">
        <f>G1095*$H$915</f>
        <v>0.32500000000000001</v>
      </c>
      <c r="I1095" s="198"/>
      <c r="J1095" s="198"/>
      <c r="K1095" s="1307">
        <f>H1095*$K$1083</f>
        <v>1.17E-2</v>
      </c>
      <c r="L1095" s="1335">
        <f>K1095*$K$974</f>
        <v>0</v>
      </c>
      <c r="M1095" s="1302">
        <v>19.23</v>
      </c>
      <c r="N1095" s="1724">
        <f>G1095*M1095</f>
        <v>19.23</v>
      </c>
      <c r="O1095" s="1726">
        <f>H1095*M1095</f>
        <v>6.2497500000000006</v>
      </c>
      <c r="P1095" s="1727">
        <f>M1095*K1095</f>
        <v>0.22499100000000002</v>
      </c>
      <c r="Q1095" s="3396"/>
      <c r="R1095" s="3363"/>
      <c r="S1095" s="22"/>
      <c r="T1095" s="22"/>
      <c r="U1095" s="22"/>
      <c r="V1095" s="22"/>
      <c r="W1095" s="22"/>
      <c r="X1095" s="22"/>
    </row>
    <row r="1096" spans="1:24">
      <c r="A1096" s="19"/>
      <c r="B1096" s="1042"/>
      <c r="C1096" s="88"/>
      <c r="D1096" s="1373"/>
      <c r="E1096" s="2123"/>
      <c r="F1096" s="1475" t="s">
        <v>3</v>
      </c>
      <c r="G1096" s="1377"/>
      <c r="H1096" s="1376"/>
      <c r="I1096" s="1383" t="s">
        <v>506</v>
      </c>
      <c r="J1096" s="1383"/>
      <c r="K1096" s="1383"/>
      <c r="L1096" s="1413" t="s">
        <v>506</v>
      </c>
      <c r="M1096" s="1376"/>
      <c r="N1096" s="1376"/>
      <c r="O1096" s="1376"/>
      <c r="P1096" s="1373"/>
      <c r="Q1096" s="3387"/>
      <c r="R1096" s="3363"/>
      <c r="S1096" s="22"/>
      <c r="T1096" s="22"/>
      <c r="U1096" s="22"/>
      <c r="V1096" s="22"/>
      <c r="W1096" s="22"/>
      <c r="X1096" s="22"/>
    </row>
    <row r="1097" spans="1:24">
      <c r="A1097" s="19"/>
      <c r="B1097" s="1042"/>
      <c r="C1097" s="88"/>
      <c r="D1097" s="1616"/>
      <c r="E1097" s="2155"/>
      <c r="F1097" s="1616"/>
      <c r="G1097" s="1442"/>
      <c r="H1097" s="1442"/>
      <c r="I1097" s="198"/>
      <c r="J1097" s="198"/>
      <c r="K1097" s="1307"/>
      <c r="L1097" s="1335"/>
      <c r="M1097" s="1302"/>
      <c r="N1097" s="1700"/>
      <c r="O1097" s="1290"/>
      <c r="P1097" s="1332"/>
      <c r="Q1097" s="3391"/>
      <c r="R1097" s="3363"/>
      <c r="S1097" s="22"/>
      <c r="T1097" s="22"/>
      <c r="U1097" s="22"/>
      <c r="V1097" s="22"/>
      <c r="W1097" s="22"/>
      <c r="X1097" s="22"/>
    </row>
    <row r="1098" spans="1:24">
      <c r="A1098" s="19"/>
      <c r="B1098" s="1042"/>
      <c r="C1098" s="88"/>
      <c r="D1098" s="1440"/>
      <c r="E1098" s="2132"/>
      <c r="F1098" s="1441"/>
      <c r="G1098" s="1441"/>
      <c r="H1098" s="1442"/>
      <c r="I1098" s="197" t="s">
        <v>506</v>
      </c>
      <c r="J1098" s="198"/>
      <c r="K1098" s="1307"/>
      <c r="L1098" s="1335" t="s">
        <v>506</v>
      </c>
      <c r="M1098" s="1499"/>
      <c r="N1098" s="1701"/>
      <c r="O1098" s="1290"/>
      <c r="P1098" s="1332"/>
      <c r="Q1098" s="3391"/>
      <c r="R1098" s="3363"/>
      <c r="S1098" s="22"/>
      <c r="T1098" s="22"/>
      <c r="U1098" s="22"/>
      <c r="V1098" s="22"/>
      <c r="W1098" s="22"/>
      <c r="X1098" s="22"/>
    </row>
    <row r="1099" spans="1:24">
      <c r="A1099" s="19"/>
      <c r="B1099" s="223"/>
      <c r="C1099" s="581"/>
      <c r="D1099" s="1440"/>
      <c r="E1099" s="2132"/>
      <c r="F1099" s="1441"/>
      <c r="G1099" s="1441"/>
      <c r="H1099" s="1442"/>
      <c r="I1099" s="197"/>
      <c r="J1099" s="198"/>
      <c r="K1099" s="1307"/>
      <c r="L1099" s="1335"/>
      <c r="M1099" s="1499"/>
      <c r="N1099" s="1701"/>
      <c r="O1099" s="1290"/>
      <c r="P1099" s="1332"/>
      <c r="Q1099" s="3391"/>
      <c r="R1099" s="3363"/>
      <c r="S1099" s="22"/>
      <c r="T1099" s="22"/>
      <c r="U1099" s="22"/>
      <c r="V1099" s="22"/>
      <c r="W1099" s="22"/>
      <c r="X1099" s="22"/>
    </row>
    <row r="1100" spans="1:24" ht="15" customHeight="1">
      <c r="A1100" s="18" t="s">
        <v>3764</v>
      </c>
      <c r="B1100" s="4325" t="s">
        <v>1660</v>
      </c>
      <c r="C1100" s="3350"/>
      <c r="D1100" s="4327"/>
      <c r="E1100" s="4337" t="s">
        <v>1507</v>
      </c>
      <c r="F1100" s="4338" t="s">
        <v>1689</v>
      </c>
      <c r="G1100" s="4331" t="s">
        <v>1568</v>
      </c>
      <c r="H1100" s="4331" t="s">
        <v>1574</v>
      </c>
      <c r="I1100" s="1572" t="s">
        <v>1559</v>
      </c>
      <c r="J1100" s="1294" t="s">
        <v>1560</v>
      </c>
      <c r="K1100" s="1294" t="s">
        <v>1561</v>
      </c>
      <c r="L1100" s="4333" t="s">
        <v>3765</v>
      </c>
      <c r="M1100" s="4335" t="s">
        <v>1571</v>
      </c>
      <c r="N1100" s="4323" t="s">
        <v>1776</v>
      </c>
      <c r="O1100" s="3347" t="s">
        <v>1563</v>
      </c>
      <c r="P1100" s="1336" t="s">
        <v>1562</v>
      </c>
      <c r="Q1100" s="3389"/>
      <c r="R1100" s="1699" t="s">
        <v>1327</v>
      </c>
      <c r="S1100" s="22"/>
      <c r="T1100" s="22"/>
      <c r="U1100" s="22"/>
      <c r="V1100" s="22"/>
      <c r="W1100" s="22"/>
      <c r="X1100" s="22"/>
    </row>
    <row r="1101" spans="1:24">
      <c r="A1101" s="1733" t="s">
        <v>2813</v>
      </c>
      <c r="B1101" s="4390"/>
      <c r="C1101" s="3354"/>
      <c r="D1101" s="4368"/>
      <c r="E1101" s="4329"/>
      <c r="F1101" s="4338"/>
      <c r="G1101" s="4332"/>
      <c r="H1101" s="4332"/>
      <c r="I1101" s="1345">
        <v>2.4</v>
      </c>
      <c r="J1101" s="1307">
        <v>1.4999999999999999E-2</v>
      </c>
      <c r="K1101" s="1297">
        <f>I1101*J1101</f>
        <v>3.5999999999999997E-2</v>
      </c>
      <c r="L1101" s="4334"/>
      <c r="M1101" s="4335"/>
      <c r="N1101" s="4324"/>
      <c r="O1101" s="1298">
        <f>SUM(O1103:O1116)</f>
        <v>19.72</v>
      </c>
      <c r="P1101" s="1337">
        <f>K1101*O1101</f>
        <v>0.70991999999999988</v>
      </c>
      <c r="Q1101" s="3390"/>
      <c r="R1101" s="1721">
        <f>SUM(P1103:P1114)</f>
        <v>0.77302746</v>
      </c>
      <c r="S1101" s="22"/>
      <c r="T1101" s="22"/>
      <c r="U1101" s="22"/>
      <c r="V1101" s="22"/>
      <c r="W1101" s="22"/>
      <c r="X1101" s="22"/>
    </row>
    <row r="1102" spans="1:24">
      <c r="A1102" s="19"/>
      <c r="B1102" s="1628"/>
      <c r="C1102" s="3352"/>
      <c r="D1102" s="1400"/>
      <c r="E1102" s="2121"/>
      <c r="F1102" s="1389" t="s">
        <v>1</v>
      </c>
      <c r="G1102" s="1629"/>
      <c r="H1102" s="1629"/>
      <c r="I1102" s="1630"/>
      <c r="J1102" s="1609"/>
      <c r="K1102" s="1424"/>
      <c r="L1102" s="1631"/>
      <c r="M1102" s="1426"/>
      <c r="N1102" s="1710"/>
      <c r="O1102" s="1632"/>
      <c r="P1102" s="1633"/>
      <c r="Q1102" s="3390"/>
      <c r="R1102" s="3363"/>
      <c r="S1102" s="22"/>
      <c r="T1102" s="22"/>
      <c r="U1102" s="22"/>
      <c r="V1102" s="22"/>
      <c r="W1102" s="22"/>
      <c r="X1102" s="22"/>
    </row>
    <row r="1103" spans="1:24">
      <c r="A1103" s="19"/>
      <c r="B1103" s="553"/>
      <c r="C1103" s="1042"/>
      <c r="D1103" s="1626" t="s">
        <v>1145</v>
      </c>
      <c r="E1103" s="2156" t="s">
        <v>1577</v>
      </c>
      <c r="F1103" s="1587" t="s">
        <v>1690</v>
      </c>
      <c r="G1103" s="1588">
        <v>1E-3</v>
      </c>
      <c r="H1103" s="1588"/>
      <c r="I1103" s="1349"/>
      <c r="J1103" s="8"/>
      <c r="K1103" s="1307">
        <f>G1103*$K$1101</f>
        <v>3.6000000000000001E-5</v>
      </c>
      <c r="L1103" s="1335">
        <f>K1103*$K$974</f>
        <v>0</v>
      </c>
      <c r="M1103" s="1302">
        <v>246.4</v>
      </c>
      <c r="N1103" s="1700"/>
      <c r="O1103" s="1290">
        <f>ROUND(G1103*M1103,2)</f>
        <v>0.25</v>
      </c>
      <c r="P1103" s="1332">
        <f>M1103*K1103</f>
        <v>8.8704000000000005E-3</v>
      </c>
      <c r="Q1103" s="3391"/>
      <c r="R1103" s="3363"/>
      <c r="S1103" s="22"/>
      <c r="T1103" s="22"/>
      <c r="U1103" s="22"/>
      <c r="V1103" s="22"/>
      <c r="W1103" s="22"/>
      <c r="X1103" s="22"/>
    </row>
    <row r="1104" spans="1:24">
      <c r="A1104" s="19"/>
      <c r="B1104" s="553"/>
      <c r="C1104" s="1042"/>
      <c r="D1104" s="1618" t="s">
        <v>1147</v>
      </c>
      <c r="E1104" s="2138" t="s">
        <v>1357</v>
      </c>
      <c r="F1104" s="1587" t="s">
        <v>1691</v>
      </c>
      <c r="G1104" s="1588">
        <v>1</v>
      </c>
      <c r="H1104" s="1588"/>
      <c r="I1104" s="1617"/>
      <c r="J1104" s="198"/>
      <c r="K1104" s="1307">
        <f>G1104*$K$1101</f>
        <v>3.5999999999999997E-2</v>
      </c>
      <c r="L1104" s="1335">
        <f>K1104*$K$974</f>
        <v>0</v>
      </c>
      <c r="M1104" s="1302">
        <v>0.22</v>
      </c>
      <c r="N1104" s="1700"/>
      <c r="O1104" s="1290">
        <f>ROUND(G1104*M1104,2)</f>
        <v>0.22</v>
      </c>
      <c r="P1104" s="1332">
        <f>M1104*K1104</f>
        <v>7.92E-3</v>
      </c>
      <c r="Q1104" s="3391"/>
      <c r="R1104" s="3363"/>
      <c r="S1104" s="22"/>
      <c r="T1104" s="22"/>
      <c r="U1104" s="22"/>
      <c r="V1104" s="22"/>
      <c r="W1104" s="22"/>
      <c r="X1104" s="22"/>
    </row>
    <row r="1105" spans="1:24">
      <c r="A1105" s="19"/>
      <c r="B1105" s="553"/>
      <c r="C1105" s="1042"/>
      <c r="D1105" s="1618" t="s">
        <v>1692</v>
      </c>
      <c r="E1105" s="2138" t="s">
        <v>1504</v>
      </c>
      <c r="F1105" s="1587" t="s">
        <v>1693</v>
      </c>
      <c r="G1105" s="1588">
        <v>47.17</v>
      </c>
      <c r="H1105" s="1588"/>
      <c r="I1105" s="1286"/>
      <c r="J1105" s="198"/>
      <c r="K1105" s="1307">
        <f>G1105*$K$1101</f>
        <v>1.6981199999999999</v>
      </c>
      <c r="L1105" s="1335">
        <f>K1105*$K$974</f>
        <v>0</v>
      </c>
      <c r="M1105" s="1302">
        <v>0.17</v>
      </c>
      <c r="N1105" s="1700"/>
      <c r="O1105" s="1290">
        <f>ROUND(G1105*M1105,2)</f>
        <v>8.02</v>
      </c>
      <c r="P1105" s="1332">
        <f>M1105*K1105</f>
        <v>0.2886804</v>
      </c>
      <c r="Q1105" s="3391"/>
      <c r="R1105" s="3363"/>
      <c r="S1105" s="22"/>
      <c r="T1105" s="22"/>
      <c r="U1105" s="22"/>
      <c r="V1105" s="22"/>
      <c r="W1105" s="22"/>
      <c r="X1105" s="22"/>
    </row>
    <row r="1106" spans="1:24">
      <c r="A1106" s="16"/>
      <c r="B1106" s="1599"/>
      <c r="C1106" s="1320"/>
      <c r="D1106" s="1598" t="s">
        <v>1097</v>
      </c>
      <c r="E1106" s="1856" t="s">
        <v>1504</v>
      </c>
      <c r="F1106" s="1598" t="s">
        <v>1632</v>
      </c>
      <c r="G1106" s="1399">
        <v>1</v>
      </c>
      <c r="H1106" s="1399"/>
      <c r="I1106" s="198"/>
      <c r="J1106" s="198"/>
      <c r="K1106" s="1307">
        <f>G1106*$K$4084</f>
        <v>0.15075720000000001</v>
      </c>
      <c r="L1106" s="1335">
        <f>K1106*$K$974</f>
        <v>0</v>
      </c>
      <c r="M1106" s="1499">
        <v>0.55000000000000004</v>
      </c>
      <c r="N1106" s="1701"/>
      <c r="O1106" s="1291">
        <f>G1106*M1106</f>
        <v>0.55000000000000004</v>
      </c>
      <c r="P1106" s="1332">
        <f>M1106*K1106</f>
        <v>8.2916460000000011E-2</v>
      </c>
      <c r="Q1106" s="3391"/>
      <c r="R1106" s="3363"/>
      <c r="S1106" s="22"/>
      <c r="T1106" s="22"/>
      <c r="U1106" s="22"/>
      <c r="V1106" s="22"/>
      <c r="W1106" s="22"/>
      <c r="X1106" s="22"/>
    </row>
    <row r="1107" spans="1:24">
      <c r="A1107" s="19"/>
      <c r="B1107" s="553"/>
      <c r="C1107" s="1320"/>
      <c r="D1107" s="1618"/>
      <c r="E1107" s="2138"/>
      <c r="F1107" s="1587"/>
      <c r="G1107" s="1367"/>
      <c r="H1107" s="1367"/>
      <c r="I1107" s="1286"/>
      <c r="J1107" s="198"/>
      <c r="K1107" s="1307"/>
      <c r="L1107" s="1335"/>
      <c r="M1107" s="1302"/>
      <c r="N1107" s="1700"/>
      <c r="O1107" s="1290"/>
      <c r="P1107" s="1332"/>
      <c r="Q1107" s="3391"/>
      <c r="R1107" s="3363"/>
      <c r="S1107" s="22"/>
      <c r="T1107" s="22"/>
      <c r="U1107" s="22"/>
      <c r="V1107" s="22"/>
      <c r="W1107" s="22"/>
      <c r="X1107" s="22"/>
    </row>
    <row r="1108" spans="1:24">
      <c r="A1108" s="19"/>
      <c r="B1108" s="553"/>
      <c r="C1108" s="1320"/>
      <c r="D1108" s="1618"/>
      <c r="E1108" s="2138"/>
      <c r="F1108" s="1587"/>
      <c r="G1108" s="1367"/>
      <c r="H1108" s="1367"/>
      <c r="I1108" s="1617"/>
      <c r="J1108" s="198"/>
      <c r="K1108" s="1307"/>
      <c r="L1108" s="1335"/>
      <c r="M1108" s="1302"/>
      <c r="N1108" s="1700"/>
      <c r="O1108" s="1290"/>
      <c r="P1108" s="1332"/>
      <c r="Q1108" s="3391"/>
      <c r="R1108" s="3363"/>
      <c r="S1108" s="22"/>
      <c r="T1108" s="22"/>
      <c r="U1108" s="22"/>
      <c r="V1108" s="22"/>
      <c r="W1108" s="22"/>
      <c r="X1108" s="22"/>
    </row>
    <row r="1109" spans="1:24">
      <c r="A1109" s="19"/>
      <c r="B1109" s="553"/>
      <c r="C1109" s="1042"/>
      <c r="D1109" s="1404"/>
      <c r="E1109" s="1858"/>
      <c r="F1109" s="1465" t="s">
        <v>2</v>
      </c>
      <c r="G1109" s="1466"/>
      <c r="H1109" s="1466"/>
      <c r="I1109" s="1381"/>
      <c r="J1109" s="1381"/>
      <c r="K1109" s="1359"/>
      <c r="L1109" s="1458"/>
      <c r="M1109" s="1498"/>
      <c r="N1109" s="1498"/>
      <c r="O1109" s="1498"/>
      <c r="P1109" s="1359"/>
      <c r="Q1109" s="3387"/>
      <c r="R1109" s="3363"/>
      <c r="S1109" s="22"/>
      <c r="T1109" s="22"/>
      <c r="U1109" s="22"/>
      <c r="V1109" s="22"/>
      <c r="W1109" s="22"/>
      <c r="X1109" s="22"/>
    </row>
    <row r="1110" spans="1:24">
      <c r="A1110" s="19"/>
      <c r="B1110" s="553"/>
      <c r="C1110" s="1042"/>
      <c r="D1110" s="1627" t="s">
        <v>1088</v>
      </c>
      <c r="E1110" s="2157" t="s">
        <v>1508</v>
      </c>
      <c r="F1110" s="1620" t="s">
        <v>1694</v>
      </c>
      <c r="G1110" s="1621">
        <v>0.375</v>
      </c>
      <c r="H1110" s="1621"/>
      <c r="I1110" s="1340"/>
      <c r="J1110" s="198"/>
      <c r="K1110" s="1307">
        <f>G1110*$K$1101</f>
        <v>1.3499999999999998E-2</v>
      </c>
      <c r="L1110" s="1335">
        <f>K1110*$K$974</f>
        <v>0</v>
      </c>
      <c r="M1110" s="1729">
        <v>19.23</v>
      </c>
      <c r="N1110" s="1730"/>
      <c r="O1110" s="1290">
        <f>ROUND(G1110*M1110,2)</f>
        <v>7.21</v>
      </c>
      <c r="P1110" s="1332">
        <f>M1110*K1110</f>
        <v>0.25960499999999997</v>
      </c>
      <c r="Q1110" s="3391"/>
      <c r="R1110" s="3363"/>
      <c r="S1110" s="22"/>
      <c r="T1110" s="22"/>
      <c r="U1110" s="22"/>
      <c r="V1110" s="22"/>
      <c r="W1110" s="22"/>
      <c r="X1110" s="22"/>
    </row>
    <row r="1111" spans="1:24">
      <c r="A1111" s="19"/>
      <c r="B1111" s="553"/>
      <c r="C1111" s="1042"/>
      <c r="D1111" s="1627" t="s">
        <v>1067</v>
      </c>
      <c r="E1111" s="2157" t="s">
        <v>1508</v>
      </c>
      <c r="F1111" s="1620" t="s">
        <v>1512</v>
      </c>
      <c r="G1111" s="1621">
        <v>0.19</v>
      </c>
      <c r="H1111" s="1621"/>
      <c r="I1111" s="1340"/>
      <c r="J1111" s="198"/>
      <c r="K1111" s="1307">
        <f>G1111*$K$1101</f>
        <v>6.8399999999999997E-3</v>
      </c>
      <c r="L1111" s="1335">
        <f>K1111*$K$974</f>
        <v>0</v>
      </c>
      <c r="M1111" s="1729">
        <v>18.28</v>
      </c>
      <c r="N1111" s="1730"/>
      <c r="O1111" s="1290">
        <f>ROUND(G1111*M1111,2)</f>
        <v>3.47</v>
      </c>
      <c r="P1111" s="1332">
        <f>M1111*K1111</f>
        <v>0.12503520000000001</v>
      </c>
      <c r="Q1111" s="3391"/>
      <c r="R1111" s="3363"/>
      <c r="S1111" s="22"/>
      <c r="T1111" s="22"/>
      <c r="U1111" s="22"/>
      <c r="V1111" s="22"/>
      <c r="W1111" s="22"/>
      <c r="X1111" s="22"/>
    </row>
    <row r="1112" spans="1:24">
      <c r="A1112" s="19"/>
      <c r="B1112" s="553"/>
      <c r="C1112" s="1042"/>
      <c r="D1112" s="1627"/>
      <c r="E1112" s="2157"/>
      <c r="F1112" s="1620"/>
      <c r="G1112" s="1359"/>
      <c r="H1112" s="1359"/>
      <c r="I1112" s="1340"/>
      <c r="J1112" s="198"/>
      <c r="K1112" s="1307"/>
      <c r="L1112" s="1335"/>
      <c r="M1112" s="1729"/>
      <c r="N1112" s="1730"/>
      <c r="O1112" s="1290"/>
      <c r="P1112" s="1332"/>
      <c r="Q1112" s="3391"/>
      <c r="R1112" s="3363"/>
      <c r="S1112" s="16"/>
      <c r="T1112" s="16"/>
      <c r="U1112" s="16"/>
      <c r="V1112" s="22"/>
      <c r="W1112" s="22"/>
      <c r="X1112" s="22"/>
    </row>
    <row r="1113" spans="1:24">
      <c r="A1113" s="19"/>
      <c r="B1113" s="553"/>
      <c r="C1113" s="1042"/>
      <c r="D1113" s="1411"/>
      <c r="E1113" s="2123"/>
      <c r="F1113" s="1475" t="s">
        <v>3</v>
      </c>
      <c r="G1113" s="1377"/>
      <c r="H1113" s="1376"/>
      <c r="I1113" s="1383" t="s">
        <v>506</v>
      </c>
      <c r="J1113" s="1383"/>
      <c r="K1113" s="1383"/>
      <c r="L1113" s="1413" t="s">
        <v>506</v>
      </c>
      <c r="M1113" s="1376"/>
      <c r="N1113" s="1376"/>
      <c r="O1113" s="1376"/>
      <c r="P1113" s="1373"/>
      <c r="Q1113" s="3387"/>
      <c r="R1113" s="3363"/>
      <c r="S1113" s="16"/>
      <c r="T1113" s="16"/>
      <c r="U1113" s="16"/>
      <c r="V1113" s="22"/>
      <c r="W1113" s="22"/>
      <c r="X1113" s="22"/>
    </row>
    <row r="1114" spans="1:24">
      <c r="A1114" s="19"/>
      <c r="B1114" s="553"/>
      <c r="C1114" s="1042"/>
      <c r="D1114" s="1440"/>
      <c r="E1114" s="2132"/>
      <c r="F1114" s="1441"/>
      <c r="G1114" s="1441"/>
      <c r="H1114" s="1442"/>
      <c r="I1114" s="197" t="s">
        <v>506</v>
      </c>
      <c r="J1114" s="198"/>
      <c r="K1114" s="1307"/>
      <c r="L1114" s="1335" t="s">
        <v>506</v>
      </c>
      <c r="M1114" s="1499"/>
      <c r="N1114" s="1701"/>
      <c r="O1114" s="1290"/>
      <c r="P1114" s="1332"/>
      <c r="Q1114" s="3391"/>
      <c r="R1114" s="3363"/>
      <c r="S1114" s="16"/>
      <c r="T1114" s="16"/>
      <c r="U1114" s="16"/>
      <c r="V1114" s="22"/>
      <c r="W1114" s="22"/>
      <c r="X1114" s="22"/>
    </row>
    <row r="1115" spans="1:24">
      <c r="A1115" s="19"/>
      <c r="B1115" s="553"/>
      <c r="C1115" s="1320"/>
      <c r="D1115" s="1440"/>
      <c r="E1115" s="2132"/>
      <c r="F1115" s="1441"/>
      <c r="G1115" s="1441"/>
      <c r="H1115" s="1442"/>
      <c r="I1115" s="197" t="s">
        <v>506</v>
      </c>
      <c r="J1115" s="198"/>
      <c r="K1115" s="1307"/>
      <c r="L1115" s="1335" t="s">
        <v>506</v>
      </c>
      <c r="M1115" s="1499"/>
      <c r="N1115" s="1701"/>
      <c r="O1115" s="1290"/>
      <c r="P1115" s="1332"/>
      <c r="Q1115" s="3391"/>
      <c r="R1115" s="3363"/>
      <c r="S1115" s="16"/>
      <c r="T1115" s="16"/>
      <c r="U1115" s="16"/>
      <c r="V1115" s="22"/>
      <c r="W1115" s="22"/>
      <c r="X1115" s="22"/>
    </row>
    <row r="1116" spans="1:24">
      <c r="A1116" s="19"/>
      <c r="B1116" s="554"/>
      <c r="C1116" s="225"/>
      <c r="D1116" s="1440"/>
      <c r="E1116" s="2132"/>
      <c r="F1116" s="1441"/>
      <c r="G1116" s="1441"/>
      <c r="H1116" s="1442"/>
      <c r="I1116" s="197"/>
      <c r="J1116" s="198"/>
      <c r="K1116" s="1307"/>
      <c r="L1116" s="1335"/>
      <c r="M1116" s="1499"/>
      <c r="N1116" s="1701"/>
      <c r="O1116" s="1290"/>
      <c r="P1116" s="1332"/>
      <c r="Q1116" s="3391"/>
      <c r="R1116" s="3363"/>
      <c r="S1116" s="16"/>
      <c r="T1116" s="16"/>
      <c r="U1116" s="16"/>
      <c r="V1116" s="22"/>
      <c r="W1116" s="22"/>
      <c r="X1116" s="22"/>
    </row>
    <row r="1117" spans="1:24" ht="15" customHeight="1">
      <c r="A1117" s="18" t="s">
        <v>3764</v>
      </c>
      <c r="B1117" s="4325" t="s">
        <v>1712</v>
      </c>
      <c r="C1117" s="3354"/>
      <c r="D1117" s="4327"/>
      <c r="E1117" s="4337" t="s">
        <v>1507</v>
      </c>
      <c r="F1117" s="4338" t="s">
        <v>1713</v>
      </c>
      <c r="G1117" s="4331" t="s">
        <v>1568</v>
      </c>
      <c r="H1117" s="4331" t="s">
        <v>1574</v>
      </c>
      <c r="I1117" s="1572" t="s">
        <v>1559</v>
      </c>
      <c r="J1117" s="1294" t="s">
        <v>1560</v>
      </c>
      <c r="K1117" s="1294" t="s">
        <v>1561</v>
      </c>
      <c r="L1117" s="4333" t="s">
        <v>3765</v>
      </c>
      <c r="M1117" s="4335" t="s">
        <v>1571</v>
      </c>
      <c r="N1117" s="4323" t="s">
        <v>1776</v>
      </c>
      <c r="O1117" s="3347" t="s">
        <v>1563</v>
      </c>
      <c r="P1117" s="1336" t="s">
        <v>1562</v>
      </c>
      <c r="Q1117" s="3389"/>
      <c r="R1117" s="1699" t="s">
        <v>1327</v>
      </c>
      <c r="S1117" s="16"/>
      <c r="T1117" s="16"/>
      <c r="U1117" s="16"/>
      <c r="V1117" s="22"/>
      <c r="W1117" s="22"/>
      <c r="X1117" s="22"/>
    </row>
    <row r="1118" spans="1:24">
      <c r="A1118" s="1733" t="s">
        <v>2813</v>
      </c>
      <c r="B1118" s="4326"/>
      <c r="C1118" s="3351"/>
      <c r="D1118" s="4328"/>
      <c r="E1118" s="4337"/>
      <c r="F1118" s="4338"/>
      <c r="G1118" s="4332"/>
      <c r="H1118" s="4332"/>
      <c r="I1118" s="1345">
        <v>0.8</v>
      </c>
      <c r="J1118" s="1307">
        <v>1.4999999999999999E-2</v>
      </c>
      <c r="K1118" s="1297">
        <f>I1118*J1118</f>
        <v>1.2E-2</v>
      </c>
      <c r="L1118" s="4334"/>
      <c r="M1118" s="4335"/>
      <c r="N1118" s="4324"/>
      <c r="O1118" s="1298">
        <f>SUM(O1120:O1130)</f>
        <v>7.8699999999999992</v>
      </c>
      <c r="P1118" s="1337">
        <f>K1118*O1118</f>
        <v>9.4439999999999996E-2</v>
      </c>
      <c r="Q1118" s="3390"/>
      <c r="R1118" s="1721">
        <f>SUM(P1120:P1132)</f>
        <v>9.4481399999999993E-2</v>
      </c>
      <c r="S1118" s="16"/>
      <c r="T1118" s="16"/>
      <c r="U1118" s="16"/>
      <c r="V1118" s="22"/>
      <c r="W1118" s="22"/>
      <c r="X1118" s="22"/>
    </row>
    <row r="1119" spans="1:24">
      <c r="A1119" s="19"/>
      <c r="B1119" s="551"/>
      <c r="C1119" s="18"/>
      <c r="D1119" s="1400"/>
      <c r="E1119" s="2121"/>
      <c r="F1119" s="1389" t="s">
        <v>1</v>
      </c>
      <c r="G1119" s="1369"/>
      <c r="H1119" s="1369"/>
      <c r="I1119" s="1391"/>
      <c r="J1119" s="1369"/>
      <c r="K1119" s="1369"/>
      <c r="L1119" s="1554"/>
      <c r="M1119" s="1487"/>
      <c r="N1119" s="1487"/>
      <c r="O1119" s="1487"/>
      <c r="P1119" s="1367"/>
      <c r="Q1119" s="3387"/>
      <c r="R1119" s="3363"/>
      <c r="S1119" s="16"/>
      <c r="T1119" s="16"/>
      <c r="U1119" s="16"/>
      <c r="V1119" s="22"/>
      <c r="W1119" s="22"/>
      <c r="X1119" s="22"/>
    </row>
    <row r="1120" spans="1:24">
      <c r="A1120" s="19"/>
      <c r="B1120" s="553"/>
      <c r="C1120" s="1042"/>
      <c r="D1120" s="1615" t="s">
        <v>1128</v>
      </c>
      <c r="E1120" s="1856" t="s">
        <v>1517</v>
      </c>
      <c r="F1120" s="1421" t="s">
        <v>1695</v>
      </c>
      <c r="G1120" s="1604">
        <v>1.4999999999999999E-2</v>
      </c>
      <c r="H1120" s="1604"/>
      <c r="I1120" s="1342"/>
      <c r="J1120" s="198"/>
      <c r="K1120" s="1732">
        <f>G1120*$K$1118</f>
        <v>1.7999999999999998E-4</v>
      </c>
      <c r="L1120" s="1335">
        <f>K1120*$K$974</f>
        <v>0</v>
      </c>
      <c r="M1120" s="1302">
        <v>104.28</v>
      </c>
      <c r="N1120" s="1700"/>
      <c r="O1120" s="1290">
        <f>ROUND(G1120*M1120,2)</f>
        <v>1.56</v>
      </c>
      <c r="P1120" s="1332">
        <f>M1120*K1120</f>
        <v>1.87704E-2</v>
      </c>
      <c r="Q1120" s="3391"/>
      <c r="R1120" s="3363"/>
      <c r="S1120" s="16"/>
      <c r="T1120" s="16"/>
      <c r="U1120" s="16"/>
      <c r="V1120" s="22"/>
      <c r="W1120" s="22"/>
      <c r="X1120" s="22"/>
    </row>
    <row r="1121" spans="1:24">
      <c r="A1121" s="19"/>
      <c r="B1121" s="553"/>
      <c r="C1121" s="1042"/>
      <c r="D1121" s="1428" t="s">
        <v>1152</v>
      </c>
      <c r="E1121" s="2122" t="s">
        <v>1517</v>
      </c>
      <c r="F1121" s="1370" t="s">
        <v>1696</v>
      </c>
      <c r="G1121" s="1452">
        <v>5.0000000000000001E-3</v>
      </c>
      <c r="H1121" s="1452"/>
      <c r="I1121" s="1286"/>
      <c r="J1121" s="198"/>
      <c r="K1121" s="1732">
        <f>G1121*$K$1118</f>
        <v>6.0000000000000002E-5</v>
      </c>
      <c r="L1121" s="1335">
        <f>K1121*$K$974</f>
        <v>0</v>
      </c>
      <c r="M1121" s="1302">
        <v>108.05</v>
      </c>
      <c r="N1121" s="1700"/>
      <c r="O1121" s="1290">
        <f>ROUND(G1121*M1121,2)</f>
        <v>0.54</v>
      </c>
      <c r="P1121" s="1332">
        <f>M1121*K1121</f>
        <v>6.483E-3</v>
      </c>
      <c r="Q1121" s="3391"/>
      <c r="R1121" s="3363"/>
      <c r="S1121" s="16"/>
      <c r="T1121" s="16"/>
      <c r="U1121" s="16"/>
      <c r="V1121" s="22"/>
      <c r="W1121" s="22"/>
      <c r="X1121" s="22"/>
    </row>
    <row r="1122" spans="1:24">
      <c r="A1122" s="19"/>
      <c r="B1122" s="553"/>
      <c r="C1122" s="1320"/>
      <c r="D1122" s="1396"/>
      <c r="E1122" s="1856"/>
      <c r="F1122" s="1421"/>
      <c r="G1122" s="1452"/>
      <c r="H1122" s="1452"/>
      <c r="I1122" s="1286"/>
      <c r="J1122" s="198"/>
      <c r="K1122" s="1307"/>
      <c r="L1122" s="1335"/>
      <c r="M1122" s="1302"/>
      <c r="N1122" s="1700"/>
      <c r="O1122" s="1290"/>
      <c r="P1122" s="1332"/>
      <c r="Q1122" s="3391"/>
      <c r="R1122" s="3363"/>
      <c r="S1122" s="16"/>
      <c r="T1122" s="16"/>
      <c r="U1122" s="16"/>
      <c r="V1122" s="22"/>
      <c r="W1122" s="22"/>
      <c r="X1122" s="22"/>
    </row>
    <row r="1123" spans="1:24">
      <c r="A1123" s="19"/>
      <c r="B1123" s="553"/>
      <c r="C1123" s="1320"/>
      <c r="D1123" s="1400"/>
      <c r="E1123" s="1856"/>
      <c r="F1123" s="1421"/>
      <c r="G1123" s="1452"/>
      <c r="H1123" s="1452"/>
      <c r="I1123" s="1286"/>
      <c r="J1123" s="198"/>
      <c r="K1123" s="1307"/>
      <c r="L1123" s="1335"/>
      <c r="M1123" s="1302"/>
      <c r="N1123" s="1700"/>
      <c r="O1123" s="1290"/>
      <c r="P1123" s="1332"/>
      <c r="Q1123" s="3391"/>
      <c r="R1123" s="3363"/>
      <c r="S1123" s="16"/>
      <c r="T1123" s="16"/>
      <c r="U1123" s="16"/>
      <c r="V1123" s="22"/>
      <c r="W1123" s="22"/>
      <c r="X1123" s="22"/>
    </row>
    <row r="1124" spans="1:24">
      <c r="A1124" s="19"/>
      <c r="B1124" s="553"/>
      <c r="C1124" s="1042"/>
      <c r="D1124" s="1404"/>
      <c r="E1124" s="1858"/>
      <c r="F1124" s="1465" t="s">
        <v>2</v>
      </c>
      <c r="G1124" s="1466"/>
      <c r="H1124" s="1466"/>
      <c r="I1124" s="1381"/>
      <c r="J1124" s="1381"/>
      <c r="K1124" s="1359"/>
      <c r="L1124" s="1458"/>
      <c r="M1124" s="1498"/>
      <c r="N1124" s="1498"/>
      <c r="O1124" s="1498"/>
      <c r="P1124" s="1359"/>
      <c r="Q1124" s="3387"/>
      <c r="R1124" s="3363"/>
      <c r="S1124" s="16"/>
      <c r="T1124" s="16"/>
      <c r="U1124" s="16"/>
      <c r="V1124" s="22"/>
      <c r="W1124" s="22"/>
      <c r="X1124" s="22"/>
    </row>
    <row r="1125" spans="1:24">
      <c r="A1125" s="19"/>
      <c r="B1125" s="553"/>
      <c r="C1125" s="1042"/>
      <c r="D1125" s="1622" t="s">
        <v>1153</v>
      </c>
      <c r="E1125" s="2125" t="s">
        <v>1508</v>
      </c>
      <c r="F1125" s="1363" t="s">
        <v>1697</v>
      </c>
      <c r="G1125" s="1408">
        <v>0.3</v>
      </c>
      <c r="H1125" s="1408"/>
      <c r="I1125" s="1340"/>
      <c r="J1125" s="198"/>
      <c r="K1125" s="1307">
        <f>G1125*$K$1118</f>
        <v>3.5999999999999999E-3</v>
      </c>
      <c r="L1125" s="1335">
        <f>K1125*$K$974</f>
        <v>0</v>
      </c>
      <c r="M1125" s="1302">
        <v>19.23</v>
      </c>
      <c r="N1125" s="1700"/>
      <c r="O1125" s="1290">
        <f>ROUND(G1125*M1125,2)</f>
        <v>5.77</v>
      </c>
      <c r="P1125" s="1332">
        <f>M1125*K1125</f>
        <v>6.9227999999999998E-2</v>
      </c>
      <c r="Q1125" s="3391"/>
      <c r="R1125" s="3363"/>
      <c r="S1125" s="16"/>
      <c r="T1125" s="16"/>
      <c r="U1125" s="16"/>
      <c r="V1125" s="22"/>
      <c r="W1125" s="22"/>
      <c r="X1125" s="22"/>
    </row>
    <row r="1126" spans="1:24">
      <c r="A1126" s="19"/>
      <c r="B1126" s="553"/>
      <c r="C1126" s="1042"/>
      <c r="D1126" s="1622"/>
      <c r="E1126" s="2125"/>
      <c r="F1126" s="1363"/>
      <c r="G1126" s="1474"/>
      <c r="H1126" s="1474"/>
      <c r="I1126" s="1340"/>
      <c r="J1126" s="198"/>
      <c r="K1126" s="1307"/>
      <c r="L1126" s="1335"/>
      <c r="M1126" s="1302"/>
      <c r="N1126" s="1700"/>
      <c r="O1126" s="1290"/>
      <c r="P1126" s="1332"/>
      <c r="Q1126" s="3391"/>
      <c r="R1126" s="3363"/>
      <c r="S1126" s="16"/>
      <c r="T1126" s="16"/>
      <c r="U1126" s="16"/>
      <c r="V1126" s="22"/>
      <c r="W1126" s="22"/>
      <c r="X1126" s="22"/>
    </row>
    <row r="1127" spans="1:24">
      <c r="A1127" s="19"/>
      <c r="B1127" s="553"/>
      <c r="C1127" s="1042"/>
      <c r="D1127" s="1622"/>
      <c r="E1127" s="2125"/>
      <c r="F1127" s="1363"/>
      <c r="G1127" s="1408"/>
      <c r="H1127" s="1408"/>
      <c r="I1127" s="1340"/>
      <c r="J1127" s="198"/>
      <c r="K1127" s="1307"/>
      <c r="L1127" s="1335"/>
      <c r="M1127" s="1302"/>
      <c r="N1127" s="1700"/>
      <c r="O1127" s="1290"/>
      <c r="P1127" s="1332"/>
      <c r="Q1127" s="3391"/>
      <c r="R1127" s="3363"/>
      <c r="S1127" s="16"/>
      <c r="T1127" s="16"/>
      <c r="U1127" s="16"/>
      <c r="V1127" s="22"/>
      <c r="W1127" s="22"/>
      <c r="X1127" s="22"/>
    </row>
    <row r="1128" spans="1:24">
      <c r="A1128" s="19"/>
      <c r="B1128" s="553"/>
      <c r="C1128" s="1042"/>
      <c r="D1128" s="1411"/>
      <c r="E1128" s="2123"/>
      <c r="F1128" s="1475" t="s">
        <v>3</v>
      </c>
      <c r="G1128" s="1377"/>
      <c r="H1128" s="1376"/>
      <c r="I1128" s="1383" t="s">
        <v>506</v>
      </c>
      <c r="J1128" s="1383"/>
      <c r="K1128" s="1383"/>
      <c r="L1128" s="1413"/>
      <c r="M1128" s="1376"/>
      <c r="N1128" s="1376"/>
      <c r="O1128" s="1376"/>
      <c r="P1128" s="1373"/>
      <c r="Q1128" s="3387"/>
      <c r="R1128" s="3363"/>
      <c r="S1128" s="16"/>
      <c r="T1128" s="16"/>
      <c r="U1128" s="16"/>
      <c r="V1128" s="22"/>
      <c r="W1128" s="22"/>
      <c r="X1128" s="22"/>
    </row>
    <row r="1129" spans="1:24">
      <c r="A1129" s="19"/>
      <c r="B1129" s="553"/>
      <c r="C1129" s="1042"/>
      <c r="D1129" s="1440"/>
      <c r="E1129" s="2132"/>
      <c r="F1129" s="1441"/>
      <c r="G1129" s="1441"/>
      <c r="H1129" s="1442"/>
      <c r="I1129" s="197" t="s">
        <v>506</v>
      </c>
      <c r="J1129" s="198"/>
      <c r="K1129" s="1307"/>
      <c r="L1129" s="1335" t="s">
        <v>506</v>
      </c>
      <c r="M1129" s="1499"/>
      <c r="N1129" s="1701"/>
      <c r="O1129" s="1290"/>
      <c r="P1129" s="1332"/>
      <c r="Q1129" s="3391"/>
      <c r="R1129" s="3363"/>
      <c r="S1129" s="16"/>
      <c r="T1129" s="16"/>
      <c r="U1129" s="16"/>
      <c r="V1129" s="22"/>
      <c r="W1129" s="22"/>
      <c r="X1129" s="22"/>
    </row>
    <row r="1130" spans="1:24">
      <c r="A1130" s="19"/>
      <c r="B1130" s="553"/>
      <c r="C1130" s="1042"/>
      <c r="D1130" s="1440"/>
      <c r="E1130" s="2132"/>
      <c r="F1130" s="1441"/>
      <c r="G1130" s="1441"/>
      <c r="H1130" s="1442"/>
      <c r="I1130" s="197" t="s">
        <v>506</v>
      </c>
      <c r="J1130" s="198"/>
      <c r="K1130" s="1307"/>
      <c r="L1130" s="1335" t="s">
        <v>506</v>
      </c>
      <c r="M1130" s="1499"/>
      <c r="N1130" s="1701"/>
      <c r="O1130" s="1290"/>
      <c r="P1130" s="1332"/>
      <c r="Q1130" s="3391"/>
      <c r="R1130" s="3363"/>
      <c r="S1130" s="16"/>
      <c r="T1130" s="16"/>
      <c r="U1130" s="16"/>
      <c r="V1130" s="22"/>
      <c r="W1130" s="22"/>
      <c r="X1130" s="22"/>
    </row>
    <row r="1131" spans="1:24">
      <c r="A1131" s="19"/>
      <c r="B1131" s="554"/>
      <c r="C1131" s="223"/>
      <c r="D1131" s="1440"/>
      <c r="E1131" s="2132"/>
      <c r="F1131" s="1441"/>
      <c r="G1131" s="1441"/>
      <c r="H1131" s="1442"/>
      <c r="I1131" s="197"/>
      <c r="J1131" s="198"/>
      <c r="K1131" s="1307"/>
      <c r="L1131" s="1335"/>
      <c r="M1131" s="1499"/>
      <c r="N1131" s="1701"/>
      <c r="O1131" s="1290"/>
      <c r="P1131" s="1332"/>
      <c r="Q1131" s="3391"/>
      <c r="R1131" s="3363"/>
      <c r="S1131" s="16"/>
      <c r="T1131" s="16"/>
      <c r="U1131" s="16"/>
      <c r="V1131" s="22"/>
      <c r="W1131" s="22"/>
      <c r="X1131" s="22"/>
    </row>
    <row r="1132" spans="1:24" ht="15" customHeight="1">
      <c r="A1132" s="18" t="s">
        <v>3764</v>
      </c>
      <c r="B1132" s="4325" t="s">
        <v>1661</v>
      </c>
      <c r="C1132" s="3350"/>
      <c r="D1132" s="4327"/>
      <c r="E1132" s="4337" t="s">
        <v>1507</v>
      </c>
      <c r="F1132" s="4338" t="s">
        <v>1706</v>
      </c>
      <c r="G1132" s="4331" t="s">
        <v>1568</v>
      </c>
      <c r="H1132" s="4331" t="s">
        <v>1574</v>
      </c>
      <c r="I1132" s="1572" t="s">
        <v>1559</v>
      </c>
      <c r="J1132" s="1294" t="s">
        <v>1560</v>
      </c>
      <c r="K1132" s="1294" t="s">
        <v>1561</v>
      </c>
      <c r="L1132" s="4333" t="s">
        <v>3765</v>
      </c>
      <c r="M1132" s="4335" t="s">
        <v>1571</v>
      </c>
      <c r="N1132" s="4323" t="s">
        <v>1776</v>
      </c>
      <c r="O1132" s="3347" t="s">
        <v>1563</v>
      </c>
      <c r="P1132" s="1336" t="s">
        <v>1562</v>
      </c>
      <c r="Q1132" s="3389"/>
      <c r="R1132" s="1699" t="s">
        <v>1327</v>
      </c>
      <c r="S1132" s="16"/>
      <c r="T1132" s="16"/>
      <c r="U1132" s="16"/>
      <c r="V1132" s="22"/>
      <c r="W1132" s="22"/>
      <c r="X1132" s="22"/>
    </row>
    <row r="1133" spans="1:24">
      <c r="A1133" s="1733" t="s">
        <v>2813</v>
      </c>
      <c r="B1133" s="4326"/>
      <c r="C1133" s="3354"/>
      <c r="D1133" s="4328"/>
      <c r="E1133" s="4337"/>
      <c r="F1133" s="4338"/>
      <c r="G1133" s="4332"/>
      <c r="H1133" s="4332"/>
      <c r="I1133" s="1345">
        <v>0.8</v>
      </c>
      <c r="J1133" s="1307">
        <v>1.4999999999999999E-2</v>
      </c>
      <c r="K1133" s="1297">
        <f>I1133*J1133</f>
        <v>1.2E-2</v>
      </c>
      <c r="L1133" s="4334"/>
      <c r="M1133" s="4335"/>
      <c r="N1133" s="4324"/>
      <c r="O1133" s="1298">
        <f>SUM(O1135:O1147)</f>
        <v>8.99</v>
      </c>
      <c r="P1133" s="1337">
        <f>K1133*O1133</f>
        <v>0.10788</v>
      </c>
      <c r="Q1133" s="3390"/>
      <c r="R1133" s="1721">
        <f>SUM(P1135:P1147)</f>
        <v>0.10784447999999999</v>
      </c>
      <c r="S1133" s="16"/>
      <c r="T1133" s="16"/>
      <c r="U1133" s="16"/>
      <c r="V1133" s="22"/>
      <c r="W1133" s="22"/>
      <c r="X1133" s="22"/>
    </row>
    <row r="1134" spans="1:24">
      <c r="A1134" s="19"/>
      <c r="B1134" s="551"/>
      <c r="C1134" s="18"/>
      <c r="D1134" s="1400"/>
      <c r="E1134" s="2121"/>
      <c r="F1134" s="1389" t="s">
        <v>1</v>
      </c>
      <c r="G1134" s="1369"/>
      <c r="H1134" s="1369"/>
      <c r="I1134" s="1391"/>
      <c r="J1134" s="1369"/>
      <c r="K1134" s="1369"/>
      <c r="L1134" s="1554"/>
      <c r="M1134" s="1487"/>
      <c r="N1134" s="1487"/>
      <c r="O1134" s="1487"/>
      <c r="P1134" s="1367"/>
      <c r="Q1134" s="3387"/>
      <c r="R1134" s="2337"/>
      <c r="S1134" s="16"/>
      <c r="T1134" s="16"/>
      <c r="U1134" s="16"/>
      <c r="V1134" s="22"/>
      <c r="W1134" s="22"/>
      <c r="X1134" s="22"/>
    </row>
    <row r="1135" spans="1:24">
      <c r="A1135" s="19"/>
      <c r="B1135" s="553"/>
      <c r="C1135" s="1042"/>
      <c r="D1135" s="1615" t="s">
        <v>1698</v>
      </c>
      <c r="E1135" s="1856" t="s">
        <v>1357</v>
      </c>
      <c r="F1135" s="1421" t="s">
        <v>1699</v>
      </c>
      <c r="G1135" s="1605">
        <v>0.45</v>
      </c>
      <c r="H1135" s="1605"/>
      <c r="I1135" s="1342"/>
      <c r="J1135" s="198"/>
      <c r="K1135" s="1307">
        <f>G1135*$K$1133</f>
        <v>5.4000000000000003E-3</v>
      </c>
      <c r="L1135" s="1335">
        <f>K1135*$K$974</f>
        <v>0</v>
      </c>
      <c r="M1135" s="1302">
        <v>1.7</v>
      </c>
      <c r="N1135" s="1700"/>
      <c r="O1135" s="1290">
        <f>ROUND(G1135*M1135,2)</f>
        <v>0.77</v>
      </c>
      <c r="P1135" s="1332">
        <f>M1135*K1135</f>
        <v>9.1800000000000007E-3</v>
      </c>
      <c r="Q1135" s="3391"/>
      <c r="R1135" s="3363"/>
      <c r="S1135" s="16"/>
      <c r="T1135" s="16"/>
      <c r="U1135" s="16"/>
      <c r="V1135" s="22"/>
      <c r="W1135" s="22"/>
      <c r="X1135" s="22"/>
    </row>
    <row r="1136" spans="1:24">
      <c r="A1136" s="19"/>
      <c r="B1136" s="553"/>
      <c r="C1136" s="1042"/>
      <c r="D1136" s="1615" t="s">
        <v>1214</v>
      </c>
      <c r="E1136" s="1856" t="s">
        <v>1357</v>
      </c>
      <c r="F1136" s="1421" t="s">
        <v>1700</v>
      </c>
      <c r="G1136" s="1452">
        <v>0.35</v>
      </c>
      <c r="H1136" s="1452"/>
      <c r="I1136" s="1286"/>
      <c r="J1136" s="198"/>
      <c r="K1136" s="1307">
        <f>G1136*$K$1133</f>
        <v>4.1999999999999997E-3</v>
      </c>
      <c r="L1136" s="1335">
        <f>K1136*$K$974</f>
        <v>0</v>
      </c>
      <c r="M1136" s="1302">
        <v>4.2</v>
      </c>
      <c r="N1136" s="1700"/>
      <c r="O1136" s="1290">
        <f>ROUND(G1136*M1136,2)</f>
        <v>1.47</v>
      </c>
      <c r="P1136" s="1332">
        <f>M1136*K1136</f>
        <v>1.7639999999999999E-2</v>
      </c>
      <c r="Q1136" s="3391"/>
      <c r="R1136" s="3363"/>
      <c r="S1136" s="16"/>
      <c r="T1136" s="16"/>
      <c r="U1136" s="16"/>
      <c r="V1136" s="22"/>
      <c r="W1136" s="22"/>
      <c r="X1136" s="22"/>
    </row>
    <row r="1137" spans="1:25">
      <c r="A1137" s="19"/>
      <c r="B1137" s="553"/>
      <c r="C1137" s="1320"/>
      <c r="D1137" s="1400" t="s">
        <v>1701</v>
      </c>
      <c r="E1137" s="1856" t="s">
        <v>1504</v>
      </c>
      <c r="F1137" s="1421" t="s">
        <v>1541</v>
      </c>
      <c r="G1137" s="1399">
        <v>0.2</v>
      </c>
      <c r="H1137" s="1399"/>
      <c r="I1137" s="1614"/>
      <c r="J1137" s="1341"/>
      <c r="K1137" s="1307">
        <f>G1137*$K$1133</f>
        <v>2.4000000000000002E-3</v>
      </c>
      <c r="L1137" s="1335">
        <f>K1137*$K$974</f>
        <v>0</v>
      </c>
      <c r="M1137" s="1302">
        <v>0.3</v>
      </c>
      <c r="N1137" s="1700"/>
      <c r="O1137" s="1290">
        <f>ROUND(G1137*M1137,2)</f>
        <v>0.06</v>
      </c>
      <c r="P1137" s="1332">
        <f>M1137*K1137</f>
        <v>7.2000000000000005E-4</v>
      </c>
      <c r="Q1137" s="3391"/>
      <c r="R1137" s="3363"/>
      <c r="S1137" s="16"/>
      <c r="T1137" s="16"/>
      <c r="U1137" s="16"/>
      <c r="V1137" s="22"/>
      <c r="W1137" s="22"/>
      <c r="X1137" s="22"/>
    </row>
    <row r="1138" spans="1:25">
      <c r="A1138" s="19"/>
      <c r="B1138" s="553"/>
      <c r="C1138" s="1320"/>
      <c r="D1138" s="1400"/>
      <c r="E1138" s="1856"/>
      <c r="F1138" s="1421"/>
      <c r="G1138" s="1367"/>
      <c r="H1138" s="1367"/>
      <c r="I1138" s="1614"/>
      <c r="J1138" s="1341"/>
      <c r="K1138" s="1307"/>
      <c r="L1138" s="1335"/>
      <c r="M1138" s="1302"/>
      <c r="N1138" s="1700"/>
      <c r="O1138" s="1290"/>
      <c r="P1138" s="1332"/>
      <c r="Q1138" s="3391"/>
      <c r="R1138" s="3363"/>
      <c r="S1138" s="16"/>
      <c r="T1138" s="16"/>
      <c r="U1138" s="16"/>
      <c r="V1138" s="22"/>
      <c r="W1138" s="22"/>
      <c r="X1138" s="22"/>
    </row>
    <row r="1139" spans="1:25">
      <c r="A1139" s="19"/>
      <c r="B1139" s="553"/>
      <c r="C1139" s="1320"/>
      <c r="D1139" s="1400"/>
      <c r="E1139" s="1856"/>
      <c r="F1139" s="1421"/>
      <c r="G1139" s="1367"/>
      <c r="H1139" s="1367"/>
      <c r="I1139" s="1614"/>
      <c r="J1139" s="1341"/>
      <c r="K1139" s="1307"/>
      <c r="L1139" s="1335"/>
      <c r="M1139" s="1302"/>
      <c r="N1139" s="1700"/>
      <c r="O1139" s="1290"/>
      <c r="P1139" s="1332"/>
      <c r="Q1139" s="3391"/>
      <c r="R1139" s="3363"/>
      <c r="S1139" s="16"/>
      <c r="T1139" s="16"/>
      <c r="U1139" s="16"/>
      <c r="V1139" s="16"/>
      <c r="W1139" s="16"/>
      <c r="X1139" s="16"/>
      <c r="Y1139" s="16"/>
    </row>
    <row r="1140" spans="1:25">
      <c r="A1140" s="19"/>
      <c r="B1140" s="553"/>
      <c r="C1140" s="1042"/>
      <c r="D1140" s="1404"/>
      <c r="E1140" s="1858"/>
      <c r="F1140" s="1465" t="s">
        <v>2</v>
      </c>
      <c r="G1140" s="1466"/>
      <c r="H1140" s="1466"/>
      <c r="I1140" s="1381"/>
      <c r="J1140" s="1381"/>
      <c r="K1140" s="1359"/>
      <c r="L1140" s="1458"/>
      <c r="M1140" s="1498"/>
      <c r="N1140" s="1498"/>
      <c r="O1140" s="1498"/>
      <c r="P1140" s="1359"/>
      <c r="Q1140" s="3387"/>
      <c r="R1140" s="3363"/>
      <c r="S1140" s="16"/>
      <c r="T1140" s="16"/>
      <c r="U1140" s="16"/>
      <c r="V1140" s="16"/>
      <c r="W1140" s="16"/>
      <c r="X1140" s="16"/>
      <c r="Y1140" s="16"/>
    </row>
    <row r="1141" spans="1:25">
      <c r="A1141" s="19"/>
      <c r="B1141" s="553"/>
      <c r="C1141" s="1042"/>
      <c r="D1141" s="1623" t="s">
        <v>1702</v>
      </c>
      <c r="E1141" s="2158" t="s">
        <v>1508</v>
      </c>
      <c r="F1141" s="1624" t="s">
        <v>1703</v>
      </c>
      <c r="G1141" s="1625">
        <v>0.34799999999999998</v>
      </c>
      <c r="H1141" s="1625"/>
      <c r="I1141" s="1340"/>
      <c r="J1141" s="198"/>
      <c r="K1141" s="1307">
        <f>G1141*$K$1133</f>
        <v>4.176E-3</v>
      </c>
      <c r="L1141" s="1335">
        <f>K1141*$K$974</f>
        <v>0</v>
      </c>
      <c r="M1141" s="1302">
        <v>19.23</v>
      </c>
      <c r="N1141" s="1700"/>
      <c r="O1141" s="1290">
        <f>ROUND(G1141*M1141,2)</f>
        <v>6.69</v>
      </c>
      <c r="P1141" s="1332">
        <f>M1141*K1141</f>
        <v>8.0304479999999998E-2</v>
      </c>
      <c r="Q1141" s="3391"/>
      <c r="R1141" s="3363"/>
      <c r="S1141" s="16"/>
      <c r="T1141" s="16"/>
      <c r="U1141" s="16"/>
      <c r="V1141" s="16"/>
      <c r="W1141" s="16"/>
      <c r="X1141" s="16"/>
      <c r="Y1141" s="16"/>
    </row>
    <row r="1142" spans="1:25">
      <c r="A1142" s="19"/>
      <c r="B1142" s="553"/>
      <c r="C1142" s="1042"/>
      <c r="D1142" s="1623"/>
      <c r="E1142" s="2158"/>
      <c r="F1142" s="1624"/>
      <c r="G1142" s="1625"/>
      <c r="H1142" s="1625"/>
      <c r="I1142" s="1340"/>
      <c r="J1142" s="198"/>
      <c r="K1142" s="1307"/>
      <c r="L1142" s="1335"/>
      <c r="M1142" s="1302"/>
      <c r="N1142" s="1700"/>
      <c r="O1142" s="1290"/>
      <c r="P1142" s="1332"/>
      <c r="Q1142" s="3391"/>
      <c r="R1142" s="3363"/>
      <c r="S1142" s="16"/>
      <c r="T1142" s="16"/>
      <c r="U1142" s="16"/>
      <c r="V1142" s="16"/>
      <c r="W1142" s="16"/>
      <c r="X1142" s="16"/>
      <c r="Y1142" s="16"/>
    </row>
    <row r="1143" spans="1:25">
      <c r="A1143" s="19"/>
      <c r="B1143" s="553"/>
      <c r="C1143" s="1042"/>
      <c r="D1143" s="1623"/>
      <c r="E1143" s="2158"/>
      <c r="F1143" s="1624"/>
      <c r="G1143" s="1625"/>
      <c r="H1143" s="1625"/>
      <c r="I1143" s="1340"/>
      <c r="J1143" s="198"/>
      <c r="K1143" s="1307"/>
      <c r="L1143" s="1335"/>
      <c r="M1143" s="1302"/>
      <c r="N1143" s="1700"/>
      <c r="O1143" s="1290"/>
      <c r="P1143" s="1332"/>
      <c r="Q1143" s="3391"/>
      <c r="R1143" s="3363"/>
      <c r="S1143" s="16"/>
      <c r="T1143" s="16"/>
      <c r="U1143" s="16"/>
      <c r="V1143" s="16"/>
      <c r="W1143" s="16"/>
      <c r="X1143" s="16"/>
      <c r="Y1143" s="16"/>
    </row>
    <row r="1144" spans="1:25">
      <c r="B1144" s="553"/>
      <c r="C1144" s="1042"/>
      <c r="D1144" s="1411"/>
      <c r="E1144" s="2123"/>
      <c r="F1144" s="1475" t="s">
        <v>3</v>
      </c>
      <c r="G1144" s="1377"/>
      <c r="H1144" s="1376"/>
      <c r="I1144" s="1383" t="s">
        <v>506</v>
      </c>
      <c r="J1144" s="1383"/>
      <c r="K1144" s="1383"/>
      <c r="L1144" s="1413" t="s">
        <v>506</v>
      </c>
      <c r="M1144" s="1376"/>
      <c r="N1144" s="1376"/>
      <c r="O1144" s="1376"/>
      <c r="P1144" s="1373"/>
      <c r="Q1144" s="3387"/>
      <c r="R1144" s="3363"/>
      <c r="S1144" s="16"/>
      <c r="T1144" s="16"/>
      <c r="U1144" s="16"/>
      <c r="V1144" s="16"/>
      <c r="W1144" s="16"/>
      <c r="X1144" s="16"/>
      <c r="Y1144" s="16"/>
    </row>
    <row r="1145" spans="1:25">
      <c r="B1145" s="553"/>
      <c r="C1145" s="1042"/>
      <c r="D1145" s="1440"/>
      <c r="E1145" s="2132"/>
      <c r="F1145" s="1441"/>
      <c r="G1145" s="1441"/>
      <c r="H1145" s="1442"/>
      <c r="I1145" s="197" t="s">
        <v>506</v>
      </c>
      <c r="J1145" s="198"/>
      <c r="K1145" s="1307"/>
      <c r="L1145" s="1335" t="s">
        <v>506</v>
      </c>
      <c r="M1145" s="1499"/>
      <c r="N1145" s="1701"/>
      <c r="O1145" s="1290"/>
      <c r="P1145" s="1332"/>
      <c r="Q1145" s="3391"/>
      <c r="R1145" s="3363"/>
      <c r="S1145" s="16"/>
      <c r="T1145" s="16"/>
      <c r="U1145" s="16"/>
      <c r="V1145" s="16"/>
      <c r="W1145" s="16"/>
      <c r="X1145" s="16"/>
      <c r="Y1145" s="16"/>
    </row>
    <row r="1146" spans="1:25">
      <c r="B1146" s="553"/>
      <c r="C1146" s="1042"/>
      <c r="D1146" s="1440"/>
      <c r="E1146" s="2132"/>
      <c r="F1146" s="1441"/>
      <c r="G1146" s="1441"/>
      <c r="H1146" s="1442"/>
      <c r="I1146" s="197" t="s">
        <v>506</v>
      </c>
      <c r="J1146" s="198"/>
      <c r="K1146" s="1307"/>
      <c r="L1146" s="1335" t="s">
        <v>506</v>
      </c>
      <c r="M1146" s="1499"/>
      <c r="N1146" s="1701"/>
      <c r="O1146" s="1290"/>
      <c r="P1146" s="1332"/>
      <c r="Q1146" s="3391"/>
      <c r="R1146" s="3363"/>
      <c r="S1146" s="16"/>
      <c r="T1146" s="16"/>
      <c r="U1146" s="16"/>
      <c r="V1146" s="16"/>
      <c r="W1146" s="16"/>
      <c r="X1146" s="16"/>
      <c r="Y1146" s="16"/>
    </row>
    <row r="1147" spans="1:25">
      <c r="B1147" s="554"/>
      <c r="C1147" s="223"/>
      <c r="D1147" s="1440"/>
      <c r="E1147" s="2132"/>
      <c r="F1147" s="1441"/>
      <c r="G1147" s="1441"/>
      <c r="H1147" s="1442"/>
      <c r="I1147" s="197"/>
      <c r="J1147" s="198"/>
      <c r="K1147" s="1307"/>
      <c r="L1147" s="1335"/>
      <c r="M1147" s="1499"/>
      <c r="N1147" s="1701"/>
      <c r="O1147" s="1290"/>
      <c r="P1147" s="1332"/>
      <c r="Q1147" s="3391"/>
      <c r="R1147" s="3363"/>
      <c r="S1147" s="16"/>
      <c r="T1147" s="16"/>
      <c r="U1147" s="16"/>
      <c r="V1147" s="16"/>
      <c r="W1147" s="16"/>
      <c r="X1147" s="16"/>
      <c r="Y1147" s="16"/>
    </row>
    <row r="1148" spans="1:25">
      <c r="B1148" s="22"/>
      <c r="C1148" s="16"/>
      <c r="D1148" s="22"/>
      <c r="E1148" s="2120"/>
      <c r="F1148" s="15"/>
      <c r="G1148" s="1608"/>
      <c r="H1148" s="13"/>
      <c r="I1148" s="1561"/>
      <c r="J1148" s="13"/>
      <c r="K1148" s="1561"/>
      <c r="L1148" s="1561"/>
      <c r="M1148" s="1561"/>
      <c r="N1148" s="1561"/>
      <c r="O1148" s="16"/>
      <c r="P1148" s="16"/>
      <c r="Q1148" s="3387"/>
      <c r="R1148" s="3363"/>
      <c r="S1148" s="16"/>
      <c r="T1148" s="16"/>
      <c r="U1148" s="16"/>
      <c r="V1148" s="16"/>
      <c r="W1148" s="16"/>
      <c r="X1148" s="16"/>
      <c r="Y1148" s="16"/>
    </row>
    <row r="1149" spans="1:25" ht="15" thickBot="1">
      <c r="A1149" s="16"/>
      <c r="B1149" s="16"/>
      <c r="C1149" s="16"/>
      <c r="D1149" s="16"/>
      <c r="E1149" s="2119"/>
      <c r="F1149" s="3"/>
      <c r="G1149" s="3"/>
      <c r="H1149" s="3356"/>
      <c r="I1149" s="1561"/>
      <c r="J1149" s="13"/>
      <c r="K1149" s="1561"/>
      <c r="L1149" s="1561"/>
      <c r="M1149" s="1561"/>
      <c r="N1149" s="1561"/>
      <c r="O1149" s="16"/>
      <c r="P1149" s="16"/>
      <c r="Q1149" s="3387"/>
      <c r="R1149" s="3363"/>
      <c r="S1149" s="16"/>
      <c r="T1149" s="16"/>
      <c r="U1149" s="16"/>
      <c r="V1149" s="16"/>
      <c r="W1149" s="16"/>
      <c r="X1149" s="16"/>
      <c r="Y1149" s="16"/>
    </row>
    <row r="1150" spans="1:25" ht="16" thickBot="1">
      <c r="A1150" s="3375"/>
      <c r="B1150" s="3376"/>
      <c r="C1150" s="3376"/>
      <c r="D1150" s="3376"/>
      <c r="E1150" s="3376"/>
      <c r="F1150" s="3376" t="s">
        <v>889</v>
      </c>
      <c r="G1150" s="3376"/>
      <c r="H1150" s="3376"/>
      <c r="I1150" s="3376"/>
      <c r="J1150" s="3376"/>
      <c r="K1150" s="3376"/>
      <c r="L1150" s="3376"/>
      <c r="M1150" s="3376"/>
      <c r="N1150" s="3376"/>
      <c r="O1150" s="3376"/>
      <c r="P1150" s="3376"/>
      <c r="Q1150" s="4243"/>
      <c r="R1150" s="4238"/>
      <c r="S1150" s="16"/>
      <c r="T1150" s="16"/>
      <c r="U1150" s="16"/>
      <c r="V1150" s="16"/>
      <c r="W1150" s="16"/>
      <c r="X1150" s="16"/>
      <c r="Y1150" s="16"/>
    </row>
    <row r="1151" spans="1:25" ht="29">
      <c r="A1151" s="4238"/>
      <c r="B1151" s="4238"/>
      <c r="C1151" s="4238"/>
      <c r="D1151" s="4238"/>
      <c r="E1151" s="4238"/>
      <c r="F1151" s="4238"/>
      <c r="G1151" s="4238"/>
      <c r="H1151" s="4238"/>
      <c r="I1151" s="4238"/>
      <c r="J1151" s="4238"/>
      <c r="K1151" s="4238"/>
      <c r="L1151" s="4238"/>
      <c r="M1151" s="4238"/>
      <c r="N1151" s="4238"/>
      <c r="O1151" s="4238"/>
      <c r="P1151" s="4238"/>
      <c r="Q1151" s="4241" t="s">
        <v>3414</v>
      </c>
      <c r="R1151" s="4238"/>
      <c r="S1151" s="16"/>
      <c r="T1151" s="16"/>
      <c r="U1151" s="16"/>
      <c r="V1151" s="16"/>
      <c r="W1151" s="16"/>
      <c r="X1151" s="16"/>
      <c r="Y1151" s="16"/>
    </row>
    <row r="1152" spans="1:25" ht="16" thickBot="1">
      <c r="F1152" s="1"/>
      <c r="G1152" s="1"/>
      <c r="H1152" s="1"/>
      <c r="I1152" s="199"/>
      <c r="J1152" s="1"/>
      <c r="K1152" s="1"/>
      <c r="L1152" s="199"/>
      <c r="M1152" s="1"/>
      <c r="N1152" s="1"/>
      <c r="Q1152" s="4242">
        <f>SUM(Q1156:Q1242)</f>
        <v>0</v>
      </c>
      <c r="S1152" s="16"/>
      <c r="T1152" s="16"/>
      <c r="U1152" s="16"/>
      <c r="V1152" s="16"/>
      <c r="W1152" s="16"/>
      <c r="X1152" s="16"/>
      <c r="Y1152" s="16"/>
    </row>
    <row r="1153" spans="1:25" ht="15.5">
      <c r="E1153" s="4173"/>
      <c r="F1153" s="1"/>
      <c r="G1153" s="1"/>
      <c r="H1153" s="1"/>
      <c r="I1153" s="199"/>
      <c r="J1153" s="1"/>
      <c r="K1153" s="1"/>
      <c r="L1153" s="199"/>
      <c r="M1153" s="1"/>
      <c r="N1153" s="1"/>
      <c r="Q1153" s="4239"/>
      <c r="S1153" s="16"/>
      <c r="T1153" s="16"/>
      <c r="U1153" s="16"/>
      <c r="V1153" s="16"/>
      <c r="W1153" s="16"/>
      <c r="X1153" s="16"/>
      <c r="Y1153" s="16"/>
    </row>
    <row r="1154" spans="1:25" s="2327" customFormat="1" ht="21">
      <c r="A1154" s="4455" t="s">
        <v>1730</v>
      </c>
      <c r="B1154" s="4456"/>
      <c r="C1154" s="4456"/>
      <c r="D1154" s="4456"/>
      <c r="E1154" s="2320" t="s">
        <v>1507</v>
      </c>
      <c r="F1154" s="2321" t="s">
        <v>1720</v>
      </c>
      <c r="G1154" s="2333"/>
      <c r="H1154" s="2322"/>
      <c r="I1154" s="2323"/>
      <c r="J1154" s="2322"/>
      <c r="K1154" s="2322"/>
      <c r="L1154" s="2323"/>
      <c r="M1154" s="2322"/>
      <c r="N1154" s="2322"/>
      <c r="O1154" s="2322"/>
      <c r="P1154" s="2324"/>
      <c r="R1154" s="2325"/>
      <c r="S1154" s="2326"/>
      <c r="T1154" s="2326"/>
      <c r="U1154" s="2326"/>
      <c r="V1154" s="2326"/>
      <c r="W1154" s="2326"/>
      <c r="X1154" s="2326"/>
      <c r="Y1154" s="2326"/>
    </row>
    <row r="1155" spans="1:25" ht="28.5">
      <c r="A1155" s="1304"/>
      <c r="B1155" s="1304"/>
      <c r="C1155" s="1304"/>
      <c r="D1155" s="1304"/>
      <c r="E1155" s="1304"/>
      <c r="F1155" s="1296"/>
      <c r="G1155" s="1296"/>
      <c r="H1155" s="1296"/>
      <c r="I1155" s="1558"/>
      <c r="J1155" s="1296"/>
      <c r="K1155" s="1296"/>
      <c r="L1155" s="2400" t="s">
        <v>2856</v>
      </c>
      <c r="M1155" s="1296"/>
      <c r="N1155" s="1296"/>
      <c r="O1155" s="1296"/>
      <c r="P1155" s="1296"/>
      <c r="Q1155" s="3386"/>
      <c r="R1155" s="1296"/>
      <c r="S1155" s="16"/>
      <c r="T1155" s="16"/>
      <c r="U1155" s="16"/>
      <c r="V1155" s="16"/>
      <c r="W1155" s="16"/>
      <c r="X1155" s="16"/>
      <c r="Y1155" s="16"/>
    </row>
    <row r="1156" spans="1:25">
      <c r="A1156" s="4393" t="s">
        <v>162</v>
      </c>
      <c r="B1156" s="4394"/>
      <c r="C1156" s="4394"/>
      <c r="D1156" s="4395"/>
      <c r="E1156" s="4396" t="s">
        <v>1549</v>
      </c>
      <c r="F1156" s="4397" t="s">
        <v>1550</v>
      </c>
      <c r="G1156" s="4399" t="s">
        <v>1566</v>
      </c>
      <c r="H1156" s="4400"/>
      <c r="I1156" s="4400"/>
      <c r="J1156" s="4400"/>
      <c r="K1156" s="4400"/>
      <c r="L1156" s="4401"/>
      <c r="M1156" s="4405" t="s">
        <v>1567</v>
      </c>
      <c r="N1156" s="4405"/>
      <c r="O1156" s="4405"/>
      <c r="P1156" s="4405"/>
      <c r="Q1156" s="3395"/>
      <c r="S1156" s="16"/>
      <c r="T1156" s="16"/>
      <c r="U1156" s="16"/>
      <c r="V1156" s="16"/>
      <c r="W1156" s="16"/>
      <c r="X1156" s="16"/>
      <c r="Y1156" s="16"/>
    </row>
    <row r="1157" spans="1:25">
      <c r="A1157" s="1324" t="s">
        <v>3766</v>
      </c>
      <c r="B1157" s="1325" t="s">
        <v>1513</v>
      </c>
      <c r="C1157" s="1326" t="s">
        <v>1573</v>
      </c>
      <c r="D1157" s="1323" t="s">
        <v>1514</v>
      </c>
      <c r="E1157" s="4396"/>
      <c r="F1157" s="4398"/>
      <c r="G1157" s="4402"/>
      <c r="H1157" s="4403"/>
      <c r="I1157" s="4403"/>
      <c r="J1157" s="4403"/>
      <c r="K1157" s="4403"/>
      <c r="L1157" s="4404"/>
      <c r="M1157" s="4405"/>
      <c r="N1157" s="4405"/>
      <c r="O1157" s="4405"/>
      <c r="P1157" s="4405"/>
      <c r="Q1157" s="3395"/>
      <c r="S1157" s="16"/>
      <c r="T1157" s="16"/>
      <c r="U1157" s="16"/>
      <c r="V1157" s="16"/>
      <c r="W1157" s="16"/>
      <c r="X1157" s="16"/>
      <c r="Y1157" s="16"/>
    </row>
    <row r="1158" spans="1:25">
      <c r="A1158" s="4374" t="s">
        <v>2816</v>
      </c>
      <c r="B1158" s="4375"/>
      <c r="C1158" s="4375"/>
      <c r="D1158" s="4376"/>
      <c r="E1158" s="4380" t="s">
        <v>1507</v>
      </c>
      <c r="F1158" s="4382" t="s">
        <v>1721</v>
      </c>
      <c r="G1158" s="4493" t="s">
        <v>294</v>
      </c>
      <c r="H1158" s="4493"/>
      <c r="I1158" s="1665" t="s">
        <v>1565</v>
      </c>
      <c r="J1158" s="3348" t="s">
        <v>1575</v>
      </c>
      <c r="K1158" s="4493" t="s">
        <v>289</v>
      </c>
      <c r="L1158" s="4493"/>
      <c r="M1158" s="4408" t="s">
        <v>3349</v>
      </c>
      <c r="N1158" s="4408"/>
      <c r="O1158" s="4408"/>
      <c r="P1158" s="4408"/>
      <c r="Q1158" s="3394" t="s">
        <v>3930</v>
      </c>
      <c r="S1158" s="16"/>
      <c r="T1158" s="16"/>
      <c r="U1158" s="16"/>
      <c r="V1158" s="16"/>
      <c r="W1158" s="16"/>
      <c r="X1158" s="16"/>
      <c r="Y1158" s="16"/>
    </row>
    <row r="1159" spans="1:25" ht="15.5">
      <c r="A1159" s="4377"/>
      <c r="B1159" s="4378"/>
      <c r="C1159" s="4378"/>
      <c r="D1159" s="4379"/>
      <c r="E1159" s="4381"/>
      <c r="F1159" s="4383"/>
      <c r="G1159" s="4451">
        <f>IF('Seleccion proyecto HEREVEA02'!G21="Reparación capa compresión",'Seleccion proyecto HEREVEA02'!E21,0)</f>
        <v>0</v>
      </c>
      <c r="H1159" s="4452"/>
      <c r="I1159" s="3353">
        <f>IF('Seleccion proyecto HEREVEA02'!H21=0,0,IF('Seleccion proyecto HEREVEA02'!H21="1 a 30",0.3,IF('Seleccion proyecto HEREVEA02'!H21="31 a 60",0.6,IF('Seleccion proyecto HEREVEA02'!H21="61 a 100",1))))</f>
        <v>0</v>
      </c>
      <c r="J1159" s="1351">
        <f>'Seleccion proyecto HEREVEA02'!L8</f>
        <v>11100.968999999999</v>
      </c>
      <c r="K1159" s="4519">
        <f>G1159*I1159*J1159</f>
        <v>0</v>
      </c>
      <c r="L1159" s="4520"/>
      <c r="M1159" s="4360">
        <f>P1161+P1175+P1190+P1204+P1228</f>
        <v>143.21642488000001</v>
      </c>
      <c r="N1159" s="4361"/>
      <c r="O1159" s="4361"/>
      <c r="P1159" s="4449"/>
      <c r="Q1159" s="3388">
        <f>M1159*K1159</f>
        <v>0</v>
      </c>
      <c r="R1159" s="2342"/>
      <c r="S1159" s="17"/>
      <c r="T1159" s="17"/>
      <c r="U1159" s="16"/>
      <c r="V1159" s="16"/>
      <c r="W1159" s="16"/>
      <c r="X1159" s="16"/>
      <c r="Y1159" s="16"/>
    </row>
    <row r="1160" spans="1:25" ht="15" customHeight="1">
      <c r="A1160" s="18" t="s">
        <v>3764</v>
      </c>
      <c r="B1160" s="4367" t="s">
        <v>1715</v>
      </c>
      <c r="C1160" s="3354"/>
      <c r="D1160" s="4368"/>
      <c r="E1160" s="4329" t="s">
        <v>1507</v>
      </c>
      <c r="F1160" s="4336" t="s">
        <v>1719</v>
      </c>
      <c r="G1160" s="4331" t="s">
        <v>1568</v>
      </c>
      <c r="H1160" s="4331" t="s">
        <v>1574</v>
      </c>
      <c r="I1160" s="1572" t="s">
        <v>1559</v>
      </c>
      <c r="J1160" s="1294" t="s">
        <v>1560</v>
      </c>
      <c r="K1160" s="1294" t="s">
        <v>1569</v>
      </c>
      <c r="L1160" s="4333" t="s">
        <v>3765</v>
      </c>
      <c r="M1160" s="4335" t="s">
        <v>1571</v>
      </c>
      <c r="N1160" s="4323" t="s">
        <v>1776</v>
      </c>
      <c r="O1160" s="3347" t="s">
        <v>1563</v>
      </c>
      <c r="P1160" s="1336" t="s">
        <v>1562</v>
      </c>
      <c r="Q1160" s="3389"/>
      <c r="R1160" s="1699" t="s">
        <v>1327</v>
      </c>
      <c r="S1160" s="105"/>
      <c r="T1160" s="105"/>
      <c r="U1160" s="16"/>
      <c r="V1160" s="16"/>
      <c r="W1160" s="16"/>
      <c r="X1160" s="16"/>
      <c r="Y1160" s="16"/>
    </row>
    <row r="1161" spans="1:25">
      <c r="A1161" s="1662" t="s">
        <v>2816</v>
      </c>
      <c r="B1161" s="4369"/>
      <c r="C1161" s="3351"/>
      <c r="D1161" s="4328"/>
      <c r="E1161" s="4330"/>
      <c r="F1161" s="4336"/>
      <c r="G1161" s="4332"/>
      <c r="H1161" s="4332"/>
      <c r="I1161" s="1345">
        <v>1</v>
      </c>
      <c r="J1161" s="1307">
        <v>1</v>
      </c>
      <c r="K1161" s="1307">
        <f>I1161*J1161</f>
        <v>1</v>
      </c>
      <c r="L1161" s="4334"/>
      <c r="M1161" s="4335"/>
      <c r="N1161" s="4324"/>
      <c r="O1161" s="1298">
        <f>SUM(O1163:O1172)</f>
        <v>69.968420000000009</v>
      </c>
      <c r="P1161" s="1337">
        <f>O1161*K1161</f>
        <v>69.968420000000009</v>
      </c>
      <c r="Q1161" s="3390"/>
      <c r="R1161" s="1721">
        <f>SUM(P1163:P1173)</f>
        <v>69.968420000000009</v>
      </c>
      <c r="S1161" s="16"/>
      <c r="T1161" s="16"/>
      <c r="U1161" s="16"/>
      <c r="V1161" s="16"/>
      <c r="W1161" s="16"/>
      <c r="X1161" s="16"/>
      <c r="Y1161" s="16"/>
    </row>
    <row r="1162" spans="1:25">
      <c r="A1162" s="1320"/>
      <c r="B1162" s="22"/>
      <c r="C1162" s="1327"/>
      <c r="D1162" s="1367"/>
      <c r="E1162" s="2121"/>
      <c r="F1162" s="1389" t="s">
        <v>1</v>
      </c>
      <c r="G1162" s="1369"/>
      <c r="H1162" s="1369"/>
      <c r="I1162" s="1409"/>
      <c r="J1162" s="1390"/>
      <c r="K1162" s="1391"/>
      <c r="L1162" s="1559"/>
      <c r="M1162" s="1369"/>
      <c r="N1162" s="1369"/>
      <c r="O1162" s="1369"/>
      <c r="P1162" s="1392"/>
      <c r="Q1162" s="3395"/>
      <c r="R1162" s="1173"/>
      <c r="S1162" s="16"/>
      <c r="T1162" s="16"/>
      <c r="U1162" s="16"/>
      <c r="V1162" s="16"/>
      <c r="W1162" s="16"/>
      <c r="X1162" s="16"/>
      <c r="Y1162" s="16"/>
    </row>
    <row r="1163" spans="1:25">
      <c r="A1163" s="1042"/>
      <c r="B1163" s="22"/>
      <c r="C1163" s="1042"/>
      <c r="D1163" s="1400"/>
      <c r="E1163" s="1856"/>
      <c r="F1163" s="1421"/>
      <c r="G1163" s="1399"/>
      <c r="H1163" s="1399"/>
      <c r="I1163" s="1614" t="str">
        <f ca="1">IF(COUNT(G1163:O1163)=0,"",(SUM(G1163:O1163)/COUNT(G1163:O1163)))</f>
        <v/>
      </c>
      <c r="J1163" s="1341"/>
      <c r="K1163" s="1307" t="str">
        <f t="shared" ref="K1163:K1165" ca="1" si="75">IF(COUNT(I1163)=0,"",(I1163*J1163))</f>
        <v/>
      </c>
      <c r="L1163" s="1335"/>
      <c r="M1163" s="1302"/>
      <c r="N1163" s="1700"/>
      <c r="O1163" s="1290"/>
      <c r="P1163" s="1332"/>
      <c r="Q1163" s="3391"/>
      <c r="R1163" s="2338"/>
      <c r="S1163" s="16"/>
      <c r="T1163" s="16"/>
      <c r="U1163" s="16"/>
      <c r="V1163" s="16"/>
      <c r="W1163" s="16"/>
      <c r="X1163" s="16"/>
      <c r="Y1163" s="16"/>
    </row>
    <row r="1164" spans="1:25">
      <c r="A1164" s="1042"/>
      <c r="B1164" s="22"/>
      <c r="C1164" s="1042"/>
      <c r="D1164" s="1400"/>
      <c r="E1164" s="1856"/>
      <c r="F1164" s="1421"/>
      <c r="G1164" s="1399"/>
      <c r="H1164" s="1399"/>
      <c r="I1164" s="1614" t="str">
        <f ca="1">IF(COUNT(G1164:O1164)=0,"",(SUM(G1164:O1164)/COUNT(G1164:O1164)))</f>
        <v/>
      </c>
      <c r="J1164" s="1341"/>
      <c r="K1164" s="1307" t="str">
        <f t="shared" ca="1" si="75"/>
        <v/>
      </c>
      <c r="L1164" s="1335"/>
      <c r="M1164" s="1302"/>
      <c r="N1164" s="1700"/>
      <c r="O1164" s="1290"/>
      <c r="P1164" s="1332"/>
      <c r="Q1164" s="3391"/>
      <c r="R1164" s="2338"/>
      <c r="S1164" s="16"/>
      <c r="T1164" s="16"/>
      <c r="U1164" s="16"/>
      <c r="V1164" s="16"/>
      <c r="W1164" s="16"/>
      <c r="X1164" s="16"/>
      <c r="Y1164" s="16"/>
    </row>
    <row r="1165" spans="1:25">
      <c r="A1165" s="1042"/>
      <c r="B1165" s="22"/>
      <c r="C1165" s="1042"/>
      <c r="D1165" s="1400"/>
      <c r="E1165" s="1856"/>
      <c r="F1165" s="1421"/>
      <c r="G1165" s="1399"/>
      <c r="H1165" s="1399"/>
      <c r="I1165" s="1614" t="str">
        <f ca="1">IF(COUNT(G1165:O1165)=0,"",(SUM(G1165:O1165)/COUNT(G1165:O1165)))</f>
        <v/>
      </c>
      <c r="J1165" s="1341"/>
      <c r="K1165" s="1307" t="str">
        <f t="shared" ca="1" si="75"/>
        <v/>
      </c>
      <c r="L1165" s="1335"/>
      <c r="M1165" s="1302"/>
      <c r="N1165" s="1700"/>
      <c r="O1165" s="1290"/>
      <c r="P1165" s="1332"/>
      <c r="Q1165" s="3391"/>
      <c r="R1165" s="2338"/>
      <c r="S1165" s="16"/>
      <c r="T1165" s="16"/>
      <c r="U1165" s="16"/>
      <c r="V1165" s="16"/>
      <c r="W1165" s="16"/>
      <c r="X1165" s="16"/>
      <c r="Y1165" s="16"/>
    </row>
    <row r="1166" spans="1:25">
      <c r="A1166" s="1042"/>
      <c r="B1166" s="22"/>
      <c r="C1166" s="1042"/>
      <c r="D1166" s="1359"/>
      <c r="E1166" s="1858"/>
      <c r="F1166" s="1360" t="s">
        <v>2</v>
      </c>
      <c r="G1166" s="1362"/>
      <c r="H1166" s="1362"/>
      <c r="I1166" s="1380"/>
      <c r="J1166" s="1381"/>
      <c r="K1166" s="1381"/>
      <c r="L1166" s="1458"/>
      <c r="M1166" s="1362"/>
      <c r="N1166" s="1362"/>
      <c r="O1166" s="1362"/>
      <c r="P1166" s="1359"/>
      <c r="Q1166" s="3387"/>
      <c r="R1166" s="3363"/>
      <c r="S1166" s="16"/>
      <c r="T1166" s="16"/>
      <c r="U1166" s="16"/>
      <c r="V1166" s="16"/>
      <c r="W1166" s="16"/>
      <c r="X1166" s="16"/>
      <c r="Y1166" s="16"/>
    </row>
    <row r="1167" spans="1:25">
      <c r="A1167" s="1321"/>
      <c r="B1167" s="1295"/>
      <c r="C1167" s="1321"/>
      <c r="D1167" s="1363" t="s">
        <v>1067</v>
      </c>
      <c r="E1167" s="2125" t="s">
        <v>1508</v>
      </c>
      <c r="F1167" s="1385" t="s">
        <v>1512</v>
      </c>
      <c r="G1167" s="1386">
        <f>1.629+2.1</f>
        <v>3.7290000000000001</v>
      </c>
      <c r="H1167" s="1386"/>
      <c r="I1167" s="1299"/>
      <c r="J1167" s="1300"/>
      <c r="K1167" s="1307">
        <f>G1167*$K$1161</f>
        <v>3.7290000000000001</v>
      </c>
      <c r="L1167" s="1335">
        <f>K1167*$K$1159</f>
        <v>0</v>
      </c>
      <c r="M1167" s="1302">
        <v>18.28</v>
      </c>
      <c r="N1167" s="1700"/>
      <c r="O1167" s="1290">
        <f>G1167*M1167</f>
        <v>68.166120000000006</v>
      </c>
      <c r="P1167" s="1332">
        <f>M1167*K1167</f>
        <v>68.166120000000006</v>
      </c>
      <c r="Q1167" s="3391"/>
      <c r="R1167" s="2342"/>
      <c r="S1167" s="16"/>
      <c r="T1167" s="16"/>
      <c r="U1167" s="16"/>
      <c r="V1167" s="16"/>
      <c r="W1167" s="16"/>
      <c r="X1167" s="16"/>
      <c r="Y1167" s="16"/>
    </row>
    <row r="1168" spans="1:25">
      <c r="A1168" s="1321"/>
      <c r="B1168" s="1295"/>
      <c r="C1168" s="1321"/>
      <c r="D1168" s="1363"/>
      <c r="E1168" s="2125"/>
      <c r="F1168" s="1385"/>
      <c r="G1168" s="1386"/>
      <c r="H1168" s="1386"/>
      <c r="I1168" s="1299"/>
      <c r="J1168" s="1300"/>
      <c r="K1168" s="1307" t="str">
        <f>IF(COUNT(I1168)=0,"",(I1168*J1168))</f>
        <v/>
      </c>
      <c r="L1168" s="1335"/>
      <c r="M1168" s="1302"/>
      <c r="N1168" s="1700"/>
      <c r="O1168" s="1290"/>
      <c r="P1168" s="1332"/>
      <c r="Q1168" s="3391"/>
      <c r="R1168" s="2342"/>
      <c r="S1168" s="16"/>
      <c r="T1168" s="16"/>
      <c r="U1168" s="16"/>
      <c r="V1168" s="16"/>
      <c r="W1168" s="16"/>
      <c r="X1168" s="16"/>
      <c r="Y1168" s="16"/>
    </row>
    <row r="1169" spans="1:25">
      <c r="A1169" s="1321"/>
      <c r="B1169" s="1295"/>
      <c r="C1169" s="1321"/>
      <c r="D1169" s="1363"/>
      <c r="E1169" s="2125"/>
      <c r="F1169" s="1385"/>
      <c r="G1169" s="1386"/>
      <c r="H1169" s="1386"/>
      <c r="I1169" s="1299"/>
      <c r="J1169" s="1300"/>
      <c r="K1169" s="1307" t="str">
        <f>IF(COUNT(I1169)=0,"",(I1169*J1169))</f>
        <v/>
      </c>
      <c r="L1169" s="1335"/>
      <c r="M1169" s="1302"/>
      <c r="N1169" s="1700"/>
      <c r="O1169" s="1290"/>
      <c r="P1169" s="1332"/>
      <c r="Q1169" s="3391"/>
      <c r="R1169" s="2342"/>
      <c r="S1169" s="16"/>
      <c r="T1169" s="16"/>
      <c r="U1169" s="16"/>
      <c r="V1169" s="16"/>
      <c r="W1169" s="16"/>
      <c r="X1169" s="16"/>
      <c r="Y1169" s="16"/>
    </row>
    <row r="1170" spans="1:25">
      <c r="A1170" s="1320"/>
      <c r="B1170" s="22"/>
      <c r="C1170" s="1320"/>
      <c r="D1170" s="1373"/>
      <c r="E1170" s="2123"/>
      <c r="F1170" s="1374" t="s">
        <v>3</v>
      </c>
      <c r="G1170" s="1376"/>
      <c r="H1170" s="1376"/>
      <c r="I1170" s="1382"/>
      <c r="J1170" s="1383"/>
      <c r="K1170" s="1383" t="str">
        <f>IF(COUNT(I1170)=0,"",(I1170*J1170))</f>
        <v/>
      </c>
      <c r="L1170" s="1413"/>
      <c r="M1170" s="1376"/>
      <c r="N1170" s="1376"/>
      <c r="O1170" s="1376"/>
      <c r="P1170" s="1373"/>
      <c r="Q1170" s="3387"/>
      <c r="R1170" s="3363"/>
      <c r="S1170" s="16"/>
      <c r="T1170" s="16"/>
      <c r="U1170" s="16"/>
      <c r="V1170" s="16"/>
      <c r="W1170" s="16"/>
      <c r="X1170" s="16"/>
      <c r="Y1170" s="16"/>
    </row>
    <row r="1171" spans="1:25">
      <c r="A1171" s="1321"/>
      <c r="B1171" s="1295"/>
      <c r="C1171" s="1321"/>
      <c r="D1171" s="1377" t="s">
        <v>1073</v>
      </c>
      <c r="E1171" s="2124" t="s">
        <v>1508</v>
      </c>
      <c r="F1171" s="1378" t="s">
        <v>1509</v>
      </c>
      <c r="G1171" s="1379">
        <v>5.8000000000000003E-2</v>
      </c>
      <c r="H1171" s="1379"/>
      <c r="I1171" s="1299"/>
      <c r="J1171" s="1300"/>
      <c r="K1171" s="1307">
        <f>G1171*$K$1161</f>
        <v>5.8000000000000003E-2</v>
      </c>
      <c r="L1171" s="1335">
        <f>K1171*$K$1159</f>
        <v>0</v>
      </c>
      <c r="M1171" s="1302">
        <v>25.6</v>
      </c>
      <c r="N1171" s="1700"/>
      <c r="O1171" s="1290">
        <f>G1171*M1171</f>
        <v>1.4848000000000001</v>
      </c>
      <c r="P1171" s="1332">
        <f>M1171*K1171</f>
        <v>1.4848000000000001</v>
      </c>
      <c r="Q1171" s="3391"/>
      <c r="R1171" s="2342"/>
      <c r="S1171" s="16"/>
      <c r="T1171" s="16"/>
      <c r="U1171" s="16"/>
      <c r="V1171" s="16"/>
      <c r="W1171" s="16"/>
      <c r="X1171" s="16"/>
      <c r="Y1171" s="16"/>
    </row>
    <row r="1172" spans="1:25">
      <c r="A1172" s="1321"/>
      <c r="B1172" s="1295"/>
      <c r="C1172" s="1321"/>
      <c r="D1172" s="1377" t="s">
        <v>1080</v>
      </c>
      <c r="E1172" s="2124" t="s">
        <v>1508</v>
      </c>
      <c r="F1172" s="1378" t="s">
        <v>1511</v>
      </c>
      <c r="G1172" s="1379">
        <v>0.05</v>
      </c>
      <c r="H1172" s="1379"/>
      <c r="I1172" s="1299"/>
      <c r="J1172" s="1300"/>
      <c r="K1172" s="1307">
        <f>G1172*$K$1161</f>
        <v>0.05</v>
      </c>
      <c r="L1172" s="1335">
        <f>K1172*$K$1159</f>
        <v>0</v>
      </c>
      <c r="M1172" s="1302">
        <v>6.35</v>
      </c>
      <c r="N1172" s="1700"/>
      <c r="O1172" s="1290">
        <f>G1172*M1172</f>
        <v>0.3175</v>
      </c>
      <c r="P1172" s="1333">
        <f>M1172*K1172</f>
        <v>0.3175</v>
      </c>
      <c r="Q1172" s="3391"/>
      <c r="R1172" s="2342"/>
      <c r="S1172" s="16"/>
      <c r="T1172" s="16"/>
      <c r="U1172" s="16"/>
      <c r="V1172" s="16"/>
      <c r="W1172" s="16"/>
      <c r="X1172" s="16"/>
      <c r="Y1172" s="16"/>
    </row>
    <row r="1173" spans="1:25">
      <c r="A1173" s="1042"/>
      <c r="B1173" s="22"/>
      <c r="C1173" s="1042"/>
      <c r="D1173" s="1440"/>
      <c r="E1173" s="2132"/>
      <c r="F1173" s="1441"/>
      <c r="G1173" s="1441"/>
      <c r="H1173" s="1441"/>
      <c r="I1173" s="197"/>
      <c r="J1173" s="198"/>
      <c r="K1173" s="1307"/>
      <c r="L1173" s="1335"/>
      <c r="M1173" s="1499"/>
      <c r="N1173" s="1701"/>
      <c r="O1173" s="1290"/>
      <c r="P1173" s="1332"/>
      <c r="Q1173" s="3391"/>
      <c r="R1173" s="3363"/>
      <c r="S1173" s="16"/>
      <c r="T1173" s="16"/>
      <c r="U1173" s="16"/>
      <c r="V1173" s="16"/>
      <c r="W1173" s="16"/>
      <c r="X1173" s="16"/>
      <c r="Y1173" s="16"/>
    </row>
    <row r="1174" spans="1:25" s="22" customFormat="1" ht="15" customHeight="1">
      <c r="A1174" s="88" t="s">
        <v>3764</v>
      </c>
      <c r="B1174" s="4325" t="s">
        <v>1717</v>
      </c>
      <c r="C1174" s="3350"/>
      <c r="D1174" s="4327" t="s">
        <v>1551</v>
      </c>
      <c r="E1174" s="4329" t="s">
        <v>1357</v>
      </c>
      <c r="F1174" s="4336" t="s">
        <v>1722</v>
      </c>
      <c r="G1174" s="4331" t="s">
        <v>1568</v>
      </c>
      <c r="H1174" s="4331" t="s">
        <v>1574</v>
      </c>
      <c r="I1174" s="1572" t="s">
        <v>1559</v>
      </c>
      <c r="J1174" s="1294" t="s">
        <v>1560</v>
      </c>
      <c r="K1174" s="1294" t="s">
        <v>1561</v>
      </c>
      <c r="L1174" s="4333" t="s">
        <v>3765</v>
      </c>
      <c r="M1174" s="4335" t="s">
        <v>1571</v>
      </c>
      <c r="N1174" s="4323" t="s">
        <v>1776</v>
      </c>
      <c r="O1174" s="3347" t="s">
        <v>1563</v>
      </c>
      <c r="P1174" s="1336" t="s">
        <v>1562</v>
      </c>
      <c r="Q1174" s="3389"/>
      <c r="R1174" s="1699" t="s">
        <v>1327</v>
      </c>
      <c r="S1174" s="16"/>
      <c r="T1174" s="16"/>
      <c r="U1174" s="16"/>
      <c r="V1174" s="16"/>
    </row>
    <row r="1175" spans="1:25">
      <c r="A1175" s="1662" t="s">
        <v>2816</v>
      </c>
      <c r="B1175" s="4326"/>
      <c r="C1175" s="3354"/>
      <c r="D1175" s="4328"/>
      <c r="E1175" s="4330"/>
      <c r="F1175" s="4336"/>
      <c r="G1175" s="4332"/>
      <c r="H1175" s="4332"/>
      <c r="I1175" s="1666">
        <v>1.05</v>
      </c>
      <c r="J1175" s="1297">
        <v>1</v>
      </c>
      <c r="K1175" s="1297">
        <f>I1175*J1175</f>
        <v>1.05</v>
      </c>
      <c r="L1175" s="4334"/>
      <c r="M1175" s="4335"/>
      <c r="N1175" s="4324"/>
      <c r="O1175" s="1298">
        <f>SUM(O1177:O1188)</f>
        <v>1.26</v>
      </c>
      <c r="P1175" s="1337">
        <f>O1175*K1175</f>
        <v>1.3230000000000002</v>
      </c>
      <c r="Q1175" s="3390"/>
      <c r="R1175" s="1721">
        <f>SUM(P1177:P1188)</f>
        <v>1.3261815000000001</v>
      </c>
      <c r="S1175" s="16"/>
      <c r="T1175" s="16"/>
      <c r="U1175" s="16"/>
      <c r="V1175" s="16"/>
    </row>
    <row r="1176" spans="1:25">
      <c r="A1176" s="1042"/>
      <c r="B1176" s="22"/>
      <c r="C1176" s="18"/>
      <c r="D1176" s="1400"/>
      <c r="E1176" s="2121"/>
      <c r="F1176" s="1368" t="s">
        <v>1</v>
      </c>
      <c r="G1176" s="1423"/>
      <c r="H1176" s="1423"/>
      <c r="I1176" s="1667"/>
      <c r="J1176" s="1424"/>
      <c r="K1176" s="1425"/>
      <c r="L1176" s="1560"/>
      <c r="M1176" s="1426"/>
      <c r="N1176" s="1369"/>
      <c r="O1176" s="1427"/>
      <c r="P1176" s="1427"/>
      <c r="Q1176" s="3397"/>
      <c r="R1176" s="3363"/>
      <c r="S1176" s="17"/>
      <c r="T1176" s="17"/>
      <c r="U1176" s="16"/>
      <c r="V1176" s="16"/>
    </row>
    <row r="1177" spans="1:25">
      <c r="A1177" s="1042"/>
      <c r="B1177" s="22"/>
      <c r="C1177" s="1042"/>
      <c r="D1177" s="1428" t="s">
        <v>1090</v>
      </c>
      <c r="E1177" s="2122" t="s">
        <v>1357</v>
      </c>
      <c r="F1177" s="1371" t="s">
        <v>1723</v>
      </c>
      <c r="G1177" s="1591">
        <v>1E-3</v>
      </c>
      <c r="H1177" s="1591"/>
      <c r="I1177" s="197"/>
      <c r="J1177" s="198"/>
      <c r="K1177" s="1307">
        <f>G1177*$K$1175</f>
        <v>1.0500000000000002E-3</v>
      </c>
      <c r="L1177" s="1335">
        <f>K1177*$K$1159</f>
        <v>0</v>
      </c>
      <c r="M1177" s="1499">
        <v>1.23</v>
      </c>
      <c r="N1177" s="1701"/>
      <c r="O1177" s="1290">
        <f>ROUND(G1177*M1177,2)</f>
        <v>0</v>
      </c>
      <c r="P1177" s="1332">
        <f>M1177*K1177</f>
        <v>1.2915000000000001E-3</v>
      </c>
      <c r="Q1177" s="3391"/>
      <c r="R1177" s="2337"/>
      <c r="S1177" s="105"/>
      <c r="T1177" s="105"/>
      <c r="U1177" s="16"/>
      <c r="V1177" s="16"/>
    </row>
    <row r="1178" spans="1:25">
      <c r="A1178" s="1042"/>
      <c r="B1178" s="22"/>
      <c r="C1178" s="1042"/>
      <c r="D1178" s="1428" t="s">
        <v>1724</v>
      </c>
      <c r="E1178" s="2122" t="s">
        <v>1357</v>
      </c>
      <c r="F1178" s="1371" t="s">
        <v>1725</v>
      </c>
      <c r="G1178" s="1591">
        <v>1.1499999999999999</v>
      </c>
      <c r="H1178" s="1591"/>
      <c r="I1178" s="197"/>
      <c r="J1178" s="198"/>
      <c r="K1178" s="1307">
        <f>G1178*$K$1175</f>
        <v>1.2075</v>
      </c>
      <c r="L1178" s="1335">
        <f>K1178*$K$1159</f>
        <v>0</v>
      </c>
      <c r="M1178" s="1499">
        <v>0.93</v>
      </c>
      <c r="N1178" s="1701"/>
      <c r="O1178" s="1290">
        <f>ROUND(G1178*M1178,2)</f>
        <v>1.07</v>
      </c>
      <c r="P1178" s="1332">
        <f>M1178*K1178</f>
        <v>1.1229750000000001</v>
      </c>
      <c r="Q1178" s="3391"/>
      <c r="R1178" s="2337"/>
      <c r="S1178" s="16"/>
      <c r="T1178" s="16"/>
      <c r="U1178" s="16"/>
      <c r="V1178" s="16"/>
    </row>
    <row r="1179" spans="1:25">
      <c r="A1179" s="1042"/>
      <c r="B1179" s="22"/>
      <c r="C1179" s="1042"/>
      <c r="D1179" s="1428"/>
      <c r="E1179" s="2122"/>
      <c r="F1179" s="1371"/>
      <c r="G1179" s="1372"/>
      <c r="H1179" s="1372"/>
      <c r="I1179" s="197"/>
      <c r="J1179" s="198"/>
      <c r="K1179" s="1307"/>
      <c r="L1179" s="1335"/>
      <c r="M1179" s="1499"/>
      <c r="N1179" s="1701"/>
      <c r="O1179" s="1290"/>
      <c r="P1179" s="1332"/>
      <c r="Q1179" s="3391"/>
      <c r="R1179" s="2337"/>
      <c r="S1179" s="16"/>
      <c r="T1179" s="16"/>
      <c r="U1179" s="16"/>
      <c r="V1179" s="16"/>
    </row>
    <row r="1180" spans="1:25">
      <c r="A1180" s="1042"/>
      <c r="B1180" s="22"/>
      <c r="C1180" s="1042"/>
      <c r="D1180" s="1428"/>
      <c r="E1180" s="2122"/>
      <c r="F1180" s="1371"/>
      <c r="G1180" s="1372"/>
      <c r="H1180" s="1372"/>
      <c r="I1180" s="197"/>
      <c r="J1180" s="198"/>
      <c r="K1180" s="1307"/>
      <c r="L1180" s="1335"/>
      <c r="M1180" s="1499"/>
      <c r="N1180" s="1701"/>
      <c r="O1180" s="1290"/>
      <c r="P1180" s="1332"/>
      <c r="Q1180" s="3391"/>
      <c r="R1180" s="2337"/>
      <c r="S1180" s="16"/>
      <c r="T1180" s="16"/>
      <c r="U1180" s="16"/>
      <c r="V1180" s="16"/>
    </row>
    <row r="1181" spans="1:25">
      <c r="A1181" s="1042"/>
      <c r="B1181" s="22"/>
      <c r="C1181" s="1320"/>
      <c r="D1181" s="1404"/>
      <c r="E1181" s="1858"/>
      <c r="F1181" s="1360" t="s">
        <v>2</v>
      </c>
      <c r="G1181" s="1362"/>
      <c r="H1181" s="1362"/>
      <c r="I1181" s="1380"/>
      <c r="J1181" s="1381"/>
      <c r="K1181" s="1359"/>
      <c r="L1181" s="1359"/>
      <c r="M1181" s="1502"/>
      <c r="N1181" s="1702"/>
      <c r="O1181" s="1429"/>
      <c r="P1181" s="1359"/>
      <c r="Q1181" s="3387"/>
      <c r="R1181" s="3363"/>
      <c r="S1181" s="16"/>
      <c r="T1181" s="16"/>
      <c r="U1181" s="16"/>
      <c r="V1181" s="16"/>
    </row>
    <row r="1182" spans="1:25">
      <c r="A1182" s="1042"/>
      <c r="B1182" s="22"/>
      <c r="C1182" s="1042"/>
      <c r="D1182" s="1437" t="s">
        <v>1076</v>
      </c>
      <c r="E1182" s="2134" t="s">
        <v>1508</v>
      </c>
      <c r="F1182" s="1438" t="s">
        <v>1540</v>
      </c>
      <c r="G1182" s="1439">
        <v>0.01</v>
      </c>
      <c r="H1182" s="1439"/>
      <c r="I1182" s="197">
        <f ca="1">IF(COUNT(I1182:O1182)=0,"",(SUM(I1182:O1182)/COUNT(I1182:O1182)))</f>
        <v>4.871472380309755</v>
      </c>
      <c r="J1182" s="198"/>
      <c r="K1182" s="1307">
        <f>G1182*$K$1175</f>
        <v>1.0500000000000001E-2</v>
      </c>
      <c r="L1182" s="1335">
        <f>K1182*$K$1159</f>
        <v>0</v>
      </c>
      <c r="M1182" s="1499">
        <v>19.23</v>
      </c>
      <c r="N1182" s="1701"/>
      <c r="O1182" s="1290">
        <f>ROUND(G1182*M1182,2)</f>
        <v>0.19</v>
      </c>
      <c r="P1182" s="1332">
        <f>M1182*K1182</f>
        <v>0.20191500000000001</v>
      </c>
      <c r="Q1182" s="3391"/>
      <c r="R1182" s="3363"/>
      <c r="S1182" s="16"/>
      <c r="T1182" s="16"/>
      <c r="U1182" s="16"/>
      <c r="V1182" s="16"/>
    </row>
    <row r="1183" spans="1:25">
      <c r="A1183" s="1042"/>
      <c r="B1183" s="22"/>
      <c r="C1183" s="1042"/>
      <c r="D1183" s="1402"/>
      <c r="E1183" s="1857"/>
      <c r="F1183" s="1403"/>
      <c r="G1183" s="1431"/>
      <c r="H1183" s="1362"/>
      <c r="I1183" s="198"/>
      <c r="J1183" s="6"/>
      <c r="K1183" s="1307"/>
      <c r="L1183" s="1335"/>
      <c r="M1183" s="1499"/>
      <c r="N1183" s="1703"/>
      <c r="O1183" s="1310"/>
      <c r="P1183" s="1332"/>
      <c r="Q1183" s="3391"/>
      <c r="R1183" s="2337"/>
      <c r="S1183" s="16"/>
      <c r="T1183" s="16"/>
      <c r="U1183" s="16"/>
      <c r="V1183" s="16"/>
    </row>
    <row r="1184" spans="1:25">
      <c r="A1184" s="1042"/>
      <c r="B1184" s="22"/>
      <c r="C1184" s="1042"/>
      <c r="D1184" s="1402"/>
      <c r="E1184" s="1857"/>
      <c r="F1184" s="1403"/>
      <c r="G1184" s="1431"/>
      <c r="H1184" s="1362"/>
      <c r="I1184" s="198"/>
      <c r="J1184" s="6"/>
      <c r="K1184" s="1307"/>
      <c r="L1184" s="1335"/>
      <c r="M1184" s="1499"/>
      <c r="N1184" s="1703"/>
      <c r="O1184" s="1310"/>
      <c r="P1184" s="1332"/>
      <c r="Q1184" s="3391"/>
      <c r="R1184" s="3363"/>
      <c r="S1184" s="16"/>
      <c r="T1184" s="16"/>
      <c r="U1184" s="16"/>
      <c r="V1184" s="16"/>
    </row>
    <row r="1185" spans="1:22">
      <c r="A1185" s="1042"/>
      <c r="B1185" s="22"/>
      <c r="C1185" s="1042"/>
      <c r="D1185" s="1411"/>
      <c r="E1185" s="2123"/>
      <c r="F1185" s="1374" t="s">
        <v>3</v>
      </c>
      <c r="G1185" s="1376"/>
      <c r="H1185" s="1376"/>
      <c r="I1185" s="1382"/>
      <c r="J1185" s="1383"/>
      <c r="K1185" s="1373"/>
      <c r="L1185" s="1373"/>
      <c r="M1185" s="1505"/>
      <c r="N1185" s="1704"/>
      <c r="O1185" s="1432"/>
      <c r="P1185" s="1373"/>
      <c r="Q1185" s="3387"/>
      <c r="R1185" s="2338"/>
      <c r="S1185" s="16"/>
      <c r="T1185" s="16"/>
      <c r="U1185" s="16"/>
      <c r="V1185" s="16"/>
    </row>
    <row r="1186" spans="1:22">
      <c r="A1186" s="1042"/>
      <c r="B1186" s="22"/>
      <c r="C1186" s="1042"/>
      <c r="D1186" s="1440"/>
      <c r="E1186" s="2132"/>
      <c r="F1186" s="1441"/>
      <c r="G1186" s="1441"/>
      <c r="H1186" s="1442"/>
      <c r="I1186" s="197" t="str">
        <f ca="1">IF(COUNT(H1186:O1186)=0,"",(SUM(H1186:O1186)/COUNT(H1186:O1186)))</f>
        <v/>
      </c>
      <c r="J1186" s="198"/>
      <c r="K1186" s="1307"/>
      <c r="L1186" s="1335"/>
      <c r="M1186" s="1499"/>
      <c r="N1186" s="1701"/>
      <c r="O1186" s="1290"/>
      <c r="P1186" s="1332"/>
      <c r="Q1186" s="3391"/>
      <c r="R1186" s="3363"/>
      <c r="S1186" s="16"/>
      <c r="T1186" s="16"/>
      <c r="U1186" s="16"/>
      <c r="V1186" s="16"/>
    </row>
    <row r="1187" spans="1:22">
      <c r="A1187" s="1042"/>
      <c r="B1187" s="22"/>
      <c r="C1187" s="1042"/>
      <c r="D1187" s="1440"/>
      <c r="E1187" s="2132"/>
      <c r="F1187" s="1441"/>
      <c r="G1187" s="1441"/>
      <c r="H1187" s="1442"/>
      <c r="I1187" s="197" t="str">
        <f ca="1">IF(COUNT(H1187:O1187)=0,"",(SUM(H1187:O1187)/COUNT(H1187:O1187)))</f>
        <v/>
      </c>
      <c r="J1187" s="198"/>
      <c r="K1187" s="1307"/>
      <c r="L1187" s="1335"/>
      <c r="M1187" s="1499"/>
      <c r="N1187" s="1701"/>
      <c r="O1187" s="1290"/>
      <c r="P1187" s="1332"/>
      <c r="Q1187" s="3391"/>
      <c r="R1187" s="3363"/>
      <c r="S1187" s="16"/>
      <c r="T1187" s="16"/>
      <c r="U1187" s="16"/>
      <c r="V1187" s="16"/>
    </row>
    <row r="1188" spans="1:22">
      <c r="A1188" s="1042"/>
      <c r="B1188" s="22"/>
      <c r="C1188" s="223"/>
      <c r="D1188" s="1440"/>
      <c r="E1188" s="2132"/>
      <c r="F1188" s="1441"/>
      <c r="G1188" s="1441"/>
      <c r="H1188" s="1442"/>
      <c r="I1188" s="197" t="str">
        <f ca="1">IF(COUNT(H1188:O1188)=0,"",(SUM(H1188:O1188)/COUNT(H1188:O1188)))</f>
        <v/>
      </c>
      <c r="J1188" s="198"/>
      <c r="K1188" s="1307"/>
      <c r="L1188" s="1335"/>
      <c r="M1188" s="1499"/>
      <c r="N1188" s="1701"/>
      <c r="O1188" s="1290"/>
      <c r="P1188" s="1332"/>
      <c r="Q1188" s="3391"/>
      <c r="R1188" s="3363"/>
      <c r="S1188" s="16"/>
      <c r="T1188" s="16"/>
      <c r="U1188" s="16"/>
      <c r="V1188" s="16"/>
    </row>
    <row r="1189" spans="1:22" ht="15" customHeight="1">
      <c r="A1189" s="88" t="s">
        <v>3764</v>
      </c>
      <c r="B1189" s="4367" t="s">
        <v>1718</v>
      </c>
      <c r="C1189" s="3354"/>
      <c r="D1189" s="4327"/>
      <c r="E1189" s="4329" t="s">
        <v>1517</v>
      </c>
      <c r="F1189" s="4336" t="s">
        <v>1726</v>
      </c>
      <c r="G1189" s="4331" t="s">
        <v>1568</v>
      </c>
      <c r="H1189" s="4331" t="s">
        <v>1574</v>
      </c>
      <c r="I1189" s="1572" t="s">
        <v>1559</v>
      </c>
      <c r="J1189" s="1294" t="s">
        <v>1560</v>
      </c>
      <c r="K1189" s="1294" t="s">
        <v>1561</v>
      </c>
      <c r="L1189" s="4333" t="s">
        <v>3765</v>
      </c>
      <c r="M1189" s="4335" t="s">
        <v>1571</v>
      </c>
      <c r="N1189" s="4323" t="s">
        <v>1776</v>
      </c>
      <c r="O1189" s="3347" t="s">
        <v>1563</v>
      </c>
      <c r="P1189" s="1336" t="s">
        <v>1562</v>
      </c>
      <c r="Q1189" s="3389"/>
      <c r="R1189" s="1699" t="s">
        <v>1327</v>
      </c>
      <c r="S1189" s="17"/>
      <c r="T1189" s="17"/>
      <c r="U1189" s="16"/>
      <c r="V1189" s="16"/>
    </row>
    <row r="1190" spans="1:22">
      <c r="A1190" s="1662" t="s">
        <v>2816</v>
      </c>
      <c r="B1190" s="4369"/>
      <c r="C1190" s="3351"/>
      <c r="D1190" s="4328"/>
      <c r="E1190" s="4330"/>
      <c r="F1190" s="4336"/>
      <c r="G1190" s="4332"/>
      <c r="H1190" s="4332"/>
      <c r="I1190" s="1345">
        <v>0.06</v>
      </c>
      <c r="J1190" s="1307">
        <v>1</v>
      </c>
      <c r="K1190" s="1297">
        <f>I1190*J1190</f>
        <v>0.06</v>
      </c>
      <c r="L1190" s="4334"/>
      <c r="M1190" s="4335"/>
      <c r="N1190" s="4324"/>
      <c r="O1190" s="1298">
        <f>SUM(O1192:O1200)</f>
        <v>77.492999999999995</v>
      </c>
      <c r="P1190" s="1337">
        <f>O1190*K1190</f>
        <v>4.6495799999999994</v>
      </c>
      <c r="Q1190" s="3390"/>
      <c r="R1190" s="1721">
        <f>SUM(P1192:P1202)</f>
        <v>4.6490879999999999</v>
      </c>
      <c r="S1190" s="105"/>
      <c r="T1190" s="105"/>
      <c r="U1190" s="16"/>
      <c r="V1190" s="16"/>
    </row>
    <row r="1191" spans="1:22">
      <c r="A1191" s="1042"/>
      <c r="B1191" s="22"/>
      <c r="C1191" s="18"/>
      <c r="D1191" s="1400"/>
      <c r="E1191" s="2121"/>
      <c r="F1191" s="1368" t="s">
        <v>1</v>
      </c>
      <c r="G1191" s="1369"/>
      <c r="H1191" s="1369"/>
      <c r="I1191" s="1391"/>
      <c r="J1191" s="1369"/>
      <c r="K1191" s="1367"/>
      <c r="L1191" s="1554"/>
      <c r="M1191" s="1369"/>
      <c r="N1191" s="1369"/>
      <c r="O1191" s="1369"/>
      <c r="P1191" s="1367"/>
      <c r="Q1191" s="3387"/>
      <c r="R1191" s="2344"/>
      <c r="S1191" s="16"/>
      <c r="T1191" s="16"/>
      <c r="U1191" s="16"/>
      <c r="V1191" s="16"/>
    </row>
    <row r="1192" spans="1:22">
      <c r="A1192" s="1042"/>
      <c r="B1192" s="22"/>
      <c r="C1192" s="1042"/>
      <c r="D1192" s="1433" t="s">
        <v>1113</v>
      </c>
      <c r="E1192" s="2133" t="s">
        <v>1517</v>
      </c>
      <c r="F1192" s="1434" t="s">
        <v>1537</v>
      </c>
      <c r="G1192" s="1435">
        <v>1.03</v>
      </c>
      <c r="H1192" s="1435"/>
      <c r="I1192" s="197"/>
      <c r="J1192" s="198"/>
      <c r="K1192" s="1307">
        <f>G1192*$K$1190</f>
        <v>6.1800000000000001E-2</v>
      </c>
      <c r="L1192" s="1335">
        <f>K1192*$K$1159</f>
        <v>0</v>
      </c>
      <c r="M1192" s="1499">
        <v>60.26</v>
      </c>
      <c r="N1192" s="1701"/>
      <c r="O1192" s="1290">
        <f>ROUND(G1192*M1192,2)</f>
        <v>62.07</v>
      </c>
      <c r="P1192" s="1332">
        <f>M1192*K1192</f>
        <v>3.7240679999999999</v>
      </c>
      <c r="Q1192" s="3391"/>
      <c r="R1192" s="2337"/>
      <c r="S1192" s="16"/>
      <c r="T1192" s="16"/>
      <c r="U1192" s="16"/>
      <c r="V1192" s="16"/>
    </row>
    <row r="1193" spans="1:22">
      <c r="A1193" s="1042"/>
      <c r="B1193" s="22"/>
      <c r="C1193" s="1042"/>
      <c r="D1193" s="1400" t="s">
        <v>1082</v>
      </c>
      <c r="E1193" s="2133" t="s">
        <v>1504</v>
      </c>
      <c r="F1193" s="1436" t="s">
        <v>1541</v>
      </c>
      <c r="G1193" s="1435">
        <v>0.5</v>
      </c>
      <c r="H1193" s="1435"/>
      <c r="I1193" s="197"/>
      <c r="J1193" s="198"/>
      <c r="K1193" s="1307">
        <f>G1193*$K$1190</f>
        <v>0.03</v>
      </c>
      <c r="L1193" s="1335">
        <f>K1193*$K$1159</f>
        <v>0</v>
      </c>
      <c r="M1193" s="1499">
        <v>0.3</v>
      </c>
      <c r="N1193" s="1701"/>
      <c r="O1193" s="1290">
        <f>ROUND(G1193*M1193,2)</f>
        <v>0.15</v>
      </c>
      <c r="P1193" s="1332">
        <f>M1193*K1193</f>
        <v>8.9999999999999993E-3</v>
      </c>
      <c r="Q1193" s="3391"/>
      <c r="R1193" s="2337"/>
      <c r="S1193" s="16"/>
      <c r="T1193" s="16"/>
      <c r="U1193" s="16"/>
      <c r="V1193" s="16"/>
    </row>
    <row r="1194" spans="1:22">
      <c r="A1194" s="1042"/>
      <c r="B1194" s="22"/>
      <c r="C1194" s="1042"/>
      <c r="D1194" s="1433"/>
      <c r="E1194" s="2133"/>
      <c r="F1194" s="1434"/>
      <c r="G1194" s="1435"/>
      <c r="H1194" s="1435"/>
      <c r="I1194" s="197"/>
      <c r="J1194" s="198"/>
      <c r="K1194" s="1307"/>
      <c r="L1194" s="1335"/>
      <c r="M1194" s="1499"/>
      <c r="N1194" s="1701"/>
      <c r="O1194" s="1290"/>
      <c r="P1194" s="1332"/>
      <c r="Q1194" s="3391"/>
      <c r="R1194" s="2337"/>
      <c r="S1194" s="16"/>
      <c r="T1194" s="16"/>
      <c r="U1194" s="16"/>
      <c r="V1194" s="16"/>
    </row>
    <row r="1195" spans="1:22">
      <c r="A1195" s="1042"/>
      <c r="B1195" s="22"/>
      <c r="C1195" s="1320"/>
      <c r="D1195" s="1400"/>
      <c r="E1195" s="1856"/>
      <c r="F1195" s="1397"/>
      <c r="G1195" s="1399"/>
      <c r="H1195" s="1399"/>
      <c r="I1195" s="197"/>
      <c r="J1195" s="198"/>
      <c r="K1195" s="1307"/>
      <c r="L1195" s="1335"/>
      <c r="M1195" s="1499"/>
      <c r="N1195" s="1701"/>
      <c r="O1195" s="1290"/>
      <c r="P1195" s="1332"/>
      <c r="Q1195" s="3391"/>
      <c r="R1195" s="2337"/>
      <c r="S1195" s="16"/>
      <c r="T1195" s="16"/>
      <c r="U1195" s="16"/>
      <c r="V1195" s="16"/>
    </row>
    <row r="1196" spans="1:22">
      <c r="A1196" s="1042"/>
      <c r="B1196" s="22"/>
      <c r="C1196" s="1042"/>
      <c r="D1196" s="1404"/>
      <c r="E1196" s="1858"/>
      <c r="F1196" s="1360" t="s">
        <v>2</v>
      </c>
      <c r="G1196" s="1362"/>
      <c r="H1196" s="1362"/>
      <c r="I1196" s="1380"/>
      <c r="J1196" s="1381"/>
      <c r="K1196" s="1359"/>
      <c r="L1196" s="1359"/>
      <c r="M1196" s="1502"/>
      <c r="N1196" s="1702"/>
      <c r="O1196" s="1429"/>
      <c r="P1196" s="1359"/>
      <c r="Q1196" s="3387"/>
      <c r="R1196" s="2338"/>
      <c r="S1196" s="16"/>
      <c r="T1196" s="16"/>
      <c r="U1196" s="16"/>
      <c r="V1196" s="16"/>
    </row>
    <row r="1197" spans="1:22">
      <c r="A1197" s="1042"/>
      <c r="B1197" s="22"/>
      <c r="C1197" s="1161"/>
      <c r="D1197" s="1437" t="s">
        <v>1067</v>
      </c>
      <c r="E1197" s="2134" t="s">
        <v>1508</v>
      </c>
      <c r="F1197" s="1438" t="s">
        <v>1512</v>
      </c>
      <c r="G1197" s="1439">
        <v>0.6</v>
      </c>
      <c r="H1197" s="1439"/>
      <c r="I1197" s="197"/>
      <c r="J1197" s="198"/>
      <c r="K1197" s="1307">
        <f>G1197*$K$1190</f>
        <v>3.5999999999999997E-2</v>
      </c>
      <c r="L1197" s="1335">
        <f>K1197*$K$1159</f>
        <v>0</v>
      </c>
      <c r="M1197" s="1499">
        <v>18.28</v>
      </c>
      <c r="N1197" s="1701"/>
      <c r="O1197" s="1290">
        <f>ROUND(G1197*M1197,2)</f>
        <v>10.97</v>
      </c>
      <c r="P1197" s="1332">
        <f>M1197*K1197</f>
        <v>0.65808</v>
      </c>
      <c r="Q1197" s="3391"/>
      <c r="R1197" s="2343"/>
      <c r="S1197" s="16"/>
      <c r="T1197" s="16"/>
      <c r="U1197" s="16"/>
      <c r="V1197" s="16"/>
    </row>
    <row r="1198" spans="1:22">
      <c r="A1198" s="1042"/>
      <c r="B1198" s="22"/>
      <c r="C1198" s="1042"/>
      <c r="D1198" s="1402" t="s">
        <v>1077</v>
      </c>
      <c r="E1198" s="1857" t="s">
        <v>1508</v>
      </c>
      <c r="F1198" s="1430" t="s">
        <v>37</v>
      </c>
      <c r="G1198" s="1362">
        <v>0.2</v>
      </c>
      <c r="H1198" s="1362"/>
      <c r="I1198" s="197"/>
      <c r="J1198" s="198"/>
      <c r="K1198" s="1307">
        <f>G1198*$K$1190</f>
        <v>1.2E-2</v>
      </c>
      <c r="L1198" s="1335">
        <f>K1198*$K$1159</f>
        <v>0</v>
      </c>
      <c r="M1198" s="1499">
        <v>19.23</v>
      </c>
      <c r="N1198" s="1701"/>
      <c r="O1198" s="1290">
        <f>ROUND(G1198*M1198,2)</f>
        <v>3.85</v>
      </c>
      <c r="P1198" s="1332">
        <f>M1198*K1198</f>
        <v>0.23076000000000002</v>
      </c>
      <c r="Q1198" s="3391"/>
      <c r="R1198" s="2338"/>
      <c r="S1198" s="16"/>
      <c r="T1198" s="16"/>
      <c r="U1198" s="16"/>
      <c r="V1198" s="16"/>
    </row>
    <row r="1199" spans="1:22">
      <c r="A1199" s="1042"/>
      <c r="B1199" s="22"/>
      <c r="C1199" s="1042"/>
      <c r="D1199" s="1411"/>
      <c r="E1199" s="2123"/>
      <c r="F1199" s="1374" t="s">
        <v>3</v>
      </c>
      <c r="G1199" s="1376"/>
      <c r="H1199" s="1376"/>
      <c r="I1199" s="1382"/>
      <c r="J1199" s="1383"/>
      <c r="K1199" s="1373"/>
      <c r="L1199" s="1373"/>
      <c r="M1199" s="1505"/>
      <c r="N1199" s="1704"/>
      <c r="O1199" s="1432"/>
      <c r="P1199" s="1373"/>
      <c r="Q1199" s="3387"/>
      <c r="R1199" s="2338"/>
      <c r="S1199" s="16"/>
      <c r="T1199" s="16"/>
      <c r="U1199" s="16"/>
      <c r="V1199" s="16"/>
    </row>
    <row r="1200" spans="1:22">
      <c r="A1200" s="1042"/>
      <c r="B1200" s="22"/>
      <c r="C1200" s="1042"/>
      <c r="D1200" s="1440" t="s">
        <v>1087</v>
      </c>
      <c r="E1200" s="2132" t="s">
        <v>1508</v>
      </c>
      <c r="F1200" s="1441" t="s">
        <v>1542</v>
      </c>
      <c r="G1200" s="1442">
        <v>0.3</v>
      </c>
      <c r="H1200" s="1442"/>
      <c r="I1200" s="197"/>
      <c r="J1200" s="198"/>
      <c r="K1200" s="1307">
        <f>G1200*$K$1190</f>
        <v>1.7999999999999999E-2</v>
      </c>
      <c r="L1200" s="1335">
        <f>K1200*$K$1159</f>
        <v>0</v>
      </c>
      <c r="M1200" s="1499">
        <v>1.51</v>
      </c>
      <c r="N1200" s="1701"/>
      <c r="O1200" s="1290">
        <f>G1200*M1200</f>
        <v>0.45299999999999996</v>
      </c>
      <c r="P1200" s="1332">
        <f>M1200*K1200</f>
        <v>2.7179999999999999E-2</v>
      </c>
      <c r="Q1200" s="3391"/>
      <c r="R1200" s="2338"/>
      <c r="S1200" s="16"/>
      <c r="T1200" s="16"/>
      <c r="U1200" s="16"/>
      <c r="V1200" s="16"/>
    </row>
    <row r="1201" spans="1:22">
      <c r="A1201" s="1042"/>
      <c r="B1201" s="22"/>
      <c r="C1201" s="1042"/>
      <c r="D1201" s="1440"/>
      <c r="E1201" s="2132"/>
      <c r="F1201" s="1441"/>
      <c r="G1201" s="1441"/>
      <c r="H1201" s="1442"/>
      <c r="I1201" s="197" t="str">
        <f ca="1">IF(COUNT(H1201:O1201)=0,"",(SUM(H1201:O1201)/COUNT(H1201:O1201)))</f>
        <v/>
      </c>
      <c r="J1201" s="198"/>
      <c r="K1201" s="1307"/>
      <c r="L1201" s="1335"/>
      <c r="M1201" s="1499"/>
      <c r="N1201" s="1701"/>
      <c r="O1201" s="1290"/>
      <c r="P1201" s="1332"/>
      <c r="Q1201" s="3391"/>
      <c r="R1201" s="2343"/>
      <c r="S1201" s="16"/>
      <c r="T1201" s="16"/>
      <c r="U1201" s="16"/>
      <c r="V1201" s="16"/>
    </row>
    <row r="1202" spans="1:22">
      <c r="A1202" s="1042"/>
      <c r="B1202" s="22"/>
      <c r="C1202" s="223"/>
      <c r="D1202" s="1440"/>
      <c r="E1202" s="2132"/>
      <c r="F1202" s="1441"/>
      <c r="G1202" s="1441"/>
      <c r="H1202" s="1442"/>
      <c r="I1202" s="197" t="str">
        <f ca="1">IF(COUNT(H1202:O1202)=0,"",(SUM(H1202:O1202)/COUNT(H1202:O1202)))</f>
        <v/>
      </c>
      <c r="J1202" s="198"/>
      <c r="K1202" s="1307"/>
      <c r="L1202" s="1335"/>
      <c r="M1202" s="1499"/>
      <c r="N1202" s="1701"/>
      <c r="O1202" s="1290"/>
      <c r="P1202" s="1332"/>
      <c r="Q1202" s="3391"/>
      <c r="R1202" s="2338"/>
      <c r="S1202" s="16"/>
      <c r="T1202" s="16"/>
      <c r="U1202" s="16"/>
      <c r="V1202" s="16"/>
    </row>
    <row r="1203" spans="1:22" ht="15" customHeight="1">
      <c r="A1203" s="88" t="s">
        <v>3764</v>
      </c>
      <c r="B1203" s="4367" t="s">
        <v>1502</v>
      </c>
      <c r="C1203" s="3350"/>
      <c r="D1203" s="4327"/>
      <c r="E1203" s="4329" t="s">
        <v>1507</v>
      </c>
      <c r="F1203" s="4338" t="s">
        <v>2645</v>
      </c>
      <c r="G1203" s="4331" t="s">
        <v>1568</v>
      </c>
      <c r="H1203" s="4331" t="s">
        <v>1574</v>
      </c>
      <c r="I1203" s="1572" t="s">
        <v>1559</v>
      </c>
      <c r="J1203" s="1294" t="s">
        <v>1560</v>
      </c>
      <c r="K1203" s="1294" t="s">
        <v>1561</v>
      </c>
      <c r="L1203" s="4333" t="s">
        <v>3765</v>
      </c>
      <c r="M1203" s="4335" t="s">
        <v>1571</v>
      </c>
      <c r="N1203" s="4323" t="s">
        <v>1776</v>
      </c>
      <c r="O1203" s="3347" t="s">
        <v>1563</v>
      </c>
      <c r="P1203" s="1336" t="s">
        <v>1562</v>
      </c>
      <c r="Q1203" s="3389"/>
      <c r="R1203" s="1699" t="s">
        <v>1327</v>
      </c>
      <c r="S1203" s="16"/>
      <c r="T1203" s="16"/>
      <c r="U1203" s="16"/>
      <c r="V1203" s="16"/>
    </row>
    <row r="1204" spans="1:22">
      <c r="A1204" s="1662" t="s">
        <v>2816</v>
      </c>
      <c r="B1204" s="4369"/>
      <c r="C1204" s="3351"/>
      <c r="D1204" s="4328"/>
      <c r="E1204" s="4330"/>
      <c r="F1204" s="4338"/>
      <c r="G1204" s="4332"/>
      <c r="H1204" s="4332"/>
      <c r="I1204" s="1345">
        <v>1</v>
      </c>
      <c r="J1204" s="1307">
        <v>1</v>
      </c>
      <c r="K1204" s="1297">
        <f>I1204*J1204</f>
        <v>1</v>
      </c>
      <c r="L1204" s="4334"/>
      <c r="M1204" s="4335"/>
      <c r="N1204" s="4324"/>
      <c r="O1204" s="1298">
        <f>O1206+O1207+O1208+O1212+O1220+O1221</f>
        <v>62.835424880000005</v>
      </c>
      <c r="P1204" s="1337">
        <f>O1204*K1204</f>
        <v>62.835424880000005</v>
      </c>
      <c r="Q1204" s="3390"/>
      <c r="R1204" s="1721">
        <f>P1206+P1207+P1208+P1212+P1220+P1221</f>
        <v>62.836674879999997</v>
      </c>
      <c r="S1204" s="17"/>
      <c r="T1204" s="17"/>
      <c r="U1204" s="16"/>
      <c r="V1204" s="16"/>
    </row>
    <row r="1205" spans="1:22">
      <c r="A1205" s="1042"/>
      <c r="B1205" s="18"/>
      <c r="D1205" s="1449"/>
      <c r="E1205" s="2121"/>
      <c r="F1205" s="1368" t="s">
        <v>1</v>
      </c>
      <c r="G1205" s="1369"/>
      <c r="H1205" s="1369"/>
      <c r="I1205" s="1409"/>
      <c r="J1205" s="1391"/>
      <c r="K1205" s="1367"/>
      <c r="L1205" s="1554"/>
      <c r="M1205" s="1369"/>
      <c r="N1205" s="1369"/>
      <c r="O1205" s="1369"/>
      <c r="P1205" s="1367"/>
      <c r="Q1205" s="3387"/>
      <c r="R1205" s="2343"/>
      <c r="S1205" s="105"/>
      <c r="T1205" s="105"/>
      <c r="U1205" s="16"/>
      <c r="V1205" s="16"/>
    </row>
    <row r="1206" spans="1:22">
      <c r="A1206" s="1042"/>
      <c r="B1206" s="1042"/>
      <c r="D1206" s="1450" t="s">
        <v>1094</v>
      </c>
      <c r="E1206" s="1856" t="s">
        <v>1517</v>
      </c>
      <c r="F1206" s="1397" t="s">
        <v>1543</v>
      </c>
      <c r="G1206" s="1372">
        <v>0.02</v>
      </c>
      <c r="H1206" s="1372"/>
      <c r="I1206" s="1286"/>
      <c r="J1206" s="198"/>
      <c r="K1206" s="1307">
        <f>G1206*$K$1204</f>
        <v>0.02</v>
      </c>
      <c r="L1206" s="1335">
        <f>K1206*$K$1159</f>
        <v>0</v>
      </c>
      <c r="M1206" s="1302">
        <v>8.39</v>
      </c>
      <c r="N1206" s="1700"/>
      <c r="O1206" s="1290">
        <f>ROUND(G1206*M1206,2)</f>
        <v>0.17</v>
      </c>
      <c r="P1206" s="1332">
        <f>M1206*K1206</f>
        <v>0.1678</v>
      </c>
      <c r="Q1206" s="3391"/>
      <c r="R1206" s="2343"/>
      <c r="S1206" s="16"/>
      <c r="T1206" s="16"/>
      <c r="U1206" s="16"/>
      <c r="V1206" s="16"/>
    </row>
    <row r="1207" spans="1:22">
      <c r="A1207" s="1042"/>
      <c r="B1207" s="1042"/>
      <c r="D1207" s="1370" t="s">
        <v>1545</v>
      </c>
      <c r="E1207" s="2122" t="s">
        <v>1504</v>
      </c>
      <c r="F1207" s="1371" t="s">
        <v>1546</v>
      </c>
      <c r="G1207" s="1372">
        <v>8</v>
      </c>
      <c r="H1207" s="1372"/>
      <c r="I1207" s="1286"/>
      <c r="J1207" s="198"/>
      <c r="K1207" s="1307">
        <f>G1207*$K$1204</f>
        <v>8</v>
      </c>
      <c r="L1207" s="1335">
        <f>K1207*$K$1159</f>
        <v>0</v>
      </c>
      <c r="M1207" s="1302">
        <v>3.5</v>
      </c>
      <c r="N1207" s="1700"/>
      <c r="O1207" s="1290">
        <f>ROUND(G1207*M1207,2)</f>
        <v>28</v>
      </c>
      <c r="P1207" s="1332">
        <f>M1207*K1207</f>
        <v>28</v>
      </c>
      <c r="Q1207" s="3391"/>
      <c r="R1207" s="2343"/>
      <c r="S1207" s="16"/>
      <c r="T1207" s="16"/>
      <c r="U1207" s="16"/>
      <c r="V1207" s="16"/>
    </row>
    <row r="1208" spans="1:22">
      <c r="A1208" s="1042"/>
      <c r="B1208" s="1042"/>
      <c r="C1208" s="1356" t="s">
        <v>1155</v>
      </c>
      <c r="D1208" s="1311"/>
      <c r="E1208" s="2136" t="s">
        <v>1517</v>
      </c>
      <c r="F1208" s="1354" t="s">
        <v>1544</v>
      </c>
      <c r="G1208" s="1355"/>
      <c r="H1208" s="1355">
        <v>1E-3</v>
      </c>
      <c r="I1208" s="1455"/>
      <c r="J1208" s="1388"/>
      <c r="K1208" s="1445"/>
      <c r="L1208" s="1457"/>
      <c r="M1208" s="1446"/>
      <c r="N1208" s="1447">
        <f>SUM(N1209:N1211)</f>
        <v>114.04755</v>
      </c>
      <c r="O1208" s="1447">
        <f>SUM(O1209:O1211)</f>
        <v>0.11404755000000003</v>
      </c>
      <c r="P1208" s="1447">
        <f t="shared" ref="P1208" si="76">SUM(P1209:P1211)</f>
        <v>0.11404755000000003</v>
      </c>
      <c r="Q1208" s="3391"/>
      <c r="R1208" s="2343"/>
      <c r="S1208" s="16"/>
      <c r="T1208" s="16"/>
      <c r="U1208" s="16"/>
      <c r="V1208" s="16"/>
    </row>
    <row r="1209" spans="1:22">
      <c r="A1209" s="1042"/>
      <c r="B1209" s="553"/>
      <c r="C1209" s="1327"/>
      <c r="D1209" s="1451" t="s">
        <v>1069</v>
      </c>
      <c r="E1209" s="1856" t="s">
        <v>1517</v>
      </c>
      <c r="F1209" s="1421" t="s">
        <v>1578</v>
      </c>
      <c r="G1209" s="1452">
        <v>0.89100000000000001</v>
      </c>
      <c r="H1209" s="1453">
        <f>$H$1208*G1209</f>
        <v>8.9100000000000008E-4</v>
      </c>
      <c r="I1209" s="1286"/>
      <c r="J1209" s="198"/>
      <c r="K1209" s="1307">
        <f>H1209*$K$1204</f>
        <v>8.9100000000000008E-4</v>
      </c>
      <c r="L1209" s="1335">
        <f>K1209*$K$1159</f>
        <v>0</v>
      </c>
      <c r="M1209" s="1302">
        <v>0.55000000000000004</v>
      </c>
      <c r="N1209" s="1724">
        <f>G1209*M1209</f>
        <v>0.49005000000000004</v>
      </c>
      <c r="O1209" s="1726">
        <f>H1209*M1209</f>
        <v>4.9005000000000012E-4</v>
      </c>
      <c r="P1209" s="1727">
        <f>M1209*K1209</f>
        <v>4.9005000000000012E-4</v>
      </c>
      <c r="Q1209" s="3396"/>
      <c r="R1209" s="2343"/>
      <c r="S1209" s="16"/>
      <c r="T1209" s="16"/>
      <c r="U1209" s="16"/>
      <c r="V1209" s="16"/>
    </row>
    <row r="1210" spans="1:22">
      <c r="A1210" s="1042"/>
      <c r="B1210" s="553"/>
      <c r="C1210" s="1320"/>
      <c r="D1210" s="1367" t="s">
        <v>1394</v>
      </c>
      <c r="E1210" s="1856" t="s">
        <v>1577</v>
      </c>
      <c r="F1210" s="1421" t="s">
        <v>1579</v>
      </c>
      <c r="G1210" s="1452">
        <v>0.51500000000000001</v>
      </c>
      <c r="H1210" s="1453">
        <f>$H$1208*G1210</f>
        <v>5.1500000000000005E-4</v>
      </c>
      <c r="I1210" s="1286"/>
      <c r="J1210" s="198"/>
      <c r="K1210" s="1307">
        <f>H1210*$K$1204</f>
        <v>5.1500000000000005E-4</v>
      </c>
      <c r="L1210" s="1335">
        <f>K1210*$K$1159</f>
        <v>0</v>
      </c>
      <c r="M1210" s="1302">
        <v>92.54</v>
      </c>
      <c r="N1210" s="1724">
        <f>G1210*M1210</f>
        <v>47.658100000000005</v>
      </c>
      <c r="O1210" s="1726">
        <f>H1210*M1210</f>
        <v>4.7658100000000009E-2</v>
      </c>
      <c r="P1210" s="1727">
        <f>M1210*K1210</f>
        <v>4.7658100000000009E-2</v>
      </c>
      <c r="Q1210" s="3396"/>
      <c r="R1210" s="2343"/>
      <c r="S1210" s="16"/>
      <c r="T1210" s="16"/>
      <c r="U1210" s="16"/>
      <c r="V1210" s="16"/>
    </row>
    <row r="1211" spans="1:22">
      <c r="A1211" s="1042"/>
      <c r="B1211" s="553"/>
      <c r="C1211" s="225"/>
      <c r="D1211" s="1443" t="s">
        <v>1067</v>
      </c>
      <c r="E1211" s="1857" t="s">
        <v>1508</v>
      </c>
      <c r="F1211" s="1430" t="s">
        <v>1512</v>
      </c>
      <c r="G1211" s="1431">
        <v>3.605</v>
      </c>
      <c r="H1211" s="1454">
        <f>$H$1208*G1211</f>
        <v>3.6050000000000001E-3</v>
      </c>
      <c r="I1211" s="1286"/>
      <c r="J1211" s="198"/>
      <c r="K1211" s="1307">
        <f>H1211*$K$1204</f>
        <v>3.6050000000000001E-3</v>
      </c>
      <c r="L1211" s="1335">
        <f>K1211*$K$1159</f>
        <v>0</v>
      </c>
      <c r="M1211" s="1302">
        <v>18.28</v>
      </c>
      <c r="N1211" s="1724">
        <f>G1211*M1211</f>
        <v>65.8994</v>
      </c>
      <c r="O1211" s="1726">
        <f>H1211*M1211</f>
        <v>6.5899400000000011E-2</v>
      </c>
      <c r="P1211" s="1727">
        <f>M1211*K1211</f>
        <v>6.5899400000000011E-2</v>
      </c>
      <c r="Q1211" s="3396"/>
      <c r="R1211" s="2343"/>
      <c r="S1211" s="16"/>
      <c r="T1211" s="16"/>
      <c r="U1211" s="16"/>
      <c r="V1211" s="16"/>
    </row>
    <row r="1212" spans="1:22">
      <c r="A1212" s="1042"/>
      <c r="B1212" s="1042"/>
      <c r="C1212" s="1356" t="s">
        <v>1127</v>
      </c>
      <c r="D1212" s="1311"/>
      <c r="E1212" s="2137" t="s">
        <v>1517</v>
      </c>
      <c r="F1212" s="1319" t="s">
        <v>1519</v>
      </c>
      <c r="G1212" s="1353"/>
      <c r="H1212" s="1353">
        <v>3.1E-2</v>
      </c>
      <c r="I1212" s="1444"/>
      <c r="J1212" s="1388"/>
      <c r="K1212" s="1445"/>
      <c r="L1212" s="1457"/>
      <c r="M1212" s="1446"/>
      <c r="N1212" s="1447">
        <f>SUM(N1213:N1216)</f>
        <v>50.044430000000006</v>
      </c>
      <c r="O1212" s="1447">
        <f>SUM(O1213:O1216)</f>
        <v>1.5513773300000002</v>
      </c>
      <c r="P1212" s="1447">
        <f t="shared" ref="P1212" si="77">SUM(P1213:P1216)</f>
        <v>1.5513773300000002</v>
      </c>
      <c r="Q1212" s="3391"/>
      <c r="R1212" s="2343"/>
      <c r="S1212" s="16"/>
      <c r="T1212" s="16"/>
      <c r="U1212" s="16"/>
      <c r="V1212" s="16"/>
    </row>
    <row r="1213" spans="1:22">
      <c r="A1213" s="1042"/>
      <c r="B1213" s="1042"/>
      <c r="C1213" s="1327"/>
      <c r="D1213" s="1400" t="s">
        <v>1069</v>
      </c>
      <c r="E1213" s="1856" t="s">
        <v>1517</v>
      </c>
      <c r="F1213" s="1397" t="s">
        <v>1578</v>
      </c>
      <c r="G1213" s="1416">
        <v>0.26300000000000001</v>
      </c>
      <c r="H1213" s="1399">
        <f>$H$1212*G1213</f>
        <v>8.1530000000000005E-3</v>
      </c>
      <c r="I1213" s="197"/>
      <c r="J1213" s="198"/>
      <c r="K1213" s="1307">
        <f>H1213*$K$1204</f>
        <v>8.1530000000000005E-3</v>
      </c>
      <c r="L1213" s="1335">
        <f>K1213*$K$1159</f>
        <v>0</v>
      </c>
      <c r="M1213" s="1302">
        <v>0.55000000000000004</v>
      </c>
      <c r="N1213" s="1724">
        <f>G1213*M1213</f>
        <v>0.14465000000000003</v>
      </c>
      <c r="O1213" s="1726">
        <f>H1213*M1213</f>
        <v>4.484150000000001E-3</v>
      </c>
      <c r="P1213" s="1727">
        <f>M1213*K1213</f>
        <v>4.484150000000001E-3</v>
      </c>
      <c r="Q1213" s="3396"/>
      <c r="R1213" s="2338"/>
      <c r="S1213" s="16"/>
      <c r="T1213" s="16"/>
      <c r="U1213" s="16"/>
      <c r="V1213" s="16"/>
    </row>
    <row r="1214" spans="1:22">
      <c r="A1214" s="1042"/>
      <c r="B1214" s="1042"/>
      <c r="C1214" s="1320"/>
      <c r="D1214" s="1400" t="s">
        <v>1394</v>
      </c>
      <c r="E1214" s="1856" t="s">
        <v>1577</v>
      </c>
      <c r="F1214" s="1397" t="s">
        <v>1579</v>
      </c>
      <c r="G1214" s="1416">
        <v>0.25800000000000001</v>
      </c>
      <c r="H1214" s="1399">
        <f>$H$1212*G1214</f>
        <v>7.9979999999999999E-3</v>
      </c>
      <c r="I1214" s="197"/>
      <c r="J1214" s="198"/>
      <c r="K1214" s="1307">
        <f>H1214*$K$1204</f>
        <v>7.9979999999999999E-3</v>
      </c>
      <c r="L1214" s="1335">
        <f>K1214*$K$1159</f>
        <v>0</v>
      </c>
      <c r="M1214" s="1302">
        <v>92.54</v>
      </c>
      <c r="N1214" s="1724">
        <f>G1214*M1214</f>
        <v>23.875320000000002</v>
      </c>
      <c r="O1214" s="1726">
        <f>H1214*M1214</f>
        <v>0.74013492000000003</v>
      </c>
      <c r="P1214" s="1727">
        <f>M1214*K1214</f>
        <v>0.74013492000000003</v>
      </c>
      <c r="Q1214" s="3396"/>
      <c r="R1214" s="2338"/>
      <c r="S1214" s="16"/>
      <c r="T1214" s="16"/>
      <c r="U1214" s="16"/>
      <c r="V1214" s="16"/>
    </row>
    <row r="1215" spans="1:22">
      <c r="A1215" s="1042"/>
      <c r="B1215" s="1042"/>
      <c r="C1215" s="1320"/>
      <c r="D1215" s="1400" t="s">
        <v>1576</v>
      </c>
      <c r="E1215" s="1856" t="s">
        <v>1517</v>
      </c>
      <c r="F1215" s="1397" t="s">
        <v>1580</v>
      </c>
      <c r="G1215" s="1416">
        <v>1.1020000000000001</v>
      </c>
      <c r="H1215" s="1399">
        <f>$H$1212*G1215</f>
        <v>3.4162000000000005E-2</v>
      </c>
      <c r="I1215" s="197"/>
      <c r="J1215" s="198"/>
      <c r="K1215" s="1307">
        <f>H1215*$K$1204</f>
        <v>3.4162000000000005E-2</v>
      </c>
      <c r="L1215" s="1335">
        <f>K1215*$K$1159</f>
        <v>0</v>
      </c>
      <c r="M1215" s="1302">
        <v>6.53</v>
      </c>
      <c r="N1215" s="1724">
        <f>G1215*M1215</f>
        <v>7.196060000000001</v>
      </c>
      <c r="O1215" s="1726">
        <f>H1215*M1215</f>
        <v>0.22307786000000004</v>
      </c>
      <c r="P1215" s="1727">
        <f>M1215*K1215</f>
        <v>0.22307786000000004</v>
      </c>
      <c r="Q1215" s="3396"/>
      <c r="R1215" s="2338"/>
      <c r="S1215" s="16"/>
      <c r="T1215" s="16"/>
      <c r="U1215" s="16"/>
      <c r="V1215" s="16"/>
    </row>
    <row r="1216" spans="1:22">
      <c r="A1216" s="1042"/>
      <c r="B1216" s="1042"/>
      <c r="C1216" s="1320"/>
      <c r="D1216" s="1404" t="s">
        <v>1067</v>
      </c>
      <c r="E1216" s="1857" t="s">
        <v>1508</v>
      </c>
      <c r="F1216" s="1406" t="s">
        <v>1512</v>
      </c>
      <c r="G1216" s="1407">
        <v>1.03</v>
      </c>
      <c r="H1216" s="1407">
        <f>$H$1212*G1216</f>
        <v>3.193E-2</v>
      </c>
      <c r="I1216" s="197"/>
      <c r="J1216" s="198"/>
      <c r="K1216" s="1307">
        <f>H1216*$K$1204</f>
        <v>3.193E-2</v>
      </c>
      <c r="L1216" s="1335">
        <f>K1216*$K$1159</f>
        <v>0</v>
      </c>
      <c r="M1216" s="1302">
        <v>18.28</v>
      </c>
      <c r="N1216" s="1724">
        <f>G1216*M1216</f>
        <v>18.828400000000002</v>
      </c>
      <c r="O1216" s="1726">
        <f>H1216*M1216</f>
        <v>0.58368039999999999</v>
      </c>
      <c r="P1216" s="1727">
        <f>M1216*K1216</f>
        <v>0.58368039999999999</v>
      </c>
      <c r="Q1216" s="3396"/>
      <c r="R1216" s="2338"/>
      <c r="S1216" s="16"/>
      <c r="T1216" s="16"/>
      <c r="U1216" s="16"/>
      <c r="V1216" s="16"/>
    </row>
    <row r="1217" spans="1:22">
      <c r="A1217" s="1042"/>
      <c r="B1217" s="1042"/>
      <c r="C1217" s="1320"/>
      <c r="D1217" s="1400"/>
      <c r="E1217" s="1856"/>
      <c r="F1217" s="1397"/>
      <c r="G1217" s="1416"/>
      <c r="H1217" s="1399"/>
      <c r="I1217" s="197"/>
      <c r="J1217" s="198"/>
      <c r="K1217" s="1307"/>
      <c r="L1217" s="1335"/>
      <c r="M1217" s="1302"/>
      <c r="N1217" s="1724"/>
      <c r="O1217" s="1726"/>
      <c r="P1217" s="1727"/>
      <c r="Q1217" s="3396"/>
      <c r="R1217" s="2338"/>
      <c r="S1217" s="16"/>
      <c r="T1217" s="16"/>
      <c r="U1217" s="16"/>
      <c r="V1217" s="16"/>
    </row>
    <row r="1218" spans="1:22">
      <c r="A1218" s="1042"/>
      <c r="B1218" s="1042"/>
      <c r="C1218" s="1320"/>
      <c r="D1218" s="1400"/>
      <c r="E1218" s="1856"/>
      <c r="F1218" s="1397"/>
      <c r="G1218" s="1416"/>
      <c r="H1218" s="1399"/>
      <c r="I1218" s="197" t="str">
        <f ca="1">IF(COUNT(H1218:O1218)=0,"",(SUM(H1218:O1218)/COUNT(H1218:O1218)))</f>
        <v/>
      </c>
      <c r="J1218" s="198"/>
      <c r="K1218" s="1307" t="str">
        <f>IF(COUNT(#REF!)=0,"",IF(#REF!="","",(#REF!*#REF!)))</f>
        <v/>
      </c>
      <c r="L1218" s="1335"/>
      <c r="M1218" s="1302"/>
      <c r="N1218" s="1724"/>
      <c r="O1218" s="1726"/>
      <c r="P1218" s="1727"/>
      <c r="Q1218" s="3396"/>
      <c r="R1218" s="2338"/>
      <c r="S1218" s="16"/>
      <c r="T1218" s="16"/>
      <c r="U1218" s="16"/>
      <c r="V1218" s="16"/>
    </row>
    <row r="1219" spans="1:22">
      <c r="A1219" s="1042"/>
      <c r="B1219" s="1042"/>
      <c r="C1219" s="88"/>
      <c r="D1219" s="1359"/>
      <c r="E1219" s="1858"/>
      <c r="F1219" s="1360" t="s">
        <v>2</v>
      </c>
      <c r="G1219" s="1360"/>
      <c r="H1219" s="1362"/>
      <c r="I1219" s="1380" t="str">
        <f ca="1">IF(COUNT(H1219:O1219)=0,"",(SUM(H1219:O1219)/COUNT(H1219:O1219)))</f>
        <v/>
      </c>
      <c r="J1219" s="1381"/>
      <c r="K1219" s="1359" t="str">
        <f>IF(COUNT(#REF!)=0,"",IF(#REF!="","",(#REF!*#REF!)))</f>
        <v/>
      </c>
      <c r="L1219" s="1458"/>
      <c r="M1219" s="1362"/>
      <c r="N1219" s="1362"/>
      <c r="O1219" s="1362"/>
      <c r="P1219" s="1458"/>
      <c r="Q1219" s="3387"/>
      <c r="R1219" s="2343"/>
      <c r="S1219" s="16"/>
      <c r="T1219" s="16"/>
      <c r="U1219" s="16"/>
      <c r="V1219" s="16"/>
    </row>
    <row r="1220" spans="1:22">
      <c r="A1220" s="1042"/>
      <c r="B1220" s="1042"/>
      <c r="C1220" s="88"/>
      <c r="D1220" s="1363" t="s">
        <v>1134</v>
      </c>
      <c r="E1220" s="2125" t="s">
        <v>1508</v>
      </c>
      <c r="F1220" s="1364" t="s">
        <v>1547</v>
      </c>
      <c r="G1220" s="1365">
        <v>1.163</v>
      </c>
      <c r="H1220" s="1365"/>
      <c r="I1220" s="1286"/>
      <c r="J1220" s="198"/>
      <c r="K1220" s="1307">
        <f>G1220*$K$1204</f>
        <v>1.163</v>
      </c>
      <c r="L1220" s="1335">
        <f>K1220*$K$1159</f>
        <v>0</v>
      </c>
      <c r="M1220" s="1302">
        <v>19.23</v>
      </c>
      <c r="N1220" s="1302"/>
      <c r="O1220" s="1291">
        <f>ROUND(G1220*M1220,2)</f>
        <v>22.36</v>
      </c>
      <c r="P1220" s="1332">
        <f>M1220*K1220</f>
        <v>22.36449</v>
      </c>
      <c r="Q1220" s="3391"/>
      <c r="R1220" s="2343"/>
      <c r="S1220" s="16"/>
      <c r="T1220" s="16"/>
      <c r="U1220" s="16"/>
      <c r="V1220" s="16"/>
    </row>
    <row r="1221" spans="1:22">
      <c r="A1221" s="1042"/>
      <c r="B1221" s="1042"/>
      <c r="C1221" s="88"/>
      <c r="D1221" s="1363" t="s">
        <v>1067</v>
      </c>
      <c r="E1221" s="2125" t="s">
        <v>1508</v>
      </c>
      <c r="F1221" s="1364" t="s">
        <v>1512</v>
      </c>
      <c r="G1221" s="1365">
        <v>0.58199999999999996</v>
      </c>
      <c r="H1221" s="1365"/>
      <c r="I1221" s="1286"/>
      <c r="J1221" s="198"/>
      <c r="K1221" s="1307">
        <f>G1221*$K$1204</f>
        <v>0.58199999999999996</v>
      </c>
      <c r="L1221" s="1335">
        <f>K1221*$K$1159</f>
        <v>0</v>
      </c>
      <c r="M1221" s="1302">
        <v>18.28</v>
      </c>
      <c r="N1221" s="1302"/>
      <c r="O1221" s="1291">
        <f>ROUND(G1221*M1221,2)</f>
        <v>10.64</v>
      </c>
      <c r="P1221" s="1332">
        <f>M1221*K1221</f>
        <v>10.638959999999999</v>
      </c>
      <c r="Q1221" s="3391"/>
      <c r="R1221" s="2338"/>
      <c r="S1221" s="16"/>
      <c r="T1221" s="16"/>
      <c r="U1221" s="16"/>
      <c r="V1221" s="16"/>
    </row>
    <row r="1222" spans="1:22">
      <c r="A1222" s="1042"/>
      <c r="B1222" s="1042"/>
      <c r="C1222" s="88"/>
      <c r="D1222" s="1363"/>
      <c r="E1222" s="2125"/>
      <c r="F1222" s="1364"/>
      <c r="G1222" s="1365"/>
      <c r="H1222" s="1365"/>
      <c r="I1222" s="1286" t="str">
        <f t="shared" ref="I1222:I1225" ca="1" si="78">IF(COUNT(H1222:O1222)=0,"",(SUM(H1222:O1222)/COUNT(H1222:O1222)))</f>
        <v/>
      </c>
      <c r="J1222" s="198"/>
      <c r="K1222" s="1307"/>
      <c r="L1222" s="1335"/>
      <c r="M1222" s="1302"/>
      <c r="N1222" s="1302"/>
      <c r="O1222" s="1291"/>
      <c r="P1222" s="1332"/>
      <c r="Q1222" s="3391"/>
      <c r="R1222" s="2338"/>
      <c r="S1222" s="16"/>
      <c r="T1222" s="16"/>
      <c r="U1222" s="16"/>
      <c r="V1222" s="16"/>
    </row>
    <row r="1223" spans="1:22">
      <c r="A1223" s="1042"/>
      <c r="B1223" s="1042"/>
      <c r="C1223" s="88"/>
      <c r="D1223" s="1373"/>
      <c r="E1223" s="2123"/>
      <c r="F1223" s="1374" t="s">
        <v>3</v>
      </c>
      <c r="G1223" s="1374"/>
      <c r="H1223" s="1376"/>
      <c r="I1223" s="1382" t="str">
        <f t="shared" ca="1" si="78"/>
        <v/>
      </c>
      <c r="J1223" s="1383"/>
      <c r="K1223" s="1373"/>
      <c r="L1223" s="1413"/>
      <c r="M1223" s="1376"/>
      <c r="N1223" s="1376"/>
      <c r="O1223" s="1376"/>
      <c r="P1223" s="1413"/>
      <c r="Q1223" s="3387"/>
      <c r="R1223" s="2343"/>
      <c r="S1223" s="16"/>
      <c r="T1223" s="16"/>
      <c r="U1223" s="16"/>
      <c r="V1223" s="16"/>
    </row>
    <row r="1224" spans="1:22">
      <c r="A1224" s="1042"/>
      <c r="B1224" s="1042"/>
      <c r="C1224" s="88"/>
      <c r="D1224" s="1440"/>
      <c r="E1224" s="2132"/>
      <c r="F1224" s="1441"/>
      <c r="G1224" s="1441"/>
      <c r="H1224" s="1442"/>
      <c r="I1224" s="197" t="str">
        <f t="shared" ca="1" si="78"/>
        <v/>
      </c>
      <c r="J1224" s="198"/>
      <c r="K1224" s="1307"/>
      <c r="L1224" s="1335"/>
      <c r="M1224" s="1499"/>
      <c r="N1224" s="1701"/>
      <c r="O1224" s="1290"/>
      <c r="P1224" s="1332"/>
      <c r="Q1224" s="3391"/>
      <c r="R1224" s="2338"/>
      <c r="S1224" s="16"/>
      <c r="T1224" s="16"/>
      <c r="U1224" s="16"/>
      <c r="V1224" s="16"/>
    </row>
    <row r="1225" spans="1:22">
      <c r="A1225" s="1042"/>
      <c r="B1225" s="1042"/>
      <c r="C1225" s="88"/>
      <c r="D1225" s="1440"/>
      <c r="E1225" s="2132"/>
      <c r="F1225" s="1441"/>
      <c r="G1225" s="1441"/>
      <c r="H1225" s="1442"/>
      <c r="I1225" s="197" t="str">
        <f t="shared" ca="1" si="78"/>
        <v/>
      </c>
      <c r="J1225" s="198"/>
      <c r="K1225" s="1307"/>
      <c r="L1225" s="1335"/>
      <c r="M1225" s="1499"/>
      <c r="N1225" s="1701"/>
      <c r="O1225" s="1290"/>
      <c r="P1225" s="1332"/>
      <c r="Q1225" s="3391"/>
      <c r="R1225" s="2338"/>
      <c r="S1225" s="16"/>
      <c r="T1225" s="16"/>
      <c r="U1225" s="16"/>
      <c r="V1225" s="16"/>
    </row>
    <row r="1226" spans="1:22">
      <c r="A1226" s="1042"/>
      <c r="B1226" s="223"/>
      <c r="C1226" s="581"/>
      <c r="D1226" s="1440"/>
      <c r="E1226" s="2132"/>
      <c r="F1226" s="1441"/>
      <c r="G1226" s="1441"/>
      <c r="H1226" s="1442"/>
      <c r="I1226" s="197"/>
      <c r="J1226" s="198"/>
      <c r="K1226" s="1307"/>
      <c r="L1226" s="1335"/>
      <c r="M1226" s="1499"/>
      <c r="N1226" s="1701"/>
      <c r="O1226" s="1290"/>
      <c r="P1226" s="1332"/>
      <c r="Q1226" s="3391"/>
      <c r="R1226" s="2338"/>
      <c r="S1226" s="16"/>
      <c r="T1226" s="16"/>
      <c r="U1226" s="16"/>
      <c r="V1226" s="16"/>
    </row>
    <row r="1227" spans="1:22" ht="15" customHeight="1">
      <c r="A1227" s="88" t="s">
        <v>3764</v>
      </c>
      <c r="B1227" s="4367" t="s">
        <v>1716</v>
      </c>
      <c r="C1227" s="3350"/>
      <c r="D1227" s="4327"/>
      <c r="E1227" s="4329" t="s">
        <v>1507</v>
      </c>
      <c r="F1227" s="4336" t="s">
        <v>1727</v>
      </c>
      <c r="G1227" s="4331" t="s">
        <v>1568</v>
      </c>
      <c r="H1227" s="4331" t="s">
        <v>1574</v>
      </c>
      <c r="I1227" s="1572" t="s">
        <v>1559</v>
      </c>
      <c r="J1227" s="1294" t="s">
        <v>1560</v>
      </c>
      <c r="K1227" s="1294" t="s">
        <v>1561</v>
      </c>
      <c r="L1227" s="4333" t="s">
        <v>3765</v>
      </c>
      <c r="M1227" s="4335" t="s">
        <v>1571</v>
      </c>
      <c r="N1227" s="4323" t="s">
        <v>1776</v>
      </c>
      <c r="O1227" s="3347" t="s">
        <v>1563</v>
      </c>
      <c r="P1227" s="1336" t="s">
        <v>1562</v>
      </c>
      <c r="Q1227" s="3389"/>
      <c r="R1227" s="1699" t="s">
        <v>1327</v>
      </c>
      <c r="S1227" s="17"/>
      <c r="T1227" s="17"/>
      <c r="U1227" s="16"/>
      <c r="V1227" s="16"/>
    </row>
    <row r="1228" spans="1:22">
      <c r="A1228" s="1662" t="s">
        <v>2816</v>
      </c>
      <c r="B1228" s="4326"/>
      <c r="C1228" s="3351"/>
      <c r="D1228" s="4328"/>
      <c r="E1228" s="4389"/>
      <c r="F1228" s="4336"/>
      <c r="G1228" s="4332"/>
      <c r="H1228" s="4332"/>
      <c r="I1228" s="1345">
        <v>1</v>
      </c>
      <c r="J1228" s="1350">
        <v>1</v>
      </c>
      <c r="K1228" s="1666">
        <f>I1228*J1228</f>
        <v>1</v>
      </c>
      <c r="L1228" s="4334"/>
      <c r="M1228" s="4335"/>
      <c r="N1228" s="4324"/>
      <c r="O1228" s="1298">
        <f>SUM(O1230:O1241)</f>
        <v>4.4399999999999995</v>
      </c>
      <c r="P1228" s="1337">
        <f>O1228*K1228</f>
        <v>4.4399999999999995</v>
      </c>
      <c r="Q1228" s="3390"/>
      <c r="R1228" s="1721">
        <f>P1230+P1231+P1236</f>
        <v>4.4448000000000008</v>
      </c>
      <c r="S1228" s="105"/>
      <c r="T1228" s="105"/>
      <c r="U1228" s="16"/>
      <c r="V1228" s="16"/>
    </row>
    <row r="1229" spans="1:22">
      <c r="A1229" s="1635"/>
      <c r="B1229" s="1327"/>
      <c r="C1229" s="1327"/>
      <c r="D1229" s="1400"/>
      <c r="E1229" s="2121"/>
      <c r="F1229" s="1368" t="s">
        <v>1</v>
      </c>
      <c r="G1229" s="1390"/>
      <c r="H1229" s="1390"/>
      <c r="I1229" s="1554"/>
      <c r="J1229" s="1367"/>
      <c r="K1229" s="1367"/>
      <c r="L1229" s="1554"/>
      <c r="M1229" s="1369"/>
      <c r="N1229" s="1369"/>
      <c r="O1229" s="1369"/>
      <c r="P1229" s="1367"/>
      <c r="Q1229" s="3387"/>
      <c r="R1229" s="2338"/>
      <c r="S1229" s="16"/>
      <c r="T1229" s="16"/>
      <c r="U1229" s="16"/>
      <c r="V1229" s="16"/>
    </row>
    <row r="1230" spans="1:22">
      <c r="A1230" s="1636"/>
      <c r="B1230" s="1320"/>
      <c r="C1230" s="1042"/>
      <c r="D1230" s="1615" t="s">
        <v>1082</v>
      </c>
      <c r="E1230" s="2126" t="s">
        <v>1504</v>
      </c>
      <c r="F1230" s="1418" t="s">
        <v>1541</v>
      </c>
      <c r="G1230" s="1372">
        <v>1</v>
      </c>
      <c r="H1230" s="1372"/>
      <c r="I1230" s="198"/>
      <c r="J1230" s="6"/>
      <c r="K1230" s="1307">
        <f>G1230*$K$1228</f>
        <v>1</v>
      </c>
      <c r="L1230" s="1335">
        <f>K1230*$K$1159</f>
        <v>0</v>
      </c>
      <c r="M1230" s="1499">
        <v>0.3</v>
      </c>
      <c r="N1230" s="1701"/>
      <c r="O1230" s="1291">
        <f>ROUND(G1230*M1230,2)</f>
        <v>0.3</v>
      </c>
      <c r="P1230" s="1332">
        <f>M1230*K1230</f>
        <v>0.3</v>
      </c>
      <c r="Q1230" s="3391"/>
      <c r="R1230" s="2338"/>
      <c r="S1230" s="16"/>
      <c r="T1230" s="16"/>
      <c r="U1230" s="16"/>
      <c r="V1230" s="16"/>
    </row>
    <row r="1231" spans="1:22">
      <c r="A1231" s="1637"/>
      <c r="B1231" s="1320"/>
      <c r="C1231" s="1042"/>
      <c r="D1231" s="1615" t="s">
        <v>1728</v>
      </c>
      <c r="E1231" s="2126" t="s">
        <v>1504</v>
      </c>
      <c r="F1231" s="1418" t="s">
        <v>1729</v>
      </c>
      <c r="G1231" s="1372">
        <v>1</v>
      </c>
      <c r="H1231" s="1372"/>
      <c r="I1231" s="197"/>
      <c r="J1231" s="198"/>
      <c r="K1231" s="1307">
        <f>G1231*$K$1228</f>
        <v>1</v>
      </c>
      <c r="L1231" s="1335">
        <f>K1231*$K$1159</f>
        <v>0</v>
      </c>
      <c r="M1231" s="1499">
        <v>1.22</v>
      </c>
      <c r="N1231" s="1701"/>
      <c r="O1231" s="1291">
        <f>ROUND(G1231*M1231,2)</f>
        <v>1.22</v>
      </c>
      <c r="P1231" s="1332">
        <f>M1231*K1231</f>
        <v>1.22</v>
      </c>
      <c r="Q1231" s="3391"/>
      <c r="R1231" s="2338"/>
      <c r="S1231" s="16"/>
      <c r="T1231" s="16"/>
      <c r="U1231" s="16"/>
      <c r="V1231" s="16"/>
    </row>
    <row r="1232" spans="1:22">
      <c r="A1232" s="553"/>
      <c r="B1232" s="1320"/>
      <c r="C1232" s="1042"/>
      <c r="D1232" s="1400"/>
      <c r="E1232" s="1856"/>
      <c r="F1232" s="1397"/>
      <c r="G1232" s="1416"/>
      <c r="H1232" s="1416"/>
      <c r="I1232" s="197"/>
      <c r="J1232" s="198"/>
      <c r="K1232" s="1307"/>
      <c r="L1232" s="1335"/>
      <c r="M1232" s="1499"/>
      <c r="N1232" s="1701"/>
      <c r="O1232" s="1290"/>
      <c r="P1232" s="1332"/>
      <c r="Q1232" s="3391"/>
      <c r="R1232" s="2338"/>
      <c r="S1232" s="16"/>
      <c r="T1232" s="16"/>
      <c r="U1232" s="16"/>
      <c r="V1232" s="16"/>
    </row>
    <row r="1233" spans="1:22">
      <c r="A1233" s="553"/>
      <c r="B1233" s="1320"/>
      <c r="C1233" s="1042"/>
      <c r="D1233" s="1400"/>
      <c r="E1233" s="1856"/>
      <c r="F1233" s="1397"/>
      <c r="G1233" s="1416"/>
      <c r="H1233" s="1416"/>
      <c r="I1233" s="1289"/>
      <c r="J1233" s="198"/>
      <c r="K1233" s="1307"/>
      <c r="L1233" s="1335"/>
      <c r="M1233" s="1499"/>
      <c r="N1233" s="1701"/>
      <c r="O1233" s="1290"/>
      <c r="P1233" s="1332"/>
      <c r="Q1233" s="3391"/>
      <c r="R1233" s="2338"/>
      <c r="S1233" s="16"/>
      <c r="T1233" s="16"/>
      <c r="U1233" s="16"/>
      <c r="V1233" s="16"/>
    </row>
    <row r="1234" spans="1:22">
      <c r="A1234" s="553"/>
      <c r="B1234" s="1320"/>
      <c r="C1234" s="1042"/>
      <c r="D1234" s="1404"/>
      <c r="E1234" s="1857"/>
      <c r="F1234" s="1406"/>
      <c r="G1234" s="1407"/>
      <c r="H1234" s="1407"/>
      <c r="I1234" s="1289"/>
      <c r="J1234" s="198"/>
      <c r="K1234" s="1307"/>
      <c r="L1234" s="1335"/>
      <c r="M1234" s="1499"/>
      <c r="N1234" s="1701"/>
      <c r="O1234" s="1290"/>
      <c r="P1234" s="1332"/>
      <c r="Q1234" s="3391"/>
      <c r="R1234" s="2338"/>
      <c r="S1234" s="16"/>
      <c r="T1234" s="16"/>
      <c r="U1234" s="16"/>
      <c r="V1234" s="16"/>
    </row>
    <row r="1235" spans="1:22">
      <c r="A1235" s="553"/>
      <c r="B1235" s="1320"/>
      <c r="C1235" s="1320"/>
      <c r="D1235" s="1410"/>
      <c r="E1235" s="1858"/>
      <c r="F1235" s="1360" t="s">
        <v>2</v>
      </c>
      <c r="G1235" s="1360"/>
      <c r="H1235" s="1360"/>
      <c r="I1235" s="1380"/>
      <c r="J1235" s="1381"/>
      <c r="K1235" s="1359"/>
      <c r="L1235" s="1458"/>
      <c r="M1235" s="1502"/>
      <c r="N1235" s="1502"/>
      <c r="O1235" s="1362"/>
      <c r="P1235" s="1359"/>
      <c r="Q1235" s="3387"/>
      <c r="R1235" s="2338"/>
      <c r="S1235" s="16"/>
      <c r="T1235" s="16"/>
      <c r="U1235" s="16"/>
      <c r="V1235" s="16"/>
    </row>
    <row r="1236" spans="1:22">
      <c r="A1236" s="553"/>
      <c r="B1236" s="1320"/>
      <c r="C1236" s="1042"/>
      <c r="D1236" s="1404" t="s">
        <v>1067</v>
      </c>
      <c r="E1236" s="1858" t="s">
        <v>1508</v>
      </c>
      <c r="F1236" s="1361" t="s">
        <v>1512</v>
      </c>
      <c r="G1236" s="1405">
        <v>0.16</v>
      </c>
      <c r="H1236" s="1405"/>
      <c r="I1236" s="198"/>
      <c r="J1236" s="6"/>
      <c r="K1236" s="1307">
        <f>G1236*$K$1228</f>
        <v>0.16</v>
      </c>
      <c r="L1236" s="1335">
        <f>K1236*$K$1159</f>
        <v>0</v>
      </c>
      <c r="M1236" s="1499">
        <v>18.28</v>
      </c>
      <c r="N1236" s="1701"/>
      <c r="O1236" s="1291">
        <f>ROUND(G1236*M1236,2)</f>
        <v>2.92</v>
      </c>
      <c r="P1236" s="1332">
        <f>M1236*K1236</f>
        <v>2.9248000000000003</v>
      </c>
      <c r="Q1236" s="3391"/>
      <c r="R1236" s="2338"/>
      <c r="S1236" s="16"/>
      <c r="T1236" s="16"/>
      <c r="U1236" s="16"/>
      <c r="V1236" s="16"/>
    </row>
    <row r="1237" spans="1:22">
      <c r="A1237" s="553"/>
      <c r="B1237" s="1320"/>
      <c r="C1237" s="1042"/>
      <c r="D1237" s="1402"/>
      <c r="E1237" s="1857"/>
      <c r="F1237" s="1645"/>
      <c r="G1237" s="1362"/>
      <c r="H1237" s="1362"/>
      <c r="I1237" s="198"/>
      <c r="J1237" s="6"/>
      <c r="K1237" s="1306"/>
      <c r="L1237" s="1646"/>
      <c r="M1237" s="1499"/>
      <c r="N1237" s="1499"/>
      <c r="O1237" s="1291"/>
      <c r="P1237" s="1332"/>
      <c r="Q1237" s="3391"/>
      <c r="R1237" s="2338"/>
      <c r="S1237" s="16"/>
      <c r="T1237" s="16"/>
      <c r="U1237" s="16"/>
      <c r="V1237" s="16"/>
    </row>
    <row r="1238" spans="1:22">
      <c r="A1238" s="553"/>
      <c r="B1238" s="1320"/>
      <c r="C1238" s="1042"/>
      <c r="D1238" s="1402"/>
      <c r="E1238" s="1857"/>
      <c r="F1238" s="1403"/>
      <c r="G1238" s="1362"/>
      <c r="H1238" s="1362"/>
      <c r="I1238" s="198"/>
      <c r="J1238" s="6"/>
      <c r="K1238" s="1307"/>
      <c r="L1238" s="1335"/>
      <c r="M1238" s="1499"/>
      <c r="N1238" s="1701"/>
      <c r="O1238" s="1290"/>
      <c r="P1238" s="1332"/>
      <c r="Q1238" s="3391"/>
      <c r="R1238" s="2338"/>
      <c r="S1238" s="16"/>
      <c r="T1238" s="16"/>
      <c r="U1238" s="16"/>
      <c r="V1238" s="16"/>
    </row>
    <row r="1239" spans="1:22">
      <c r="A1239" s="553"/>
      <c r="B1239" s="1320"/>
      <c r="C1239" s="1042"/>
      <c r="D1239" s="1411"/>
      <c r="E1239" s="2123"/>
      <c r="F1239" s="1374" t="s">
        <v>3</v>
      </c>
      <c r="G1239" s="1374"/>
      <c r="H1239" s="1374"/>
      <c r="I1239" s="1382"/>
      <c r="J1239" s="1383"/>
      <c r="K1239" s="1373"/>
      <c r="L1239" s="1413"/>
      <c r="M1239" s="1505"/>
      <c r="N1239" s="1505"/>
      <c r="O1239" s="1376"/>
      <c r="P1239" s="1413"/>
      <c r="Q1239" s="3387"/>
      <c r="R1239" s="2338"/>
      <c r="S1239" s="16"/>
      <c r="T1239" s="16"/>
      <c r="U1239" s="16"/>
      <c r="V1239" s="16"/>
    </row>
    <row r="1240" spans="1:22">
      <c r="A1240" s="553"/>
      <c r="B1240" s="1320"/>
      <c r="C1240" s="1042"/>
      <c r="D1240" s="1412"/>
      <c r="E1240" s="2124"/>
      <c r="F1240" s="1378"/>
      <c r="G1240" s="1378"/>
      <c r="H1240" s="1378"/>
      <c r="I1240" s="198"/>
      <c r="J1240" s="6"/>
      <c r="K1240" s="1307"/>
      <c r="L1240" s="1335"/>
      <c r="M1240" s="1499"/>
      <c r="N1240" s="1701"/>
      <c r="O1240" s="1290"/>
      <c r="P1240" s="1332"/>
      <c r="Q1240" s="3391"/>
      <c r="R1240" s="2338"/>
      <c r="S1240" s="16"/>
      <c r="T1240" s="16"/>
      <c r="U1240" s="16"/>
      <c r="V1240" s="16"/>
    </row>
    <row r="1241" spans="1:22">
      <c r="A1241" s="553"/>
      <c r="B1241" s="1320"/>
      <c r="C1241" s="1042"/>
      <c r="D1241" s="1440"/>
      <c r="E1241" s="2132"/>
      <c r="F1241" s="1441"/>
      <c r="G1241" s="1441"/>
      <c r="H1241" s="1441"/>
      <c r="I1241" s="197"/>
      <c r="J1241" s="198"/>
      <c r="K1241" s="1307"/>
      <c r="L1241" s="1335"/>
      <c r="M1241" s="1499"/>
      <c r="N1241" s="1701"/>
      <c r="O1241" s="1290"/>
      <c r="P1241" s="1332"/>
      <c r="Q1241" s="3391"/>
      <c r="R1241" s="2338"/>
      <c r="S1241" s="16"/>
      <c r="T1241" s="16"/>
      <c r="U1241" s="16"/>
      <c r="V1241" s="16"/>
    </row>
    <row r="1242" spans="1:22">
      <c r="A1242" s="553"/>
      <c r="B1242" s="225"/>
      <c r="C1242" s="223"/>
      <c r="D1242" s="1440"/>
      <c r="E1242" s="2132"/>
      <c r="F1242" s="1441"/>
      <c r="G1242" s="1441"/>
      <c r="H1242" s="1442"/>
      <c r="I1242" s="197"/>
      <c r="J1242" s="198"/>
      <c r="K1242" s="1307"/>
      <c r="L1242" s="1335"/>
      <c r="M1242" s="1499"/>
      <c r="N1242" s="1701"/>
      <c r="O1242" s="1290"/>
      <c r="P1242" s="1332"/>
      <c r="Q1242" s="3391"/>
      <c r="R1242" s="2338"/>
      <c r="S1242" s="17"/>
      <c r="T1242" s="17"/>
      <c r="U1242" s="16"/>
      <c r="V1242" s="16"/>
    </row>
    <row r="1243" spans="1:22">
      <c r="A1243" s="16"/>
      <c r="B1243" s="16"/>
      <c r="C1243" s="16"/>
      <c r="D1243" s="1295"/>
      <c r="E1243" s="2159"/>
      <c r="F1243" s="1295"/>
      <c r="G1243" s="1295"/>
      <c r="H1243" s="1638"/>
      <c r="I1243" s="1561"/>
      <c r="J1243" s="1561"/>
      <c r="K1243" s="1639"/>
      <c r="L1243" s="1640"/>
      <c r="M1243" s="1292"/>
      <c r="N1243" s="1292"/>
      <c r="O1243" s="1292"/>
      <c r="P1243" s="1292"/>
      <c r="Q1243" s="3391"/>
      <c r="R1243" s="3363"/>
      <c r="S1243" s="105"/>
      <c r="T1243" s="105"/>
      <c r="U1243" s="16"/>
      <c r="V1243" s="16"/>
    </row>
    <row r="1244" spans="1:22" ht="15" thickBot="1">
      <c r="A1244" s="16"/>
      <c r="B1244" s="16"/>
      <c r="C1244" s="16"/>
      <c r="D1244" s="16"/>
      <c r="E1244" s="2119"/>
      <c r="F1244" s="3"/>
      <c r="G1244" s="1295"/>
      <c r="H1244" s="13"/>
      <c r="I1244" s="1561"/>
      <c r="J1244" s="1561"/>
      <c r="K1244" s="1561"/>
      <c r="L1244" s="105"/>
      <c r="M1244" s="1641"/>
      <c r="N1244" s="1641"/>
      <c r="O1244" s="1641"/>
      <c r="P1244" s="16"/>
      <c r="Q1244" s="3387"/>
      <c r="R1244" s="3363"/>
      <c r="S1244" s="16"/>
      <c r="T1244" s="16"/>
      <c r="U1244" s="16"/>
      <c r="V1244" s="16"/>
    </row>
    <row r="1245" spans="1:22" ht="23.25" customHeight="1" thickBot="1">
      <c r="A1245" s="3375"/>
      <c r="B1245" s="3376"/>
      <c r="C1245" s="3376"/>
      <c r="D1245" s="3376"/>
      <c r="E1245" s="3376"/>
      <c r="F1245" s="3376" t="s">
        <v>1732</v>
      </c>
      <c r="G1245" s="3376"/>
      <c r="H1245" s="3376"/>
      <c r="I1245" s="3376"/>
      <c r="J1245" s="3376"/>
      <c r="K1245" s="3376"/>
      <c r="L1245" s="3376"/>
      <c r="M1245" s="3376"/>
      <c r="N1245" s="3376"/>
      <c r="O1245" s="3376"/>
      <c r="P1245" s="3376"/>
      <c r="Q1245" s="4243"/>
      <c r="R1245" s="4238"/>
      <c r="S1245" s="16"/>
      <c r="T1245" s="16"/>
      <c r="U1245" s="16"/>
      <c r="V1245" s="16"/>
    </row>
    <row r="1246" spans="1:22" ht="37.5" customHeight="1">
      <c r="A1246" s="4238"/>
      <c r="B1246" s="4238"/>
      <c r="C1246" s="4238"/>
      <c r="D1246" s="4238"/>
      <c r="E1246" s="4238"/>
      <c r="F1246" s="4238"/>
      <c r="G1246" s="4238"/>
      <c r="H1246" s="4238"/>
      <c r="I1246" s="4238"/>
      <c r="J1246" s="4238"/>
      <c r="K1246" s="4238"/>
      <c r="L1246" s="4238"/>
      <c r="M1246" s="4238"/>
      <c r="N1246" s="4238"/>
      <c r="O1246" s="4238"/>
      <c r="P1246" s="4238"/>
      <c r="Q1246" s="4241" t="s">
        <v>3427</v>
      </c>
      <c r="R1246" s="4238"/>
      <c r="S1246" s="16"/>
      <c r="T1246" s="16"/>
      <c r="U1246" s="16"/>
      <c r="V1246" s="16"/>
    </row>
    <row r="1247" spans="1:22" ht="16" thickBot="1">
      <c r="F1247" s="1"/>
      <c r="G1247" s="1"/>
      <c r="H1247" s="1"/>
      <c r="I1247" s="199"/>
      <c r="J1247" s="1"/>
      <c r="K1247" s="1"/>
      <c r="L1247" s="199"/>
      <c r="M1247" s="1"/>
      <c r="N1247" s="1"/>
      <c r="Q1247" s="4242">
        <f>SUM(Q1251:Q4549)</f>
        <v>0</v>
      </c>
      <c r="S1247" s="16"/>
      <c r="T1247" s="16"/>
      <c r="U1247" s="16"/>
      <c r="V1247" s="16"/>
    </row>
    <row r="1248" spans="1:22" s="22" customFormat="1" ht="15.5">
      <c r="E1248" s="2120"/>
      <c r="F1248" s="117"/>
      <c r="G1248" s="117"/>
      <c r="H1248" s="117"/>
      <c r="I1248" s="3336"/>
      <c r="J1248" s="117"/>
      <c r="K1248" s="117"/>
      <c r="L1248" s="3336"/>
      <c r="M1248" s="117"/>
      <c r="N1248" s="117"/>
      <c r="Q1248" s="4239"/>
      <c r="R1248" s="2344"/>
      <c r="S1248" s="16"/>
      <c r="T1248" s="16"/>
      <c r="U1248" s="16"/>
      <c r="V1248" s="16"/>
    </row>
    <row r="1249" spans="1:22">
      <c r="A1249" s="4391" t="s">
        <v>1733</v>
      </c>
      <c r="B1249" s="4392"/>
      <c r="C1249" s="4392"/>
      <c r="D1249" s="4392"/>
      <c r="E1249" s="1303" t="s">
        <v>1507</v>
      </c>
      <c r="F1249" s="1305" t="s">
        <v>1734</v>
      </c>
      <c r="G1249" s="1288"/>
      <c r="H1249" s="1288"/>
      <c r="I1249" s="1557"/>
      <c r="J1249" s="1288"/>
      <c r="K1249" s="1288"/>
      <c r="L1249" s="1557"/>
      <c r="M1249" s="1288"/>
      <c r="N1249" s="1288"/>
      <c r="O1249" s="1288"/>
      <c r="P1249" s="1283"/>
      <c r="R1249" s="1296"/>
      <c r="S1249" s="16"/>
      <c r="T1249" s="16"/>
      <c r="U1249" s="16"/>
      <c r="V1249" s="16"/>
    </row>
    <row r="1250" spans="1:22">
      <c r="A1250" s="1304"/>
      <c r="B1250" s="1304"/>
      <c r="C1250" s="1304"/>
      <c r="D1250" s="1304"/>
      <c r="E1250" s="1304"/>
      <c r="F1250" s="1296"/>
      <c r="G1250" s="1296"/>
      <c r="H1250" s="1296"/>
      <c r="I1250" s="1558"/>
      <c r="J1250" s="1296"/>
      <c r="K1250" s="1296"/>
      <c r="M1250" s="1296"/>
      <c r="N1250" s="1296"/>
      <c r="O1250" s="1296"/>
      <c r="P1250" s="1296"/>
      <c r="Q1250" s="3386"/>
      <c r="R1250" s="1296"/>
      <c r="S1250" s="16"/>
      <c r="T1250" s="16"/>
      <c r="U1250" s="16"/>
      <c r="V1250" s="16"/>
    </row>
    <row r="1251" spans="1:22" s="16" customFormat="1" ht="31">
      <c r="D1251" s="1795"/>
      <c r="E1251" s="2179"/>
      <c r="F1251" s="1795"/>
      <c r="G1251" s="1795"/>
      <c r="H1251" s="1797"/>
      <c r="I1251" s="1561"/>
      <c r="J1251" s="1561"/>
      <c r="K1251" s="1639"/>
      <c r="L1251" s="2402" t="s">
        <v>2856</v>
      </c>
      <c r="M1251" s="1292"/>
      <c r="N1251" s="1292"/>
      <c r="O1251" s="1292"/>
      <c r="P1251" s="1292"/>
      <c r="Q1251" s="3391"/>
      <c r="R1251" s="2337"/>
    </row>
    <row r="1252" spans="1:22">
      <c r="A1252" s="4396" t="s">
        <v>162</v>
      </c>
      <c r="B1252" s="4396"/>
      <c r="C1252" s="4396"/>
      <c r="D1252" s="4396"/>
      <c r="E1252" s="4396" t="s">
        <v>1549</v>
      </c>
      <c r="F1252" s="4397" t="s">
        <v>1550</v>
      </c>
      <c r="G1252" s="4399" t="s">
        <v>1566</v>
      </c>
      <c r="H1252" s="4400"/>
      <c r="I1252" s="4400"/>
      <c r="J1252" s="4400"/>
      <c r="K1252" s="4400"/>
      <c r="L1252" s="4401"/>
      <c r="M1252" s="4405" t="s">
        <v>1567</v>
      </c>
      <c r="N1252" s="4405"/>
      <c r="O1252" s="4405"/>
      <c r="P1252" s="4405"/>
      <c r="Q1252" s="3395"/>
      <c r="R1252" s="2337"/>
      <c r="S1252" s="16"/>
      <c r="T1252" s="16"/>
      <c r="U1252" s="16"/>
      <c r="V1252" s="16"/>
    </row>
    <row r="1253" spans="1:22" ht="15" thickBot="1">
      <c r="A1253" s="1324" t="s">
        <v>3766</v>
      </c>
      <c r="B1253" s="1325" t="s">
        <v>1513</v>
      </c>
      <c r="C1253" s="1326" t="s">
        <v>1573</v>
      </c>
      <c r="D1253" s="1323" t="s">
        <v>1514</v>
      </c>
      <c r="E1253" s="4396"/>
      <c r="F1253" s="4398"/>
      <c r="G1253" s="4402"/>
      <c r="H1253" s="4403"/>
      <c r="I1253" s="4403"/>
      <c r="J1253" s="4403"/>
      <c r="K1253" s="4403"/>
      <c r="L1253" s="4404"/>
      <c r="M1253" s="4405"/>
      <c r="N1253" s="4405"/>
      <c r="O1253" s="4405"/>
      <c r="P1253" s="4405"/>
      <c r="Q1253" s="3395"/>
      <c r="R1253" s="2337"/>
      <c r="S1253" s="16"/>
      <c r="T1253" s="16"/>
      <c r="U1253" s="16"/>
      <c r="V1253" s="16"/>
    </row>
    <row r="1254" spans="1:22">
      <c r="A1254" s="4374" t="s">
        <v>2786</v>
      </c>
      <c r="B1254" s="4375"/>
      <c r="C1254" s="4375"/>
      <c r="D1254" s="4376"/>
      <c r="E1254" s="4380" t="s">
        <v>1504</v>
      </c>
      <c r="F1254" s="4382" t="s">
        <v>1770</v>
      </c>
      <c r="G1254" s="4493" t="s">
        <v>294</v>
      </c>
      <c r="H1254" s="4493"/>
      <c r="I1254" s="1665" t="s">
        <v>1565</v>
      </c>
      <c r="J1254" s="3348" t="s">
        <v>1575</v>
      </c>
      <c r="K1254" s="4493" t="s">
        <v>289</v>
      </c>
      <c r="L1254" s="4493"/>
      <c r="M1254" s="4408" t="s">
        <v>3349</v>
      </c>
      <c r="N1254" s="4408"/>
      <c r="O1254" s="4408"/>
      <c r="P1254" s="4409"/>
      <c r="Q1254" s="4244" t="s">
        <v>3931</v>
      </c>
      <c r="R1254" s="2337"/>
      <c r="S1254" s="16"/>
      <c r="T1254" s="16"/>
      <c r="U1254" s="16"/>
      <c r="V1254" s="16"/>
    </row>
    <row r="1255" spans="1:22" ht="16" thickBot="1">
      <c r="A1255" s="4377"/>
      <c r="B1255" s="4378"/>
      <c r="C1255" s="4378"/>
      <c r="D1255" s="4379"/>
      <c r="E1255" s="4381"/>
      <c r="F1255" s="4383"/>
      <c r="G1255" s="4451">
        <f>IF('Seleccion proyecto HEREVEA02'!G27="Reparación de fisuras",'Seleccion proyecto HEREVEA02'!E26,0)</f>
        <v>0</v>
      </c>
      <c r="H1255" s="4452"/>
      <c r="I1255" s="3353">
        <f>IF('Seleccion proyecto HEREVEA02'!H27=0,0,IF('Seleccion proyecto HEREVEA02'!H27="1 a 30",0.3,IF('Seleccion proyecto HEREVEA02'!H27="31 a 60",0.6,IF('Seleccion proyecto HEREVEA02'!H27="61 a 100",0))))</f>
        <v>0</v>
      </c>
      <c r="J1255" s="1351">
        <f>'Seleccion proyecto HEREVEA02'!L8</f>
        <v>11100.968999999999</v>
      </c>
      <c r="K1255" s="4519">
        <f>G1255*I1255*J1255</f>
        <v>0</v>
      </c>
      <c r="L1255" s="4520"/>
      <c r="M1255" s="4360">
        <f>P1257+P1271+P1285+P1306+P1325+P1342+P1362</f>
        <v>46.790900614130599</v>
      </c>
      <c r="N1255" s="4361"/>
      <c r="O1255" s="4361"/>
      <c r="P1255" s="4362"/>
      <c r="Q1255" s="4245">
        <f>M1255*K1255</f>
        <v>0</v>
      </c>
      <c r="R1255" s="2337"/>
      <c r="S1255" s="16"/>
      <c r="T1255" s="16"/>
      <c r="U1255" s="16"/>
      <c r="V1255" s="16"/>
    </row>
    <row r="1256" spans="1:22" ht="15" customHeight="1">
      <c r="A1256" s="19" t="s">
        <v>3764</v>
      </c>
      <c r="B1256" s="4325" t="s">
        <v>1654</v>
      </c>
      <c r="C1256" s="3350"/>
      <c r="D1256" s="4327"/>
      <c r="E1256" s="4329" t="s">
        <v>1507</v>
      </c>
      <c r="F1256" s="4336" t="s">
        <v>1664</v>
      </c>
      <c r="G1256" s="4331" t="s">
        <v>1568</v>
      </c>
      <c r="H1256" s="4331" t="s">
        <v>1574</v>
      </c>
      <c r="I1256" s="1572" t="s">
        <v>1559</v>
      </c>
      <c r="J1256" s="1294" t="s">
        <v>1560</v>
      </c>
      <c r="K1256" s="1294" t="s">
        <v>1569</v>
      </c>
      <c r="L1256" s="4333" t="s">
        <v>3765</v>
      </c>
      <c r="M1256" s="4335" t="s">
        <v>1571</v>
      </c>
      <c r="N1256" s="4323" t="s">
        <v>1776</v>
      </c>
      <c r="O1256" s="3347" t="s">
        <v>1563</v>
      </c>
      <c r="P1256" s="1336" t="s">
        <v>1562</v>
      </c>
      <c r="Q1256" s="3389"/>
      <c r="R1256" s="1699" t="s">
        <v>1327</v>
      </c>
      <c r="S1256" s="16"/>
      <c r="T1256" s="16"/>
      <c r="U1256" s="16"/>
      <c r="V1256" s="16"/>
    </row>
    <row r="1257" spans="1:22">
      <c r="A1257" s="1807" t="s">
        <v>2786</v>
      </c>
      <c r="B1257" s="4326"/>
      <c r="C1257" s="3351"/>
      <c r="D1257" s="4328"/>
      <c r="E1257" s="4330"/>
      <c r="F1257" s="4336"/>
      <c r="G1257" s="4332"/>
      <c r="H1257" s="4332"/>
      <c r="I1257" s="1345">
        <v>57.02</v>
      </c>
      <c r="J1257" s="1307">
        <v>1E-3</v>
      </c>
      <c r="K1257" s="1307">
        <f>I1257*J1257</f>
        <v>5.7020000000000001E-2</v>
      </c>
      <c r="L1257" s="4334"/>
      <c r="M1257" s="4335"/>
      <c r="N1257" s="4324"/>
      <c r="O1257" s="1298">
        <f>SUM(O1259:O1268)</f>
        <v>11.479840000000001</v>
      </c>
      <c r="P1257" s="1337">
        <f>O1257*K1257</f>
        <v>0.65458047680000009</v>
      </c>
      <c r="Q1257" s="3390"/>
      <c r="R1257" s="1721">
        <f>SUM(P1259:P1268)</f>
        <v>0.65458047680000009</v>
      </c>
      <c r="S1257" s="16"/>
      <c r="T1257" s="16"/>
      <c r="U1257" s="16"/>
      <c r="V1257" s="16"/>
    </row>
    <row r="1258" spans="1:22">
      <c r="A1258" s="1320"/>
      <c r="B1258" s="22"/>
      <c r="C1258" s="1327"/>
      <c r="D1258" s="1367"/>
      <c r="E1258" s="2121"/>
      <c r="F1258" s="1389" t="s">
        <v>1</v>
      </c>
      <c r="G1258" s="1389"/>
      <c r="H1258" s="1369"/>
      <c r="I1258" s="1409"/>
      <c r="J1258" s="1390"/>
      <c r="K1258" s="1391"/>
      <c r="L1258" s="1559"/>
      <c r="M1258" s="1747"/>
      <c r="N1258" s="1369"/>
      <c r="O1258" s="1369"/>
      <c r="P1258" s="1392"/>
      <c r="Q1258" s="3395"/>
      <c r="R1258" s="2337"/>
      <c r="S1258" s="16"/>
      <c r="T1258" s="16"/>
      <c r="U1258" s="16"/>
      <c r="V1258" s="16"/>
    </row>
    <row r="1259" spans="1:22">
      <c r="A1259" s="1042"/>
      <c r="B1259" s="22"/>
      <c r="C1259" s="1042"/>
      <c r="D1259" s="1428"/>
      <c r="E1259" s="2122"/>
      <c r="F1259" s="1371"/>
      <c r="G1259" s="1368"/>
      <c r="H1259" s="1591"/>
      <c r="I1259" s="197" t="str">
        <f t="shared" ref="I1259:I1261" ca="1" si="79">IF(COUNT(H1259:O1259)=0,"",(SUM(H1259:O1259)/COUNT(H1259:O1259)))</f>
        <v/>
      </c>
      <c r="J1259" s="198"/>
      <c r="K1259" s="1307" t="str">
        <f t="shared" ref="K1259:K1261" ca="1" si="80">IF(COUNT(I1259)=0,"",(I1259*J1259))</f>
        <v/>
      </c>
      <c r="L1259" s="1335"/>
      <c r="M1259" s="1748"/>
      <c r="N1259" s="1399"/>
      <c r="O1259" s="1290"/>
      <c r="P1259" s="1332"/>
      <c r="Q1259" s="3391"/>
      <c r="R1259" s="2337"/>
      <c r="S1259" s="16"/>
      <c r="T1259" s="16"/>
      <c r="U1259" s="16"/>
      <c r="V1259" s="16"/>
    </row>
    <row r="1260" spans="1:22">
      <c r="A1260" s="1042"/>
      <c r="B1260" s="22"/>
      <c r="C1260" s="1042"/>
      <c r="D1260" s="1428"/>
      <c r="E1260" s="2122"/>
      <c r="F1260" s="1371"/>
      <c r="G1260" s="1368"/>
      <c r="H1260" s="1591"/>
      <c r="I1260" s="197" t="str">
        <f t="shared" ca="1" si="79"/>
        <v/>
      </c>
      <c r="J1260" s="198"/>
      <c r="K1260" s="1307" t="str">
        <f t="shared" ca="1" si="80"/>
        <v/>
      </c>
      <c r="L1260" s="1335"/>
      <c r="M1260" s="1748"/>
      <c r="N1260" s="1399"/>
      <c r="O1260" s="1290"/>
      <c r="P1260" s="1332"/>
      <c r="Q1260" s="3391"/>
      <c r="R1260" s="2337"/>
      <c r="S1260" s="16"/>
      <c r="T1260" s="16"/>
      <c r="U1260" s="16"/>
      <c r="V1260" s="16"/>
    </row>
    <row r="1261" spans="1:22">
      <c r="A1261" s="1042"/>
      <c r="B1261" s="22"/>
      <c r="C1261" s="1042"/>
      <c r="D1261" s="1428"/>
      <c r="E1261" s="2122"/>
      <c r="F1261" s="1371"/>
      <c r="G1261" s="1368"/>
      <c r="H1261" s="1591"/>
      <c r="I1261" s="197" t="str">
        <f t="shared" ca="1" si="79"/>
        <v/>
      </c>
      <c r="J1261" s="198"/>
      <c r="K1261" s="1307" t="str">
        <f t="shared" ca="1" si="80"/>
        <v/>
      </c>
      <c r="L1261" s="1335"/>
      <c r="M1261" s="1748"/>
      <c r="N1261" s="1399"/>
      <c r="O1261" s="1290"/>
      <c r="P1261" s="1332"/>
      <c r="Q1261" s="3391"/>
      <c r="R1261" s="2337"/>
      <c r="S1261" s="16"/>
      <c r="T1261" s="16"/>
      <c r="U1261" s="16"/>
      <c r="V1261" s="16"/>
    </row>
    <row r="1262" spans="1:22">
      <c r="A1262" s="1042"/>
      <c r="B1262" s="22"/>
      <c r="C1262" s="1042"/>
      <c r="D1262" s="1359"/>
      <c r="E1262" s="1858"/>
      <c r="F1262" s="1360" t="s">
        <v>2</v>
      </c>
      <c r="G1262" s="1360"/>
      <c r="H1262" s="1362"/>
      <c r="I1262" s="1380"/>
      <c r="J1262" s="1381"/>
      <c r="K1262" s="1381"/>
      <c r="L1262" s="1458"/>
      <c r="M1262" s="1362"/>
      <c r="N1262" s="1362"/>
      <c r="O1262" s="1362"/>
      <c r="P1262" s="1359"/>
      <c r="Q1262" s="3387"/>
      <c r="R1262" s="2337"/>
      <c r="S1262" s="16"/>
      <c r="T1262" s="16"/>
      <c r="U1262" s="16"/>
      <c r="V1262" s="16"/>
    </row>
    <row r="1263" spans="1:22">
      <c r="A1263" s="1321"/>
      <c r="B1263" s="1295"/>
      <c r="C1263" s="1321"/>
      <c r="D1263" s="1363" t="s">
        <v>1067</v>
      </c>
      <c r="E1263" s="2125" t="s">
        <v>1508</v>
      </c>
      <c r="F1263" s="1385" t="s">
        <v>1512</v>
      </c>
      <c r="G1263" s="1386">
        <v>0.628</v>
      </c>
      <c r="H1263" s="1386"/>
      <c r="I1263" s="1299"/>
      <c r="J1263" s="1300"/>
      <c r="K1263" s="1307">
        <f>G1263*$K$1257</f>
        <v>3.5808560000000003E-2</v>
      </c>
      <c r="L1263" s="1335">
        <f>K1263*$K$1255</f>
        <v>0</v>
      </c>
      <c r="M1263" s="1302">
        <v>18.28</v>
      </c>
      <c r="N1263" s="1700"/>
      <c r="O1263" s="1290">
        <f>G1263*M1263</f>
        <v>11.479840000000001</v>
      </c>
      <c r="P1263" s="1332">
        <f>M1263*K1263</f>
        <v>0.65458047680000009</v>
      </c>
      <c r="Q1263" s="3391"/>
      <c r="R1263" s="2337"/>
      <c r="S1263" s="16"/>
      <c r="T1263" s="16"/>
      <c r="U1263" s="16"/>
      <c r="V1263" s="16"/>
    </row>
    <row r="1264" spans="1:22">
      <c r="A1264" s="1320"/>
      <c r="B1264" s="22"/>
      <c r="C1264" s="1320"/>
      <c r="D1264" s="1363"/>
      <c r="E1264" s="2125"/>
      <c r="F1264" s="1385"/>
      <c r="G1264" s="1385"/>
      <c r="H1264" s="1386"/>
      <c r="I1264" s="1299"/>
      <c r="J1264" s="1300"/>
      <c r="K1264" s="1307" t="str">
        <f>IF(COUNT(I1264)=0,"",(I1264*J1264))</f>
        <v/>
      </c>
      <c r="L1264" s="1335"/>
      <c r="M1264" s="1302"/>
      <c r="N1264" s="1700"/>
      <c r="O1264" s="1290"/>
      <c r="P1264" s="1332"/>
      <c r="Q1264" s="3391"/>
      <c r="R1264" s="2337"/>
      <c r="S1264" s="16"/>
      <c r="T1264" s="16"/>
      <c r="U1264" s="16"/>
      <c r="V1264" s="16"/>
    </row>
    <row r="1265" spans="1:22">
      <c r="A1265" s="1320"/>
      <c r="B1265" s="22"/>
      <c r="C1265" s="1320"/>
      <c r="D1265" s="1363"/>
      <c r="E1265" s="2125"/>
      <c r="F1265" s="1385"/>
      <c r="G1265" s="1385"/>
      <c r="H1265" s="1386"/>
      <c r="I1265" s="1299"/>
      <c r="J1265" s="1300"/>
      <c r="K1265" s="1307" t="str">
        <f>IF(COUNT(I1265)=0,"",(I1265*J1265))</f>
        <v/>
      </c>
      <c r="L1265" s="1335"/>
      <c r="M1265" s="1302"/>
      <c r="N1265" s="1700"/>
      <c r="O1265" s="1290"/>
      <c r="P1265" s="1332"/>
      <c r="Q1265" s="3391"/>
      <c r="R1265" s="2337"/>
      <c r="S1265" s="16"/>
      <c r="T1265" s="16"/>
      <c r="U1265" s="16"/>
      <c r="V1265" s="16"/>
    </row>
    <row r="1266" spans="1:22">
      <c r="A1266" s="1320"/>
      <c r="B1266" s="22"/>
      <c r="C1266" s="1320"/>
      <c r="D1266" s="1373"/>
      <c r="E1266" s="2123"/>
      <c r="F1266" s="1374" t="s">
        <v>3</v>
      </c>
      <c r="G1266" s="1375"/>
      <c r="H1266" s="1376"/>
      <c r="I1266" s="1382"/>
      <c r="J1266" s="1383"/>
      <c r="K1266" s="1383" t="str">
        <f>IF(COUNT(I1266)=0,"",(I1266*J1266))</f>
        <v/>
      </c>
      <c r="L1266" s="1413"/>
      <c r="M1266" s="1376"/>
      <c r="N1266" s="1376"/>
      <c r="O1266" s="1376"/>
      <c r="P1266" s="1373"/>
      <c r="Q1266" s="3387"/>
      <c r="R1266" s="2337"/>
      <c r="S1266" s="16"/>
      <c r="T1266" s="16"/>
      <c r="U1266" s="16"/>
      <c r="V1266" s="16"/>
    </row>
    <row r="1267" spans="1:22">
      <c r="A1267" s="1321"/>
      <c r="B1267" s="1295"/>
      <c r="C1267" s="1321"/>
      <c r="D1267" s="1377"/>
      <c r="E1267" s="2124"/>
      <c r="F1267" s="1378"/>
      <c r="G1267" s="1378"/>
      <c r="H1267" s="1379"/>
      <c r="I1267" s="1299"/>
      <c r="J1267" s="1300"/>
      <c r="K1267" s="1307"/>
      <c r="L1267" s="1335"/>
      <c r="M1267" s="1302"/>
      <c r="N1267" s="1700"/>
      <c r="O1267" s="1290"/>
      <c r="P1267" s="1332"/>
      <c r="Q1267" s="3391"/>
      <c r="R1267" s="2337"/>
      <c r="S1267" s="16"/>
      <c r="T1267" s="16"/>
      <c r="U1267" s="16"/>
      <c r="V1267" s="16"/>
    </row>
    <row r="1268" spans="1:22">
      <c r="A1268" s="1321"/>
      <c r="B1268" s="1295"/>
      <c r="C1268" s="1321"/>
      <c r="D1268" s="1377"/>
      <c r="E1268" s="2124"/>
      <c r="F1268" s="1378"/>
      <c r="G1268" s="1378"/>
      <c r="H1268" s="1379"/>
      <c r="I1268" s="1299"/>
      <c r="J1268" s="1300"/>
      <c r="K1268" s="1307"/>
      <c r="L1268" s="1335"/>
      <c r="M1268" s="1302"/>
      <c r="N1268" s="1700"/>
      <c r="O1268" s="1290"/>
      <c r="P1268" s="1333"/>
      <c r="Q1268" s="3391"/>
      <c r="R1268" s="2337"/>
      <c r="S1268" s="16"/>
      <c r="T1268" s="16"/>
      <c r="U1268" s="16"/>
      <c r="V1268" s="16"/>
    </row>
    <row r="1269" spans="1:22">
      <c r="A1269" s="1042"/>
      <c r="B1269" s="22"/>
      <c r="C1269" s="1042"/>
      <c r="D1269" s="1440"/>
      <c r="E1269" s="2132"/>
      <c r="F1269" s="1441"/>
      <c r="G1269" s="1441"/>
      <c r="H1269" s="1442"/>
      <c r="I1269" s="197"/>
      <c r="J1269" s="198"/>
      <c r="K1269" s="1307"/>
      <c r="L1269" s="1335"/>
      <c r="M1269" s="1499"/>
      <c r="N1269" s="1701"/>
      <c r="O1269" s="1290"/>
      <c r="P1269" s="1332"/>
      <c r="Q1269" s="3391"/>
      <c r="R1269" s="2337"/>
      <c r="S1269" s="16"/>
      <c r="T1269" s="16"/>
      <c r="U1269" s="16"/>
      <c r="V1269" s="16"/>
    </row>
    <row r="1270" spans="1:22" ht="15" customHeight="1">
      <c r="A1270" s="1660" t="s">
        <v>3764</v>
      </c>
      <c r="B1270" s="4325" t="s">
        <v>1735</v>
      </c>
      <c r="C1270" s="3350"/>
      <c r="D1270" s="4327" t="s">
        <v>1551</v>
      </c>
      <c r="E1270" s="4329" t="s">
        <v>1507</v>
      </c>
      <c r="F1270" s="4336" t="s">
        <v>1771</v>
      </c>
      <c r="G1270" s="4331" t="s">
        <v>1568</v>
      </c>
      <c r="H1270" s="4331" t="s">
        <v>1574</v>
      </c>
      <c r="I1270" s="1572" t="s">
        <v>1559</v>
      </c>
      <c r="J1270" s="1294" t="s">
        <v>1560</v>
      </c>
      <c r="K1270" s="1294" t="s">
        <v>1561</v>
      </c>
      <c r="L1270" s="4333" t="s">
        <v>3765</v>
      </c>
      <c r="M1270" s="4335" t="s">
        <v>1571</v>
      </c>
      <c r="N1270" s="4323" t="s">
        <v>1776</v>
      </c>
      <c r="O1270" s="3347" t="s">
        <v>1563</v>
      </c>
      <c r="P1270" s="1336" t="s">
        <v>1562</v>
      </c>
      <c r="Q1270" s="3389"/>
      <c r="R1270" s="1699" t="s">
        <v>1327</v>
      </c>
      <c r="S1270" s="16"/>
      <c r="T1270" s="16"/>
      <c r="U1270" s="16"/>
      <c r="V1270" s="16"/>
    </row>
    <row r="1271" spans="1:22">
      <c r="A1271" s="1042" t="s">
        <v>2786</v>
      </c>
      <c r="B1271" s="4326"/>
      <c r="C1271" s="3354"/>
      <c r="D1271" s="4328"/>
      <c r="E1271" s="4330"/>
      <c r="F1271" s="4336"/>
      <c r="G1271" s="4332"/>
      <c r="H1271" s="4332"/>
      <c r="I1271" s="1350">
        <v>349.27</v>
      </c>
      <c r="J1271" s="1307">
        <v>1E-3</v>
      </c>
      <c r="K1271" s="1307">
        <f>I1271*J1271</f>
        <v>0.34926999999999997</v>
      </c>
      <c r="L1271" s="4334"/>
      <c r="M1271" s="4335"/>
      <c r="N1271" s="4324"/>
      <c r="O1271" s="1298">
        <f>SUM(O1273:O1283)</f>
        <v>9.1300000000000008</v>
      </c>
      <c r="P1271" s="1337">
        <f>O1271*K1271</f>
        <v>3.1888350999999999</v>
      </c>
      <c r="Q1271" s="3390"/>
      <c r="R1271" s="1721">
        <f>SUM(P1273:P1283)</f>
        <v>3.1903194974999995</v>
      </c>
      <c r="S1271" s="16"/>
      <c r="T1271" s="16"/>
      <c r="U1271" s="16"/>
      <c r="V1271" s="16"/>
    </row>
    <row r="1272" spans="1:22">
      <c r="A1272" s="1042"/>
      <c r="B1272" s="22"/>
      <c r="C1272" s="18"/>
      <c r="D1272" s="1400"/>
      <c r="E1272" s="2121"/>
      <c r="F1272" s="1368" t="s">
        <v>1</v>
      </c>
      <c r="G1272" s="1368"/>
      <c r="H1272" s="1423"/>
      <c r="I1272" s="1667"/>
      <c r="J1272" s="1424"/>
      <c r="K1272" s="1425"/>
      <c r="L1272" s="1560"/>
      <c r="M1272" s="1426"/>
      <c r="N1272" s="1426"/>
      <c r="O1272" s="1427"/>
      <c r="P1272" s="1427"/>
      <c r="Q1272" s="3397"/>
      <c r="R1272" s="2337"/>
      <c r="S1272" s="16"/>
      <c r="T1272" s="16"/>
      <c r="U1272" s="16"/>
      <c r="V1272" s="16"/>
    </row>
    <row r="1273" spans="1:22">
      <c r="A1273" s="1042"/>
      <c r="B1273" s="22"/>
      <c r="C1273" s="1320"/>
      <c r="D1273" s="1370"/>
      <c r="E1273" s="2122"/>
      <c r="F1273" s="1370"/>
      <c r="G1273" s="1389"/>
      <c r="H1273" s="1399"/>
      <c r="I1273" s="198"/>
      <c r="J1273" s="198"/>
      <c r="K1273" s="1306"/>
      <c r="L1273" s="1646"/>
      <c r="M1273" s="1399"/>
      <c r="N1273" s="1399"/>
      <c r="O1273" s="1291"/>
      <c r="P1273" s="1332"/>
      <c r="Q1273" s="3391"/>
      <c r="R1273" s="2337"/>
      <c r="S1273" s="16"/>
      <c r="T1273" s="16"/>
      <c r="U1273" s="16"/>
      <c r="V1273" s="16"/>
    </row>
    <row r="1274" spans="1:22">
      <c r="A1274" s="1042"/>
      <c r="B1274" s="22"/>
      <c r="C1274" s="1320"/>
      <c r="D1274" s="1370"/>
      <c r="E1274" s="2122"/>
      <c r="F1274" s="1370"/>
      <c r="G1274" s="1389"/>
      <c r="H1274" s="1399"/>
      <c r="I1274" s="198"/>
      <c r="J1274" s="198"/>
      <c r="K1274" s="1306"/>
      <c r="L1274" s="1646"/>
      <c r="M1274" s="1399"/>
      <c r="N1274" s="1399"/>
      <c r="O1274" s="1291"/>
      <c r="P1274" s="1332"/>
      <c r="Q1274" s="3391"/>
      <c r="R1274" s="2337"/>
      <c r="S1274" s="16"/>
      <c r="T1274" s="16"/>
      <c r="U1274" s="16"/>
      <c r="V1274" s="16"/>
    </row>
    <row r="1275" spans="1:22">
      <c r="A1275" s="1042"/>
      <c r="B1275" s="22"/>
      <c r="C1275" s="1320"/>
      <c r="D1275" s="1370"/>
      <c r="E1275" s="2122"/>
      <c r="F1275" s="1370"/>
      <c r="G1275" s="1389"/>
      <c r="H1275" s="1399"/>
      <c r="I1275" s="198"/>
      <c r="J1275" s="198"/>
      <c r="K1275" s="1306"/>
      <c r="L1275" s="1646"/>
      <c r="M1275" s="1399"/>
      <c r="N1275" s="1399"/>
      <c r="O1275" s="1291"/>
      <c r="P1275" s="1332"/>
      <c r="Q1275" s="3391"/>
      <c r="R1275" s="2337"/>
      <c r="S1275" s="16"/>
      <c r="T1275" s="16"/>
      <c r="U1275" s="16"/>
      <c r="V1275" s="16"/>
    </row>
    <row r="1276" spans="1:22">
      <c r="A1276" s="1042"/>
      <c r="B1276" s="22"/>
      <c r="C1276" s="1042"/>
      <c r="D1276" s="1359"/>
      <c r="E1276" s="1858"/>
      <c r="F1276" s="1360" t="s">
        <v>2</v>
      </c>
      <c r="G1276" s="1360"/>
      <c r="H1276" s="1362"/>
      <c r="I1276" s="1380"/>
      <c r="J1276" s="1381"/>
      <c r="K1276" s="1381"/>
      <c r="L1276" s="1458"/>
      <c r="M1276" s="1362"/>
      <c r="N1276" s="1362"/>
      <c r="O1276" s="1362"/>
      <c r="P1276" s="1359"/>
      <c r="Q1276" s="3387"/>
      <c r="R1276" s="2337"/>
      <c r="S1276" s="16"/>
      <c r="T1276" s="16"/>
      <c r="U1276" s="16"/>
      <c r="V1276" s="16"/>
    </row>
    <row r="1277" spans="1:22">
      <c r="A1277" s="1042"/>
      <c r="B1277" s="22"/>
      <c r="C1277" s="1042"/>
      <c r="D1277" s="1404" t="s">
        <v>1121</v>
      </c>
      <c r="E1277" s="1858" t="s">
        <v>1508</v>
      </c>
      <c r="F1277" s="1385" t="s">
        <v>1512</v>
      </c>
      <c r="G1277" s="1644">
        <v>0.47499999999999998</v>
      </c>
      <c r="H1277" s="1644"/>
      <c r="I1277" s="1380">
        <f ca="1">IF(COUNT(I1277:O1277)=0,"",(SUM(I1277:O1277)/COUNT(I1277:O1277)))</f>
        <v>80.28021730370574</v>
      </c>
      <c r="J1277" s="1381"/>
      <c r="K1277" s="1307">
        <f>G1277*$K$1271</f>
        <v>0.16590324999999997</v>
      </c>
      <c r="L1277" s="1335">
        <f>K1277*$K$1255</f>
        <v>0</v>
      </c>
      <c r="M1277" s="1362">
        <v>19.23</v>
      </c>
      <c r="N1277" s="1712"/>
      <c r="O1277" s="1290">
        <f>ROUND(G1277*M1277,2)</f>
        <v>9.1300000000000008</v>
      </c>
      <c r="P1277" s="1332">
        <f>M1277*K1277</f>
        <v>3.1903194974999995</v>
      </c>
      <c r="Q1277" s="3391"/>
      <c r="R1277" s="2337"/>
      <c r="S1277" s="16"/>
      <c r="T1277" s="16"/>
      <c r="U1277" s="16"/>
      <c r="V1277" s="16"/>
    </row>
    <row r="1278" spans="1:22">
      <c r="A1278" s="1042"/>
      <c r="B1278" s="22"/>
      <c r="C1278" s="1042"/>
      <c r="D1278" s="1404"/>
      <c r="E1278" s="1858"/>
      <c r="F1278" s="1571"/>
      <c r="G1278" s="1407"/>
      <c r="H1278" s="1644"/>
      <c r="I1278" s="1380"/>
      <c r="J1278" s="1381"/>
      <c r="K1278" s="1307"/>
      <c r="L1278" s="1335"/>
      <c r="M1278" s="1362"/>
      <c r="N1278" s="1712"/>
      <c r="O1278" s="1290"/>
      <c r="P1278" s="1332"/>
      <c r="Q1278" s="3391"/>
      <c r="R1278" s="2337"/>
      <c r="S1278" s="16"/>
      <c r="T1278" s="16"/>
      <c r="U1278" s="16"/>
      <c r="V1278" s="16"/>
    </row>
    <row r="1279" spans="1:22">
      <c r="A1279" s="1042"/>
      <c r="B1279" s="22"/>
      <c r="C1279" s="1042"/>
      <c r="D1279" s="1404"/>
      <c r="E1279" s="1858"/>
      <c r="F1279" s="1571"/>
      <c r="G1279" s="1407"/>
      <c r="H1279" s="1644"/>
      <c r="I1279" s="1380"/>
      <c r="J1279" s="1381"/>
      <c r="K1279" s="1307"/>
      <c r="L1279" s="1335"/>
      <c r="M1279" s="1362"/>
      <c r="N1279" s="1712"/>
      <c r="O1279" s="1290"/>
      <c r="P1279" s="1332"/>
      <c r="Q1279" s="3391"/>
      <c r="R1279" s="2337"/>
      <c r="S1279" s="16"/>
      <c r="T1279" s="16"/>
      <c r="U1279" s="16"/>
      <c r="V1279" s="16"/>
    </row>
    <row r="1280" spans="1:22">
      <c r="A1280" s="1042"/>
      <c r="B1280" s="22"/>
      <c r="C1280" s="1042"/>
      <c r="D1280" s="1411"/>
      <c r="E1280" s="2123"/>
      <c r="F1280" s="1374" t="s">
        <v>3</v>
      </c>
      <c r="G1280" s="1374"/>
      <c r="H1280" s="1376"/>
      <c r="I1280" s="1382"/>
      <c r="J1280" s="1383"/>
      <c r="K1280" s="1373"/>
      <c r="L1280" s="1413"/>
      <c r="M1280" s="1376"/>
      <c r="N1280" s="1432"/>
      <c r="O1280" s="1432"/>
      <c r="P1280" s="1373"/>
      <c r="Q1280" s="3387"/>
      <c r="R1280" s="2337"/>
      <c r="S1280" s="16"/>
      <c r="T1280" s="16"/>
      <c r="U1280" s="16"/>
      <c r="V1280" s="16"/>
    </row>
    <row r="1281" spans="1:22">
      <c r="A1281" s="1042"/>
      <c r="B1281" s="22"/>
      <c r="C1281" s="1042"/>
      <c r="D1281" s="1440"/>
      <c r="E1281" s="2132"/>
      <c r="F1281" s="1441"/>
      <c r="G1281" s="1441"/>
      <c r="H1281" s="1442"/>
      <c r="I1281" s="197" t="str">
        <f ca="1">IF(COUNT(H1281:O1281)=0,"",(SUM(H1281:O1281)/COUNT(H1281:O1281)))</f>
        <v/>
      </c>
      <c r="J1281" s="198"/>
      <c r="K1281" s="1307"/>
      <c r="L1281" s="1335"/>
      <c r="M1281" s="1499"/>
      <c r="N1281" s="1701"/>
      <c r="O1281" s="1290"/>
      <c r="P1281" s="1332"/>
      <c r="Q1281" s="3391"/>
      <c r="R1281" s="2337"/>
      <c r="S1281" s="16"/>
      <c r="T1281" s="16"/>
      <c r="U1281" s="16"/>
      <c r="V1281" s="16"/>
    </row>
    <row r="1282" spans="1:22">
      <c r="A1282" s="1042"/>
      <c r="B1282" s="22"/>
      <c r="C1282" s="1042"/>
      <c r="D1282" s="1440"/>
      <c r="E1282" s="2132"/>
      <c r="F1282" s="1441"/>
      <c r="G1282" s="1441"/>
      <c r="H1282" s="1442"/>
      <c r="I1282" s="197" t="str">
        <f ca="1">IF(COUNT(H1282:O1282)=0,"",(SUM(H1282:O1282)/COUNT(H1282:O1282)))</f>
        <v/>
      </c>
      <c r="J1282" s="198"/>
      <c r="K1282" s="1307"/>
      <c r="L1282" s="1335"/>
      <c r="M1282" s="1499"/>
      <c r="N1282" s="1701"/>
      <c r="O1282" s="1290"/>
      <c r="P1282" s="1332"/>
      <c r="Q1282" s="3391"/>
      <c r="R1282" s="2337"/>
      <c r="S1282" s="16"/>
      <c r="T1282" s="16"/>
      <c r="U1282" s="16"/>
      <c r="V1282" s="16"/>
    </row>
    <row r="1283" spans="1:22">
      <c r="A1283" s="1042"/>
      <c r="B1283" s="22"/>
      <c r="C1283" s="223"/>
      <c r="D1283" s="1440"/>
      <c r="E1283" s="2132"/>
      <c r="F1283" s="1441"/>
      <c r="G1283" s="1441"/>
      <c r="H1283" s="1442"/>
      <c r="I1283" s="197" t="str">
        <f ca="1">IF(COUNT(H1283:O1283)=0,"",(SUM(H1283:O1283)/COUNT(H1283:O1283)))</f>
        <v/>
      </c>
      <c r="J1283" s="198"/>
      <c r="K1283" s="1307"/>
      <c r="L1283" s="1335"/>
      <c r="M1283" s="1499"/>
      <c r="N1283" s="1701"/>
      <c r="O1283" s="1290"/>
      <c r="P1283" s="1332"/>
      <c r="Q1283" s="3391"/>
      <c r="R1283" s="2337"/>
      <c r="S1283" s="16"/>
      <c r="T1283" s="16"/>
      <c r="U1283" s="16"/>
      <c r="V1283" s="16"/>
    </row>
    <row r="1284" spans="1:22" ht="15" customHeight="1">
      <c r="A1284" s="1660" t="s">
        <v>3764</v>
      </c>
      <c r="B1284" s="4367" t="s">
        <v>1739</v>
      </c>
      <c r="C1284" s="3354"/>
      <c r="D1284" s="4327"/>
      <c r="E1284" s="4329" t="s">
        <v>1527</v>
      </c>
      <c r="F1284" s="4336" t="s">
        <v>1774</v>
      </c>
      <c r="G1284" s="4331" t="s">
        <v>1568</v>
      </c>
      <c r="H1284" s="4331" t="s">
        <v>1574</v>
      </c>
      <c r="I1284" s="1572" t="s">
        <v>1559</v>
      </c>
      <c r="J1284" s="1294" t="s">
        <v>1560</v>
      </c>
      <c r="K1284" s="1294" t="s">
        <v>1561</v>
      </c>
      <c r="L1284" s="4333" t="s">
        <v>3765</v>
      </c>
      <c r="M1284" s="4335" t="s">
        <v>1571</v>
      </c>
      <c r="N1284" s="4323" t="s">
        <v>1776</v>
      </c>
      <c r="O1284" s="3347" t="s">
        <v>1563</v>
      </c>
      <c r="P1284" s="1336" t="s">
        <v>1562</v>
      </c>
      <c r="Q1284" s="3389"/>
      <c r="R1284" s="1699" t="s">
        <v>1327</v>
      </c>
      <c r="S1284" s="16"/>
      <c r="T1284" s="16"/>
      <c r="U1284" s="16"/>
      <c r="V1284" s="16"/>
    </row>
    <row r="1285" spans="1:22">
      <c r="A1285" s="1042" t="s">
        <v>2786</v>
      </c>
      <c r="B1285" s="4369"/>
      <c r="C1285" s="3351"/>
      <c r="D1285" s="4328"/>
      <c r="E1285" s="4330"/>
      <c r="F1285" s="4336"/>
      <c r="G1285" s="4332"/>
      <c r="H1285" s="4332"/>
      <c r="I1285" s="1345">
        <v>1231.2</v>
      </c>
      <c r="J1285" s="1307">
        <v>1E-3</v>
      </c>
      <c r="K1285" s="1307">
        <f>I1285*J1285</f>
        <v>1.2312000000000001</v>
      </c>
      <c r="L1285" s="4334"/>
      <c r="M1285" s="4335"/>
      <c r="N1285" s="4324"/>
      <c r="O1285" s="1298">
        <f>O1287+O1288+O1292+O1299</f>
        <v>23.396839499999999</v>
      </c>
      <c r="P1285" s="1337">
        <f>O1285*K1285</f>
        <v>28.8061887924</v>
      </c>
      <c r="Q1285" s="3390"/>
      <c r="R1285" s="1721">
        <f>P1287+P1288+P1292+P1299</f>
        <v>28.809882392400002</v>
      </c>
      <c r="S1285" s="16"/>
      <c r="T1285" s="16"/>
      <c r="U1285" s="16"/>
      <c r="V1285" s="16"/>
    </row>
    <row r="1286" spans="1:22">
      <c r="A1286" s="553"/>
      <c r="B1286" s="1327"/>
      <c r="C1286" s="18"/>
      <c r="D1286" s="1400"/>
      <c r="E1286" s="2121"/>
      <c r="F1286" s="1368" t="s">
        <v>1</v>
      </c>
      <c r="G1286" s="1368"/>
      <c r="H1286" s="1369"/>
      <c r="I1286" s="1391"/>
      <c r="J1286" s="1369"/>
      <c r="K1286" s="1367"/>
      <c r="L1286" s="1554"/>
      <c r="M1286" s="1369"/>
      <c r="N1286" s="1369"/>
      <c r="O1286" s="1369"/>
      <c r="P1286" s="1367"/>
      <c r="Q1286" s="3387"/>
      <c r="R1286" s="2337"/>
      <c r="S1286" s="16"/>
      <c r="T1286" s="16"/>
      <c r="U1286" s="16"/>
      <c r="V1286" s="16"/>
    </row>
    <row r="1287" spans="1:22">
      <c r="A1287" s="553"/>
      <c r="B1287" s="1320"/>
      <c r="C1287" s="1042"/>
      <c r="D1287" s="1433" t="s">
        <v>1777</v>
      </c>
      <c r="E1287" s="2133" t="s">
        <v>1507</v>
      </c>
      <c r="F1287" s="1434" t="s">
        <v>1778</v>
      </c>
      <c r="G1287" s="1751">
        <v>1.1000000000000001</v>
      </c>
      <c r="H1287" s="1751"/>
      <c r="I1287" s="197"/>
      <c r="J1287" s="198"/>
      <c r="K1287" s="1307">
        <f>G1287*$K$1285</f>
        <v>1.3543200000000002</v>
      </c>
      <c r="L1287" s="1335">
        <f>K1287*$K$1255</f>
        <v>0</v>
      </c>
      <c r="M1287" s="1499">
        <v>1.53</v>
      </c>
      <c r="N1287" s="1701"/>
      <c r="O1287" s="1290">
        <f>ROUND(G1287*M1287,2)</f>
        <v>1.68</v>
      </c>
      <c r="P1287" s="1332">
        <f>M1287*K1287</f>
        <v>2.0721096000000001</v>
      </c>
      <c r="Q1287" s="3391"/>
      <c r="R1287" s="2337"/>
      <c r="S1287" s="16"/>
      <c r="T1287" s="16"/>
      <c r="U1287" s="16"/>
      <c r="V1287" s="16"/>
    </row>
    <row r="1288" spans="1:22">
      <c r="A1288" s="553"/>
      <c r="B1288" s="1320"/>
      <c r="C1288" s="1356" t="s">
        <v>1128</v>
      </c>
      <c r="D1288" s="1311"/>
      <c r="E1288" s="2169" t="s">
        <v>1517</v>
      </c>
      <c r="F1288" s="1749" t="s">
        <v>1695</v>
      </c>
      <c r="G1288" s="1758"/>
      <c r="H1288" s="1758">
        <v>0.01</v>
      </c>
      <c r="I1288" s="1750"/>
      <c r="J1288" s="1388"/>
      <c r="K1288" s="1510"/>
      <c r="L1288" s="1445"/>
      <c r="M1288" s="1447"/>
      <c r="N1288" s="1447">
        <f>SUM(N1289:N1291)</f>
        <v>104.27969999999999</v>
      </c>
      <c r="O1288" s="1447">
        <f>SUM(O1289:O1291)</f>
        <v>1.042797</v>
      </c>
      <c r="P1288" s="1446">
        <f>SUM(P1289:P1291)</f>
        <v>1.2838916664000002</v>
      </c>
      <c r="Q1288" s="3391"/>
      <c r="R1288" s="2337"/>
      <c r="S1288" s="16"/>
      <c r="T1288" s="16"/>
      <c r="U1288" s="16"/>
      <c r="V1288" s="16"/>
    </row>
    <row r="1289" spans="1:22">
      <c r="A1289" s="553"/>
      <c r="B1289" s="1320"/>
      <c r="C1289" s="1042"/>
      <c r="D1289" s="1752" t="s">
        <v>1779</v>
      </c>
      <c r="E1289" s="1852" t="s">
        <v>1577</v>
      </c>
      <c r="F1289" s="1752" t="s">
        <v>1780</v>
      </c>
      <c r="G1289" s="1453">
        <v>0.876</v>
      </c>
      <c r="H1289" s="1453">
        <f>$H$1288*G1289</f>
        <v>8.7600000000000004E-3</v>
      </c>
      <c r="I1289" s="198"/>
      <c r="J1289" s="198"/>
      <c r="K1289" s="1307">
        <f>H1289*$K$1285</f>
        <v>1.0785312000000002E-2</v>
      </c>
      <c r="L1289" s="1335">
        <f>K1289*$K$1255</f>
        <v>0</v>
      </c>
      <c r="M1289" s="1759">
        <v>56.05</v>
      </c>
      <c r="N1289" s="1718">
        <f>G1289*M1289</f>
        <v>49.099799999999995</v>
      </c>
      <c r="O1289" s="1719">
        <f>H1289*M1289</f>
        <v>0.49099799999999999</v>
      </c>
      <c r="P1289" s="1720">
        <f>M1289*K1289</f>
        <v>0.60451673760000002</v>
      </c>
      <c r="Q1289" s="3396"/>
      <c r="R1289" s="2337"/>
      <c r="S1289" s="16"/>
      <c r="T1289" s="16"/>
      <c r="U1289" s="16"/>
      <c r="V1289" s="16"/>
    </row>
    <row r="1290" spans="1:22">
      <c r="A1290" s="553"/>
      <c r="B1290" s="1320"/>
      <c r="C1290" s="1042"/>
      <c r="D1290" s="1752" t="s">
        <v>1069</v>
      </c>
      <c r="E1290" s="1852" t="s">
        <v>1517</v>
      </c>
      <c r="F1290" s="1752" t="s">
        <v>1578</v>
      </c>
      <c r="G1290" s="1453">
        <v>0.61799999999999999</v>
      </c>
      <c r="H1290" s="1453">
        <f>$H$1288*G1290</f>
        <v>6.1799999999999997E-3</v>
      </c>
      <c r="I1290" s="198"/>
      <c r="J1290" s="198"/>
      <c r="K1290" s="1307">
        <f>H1290*$K$1285</f>
        <v>7.608816E-3</v>
      </c>
      <c r="L1290" s="1335">
        <f>K1290*$K$1255</f>
        <v>0</v>
      </c>
      <c r="M1290" s="1759">
        <v>0.55000000000000004</v>
      </c>
      <c r="N1290" s="1718">
        <f>G1290*M1290</f>
        <v>0.33990000000000004</v>
      </c>
      <c r="O1290" s="1719">
        <f>H1290*M1290</f>
        <v>3.3990000000000001E-3</v>
      </c>
      <c r="P1290" s="1720">
        <f>M1290*K1290</f>
        <v>4.1848488E-3</v>
      </c>
      <c r="Q1290" s="3396"/>
      <c r="R1290" s="2337"/>
      <c r="S1290" s="16"/>
      <c r="T1290" s="16"/>
      <c r="U1290" s="16"/>
      <c r="V1290" s="16"/>
    </row>
    <row r="1291" spans="1:22">
      <c r="A1291" s="553"/>
      <c r="B1291" s="1320"/>
      <c r="C1291" s="1042"/>
      <c r="D1291" s="1754" t="s">
        <v>1067</v>
      </c>
      <c r="E1291" s="1853" t="s">
        <v>1508</v>
      </c>
      <c r="F1291" s="1754" t="s">
        <v>1512</v>
      </c>
      <c r="G1291" s="1454">
        <v>3</v>
      </c>
      <c r="H1291" s="1454">
        <f>$H$1288*G1291</f>
        <v>0.03</v>
      </c>
      <c r="I1291" s="198"/>
      <c r="J1291" s="198"/>
      <c r="K1291" s="1307">
        <f>H1291*$K$1285</f>
        <v>3.6936000000000004E-2</v>
      </c>
      <c r="L1291" s="1335">
        <f>K1291*$K$1255</f>
        <v>0</v>
      </c>
      <c r="M1291" s="1759">
        <v>18.28</v>
      </c>
      <c r="N1291" s="1718">
        <f>G1291*M1291</f>
        <v>54.84</v>
      </c>
      <c r="O1291" s="1719">
        <f>H1291*M1291</f>
        <v>0.5484</v>
      </c>
      <c r="P1291" s="1720">
        <f>M1291*K1291</f>
        <v>0.67519008000000014</v>
      </c>
      <c r="Q1291" s="3396"/>
      <c r="R1291" s="2337"/>
      <c r="S1291" s="16"/>
      <c r="T1291" s="16"/>
      <c r="U1291" s="16"/>
      <c r="V1291" s="16"/>
    </row>
    <row r="1292" spans="1:22">
      <c r="A1292" s="553"/>
      <c r="B1292" s="1320"/>
      <c r="C1292" s="1356" t="s">
        <v>1152</v>
      </c>
      <c r="D1292" s="1311"/>
      <c r="E1292" s="1854" t="s">
        <v>1517</v>
      </c>
      <c r="F1292" s="1749" t="s">
        <v>1696</v>
      </c>
      <c r="G1292" s="1688"/>
      <c r="H1292" s="1688">
        <v>5.0000000000000001E-3</v>
      </c>
      <c r="I1292" s="1388"/>
      <c r="J1292" s="1510"/>
      <c r="K1292" s="1445"/>
      <c r="L1292" s="1447"/>
      <c r="M1292" s="1447"/>
      <c r="N1292" s="1447">
        <f>SUM(N1293:N1295)</f>
        <v>108.04650000000001</v>
      </c>
      <c r="O1292" s="1447">
        <f>SUM(O1293:O1295)</f>
        <v>0.54023250000000012</v>
      </c>
      <c r="P1292" s="1446">
        <f>SUM(P1293:P1295)</f>
        <v>0.66513425400000015</v>
      </c>
      <c r="Q1292" s="3391"/>
      <c r="R1292" s="2337"/>
      <c r="S1292" s="16"/>
      <c r="T1292" s="16"/>
      <c r="U1292" s="16"/>
      <c r="V1292" s="16"/>
    </row>
    <row r="1293" spans="1:22">
      <c r="A1293" s="553"/>
      <c r="B1293" s="1320"/>
      <c r="C1293" s="18"/>
      <c r="D1293" s="1756" t="s">
        <v>1781</v>
      </c>
      <c r="E1293" s="1852" t="s">
        <v>1577</v>
      </c>
      <c r="F1293" s="1752" t="s">
        <v>1782</v>
      </c>
      <c r="G1293" s="1753">
        <v>0.876</v>
      </c>
      <c r="H1293" s="1453">
        <f>$H$1292*G1293</f>
        <v>4.3800000000000002E-3</v>
      </c>
      <c r="I1293" s="198"/>
      <c r="J1293" s="198"/>
      <c r="K1293" s="1307">
        <f>H1293*$K$1285</f>
        <v>5.3926560000000009E-3</v>
      </c>
      <c r="L1293" s="1335">
        <f>K1293*$K$1255</f>
        <v>0</v>
      </c>
      <c r="M1293" s="1723">
        <v>60.35</v>
      </c>
      <c r="N1293" s="1718">
        <f>G1293*M1293</f>
        <v>52.866599999999998</v>
      </c>
      <c r="O1293" s="1719">
        <f>H1293*M1293</f>
        <v>0.26433300000000004</v>
      </c>
      <c r="P1293" s="1720">
        <f>M1293*K1293</f>
        <v>0.32544678960000006</v>
      </c>
      <c r="Q1293" s="3396"/>
      <c r="R1293" s="2337"/>
      <c r="S1293" s="16"/>
      <c r="T1293" s="16"/>
      <c r="U1293" s="16"/>
      <c r="V1293" s="16"/>
    </row>
    <row r="1294" spans="1:22">
      <c r="A1294" s="553"/>
      <c r="B1294" s="1320"/>
      <c r="C1294" s="1042"/>
      <c r="D1294" s="1756" t="s">
        <v>1069</v>
      </c>
      <c r="E1294" s="1852" t="s">
        <v>1517</v>
      </c>
      <c r="F1294" s="1752" t="s">
        <v>1578</v>
      </c>
      <c r="G1294" s="1753">
        <v>0.61799999999999999</v>
      </c>
      <c r="H1294" s="1453">
        <f>$H$1292*G1294</f>
        <v>3.0899999999999999E-3</v>
      </c>
      <c r="I1294" s="198"/>
      <c r="J1294" s="198"/>
      <c r="K1294" s="1307">
        <f>H1294*$K$1285</f>
        <v>3.804408E-3</v>
      </c>
      <c r="L1294" s="1335">
        <f>K1294*$K$1255</f>
        <v>0</v>
      </c>
      <c r="M1294" s="1723">
        <v>0.55000000000000004</v>
      </c>
      <c r="N1294" s="1718">
        <f>G1294*M1294</f>
        <v>0.33990000000000004</v>
      </c>
      <c r="O1294" s="1719">
        <f>H1294*M1294</f>
        <v>1.6995000000000001E-3</v>
      </c>
      <c r="P1294" s="1720">
        <f>M1294*K1294</f>
        <v>2.0924244E-3</v>
      </c>
      <c r="Q1294" s="3396"/>
      <c r="R1294" s="2337"/>
      <c r="S1294" s="16"/>
      <c r="T1294" s="16"/>
      <c r="U1294" s="16"/>
      <c r="V1294" s="16"/>
    </row>
    <row r="1295" spans="1:22">
      <c r="A1295" s="553"/>
      <c r="B1295" s="1320"/>
      <c r="C1295" s="1042"/>
      <c r="D1295" s="1757" t="s">
        <v>1067</v>
      </c>
      <c r="E1295" s="1853" t="s">
        <v>1508</v>
      </c>
      <c r="F1295" s="1754" t="s">
        <v>1512</v>
      </c>
      <c r="G1295" s="1755">
        <v>3</v>
      </c>
      <c r="H1295" s="1454">
        <f>$H$1292*G1295</f>
        <v>1.4999999999999999E-2</v>
      </c>
      <c r="I1295" s="198"/>
      <c r="J1295" s="198"/>
      <c r="K1295" s="1307">
        <f>H1295*$K$1285</f>
        <v>1.8468000000000002E-2</v>
      </c>
      <c r="L1295" s="1335">
        <f>K1295*$K$1255</f>
        <v>0</v>
      </c>
      <c r="M1295" s="1723">
        <v>18.28</v>
      </c>
      <c r="N1295" s="1718">
        <f>G1295*M1295</f>
        <v>54.84</v>
      </c>
      <c r="O1295" s="1719">
        <f>H1295*M1295</f>
        <v>0.2742</v>
      </c>
      <c r="P1295" s="1720">
        <f>M1295*K1295</f>
        <v>0.33759504000000007</v>
      </c>
      <c r="Q1295" s="3396"/>
      <c r="R1295" s="2337"/>
      <c r="S1295" s="16"/>
      <c r="T1295" s="16"/>
      <c r="U1295" s="16"/>
      <c r="V1295" s="16"/>
    </row>
    <row r="1296" spans="1:22">
      <c r="B1296" s="1320"/>
      <c r="C1296" s="1042"/>
      <c r="D1296" s="1756"/>
      <c r="E1296" s="1852"/>
      <c r="F1296" s="1752"/>
      <c r="G1296" s="1753"/>
      <c r="H1296" s="1453"/>
      <c r="I1296" s="198"/>
      <c r="J1296" s="198"/>
      <c r="K1296" s="1307"/>
      <c r="L1296" s="1335"/>
      <c r="M1296" s="1717"/>
      <c r="N1296" s="1718"/>
      <c r="O1296" s="1719"/>
      <c r="P1296" s="1720"/>
      <c r="Q1296" s="3396"/>
    </row>
    <row r="1297" spans="1:22">
      <c r="A1297" s="553"/>
      <c r="B1297" s="1320"/>
      <c r="C1297" s="1320"/>
      <c r="D1297" s="1756"/>
      <c r="E1297" s="1852"/>
      <c r="F1297" s="1752"/>
      <c r="G1297" s="1753"/>
      <c r="H1297" s="1453"/>
      <c r="I1297" s="198"/>
      <c r="J1297" s="198"/>
      <c r="K1297" s="1307"/>
      <c r="L1297" s="1335"/>
      <c r="M1297" s="1717"/>
      <c r="N1297" s="1718"/>
      <c r="O1297" s="1719"/>
      <c r="P1297" s="1720"/>
      <c r="Q1297" s="3396"/>
      <c r="R1297" s="2337"/>
      <c r="S1297" s="16"/>
      <c r="T1297" s="16"/>
      <c r="U1297" s="16"/>
      <c r="V1297" s="16"/>
    </row>
    <row r="1298" spans="1:22">
      <c r="A1298" s="553"/>
      <c r="B1298" s="1320"/>
      <c r="C1298" s="1042"/>
      <c r="D1298" s="1404"/>
      <c r="E1298" s="1858"/>
      <c r="F1298" s="1360" t="s">
        <v>2</v>
      </c>
      <c r="G1298" s="1360"/>
      <c r="H1298" s="1362"/>
      <c r="I1298" s="1380"/>
      <c r="J1298" s="1381"/>
      <c r="K1298" s="1359"/>
      <c r="L1298" s="1359"/>
      <c r="M1298" s="1502"/>
      <c r="N1298" s="1702"/>
      <c r="O1298" s="1429"/>
      <c r="P1298" s="1359"/>
      <c r="Q1298" s="3387"/>
      <c r="R1298" s="2337"/>
      <c r="S1298" s="16"/>
      <c r="T1298" s="16"/>
      <c r="U1298" s="16"/>
      <c r="V1298" s="16"/>
    </row>
    <row r="1299" spans="1:22">
      <c r="A1299" s="553"/>
      <c r="B1299" s="1320"/>
      <c r="C1299" s="1161"/>
      <c r="D1299" s="1437" t="s">
        <v>1153</v>
      </c>
      <c r="E1299" s="2134" t="s">
        <v>1508</v>
      </c>
      <c r="F1299" s="1438" t="s">
        <v>1783</v>
      </c>
      <c r="G1299" s="1439">
        <v>1.0469999999999999</v>
      </c>
      <c r="H1299" s="1439"/>
      <c r="I1299" s="197"/>
      <c r="J1299" s="198"/>
      <c r="K1299" s="1307">
        <f>G1299*$K$1285</f>
        <v>1.2890664000000001</v>
      </c>
      <c r="L1299" s="1335">
        <f>K1299*$K$1255</f>
        <v>0</v>
      </c>
      <c r="M1299" s="1499">
        <v>19.23</v>
      </c>
      <c r="N1299" s="1701"/>
      <c r="O1299" s="1290">
        <f>(G1299*M1299)</f>
        <v>20.13381</v>
      </c>
      <c r="P1299" s="1332">
        <f>M1299*K1299</f>
        <v>24.788746872000001</v>
      </c>
      <c r="Q1299" s="3391"/>
      <c r="R1299" s="2337"/>
      <c r="S1299" s="16"/>
      <c r="T1299" s="16"/>
      <c r="U1299" s="16"/>
      <c r="V1299" s="16"/>
    </row>
    <row r="1300" spans="1:22">
      <c r="A1300" s="553"/>
      <c r="B1300" s="1320"/>
      <c r="C1300" s="1042"/>
      <c r="D1300" s="1402"/>
      <c r="E1300" s="1857"/>
      <c r="F1300" s="1430"/>
      <c r="G1300" s="1362"/>
      <c r="H1300" s="1362"/>
      <c r="I1300" s="197"/>
      <c r="J1300" s="198"/>
      <c r="K1300" s="1307"/>
      <c r="L1300" s="1335"/>
      <c r="M1300" s="1499"/>
      <c r="N1300" s="1701"/>
      <c r="O1300" s="1290"/>
      <c r="P1300" s="1332"/>
      <c r="Q1300" s="3391"/>
      <c r="R1300" s="2337"/>
      <c r="S1300" s="16"/>
      <c r="T1300" s="16"/>
      <c r="U1300" s="16"/>
      <c r="V1300" s="16"/>
    </row>
    <row r="1301" spans="1:22">
      <c r="A1301" s="553"/>
      <c r="B1301" s="1320"/>
      <c r="C1301" s="1042"/>
      <c r="D1301" s="1411"/>
      <c r="E1301" s="2123"/>
      <c r="F1301" s="1374" t="s">
        <v>3</v>
      </c>
      <c r="G1301" s="1374"/>
      <c r="H1301" s="1376"/>
      <c r="I1301" s="1382"/>
      <c r="J1301" s="1383"/>
      <c r="K1301" s="1373"/>
      <c r="L1301" s="1373"/>
      <c r="M1301" s="1505"/>
      <c r="N1301" s="1704"/>
      <c r="O1301" s="1432"/>
      <c r="P1301" s="1373"/>
      <c r="Q1301" s="3387"/>
      <c r="R1301" s="2337"/>
      <c r="S1301" s="16"/>
      <c r="T1301" s="16"/>
      <c r="U1301" s="16"/>
      <c r="V1301" s="16"/>
    </row>
    <row r="1302" spans="1:22">
      <c r="A1302" s="553"/>
      <c r="B1302" s="1320"/>
      <c r="C1302" s="1042"/>
      <c r="D1302" s="1440"/>
      <c r="E1302" s="2132"/>
      <c r="F1302" s="1441"/>
      <c r="G1302" s="1441"/>
      <c r="H1302" s="1442"/>
      <c r="I1302" s="197"/>
      <c r="J1302" s="198"/>
      <c r="K1302" s="1307"/>
      <c r="L1302" s="1335"/>
      <c r="M1302" s="1499"/>
      <c r="N1302" s="1701"/>
      <c r="O1302" s="1290"/>
      <c r="P1302" s="1332"/>
      <c r="Q1302" s="3391"/>
      <c r="R1302" s="2337"/>
      <c r="S1302" s="16"/>
      <c r="T1302" s="16"/>
      <c r="U1302" s="16"/>
      <c r="V1302" s="16"/>
    </row>
    <row r="1303" spans="1:22">
      <c r="A1303" s="553"/>
      <c r="B1303" s="1320"/>
      <c r="C1303" s="1042"/>
      <c r="D1303" s="1440"/>
      <c r="E1303" s="2132"/>
      <c r="F1303" s="1441"/>
      <c r="G1303" s="1441"/>
      <c r="H1303" s="1442"/>
      <c r="I1303" s="197" t="str">
        <f ca="1">IF(COUNT(H1303:O1303)=0,"",(SUM(H1303:O1303)/COUNT(H1303:O1303)))</f>
        <v/>
      </c>
      <c r="J1303" s="198"/>
      <c r="K1303" s="1307"/>
      <c r="L1303" s="1335"/>
      <c r="M1303" s="1499"/>
      <c r="N1303" s="1701"/>
      <c r="O1303" s="1290"/>
      <c r="P1303" s="1332"/>
      <c r="Q1303" s="3391"/>
      <c r="R1303" s="2337"/>
      <c r="S1303" s="16"/>
      <c r="T1303" s="16"/>
      <c r="U1303" s="16"/>
      <c r="V1303" s="16"/>
    </row>
    <row r="1304" spans="1:22">
      <c r="A1304" s="553"/>
      <c r="B1304" s="225"/>
      <c r="C1304" s="223"/>
      <c r="D1304" s="1440"/>
      <c r="E1304" s="2132"/>
      <c r="F1304" s="1441"/>
      <c r="G1304" s="1441"/>
      <c r="H1304" s="1442"/>
      <c r="I1304" s="197" t="str">
        <f ca="1">IF(COUNT(H1304:O1304)=0,"",(SUM(H1304:O1304)/COUNT(H1304:O1304)))</f>
        <v/>
      </c>
      <c r="J1304" s="198"/>
      <c r="K1304" s="1307"/>
      <c r="L1304" s="1335"/>
      <c r="M1304" s="1499"/>
      <c r="N1304" s="1701"/>
      <c r="O1304" s="1290"/>
      <c r="P1304" s="1332"/>
      <c r="Q1304" s="3391"/>
      <c r="R1304" s="2337"/>
      <c r="S1304" s="16"/>
      <c r="T1304" s="16"/>
      <c r="U1304" s="16"/>
      <c r="V1304" s="16"/>
    </row>
    <row r="1305" spans="1:22" ht="15" customHeight="1">
      <c r="A1305" s="1660" t="s">
        <v>3764</v>
      </c>
      <c r="B1305" s="4367" t="s">
        <v>1659</v>
      </c>
      <c r="C1305" s="3350"/>
      <c r="D1305" s="4327"/>
      <c r="E1305" s="4329" t="s">
        <v>1507</v>
      </c>
      <c r="F1305" s="4338" t="s">
        <v>1685</v>
      </c>
      <c r="G1305" s="4331" t="s">
        <v>1568</v>
      </c>
      <c r="H1305" s="4331" t="s">
        <v>1574</v>
      </c>
      <c r="I1305" s="1572" t="s">
        <v>1559</v>
      </c>
      <c r="J1305" s="1294" t="s">
        <v>1560</v>
      </c>
      <c r="K1305" s="1294" t="s">
        <v>1561</v>
      </c>
      <c r="L1305" s="4333" t="s">
        <v>3765</v>
      </c>
      <c r="M1305" s="4335" t="s">
        <v>1571</v>
      </c>
      <c r="N1305" s="4323" t="s">
        <v>1776</v>
      </c>
      <c r="O1305" s="3347" t="s">
        <v>1563</v>
      </c>
      <c r="P1305" s="1336" t="s">
        <v>1562</v>
      </c>
      <c r="Q1305" s="3389"/>
      <c r="R1305" s="1699" t="s">
        <v>1327</v>
      </c>
      <c r="S1305" s="16"/>
      <c r="T1305" s="16"/>
      <c r="U1305" s="16"/>
      <c r="V1305" s="16"/>
    </row>
    <row r="1306" spans="1:22">
      <c r="A1306" s="1042" t="s">
        <v>2786</v>
      </c>
      <c r="B1306" s="4369"/>
      <c r="C1306" s="3351"/>
      <c r="D1306" s="4328"/>
      <c r="E1306" s="4330"/>
      <c r="F1306" s="4338"/>
      <c r="G1306" s="4332"/>
      <c r="H1306" s="4332"/>
      <c r="I1306" s="1345">
        <v>57.02</v>
      </c>
      <c r="J1306" s="1307">
        <v>1E-3</v>
      </c>
      <c r="K1306" s="1307">
        <f>I1306*J1306</f>
        <v>5.7020000000000001E-2</v>
      </c>
      <c r="L1306" s="4334"/>
      <c r="M1306" s="4335"/>
      <c r="N1306" s="4324"/>
      <c r="O1306" s="1298">
        <f>O1308+O1316</f>
        <v>13.241683030000001</v>
      </c>
      <c r="P1306" s="1337">
        <f>O1306*K1306</f>
        <v>0.75504076637060002</v>
      </c>
      <c r="Q1306" s="3390"/>
      <c r="R1306" s="1721">
        <f>P1308+P1316</f>
        <v>0.75504076637060002</v>
      </c>
      <c r="S1306" s="16"/>
      <c r="T1306" s="16"/>
      <c r="U1306" s="16"/>
      <c r="V1306" s="16"/>
    </row>
    <row r="1307" spans="1:22">
      <c r="A1307" s="1042"/>
      <c r="B1307" s="18"/>
      <c r="D1307" s="1449"/>
      <c r="E1307" s="2121"/>
      <c r="F1307" s="1368" t="s">
        <v>1</v>
      </c>
      <c r="G1307" s="1368"/>
      <c r="H1307" s="1369"/>
      <c r="I1307" s="1409"/>
      <c r="J1307" s="1391"/>
      <c r="K1307" s="1367"/>
      <c r="L1307" s="1554"/>
      <c r="M1307" s="1369"/>
      <c r="N1307" s="1369"/>
      <c r="O1307" s="1369"/>
      <c r="P1307" s="1367"/>
      <c r="Q1307" s="3387"/>
      <c r="R1307" s="2337"/>
      <c r="S1307" s="16"/>
      <c r="T1307" s="16"/>
      <c r="U1307" s="16"/>
      <c r="V1307" s="16"/>
    </row>
    <row r="1308" spans="1:22">
      <c r="A1308" s="1042"/>
      <c r="B1308" s="1042"/>
      <c r="C1308" s="1356" t="s">
        <v>1127</v>
      </c>
      <c r="D1308" s="1311"/>
      <c r="E1308" s="2137" t="s">
        <v>1517</v>
      </c>
      <c r="F1308" s="1319" t="s">
        <v>1519</v>
      </c>
      <c r="G1308" s="1353"/>
      <c r="H1308" s="1353">
        <v>2.1000000000000001E-2</v>
      </c>
      <c r="I1308" s="1444"/>
      <c r="J1308" s="1388"/>
      <c r="K1308" s="1445"/>
      <c r="L1308" s="1457"/>
      <c r="M1308" s="1447"/>
      <c r="N1308" s="1447">
        <f>SUM(N1309:N1312)</f>
        <v>50.044430000000006</v>
      </c>
      <c r="O1308" s="1447">
        <f>SUM(O1309:O1312)</f>
        <v>1.0509330300000002</v>
      </c>
      <c r="P1308" s="1446">
        <f>SUM(P1309:P1312)</f>
        <v>5.9924201370600005E-2</v>
      </c>
      <c r="Q1308" s="3391"/>
      <c r="R1308" s="2337"/>
      <c r="S1308" s="16"/>
      <c r="T1308" s="16"/>
      <c r="U1308" s="16"/>
      <c r="V1308" s="16"/>
    </row>
    <row r="1309" spans="1:22">
      <c r="A1309" s="1042"/>
      <c r="B1309" s="1042"/>
      <c r="C1309" s="1327"/>
      <c r="D1309" s="1400" t="s">
        <v>1069</v>
      </c>
      <c r="E1309" s="1856" t="s">
        <v>1517</v>
      </c>
      <c r="F1309" s="1397" t="s">
        <v>1578</v>
      </c>
      <c r="G1309" s="1416">
        <v>0.26300000000000001</v>
      </c>
      <c r="H1309" s="1399">
        <f>$H$1308*G1309</f>
        <v>5.523000000000001E-3</v>
      </c>
      <c r="I1309" s="197"/>
      <c r="J1309" s="198"/>
      <c r="K1309" s="1732">
        <f>H1309*$K$1306</f>
        <v>3.1492146000000008E-4</v>
      </c>
      <c r="L1309" s="1335">
        <f>K1309*$K$1255</f>
        <v>0</v>
      </c>
      <c r="M1309" s="1302">
        <v>0.55000000000000004</v>
      </c>
      <c r="N1309" s="1718">
        <f>G1309*M1309</f>
        <v>0.14465000000000003</v>
      </c>
      <c r="O1309" s="1290">
        <f>H1309*M1309</f>
        <v>3.0376500000000007E-3</v>
      </c>
      <c r="P1309" s="1332">
        <f>M1309*K1309</f>
        <v>1.7320680300000007E-4</v>
      </c>
      <c r="Q1309" s="3391"/>
      <c r="R1309" s="2337"/>
      <c r="S1309" s="16"/>
      <c r="T1309" s="16"/>
      <c r="U1309" s="16"/>
      <c r="V1309" s="16"/>
    </row>
    <row r="1310" spans="1:22">
      <c r="A1310" s="1042"/>
      <c r="B1310" s="1042"/>
      <c r="C1310" s="1320"/>
      <c r="D1310" s="1400" t="s">
        <v>1394</v>
      </c>
      <c r="E1310" s="1856" t="s">
        <v>1577</v>
      </c>
      <c r="F1310" s="1397" t="s">
        <v>1579</v>
      </c>
      <c r="G1310" s="1416">
        <v>0.25800000000000001</v>
      </c>
      <c r="H1310" s="1399">
        <f>$H$1308*G1310</f>
        <v>5.4180000000000001E-3</v>
      </c>
      <c r="I1310" s="197"/>
      <c r="J1310" s="198"/>
      <c r="K1310" s="1732">
        <f>H1310*$K$1306</f>
        <v>3.0893435999999999E-4</v>
      </c>
      <c r="L1310" s="1335">
        <f>K1310*$K$1255</f>
        <v>0</v>
      </c>
      <c r="M1310" s="1302">
        <v>92.54</v>
      </c>
      <c r="N1310" s="1718">
        <f>G1310*M1310</f>
        <v>23.875320000000002</v>
      </c>
      <c r="O1310" s="1290">
        <f>H1310*M1310</f>
        <v>0.50138172000000003</v>
      </c>
      <c r="P1310" s="1332">
        <f>M1310*K1310</f>
        <v>2.85887856744E-2</v>
      </c>
      <c r="Q1310" s="3391"/>
      <c r="R1310" s="2337"/>
      <c r="S1310" s="16"/>
      <c r="T1310" s="16"/>
      <c r="U1310" s="16"/>
      <c r="V1310" s="16"/>
    </row>
    <row r="1311" spans="1:22">
      <c r="A1311" s="1042"/>
      <c r="B1311" s="1042"/>
      <c r="C1311" s="1320"/>
      <c r="D1311" s="1400" t="s">
        <v>1576</v>
      </c>
      <c r="E1311" s="1856" t="s">
        <v>1517</v>
      </c>
      <c r="F1311" s="1397" t="s">
        <v>1580</v>
      </c>
      <c r="G1311" s="1416">
        <v>1.1020000000000001</v>
      </c>
      <c r="H1311" s="1399">
        <f>$H$1308*G1311</f>
        <v>2.3142000000000003E-2</v>
      </c>
      <c r="I1311" s="197"/>
      <c r="J1311" s="198"/>
      <c r="K1311" s="1307">
        <f>H1311*$K$1306</f>
        <v>1.3195568400000003E-3</v>
      </c>
      <c r="L1311" s="1335">
        <f>K1311*$K$1255</f>
        <v>0</v>
      </c>
      <c r="M1311" s="1302">
        <v>6.53</v>
      </c>
      <c r="N1311" s="1718">
        <f>G1311*M1311</f>
        <v>7.196060000000001</v>
      </c>
      <c r="O1311" s="1290">
        <f>H1311*M1311</f>
        <v>0.15111726000000003</v>
      </c>
      <c r="P1311" s="1332">
        <f>M1311*K1311</f>
        <v>8.6167061652000013E-3</v>
      </c>
      <c r="Q1311" s="3391"/>
      <c r="R1311" s="2337"/>
      <c r="S1311" s="16"/>
      <c r="T1311" s="16"/>
      <c r="U1311" s="16"/>
      <c r="V1311" s="16"/>
    </row>
    <row r="1312" spans="1:22">
      <c r="A1312" s="1042"/>
      <c r="B1312" s="1042"/>
      <c r="C1312" s="1320"/>
      <c r="D1312" s="1404" t="s">
        <v>1067</v>
      </c>
      <c r="E1312" s="1857" t="s">
        <v>1508</v>
      </c>
      <c r="F1312" s="1406" t="s">
        <v>1512</v>
      </c>
      <c r="G1312" s="1407">
        <v>1.03</v>
      </c>
      <c r="H1312" s="1408">
        <f>$H$1308*G1312</f>
        <v>2.1630000000000003E-2</v>
      </c>
      <c r="I1312" s="197"/>
      <c r="J1312" s="198"/>
      <c r="K1312" s="1307">
        <f>H1312*$K$1306</f>
        <v>1.2333426000000003E-3</v>
      </c>
      <c r="L1312" s="1335">
        <f>K1312*$K$1255</f>
        <v>0</v>
      </c>
      <c r="M1312" s="1302">
        <v>18.28</v>
      </c>
      <c r="N1312" s="1718">
        <f>G1312*M1312</f>
        <v>18.828400000000002</v>
      </c>
      <c r="O1312" s="1290">
        <f>H1312*M1312</f>
        <v>0.39539640000000009</v>
      </c>
      <c r="P1312" s="1332">
        <f>M1312*K1312</f>
        <v>2.2545502728000006E-2</v>
      </c>
      <c r="Q1312" s="3391"/>
      <c r="R1312" s="2337"/>
      <c r="S1312" s="16"/>
      <c r="T1312" s="16"/>
      <c r="U1312" s="16"/>
      <c r="V1312" s="16"/>
    </row>
    <row r="1313" spans="1:22">
      <c r="A1313" s="1042"/>
      <c r="B1313" s="1042"/>
      <c r="C1313" s="1320"/>
      <c r="D1313" s="1400"/>
      <c r="E1313" s="1856"/>
      <c r="F1313" s="1397"/>
      <c r="G1313" s="1416"/>
      <c r="H1313" s="1399"/>
      <c r="I1313" s="197"/>
      <c r="J1313" s="198"/>
      <c r="K1313" s="1307"/>
      <c r="L1313" s="1335"/>
      <c r="M1313" s="1302"/>
      <c r="N1313" s="1718"/>
      <c r="O1313" s="1290"/>
      <c r="P1313" s="1332"/>
      <c r="Q1313" s="3391"/>
      <c r="R1313" s="2337"/>
      <c r="S1313" s="16"/>
      <c r="T1313" s="16"/>
      <c r="U1313" s="16"/>
      <c r="V1313" s="16"/>
    </row>
    <row r="1314" spans="1:22">
      <c r="A1314" s="1042"/>
      <c r="B1314" s="1042"/>
      <c r="C1314" s="1320"/>
      <c r="D1314" s="1400"/>
      <c r="E1314" s="1856"/>
      <c r="F1314" s="1397"/>
      <c r="G1314" s="1416"/>
      <c r="H1314" s="1399"/>
      <c r="I1314" s="197"/>
      <c r="J1314" s="198"/>
      <c r="K1314" s="1307"/>
      <c r="L1314" s="1335"/>
      <c r="M1314" s="1302"/>
      <c r="N1314" s="1718"/>
      <c r="O1314" s="1290"/>
      <c r="P1314" s="1332"/>
      <c r="Q1314" s="3391"/>
      <c r="R1314" s="2337"/>
      <c r="S1314" s="16"/>
      <c r="T1314" s="16"/>
      <c r="U1314" s="16"/>
      <c r="V1314" s="16"/>
    </row>
    <row r="1315" spans="1:22">
      <c r="A1315" s="1042"/>
      <c r="B1315" s="1042"/>
      <c r="C1315" s="88"/>
      <c r="D1315" s="1359"/>
      <c r="E1315" s="1858"/>
      <c r="F1315" s="1360" t="s">
        <v>2</v>
      </c>
      <c r="G1315" s="1360"/>
      <c r="H1315" s="1362"/>
      <c r="I1315" s="1380" t="str">
        <f ca="1">IF(COUNT(H1315:O1315)=0,"",(SUM(H1315:O1315)/COUNT(H1315:O1315)))</f>
        <v/>
      </c>
      <c r="J1315" s="1381"/>
      <c r="K1315" s="1359" t="str">
        <f>IF(COUNT(#REF!)=0,"",IF(#REF!="","",(#REF!*#REF!)))</f>
        <v/>
      </c>
      <c r="L1315" s="1458"/>
      <c r="M1315" s="1362"/>
      <c r="N1315" s="1362"/>
      <c r="O1315" s="1362"/>
      <c r="P1315" s="1458"/>
      <c r="Q1315" s="3387"/>
      <c r="R1315" s="2337"/>
      <c r="S1315" s="16"/>
      <c r="T1315" s="16"/>
      <c r="U1315" s="16"/>
      <c r="V1315" s="16"/>
    </row>
    <row r="1316" spans="1:22">
      <c r="A1316" s="1042"/>
      <c r="B1316" s="1042"/>
      <c r="C1316" s="1652" t="s">
        <v>1755</v>
      </c>
      <c r="D1316" s="1461"/>
      <c r="E1316" s="2163" t="s">
        <v>1508</v>
      </c>
      <c r="F1316" s="1648" t="s">
        <v>1524</v>
      </c>
      <c r="G1316" s="1353"/>
      <c r="H1316" s="1344">
        <v>0.32500000000000001</v>
      </c>
      <c r="I1316" s="1444"/>
      <c r="J1316" s="1388"/>
      <c r="K1316" s="1445"/>
      <c r="L1316" s="1457"/>
      <c r="M1316" s="1447"/>
      <c r="N1316" s="1447">
        <f>SUM(N1317:N1318)</f>
        <v>37.510000000000005</v>
      </c>
      <c r="O1316" s="1447">
        <f>SUM(O1317:O1318)</f>
        <v>12.190750000000001</v>
      </c>
      <c r="P1316" s="1447">
        <f>SUM(P1317:P1318)</f>
        <v>0.69511656499999996</v>
      </c>
      <c r="Q1316" s="3391"/>
      <c r="R1316" s="2337"/>
      <c r="S1316" s="16"/>
      <c r="T1316" s="16"/>
      <c r="U1316" s="16"/>
      <c r="V1316" s="16"/>
    </row>
    <row r="1317" spans="1:22">
      <c r="A1317" s="1042"/>
      <c r="B1317" s="1042"/>
      <c r="C1317" s="88"/>
      <c r="D1317" s="1430" t="s">
        <v>1067</v>
      </c>
      <c r="E1317" s="1857" t="s">
        <v>1508</v>
      </c>
      <c r="F1317" s="1403" t="s">
        <v>5</v>
      </c>
      <c r="G1317" s="1431">
        <v>1</v>
      </c>
      <c r="H1317" s="1362">
        <f>H1316*G1317</f>
        <v>0.32500000000000001</v>
      </c>
      <c r="I1317" s="1286"/>
      <c r="J1317" s="198"/>
      <c r="K1317" s="1307">
        <f>H1317*$K$1306</f>
        <v>1.8531499999999999E-2</v>
      </c>
      <c r="L1317" s="1335">
        <f>K1317*$K$1255</f>
        <v>0</v>
      </c>
      <c r="M1317" s="1302">
        <v>18.28</v>
      </c>
      <c r="N1317" s="1718">
        <f>G1317*M1317</f>
        <v>18.28</v>
      </c>
      <c r="O1317" s="1290">
        <f>H1317*M1317</f>
        <v>5.9410000000000007</v>
      </c>
      <c r="P1317" s="1332">
        <f>M1317*K1317</f>
        <v>0.33875581999999999</v>
      </c>
      <c r="Q1317" s="3391"/>
      <c r="R1317" s="2337"/>
      <c r="S1317" s="16"/>
      <c r="T1317" s="16"/>
      <c r="U1317" s="16"/>
      <c r="V1317" s="16"/>
    </row>
    <row r="1318" spans="1:22">
      <c r="A1318" s="1042"/>
      <c r="B1318" s="1042"/>
      <c r="C1318" s="88"/>
      <c r="D1318" s="1430" t="s">
        <v>1077</v>
      </c>
      <c r="E1318" s="1857" t="s">
        <v>1508</v>
      </c>
      <c r="F1318" s="1403" t="s">
        <v>37</v>
      </c>
      <c r="G1318" s="1431">
        <v>1</v>
      </c>
      <c r="H1318" s="1362">
        <f>H1316*G1318</f>
        <v>0.32500000000000001</v>
      </c>
      <c r="I1318" s="197"/>
      <c r="J1318" s="198"/>
      <c r="K1318" s="1307">
        <f>H1318*$K$1306</f>
        <v>1.8531499999999999E-2</v>
      </c>
      <c r="L1318" s="1335">
        <f>K1318*$K$1255</f>
        <v>0</v>
      </c>
      <c r="M1318" s="1302">
        <v>19.23</v>
      </c>
      <c r="N1318" s="1718">
        <f>G1318*M1318</f>
        <v>19.23</v>
      </c>
      <c r="O1318" s="1290">
        <f>H1318*M1318</f>
        <v>6.2497500000000006</v>
      </c>
      <c r="P1318" s="1332">
        <f>M1318*K1318</f>
        <v>0.35636074499999998</v>
      </c>
      <c r="Q1318" s="3391"/>
      <c r="R1318" s="2337"/>
      <c r="S1318" s="16"/>
      <c r="T1318" s="16"/>
      <c r="U1318" s="16"/>
      <c r="V1318" s="16"/>
    </row>
    <row r="1319" spans="1:22">
      <c r="A1319" s="1042"/>
      <c r="B1319" s="1042"/>
      <c r="C1319" s="88"/>
      <c r="D1319" s="1430"/>
      <c r="E1319" s="1857"/>
      <c r="F1319" s="1766"/>
      <c r="G1319" s="1943"/>
      <c r="H1319" s="1362"/>
      <c r="I1319" s="197"/>
      <c r="J1319" s="198"/>
      <c r="K1319" s="1307"/>
      <c r="L1319" s="1335"/>
      <c r="M1319" s="1302"/>
      <c r="N1319" s="1718"/>
      <c r="O1319" s="1290"/>
      <c r="P1319" s="1332"/>
      <c r="Q1319" s="3391"/>
      <c r="R1319" s="2337"/>
      <c r="S1319" s="16"/>
      <c r="T1319" s="16"/>
      <c r="U1319" s="16"/>
      <c r="V1319" s="16"/>
    </row>
    <row r="1320" spans="1:22">
      <c r="A1320" s="1042"/>
      <c r="B1320" s="1042"/>
      <c r="C1320" s="88"/>
      <c r="D1320" s="1373"/>
      <c r="E1320" s="2123"/>
      <c r="F1320" s="1374" t="s">
        <v>3</v>
      </c>
      <c r="G1320" s="1374"/>
      <c r="H1320" s="1376"/>
      <c r="I1320" s="1382" t="str">
        <f t="shared" ref="I1320:I1323" ca="1" si="81">IF(COUNT(H1320:O1320)=0,"",(SUM(H1320:O1320)/COUNT(H1320:O1320)))</f>
        <v/>
      </c>
      <c r="J1320" s="1383"/>
      <c r="K1320" s="1373"/>
      <c r="L1320" s="1413"/>
      <c r="M1320" s="1376"/>
      <c r="N1320" s="1376"/>
      <c r="O1320" s="1376"/>
      <c r="P1320" s="1413"/>
      <c r="Q1320" s="3387"/>
      <c r="R1320" s="2337"/>
      <c r="S1320" s="16"/>
      <c r="T1320" s="16"/>
      <c r="U1320" s="16"/>
      <c r="V1320" s="16"/>
    </row>
    <row r="1321" spans="1:22">
      <c r="A1321" s="1042"/>
      <c r="B1321" s="1042"/>
      <c r="C1321" s="88"/>
      <c r="D1321" s="1440"/>
      <c r="E1321" s="2132"/>
      <c r="F1321" s="1441"/>
      <c r="G1321" s="1441"/>
      <c r="H1321" s="1442"/>
      <c r="I1321" s="197" t="str">
        <f t="shared" ca="1" si="81"/>
        <v/>
      </c>
      <c r="J1321" s="198"/>
      <c r="K1321" s="1307"/>
      <c r="L1321" s="1335"/>
      <c r="M1321" s="1499"/>
      <c r="N1321" s="1701"/>
      <c r="O1321" s="1290"/>
      <c r="P1321" s="1332"/>
      <c r="Q1321" s="3391"/>
      <c r="R1321" s="2337"/>
      <c r="S1321" s="16"/>
      <c r="T1321" s="16"/>
      <c r="U1321" s="16"/>
      <c r="V1321" s="16"/>
    </row>
    <row r="1322" spans="1:22">
      <c r="A1322" s="1042"/>
      <c r="B1322" s="1042"/>
      <c r="C1322" s="88"/>
      <c r="D1322" s="1440"/>
      <c r="E1322" s="2132"/>
      <c r="F1322" s="1441"/>
      <c r="G1322" s="1441"/>
      <c r="H1322" s="1442"/>
      <c r="I1322" s="197" t="str">
        <f t="shared" ca="1" si="81"/>
        <v/>
      </c>
      <c r="J1322" s="198"/>
      <c r="K1322" s="1307"/>
      <c r="L1322" s="1335"/>
      <c r="M1322" s="1499"/>
      <c r="N1322" s="1701"/>
      <c r="O1322" s="1290"/>
      <c r="P1322" s="1332"/>
      <c r="Q1322" s="3391"/>
      <c r="R1322" s="2337"/>
      <c r="S1322" s="16"/>
      <c r="T1322" s="16"/>
      <c r="U1322" s="16"/>
      <c r="V1322" s="16"/>
    </row>
    <row r="1323" spans="1:22">
      <c r="A1323" s="1042"/>
      <c r="B1323" s="223"/>
      <c r="C1323" s="581"/>
      <c r="D1323" s="1440"/>
      <c r="E1323" s="2132"/>
      <c r="F1323" s="1441"/>
      <c r="G1323" s="1441"/>
      <c r="H1323" s="1442"/>
      <c r="I1323" s="197" t="str">
        <f t="shared" ca="1" si="81"/>
        <v/>
      </c>
      <c r="J1323" s="198"/>
      <c r="K1323" s="1307"/>
      <c r="L1323" s="1335"/>
      <c r="M1323" s="1499"/>
      <c r="N1323" s="1701"/>
      <c r="O1323" s="1290"/>
      <c r="P1323" s="1332"/>
      <c r="Q1323" s="3391"/>
      <c r="R1323" s="2337"/>
      <c r="S1323" s="16"/>
      <c r="T1323" s="16"/>
      <c r="U1323" s="16"/>
      <c r="V1323" s="16"/>
    </row>
    <row r="1324" spans="1:22" ht="15" customHeight="1">
      <c r="A1324" s="1659" t="s">
        <v>3764</v>
      </c>
      <c r="B1324" s="4325" t="s">
        <v>1660</v>
      </c>
      <c r="C1324" s="3350"/>
      <c r="D1324" s="4327"/>
      <c r="E1324" s="4329" t="s">
        <v>1507</v>
      </c>
      <c r="F1324" s="4372" t="s">
        <v>1689</v>
      </c>
      <c r="G1324" s="4331" t="s">
        <v>1568</v>
      </c>
      <c r="H1324" s="4331" t="s">
        <v>1574</v>
      </c>
      <c r="I1324" s="1572" t="s">
        <v>1559</v>
      </c>
      <c r="J1324" s="1294" t="s">
        <v>1560</v>
      </c>
      <c r="K1324" s="1294" t="s">
        <v>1561</v>
      </c>
      <c r="L1324" s="4333" t="s">
        <v>3765</v>
      </c>
      <c r="M1324" s="4323" t="s">
        <v>1571</v>
      </c>
      <c r="N1324" s="4323" t="s">
        <v>1776</v>
      </c>
      <c r="O1324" s="3347" t="s">
        <v>1563</v>
      </c>
      <c r="P1324" s="1336" t="s">
        <v>1562</v>
      </c>
      <c r="Q1324" s="3389"/>
      <c r="R1324" s="1699" t="s">
        <v>1327</v>
      </c>
      <c r="S1324" s="16"/>
      <c r="T1324" s="16"/>
      <c r="U1324" s="16"/>
      <c r="V1324" s="16"/>
    </row>
    <row r="1325" spans="1:22">
      <c r="A1325" s="16" t="s">
        <v>2786</v>
      </c>
      <c r="B1325" s="4326"/>
      <c r="C1325" s="3351"/>
      <c r="D1325" s="4328"/>
      <c r="E1325" s="4330"/>
      <c r="F1325" s="4363"/>
      <c r="G1325" s="4332"/>
      <c r="H1325" s="4332"/>
      <c r="I1325" s="1345">
        <v>57.02</v>
      </c>
      <c r="J1325" s="1307">
        <v>1E-3</v>
      </c>
      <c r="K1325" s="1307">
        <f>I1325*J1325</f>
        <v>5.7020000000000001E-2</v>
      </c>
      <c r="L1325" s="4334"/>
      <c r="M1325" s="4324"/>
      <c r="N1325" s="4324"/>
      <c r="O1325" s="1298">
        <f>SUM(O1327:O1339)</f>
        <v>19.719749999999998</v>
      </c>
      <c r="P1325" s="1337">
        <f>O1325*K1325</f>
        <v>1.124420145</v>
      </c>
      <c r="Q1325" s="3390"/>
      <c r="R1325" s="1721">
        <f>SUM(P1327:P1340)</f>
        <v>1.1244201450000002</v>
      </c>
      <c r="S1325" s="16"/>
      <c r="T1325" s="16"/>
      <c r="U1325" s="16"/>
      <c r="V1325" s="16"/>
    </row>
    <row r="1326" spans="1:22">
      <c r="A1326" s="1320"/>
      <c r="B1326" s="1327"/>
      <c r="C1326" s="1327"/>
      <c r="D1326" s="1400"/>
      <c r="E1326" s="2121"/>
      <c r="F1326" s="1368" t="s">
        <v>1</v>
      </c>
      <c r="G1326" s="1390"/>
      <c r="H1326" s="1390"/>
      <c r="I1326" s="1554"/>
      <c r="J1326" s="1367"/>
      <c r="K1326" s="1367"/>
      <c r="L1326" s="1554"/>
      <c r="M1326" s="1369"/>
      <c r="N1326" s="1369"/>
      <c r="O1326" s="1369"/>
      <c r="P1326" s="1367"/>
      <c r="Q1326" s="3387"/>
      <c r="R1326" s="2337"/>
      <c r="S1326" s="16"/>
      <c r="T1326" s="16"/>
      <c r="U1326" s="16"/>
      <c r="V1326" s="16"/>
    </row>
    <row r="1327" spans="1:22">
      <c r="A1327" s="1320"/>
      <c r="B1327" s="1320"/>
      <c r="C1327" s="1042"/>
      <c r="D1327" s="1615" t="s">
        <v>1145</v>
      </c>
      <c r="E1327" s="2126" t="s">
        <v>1577</v>
      </c>
      <c r="F1327" s="1598" t="s">
        <v>1690</v>
      </c>
      <c r="G1327" s="1372">
        <v>1E-3</v>
      </c>
      <c r="H1327" s="1372"/>
      <c r="I1327" s="198"/>
      <c r="J1327" s="6"/>
      <c r="K1327" s="1307">
        <f>G1327*$K$1325</f>
        <v>5.702E-5</v>
      </c>
      <c r="L1327" s="1335">
        <f>K1327*$K$1255</f>
        <v>0</v>
      </c>
      <c r="M1327" s="1499">
        <v>246.4</v>
      </c>
      <c r="N1327" s="1701"/>
      <c r="O1327" s="1291">
        <f>G1327*M1327</f>
        <v>0.24640000000000001</v>
      </c>
      <c r="P1327" s="1332">
        <f>M1327*K1327</f>
        <v>1.4049728000000001E-2</v>
      </c>
      <c r="Q1327" s="3391"/>
      <c r="R1327" s="2337"/>
      <c r="S1327" s="16"/>
      <c r="T1327" s="16"/>
      <c r="U1327" s="16"/>
      <c r="V1327" s="16"/>
    </row>
    <row r="1328" spans="1:22">
      <c r="A1328" s="1320"/>
      <c r="B1328" s="1320"/>
      <c r="C1328" s="1042"/>
      <c r="D1328" s="1598" t="s">
        <v>1147</v>
      </c>
      <c r="E1328" s="2154" t="s">
        <v>1357</v>
      </c>
      <c r="F1328" s="1598" t="s">
        <v>1691</v>
      </c>
      <c r="G1328" s="1372">
        <v>1</v>
      </c>
      <c r="H1328" s="1372"/>
      <c r="I1328" s="197"/>
      <c r="J1328" s="198"/>
      <c r="K1328" s="1307">
        <f>G1328*$K$1325</f>
        <v>5.7020000000000001E-2</v>
      </c>
      <c r="L1328" s="1335">
        <f>K1328*$K$1255</f>
        <v>0</v>
      </c>
      <c r="M1328" s="1499">
        <v>0.22</v>
      </c>
      <c r="N1328" s="1701"/>
      <c r="O1328" s="1291">
        <f>G1328*M1328</f>
        <v>0.22</v>
      </c>
      <c r="P1328" s="1332">
        <f>M1328*K1328</f>
        <v>1.2544400000000001E-2</v>
      </c>
      <c r="Q1328" s="3391"/>
      <c r="R1328" s="2337"/>
      <c r="S1328" s="16"/>
      <c r="T1328" s="16"/>
      <c r="U1328" s="16"/>
      <c r="V1328" s="16"/>
    </row>
    <row r="1329" spans="1:22">
      <c r="A1329" s="1320"/>
      <c r="B1329" s="1320"/>
      <c r="C1329" s="1042"/>
      <c r="D1329" s="1598" t="s">
        <v>1692</v>
      </c>
      <c r="E1329" s="2154" t="s">
        <v>1504</v>
      </c>
      <c r="F1329" s="1598" t="s">
        <v>1693</v>
      </c>
      <c r="G1329" s="1399">
        <v>47.17</v>
      </c>
      <c r="H1329" s="1399"/>
      <c r="I1329" s="27"/>
      <c r="J1329" s="10"/>
      <c r="K1329" s="1307">
        <f>G1329*$K$1325</f>
        <v>2.6896334</v>
      </c>
      <c r="L1329" s="1335">
        <f>K1329*$K$1255</f>
        <v>0</v>
      </c>
      <c r="M1329" s="1499">
        <v>0.17</v>
      </c>
      <c r="N1329" s="1701"/>
      <c r="O1329" s="1291">
        <f>G1329*M1329</f>
        <v>8.0189000000000004</v>
      </c>
      <c r="P1329" s="1332">
        <f>M1329*K1329</f>
        <v>0.45723767800000004</v>
      </c>
      <c r="Q1329" s="3391"/>
      <c r="R1329" s="2337"/>
      <c r="S1329" s="16"/>
      <c r="T1329" s="16"/>
      <c r="U1329" s="16"/>
      <c r="V1329" s="16"/>
    </row>
    <row r="1330" spans="1:22" ht="15" customHeight="1">
      <c r="A1330" s="22"/>
      <c r="B1330" s="1320"/>
      <c r="C1330" s="1042"/>
      <c r="D1330" s="1598" t="s">
        <v>1097</v>
      </c>
      <c r="E1330" s="1856" t="s">
        <v>1504</v>
      </c>
      <c r="F1330" s="1598" t="s">
        <v>1632</v>
      </c>
      <c r="G1330" s="1399">
        <v>1</v>
      </c>
      <c r="H1330" s="1399"/>
      <c r="I1330" s="198"/>
      <c r="J1330" s="198"/>
      <c r="K1330" s="1307">
        <f>G1330*$K$1325</f>
        <v>5.7020000000000001E-2</v>
      </c>
      <c r="L1330" s="1335">
        <f>K1330*$K$1255</f>
        <v>0</v>
      </c>
      <c r="M1330" s="1499">
        <v>0.55000000000000004</v>
      </c>
      <c r="N1330" s="1701"/>
      <c r="O1330" s="1291">
        <f>G1330*M1330</f>
        <v>0.55000000000000004</v>
      </c>
      <c r="P1330" s="1332">
        <f>M1330*K1330</f>
        <v>3.1361E-2</v>
      </c>
      <c r="Q1330" s="3391"/>
      <c r="S1330" s="16"/>
      <c r="T1330" s="16"/>
      <c r="U1330" s="16"/>
      <c r="V1330" s="16"/>
    </row>
    <row r="1331" spans="1:22">
      <c r="A1331" s="22"/>
      <c r="B1331" s="1320"/>
      <c r="C1331" s="1042"/>
      <c r="D1331" s="1400"/>
      <c r="E1331" s="1856"/>
      <c r="F1331" s="1397"/>
      <c r="G1331" s="1399"/>
      <c r="H1331" s="1399"/>
      <c r="I1331" s="198"/>
      <c r="J1331" s="198"/>
      <c r="K1331" s="1307"/>
      <c r="L1331" s="1335"/>
      <c r="M1331" s="1499"/>
      <c r="N1331" s="1701"/>
      <c r="O1331" s="1290"/>
      <c r="P1331" s="1332"/>
      <c r="Q1331" s="3391"/>
      <c r="S1331" s="16"/>
      <c r="T1331" s="16"/>
      <c r="U1331" s="16"/>
      <c r="V1331" s="16"/>
    </row>
    <row r="1332" spans="1:22">
      <c r="A1332" s="1599"/>
      <c r="B1332" s="1320"/>
      <c r="C1332" s="1042"/>
      <c r="D1332" s="1400"/>
      <c r="E1332" s="1856"/>
      <c r="F1332" s="1397"/>
      <c r="G1332" s="1399"/>
      <c r="H1332" s="1399"/>
      <c r="I1332" s="1289"/>
      <c r="J1332" s="198"/>
      <c r="K1332" s="1307"/>
      <c r="L1332" s="1335"/>
      <c r="M1332" s="1499"/>
      <c r="N1332" s="1701"/>
      <c r="O1332" s="1290"/>
      <c r="P1332" s="1332"/>
      <c r="Q1332" s="3391"/>
      <c r="R1332" s="2337"/>
      <c r="S1332" s="16"/>
      <c r="T1332" s="16"/>
      <c r="U1332" s="16"/>
      <c r="V1332" s="16"/>
    </row>
    <row r="1333" spans="1:22">
      <c r="A1333" s="1599"/>
      <c r="B1333" s="1320"/>
      <c r="C1333" s="1320"/>
      <c r="D1333" s="1410"/>
      <c r="E1333" s="1858"/>
      <c r="F1333" s="1360" t="s">
        <v>2</v>
      </c>
      <c r="G1333" s="1362"/>
      <c r="H1333" s="1362"/>
      <c r="I1333" s="1380"/>
      <c r="J1333" s="1381"/>
      <c r="K1333" s="1359"/>
      <c r="L1333" s="1458"/>
      <c r="M1333" s="1502"/>
      <c r="N1333" s="1502"/>
      <c r="O1333" s="1362"/>
      <c r="P1333" s="1359"/>
      <c r="Q1333" s="3387"/>
      <c r="R1333" s="2337"/>
      <c r="S1333" s="16"/>
      <c r="T1333" s="16"/>
      <c r="U1333" s="16"/>
      <c r="V1333" s="16"/>
    </row>
    <row r="1334" spans="1:22">
      <c r="A1334" s="1599"/>
      <c r="B1334" s="1320"/>
      <c r="C1334" s="1042"/>
      <c r="D1334" s="1410" t="s">
        <v>1088</v>
      </c>
      <c r="E1334" s="1858" t="s">
        <v>1508</v>
      </c>
      <c r="F1334" s="1655" t="s">
        <v>1694</v>
      </c>
      <c r="G1334" s="1405">
        <v>0.375</v>
      </c>
      <c r="H1334" s="1405"/>
      <c r="I1334" s="198"/>
      <c r="J1334" s="6"/>
      <c r="K1334" s="1307">
        <f>G1334*$K$1325</f>
        <v>2.1382499999999999E-2</v>
      </c>
      <c r="L1334" s="1335">
        <f>K1334*$K$1255</f>
        <v>0</v>
      </c>
      <c r="M1334" s="1302">
        <v>19.23</v>
      </c>
      <c r="N1334" s="1701"/>
      <c r="O1334" s="1291">
        <f>G1334*M1334</f>
        <v>7.2112499999999997</v>
      </c>
      <c r="P1334" s="1332">
        <f>M1334*K1334</f>
        <v>0.41118547499999997</v>
      </c>
      <c r="Q1334" s="3391"/>
      <c r="R1334" s="2337"/>
      <c r="S1334" s="16"/>
      <c r="T1334" s="16"/>
      <c r="U1334" s="16"/>
      <c r="V1334" s="16"/>
    </row>
    <row r="1335" spans="1:22">
      <c r="A1335" s="1599"/>
      <c r="B1335" s="1320"/>
      <c r="C1335" s="1042"/>
      <c r="D1335" s="1410" t="s">
        <v>1067</v>
      </c>
      <c r="E1335" s="1858" t="s">
        <v>1508</v>
      </c>
      <c r="F1335" s="1655" t="s">
        <v>1512</v>
      </c>
      <c r="G1335" s="1359">
        <v>0.19</v>
      </c>
      <c r="H1335" s="1359"/>
      <c r="I1335" s="198"/>
      <c r="J1335" s="6"/>
      <c r="K1335" s="1307">
        <f>G1335*$K$1325</f>
        <v>1.0833800000000001E-2</v>
      </c>
      <c r="L1335" s="1335">
        <f>K1335*$K$1255</f>
        <v>0</v>
      </c>
      <c r="M1335" s="1302">
        <v>18.28</v>
      </c>
      <c r="N1335" s="1499"/>
      <c r="O1335" s="1291">
        <f>G1335*M1335</f>
        <v>3.4732000000000003</v>
      </c>
      <c r="P1335" s="1332">
        <f>M1335*K1335</f>
        <v>0.19804186400000004</v>
      </c>
      <c r="Q1335" s="3391"/>
      <c r="R1335" s="2337"/>
      <c r="S1335" s="16"/>
      <c r="T1335" s="16"/>
      <c r="U1335" s="16"/>
      <c r="V1335" s="16"/>
    </row>
    <row r="1336" spans="1:22">
      <c r="A1336" s="1599"/>
      <c r="B1336" s="1320"/>
      <c r="C1336" s="1042"/>
      <c r="D1336" s="1402"/>
      <c r="E1336" s="1857"/>
      <c r="F1336" s="1403"/>
      <c r="G1336" s="1359"/>
      <c r="H1336" s="1359"/>
      <c r="I1336" s="198"/>
      <c r="J1336" s="6"/>
      <c r="K1336" s="1307"/>
      <c r="L1336" s="1335"/>
      <c r="M1336" s="1499"/>
      <c r="N1336" s="1701"/>
      <c r="O1336" s="1290"/>
      <c r="P1336" s="1332"/>
      <c r="Q1336" s="3391"/>
      <c r="R1336" s="2337"/>
      <c r="S1336" s="16"/>
      <c r="T1336" s="16"/>
      <c r="U1336" s="16"/>
      <c r="V1336" s="16"/>
    </row>
    <row r="1337" spans="1:22">
      <c r="A1337" s="1599"/>
      <c r="B1337" s="1320"/>
      <c r="C1337" s="1042"/>
      <c r="D1337" s="1411"/>
      <c r="E1337" s="2123"/>
      <c r="F1337" s="1374" t="s">
        <v>3</v>
      </c>
      <c r="G1337" s="1376"/>
      <c r="H1337" s="1376"/>
      <c r="I1337" s="1382"/>
      <c r="J1337" s="1383"/>
      <c r="K1337" s="1373"/>
      <c r="L1337" s="1413"/>
      <c r="M1337" s="1505"/>
      <c r="N1337" s="1505"/>
      <c r="O1337" s="1376"/>
      <c r="P1337" s="1413"/>
      <c r="Q1337" s="3387"/>
      <c r="R1337" s="2337"/>
      <c r="S1337" s="16"/>
      <c r="T1337" s="16"/>
      <c r="U1337" s="16"/>
      <c r="V1337" s="16"/>
    </row>
    <row r="1338" spans="1:22">
      <c r="A1338" s="1599"/>
      <c r="B1338" s="1320"/>
      <c r="C1338" s="1042"/>
      <c r="D1338" s="1440"/>
      <c r="E1338" s="2132"/>
      <c r="F1338" s="1441"/>
      <c r="G1338" s="1442"/>
      <c r="H1338" s="1442"/>
      <c r="I1338" s="197"/>
      <c r="J1338" s="198"/>
      <c r="K1338" s="1307"/>
      <c r="L1338" s="1335"/>
      <c r="M1338" s="1499"/>
      <c r="N1338" s="1701"/>
      <c r="O1338" s="1290"/>
      <c r="P1338" s="1332"/>
      <c r="Q1338" s="3391"/>
      <c r="R1338" s="2337"/>
      <c r="S1338" s="16"/>
      <c r="T1338" s="16"/>
      <c r="U1338" s="16"/>
      <c r="V1338" s="16"/>
    </row>
    <row r="1339" spans="1:22">
      <c r="A1339" s="1599"/>
      <c r="B1339" s="1320"/>
      <c r="C1339" s="1042"/>
      <c r="D1339" s="1440"/>
      <c r="E1339" s="2132"/>
      <c r="F1339" s="1441"/>
      <c r="G1339" s="1442"/>
      <c r="H1339" s="1442"/>
      <c r="I1339" s="197"/>
      <c r="J1339" s="198"/>
      <c r="K1339" s="1307"/>
      <c r="L1339" s="1335"/>
      <c r="M1339" s="1499"/>
      <c r="N1339" s="1701"/>
      <c r="O1339" s="1290"/>
      <c r="P1339" s="1332"/>
      <c r="Q1339" s="3391"/>
      <c r="R1339" s="2337"/>
      <c r="S1339" s="16"/>
      <c r="T1339" s="16"/>
      <c r="U1339" s="16"/>
      <c r="V1339" s="16"/>
    </row>
    <row r="1340" spans="1:22">
      <c r="A1340" s="1599"/>
      <c r="B1340" s="225"/>
      <c r="C1340" s="223"/>
      <c r="D1340" s="1440"/>
      <c r="E1340" s="2132"/>
      <c r="F1340" s="1441"/>
      <c r="G1340" s="1442"/>
      <c r="H1340" s="1442"/>
      <c r="I1340" s="197"/>
      <c r="J1340" s="198"/>
      <c r="K1340" s="1307"/>
      <c r="L1340" s="1335"/>
      <c r="M1340" s="1499"/>
      <c r="N1340" s="1701"/>
      <c r="O1340" s="1290"/>
      <c r="P1340" s="1332"/>
      <c r="Q1340" s="3391"/>
      <c r="R1340" s="2337"/>
      <c r="S1340" s="16"/>
      <c r="T1340" s="16"/>
      <c r="U1340" s="16"/>
      <c r="V1340" s="16"/>
    </row>
    <row r="1341" spans="1:22" ht="15" customHeight="1">
      <c r="A1341" s="16" t="s">
        <v>3764</v>
      </c>
      <c r="B1341" s="4325" t="s">
        <v>1738</v>
      </c>
      <c r="C1341" s="3350"/>
      <c r="D1341" s="4327"/>
      <c r="E1341" s="4329" t="s">
        <v>1507</v>
      </c>
      <c r="F1341" s="4336" t="s">
        <v>1714</v>
      </c>
      <c r="G1341" s="4331" t="s">
        <v>1568</v>
      </c>
      <c r="H1341" s="4331" t="s">
        <v>1574</v>
      </c>
      <c r="I1341" s="1572" t="s">
        <v>1559</v>
      </c>
      <c r="J1341" s="1294" t="s">
        <v>1560</v>
      </c>
      <c r="K1341" s="1294" t="s">
        <v>1561</v>
      </c>
      <c r="L1341" s="4333" t="s">
        <v>3765</v>
      </c>
      <c r="M1341" s="4335" t="s">
        <v>1571</v>
      </c>
      <c r="N1341" s="4323" t="s">
        <v>1776</v>
      </c>
      <c r="O1341" s="3347" t="s">
        <v>1563</v>
      </c>
      <c r="P1341" s="1336" t="s">
        <v>1562</v>
      </c>
      <c r="Q1341" s="3389"/>
      <c r="R1341" s="1699" t="s">
        <v>1327</v>
      </c>
      <c r="S1341" s="16"/>
      <c r="T1341" s="16"/>
      <c r="U1341" s="16"/>
      <c r="V1341" s="16"/>
    </row>
    <row r="1342" spans="1:22">
      <c r="A1342" s="16" t="s">
        <v>2786</v>
      </c>
      <c r="B1342" s="4326"/>
      <c r="C1342" s="3351"/>
      <c r="D1342" s="4328"/>
      <c r="E1342" s="4389"/>
      <c r="F1342" s="4336"/>
      <c r="G1342" s="4332"/>
      <c r="H1342" s="4332"/>
      <c r="I1342" s="1345">
        <v>349.27</v>
      </c>
      <c r="J1342" s="1307">
        <v>1E-3</v>
      </c>
      <c r="K1342" s="1307">
        <f>I1342*J1342</f>
        <v>0.34926999999999997</v>
      </c>
      <c r="L1342" s="4334"/>
      <c r="M1342" s="4335"/>
      <c r="N1342" s="4324"/>
      <c r="O1342" s="1298">
        <f>O1344+O1348+O1354</f>
        <v>7.8734280000000005</v>
      </c>
      <c r="P1342" s="1337">
        <f>O1342*K1342</f>
        <v>2.7499521975599999</v>
      </c>
      <c r="Q1342" s="3390"/>
      <c r="R1342" s="1721">
        <f>P1344+P1348+P1354</f>
        <v>2.7499521975599999</v>
      </c>
      <c r="S1342" s="16"/>
      <c r="T1342" s="16"/>
      <c r="U1342" s="16"/>
      <c r="V1342" s="16"/>
    </row>
    <row r="1343" spans="1:22">
      <c r="A1343" s="1599"/>
      <c r="B1343" s="1327"/>
      <c r="C1343" s="1327"/>
      <c r="D1343" s="1400"/>
      <c r="E1343" s="2121"/>
      <c r="F1343" s="1368" t="s">
        <v>1</v>
      </c>
      <c r="G1343" s="1417"/>
      <c r="H1343" s="1390"/>
      <c r="I1343" s="1554"/>
      <c r="J1343" s="1367"/>
      <c r="K1343" s="1367"/>
      <c r="L1343" s="1554"/>
      <c r="M1343" s="1369"/>
      <c r="N1343" s="1369"/>
      <c r="O1343" s="1369"/>
      <c r="P1343" s="1367"/>
      <c r="Q1343" s="3387"/>
      <c r="R1343" s="2337"/>
      <c r="S1343" s="16"/>
      <c r="T1343" s="16"/>
      <c r="U1343" s="16"/>
      <c r="V1343" s="16"/>
    </row>
    <row r="1344" spans="1:22">
      <c r="A1344" s="1599"/>
      <c r="B1344" s="1320"/>
      <c r="C1344" s="1356" t="s">
        <v>1128</v>
      </c>
      <c r="D1344" s="1311"/>
      <c r="E1344" s="2169" t="s">
        <v>1517</v>
      </c>
      <c r="F1344" s="1749" t="s">
        <v>1695</v>
      </c>
      <c r="G1344" s="1758"/>
      <c r="H1344" s="1758">
        <v>1.4999999999999999E-2</v>
      </c>
      <c r="I1344" s="1388"/>
      <c r="J1344" s="1366"/>
      <c r="K1344" s="1510"/>
      <c r="L1344" s="1445"/>
      <c r="M1344" s="1447"/>
      <c r="N1344" s="1447">
        <f>SUM(N1345:N1347)</f>
        <v>104.27969999999999</v>
      </c>
      <c r="O1344" s="1447">
        <f>SUM(O1345:O1347)</f>
        <v>1.5641954999999998</v>
      </c>
      <c r="P1344" s="1446">
        <f>SUM(P1345:P1347)</f>
        <v>0.54632656228499998</v>
      </c>
      <c r="Q1344" s="3391"/>
      <c r="R1344" s="2337"/>
      <c r="S1344" s="16"/>
      <c r="T1344" s="16"/>
      <c r="U1344" s="16"/>
      <c r="V1344" s="16"/>
    </row>
    <row r="1345" spans="1:22">
      <c r="A1345" s="1599"/>
      <c r="B1345" s="1320"/>
      <c r="C1345" s="1042"/>
      <c r="D1345" s="1752" t="s">
        <v>1779</v>
      </c>
      <c r="E1345" s="1852" t="s">
        <v>1577</v>
      </c>
      <c r="F1345" s="1752" t="s">
        <v>1780</v>
      </c>
      <c r="G1345" s="1753">
        <v>0.876</v>
      </c>
      <c r="H1345" s="1453">
        <f>$H$1344*G1345</f>
        <v>1.3139999999999999E-2</v>
      </c>
      <c r="I1345" s="197"/>
      <c r="J1345" s="198"/>
      <c r="K1345" s="1307">
        <f>H1345*$K$1342</f>
        <v>4.5894077999999996E-3</v>
      </c>
      <c r="L1345" s="1335">
        <f>K1345*$K$1255</f>
        <v>0</v>
      </c>
      <c r="M1345" s="1759">
        <v>56.05</v>
      </c>
      <c r="N1345" s="1718">
        <f>G1345*M1345</f>
        <v>49.099799999999995</v>
      </c>
      <c r="O1345" s="1719">
        <f>H1345*M1345</f>
        <v>0.73649699999999985</v>
      </c>
      <c r="P1345" s="1720">
        <f>M1345*K1345</f>
        <v>0.25723630718999996</v>
      </c>
      <c r="Q1345" s="3396"/>
      <c r="R1345" s="2337"/>
      <c r="S1345" s="16"/>
      <c r="T1345" s="16"/>
      <c r="U1345" s="16"/>
      <c r="V1345" s="16"/>
    </row>
    <row r="1346" spans="1:22">
      <c r="A1346" s="1599"/>
      <c r="B1346" s="1320"/>
      <c r="C1346" s="1042"/>
      <c r="D1346" s="1752" t="s">
        <v>1069</v>
      </c>
      <c r="E1346" s="1852" t="s">
        <v>1517</v>
      </c>
      <c r="F1346" s="1752" t="s">
        <v>1578</v>
      </c>
      <c r="G1346" s="1753">
        <v>0.61799999999999999</v>
      </c>
      <c r="H1346" s="1453">
        <f>$H$1344*G1346</f>
        <v>9.2699999999999987E-3</v>
      </c>
      <c r="I1346" s="27"/>
      <c r="J1346" s="10"/>
      <c r="K1346" s="1307">
        <f>H1346*$K$1342</f>
        <v>3.2377328999999991E-3</v>
      </c>
      <c r="L1346" s="1335">
        <f>K1346*$K$1255</f>
        <v>0</v>
      </c>
      <c r="M1346" s="1759">
        <v>0.55000000000000004</v>
      </c>
      <c r="N1346" s="1718">
        <f>G1346*M1346</f>
        <v>0.33990000000000004</v>
      </c>
      <c r="O1346" s="1719">
        <f>H1346*M1346</f>
        <v>5.0984999999999997E-3</v>
      </c>
      <c r="P1346" s="1720">
        <f>M1346*K1346</f>
        <v>1.7807530949999996E-3</v>
      </c>
      <c r="Q1346" s="3396"/>
      <c r="R1346" s="2337"/>
      <c r="S1346" s="16"/>
      <c r="T1346" s="16"/>
      <c r="U1346" s="16"/>
      <c r="V1346" s="16"/>
    </row>
    <row r="1347" spans="1:22">
      <c r="B1347" s="1320"/>
      <c r="C1347" s="1042"/>
      <c r="D1347" s="1754" t="s">
        <v>1067</v>
      </c>
      <c r="E1347" s="1853" t="s">
        <v>1508</v>
      </c>
      <c r="F1347" s="1754" t="s">
        <v>1512</v>
      </c>
      <c r="G1347" s="1755">
        <v>3</v>
      </c>
      <c r="H1347" s="1454">
        <f>$H$1344*G1347</f>
        <v>4.4999999999999998E-2</v>
      </c>
      <c r="I1347" s="198"/>
      <c r="J1347" s="198"/>
      <c r="K1347" s="1307">
        <f>H1347*$K$1342</f>
        <v>1.5717149999999999E-2</v>
      </c>
      <c r="L1347" s="1335">
        <f>K1347*$K$1255</f>
        <v>0</v>
      </c>
      <c r="M1347" s="1759">
        <v>18.28</v>
      </c>
      <c r="N1347" s="1718">
        <f>G1347*M1347</f>
        <v>54.84</v>
      </c>
      <c r="O1347" s="1719">
        <f>H1347*M1347</f>
        <v>0.8226</v>
      </c>
      <c r="P1347" s="1720">
        <f>M1347*K1347</f>
        <v>0.28730950199999999</v>
      </c>
      <c r="Q1347" s="3396"/>
      <c r="S1347" s="16"/>
      <c r="T1347" s="16"/>
      <c r="U1347" s="16"/>
      <c r="V1347" s="16"/>
    </row>
    <row r="1348" spans="1:22">
      <c r="B1348" s="1320"/>
      <c r="C1348" s="1356" t="s">
        <v>1152</v>
      </c>
      <c r="D1348" s="1311"/>
      <c r="E1348" s="1854" t="s">
        <v>1517</v>
      </c>
      <c r="F1348" s="1749" t="s">
        <v>1696</v>
      </c>
      <c r="G1348" s="1758"/>
      <c r="H1348" s="1688">
        <v>5.0000000000000001E-3</v>
      </c>
      <c r="I1348" s="1388"/>
      <c r="J1348" s="1388"/>
      <c r="K1348" s="1510"/>
      <c r="L1348" s="1445"/>
      <c r="M1348" s="1447"/>
      <c r="N1348" s="1447">
        <f>SUM(N1349:N1351)</f>
        <v>108.04650000000001</v>
      </c>
      <c r="O1348" s="1447">
        <f>SUM(O1349:O1351)</f>
        <v>0.54023250000000012</v>
      </c>
      <c r="P1348" s="1446">
        <f>SUM(P1349:P1351)</f>
        <v>0.18868700527499999</v>
      </c>
      <c r="Q1348" s="3391"/>
      <c r="S1348" s="16"/>
      <c r="T1348" s="16"/>
      <c r="U1348" s="16"/>
      <c r="V1348" s="16"/>
    </row>
    <row r="1349" spans="1:22">
      <c r="A1349" s="16"/>
      <c r="B1349" s="1320"/>
      <c r="C1349" s="18"/>
      <c r="D1349" s="1756" t="s">
        <v>1781</v>
      </c>
      <c r="E1349" s="1852" t="s">
        <v>1577</v>
      </c>
      <c r="F1349" s="1752" t="s">
        <v>1782</v>
      </c>
      <c r="G1349" s="1753">
        <v>0.876</v>
      </c>
      <c r="H1349" s="1453">
        <f>$H$1348*G1349</f>
        <v>4.3800000000000002E-3</v>
      </c>
      <c r="I1349" s="198"/>
      <c r="J1349" s="198"/>
      <c r="K1349" s="1307">
        <f>H1349*$K$1342</f>
        <v>1.5298026E-3</v>
      </c>
      <c r="L1349" s="1335">
        <f>K1349*$K$1255</f>
        <v>0</v>
      </c>
      <c r="M1349" s="1723">
        <v>60.35</v>
      </c>
      <c r="N1349" s="1718">
        <f>G1349*M1349</f>
        <v>52.866599999999998</v>
      </c>
      <c r="O1349" s="1719">
        <f>H1349*M1349</f>
        <v>0.26433300000000004</v>
      </c>
      <c r="P1349" s="1720">
        <f>M1349*K1349</f>
        <v>9.2323586910000005E-2</v>
      </c>
      <c r="Q1349" s="3396"/>
      <c r="R1349" s="2337"/>
      <c r="S1349" s="16"/>
      <c r="T1349" s="16"/>
      <c r="U1349" s="16"/>
      <c r="V1349" s="16"/>
    </row>
    <row r="1350" spans="1:22">
      <c r="A1350" s="16"/>
      <c r="B1350" s="1320"/>
      <c r="C1350" s="1042"/>
      <c r="D1350" s="1756" t="s">
        <v>1069</v>
      </c>
      <c r="E1350" s="1852" t="s">
        <v>1517</v>
      </c>
      <c r="F1350" s="1752" t="s">
        <v>1578</v>
      </c>
      <c r="G1350" s="1753">
        <v>0.61799999999999999</v>
      </c>
      <c r="H1350" s="1453">
        <f>$H$1348*G1350</f>
        <v>3.0899999999999999E-3</v>
      </c>
      <c r="I1350" s="197"/>
      <c r="J1350" s="198"/>
      <c r="K1350" s="1307">
        <f>H1350*$K$1342</f>
        <v>1.0792442999999999E-3</v>
      </c>
      <c r="L1350" s="1335">
        <f>K1350*$K$1255</f>
        <v>0</v>
      </c>
      <c r="M1350" s="1723">
        <v>0.55000000000000004</v>
      </c>
      <c r="N1350" s="1718">
        <f>G1350*M1350</f>
        <v>0.33990000000000004</v>
      </c>
      <c r="O1350" s="1719">
        <f>H1350*M1350</f>
        <v>1.6995000000000001E-3</v>
      </c>
      <c r="P1350" s="1720">
        <f>M1350*K1350</f>
        <v>5.9358436500000003E-4</v>
      </c>
      <c r="Q1350" s="3396"/>
      <c r="R1350" s="2337"/>
      <c r="S1350" s="16"/>
      <c r="T1350" s="16"/>
      <c r="U1350" s="16"/>
      <c r="V1350" s="16"/>
    </row>
    <row r="1351" spans="1:22">
      <c r="A1351" s="16"/>
      <c r="B1351" s="1320"/>
      <c r="C1351" s="1042"/>
      <c r="D1351" s="1757" t="s">
        <v>1067</v>
      </c>
      <c r="E1351" s="1853" t="s">
        <v>1508</v>
      </c>
      <c r="F1351" s="1754" t="s">
        <v>1512</v>
      </c>
      <c r="G1351" s="1755">
        <v>3</v>
      </c>
      <c r="H1351" s="1454">
        <f>$H$1348*G1351</f>
        <v>1.4999999999999999E-2</v>
      </c>
      <c r="I1351" s="1289"/>
      <c r="J1351" s="198"/>
      <c r="K1351" s="1307">
        <f>H1351*$K$1342</f>
        <v>5.2390499999999994E-3</v>
      </c>
      <c r="L1351" s="1335">
        <f>K1351*$K$1255</f>
        <v>0</v>
      </c>
      <c r="M1351" s="1723">
        <v>18.28</v>
      </c>
      <c r="N1351" s="1718">
        <f>G1351*M1351</f>
        <v>54.84</v>
      </c>
      <c r="O1351" s="1719">
        <f>H1351*M1351</f>
        <v>0.2742</v>
      </c>
      <c r="P1351" s="1720">
        <f>M1351*K1351</f>
        <v>9.5769833999999998E-2</v>
      </c>
      <c r="Q1351" s="3396"/>
      <c r="R1351" s="2337"/>
      <c r="S1351" s="16"/>
      <c r="T1351" s="16"/>
      <c r="U1351" s="16"/>
      <c r="V1351" s="16"/>
    </row>
    <row r="1352" spans="1:22">
      <c r="A1352" s="16"/>
      <c r="B1352" s="1320"/>
      <c r="C1352" s="1042"/>
      <c r="D1352" s="1404"/>
      <c r="E1352" s="1857"/>
      <c r="F1352" s="1406"/>
      <c r="G1352" s="1407"/>
      <c r="H1352" s="1408"/>
      <c r="I1352" s="1289"/>
      <c r="J1352" s="198"/>
      <c r="K1352" s="1307"/>
      <c r="L1352" s="1335"/>
      <c r="M1352" s="1499"/>
      <c r="N1352" s="1701"/>
      <c r="O1352" s="1290"/>
      <c r="P1352" s="1332"/>
      <c r="Q1352" s="3391"/>
      <c r="R1352" s="2337"/>
      <c r="S1352" s="16"/>
      <c r="T1352" s="16"/>
      <c r="U1352" s="16"/>
      <c r="V1352" s="16"/>
    </row>
    <row r="1353" spans="1:22">
      <c r="A1353" s="16"/>
      <c r="B1353" s="1320"/>
      <c r="C1353" s="1320"/>
      <c r="D1353" s="1410"/>
      <c r="E1353" s="1858"/>
      <c r="F1353" s="1360" t="s">
        <v>2</v>
      </c>
      <c r="G1353" s="1360"/>
      <c r="H1353" s="1362"/>
      <c r="I1353" s="1380"/>
      <c r="J1353" s="1381"/>
      <c r="K1353" s="1359"/>
      <c r="L1353" s="1458"/>
      <c r="M1353" s="1502"/>
      <c r="N1353" s="1502"/>
      <c r="O1353" s="1362"/>
      <c r="P1353" s="1359"/>
      <c r="Q1353" s="3387"/>
      <c r="R1353" s="2337"/>
      <c r="S1353" s="16"/>
      <c r="T1353" s="16"/>
      <c r="U1353" s="16"/>
      <c r="V1353" s="16"/>
    </row>
    <row r="1354" spans="1:22">
      <c r="A1354" s="16"/>
      <c r="B1354" s="1320"/>
      <c r="C1354" s="1042"/>
      <c r="D1354" s="1437" t="s">
        <v>1153</v>
      </c>
      <c r="E1354" s="2134" t="s">
        <v>1508</v>
      </c>
      <c r="F1354" s="1438" t="s">
        <v>1783</v>
      </c>
      <c r="G1354" s="1439">
        <v>0.3</v>
      </c>
      <c r="H1354" s="1362"/>
      <c r="I1354" s="197"/>
      <c r="J1354" s="198"/>
      <c r="K1354" s="1307">
        <f>G1354*$K$1342</f>
        <v>0.10478099999999999</v>
      </c>
      <c r="L1354" s="1335">
        <f>K1354*$K$1255</f>
        <v>0</v>
      </c>
      <c r="M1354" s="1499">
        <v>19.23</v>
      </c>
      <c r="N1354" s="1701"/>
      <c r="O1354" s="1290">
        <f>(G1354*M1354)</f>
        <v>5.7690000000000001</v>
      </c>
      <c r="P1354" s="1332">
        <f>M1354*K1354</f>
        <v>2.0149386299999996</v>
      </c>
      <c r="Q1354" s="3391"/>
      <c r="R1354" s="2337"/>
      <c r="S1354" s="16"/>
      <c r="T1354" s="16"/>
      <c r="U1354" s="16"/>
      <c r="V1354" s="16"/>
    </row>
    <row r="1355" spans="1:22">
      <c r="A1355" s="16"/>
      <c r="B1355" s="1320"/>
      <c r="C1355" s="1042"/>
      <c r="D1355" s="1402"/>
      <c r="E1355" s="1857"/>
      <c r="F1355" s="1645"/>
      <c r="G1355" s="1362"/>
      <c r="H1355" s="1359"/>
      <c r="I1355" s="198"/>
      <c r="J1355" s="6"/>
      <c r="K1355" s="1306"/>
      <c r="L1355" s="1646"/>
      <c r="M1355" s="1499"/>
      <c r="N1355" s="1499"/>
      <c r="O1355" s="1291"/>
      <c r="P1355" s="1332"/>
      <c r="Q1355" s="3391"/>
      <c r="R1355" s="2337"/>
      <c r="S1355" s="16"/>
      <c r="T1355" s="16"/>
      <c r="U1355" s="16"/>
      <c r="V1355" s="16"/>
    </row>
    <row r="1356" spans="1:22">
      <c r="A1356" s="16"/>
      <c r="B1356" s="1320"/>
      <c r="C1356" s="1042"/>
      <c r="D1356" s="1402"/>
      <c r="E1356" s="1857"/>
      <c r="F1356" s="1403"/>
      <c r="G1356" s="1362"/>
      <c r="H1356" s="1359"/>
      <c r="I1356" s="198"/>
      <c r="J1356" s="6"/>
      <c r="K1356" s="1307"/>
      <c r="L1356" s="1335"/>
      <c r="M1356" s="1499"/>
      <c r="N1356" s="1701"/>
      <c r="O1356" s="1290"/>
      <c r="P1356" s="1332"/>
      <c r="Q1356" s="3391"/>
      <c r="R1356" s="2337"/>
      <c r="S1356" s="16"/>
      <c r="T1356" s="16"/>
      <c r="U1356" s="16"/>
      <c r="V1356" s="16"/>
    </row>
    <row r="1357" spans="1:22">
      <c r="A1357" s="16"/>
      <c r="B1357" s="1320"/>
      <c r="C1357" s="1042"/>
      <c r="D1357" s="1411"/>
      <c r="E1357" s="2123"/>
      <c r="F1357" s="1374" t="s">
        <v>3</v>
      </c>
      <c r="G1357" s="1374"/>
      <c r="H1357" s="1376"/>
      <c r="I1357" s="1382"/>
      <c r="J1357" s="1383"/>
      <c r="K1357" s="1373"/>
      <c r="L1357" s="1413"/>
      <c r="M1357" s="1505"/>
      <c r="N1357" s="1505"/>
      <c r="O1357" s="1376"/>
      <c r="P1357" s="1413"/>
      <c r="Q1357" s="3387"/>
      <c r="R1357" s="2337"/>
      <c r="S1357" s="16"/>
      <c r="T1357" s="16"/>
      <c r="U1357" s="16"/>
      <c r="V1357" s="16"/>
    </row>
    <row r="1358" spans="1:22">
      <c r="A1358" s="16"/>
      <c r="B1358" s="1320"/>
      <c r="C1358" s="1042"/>
      <c r="D1358" s="1412"/>
      <c r="E1358" s="2124"/>
      <c r="F1358" s="1378"/>
      <c r="G1358" s="1378"/>
      <c r="H1358" s="1379"/>
      <c r="I1358" s="198"/>
      <c r="J1358" s="6"/>
      <c r="K1358" s="1307"/>
      <c r="L1358" s="1335"/>
      <c r="M1358" s="1499"/>
      <c r="N1358" s="1701"/>
      <c r="O1358" s="1290"/>
      <c r="P1358" s="1332"/>
      <c r="Q1358" s="3391"/>
      <c r="R1358" s="2337"/>
      <c r="S1358" s="16"/>
      <c r="T1358" s="16"/>
      <c r="U1358" s="16"/>
      <c r="V1358" s="16"/>
    </row>
    <row r="1359" spans="1:22">
      <c r="A1359" s="16"/>
      <c r="B1359" s="1320"/>
      <c r="C1359" s="1042"/>
      <c r="D1359" s="1440"/>
      <c r="E1359" s="2132"/>
      <c r="F1359" s="1441"/>
      <c r="G1359" s="1441"/>
      <c r="H1359" s="1442"/>
      <c r="I1359" s="197"/>
      <c r="J1359" s="198"/>
      <c r="K1359" s="1307"/>
      <c r="L1359" s="1335"/>
      <c r="M1359" s="1499"/>
      <c r="N1359" s="1701"/>
      <c r="O1359" s="1290"/>
      <c r="P1359" s="1332"/>
      <c r="Q1359" s="3391"/>
      <c r="R1359" s="2337"/>
      <c r="S1359" s="16"/>
      <c r="T1359" s="16"/>
      <c r="U1359" s="16"/>
      <c r="V1359" s="16"/>
    </row>
    <row r="1360" spans="1:22">
      <c r="A1360" s="16"/>
      <c r="B1360" s="225"/>
      <c r="C1360" s="223"/>
      <c r="D1360" s="1440"/>
      <c r="E1360" s="2132"/>
      <c r="F1360" s="1441"/>
      <c r="G1360" s="1441"/>
      <c r="H1360" s="1442"/>
      <c r="I1360" s="197"/>
      <c r="J1360" s="198"/>
      <c r="K1360" s="1307"/>
      <c r="L1360" s="1335"/>
      <c r="M1360" s="1499"/>
      <c r="N1360" s="1701"/>
      <c r="O1360" s="1290"/>
      <c r="P1360" s="1332"/>
      <c r="Q1360" s="3391"/>
      <c r="R1360" s="2337"/>
      <c r="S1360" s="16"/>
      <c r="T1360" s="16"/>
      <c r="U1360" s="16"/>
      <c r="V1360" s="16"/>
    </row>
    <row r="1361" spans="1:22" ht="15" customHeight="1">
      <c r="A1361" s="16" t="s">
        <v>3764</v>
      </c>
      <c r="B1361" s="4325" t="s">
        <v>1661</v>
      </c>
      <c r="C1361" s="3350"/>
      <c r="D1361" s="4327"/>
      <c r="E1361" s="4329" t="s">
        <v>1507</v>
      </c>
      <c r="F1361" s="4336" t="s">
        <v>1706</v>
      </c>
      <c r="G1361" s="4331" t="s">
        <v>1568</v>
      </c>
      <c r="H1361" s="4331" t="s">
        <v>1574</v>
      </c>
      <c r="I1361" s="1572" t="s">
        <v>1559</v>
      </c>
      <c r="J1361" s="1294" t="s">
        <v>1560</v>
      </c>
      <c r="K1361" s="1294" t="s">
        <v>1561</v>
      </c>
      <c r="L1361" s="4333" t="s">
        <v>3765</v>
      </c>
      <c r="M1361" s="4335" t="s">
        <v>1571</v>
      </c>
      <c r="N1361" s="4323" t="s">
        <v>1776</v>
      </c>
      <c r="O1361" s="3347" t="s">
        <v>1563</v>
      </c>
      <c r="P1361" s="1336" t="s">
        <v>1562</v>
      </c>
      <c r="Q1361" s="3389"/>
      <c r="R1361" s="1699" t="s">
        <v>1327</v>
      </c>
      <c r="S1361" s="16"/>
      <c r="T1361" s="16"/>
      <c r="U1361" s="16"/>
      <c r="V1361" s="16"/>
    </row>
    <row r="1362" spans="1:22">
      <c r="A1362" s="16" t="s">
        <v>2786</v>
      </c>
      <c r="B1362" s="4326"/>
      <c r="C1362" s="3351"/>
      <c r="D1362" s="4328"/>
      <c r="E1362" s="4389"/>
      <c r="F1362" s="4336"/>
      <c r="G1362" s="4332"/>
      <c r="H1362" s="4332"/>
      <c r="I1362" s="1345">
        <v>1058.4000000000001</v>
      </c>
      <c r="J1362" s="1307">
        <v>1E-3</v>
      </c>
      <c r="K1362" s="1307">
        <f>I1362*J1362</f>
        <v>1.0584</v>
      </c>
      <c r="L1362" s="4334"/>
      <c r="M1362" s="4335"/>
      <c r="N1362" s="4324"/>
      <c r="O1362" s="1298">
        <f>SUM(O1364:O1375)</f>
        <v>8.9870400000000004</v>
      </c>
      <c r="P1362" s="1337">
        <f>O1362*K1362</f>
        <v>9.5118831359999998</v>
      </c>
      <c r="Q1362" s="3390"/>
      <c r="R1362" s="1721">
        <f>SUM(P1364:P1376)</f>
        <v>9.5118831359999998</v>
      </c>
      <c r="S1362" s="16"/>
      <c r="T1362" s="16"/>
      <c r="U1362" s="16"/>
      <c r="V1362" s="16"/>
    </row>
    <row r="1363" spans="1:22">
      <c r="A1363" s="16"/>
      <c r="B1363" s="1327"/>
      <c r="C1363" s="1327"/>
      <c r="D1363" s="1400"/>
      <c r="E1363" s="2121"/>
      <c r="F1363" s="1368" t="s">
        <v>1</v>
      </c>
      <c r="G1363" s="1417"/>
      <c r="H1363" s="1390"/>
      <c r="I1363" s="1554"/>
      <c r="J1363" s="1367"/>
      <c r="K1363" s="1367"/>
      <c r="L1363" s="1554"/>
      <c r="M1363" s="1369"/>
      <c r="N1363" s="1369"/>
      <c r="O1363" s="1369"/>
      <c r="P1363" s="1367"/>
      <c r="Q1363" s="3387"/>
      <c r="R1363" s="2337"/>
      <c r="S1363" s="16"/>
      <c r="T1363" s="16"/>
      <c r="U1363" s="16"/>
      <c r="V1363" s="16"/>
    </row>
    <row r="1364" spans="1:22">
      <c r="A1364" s="16"/>
      <c r="B1364" s="1320"/>
      <c r="C1364" s="1042"/>
      <c r="D1364" s="1761" t="s">
        <v>1215</v>
      </c>
      <c r="E1364" s="2170" t="s">
        <v>1357</v>
      </c>
      <c r="F1364" s="1761" t="s">
        <v>1699</v>
      </c>
      <c r="G1364" s="1762">
        <v>0.45</v>
      </c>
      <c r="H1364" s="1762"/>
      <c r="I1364" s="27"/>
      <c r="J1364" s="6"/>
      <c r="K1364" s="1307">
        <f>G1364*$K$1362</f>
        <v>0.47628000000000004</v>
      </c>
      <c r="L1364" s="1335">
        <f>K1364*$K$1255</f>
        <v>0</v>
      </c>
      <c r="M1364" s="1499">
        <v>1.7</v>
      </c>
      <c r="N1364" s="1701"/>
      <c r="O1364" s="1290">
        <f>(G1364*M1364)</f>
        <v>0.76500000000000001</v>
      </c>
      <c r="P1364" s="1332">
        <f>M1364*K1364</f>
        <v>0.80967600000000006</v>
      </c>
      <c r="Q1364" s="3391"/>
      <c r="R1364" s="2337"/>
      <c r="S1364" s="16"/>
      <c r="T1364" s="16"/>
      <c r="U1364" s="16"/>
      <c r="V1364" s="16"/>
    </row>
    <row r="1365" spans="1:22">
      <c r="A1365" s="16"/>
      <c r="B1365" s="1320"/>
      <c r="C1365" s="1042"/>
      <c r="D1365" s="1761" t="s">
        <v>1214</v>
      </c>
      <c r="E1365" s="2170" t="s">
        <v>1357</v>
      </c>
      <c r="F1365" s="1761" t="s">
        <v>1700</v>
      </c>
      <c r="G1365" s="1762">
        <v>0.35</v>
      </c>
      <c r="H1365" s="1762"/>
      <c r="I1365" s="27"/>
      <c r="J1365" s="198"/>
      <c r="K1365" s="1307">
        <f>G1365*$K$1362</f>
        <v>0.37043999999999999</v>
      </c>
      <c r="L1365" s="1335">
        <f>K1365*$K$1255</f>
        <v>0</v>
      </c>
      <c r="M1365" s="1499">
        <v>4.2</v>
      </c>
      <c r="N1365" s="1701"/>
      <c r="O1365" s="1290">
        <f>(G1365*M1365)</f>
        <v>1.47</v>
      </c>
      <c r="P1365" s="1332">
        <f>M1365*K1365</f>
        <v>1.5558480000000001</v>
      </c>
      <c r="Q1365" s="3391"/>
      <c r="R1365" s="2337"/>
      <c r="S1365" s="16"/>
      <c r="T1365" s="16"/>
      <c r="U1365" s="16"/>
      <c r="V1365" s="16"/>
    </row>
    <row r="1366" spans="1:22">
      <c r="A1366" s="16"/>
      <c r="B1366" s="1320"/>
      <c r="C1366" s="1042"/>
      <c r="D1366" s="1761" t="s">
        <v>1701</v>
      </c>
      <c r="E1366" s="2170" t="s">
        <v>1504</v>
      </c>
      <c r="F1366" s="1761" t="s">
        <v>1541</v>
      </c>
      <c r="G1366" s="1762">
        <v>0.2</v>
      </c>
      <c r="H1366" s="1762"/>
      <c r="I1366" s="27"/>
      <c r="J1366" s="10"/>
      <c r="K1366" s="1307">
        <f>G1366*$K$1362</f>
        <v>0.21168000000000001</v>
      </c>
      <c r="L1366" s="1335">
        <f>K1366*$K$1255</f>
        <v>0</v>
      </c>
      <c r="M1366" s="1499">
        <v>0.3</v>
      </c>
      <c r="N1366" s="1701"/>
      <c r="O1366" s="1290">
        <f>(G1366*M1366)</f>
        <v>0.06</v>
      </c>
      <c r="P1366" s="1332">
        <f>M1366*K1366</f>
        <v>6.3504000000000005E-2</v>
      </c>
      <c r="Q1366" s="3391"/>
      <c r="R1366" s="2337"/>
      <c r="S1366" s="16"/>
      <c r="T1366" s="16"/>
      <c r="U1366" s="16"/>
      <c r="V1366" s="16"/>
    </row>
    <row r="1367" spans="1:22">
      <c r="A1367" s="16"/>
      <c r="B1367" s="1320"/>
      <c r="C1367" s="1042"/>
      <c r="D1367" s="1367"/>
      <c r="E1367" s="1856"/>
      <c r="F1367" s="1421"/>
      <c r="G1367" s="1399"/>
      <c r="H1367" s="1399"/>
      <c r="I1367" s="1289"/>
      <c r="J1367" s="198"/>
      <c r="K1367" s="1307"/>
      <c r="L1367" s="1335"/>
      <c r="M1367" s="1499"/>
      <c r="N1367" s="1701"/>
      <c r="O1367" s="1290"/>
      <c r="P1367" s="1332"/>
      <c r="Q1367" s="3391"/>
      <c r="R1367" s="2337"/>
      <c r="S1367" s="16"/>
      <c r="T1367" s="16"/>
      <c r="U1367" s="16"/>
      <c r="V1367" s="16"/>
    </row>
    <row r="1368" spans="1:22">
      <c r="A1368" s="16"/>
      <c r="B1368" s="1320"/>
      <c r="C1368" s="1042"/>
      <c r="D1368" s="1367"/>
      <c r="E1368" s="1856"/>
      <c r="F1368" s="1421"/>
      <c r="G1368" s="1399"/>
      <c r="H1368" s="1399"/>
      <c r="I1368" s="1289"/>
      <c r="J1368" s="198"/>
      <c r="K1368" s="1307"/>
      <c r="L1368" s="1335"/>
      <c r="M1368" s="1499"/>
      <c r="N1368" s="1701"/>
      <c r="O1368" s="1290"/>
      <c r="P1368" s="1332"/>
      <c r="Q1368" s="3391"/>
      <c r="R1368" s="2337"/>
      <c r="S1368" s="16"/>
      <c r="T1368" s="16"/>
      <c r="U1368" s="16"/>
      <c r="V1368" s="16"/>
    </row>
    <row r="1369" spans="1:22">
      <c r="A1369" s="16"/>
      <c r="B1369" s="1320"/>
      <c r="C1369" s="1320"/>
      <c r="D1369" s="1410"/>
      <c r="E1369" s="1858"/>
      <c r="F1369" s="1360" t="s">
        <v>2</v>
      </c>
      <c r="G1369" s="1362"/>
      <c r="H1369" s="1362"/>
      <c r="I1369" s="1380"/>
      <c r="J1369" s="1381"/>
      <c r="K1369" s="1359"/>
      <c r="L1369" s="1458"/>
      <c r="M1369" s="1502"/>
      <c r="N1369" s="1502"/>
      <c r="O1369" s="1362"/>
      <c r="P1369" s="1359"/>
      <c r="Q1369" s="3387"/>
      <c r="R1369" s="2337"/>
      <c r="S1369" s="16"/>
      <c r="T1369" s="16"/>
      <c r="U1369" s="16"/>
      <c r="V1369" s="16"/>
    </row>
    <row r="1370" spans="1:22">
      <c r="A1370" s="16"/>
      <c r="B1370" s="1320"/>
      <c r="C1370" s="1042"/>
      <c r="D1370" s="1624" t="s">
        <v>1702</v>
      </c>
      <c r="E1370" s="2158" t="s">
        <v>1508</v>
      </c>
      <c r="F1370" s="1624" t="s">
        <v>1703</v>
      </c>
      <c r="G1370" s="1625">
        <v>0.34799999999999998</v>
      </c>
      <c r="H1370" s="1625"/>
      <c r="I1370" s="198"/>
      <c r="J1370" s="6"/>
      <c r="K1370" s="1307">
        <f>G1370*K1362</f>
        <v>0.36832319999999996</v>
      </c>
      <c r="L1370" s="1335">
        <f>K1370*$K$1255</f>
        <v>0</v>
      </c>
      <c r="M1370" s="1499">
        <v>19.23</v>
      </c>
      <c r="N1370" s="1701"/>
      <c r="O1370" s="1290">
        <f>(G1370*M1370)</f>
        <v>6.6920399999999995</v>
      </c>
      <c r="P1370" s="1332">
        <f>M1370*K1370</f>
        <v>7.0828551359999992</v>
      </c>
      <c r="Q1370" s="3391"/>
      <c r="R1370" s="2337"/>
      <c r="S1370" s="16"/>
      <c r="T1370" s="16"/>
      <c r="U1370" s="16"/>
      <c r="V1370" s="16"/>
    </row>
    <row r="1371" spans="1:22">
      <c r="A1371" s="16"/>
      <c r="B1371" s="1320"/>
      <c r="C1371" s="1042"/>
      <c r="D1371" s="1402"/>
      <c r="E1371" s="1857"/>
      <c r="F1371" s="1645"/>
      <c r="G1371" s="1359"/>
      <c r="H1371" s="1359"/>
      <c r="I1371" s="198"/>
      <c r="J1371" s="6"/>
      <c r="K1371" s="1306"/>
      <c r="L1371" s="1646"/>
      <c r="M1371" s="1499"/>
      <c r="N1371" s="1499"/>
      <c r="O1371" s="1291"/>
      <c r="P1371" s="1332"/>
      <c r="Q1371" s="3391"/>
      <c r="R1371" s="2337"/>
      <c r="S1371" s="16"/>
      <c r="T1371" s="16"/>
      <c r="U1371" s="16"/>
      <c r="V1371" s="16"/>
    </row>
    <row r="1372" spans="1:22">
      <c r="A1372" s="16"/>
      <c r="B1372" s="1320"/>
      <c r="C1372" s="1042"/>
      <c r="D1372" s="1402"/>
      <c r="E1372" s="1857"/>
      <c r="F1372" s="1403"/>
      <c r="G1372" s="1362"/>
      <c r="H1372" s="1359"/>
      <c r="I1372" s="198"/>
      <c r="J1372" s="6"/>
      <c r="K1372" s="1307"/>
      <c r="L1372" s="1335"/>
      <c r="M1372" s="1499"/>
      <c r="N1372" s="1701"/>
      <c r="O1372" s="1290"/>
      <c r="P1372" s="1332"/>
      <c r="Q1372" s="3391"/>
      <c r="R1372" s="2337"/>
      <c r="S1372" s="16"/>
      <c r="T1372" s="16"/>
      <c r="U1372" s="16"/>
      <c r="V1372" s="16"/>
    </row>
    <row r="1373" spans="1:22">
      <c r="A1373" s="16"/>
      <c r="B1373" s="1320"/>
      <c r="C1373" s="1042"/>
      <c r="D1373" s="1411"/>
      <c r="E1373" s="2123"/>
      <c r="F1373" s="1374" t="s">
        <v>3</v>
      </c>
      <c r="G1373" s="1374"/>
      <c r="H1373" s="1376"/>
      <c r="I1373" s="1382"/>
      <c r="J1373" s="1383"/>
      <c r="K1373" s="1373"/>
      <c r="L1373" s="1413"/>
      <c r="M1373" s="1505"/>
      <c r="N1373" s="1505"/>
      <c r="O1373" s="1376"/>
      <c r="P1373" s="1413"/>
      <c r="Q1373" s="3387"/>
      <c r="R1373" s="2337"/>
      <c r="S1373" s="16"/>
      <c r="T1373" s="16"/>
      <c r="U1373" s="16"/>
      <c r="V1373" s="16"/>
    </row>
    <row r="1374" spans="1:22">
      <c r="A1374" s="16"/>
      <c r="B1374" s="1320"/>
      <c r="C1374" s="1042"/>
      <c r="D1374" s="1412"/>
      <c r="E1374" s="2124"/>
      <c r="F1374" s="1378"/>
      <c r="G1374" s="1378"/>
      <c r="H1374" s="1379"/>
      <c r="I1374" s="198"/>
      <c r="J1374" s="6"/>
      <c r="K1374" s="1307"/>
      <c r="L1374" s="1335"/>
      <c r="M1374" s="1499"/>
      <c r="N1374" s="1701"/>
      <c r="O1374" s="1290"/>
      <c r="P1374" s="1332"/>
      <c r="Q1374" s="3391"/>
      <c r="R1374" s="2337"/>
      <c r="S1374" s="16"/>
      <c r="T1374" s="16"/>
      <c r="U1374" s="16"/>
      <c r="V1374" s="16"/>
    </row>
    <row r="1375" spans="1:22">
      <c r="A1375" s="16"/>
      <c r="B1375" s="1320"/>
      <c r="C1375" s="1042"/>
      <c r="D1375" s="1440"/>
      <c r="E1375" s="2132"/>
      <c r="F1375" s="1441"/>
      <c r="G1375" s="1441"/>
      <c r="H1375" s="1442"/>
      <c r="I1375" s="197"/>
      <c r="J1375" s="198"/>
      <c r="K1375" s="1307"/>
      <c r="L1375" s="1335"/>
      <c r="M1375" s="1499"/>
      <c r="N1375" s="1701"/>
      <c r="O1375" s="1290"/>
      <c r="P1375" s="1332"/>
      <c r="Q1375" s="3391"/>
      <c r="R1375" s="2337"/>
      <c r="S1375" s="16"/>
      <c r="T1375" s="16"/>
      <c r="U1375" s="16"/>
      <c r="V1375" s="16"/>
    </row>
    <row r="1376" spans="1:22">
      <c r="A1376" s="16"/>
      <c r="B1376" s="225"/>
      <c r="C1376" s="223"/>
      <c r="D1376" s="1440"/>
      <c r="E1376" s="2132"/>
      <c r="F1376" s="1441"/>
      <c r="G1376" s="1441"/>
      <c r="H1376" s="1442"/>
      <c r="I1376" s="197"/>
      <c r="J1376" s="198"/>
      <c r="K1376" s="1307"/>
      <c r="L1376" s="1335"/>
      <c r="M1376" s="1499"/>
      <c r="N1376" s="1701"/>
      <c r="O1376" s="1290"/>
      <c r="P1376" s="1332"/>
      <c r="Q1376" s="3391"/>
      <c r="R1376" s="2337"/>
      <c r="S1376" s="16"/>
      <c r="T1376" s="16"/>
      <c r="U1376" s="16"/>
      <c r="V1376" s="16"/>
    </row>
    <row r="1377" spans="1:22">
      <c r="A1377" s="16"/>
      <c r="F1377" s="16"/>
      <c r="G1377" s="16"/>
      <c r="H1377" s="16"/>
      <c r="I1377" s="105"/>
      <c r="J1377" s="16"/>
      <c r="K1377" s="16"/>
      <c r="L1377" s="105"/>
      <c r="M1377" s="16"/>
      <c r="N1377" s="16"/>
      <c r="O1377" s="16"/>
      <c r="P1377" s="16"/>
      <c r="Q1377" s="3387"/>
      <c r="R1377" s="2337"/>
      <c r="S1377" s="16"/>
      <c r="T1377" s="16"/>
      <c r="U1377" s="16"/>
      <c r="V1377" s="16"/>
    </row>
    <row r="1378" spans="1:22" s="16" customFormat="1" ht="31">
      <c r="D1378" s="1295"/>
      <c r="E1378" s="2159"/>
      <c r="F1378" s="1295"/>
      <c r="G1378" s="1295"/>
      <c r="H1378" s="1638"/>
      <c r="I1378" s="1561"/>
      <c r="J1378" s="13"/>
      <c r="K1378" s="1639"/>
      <c r="L1378" s="2402" t="s">
        <v>2856</v>
      </c>
      <c r="M1378" s="1292"/>
      <c r="N1378" s="1292"/>
      <c r="O1378" s="1292"/>
      <c r="P1378" s="1292"/>
      <c r="Q1378" s="3391"/>
      <c r="R1378" s="1296"/>
    </row>
    <row r="1379" spans="1:22">
      <c r="A1379" s="4393" t="s">
        <v>162</v>
      </c>
      <c r="B1379" s="4394"/>
      <c r="C1379" s="4394"/>
      <c r="D1379" s="4395"/>
      <c r="E1379" s="4396" t="s">
        <v>1549</v>
      </c>
      <c r="F1379" s="4397" t="s">
        <v>1550</v>
      </c>
      <c r="G1379" s="4399" t="s">
        <v>1566</v>
      </c>
      <c r="H1379" s="4400"/>
      <c r="I1379" s="4400"/>
      <c r="J1379" s="4400"/>
      <c r="K1379" s="4400"/>
      <c r="L1379" s="4401"/>
      <c r="M1379" s="4405" t="s">
        <v>1567</v>
      </c>
      <c r="N1379" s="4405"/>
      <c r="O1379" s="4405"/>
      <c r="P1379" s="4405"/>
      <c r="Q1379" s="3395"/>
      <c r="S1379" s="16"/>
      <c r="T1379" s="16"/>
      <c r="U1379" s="16"/>
      <c r="V1379" s="16"/>
    </row>
    <row r="1380" spans="1:22" ht="15" thickBot="1">
      <c r="A1380" s="1324" t="s">
        <v>3766</v>
      </c>
      <c r="B1380" s="1325" t="s">
        <v>1513</v>
      </c>
      <c r="C1380" s="1326" t="s">
        <v>1573</v>
      </c>
      <c r="D1380" s="1323" t="s">
        <v>1514</v>
      </c>
      <c r="E1380" s="4396"/>
      <c r="F1380" s="4398"/>
      <c r="G1380" s="4402"/>
      <c r="H1380" s="4403"/>
      <c r="I1380" s="4403"/>
      <c r="J1380" s="4403"/>
      <c r="K1380" s="4403"/>
      <c r="L1380" s="4404"/>
      <c r="M1380" s="4405"/>
      <c r="N1380" s="4405"/>
      <c r="O1380" s="4405"/>
      <c r="P1380" s="4405"/>
      <c r="Q1380" s="3395"/>
      <c r="S1380" s="16"/>
      <c r="T1380" s="16"/>
      <c r="U1380" s="16"/>
      <c r="V1380" s="16"/>
    </row>
    <row r="1381" spans="1:22">
      <c r="A1381" s="4374" t="s">
        <v>2785</v>
      </c>
      <c r="B1381" s="4375"/>
      <c r="C1381" s="4375"/>
      <c r="D1381" s="4376"/>
      <c r="E1381" s="4380" t="s">
        <v>1507</v>
      </c>
      <c r="F1381" s="4382" t="s">
        <v>1769</v>
      </c>
      <c r="G1381" s="4493" t="s">
        <v>294</v>
      </c>
      <c r="H1381" s="4493"/>
      <c r="I1381" s="1665" t="s">
        <v>1565</v>
      </c>
      <c r="J1381" s="3348" t="s">
        <v>1575</v>
      </c>
      <c r="K1381" s="4493" t="s">
        <v>289</v>
      </c>
      <c r="L1381" s="4493"/>
      <c r="M1381" s="4408" t="s">
        <v>3349</v>
      </c>
      <c r="N1381" s="4408"/>
      <c r="O1381" s="4408"/>
      <c r="P1381" s="4409"/>
      <c r="Q1381" s="4244" t="s">
        <v>3932</v>
      </c>
      <c r="S1381" s="16"/>
      <c r="T1381" s="16"/>
      <c r="U1381" s="16"/>
      <c r="V1381" s="16"/>
    </row>
    <row r="1382" spans="1:22" ht="16" thickBot="1">
      <c r="A1382" s="4377"/>
      <c r="B1382" s="4378"/>
      <c r="C1382" s="4378"/>
      <c r="D1382" s="4379"/>
      <c r="E1382" s="4381"/>
      <c r="F1382" s="4383"/>
      <c r="G1382" s="4451">
        <f>IF('Seleccion proyecto HEREVEA02'!G28="Reparación grietas en superficie ≤60%",'Seleccion proyecto HEREVEA02'!E26,0)</f>
        <v>0</v>
      </c>
      <c r="H1382" s="4452"/>
      <c r="I1382" s="3353">
        <f>IF('Seleccion proyecto HEREVEA02'!H28=0,0,IF('Seleccion proyecto HEREVEA02'!H28="1 a 30",0.3,IF('Seleccion proyecto HEREVEA02'!H28="31 a 60",0.6,IF('Seleccion proyecto HEREVEA02'!H28="61 a 100",0))))</f>
        <v>0</v>
      </c>
      <c r="J1382" s="1351">
        <f>'Seleccion proyecto HEREVEA02'!L8</f>
        <v>11100.968999999999</v>
      </c>
      <c r="K1382" s="4358">
        <f>G1382*I1382*J1382</f>
        <v>0</v>
      </c>
      <c r="L1382" s="4359"/>
      <c r="M1382" s="4360">
        <f>P1384+P1398+P1412+P1440+P1470+P1489+P1505+P1525</f>
        <v>72.18323703882001</v>
      </c>
      <c r="N1382" s="4361"/>
      <c r="O1382" s="4361"/>
      <c r="P1382" s="4362"/>
      <c r="Q1382" s="4245">
        <f>M1382*K1382</f>
        <v>0</v>
      </c>
      <c r="R1382" s="2342"/>
      <c r="S1382" s="16"/>
      <c r="T1382" s="16"/>
      <c r="U1382" s="16"/>
      <c r="V1382" s="16"/>
    </row>
    <row r="1383" spans="1:22" ht="15" customHeight="1">
      <c r="A1383" s="1327" t="s">
        <v>3764</v>
      </c>
      <c r="B1383" s="4367" t="s">
        <v>1654</v>
      </c>
      <c r="C1383" s="3354"/>
      <c r="D1383" s="4368"/>
      <c r="E1383" s="4329" t="s">
        <v>1507</v>
      </c>
      <c r="F1383" s="4336" t="s">
        <v>1664</v>
      </c>
      <c r="G1383" s="4331" t="s">
        <v>1568</v>
      </c>
      <c r="H1383" s="4331" t="s">
        <v>1574</v>
      </c>
      <c r="I1383" s="1572" t="s">
        <v>1559</v>
      </c>
      <c r="J1383" s="1294" t="s">
        <v>1560</v>
      </c>
      <c r="K1383" s="1294" t="s">
        <v>1569</v>
      </c>
      <c r="L1383" s="4333" t="s">
        <v>3765</v>
      </c>
      <c r="M1383" s="4335" t="s">
        <v>1571</v>
      </c>
      <c r="N1383" s="4323" t="s">
        <v>1776</v>
      </c>
      <c r="O1383" s="3347" t="s">
        <v>1563</v>
      </c>
      <c r="P1383" s="1336" t="s">
        <v>1562</v>
      </c>
      <c r="Q1383" s="3389"/>
      <c r="R1383" s="1699" t="s">
        <v>1327</v>
      </c>
      <c r="S1383" s="16"/>
      <c r="T1383" s="16"/>
      <c r="U1383" s="16"/>
      <c r="V1383" s="16"/>
    </row>
    <row r="1384" spans="1:22">
      <c r="A1384" s="1662" t="s">
        <v>2785</v>
      </c>
      <c r="B1384" s="4369"/>
      <c r="C1384" s="3351"/>
      <c r="D1384" s="4328"/>
      <c r="E1384" s="4330"/>
      <c r="F1384" s="4336"/>
      <c r="G1384" s="4332"/>
      <c r="H1384" s="4332"/>
      <c r="I1384" s="1345">
        <v>172.8</v>
      </c>
      <c r="J1384" s="1307">
        <v>1E-3</v>
      </c>
      <c r="K1384" s="1307">
        <f>I1384*J1384</f>
        <v>0.17280000000000001</v>
      </c>
      <c r="L1384" s="4334"/>
      <c r="M1384" s="4335"/>
      <c r="N1384" s="4324"/>
      <c r="O1384" s="1298">
        <f>SUM(O1386:O1395)</f>
        <v>11.479840000000001</v>
      </c>
      <c r="P1384" s="1337">
        <f>O1384*K1384</f>
        <v>1.9837163520000003</v>
      </c>
      <c r="Q1384" s="3390"/>
      <c r="R1384" s="1721">
        <f>SUM(P1386:P1395)</f>
        <v>1.9837163520000001</v>
      </c>
      <c r="S1384" s="16"/>
      <c r="T1384" s="16"/>
      <c r="U1384" s="16"/>
      <c r="V1384" s="16"/>
    </row>
    <row r="1385" spans="1:22">
      <c r="A1385" s="1320"/>
      <c r="B1385" s="22"/>
      <c r="C1385" s="1327"/>
      <c r="D1385" s="1367"/>
      <c r="E1385" s="2121"/>
      <c r="F1385" s="1389" t="s">
        <v>1</v>
      </c>
      <c r="G1385" s="1389"/>
      <c r="H1385" s="1369"/>
      <c r="I1385" s="1409"/>
      <c r="J1385" s="1390"/>
      <c r="K1385" s="1391"/>
      <c r="L1385" s="1559"/>
      <c r="M1385" s="1369"/>
      <c r="N1385" s="1369"/>
      <c r="O1385" s="1369"/>
      <c r="P1385" s="1392"/>
      <c r="Q1385" s="3395"/>
      <c r="R1385" s="1173"/>
      <c r="S1385" s="16"/>
      <c r="T1385" s="16"/>
      <c r="U1385" s="16"/>
      <c r="V1385" s="16"/>
    </row>
    <row r="1386" spans="1:22">
      <c r="A1386" s="1320"/>
      <c r="B1386" s="22"/>
      <c r="C1386" s="1042"/>
      <c r="D1386" s="1668"/>
      <c r="E1386" s="2166"/>
      <c r="F1386" s="1668"/>
      <c r="G1386" s="1418"/>
      <c r="H1386" s="1372"/>
      <c r="I1386" s="198" t="str">
        <f t="shared" ref="I1386:I1388" ca="1" si="82">IF(COUNT(H1386:O1386)=0,"",(SUM(H1386:O1386)/COUNT(H1386:O1386)))</f>
        <v/>
      </c>
      <c r="J1386" s="6"/>
      <c r="K1386" s="1307" t="str">
        <f t="shared" ref="K1386:K1388" ca="1" si="83">IF(COUNT(I1386)=0,"",(I1386*J1386))</f>
        <v/>
      </c>
      <c r="L1386" s="1335"/>
      <c r="M1386" s="1499"/>
      <c r="N1386" s="1701"/>
      <c r="O1386" s="1290"/>
      <c r="P1386" s="1332"/>
      <c r="Q1386" s="3391"/>
      <c r="R1386" s="2338"/>
      <c r="S1386" s="16"/>
      <c r="T1386" s="16"/>
      <c r="U1386" s="16"/>
      <c r="V1386" s="16"/>
    </row>
    <row r="1387" spans="1:22">
      <c r="A1387" s="1320"/>
      <c r="B1387" s="22"/>
      <c r="C1387" s="1042"/>
      <c r="D1387" s="1668"/>
      <c r="E1387" s="2166"/>
      <c r="F1387" s="1668"/>
      <c r="G1387" s="1418"/>
      <c r="H1387" s="1372"/>
      <c r="I1387" s="198" t="str">
        <f t="shared" ca="1" si="82"/>
        <v/>
      </c>
      <c r="J1387" s="6"/>
      <c r="K1387" s="1307" t="str">
        <f t="shared" ca="1" si="83"/>
        <v/>
      </c>
      <c r="L1387" s="1335"/>
      <c r="M1387" s="1499"/>
      <c r="N1387" s="1701"/>
      <c r="O1387" s="1290"/>
      <c r="P1387" s="1332"/>
      <c r="Q1387" s="3391"/>
      <c r="R1387" s="2338"/>
      <c r="S1387" s="16"/>
      <c r="T1387" s="16"/>
      <c r="U1387" s="16"/>
      <c r="V1387" s="16"/>
    </row>
    <row r="1388" spans="1:22">
      <c r="A1388" s="1320"/>
      <c r="B1388" s="22"/>
      <c r="C1388" s="1042"/>
      <c r="D1388" s="1668"/>
      <c r="E1388" s="2166"/>
      <c r="F1388" s="1668"/>
      <c r="G1388" s="1418"/>
      <c r="H1388" s="1372"/>
      <c r="I1388" s="198" t="str">
        <f t="shared" ca="1" si="82"/>
        <v/>
      </c>
      <c r="J1388" s="6"/>
      <c r="K1388" s="1307" t="str">
        <f t="shared" ca="1" si="83"/>
        <v/>
      </c>
      <c r="L1388" s="1335"/>
      <c r="M1388" s="1499"/>
      <c r="N1388" s="1701"/>
      <c r="O1388" s="1290"/>
      <c r="P1388" s="1332"/>
      <c r="Q1388" s="3391"/>
      <c r="R1388" s="2338"/>
      <c r="S1388" s="16"/>
      <c r="T1388" s="16"/>
      <c r="U1388" s="16"/>
      <c r="V1388" s="16"/>
    </row>
    <row r="1389" spans="1:22">
      <c r="A1389" s="1320"/>
      <c r="B1389" s="22"/>
      <c r="C1389" s="1042"/>
      <c r="D1389" s="1359"/>
      <c r="E1389" s="1858"/>
      <c r="F1389" s="1360" t="s">
        <v>2</v>
      </c>
      <c r="G1389" s="1360"/>
      <c r="H1389" s="1362"/>
      <c r="I1389" s="1380"/>
      <c r="J1389" s="1381"/>
      <c r="K1389" s="1381"/>
      <c r="L1389" s="1458"/>
      <c r="M1389" s="1362"/>
      <c r="N1389" s="1362"/>
      <c r="O1389" s="1362"/>
      <c r="P1389" s="1359"/>
      <c r="Q1389" s="3387"/>
      <c r="R1389" s="3363"/>
      <c r="S1389" s="16"/>
      <c r="T1389" s="16"/>
      <c r="U1389" s="16"/>
      <c r="V1389" s="16"/>
    </row>
    <row r="1390" spans="1:22">
      <c r="A1390" s="1321"/>
      <c r="B1390" s="1295"/>
      <c r="C1390" s="1321"/>
      <c r="D1390" s="1363" t="s">
        <v>1067</v>
      </c>
      <c r="E1390" s="2125" t="s">
        <v>1508</v>
      </c>
      <c r="F1390" s="1385" t="s">
        <v>1512</v>
      </c>
      <c r="G1390" s="1386">
        <v>0.628</v>
      </c>
      <c r="H1390" s="1386"/>
      <c r="I1390" s="1299"/>
      <c r="J1390" s="1300"/>
      <c r="K1390" s="1307">
        <f>G1390*K1384</f>
        <v>0.1085184</v>
      </c>
      <c r="L1390" s="1335">
        <f>K1390*$K$1382</f>
        <v>0</v>
      </c>
      <c r="M1390" s="1302">
        <v>18.28</v>
      </c>
      <c r="N1390" s="1700"/>
      <c r="O1390" s="1290">
        <f>G1390*M1390</f>
        <v>11.479840000000001</v>
      </c>
      <c r="P1390" s="1332">
        <f>M1390*K1390</f>
        <v>1.9837163520000001</v>
      </c>
      <c r="Q1390" s="3391"/>
      <c r="R1390" s="2342"/>
      <c r="S1390" s="17"/>
      <c r="T1390" s="17"/>
      <c r="U1390" s="16"/>
      <c r="V1390" s="16"/>
    </row>
    <row r="1391" spans="1:22">
      <c r="A1391" s="1320"/>
      <c r="B1391" s="22"/>
      <c r="C1391" s="1320"/>
      <c r="D1391" s="1363"/>
      <c r="E1391" s="2125"/>
      <c r="F1391" s="1385"/>
      <c r="G1391" s="1385"/>
      <c r="H1391" s="1386"/>
      <c r="I1391" s="1299"/>
      <c r="J1391" s="1300"/>
      <c r="K1391" s="1307" t="str">
        <f>IF(COUNT(I1391)=0,"",(I1391*J1391))</f>
        <v/>
      </c>
      <c r="L1391" s="1335"/>
      <c r="M1391" s="1302"/>
      <c r="N1391" s="1700"/>
      <c r="O1391" s="1290"/>
      <c r="P1391" s="1332"/>
      <c r="Q1391" s="3391"/>
      <c r="R1391" s="2337"/>
      <c r="S1391" s="105"/>
      <c r="T1391" s="105"/>
      <c r="U1391" s="16"/>
      <c r="V1391" s="16"/>
    </row>
    <row r="1392" spans="1:22">
      <c r="A1392" s="1320"/>
      <c r="B1392" s="22"/>
      <c r="C1392" s="1320"/>
      <c r="D1392" s="1363"/>
      <c r="E1392" s="2125"/>
      <c r="F1392" s="1385"/>
      <c r="G1392" s="1385"/>
      <c r="H1392" s="1386"/>
      <c r="I1392" s="1299"/>
      <c r="J1392" s="1300"/>
      <c r="K1392" s="1307" t="str">
        <f>IF(COUNT(I1392)=0,"",(I1392*J1392))</f>
        <v/>
      </c>
      <c r="L1392" s="1335"/>
      <c r="M1392" s="1302"/>
      <c r="N1392" s="1700"/>
      <c r="O1392" s="1290"/>
      <c r="P1392" s="1332"/>
      <c r="Q1392" s="3391"/>
      <c r="R1392" s="3363"/>
      <c r="S1392" s="16"/>
      <c r="T1392" s="16"/>
      <c r="U1392" s="16"/>
      <c r="V1392" s="16"/>
    </row>
    <row r="1393" spans="1:22">
      <c r="A1393" s="1320"/>
      <c r="B1393" s="22"/>
      <c r="C1393" s="1320"/>
      <c r="D1393" s="1373"/>
      <c r="E1393" s="2123"/>
      <c r="F1393" s="1374" t="s">
        <v>3</v>
      </c>
      <c r="G1393" s="1375"/>
      <c r="H1393" s="1376"/>
      <c r="I1393" s="1382"/>
      <c r="J1393" s="1383"/>
      <c r="K1393" s="1383" t="str">
        <f>IF(COUNT(I1393)=0,"",(I1393*J1393))</f>
        <v/>
      </c>
      <c r="L1393" s="1413"/>
      <c r="M1393" s="1376"/>
      <c r="N1393" s="1376"/>
      <c r="O1393" s="1376"/>
      <c r="P1393" s="1373"/>
      <c r="Q1393" s="3387"/>
      <c r="R1393" s="3363"/>
      <c r="S1393" s="16"/>
      <c r="T1393" s="16"/>
      <c r="U1393" s="16"/>
      <c r="V1393" s="16"/>
    </row>
    <row r="1394" spans="1:22">
      <c r="A1394" s="1321"/>
      <c r="B1394" s="1295"/>
      <c r="C1394" s="1321"/>
      <c r="D1394" s="1377"/>
      <c r="E1394" s="2124"/>
      <c r="F1394" s="1378"/>
      <c r="G1394" s="1378"/>
      <c r="H1394" s="1379"/>
      <c r="I1394" s="1299"/>
      <c r="J1394" s="1300"/>
      <c r="K1394" s="1307"/>
      <c r="L1394" s="1335"/>
      <c r="M1394" s="1302"/>
      <c r="N1394" s="1700"/>
      <c r="O1394" s="1290"/>
      <c r="P1394" s="1332"/>
      <c r="Q1394" s="3391"/>
      <c r="R1394" s="2342"/>
      <c r="S1394" s="16"/>
      <c r="T1394" s="16"/>
      <c r="U1394" s="16"/>
      <c r="V1394" s="16"/>
    </row>
    <row r="1395" spans="1:22">
      <c r="A1395" s="1321"/>
      <c r="B1395" s="1295"/>
      <c r="C1395" s="1321"/>
      <c r="D1395" s="1377"/>
      <c r="E1395" s="2124"/>
      <c r="F1395" s="1378"/>
      <c r="G1395" s="1378"/>
      <c r="H1395" s="1379"/>
      <c r="I1395" s="1299"/>
      <c r="J1395" s="1300"/>
      <c r="K1395" s="1307"/>
      <c r="L1395" s="1335"/>
      <c r="M1395" s="1302"/>
      <c r="N1395" s="1700"/>
      <c r="O1395" s="1290"/>
      <c r="P1395" s="1333"/>
      <c r="Q1395" s="3391"/>
      <c r="R1395" s="2342"/>
      <c r="S1395" s="16"/>
      <c r="T1395" s="16"/>
      <c r="U1395" s="16"/>
      <c r="V1395" s="16"/>
    </row>
    <row r="1396" spans="1:22">
      <c r="A1396" s="1320"/>
      <c r="B1396" s="22"/>
      <c r="C1396" s="1042"/>
      <c r="D1396" s="1377"/>
      <c r="E1396" s="2124"/>
      <c r="F1396" s="1378"/>
      <c r="G1396" s="1378"/>
      <c r="H1396" s="1379"/>
      <c r="I1396" s="1299"/>
      <c r="J1396" s="1300"/>
      <c r="K1396" s="1307"/>
      <c r="L1396" s="1335"/>
      <c r="M1396" s="1302"/>
      <c r="N1396" s="1700"/>
      <c r="O1396" s="1290"/>
      <c r="P1396" s="1333"/>
      <c r="Q1396" s="3391"/>
      <c r="R1396" s="3363"/>
      <c r="S1396" s="16"/>
      <c r="T1396" s="16"/>
      <c r="U1396" s="16"/>
      <c r="V1396" s="16"/>
    </row>
    <row r="1397" spans="1:22" ht="15" customHeight="1">
      <c r="A1397" s="1042" t="s">
        <v>3764</v>
      </c>
      <c r="B1397" s="4325" t="s">
        <v>1735</v>
      </c>
      <c r="C1397" s="3350"/>
      <c r="D1397" s="4327" t="s">
        <v>1551</v>
      </c>
      <c r="E1397" s="4329" t="s">
        <v>1507</v>
      </c>
      <c r="F1397" s="4336" t="s">
        <v>1771</v>
      </c>
      <c r="G1397" s="4331" t="s">
        <v>1568</v>
      </c>
      <c r="H1397" s="4331" t="s">
        <v>1574</v>
      </c>
      <c r="I1397" s="1572" t="s">
        <v>1559</v>
      </c>
      <c r="J1397" s="1294" t="s">
        <v>1560</v>
      </c>
      <c r="K1397" s="1294" t="s">
        <v>1561</v>
      </c>
      <c r="L1397" s="4333" t="s">
        <v>3765</v>
      </c>
      <c r="M1397" s="4335" t="s">
        <v>1571</v>
      </c>
      <c r="N1397" s="4323" t="s">
        <v>1776</v>
      </c>
      <c r="O1397" s="3347" t="s">
        <v>1563</v>
      </c>
      <c r="P1397" s="1336" t="s">
        <v>1562</v>
      </c>
      <c r="Q1397" s="3389"/>
      <c r="R1397" s="1699" t="s">
        <v>1327</v>
      </c>
      <c r="S1397" s="16"/>
      <c r="T1397" s="16"/>
      <c r="U1397" s="16"/>
      <c r="V1397" s="16"/>
    </row>
    <row r="1398" spans="1:22">
      <c r="A1398" s="1662" t="s">
        <v>2785</v>
      </c>
      <c r="B1398" s="4326"/>
      <c r="C1398" s="3354"/>
      <c r="D1398" s="4328"/>
      <c r="E1398" s="4330"/>
      <c r="F1398" s="4336"/>
      <c r="G1398" s="4332"/>
      <c r="H1398" s="4332"/>
      <c r="I1398" s="1350">
        <v>1058.4000000000001</v>
      </c>
      <c r="J1398" s="1307">
        <v>1E-3</v>
      </c>
      <c r="K1398" s="1307">
        <f>I1398*J1398</f>
        <v>1.0584</v>
      </c>
      <c r="L1398" s="4334"/>
      <c r="M1398" s="4335"/>
      <c r="N1398" s="4324"/>
      <c r="O1398" s="1298">
        <f>SUM(O1400:O1410)</f>
        <v>8.6829999999999998</v>
      </c>
      <c r="P1398" s="1337">
        <f>O1398*K1398</f>
        <v>9.1900872000000007</v>
      </c>
      <c r="Q1398" s="3390"/>
      <c r="R1398" s="1721">
        <f>P1404</f>
        <v>9.1900872000000007</v>
      </c>
      <c r="S1398" s="16"/>
      <c r="T1398" s="16"/>
      <c r="U1398" s="16"/>
      <c r="V1398" s="16"/>
    </row>
    <row r="1399" spans="1:22">
      <c r="A1399" s="1320"/>
      <c r="B1399" s="22"/>
      <c r="C1399" s="18"/>
      <c r="D1399" s="1400"/>
      <c r="E1399" s="2121"/>
      <c r="F1399" s="1368" t="s">
        <v>1</v>
      </c>
      <c r="G1399" s="1368"/>
      <c r="H1399" s="1423"/>
      <c r="I1399" s="1667"/>
      <c r="J1399" s="1424"/>
      <c r="K1399" s="1425"/>
      <c r="L1399" s="1560"/>
      <c r="M1399" s="1426"/>
      <c r="N1399" s="1426"/>
      <c r="O1399" s="1427"/>
      <c r="P1399" s="1427"/>
      <c r="Q1399" s="3397"/>
      <c r="R1399" s="3363"/>
      <c r="S1399" s="16"/>
      <c r="T1399" s="16"/>
      <c r="U1399" s="16"/>
      <c r="V1399" s="16"/>
    </row>
    <row r="1400" spans="1:22">
      <c r="A1400" s="1320"/>
      <c r="B1400" s="22"/>
      <c r="C1400" s="1320"/>
      <c r="D1400" s="1400"/>
      <c r="E1400" s="1856"/>
      <c r="F1400" s="1397"/>
      <c r="G1400" s="1416"/>
      <c r="H1400" s="1399"/>
      <c r="I1400" s="197"/>
      <c r="J1400" s="198"/>
      <c r="K1400" s="1307"/>
      <c r="L1400" s="1335"/>
      <c r="M1400" s="1499"/>
      <c r="N1400" s="1701"/>
      <c r="O1400" s="1290"/>
      <c r="P1400" s="1332"/>
      <c r="Q1400" s="3391"/>
      <c r="R1400" s="3363"/>
      <c r="S1400" s="16"/>
      <c r="T1400" s="16"/>
      <c r="U1400" s="16"/>
      <c r="V1400" s="16"/>
    </row>
    <row r="1401" spans="1:22">
      <c r="A1401" s="1320"/>
      <c r="B1401" s="22"/>
      <c r="C1401" s="1320"/>
      <c r="D1401" s="1400"/>
      <c r="E1401" s="1856"/>
      <c r="F1401" s="1397"/>
      <c r="G1401" s="1416"/>
      <c r="H1401" s="1399"/>
      <c r="I1401" s="197"/>
      <c r="J1401" s="198"/>
      <c r="K1401" s="1307"/>
      <c r="L1401" s="1335"/>
      <c r="M1401" s="1499"/>
      <c r="N1401" s="1701"/>
      <c r="O1401" s="1290"/>
      <c r="P1401" s="1332"/>
      <c r="Q1401" s="3391"/>
      <c r="R1401" s="3363"/>
      <c r="S1401" s="16"/>
      <c r="T1401" s="16"/>
      <c r="U1401" s="16"/>
      <c r="V1401" s="16"/>
    </row>
    <row r="1402" spans="1:22">
      <c r="A1402" s="1320"/>
      <c r="B1402" s="22"/>
      <c r="C1402" s="1320"/>
      <c r="D1402" s="1400"/>
      <c r="E1402" s="1856"/>
      <c r="F1402" s="1397"/>
      <c r="G1402" s="1416"/>
      <c r="H1402" s="1399"/>
      <c r="I1402" s="197"/>
      <c r="J1402" s="198"/>
      <c r="K1402" s="1307"/>
      <c r="L1402" s="1335"/>
      <c r="M1402" s="1499"/>
      <c r="N1402" s="1701"/>
      <c r="O1402" s="1290"/>
      <c r="P1402" s="1332"/>
      <c r="Q1402" s="3391"/>
      <c r="R1402" s="3363"/>
      <c r="S1402" s="16"/>
      <c r="T1402" s="16"/>
      <c r="U1402" s="16"/>
      <c r="V1402" s="16"/>
    </row>
    <row r="1403" spans="1:22">
      <c r="A1403" s="1320"/>
      <c r="B1403" s="22"/>
      <c r="C1403" s="1320"/>
      <c r="D1403" s="1642"/>
      <c r="E1403" s="2162"/>
      <c r="F1403" s="1643" t="s">
        <v>2</v>
      </c>
      <c r="G1403" s="1407"/>
      <c r="H1403" s="1408"/>
      <c r="I1403" s="197"/>
      <c r="J1403" s="198"/>
      <c r="K1403" s="1307"/>
      <c r="L1403" s="1335"/>
      <c r="M1403" s="1499"/>
      <c r="N1403" s="1701"/>
      <c r="O1403" s="1290"/>
      <c r="P1403" s="1332"/>
      <c r="Q1403" s="3391"/>
      <c r="R1403" s="3363"/>
      <c r="S1403" s="16"/>
      <c r="T1403" s="16"/>
      <c r="U1403" s="16"/>
      <c r="V1403" s="16"/>
    </row>
    <row r="1404" spans="1:22">
      <c r="A1404" s="1320"/>
      <c r="B1404" s="22"/>
      <c r="C1404" s="1042"/>
      <c r="D1404" s="1754" t="s">
        <v>1067</v>
      </c>
      <c r="E1404" s="1853" t="s">
        <v>1508</v>
      </c>
      <c r="F1404" s="1754" t="s">
        <v>1512</v>
      </c>
      <c r="G1404" s="1408">
        <v>0.47499999999999998</v>
      </c>
      <c r="H1404" s="1408"/>
      <c r="I1404" s="197"/>
      <c r="J1404" s="198"/>
      <c r="K1404" s="1307">
        <f>G1404*$K$1398</f>
        <v>0.50273999999999996</v>
      </c>
      <c r="L1404" s="1335">
        <f>K1404*$K$1382</f>
        <v>0</v>
      </c>
      <c r="M1404" s="1499">
        <v>18.28</v>
      </c>
      <c r="N1404" s="1718"/>
      <c r="O1404" s="1719">
        <f>G1404*M1404</f>
        <v>8.6829999999999998</v>
      </c>
      <c r="P1404" s="1720">
        <f>M1404*K1404</f>
        <v>9.1900872000000007</v>
      </c>
      <c r="Q1404" s="3396"/>
      <c r="R1404" s="3363"/>
      <c r="S1404" s="16"/>
      <c r="T1404" s="16"/>
      <c r="U1404" s="16"/>
      <c r="V1404" s="16"/>
    </row>
    <row r="1405" spans="1:22">
      <c r="A1405" s="1320"/>
      <c r="B1405" s="22"/>
      <c r="C1405" s="1042"/>
      <c r="D1405" s="1402"/>
      <c r="E1405" s="1857"/>
      <c r="F1405" s="1403"/>
      <c r="G1405" s="1431"/>
      <c r="H1405" s="1362"/>
      <c r="I1405" s="198"/>
      <c r="J1405" s="6"/>
      <c r="K1405" s="1307"/>
      <c r="L1405" s="1335"/>
      <c r="M1405" s="1499"/>
      <c r="N1405" s="1703"/>
      <c r="O1405" s="1310"/>
      <c r="P1405" s="1332"/>
      <c r="Q1405" s="3391"/>
      <c r="R1405" s="2337"/>
      <c r="S1405" s="16"/>
      <c r="T1405" s="16"/>
      <c r="U1405" s="16"/>
      <c r="V1405" s="16"/>
    </row>
    <row r="1406" spans="1:22">
      <c r="A1406" s="1320"/>
      <c r="B1406" s="22"/>
      <c r="C1406" s="1042"/>
      <c r="D1406" s="1402"/>
      <c r="E1406" s="1857"/>
      <c r="F1406" s="1403"/>
      <c r="G1406" s="1431"/>
      <c r="H1406" s="1362"/>
      <c r="I1406" s="197"/>
      <c r="J1406" s="198"/>
      <c r="K1406" s="10"/>
      <c r="L1406" s="27"/>
      <c r="M1406" s="444"/>
      <c r="N1406" s="3362"/>
      <c r="O1406" s="1308"/>
      <c r="P1406" s="10"/>
      <c r="Q1406" s="3387"/>
      <c r="R1406" s="3363"/>
      <c r="S1406" s="105"/>
      <c r="T1406" s="105"/>
      <c r="U1406" s="16"/>
      <c r="V1406" s="16"/>
    </row>
    <row r="1407" spans="1:22">
      <c r="A1407" s="1320"/>
      <c r="B1407" s="22"/>
      <c r="C1407" s="1042"/>
      <c r="D1407" s="1411"/>
      <c r="E1407" s="2123"/>
      <c r="F1407" s="1374" t="s">
        <v>3</v>
      </c>
      <c r="G1407" s="1374"/>
      <c r="H1407" s="1376"/>
      <c r="I1407" s="1382"/>
      <c r="J1407" s="1383"/>
      <c r="K1407" s="1373"/>
      <c r="L1407" s="1413"/>
      <c r="M1407" s="1376"/>
      <c r="N1407" s="1432"/>
      <c r="O1407" s="1432"/>
      <c r="P1407" s="1373"/>
      <c r="Q1407" s="3387"/>
      <c r="R1407" s="3363"/>
      <c r="S1407" s="16"/>
      <c r="T1407" s="16"/>
      <c r="U1407" s="16"/>
      <c r="V1407" s="16"/>
    </row>
    <row r="1408" spans="1:22">
      <c r="A1408" s="1320"/>
      <c r="B1408" s="22"/>
      <c r="C1408" s="1042"/>
      <c r="D1408" s="1440"/>
      <c r="E1408" s="2132"/>
      <c r="F1408" s="1441"/>
      <c r="G1408" s="1441"/>
      <c r="H1408" s="1442"/>
      <c r="I1408" s="197" t="str">
        <f ca="1">IF(COUNT(H1408:O1408)=0,"",(SUM(H1408:O1408)/COUNT(H1408:O1408)))</f>
        <v/>
      </c>
      <c r="J1408" s="198"/>
      <c r="K1408" s="1307"/>
      <c r="L1408" s="1335"/>
      <c r="M1408" s="1499"/>
      <c r="N1408" s="1701"/>
      <c r="O1408" s="1290"/>
      <c r="P1408" s="1332"/>
      <c r="Q1408" s="3391"/>
      <c r="R1408" s="3363"/>
      <c r="S1408" s="16"/>
      <c r="T1408" s="16"/>
      <c r="U1408" s="16"/>
      <c r="V1408" s="16"/>
    </row>
    <row r="1409" spans="1:22">
      <c r="A1409" s="1320"/>
      <c r="B1409" s="22"/>
      <c r="C1409" s="1042"/>
      <c r="D1409" s="1440"/>
      <c r="E1409" s="2132"/>
      <c r="F1409" s="1441"/>
      <c r="G1409" s="1441"/>
      <c r="H1409" s="1442"/>
      <c r="I1409" s="197" t="str">
        <f ca="1">IF(COUNT(H1409:O1409)=0,"",(SUM(H1409:O1409)/COUNT(H1409:O1409)))</f>
        <v/>
      </c>
      <c r="J1409" s="198"/>
      <c r="K1409" s="1307"/>
      <c r="L1409" s="1335"/>
      <c r="M1409" s="1499"/>
      <c r="N1409" s="1701"/>
      <c r="O1409" s="1290"/>
      <c r="P1409" s="1332"/>
      <c r="Q1409" s="3391"/>
      <c r="R1409" s="3363"/>
      <c r="S1409" s="16"/>
      <c r="T1409" s="16"/>
      <c r="U1409" s="16"/>
      <c r="V1409" s="16"/>
    </row>
    <row r="1410" spans="1:22">
      <c r="A1410" s="1320"/>
      <c r="B1410" s="22"/>
      <c r="C1410" s="223"/>
      <c r="D1410" s="1440"/>
      <c r="E1410" s="2132"/>
      <c r="F1410" s="1441"/>
      <c r="G1410" s="1441"/>
      <c r="H1410" s="1442"/>
      <c r="I1410" s="197" t="str">
        <f ca="1">IF(COUNT(H1410:O1410)=0,"",(SUM(H1410:O1410)/COUNT(H1410:O1410)))</f>
        <v/>
      </c>
      <c r="J1410" s="198"/>
      <c r="K1410" s="1307"/>
      <c r="L1410" s="1335"/>
      <c r="M1410" s="1499"/>
      <c r="N1410" s="1701"/>
      <c r="O1410" s="1290"/>
      <c r="P1410" s="1332"/>
      <c r="Q1410" s="3391"/>
      <c r="R1410" s="3363"/>
      <c r="S1410" s="16"/>
      <c r="T1410" s="16"/>
      <c r="U1410" s="16"/>
      <c r="V1410" s="16"/>
    </row>
    <row r="1411" spans="1:22" ht="15" customHeight="1">
      <c r="A1411" s="1042" t="s">
        <v>3764</v>
      </c>
      <c r="B1411" s="4367" t="s">
        <v>1736</v>
      </c>
      <c r="C1411" s="3354"/>
      <c r="D1411" s="4327"/>
      <c r="E1411" s="4329" t="s">
        <v>1527</v>
      </c>
      <c r="F1411" s="4336" t="s">
        <v>1772</v>
      </c>
      <c r="G1411" s="4331" t="s">
        <v>1568</v>
      </c>
      <c r="H1411" s="4331" t="s">
        <v>1574</v>
      </c>
      <c r="I1411" s="1572" t="s">
        <v>1559</v>
      </c>
      <c r="J1411" s="1294" t="s">
        <v>1560</v>
      </c>
      <c r="K1411" s="1294" t="s">
        <v>1561</v>
      </c>
      <c r="L1411" s="4333" t="s">
        <v>3765</v>
      </c>
      <c r="M1411" s="4335" t="s">
        <v>1571</v>
      </c>
      <c r="N1411" s="4323" t="s">
        <v>1776</v>
      </c>
      <c r="O1411" s="3347" t="s">
        <v>1563</v>
      </c>
      <c r="P1411" s="1336" t="s">
        <v>1562</v>
      </c>
      <c r="Q1411" s="3389"/>
      <c r="R1411" s="1699" t="s">
        <v>1327</v>
      </c>
      <c r="S1411" s="1773" t="s">
        <v>1789</v>
      </c>
      <c r="T1411" s="16"/>
      <c r="U1411" s="16"/>
      <c r="V1411" s="16"/>
    </row>
    <row r="1412" spans="1:22">
      <c r="A1412" s="1662" t="s">
        <v>2785</v>
      </c>
      <c r="B1412" s="4369"/>
      <c r="C1412" s="3351"/>
      <c r="D1412" s="4328"/>
      <c r="E1412" s="4330"/>
      <c r="F1412" s="4336"/>
      <c r="G1412" s="4332"/>
      <c r="H1412" s="4332"/>
      <c r="I1412" s="1345">
        <v>1169.6400000000001</v>
      </c>
      <c r="J1412" s="1307">
        <v>1E-3</v>
      </c>
      <c r="K1412" s="1307">
        <f>I1412*J1412</f>
        <v>1.1696400000000002</v>
      </c>
      <c r="L1412" s="4334"/>
      <c r="M1412" s="4335"/>
      <c r="N1412" s="4324"/>
      <c r="O1412" s="1298">
        <f>O1414+O1415+O1416+O1420+O1424+O1432</f>
        <v>29.121884700000003</v>
      </c>
      <c r="P1412" s="1337">
        <f>O1412*K1412</f>
        <v>34.062121220508011</v>
      </c>
      <c r="Q1412" s="3390"/>
      <c r="R1412" s="1721">
        <f>P1414+P1415+P1416+P1420+P1424+P1432</f>
        <v>34.062121220508004</v>
      </c>
      <c r="S1412" s="16"/>
      <c r="T1412" s="16"/>
      <c r="U1412" s="16"/>
      <c r="V1412" s="16"/>
    </row>
    <row r="1413" spans="1:22">
      <c r="A1413" s="1320"/>
      <c r="B1413" s="22"/>
      <c r="C1413" s="18"/>
      <c r="D1413" s="1400"/>
      <c r="E1413" s="2121"/>
      <c r="F1413" s="1368" t="s">
        <v>1</v>
      </c>
      <c r="G1413" s="1368"/>
      <c r="H1413" s="1369"/>
      <c r="I1413" s="1391"/>
      <c r="J1413" s="1369"/>
      <c r="K1413" s="1367"/>
      <c r="L1413" s="1554"/>
      <c r="M1413" s="1369"/>
      <c r="N1413" s="1369"/>
      <c r="O1413" s="1369"/>
      <c r="P1413" s="1367"/>
      <c r="Q1413" s="3387"/>
      <c r="R1413" s="2344"/>
      <c r="S1413" s="16"/>
      <c r="T1413" s="16"/>
      <c r="U1413" s="16"/>
      <c r="V1413" s="16"/>
    </row>
    <row r="1414" spans="1:22">
      <c r="A1414" s="1320"/>
      <c r="B1414" s="22"/>
      <c r="C1414" s="1042"/>
      <c r="D1414" s="1767" t="s">
        <v>1784</v>
      </c>
      <c r="E1414" s="1849" t="s">
        <v>1521</v>
      </c>
      <c r="F1414" s="1654" t="s">
        <v>1785</v>
      </c>
      <c r="G1414" s="1567">
        <v>1E-3</v>
      </c>
      <c r="H1414" s="1567"/>
      <c r="I1414" s="1286"/>
      <c r="J1414" s="198"/>
      <c r="K1414" s="1307">
        <f>G1414*$K$1412</f>
        <v>1.1696400000000002E-3</v>
      </c>
      <c r="L1414" s="1335">
        <f>K1414*$K$1382</f>
        <v>0</v>
      </c>
      <c r="M1414" s="1302">
        <v>263.83</v>
      </c>
      <c r="N1414" s="1700"/>
      <c r="O1414" s="1290">
        <f>G1414*M1414</f>
        <v>0.26383000000000001</v>
      </c>
      <c r="P1414" s="1332">
        <f>M1414*K1414</f>
        <v>0.30858612120000006</v>
      </c>
      <c r="Q1414" s="3391"/>
      <c r="R1414" s="2337"/>
      <c r="S1414" s="16"/>
      <c r="T1414" s="16"/>
      <c r="U1414" s="16"/>
      <c r="V1414" s="16"/>
    </row>
    <row r="1415" spans="1:22">
      <c r="A1415" s="1320"/>
      <c r="B1415" s="22"/>
      <c r="C1415" s="1042"/>
      <c r="D1415" s="1769" t="s">
        <v>1786</v>
      </c>
      <c r="E1415" s="1850" t="s">
        <v>1787</v>
      </c>
      <c r="F1415" s="1770" t="s">
        <v>1788</v>
      </c>
      <c r="G1415" s="1771">
        <v>1.1000000000000001</v>
      </c>
      <c r="H1415" s="1771"/>
      <c r="I1415" s="1286"/>
      <c r="J1415" s="198"/>
      <c r="K1415" s="1307">
        <f>G1415*$K$1412</f>
        <v>1.2866040000000003</v>
      </c>
      <c r="L1415" s="1335">
        <f>K1415*$K$1382</f>
        <v>0</v>
      </c>
      <c r="M1415" s="1302">
        <v>1.53</v>
      </c>
      <c r="N1415" s="1700"/>
      <c r="O1415" s="1290">
        <f>G1415*M1415</f>
        <v>1.6830000000000003</v>
      </c>
      <c r="P1415" s="1332">
        <f>M1415*K1415</f>
        <v>1.9685041200000004</v>
      </c>
      <c r="Q1415" s="3391"/>
      <c r="R1415" s="2337"/>
      <c r="S1415" s="16"/>
      <c r="T1415" s="16"/>
      <c r="U1415" s="16"/>
      <c r="V1415" s="16"/>
    </row>
    <row r="1416" spans="1:22">
      <c r="A1416" s="1320"/>
      <c r="B1416" s="22"/>
      <c r="C1416" s="1356" t="s">
        <v>1128</v>
      </c>
      <c r="D1416" s="1585"/>
      <c r="E1416" s="1851" t="s">
        <v>1517</v>
      </c>
      <c r="F1416" s="1774" t="s">
        <v>1695</v>
      </c>
      <c r="G1416" s="1776"/>
      <c r="H1416" s="1776">
        <v>1.2E-2</v>
      </c>
      <c r="I1416" s="1388"/>
      <c r="J1416" s="1366"/>
      <c r="K1416" s="1510"/>
      <c r="L1416" s="1445"/>
      <c r="M1416" s="1447"/>
      <c r="N1416" s="1447">
        <f>SUM(N1417:N1419)</f>
        <v>104.27969999999999</v>
      </c>
      <c r="O1416" s="1447">
        <f>SUM(O1417:O1419)</f>
        <v>1.2513564000000001</v>
      </c>
      <c r="P1416" s="1446">
        <f>SUM(P1417:P1419)</f>
        <v>1.4636364996960003</v>
      </c>
      <c r="Q1416" s="3391"/>
      <c r="R1416" s="2337"/>
      <c r="S1416" s="16"/>
      <c r="T1416" s="16"/>
      <c r="U1416" s="16"/>
      <c r="V1416" s="16"/>
    </row>
    <row r="1417" spans="1:22">
      <c r="A1417" s="1320"/>
      <c r="B1417" s="22"/>
      <c r="C1417" s="1042"/>
      <c r="D1417" s="1752" t="s">
        <v>1779</v>
      </c>
      <c r="E1417" s="1852" t="s">
        <v>1577</v>
      </c>
      <c r="F1417" s="1752" t="s">
        <v>1780</v>
      </c>
      <c r="G1417" s="1775">
        <v>0.876</v>
      </c>
      <c r="H1417" s="1453">
        <f>$H$1416*G1417</f>
        <v>1.0512000000000001E-2</v>
      </c>
      <c r="I1417" s="197"/>
      <c r="J1417" s="198"/>
      <c r="K1417" s="1307">
        <f>H1417*$K$1412</f>
        <v>1.2295255680000002E-2</v>
      </c>
      <c r="L1417" s="1335">
        <f>K1417*$K$1382</f>
        <v>0</v>
      </c>
      <c r="M1417" s="1759">
        <v>56.05</v>
      </c>
      <c r="N1417" s="1718">
        <f>G1417*M1417</f>
        <v>49.099799999999995</v>
      </c>
      <c r="O1417" s="1719">
        <f>H1417*M1417</f>
        <v>0.58919759999999999</v>
      </c>
      <c r="P1417" s="1720">
        <f>M1417*K1417</f>
        <v>0.68914908086400006</v>
      </c>
      <c r="Q1417" s="3396"/>
      <c r="R1417" s="2337"/>
      <c r="S1417" s="16"/>
      <c r="T1417" s="16"/>
      <c r="U1417" s="16"/>
      <c r="V1417" s="16"/>
    </row>
    <row r="1418" spans="1:22">
      <c r="A1418" s="1320"/>
      <c r="B1418" s="22"/>
      <c r="C1418" s="1042"/>
      <c r="D1418" s="1752" t="s">
        <v>1069</v>
      </c>
      <c r="E1418" s="1852" t="s">
        <v>1517</v>
      </c>
      <c r="F1418" s="1752" t="s">
        <v>1578</v>
      </c>
      <c r="G1418" s="1753">
        <v>0.61799999999999999</v>
      </c>
      <c r="H1418" s="1453">
        <f>$H$1416*G1418</f>
        <v>7.4159999999999998E-3</v>
      </c>
      <c r="I1418" s="27"/>
      <c r="J1418" s="10"/>
      <c r="K1418" s="1307">
        <f>H1418*$K$1412</f>
        <v>8.6740502400000016E-3</v>
      </c>
      <c r="L1418" s="1335">
        <f>K1418*$K$1382</f>
        <v>0</v>
      </c>
      <c r="M1418" s="1759">
        <v>0.55000000000000004</v>
      </c>
      <c r="N1418" s="1718">
        <f>G1418*M1418</f>
        <v>0.33990000000000004</v>
      </c>
      <c r="O1418" s="1719">
        <f>H1418*M1418</f>
        <v>4.0788000000000005E-3</v>
      </c>
      <c r="P1418" s="1720">
        <f>M1418*K1418</f>
        <v>4.7707276320000016E-3</v>
      </c>
      <c r="Q1418" s="3396"/>
      <c r="R1418" s="2337"/>
      <c r="S1418" s="16"/>
      <c r="T1418" s="16"/>
      <c r="U1418" s="16"/>
      <c r="V1418" s="16"/>
    </row>
    <row r="1419" spans="1:22">
      <c r="A1419" s="1320"/>
      <c r="B1419" s="22"/>
      <c r="C1419" s="1042"/>
      <c r="D1419" s="1754" t="s">
        <v>1067</v>
      </c>
      <c r="E1419" s="1853" t="s">
        <v>1508</v>
      </c>
      <c r="F1419" s="1754" t="s">
        <v>1512</v>
      </c>
      <c r="G1419" s="1755">
        <v>3</v>
      </c>
      <c r="H1419" s="1454">
        <f>$H$1416*G1419</f>
        <v>3.6000000000000004E-2</v>
      </c>
      <c r="I1419" s="198"/>
      <c r="J1419" s="198"/>
      <c r="K1419" s="1307">
        <f>H1419*$K$1412</f>
        <v>4.2107040000000012E-2</v>
      </c>
      <c r="L1419" s="1335">
        <f>K1419*$K$1382</f>
        <v>0</v>
      </c>
      <c r="M1419" s="1759">
        <v>18.28</v>
      </c>
      <c r="N1419" s="1718">
        <f>G1419*M1419</f>
        <v>54.84</v>
      </c>
      <c r="O1419" s="1719">
        <f>H1419*M1419</f>
        <v>0.65808000000000011</v>
      </c>
      <c r="P1419" s="1720">
        <f>M1419*K1419</f>
        <v>0.7697166912000003</v>
      </c>
      <c r="Q1419" s="3396"/>
      <c r="R1419" s="2337"/>
      <c r="S1419" s="16"/>
      <c r="T1419" s="16"/>
      <c r="U1419" s="16"/>
      <c r="V1419" s="16"/>
    </row>
    <row r="1420" spans="1:22">
      <c r="A1420" s="1320"/>
      <c r="B1420" s="22"/>
      <c r="C1420" s="1356" t="s">
        <v>1152</v>
      </c>
      <c r="D1420" s="1311"/>
      <c r="E1420" s="1854" t="s">
        <v>1517</v>
      </c>
      <c r="F1420" s="1749" t="s">
        <v>1696</v>
      </c>
      <c r="G1420" s="1776"/>
      <c r="H1420" s="1688">
        <v>5.0000000000000001E-3</v>
      </c>
      <c r="I1420" s="1388"/>
      <c r="J1420" s="1388"/>
      <c r="K1420" s="1510"/>
      <c r="L1420" s="1445"/>
      <c r="M1420" s="1447"/>
      <c r="N1420" s="1447">
        <f>SUM(N1421:N1423)</f>
        <v>108.04650000000001</v>
      </c>
      <c r="O1420" s="1447">
        <f>SUM(O1421:O1423)</f>
        <v>0.54023250000000012</v>
      </c>
      <c r="P1420" s="1446">
        <f>SUM(P1421:P1423)</f>
        <v>0.63187754130000018</v>
      </c>
      <c r="Q1420" s="3391"/>
      <c r="R1420" s="2337"/>
      <c r="S1420" s="16"/>
      <c r="T1420" s="16"/>
      <c r="U1420" s="16"/>
      <c r="V1420" s="16"/>
    </row>
    <row r="1421" spans="1:22">
      <c r="A1421" s="1320"/>
      <c r="B1421" s="22"/>
      <c r="C1421" s="18"/>
      <c r="D1421" s="1756" t="s">
        <v>1781</v>
      </c>
      <c r="E1421" s="1852" t="s">
        <v>1577</v>
      </c>
      <c r="F1421" s="1752" t="s">
        <v>1782</v>
      </c>
      <c r="G1421" s="1753">
        <v>0.876</v>
      </c>
      <c r="H1421" s="1453">
        <f>$H$1420*G1421</f>
        <v>4.3800000000000002E-3</v>
      </c>
      <c r="I1421" s="198"/>
      <c r="J1421" s="198"/>
      <c r="K1421" s="1307">
        <f>H1421*$K$1412</f>
        <v>5.1230232000000009E-3</v>
      </c>
      <c r="L1421" s="1335">
        <f>K1421*$K$1382</f>
        <v>0</v>
      </c>
      <c r="M1421" s="1723">
        <v>60.35</v>
      </c>
      <c r="N1421" s="1718">
        <f>G1421*M1421</f>
        <v>52.866599999999998</v>
      </c>
      <c r="O1421" s="1719">
        <f>H1421*M1421</f>
        <v>0.26433300000000004</v>
      </c>
      <c r="P1421" s="1720">
        <f>M1421*K1421</f>
        <v>0.30917445012000005</v>
      </c>
      <c r="Q1421" s="3396"/>
      <c r="R1421" s="2337"/>
      <c r="S1421" s="16"/>
      <c r="T1421" s="16"/>
      <c r="U1421" s="16"/>
      <c r="V1421" s="16"/>
    </row>
    <row r="1422" spans="1:22">
      <c r="A1422" s="1320"/>
      <c r="B1422" s="22"/>
      <c r="C1422" s="1042"/>
      <c r="D1422" s="1756" t="s">
        <v>1069</v>
      </c>
      <c r="E1422" s="1852" t="s">
        <v>1517</v>
      </c>
      <c r="F1422" s="1752" t="s">
        <v>1578</v>
      </c>
      <c r="G1422" s="1753">
        <v>0.61799999999999999</v>
      </c>
      <c r="H1422" s="1453">
        <f>$H$1420*G1422</f>
        <v>3.0899999999999999E-3</v>
      </c>
      <c r="I1422" s="197"/>
      <c r="J1422" s="198"/>
      <c r="K1422" s="1307">
        <f>H1422*$K$1412</f>
        <v>3.6141876000000007E-3</v>
      </c>
      <c r="L1422" s="1335">
        <f>K1422*$K$1382</f>
        <v>0</v>
      </c>
      <c r="M1422" s="1723">
        <v>0.55000000000000004</v>
      </c>
      <c r="N1422" s="1718">
        <f>G1422*M1422</f>
        <v>0.33990000000000004</v>
      </c>
      <c r="O1422" s="1719">
        <f>H1422*M1422</f>
        <v>1.6995000000000001E-3</v>
      </c>
      <c r="P1422" s="1720">
        <f>M1422*K1422</f>
        <v>1.9878031800000004E-3</v>
      </c>
      <c r="Q1422" s="3396"/>
      <c r="R1422" s="2337"/>
      <c r="S1422" s="16"/>
      <c r="T1422" s="16"/>
      <c r="U1422" s="16"/>
      <c r="V1422" s="16"/>
    </row>
    <row r="1423" spans="1:22">
      <c r="A1423" s="1320"/>
      <c r="B1423" s="22"/>
      <c r="C1423" s="1042"/>
      <c r="D1423" s="1757" t="s">
        <v>1067</v>
      </c>
      <c r="E1423" s="1853" t="s">
        <v>1508</v>
      </c>
      <c r="F1423" s="1754" t="s">
        <v>1512</v>
      </c>
      <c r="G1423" s="1755">
        <v>3</v>
      </c>
      <c r="H1423" s="1454">
        <f>$H$1420*G1423</f>
        <v>1.4999999999999999E-2</v>
      </c>
      <c r="I1423" s="1289"/>
      <c r="J1423" s="198"/>
      <c r="K1423" s="1307">
        <f>H1423*$K$1412</f>
        <v>1.7544600000000004E-2</v>
      </c>
      <c r="L1423" s="1335">
        <f>K1423*$K$1382</f>
        <v>0</v>
      </c>
      <c r="M1423" s="1723">
        <v>18.28</v>
      </c>
      <c r="N1423" s="1718">
        <f>G1423*M1423</f>
        <v>54.84</v>
      </c>
      <c r="O1423" s="1719">
        <f>H1423*M1423</f>
        <v>0.2742</v>
      </c>
      <c r="P1423" s="1720">
        <f>M1423*K1423</f>
        <v>0.3207152880000001</v>
      </c>
      <c r="Q1423" s="3396"/>
      <c r="R1423" s="2338"/>
      <c r="S1423" s="16"/>
      <c r="T1423" s="16"/>
      <c r="U1423" s="16"/>
      <c r="V1423" s="16"/>
    </row>
    <row r="1424" spans="1:22">
      <c r="A1424" s="1320"/>
      <c r="B1424" s="22"/>
      <c r="C1424" s="1356" t="s">
        <v>1790</v>
      </c>
      <c r="D1424" s="1311"/>
      <c r="E1424" s="2137" t="s">
        <v>1517</v>
      </c>
      <c r="F1424" s="1319" t="s">
        <v>1791</v>
      </c>
      <c r="G1424" s="1776"/>
      <c r="H1424" s="1353">
        <v>0.01</v>
      </c>
      <c r="I1424" s="1444"/>
      <c r="J1424" s="1388"/>
      <c r="K1424" s="1445"/>
      <c r="L1424" s="1457"/>
      <c r="M1424" s="1446"/>
      <c r="N1424" s="1447">
        <f>SUM(N1425:N1429)</f>
        <v>76.906580000000005</v>
      </c>
      <c r="O1424" s="1447">
        <f>SUM(O1425:O1429)</f>
        <v>0.76906580000000013</v>
      </c>
      <c r="P1424" s="1447">
        <f>SUM(P1425:P1429)</f>
        <v>0.89953012231200014</v>
      </c>
      <c r="Q1424" s="3391"/>
      <c r="R1424" s="2338"/>
      <c r="S1424" s="631"/>
      <c r="T1424" s="631"/>
      <c r="U1424" s="16"/>
      <c r="V1424" s="16"/>
    </row>
    <row r="1425" spans="1:22">
      <c r="A1425" s="1320"/>
      <c r="B1425" s="22"/>
      <c r="C1425" s="1327"/>
      <c r="D1425" s="1752" t="s">
        <v>1069</v>
      </c>
      <c r="E1425" s="1852" t="s">
        <v>1517</v>
      </c>
      <c r="F1425" s="1752" t="s">
        <v>1578</v>
      </c>
      <c r="G1425" s="1753">
        <v>0.2</v>
      </c>
      <c r="H1425" s="1367">
        <f>$H$1424*G1425</f>
        <v>2E-3</v>
      </c>
      <c r="I1425" s="197"/>
      <c r="J1425" s="198"/>
      <c r="K1425" s="1307">
        <f>H1425*$K$1412</f>
        <v>2.3392800000000004E-3</v>
      </c>
      <c r="L1425" s="1335">
        <f>K1425*$K$1382</f>
        <v>0</v>
      </c>
      <c r="M1425" s="1759">
        <v>0.55000000000000004</v>
      </c>
      <c r="N1425" s="1718">
        <f>G1425*M1425</f>
        <v>0.11000000000000001</v>
      </c>
      <c r="O1425" s="1719">
        <f>H1425*M1425</f>
        <v>1.1000000000000001E-3</v>
      </c>
      <c r="P1425" s="1720">
        <f>M1425*K1425</f>
        <v>1.2866040000000004E-3</v>
      </c>
      <c r="Q1425" s="3396"/>
      <c r="R1425" s="2338"/>
      <c r="S1425" s="16"/>
      <c r="T1425" s="16"/>
      <c r="U1425" s="16"/>
      <c r="V1425" s="16"/>
    </row>
    <row r="1426" spans="1:22" s="22" customFormat="1">
      <c r="A1426" s="1320"/>
      <c r="C1426" s="1320"/>
      <c r="D1426" s="1752" t="s">
        <v>1792</v>
      </c>
      <c r="E1426" s="1852" t="s">
        <v>1577</v>
      </c>
      <c r="F1426" s="1752" t="s">
        <v>1793</v>
      </c>
      <c r="G1426" s="1753">
        <v>0.25</v>
      </c>
      <c r="H1426" s="1367">
        <f>$H$1424*G1426</f>
        <v>2.5000000000000001E-3</v>
      </c>
      <c r="I1426" s="197"/>
      <c r="J1426" s="198"/>
      <c r="K1426" s="1307">
        <f>H1426*$K$1412</f>
        <v>2.9241000000000007E-3</v>
      </c>
      <c r="L1426" s="1335">
        <f>K1426*$K$1382</f>
        <v>0</v>
      </c>
      <c r="M1426" s="1759">
        <v>85.09</v>
      </c>
      <c r="N1426" s="1718">
        <f>G1426*M1426</f>
        <v>21.272500000000001</v>
      </c>
      <c r="O1426" s="1719">
        <f>H1426*M1426</f>
        <v>0.21272500000000003</v>
      </c>
      <c r="P1426" s="1720">
        <f>M1426*K1426</f>
        <v>0.24881166900000007</v>
      </c>
      <c r="Q1426" s="3396"/>
      <c r="R1426" s="2338"/>
      <c r="S1426" s="16"/>
      <c r="T1426" s="16"/>
      <c r="U1426" s="16"/>
      <c r="V1426" s="16"/>
    </row>
    <row r="1427" spans="1:22">
      <c r="A1427" s="1320"/>
      <c r="B1427" s="22"/>
      <c r="C1427" s="1320"/>
      <c r="D1427" s="1752" t="s">
        <v>1394</v>
      </c>
      <c r="E1427" s="1852" t="s">
        <v>1577</v>
      </c>
      <c r="F1427" s="1752" t="s">
        <v>1579</v>
      </c>
      <c r="G1427" s="1753">
        <v>0.25</v>
      </c>
      <c r="H1427" s="1367">
        <f>$H$1424*G1427</f>
        <v>2.5000000000000001E-3</v>
      </c>
      <c r="I1427" s="197"/>
      <c r="J1427" s="198"/>
      <c r="K1427" s="1307">
        <f>H1427*$K$1412</f>
        <v>2.9241000000000007E-3</v>
      </c>
      <c r="L1427" s="1335">
        <f>K1427*$K$1382</f>
        <v>0</v>
      </c>
      <c r="M1427" s="1759">
        <v>92.54</v>
      </c>
      <c r="N1427" s="1718">
        <f>G1427*M1427</f>
        <v>23.135000000000002</v>
      </c>
      <c r="O1427" s="1719">
        <f>H1427*M1427</f>
        <v>0.23135000000000003</v>
      </c>
      <c r="P1427" s="1720">
        <f>M1427*K1427</f>
        <v>0.27059621400000006</v>
      </c>
      <c r="Q1427" s="3396"/>
      <c r="R1427" s="2343"/>
      <c r="S1427" s="16"/>
      <c r="T1427" s="16"/>
      <c r="U1427" s="16"/>
      <c r="V1427" s="16"/>
    </row>
    <row r="1428" spans="1:22">
      <c r="A1428" s="1320"/>
      <c r="B1428" s="22"/>
      <c r="C1428" s="1320"/>
      <c r="D1428" s="1777" t="s">
        <v>1576</v>
      </c>
      <c r="E1428" s="2167" t="s">
        <v>1517</v>
      </c>
      <c r="F1428" s="1752" t="s">
        <v>1580</v>
      </c>
      <c r="G1428" s="1753">
        <v>1.5</v>
      </c>
      <c r="H1428" s="1367">
        <f>$H$1424*G1428</f>
        <v>1.4999999999999999E-2</v>
      </c>
      <c r="I1428" s="197"/>
      <c r="J1428" s="198"/>
      <c r="K1428" s="1307">
        <f>H1428*$K$1412</f>
        <v>1.7544600000000004E-2</v>
      </c>
      <c r="L1428" s="1335">
        <f>K1428*$K$1382</f>
        <v>0</v>
      </c>
      <c r="M1428" s="1759">
        <v>6.53</v>
      </c>
      <c r="N1428" s="1718">
        <f>G1428*M1428</f>
        <v>9.7949999999999999</v>
      </c>
      <c r="O1428" s="1719">
        <f>H1428*M1428</f>
        <v>9.7949999999999995E-2</v>
      </c>
      <c r="P1428" s="1720">
        <f>M1428*K1428</f>
        <v>0.11456623800000003</v>
      </c>
      <c r="Q1428" s="3396"/>
      <c r="R1428" s="2338"/>
      <c r="S1428" s="17"/>
      <c r="T1428" s="17"/>
      <c r="U1428" s="16"/>
      <c r="V1428" s="16"/>
    </row>
    <row r="1429" spans="1:22">
      <c r="A1429" s="1320"/>
      <c r="B1429" s="22"/>
      <c r="C1429" s="1320"/>
      <c r="D1429" s="2257" t="s">
        <v>1067</v>
      </c>
      <c r="E1429" s="2258" t="s">
        <v>1508</v>
      </c>
      <c r="F1429" s="1756" t="s">
        <v>1512</v>
      </c>
      <c r="G1429" s="1778">
        <v>1.236</v>
      </c>
      <c r="H1429" s="1603">
        <f>$H$1424*G1429</f>
        <v>1.2359999999999999E-2</v>
      </c>
      <c r="I1429" s="1289">
        <f ca="1">IF(COUNT(I1429:O1429)=0,"",(SUM(I1429:O1429)/COUNT(I1429:O1429)))</f>
        <v>13.326298737745089</v>
      </c>
      <c r="J1429" s="1341"/>
      <c r="K1429" s="1307">
        <f>H1429*$K$1412</f>
        <v>1.4456750400000003E-2</v>
      </c>
      <c r="L1429" s="1335">
        <f>K1429*$K$1382</f>
        <v>0</v>
      </c>
      <c r="M1429" s="1759">
        <v>18.28</v>
      </c>
      <c r="N1429" s="1718">
        <f>G1429*M1429</f>
        <v>22.594080000000002</v>
      </c>
      <c r="O1429" s="1719">
        <f>H1429*M1429</f>
        <v>0.2259408</v>
      </c>
      <c r="P1429" s="1720">
        <f>M1429*K1429</f>
        <v>0.26426939731200005</v>
      </c>
      <c r="Q1429" s="3396"/>
      <c r="R1429" s="2338"/>
      <c r="S1429" s="17"/>
      <c r="T1429" s="17"/>
      <c r="U1429" s="16"/>
      <c r="V1429" s="16"/>
    </row>
    <row r="1430" spans="1:22">
      <c r="A1430" s="1320"/>
      <c r="B1430" s="22"/>
      <c r="C1430" s="1320"/>
      <c r="D1430" s="2257"/>
      <c r="E1430" s="2258"/>
      <c r="F1430" s="2256"/>
      <c r="G1430" s="2259"/>
      <c r="H1430" s="1603"/>
      <c r="I1430" s="1289"/>
      <c r="J1430" s="1341"/>
      <c r="K1430" s="1307"/>
      <c r="L1430" s="1335"/>
      <c r="M1430" s="1759"/>
      <c r="N1430" s="1718"/>
      <c r="O1430" s="1719"/>
      <c r="P1430" s="1720"/>
      <c r="Q1430" s="3396"/>
      <c r="R1430" s="2338"/>
      <c r="S1430" s="17"/>
      <c r="T1430" s="17"/>
      <c r="U1430" s="16"/>
      <c r="V1430" s="16"/>
    </row>
    <row r="1431" spans="1:22">
      <c r="A1431" s="1320"/>
      <c r="B1431" s="22"/>
      <c r="C1431" s="1320"/>
      <c r="D1431" s="1779"/>
      <c r="E1431" s="2168"/>
      <c r="F1431" s="1360" t="s">
        <v>2</v>
      </c>
      <c r="G1431" s="1780"/>
      <c r="H1431" s="1359"/>
      <c r="I1431" s="1380"/>
      <c r="J1431" s="1381"/>
      <c r="K1431" s="1679"/>
      <c r="L1431" s="1680"/>
      <c r="M1431" s="1781"/>
      <c r="N1431" s="1782"/>
      <c r="O1431" s="1782"/>
      <c r="P1431" s="1783"/>
      <c r="Q1431" s="3396"/>
      <c r="R1431" s="2338"/>
      <c r="S1431" s="17"/>
      <c r="T1431" s="17"/>
      <c r="U1431" s="16"/>
      <c r="V1431" s="16"/>
    </row>
    <row r="1432" spans="1:22">
      <c r="A1432" s="1320"/>
      <c r="B1432" s="22"/>
      <c r="C1432" s="1320"/>
      <c r="D1432" s="1437" t="s">
        <v>1153</v>
      </c>
      <c r="E1432" s="2134" t="s">
        <v>1508</v>
      </c>
      <c r="F1432" s="1788" t="s">
        <v>1783</v>
      </c>
      <c r="G1432" s="1789">
        <v>1.28</v>
      </c>
      <c r="H1432" s="1789"/>
      <c r="I1432" s="197"/>
      <c r="J1432" s="198"/>
      <c r="K1432" s="1307">
        <f>G1432*$K$1412</f>
        <v>1.4971392000000003</v>
      </c>
      <c r="L1432" s="1335">
        <f>K1432*$K$1382</f>
        <v>0</v>
      </c>
      <c r="M1432" s="1759">
        <v>19.23</v>
      </c>
      <c r="N1432" s="1718"/>
      <c r="O1432" s="1719">
        <f>(G1432*M1432)</f>
        <v>24.6144</v>
      </c>
      <c r="P1432" s="1720">
        <f>M1432*K1432</f>
        <v>28.789986816000006</v>
      </c>
      <c r="Q1432" s="3396"/>
      <c r="R1432" s="2338"/>
      <c r="S1432" s="17"/>
      <c r="T1432" s="17"/>
      <c r="U1432" s="16"/>
      <c r="V1432" s="16"/>
    </row>
    <row r="1433" spans="1:22">
      <c r="A1433" s="1320"/>
      <c r="B1433" s="1320"/>
      <c r="C1433" s="595"/>
      <c r="D1433" s="1437"/>
      <c r="E1433" s="2134"/>
      <c r="F1433" s="1790"/>
      <c r="G1433" s="1790"/>
      <c r="H1433" s="1791"/>
      <c r="I1433" s="197"/>
      <c r="J1433" s="198"/>
      <c r="K1433" s="1307"/>
      <c r="L1433" s="1335"/>
      <c r="M1433" s="1787"/>
      <c r="N1433" s="1718"/>
      <c r="O1433" s="1719"/>
      <c r="P1433" s="1720"/>
      <c r="Q1433" s="3396"/>
      <c r="R1433" s="2338"/>
      <c r="S1433" s="17"/>
      <c r="T1433" s="17"/>
      <c r="U1433" s="16"/>
      <c r="V1433" s="16"/>
    </row>
    <row r="1434" spans="1:22">
      <c r="A1434" s="1320"/>
      <c r="B1434" s="1320"/>
      <c r="C1434" s="595"/>
      <c r="D1434" s="1437"/>
      <c r="E1434" s="2134"/>
      <c r="F1434" s="1790"/>
      <c r="G1434" s="1790"/>
      <c r="H1434" s="1791"/>
      <c r="I1434" s="197"/>
      <c r="J1434" s="198"/>
      <c r="K1434" s="1307"/>
      <c r="L1434" s="1335"/>
      <c r="M1434" s="1787"/>
      <c r="N1434" s="1718"/>
      <c r="O1434" s="1719"/>
      <c r="P1434" s="1720"/>
      <c r="Q1434" s="3396"/>
      <c r="R1434" s="2338"/>
      <c r="S1434" s="17"/>
      <c r="T1434" s="17"/>
      <c r="U1434" s="16"/>
      <c r="V1434" s="16"/>
    </row>
    <row r="1435" spans="1:22">
      <c r="A1435" s="1320"/>
      <c r="B1435" s="1042"/>
      <c r="C1435" s="88"/>
      <c r="D1435" s="1373"/>
      <c r="E1435" s="2123"/>
      <c r="F1435" s="1374" t="s">
        <v>3</v>
      </c>
      <c r="G1435" s="1374"/>
      <c r="H1435" s="1376"/>
      <c r="I1435" s="1382" t="str">
        <f t="shared" ref="I1435" ca="1" si="84">IF(COUNT(H1435:O1435)=0,"",(SUM(H1435:O1435)/COUNT(H1435:O1435)))</f>
        <v/>
      </c>
      <c r="J1435" s="1383"/>
      <c r="K1435" s="1373"/>
      <c r="L1435" s="1413"/>
      <c r="M1435" s="1376"/>
      <c r="N1435" s="1376"/>
      <c r="O1435" s="1376"/>
      <c r="P1435" s="1413"/>
      <c r="Q1435" s="3387"/>
      <c r="R1435" s="2343"/>
      <c r="S1435" s="16"/>
      <c r="T1435" s="16"/>
      <c r="U1435" s="16"/>
      <c r="V1435" s="16"/>
    </row>
    <row r="1436" spans="1:22">
      <c r="A1436" s="1320"/>
      <c r="B1436" s="22"/>
      <c r="C1436" s="1320"/>
      <c r="D1436" s="1373"/>
      <c r="E1436" s="2260"/>
      <c r="F1436" s="2261"/>
      <c r="G1436" s="2262"/>
      <c r="H1436" s="1597"/>
      <c r="I1436" s="197"/>
      <c r="J1436" s="198"/>
      <c r="K1436" s="1307"/>
      <c r="L1436" s="1335"/>
      <c r="M1436" s="1302"/>
      <c r="N1436" s="1718"/>
      <c r="O1436" s="1719"/>
      <c r="P1436" s="1720"/>
      <c r="Q1436" s="3396"/>
      <c r="R1436" s="2338"/>
      <c r="S1436" s="17"/>
      <c r="T1436" s="17"/>
      <c r="U1436" s="16"/>
      <c r="V1436" s="16"/>
    </row>
    <row r="1437" spans="1:22">
      <c r="A1437" s="1320"/>
      <c r="B1437" s="22"/>
      <c r="C1437" s="1320"/>
      <c r="D1437" s="1373"/>
      <c r="E1437" s="2260"/>
      <c r="F1437" s="2261"/>
      <c r="G1437" s="2262"/>
      <c r="H1437" s="1597"/>
      <c r="I1437" s="197"/>
      <c r="J1437" s="198"/>
      <c r="K1437" s="1307"/>
      <c r="L1437" s="1335"/>
      <c r="M1437" s="1302"/>
      <c r="N1437" s="1718"/>
      <c r="O1437" s="1719"/>
      <c r="P1437" s="1720"/>
      <c r="Q1437" s="3396"/>
      <c r="R1437" s="2338"/>
      <c r="S1437" s="17"/>
      <c r="T1437" s="17"/>
      <c r="U1437" s="16"/>
      <c r="V1437" s="16"/>
    </row>
    <row r="1438" spans="1:22">
      <c r="A1438" s="1320"/>
      <c r="B1438" s="22"/>
      <c r="C1438" s="1320"/>
      <c r="D1438" s="1373"/>
      <c r="E1438" s="2260"/>
      <c r="F1438" s="2261"/>
      <c r="G1438" s="2262"/>
      <c r="H1438" s="1597"/>
      <c r="I1438" s="197"/>
      <c r="J1438" s="198"/>
      <c r="K1438" s="1307"/>
      <c r="L1438" s="1335"/>
      <c r="M1438" s="1302"/>
      <c r="N1438" s="1718"/>
      <c r="O1438" s="1719"/>
      <c r="P1438" s="1720"/>
      <c r="Q1438" s="3396"/>
      <c r="R1438" s="2338"/>
      <c r="S1438" s="17"/>
      <c r="T1438" s="17"/>
      <c r="U1438" s="16"/>
      <c r="V1438" s="16"/>
    </row>
    <row r="1439" spans="1:22" ht="15" customHeight="1">
      <c r="A1439" s="1320" t="s">
        <v>3764</v>
      </c>
      <c r="B1439" s="4367" t="s">
        <v>1737</v>
      </c>
      <c r="C1439" s="3350"/>
      <c r="D1439" s="4327"/>
      <c r="E1439" s="4329" t="s">
        <v>1527</v>
      </c>
      <c r="F1439" s="4461" t="s">
        <v>1773</v>
      </c>
      <c r="G1439" s="4331" t="s">
        <v>1568</v>
      </c>
      <c r="H1439" s="4331" t="s">
        <v>1574</v>
      </c>
      <c r="I1439" s="1572" t="s">
        <v>1559</v>
      </c>
      <c r="J1439" s="1294" t="s">
        <v>1560</v>
      </c>
      <c r="K1439" s="1294" t="s">
        <v>1561</v>
      </c>
      <c r="L1439" s="4333" t="s">
        <v>3765</v>
      </c>
      <c r="M1439" s="4323" t="s">
        <v>1571</v>
      </c>
      <c r="N1439" s="4323" t="s">
        <v>1776</v>
      </c>
      <c r="O1439" s="3347" t="s">
        <v>1563</v>
      </c>
      <c r="P1439" s="1336" t="s">
        <v>1562</v>
      </c>
      <c r="Q1439" s="3389"/>
      <c r="R1439" s="1785" t="s">
        <v>1327</v>
      </c>
      <c r="S1439" s="16"/>
      <c r="T1439" s="16"/>
      <c r="U1439" s="16"/>
      <c r="V1439" s="16"/>
    </row>
    <row r="1440" spans="1:22">
      <c r="A1440" s="1662" t="s">
        <v>2785</v>
      </c>
      <c r="B1440" s="4369"/>
      <c r="C1440" s="3351"/>
      <c r="D1440" s="4328"/>
      <c r="E1440" s="4330"/>
      <c r="F1440" s="4462"/>
      <c r="G1440" s="4332"/>
      <c r="H1440" s="4332"/>
      <c r="I1440" s="1345">
        <v>61.56</v>
      </c>
      <c r="J1440" s="1307">
        <v>1E-3</v>
      </c>
      <c r="K1440" s="1307">
        <f>I1440*J1440</f>
        <v>6.1560000000000004E-2</v>
      </c>
      <c r="L1440" s="4334"/>
      <c r="M1440" s="4324"/>
      <c r="N1440" s="4324"/>
      <c r="O1440" s="1298">
        <f>O1442+O1443+O1444+O1445+O1449+O1453+O1461+O1462+O1463</f>
        <v>55.335563799999996</v>
      </c>
      <c r="P1440" s="1337">
        <f>K1440*O1440</f>
        <v>3.406457307528</v>
      </c>
      <c r="Q1440" s="3390"/>
      <c r="R1440" s="1786">
        <f>P1442+P1443+P1444+P1445+P1449+P1453+P1461+P1462+P1463</f>
        <v>3.406457307528</v>
      </c>
      <c r="S1440" s="16" t="s">
        <v>1794</v>
      </c>
      <c r="T1440" s="16"/>
      <c r="U1440" s="16"/>
      <c r="V1440" s="16"/>
    </row>
    <row r="1441" spans="1:22">
      <c r="A1441" s="1320"/>
      <c r="B1441" s="18"/>
      <c r="D1441" s="1449"/>
      <c r="E1441" s="2121"/>
      <c r="F1441" s="1368" t="s">
        <v>1</v>
      </c>
      <c r="G1441" s="1368"/>
      <c r="H1441" s="1369"/>
      <c r="I1441" s="1409"/>
      <c r="J1441" s="1391"/>
      <c r="K1441" s="1367"/>
      <c r="L1441" s="1554"/>
      <c r="M1441" s="1369"/>
      <c r="N1441" s="1369"/>
      <c r="O1441" s="1369"/>
      <c r="P1441" s="1367"/>
      <c r="Q1441" s="3387"/>
      <c r="R1441" s="2343"/>
      <c r="S1441" s="16"/>
      <c r="T1441" s="16"/>
      <c r="U1441" s="16"/>
      <c r="V1441" s="16"/>
    </row>
    <row r="1442" spans="1:22">
      <c r="A1442" s="1320"/>
      <c r="B1442" s="1042"/>
      <c r="D1442" s="1450" t="s">
        <v>1075</v>
      </c>
      <c r="E1442" s="1856" t="s">
        <v>1357</v>
      </c>
      <c r="F1442" s="1397" t="s">
        <v>1532</v>
      </c>
      <c r="G1442" s="1372">
        <v>0.1</v>
      </c>
      <c r="H1442" s="1372"/>
      <c r="I1442" s="1286"/>
      <c r="J1442" s="198"/>
      <c r="K1442" s="1307">
        <f>G1442*$K$1440</f>
        <v>6.1560000000000009E-3</v>
      </c>
      <c r="L1442" s="1335">
        <f>K1442*$K$1382</f>
        <v>0</v>
      </c>
      <c r="M1442" s="1302">
        <v>0.81</v>
      </c>
      <c r="N1442" s="1700"/>
      <c r="O1442" s="1290">
        <f>G1442*M1442</f>
        <v>8.1000000000000016E-2</v>
      </c>
      <c r="P1442" s="1739">
        <f>M1442*K1442</f>
        <v>4.9863600000000013E-3</v>
      </c>
      <c r="Q1442" s="3391"/>
      <c r="R1442" s="2343"/>
      <c r="S1442" s="16"/>
      <c r="T1442" s="16"/>
      <c r="U1442" s="16"/>
      <c r="V1442" s="16"/>
    </row>
    <row r="1443" spans="1:22">
      <c r="A1443" s="1320"/>
      <c r="B1443" s="1042"/>
      <c r="D1443" s="1767" t="s">
        <v>1784</v>
      </c>
      <c r="E1443" s="1849" t="s">
        <v>1521</v>
      </c>
      <c r="F1443" s="1654" t="s">
        <v>1785</v>
      </c>
      <c r="G1443" s="1567">
        <v>1E-3</v>
      </c>
      <c r="H1443" s="1567"/>
      <c r="I1443" s="1286"/>
      <c r="J1443" s="198"/>
      <c r="K1443" s="1307">
        <f>G1443*$K$1440</f>
        <v>6.156E-5</v>
      </c>
      <c r="L1443" s="1335">
        <f>K1443*$K$1382</f>
        <v>0</v>
      </c>
      <c r="M1443" s="1302">
        <v>263.83</v>
      </c>
      <c r="N1443" s="1700"/>
      <c r="O1443" s="1290">
        <f>G1443*M1443</f>
        <v>0.26383000000000001</v>
      </c>
      <c r="P1443" s="1332">
        <f>M1443*K1443</f>
        <v>1.62413748E-2</v>
      </c>
      <c r="Q1443" s="3391"/>
      <c r="R1443" s="2343"/>
      <c r="S1443" s="16"/>
      <c r="T1443" s="16"/>
      <c r="U1443" s="16"/>
      <c r="V1443" s="16"/>
    </row>
    <row r="1444" spans="1:22">
      <c r="A1444" s="1320"/>
      <c r="B1444" s="1042"/>
      <c r="D1444" s="1769" t="s">
        <v>1786</v>
      </c>
      <c r="E1444" s="1850" t="s">
        <v>1787</v>
      </c>
      <c r="F1444" s="1770" t="s">
        <v>1788</v>
      </c>
      <c r="G1444" s="1771">
        <v>1.1000000000000001</v>
      </c>
      <c r="H1444" s="1771"/>
      <c r="I1444" s="1286"/>
      <c r="J1444" s="198"/>
      <c r="K1444" s="1307">
        <f>G1444*$K$1440</f>
        <v>6.7716000000000012E-2</v>
      </c>
      <c r="L1444" s="1335">
        <f>K1444*$K$1382</f>
        <v>0</v>
      </c>
      <c r="M1444" s="1302">
        <v>1.53</v>
      </c>
      <c r="N1444" s="1700"/>
      <c r="O1444" s="1290">
        <f>G1444*M1444</f>
        <v>1.6830000000000003</v>
      </c>
      <c r="P1444" s="1332">
        <f>M1444*K1444</f>
        <v>0.10360548000000003</v>
      </c>
      <c r="Q1444" s="3391"/>
      <c r="R1444" s="2343"/>
      <c r="S1444" s="16"/>
      <c r="T1444" s="16"/>
      <c r="U1444" s="16"/>
      <c r="V1444" s="16"/>
    </row>
    <row r="1445" spans="1:22">
      <c r="A1445" s="1320"/>
      <c r="B1445" s="1042"/>
      <c r="C1445" s="1356" t="s">
        <v>1128</v>
      </c>
      <c r="D1445" s="1585"/>
      <c r="E1445" s="1851" t="s">
        <v>1517</v>
      </c>
      <c r="F1445" s="1768" t="s">
        <v>1695</v>
      </c>
      <c r="G1445" s="1776"/>
      <c r="H1445" s="1776">
        <v>1.4999999999999999E-2</v>
      </c>
      <c r="I1445" s="1388"/>
      <c r="J1445" s="1366"/>
      <c r="K1445" s="1510"/>
      <c r="L1445" s="1445"/>
      <c r="M1445" s="1447"/>
      <c r="N1445" s="1447">
        <f>SUM(N1446:N1448)</f>
        <v>104.27969999999999</v>
      </c>
      <c r="O1445" s="1447">
        <f>SUM(O1446:O1448)</f>
        <v>1.5641954999999998</v>
      </c>
      <c r="P1445" s="1446">
        <f>SUM(P1446:P1448)</f>
        <v>9.6291874979999997E-2</v>
      </c>
      <c r="Q1445" s="3391"/>
      <c r="R1445" s="2343"/>
      <c r="S1445" s="16"/>
      <c r="T1445" s="16"/>
      <c r="U1445" s="16"/>
      <c r="V1445" s="16"/>
    </row>
    <row r="1446" spans="1:22">
      <c r="A1446" s="1320"/>
      <c r="B1446" s="553"/>
      <c r="C1446" s="1042"/>
      <c r="D1446" s="1752" t="s">
        <v>1779</v>
      </c>
      <c r="E1446" s="1852" t="s">
        <v>1577</v>
      </c>
      <c r="F1446" s="1752" t="s">
        <v>1780</v>
      </c>
      <c r="G1446" s="1753">
        <v>0.876</v>
      </c>
      <c r="H1446" s="1453">
        <f>$H$1445*G1446</f>
        <v>1.3139999999999999E-2</v>
      </c>
      <c r="I1446" s="197"/>
      <c r="J1446" s="198"/>
      <c r="K1446" s="1307">
        <f>H1446*$K$1440</f>
        <v>8.0889839999999998E-4</v>
      </c>
      <c r="L1446" s="1335">
        <f>K1446*$K$1382</f>
        <v>0</v>
      </c>
      <c r="M1446" s="1759">
        <v>56.05</v>
      </c>
      <c r="N1446" s="1718">
        <f>G1446*M1446</f>
        <v>49.099799999999995</v>
      </c>
      <c r="O1446" s="1719">
        <f>H1446*M1446</f>
        <v>0.73649699999999985</v>
      </c>
      <c r="P1446" s="1720">
        <f>M1446*K1446</f>
        <v>4.5338755319999993E-2</v>
      </c>
      <c r="Q1446" s="3396"/>
      <c r="R1446" s="2343"/>
      <c r="S1446" s="16"/>
      <c r="T1446" s="16"/>
      <c r="U1446" s="16"/>
      <c r="V1446" s="16"/>
    </row>
    <row r="1447" spans="1:22">
      <c r="A1447" s="1320"/>
      <c r="B1447" s="553"/>
      <c r="C1447" s="1042"/>
      <c r="D1447" s="1752" t="s">
        <v>1069</v>
      </c>
      <c r="E1447" s="1852" t="s">
        <v>1517</v>
      </c>
      <c r="F1447" s="1752" t="s">
        <v>1578</v>
      </c>
      <c r="G1447" s="1753">
        <v>0.61799999999999999</v>
      </c>
      <c r="H1447" s="1453">
        <f>$H$1445*G1447</f>
        <v>9.2699999999999987E-3</v>
      </c>
      <c r="I1447" s="27"/>
      <c r="J1447" s="10"/>
      <c r="K1447" s="1307">
        <f>H1447*$K$1440</f>
        <v>5.7066119999999994E-4</v>
      </c>
      <c r="L1447" s="1335">
        <f>K1447*$K$1382</f>
        <v>0</v>
      </c>
      <c r="M1447" s="1759">
        <v>0.55000000000000004</v>
      </c>
      <c r="N1447" s="1718">
        <f>G1447*M1447</f>
        <v>0.33990000000000004</v>
      </c>
      <c r="O1447" s="1719">
        <f>H1447*M1447</f>
        <v>5.0984999999999997E-3</v>
      </c>
      <c r="P1447" s="1720">
        <f>M1447*K1447</f>
        <v>3.1386365999999996E-4</v>
      </c>
      <c r="Q1447" s="3396"/>
      <c r="R1447" s="2343"/>
      <c r="S1447" s="16"/>
      <c r="T1447" s="16"/>
      <c r="U1447" s="16"/>
      <c r="V1447" s="16"/>
    </row>
    <row r="1448" spans="1:22">
      <c r="A1448" s="1320"/>
      <c r="B1448" s="553"/>
      <c r="C1448" s="1042"/>
      <c r="D1448" s="1754" t="s">
        <v>1067</v>
      </c>
      <c r="E1448" s="1853" t="s">
        <v>1508</v>
      </c>
      <c r="F1448" s="1754" t="s">
        <v>1512</v>
      </c>
      <c r="G1448" s="1755">
        <v>3</v>
      </c>
      <c r="H1448" s="1454">
        <f>$H$1445*G1448</f>
        <v>4.4999999999999998E-2</v>
      </c>
      <c r="I1448" s="198"/>
      <c r="J1448" s="198"/>
      <c r="K1448" s="1307">
        <f>H1448*$K$1440</f>
        <v>2.7702E-3</v>
      </c>
      <c r="L1448" s="1335">
        <f>K1448*$K$1382</f>
        <v>0</v>
      </c>
      <c r="M1448" s="1759">
        <v>18.28</v>
      </c>
      <c r="N1448" s="1718">
        <f>G1448*M1448</f>
        <v>54.84</v>
      </c>
      <c r="O1448" s="1719">
        <f>H1448*M1448</f>
        <v>0.8226</v>
      </c>
      <c r="P1448" s="1720">
        <f>M1448*K1448</f>
        <v>5.0639256000000001E-2</v>
      </c>
      <c r="Q1448" s="3396"/>
      <c r="R1448" s="2343"/>
      <c r="S1448" s="16"/>
      <c r="T1448" s="16"/>
      <c r="U1448" s="16"/>
      <c r="V1448" s="16"/>
    </row>
    <row r="1449" spans="1:22">
      <c r="A1449" s="1320"/>
      <c r="B1449" s="553"/>
      <c r="C1449" s="1356" t="s">
        <v>1152</v>
      </c>
      <c r="D1449" s="1311"/>
      <c r="E1449" s="1854" t="s">
        <v>1517</v>
      </c>
      <c r="F1449" s="1749" t="s">
        <v>1696</v>
      </c>
      <c r="G1449" s="1776"/>
      <c r="H1449" s="1688">
        <v>5.0000000000000001E-3</v>
      </c>
      <c r="I1449" s="1388"/>
      <c r="J1449" s="1388"/>
      <c r="K1449" s="1510"/>
      <c r="L1449" s="1445"/>
      <c r="M1449" s="1447"/>
      <c r="N1449" s="1447">
        <f>SUM(N1450:N1452)</f>
        <v>108.04650000000001</v>
      </c>
      <c r="O1449" s="1447">
        <f>SUM(O1450:O1452)</f>
        <v>0.54023250000000012</v>
      </c>
      <c r="P1449" s="1446">
        <f>SUM(P1450:P1452)</f>
        <v>3.3256712700000003E-2</v>
      </c>
      <c r="Q1449" s="3391"/>
      <c r="R1449" s="2343"/>
      <c r="S1449" s="16"/>
      <c r="T1449" s="16"/>
      <c r="U1449" s="16"/>
      <c r="V1449" s="16"/>
    </row>
    <row r="1450" spans="1:22">
      <c r="A1450" s="1320"/>
      <c r="B1450" s="553"/>
      <c r="C1450" s="18"/>
      <c r="D1450" s="1756" t="s">
        <v>1781</v>
      </c>
      <c r="E1450" s="1852" t="s">
        <v>1577</v>
      </c>
      <c r="F1450" s="1752" t="s">
        <v>1782</v>
      </c>
      <c r="G1450" s="1753">
        <v>0.876</v>
      </c>
      <c r="H1450" s="1453">
        <f>$H$1449*G1450</f>
        <v>4.3800000000000002E-3</v>
      </c>
      <c r="I1450" s="198"/>
      <c r="J1450" s="198"/>
      <c r="K1450" s="1307">
        <f>H1450*$K$1440</f>
        <v>2.6963280000000001E-4</v>
      </c>
      <c r="L1450" s="1335">
        <f>K1450*$K$1382</f>
        <v>0</v>
      </c>
      <c r="M1450" s="1723">
        <v>60.35</v>
      </c>
      <c r="N1450" s="1718">
        <f>G1450*M1450</f>
        <v>52.866599999999998</v>
      </c>
      <c r="O1450" s="1719">
        <f>H1450*M1450</f>
        <v>0.26433300000000004</v>
      </c>
      <c r="P1450" s="1720">
        <f>M1450*K1450</f>
        <v>1.6272339480000002E-2</v>
      </c>
      <c r="Q1450" s="3396"/>
      <c r="R1450" s="2343"/>
      <c r="S1450" s="16"/>
      <c r="T1450" s="16"/>
      <c r="U1450" s="16"/>
      <c r="V1450" s="16"/>
    </row>
    <row r="1451" spans="1:22">
      <c r="A1451" s="1320"/>
      <c r="B1451" s="553"/>
      <c r="C1451" s="1042"/>
      <c r="D1451" s="1756" t="s">
        <v>1069</v>
      </c>
      <c r="E1451" s="1852" t="s">
        <v>1517</v>
      </c>
      <c r="F1451" s="1752" t="s">
        <v>1578</v>
      </c>
      <c r="G1451" s="1753">
        <v>0.61799999999999999</v>
      </c>
      <c r="H1451" s="1453">
        <f>$H$1449*G1451</f>
        <v>3.0899999999999999E-3</v>
      </c>
      <c r="I1451" s="197"/>
      <c r="J1451" s="198"/>
      <c r="K1451" s="1307">
        <f>H1451*$K$1440</f>
        <v>1.9022040000000001E-4</v>
      </c>
      <c r="L1451" s="1335">
        <f>K1451*$K$1382</f>
        <v>0</v>
      </c>
      <c r="M1451" s="1723">
        <v>0.55000000000000004</v>
      </c>
      <c r="N1451" s="1718">
        <f>G1451*M1451</f>
        <v>0.33990000000000004</v>
      </c>
      <c r="O1451" s="1719">
        <f>H1451*M1451</f>
        <v>1.6995000000000001E-3</v>
      </c>
      <c r="P1451" s="1720">
        <f>M1451*K1451</f>
        <v>1.0462122000000002E-4</v>
      </c>
      <c r="Q1451" s="3396"/>
      <c r="R1451" s="2343"/>
      <c r="S1451" s="16"/>
      <c r="T1451" s="16"/>
      <c r="U1451" s="16"/>
      <c r="V1451" s="16"/>
    </row>
    <row r="1452" spans="1:22">
      <c r="A1452" s="1320"/>
      <c r="B1452" s="553"/>
      <c r="C1452" s="1042"/>
      <c r="D1452" s="1811" t="s">
        <v>1067</v>
      </c>
      <c r="E1452" s="1853" t="s">
        <v>1508</v>
      </c>
      <c r="F1452" s="1754" t="s">
        <v>1512</v>
      </c>
      <c r="G1452" s="1755">
        <v>3</v>
      </c>
      <c r="H1452" s="1454">
        <f>$H$1449*G1452</f>
        <v>1.4999999999999999E-2</v>
      </c>
      <c r="I1452" s="1289"/>
      <c r="J1452" s="198"/>
      <c r="K1452" s="1307">
        <f>H1452*$K$1440</f>
        <v>9.234E-4</v>
      </c>
      <c r="L1452" s="1335">
        <f>K1452*$K$1382</f>
        <v>0</v>
      </c>
      <c r="M1452" s="1723">
        <v>18.28</v>
      </c>
      <c r="N1452" s="1718">
        <f>G1452*M1452</f>
        <v>54.84</v>
      </c>
      <c r="O1452" s="1719">
        <f>H1452*M1452</f>
        <v>0.2742</v>
      </c>
      <c r="P1452" s="1720">
        <f>M1452*K1452</f>
        <v>1.6879752000000001E-2</v>
      </c>
      <c r="Q1452" s="3396"/>
      <c r="R1452" s="2343"/>
      <c r="S1452" s="16"/>
      <c r="T1452" s="16"/>
      <c r="U1452" s="16"/>
      <c r="V1452" s="16"/>
    </row>
    <row r="1453" spans="1:22">
      <c r="A1453" s="1320"/>
      <c r="B1453" s="1042"/>
      <c r="C1453" s="1356" t="s">
        <v>1790</v>
      </c>
      <c r="D1453" s="1311"/>
      <c r="E1453" s="2137" t="s">
        <v>1517</v>
      </c>
      <c r="F1453" s="1343" t="s">
        <v>1791</v>
      </c>
      <c r="G1453" s="1776"/>
      <c r="H1453" s="1344">
        <v>0.01</v>
      </c>
      <c r="I1453" s="1444"/>
      <c r="J1453" s="1388"/>
      <c r="K1453" s="1445"/>
      <c r="L1453" s="1457"/>
      <c r="M1453" s="1446"/>
      <c r="N1453" s="1447">
        <f>SUM(N1454:N1458)</f>
        <v>76.906580000000005</v>
      </c>
      <c r="O1453" s="1447">
        <f>SUM(O1454:O1458)</f>
        <v>0.76906580000000013</v>
      </c>
      <c r="P1453" s="1447">
        <f>SUM(P1454:P1458)</f>
        <v>4.7343690648000002E-2</v>
      </c>
      <c r="Q1453" s="3391"/>
      <c r="R1453" s="2343"/>
      <c r="S1453" s="16"/>
      <c r="T1453" s="16"/>
      <c r="U1453" s="16"/>
      <c r="V1453" s="16"/>
    </row>
    <row r="1454" spans="1:22">
      <c r="A1454" s="1320"/>
      <c r="B1454" s="1042"/>
      <c r="C1454" s="1327"/>
      <c r="D1454" s="1752" t="s">
        <v>1069</v>
      </c>
      <c r="E1454" s="1852" t="s">
        <v>1517</v>
      </c>
      <c r="F1454" s="1784" t="s">
        <v>1578</v>
      </c>
      <c r="G1454" s="1399">
        <v>0.2</v>
      </c>
      <c r="H1454" s="1399">
        <f>$H$1453*G1454</f>
        <v>2E-3</v>
      </c>
      <c r="I1454" s="197"/>
      <c r="J1454" s="198"/>
      <c r="K1454" s="1307">
        <f>H1454*$K$1440</f>
        <v>1.2312E-4</v>
      </c>
      <c r="L1454" s="1335">
        <f>K1454*$K$1382</f>
        <v>0</v>
      </c>
      <c r="M1454" s="1499">
        <v>0.55000000000000004</v>
      </c>
      <c r="N1454" s="1718">
        <f>G1454*M1454</f>
        <v>0.11000000000000001</v>
      </c>
      <c r="O1454" s="1719">
        <f>H1454*M1454</f>
        <v>1.1000000000000001E-3</v>
      </c>
      <c r="P1454" s="1720">
        <f>M1454*K1454</f>
        <v>6.7716E-5</v>
      </c>
      <c r="Q1454" s="3396"/>
      <c r="R1454" s="2338"/>
      <c r="S1454" s="16"/>
      <c r="T1454" s="16"/>
      <c r="U1454" s="16"/>
      <c r="V1454" s="16"/>
    </row>
    <row r="1455" spans="1:22">
      <c r="A1455" s="1320"/>
      <c r="B1455" s="1042"/>
      <c r="C1455" s="1320"/>
      <c r="D1455" s="1752" t="s">
        <v>1792</v>
      </c>
      <c r="E1455" s="1852" t="s">
        <v>1577</v>
      </c>
      <c r="F1455" s="1752" t="s">
        <v>1793</v>
      </c>
      <c r="G1455" s="1399">
        <v>0.25</v>
      </c>
      <c r="H1455" s="1399">
        <f>$H$1453*G1455</f>
        <v>2.5000000000000001E-3</v>
      </c>
      <c r="I1455" s="197"/>
      <c r="J1455" s="198"/>
      <c r="K1455" s="1307">
        <f>H1455*$K$1440</f>
        <v>1.539E-4</v>
      </c>
      <c r="L1455" s="1335">
        <f>K1455*$K$1382</f>
        <v>0</v>
      </c>
      <c r="M1455" s="1499">
        <v>85.09</v>
      </c>
      <c r="N1455" s="1718">
        <f>G1455*M1455</f>
        <v>21.272500000000001</v>
      </c>
      <c r="O1455" s="1719">
        <f>H1455*M1455</f>
        <v>0.21272500000000003</v>
      </c>
      <c r="P1455" s="1720">
        <f>M1455*K1455</f>
        <v>1.3095351E-2</v>
      </c>
      <c r="Q1455" s="3396"/>
      <c r="R1455" s="2338"/>
      <c r="S1455" s="16"/>
      <c r="T1455" s="16"/>
      <c r="U1455" s="16"/>
      <c r="V1455" s="16"/>
    </row>
    <row r="1456" spans="1:22">
      <c r="A1456" s="1320"/>
      <c r="B1456" s="1042"/>
      <c r="C1456" s="1320"/>
      <c r="D1456" s="1752" t="s">
        <v>1394</v>
      </c>
      <c r="E1456" s="1852" t="s">
        <v>1577</v>
      </c>
      <c r="F1456" s="1752" t="s">
        <v>1579</v>
      </c>
      <c r="G1456" s="1399">
        <v>0.25</v>
      </c>
      <c r="H1456" s="1399">
        <f>$H$1453*G1456</f>
        <v>2.5000000000000001E-3</v>
      </c>
      <c r="I1456" s="197"/>
      <c r="J1456" s="198"/>
      <c r="K1456" s="1307">
        <f>H1456*$K$1440</f>
        <v>1.539E-4</v>
      </c>
      <c r="L1456" s="1335">
        <f>K1456*$K$1382</f>
        <v>0</v>
      </c>
      <c r="M1456" s="1499">
        <v>92.54</v>
      </c>
      <c r="N1456" s="1718">
        <f>G1456*M1456</f>
        <v>23.135000000000002</v>
      </c>
      <c r="O1456" s="1719">
        <f>H1456*M1456</f>
        <v>0.23135000000000003</v>
      </c>
      <c r="P1456" s="1720">
        <f>M1456*K1456</f>
        <v>1.4241906E-2</v>
      </c>
      <c r="Q1456" s="3396"/>
      <c r="R1456" s="2338"/>
      <c r="S1456" s="16"/>
      <c r="T1456" s="16"/>
      <c r="U1456" s="16"/>
      <c r="V1456" s="16"/>
    </row>
    <row r="1457" spans="1:22">
      <c r="A1457" s="1320"/>
      <c r="B1457" s="1042"/>
      <c r="C1457" s="1320"/>
      <c r="D1457" s="1752" t="s">
        <v>1576</v>
      </c>
      <c r="E1457" s="1852" t="s">
        <v>1517</v>
      </c>
      <c r="F1457" s="1752" t="s">
        <v>1580</v>
      </c>
      <c r="G1457" s="1399">
        <v>1.5</v>
      </c>
      <c r="H1457" s="1399">
        <f>$H$1453*G1457</f>
        <v>1.4999999999999999E-2</v>
      </c>
      <c r="I1457" s="197"/>
      <c r="J1457" s="198"/>
      <c r="K1457" s="1307">
        <f>H1457*$K$1440</f>
        <v>9.234E-4</v>
      </c>
      <c r="L1457" s="1335">
        <f>K1457*$K$1382</f>
        <v>0</v>
      </c>
      <c r="M1457" s="1499">
        <v>6.53</v>
      </c>
      <c r="N1457" s="1718">
        <f>G1457*M1457</f>
        <v>9.7949999999999999</v>
      </c>
      <c r="O1457" s="1719">
        <f>H1457*M1457</f>
        <v>9.7949999999999995E-2</v>
      </c>
      <c r="P1457" s="1720">
        <f>M1457*K1457</f>
        <v>6.0298019999999999E-3</v>
      </c>
      <c r="Q1457" s="3396"/>
      <c r="R1457" s="2338"/>
      <c r="S1457" s="16"/>
      <c r="T1457" s="16"/>
      <c r="U1457" s="16"/>
      <c r="V1457" s="16"/>
    </row>
    <row r="1458" spans="1:22">
      <c r="A1458" s="1320"/>
      <c r="B1458" s="1042"/>
      <c r="C1458" s="1320"/>
      <c r="D1458" s="1754" t="s">
        <v>1067</v>
      </c>
      <c r="E1458" s="1853" t="s">
        <v>1508</v>
      </c>
      <c r="F1458" s="1754" t="s">
        <v>1512</v>
      </c>
      <c r="G1458" s="1408">
        <v>1.236</v>
      </c>
      <c r="H1458" s="1408">
        <f>$H$1453*G1458</f>
        <v>1.2359999999999999E-2</v>
      </c>
      <c r="I1458" s="197"/>
      <c r="J1458" s="198"/>
      <c r="K1458" s="1307">
        <f>H1458*$K$1440</f>
        <v>7.6088160000000002E-4</v>
      </c>
      <c r="L1458" s="1335">
        <f>K1458*$K$1382</f>
        <v>0</v>
      </c>
      <c r="M1458" s="1499">
        <v>18.28</v>
      </c>
      <c r="N1458" s="1718">
        <f>G1458*M1458</f>
        <v>22.594080000000002</v>
      </c>
      <c r="O1458" s="1719">
        <f>H1458*M1458</f>
        <v>0.2259408</v>
      </c>
      <c r="P1458" s="1720">
        <f>M1458*K1458</f>
        <v>1.3908915648000002E-2</v>
      </c>
      <c r="Q1458" s="3396"/>
      <c r="R1458" s="2338"/>
      <c r="S1458" s="16"/>
      <c r="T1458" s="16"/>
      <c r="U1458" s="16"/>
      <c r="V1458" s="16"/>
    </row>
    <row r="1459" spans="1:22">
      <c r="A1459" s="1320"/>
      <c r="B1459" s="1042"/>
      <c r="C1459" s="88"/>
      <c r="D1459" s="1752"/>
      <c r="E1459" s="1852"/>
      <c r="F1459" s="1752"/>
      <c r="G1459" s="1399"/>
      <c r="H1459" s="1399"/>
      <c r="I1459" s="197" t="str">
        <f ca="1">IF(COUNT(H1459:O1459)=0,"",(SUM(H1459:O1459)/COUNT(H1459:O1459)))</f>
        <v/>
      </c>
      <c r="J1459" s="198"/>
      <c r="K1459" s="1307"/>
      <c r="L1459" s="1335"/>
      <c r="M1459" s="1499"/>
      <c r="N1459" s="1718"/>
      <c r="O1459" s="1719"/>
      <c r="P1459" s="1720"/>
      <c r="Q1459" s="3396"/>
      <c r="R1459" s="2338"/>
      <c r="S1459" s="16"/>
      <c r="T1459" s="16"/>
      <c r="U1459" s="16"/>
      <c r="V1459" s="16"/>
    </row>
    <row r="1460" spans="1:22">
      <c r="A1460" s="1320"/>
      <c r="B1460" s="1042"/>
      <c r="C1460" s="88"/>
      <c r="D1460" s="1359"/>
      <c r="E1460" s="1858"/>
      <c r="F1460" s="1360" t="s">
        <v>2</v>
      </c>
      <c r="G1460" s="1360"/>
      <c r="H1460" s="1362"/>
      <c r="I1460" s="1380" t="str">
        <f ca="1">IF(COUNT(H1460:O1460)=0,"",(SUM(H1460:O1460)/COUNT(H1460:O1460)))</f>
        <v/>
      </c>
      <c r="J1460" s="1381"/>
      <c r="K1460" s="1359"/>
      <c r="L1460" s="1458"/>
      <c r="M1460" s="1362"/>
      <c r="N1460" s="1362"/>
      <c r="O1460" s="1362"/>
      <c r="P1460" s="1458"/>
      <c r="Q1460" s="3387"/>
      <c r="R1460" s="2343"/>
      <c r="S1460" s="16"/>
      <c r="T1460" s="16"/>
      <c r="U1460" s="16"/>
      <c r="V1460" s="16"/>
    </row>
    <row r="1461" spans="1:22">
      <c r="A1461" s="16"/>
      <c r="B1461" s="1320"/>
      <c r="C1461" s="1042"/>
      <c r="D1461" s="1437" t="s">
        <v>1153</v>
      </c>
      <c r="E1461" s="2134" t="s">
        <v>1508</v>
      </c>
      <c r="F1461" s="1438" t="s">
        <v>1783</v>
      </c>
      <c r="G1461" s="1439">
        <v>1.5129999999999999</v>
      </c>
      <c r="H1461" s="1439"/>
      <c r="I1461" s="197"/>
      <c r="J1461" s="198"/>
      <c r="K1461" s="1307">
        <f>G1461*$K$1440</f>
        <v>9.3140280000000006E-2</v>
      </c>
      <c r="L1461" s="1335">
        <f>K1461*$K$1382</f>
        <v>0</v>
      </c>
      <c r="M1461" s="1499">
        <v>19.23</v>
      </c>
      <c r="N1461" s="1701"/>
      <c r="O1461" s="1290">
        <f>(G1461*M1461)</f>
        <v>29.094989999999999</v>
      </c>
      <c r="P1461" s="1332">
        <f>M1461*K1461</f>
        <v>1.7910875844</v>
      </c>
      <c r="Q1461" s="3391"/>
      <c r="R1461" s="3363"/>
      <c r="S1461" s="16"/>
      <c r="T1461" s="16"/>
      <c r="U1461" s="16"/>
      <c r="V1461" s="16"/>
    </row>
    <row r="1462" spans="1:22">
      <c r="A1462" s="1320"/>
      <c r="B1462" s="1042"/>
      <c r="C1462" s="88"/>
      <c r="D1462" s="1363" t="s">
        <v>1067</v>
      </c>
      <c r="E1462" s="2125" t="s">
        <v>1508</v>
      </c>
      <c r="F1462" s="1364" t="s">
        <v>1512</v>
      </c>
      <c r="G1462" s="1365">
        <v>0.31</v>
      </c>
      <c r="H1462" s="1365"/>
      <c r="I1462" s="1286"/>
      <c r="J1462" s="198"/>
      <c r="K1462" s="1307">
        <f>G1462*$K$1440</f>
        <v>1.9083600000000003E-2</v>
      </c>
      <c r="L1462" s="1335">
        <f>K1462*$K$1382</f>
        <v>0</v>
      </c>
      <c r="M1462" s="1302">
        <v>18.28</v>
      </c>
      <c r="N1462" s="1302"/>
      <c r="O1462" s="1290">
        <f>(G1462*M1462)</f>
        <v>5.6668000000000003</v>
      </c>
      <c r="P1462" s="1332">
        <f>M1462*K1462</f>
        <v>0.34884820800000005</v>
      </c>
      <c r="Q1462" s="3391"/>
      <c r="R1462" s="2338"/>
      <c r="S1462" s="16"/>
      <c r="T1462" s="16"/>
      <c r="U1462" s="16"/>
      <c r="V1462" s="16"/>
    </row>
    <row r="1463" spans="1:22">
      <c r="A1463" s="1320"/>
      <c r="B1463" s="1042"/>
      <c r="C1463" s="88"/>
      <c r="D1463" s="1430" t="s">
        <v>1077</v>
      </c>
      <c r="E1463" s="1857" t="s">
        <v>1508</v>
      </c>
      <c r="F1463" s="1403" t="s">
        <v>1539</v>
      </c>
      <c r="G1463" s="1362">
        <v>0.81499999999999995</v>
      </c>
      <c r="H1463" s="1362"/>
      <c r="I1463" s="197">
        <f ca="1">IF(COUNT(G1463:L1463)=0,"",(SUM(G1463:L1463)/COUNT(G1463:L1463)))</f>
        <v>29.806827878755122</v>
      </c>
      <c r="J1463" s="198"/>
      <c r="K1463" s="1307">
        <f>G1463*$K$1440</f>
        <v>5.0171399999999998E-2</v>
      </c>
      <c r="L1463" s="1335">
        <f>K1463*$K$1382</f>
        <v>0</v>
      </c>
      <c r="M1463" s="1302">
        <v>19.23</v>
      </c>
      <c r="N1463" s="7"/>
      <c r="O1463" s="1290">
        <f>(G1463*M1463)</f>
        <v>15.67245</v>
      </c>
      <c r="P1463" s="1332">
        <f>M1463*K1463</f>
        <v>0.96479602200000003</v>
      </c>
      <c r="Q1463" s="3391"/>
      <c r="R1463" s="2338"/>
      <c r="S1463" s="16"/>
      <c r="T1463" s="16"/>
      <c r="U1463" s="16"/>
      <c r="V1463" s="16"/>
    </row>
    <row r="1464" spans="1:22">
      <c r="A1464" s="1320"/>
      <c r="B1464" s="1042"/>
      <c r="C1464" s="88"/>
      <c r="D1464" s="1430"/>
      <c r="E1464" s="1857"/>
      <c r="F1464" s="1766"/>
      <c r="G1464" s="1502"/>
      <c r="H1464" s="1362"/>
      <c r="I1464" s="197"/>
      <c r="J1464" s="198"/>
      <c r="K1464" s="1307"/>
      <c r="L1464" s="1335"/>
      <c r="M1464" s="1302"/>
      <c r="N1464" s="7"/>
      <c r="O1464" s="1290"/>
      <c r="P1464" s="1332"/>
      <c r="Q1464" s="3391"/>
      <c r="R1464" s="2338"/>
      <c r="S1464" s="16"/>
      <c r="T1464" s="16"/>
      <c r="U1464" s="16"/>
      <c r="V1464" s="16"/>
    </row>
    <row r="1465" spans="1:22">
      <c r="A1465" s="1320"/>
      <c r="B1465" s="1042"/>
      <c r="C1465" s="88"/>
      <c r="D1465" s="1373"/>
      <c r="E1465" s="2123"/>
      <c r="F1465" s="1374" t="s">
        <v>3</v>
      </c>
      <c r="G1465" s="1374"/>
      <c r="H1465" s="1376"/>
      <c r="I1465" s="1382" t="str">
        <f t="shared" ref="I1465:I1468" ca="1" si="85">IF(COUNT(H1465:O1465)=0,"",(SUM(H1465:O1465)/COUNT(H1465:O1465)))</f>
        <v/>
      </c>
      <c r="J1465" s="1383"/>
      <c r="K1465" s="1373"/>
      <c r="L1465" s="1413"/>
      <c r="M1465" s="1376"/>
      <c r="N1465" s="1376"/>
      <c r="O1465" s="1376"/>
      <c r="P1465" s="1413"/>
      <c r="Q1465" s="3387"/>
      <c r="R1465" s="2343"/>
      <c r="S1465" s="16"/>
      <c r="T1465" s="16"/>
      <c r="U1465" s="16"/>
      <c r="V1465" s="16"/>
    </row>
    <row r="1466" spans="1:22">
      <c r="A1466" s="1320"/>
      <c r="B1466" s="1042"/>
      <c r="C1466" s="88"/>
      <c r="D1466" s="1440"/>
      <c r="E1466" s="2132"/>
      <c r="F1466" s="1441"/>
      <c r="G1466" s="1441"/>
      <c r="H1466" s="1442"/>
      <c r="I1466" s="197" t="str">
        <f t="shared" ca="1" si="85"/>
        <v/>
      </c>
      <c r="J1466" s="198"/>
      <c r="K1466" s="1307"/>
      <c r="L1466" s="1335"/>
      <c r="M1466" s="1499"/>
      <c r="N1466" s="1701"/>
      <c r="O1466" s="1290"/>
      <c r="P1466" s="1332"/>
      <c r="Q1466" s="3391"/>
      <c r="R1466" s="2338"/>
      <c r="S1466" s="16"/>
      <c r="T1466" s="16"/>
      <c r="U1466" s="16"/>
      <c r="V1466" s="16"/>
    </row>
    <row r="1467" spans="1:22">
      <c r="A1467" s="1320"/>
      <c r="B1467" s="1042"/>
      <c r="C1467" s="88"/>
      <c r="D1467" s="1440"/>
      <c r="E1467" s="2132"/>
      <c r="F1467" s="1441"/>
      <c r="G1467" s="1441"/>
      <c r="H1467" s="1442"/>
      <c r="I1467" s="197" t="str">
        <f t="shared" ca="1" si="85"/>
        <v/>
      </c>
      <c r="J1467" s="198"/>
      <c r="K1467" s="1307"/>
      <c r="L1467" s="1335"/>
      <c r="M1467" s="1499"/>
      <c r="N1467" s="1701"/>
      <c r="O1467" s="1290"/>
      <c r="P1467" s="1332"/>
      <c r="Q1467" s="3391"/>
      <c r="R1467" s="2338"/>
      <c r="S1467" s="105"/>
      <c r="T1467" s="105"/>
      <c r="U1467" s="16"/>
      <c r="V1467" s="16"/>
    </row>
    <row r="1468" spans="1:22">
      <c r="A1468" s="1320"/>
      <c r="B1468" s="223"/>
      <c r="C1468" s="581"/>
      <c r="D1468" s="1440"/>
      <c r="E1468" s="2132"/>
      <c r="F1468" s="1441"/>
      <c r="G1468" s="1441"/>
      <c r="H1468" s="1442"/>
      <c r="I1468" s="197" t="str">
        <f t="shared" ca="1" si="85"/>
        <v/>
      </c>
      <c r="J1468" s="198"/>
      <c r="K1468" s="1307"/>
      <c r="L1468" s="1335"/>
      <c r="M1468" s="1499"/>
      <c r="N1468" s="1701"/>
      <c r="O1468" s="1290"/>
      <c r="P1468" s="1332"/>
      <c r="Q1468" s="3391"/>
      <c r="R1468" s="2338"/>
      <c r="S1468" s="16"/>
      <c r="T1468" s="16"/>
      <c r="U1468" s="16"/>
      <c r="V1468" s="16"/>
    </row>
    <row r="1469" spans="1:22" ht="15" customHeight="1">
      <c r="A1469" s="16" t="s">
        <v>3764</v>
      </c>
      <c r="B1469" s="4325" t="s">
        <v>1659</v>
      </c>
      <c r="C1469" s="3350"/>
      <c r="D1469" s="4327"/>
      <c r="E1469" s="4329" t="s">
        <v>1507</v>
      </c>
      <c r="F1469" s="4336" t="s">
        <v>1685</v>
      </c>
      <c r="G1469" s="4331" t="s">
        <v>1568</v>
      </c>
      <c r="H1469" s="4331" t="s">
        <v>1574</v>
      </c>
      <c r="I1469" s="1572" t="s">
        <v>1559</v>
      </c>
      <c r="J1469" s="1294" t="s">
        <v>1560</v>
      </c>
      <c r="K1469" s="1294" t="s">
        <v>1561</v>
      </c>
      <c r="L1469" s="4333" t="s">
        <v>3765</v>
      </c>
      <c r="M1469" s="4335" t="s">
        <v>1571</v>
      </c>
      <c r="N1469" s="4323" t="s">
        <v>1776</v>
      </c>
      <c r="O1469" s="3347" t="s">
        <v>1563</v>
      </c>
      <c r="P1469" s="1336" t="s">
        <v>1562</v>
      </c>
      <c r="Q1469" s="3389"/>
      <c r="R1469" s="1699" t="s">
        <v>1327</v>
      </c>
      <c r="S1469" s="16"/>
      <c r="T1469" s="16"/>
      <c r="U1469" s="16"/>
      <c r="V1469" s="16"/>
    </row>
    <row r="1470" spans="1:22">
      <c r="A1470" s="1662" t="s">
        <v>2785</v>
      </c>
      <c r="B1470" s="4326"/>
      <c r="C1470" s="3351"/>
      <c r="D1470" s="4328"/>
      <c r="E1470" s="4389"/>
      <c r="F1470" s="4336"/>
      <c r="G1470" s="4332"/>
      <c r="H1470" s="4332"/>
      <c r="I1470" s="1345">
        <v>172.8</v>
      </c>
      <c r="J1470" s="1307">
        <v>1E-3</v>
      </c>
      <c r="K1470" s="1307">
        <f>I1470*J1470</f>
        <v>0.17280000000000001</v>
      </c>
      <c r="L1470" s="4334"/>
      <c r="M1470" s="4335"/>
      <c r="N1470" s="4324"/>
      <c r="O1470" s="1298">
        <f>O1472+O1480</f>
        <v>13.241683030000001</v>
      </c>
      <c r="P1470" s="1337">
        <f>O1470*K1470</f>
        <v>2.2881628275840002</v>
      </c>
      <c r="Q1470" s="3390"/>
      <c r="R1470" s="1721">
        <f>P1472+P1480</f>
        <v>2.2881628275840002</v>
      </c>
      <c r="S1470" s="16"/>
      <c r="T1470" s="16"/>
      <c r="U1470" s="16"/>
      <c r="V1470" s="16"/>
    </row>
    <row r="1471" spans="1:22">
      <c r="A1471" s="1635"/>
      <c r="B1471" s="1327"/>
      <c r="D1471" s="1449"/>
      <c r="E1471" s="2121"/>
      <c r="F1471" s="1368" t="s">
        <v>1</v>
      </c>
      <c r="G1471" s="1368"/>
      <c r="H1471" s="1369"/>
      <c r="I1471" s="1409"/>
      <c r="J1471" s="1391"/>
      <c r="K1471" s="1367"/>
      <c r="L1471" s="1554"/>
      <c r="M1471" s="1369"/>
      <c r="N1471" s="1369"/>
      <c r="O1471" s="1369"/>
      <c r="P1471" s="1367"/>
      <c r="Q1471" s="3387"/>
      <c r="R1471" s="2338"/>
      <c r="S1471" s="16"/>
      <c r="T1471" s="16"/>
      <c r="U1471" s="16"/>
      <c r="V1471" s="16"/>
    </row>
    <row r="1472" spans="1:22">
      <c r="A1472" s="1636"/>
      <c r="B1472" s="1320"/>
      <c r="C1472" s="1763" t="s">
        <v>1127</v>
      </c>
      <c r="D1472" s="1311"/>
      <c r="E1472" s="2137" t="s">
        <v>1517</v>
      </c>
      <c r="F1472" s="1319" t="s">
        <v>1519</v>
      </c>
      <c r="G1472" s="1344"/>
      <c r="H1472" s="1344">
        <v>2.1000000000000001E-2</v>
      </c>
      <c r="I1472" s="1444"/>
      <c r="J1472" s="1388"/>
      <c r="K1472" s="1445"/>
      <c r="L1472" s="1457"/>
      <c r="M1472" s="1447"/>
      <c r="N1472" s="1447">
        <f>SUM(N1473:N1476)</f>
        <v>50.044430000000006</v>
      </c>
      <c r="O1472" s="1447">
        <f>SUM(O1473:O1476)</f>
        <v>1.0509330300000002</v>
      </c>
      <c r="P1472" s="1446">
        <f>SUM(P1473:P1476)</f>
        <v>0.18160122758400005</v>
      </c>
      <c r="Q1472" s="3391"/>
      <c r="R1472" s="2338"/>
      <c r="S1472" s="16"/>
      <c r="T1472" s="16"/>
      <c r="U1472" s="16"/>
      <c r="V1472" s="16"/>
    </row>
    <row r="1473" spans="1:22">
      <c r="A1473" s="1637"/>
      <c r="B1473" s="1320"/>
      <c r="C1473" s="1511"/>
      <c r="D1473" s="1400" t="s">
        <v>1069</v>
      </c>
      <c r="E1473" s="1856" t="s">
        <v>1517</v>
      </c>
      <c r="F1473" s="1397" t="s">
        <v>1578</v>
      </c>
      <c r="G1473" s="1416">
        <v>0.26300000000000001</v>
      </c>
      <c r="H1473" s="1399">
        <f>$H$1308*G1473</f>
        <v>5.523000000000001E-3</v>
      </c>
      <c r="I1473" s="197"/>
      <c r="J1473" s="198"/>
      <c r="K1473" s="1307">
        <f>H1473*$K$1470</f>
        <v>9.5437440000000027E-4</v>
      </c>
      <c r="L1473" s="1335">
        <f>K1473*$K$1382</f>
        <v>0</v>
      </c>
      <c r="M1473" s="1302">
        <v>0.55000000000000004</v>
      </c>
      <c r="N1473" s="1718">
        <f>G1473*M1473</f>
        <v>0.14465000000000003</v>
      </c>
      <c r="O1473" s="1290">
        <f>H1473*M1473</f>
        <v>3.0376500000000007E-3</v>
      </c>
      <c r="P1473" s="1332">
        <f>M1473*K1473</f>
        <v>5.2490592000000022E-4</v>
      </c>
      <c r="Q1473" s="3391"/>
      <c r="R1473" s="2338"/>
      <c r="S1473" s="16"/>
      <c r="T1473" s="16"/>
      <c r="U1473" s="16"/>
      <c r="V1473" s="16"/>
    </row>
    <row r="1474" spans="1:22">
      <c r="A1474" s="1599"/>
      <c r="B1474" s="1320"/>
      <c r="C1474" s="595"/>
      <c r="D1474" s="1400" t="s">
        <v>1394</v>
      </c>
      <c r="E1474" s="1856" t="s">
        <v>1577</v>
      </c>
      <c r="F1474" s="1397" t="s">
        <v>1579</v>
      </c>
      <c r="G1474" s="1416">
        <v>0.25800000000000001</v>
      </c>
      <c r="H1474" s="1399">
        <f>$H$1308*G1474</f>
        <v>5.4180000000000001E-3</v>
      </c>
      <c r="I1474" s="197"/>
      <c r="J1474" s="198"/>
      <c r="K1474" s="1307">
        <f>H1474*$K$1470</f>
        <v>9.3623040000000005E-4</v>
      </c>
      <c r="L1474" s="1335">
        <f>K1474*$K$1382</f>
        <v>0</v>
      </c>
      <c r="M1474" s="1302">
        <v>92.54</v>
      </c>
      <c r="N1474" s="1718">
        <f>G1474*M1474</f>
        <v>23.875320000000002</v>
      </c>
      <c r="O1474" s="1290">
        <f>H1474*M1474</f>
        <v>0.50138172000000003</v>
      </c>
      <c r="P1474" s="1332">
        <f>M1474*K1474</f>
        <v>8.6638761216000004E-2</v>
      </c>
      <c r="Q1474" s="3391"/>
      <c r="R1474" s="2338"/>
      <c r="S1474" s="16"/>
      <c r="T1474" s="16"/>
      <c r="U1474" s="16"/>
      <c r="V1474" s="16"/>
    </row>
    <row r="1475" spans="1:22">
      <c r="A1475" s="1599"/>
      <c r="B1475" s="1320"/>
      <c r="C1475" s="595"/>
      <c r="D1475" s="1400" t="s">
        <v>1576</v>
      </c>
      <c r="E1475" s="1856" t="s">
        <v>1517</v>
      </c>
      <c r="F1475" s="1397" t="s">
        <v>1580</v>
      </c>
      <c r="G1475" s="1416">
        <v>1.1020000000000001</v>
      </c>
      <c r="H1475" s="1399">
        <f>$H$1308*G1475</f>
        <v>2.3142000000000003E-2</v>
      </c>
      <c r="I1475" s="197"/>
      <c r="J1475" s="198"/>
      <c r="K1475" s="1307">
        <f>H1475*$K$1470</f>
        <v>3.9989376000000004E-3</v>
      </c>
      <c r="L1475" s="1335">
        <f>K1475*$K$1382</f>
        <v>0</v>
      </c>
      <c r="M1475" s="1302">
        <v>6.53</v>
      </c>
      <c r="N1475" s="1718">
        <f>G1475*M1475</f>
        <v>7.196060000000001</v>
      </c>
      <c r="O1475" s="1290">
        <f>H1475*M1475</f>
        <v>0.15111726000000003</v>
      </c>
      <c r="P1475" s="1332">
        <f>M1475*K1475</f>
        <v>2.6113062528000004E-2</v>
      </c>
      <c r="Q1475" s="3391"/>
      <c r="R1475" s="2338"/>
      <c r="S1475" s="16"/>
      <c r="T1475" s="16"/>
      <c r="U1475" s="16"/>
      <c r="V1475" s="16"/>
    </row>
    <row r="1476" spans="1:22">
      <c r="A1476" s="1599"/>
      <c r="B1476" s="1320"/>
      <c r="C1476" s="595"/>
      <c r="D1476" s="1404" t="s">
        <v>1067</v>
      </c>
      <c r="E1476" s="1857" t="s">
        <v>1508</v>
      </c>
      <c r="F1476" s="1406" t="s">
        <v>1512</v>
      </c>
      <c r="G1476" s="1407">
        <v>1.03</v>
      </c>
      <c r="H1476" s="1408">
        <f>$H$1308*G1476</f>
        <v>2.1630000000000003E-2</v>
      </c>
      <c r="I1476" s="197"/>
      <c r="J1476" s="198"/>
      <c r="K1476" s="1307">
        <f>H1476*$K$1470</f>
        <v>3.7376640000000008E-3</v>
      </c>
      <c r="L1476" s="1335">
        <f>K1476*$K$1382</f>
        <v>0</v>
      </c>
      <c r="M1476" s="1302">
        <v>18.28</v>
      </c>
      <c r="N1476" s="1718">
        <f>G1476*M1476</f>
        <v>18.828400000000002</v>
      </c>
      <c r="O1476" s="1290">
        <f>H1476*M1476</f>
        <v>0.39539640000000009</v>
      </c>
      <c r="P1476" s="1332">
        <f>M1476*K1476</f>
        <v>6.8324497920000019E-2</v>
      </c>
      <c r="Q1476" s="3391"/>
      <c r="R1476" s="2338"/>
      <c r="S1476" s="16"/>
      <c r="T1476" s="16"/>
      <c r="U1476" s="16"/>
      <c r="V1476" s="16"/>
    </row>
    <row r="1477" spans="1:22">
      <c r="A1477" s="1599"/>
      <c r="B1477" s="1320"/>
      <c r="C1477" s="595"/>
      <c r="D1477" s="1400"/>
      <c r="E1477" s="1856"/>
      <c r="F1477" s="1397"/>
      <c r="G1477" s="1416"/>
      <c r="H1477" s="1399"/>
      <c r="I1477" s="197"/>
      <c r="J1477" s="198"/>
      <c r="K1477" s="1307"/>
      <c r="L1477" s="1335"/>
      <c r="M1477" s="1302"/>
      <c r="N1477" s="1718"/>
      <c r="O1477" s="1290"/>
      <c r="P1477" s="1332"/>
      <c r="Q1477" s="3391"/>
      <c r="R1477" s="2338"/>
      <c r="S1477" s="16"/>
      <c r="T1477" s="16"/>
      <c r="U1477" s="16"/>
      <c r="V1477" s="16"/>
    </row>
    <row r="1478" spans="1:22">
      <c r="A1478" s="1599"/>
      <c r="B1478" s="1320"/>
      <c r="C1478" s="595"/>
      <c r="D1478" s="1400"/>
      <c r="E1478" s="1856"/>
      <c r="F1478" s="1397"/>
      <c r="G1478" s="1416"/>
      <c r="H1478" s="1399"/>
      <c r="I1478" s="197"/>
      <c r="J1478" s="198"/>
      <c r="K1478" s="1307"/>
      <c r="L1478" s="1335"/>
      <c r="M1478" s="1302"/>
      <c r="N1478" s="1718"/>
      <c r="O1478" s="1290"/>
      <c r="P1478" s="1332"/>
      <c r="Q1478" s="3391"/>
      <c r="R1478" s="2338"/>
      <c r="S1478" s="16"/>
      <c r="T1478" s="16"/>
      <c r="U1478" s="16"/>
      <c r="V1478" s="16"/>
    </row>
    <row r="1479" spans="1:22">
      <c r="A1479" s="1599"/>
      <c r="B1479" s="1320"/>
      <c r="C1479" s="88"/>
      <c r="D1479" s="1359"/>
      <c r="E1479" s="1858"/>
      <c r="F1479" s="1360" t="s">
        <v>2</v>
      </c>
      <c r="G1479" s="1360"/>
      <c r="H1479" s="1362"/>
      <c r="I1479" s="1380" t="str">
        <f ca="1">IF(COUNT(H1479:O1479)=0,"",(SUM(H1479:O1479)/COUNT(H1479:O1479)))</f>
        <v/>
      </c>
      <c r="J1479" s="1381"/>
      <c r="K1479" s="1359" t="str">
        <f>IF(COUNT(#REF!)=0,"",IF(#REF!="","",(#REF!*#REF!)))</f>
        <v/>
      </c>
      <c r="L1479" s="1458"/>
      <c r="M1479" s="1362"/>
      <c r="N1479" s="1362"/>
      <c r="O1479" s="1362"/>
      <c r="P1479" s="1458"/>
      <c r="Q1479" s="3387"/>
      <c r="R1479" s="2338"/>
      <c r="S1479" s="16"/>
      <c r="T1479" s="16"/>
      <c r="U1479" s="16"/>
      <c r="V1479" s="16"/>
    </row>
    <row r="1480" spans="1:22">
      <c r="A1480" s="1599"/>
      <c r="B1480" s="1320"/>
      <c r="C1480" s="1764" t="s">
        <v>1755</v>
      </c>
      <c r="D1480" s="1461"/>
      <c r="E1480" s="2163" t="s">
        <v>1508</v>
      </c>
      <c r="F1480" s="1648" t="s">
        <v>1524</v>
      </c>
      <c r="G1480" s="1344"/>
      <c r="H1480" s="1344">
        <v>0.32500000000000001</v>
      </c>
      <c r="I1480" s="1444"/>
      <c r="J1480" s="1388"/>
      <c r="K1480" s="1445"/>
      <c r="L1480" s="1457"/>
      <c r="M1480" s="1447"/>
      <c r="N1480" s="1447">
        <f>SUM(N1481:N1482)</f>
        <v>37.510000000000005</v>
      </c>
      <c r="O1480" s="1447">
        <f>SUM(O1481:O1482)</f>
        <v>12.190750000000001</v>
      </c>
      <c r="P1480" s="1447">
        <f>SUM(P1481:P1482)</f>
        <v>2.1065616</v>
      </c>
      <c r="Q1480" s="3391"/>
      <c r="R1480" s="2338"/>
      <c r="S1480" s="16"/>
      <c r="T1480" s="16"/>
      <c r="U1480" s="16"/>
      <c r="V1480" s="16"/>
    </row>
    <row r="1481" spans="1:22">
      <c r="A1481" s="1599"/>
      <c r="B1481" s="1320"/>
      <c r="C1481" s="88"/>
      <c r="D1481" s="1430" t="s">
        <v>1067</v>
      </c>
      <c r="E1481" s="1857" t="s">
        <v>1508</v>
      </c>
      <c r="F1481" s="1403" t="s">
        <v>5</v>
      </c>
      <c r="G1481" s="1431">
        <v>1</v>
      </c>
      <c r="H1481" s="1362">
        <f>H1480*G1481</f>
        <v>0.32500000000000001</v>
      </c>
      <c r="I1481" s="1286"/>
      <c r="J1481" s="198"/>
      <c r="K1481" s="1307">
        <f>H1481*$K$1470</f>
        <v>5.6160000000000002E-2</v>
      </c>
      <c r="L1481" s="1335">
        <f>K1481*$K$1382</f>
        <v>0</v>
      </c>
      <c r="M1481" s="1302">
        <v>18.28</v>
      </c>
      <c r="N1481" s="1718">
        <f>G1481*M1481</f>
        <v>18.28</v>
      </c>
      <c r="O1481" s="1290">
        <f>H1481*M1481</f>
        <v>5.9410000000000007</v>
      </c>
      <c r="P1481" s="1332">
        <f>M1481*K1481</f>
        <v>1.0266048000000001</v>
      </c>
      <c r="Q1481" s="3391"/>
      <c r="R1481" s="2338"/>
      <c r="S1481" s="16"/>
      <c r="T1481" s="16"/>
      <c r="U1481" s="16"/>
      <c r="V1481" s="16"/>
    </row>
    <row r="1482" spans="1:22">
      <c r="A1482" s="1599"/>
      <c r="B1482" s="1320"/>
      <c r="C1482" s="88"/>
      <c r="D1482" s="1430" t="s">
        <v>1077</v>
      </c>
      <c r="E1482" s="1857" t="s">
        <v>1508</v>
      </c>
      <c r="F1482" s="1403" t="s">
        <v>37</v>
      </c>
      <c r="G1482" s="1431">
        <v>1</v>
      </c>
      <c r="H1482" s="1362">
        <f>H1480*G1482</f>
        <v>0.32500000000000001</v>
      </c>
      <c r="I1482" s="197">
        <f ca="1">IF(COUNT(H1482:L1482)=0,"",(SUM(H1482:L1482)/COUNT(H1482:L1482)))</f>
        <v>33.168894802036377</v>
      </c>
      <c r="J1482" s="198"/>
      <c r="K1482" s="1307">
        <f>H1482*$K$1470</f>
        <v>5.6160000000000002E-2</v>
      </c>
      <c r="L1482" s="1335">
        <f>K1482*$K$1382</f>
        <v>0</v>
      </c>
      <c r="M1482" s="1302">
        <v>19.23</v>
      </c>
      <c r="N1482" s="1718">
        <f>G1482*M1482</f>
        <v>19.23</v>
      </c>
      <c r="O1482" s="1290">
        <f>H1482*M1482</f>
        <v>6.2497500000000006</v>
      </c>
      <c r="P1482" s="1332">
        <f>M1482*K1482</f>
        <v>1.0799568000000002</v>
      </c>
      <c r="Q1482" s="3391"/>
      <c r="R1482" s="2338"/>
      <c r="S1482" s="16"/>
      <c r="T1482" s="16"/>
      <c r="U1482" s="16"/>
      <c r="V1482" s="16"/>
    </row>
    <row r="1483" spans="1:22">
      <c r="A1483" s="1599"/>
      <c r="B1483" s="1320"/>
      <c r="C1483" s="88"/>
      <c r="D1483" s="1430"/>
      <c r="E1483" s="1857"/>
      <c r="F1483" s="1766"/>
      <c r="G1483" s="1943"/>
      <c r="H1483" s="1362"/>
      <c r="I1483" s="197"/>
      <c r="J1483" s="198"/>
      <c r="K1483" s="1307"/>
      <c r="L1483" s="1335"/>
      <c r="M1483" s="1302"/>
      <c r="N1483" s="1718"/>
      <c r="O1483" s="1290"/>
      <c r="P1483" s="1332"/>
      <c r="Q1483" s="3391"/>
      <c r="R1483" s="2338"/>
      <c r="S1483" s="16"/>
      <c r="T1483" s="16"/>
      <c r="U1483" s="16"/>
      <c r="V1483" s="16"/>
    </row>
    <row r="1484" spans="1:22">
      <c r="A1484" s="1599"/>
      <c r="B1484" s="1320"/>
      <c r="C1484" s="88"/>
      <c r="D1484" s="1373"/>
      <c r="E1484" s="2123"/>
      <c r="F1484" s="1374" t="s">
        <v>3</v>
      </c>
      <c r="G1484" s="1374"/>
      <c r="H1484" s="1376"/>
      <c r="I1484" s="1382" t="str">
        <f t="shared" ref="I1484:I1487" ca="1" si="86">IF(COUNT(H1484:O1484)=0,"",(SUM(H1484:O1484)/COUNT(H1484:O1484)))</f>
        <v/>
      </c>
      <c r="J1484" s="1383"/>
      <c r="K1484" s="1373"/>
      <c r="L1484" s="1413"/>
      <c r="M1484" s="1376"/>
      <c r="N1484" s="1376"/>
      <c r="O1484" s="1376"/>
      <c r="P1484" s="1413"/>
      <c r="Q1484" s="3387"/>
      <c r="R1484" s="2338"/>
      <c r="S1484" s="16"/>
      <c r="T1484" s="16"/>
      <c r="U1484" s="16"/>
      <c r="V1484" s="16"/>
    </row>
    <row r="1485" spans="1:22">
      <c r="A1485" s="1599"/>
      <c r="B1485" s="1320"/>
      <c r="C1485" s="88"/>
      <c r="D1485" s="1440"/>
      <c r="E1485" s="2132"/>
      <c r="F1485" s="1441"/>
      <c r="G1485" s="1441"/>
      <c r="H1485" s="1442"/>
      <c r="I1485" s="197" t="str">
        <f t="shared" ca="1" si="86"/>
        <v/>
      </c>
      <c r="J1485" s="198"/>
      <c r="K1485" s="1307"/>
      <c r="L1485" s="1335"/>
      <c r="M1485" s="1499"/>
      <c r="N1485" s="1701"/>
      <c r="O1485" s="1290"/>
      <c r="P1485" s="1332"/>
      <c r="Q1485" s="3391"/>
      <c r="R1485" s="2338"/>
      <c r="S1485" s="16"/>
      <c r="T1485" s="16"/>
      <c r="U1485" s="16"/>
      <c r="V1485" s="16"/>
    </row>
    <row r="1486" spans="1:22">
      <c r="A1486" s="1599"/>
      <c r="B1486" s="1320"/>
      <c r="C1486" s="88"/>
      <c r="D1486" s="1440"/>
      <c r="E1486" s="2132"/>
      <c r="F1486" s="1441"/>
      <c r="G1486" s="1441"/>
      <c r="H1486" s="1442"/>
      <c r="I1486" s="197" t="str">
        <f t="shared" ca="1" si="86"/>
        <v/>
      </c>
      <c r="J1486" s="198"/>
      <c r="K1486" s="1307"/>
      <c r="L1486" s="1335"/>
      <c r="M1486" s="1499"/>
      <c r="N1486" s="1701"/>
      <c r="O1486" s="1290"/>
      <c r="P1486" s="1332"/>
      <c r="Q1486" s="3391"/>
      <c r="R1486" s="2338"/>
      <c r="S1486" s="16"/>
      <c r="T1486" s="16"/>
      <c r="U1486" s="16"/>
      <c r="V1486" s="16"/>
    </row>
    <row r="1487" spans="1:22">
      <c r="A1487" s="1599"/>
      <c r="B1487" s="225"/>
      <c r="C1487" s="581"/>
      <c r="D1487" s="1440"/>
      <c r="E1487" s="2132"/>
      <c r="F1487" s="1441"/>
      <c r="G1487" s="1441"/>
      <c r="H1487" s="1442"/>
      <c r="I1487" s="197" t="str">
        <f t="shared" ca="1" si="86"/>
        <v/>
      </c>
      <c r="J1487" s="198"/>
      <c r="K1487" s="1307"/>
      <c r="L1487" s="1335"/>
      <c r="M1487" s="1499"/>
      <c r="N1487" s="1701"/>
      <c r="O1487" s="1290"/>
      <c r="P1487" s="1332"/>
      <c r="Q1487" s="3391"/>
      <c r="R1487" s="2338"/>
      <c r="S1487" s="16"/>
      <c r="T1487" s="16"/>
      <c r="U1487" s="16"/>
      <c r="V1487" s="16"/>
    </row>
    <row r="1488" spans="1:22" ht="15" customHeight="1">
      <c r="A1488" s="1599" t="s">
        <v>3764</v>
      </c>
      <c r="B1488" s="4325" t="s">
        <v>1660</v>
      </c>
      <c r="C1488" s="3350"/>
      <c r="D1488" s="4327"/>
      <c r="E1488" s="4329" t="s">
        <v>1507</v>
      </c>
      <c r="F1488" s="4521" t="s">
        <v>1689</v>
      </c>
      <c r="G1488" s="4331" t="s">
        <v>1568</v>
      </c>
      <c r="H1488" s="4331" t="s">
        <v>1574</v>
      </c>
      <c r="I1488" s="1572" t="s">
        <v>1559</v>
      </c>
      <c r="J1488" s="1294" t="s">
        <v>1560</v>
      </c>
      <c r="K1488" s="1294" t="s">
        <v>1561</v>
      </c>
      <c r="L1488" s="4333" t="s">
        <v>3765</v>
      </c>
      <c r="M1488" s="4323" t="s">
        <v>1571</v>
      </c>
      <c r="N1488" s="4323" t="s">
        <v>1776</v>
      </c>
      <c r="O1488" s="3347" t="s">
        <v>1563</v>
      </c>
      <c r="P1488" s="1336" t="s">
        <v>1562</v>
      </c>
      <c r="Q1488" s="3389"/>
      <c r="R1488" s="1699" t="s">
        <v>1327</v>
      </c>
      <c r="S1488" s="16"/>
      <c r="T1488" s="16"/>
      <c r="U1488" s="16"/>
      <c r="V1488" s="16"/>
    </row>
    <row r="1489" spans="1:22">
      <c r="A1489" s="1662" t="s">
        <v>2785</v>
      </c>
      <c r="B1489" s="4390"/>
      <c r="C1489" s="3354"/>
      <c r="D1489" s="4328"/>
      <c r="E1489" s="4330"/>
      <c r="F1489" s="4462"/>
      <c r="G1489" s="4332"/>
      <c r="H1489" s="4332"/>
      <c r="I1489" s="1345">
        <v>172.8</v>
      </c>
      <c r="J1489" s="1307">
        <v>1E-3</v>
      </c>
      <c r="K1489" s="1307">
        <f>I1489*J1489</f>
        <v>0.17280000000000001</v>
      </c>
      <c r="L1489" s="4334"/>
      <c r="M1489" s="4324"/>
      <c r="N1489" s="4324"/>
      <c r="O1489" s="1298">
        <f>SUM(O1491:O1503)</f>
        <v>19.719749999999998</v>
      </c>
      <c r="P1489" s="1298">
        <f>SUM(P1491:P1503)</f>
        <v>3.4075728000000001</v>
      </c>
      <c r="Q1489" s="3391"/>
      <c r="R1489" s="1721">
        <f>SUM(P1491:P1500)</f>
        <v>3.4075728000000001</v>
      </c>
      <c r="S1489" s="16"/>
      <c r="T1489" s="16"/>
      <c r="U1489" s="16"/>
      <c r="V1489" s="16"/>
    </row>
    <row r="1490" spans="1:22">
      <c r="A1490" s="1599"/>
      <c r="B1490" s="1628"/>
      <c r="C1490" s="3352"/>
      <c r="D1490" s="1400"/>
      <c r="E1490" s="2121"/>
      <c r="F1490" s="1368" t="s">
        <v>1</v>
      </c>
      <c r="G1490" s="1417"/>
      <c r="H1490" s="1390"/>
      <c r="I1490" s="1554"/>
      <c r="J1490" s="1367"/>
      <c r="K1490" s="1367"/>
      <c r="L1490" s="1554"/>
      <c r="M1490" s="1369"/>
      <c r="N1490" s="1369"/>
      <c r="O1490" s="1369"/>
      <c r="P1490" s="1367"/>
      <c r="Q1490" s="3387"/>
      <c r="R1490" s="2338"/>
      <c r="S1490" s="16"/>
      <c r="T1490" s="16"/>
      <c r="U1490" s="16"/>
      <c r="V1490" s="16"/>
    </row>
    <row r="1491" spans="1:22">
      <c r="A1491" s="19"/>
      <c r="B1491" s="553"/>
      <c r="C1491" s="1042"/>
      <c r="D1491" s="1615" t="s">
        <v>1145</v>
      </c>
      <c r="E1491" s="2126" t="s">
        <v>1577</v>
      </c>
      <c r="F1491" s="1598" t="s">
        <v>1690</v>
      </c>
      <c r="G1491" s="1372">
        <v>1E-3</v>
      </c>
      <c r="H1491" s="1372"/>
      <c r="I1491" s="198"/>
      <c r="J1491" s="6"/>
      <c r="K1491" s="1307">
        <f>G1491*$K$1489</f>
        <v>1.7280000000000003E-4</v>
      </c>
      <c r="L1491" s="1335">
        <f>K1491*$K$1382</f>
        <v>0</v>
      </c>
      <c r="M1491" s="1499">
        <v>246.4</v>
      </c>
      <c r="N1491" s="1701"/>
      <c r="O1491" s="1291">
        <f>G1491*M1491</f>
        <v>0.24640000000000001</v>
      </c>
      <c r="P1491" s="1332">
        <f>M1491*K1491</f>
        <v>4.2577920000000005E-2</v>
      </c>
      <c r="Q1491" s="3391"/>
      <c r="R1491" s="2338"/>
      <c r="S1491" s="16"/>
      <c r="T1491" s="16"/>
      <c r="U1491" s="16"/>
      <c r="V1491" s="16"/>
    </row>
    <row r="1492" spans="1:22">
      <c r="A1492" s="19"/>
      <c r="B1492" s="553"/>
      <c r="C1492" s="1042"/>
      <c r="D1492" s="1598" t="s">
        <v>1147</v>
      </c>
      <c r="E1492" s="2154" t="s">
        <v>1357</v>
      </c>
      <c r="F1492" s="1598" t="s">
        <v>1691</v>
      </c>
      <c r="G1492" s="1372">
        <v>1</v>
      </c>
      <c r="H1492" s="1372"/>
      <c r="I1492" s="197"/>
      <c r="J1492" s="198"/>
      <c r="K1492" s="1307">
        <f>G1492*$K$1489</f>
        <v>0.17280000000000001</v>
      </c>
      <c r="L1492" s="1335">
        <f>K1492*$K$1382</f>
        <v>0</v>
      </c>
      <c r="M1492" s="1499">
        <v>0.22</v>
      </c>
      <c r="N1492" s="1701"/>
      <c r="O1492" s="1291">
        <f>G1492*M1492</f>
        <v>0.22</v>
      </c>
      <c r="P1492" s="1332">
        <f>M1492*K1492</f>
        <v>3.8016000000000001E-2</v>
      </c>
      <c r="Q1492" s="3391"/>
      <c r="R1492" s="2338"/>
      <c r="S1492" s="16"/>
      <c r="T1492" s="16"/>
      <c r="U1492" s="16"/>
      <c r="V1492" s="16"/>
    </row>
    <row r="1493" spans="1:22">
      <c r="A1493" s="19"/>
      <c r="B1493" s="553"/>
      <c r="C1493" s="1042"/>
      <c r="D1493" s="1598" t="s">
        <v>1692</v>
      </c>
      <c r="E1493" s="2154" t="s">
        <v>1504</v>
      </c>
      <c r="F1493" s="1598" t="s">
        <v>1693</v>
      </c>
      <c r="G1493" s="1399">
        <v>47.17</v>
      </c>
      <c r="H1493" s="1399"/>
      <c r="I1493" s="27"/>
      <c r="J1493" s="10"/>
      <c r="K1493" s="1307">
        <f>G1493*$K$1489</f>
        <v>8.150976</v>
      </c>
      <c r="L1493" s="1335">
        <f>K1493*$K$1382</f>
        <v>0</v>
      </c>
      <c r="M1493" s="1499">
        <v>0.17</v>
      </c>
      <c r="N1493" s="1701"/>
      <c r="O1493" s="1291">
        <f>G1493*M1493</f>
        <v>8.0189000000000004</v>
      </c>
      <c r="P1493" s="1332">
        <f>M1493*K1493</f>
        <v>1.3856659200000001</v>
      </c>
      <c r="Q1493" s="3391"/>
      <c r="R1493" s="2338"/>
      <c r="S1493" s="16"/>
      <c r="T1493" s="16"/>
      <c r="U1493" s="16"/>
      <c r="V1493" s="16"/>
    </row>
    <row r="1494" spans="1:22">
      <c r="A1494" s="19"/>
      <c r="B1494" s="1599"/>
      <c r="C1494" s="1320"/>
      <c r="D1494" s="1598" t="s">
        <v>1097</v>
      </c>
      <c r="E1494" s="1856" t="s">
        <v>1504</v>
      </c>
      <c r="F1494" s="1598" t="s">
        <v>1632</v>
      </c>
      <c r="G1494" s="1399">
        <v>1</v>
      </c>
      <c r="H1494" s="1399"/>
      <c r="I1494" s="198"/>
      <c r="J1494" s="198"/>
      <c r="K1494" s="1307">
        <f>G1494*$K$1489</f>
        <v>0.17280000000000001</v>
      </c>
      <c r="L1494" s="1335">
        <f>K1494*$K$1382</f>
        <v>0</v>
      </c>
      <c r="M1494" s="1499">
        <v>0.55000000000000004</v>
      </c>
      <c r="N1494" s="1701"/>
      <c r="O1494" s="1291">
        <f>G1494*M1494</f>
        <v>0.55000000000000004</v>
      </c>
      <c r="P1494" s="1332">
        <f>M1494*K1494</f>
        <v>9.5040000000000013E-2</v>
      </c>
      <c r="Q1494" s="3391"/>
      <c r="R1494" s="2338"/>
      <c r="S1494" s="16"/>
      <c r="T1494" s="16"/>
      <c r="U1494" s="16"/>
      <c r="V1494" s="16"/>
    </row>
    <row r="1495" spans="1:22">
      <c r="A1495" s="19"/>
      <c r="B1495" s="553"/>
      <c r="C1495" s="1042"/>
      <c r="D1495" s="1400"/>
      <c r="E1495" s="1856"/>
      <c r="F1495" s="1397"/>
      <c r="G1495" s="1399"/>
      <c r="H1495" s="1399"/>
      <c r="I1495" s="1289"/>
      <c r="J1495" s="198"/>
      <c r="K1495" s="1307"/>
      <c r="L1495" s="1335"/>
      <c r="M1495" s="1499"/>
      <c r="N1495" s="1701"/>
      <c r="O1495" s="1290"/>
      <c r="P1495" s="1332"/>
      <c r="Q1495" s="3391"/>
      <c r="R1495" s="2338"/>
      <c r="S1495" s="16"/>
      <c r="T1495" s="16"/>
      <c r="U1495" s="16"/>
      <c r="V1495" s="16"/>
    </row>
    <row r="1496" spans="1:22">
      <c r="A1496" s="19"/>
      <c r="B1496" s="553"/>
      <c r="C1496" s="1042"/>
      <c r="D1496" s="1410"/>
      <c r="E1496" s="1858"/>
      <c r="F1496" s="1360" t="s">
        <v>2</v>
      </c>
      <c r="G1496" s="1362"/>
      <c r="H1496" s="1362"/>
      <c r="I1496" s="1380"/>
      <c r="J1496" s="1381"/>
      <c r="K1496" s="1359"/>
      <c r="L1496" s="1458"/>
      <c r="M1496" s="1502"/>
      <c r="N1496" s="1502"/>
      <c r="O1496" s="1362"/>
      <c r="P1496" s="1359"/>
      <c r="Q1496" s="3387"/>
      <c r="R1496" s="2338"/>
      <c r="S1496" s="16"/>
      <c r="T1496" s="16"/>
      <c r="U1496" s="16"/>
      <c r="V1496" s="16"/>
    </row>
    <row r="1497" spans="1:22">
      <c r="A1497" s="19"/>
      <c r="B1497" s="553"/>
      <c r="C1497" s="1042"/>
      <c r="D1497" s="1410" t="s">
        <v>1088</v>
      </c>
      <c r="E1497" s="1858" t="s">
        <v>1508</v>
      </c>
      <c r="F1497" s="1655" t="s">
        <v>1694</v>
      </c>
      <c r="G1497" s="1405">
        <v>0.375</v>
      </c>
      <c r="H1497" s="1405"/>
      <c r="I1497" s="198"/>
      <c r="J1497" s="6"/>
      <c r="K1497" s="1307">
        <f>G1497*$K$1489</f>
        <v>6.4799999999999996E-2</v>
      </c>
      <c r="L1497" s="1335">
        <f>K1497*$K$1382</f>
        <v>0</v>
      </c>
      <c r="M1497" s="1302">
        <v>19.23</v>
      </c>
      <c r="N1497" s="1701"/>
      <c r="O1497" s="1291">
        <f>G1497*M1497</f>
        <v>7.2112499999999997</v>
      </c>
      <c r="P1497" s="1332">
        <f>M1497*K1497</f>
        <v>1.2461039999999999</v>
      </c>
      <c r="Q1497" s="3391"/>
      <c r="R1497" s="2338"/>
      <c r="S1497" s="16"/>
      <c r="T1497" s="16"/>
      <c r="U1497" s="16"/>
      <c r="V1497" s="16"/>
    </row>
    <row r="1498" spans="1:22">
      <c r="A1498" s="19"/>
      <c r="B1498" s="553"/>
      <c r="C1498" s="1042"/>
      <c r="D1498" s="1410" t="s">
        <v>1067</v>
      </c>
      <c r="E1498" s="1858" t="s">
        <v>1508</v>
      </c>
      <c r="F1498" s="1655" t="s">
        <v>1512</v>
      </c>
      <c r="G1498" s="1359">
        <v>0.19</v>
      </c>
      <c r="H1498" s="1359"/>
      <c r="I1498" s="198"/>
      <c r="J1498" s="6"/>
      <c r="K1498" s="1307">
        <f>G1498*$K$1489</f>
        <v>3.2832E-2</v>
      </c>
      <c r="L1498" s="1335">
        <f>K1498*$K$1382</f>
        <v>0</v>
      </c>
      <c r="M1498" s="1302">
        <v>18.28</v>
      </c>
      <c r="N1498" s="1499"/>
      <c r="O1498" s="1291">
        <f>G1498*M1498</f>
        <v>3.4732000000000003</v>
      </c>
      <c r="P1498" s="1332">
        <f>M1498*K1498</f>
        <v>0.60016896000000008</v>
      </c>
      <c r="Q1498" s="3391"/>
      <c r="R1498" s="2338"/>
      <c r="S1498" s="16"/>
      <c r="T1498" s="16"/>
      <c r="U1498" s="16"/>
      <c r="V1498" s="16"/>
    </row>
    <row r="1499" spans="1:22">
      <c r="A1499" s="19"/>
      <c r="B1499" s="553"/>
      <c r="C1499" s="1042"/>
      <c r="D1499" s="1402"/>
      <c r="E1499" s="1857"/>
      <c r="F1499" s="1403"/>
      <c r="G1499" s="1362"/>
      <c r="H1499" s="1359"/>
      <c r="I1499" s="198"/>
      <c r="J1499" s="6"/>
      <c r="K1499" s="1307"/>
      <c r="L1499" s="1335"/>
      <c r="M1499" s="1499"/>
      <c r="N1499" s="1701"/>
      <c r="O1499" s="1290"/>
      <c r="P1499" s="1332"/>
      <c r="Q1499" s="3391"/>
      <c r="R1499" s="2338"/>
      <c r="S1499" s="16"/>
      <c r="T1499" s="16"/>
      <c r="U1499" s="16"/>
      <c r="V1499" s="16"/>
    </row>
    <row r="1500" spans="1:22">
      <c r="A1500" s="19"/>
      <c r="B1500" s="553"/>
      <c r="C1500" s="1042"/>
      <c r="D1500" s="1411"/>
      <c r="E1500" s="2123"/>
      <c r="F1500" s="1374" t="s">
        <v>3</v>
      </c>
      <c r="G1500" s="1374"/>
      <c r="H1500" s="1376"/>
      <c r="I1500" s="1382"/>
      <c r="J1500" s="1383"/>
      <c r="K1500" s="1373"/>
      <c r="L1500" s="1413"/>
      <c r="M1500" s="1505"/>
      <c r="N1500" s="1505"/>
      <c r="O1500" s="1376"/>
      <c r="P1500" s="1413"/>
      <c r="Q1500" s="3387"/>
      <c r="R1500" s="2338"/>
      <c r="S1500" s="16"/>
      <c r="T1500" s="16"/>
      <c r="U1500" s="16"/>
      <c r="V1500" s="16"/>
    </row>
    <row r="1501" spans="1:22">
      <c r="A1501" s="19"/>
      <c r="B1501" s="553"/>
      <c r="C1501" s="1042"/>
      <c r="D1501" s="1440"/>
      <c r="E1501" s="2132"/>
      <c r="F1501" s="1441"/>
      <c r="G1501" s="1441"/>
      <c r="H1501" s="1442"/>
      <c r="I1501" s="197" t="s">
        <v>506</v>
      </c>
      <c r="J1501" s="198"/>
      <c r="K1501" s="1307"/>
      <c r="L1501" s="1335" t="s">
        <v>506</v>
      </c>
      <c r="M1501" s="1499"/>
      <c r="N1501" s="1701"/>
      <c r="O1501" s="1290"/>
      <c r="P1501" s="1332"/>
      <c r="Q1501" s="3391"/>
      <c r="R1501" s="2338"/>
      <c r="S1501" s="16"/>
      <c r="T1501" s="16"/>
      <c r="U1501" s="16"/>
      <c r="V1501" s="16"/>
    </row>
    <row r="1502" spans="1:22">
      <c r="A1502" s="19"/>
      <c r="B1502" s="553"/>
      <c r="C1502" s="1320"/>
      <c r="D1502" s="1440"/>
      <c r="E1502" s="2132"/>
      <c r="F1502" s="1441"/>
      <c r="G1502" s="1441"/>
      <c r="H1502" s="1442"/>
      <c r="I1502" s="197" t="s">
        <v>506</v>
      </c>
      <c r="J1502" s="198"/>
      <c r="K1502" s="1307"/>
      <c r="L1502" s="1335" t="s">
        <v>506</v>
      </c>
      <c r="M1502" s="1499"/>
      <c r="N1502" s="1701"/>
      <c r="O1502" s="1290"/>
      <c r="P1502" s="1332"/>
      <c r="Q1502" s="3391"/>
      <c r="R1502" s="2338"/>
      <c r="S1502" s="16"/>
      <c r="T1502" s="16"/>
      <c r="U1502" s="16"/>
      <c r="V1502" s="16"/>
    </row>
    <row r="1503" spans="1:22">
      <c r="A1503" s="19"/>
      <c r="B1503" s="554"/>
      <c r="C1503" s="225"/>
      <c r="D1503" s="1440"/>
      <c r="E1503" s="2132"/>
      <c r="F1503" s="1441"/>
      <c r="G1503" s="1441"/>
      <c r="H1503" s="1442"/>
      <c r="I1503" s="197"/>
      <c r="J1503" s="198"/>
      <c r="K1503" s="1307"/>
      <c r="L1503" s="1335"/>
      <c r="M1503" s="1499"/>
      <c r="N1503" s="1701"/>
      <c r="O1503" s="1290"/>
      <c r="P1503" s="1332"/>
      <c r="Q1503" s="3391"/>
      <c r="R1503" s="2338"/>
      <c r="S1503" s="16"/>
      <c r="T1503" s="16"/>
      <c r="U1503" s="16"/>
      <c r="V1503" s="16"/>
    </row>
    <row r="1504" spans="1:22" ht="15" customHeight="1">
      <c r="A1504" s="16" t="s">
        <v>3764</v>
      </c>
      <c r="B1504" s="4325" t="s">
        <v>1738</v>
      </c>
      <c r="C1504" s="3350"/>
      <c r="D1504" s="4327"/>
      <c r="E1504" s="4329" t="s">
        <v>1507</v>
      </c>
      <c r="F1504" s="4336" t="s">
        <v>1714</v>
      </c>
      <c r="G1504" s="4331" t="s">
        <v>1568</v>
      </c>
      <c r="H1504" s="4331" t="s">
        <v>1574</v>
      </c>
      <c r="I1504" s="1572" t="s">
        <v>1559</v>
      </c>
      <c r="J1504" s="1294" t="s">
        <v>1560</v>
      </c>
      <c r="K1504" s="1294" t="s">
        <v>1561</v>
      </c>
      <c r="L1504" s="4333" t="s">
        <v>3765</v>
      </c>
      <c r="M1504" s="4335" t="s">
        <v>1571</v>
      </c>
      <c r="N1504" s="4323" t="s">
        <v>1776</v>
      </c>
      <c r="O1504" s="3347" t="s">
        <v>1563</v>
      </c>
      <c r="P1504" s="1336" t="s">
        <v>1562</v>
      </c>
      <c r="Q1504" s="3389"/>
      <c r="R1504" s="1699" t="s">
        <v>1327</v>
      </c>
      <c r="S1504" s="16"/>
      <c r="T1504" s="16"/>
      <c r="U1504" s="16"/>
      <c r="V1504" s="16"/>
    </row>
    <row r="1505" spans="1:22">
      <c r="A1505" s="1662" t="s">
        <v>2785</v>
      </c>
      <c r="B1505" s="4326"/>
      <c r="C1505" s="3351"/>
      <c r="D1505" s="4328"/>
      <c r="E1505" s="4389"/>
      <c r="F1505" s="4336"/>
      <c r="G1505" s="4332"/>
      <c r="H1505" s="4332"/>
      <c r="I1505" s="1345">
        <v>1058.4000000000001</v>
      </c>
      <c r="J1505" s="1307">
        <v>1E-3</v>
      </c>
      <c r="K1505" s="1307">
        <f>I1505*J1505</f>
        <v>1.0584</v>
      </c>
      <c r="L1505" s="4334"/>
      <c r="M1505" s="4335"/>
      <c r="N1505" s="4324"/>
      <c r="O1505" s="1298">
        <f>O1507+O1511+O1517</f>
        <v>7.8734280000000005</v>
      </c>
      <c r="P1505" s="1337">
        <f>O1505*K1505</f>
        <v>8.3332361952000014</v>
      </c>
      <c r="Q1505" s="3390"/>
      <c r="R1505" s="1721">
        <f>P1507+P1511+P1517</f>
        <v>8.3332361951999996</v>
      </c>
      <c r="S1505" s="17"/>
      <c r="T1505" s="17"/>
      <c r="U1505" s="16"/>
      <c r="V1505" s="16"/>
    </row>
    <row r="1506" spans="1:22">
      <c r="A1506" s="16"/>
      <c r="B1506" s="1327"/>
      <c r="C1506" s="1327"/>
      <c r="D1506" s="1400"/>
      <c r="E1506" s="2121"/>
      <c r="F1506" s="1368" t="s">
        <v>1</v>
      </c>
      <c r="G1506" s="1417"/>
      <c r="H1506" s="1390"/>
      <c r="I1506" s="1554"/>
      <c r="J1506" s="1367"/>
      <c r="K1506" s="1367"/>
      <c r="L1506" s="1554"/>
      <c r="M1506" s="1369"/>
      <c r="N1506" s="1369"/>
      <c r="O1506" s="1369"/>
      <c r="P1506" s="1367"/>
      <c r="Q1506" s="3387"/>
      <c r="R1506" s="3363"/>
      <c r="S1506" s="105"/>
      <c r="T1506" s="105"/>
      <c r="U1506" s="16"/>
      <c r="V1506" s="16"/>
    </row>
    <row r="1507" spans="1:22">
      <c r="A1507" s="16"/>
      <c r="B1507" s="1320"/>
      <c r="C1507" s="1356" t="s">
        <v>1128</v>
      </c>
      <c r="D1507" s="1311"/>
      <c r="E1507" s="2169" t="s">
        <v>1517</v>
      </c>
      <c r="F1507" s="1749" t="s">
        <v>1695</v>
      </c>
      <c r="G1507" s="1758"/>
      <c r="H1507" s="1758">
        <v>1.4999999999999999E-2</v>
      </c>
      <c r="I1507" s="1388"/>
      <c r="J1507" s="1366"/>
      <c r="K1507" s="1510"/>
      <c r="L1507" s="1445"/>
      <c r="M1507" s="1447"/>
      <c r="N1507" s="1447">
        <f>SUM(N1508:N1510)</f>
        <v>104.27969999999999</v>
      </c>
      <c r="O1507" s="1447">
        <f>SUM(O1508:O1510)</f>
        <v>1.5641954999999998</v>
      </c>
      <c r="P1507" s="1446">
        <f>SUM(P1508:P1510)</f>
        <v>1.6555445171999998</v>
      </c>
      <c r="Q1507" s="3391"/>
      <c r="R1507" s="3363"/>
      <c r="S1507" s="16"/>
      <c r="T1507" s="16"/>
      <c r="U1507" s="16"/>
      <c r="V1507" s="16"/>
    </row>
    <row r="1508" spans="1:22">
      <c r="A1508" s="16"/>
      <c r="B1508" s="1320"/>
      <c r="C1508" s="1042"/>
      <c r="D1508" s="1752" t="s">
        <v>1779</v>
      </c>
      <c r="E1508" s="1852" t="s">
        <v>1577</v>
      </c>
      <c r="F1508" s="1752" t="s">
        <v>1780</v>
      </c>
      <c r="G1508" s="1453">
        <v>0.876</v>
      </c>
      <c r="H1508" s="1453">
        <f>$H$1344*G1508</f>
        <v>1.3139999999999999E-2</v>
      </c>
      <c r="I1508" s="197"/>
      <c r="J1508" s="198"/>
      <c r="K1508" s="1307">
        <f>H1508*$K$1505</f>
        <v>1.3907375999999999E-2</v>
      </c>
      <c r="L1508" s="1335">
        <f>K1508*$K$1382</f>
        <v>0</v>
      </c>
      <c r="M1508" s="1759">
        <v>56.05</v>
      </c>
      <c r="N1508" s="1718">
        <f>G1508*M1508</f>
        <v>49.099799999999995</v>
      </c>
      <c r="O1508" s="1719">
        <f>H1508*M1508</f>
        <v>0.73649699999999985</v>
      </c>
      <c r="P1508" s="1720">
        <f>M1508*K1508</f>
        <v>0.77950842479999993</v>
      </c>
      <c r="Q1508" s="3396"/>
      <c r="R1508" s="3363"/>
      <c r="S1508" s="16"/>
      <c r="T1508" s="16"/>
      <c r="U1508" s="16"/>
      <c r="V1508" s="16"/>
    </row>
    <row r="1509" spans="1:22">
      <c r="A1509" s="16"/>
      <c r="B1509" s="1320"/>
      <c r="C1509" s="1042"/>
      <c r="D1509" s="1752" t="s">
        <v>1069</v>
      </c>
      <c r="E1509" s="1852" t="s">
        <v>1517</v>
      </c>
      <c r="F1509" s="1752" t="s">
        <v>1578</v>
      </c>
      <c r="G1509" s="1453">
        <v>0.61799999999999999</v>
      </c>
      <c r="H1509" s="1453">
        <f>$H$1344*G1509</f>
        <v>9.2699999999999987E-3</v>
      </c>
      <c r="I1509" s="27"/>
      <c r="J1509" s="10"/>
      <c r="K1509" s="1307">
        <f>H1509*$K$1505</f>
        <v>9.8113679999999991E-3</v>
      </c>
      <c r="L1509" s="1335">
        <f>K1509*$K$1382</f>
        <v>0</v>
      </c>
      <c r="M1509" s="1759">
        <v>0.55000000000000004</v>
      </c>
      <c r="N1509" s="1718">
        <f>G1509*M1509</f>
        <v>0.33990000000000004</v>
      </c>
      <c r="O1509" s="1719">
        <f>H1509*M1509</f>
        <v>5.0984999999999997E-3</v>
      </c>
      <c r="P1509" s="1720">
        <f>M1509*K1509</f>
        <v>5.3962524E-3</v>
      </c>
      <c r="Q1509" s="3396"/>
      <c r="R1509" s="3363"/>
      <c r="S1509" s="16"/>
      <c r="T1509" s="16"/>
      <c r="U1509" s="16"/>
      <c r="V1509" s="16"/>
    </row>
    <row r="1510" spans="1:22">
      <c r="A1510" s="16"/>
      <c r="B1510" s="1320"/>
      <c r="C1510" s="1042"/>
      <c r="D1510" s="1754" t="s">
        <v>1067</v>
      </c>
      <c r="E1510" s="1853" t="s">
        <v>1508</v>
      </c>
      <c r="F1510" s="1754" t="s">
        <v>1512</v>
      </c>
      <c r="G1510" s="1454">
        <v>3</v>
      </c>
      <c r="H1510" s="1454">
        <f>$H$1344*G1510</f>
        <v>4.4999999999999998E-2</v>
      </c>
      <c r="I1510" s="198"/>
      <c r="J1510" s="198"/>
      <c r="K1510" s="1307">
        <f>H1510*$K$1505</f>
        <v>4.7627999999999997E-2</v>
      </c>
      <c r="L1510" s="1335">
        <f>K1510*$K$1382</f>
        <v>0</v>
      </c>
      <c r="M1510" s="1759">
        <v>18.28</v>
      </c>
      <c r="N1510" s="1718">
        <f>G1510*M1510</f>
        <v>54.84</v>
      </c>
      <c r="O1510" s="1719">
        <f>H1510*M1510</f>
        <v>0.8226</v>
      </c>
      <c r="P1510" s="1720">
        <f>M1510*K1510</f>
        <v>0.87063983999999994</v>
      </c>
      <c r="Q1510" s="3396"/>
      <c r="R1510" s="3363"/>
      <c r="S1510" s="16"/>
      <c r="T1510" s="16"/>
      <c r="U1510" s="16"/>
      <c r="V1510" s="16"/>
    </row>
    <row r="1511" spans="1:22">
      <c r="A1511" s="16"/>
      <c r="B1511" s="1320"/>
      <c r="C1511" s="1356" t="s">
        <v>1152</v>
      </c>
      <c r="D1511" s="1311"/>
      <c r="E1511" s="1854" t="s">
        <v>1517</v>
      </c>
      <c r="F1511" s="1749" t="s">
        <v>1696</v>
      </c>
      <c r="G1511" s="1688"/>
      <c r="H1511" s="1688">
        <v>5.0000000000000001E-3</v>
      </c>
      <c r="I1511" s="1388"/>
      <c r="J1511" s="1388"/>
      <c r="K1511" s="1510"/>
      <c r="L1511" s="1445"/>
      <c r="M1511" s="1447"/>
      <c r="N1511" s="1447">
        <f>SUM(N1512:N1514)</f>
        <v>108.04650000000001</v>
      </c>
      <c r="O1511" s="1447">
        <f>SUM(O1512:O1514)</f>
        <v>0.54023250000000012</v>
      </c>
      <c r="P1511" s="1446">
        <f>SUM(P1512:P1514)</f>
        <v>0.57178207800000003</v>
      </c>
      <c r="Q1511" s="3391"/>
      <c r="R1511" s="3363"/>
      <c r="S1511" s="16"/>
      <c r="T1511" s="16"/>
      <c r="U1511" s="16"/>
      <c r="V1511" s="16"/>
    </row>
    <row r="1512" spans="1:22">
      <c r="A1512" s="16"/>
      <c r="B1512" s="1320"/>
      <c r="C1512" s="18"/>
      <c r="D1512" s="1756" t="s">
        <v>1781</v>
      </c>
      <c r="E1512" s="1852" t="s">
        <v>1577</v>
      </c>
      <c r="F1512" s="1752" t="s">
        <v>1782</v>
      </c>
      <c r="G1512" s="1753">
        <v>0.876</v>
      </c>
      <c r="H1512" s="1453">
        <f>$H$1348*G1512</f>
        <v>4.3800000000000002E-3</v>
      </c>
      <c r="I1512" s="198"/>
      <c r="J1512" s="198"/>
      <c r="K1512" s="1307">
        <f>H1512*$K$1505</f>
        <v>4.6357920000000006E-3</v>
      </c>
      <c r="L1512" s="1335">
        <f>K1512*$K$1382</f>
        <v>0</v>
      </c>
      <c r="M1512" s="1723">
        <v>60.35</v>
      </c>
      <c r="N1512" s="1718">
        <f>G1512*M1512</f>
        <v>52.866599999999998</v>
      </c>
      <c r="O1512" s="1719">
        <f>H1512*M1512</f>
        <v>0.26433300000000004</v>
      </c>
      <c r="P1512" s="1720">
        <f>M1512*K1512</f>
        <v>0.27977004720000004</v>
      </c>
      <c r="Q1512" s="3396"/>
      <c r="R1512" s="3363"/>
      <c r="S1512" s="16"/>
      <c r="T1512" s="16"/>
      <c r="U1512" s="16"/>
      <c r="V1512" s="16"/>
    </row>
    <row r="1513" spans="1:22">
      <c r="A1513" s="16"/>
      <c r="B1513" s="1320"/>
      <c r="C1513" s="1042"/>
      <c r="D1513" s="1756" t="s">
        <v>1069</v>
      </c>
      <c r="E1513" s="1852" t="s">
        <v>1517</v>
      </c>
      <c r="F1513" s="1752" t="s">
        <v>1578</v>
      </c>
      <c r="G1513" s="1753">
        <v>0.61799999999999999</v>
      </c>
      <c r="H1513" s="1453">
        <f>$H$1348*G1513</f>
        <v>3.0899999999999999E-3</v>
      </c>
      <c r="I1513" s="197"/>
      <c r="J1513" s="198"/>
      <c r="K1513" s="1307">
        <f>H1513*$K$1505</f>
        <v>3.2704559999999997E-3</v>
      </c>
      <c r="L1513" s="1335">
        <f>K1513*$K$1382</f>
        <v>0</v>
      </c>
      <c r="M1513" s="1723">
        <v>0.55000000000000004</v>
      </c>
      <c r="N1513" s="1718">
        <f>G1513*M1513</f>
        <v>0.33990000000000004</v>
      </c>
      <c r="O1513" s="1719">
        <f>H1513*M1513</f>
        <v>1.6995000000000001E-3</v>
      </c>
      <c r="P1513" s="1720">
        <f>M1513*K1513</f>
        <v>1.7987508000000001E-3</v>
      </c>
      <c r="Q1513" s="3396"/>
      <c r="R1513" s="3363"/>
      <c r="S1513" s="16"/>
      <c r="T1513" s="16"/>
      <c r="U1513" s="16"/>
      <c r="V1513" s="16"/>
    </row>
    <row r="1514" spans="1:22">
      <c r="A1514" s="16"/>
      <c r="B1514" s="1320"/>
      <c r="C1514" s="1042"/>
      <c r="D1514" s="1757" t="s">
        <v>1067</v>
      </c>
      <c r="E1514" s="1853" t="s">
        <v>1508</v>
      </c>
      <c r="F1514" s="1754" t="s">
        <v>1512</v>
      </c>
      <c r="G1514" s="1755">
        <v>3</v>
      </c>
      <c r="H1514" s="1454">
        <f>$H$1348*G1514</f>
        <v>1.4999999999999999E-2</v>
      </c>
      <c r="I1514" s="1289"/>
      <c r="J1514" s="198"/>
      <c r="K1514" s="1307">
        <f>H1514*$K$1505</f>
        <v>1.5876000000000001E-2</v>
      </c>
      <c r="L1514" s="1335">
        <f>K1514*$K$1382</f>
        <v>0</v>
      </c>
      <c r="M1514" s="1723">
        <v>18.28</v>
      </c>
      <c r="N1514" s="1718">
        <f>G1514*M1514</f>
        <v>54.84</v>
      </c>
      <c r="O1514" s="1719">
        <f>H1514*M1514</f>
        <v>0.2742</v>
      </c>
      <c r="P1514" s="1720">
        <f>M1514*K1514</f>
        <v>0.29021328000000002</v>
      </c>
      <c r="Q1514" s="3396"/>
      <c r="R1514" s="3363"/>
      <c r="S1514" s="16"/>
      <c r="T1514" s="16"/>
      <c r="U1514" s="16"/>
      <c r="V1514" s="16"/>
    </row>
    <row r="1515" spans="1:22">
      <c r="A1515" s="16"/>
      <c r="B1515" s="1320"/>
      <c r="C1515" s="1042"/>
      <c r="D1515" s="1404"/>
      <c r="E1515" s="1857"/>
      <c r="F1515" s="1406"/>
      <c r="G1515" s="1407"/>
      <c r="H1515" s="1408"/>
      <c r="I1515" s="1289"/>
      <c r="J1515" s="198"/>
      <c r="K1515" s="1307"/>
      <c r="L1515" s="1335"/>
      <c r="M1515" s="1499"/>
      <c r="N1515" s="1701"/>
      <c r="O1515" s="1290"/>
      <c r="P1515" s="1332"/>
      <c r="Q1515" s="3391"/>
      <c r="R1515" s="3363"/>
      <c r="S1515" s="16"/>
      <c r="T1515" s="16"/>
      <c r="U1515" s="16"/>
      <c r="V1515" s="16"/>
    </row>
    <row r="1516" spans="1:22">
      <c r="A1516" s="16"/>
      <c r="B1516" s="1320"/>
      <c r="C1516" s="1320"/>
      <c r="D1516" s="1410"/>
      <c r="E1516" s="1858"/>
      <c r="F1516" s="1360" t="s">
        <v>2</v>
      </c>
      <c r="G1516" s="1360"/>
      <c r="H1516" s="1362"/>
      <c r="I1516" s="1380"/>
      <c r="J1516" s="1381"/>
      <c r="K1516" s="1359"/>
      <c r="L1516" s="1458"/>
      <c r="M1516" s="1502"/>
      <c r="N1516" s="1502"/>
      <c r="O1516" s="1362"/>
      <c r="P1516" s="1359"/>
      <c r="Q1516" s="3387"/>
      <c r="R1516" s="3363"/>
      <c r="S1516" s="16"/>
      <c r="T1516" s="16"/>
      <c r="U1516" s="16"/>
      <c r="V1516" s="16"/>
    </row>
    <row r="1517" spans="1:22">
      <c r="A1517" s="16"/>
      <c r="B1517" s="1320"/>
      <c r="C1517" s="1042"/>
      <c r="D1517" s="1437" t="s">
        <v>1153</v>
      </c>
      <c r="E1517" s="2134" t="s">
        <v>1508</v>
      </c>
      <c r="F1517" s="1438" t="s">
        <v>1783</v>
      </c>
      <c r="G1517" s="1439">
        <v>0.3</v>
      </c>
      <c r="H1517" s="1439"/>
      <c r="I1517" s="197"/>
      <c r="J1517" s="198"/>
      <c r="K1517" s="1307">
        <f>G1517*$K$1505</f>
        <v>0.31751999999999997</v>
      </c>
      <c r="L1517" s="1335">
        <f>K1517*$K$1382</f>
        <v>0</v>
      </c>
      <c r="M1517" s="1499">
        <v>19.23</v>
      </c>
      <c r="N1517" s="1701"/>
      <c r="O1517" s="1290">
        <f>(G1517*M1517)</f>
        <v>5.7690000000000001</v>
      </c>
      <c r="P1517" s="1332">
        <f>M1517*K1517</f>
        <v>6.1059095999999995</v>
      </c>
      <c r="Q1517" s="3391"/>
      <c r="R1517" s="3363"/>
      <c r="S1517" s="16"/>
      <c r="T1517" s="16"/>
      <c r="U1517" s="16"/>
      <c r="V1517" s="16"/>
    </row>
    <row r="1518" spans="1:22">
      <c r="A1518" s="16"/>
      <c r="B1518" s="1320"/>
      <c r="C1518" s="1042"/>
      <c r="D1518" s="1402"/>
      <c r="E1518" s="1857"/>
      <c r="F1518" s="1645"/>
      <c r="G1518" s="1362"/>
      <c r="H1518" s="1359"/>
      <c r="I1518" s="198"/>
      <c r="J1518" s="6"/>
      <c r="K1518" s="1306"/>
      <c r="L1518" s="1646"/>
      <c r="M1518" s="1499"/>
      <c r="N1518" s="1499"/>
      <c r="O1518" s="1291"/>
      <c r="P1518" s="1332"/>
      <c r="Q1518" s="3391"/>
      <c r="R1518" s="3363"/>
      <c r="S1518" s="16"/>
      <c r="T1518" s="16"/>
      <c r="U1518" s="16"/>
      <c r="V1518" s="16"/>
    </row>
    <row r="1519" spans="1:22">
      <c r="A1519" s="16"/>
      <c r="B1519" s="1320"/>
      <c r="C1519" s="1042"/>
      <c r="D1519" s="1402"/>
      <c r="E1519" s="1857"/>
      <c r="F1519" s="1403"/>
      <c r="G1519" s="1362"/>
      <c r="H1519" s="1359"/>
      <c r="I1519" s="198"/>
      <c r="J1519" s="6"/>
      <c r="K1519" s="1307"/>
      <c r="L1519" s="1335"/>
      <c r="M1519" s="1499"/>
      <c r="N1519" s="1701"/>
      <c r="O1519" s="1290"/>
      <c r="P1519" s="1332"/>
      <c r="Q1519" s="3391"/>
      <c r="R1519" s="3363"/>
      <c r="S1519" s="16"/>
      <c r="T1519" s="16"/>
      <c r="U1519" s="16"/>
      <c r="V1519" s="16"/>
    </row>
    <row r="1520" spans="1:22">
      <c r="A1520" s="16"/>
      <c r="B1520" s="1320"/>
      <c r="C1520" s="1042"/>
      <c r="D1520" s="1411"/>
      <c r="E1520" s="2123"/>
      <c r="F1520" s="1374" t="s">
        <v>3</v>
      </c>
      <c r="G1520" s="1374"/>
      <c r="H1520" s="1376"/>
      <c r="I1520" s="1382"/>
      <c r="J1520" s="1383"/>
      <c r="K1520" s="1373"/>
      <c r="L1520" s="1413"/>
      <c r="M1520" s="1505"/>
      <c r="N1520" s="1505"/>
      <c r="O1520" s="1376"/>
      <c r="P1520" s="1413"/>
      <c r="Q1520" s="3387"/>
      <c r="R1520" s="2337"/>
      <c r="S1520" s="16"/>
      <c r="T1520" s="16"/>
      <c r="U1520" s="16"/>
      <c r="V1520" s="16"/>
    </row>
    <row r="1521" spans="1:22">
      <c r="A1521" s="16"/>
      <c r="B1521" s="1320"/>
      <c r="C1521" s="1042"/>
      <c r="D1521" s="1412"/>
      <c r="E1521" s="2124"/>
      <c r="F1521" s="1378"/>
      <c r="G1521" s="1378"/>
      <c r="H1521" s="1379"/>
      <c r="I1521" s="198"/>
      <c r="J1521" s="6"/>
      <c r="K1521" s="1307"/>
      <c r="L1521" s="1335"/>
      <c r="M1521" s="1499"/>
      <c r="N1521" s="1701"/>
      <c r="O1521" s="1290"/>
      <c r="P1521" s="1332"/>
      <c r="Q1521" s="3391"/>
      <c r="R1521" s="2337"/>
      <c r="S1521" s="16"/>
      <c r="T1521" s="16"/>
      <c r="U1521" s="16"/>
      <c r="V1521" s="16"/>
    </row>
    <row r="1522" spans="1:22">
      <c r="A1522" s="16"/>
      <c r="B1522" s="1320"/>
      <c r="C1522" s="1042"/>
      <c r="D1522" s="1440"/>
      <c r="E1522" s="2132"/>
      <c r="F1522" s="1441"/>
      <c r="G1522" s="1441"/>
      <c r="H1522" s="1442"/>
      <c r="I1522" s="197"/>
      <c r="J1522" s="198"/>
      <c r="K1522" s="1307"/>
      <c r="L1522" s="1335"/>
      <c r="M1522" s="1499"/>
      <c r="N1522" s="1701"/>
      <c r="O1522" s="1290"/>
      <c r="P1522" s="1332"/>
      <c r="Q1522" s="3391"/>
      <c r="R1522" s="3363"/>
      <c r="S1522" s="16"/>
      <c r="T1522" s="16"/>
      <c r="U1522" s="16"/>
      <c r="V1522" s="16"/>
    </row>
    <row r="1523" spans="1:22">
      <c r="A1523" s="16"/>
      <c r="B1523" s="225"/>
      <c r="C1523" s="223"/>
      <c r="D1523" s="1440"/>
      <c r="E1523" s="2132"/>
      <c r="F1523" s="1441"/>
      <c r="G1523" s="1441"/>
      <c r="H1523" s="1442"/>
      <c r="I1523" s="197"/>
      <c r="J1523" s="198"/>
      <c r="K1523" s="1307"/>
      <c r="L1523" s="1335"/>
      <c r="M1523" s="1499"/>
      <c r="N1523" s="1701"/>
      <c r="O1523" s="1290"/>
      <c r="P1523" s="1332"/>
      <c r="Q1523" s="3391"/>
      <c r="R1523" s="3363"/>
      <c r="S1523" s="16"/>
      <c r="T1523" s="16"/>
      <c r="U1523" s="16"/>
      <c r="V1523" s="16"/>
    </row>
    <row r="1524" spans="1:22" ht="15" customHeight="1">
      <c r="A1524" s="16" t="s">
        <v>3764</v>
      </c>
      <c r="B1524" s="4325" t="s">
        <v>1661</v>
      </c>
      <c r="C1524" s="3350"/>
      <c r="D1524" s="4327"/>
      <c r="E1524" s="4329" t="s">
        <v>1507</v>
      </c>
      <c r="F1524" s="4336" t="s">
        <v>1706</v>
      </c>
      <c r="G1524" s="4331" t="s">
        <v>1568</v>
      </c>
      <c r="H1524" s="4331" t="s">
        <v>1574</v>
      </c>
      <c r="I1524" s="1572" t="s">
        <v>1559</v>
      </c>
      <c r="J1524" s="1294" t="s">
        <v>1560</v>
      </c>
      <c r="K1524" s="1294" t="s">
        <v>1561</v>
      </c>
      <c r="L1524" s="4333" t="s">
        <v>3765</v>
      </c>
      <c r="M1524" s="4335" t="s">
        <v>1571</v>
      </c>
      <c r="N1524" s="4323" t="s">
        <v>1776</v>
      </c>
      <c r="O1524" s="3347" t="s">
        <v>1563</v>
      </c>
      <c r="P1524" s="1336" t="s">
        <v>1562</v>
      </c>
      <c r="Q1524" s="3389"/>
      <c r="R1524" s="1699" t="s">
        <v>1327</v>
      </c>
      <c r="S1524" s="16"/>
      <c r="T1524" s="16"/>
      <c r="U1524" s="16"/>
      <c r="V1524" s="16"/>
    </row>
    <row r="1525" spans="1:22">
      <c r="A1525" s="1662" t="s">
        <v>2785</v>
      </c>
      <c r="B1525" s="4326"/>
      <c r="C1525" s="3351"/>
      <c r="D1525" s="4328"/>
      <c r="E1525" s="4389"/>
      <c r="F1525" s="4336"/>
      <c r="G1525" s="4332"/>
      <c r="H1525" s="4332"/>
      <c r="I1525" s="1345">
        <v>1058.4000000000001</v>
      </c>
      <c r="J1525" s="1307">
        <v>1E-3</v>
      </c>
      <c r="K1525" s="1307">
        <f>I1525*J1525</f>
        <v>1.0584</v>
      </c>
      <c r="L1525" s="4334"/>
      <c r="M1525" s="4335"/>
      <c r="N1525" s="4324"/>
      <c r="O1525" s="1298">
        <f>SUM(O1527:O1540)</f>
        <v>8.9870400000000004</v>
      </c>
      <c r="P1525" s="1337">
        <f>O1525*K1525</f>
        <v>9.5118831359999998</v>
      </c>
      <c r="Q1525" s="3390"/>
      <c r="R1525" s="1721">
        <f>SUM(P1527:P1541)</f>
        <v>9.5118831359999998</v>
      </c>
      <c r="S1525" s="16"/>
      <c r="T1525" s="16"/>
      <c r="U1525" s="16"/>
      <c r="V1525" s="16"/>
    </row>
    <row r="1526" spans="1:22">
      <c r="A1526" s="16"/>
      <c r="B1526" s="1327"/>
      <c r="C1526" s="1327"/>
      <c r="D1526" s="1400"/>
      <c r="E1526" s="2121"/>
      <c r="F1526" s="1368" t="s">
        <v>1</v>
      </c>
      <c r="G1526" s="1417"/>
      <c r="H1526" s="1390"/>
      <c r="I1526" s="1554"/>
      <c r="J1526" s="1367"/>
      <c r="K1526" s="1367"/>
      <c r="L1526" s="1554"/>
      <c r="M1526" s="1369"/>
      <c r="N1526" s="1369"/>
      <c r="O1526" s="1369"/>
      <c r="P1526" s="1367"/>
      <c r="Q1526" s="3387"/>
      <c r="R1526" s="3363"/>
      <c r="S1526" s="16"/>
      <c r="T1526" s="16"/>
      <c r="U1526" s="16"/>
      <c r="V1526" s="16"/>
    </row>
    <row r="1527" spans="1:22">
      <c r="A1527" s="16"/>
      <c r="B1527" s="1320"/>
      <c r="C1527" s="1042"/>
      <c r="D1527" s="1761" t="s">
        <v>1698</v>
      </c>
      <c r="E1527" s="2170" t="s">
        <v>1357</v>
      </c>
      <c r="F1527" s="1761" t="s">
        <v>1699</v>
      </c>
      <c r="G1527" s="1762">
        <v>0.45</v>
      </c>
      <c r="H1527" s="1762"/>
      <c r="I1527" s="198"/>
      <c r="J1527" s="6"/>
      <c r="K1527" s="1307">
        <f>G1527*$K$1525</f>
        <v>0.47628000000000004</v>
      </c>
      <c r="L1527" s="1335">
        <f>K1527*$K$1382</f>
        <v>0</v>
      </c>
      <c r="M1527" s="1499">
        <v>1.7</v>
      </c>
      <c r="N1527" s="1701"/>
      <c r="O1527" s="1290">
        <f>(G1527*M1527)</f>
        <v>0.76500000000000001</v>
      </c>
      <c r="P1527" s="1332">
        <f>M1527*K1527</f>
        <v>0.80967600000000006</v>
      </c>
      <c r="Q1527" s="3391"/>
      <c r="R1527" s="3363"/>
      <c r="S1527" s="16"/>
      <c r="T1527" s="16"/>
      <c r="U1527" s="16"/>
      <c r="V1527" s="16"/>
    </row>
    <row r="1528" spans="1:22">
      <c r="A1528" s="16"/>
      <c r="B1528" s="1320"/>
      <c r="C1528" s="1042"/>
      <c r="D1528" s="1761" t="s">
        <v>1214</v>
      </c>
      <c r="E1528" s="2170" t="s">
        <v>1357</v>
      </c>
      <c r="F1528" s="1761" t="s">
        <v>1700</v>
      </c>
      <c r="G1528" s="1762">
        <v>0.35</v>
      </c>
      <c r="H1528" s="1762"/>
      <c r="I1528" s="197"/>
      <c r="J1528" s="198"/>
      <c r="K1528" s="1307">
        <f>G1528*$K$1525</f>
        <v>0.37043999999999999</v>
      </c>
      <c r="L1528" s="1335">
        <f>K1528*$K$1382</f>
        <v>0</v>
      </c>
      <c r="M1528" s="1499">
        <v>4.2</v>
      </c>
      <c r="N1528" s="1701"/>
      <c r="O1528" s="1290">
        <f>(G1528*M1528)</f>
        <v>1.47</v>
      </c>
      <c r="P1528" s="1332">
        <f>M1528*K1528</f>
        <v>1.5558480000000001</v>
      </c>
      <c r="Q1528" s="3391"/>
      <c r="R1528" s="3363"/>
      <c r="S1528" s="16"/>
      <c r="T1528" s="16"/>
      <c r="U1528" s="16"/>
      <c r="V1528" s="16"/>
    </row>
    <row r="1529" spans="1:22">
      <c r="A1529" s="16"/>
      <c r="B1529" s="1320"/>
      <c r="C1529" s="1042"/>
      <c r="D1529" s="1761" t="s">
        <v>1701</v>
      </c>
      <c r="E1529" s="2170" t="s">
        <v>1504</v>
      </c>
      <c r="F1529" s="1761" t="s">
        <v>1541</v>
      </c>
      <c r="G1529" s="1762">
        <v>0.2</v>
      </c>
      <c r="H1529" s="1762"/>
      <c r="I1529" s="27"/>
      <c r="J1529" s="10"/>
      <c r="K1529" s="1307">
        <f>G1529*$K$1525</f>
        <v>0.21168000000000001</v>
      </c>
      <c r="L1529" s="1335">
        <f>K1529*$K$1382</f>
        <v>0</v>
      </c>
      <c r="M1529" s="1499">
        <v>0.3</v>
      </c>
      <c r="N1529" s="1701"/>
      <c r="O1529" s="1290">
        <f>(G1529*M1529)</f>
        <v>0.06</v>
      </c>
      <c r="P1529" s="1332">
        <f>M1529*K1529</f>
        <v>6.3504000000000005E-2</v>
      </c>
      <c r="Q1529" s="3391"/>
      <c r="R1529" s="2337"/>
      <c r="S1529" s="17"/>
      <c r="T1529" s="17"/>
      <c r="U1529" s="16"/>
      <c r="V1529" s="16"/>
    </row>
    <row r="1530" spans="1:22">
      <c r="A1530" s="16"/>
      <c r="B1530" s="1320"/>
      <c r="C1530" s="1042"/>
      <c r="D1530" s="1400"/>
      <c r="E1530" s="1856"/>
      <c r="F1530" s="1397"/>
      <c r="G1530" s="1399"/>
      <c r="H1530" s="1399"/>
      <c r="I1530" s="198"/>
      <c r="J1530" s="198"/>
      <c r="K1530" s="1307"/>
      <c r="L1530" s="1335"/>
      <c r="M1530" s="1499"/>
      <c r="N1530" s="1701"/>
      <c r="O1530" s="1290"/>
      <c r="P1530" s="1332"/>
      <c r="Q1530" s="3391"/>
      <c r="R1530" s="2337"/>
      <c r="S1530" s="105"/>
      <c r="T1530" s="105"/>
      <c r="U1530" s="16"/>
      <c r="V1530" s="16"/>
    </row>
    <row r="1531" spans="1:22">
      <c r="A1531" s="16"/>
      <c r="B1531" s="1320"/>
      <c r="C1531" s="1042"/>
      <c r="D1531" s="1400"/>
      <c r="E1531" s="1856"/>
      <c r="F1531" s="1397"/>
      <c r="G1531" s="1399"/>
      <c r="H1531" s="1399"/>
      <c r="I1531" s="197"/>
      <c r="J1531" s="198"/>
      <c r="K1531" s="1307"/>
      <c r="L1531" s="1335"/>
      <c r="M1531" s="1499"/>
      <c r="N1531" s="1701"/>
      <c r="O1531" s="1290"/>
      <c r="P1531" s="1332"/>
      <c r="Q1531" s="3391"/>
      <c r="R1531" s="2337"/>
      <c r="S1531" s="16"/>
      <c r="T1531" s="16"/>
      <c r="U1531" s="16"/>
      <c r="V1531" s="16"/>
    </row>
    <row r="1532" spans="1:22">
      <c r="A1532" s="16"/>
      <c r="B1532" s="1320"/>
      <c r="C1532" s="1042"/>
      <c r="D1532" s="1400"/>
      <c r="E1532" s="1856"/>
      <c r="F1532" s="1397"/>
      <c r="G1532" s="1399"/>
      <c r="H1532" s="1399"/>
      <c r="I1532" s="1289"/>
      <c r="J1532" s="198"/>
      <c r="K1532" s="1307"/>
      <c r="L1532" s="1335"/>
      <c r="M1532" s="1499"/>
      <c r="N1532" s="1701"/>
      <c r="O1532" s="1290"/>
      <c r="P1532" s="1332"/>
      <c r="Q1532" s="3391"/>
      <c r="R1532" s="2337"/>
      <c r="S1532" s="16"/>
      <c r="T1532" s="16"/>
      <c r="U1532" s="16"/>
      <c r="V1532" s="16"/>
    </row>
    <row r="1533" spans="1:22">
      <c r="A1533" s="16"/>
      <c r="B1533" s="1320"/>
      <c r="C1533" s="1042"/>
      <c r="D1533" s="1404"/>
      <c r="E1533" s="1857"/>
      <c r="F1533" s="1406"/>
      <c r="G1533" s="1408"/>
      <c r="H1533" s="1408"/>
      <c r="I1533" s="1289"/>
      <c r="J1533" s="198"/>
      <c r="K1533" s="1307"/>
      <c r="L1533" s="1335"/>
      <c r="M1533" s="1499"/>
      <c r="N1533" s="1701"/>
      <c r="O1533" s="1290"/>
      <c r="P1533" s="1332"/>
      <c r="Q1533" s="3391"/>
      <c r="R1533" s="3363"/>
      <c r="S1533" s="16"/>
      <c r="T1533" s="16"/>
      <c r="U1533" s="16"/>
      <c r="V1533" s="16"/>
    </row>
    <row r="1534" spans="1:22">
      <c r="A1534" s="16"/>
      <c r="B1534" s="1320"/>
      <c r="C1534" s="1320"/>
      <c r="D1534" s="1410"/>
      <c r="E1534" s="1858"/>
      <c r="F1534" s="1360" t="s">
        <v>2</v>
      </c>
      <c r="G1534" s="1362"/>
      <c r="H1534" s="1362"/>
      <c r="I1534" s="1380"/>
      <c r="J1534" s="1381"/>
      <c r="K1534" s="1359"/>
      <c r="L1534" s="1458"/>
      <c r="M1534" s="1502"/>
      <c r="N1534" s="1502"/>
      <c r="O1534" s="1362"/>
      <c r="P1534" s="1359"/>
      <c r="Q1534" s="3387"/>
      <c r="R1534" s="3363"/>
      <c r="S1534" s="16"/>
      <c r="T1534" s="16"/>
      <c r="U1534" s="16"/>
      <c r="V1534" s="16"/>
    </row>
    <row r="1535" spans="1:22">
      <c r="A1535" s="16"/>
      <c r="B1535" s="1320"/>
      <c r="C1535" s="1042"/>
      <c r="D1535" s="1624" t="s">
        <v>1702</v>
      </c>
      <c r="E1535" s="2158" t="s">
        <v>1508</v>
      </c>
      <c r="F1535" s="1624" t="s">
        <v>1703</v>
      </c>
      <c r="G1535" s="1625">
        <v>0.34799999999999998</v>
      </c>
      <c r="H1535" s="1625"/>
      <c r="I1535" s="198"/>
      <c r="J1535" s="6"/>
      <c r="K1535" s="1307">
        <f>G1535*K1525</f>
        <v>0.36832319999999996</v>
      </c>
      <c r="L1535" s="1335">
        <f>K1535*$K$1382</f>
        <v>0</v>
      </c>
      <c r="M1535" s="1499">
        <v>19.23</v>
      </c>
      <c r="N1535" s="1701"/>
      <c r="O1535" s="1290">
        <f>(G1535*M1535)</f>
        <v>6.6920399999999995</v>
      </c>
      <c r="P1535" s="1332">
        <f>M1535*K1535</f>
        <v>7.0828551359999992</v>
      </c>
      <c r="Q1535" s="3391"/>
      <c r="R1535" s="3363"/>
      <c r="S1535" s="16"/>
      <c r="T1535" s="16"/>
      <c r="U1535" s="16"/>
      <c r="V1535" s="16"/>
    </row>
    <row r="1536" spans="1:22">
      <c r="A1536" s="16"/>
      <c r="B1536" s="1320"/>
      <c r="C1536" s="1042"/>
      <c r="D1536" s="1402"/>
      <c r="E1536" s="1857"/>
      <c r="F1536" s="1645"/>
      <c r="G1536" s="1362"/>
      <c r="H1536" s="1359"/>
      <c r="I1536" s="198"/>
      <c r="J1536" s="6"/>
      <c r="K1536" s="1306"/>
      <c r="L1536" s="1646"/>
      <c r="M1536" s="1499"/>
      <c r="N1536" s="1499"/>
      <c r="O1536" s="1291"/>
      <c r="P1536" s="1332"/>
      <c r="Q1536" s="3391"/>
      <c r="R1536" s="3363"/>
      <c r="S1536" s="16"/>
      <c r="T1536" s="16"/>
      <c r="U1536" s="16"/>
      <c r="V1536" s="16"/>
    </row>
    <row r="1537" spans="1:22">
      <c r="A1537" s="16"/>
      <c r="B1537" s="1320"/>
      <c r="C1537" s="1042"/>
      <c r="D1537" s="1402"/>
      <c r="E1537" s="1857"/>
      <c r="F1537" s="1403"/>
      <c r="G1537" s="1362"/>
      <c r="H1537" s="1359"/>
      <c r="I1537" s="198"/>
      <c r="J1537" s="6"/>
      <c r="K1537" s="1307"/>
      <c r="L1537" s="1335"/>
      <c r="M1537" s="1499"/>
      <c r="N1537" s="1701"/>
      <c r="O1537" s="1290"/>
      <c r="P1537" s="1332"/>
      <c r="Q1537" s="3391"/>
      <c r="R1537" s="3363"/>
      <c r="S1537" s="16"/>
      <c r="T1537" s="16"/>
      <c r="U1537" s="16"/>
      <c r="V1537" s="16"/>
    </row>
    <row r="1538" spans="1:22">
      <c r="A1538" s="16"/>
      <c r="B1538" s="1320"/>
      <c r="C1538" s="1042"/>
      <c r="D1538" s="1411"/>
      <c r="E1538" s="2123"/>
      <c r="F1538" s="1374" t="s">
        <v>3</v>
      </c>
      <c r="G1538" s="1374"/>
      <c r="H1538" s="1376"/>
      <c r="I1538" s="1382"/>
      <c r="J1538" s="1383"/>
      <c r="K1538" s="1373"/>
      <c r="L1538" s="1413"/>
      <c r="M1538" s="1505"/>
      <c r="N1538" s="1505"/>
      <c r="O1538" s="1376"/>
      <c r="P1538" s="1413"/>
      <c r="Q1538" s="3387"/>
      <c r="R1538" s="3363"/>
      <c r="S1538" s="16"/>
      <c r="T1538" s="16"/>
      <c r="U1538" s="16"/>
      <c r="V1538" s="16"/>
    </row>
    <row r="1539" spans="1:22">
      <c r="A1539" s="16"/>
      <c r="B1539" s="1320"/>
      <c r="C1539" s="1042"/>
      <c r="D1539" s="1440"/>
      <c r="E1539" s="2132"/>
      <c r="F1539" s="1441"/>
      <c r="G1539" s="1441"/>
      <c r="H1539" s="1442"/>
      <c r="I1539" s="197"/>
      <c r="J1539" s="198"/>
      <c r="K1539" s="1307"/>
      <c r="L1539" s="1335"/>
      <c r="M1539" s="1499"/>
      <c r="N1539" s="1701"/>
      <c r="O1539" s="1290"/>
      <c r="P1539" s="1332"/>
      <c r="Q1539" s="3391"/>
      <c r="R1539" s="2337"/>
      <c r="S1539" s="16"/>
      <c r="T1539" s="16"/>
      <c r="U1539" s="16"/>
      <c r="V1539" s="16"/>
    </row>
    <row r="1540" spans="1:22">
      <c r="A1540" s="16"/>
      <c r="B1540" s="1320"/>
      <c r="C1540" s="1042"/>
      <c r="D1540" s="1440"/>
      <c r="E1540" s="2132"/>
      <c r="F1540" s="1441"/>
      <c r="G1540" s="1441"/>
      <c r="H1540" s="1442"/>
      <c r="I1540" s="197"/>
      <c r="J1540" s="198"/>
      <c r="K1540" s="1307"/>
      <c r="L1540" s="1335"/>
      <c r="M1540" s="1499"/>
      <c r="N1540" s="1701"/>
      <c r="O1540" s="1290"/>
      <c r="P1540" s="1332"/>
      <c r="Q1540" s="3391"/>
      <c r="R1540" s="2337"/>
      <c r="S1540" s="16"/>
      <c r="T1540" s="16"/>
      <c r="U1540" s="16"/>
      <c r="V1540" s="16"/>
    </row>
    <row r="1541" spans="1:22">
      <c r="A1541" s="16"/>
      <c r="B1541" s="225"/>
      <c r="C1541" s="223"/>
      <c r="D1541" s="1440"/>
      <c r="E1541" s="2132"/>
      <c r="F1541" s="1955"/>
      <c r="G1541" s="1955"/>
      <c r="H1541" s="1956"/>
      <c r="I1541" s="197"/>
      <c r="J1541" s="198"/>
      <c r="K1541" s="1307"/>
      <c r="L1541" s="1335"/>
      <c r="M1541" s="1499"/>
      <c r="N1541" s="1701"/>
      <c r="O1541" s="1290"/>
      <c r="P1541" s="1332"/>
      <c r="Q1541" s="3391"/>
      <c r="R1541" s="2337"/>
      <c r="S1541" s="16"/>
      <c r="T1541" s="16"/>
      <c r="U1541" s="16"/>
      <c r="V1541" s="16"/>
    </row>
    <row r="1542" spans="1:22" s="22" customFormat="1">
      <c r="A1542" s="16"/>
      <c r="B1542" s="16"/>
      <c r="C1542" s="16"/>
      <c r="D1542" s="1795"/>
      <c r="E1542" s="2179"/>
      <c r="F1542" s="1795"/>
      <c r="G1542" s="1795"/>
      <c r="H1542" s="1797"/>
      <c r="I1542" s="1561"/>
      <c r="J1542" s="1561"/>
      <c r="K1542" s="1639"/>
      <c r="L1542" s="1640"/>
      <c r="M1542" s="1292"/>
      <c r="N1542" s="1292"/>
      <c r="O1542" s="1292"/>
      <c r="P1542" s="1292"/>
      <c r="Q1542" s="3391"/>
      <c r="R1542" s="2337"/>
      <c r="S1542" s="16"/>
      <c r="T1542" s="16"/>
      <c r="U1542" s="16"/>
      <c r="V1542" s="16"/>
    </row>
    <row r="1543" spans="1:22" s="22" customFormat="1" ht="31">
      <c r="A1543" s="16"/>
      <c r="B1543" s="16"/>
      <c r="C1543" s="16"/>
      <c r="D1543" s="1795"/>
      <c r="E1543" s="2179"/>
      <c r="F1543" s="1795"/>
      <c r="G1543" s="1795"/>
      <c r="H1543" s="1797"/>
      <c r="I1543" s="1561"/>
      <c r="J1543" s="1561"/>
      <c r="K1543" s="1639"/>
      <c r="L1543" s="2402" t="s">
        <v>2856</v>
      </c>
      <c r="M1543" s="1292"/>
      <c r="N1543" s="1292"/>
      <c r="O1543" s="1292"/>
      <c r="P1543" s="1292"/>
      <c r="Q1543" s="3391"/>
      <c r="R1543" s="2337"/>
      <c r="S1543" s="16"/>
      <c r="T1543" s="16"/>
      <c r="U1543" s="16"/>
      <c r="V1543" s="16"/>
    </row>
    <row r="1544" spans="1:22">
      <c r="A1544" s="4393" t="s">
        <v>162</v>
      </c>
      <c r="B1544" s="4394"/>
      <c r="C1544" s="4394"/>
      <c r="D1544" s="4395"/>
      <c r="E1544" s="4396" t="s">
        <v>1549</v>
      </c>
      <c r="F1544" s="4397" t="s">
        <v>1550</v>
      </c>
      <c r="G1544" s="4399" t="s">
        <v>1566</v>
      </c>
      <c r="H1544" s="4400"/>
      <c r="I1544" s="4400"/>
      <c r="J1544" s="4400"/>
      <c r="K1544" s="4400"/>
      <c r="L1544" s="4401"/>
      <c r="M1544" s="4405" t="s">
        <v>1567</v>
      </c>
      <c r="N1544" s="4405"/>
      <c r="O1544" s="4405"/>
      <c r="P1544" s="4405"/>
      <c r="Q1544" s="3395"/>
      <c r="R1544" s="1296"/>
      <c r="S1544" s="16"/>
      <c r="T1544" s="16"/>
      <c r="U1544" s="16"/>
      <c r="V1544" s="16"/>
    </row>
    <row r="1545" spans="1:22">
      <c r="A1545" s="1324" t="s">
        <v>3766</v>
      </c>
      <c r="B1545" s="1325" t="s">
        <v>1513</v>
      </c>
      <c r="C1545" s="1326" t="s">
        <v>1573</v>
      </c>
      <c r="D1545" s="1323" t="s">
        <v>1514</v>
      </c>
      <c r="E1545" s="4396"/>
      <c r="F1545" s="4398"/>
      <c r="G1545" s="4402"/>
      <c r="H1545" s="4403"/>
      <c r="I1545" s="4403"/>
      <c r="J1545" s="4403"/>
      <c r="K1545" s="4403"/>
      <c r="L1545" s="4404"/>
      <c r="M1545" s="4405"/>
      <c r="N1545" s="4405"/>
      <c r="O1545" s="4405"/>
      <c r="P1545" s="4405"/>
      <c r="Q1545" s="3395"/>
      <c r="R1545" s="1296"/>
      <c r="S1545" s="16"/>
      <c r="T1545" s="16"/>
      <c r="U1545" s="16"/>
      <c r="V1545" s="16"/>
    </row>
    <row r="1546" spans="1:22">
      <c r="A1546" s="4374" t="s">
        <v>2818</v>
      </c>
      <c r="B1546" s="4375"/>
      <c r="C1546" s="4375"/>
      <c r="D1546" s="4376"/>
      <c r="E1546" s="4380" t="s">
        <v>1507</v>
      </c>
      <c r="F1546" s="4382" t="s">
        <v>3904</v>
      </c>
      <c r="G1546" s="4493" t="s">
        <v>294</v>
      </c>
      <c r="H1546" s="4493"/>
      <c r="I1546" s="1665" t="s">
        <v>1565</v>
      </c>
      <c r="J1546" s="3348" t="s">
        <v>1575</v>
      </c>
      <c r="K1546" s="4493" t="s">
        <v>289</v>
      </c>
      <c r="L1546" s="4493"/>
      <c r="M1546" s="4408" t="s">
        <v>3349</v>
      </c>
      <c r="N1546" s="4408"/>
      <c r="O1546" s="4408"/>
      <c r="P1546" s="4408"/>
      <c r="Q1546" s="3394" t="s">
        <v>3933</v>
      </c>
      <c r="R1546" s="1296"/>
      <c r="S1546" s="16"/>
      <c r="T1546" s="16"/>
      <c r="U1546" s="16"/>
      <c r="V1546" s="16"/>
    </row>
    <row r="1547" spans="1:22" ht="15.5">
      <c r="A1547" s="4377"/>
      <c r="B1547" s="4378"/>
      <c r="C1547" s="4378"/>
      <c r="D1547" s="4379"/>
      <c r="E1547" s="4381"/>
      <c r="F1547" s="4383"/>
      <c r="G1547" s="4451">
        <f>IF('Seleccion proyecto HEREVEA02'!G28="Reparación grietas en superficie &gt;60% (sustitución y reposición)",'Seleccion proyecto HEREVEA02'!E26,0)</f>
        <v>0</v>
      </c>
      <c r="H1547" s="4452"/>
      <c r="I1547" s="3353">
        <f>IF('Seleccion proyecto HEREVEA02'!H28=0,0,IF('Seleccion proyecto HEREVEA02'!H28="1 a 30",0,IF('Seleccion proyecto HEREVEA02'!H28="31 a 60",0,IF('Seleccion proyecto HEREVEA02'!H28="61 a 100",1))))</f>
        <v>0</v>
      </c>
      <c r="J1547" s="1351">
        <f>'Seleccion proyecto HEREVEA02'!L8</f>
        <v>11100.968999999999</v>
      </c>
      <c r="K1547" s="4519">
        <f>G1547*I1547*J1547</f>
        <v>0</v>
      </c>
      <c r="L1547" s="4520"/>
      <c r="M1547" s="4360">
        <f>P1549+P1564+P1578+P1592+P1606+P1620+P1641+P1660+P1675+P1693+P1710+P1725+P1748+P1770</f>
        <v>119.093595466672</v>
      </c>
      <c r="N1547" s="4361"/>
      <c r="O1547" s="4361"/>
      <c r="P1547" s="4449"/>
      <c r="Q1547" s="3388">
        <f>M1547*K1547</f>
        <v>0</v>
      </c>
      <c r="R1547" s="1296"/>
      <c r="S1547" s="16"/>
      <c r="T1547" s="16"/>
      <c r="U1547" s="16"/>
      <c r="V1547" s="16"/>
    </row>
    <row r="1548" spans="1:22" ht="15" customHeight="1">
      <c r="A1548" s="18" t="s">
        <v>3764</v>
      </c>
      <c r="B1548" s="4367" t="s">
        <v>1654</v>
      </c>
      <c r="C1548" s="3354"/>
      <c r="D1548" s="4368"/>
      <c r="E1548" s="4329" t="s">
        <v>1507</v>
      </c>
      <c r="F1548" s="4336" t="s">
        <v>1664</v>
      </c>
      <c r="G1548" s="4331" t="s">
        <v>1568</v>
      </c>
      <c r="H1548" s="4331" t="s">
        <v>1574</v>
      </c>
      <c r="I1548" s="1572" t="s">
        <v>1559</v>
      </c>
      <c r="J1548" s="1294" t="s">
        <v>1560</v>
      </c>
      <c r="K1548" s="1294" t="s">
        <v>1569</v>
      </c>
      <c r="L1548" s="4333" t="s">
        <v>3765</v>
      </c>
      <c r="M1548" s="4335" t="s">
        <v>1571</v>
      </c>
      <c r="N1548" s="4323" t="s">
        <v>1776</v>
      </c>
      <c r="O1548" s="3347" t="s">
        <v>1563</v>
      </c>
      <c r="P1548" s="1336" t="s">
        <v>1562</v>
      </c>
      <c r="Q1548" s="3389"/>
      <c r="R1548" s="1699" t="s">
        <v>1327</v>
      </c>
      <c r="S1548" s="16"/>
      <c r="T1548" s="16"/>
      <c r="U1548" s="16"/>
      <c r="V1548" s="16"/>
    </row>
    <row r="1549" spans="1:22">
      <c r="A1549" s="1662" t="s">
        <v>2818</v>
      </c>
      <c r="B1549" s="4369"/>
      <c r="C1549" s="3351"/>
      <c r="D1549" s="4328"/>
      <c r="E1549" s="4330"/>
      <c r="F1549" s="4336"/>
      <c r="G1549" s="4332"/>
      <c r="H1549" s="4332"/>
      <c r="I1549" s="1345">
        <v>172.8</v>
      </c>
      <c r="J1549" s="1307">
        <v>2E-3</v>
      </c>
      <c r="K1549" s="1297">
        <f>I1549*J1549</f>
        <v>0.34560000000000002</v>
      </c>
      <c r="L1549" s="4334"/>
      <c r="M1549" s="4335"/>
      <c r="N1549" s="4324"/>
      <c r="O1549" s="1298">
        <f>SUM(O1551:O1562)</f>
        <v>11.479840000000001</v>
      </c>
      <c r="P1549" s="1337">
        <f>O1549*K1549</f>
        <v>3.9674327040000006</v>
      </c>
      <c r="Q1549" s="3390"/>
      <c r="R1549" s="1721">
        <f>P1555</f>
        <v>3.9674327040000001</v>
      </c>
      <c r="S1549" s="16"/>
      <c r="T1549" s="16"/>
      <c r="U1549" s="16"/>
      <c r="V1549" s="16"/>
    </row>
    <row r="1550" spans="1:22">
      <c r="A1550" s="1320"/>
      <c r="B1550" s="22"/>
      <c r="C1550" s="1327"/>
      <c r="D1550" s="1367"/>
      <c r="E1550" s="2121"/>
      <c r="F1550" s="1389" t="s">
        <v>1</v>
      </c>
      <c r="G1550" s="1369"/>
      <c r="H1550" s="1369"/>
      <c r="I1550" s="1409"/>
      <c r="J1550" s="1390"/>
      <c r="K1550" s="1391"/>
      <c r="L1550" s="1559"/>
      <c r="M1550" s="1369"/>
      <c r="N1550" s="1369"/>
      <c r="O1550" s="1369"/>
      <c r="P1550" s="1392"/>
      <c r="Q1550" s="3395"/>
      <c r="R1550" s="1296"/>
      <c r="S1550" s="16"/>
      <c r="T1550" s="16"/>
      <c r="U1550" s="16"/>
      <c r="V1550" s="16"/>
    </row>
    <row r="1551" spans="1:22">
      <c r="A1551" s="1042"/>
      <c r="B1551" s="22"/>
      <c r="C1551" s="1042"/>
      <c r="D1551" s="1672"/>
      <c r="E1551" s="2160"/>
      <c r="F1551" s="1675"/>
      <c r="G1551" s="1674"/>
      <c r="H1551" s="1674"/>
      <c r="I1551" s="1299" t="str">
        <f ca="1">IF(COUNT(G1551:O1551)=0,"",(SUM(G1551:O1551)/COUNT(G1551:O1551)))</f>
        <v/>
      </c>
      <c r="J1551" s="1300"/>
      <c r="K1551" s="1307" t="str">
        <f t="shared" ref="K1551:K1553" ca="1" si="87">IF(COUNT(I1551)=0,"",(I1551*J1551))</f>
        <v/>
      </c>
      <c r="L1551" s="1335"/>
      <c r="M1551" s="1302"/>
      <c r="N1551" s="1700"/>
      <c r="O1551" s="1290"/>
      <c r="P1551" s="1332"/>
      <c r="Q1551" s="3391"/>
      <c r="R1551" s="1296"/>
      <c r="S1551" s="16"/>
      <c r="T1551" s="16"/>
      <c r="U1551" s="16"/>
      <c r="V1551" s="16"/>
    </row>
    <row r="1552" spans="1:22">
      <c r="A1552" s="1042"/>
      <c r="B1552" s="22"/>
      <c r="C1552" s="1042"/>
      <c r="D1552" s="1367"/>
      <c r="E1552" s="2121"/>
      <c r="F1552" s="1436"/>
      <c r="G1552" s="1369"/>
      <c r="H1552" s="1369"/>
      <c r="I1552" s="1299" t="str">
        <f ca="1">IF(COUNT(G1552:O1552)=0,"",(SUM(G1552:O1552)/COUNT(G1552:O1552)))</f>
        <v/>
      </c>
      <c r="J1552" s="1300"/>
      <c r="K1552" s="1307" t="str">
        <f t="shared" ca="1" si="87"/>
        <v/>
      </c>
      <c r="L1552" s="1335"/>
      <c r="M1552" s="1302"/>
      <c r="N1552" s="1700"/>
      <c r="O1552" s="1290"/>
      <c r="P1552" s="1332"/>
      <c r="Q1552" s="3391"/>
      <c r="R1552" s="1296"/>
      <c r="S1552" s="16"/>
      <c r="T1552" s="16"/>
      <c r="U1552" s="16"/>
      <c r="V1552" s="16"/>
    </row>
    <row r="1553" spans="1:22">
      <c r="A1553" s="1042"/>
      <c r="B1553" s="22"/>
      <c r="C1553" s="1042"/>
      <c r="D1553" s="1367"/>
      <c r="E1553" s="2121"/>
      <c r="F1553" s="1436"/>
      <c r="G1553" s="1369"/>
      <c r="H1553" s="1369"/>
      <c r="I1553" s="1299" t="str">
        <f ca="1">IF(COUNT(G1553:O1553)=0,"",(SUM(G1553:O1553)/COUNT(G1553:O1553)))</f>
        <v/>
      </c>
      <c r="J1553" s="1300"/>
      <c r="K1553" s="1307" t="str">
        <f t="shared" ca="1" si="87"/>
        <v/>
      </c>
      <c r="L1553" s="1335"/>
      <c r="M1553" s="1302"/>
      <c r="N1553" s="1700"/>
      <c r="O1553" s="1290"/>
      <c r="P1553" s="1332"/>
      <c r="Q1553" s="3391"/>
      <c r="R1553" s="1296"/>
      <c r="S1553" s="16"/>
      <c r="T1553" s="16"/>
      <c r="U1553" s="16"/>
      <c r="V1553" s="16"/>
    </row>
    <row r="1554" spans="1:22">
      <c r="A1554" s="1042"/>
      <c r="B1554" s="22"/>
      <c r="C1554" s="1042"/>
      <c r="D1554" s="1359"/>
      <c r="E1554" s="1858"/>
      <c r="F1554" s="1360" t="s">
        <v>2</v>
      </c>
      <c r="G1554" s="1362"/>
      <c r="H1554" s="1362"/>
      <c r="I1554" s="1380"/>
      <c r="J1554" s="1381"/>
      <c r="K1554" s="1381"/>
      <c r="L1554" s="1458"/>
      <c r="M1554" s="1362"/>
      <c r="N1554" s="1362"/>
      <c r="O1554" s="1362"/>
      <c r="P1554" s="1359"/>
      <c r="Q1554" s="3387"/>
      <c r="R1554" s="1296"/>
      <c r="S1554" s="16"/>
      <c r="T1554" s="16"/>
      <c r="U1554" s="16"/>
      <c r="V1554" s="16"/>
    </row>
    <row r="1555" spans="1:22">
      <c r="A1555" s="1321"/>
      <c r="B1555" s="1295"/>
      <c r="C1555" s="1321"/>
      <c r="D1555" s="1363" t="s">
        <v>1067</v>
      </c>
      <c r="E1555" s="2125" t="s">
        <v>1508</v>
      </c>
      <c r="F1555" s="1385" t="s">
        <v>1512</v>
      </c>
      <c r="G1555" s="1386">
        <v>0.628</v>
      </c>
      <c r="H1555" s="1386"/>
      <c r="I1555" s="1299"/>
      <c r="J1555" s="1300"/>
      <c r="K1555" s="1307">
        <f>G1555*$K$1549</f>
        <v>0.2170368</v>
      </c>
      <c r="L1555" s="1335">
        <f>K1555*$K$1547</f>
        <v>0</v>
      </c>
      <c r="M1555" s="1302">
        <v>18.28</v>
      </c>
      <c r="N1555" s="1700"/>
      <c r="O1555" s="1290">
        <f>G1555*M1555</f>
        <v>11.479840000000001</v>
      </c>
      <c r="P1555" s="1332">
        <f>M1555*K1555</f>
        <v>3.9674327040000001</v>
      </c>
      <c r="Q1555" s="3391"/>
      <c r="R1555" s="1296"/>
      <c r="S1555" s="16"/>
      <c r="T1555" s="16"/>
      <c r="U1555" s="16"/>
      <c r="V1555" s="16"/>
    </row>
    <row r="1556" spans="1:22">
      <c r="A1556" s="1320"/>
      <c r="B1556" s="22"/>
      <c r="C1556" s="1320"/>
      <c r="D1556" s="1359"/>
      <c r="E1556" s="1858"/>
      <c r="F1556" s="1404"/>
      <c r="G1556" s="1359"/>
      <c r="H1556" s="1359"/>
      <c r="I1556" s="1299"/>
      <c r="J1556" s="1300"/>
      <c r="K1556" s="1307" t="str">
        <f>IF(COUNT(I1556)=0,"",(I1556*J1556))</f>
        <v/>
      </c>
      <c r="L1556" s="1335"/>
      <c r="M1556" s="1302"/>
      <c r="N1556" s="1700"/>
      <c r="O1556" s="1290"/>
      <c r="P1556" s="1332"/>
      <c r="Q1556" s="3391"/>
      <c r="R1556" s="1296"/>
      <c r="S1556" s="16"/>
      <c r="T1556" s="16"/>
      <c r="U1556" s="16"/>
      <c r="V1556" s="16"/>
    </row>
    <row r="1557" spans="1:22">
      <c r="A1557" s="1320"/>
      <c r="B1557" s="22"/>
      <c r="C1557" s="1320"/>
      <c r="D1557" s="1359"/>
      <c r="E1557" s="1858"/>
      <c r="F1557" s="1404"/>
      <c r="G1557" s="1359"/>
      <c r="H1557" s="1359"/>
      <c r="I1557" s="1299"/>
      <c r="J1557" s="1300"/>
      <c r="K1557" s="1307"/>
      <c r="L1557" s="1335"/>
      <c r="M1557" s="1302"/>
      <c r="N1557" s="1700"/>
      <c r="O1557" s="1290"/>
      <c r="P1557" s="1332"/>
      <c r="Q1557" s="3391"/>
      <c r="R1557" s="1296"/>
      <c r="S1557" s="16"/>
      <c r="T1557" s="16"/>
      <c r="U1557" s="16"/>
      <c r="V1557" s="16"/>
    </row>
    <row r="1558" spans="1:22">
      <c r="A1558" s="1320"/>
      <c r="B1558" s="22"/>
      <c r="C1558" s="1320"/>
      <c r="D1558" s="1359"/>
      <c r="E1558" s="1858"/>
      <c r="F1558" s="1361"/>
      <c r="G1558" s="1466"/>
      <c r="H1558" s="1466"/>
      <c r="I1558" s="1299"/>
      <c r="J1558" s="1300"/>
      <c r="K1558" s="1307" t="str">
        <f>IF(COUNT(I1558)=0,"",(I1558*J1558))</f>
        <v/>
      </c>
      <c r="L1558" s="1335"/>
      <c r="M1558" s="1302"/>
      <c r="N1558" s="1700"/>
      <c r="O1558" s="1290"/>
      <c r="P1558" s="1332"/>
      <c r="Q1558" s="3391"/>
      <c r="R1558" s="1296"/>
      <c r="S1558" s="16"/>
      <c r="T1558" s="16"/>
      <c r="U1558" s="16"/>
      <c r="V1558" s="16"/>
    </row>
    <row r="1559" spans="1:22">
      <c r="A1559" s="1320"/>
      <c r="B1559" s="22"/>
      <c r="C1559" s="1320"/>
      <c r="D1559" s="1373"/>
      <c r="E1559" s="2123"/>
      <c r="F1559" s="1374" t="s">
        <v>3</v>
      </c>
      <c r="G1559" s="1376"/>
      <c r="H1559" s="1376"/>
      <c r="I1559" s="1382"/>
      <c r="J1559" s="1383"/>
      <c r="K1559" s="1383" t="str">
        <f>IF(COUNT(I1559)=0,"",(I1559*J1559))</f>
        <v/>
      </c>
      <c r="L1559" s="1413"/>
      <c r="M1559" s="1376"/>
      <c r="N1559" s="1376"/>
      <c r="O1559" s="1376"/>
      <c r="P1559" s="1373"/>
      <c r="Q1559" s="3387"/>
      <c r="R1559" s="1296"/>
      <c r="S1559" s="16"/>
      <c r="T1559" s="16"/>
      <c r="U1559" s="16"/>
      <c r="V1559" s="16"/>
    </row>
    <row r="1560" spans="1:22">
      <c r="A1560" s="1321"/>
      <c r="B1560" s="1295"/>
      <c r="C1560" s="1321"/>
      <c r="D1560" s="1377"/>
      <c r="E1560" s="2124"/>
      <c r="F1560" s="1378"/>
      <c r="G1560" s="1379"/>
      <c r="H1560" s="1379"/>
      <c r="I1560" s="1299"/>
      <c r="J1560" s="1300"/>
      <c r="K1560" s="1307"/>
      <c r="L1560" s="1335"/>
      <c r="M1560" s="1302"/>
      <c r="N1560" s="1700"/>
      <c r="O1560" s="1290"/>
      <c r="P1560" s="1332"/>
      <c r="Q1560" s="3391"/>
      <c r="R1560" s="1296"/>
      <c r="S1560" s="16"/>
      <c r="T1560" s="16"/>
      <c r="U1560" s="16"/>
      <c r="V1560" s="16"/>
    </row>
    <row r="1561" spans="1:22">
      <c r="A1561" s="1321"/>
      <c r="B1561" s="1295"/>
      <c r="C1561" s="1321"/>
      <c r="D1561" s="1377"/>
      <c r="E1561" s="2124"/>
      <c r="F1561" s="1378"/>
      <c r="G1561" s="1379"/>
      <c r="H1561" s="1379"/>
      <c r="I1561" s="1299"/>
      <c r="J1561" s="1300"/>
      <c r="K1561" s="1307"/>
      <c r="L1561" s="1335"/>
      <c r="M1561" s="1302"/>
      <c r="N1561" s="1700"/>
      <c r="O1561" s="1290"/>
      <c r="P1561" s="1333"/>
      <c r="Q1561" s="3391"/>
      <c r="R1561" s="1296"/>
      <c r="S1561" s="16"/>
      <c r="T1561" s="16"/>
      <c r="U1561" s="16"/>
      <c r="V1561" s="16"/>
    </row>
    <row r="1562" spans="1:22">
      <c r="A1562" s="1042"/>
      <c r="B1562" s="22"/>
      <c r="C1562" s="1042"/>
      <c r="D1562" s="1677"/>
      <c r="E1562" s="2161"/>
      <c r="F1562" s="1678"/>
      <c r="G1562" s="1376"/>
      <c r="H1562" s="1376"/>
      <c r="I1562" s="1299"/>
      <c r="J1562" s="1300"/>
      <c r="K1562" s="1307"/>
      <c r="L1562" s="1335"/>
      <c r="M1562" s="1302"/>
      <c r="N1562" s="1700"/>
      <c r="O1562" s="1290"/>
      <c r="P1562" s="1332"/>
      <c r="Q1562" s="3391"/>
      <c r="R1562" s="1296"/>
      <c r="S1562" s="16"/>
      <c r="T1562" s="16"/>
      <c r="U1562" s="16"/>
      <c r="V1562" s="16"/>
    </row>
    <row r="1563" spans="1:22" ht="15" customHeight="1">
      <c r="A1563" s="1042" t="s">
        <v>3764</v>
      </c>
      <c r="B1563" s="4325" t="s">
        <v>1740</v>
      </c>
      <c r="C1563" s="3350"/>
      <c r="D1563" s="4327" t="s">
        <v>1551</v>
      </c>
      <c r="E1563" s="4329" t="s">
        <v>1527</v>
      </c>
      <c r="F1563" s="4336" t="s">
        <v>1748</v>
      </c>
      <c r="G1563" s="4331" t="s">
        <v>1568</v>
      </c>
      <c r="H1563" s="4331" t="s">
        <v>1574</v>
      </c>
      <c r="I1563" s="1572" t="s">
        <v>1559</v>
      </c>
      <c r="J1563" s="1294" t="s">
        <v>1560</v>
      </c>
      <c r="K1563" s="1294" t="s">
        <v>1561</v>
      </c>
      <c r="L1563" s="4333" t="s">
        <v>3765</v>
      </c>
      <c r="M1563" s="4335" t="s">
        <v>1571</v>
      </c>
      <c r="N1563" s="4323" t="s">
        <v>1776</v>
      </c>
      <c r="O1563" s="3347" t="s">
        <v>1563</v>
      </c>
      <c r="P1563" s="1336" t="s">
        <v>1562</v>
      </c>
      <c r="Q1563" s="3389"/>
      <c r="R1563" s="1699" t="s">
        <v>1327</v>
      </c>
      <c r="S1563" s="16"/>
      <c r="T1563" s="16"/>
      <c r="U1563" s="16"/>
      <c r="V1563" s="16"/>
    </row>
    <row r="1564" spans="1:22">
      <c r="A1564" s="1042" t="s">
        <v>2818</v>
      </c>
      <c r="B1564" s="4326"/>
      <c r="C1564" s="3354"/>
      <c r="D1564" s="4328"/>
      <c r="E1564" s="4330"/>
      <c r="F1564" s="4336"/>
      <c r="G1564" s="4332"/>
      <c r="H1564" s="4332"/>
      <c r="I1564" s="1350">
        <v>392</v>
      </c>
      <c r="J1564" s="1307">
        <v>2E-3</v>
      </c>
      <c r="K1564" s="1297">
        <f>I1564*J1564</f>
        <v>0.78400000000000003</v>
      </c>
      <c r="L1564" s="4334"/>
      <c r="M1564" s="4335"/>
      <c r="N1564" s="4324"/>
      <c r="O1564" s="1298">
        <f>SUM(O1566:O1576)</f>
        <v>0.63980000000000015</v>
      </c>
      <c r="P1564" s="1337">
        <f>O1564*K1564</f>
        <v>0.50160320000000014</v>
      </c>
      <c r="Q1564" s="3390"/>
      <c r="R1564" s="1721">
        <f>P1570</f>
        <v>0.50160320000000003</v>
      </c>
      <c r="S1564" s="16"/>
      <c r="T1564" s="16"/>
      <c r="U1564" s="16"/>
      <c r="V1564" s="16"/>
    </row>
    <row r="1565" spans="1:22">
      <c r="A1565" s="1042"/>
      <c r="B1565" s="22"/>
      <c r="C1565" s="18"/>
      <c r="D1565" s="1400"/>
      <c r="E1565" s="2121"/>
      <c r="F1565" s="1368" t="s">
        <v>1</v>
      </c>
      <c r="G1565" s="1423"/>
      <c r="H1565" s="1423"/>
      <c r="I1565" s="1667"/>
      <c r="J1565" s="1424"/>
      <c r="K1565" s="1425"/>
      <c r="L1565" s="1560"/>
      <c r="M1565" s="1426"/>
      <c r="N1565" s="1426"/>
      <c r="O1565" s="1427"/>
      <c r="P1565" s="1427"/>
      <c r="Q1565" s="3397"/>
      <c r="R1565" s="1296"/>
      <c r="S1565" s="16"/>
      <c r="T1565" s="16"/>
      <c r="U1565" s="16"/>
      <c r="V1565" s="16"/>
    </row>
    <row r="1566" spans="1:22">
      <c r="A1566" s="1042"/>
      <c r="B1566" s="22"/>
      <c r="C1566" s="1320"/>
      <c r="D1566" s="1400"/>
      <c r="E1566" s="1856"/>
      <c r="F1566" s="1397"/>
      <c r="G1566" s="1399"/>
      <c r="H1566" s="1399"/>
      <c r="I1566" s="197"/>
      <c r="J1566" s="198"/>
      <c r="K1566" s="1307"/>
      <c r="L1566" s="1335"/>
      <c r="M1566" s="1499"/>
      <c r="N1566" s="1701"/>
      <c r="O1566" s="1290"/>
      <c r="P1566" s="1332"/>
      <c r="Q1566" s="3391"/>
      <c r="R1566" s="1296"/>
      <c r="S1566" s="16"/>
      <c r="T1566" s="16"/>
      <c r="U1566" s="16"/>
      <c r="V1566" s="16"/>
    </row>
    <row r="1567" spans="1:22">
      <c r="A1567" s="1042"/>
      <c r="B1567" s="22"/>
      <c r="C1567" s="1320"/>
      <c r="D1567" s="1400"/>
      <c r="E1567" s="1856"/>
      <c r="F1567" s="1397"/>
      <c r="G1567" s="1399"/>
      <c r="H1567" s="1399"/>
      <c r="I1567" s="197"/>
      <c r="J1567" s="198"/>
      <c r="K1567" s="1307"/>
      <c r="L1567" s="1335"/>
      <c r="M1567" s="1499"/>
      <c r="N1567" s="1701"/>
      <c r="O1567" s="1290"/>
      <c r="P1567" s="1332"/>
      <c r="Q1567" s="3391"/>
      <c r="R1567" s="1296"/>
      <c r="S1567" s="16"/>
      <c r="T1567" s="16"/>
      <c r="U1567" s="16"/>
      <c r="V1567" s="16"/>
    </row>
    <row r="1568" spans="1:22">
      <c r="A1568" s="1042"/>
      <c r="B1568" s="22"/>
      <c r="C1568" s="1320"/>
      <c r="D1568" s="1400"/>
      <c r="E1568" s="1856"/>
      <c r="F1568" s="1397"/>
      <c r="G1568" s="1399"/>
      <c r="H1568" s="1399"/>
      <c r="I1568" s="197"/>
      <c r="J1568" s="198"/>
      <c r="K1568" s="1307"/>
      <c r="L1568" s="1335"/>
      <c r="M1568" s="1499"/>
      <c r="N1568" s="1701"/>
      <c r="O1568" s="1290"/>
      <c r="P1568" s="1332"/>
      <c r="Q1568" s="3391"/>
      <c r="R1568" s="1296"/>
      <c r="S1568" s="16"/>
      <c r="T1568" s="16"/>
      <c r="U1568" s="16"/>
      <c r="V1568" s="16"/>
    </row>
    <row r="1569" spans="1:22">
      <c r="A1569" s="1042"/>
      <c r="B1569" s="22"/>
      <c r="C1569" s="1320"/>
      <c r="D1569" s="1642"/>
      <c r="E1569" s="2162"/>
      <c r="F1569" s="1643" t="s">
        <v>2</v>
      </c>
      <c r="G1569" s="1408"/>
      <c r="H1569" s="1408"/>
      <c r="I1569" s="1380"/>
      <c r="J1569" s="1381"/>
      <c r="K1569" s="1679"/>
      <c r="L1569" s="1680"/>
      <c r="M1569" s="1681"/>
      <c r="N1569" s="1713"/>
      <c r="O1569" s="1682"/>
      <c r="P1569" s="1683"/>
      <c r="Q1569" s="3391"/>
      <c r="R1569" s="1296"/>
      <c r="S1569" s="16"/>
      <c r="T1569" s="16"/>
      <c r="U1569" s="16"/>
      <c r="V1569" s="16"/>
    </row>
    <row r="1570" spans="1:22">
      <c r="A1570" s="1321"/>
      <c r="B1570" s="1295"/>
      <c r="C1570" s="1321"/>
      <c r="D1570" s="1363" t="s">
        <v>1067</v>
      </c>
      <c r="E1570" s="2125" t="s">
        <v>1508</v>
      </c>
      <c r="F1570" s="1385" t="s">
        <v>1512</v>
      </c>
      <c r="G1570" s="1386">
        <v>3.5000000000000003E-2</v>
      </c>
      <c r="H1570" s="1386"/>
      <c r="I1570" s="1289"/>
      <c r="J1570" s="8"/>
      <c r="K1570" s="1307">
        <f>G1570*$K$1564</f>
        <v>2.7440000000000003E-2</v>
      </c>
      <c r="L1570" s="1335">
        <f>K1570*$K$1547</f>
        <v>0</v>
      </c>
      <c r="M1570" s="1302">
        <v>18.28</v>
      </c>
      <c r="N1570" s="1700"/>
      <c r="O1570" s="1290">
        <f>G1570*M1570</f>
        <v>0.63980000000000015</v>
      </c>
      <c r="P1570" s="1332">
        <f>M1570*K1570</f>
        <v>0.50160320000000003</v>
      </c>
      <c r="Q1570" s="3391"/>
      <c r="R1570" s="1296"/>
      <c r="S1570" s="16"/>
      <c r="T1570" s="16"/>
      <c r="U1570" s="16"/>
      <c r="V1570" s="16"/>
    </row>
    <row r="1571" spans="1:22">
      <c r="A1571" s="1042"/>
      <c r="B1571" s="22"/>
      <c r="C1571" s="1042"/>
      <c r="D1571" s="1402"/>
      <c r="E1571" s="1857"/>
      <c r="F1571" s="1403"/>
      <c r="G1571" s="1362"/>
      <c r="H1571" s="1362"/>
      <c r="I1571" s="198"/>
      <c r="J1571" s="6"/>
      <c r="K1571" s="1307"/>
      <c r="L1571" s="1335"/>
      <c r="M1571" s="1499"/>
      <c r="N1571" s="1703"/>
      <c r="O1571" s="1310"/>
      <c r="P1571" s="1332"/>
      <c r="Q1571" s="3391"/>
      <c r="R1571" s="1296"/>
      <c r="S1571" s="16"/>
      <c r="T1571" s="16"/>
      <c r="U1571" s="16"/>
      <c r="V1571" s="16"/>
    </row>
    <row r="1572" spans="1:22">
      <c r="A1572" s="1042"/>
      <c r="B1572" s="22"/>
      <c r="C1572" s="1042"/>
      <c r="D1572" s="1402"/>
      <c r="E1572" s="1857"/>
      <c r="F1572" s="1403"/>
      <c r="G1572" s="1362"/>
      <c r="H1572" s="1362"/>
      <c r="I1572" s="198"/>
      <c r="J1572" s="6"/>
      <c r="K1572" s="1307"/>
      <c r="L1572" s="1335"/>
      <c r="M1572" s="1499"/>
      <c r="N1572" s="1703"/>
      <c r="O1572" s="1310"/>
      <c r="P1572" s="1332"/>
      <c r="Q1572" s="3391"/>
      <c r="R1572" s="1296"/>
      <c r="S1572" s="16"/>
      <c r="T1572" s="16"/>
      <c r="U1572" s="16"/>
      <c r="V1572" s="16"/>
    </row>
    <row r="1573" spans="1:22">
      <c r="A1573" s="1042"/>
      <c r="B1573" s="22"/>
      <c r="C1573" s="1042"/>
      <c r="D1573" s="1411"/>
      <c r="E1573" s="2123"/>
      <c r="F1573" s="1374" t="s">
        <v>3</v>
      </c>
      <c r="G1573" s="1376"/>
      <c r="H1573" s="1376"/>
      <c r="I1573" s="1382"/>
      <c r="J1573" s="1383"/>
      <c r="K1573" s="1373"/>
      <c r="L1573" s="1413"/>
      <c r="M1573" s="1376"/>
      <c r="N1573" s="1432"/>
      <c r="O1573" s="1432"/>
      <c r="P1573" s="1373"/>
      <c r="Q1573" s="3387"/>
      <c r="R1573" s="1296"/>
      <c r="S1573" s="16"/>
      <c r="T1573" s="16"/>
      <c r="U1573" s="16"/>
      <c r="V1573" s="16"/>
    </row>
    <row r="1574" spans="1:22">
      <c r="A1574" s="1042"/>
      <c r="B1574" s="22"/>
      <c r="C1574" s="1042"/>
      <c r="D1574" s="1411"/>
      <c r="E1574" s="2123"/>
      <c r="F1574" s="1374"/>
      <c r="G1574" s="1376"/>
      <c r="H1574" s="1376"/>
      <c r="I1574" s="197"/>
      <c r="J1574" s="198"/>
      <c r="K1574" s="1307"/>
      <c r="L1574" s="1335"/>
      <c r="M1574" s="1619"/>
      <c r="N1574" s="1619"/>
      <c r="O1574" s="1290"/>
      <c r="P1574" s="1332"/>
      <c r="Q1574" s="3391"/>
      <c r="R1574" s="1296"/>
      <c r="S1574" s="16"/>
      <c r="T1574" s="16"/>
      <c r="U1574" s="16"/>
      <c r="V1574" s="16"/>
    </row>
    <row r="1575" spans="1:22">
      <c r="A1575" s="1042"/>
      <c r="B1575" s="22"/>
      <c r="C1575" s="1042"/>
      <c r="D1575" s="1411"/>
      <c r="E1575" s="2123"/>
      <c r="F1575" s="1375"/>
      <c r="G1575" s="1670"/>
      <c r="H1575" s="1670"/>
      <c r="I1575" s="197" t="str">
        <f ca="1">IF(COUNT(G1575:O1575)=0,"",(SUM(G1575:O1575)/COUNT(G1575:O1575)))</f>
        <v/>
      </c>
      <c r="J1575" s="198"/>
      <c r="K1575" s="1307"/>
      <c r="L1575" s="1335"/>
      <c r="M1575" s="1619"/>
      <c r="N1575" s="1619"/>
      <c r="O1575" s="1290"/>
      <c r="P1575" s="1332"/>
      <c r="Q1575" s="3391"/>
      <c r="R1575" s="1296"/>
      <c r="S1575" s="16"/>
      <c r="T1575" s="16"/>
      <c r="U1575" s="16"/>
      <c r="V1575" s="16"/>
    </row>
    <row r="1576" spans="1:22">
      <c r="A1576" s="1042"/>
      <c r="B1576" s="22"/>
      <c r="C1576" s="223"/>
      <c r="D1576" s="1411"/>
      <c r="E1576" s="2123"/>
      <c r="F1576" s="1375"/>
      <c r="G1576" s="1376"/>
      <c r="H1576" s="1376"/>
      <c r="I1576" s="197" t="str">
        <f ca="1">IF(COUNT(G1576:O1576)=0,"",(SUM(G1576:O1576)/COUNT(G1576:O1576)))</f>
        <v/>
      </c>
      <c r="J1576" s="198"/>
      <c r="K1576" s="1307"/>
      <c r="L1576" s="1335"/>
      <c r="M1576" s="1619"/>
      <c r="N1576" s="1619"/>
      <c r="O1576" s="1290"/>
      <c r="P1576" s="1332"/>
      <c r="Q1576" s="3391"/>
      <c r="R1576" s="1296"/>
      <c r="S1576" s="16"/>
      <c r="T1576" s="16"/>
      <c r="U1576" s="16"/>
      <c r="V1576" s="16"/>
    </row>
    <row r="1577" spans="1:22" ht="15" customHeight="1">
      <c r="A1577" s="1042" t="s">
        <v>3764</v>
      </c>
      <c r="B1577" s="4325" t="s">
        <v>1741</v>
      </c>
      <c r="C1577" s="3350"/>
      <c r="D1577" s="4327" t="s">
        <v>1551</v>
      </c>
      <c r="E1577" s="4329" t="s">
        <v>1507</v>
      </c>
      <c r="F1577" s="4336" t="s">
        <v>1665</v>
      </c>
      <c r="G1577" s="4331" t="s">
        <v>1568</v>
      </c>
      <c r="H1577" s="4331" t="s">
        <v>1574</v>
      </c>
      <c r="I1577" s="1572" t="s">
        <v>1559</v>
      </c>
      <c r="J1577" s="1294" t="s">
        <v>1560</v>
      </c>
      <c r="K1577" s="1294" t="s">
        <v>1561</v>
      </c>
      <c r="L1577" s="4333" t="s">
        <v>3765</v>
      </c>
      <c r="M1577" s="4335" t="s">
        <v>1571</v>
      </c>
      <c r="N1577" s="4323" t="s">
        <v>1776</v>
      </c>
      <c r="O1577" s="3347" t="s">
        <v>1563</v>
      </c>
      <c r="P1577" s="1336" t="s">
        <v>1562</v>
      </c>
      <c r="Q1577" s="3389"/>
      <c r="R1577" s="1699" t="s">
        <v>1327</v>
      </c>
      <c r="S1577" s="16"/>
      <c r="T1577" s="16"/>
      <c r="U1577" s="16"/>
      <c r="V1577" s="16"/>
    </row>
    <row r="1578" spans="1:22">
      <c r="A1578" s="1042" t="s">
        <v>2818</v>
      </c>
      <c r="B1578" s="4326"/>
      <c r="C1578" s="3354"/>
      <c r="D1578" s="4328"/>
      <c r="E1578" s="4330"/>
      <c r="F1578" s="4336"/>
      <c r="G1578" s="4332"/>
      <c r="H1578" s="4332"/>
      <c r="I1578" s="1350">
        <v>442.8</v>
      </c>
      <c r="J1578" s="1307">
        <v>2E-3</v>
      </c>
      <c r="K1578" s="1297">
        <f>I1578*J1578</f>
        <v>0.88560000000000005</v>
      </c>
      <c r="L1578" s="4334"/>
      <c r="M1578" s="4335"/>
      <c r="N1578" s="4324"/>
      <c r="O1578" s="1298">
        <f>SUM(O1580:O1590)</f>
        <v>4.9356000000000009</v>
      </c>
      <c r="P1578" s="1337">
        <f>O1578*K1578</f>
        <v>4.3709673600000007</v>
      </c>
      <c r="Q1578" s="3390"/>
      <c r="R1578" s="1721">
        <f>P1584</f>
        <v>4.3709673600000007</v>
      </c>
      <c r="S1578" s="16"/>
      <c r="T1578" s="16"/>
      <c r="U1578" s="16"/>
      <c r="V1578" s="16"/>
    </row>
    <row r="1579" spans="1:22">
      <c r="A1579" s="1042"/>
      <c r="B1579" s="22"/>
      <c r="C1579" s="18"/>
      <c r="D1579" s="1400"/>
      <c r="E1579" s="2121"/>
      <c r="F1579" s="1368" t="s">
        <v>1</v>
      </c>
      <c r="G1579" s="1423"/>
      <c r="H1579" s="1423"/>
      <c r="I1579" s="1667"/>
      <c r="J1579" s="1424"/>
      <c r="K1579" s="1425"/>
      <c r="L1579" s="1560"/>
      <c r="M1579" s="1426"/>
      <c r="N1579" s="1426"/>
      <c r="O1579" s="1427"/>
      <c r="P1579" s="1427"/>
      <c r="Q1579" s="3397"/>
      <c r="R1579" s="1296"/>
      <c r="S1579" s="16"/>
      <c r="T1579" s="16"/>
      <c r="U1579" s="16"/>
      <c r="V1579" s="16"/>
    </row>
    <row r="1580" spans="1:22">
      <c r="A1580" s="1042"/>
      <c r="B1580" s="22"/>
      <c r="C1580" s="1320"/>
      <c r="D1580" s="1400"/>
      <c r="E1580" s="1856"/>
      <c r="F1580" s="1397"/>
      <c r="G1580" s="1399"/>
      <c r="H1580" s="1399"/>
      <c r="I1580" s="197"/>
      <c r="J1580" s="198"/>
      <c r="K1580" s="1307"/>
      <c r="L1580" s="1335"/>
      <c r="M1580" s="1499"/>
      <c r="N1580" s="1701"/>
      <c r="O1580" s="1290"/>
      <c r="P1580" s="1332"/>
      <c r="Q1580" s="3391"/>
      <c r="R1580" s="1296"/>
      <c r="S1580" s="16"/>
      <c r="T1580" s="16"/>
      <c r="U1580" s="16"/>
      <c r="V1580" s="16"/>
    </row>
    <row r="1581" spans="1:22">
      <c r="A1581" s="1042"/>
      <c r="B1581" s="22"/>
      <c r="C1581" s="1320"/>
      <c r="D1581" s="1400"/>
      <c r="E1581" s="1856"/>
      <c r="F1581" s="1397"/>
      <c r="G1581" s="1399"/>
      <c r="H1581" s="1399"/>
      <c r="I1581" s="197"/>
      <c r="J1581" s="198"/>
      <c r="K1581" s="1307"/>
      <c r="L1581" s="1335"/>
      <c r="M1581" s="1499"/>
      <c r="N1581" s="1701"/>
      <c r="O1581" s="1290"/>
      <c r="P1581" s="1332"/>
      <c r="Q1581" s="3391"/>
      <c r="R1581" s="1296"/>
      <c r="S1581" s="16"/>
      <c r="T1581" s="16"/>
      <c r="U1581" s="16"/>
      <c r="V1581" s="16"/>
    </row>
    <row r="1582" spans="1:22">
      <c r="A1582" s="1042"/>
      <c r="B1582" s="22"/>
      <c r="C1582" s="1320"/>
      <c r="D1582" s="1400"/>
      <c r="E1582" s="1856"/>
      <c r="F1582" s="1397"/>
      <c r="G1582" s="1399"/>
      <c r="H1582" s="1399"/>
      <c r="I1582" s="197"/>
      <c r="J1582" s="198"/>
      <c r="K1582" s="1307"/>
      <c r="L1582" s="1335"/>
      <c r="M1582" s="1499"/>
      <c r="N1582" s="1701"/>
      <c r="O1582" s="1290"/>
      <c r="P1582" s="1332"/>
      <c r="Q1582" s="3391"/>
      <c r="R1582" s="1296"/>
      <c r="S1582" s="16"/>
      <c r="T1582" s="16"/>
      <c r="U1582" s="16"/>
      <c r="V1582" s="16"/>
    </row>
    <row r="1583" spans="1:22">
      <c r="A1583" s="1042"/>
      <c r="B1583" s="22"/>
      <c r="C1583" s="1320"/>
      <c r="D1583" s="1642"/>
      <c r="E1583" s="2162"/>
      <c r="F1583" s="1643" t="s">
        <v>2</v>
      </c>
      <c r="G1583" s="1408"/>
      <c r="H1583" s="1408"/>
      <c r="I1583" s="1380"/>
      <c r="J1583" s="1381"/>
      <c r="K1583" s="1679"/>
      <c r="L1583" s="1680"/>
      <c r="M1583" s="1681"/>
      <c r="N1583" s="1713"/>
      <c r="O1583" s="1682"/>
      <c r="P1583" s="1683"/>
      <c r="Q1583" s="3391"/>
      <c r="R1583" s="1296"/>
      <c r="S1583" s="16"/>
      <c r="T1583" s="16"/>
      <c r="U1583" s="16"/>
      <c r="V1583" s="16"/>
    </row>
    <row r="1584" spans="1:22">
      <c r="A1584" s="1321"/>
      <c r="B1584" s="1295"/>
      <c r="C1584" s="1321"/>
      <c r="D1584" s="1363" t="s">
        <v>1067</v>
      </c>
      <c r="E1584" s="2125" t="s">
        <v>1508</v>
      </c>
      <c r="F1584" s="1385" t="s">
        <v>1512</v>
      </c>
      <c r="G1584" s="1386">
        <v>0.27</v>
      </c>
      <c r="H1584" s="1386"/>
      <c r="I1584" s="1299"/>
      <c r="J1584" s="1300"/>
      <c r="K1584" s="1307">
        <f>G1584*$K$1578</f>
        <v>0.23911200000000002</v>
      </c>
      <c r="L1584" s="1335">
        <f>K1584*$K$1547</f>
        <v>0</v>
      </c>
      <c r="M1584" s="1302">
        <v>18.28</v>
      </c>
      <c r="N1584" s="1700"/>
      <c r="O1584" s="1290">
        <f>G1584*M1584</f>
        <v>4.9356000000000009</v>
      </c>
      <c r="P1584" s="1332">
        <f>M1584*K1584</f>
        <v>4.3709673600000007</v>
      </c>
      <c r="Q1584" s="3391"/>
      <c r="R1584" s="1296"/>
      <c r="S1584" s="16"/>
      <c r="T1584" s="16"/>
      <c r="U1584" s="16"/>
      <c r="V1584" s="16"/>
    </row>
    <row r="1585" spans="1:22">
      <c r="A1585" s="1042"/>
      <c r="B1585" s="22"/>
      <c r="C1585" s="1042"/>
      <c r="D1585" s="1402"/>
      <c r="E1585" s="1857"/>
      <c r="F1585" s="1403"/>
      <c r="G1585" s="1362"/>
      <c r="H1585" s="1362"/>
      <c r="I1585" s="198"/>
      <c r="J1585" s="6"/>
      <c r="K1585" s="1307"/>
      <c r="L1585" s="1335"/>
      <c r="M1585" s="1499"/>
      <c r="N1585" s="1703"/>
      <c r="O1585" s="1310"/>
      <c r="P1585" s="1332"/>
      <c r="Q1585" s="3391"/>
      <c r="R1585" s="1296"/>
      <c r="S1585" s="16"/>
      <c r="T1585" s="16"/>
      <c r="U1585" s="16"/>
      <c r="V1585" s="16"/>
    </row>
    <row r="1586" spans="1:22">
      <c r="A1586" s="1042"/>
      <c r="B1586" s="22"/>
      <c r="C1586" s="1042"/>
      <c r="D1586" s="1402"/>
      <c r="E1586" s="1857"/>
      <c r="F1586" s="1403"/>
      <c r="G1586" s="1362"/>
      <c r="H1586" s="1362"/>
      <c r="I1586" s="198"/>
      <c r="J1586" s="6"/>
      <c r="K1586" s="1307"/>
      <c r="L1586" s="1335"/>
      <c r="M1586" s="1499"/>
      <c r="N1586" s="1703"/>
      <c r="O1586" s="1310"/>
      <c r="P1586" s="1332"/>
      <c r="Q1586" s="3391"/>
      <c r="R1586" s="1296"/>
      <c r="S1586" s="16"/>
      <c r="T1586" s="16"/>
      <c r="U1586" s="16"/>
      <c r="V1586" s="16"/>
    </row>
    <row r="1587" spans="1:22">
      <c r="A1587" s="1042"/>
      <c r="B1587" s="22"/>
      <c r="C1587" s="1042"/>
      <c r="D1587" s="1411"/>
      <c r="E1587" s="2123"/>
      <c r="F1587" s="1374" t="s">
        <v>3</v>
      </c>
      <c r="G1587" s="1670"/>
      <c r="H1587" s="1670"/>
      <c r="I1587" s="1382"/>
      <c r="J1587" s="1383"/>
      <c r="K1587" s="1373"/>
      <c r="L1587" s="1413"/>
      <c r="M1587" s="1669"/>
      <c r="N1587" s="1714"/>
      <c r="O1587" s="1432"/>
      <c r="P1587" s="1373"/>
      <c r="Q1587" s="3387"/>
      <c r="R1587" s="1296"/>
      <c r="S1587" s="16"/>
      <c r="T1587" s="16"/>
      <c r="U1587" s="16"/>
      <c r="V1587" s="16"/>
    </row>
    <row r="1588" spans="1:22">
      <c r="A1588" s="1042"/>
      <c r="B1588" s="22"/>
      <c r="C1588" s="1042"/>
      <c r="D1588" s="1411"/>
      <c r="E1588" s="2123"/>
      <c r="F1588" s="1374"/>
      <c r="G1588" s="1376"/>
      <c r="H1588" s="1376"/>
      <c r="I1588" s="198" t="str">
        <f ca="1">IF(COUNT(G1588:O1588)=0,"",(SUM(G1588:O1588)/COUNT(G1588:O1588)))</f>
        <v/>
      </c>
      <c r="J1588" s="6"/>
      <c r="K1588" s="1307"/>
      <c r="L1588" s="1335"/>
      <c r="M1588" s="1499"/>
      <c r="N1588" s="1703"/>
      <c r="O1588" s="1310"/>
      <c r="P1588" s="1332"/>
      <c r="Q1588" s="3391"/>
      <c r="R1588" s="1296"/>
      <c r="S1588" s="16"/>
      <c r="T1588" s="16"/>
      <c r="U1588" s="16"/>
      <c r="V1588" s="16"/>
    </row>
    <row r="1589" spans="1:22">
      <c r="A1589" s="1042"/>
      <c r="B1589" s="22"/>
      <c r="C1589" s="1042"/>
      <c r="D1589" s="1411"/>
      <c r="E1589" s="2123"/>
      <c r="F1589" s="1374"/>
      <c r="G1589" s="1376"/>
      <c r="H1589" s="1376"/>
      <c r="I1589" s="1299" t="str">
        <f ca="1">IF(COUNT(G1589:O1589)=0,"",(SUM(G1589:O1589)/COUNT(G1589:O1589)))</f>
        <v/>
      </c>
      <c r="J1589" s="1300"/>
      <c r="K1589" s="1307"/>
      <c r="L1589" s="1335"/>
      <c r="M1589" s="1302"/>
      <c r="N1589" s="1700"/>
      <c r="O1589" s="1290"/>
      <c r="P1589" s="1332"/>
      <c r="Q1589" s="3391"/>
      <c r="R1589" s="1296"/>
      <c r="S1589" s="16"/>
      <c r="T1589" s="16"/>
      <c r="U1589" s="16"/>
      <c r="V1589" s="16"/>
    </row>
    <row r="1590" spans="1:22">
      <c r="A1590" s="1042"/>
      <c r="B1590" s="22"/>
      <c r="C1590" s="223"/>
      <c r="D1590" s="1411"/>
      <c r="E1590" s="2123"/>
      <c r="F1590" s="1374"/>
      <c r="G1590" s="1376"/>
      <c r="H1590" s="1376"/>
      <c r="I1590" s="1299" t="str">
        <f ca="1">IF(COUNT(G1590:O1590)=0,"",(SUM(G1590:O1590)/COUNT(G1590:O1590)))</f>
        <v/>
      </c>
      <c r="J1590" s="1300"/>
      <c r="K1590" s="1307"/>
      <c r="L1590" s="1335"/>
      <c r="M1590" s="1302"/>
      <c r="N1590" s="1700"/>
      <c r="O1590" s="1290"/>
      <c r="P1590" s="1332"/>
      <c r="Q1590" s="3391"/>
      <c r="R1590" s="1296"/>
      <c r="S1590" s="16"/>
      <c r="T1590" s="16"/>
      <c r="U1590" s="16"/>
      <c r="V1590" s="16"/>
    </row>
    <row r="1591" spans="1:22" ht="15" customHeight="1">
      <c r="A1591" s="1042" t="s">
        <v>3764</v>
      </c>
      <c r="B1591" s="4325" t="s">
        <v>1742</v>
      </c>
      <c r="C1591" s="3350"/>
      <c r="D1591" s="4327" t="s">
        <v>1551</v>
      </c>
      <c r="E1591" s="4329" t="s">
        <v>1507</v>
      </c>
      <c r="F1591" s="4336" t="s">
        <v>1749</v>
      </c>
      <c r="G1591" s="4331" t="s">
        <v>1568</v>
      </c>
      <c r="H1591" s="4331" t="s">
        <v>1574</v>
      </c>
      <c r="I1591" s="1572" t="s">
        <v>1559</v>
      </c>
      <c r="J1591" s="1294" t="s">
        <v>1560</v>
      </c>
      <c r="K1591" s="1294" t="s">
        <v>1561</v>
      </c>
      <c r="L1591" s="4333" t="s">
        <v>3765</v>
      </c>
      <c r="M1591" s="4335" t="s">
        <v>1571</v>
      </c>
      <c r="N1591" s="4323" t="s">
        <v>1776</v>
      </c>
      <c r="O1591" s="3347" t="s">
        <v>1563</v>
      </c>
      <c r="P1591" s="1336" t="s">
        <v>1562</v>
      </c>
      <c r="Q1591" s="3389"/>
      <c r="R1591" s="1699" t="s">
        <v>1327</v>
      </c>
      <c r="S1591" s="16"/>
      <c r="T1591" s="16"/>
      <c r="U1591" s="16"/>
      <c r="V1591" s="16"/>
    </row>
    <row r="1592" spans="1:22">
      <c r="A1592" s="1042" t="s">
        <v>2818</v>
      </c>
      <c r="B1592" s="4326"/>
      <c r="C1592" s="3354"/>
      <c r="D1592" s="4328"/>
      <c r="E1592" s="4330"/>
      <c r="F1592" s="4336"/>
      <c r="G1592" s="4332"/>
      <c r="H1592" s="4332"/>
      <c r="I1592" s="1350">
        <v>172.8</v>
      </c>
      <c r="J1592" s="1307">
        <v>2E-3</v>
      </c>
      <c r="K1592" s="1297">
        <f>I1592*J1592</f>
        <v>0.34560000000000002</v>
      </c>
      <c r="L1592" s="4334"/>
      <c r="M1592" s="4335"/>
      <c r="N1592" s="4324"/>
      <c r="O1592" s="1298">
        <f>SUM(O1594:O1604)</f>
        <v>6.0324000000000009</v>
      </c>
      <c r="P1592" s="1337">
        <f>O1592*K1592</f>
        <v>2.0847974400000004</v>
      </c>
      <c r="Q1592" s="3390"/>
      <c r="R1592" s="1721">
        <f>P1598</f>
        <v>2.0847974400000004</v>
      </c>
      <c r="S1592" s="16"/>
      <c r="T1592" s="16"/>
      <c r="U1592" s="16"/>
      <c r="V1592" s="16"/>
    </row>
    <row r="1593" spans="1:22">
      <c r="A1593" s="1042"/>
      <c r="B1593" s="22"/>
      <c r="C1593" s="18"/>
      <c r="D1593" s="1400"/>
      <c r="E1593" s="2121"/>
      <c r="F1593" s="1368" t="s">
        <v>1</v>
      </c>
      <c r="G1593" s="1423"/>
      <c r="H1593" s="1423"/>
      <c r="I1593" s="1693"/>
      <c r="J1593" s="1609"/>
      <c r="K1593" s="1694"/>
      <c r="L1593" s="1560"/>
      <c r="M1593" s="1426"/>
      <c r="N1593" s="1426"/>
      <c r="O1593" s="1427"/>
      <c r="P1593" s="1427"/>
      <c r="Q1593" s="3397"/>
      <c r="R1593" s="1296"/>
      <c r="S1593" s="16"/>
      <c r="T1593" s="16"/>
      <c r="U1593" s="16"/>
      <c r="V1593" s="16"/>
    </row>
    <row r="1594" spans="1:22">
      <c r="A1594" s="1042"/>
      <c r="B1594" s="22"/>
      <c r="C1594" s="1320"/>
      <c r="D1594" s="1400"/>
      <c r="E1594" s="1856"/>
      <c r="F1594" s="1397"/>
      <c r="G1594" s="1399"/>
      <c r="H1594" s="1399"/>
      <c r="I1594" s="197"/>
      <c r="J1594" s="198"/>
      <c r="K1594" s="1307"/>
      <c r="L1594" s="1335"/>
      <c r="M1594" s="1499"/>
      <c r="N1594" s="1701"/>
      <c r="O1594" s="1290"/>
      <c r="P1594" s="1332"/>
      <c r="Q1594" s="3391"/>
      <c r="R1594" s="1296"/>
      <c r="S1594" s="16"/>
      <c r="T1594" s="16"/>
      <c r="U1594" s="16"/>
      <c r="V1594" s="16"/>
    </row>
    <row r="1595" spans="1:22">
      <c r="A1595" s="1042"/>
      <c r="B1595" s="22"/>
      <c r="C1595" s="1320"/>
      <c r="D1595" s="1400"/>
      <c r="E1595" s="1856"/>
      <c r="F1595" s="1397"/>
      <c r="G1595" s="1399"/>
      <c r="H1595" s="1399"/>
      <c r="I1595" s="197"/>
      <c r="J1595" s="198"/>
      <c r="K1595" s="1307"/>
      <c r="L1595" s="1335"/>
      <c r="M1595" s="1499"/>
      <c r="N1595" s="1701"/>
      <c r="O1595" s="1290"/>
      <c r="P1595" s="1332"/>
      <c r="Q1595" s="3391"/>
      <c r="R1595" s="1296"/>
      <c r="S1595" s="16"/>
      <c r="T1595" s="16"/>
      <c r="U1595" s="16"/>
      <c r="V1595" s="16"/>
    </row>
    <row r="1596" spans="1:22">
      <c r="A1596" s="1042"/>
      <c r="B1596" s="22"/>
      <c r="C1596" s="1320"/>
      <c r="D1596" s="1400"/>
      <c r="E1596" s="1856"/>
      <c r="F1596" s="1397"/>
      <c r="G1596" s="1399"/>
      <c r="H1596" s="1399"/>
      <c r="I1596" s="197"/>
      <c r="J1596" s="198"/>
      <c r="K1596" s="1307"/>
      <c r="L1596" s="1335"/>
      <c r="M1596" s="1499"/>
      <c r="N1596" s="1701"/>
      <c r="O1596" s="1290"/>
      <c r="P1596" s="1332"/>
      <c r="Q1596" s="3391"/>
      <c r="R1596" s="1296"/>
      <c r="S1596" s="16"/>
      <c r="T1596" s="16"/>
      <c r="U1596" s="16"/>
      <c r="V1596" s="16"/>
    </row>
    <row r="1597" spans="1:22">
      <c r="A1597" s="1042"/>
      <c r="B1597" s="22"/>
      <c r="C1597" s="1320"/>
      <c r="D1597" s="1642"/>
      <c r="E1597" s="2162"/>
      <c r="F1597" s="1643" t="s">
        <v>2</v>
      </c>
      <c r="G1597" s="1408"/>
      <c r="H1597" s="1408"/>
      <c r="I1597" s="1380"/>
      <c r="J1597" s="1381"/>
      <c r="K1597" s="1679"/>
      <c r="L1597" s="1680"/>
      <c r="M1597" s="1681"/>
      <c r="N1597" s="1713"/>
      <c r="O1597" s="1682"/>
      <c r="P1597" s="1683"/>
      <c r="Q1597" s="3391"/>
      <c r="R1597" s="1296"/>
      <c r="S1597" s="16"/>
      <c r="T1597" s="16"/>
      <c r="U1597" s="16"/>
      <c r="V1597" s="16"/>
    </row>
    <row r="1598" spans="1:22">
      <c r="A1598" s="1321"/>
      <c r="B1598" s="1295"/>
      <c r="C1598" s="1321"/>
      <c r="D1598" s="1363" t="s">
        <v>1067</v>
      </c>
      <c r="E1598" s="2125" t="s">
        <v>1508</v>
      </c>
      <c r="F1598" s="1385" t="s">
        <v>1512</v>
      </c>
      <c r="G1598" s="1386">
        <v>0.33</v>
      </c>
      <c r="H1598" s="1386"/>
      <c r="I1598" s="1299"/>
      <c r="J1598" s="1300"/>
      <c r="K1598" s="1307">
        <f>G1598*$K$1592</f>
        <v>0.11404800000000001</v>
      </c>
      <c r="L1598" s="1335">
        <f>K1598*$K$1547</f>
        <v>0</v>
      </c>
      <c r="M1598" s="1302">
        <v>18.28</v>
      </c>
      <c r="N1598" s="1700"/>
      <c r="O1598" s="1290">
        <f>G1598*M1598</f>
        <v>6.0324000000000009</v>
      </c>
      <c r="P1598" s="1332">
        <f>M1598*K1598</f>
        <v>2.0847974400000004</v>
      </c>
      <c r="Q1598" s="3391"/>
      <c r="R1598" s="1296"/>
      <c r="S1598" s="16"/>
      <c r="T1598" s="16"/>
      <c r="U1598" s="16"/>
      <c r="V1598" s="16"/>
    </row>
    <row r="1599" spans="1:22">
      <c r="A1599" s="1042"/>
      <c r="B1599" s="22"/>
      <c r="C1599" s="1042"/>
      <c r="D1599" s="1402"/>
      <c r="E1599" s="1857"/>
      <c r="F1599" s="1403"/>
      <c r="G1599" s="1362"/>
      <c r="H1599" s="1362"/>
      <c r="I1599" s="198"/>
      <c r="J1599" s="6"/>
      <c r="K1599" s="1307"/>
      <c r="L1599" s="1335"/>
      <c r="M1599" s="1499"/>
      <c r="N1599" s="1703"/>
      <c r="O1599" s="1310"/>
      <c r="P1599" s="1332"/>
      <c r="Q1599" s="3391"/>
      <c r="R1599" s="1296"/>
      <c r="S1599" s="16"/>
      <c r="T1599" s="16"/>
      <c r="U1599" s="16"/>
      <c r="V1599" s="16"/>
    </row>
    <row r="1600" spans="1:22">
      <c r="A1600" s="1042"/>
      <c r="B1600" s="22"/>
      <c r="C1600" s="1042"/>
      <c r="D1600" s="1402"/>
      <c r="E1600" s="1857"/>
      <c r="F1600" s="1403"/>
      <c r="G1600" s="1362"/>
      <c r="H1600" s="1362"/>
      <c r="I1600" s="198"/>
      <c r="J1600" s="6"/>
      <c r="K1600" s="1307"/>
      <c r="L1600" s="1335"/>
      <c r="M1600" s="1499"/>
      <c r="N1600" s="1703"/>
      <c r="O1600" s="1310"/>
      <c r="P1600" s="1332"/>
      <c r="Q1600" s="3391"/>
      <c r="R1600" s="1296"/>
      <c r="S1600" s="16"/>
      <c r="T1600" s="16"/>
      <c r="U1600" s="16"/>
      <c r="V1600" s="16"/>
    </row>
    <row r="1601" spans="1:22">
      <c r="A1601" s="1042"/>
      <c r="B1601" s="22"/>
      <c r="C1601" s="1042"/>
      <c r="D1601" s="1411"/>
      <c r="E1601" s="2123"/>
      <c r="F1601" s="1374" t="s">
        <v>3</v>
      </c>
      <c r="G1601" s="1670"/>
      <c r="H1601" s="1670"/>
      <c r="I1601" s="1382"/>
      <c r="J1601" s="1383"/>
      <c r="K1601" s="1373"/>
      <c r="L1601" s="1413"/>
      <c r="M1601" s="1669"/>
      <c r="N1601" s="1714"/>
      <c r="O1601" s="1432"/>
      <c r="P1601" s="1373"/>
      <c r="Q1601" s="3387"/>
      <c r="R1601" s="1296"/>
      <c r="S1601" s="16"/>
      <c r="T1601" s="16"/>
      <c r="U1601" s="16"/>
      <c r="V1601" s="16"/>
    </row>
    <row r="1602" spans="1:22">
      <c r="A1602" s="1042"/>
      <c r="B1602" s="22"/>
      <c r="C1602" s="1042"/>
      <c r="D1602" s="1411"/>
      <c r="E1602" s="2123"/>
      <c r="F1602" s="1374"/>
      <c r="G1602" s="1376"/>
      <c r="H1602" s="1376"/>
      <c r="I1602" s="1299"/>
      <c r="J1602" s="1300"/>
      <c r="K1602" s="1307"/>
      <c r="L1602" s="1335"/>
      <c r="M1602" s="1302"/>
      <c r="N1602" s="1700"/>
      <c r="O1602" s="1290"/>
      <c r="P1602" s="1332"/>
      <c r="Q1602" s="3391"/>
      <c r="R1602" s="1296"/>
      <c r="S1602" s="16"/>
      <c r="T1602" s="16"/>
      <c r="U1602" s="16"/>
      <c r="V1602" s="16"/>
    </row>
    <row r="1603" spans="1:22">
      <c r="A1603" s="1042"/>
      <c r="B1603" s="22"/>
      <c r="C1603" s="1042"/>
      <c r="D1603" s="1411"/>
      <c r="E1603" s="2123"/>
      <c r="F1603" s="1374"/>
      <c r="G1603" s="1505"/>
      <c r="H1603" s="1505"/>
      <c r="I1603" s="198"/>
      <c r="J1603" s="6"/>
      <c r="K1603" s="1307"/>
      <c r="L1603" s="1335"/>
      <c r="M1603" s="1499"/>
      <c r="N1603" s="1703"/>
      <c r="O1603" s="1310"/>
      <c r="P1603" s="1332"/>
      <c r="Q1603" s="3391"/>
      <c r="R1603" s="1296"/>
      <c r="S1603" s="16"/>
      <c r="T1603" s="16"/>
      <c r="U1603" s="16"/>
      <c r="V1603" s="16"/>
    </row>
    <row r="1604" spans="1:22">
      <c r="A1604" s="1042"/>
      <c r="B1604" s="22"/>
      <c r="C1604" s="1042"/>
      <c r="D1604" s="1411"/>
      <c r="E1604" s="2123"/>
      <c r="F1604" s="1374"/>
      <c r="G1604" s="1505"/>
      <c r="H1604" s="1505"/>
      <c r="I1604" s="198"/>
      <c r="J1604" s="6"/>
      <c r="K1604" s="1307"/>
      <c r="L1604" s="1335"/>
      <c r="M1604" s="1499"/>
      <c r="N1604" s="1703"/>
      <c r="O1604" s="1310"/>
      <c r="P1604" s="1332"/>
      <c r="Q1604" s="3391"/>
      <c r="R1604" s="1296"/>
      <c r="S1604" s="16"/>
      <c r="T1604" s="16"/>
      <c r="U1604" s="16"/>
      <c r="V1604" s="16"/>
    </row>
    <row r="1605" spans="1:22" ht="15" customHeight="1">
      <c r="A1605" s="1042" t="s">
        <v>3764</v>
      </c>
      <c r="B1605" s="4325" t="s">
        <v>1743</v>
      </c>
      <c r="C1605" s="3350"/>
      <c r="D1605" s="4327" t="s">
        <v>1551</v>
      </c>
      <c r="E1605" s="4329" t="s">
        <v>1504</v>
      </c>
      <c r="F1605" s="4336" t="s">
        <v>1750</v>
      </c>
      <c r="G1605" s="4331" t="s">
        <v>1568</v>
      </c>
      <c r="H1605" s="4331" t="s">
        <v>1574</v>
      </c>
      <c r="I1605" s="1572" t="s">
        <v>1559</v>
      </c>
      <c r="J1605" s="1294" t="s">
        <v>1560</v>
      </c>
      <c r="K1605" s="1294" t="s">
        <v>1561</v>
      </c>
      <c r="L1605" s="4333" t="s">
        <v>3765</v>
      </c>
      <c r="M1605" s="4335" t="s">
        <v>1571</v>
      </c>
      <c r="N1605" s="4323" t="s">
        <v>1776</v>
      </c>
      <c r="O1605" s="3347" t="s">
        <v>1563</v>
      </c>
      <c r="P1605" s="1336" t="s">
        <v>1562</v>
      </c>
      <c r="Q1605" s="3389"/>
      <c r="R1605" s="1699" t="s">
        <v>1327</v>
      </c>
      <c r="S1605" s="16"/>
      <c r="T1605" s="16"/>
      <c r="U1605" s="16"/>
      <c r="V1605" s="16"/>
    </row>
    <row r="1606" spans="1:22">
      <c r="A1606" s="1042" t="s">
        <v>2818</v>
      </c>
      <c r="B1606" s="4326"/>
      <c r="C1606" s="3354"/>
      <c r="D1606" s="4328"/>
      <c r="E1606" s="4330"/>
      <c r="F1606" s="4336"/>
      <c r="G1606" s="4332"/>
      <c r="H1606" s="4332"/>
      <c r="I1606" s="1350">
        <v>201.6</v>
      </c>
      <c r="J1606" s="1307">
        <v>2E-3</v>
      </c>
      <c r="K1606" s="1307">
        <f>I1606*J1606</f>
        <v>0.4032</v>
      </c>
      <c r="L1606" s="4334"/>
      <c r="M1606" s="4335"/>
      <c r="N1606" s="4324"/>
      <c r="O1606" s="1298">
        <f>SUM(O1608:O1618)</f>
        <v>3.6560000000000006</v>
      </c>
      <c r="P1606" s="1337">
        <f>O1606*K1606</f>
        <v>1.4740992000000002</v>
      </c>
      <c r="Q1606" s="3390"/>
      <c r="R1606" s="1721">
        <f>P1612</f>
        <v>1.4740992000000002</v>
      </c>
      <c r="S1606" s="16"/>
      <c r="T1606" s="16"/>
      <c r="U1606" s="16"/>
      <c r="V1606" s="16"/>
    </row>
    <row r="1607" spans="1:22">
      <c r="A1607" s="1042"/>
      <c r="B1607" s="22"/>
      <c r="C1607" s="18"/>
      <c r="D1607" s="1400"/>
      <c r="E1607" s="2121"/>
      <c r="F1607" s="1368" t="s">
        <v>1</v>
      </c>
      <c r="G1607" s="1423"/>
      <c r="H1607" s="1423"/>
      <c r="I1607" s="1667"/>
      <c r="J1607" s="1424"/>
      <c r="K1607" s="1425"/>
      <c r="L1607" s="1560"/>
      <c r="M1607" s="1426"/>
      <c r="N1607" s="1426"/>
      <c r="O1607" s="1427"/>
      <c r="P1607" s="1427"/>
      <c r="Q1607" s="3397"/>
      <c r="R1607" s="1296"/>
      <c r="S1607" s="16"/>
      <c r="T1607" s="16"/>
      <c r="U1607" s="16"/>
      <c r="V1607" s="16"/>
    </row>
    <row r="1608" spans="1:22">
      <c r="A1608" s="1042"/>
      <c r="B1608" s="22"/>
      <c r="C1608" s="1320"/>
      <c r="D1608" s="1400"/>
      <c r="E1608" s="1856"/>
      <c r="F1608" s="1397"/>
      <c r="G1608" s="1399"/>
      <c r="H1608" s="1399"/>
      <c r="I1608" s="197"/>
      <c r="J1608" s="198"/>
      <c r="K1608" s="1307"/>
      <c r="L1608" s="1335"/>
      <c r="M1608" s="1499"/>
      <c r="N1608" s="1701"/>
      <c r="O1608" s="1290"/>
      <c r="P1608" s="1332"/>
      <c r="Q1608" s="3391"/>
      <c r="R1608" s="1296"/>
      <c r="S1608" s="16"/>
      <c r="T1608" s="16"/>
      <c r="U1608" s="16"/>
      <c r="V1608" s="16"/>
    </row>
    <row r="1609" spans="1:22">
      <c r="A1609" s="1042"/>
      <c r="B1609" s="22"/>
      <c r="C1609" s="1320"/>
      <c r="D1609" s="1400"/>
      <c r="E1609" s="1856"/>
      <c r="F1609" s="1397"/>
      <c r="G1609" s="1399"/>
      <c r="H1609" s="1399"/>
      <c r="I1609" s="197"/>
      <c r="J1609" s="198"/>
      <c r="K1609" s="1307"/>
      <c r="L1609" s="1335"/>
      <c r="M1609" s="1499"/>
      <c r="N1609" s="1701"/>
      <c r="O1609" s="1290"/>
      <c r="P1609" s="1332"/>
      <c r="Q1609" s="3391"/>
      <c r="R1609" s="1296"/>
      <c r="S1609" s="16"/>
      <c r="T1609" s="16"/>
      <c r="U1609" s="16"/>
      <c r="V1609" s="16"/>
    </row>
    <row r="1610" spans="1:22">
      <c r="A1610" s="1042"/>
      <c r="B1610" s="22"/>
      <c r="C1610" s="1320"/>
      <c r="D1610" s="1400"/>
      <c r="E1610" s="1856"/>
      <c r="F1610" s="1397"/>
      <c r="G1610" s="1399"/>
      <c r="H1610" s="1399"/>
      <c r="I1610" s="197"/>
      <c r="J1610" s="198"/>
      <c r="K1610" s="1307"/>
      <c r="L1610" s="1335"/>
      <c r="M1610" s="1499"/>
      <c r="N1610" s="1701"/>
      <c r="O1610" s="1290"/>
      <c r="P1610" s="1332"/>
      <c r="Q1610" s="3391"/>
      <c r="R1610" s="1296"/>
      <c r="S1610" s="16"/>
      <c r="T1610" s="16"/>
      <c r="U1610" s="16"/>
      <c r="V1610" s="16"/>
    </row>
    <row r="1611" spans="1:22">
      <c r="A1611" s="1042"/>
      <c r="B1611" s="22"/>
      <c r="C1611" s="1320"/>
      <c r="D1611" s="1642"/>
      <c r="E1611" s="2162"/>
      <c r="F1611" s="1643" t="s">
        <v>2</v>
      </c>
      <c r="G1611" s="1408"/>
      <c r="H1611" s="1408"/>
      <c r="I1611" s="1380"/>
      <c r="J1611" s="1381"/>
      <c r="K1611" s="1679"/>
      <c r="L1611" s="1680"/>
      <c r="M1611" s="1681"/>
      <c r="N1611" s="1713"/>
      <c r="O1611" s="1682"/>
      <c r="P1611" s="1683"/>
      <c r="Q1611" s="3391"/>
      <c r="R1611" s="1296"/>
      <c r="S1611" s="16"/>
      <c r="T1611" s="16"/>
      <c r="U1611" s="16"/>
      <c r="V1611" s="16"/>
    </row>
    <row r="1612" spans="1:22">
      <c r="A1612" s="1321"/>
      <c r="B1612" s="1295"/>
      <c r="C1612" s="1321"/>
      <c r="D1612" s="1363" t="s">
        <v>1067</v>
      </c>
      <c r="E1612" s="2125" t="s">
        <v>1508</v>
      </c>
      <c r="F1612" s="1385" t="s">
        <v>1512</v>
      </c>
      <c r="G1612" s="1386">
        <v>0.2</v>
      </c>
      <c r="H1612" s="1386"/>
      <c r="I1612" s="1299"/>
      <c r="J1612" s="1300"/>
      <c r="K1612" s="1307">
        <f>G1612*$K$1606</f>
        <v>8.0640000000000003E-2</v>
      </c>
      <c r="L1612" s="1335">
        <f>K1612*$K$1547</f>
        <v>0</v>
      </c>
      <c r="M1612" s="1302">
        <v>18.28</v>
      </c>
      <c r="N1612" s="1700"/>
      <c r="O1612" s="1290">
        <f>G1612*M1612</f>
        <v>3.6560000000000006</v>
      </c>
      <c r="P1612" s="1332">
        <f>M1612*K1612</f>
        <v>1.4740992000000002</v>
      </c>
      <c r="Q1612" s="3391"/>
      <c r="R1612" s="1296"/>
      <c r="S1612" s="16"/>
      <c r="T1612" s="16"/>
      <c r="U1612" s="16"/>
      <c r="V1612" s="16"/>
    </row>
    <row r="1613" spans="1:22">
      <c r="A1613" s="1042"/>
      <c r="B1613" s="22"/>
      <c r="C1613" s="1042"/>
      <c r="D1613" s="1402"/>
      <c r="E1613" s="1857"/>
      <c r="F1613" s="1403"/>
      <c r="G1613" s="1362"/>
      <c r="H1613" s="1362"/>
      <c r="I1613" s="198"/>
      <c r="J1613" s="6"/>
      <c r="K1613" s="1307"/>
      <c r="L1613" s="1335"/>
      <c r="M1613" s="1499"/>
      <c r="N1613" s="1703"/>
      <c r="O1613" s="1310"/>
      <c r="P1613" s="1332"/>
      <c r="Q1613" s="3391"/>
      <c r="R1613" s="1296"/>
      <c r="S1613" s="16"/>
      <c r="T1613" s="16"/>
      <c r="U1613" s="16"/>
      <c r="V1613" s="16"/>
    </row>
    <row r="1614" spans="1:22">
      <c r="A1614" s="1042"/>
      <c r="B1614" s="22"/>
      <c r="C1614" s="1042"/>
      <c r="D1614" s="1402"/>
      <c r="E1614" s="1857"/>
      <c r="F1614" s="1403"/>
      <c r="G1614" s="1362"/>
      <c r="H1614" s="1362"/>
      <c r="I1614" s="198"/>
      <c r="J1614" s="6"/>
      <c r="K1614" s="1307"/>
      <c r="L1614" s="1335"/>
      <c r="M1614" s="1499"/>
      <c r="N1614" s="1703"/>
      <c r="O1614" s="1310"/>
      <c r="P1614" s="1332"/>
      <c r="Q1614" s="3391"/>
      <c r="R1614" s="1296"/>
      <c r="S1614" s="16"/>
      <c r="T1614" s="16"/>
      <c r="U1614" s="16"/>
      <c r="V1614" s="16"/>
    </row>
    <row r="1615" spans="1:22">
      <c r="A1615" s="1042"/>
      <c r="B1615" s="22"/>
      <c r="C1615" s="1042"/>
      <c r="D1615" s="1411"/>
      <c r="E1615" s="2123"/>
      <c r="F1615" s="1374" t="s">
        <v>3</v>
      </c>
      <c r="G1615" s="1670"/>
      <c r="H1615" s="1670"/>
      <c r="I1615" s="1382"/>
      <c r="J1615" s="1383"/>
      <c r="K1615" s="1684"/>
      <c r="L1615" s="1685"/>
      <c r="M1615" s="1686"/>
      <c r="N1615" s="1687"/>
      <c r="O1615" s="1687"/>
      <c r="P1615" s="1686"/>
      <c r="Q1615" s="3391"/>
      <c r="R1615" s="1296"/>
      <c r="S1615" s="16"/>
      <c r="T1615" s="16"/>
      <c r="U1615" s="16"/>
      <c r="V1615" s="16"/>
    </row>
    <row r="1616" spans="1:22">
      <c r="A1616" s="1042"/>
      <c r="B1616" s="22"/>
      <c r="C1616" s="1042"/>
      <c r="D1616" s="1411"/>
      <c r="E1616" s="2123"/>
      <c r="F1616" s="1374"/>
      <c r="G1616" s="1376"/>
      <c r="H1616" s="1376"/>
      <c r="I1616" s="1289"/>
      <c r="J1616" s="1341"/>
      <c r="K1616" s="1307"/>
      <c r="L1616" s="1335"/>
      <c r="M1616" s="1302"/>
      <c r="N1616" s="1700"/>
      <c r="O1616" s="1290"/>
      <c r="P1616" s="1332"/>
      <c r="Q1616" s="3391"/>
      <c r="R1616" s="1296"/>
      <c r="S1616" s="16"/>
      <c r="T1616" s="16"/>
      <c r="U1616" s="16"/>
      <c r="V1616" s="16"/>
    </row>
    <row r="1617" spans="1:22">
      <c r="A1617" s="1042"/>
      <c r="B1617" s="22"/>
      <c r="C1617" s="1042"/>
      <c r="D1617" s="1411"/>
      <c r="E1617" s="2123"/>
      <c r="F1617" s="1374"/>
      <c r="G1617" s="1505"/>
      <c r="H1617" s="1505"/>
      <c r="I1617" s="1289"/>
      <c r="J1617" s="1341"/>
      <c r="K1617" s="1307"/>
      <c r="L1617" s="1335"/>
      <c r="M1617" s="1302"/>
      <c r="N1617" s="1700"/>
      <c r="O1617" s="1290"/>
      <c r="P1617" s="1332"/>
      <c r="Q1617" s="3391"/>
      <c r="R1617" s="1296"/>
      <c r="S1617" s="16"/>
      <c r="T1617" s="16"/>
      <c r="U1617" s="16"/>
      <c r="V1617" s="16"/>
    </row>
    <row r="1618" spans="1:22">
      <c r="A1618" s="1042"/>
      <c r="B1618" s="22"/>
      <c r="C1618" s="1042"/>
      <c r="D1618" s="1695"/>
      <c r="E1618" s="2123"/>
      <c r="F1618" s="1374"/>
      <c r="G1618" s="1505"/>
      <c r="H1618" s="1505"/>
      <c r="I1618" s="1289"/>
      <c r="J1618" s="1341"/>
      <c r="K1618" s="1307"/>
      <c r="L1618" s="1335"/>
      <c r="M1618" s="1302"/>
      <c r="N1618" s="1700"/>
      <c r="O1618" s="1290"/>
      <c r="P1618" s="1332"/>
      <c r="Q1618" s="3391"/>
      <c r="R1618" s="1296"/>
      <c r="S1618" s="16"/>
      <c r="T1618" s="16"/>
      <c r="U1618" s="16"/>
      <c r="V1618" s="16"/>
    </row>
    <row r="1619" spans="1:22" ht="15" customHeight="1">
      <c r="A1619" s="1042" t="s">
        <v>3764</v>
      </c>
      <c r="B1619" s="4325" t="s">
        <v>57</v>
      </c>
      <c r="C1619" s="3350"/>
      <c r="D1619" s="4327"/>
      <c r="E1619" s="4329" t="s">
        <v>1507</v>
      </c>
      <c r="F1619" s="4336" t="s">
        <v>1678</v>
      </c>
      <c r="G1619" s="4331" t="s">
        <v>1568</v>
      </c>
      <c r="H1619" s="4331" t="s">
        <v>1574</v>
      </c>
      <c r="I1619" s="1572" t="s">
        <v>1559</v>
      </c>
      <c r="J1619" s="1294" t="s">
        <v>1560</v>
      </c>
      <c r="K1619" s="1294" t="s">
        <v>1561</v>
      </c>
      <c r="L1619" s="4333" t="s">
        <v>3765</v>
      </c>
      <c r="M1619" s="4335" t="s">
        <v>1571</v>
      </c>
      <c r="N1619" s="4323" t="s">
        <v>1776</v>
      </c>
      <c r="O1619" s="3347" t="s">
        <v>1563</v>
      </c>
      <c r="P1619" s="1336" t="s">
        <v>1562</v>
      </c>
      <c r="Q1619" s="3389"/>
      <c r="R1619" s="1699" t="s">
        <v>1327</v>
      </c>
      <c r="S1619" s="16"/>
      <c r="T1619" s="16"/>
      <c r="U1619" s="16"/>
      <c r="V1619" s="16"/>
    </row>
    <row r="1620" spans="1:22">
      <c r="A1620" s="1042" t="s">
        <v>2818</v>
      </c>
      <c r="B1620" s="4326"/>
      <c r="C1620" s="3351"/>
      <c r="D1620" s="4328"/>
      <c r="E1620" s="4330"/>
      <c r="F1620" s="4336"/>
      <c r="G1620" s="4332"/>
      <c r="H1620" s="4332"/>
      <c r="I1620" s="1345">
        <v>442.8</v>
      </c>
      <c r="J1620" s="1307">
        <v>2E-3</v>
      </c>
      <c r="K1620" s="1307">
        <f>I1620*J1620</f>
        <v>0.88560000000000005</v>
      </c>
      <c r="L1620" s="4334"/>
      <c r="M1620" s="4335"/>
      <c r="N1620" s="4324"/>
      <c r="O1620" s="1298">
        <f>O1622+O1623+O1632+O1633</f>
        <v>10.346363100000001</v>
      </c>
      <c r="P1620" s="1337">
        <f>O1620*K1620</f>
        <v>9.1627391613600011</v>
      </c>
      <c r="Q1620" s="3390"/>
      <c r="R1620" s="1721">
        <f>P1622+P1623+P1632+P1633</f>
        <v>9.1627391613600011</v>
      </c>
      <c r="S1620" s="16"/>
      <c r="T1620" s="16"/>
      <c r="U1620" s="16"/>
      <c r="V1620" s="16"/>
    </row>
    <row r="1621" spans="1:22">
      <c r="A1621" s="1042"/>
      <c r="B1621" s="22"/>
      <c r="C1621" s="18"/>
      <c r="D1621" s="1400"/>
      <c r="E1621" s="2121"/>
      <c r="F1621" s="1368" t="s">
        <v>1</v>
      </c>
      <c r="G1621" s="1369"/>
      <c r="H1621" s="1369"/>
      <c r="I1621" s="1391"/>
      <c r="J1621" s="1369"/>
      <c r="K1621" s="1367"/>
      <c r="L1621" s="1554"/>
      <c r="M1621" s="1369"/>
      <c r="N1621" s="1369"/>
      <c r="O1621" s="1369"/>
      <c r="P1621" s="1367"/>
      <c r="Q1621" s="3387"/>
      <c r="R1621" s="1296"/>
      <c r="S1621" s="16"/>
      <c r="T1621" s="16"/>
      <c r="U1621" s="16"/>
      <c r="V1621" s="16"/>
    </row>
    <row r="1622" spans="1:22">
      <c r="A1622" s="1042"/>
      <c r="B1622" s="22"/>
      <c r="C1622" s="1042"/>
      <c r="D1622" s="1654" t="s">
        <v>1123</v>
      </c>
      <c r="E1622" s="2154" t="s">
        <v>1521</v>
      </c>
      <c r="F1622" s="1598" t="s">
        <v>1679</v>
      </c>
      <c r="G1622" s="1696">
        <v>3.6999999999999998E-2</v>
      </c>
      <c r="H1622" s="1696"/>
      <c r="I1622" s="197"/>
      <c r="J1622" s="198"/>
      <c r="K1622" s="1307">
        <f>G1622*$K$1620</f>
        <v>3.2767200000000003E-2</v>
      </c>
      <c r="L1622" s="1335">
        <f>K1622*$K$1547</f>
        <v>0</v>
      </c>
      <c r="M1622" s="1499">
        <v>61.71</v>
      </c>
      <c r="N1622" s="1701"/>
      <c r="O1622" s="1290">
        <f>G1622*M1622</f>
        <v>2.2832699999999999</v>
      </c>
      <c r="P1622" s="1332">
        <f>M1622*K1622</f>
        <v>2.0220639120000001</v>
      </c>
      <c r="Q1622" s="3391"/>
      <c r="R1622" s="1296"/>
      <c r="S1622" s="16"/>
      <c r="T1622" s="16"/>
      <c r="U1622" s="16"/>
      <c r="V1622" s="16"/>
    </row>
    <row r="1623" spans="1:22">
      <c r="A1623" s="1042"/>
      <c r="B1623" s="22"/>
      <c r="C1623" s="1658" t="s">
        <v>1122</v>
      </c>
      <c r="D1623" s="1311"/>
      <c r="E1623" s="1855" t="s">
        <v>1517</v>
      </c>
      <c r="F1623" s="1647" t="s">
        <v>1681</v>
      </c>
      <c r="G1623" s="1688"/>
      <c r="H1623" s="1688">
        <v>0.01</v>
      </c>
      <c r="I1623" s="1444"/>
      <c r="J1623" s="1388"/>
      <c r="K1623" s="1510"/>
      <c r="L1623" s="1445"/>
      <c r="M1623" s="1500"/>
      <c r="N1623" s="1501">
        <f>SUM(N1624:N1628)</f>
        <v>51.667310000000001</v>
      </c>
      <c r="O1623" s="1501">
        <f>SUM(O1624:O1628)</f>
        <v>0.5166731</v>
      </c>
      <c r="P1623" s="1501">
        <f>SUM(P1624:P1628)</f>
        <v>0.45756569736000008</v>
      </c>
      <c r="Q1623" s="3391"/>
      <c r="R1623" s="1296"/>
      <c r="S1623" s="16"/>
      <c r="T1623" s="16"/>
      <c r="U1623" s="16"/>
      <c r="V1623" s="16"/>
    </row>
    <row r="1624" spans="1:22">
      <c r="A1624" s="1042"/>
      <c r="B1624" s="22"/>
      <c r="C1624" s="1042"/>
      <c r="D1624" s="1451" t="s">
        <v>1069</v>
      </c>
      <c r="E1624" s="1856" t="s">
        <v>1517</v>
      </c>
      <c r="F1624" s="1421" t="s">
        <v>1578</v>
      </c>
      <c r="G1624" s="1452">
        <v>0.26300000000000001</v>
      </c>
      <c r="H1624" s="1453">
        <f>$H$1623*G1624</f>
        <v>2.63E-3</v>
      </c>
      <c r="I1624" s="1286"/>
      <c r="J1624" s="198"/>
      <c r="K1624" s="1307">
        <f>H1624*$K$1620</f>
        <v>2.3291280000000002E-3</v>
      </c>
      <c r="L1624" s="1335">
        <f>K1624*$K$1547</f>
        <v>0</v>
      </c>
      <c r="M1624" s="1302">
        <v>0.55000000000000004</v>
      </c>
      <c r="N1624" s="1724">
        <f>G1624*M1624</f>
        <v>0.14465000000000003</v>
      </c>
      <c r="O1624" s="1726">
        <f>H1624*M1624</f>
        <v>1.4465000000000001E-3</v>
      </c>
      <c r="P1624" s="1727">
        <f>M1624*K1624</f>
        <v>1.2810204000000003E-3</v>
      </c>
      <c r="Q1624" s="3396"/>
      <c r="R1624" s="1296"/>
      <c r="S1624" s="16"/>
      <c r="T1624" s="16"/>
      <c r="U1624" s="16"/>
      <c r="V1624" s="16"/>
    </row>
    <row r="1625" spans="1:22">
      <c r="A1625" s="1042"/>
      <c r="B1625" s="22"/>
      <c r="C1625" s="1320"/>
      <c r="D1625" s="1367" t="s">
        <v>1394</v>
      </c>
      <c r="E1625" s="1856" t="s">
        <v>1577</v>
      </c>
      <c r="F1625" s="1421" t="s">
        <v>1579</v>
      </c>
      <c r="G1625" s="1452">
        <v>0.25800000000000001</v>
      </c>
      <c r="H1625" s="1453">
        <f>$H$1623*G1625</f>
        <v>2.5800000000000003E-3</v>
      </c>
      <c r="I1625" s="1286"/>
      <c r="J1625" s="198"/>
      <c r="K1625" s="1307">
        <f>H1625*$K$1620</f>
        <v>2.2848480000000003E-3</v>
      </c>
      <c r="L1625" s="1335">
        <f>K1625*$K$1547</f>
        <v>0</v>
      </c>
      <c r="M1625" s="1302">
        <v>92.54</v>
      </c>
      <c r="N1625" s="1724">
        <f>G1625*M1625</f>
        <v>23.875320000000002</v>
      </c>
      <c r="O1625" s="1719">
        <f>H1625*M1625</f>
        <v>0.23875320000000003</v>
      </c>
      <c r="P1625" s="1720">
        <f>M1625*K1625</f>
        <v>0.21143983392000004</v>
      </c>
      <c r="Q1625" s="3396"/>
      <c r="R1625" s="1296"/>
      <c r="S1625" s="16"/>
      <c r="T1625" s="16"/>
      <c r="U1625" s="16"/>
      <c r="V1625" s="16"/>
    </row>
    <row r="1626" spans="1:22">
      <c r="A1626" s="1042"/>
      <c r="B1626" s="22"/>
      <c r="C1626" s="1320"/>
      <c r="D1626" s="1603" t="s">
        <v>1682</v>
      </c>
      <c r="E1626" s="1856" t="s">
        <v>1683</v>
      </c>
      <c r="F1626" s="1421" t="s">
        <v>1684</v>
      </c>
      <c r="G1626" s="1452">
        <v>1.288</v>
      </c>
      <c r="H1626" s="1453">
        <f>$H$1623*G1626</f>
        <v>1.2880000000000001E-2</v>
      </c>
      <c r="I1626" s="1286"/>
      <c r="J1626" s="198"/>
      <c r="K1626" s="1307">
        <f>H1626*$K$1620</f>
        <v>1.1406528000000001E-2</v>
      </c>
      <c r="L1626" s="1335">
        <f>K1626*$K$1547</f>
        <v>0</v>
      </c>
      <c r="M1626" s="1302">
        <v>1.26</v>
      </c>
      <c r="N1626" s="1724">
        <f>G1626*M1626</f>
        <v>1.6228800000000001</v>
      </c>
      <c r="O1626" s="1719">
        <f>H1626*M1626</f>
        <v>1.6228800000000002E-2</v>
      </c>
      <c r="P1626" s="1720">
        <f>M1626*K1626</f>
        <v>1.4372225280000001E-2</v>
      </c>
      <c r="Q1626" s="3396"/>
      <c r="R1626" s="1296"/>
      <c r="S1626" s="16"/>
      <c r="T1626" s="16"/>
      <c r="U1626" s="16"/>
      <c r="V1626" s="16"/>
    </row>
    <row r="1627" spans="1:22">
      <c r="A1627" s="1042"/>
      <c r="B1627" s="22"/>
      <c r="C1627" s="1320"/>
      <c r="D1627" s="1603" t="s">
        <v>1576</v>
      </c>
      <c r="E1627" s="1856" t="s">
        <v>1517</v>
      </c>
      <c r="F1627" s="1421" t="s">
        <v>1580</v>
      </c>
      <c r="G1627" s="1452">
        <v>1.1020000000000001</v>
      </c>
      <c r="H1627" s="1453">
        <f>$H$1623*G1627</f>
        <v>1.102E-2</v>
      </c>
      <c r="I1627" s="1286"/>
      <c r="J1627" s="198"/>
      <c r="K1627" s="1307">
        <f>H1627*$K$1620</f>
        <v>9.7593120000000009E-3</v>
      </c>
      <c r="L1627" s="1335">
        <f>K1627*$K$1547</f>
        <v>0</v>
      </c>
      <c r="M1627" s="1302">
        <v>6.53</v>
      </c>
      <c r="N1627" s="1724">
        <f>G1627*M1627</f>
        <v>7.196060000000001</v>
      </c>
      <c r="O1627" s="1719">
        <f>H1627*M1627</f>
        <v>7.19606E-2</v>
      </c>
      <c r="P1627" s="1720">
        <f>M1627*K1627</f>
        <v>6.3728307360000014E-2</v>
      </c>
      <c r="Q1627" s="3396"/>
      <c r="R1627" s="1296"/>
      <c r="S1627" s="16"/>
      <c r="T1627" s="16"/>
      <c r="U1627" s="16"/>
      <c r="V1627" s="16"/>
    </row>
    <row r="1628" spans="1:22">
      <c r="A1628" s="1042"/>
      <c r="B1628" s="22"/>
      <c r="C1628" s="1320"/>
      <c r="D1628" s="1443" t="s">
        <v>1067</v>
      </c>
      <c r="E1628" s="1857" t="s">
        <v>1508</v>
      </c>
      <c r="F1628" s="1430" t="s">
        <v>1512</v>
      </c>
      <c r="G1628" s="1431">
        <v>1.03</v>
      </c>
      <c r="H1628" s="1431">
        <f>$H$1623*G1628</f>
        <v>1.03E-2</v>
      </c>
      <c r="I1628" s="1286"/>
      <c r="J1628" s="198"/>
      <c r="K1628" s="1307">
        <f>H1628*$K$1620</f>
        <v>9.1216800000000001E-3</v>
      </c>
      <c r="L1628" s="1335">
        <f>K1628*$K$1547</f>
        <v>0</v>
      </c>
      <c r="M1628" s="1302">
        <v>18.28</v>
      </c>
      <c r="N1628" s="1724">
        <f>G1628*M1628</f>
        <v>18.828400000000002</v>
      </c>
      <c r="O1628" s="1719">
        <f>H1628*M1628</f>
        <v>0.18828400000000001</v>
      </c>
      <c r="P1628" s="1720">
        <f>M1628*K1628</f>
        <v>0.16674431040000001</v>
      </c>
      <c r="Q1628" s="3396"/>
      <c r="R1628" s="1296"/>
      <c r="S1628" s="16"/>
      <c r="T1628" s="16"/>
      <c r="U1628" s="16"/>
      <c r="V1628" s="16"/>
    </row>
    <row r="1629" spans="1:22">
      <c r="A1629" s="1042"/>
      <c r="B1629" s="22"/>
      <c r="C1629" s="1320"/>
      <c r="D1629" s="1400"/>
      <c r="E1629" s="1856"/>
      <c r="F1629" s="1397"/>
      <c r="G1629" s="1416"/>
      <c r="H1629" s="1399"/>
      <c r="I1629" s="197"/>
      <c r="J1629" s="198"/>
      <c r="K1629" s="1307"/>
      <c r="L1629" s="1335"/>
      <c r="M1629" s="1499"/>
      <c r="N1629" s="1701"/>
      <c r="O1629" s="1290"/>
      <c r="P1629" s="1332"/>
      <c r="Q1629" s="3391"/>
      <c r="R1629" s="1296"/>
      <c r="S1629" s="16"/>
      <c r="T1629" s="16"/>
      <c r="U1629" s="16"/>
      <c r="V1629" s="16"/>
    </row>
    <row r="1630" spans="1:22">
      <c r="A1630" s="1042"/>
      <c r="B1630" s="22"/>
      <c r="C1630" s="1320"/>
      <c r="D1630" s="1400"/>
      <c r="E1630" s="1856"/>
      <c r="F1630" s="1397"/>
      <c r="G1630" s="1416"/>
      <c r="H1630" s="1399"/>
      <c r="I1630" s="197"/>
      <c r="J1630" s="198"/>
      <c r="K1630" s="1307"/>
      <c r="L1630" s="1335"/>
      <c r="M1630" s="1499"/>
      <c r="N1630" s="1701"/>
      <c r="O1630" s="1290"/>
      <c r="P1630" s="1332"/>
      <c r="Q1630" s="3391"/>
      <c r="R1630" s="1296"/>
      <c r="S1630" s="16"/>
      <c r="T1630" s="16"/>
      <c r="U1630" s="16"/>
      <c r="V1630" s="16"/>
    </row>
    <row r="1631" spans="1:22">
      <c r="A1631" s="1042"/>
      <c r="B1631" s="22"/>
      <c r="C1631" s="1042"/>
      <c r="D1631" s="1404"/>
      <c r="E1631" s="1858"/>
      <c r="F1631" s="1360" t="s">
        <v>2</v>
      </c>
      <c r="G1631" s="1360"/>
      <c r="H1631" s="1362"/>
      <c r="I1631" s="1380"/>
      <c r="J1631" s="1381"/>
      <c r="K1631" s="1359"/>
      <c r="L1631" s="1359"/>
      <c r="M1631" s="1502"/>
      <c r="N1631" s="1702"/>
      <c r="O1631" s="1429"/>
      <c r="P1631" s="1359"/>
      <c r="Q1631" s="3387"/>
      <c r="R1631" s="1296"/>
      <c r="S1631" s="16"/>
      <c r="T1631" s="16"/>
      <c r="U1631" s="16"/>
      <c r="V1631" s="16"/>
    </row>
    <row r="1632" spans="1:22">
      <c r="A1632" s="1042"/>
      <c r="B1632" s="22"/>
      <c r="C1632" s="1161"/>
      <c r="D1632" s="1437" t="s">
        <v>1067</v>
      </c>
      <c r="E1632" s="2134" t="s">
        <v>1508</v>
      </c>
      <c r="F1632" s="1438" t="s">
        <v>1512</v>
      </c>
      <c r="G1632" s="1439">
        <v>0.13300000000000001</v>
      </c>
      <c r="H1632" s="1439"/>
      <c r="I1632" s="197"/>
      <c r="J1632" s="198"/>
      <c r="K1632" s="1307">
        <f>G1632*$K$1620</f>
        <v>0.11778480000000001</v>
      </c>
      <c r="L1632" s="1335">
        <f>K1632*$K$1547</f>
        <v>0</v>
      </c>
      <c r="M1632" s="1499">
        <v>18.28</v>
      </c>
      <c r="N1632" s="1701"/>
      <c r="O1632" s="1290">
        <f>G1632*M1632</f>
        <v>2.4312400000000003</v>
      </c>
      <c r="P1632" s="1332">
        <f>M1632*K1632</f>
        <v>2.1531061440000001</v>
      </c>
      <c r="Q1632" s="3391"/>
      <c r="R1632" s="1296"/>
      <c r="S1632" s="16"/>
      <c r="T1632" s="16"/>
      <c r="U1632" s="16"/>
      <c r="V1632" s="16"/>
    </row>
    <row r="1633" spans="1:24">
      <c r="A1633" s="1042"/>
      <c r="B1633" s="22"/>
      <c r="C1633" s="1042"/>
      <c r="D1633" s="1402" t="s">
        <v>1077</v>
      </c>
      <c r="E1633" s="1857" t="s">
        <v>1508</v>
      </c>
      <c r="F1633" s="1430" t="s">
        <v>37</v>
      </c>
      <c r="G1633" s="1362">
        <v>0.26600000000000001</v>
      </c>
      <c r="H1633" s="1362"/>
      <c r="I1633" s="197"/>
      <c r="J1633" s="198"/>
      <c r="K1633" s="1307">
        <f>G1633*$K$1620</f>
        <v>0.23556960000000002</v>
      </c>
      <c r="L1633" s="1335">
        <f>K1633*$K$1547</f>
        <v>0</v>
      </c>
      <c r="M1633" s="1499">
        <v>19.23</v>
      </c>
      <c r="N1633" s="1701"/>
      <c r="O1633" s="1290">
        <f>G1633*M1633</f>
        <v>5.1151800000000005</v>
      </c>
      <c r="P1633" s="1332">
        <f>M1633*K1633</f>
        <v>4.5300034080000007</v>
      </c>
      <c r="Q1633" s="3391"/>
      <c r="R1633" s="1296"/>
      <c r="S1633" s="16"/>
      <c r="T1633" s="16"/>
      <c r="U1633" s="16"/>
      <c r="V1633" s="16"/>
    </row>
    <row r="1634" spans="1:24">
      <c r="A1634" s="1042"/>
      <c r="B1634" s="22"/>
      <c r="C1634" s="1042"/>
      <c r="D1634" s="1402"/>
      <c r="E1634" s="1857"/>
      <c r="F1634" s="1402"/>
      <c r="G1634" s="1502"/>
      <c r="H1634" s="1362"/>
      <c r="I1634" s="197"/>
      <c r="J1634" s="198"/>
      <c r="K1634" s="1307"/>
      <c r="L1634" s="1335"/>
      <c r="M1634" s="1499"/>
      <c r="N1634" s="1703"/>
      <c r="O1634" s="1310"/>
      <c r="P1634" s="1332"/>
      <c r="Q1634" s="3391"/>
      <c r="R1634" s="1296"/>
      <c r="S1634" s="16"/>
      <c r="T1634" s="16"/>
      <c r="U1634" s="16"/>
      <c r="V1634" s="16"/>
    </row>
    <row r="1635" spans="1:24">
      <c r="A1635" s="1042"/>
      <c r="B1635" s="22"/>
      <c r="C1635" s="1042"/>
      <c r="D1635" s="1411"/>
      <c r="E1635" s="2123"/>
      <c r="F1635" s="1374" t="s">
        <v>3</v>
      </c>
      <c r="G1635" s="1374"/>
      <c r="H1635" s="1376"/>
      <c r="I1635" s="1382"/>
      <c r="J1635" s="1383"/>
      <c r="K1635" s="1373"/>
      <c r="L1635" s="1373"/>
      <c r="M1635" s="1505"/>
      <c r="N1635" s="1704"/>
      <c r="O1635" s="1432"/>
      <c r="P1635" s="1373"/>
      <c r="Q1635" s="3387"/>
      <c r="R1635" s="1296"/>
      <c r="S1635" s="16"/>
      <c r="T1635" s="16"/>
      <c r="U1635" s="16"/>
      <c r="V1635" s="16"/>
    </row>
    <row r="1636" spans="1:24">
      <c r="A1636" s="1042"/>
      <c r="B1636" s="22"/>
      <c r="C1636" s="1042"/>
      <c r="D1636" s="1440"/>
      <c r="E1636" s="2132"/>
      <c r="F1636" s="1441"/>
      <c r="G1636" s="1441"/>
      <c r="H1636" s="1442"/>
      <c r="I1636" s="197"/>
      <c r="J1636" s="198"/>
      <c r="K1636" s="1307"/>
      <c r="L1636" s="1335"/>
      <c r="M1636" s="1499"/>
      <c r="N1636" s="1701"/>
      <c r="O1636" s="1290"/>
      <c r="P1636" s="1332"/>
      <c r="Q1636" s="3391"/>
      <c r="R1636" s="1296"/>
      <c r="S1636" s="16"/>
      <c r="T1636" s="16"/>
      <c r="U1636" s="16"/>
      <c r="V1636" s="16"/>
    </row>
    <row r="1637" spans="1:24">
      <c r="A1637" s="1042"/>
      <c r="B1637" s="22"/>
      <c r="C1637" s="1042"/>
      <c r="D1637" s="1411"/>
      <c r="E1637" s="2123"/>
      <c r="F1637" s="1669"/>
      <c r="G1637" s="1669"/>
      <c r="H1637" s="1670"/>
      <c r="I1637" s="197"/>
      <c r="J1637" s="198"/>
      <c r="K1637" s="1307"/>
      <c r="L1637" s="1335"/>
      <c r="M1637" s="1499"/>
      <c r="N1637" s="1701"/>
      <c r="O1637" s="1290"/>
      <c r="P1637" s="1332"/>
      <c r="Q1637" s="3391"/>
      <c r="R1637" s="1296"/>
      <c r="S1637" s="16"/>
      <c r="T1637" s="16"/>
      <c r="U1637" s="16"/>
      <c r="V1637" s="16"/>
    </row>
    <row r="1638" spans="1:24">
      <c r="A1638" s="1042"/>
      <c r="B1638" s="22"/>
      <c r="C1638" s="1042"/>
      <c r="D1638" s="1411"/>
      <c r="E1638" s="2123"/>
      <c r="F1638" s="1375"/>
      <c r="G1638" s="1375"/>
      <c r="H1638" s="1670"/>
      <c r="I1638" s="197" t="str">
        <f ca="1">IF(COUNT(H1638:O1638)=0,"",(SUM(H1638:O1638)/COUNT(H1638:O1638)))</f>
        <v/>
      </c>
      <c r="J1638" s="198"/>
      <c r="K1638" s="1307"/>
      <c r="L1638" s="1335"/>
      <c r="M1638" s="1499"/>
      <c r="N1638" s="1701"/>
      <c r="O1638" s="1290"/>
      <c r="P1638" s="1332"/>
      <c r="Q1638" s="3391"/>
      <c r="R1638" s="1296"/>
      <c r="S1638" s="16"/>
      <c r="T1638" s="16"/>
      <c r="U1638" s="16"/>
      <c r="V1638" s="16"/>
    </row>
    <row r="1639" spans="1:24">
      <c r="A1639" s="1042"/>
      <c r="B1639" s="22"/>
      <c r="C1639" s="223"/>
      <c r="D1639" s="1411"/>
      <c r="E1639" s="2123"/>
      <c r="F1639" s="1375"/>
      <c r="G1639" s="1375"/>
      <c r="H1639" s="1376"/>
      <c r="I1639" s="197" t="str">
        <f ca="1">IF(COUNT(H1639:O1639)=0,"",(SUM(H1639:O1639)/COUNT(H1639:O1639)))</f>
        <v/>
      </c>
      <c r="J1639" s="198"/>
      <c r="K1639" s="1307"/>
      <c r="L1639" s="1335"/>
      <c r="M1639" s="1499"/>
      <c r="N1639" s="1701"/>
      <c r="O1639" s="1290"/>
      <c r="P1639" s="1332"/>
      <c r="Q1639" s="3391"/>
      <c r="R1639" s="1296"/>
      <c r="S1639" s="16"/>
      <c r="T1639" s="16"/>
      <c r="U1639" s="16"/>
      <c r="V1639" s="16"/>
    </row>
    <row r="1640" spans="1:24" ht="15" customHeight="1">
      <c r="A1640" s="1042" t="s">
        <v>3764</v>
      </c>
      <c r="B1640" s="4367" t="s">
        <v>1744</v>
      </c>
      <c r="C1640" s="3354"/>
      <c r="D1640" s="4327"/>
      <c r="E1640" s="4329" t="s">
        <v>1507</v>
      </c>
      <c r="F1640" s="4336" t="s">
        <v>1751</v>
      </c>
      <c r="G1640" s="4331" t="s">
        <v>1568</v>
      </c>
      <c r="H1640" s="4331" t="s">
        <v>1574</v>
      </c>
      <c r="I1640" s="1572" t="s">
        <v>1559</v>
      </c>
      <c r="J1640" s="1294" t="s">
        <v>1560</v>
      </c>
      <c r="K1640" s="1294" t="s">
        <v>1561</v>
      </c>
      <c r="L1640" s="4333" t="s">
        <v>3765</v>
      </c>
      <c r="M1640" s="4335" t="s">
        <v>1571</v>
      </c>
      <c r="N1640" s="4323" t="s">
        <v>1776</v>
      </c>
      <c r="O1640" s="3347" t="s">
        <v>1563</v>
      </c>
      <c r="P1640" s="1336" t="s">
        <v>1562</v>
      </c>
      <c r="Q1640" s="3389"/>
      <c r="R1640" s="1699" t="s">
        <v>1327</v>
      </c>
      <c r="S1640" s="16"/>
      <c r="T1640" s="16"/>
      <c r="U1640" s="16"/>
      <c r="V1640" s="16"/>
    </row>
    <row r="1641" spans="1:24">
      <c r="A1641" s="1042" t="s">
        <v>2818</v>
      </c>
      <c r="B1641" s="4369"/>
      <c r="C1641" s="3351"/>
      <c r="D1641" s="4328"/>
      <c r="E1641" s="4330"/>
      <c r="F1641" s="4336"/>
      <c r="G1641" s="4332"/>
      <c r="H1641" s="4332"/>
      <c r="I1641" s="1345">
        <v>172.8</v>
      </c>
      <c r="J1641" s="1307">
        <v>2E-3</v>
      </c>
      <c r="K1641" s="1307">
        <f>I1641*J1641</f>
        <v>0.34560000000000002</v>
      </c>
      <c r="L1641" s="4334"/>
      <c r="M1641" s="4335"/>
      <c r="N1641" s="4324"/>
      <c r="O1641" s="1298">
        <f>O1643+O1644+O1652+O1653</f>
        <v>11.71297234</v>
      </c>
      <c r="P1641" s="1337">
        <f>O1641*K1641</f>
        <v>4.0480032407040003</v>
      </c>
      <c r="Q1641" s="3390"/>
      <c r="R1641" s="1721">
        <f>P1643+P1644+P1652+P1653</f>
        <v>4.0480032407040003</v>
      </c>
      <c r="S1641" s="16"/>
      <c r="T1641" s="16"/>
      <c r="U1641" s="16"/>
      <c r="V1641" s="16"/>
    </row>
    <row r="1642" spans="1:24">
      <c r="A1642" s="1042"/>
      <c r="B1642" s="22"/>
      <c r="C1642" s="18"/>
      <c r="D1642" s="1400"/>
      <c r="E1642" s="2121"/>
      <c r="F1642" s="1368" t="s">
        <v>1</v>
      </c>
      <c r="G1642" s="1369"/>
      <c r="H1642" s="1369"/>
      <c r="I1642" s="1391"/>
      <c r="J1642" s="1369"/>
      <c r="K1642" s="1367"/>
      <c r="L1642" s="1554"/>
      <c r="M1642" s="1369"/>
      <c r="N1642" s="1369"/>
      <c r="O1642" s="1369"/>
      <c r="P1642" s="1367"/>
      <c r="Q1642" s="3387"/>
      <c r="R1642" s="1296"/>
      <c r="S1642" s="16"/>
      <c r="T1642" s="16"/>
      <c r="U1642" s="16"/>
      <c r="V1642" s="16"/>
    </row>
    <row r="1643" spans="1:24">
      <c r="A1643" s="1042"/>
      <c r="B1643" s="22"/>
      <c r="C1643" s="1042"/>
      <c r="D1643" s="1654" t="s">
        <v>1752</v>
      </c>
      <c r="E1643" s="2154" t="s">
        <v>1521</v>
      </c>
      <c r="F1643" s="1598" t="s">
        <v>1753</v>
      </c>
      <c r="G1643" s="1435">
        <v>3.6999999999999998E-2</v>
      </c>
      <c r="H1643" s="1435"/>
      <c r="I1643" s="197"/>
      <c r="J1643" s="198"/>
      <c r="K1643" s="1307">
        <f>G1643*$K$1641</f>
        <v>1.27872E-2</v>
      </c>
      <c r="L1643" s="1335">
        <f>K1643*$K$1547</f>
        <v>0</v>
      </c>
      <c r="M1643" s="1499">
        <v>66.989999999999995</v>
      </c>
      <c r="N1643" s="1701"/>
      <c r="O1643" s="1290">
        <f>G1643*M1643</f>
        <v>2.4786299999999999</v>
      </c>
      <c r="P1643" s="1332">
        <f>M1643*K1643</f>
        <v>0.85661452799999993</v>
      </c>
      <c r="Q1643" s="3391"/>
      <c r="R1643" s="1296"/>
      <c r="S1643" s="1792"/>
      <c r="T1643" s="1792"/>
      <c r="U1643" s="1792"/>
      <c r="V1643" s="1793"/>
      <c r="W1643" s="1794"/>
      <c r="X1643" s="1794"/>
    </row>
    <row r="1644" spans="1:24">
      <c r="A1644" s="1042"/>
      <c r="B1644" s="22"/>
      <c r="C1644" s="1658" t="s">
        <v>1122</v>
      </c>
      <c r="D1644" s="1311"/>
      <c r="E1644" s="1855" t="s">
        <v>1517</v>
      </c>
      <c r="F1644" s="1647" t="s">
        <v>1681</v>
      </c>
      <c r="G1644" s="1689"/>
      <c r="H1644" s="1689">
        <v>1.4E-2</v>
      </c>
      <c r="I1644" s="1444"/>
      <c r="J1644" s="1388"/>
      <c r="K1644" s="1510"/>
      <c r="L1644" s="1445"/>
      <c r="M1644" s="1500"/>
      <c r="N1644" s="1501">
        <f>SUM(N1645:N1649)</f>
        <v>51.667310000000001</v>
      </c>
      <c r="O1644" s="1501">
        <f>SUM(O1645:O1649)</f>
        <v>0.72334234000000008</v>
      </c>
      <c r="P1644" s="1501">
        <f>SUM(P1645:P1649)</f>
        <v>0.24998711270400004</v>
      </c>
      <c r="Q1644" s="3391"/>
      <c r="R1644" s="1296"/>
      <c r="S1644" s="1792"/>
      <c r="T1644" s="1792"/>
      <c r="U1644" s="1792"/>
      <c r="V1644" s="1793"/>
      <c r="W1644" s="1794"/>
      <c r="X1644" s="1794"/>
    </row>
    <row r="1645" spans="1:24">
      <c r="A1645" s="1042"/>
      <c r="B1645" s="22"/>
      <c r="C1645" s="1042"/>
      <c r="D1645" s="1451" t="s">
        <v>1069</v>
      </c>
      <c r="E1645" s="1856" t="s">
        <v>1517</v>
      </c>
      <c r="F1645" s="1421" t="s">
        <v>1578</v>
      </c>
      <c r="G1645" s="1452">
        <v>0.26300000000000001</v>
      </c>
      <c r="H1645" s="1453">
        <f>$H$1644*G1645</f>
        <v>3.6820000000000004E-3</v>
      </c>
      <c r="I1645" s="197"/>
      <c r="J1645" s="198"/>
      <c r="K1645" s="1307">
        <f>H1645*$K$1641</f>
        <v>1.2724992000000001E-3</v>
      </c>
      <c r="L1645" s="1335">
        <f>K1645*$K$1547</f>
        <v>0</v>
      </c>
      <c r="M1645" s="1723">
        <v>0.55000000000000004</v>
      </c>
      <c r="N1645" s="1724">
        <f>G1645*M1645</f>
        <v>0.14465000000000003</v>
      </c>
      <c r="O1645" s="1719">
        <f>H1645*M1645</f>
        <v>2.0251000000000002E-3</v>
      </c>
      <c r="P1645" s="1727">
        <f>K1645*M1645</f>
        <v>6.9987456000000011E-4</v>
      </c>
      <c r="Q1645" s="3396"/>
      <c r="R1645" s="1296"/>
      <c r="S1645" s="1792"/>
      <c r="T1645" s="1792"/>
      <c r="U1645" s="1792"/>
      <c r="V1645" s="1793"/>
      <c r="W1645" s="1794"/>
      <c r="X1645" s="1794"/>
    </row>
    <row r="1646" spans="1:24">
      <c r="A1646" s="1042"/>
      <c r="B1646" s="22"/>
      <c r="C1646" s="1320"/>
      <c r="D1646" s="1367" t="s">
        <v>1394</v>
      </c>
      <c r="E1646" s="1856" t="s">
        <v>1577</v>
      </c>
      <c r="F1646" s="1421" t="s">
        <v>1579</v>
      </c>
      <c r="G1646" s="1452">
        <v>0.25800000000000001</v>
      </c>
      <c r="H1646" s="1453">
        <f>$H$1644*G1646</f>
        <v>3.6120000000000002E-3</v>
      </c>
      <c r="I1646" s="197"/>
      <c r="J1646" s="198"/>
      <c r="K1646" s="1307">
        <f>H1646*$K$1641</f>
        <v>1.2483072000000002E-3</v>
      </c>
      <c r="L1646" s="1335">
        <f>K1646*$K$1547</f>
        <v>0</v>
      </c>
      <c r="M1646" s="1723">
        <v>92.54</v>
      </c>
      <c r="N1646" s="1724">
        <f>G1646*M1646</f>
        <v>23.875320000000002</v>
      </c>
      <c r="O1646" s="1719">
        <f>H1646*M1646</f>
        <v>0.33425448000000002</v>
      </c>
      <c r="P1646" s="1720">
        <f>K1646*M1646</f>
        <v>0.11551834828800003</v>
      </c>
      <c r="Q1646" s="3396"/>
      <c r="R1646" s="1296"/>
      <c r="S1646" s="1792"/>
      <c r="T1646" s="1792"/>
      <c r="U1646" s="1792"/>
      <c r="V1646" s="1793"/>
      <c r="W1646" s="1794"/>
      <c r="X1646" s="1794"/>
    </row>
    <row r="1647" spans="1:24">
      <c r="A1647" s="1042"/>
      <c r="B1647" s="22"/>
      <c r="C1647" s="1320"/>
      <c r="D1647" s="1603" t="s">
        <v>1682</v>
      </c>
      <c r="E1647" s="1856" t="s">
        <v>1683</v>
      </c>
      <c r="F1647" s="1421" t="s">
        <v>1684</v>
      </c>
      <c r="G1647" s="1452">
        <v>1.288</v>
      </c>
      <c r="H1647" s="1453">
        <f>$H$1644*G1647</f>
        <v>1.8031999999999999E-2</v>
      </c>
      <c r="I1647" s="197"/>
      <c r="J1647" s="198"/>
      <c r="K1647" s="1307">
        <f>H1647*$K$1641</f>
        <v>6.2318592000000003E-3</v>
      </c>
      <c r="L1647" s="1335">
        <f>K1647*$K$1547</f>
        <v>0</v>
      </c>
      <c r="M1647" s="1723">
        <v>1.26</v>
      </c>
      <c r="N1647" s="1724">
        <f>G1647*M1647</f>
        <v>1.6228800000000001</v>
      </c>
      <c r="O1647" s="1719">
        <f>H1647*M1647</f>
        <v>2.2720319999999999E-2</v>
      </c>
      <c r="P1647" s="1720">
        <f>K1647*M1647</f>
        <v>7.8521425920000006E-3</v>
      </c>
      <c r="Q1647" s="3396"/>
      <c r="R1647" s="1296"/>
      <c r="S1647" s="1792"/>
      <c r="T1647" s="1792"/>
      <c r="U1647" s="1792"/>
      <c r="V1647" s="1793"/>
      <c r="W1647" s="1794"/>
      <c r="X1647" s="1794"/>
    </row>
    <row r="1648" spans="1:24">
      <c r="A1648" s="1042"/>
      <c r="B1648" s="22"/>
      <c r="C1648" s="1320"/>
      <c r="D1648" s="1603" t="s">
        <v>1576</v>
      </c>
      <c r="E1648" s="1856" t="s">
        <v>1517</v>
      </c>
      <c r="F1648" s="1421" t="s">
        <v>1580</v>
      </c>
      <c r="G1648" s="1452">
        <v>1.1020000000000001</v>
      </c>
      <c r="H1648" s="1453">
        <f>$H$1644*G1648</f>
        <v>1.5428000000000001E-2</v>
      </c>
      <c r="I1648" s="197"/>
      <c r="J1648" s="198"/>
      <c r="K1648" s="1307">
        <f>H1648*$K$1641</f>
        <v>5.3319168000000002E-3</v>
      </c>
      <c r="L1648" s="1335">
        <f>K1648*$K$1547</f>
        <v>0</v>
      </c>
      <c r="M1648" s="1723">
        <v>6.53</v>
      </c>
      <c r="N1648" s="1724">
        <f>G1648*M1648</f>
        <v>7.196060000000001</v>
      </c>
      <c r="O1648" s="1719">
        <f>H1648*M1648</f>
        <v>0.10074484</v>
      </c>
      <c r="P1648" s="1720">
        <f>K1648*M1648</f>
        <v>3.4817416704000001E-2</v>
      </c>
      <c r="Q1648" s="3396"/>
      <c r="R1648" s="1296"/>
      <c r="S1648" s="16"/>
      <c r="T1648" s="16"/>
      <c r="U1648" s="16"/>
      <c r="V1648" s="16"/>
      <c r="W1648" s="19"/>
      <c r="X1648" s="19"/>
    </row>
    <row r="1649" spans="1:24">
      <c r="A1649" s="1042"/>
      <c r="B1649" s="22"/>
      <c r="C1649" s="1320"/>
      <c r="D1649" s="1443" t="s">
        <v>1067</v>
      </c>
      <c r="E1649" s="1857" t="s">
        <v>1508</v>
      </c>
      <c r="F1649" s="1430" t="s">
        <v>1512</v>
      </c>
      <c r="G1649" s="1431">
        <v>1.03</v>
      </c>
      <c r="H1649" s="1454">
        <f>$H$1644*G1649</f>
        <v>1.4420000000000001E-2</v>
      </c>
      <c r="I1649" s="197"/>
      <c r="J1649" s="198"/>
      <c r="K1649" s="1307">
        <f>H1649*$K$1641</f>
        <v>4.9835520000000005E-3</v>
      </c>
      <c r="L1649" s="1335">
        <f>K1649*$K$1547</f>
        <v>0</v>
      </c>
      <c r="M1649" s="1723">
        <v>18.28</v>
      </c>
      <c r="N1649" s="1724">
        <f>G1649*M1649</f>
        <v>18.828400000000002</v>
      </c>
      <c r="O1649" s="1719">
        <f>H1649*M1649</f>
        <v>0.26359760000000004</v>
      </c>
      <c r="P1649" s="1720">
        <f>K1649*M1649</f>
        <v>9.1099330560000011E-2</v>
      </c>
      <c r="Q1649" s="3396"/>
      <c r="R1649" s="1296"/>
      <c r="S1649" s="16"/>
      <c r="T1649" s="16"/>
      <c r="U1649" s="16"/>
      <c r="V1649" s="16"/>
      <c r="W1649" s="19"/>
      <c r="X1649" s="19"/>
    </row>
    <row r="1650" spans="1:24">
      <c r="A1650" s="1042"/>
      <c r="B1650" s="22"/>
      <c r="C1650" s="1320"/>
      <c r="D1650" s="1400"/>
      <c r="E1650" s="1856"/>
      <c r="F1650" s="1397"/>
      <c r="G1650" s="1416"/>
      <c r="H1650" s="1399"/>
      <c r="I1650" s="197"/>
      <c r="J1650" s="198"/>
      <c r="K1650" s="1307"/>
      <c r="L1650" s="1335"/>
      <c r="M1650" s="1499"/>
      <c r="N1650" s="1701"/>
      <c r="O1650" s="1290"/>
      <c r="P1650" s="1332"/>
      <c r="Q1650" s="3391"/>
      <c r="R1650" s="1296"/>
      <c r="S1650" s="16"/>
      <c r="T1650" s="16"/>
      <c r="U1650" s="16"/>
      <c r="V1650" s="16"/>
    </row>
    <row r="1651" spans="1:24">
      <c r="A1651" s="1042"/>
      <c r="B1651" s="22"/>
      <c r="C1651" s="1042"/>
      <c r="D1651" s="1404"/>
      <c r="E1651" s="1858"/>
      <c r="F1651" s="1360" t="s">
        <v>2</v>
      </c>
      <c r="G1651" s="1360"/>
      <c r="H1651" s="1362"/>
      <c r="I1651" s="1380"/>
      <c r="J1651" s="1381"/>
      <c r="K1651" s="1359"/>
      <c r="L1651" s="1359"/>
      <c r="M1651" s="1502"/>
      <c r="N1651" s="1702"/>
      <c r="O1651" s="1429"/>
      <c r="P1651" s="1359"/>
      <c r="Q1651" s="3387"/>
      <c r="R1651" s="1296"/>
      <c r="S1651" s="16"/>
      <c r="T1651" s="16"/>
      <c r="U1651" s="16"/>
      <c r="V1651" s="16"/>
    </row>
    <row r="1652" spans="1:24">
      <c r="A1652" s="1042"/>
      <c r="B1652" s="22"/>
      <c r="C1652" s="1161"/>
      <c r="D1652" s="1437" t="s">
        <v>1067</v>
      </c>
      <c r="E1652" s="2134" t="s">
        <v>1508</v>
      </c>
      <c r="F1652" s="1438" t="s">
        <v>1512</v>
      </c>
      <c r="G1652" s="1439">
        <v>0.15</v>
      </c>
      <c r="H1652" s="1439"/>
      <c r="I1652" s="197"/>
      <c r="J1652" s="198"/>
      <c r="K1652" s="1307">
        <f>G1652*$K$1641</f>
        <v>5.1840000000000004E-2</v>
      </c>
      <c r="L1652" s="1335">
        <f>K1652*$K$1547</f>
        <v>0</v>
      </c>
      <c r="M1652" s="1499">
        <v>18.28</v>
      </c>
      <c r="N1652" s="1701"/>
      <c r="O1652" s="1290">
        <f>G1652*M1652</f>
        <v>2.742</v>
      </c>
      <c r="P1652" s="1332">
        <f>M1652*K1652</f>
        <v>0.94763520000000012</v>
      </c>
      <c r="Q1652" s="3391"/>
      <c r="R1652" s="1296"/>
      <c r="S1652" s="16"/>
      <c r="T1652" s="16"/>
      <c r="U1652" s="16"/>
      <c r="V1652" s="16"/>
    </row>
    <row r="1653" spans="1:24">
      <c r="A1653" s="1042"/>
      <c r="B1653" s="22"/>
      <c r="C1653" s="1042"/>
      <c r="D1653" s="1402" t="s">
        <v>1077</v>
      </c>
      <c r="E1653" s="1857" t="s">
        <v>1508</v>
      </c>
      <c r="F1653" s="1430" t="s">
        <v>37</v>
      </c>
      <c r="G1653" s="1362">
        <v>0.3</v>
      </c>
      <c r="H1653" s="1362"/>
      <c r="I1653" s="197"/>
      <c r="J1653" s="198"/>
      <c r="K1653" s="1307">
        <f>G1653*$K$1641</f>
        <v>0.10368000000000001</v>
      </c>
      <c r="L1653" s="1335">
        <f>K1653*$K$1547</f>
        <v>0</v>
      </c>
      <c r="M1653" s="1499">
        <v>19.23</v>
      </c>
      <c r="N1653" s="1701"/>
      <c r="O1653" s="1290">
        <f>G1653*M1653</f>
        <v>5.7690000000000001</v>
      </c>
      <c r="P1653" s="1332">
        <f>M1653*K1653</f>
        <v>1.9937664000000002</v>
      </c>
      <c r="Q1653" s="3391"/>
      <c r="R1653" s="1296"/>
      <c r="S1653" s="16"/>
      <c r="T1653" s="16"/>
      <c r="U1653" s="16"/>
      <c r="V1653" s="16"/>
    </row>
    <row r="1654" spans="1:24">
      <c r="A1654" s="1042"/>
      <c r="B1654" s="22"/>
      <c r="C1654" s="1042"/>
      <c r="D1654" s="1402"/>
      <c r="E1654" s="1857"/>
      <c r="F1654" s="1402"/>
      <c r="G1654" s="1502"/>
      <c r="H1654" s="1362"/>
      <c r="I1654" s="197"/>
      <c r="J1654" s="198"/>
      <c r="K1654" s="1307"/>
      <c r="L1654" s="1335"/>
      <c r="M1654" s="1499"/>
      <c r="N1654" s="1703"/>
      <c r="O1654" s="1310"/>
      <c r="P1654" s="1332"/>
      <c r="Q1654" s="3391"/>
      <c r="R1654" s="1296"/>
      <c r="S1654" s="16"/>
      <c r="T1654" s="16"/>
      <c r="U1654" s="16"/>
      <c r="V1654" s="16"/>
    </row>
    <row r="1655" spans="1:24">
      <c r="A1655" s="1042"/>
      <c r="B1655" s="22"/>
      <c r="C1655" s="1042"/>
      <c r="D1655" s="1411"/>
      <c r="E1655" s="2123"/>
      <c r="F1655" s="1374" t="s">
        <v>3</v>
      </c>
      <c r="G1655" s="1374"/>
      <c r="H1655" s="1376"/>
      <c r="I1655" s="1382"/>
      <c r="J1655" s="1383"/>
      <c r="K1655" s="1373"/>
      <c r="L1655" s="1373"/>
      <c r="M1655" s="1505"/>
      <c r="N1655" s="1704"/>
      <c r="O1655" s="1432"/>
      <c r="P1655" s="1373"/>
      <c r="Q1655" s="3387"/>
      <c r="R1655" s="1296"/>
      <c r="S1655" s="16"/>
      <c r="T1655" s="16"/>
      <c r="U1655" s="16"/>
      <c r="V1655" s="16"/>
    </row>
    <row r="1656" spans="1:24">
      <c r="A1656" s="1042"/>
      <c r="B1656" s="22"/>
      <c r="C1656" s="1042"/>
      <c r="D1656" s="1411"/>
      <c r="E1656" s="2123"/>
      <c r="F1656" s="1669"/>
      <c r="G1656" s="1669"/>
      <c r="H1656" s="1670"/>
      <c r="I1656" s="197"/>
      <c r="J1656" s="198"/>
      <c r="K1656" s="1307"/>
      <c r="L1656" s="1335"/>
      <c r="M1656" s="1499"/>
      <c r="N1656" s="1701"/>
      <c r="O1656" s="1290"/>
      <c r="P1656" s="1332"/>
      <c r="Q1656" s="3391"/>
      <c r="R1656" s="1296"/>
      <c r="S1656" s="16"/>
      <c r="T1656" s="16"/>
      <c r="U1656" s="16"/>
      <c r="V1656" s="16"/>
    </row>
    <row r="1657" spans="1:24">
      <c r="A1657" s="1042"/>
      <c r="B1657" s="22"/>
      <c r="C1657" s="1042"/>
      <c r="D1657" s="1411"/>
      <c r="E1657" s="2123"/>
      <c r="F1657" s="1375"/>
      <c r="G1657" s="1375"/>
      <c r="H1657" s="1670"/>
      <c r="I1657" s="197" t="str">
        <f ca="1">IF(COUNT(H1657:O1657)=0,"",(SUM(H1657:O1657)/COUNT(H1657:O1657)))</f>
        <v/>
      </c>
      <c r="J1657" s="198"/>
      <c r="K1657" s="1307"/>
      <c r="L1657" s="1335"/>
      <c r="M1657" s="1499"/>
      <c r="N1657" s="1701"/>
      <c r="O1657" s="1290"/>
      <c r="P1657" s="1332"/>
      <c r="Q1657" s="3391"/>
      <c r="R1657" s="1296"/>
      <c r="S1657" s="16"/>
      <c r="T1657" s="16"/>
      <c r="U1657" s="16"/>
      <c r="V1657" s="16"/>
    </row>
    <row r="1658" spans="1:24">
      <c r="A1658" s="1042"/>
      <c r="B1658" s="22"/>
      <c r="C1658" s="223"/>
      <c r="D1658" s="1411"/>
      <c r="E1658" s="2123"/>
      <c r="F1658" s="1375"/>
      <c r="G1658" s="1375"/>
      <c r="H1658" s="1376"/>
      <c r="I1658" s="197" t="str">
        <f ca="1">IF(COUNT(H1658:O1658)=0,"",(SUM(H1658:O1658)/COUNT(H1658:O1658)))</f>
        <v/>
      </c>
      <c r="J1658" s="198"/>
      <c r="K1658" s="1307"/>
      <c r="L1658" s="1335"/>
      <c r="M1658" s="1499"/>
      <c r="N1658" s="1701"/>
      <c r="O1658" s="1290"/>
      <c r="P1658" s="1332"/>
      <c r="Q1658" s="3391"/>
      <c r="R1658" s="1296"/>
      <c r="S1658" s="16"/>
      <c r="T1658" s="16"/>
      <c r="U1658" s="16"/>
      <c r="V1658" s="16"/>
    </row>
    <row r="1659" spans="1:24" ht="15" customHeight="1">
      <c r="A1659" s="1042" t="s">
        <v>3764</v>
      </c>
      <c r="B1659" s="4367" t="s">
        <v>1745</v>
      </c>
      <c r="C1659" s="3354"/>
      <c r="D1659" s="4327"/>
      <c r="E1659" s="4329" t="s">
        <v>1507</v>
      </c>
      <c r="F1659" s="4336" t="s">
        <v>1754</v>
      </c>
      <c r="G1659" s="4331" t="s">
        <v>1568</v>
      </c>
      <c r="H1659" s="4331" t="s">
        <v>1574</v>
      </c>
      <c r="I1659" s="1572" t="s">
        <v>1559</v>
      </c>
      <c r="J1659" s="1294" t="s">
        <v>1560</v>
      </c>
      <c r="K1659" s="1294" t="s">
        <v>1561</v>
      </c>
      <c r="L1659" s="4333" t="s">
        <v>3765</v>
      </c>
      <c r="M1659" s="4335" t="s">
        <v>1571</v>
      </c>
      <c r="N1659" s="4323" t="s">
        <v>1776</v>
      </c>
      <c r="O1659" s="3347" t="s">
        <v>1563</v>
      </c>
      <c r="P1659" s="1336" t="s">
        <v>1562</v>
      </c>
      <c r="Q1659" s="3389"/>
      <c r="R1659" s="1699" t="s">
        <v>1327</v>
      </c>
      <c r="S1659" s="16"/>
      <c r="T1659" s="16"/>
      <c r="U1659" s="16"/>
      <c r="V1659" s="16"/>
    </row>
    <row r="1660" spans="1:24">
      <c r="A1660" s="1042" t="s">
        <v>2818</v>
      </c>
      <c r="B1660" s="4369"/>
      <c r="C1660" s="3351"/>
      <c r="D1660" s="4328"/>
      <c r="E1660" s="4330"/>
      <c r="F1660" s="4336"/>
      <c r="G1660" s="4332"/>
      <c r="H1660" s="4332"/>
      <c r="I1660" s="1345">
        <v>201.6</v>
      </c>
      <c r="J1660" s="1307">
        <v>2E-3</v>
      </c>
      <c r="K1660" s="1307">
        <f>I1660*J1660</f>
        <v>0.4032</v>
      </c>
      <c r="L1660" s="4334"/>
      <c r="M1660" s="4335"/>
      <c r="N1660" s="4324"/>
      <c r="O1660" s="1298">
        <f>O1666+O1662</f>
        <v>9.68</v>
      </c>
      <c r="P1660" s="1337">
        <f>O1660*K1660</f>
        <v>3.9029759999999998</v>
      </c>
      <c r="Q1660" s="3390"/>
      <c r="R1660" s="1721">
        <f>P1662+P1666</f>
        <v>3.9019680000000001</v>
      </c>
      <c r="S1660" s="16"/>
      <c r="T1660" s="16"/>
      <c r="U1660" s="16"/>
      <c r="V1660" s="16"/>
    </row>
    <row r="1661" spans="1:24">
      <c r="A1661" s="1042"/>
      <c r="B1661" s="22"/>
      <c r="C1661" s="18"/>
      <c r="D1661" s="1400"/>
      <c r="E1661" s="2121"/>
      <c r="F1661" s="1368" t="s">
        <v>1</v>
      </c>
      <c r="G1661" s="1369"/>
      <c r="H1661" s="1369"/>
      <c r="I1661" s="1391"/>
      <c r="J1661" s="1369"/>
      <c r="K1661" s="1367"/>
      <c r="L1661" s="1554"/>
      <c r="M1661" s="1369"/>
      <c r="N1661" s="1369"/>
      <c r="O1661" s="1369"/>
      <c r="P1661" s="1367"/>
      <c r="Q1661" s="3387"/>
      <c r="R1661" s="1296"/>
      <c r="S1661" s="16"/>
      <c r="T1661" s="16"/>
      <c r="U1661" s="16"/>
      <c r="V1661" s="16"/>
    </row>
    <row r="1662" spans="1:24">
      <c r="A1662" s="1042"/>
      <c r="B1662" s="22"/>
      <c r="C1662" s="1042"/>
      <c r="D1662" s="1615" t="s">
        <v>1082</v>
      </c>
      <c r="E1662" s="2126" t="s">
        <v>1504</v>
      </c>
      <c r="F1662" s="1418" t="s">
        <v>1541</v>
      </c>
      <c r="G1662" s="1372">
        <v>1</v>
      </c>
      <c r="H1662" s="1372"/>
      <c r="I1662" s="197"/>
      <c r="J1662" s="198"/>
      <c r="K1662" s="1307">
        <f>G1662*$K$1660</f>
        <v>0.4032</v>
      </c>
      <c r="L1662" s="1335">
        <f>K1662*$K$1547</f>
        <v>0</v>
      </c>
      <c r="M1662" s="1499">
        <v>0.3</v>
      </c>
      <c r="N1662" s="1701"/>
      <c r="O1662" s="1290">
        <f>ROUND(G1662*M1662,2)</f>
        <v>0.3</v>
      </c>
      <c r="P1662" s="1332">
        <f>M1662*K1662</f>
        <v>0.12096</v>
      </c>
      <c r="Q1662" s="3391"/>
      <c r="R1662" s="1296"/>
      <c r="S1662" s="16"/>
      <c r="T1662" s="16"/>
      <c r="U1662" s="16"/>
      <c r="V1662" s="16"/>
    </row>
    <row r="1663" spans="1:24">
      <c r="A1663" s="1042"/>
      <c r="B1663" s="22"/>
      <c r="C1663" s="1320"/>
      <c r="D1663" s="1400"/>
      <c r="E1663" s="1856"/>
      <c r="F1663" s="1397"/>
      <c r="G1663" s="1416"/>
      <c r="H1663" s="1399"/>
      <c r="I1663" s="197"/>
      <c r="J1663" s="198"/>
      <c r="K1663" s="1307"/>
      <c r="L1663" s="1335"/>
      <c r="M1663" s="1499"/>
      <c r="N1663" s="1701"/>
      <c r="O1663" s="1290"/>
      <c r="P1663" s="1332"/>
      <c r="Q1663" s="3391"/>
      <c r="R1663" s="1296"/>
      <c r="S1663" s="16"/>
      <c r="T1663" s="16"/>
      <c r="U1663" s="16"/>
      <c r="V1663" s="16"/>
    </row>
    <row r="1664" spans="1:24">
      <c r="A1664" s="1042"/>
      <c r="B1664" s="22"/>
      <c r="C1664" s="1320"/>
      <c r="D1664" s="1404"/>
      <c r="E1664" s="1857"/>
      <c r="F1664" s="1406"/>
      <c r="G1664" s="1407"/>
      <c r="H1664" s="1408"/>
      <c r="I1664" s="197"/>
      <c r="J1664" s="198"/>
      <c r="K1664" s="1307"/>
      <c r="L1664" s="1335"/>
      <c r="M1664" s="1499"/>
      <c r="N1664" s="1701"/>
      <c r="O1664" s="1290"/>
      <c r="P1664" s="1332"/>
      <c r="Q1664" s="3391"/>
      <c r="R1664" s="1296"/>
      <c r="S1664" s="16"/>
      <c r="T1664" s="16"/>
      <c r="U1664" s="16"/>
      <c r="V1664" s="16"/>
    </row>
    <row r="1665" spans="1:22">
      <c r="A1665" s="1042"/>
      <c r="B1665" s="22"/>
      <c r="C1665" s="1042"/>
      <c r="D1665" s="1404"/>
      <c r="E1665" s="1858"/>
      <c r="F1665" s="1360" t="s">
        <v>2</v>
      </c>
      <c r="G1665" s="1360"/>
      <c r="H1665" s="1362"/>
      <c r="I1665" s="1380"/>
      <c r="J1665" s="1381"/>
      <c r="K1665" s="1359"/>
      <c r="L1665" s="1359"/>
      <c r="M1665" s="1502"/>
      <c r="N1665" s="1702"/>
      <c r="O1665" s="1429"/>
      <c r="P1665" s="1359"/>
      <c r="Q1665" s="3387"/>
      <c r="R1665" s="1296"/>
      <c r="S1665" s="16"/>
      <c r="T1665" s="16"/>
      <c r="U1665" s="16"/>
      <c r="V1665" s="16"/>
    </row>
    <row r="1666" spans="1:22">
      <c r="A1666" s="1042"/>
      <c r="B1666" s="22"/>
      <c r="C1666" s="1652" t="s">
        <v>1755</v>
      </c>
      <c r="D1666" s="1461"/>
      <c r="E1666" s="2163" t="s">
        <v>1508</v>
      </c>
      <c r="F1666" s="1648" t="s">
        <v>1524</v>
      </c>
      <c r="H1666" s="1690">
        <v>0.25</v>
      </c>
      <c r="I1666" s="1444"/>
      <c r="J1666" s="1388"/>
      <c r="K1666" s="1510"/>
      <c r="L1666" s="1445"/>
      <c r="M1666" s="1500"/>
      <c r="N1666" s="1501">
        <f>SUM(N1667:N1668)</f>
        <v>37.510000000000005</v>
      </c>
      <c r="O1666" s="1501">
        <f>SUM(O1667:O1668)</f>
        <v>9.379999999999999</v>
      </c>
      <c r="P1666" s="1501">
        <f>SUM(P1667:P1668)</f>
        <v>3.7810079999999999</v>
      </c>
      <c r="Q1666" s="3391"/>
      <c r="R1666" s="1296"/>
      <c r="S1666" s="16"/>
      <c r="T1666" s="16"/>
      <c r="U1666" s="16"/>
      <c r="V1666" s="16"/>
    </row>
    <row r="1667" spans="1:22">
      <c r="A1667" s="1042"/>
      <c r="B1667" s="22"/>
      <c r="C1667" s="1042"/>
      <c r="D1667" s="1430" t="s">
        <v>1067</v>
      </c>
      <c r="E1667" s="1857" t="s">
        <v>1508</v>
      </c>
      <c r="F1667" s="1403" t="s">
        <v>5</v>
      </c>
      <c r="G1667" s="1431">
        <v>1</v>
      </c>
      <c r="H1667" s="1362">
        <f>H1666*G1667</f>
        <v>0.25</v>
      </c>
      <c r="I1667" s="197"/>
      <c r="J1667" s="198"/>
      <c r="K1667" s="1307">
        <f>H1667*$K$1660</f>
        <v>0.1008</v>
      </c>
      <c r="L1667" s="1335">
        <f>K1667*$K$1547</f>
        <v>0</v>
      </c>
      <c r="M1667" s="1499">
        <v>18.28</v>
      </c>
      <c r="N1667" s="1718">
        <f>G1667*M1667</f>
        <v>18.28</v>
      </c>
      <c r="O1667" s="1719">
        <f>ROUND(H1667*M1667,2)</f>
        <v>4.57</v>
      </c>
      <c r="P1667" s="1720">
        <f>M1667*K1667</f>
        <v>1.842624</v>
      </c>
      <c r="Q1667" s="3396"/>
      <c r="R1667" s="1296"/>
      <c r="S1667" s="16"/>
      <c r="T1667" s="16"/>
      <c r="U1667" s="16"/>
      <c r="V1667" s="16"/>
    </row>
    <row r="1668" spans="1:22">
      <c r="A1668" s="1042"/>
      <c r="B1668" s="22"/>
      <c r="C1668" s="1042"/>
      <c r="D1668" s="1430" t="s">
        <v>1077</v>
      </c>
      <c r="E1668" s="1857" t="s">
        <v>1508</v>
      </c>
      <c r="F1668" s="1403" t="s">
        <v>37</v>
      </c>
      <c r="G1668" s="1431">
        <v>1</v>
      </c>
      <c r="H1668" s="1362">
        <f>H1666*G1668</f>
        <v>0.25</v>
      </c>
      <c r="I1668" s="197"/>
      <c r="J1668" s="198"/>
      <c r="K1668" s="1307">
        <f>H1668*$K$1660</f>
        <v>0.1008</v>
      </c>
      <c r="L1668" s="1335">
        <f>K1668*$K$1547</f>
        <v>0</v>
      </c>
      <c r="M1668" s="1499">
        <v>19.23</v>
      </c>
      <c r="N1668" s="1718">
        <f>G1668*M1668</f>
        <v>19.23</v>
      </c>
      <c r="O1668" s="1719">
        <f>ROUND(H1668*M1668,2)</f>
        <v>4.8099999999999996</v>
      </c>
      <c r="P1668" s="1720">
        <f>M1668*K1668</f>
        <v>1.9383840000000001</v>
      </c>
      <c r="Q1668" s="3396"/>
      <c r="R1668" s="1296"/>
      <c r="S1668" s="16"/>
      <c r="T1668" s="16"/>
      <c r="U1668" s="16"/>
      <c r="V1668" s="16"/>
    </row>
    <row r="1669" spans="1:22">
      <c r="A1669" s="1042"/>
      <c r="B1669" s="22"/>
      <c r="C1669" s="1042"/>
      <c r="D1669" s="1430"/>
      <c r="E1669" s="1857"/>
      <c r="F1669" s="1766"/>
      <c r="G1669" s="1431"/>
      <c r="H1669" s="1362"/>
      <c r="I1669" s="197"/>
      <c r="J1669" s="198"/>
      <c r="K1669" s="1307"/>
      <c r="L1669" s="1335"/>
      <c r="M1669" s="1499"/>
      <c r="N1669" s="1724"/>
      <c r="O1669" s="1719"/>
      <c r="P1669" s="1720"/>
      <c r="Q1669" s="3396"/>
      <c r="R1669" s="1296"/>
      <c r="S1669" s="16"/>
      <c r="T1669" s="16"/>
      <c r="U1669" s="16"/>
      <c r="V1669" s="16"/>
    </row>
    <row r="1670" spans="1:22">
      <c r="A1670" s="1042"/>
      <c r="B1670" s="22"/>
      <c r="C1670" s="1042"/>
      <c r="D1670" s="1373"/>
      <c r="E1670" s="2123"/>
      <c r="F1670" s="1374" t="s">
        <v>3</v>
      </c>
      <c r="G1670" s="1804"/>
      <c r="H1670" s="1805"/>
      <c r="I1670" s="1382"/>
      <c r="J1670" s="1383"/>
      <c r="K1670" s="1684"/>
      <c r="L1670" s="1685"/>
      <c r="M1670" s="1691"/>
      <c r="N1670" s="1715"/>
      <c r="O1670" s="1687"/>
      <c r="P1670" s="1686"/>
      <c r="Q1670" s="3391"/>
      <c r="R1670" s="1296"/>
      <c r="S1670" s="16"/>
      <c r="T1670" s="16"/>
      <c r="U1670" s="16"/>
      <c r="V1670" s="16"/>
    </row>
    <row r="1671" spans="1:22">
      <c r="A1671" s="1042"/>
      <c r="B1671" s="22"/>
      <c r="C1671" s="1042"/>
      <c r="D1671" s="1411"/>
      <c r="E1671" s="2123"/>
      <c r="F1671" s="1669"/>
      <c r="G1671" s="1669"/>
      <c r="H1671" s="1670"/>
      <c r="I1671" s="197" t="str">
        <f ca="1">IF(COUNT(H1671:O1671)=0,"",(SUM(H1671:O1671)/COUNT(H1671:O1671)))</f>
        <v/>
      </c>
      <c r="J1671" s="198"/>
      <c r="K1671" s="1307"/>
      <c r="L1671" s="1335"/>
      <c r="M1671" s="1499"/>
      <c r="N1671" s="1701"/>
      <c r="O1671" s="1290"/>
      <c r="P1671" s="1332"/>
      <c r="Q1671" s="3391"/>
      <c r="R1671" s="1296"/>
      <c r="S1671" s="16"/>
      <c r="T1671" s="16"/>
      <c r="U1671" s="16"/>
      <c r="V1671" s="16"/>
    </row>
    <row r="1672" spans="1:22">
      <c r="A1672" s="1042"/>
      <c r="B1672" s="22"/>
      <c r="C1672" s="1042"/>
      <c r="D1672" s="1411"/>
      <c r="E1672" s="2123"/>
      <c r="F1672" s="1375"/>
      <c r="G1672" s="1375"/>
      <c r="H1672" s="1670"/>
      <c r="I1672" s="197" t="str">
        <f ca="1">IF(COUNT(H1672:O1672)=0,"",(SUM(H1672:O1672)/COUNT(H1672:O1672)))</f>
        <v/>
      </c>
      <c r="J1672" s="198"/>
      <c r="K1672" s="1307"/>
      <c r="L1672" s="1335"/>
      <c r="M1672" s="1499"/>
      <c r="N1672" s="1701"/>
      <c r="O1672" s="1290"/>
      <c r="P1672" s="1332"/>
      <c r="Q1672" s="3391"/>
      <c r="R1672" s="1296"/>
      <c r="S1672" s="16"/>
      <c r="T1672" s="16"/>
      <c r="U1672" s="16"/>
      <c r="V1672" s="16"/>
    </row>
    <row r="1673" spans="1:22">
      <c r="A1673" s="1042"/>
      <c r="B1673" s="22"/>
      <c r="C1673" s="223"/>
      <c r="D1673" s="1411"/>
      <c r="E1673" s="2123"/>
      <c r="F1673" s="1375"/>
      <c r="G1673" s="1375"/>
      <c r="H1673" s="1376"/>
      <c r="I1673" s="197" t="str">
        <f ca="1">IF(COUNT(H1673:O1673)=0,"",(SUM(H1673:O1673)/COUNT(H1673:O1673)))</f>
        <v/>
      </c>
      <c r="J1673" s="198"/>
      <c r="K1673" s="1307"/>
      <c r="L1673" s="1335"/>
      <c r="M1673" s="1499"/>
      <c r="N1673" s="1701"/>
      <c r="O1673" s="1290"/>
      <c r="P1673" s="1332"/>
      <c r="Q1673" s="3391"/>
      <c r="R1673" s="1296"/>
      <c r="S1673" s="16"/>
      <c r="T1673" s="16"/>
      <c r="U1673" s="16"/>
      <c r="V1673" s="16"/>
    </row>
    <row r="1674" spans="1:22" ht="15" customHeight="1">
      <c r="A1674" s="1042" t="s">
        <v>3764</v>
      </c>
      <c r="B1674" s="4367" t="s">
        <v>1659</v>
      </c>
      <c r="C1674" s="3350"/>
      <c r="D1674" s="4327"/>
      <c r="E1674" s="4329" t="s">
        <v>1507</v>
      </c>
      <c r="F1674" s="4338" t="s">
        <v>1685</v>
      </c>
      <c r="G1674" s="4331" t="s">
        <v>1568</v>
      </c>
      <c r="H1674" s="4331" t="s">
        <v>1574</v>
      </c>
      <c r="I1674" s="1572" t="s">
        <v>1559</v>
      </c>
      <c r="J1674" s="1294" t="s">
        <v>1560</v>
      </c>
      <c r="K1674" s="1294" t="s">
        <v>1561</v>
      </c>
      <c r="L1674" s="4333" t="s">
        <v>3765</v>
      </c>
      <c r="M1674" s="4335" t="s">
        <v>1571</v>
      </c>
      <c r="N1674" s="4323" t="s">
        <v>1776</v>
      </c>
      <c r="O1674" s="3347" t="s">
        <v>1563</v>
      </c>
      <c r="P1674" s="1336" t="s">
        <v>1562</v>
      </c>
      <c r="Q1674" s="3389"/>
      <c r="R1674" s="1699" t="s">
        <v>1327</v>
      </c>
      <c r="S1674" s="16"/>
      <c r="T1674" s="16"/>
      <c r="U1674" s="16"/>
      <c r="V1674" s="16"/>
    </row>
    <row r="1675" spans="1:22">
      <c r="A1675" s="1042" t="s">
        <v>2818</v>
      </c>
      <c r="B1675" s="4369"/>
      <c r="C1675" s="3351"/>
      <c r="D1675" s="4328"/>
      <c r="E1675" s="4330"/>
      <c r="F1675" s="4338"/>
      <c r="G1675" s="4332"/>
      <c r="H1675" s="4332"/>
      <c r="I1675" s="1345">
        <v>172.8</v>
      </c>
      <c r="J1675" s="1307">
        <v>2E-3</v>
      </c>
      <c r="K1675" s="1307">
        <f>I1675*J1675</f>
        <v>0.34560000000000002</v>
      </c>
      <c r="L1675" s="4334"/>
      <c r="M1675" s="4335"/>
      <c r="N1675" s="4324"/>
      <c r="O1675" s="1298">
        <f>O1677+O1685</f>
        <v>13.240933030000001</v>
      </c>
      <c r="P1675" s="1337">
        <f>O1675*K1675</f>
        <v>4.5760664551680001</v>
      </c>
      <c r="Q1675" s="3390"/>
      <c r="R1675" s="1721">
        <f>P1677+P1685</f>
        <v>4.5763256551680005</v>
      </c>
      <c r="S1675" s="16"/>
      <c r="T1675" s="16"/>
      <c r="U1675" s="16"/>
      <c r="V1675" s="16"/>
    </row>
    <row r="1676" spans="1:22">
      <c r="A1676" s="1042"/>
      <c r="B1676" s="18"/>
      <c r="D1676" s="1449"/>
      <c r="E1676" s="2121"/>
      <c r="F1676" s="1368" t="s">
        <v>1</v>
      </c>
      <c r="G1676" s="1368"/>
      <c r="H1676" s="1369"/>
      <c r="I1676" s="1409"/>
      <c r="J1676" s="1391"/>
      <c r="K1676" s="1367"/>
      <c r="L1676" s="1554"/>
      <c r="M1676" s="1369"/>
      <c r="N1676" s="1369"/>
      <c r="O1676" s="1369"/>
      <c r="P1676" s="1367"/>
      <c r="Q1676" s="3387"/>
      <c r="R1676" s="1296"/>
      <c r="S1676" s="16"/>
      <c r="T1676" s="16"/>
      <c r="U1676" s="16"/>
      <c r="V1676" s="16"/>
    </row>
    <row r="1677" spans="1:22">
      <c r="A1677" s="1042"/>
      <c r="B1677" s="1042"/>
      <c r="C1677" s="1356" t="s">
        <v>1127</v>
      </c>
      <c r="D1677" s="1311"/>
      <c r="E1677" s="2137" t="s">
        <v>1517</v>
      </c>
      <c r="F1677" s="1319" t="s">
        <v>1519</v>
      </c>
      <c r="H1677" s="1353">
        <v>2.1000000000000001E-2</v>
      </c>
      <c r="I1677" s="1444"/>
      <c r="J1677" s="1388"/>
      <c r="K1677" s="1445"/>
      <c r="L1677" s="1457"/>
      <c r="M1677" s="1446"/>
      <c r="N1677" s="1447">
        <f>SUM(N1678:N1681)</f>
        <v>50.044430000000006</v>
      </c>
      <c r="O1677" s="1447">
        <f>SUM(O1678:O1681)</f>
        <v>1.0509330300000002</v>
      </c>
      <c r="P1677" s="1447">
        <f>SUM(P1678:P1681)</f>
        <v>0.36320245516800009</v>
      </c>
      <c r="Q1677" s="3391"/>
      <c r="R1677" s="1296"/>
      <c r="S1677" s="16"/>
      <c r="T1677" s="16"/>
      <c r="U1677" s="16"/>
      <c r="V1677" s="16"/>
    </row>
    <row r="1678" spans="1:22">
      <c r="A1678" s="1042"/>
      <c r="B1678" s="1042"/>
      <c r="C1678" s="1327"/>
      <c r="D1678" s="1400" t="s">
        <v>1069</v>
      </c>
      <c r="E1678" s="1856" t="s">
        <v>1517</v>
      </c>
      <c r="F1678" s="1397" t="s">
        <v>1578</v>
      </c>
      <c r="G1678" s="1416">
        <v>0.26300000000000001</v>
      </c>
      <c r="H1678" s="1399">
        <f>$H$1677*G1678</f>
        <v>5.523000000000001E-3</v>
      </c>
      <c r="I1678" s="197"/>
      <c r="J1678" s="198"/>
      <c r="K1678" s="1307">
        <f>H1678*$K$1675</f>
        <v>1.9087488000000005E-3</v>
      </c>
      <c r="L1678" s="1335">
        <f>K1678*$K$1547</f>
        <v>0</v>
      </c>
      <c r="M1678" s="1302">
        <v>0.55000000000000004</v>
      </c>
      <c r="N1678" s="1718">
        <f>G1678*M1678</f>
        <v>0.14465000000000003</v>
      </c>
      <c r="O1678" s="1719">
        <f>H1678*M1678</f>
        <v>3.0376500000000007E-3</v>
      </c>
      <c r="P1678" s="1720">
        <f>M1678*K1678</f>
        <v>1.0498118400000004E-3</v>
      </c>
      <c r="Q1678" s="3396"/>
      <c r="R1678" s="1296"/>
      <c r="S1678" s="16"/>
      <c r="T1678" s="16"/>
      <c r="U1678" s="16"/>
      <c r="V1678" s="16"/>
    </row>
    <row r="1679" spans="1:22">
      <c r="A1679" s="1042"/>
      <c r="B1679" s="1042"/>
      <c r="C1679" s="1320"/>
      <c r="D1679" s="1400" t="s">
        <v>1394</v>
      </c>
      <c r="E1679" s="1856" t="s">
        <v>1577</v>
      </c>
      <c r="F1679" s="1397" t="s">
        <v>1579</v>
      </c>
      <c r="G1679" s="1416">
        <v>0.25800000000000001</v>
      </c>
      <c r="H1679" s="1399">
        <f>$H$1677*G1679</f>
        <v>5.4180000000000001E-3</v>
      </c>
      <c r="I1679" s="197"/>
      <c r="J1679" s="198"/>
      <c r="K1679" s="1307">
        <f>H1679*$K$1675</f>
        <v>1.8724608000000001E-3</v>
      </c>
      <c r="L1679" s="1335">
        <f>K1679*$K$1547</f>
        <v>0</v>
      </c>
      <c r="M1679" s="1302">
        <v>92.54</v>
      </c>
      <c r="N1679" s="1718">
        <f>G1679*M1679</f>
        <v>23.875320000000002</v>
      </c>
      <c r="O1679" s="1719">
        <f>H1679*M1679</f>
        <v>0.50138172000000003</v>
      </c>
      <c r="P1679" s="1720">
        <f>M1679*K1679</f>
        <v>0.17327752243200001</v>
      </c>
      <c r="Q1679" s="3396"/>
      <c r="R1679" s="1296"/>
      <c r="S1679" s="16"/>
      <c r="T1679" s="16"/>
      <c r="U1679" s="16"/>
      <c r="V1679" s="16"/>
    </row>
    <row r="1680" spans="1:22">
      <c r="A1680" s="1042"/>
      <c r="B1680" s="1042"/>
      <c r="C1680" s="1320"/>
      <c r="D1680" s="1400" t="s">
        <v>1576</v>
      </c>
      <c r="E1680" s="1856" t="s">
        <v>1517</v>
      </c>
      <c r="F1680" s="1397" t="s">
        <v>1580</v>
      </c>
      <c r="G1680" s="1416">
        <v>1.1020000000000001</v>
      </c>
      <c r="H1680" s="1399">
        <f>$H$1677*G1680</f>
        <v>2.3142000000000003E-2</v>
      </c>
      <c r="I1680" s="197"/>
      <c r="J1680" s="198"/>
      <c r="K1680" s="1307">
        <f>H1680*$K$1675</f>
        <v>7.9978752000000007E-3</v>
      </c>
      <c r="L1680" s="1335">
        <f>K1680*$K$1547</f>
        <v>0</v>
      </c>
      <c r="M1680" s="1302">
        <v>6.53</v>
      </c>
      <c r="N1680" s="1718">
        <f>G1680*M1680</f>
        <v>7.196060000000001</v>
      </c>
      <c r="O1680" s="1719">
        <f>H1680*M1680</f>
        <v>0.15111726000000003</v>
      </c>
      <c r="P1680" s="1720">
        <f>M1680*K1680</f>
        <v>5.2226125056000008E-2</v>
      </c>
      <c r="Q1680" s="3396"/>
      <c r="R1680" s="1296"/>
      <c r="S1680" s="16"/>
      <c r="T1680" s="16"/>
      <c r="U1680" s="16"/>
      <c r="V1680" s="16"/>
    </row>
    <row r="1681" spans="1:22">
      <c r="A1681" s="1042"/>
      <c r="B1681" s="1042"/>
      <c r="C1681" s="1320"/>
      <c r="D1681" s="1404" t="s">
        <v>1067</v>
      </c>
      <c r="E1681" s="1857" t="s">
        <v>1508</v>
      </c>
      <c r="F1681" s="1406" t="s">
        <v>1512</v>
      </c>
      <c r="G1681" s="1407">
        <v>1.03</v>
      </c>
      <c r="H1681" s="1408">
        <f>$H$1677*G1681</f>
        <v>2.1630000000000003E-2</v>
      </c>
      <c r="I1681" s="197"/>
      <c r="J1681" s="198"/>
      <c r="K1681" s="1307">
        <f>H1681*$K$1675</f>
        <v>7.4753280000000016E-3</v>
      </c>
      <c r="L1681" s="1335">
        <f>K1681*$K$1547</f>
        <v>0</v>
      </c>
      <c r="M1681" s="1302">
        <v>18.28</v>
      </c>
      <c r="N1681" s="1718">
        <f>G1681*M1681</f>
        <v>18.828400000000002</v>
      </c>
      <c r="O1681" s="1719">
        <f>H1681*M1681</f>
        <v>0.39539640000000009</v>
      </c>
      <c r="P1681" s="1720">
        <f>M1681*K1681</f>
        <v>0.13664899584000004</v>
      </c>
      <c r="Q1681" s="3396"/>
      <c r="R1681" s="1296"/>
      <c r="S1681" s="16"/>
      <c r="T1681" s="16"/>
      <c r="U1681" s="16"/>
      <c r="V1681" s="16"/>
    </row>
    <row r="1682" spans="1:22">
      <c r="A1682" s="1042"/>
      <c r="B1682" s="1042"/>
      <c r="C1682" s="88"/>
      <c r="D1682" s="1367"/>
      <c r="E1682" s="2121"/>
      <c r="F1682" s="1436"/>
      <c r="G1682" s="1436"/>
      <c r="H1682" s="1369"/>
      <c r="I1682" s="197"/>
      <c r="J1682" s="198"/>
      <c r="K1682" s="1307"/>
      <c r="L1682" s="1335"/>
      <c r="M1682" s="1302"/>
      <c r="N1682" s="1700"/>
      <c r="O1682" s="1290"/>
      <c r="P1682" s="1332"/>
      <c r="Q1682" s="3391"/>
      <c r="R1682" s="1296"/>
      <c r="S1682" s="16"/>
      <c r="T1682" s="16"/>
      <c r="U1682" s="16"/>
      <c r="V1682" s="16"/>
    </row>
    <row r="1683" spans="1:22">
      <c r="A1683" s="1042"/>
      <c r="B1683" s="1042"/>
      <c r="C1683" s="88"/>
      <c r="D1683" s="1367"/>
      <c r="E1683" s="2121"/>
      <c r="F1683" s="1436"/>
      <c r="G1683" s="1436"/>
      <c r="H1683" s="1369"/>
      <c r="I1683" s="197" t="str">
        <f ca="1">IF(COUNT(H1683:O1683)=0,"",(SUM(H1683:O1683)/COUNT(H1683:O1683)))</f>
        <v/>
      </c>
      <c r="J1683" s="198"/>
      <c r="K1683" s="1307" t="str">
        <f>IF(COUNT(#REF!)=0,"",IF(#REF!="","",(#REF!*#REF!)))</f>
        <v/>
      </c>
      <c r="L1683" s="1335"/>
      <c r="M1683" s="1302"/>
      <c r="N1683" s="1700"/>
      <c r="O1683" s="1290"/>
      <c r="P1683" s="1332"/>
      <c r="Q1683" s="3391"/>
      <c r="R1683" s="1296"/>
      <c r="S1683" s="16"/>
      <c r="T1683" s="16"/>
      <c r="U1683" s="16"/>
      <c r="V1683" s="16"/>
    </row>
    <row r="1684" spans="1:22">
      <c r="A1684" s="1042"/>
      <c r="B1684" s="1042"/>
      <c r="C1684" s="88"/>
      <c r="D1684" s="1359"/>
      <c r="E1684" s="1858"/>
      <c r="F1684" s="1360" t="s">
        <v>2</v>
      </c>
      <c r="G1684" s="1360"/>
      <c r="H1684" s="1362"/>
      <c r="I1684" s="1380" t="str">
        <f ca="1">IF(COUNT(H1684:O1684)=0,"",(SUM(H1684:O1684)/COUNT(H1684:O1684)))</f>
        <v/>
      </c>
      <c r="J1684" s="1381"/>
      <c r="K1684" s="1359" t="str">
        <f>IF(COUNT(#REF!)=0,"",IF(#REF!="","",(#REF!*#REF!)))</f>
        <v/>
      </c>
      <c r="L1684" s="1458"/>
      <c r="M1684" s="1362"/>
      <c r="N1684" s="1362"/>
      <c r="O1684" s="1362"/>
      <c r="P1684" s="1458"/>
      <c r="Q1684" s="3387"/>
      <c r="R1684" s="1296"/>
      <c r="S1684" s="16"/>
      <c r="T1684" s="16"/>
      <c r="U1684" s="16"/>
      <c r="V1684" s="16"/>
    </row>
    <row r="1685" spans="1:22">
      <c r="A1685" s="1042"/>
      <c r="B1685" s="1042"/>
      <c r="C1685" s="1652" t="s">
        <v>1755</v>
      </c>
      <c r="D1685" s="1461"/>
      <c r="E1685" s="2163" t="s">
        <v>1508</v>
      </c>
      <c r="F1685" s="1648" t="s">
        <v>1524</v>
      </c>
      <c r="H1685" s="1649">
        <v>0.32500000000000001</v>
      </c>
      <c r="I1685" s="1455"/>
      <c r="J1685" s="1388"/>
      <c r="K1685" s="1510"/>
      <c r="L1685" s="1445"/>
      <c r="M1685" s="1446"/>
      <c r="N1685" s="1447">
        <f>SUM(N1686:N1687)</f>
        <v>37.510000000000005</v>
      </c>
      <c r="O1685" s="1447">
        <f>SUM(O1686:O1687)</f>
        <v>12.190000000000001</v>
      </c>
      <c r="P1685" s="1447">
        <f>SUM(P1686:P1687)</f>
        <v>4.2131232000000001</v>
      </c>
      <c r="Q1685" s="3391"/>
      <c r="R1685" s="1296"/>
      <c r="S1685" s="16"/>
      <c r="T1685" s="16"/>
      <c r="U1685" s="16"/>
      <c r="V1685" s="16"/>
    </row>
    <row r="1686" spans="1:22">
      <c r="A1686" s="1042"/>
      <c r="B1686" s="1042"/>
      <c r="C1686" s="88"/>
      <c r="D1686" s="1430" t="s">
        <v>1067</v>
      </c>
      <c r="E1686" s="1857" t="s">
        <v>1508</v>
      </c>
      <c r="F1686" s="1403" t="s">
        <v>5</v>
      </c>
      <c r="G1686" s="1431">
        <v>1</v>
      </c>
      <c r="H1686" s="1362">
        <f>H1685*G1686</f>
        <v>0.32500000000000001</v>
      </c>
      <c r="I1686" s="1286"/>
      <c r="J1686" s="198"/>
      <c r="K1686" s="1307">
        <f>H1686*$K$1675</f>
        <v>0.11232</v>
      </c>
      <c r="L1686" s="1335">
        <f>K1686*$K$1547</f>
        <v>0</v>
      </c>
      <c r="M1686" s="1302">
        <v>18.28</v>
      </c>
      <c r="N1686" s="1718">
        <f>G1686*M1686</f>
        <v>18.28</v>
      </c>
      <c r="O1686" s="1725">
        <f>ROUND(H1686*M1686,2)</f>
        <v>5.94</v>
      </c>
      <c r="P1686" s="1720">
        <f>M1686*K1686</f>
        <v>2.0532096000000002</v>
      </c>
      <c r="Q1686" s="3396"/>
      <c r="R1686" s="1296"/>
      <c r="S1686" s="16"/>
      <c r="T1686" s="16"/>
      <c r="U1686" s="16"/>
      <c r="V1686" s="16"/>
    </row>
    <row r="1687" spans="1:22">
      <c r="A1687" s="1042"/>
      <c r="B1687" s="1042"/>
      <c r="C1687" s="88"/>
      <c r="D1687" s="1430" t="s">
        <v>1077</v>
      </c>
      <c r="E1687" s="1857" t="s">
        <v>1508</v>
      </c>
      <c r="F1687" s="1403" t="s">
        <v>37</v>
      </c>
      <c r="G1687" s="1431">
        <v>1</v>
      </c>
      <c r="H1687" s="1362">
        <f>H1685*G1687</f>
        <v>0.32500000000000001</v>
      </c>
      <c r="I1687" s="197">
        <f t="shared" ref="I1687:I1691" ca="1" si="88">IF(COUNT(H1687:O1687)=0,"",(SUM(H1687:O1687)/COUNT(H1687:O1687)))</f>
        <v>7.5245533333333343</v>
      </c>
      <c r="J1687" s="198"/>
      <c r="K1687" s="1307">
        <f>H1687*$K$1675</f>
        <v>0.11232</v>
      </c>
      <c r="L1687" s="1335">
        <f>K1687*$K$1547</f>
        <v>0</v>
      </c>
      <c r="M1687" s="1302">
        <v>19.23</v>
      </c>
      <c r="N1687" s="1718">
        <f>G1687*M1687</f>
        <v>19.23</v>
      </c>
      <c r="O1687" s="1725">
        <f>ROUND(H1687*M1687,2)</f>
        <v>6.25</v>
      </c>
      <c r="P1687" s="1720">
        <f>M1687*K1687</f>
        <v>2.1599136000000003</v>
      </c>
      <c r="Q1687" s="3396"/>
      <c r="R1687" s="1296"/>
      <c r="S1687" s="16"/>
      <c r="T1687" s="16"/>
      <c r="U1687" s="16"/>
      <c r="V1687" s="16"/>
    </row>
    <row r="1688" spans="1:22">
      <c r="A1688" s="1042"/>
      <c r="B1688" s="1042"/>
      <c r="C1688" s="88"/>
      <c r="D1688" s="1373"/>
      <c r="E1688" s="2123"/>
      <c r="F1688" s="1374" t="s">
        <v>3</v>
      </c>
      <c r="G1688" s="1441"/>
      <c r="H1688" s="1442"/>
      <c r="I1688" s="1382" t="str">
        <f t="shared" ca="1" si="88"/>
        <v/>
      </c>
      <c r="J1688" s="1383"/>
      <c r="K1688" s="1684"/>
      <c r="L1688" s="1685"/>
      <c r="M1688" s="1691"/>
      <c r="N1688" s="1715"/>
      <c r="O1688" s="1687"/>
      <c r="P1688" s="1686"/>
      <c r="Q1688" s="3391"/>
      <c r="R1688" s="1296"/>
      <c r="S1688" s="16"/>
      <c r="T1688" s="16"/>
      <c r="U1688" s="16"/>
      <c r="V1688" s="16"/>
    </row>
    <row r="1689" spans="1:22">
      <c r="A1689" s="1042"/>
      <c r="B1689" s="1042"/>
      <c r="C1689" s="88"/>
      <c r="D1689" s="1411"/>
      <c r="E1689" s="2123"/>
      <c r="F1689" s="1669"/>
      <c r="G1689" s="1669"/>
      <c r="H1689" s="1670"/>
      <c r="I1689" s="197" t="str">
        <f t="shared" ca="1" si="88"/>
        <v/>
      </c>
      <c r="J1689" s="198"/>
      <c r="K1689" s="1307"/>
      <c r="L1689" s="1335"/>
      <c r="M1689" s="1499"/>
      <c r="N1689" s="1701"/>
      <c r="O1689" s="1290"/>
      <c r="P1689" s="1332"/>
      <c r="Q1689" s="3391"/>
      <c r="R1689" s="1296"/>
      <c r="S1689" s="16"/>
      <c r="T1689" s="16"/>
      <c r="U1689" s="16"/>
      <c r="V1689" s="16"/>
    </row>
    <row r="1690" spans="1:22">
      <c r="A1690" s="1042"/>
      <c r="B1690" s="1042"/>
      <c r="C1690" s="88"/>
      <c r="D1690" s="1411"/>
      <c r="E1690" s="2123"/>
      <c r="F1690" s="1375"/>
      <c r="G1690" s="1375"/>
      <c r="H1690" s="1376"/>
      <c r="I1690" s="197" t="str">
        <f t="shared" ca="1" si="88"/>
        <v/>
      </c>
      <c r="J1690" s="198"/>
      <c r="K1690" s="1307"/>
      <c r="L1690" s="1335"/>
      <c r="M1690" s="1499"/>
      <c r="N1690" s="1701"/>
      <c r="O1690" s="1290"/>
      <c r="P1690" s="1332"/>
      <c r="Q1690" s="3391"/>
      <c r="R1690" s="1296"/>
      <c r="S1690" s="16"/>
      <c r="T1690" s="16"/>
      <c r="U1690" s="16"/>
      <c r="V1690" s="16"/>
    </row>
    <row r="1691" spans="1:22">
      <c r="A1691" s="1042"/>
      <c r="B1691" s="223"/>
      <c r="C1691" s="581"/>
      <c r="D1691" s="1411"/>
      <c r="E1691" s="2123"/>
      <c r="F1691" s="1375"/>
      <c r="G1691" s="1375"/>
      <c r="H1691" s="1376"/>
      <c r="I1691" s="197" t="str">
        <f t="shared" ca="1" si="88"/>
        <v/>
      </c>
      <c r="J1691" s="198"/>
      <c r="K1691" s="1307"/>
      <c r="L1691" s="1335"/>
      <c r="M1691" s="1499"/>
      <c r="N1691" s="1701"/>
      <c r="O1691" s="1290"/>
      <c r="P1691" s="1332"/>
      <c r="Q1691" s="3391"/>
      <c r="R1691" s="1296"/>
      <c r="S1691" s="16"/>
      <c r="T1691" s="16"/>
      <c r="U1691" s="16"/>
      <c r="V1691" s="16"/>
    </row>
    <row r="1692" spans="1:22" ht="15" customHeight="1">
      <c r="A1692" s="16" t="s">
        <v>3764</v>
      </c>
      <c r="B1692" s="4325" t="s">
        <v>1660</v>
      </c>
      <c r="C1692" s="3350"/>
      <c r="D1692" s="4327"/>
      <c r="E1692" s="4329" t="s">
        <v>1507</v>
      </c>
      <c r="F1692" s="4336" t="s">
        <v>1689</v>
      </c>
      <c r="G1692" s="4331" t="s">
        <v>1568</v>
      </c>
      <c r="H1692" s="4331" t="s">
        <v>1574</v>
      </c>
      <c r="I1692" s="1572" t="s">
        <v>1559</v>
      </c>
      <c r="J1692" s="1294" t="s">
        <v>1560</v>
      </c>
      <c r="K1692" s="1294" t="s">
        <v>1561</v>
      </c>
      <c r="L1692" s="4333" t="s">
        <v>3765</v>
      </c>
      <c r="M1692" s="4335" t="s">
        <v>1571</v>
      </c>
      <c r="N1692" s="4323" t="s">
        <v>1776</v>
      </c>
      <c r="O1692" s="3347" t="s">
        <v>1563</v>
      </c>
      <c r="P1692" s="1336" t="s">
        <v>1562</v>
      </c>
      <c r="Q1692" s="3389"/>
      <c r="R1692" s="1699" t="s">
        <v>1327</v>
      </c>
      <c r="S1692" s="16"/>
      <c r="T1692" s="16"/>
      <c r="U1692" s="16"/>
      <c r="V1692" s="16"/>
    </row>
    <row r="1693" spans="1:22">
      <c r="A1693" s="16" t="s">
        <v>2818</v>
      </c>
      <c r="B1693" s="4326"/>
      <c r="C1693" s="3351"/>
      <c r="D1693" s="4328"/>
      <c r="E1693" s="4389"/>
      <c r="F1693" s="4336"/>
      <c r="G1693" s="4332"/>
      <c r="H1693" s="4332"/>
      <c r="I1693" s="1345">
        <v>172.8</v>
      </c>
      <c r="J1693" s="1307">
        <v>2E-3</v>
      </c>
      <c r="K1693" s="1307">
        <f>I1693*J1693</f>
        <v>0.34560000000000002</v>
      </c>
      <c r="L1693" s="4334"/>
      <c r="M1693" s="4335"/>
      <c r="N1693" s="4324"/>
      <c r="O1693" s="1298">
        <f>SUM(O1695:O1707)</f>
        <v>19.724450000000001</v>
      </c>
      <c r="P1693" s="1337">
        <f>O1693*K1693</f>
        <v>6.8167699200000005</v>
      </c>
      <c r="Q1693" s="3390"/>
      <c r="R1693" s="1721">
        <f>SUM(P1695:P1708)</f>
        <v>6.8151456000000001</v>
      </c>
      <c r="S1693" s="16"/>
      <c r="T1693" s="16"/>
      <c r="U1693" s="16"/>
      <c r="V1693" s="16"/>
    </row>
    <row r="1694" spans="1:22">
      <c r="A1694" s="1635"/>
      <c r="B1694" s="1327"/>
      <c r="C1694" s="1327"/>
      <c r="D1694" s="1400"/>
      <c r="E1694" s="2121"/>
      <c r="F1694" s="1368" t="s">
        <v>1</v>
      </c>
      <c r="G1694" s="1390"/>
      <c r="H1694" s="1390"/>
      <c r="I1694" s="1554"/>
      <c r="J1694" s="1367"/>
      <c r="K1694" s="1367"/>
      <c r="L1694" s="1554"/>
      <c r="M1694" s="1369"/>
      <c r="N1694" s="1369"/>
      <c r="O1694" s="1369"/>
      <c r="P1694" s="1367"/>
      <c r="Q1694" s="3387"/>
      <c r="R1694" s="1296"/>
      <c r="S1694" s="16"/>
      <c r="T1694" s="16"/>
      <c r="U1694" s="16"/>
      <c r="V1694" s="16"/>
    </row>
    <row r="1695" spans="1:22">
      <c r="A1695" s="1636"/>
      <c r="B1695" s="1320"/>
      <c r="C1695" s="1042"/>
      <c r="D1695" s="1598" t="s">
        <v>1145</v>
      </c>
      <c r="E1695" s="2154" t="s">
        <v>1577</v>
      </c>
      <c r="F1695" s="1598" t="s">
        <v>1690</v>
      </c>
      <c r="G1695" s="1372">
        <v>1E-3</v>
      </c>
      <c r="H1695" s="1372"/>
      <c r="I1695" s="198"/>
      <c r="J1695" s="6"/>
      <c r="K1695" s="1307">
        <f>G1695*$K$1693</f>
        <v>3.4560000000000005E-4</v>
      </c>
      <c r="L1695" s="1335">
        <f>K1695*$K$1547</f>
        <v>0</v>
      </c>
      <c r="M1695" s="1499">
        <v>246.4</v>
      </c>
      <c r="N1695" s="1701"/>
      <c r="O1695" s="1291">
        <f>ROUND(G1695*M1695,2)</f>
        <v>0.25</v>
      </c>
      <c r="P1695" s="1332">
        <f>M1695*K1695</f>
        <v>8.515584000000001E-2</v>
      </c>
      <c r="Q1695" s="3391"/>
      <c r="R1695" s="1296"/>
      <c r="S1695" s="16"/>
      <c r="T1695" s="16"/>
      <c r="U1695" s="16"/>
      <c r="V1695" s="16"/>
    </row>
    <row r="1696" spans="1:22">
      <c r="A1696" s="1637"/>
      <c r="B1696" s="1320"/>
      <c r="C1696" s="1042"/>
      <c r="D1696" s="1598" t="s">
        <v>1147</v>
      </c>
      <c r="E1696" s="2154" t="s">
        <v>1357</v>
      </c>
      <c r="F1696" s="1598" t="s">
        <v>1691</v>
      </c>
      <c r="G1696" s="1650">
        <v>1</v>
      </c>
      <c r="H1696" s="1650"/>
      <c r="I1696" s="197"/>
      <c r="J1696" s="198"/>
      <c r="K1696" s="1307">
        <f>G1696*$K$1693</f>
        <v>0.34560000000000002</v>
      </c>
      <c r="L1696" s="1335">
        <f>K1696*$K$1547</f>
        <v>0</v>
      </c>
      <c r="M1696" s="1499">
        <v>0.22</v>
      </c>
      <c r="N1696" s="1701"/>
      <c r="O1696" s="1291">
        <f>ROUND(G1696*M1696,2)</f>
        <v>0.22</v>
      </c>
      <c r="P1696" s="1332">
        <f>M1696*K1696</f>
        <v>7.6032000000000002E-2</v>
      </c>
      <c r="Q1696" s="3391"/>
      <c r="R1696" s="1296"/>
      <c r="S1696" s="16"/>
      <c r="T1696" s="16"/>
      <c r="U1696" s="16"/>
      <c r="V1696" s="16"/>
    </row>
    <row r="1697" spans="1:22">
      <c r="A1697" s="553"/>
      <c r="B1697" s="1320"/>
      <c r="C1697" s="1042"/>
      <c r="D1697" s="1598" t="s">
        <v>1692</v>
      </c>
      <c r="E1697" s="2154" t="s">
        <v>1504</v>
      </c>
      <c r="F1697" s="1598" t="s">
        <v>1693</v>
      </c>
      <c r="G1697" s="1651">
        <v>47.17</v>
      </c>
      <c r="H1697" s="1651"/>
      <c r="I1697" s="27"/>
      <c r="J1697" s="10"/>
      <c r="K1697" s="1307">
        <f>G1697*$K$1693</f>
        <v>16.301952</v>
      </c>
      <c r="L1697" s="1335">
        <f>K1697*$K$1547</f>
        <v>0</v>
      </c>
      <c r="M1697" s="1499">
        <v>0.17</v>
      </c>
      <c r="N1697" s="1701"/>
      <c r="O1697" s="1291">
        <f>ROUND(G1697*M1697,2)</f>
        <v>8.02</v>
      </c>
      <c r="P1697" s="1332">
        <f>M1697*K1697</f>
        <v>2.7713318400000002</v>
      </c>
      <c r="Q1697" s="3391"/>
      <c r="R1697" s="1296"/>
      <c r="S1697" s="16"/>
      <c r="T1697" s="16"/>
      <c r="U1697" s="16"/>
      <c r="V1697" s="16"/>
    </row>
    <row r="1698" spans="1:22">
      <c r="A1698" s="553"/>
      <c r="B1698" s="1320"/>
      <c r="C1698" s="1042"/>
      <c r="D1698" s="1598" t="s">
        <v>1097</v>
      </c>
      <c r="E1698" s="2154" t="s">
        <v>1504</v>
      </c>
      <c r="F1698" s="1598" t="s">
        <v>1632</v>
      </c>
      <c r="G1698" s="1651">
        <v>1</v>
      </c>
      <c r="H1698" s="1651"/>
      <c r="I1698" s="198"/>
      <c r="J1698" s="198"/>
      <c r="K1698" s="1307">
        <f>G1698*$K$1693</f>
        <v>0.34560000000000002</v>
      </c>
      <c r="L1698" s="1335">
        <f>K1698*$K$1547</f>
        <v>0</v>
      </c>
      <c r="M1698" s="1499">
        <v>0.55000000000000004</v>
      </c>
      <c r="N1698" s="1701"/>
      <c r="O1698" s="1291">
        <f>ROUND(G1698*M1698,2)</f>
        <v>0.55000000000000004</v>
      </c>
      <c r="P1698" s="1332">
        <f>M1698*K1698</f>
        <v>0.19008000000000003</v>
      </c>
      <c r="Q1698" s="3391"/>
      <c r="R1698" s="1296"/>
      <c r="S1698" s="16"/>
      <c r="T1698" s="16"/>
      <c r="U1698" s="16"/>
      <c r="V1698" s="16"/>
    </row>
    <row r="1699" spans="1:22">
      <c r="A1699" s="553"/>
      <c r="B1699" s="1320"/>
      <c r="C1699" s="1042"/>
      <c r="D1699" s="1400"/>
      <c r="E1699" s="1856"/>
      <c r="F1699" s="1397"/>
      <c r="G1699" s="1399"/>
      <c r="H1699" s="1399"/>
      <c r="I1699" s="1289"/>
      <c r="J1699" s="198"/>
      <c r="K1699" s="1307"/>
      <c r="L1699" s="1335"/>
      <c r="M1699" s="1499"/>
      <c r="N1699" s="1701"/>
      <c r="O1699" s="1290"/>
      <c r="P1699" s="1332"/>
      <c r="Q1699" s="3391"/>
      <c r="R1699" s="1296"/>
      <c r="S1699" s="16"/>
      <c r="T1699" s="16"/>
      <c r="U1699" s="16"/>
      <c r="V1699" s="16"/>
    </row>
    <row r="1700" spans="1:22">
      <c r="A1700" s="553"/>
      <c r="B1700" s="1320"/>
      <c r="C1700" s="1042"/>
      <c r="D1700" s="1400"/>
      <c r="E1700" s="1856"/>
      <c r="F1700" s="1397"/>
      <c r="G1700" s="1399"/>
      <c r="H1700" s="1399"/>
      <c r="I1700" s="1289"/>
      <c r="J1700" s="198"/>
      <c r="K1700" s="1307"/>
      <c r="L1700" s="1335"/>
      <c r="M1700" s="1499"/>
      <c r="N1700" s="1701"/>
      <c r="O1700" s="1290"/>
      <c r="P1700" s="1332"/>
      <c r="Q1700" s="3391"/>
      <c r="R1700" s="1296"/>
      <c r="S1700" s="16"/>
      <c r="T1700" s="16"/>
      <c r="U1700" s="16"/>
      <c r="V1700" s="16"/>
    </row>
    <row r="1701" spans="1:22">
      <c r="A1701" s="553"/>
      <c r="B1701" s="1320"/>
      <c r="C1701" s="1320"/>
      <c r="D1701" s="1410"/>
      <c r="E1701" s="1858"/>
      <c r="F1701" s="1360" t="s">
        <v>2</v>
      </c>
      <c r="G1701" s="1362"/>
      <c r="H1701" s="1362"/>
      <c r="I1701" s="1380"/>
      <c r="J1701" s="1381"/>
      <c r="K1701" s="1359"/>
      <c r="L1701" s="1458"/>
      <c r="M1701" s="1502"/>
      <c r="N1701" s="1502"/>
      <c r="O1701" s="1362"/>
      <c r="P1701" s="1359"/>
      <c r="Q1701" s="3387"/>
      <c r="R1701" s="1296"/>
      <c r="S1701" s="16"/>
      <c r="T1701" s="16"/>
      <c r="U1701" s="16"/>
      <c r="V1701" s="16"/>
    </row>
    <row r="1702" spans="1:22">
      <c r="A1702" s="553"/>
      <c r="B1702" s="1320"/>
      <c r="C1702" s="1042"/>
      <c r="D1702" s="1404" t="s">
        <v>1067</v>
      </c>
      <c r="E1702" s="1858" t="s">
        <v>1508</v>
      </c>
      <c r="F1702" s="1361" t="s">
        <v>1512</v>
      </c>
      <c r="G1702" s="1405">
        <v>0.19</v>
      </c>
      <c r="H1702" s="1405"/>
      <c r="I1702" s="198"/>
      <c r="J1702" s="6"/>
      <c r="K1702" s="1307">
        <f>G1702*$K$1693</f>
        <v>6.5664E-2</v>
      </c>
      <c r="L1702" s="1335">
        <f>K1702*$K$1547</f>
        <v>0</v>
      </c>
      <c r="M1702" s="1499">
        <v>18.28</v>
      </c>
      <c r="N1702" s="1701"/>
      <c r="O1702" s="1291">
        <f>G1702*M1702</f>
        <v>3.4732000000000003</v>
      </c>
      <c r="P1702" s="1332">
        <f>M1702*K1702</f>
        <v>1.2003379200000002</v>
      </c>
      <c r="Q1702" s="3391"/>
      <c r="R1702" s="1296"/>
      <c r="S1702" s="16"/>
      <c r="T1702" s="16"/>
      <c r="U1702" s="16"/>
      <c r="V1702" s="16"/>
    </row>
    <row r="1703" spans="1:22">
      <c r="A1703" s="553"/>
      <c r="B1703" s="1320"/>
      <c r="C1703" s="1042"/>
      <c r="D1703" s="1655" t="s">
        <v>1088</v>
      </c>
      <c r="E1703" s="1859" t="s">
        <v>1508</v>
      </c>
      <c r="F1703" s="1655" t="s">
        <v>1694</v>
      </c>
      <c r="G1703" s="1359">
        <v>0.375</v>
      </c>
      <c r="H1703" s="1359"/>
      <c r="I1703" s="198"/>
      <c r="J1703" s="6"/>
      <c r="K1703" s="1307">
        <f>G1703*$K$1693</f>
        <v>0.12959999999999999</v>
      </c>
      <c r="L1703" s="1335">
        <f>K1703*$K$1547</f>
        <v>0</v>
      </c>
      <c r="M1703" s="1499">
        <v>19.23</v>
      </c>
      <c r="N1703" s="1701"/>
      <c r="O1703" s="1291">
        <f>G1703*M1703</f>
        <v>7.2112499999999997</v>
      </c>
      <c r="P1703" s="1332">
        <f>M1703*K1703</f>
        <v>2.4922079999999998</v>
      </c>
      <c r="Q1703" s="3391"/>
      <c r="R1703" s="1296"/>
      <c r="S1703" s="16"/>
      <c r="T1703" s="16"/>
      <c r="U1703" s="16"/>
      <c r="V1703" s="16"/>
    </row>
    <row r="1704" spans="1:22">
      <c r="A1704" s="553"/>
      <c r="B1704" s="1320"/>
      <c r="C1704" s="1042"/>
      <c r="D1704" s="1402"/>
      <c r="E1704" s="1857"/>
      <c r="F1704" s="1403"/>
      <c r="G1704" s="1362"/>
      <c r="H1704" s="1359"/>
      <c r="I1704" s="198"/>
      <c r="J1704" s="6"/>
      <c r="K1704" s="1307"/>
      <c r="L1704" s="1335"/>
      <c r="M1704" s="1499"/>
      <c r="N1704" s="1701"/>
      <c r="O1704" s="1290"/>
      <c r="P1704" s="1332"/>
      <c r="Q1704" s="3391"/>
      <c r="R1704" s="1296"/>
      <c r="S1704" s="16"/>
      <c r="T1704" s="16"/>
      <c r="U1704" s="16"/>
      <c r="V1704" s="16"/>
    </row>
    <row r="1705" spans="1:22">
      <c r="A1705" s="553"/>
      <c r="B1705" s="1320"/>
      <c r="C1705" s="1042"/>
      <c r="D1705" s="1411"/>
      <c r="E1705" s="2123"/>
      <c r="F1705" s="1374" t="s">
        <v>3</v>
      </c>
      <c r="G1705" s="1374"/>
      <c r="H1705" s="1376"/>
      <c r="I1705" s="1382"/>
      <c r="J1705" s="1383"/>
      <c r="K1705" s="1373"/>
      <c r="L1705" s="1413"/>
      <c r="M1705" s="1505"/>
      <c r="N1705" s="1505"/>
      <c r="O1705" s="1376"/>
      <c r="P1705" s="1413"/>
      <c r="Q1705" s="3387"/>
      <c r="R1705" s="1296"/>
      <c r="S1705" s="16"/>
      <c r="T1705" s="16"/>
      <c r="U1705" s="16"/>
      <c r="V1705" s="16"/>
    </row>
    <row r="1706" spans="1:22">
      <c r="A1706" s="553"/>
      <c r="B1706" s="1320"/>
      <c r="C1706" s="1042"/>
      <c r="D1706" s="1411"/>
      <c r="E1706" s="2123"/>
      <c r="F1706" s="1375"/>
      <c r="G1706" s="1375"/>
      <c r="H1706" s="1376"/>
      <c r="I1706" s="197"/>
      <c r="J1706" s="198"/>
      <c r="K1706" s="1307"/>
      <c r="L1706" s="1335"/>
      <c r="M1706" s="1499"/>
      <c r="N1706" s="1701"/>
      <c r="O1706" s="1290"/>
      <c r="P1706" s="1332"/>
      <c r="Q1706" s="3391"/>
      <c r="R1706" s="1296"/>
      <c r="S1706" s="16"/>
      <c r="T1706" s="16"/>
      <c r="U1706" s="16"/>
      <c r="V1706" s="16"/>
    </row>
    <row r="1707" spans="1:22">
      <c r="A1707" s="553"/>
      <c r="B1707" s="1320"/>
      <c r="C1707" s="1042"/>
      <c r="D1707" s="1411"/>
      <c r="E1707" s="2123"/>
      <c r="F1707" s="1375"/>
      <c r="G1707" s="1375"/>
      <c r="H1707" s="1376"/>
      <c r="I1707" s="197"/>
      <c r="J1707" s="198"/>
      <c r="K1707" s="1307"/>
      <c r="L1707" s="1335"/>
      <c r="M1707" s="1499"/>
      <c r="N1707" s="1701"/>
      <c r="O1707" s="1290"/>
      <c r="P1707" s="1332"/>
      <c r="Q1707" s="3391"/>
      <c r="R1707" s="1296"/>
      <c r="S1707" s="16"/>
      <c r="T1707" s="16"/>
      <c r="U1707" s="16"/>
      <c r="V1707" s="16"/>
    </row>
    <row r="1708" spans="1:22">
      <c r="A1708" s="553"/>
      <c r="B1708" s="225"/>
      <c r="C1708" s="223"/>
      <c r="D1708" s="1411"/>
      <c r="E1708" s="2123"/>
      <c r="F1708" s="1375"/>
      <c r="G1708" s="1375"/>
      <c r="H1708" s="1376"/>
      <c r="I1708" s="197"/>
      <c r="J1708" s="198"/>
      <c r="K1708" s="1307"/>
      <c r="L1708" s="1335"/>
      <c r="M1708" s="1499"/>
      <c r="N1708" s="1701"/>
      <c r="O1708" s="1290"/>
      <c r="P1708" s="1332"/>
      <c r="Q1708" s="3391"/>
      <c r="R1708" s="1296"/>
      <c r="S1708" s="16"/>
      <c r="T1708" s="16"/>
      <c r="U1708" s="16"/>
      <c r="V1708" s="16"/>
    </row>
    <row r="1709" spans="1:22" ht="15" customHeight="1">
      <c r="A1709" s="16" t="s">
        <v>3764</v>
      </c>
      <c r="B1709" s="4325" t="s">
        <v>1712</v>
      </c>
      <c r="C1709" s="3350"/>
      <c r="D1709" s="4327"/>
      <c r="E1709" s="4329" t="s">
        <v>1507</v>
      </c>
      <c r="F1709" s="4336" t="s">
        <v>1714</v>
      </c>
      <c r="G1709" s="4331" t="s">
        <v>1568</v>
      </c>
      <c r="H1709" s="4331" t="s">
        <v>1574</v>
      </c>
      <c r="I1709" s="1572" t="s">
        <v>1559</v>
      </c>
      <c r="J1709" s="1294" t="s">
        <v>1560</v>
      </c>
      <c r="K1709" s="1294" t="s">
        <v>1561</v>
      </c>
      <c r="L1709" s="4333" t="s">
        <v>3765</v>
      </c>
      <c r="M1709" s="4335" t="s">
        <v>1571</v>
      </c>
      <c r="N1709" s="4323" t="s">
        <v>1776</v>
      </c>
      <c r="O1709" s="3347" t="s">
        <v>1563</v>
      </c>
      <c r="P1709" s="1336" t="s">
        <v>1562</v>
      </c>
      <c r="Q1709" s="3389"/>
      <c r="R1709" s="1699" t="s">
        <v>1327</v>
      </c>
      <c r="S1709" s="16"/>
      <c r="T1709" s="16"/>
      <c r="U1709" s="16"/>
      <c r="V1709" s="16"/>
    </row>
    <row r="1710" spans="1:22">
      <c r="A1710" s="16" t="s">
        <v>2818</v>
      </c>
      <c r="B1710" s="4326"/>
      <c r="C1710" s="3351"/>
      <c r="D1710" s="4328"/>
      <c r="E1710" s="4389"/>
      <c r="F1710" s="4336"/>
      <c r="G1710" s="4332"/>
      <c r="H1710" s="4332"/>
      <c r="I1710" s="1345">
        <v>1058.4000000000001</v>
      </c>
      <c r="J1710" s="1307">
        <v>2E-3</v>
      </c>
      <c r="K1710" s="1297">
        <f>I1710*J1710</f>
        <v>2.1168</v>
      </c>
      <c r="L1710" s="4334"/>
      <c r="M1710" s="4335"/>
      <c r="N1710" s="4324"/>
      <c r="O1710" s="1298">
        <f>SUM(O1712:O1723)</f>
        <v>7.8734500000000001</v>
      </c>
      <c r="P1710" s="1337">
        <f>O1710*K1710</f>
        <v>16.666518960000001</v>
      </c>
      <c r="Q1710" s="3390"/>
      <c r="R1710" s="1721">
        <f>SUM(P1712:P1723)</f>
        <v>16.666518959999998</v>
      </c>
      <c r="S1710" s="16"/>
      <c r="T1710" s="16"/>
      <c r="U1710" s="16"/>
      <c r="V1710" s="16"/>
    </row>
    <row r="1711" spans="1:22">
      <c r="A1711" s="16"/>
      <c r="B1711" s="1327"/>
      <c r="C1711" s="1327"/>
      <c r="D1711" s="1400"/>
      <c r="E1711" s="2121"/>
      <c r="F1711" s="1368" t="s">
        <v>1</v>
      </c>
      <c r="G1711" s="1390"/>
      <c r="H1711" s="1390"/>
      <c r="I1711" s="1554"/>
      <c r="J1711" s="1367"/>
      <c r="K1711" s="1367"/>
      <c r="L1711" s="1554"/>
      <c r="M1711" s="1369"/>
      <c r="N1711" s="1369"/>
      <c r="O1711" s="1369"/>
      <c r="P1711" s="1367"/>
      <c r="Q1711" s="3387"/>
      <c r="R1711" s="1296"/>
      <c r="S1711" s="16"/>
      <c r="T1711" s="16"/>
      <c r="U1711" s="16"/>
      <c r="V1711" s="16"/>
    </row>
    <row r="1712" spans="1:22">
      <c r="A1712" s="16"/>
      <c r="B1712" s="1320"/>
      <c r="C1712" s="1042"/>
      <c r="D1712" s="1587" t="s">
        <v>1152</v>
      </c>
      <c r="E1712" s="2138" t="s">
        <v>1517</v>
      </c>
      <c r="F1712" s="1587" t="s">
        <v>1696</v>
      </c>
      <c r="G1712" s="1372">
        <v>5.0000000000000001E-3</v>
      </c>
      <c r="H1712" s="1372"/>
      <c r="I1712" s="198"/>
      <c r="J1712" s="6"/>
      <c r="K1712" s="1307">
        <f>G1712*$K$1710</f>
        <v>1.0584E-2</v>
      </c>
      <c r="L1712" s="1335">
        <f>K1712*$K$1547</f>
        <v>0</v>
      </c>
      <c r="M1712" s="1499">
        <v>108.05</v>
      </c>
      <c r="N1712" s="1701"/>
      <c r="O1712" s="1290">
        <f>G1712*M1712</f>
        <v>0.54025000000000001</v>
      </c>
      <c r="P1712" s="1332">
        <f>M1712*K1712</f>
        <v>1.1436012</v>
      </c>
      <c r="Q1712" s="3391"/>
      <c r="R1712" s="1296"/>
      <c r="S1712" s="16"/>
      <c r="T1712" s="16"/>
      <c r="U1712" s="16"/>
      <c r="V1712" s="16"/>
    </row>
    <row r="1713" spans="1:22">
      <c r="A1713" s="16"/>
      <c r="B1713" s="1320"/>
      <c r="C1713" s="1042"/>
      <c r="D1713" s="1587" t="s">
        <v>1128</v>
      </c>
      <c r="E1713" s="2138" t="s">
        <v>1517</v>
      </c>
      <c r="F1713" s="1587" t="s">
        <v>1695</v>
      </c>
      <c r="G1713" s="1372">
        <v>1.4999999999999999E-2</v>
      </c>
      <c r="H1713" s="1372"/>
      <c r="I1713" s="197"/>
      <c r="J1713" s="198"/>
      <c r="K1713" s="1307">
        <f>G1713*$K$1710</f>
        <v>3.1752000000000002E-2</v>
      </c>
      <c r="L1713" s="1335">
        <f>K1713*$K$1547</f>
        <v>0</v>
      </c>
      <c r="M1713" s="1499">
        <v>104.28</v>
      </c>
      <c r="N1713" s="1701"/>
      <c r="O1713" s="1290">
        <f>G1713*M1713</f>
        <v>1.5642</v>
      </c>
      <c r="P1713" s="1332">
        <f>M1713*K1713</f>
        <v>3.3110985600000005</v>
      </c>
      <c r="Q1713" s="3391"/>
      <c r="R1713" s="1296"/>
      <c r="S1713" s="16"/>
      <c r="T1713" s="16"/>
      <c r="U1713" s="16"/>
      <c r="V1713" s="16"/>
    </row>
    <row r="1714" spans="1:22">
      <c r="A1714" s="16"/>
      <c r="B1714" s="1320"/>
      <c r="C1714" s="1042"/>
      <c r="D1714" s="1367"/>
      <c r="E1714" s="2121"/>
      <c r="F1714" s="1367"/>
      <c r="G1714" s="1399"/>
      <c r="H1714" s="1399"/>
      <c r="I1714" s="27"/>
      <c r="J1714" s="10"/>
      <c r="K1714" s="1307"/>
      <c r="L1714" s="1335"/>
      <c r="M1714" s="1499"/>
      <c r="N1714" s="1701"/>
      <c r="O1714" s="1290"/>
      <c r="P1714" s="1332"/>
      <c r="Q1714" s="3391"/>
      <c r="R1714" s="1296"/>
      <c r="S1714" s="16"/>
      <c r="T1714" s="16"/>
      <c r="U1714" s="16"/>
      <c r="V1714" s="16"/>
    </row>
    <row r="1715" spans="1:22">
      <c r="A1715" s="16"/>
      <c r="B1715" s="1320"/>
      <c r="C1715" s="1042"/>
      <c r="D1715" s="1400"/>
      <c r="E1715" s="1856"/>
      <c r="F1715" s="1397"/>
      <c r="G1715" s="1399"/>
      <c r="H1715" s="1399"/>
      <c r="I1715" s="1289"/>
      <c r="J1715" s="198"/>
      <c r="K1715" s="1307"/>
      <c r="L1715" s="1335"/>
      <c r="M1715" s="1499"/>
      <c r="N1715" s="1701"/>
      <c r="O1715" s="1290"/>
      <c r="P1715" s="1332"/>
      <c r="Q1715" s="3391"/>
      <c r="R1715" s="1296"/>
      <c r="S1715" s="16"/>
      <c r="T1715" s="16"/>
      <c r="U1715" s="16"/>
      <c r="V1715" s="16"/>
    </row>
    <row r="1716" spans="1:22">
      <c r="A1716" s="16"/>
      <c r="B1716" s="1320"/>
      <c r="C1716" s="1320"/>
      <c r="D1716" s="1410"/>
      <c r="E1716" s="1858"/>
      <c r="F1716" s="1360" t="s">
        <v>2</v>
      </c>
      <c r="G1716" s="1362"/>
      <c r="H1716" s="1362"/>
      <c r="I1716" s="1380"/>
      <c r="J1716" s="1381"/>
      <c r="K1716" s="1359"/>
      <c r="L1716" s="1458"/>
      <c r="M1716" s="1502"/>
      <c r="N1716" s="1502"/>
      <c r="O1716" s="1362"/>
      <c r="P1716" s="1359"/>
      <c r="Q1716" s="3387"/>
      <c r="R1716" s="1296"/>
      <c r="S1716" s="16"/>
      <c r="T1716" s="16"/>
      <c r="U1716" s="16"/>
      <c r="V1716" s="16"/>
    </row>
    <row r="1717" spans="1:22">
      <c r="A1717" s="16"/>
      <c r="B1717" s="1320"/>
      <c r="C1717" s="1042"/>
      <c r="D1717" s="1655" t="s">
        <v>1153</v>
      </c>
      <c r="E1717" s="1859" t="s">
        <v>1508</v>
      </c>
      <c r="F1717" s="1655" t="s">
        <v>1697</v>
      </c>
      <c r="G1717" s="1405">
        <v>0.3</v>
      </c>
      <c r="H1717" s="1405"/>
      <c r="I1717" s="198"/>
      <c r="J1717" s="6"/>
      <c r="K1717" s="1307">
        <f>G1717*$K$1710</f>
        <v>0.63503999999999994</v>
      </c>
      <c r="L1717" s="1335">
        <f>K1717*$K$1547</f>
        <v>0</v>
      </c>
      <c r="M1717" s="1499">
        <v>19.23</v>
      </c>
      <c r="N1717" s="1701"/>
      <c r="O1717" s="1290">
        <f>G1717*M1717</f>
        <v>5.7690000000000001</v>
      </c>
      <c r="P1717" s="1332">
        <f>M1717*K1717</f>
        <v>12.211819199999999</v>
      </c>
      <c r="Q1717" s="3391"/>
      <c r="R1717" s="1296"/>
      <c r="S1717" s="16"/>
      <c r="T1717" s="16"/>
      <c r="U1717" s="16"/>
      <c r="V1717" s="16"/>
    </row>
    <row r="1718" spans="1:22">
      <c r="A1718" s="16"/>
      <c r="B1718" s="1320"/>
      <c r="C1718" s="1042"/>
      <c r="D1718" s="1402"/>
      <c r="E1718" s="1857"/>
      <c r="F1718" s="1645"/>
      <c r="G1718" s="1362"/>
      <c r="H1718" s="1359"/>
      <c r="I1718" s="198"/>
      <c r="J1718" s="6"/>
      <c r="K1718" s="1306"/>
      <c r="L1718" s="1646"/>
      <c r="M1718" s="1499"/>
      <c r="N1718" s="1499"/>
      <c r="O1718" s="1291"/>
      <c r="P1718" s="1332"/>
      <c r="Q1718" s="3391"/>
      <c r="R1718" s="1296"/>
      <c r="S1718" s="16"/>
      <c r="T1718" s="16"/>
      <c r="U1718" s="16"/>
      <c r="V1718" s="16"/>
    </row>
    <row r="1719" spans="1:22">
      <c r="A1719" s="16"/>
      <c r="B1719" s="1320"/>
      <c r="C1719" s="1042"/>
      <c r="D1719" s="1402"/>
      <c r="E1719" s="1857"/>
      <c r="F1719" s="1403"/>
      <c r="G1719" s="1362"/>
      <c r="H1719" s="1359"/>
      <c r="I1719" s="198"/>
      <c r="J1719" s="6"/>
      <c r="K1719" s="1307"/>
      <c r="L1719" s="1335"/>
      <c r="M1719" s="1499"/>
      <c r="N1719" s="1701"/>
      <c r="O1719" s="1290"/>
      <c r="P1719" s="1332"/>
      <c r="Q1719" s="3391"/>
      <c r="R1719" s="1296"/>
      <c r="S1719" s="16"/>
      <c r="T1719" s="16"/>
      <c r="U1719" s="16"/>
      <c r="V1719" s="16"/>
    </row>
    <row r="1720" spans="1:22">
      <c r="A1720" s="16"/>
      <c r="B1720" s="1320"/>
      <c r="C1720" s="1042"/>
      <c r="D1720" s="1411"/>
      <c r="E1720" s="2123"/>
      <c r="F1720" s="1374" t="s">
        <v>3</v>
      </c>
      <c r="G1720" s="1374"/>
      <c r="H1720" s="1376"/>
      <c r="I1720" s="1382"/>
      <c r="J1720" s="1383"/>
      <c r="K1720" s="1373"/>
      <c r="L1720" s="1413"/>
      <c r="M1720" s="1505"/>
      <c r="N1720" s="1505"/>
      <c r="O1720" s="1376"/>
      <c r="P1720" s="1413"/>
      <c r="Q1720" s="3387"/>
      <c r="R1720" s="1296"/>
      <c r="S1720" s="16"/>
      <c r="T1720" s="16"/>
      <c r="U1720" s="16"/>
      <c r="V1720" s="16"/>
    </row>
    <row r="1721" spans="1:22">
      <c r="A1721" s="16"/>
      <c r="B1721" s="1320"/>
      <c r="C1721" s="1042"/>
      <c r="D1721" s="1412"/>
      <c r="E1721" s="2124"/>
      <c r="F1721" s="1378"/>
      <c r="G1721" s="1378"/>
      <c r="H1721" s="1379"/>
      <c r="I1721" s="198"/>
      <c r="J1721" s="6"/>
      <c r="K1721" s="1307"/>
      <c r="L1721" s="1335"/>
      <c r="M1721" s="1499"/>
      <c r="N1721" s="1701"/>
      <c r="O1721" s="1290"/>
      <c r="P1721" s="1332"/>
      <c r="Q1721" s="3391"/>
      <c r="R1721" s="1296"/>
      <c r="S1721" s="16"/>
      <c r="T1721" s="16"/>
      <c r="U1721" s="16"/>
      <c r="V1721" s="16"/>
    </row>
    <row r="1722" spans="1:22">
      <c r="A1722" s="16"/>
      <c r="B1722" s="1320"/>
      <c r="C1722" s="1042"/>
      <c r="D1722" s="1412"/>
      <c r="E1722" s="2124"/>
      <c r="F1722" s="1378"/>
      <c r="G1722" s="1378"/>
      <c r="H1722" s="1379"/>
      <c r="I1722" s="198"/>
      <c r="J1722" s="6"/>
      <c r="K1722" s="1307"/>
      <c r="L1722" s="1335"/>
      <c r="M1722" s="1499"/>
      <c r="N1722" s="1701"/>
      <c r="O1722" s="1290"/>
      <c r="P1722" s="1332"/>
      <c r="Q1722" s="3391"/>
      <c r="R1722" s="1296"/>
      <c r="S1722" s="16"/>
      <c r="T1722" s="16"/>
      <c r="U1722" s="16"/>
      <c r="V1722" s="16"/>
    </row>
    <row r="1723" spans="1:22">
      <c r="A1723" s="16"/>
      <c r="B1723" s="225"/>
      <c r="C1723" s="223"/>
      <c r="D1723" s="1412"/>
      <c r="E1723" s="2124"/>
      <c r="F1723" s="1378"/>
      <c r="G1723" s="1378"/>
      <c r="H1723" s="1379"/>
      <c r="I1723" s="198"/>
      <c r="J1723" s="6"/>
      <c r="K1723" s="1307"/>
      <c r="L1723" s="1335"/>
      <c r="M1723" s="1499"/>
      <c r="N1723" s="1701"/>
      <c r="O1723" s="1290"/>
      <c r="P1723" s="1332"/>
      <c r="Q1723" s="3391"/>
      <c r="R1723" s="1296"/>
      <c r="S1723" s="16"/>
      <c r="T1723" s="16"/>
      <c r="U1723" s="16"/>
      <c r="V1723" s="16"/>
    </row>
    <row r="1724" spans="1:22" ht="15" customHeight="1">
      <c r="A1724" s="16" t="s">
        <v>3764</v>
      </c>
      <c r="B1724" s="4325" t="s">
        <v>1746</v>
      </c>
      <c r="C1724" s="3350"/>
      <c r="D1724" s="4327"/>
      <c r="E1724" s="4329" t="s">
        <v>1527</v>
      </c>
      <c r="F1724" s="4336" t="s">
        <v>1756</v>
      </c>
      <c r="G1724" s="4331" t="s">
        <v>1568</v>
      </c>
      <c r="H1724" s="4331" t="s">
        <v>1574</v>
      </c>
      <c r="I1724" s="1572" t="s">
        <v>1559</v>
      </c>
      <c r="J1724" s="1294" t="s">
        <v>1560</v>
      </c>
      <c r="K1724" s="1294" t="s">
        <v>1561</v>
      </c>
      <c r="L1724" s="4333" t="s">
        <v>3765</v>
      </c>
      <c r="M1724" s="4335" t="s">
        <v>1571</v>
      </c>
      <c r="N1724" s="4323" t="s">
        <v>1776</v>
      </c>
      <c r="O1724" s="3347" t="s">
        <v>1563</v>
      </c>
      <c r="P1724" s="1336" t="s">
        <v>1562</v>
      </c>
      <c r="Q1724" s="3389"/>
      <c r="R1724" s="1699" t="s">
        <v>1327</v>
      </c>
      <c r="S1724" s="16"/>
      <c r="T1724" s="16"/>
      <c r="U1724" s="16"/>
      <c r="V1724" s="16"/>
    </row>
    <row r="1725" spans="1:22">
      <c r="A1725" s="16" t="s">
        <v>2818</v>
      </c>
      <c r="B1725" s="4326"/>
      <c r="C1725" s="3351"/>
      <c r="D1725" s="4328"/>
      <c r="E1725" s="4389"/>
      <c r="F1725" s="4336"/>
      <c r="G1725" s="4332"/>
      <c r="H1725" s="4332"/>
      <c r="I1725" s="1345">
        <v>392</v>
      </c>
      <c r="J1725" s="1307">
        <v>2E-3</v>
      </c>
      <c r="K1725" s="1297">
        <f>I1725*J1725</f>
        <v>0.78400000000000003</v>
      </c>
      <c r="L1725" s="4334"/>
      <c r="M1725" s="4335"/>
      <c r="N1725" s="4324"/>
      <c r="O1725" s="1298">
        <f>O1727+O1728+O1733+O1740+O1741</f>
        <v>3.3504364099999999</v>
      </c>
      <c r="P1725" s="1337">
        <f>O1725*K1725</f>
        <v>2.6267421454400002</v>
      </c>
      <c r="Q1725" s="3390"/>
      <c r="R1725" s="1721">
        <f>P1727+P1728+P1733+P1740+P1741</f>
        <v>2.6267421454399997</v>
      </c>
      <c r="S1725" s="16"/>
      <c r="T1725" s="16"/>
      <c r="U1725" s="16"/>
      <c r="V1725" s="16"/>
    </row>
    <row r="1726" spans="1:22">
      <c r="A1726" s="16"/>
      <c r="B1726" s="1327"/>
      <c r="C1726" s="1327"/>
      <c r="D1726" s="1400"/>
      <c r="E1726" s="2121"/>
      <c r="F1726" s="1368" t="s">
        <v>1</v>
      </c>
      <c r="G1726" s="1417"/>
      <c r="H1726" s="1390"/>
      <c r="I1726" s="1554"/>
      <c r="J1726" s="1367"/>
      <c r="K1726" s="1367"/>
      <c r="L1726" s="1554"/>
      <c r="M1726" s="1369"/>
      <c r="N1726" s="1369"/>
      <c r="O1726" s="1369"/>
      <c r="P1726" s="1367"/>
      <c r="Q1726" s="3387"/>
      <c r="R1726" s="1296"/>
      <c r="S1726" s="16"/>
      <c r="T1726" s="16"/>
      <c r="U1726" s="16"/>
      <c r="V1726" s="16"/>
    </row>
    <row r="1727" spans="1:22">
      <c r="A1727" s="16"/>
      <c r="B1727" s="1320"/>
      <c r="C1727" s="1042"/>
      <c r="D1727" s="1598" t="s">
        <v>1757</v>
      </c>
      <c r="E1727" s="2154" t="s">
        <v>1504</v>
      </c>
      <c r="F1727" s="1598" t="s">
        <v>1758</v>
      </c>
      <c r="G1727" s="1372">
        <v>5.3</v>
      </c>
      <c r="H1727" s="1372"/>
      <c r="I1727" s="1284" t="s">
        <v>1551</v>
      </c>
      <c r="J1727" s="6"/>
      <c r="K1727" s="1307">
        <f>G1727*$K$1725</f>
        <v>4.1551999999999998</v>
      </c>
      <c r="L1727" s="1335">
        <f>K1727*$K$1547</f>
        <v>0</v>
      </c>
      <c r="M1727" s="1499">
        <v>0.11</v>
      </c>
      <c r="N1727" s="1701"/>
      <c r="O1727" s="1290">
        <f>G1727*M1727</f>
        <v>0.58299999999999996</v>
      </c>
      <c r="P1727" s="1332">
        <f>M1727*K1727</f>
        <v>0.45707199999999998</v>
      </c>
      <c r="Q1727" s="3391"/>
      <c r="R1727" s="1296"/>
      <c r="S1727" s="16"/>
      <c r="T1727" s="16"/>
      <c r="U1727" s="16"/>
      <c r="V1727" s="16"/>
    </row>
    <row r="1728" spans="1:22">
      <c r="A1728" s="16"/>
      <c r="B1728" s="1320"/>
      <c r="C1728" s="1692" t="s">
        <v>1127</v>
      </c>
      <c r="D1728" s="1461"/>
      <c r="E1728" s="2165" t="s">
        <v>1517</v>
      </c>
      <c r="F1728" s="1647" t="s">
        <v>1519</v>
      </c>
      <c r="G1728" s="1830"/>
      <c r="H1728" s="1830">
        <v>2E-3</v>
      </c>
      <c r="I1728" s="1457"/>
      <c r="J1728" s="1338"/>
      <c r="K1728" s="1510"/>
      <c r="L1728" s="1445"/>
      <c r="M1728" s="1447"/>
      <c r="N1728" s="1447">
        <f>SUM(N1729:N1732)</f>
        <v>50.044430000000006</v>
      </c>
      <c r="O1728" s="1447">
        <f>SUM(O1729:O1732)</f>
        <v>0.10008886000000002</v>
      </c>
      <c r="P1728" s="1446">
        <f>SUM(P1729:P1732)</f>
        <v>7.8469666240000027E-2</v>
      </c>
      <c r="Q1728" s="3391"/>
      <c r="R1728" s="1296"/>
      <c r="S1728" s="16"/>
      <c r="T1728" s="16"/>
      <c r="U1728" s="16"/>
      <c r="V1728" s="16"/>
    </row>
    <row r="1729" spans="1:22">
      <c r="A1729" s="16"/>
      <c r="B1729" s="1320"/>
      <c r="C1729" s="1653"/>
      <c r="D1729" s="1367" t="s">
        <v>1069</v>
      </c>
      <c r="E1729" s="1856" t="s">
        <v>1517</v>
      </c>
      <c r="F1729" s="1397" t="s">
        <v>1578</v>
      </c>
      <c r="G1729" s="1416">
        <v>0.26300000000000001</v>
      </c>
      <c r="H1729" s="1399">
        <f>$H$1728*G1729</f>
        <v>5.2599999999999999E-4</v>
      </c>
      <c r="I1729" s="197"/>
      <c r="J1729" s="198"/>
      <c r="K1729" s="1307">
        <f>H1729*$K$1725</f>
        <v>4.1238400000000001E-4</v>
      </c>
      <c r="L1729" s="1335">
        <f>K1729*$K$1547</f>
        <v>0</v>
      </c>
      <c r="M1729" s="1717">
        <v>0.55000000000000004</v>
      </c>
      <c r="N1729" s="1718">
        <f>G1729*M1729</f>
        <v>0.14465000000000003</v>
      </c>
      <c r="O1729" s="1719">
        <f>H1729*M1729</f>
        <v>2.8930000000000004E-4</v>
      </c>
      <c r="P1729" s="1720">
        <f>M1729*K1729</f>
        <v>2.2681120000000004E-4</v>
      </c>
      <c r="Q1729" s="3396"/>
      <c r="R1729" s="1296"/>
      <c r="S1729" s="16"/>
      <c r="T1729" s="16"/>
      <c r="U1729" s="16"/>
      <c r="V1729" s="16"/>
    </row>
    <row r="1730" spans="1:22">
      <c r="A1730" s="16"/>
      <c r="B1730" s="1320"/>
      <c r="C1730" s="1653"/>
      <c r="D1730" s="1367" t="s">
        <v>1394</v>
      </c>
      <c r="E1730" s="1856" t="s">
        <v>1577</v>
      </c>
      <c r="F1730" s="1397" t="s">
        <v>1579</v>
      </c>
      <c r="G1730" s="1416">
        <v>0.25800000000000001</v>
      </c>
      <c r="H1730" s="1399">
        <f>$H$1728*G1730</f>
        <v>5.1600000000000007E-4</v>
      </c>
      <c r="I1730" s="197"/>
      <c r="J1730" s="198"/>
      <c r="K1730" s="1307">
        <f>H1730*$K$1725</f>
        <v>4.0454400000000006E-4</v>
      </c>
      <c r="L1730" s="1335">
        <f>K1730*$K$1547</f>
        <v>0</v>
      </c>
      <c r="M1730" s="1717">
        <v>92.54</v>
      </c>
      <c r="N1730" s="1718">
        <f>G1730*M1730</f>
        <v>23.875320000000002</v>
      </c>
      <c r="O1730" s="1719">
        <f>H1730*M1730</f>
        <v>4.7750640000000011E-2</v>
      </c>
      <c r="P1730" s="1720">
        <f>M1730*K1730</f>
        <v>3.7436501760000011E-2</v>
      </c>
      <c r="Q1730" s="3396"/>
      <c r="R1730" s="1296"/>
      <c r="S1730" s="16"/>
      <c r="T1730" s="16"/>
      <c r="U1730" s="16"/>
      <c r="V1730" s="16"/>
    </row>
    <row r="1731" spans="1:22">
      <c r="A1731" s="16"/>
      <c r="B1731" s="1320"/>
      <c r="C1731" s="553"/>
      <c r="D1731" s="1367" t="s">
        <v>1576</v>
      </c>
      <c r="E1731" s="1856" t="s">
        <v>1517</v>
      </c>
      <c r="F1731" s="1397" t="s">
        <v>1580</v>
      </c>
      <c r="G1731" s="1416">
        <v>1.1020000000000001</v>
      </c>
      <c r="H1731" s="1399">
        <f>$H$1728*G1731</f>
        <v>2.2040000000000002E-3</v>
      </c>
      <c r="I1731" s="197"/>
      <c r="J1731" s="198"/>
      <c r="K1731" s="1307">
        <f>H1731*$K$1725</f>
        <v>1.7279360000000002E-3</v>
      </c>
      <c r="L1731" s="1335">
        <f>K1731*$K$1547</f>
        <v>0</v>
      </c>
      <c r="M1731" s="1717">
        <v>6.53</v>
      </c>
      <c r="N1731" s="1718">
        <f>G1731*M1731</f>
        <v>7.196060000000001</v>
      </c>
      <c r="O1731" s="1719">
        <f>H1731*M1731</f>
        <v>1.4392120000000001E-2</v>
      </c>
      <c r="P1731" s="1720">
        <f>M1731*K1731</f>
        <v>1.1283422080000003E-2</v>
      </c>
      <c r="Q1731" s="3396"/>
      <c r="R1731" s="1296"/>
      <c r="S1731" s="16"/>
      <c r="T1731" s="16"/>
      <c r="U1731" s="16"/>
      <c r="V1731" s="16"/>
    </row>
    <row r="1732" spans="1:22">
      <c r="A1732" s="16"/>
      <c r="B1732" s="1320"/>
      <c r="C1732" s="553"/>
      <c r="D1732" s="1359" t="s">
        <v>1067</v>
      </c>
      <c r="E1732" s="1857" t="s">
        <v>1508</v>
      </c>
      <c r="F1732" s="1406" t="s">
        <v>1512</v>
      </c>
      <c r="G1732" s="1407">
        <v>1.03</v>
      </c>
      <c r="H1732" s="1829">
        <f>$H$1728*G1732</f>
        <v>2.0600000000000002E-3</v>
      </c>
      <c r="I1732" s="197"/>
      <c r="J1732" s="198"/>
      <c r="K1732" s="1307">
        <f>H1732*$K$1725</f>
        <v>1.6150400000000003E-3</v>
      </c>
      <c r="L1732" s="1335">
        <f>K1732*$K$1547</f>
        <v>0</v>
      </c>
      <c r="M1732" s="1717">
        <v>18.28</v>
      </c>
      <c r="N1732" s="1718">
        <f>G1732*M1732</f>
        <v>18.828400000000002</v>
      </c>
      <c r="O1732" s="1719">
        <f>H1732*M1732</f>
        <v>3.7656800000000004E-2</v>
      </c>
      <c r="P1732" s="1720">
        <f>M1732*K1732</f>
        <v>2.9522931200000008E-2</v>
      </c>
      <c r="Q1732" s="3396"/>
      <c r="R1732" s="1296"/>
      <c r="S1732" s="16"/>
      <c r="T1732" s="16"/>
      <c r="U1732" s="16"/>
      <c r="V1732" s="16"/>
    </row>
    <row r="1733" spans="1:22">
      <c r="A1733" s="16"/>
      <c r="B1733" s="1320"/>
      <c r="C1733" s="1658" t="s">
        <v>1155</v>
      </c>
      <c r="D1733" s="1311"/>
      <c r="E1733" s="1855" t="s">
        <v>1517</v>
      </c>
      <c r="F1733" s="1647" t="s">
        <v>1544</v>
      </c>
      <c r="G1733" s="1830" t="s">
        <v>1551</v>
      </c>
      <c r="H1733" s="1830">
        <v>1E-3</v>
      </c>
      <c r="I1733" s="1444"/>
      <c r="J1733" s="1388"/>
      <c r="K1733" s="1510"/>
      <c r="L1733" s="1445"/>
      <c r="M1733" s="1447"/>
      <c r="N1733" s="1447">
        <f>SUM(N1734:N1737)</f>
        <v>114.04755</v>
      </c>
      <c r="O1733" s="1447">
        <f>SUM(O1734:O1737)</f>
        <v>0.11404755000000003</v>
      </c>
      <c r="P1733" s="1446">
        <f>SUM(P1734:P1737)</f>
        <v>8.9413279200000015E-2</v>
      </c>
      <c r="Q1733" s="3391"/>
      <c r="R1733" s="1296"/>
      <c r="S1733" s="16"/>
      <c r="T1733" s="16"/>
      <c r="U1733" s="16"/>
      <c r="V1733" s="16"/>
    </row>
    <row r="1734" spans="1:22">
      <c r="A1734" s="16"/>
      <c r="B1734" s="1320"/>
      <c r="C1734" s="1042"/>
      <c r="D1734" s="1451" t="s">
        <v>1069</v>
      </c>
      <c r="E1734" s="1856" t="s">
        <v>1517</v>
      </c>
      <c r="F1734" s="1421" t="s">
        <v>1578</v>
      </c>
      <c r="G1734" s="1452">
        <v>0.89100000000000001</v>
      </c>
      <c r="H1734" s="1453">
        <f>$H$1733*G1734</f>
        <v>8.9100000000000008E-4</v>
      </c>
      <c r="I1734" s="1286"/>
      <c r="J1734" s="198"/>
      <c r="K1734" s="1307">
        <f>H1734*$K$1725</f>
        <v>6.9854400000000005E-4</v>
      </c>
      <c r="L1734" s="1335">
        <f>K1734*$K$1547</f>
        <v>0</v>
      </c>
      <c r="M1734" s="1717">
        <v>0.55000000000000004</v>
      </c>
      <c r="N1734" s="1718">
        <f>G1734*M1734</f>
        <v>0.49005000000000004</v>
      </c>
      <c r="O1734" s="1719">
        <f>H1734*M1734</f>
        <v>4.9005000000000012E-4</v>
      </c>
      <c r="P1734" s="1720">
        <f>M1734*K1734</f>
        <v>3.8419920000000007E-4</v>
      </c>
      <c r="Q1734" s="3396"/>
      <c r="R1734" s="1296"/>
      <c r="S1734" s="16"/>
      <c r="T1734" s="16"/>
      <c r="U1734" s="16"/>
      <c r="V1734" s="16"/>
    </row>
    <row r="1735" spans="1:22">
      <c r="A1735" s="16"/>
      <c r="B1735" s="1320"/>
      <c r="C1735" s="1042"/>
      <c r="D1735" s="1367" t="s">
        <v>1394</v>
      </c>
      <c r="E1735" s="1856" t="s">
        <v>1577</v>
      </c>
      <c r="F1735" s="1421" t="s">
        <v>1579</v>
      </c>
      <c r="G1735" s="1452">
        <v>0.51500000000000001</v>
      </c>
      <c r="H1735" s="1453">
        <f>$H$1733*G1735</f>
        <v>5.1500000000000005E-4</v>
      </c>
      <c r="I1735" s="1286"/>
      <c r="J1735" s="198"/>
      <c r="K1735" s="1307">
        <f>H1735*$K$1725</f>
        <v>4.0376000000000008E-4</v>
      </c>
      <c r="L1735" s="1335">
        <f>K1735*$K$1547</f>
        <v>0</v>
      </c>
      <c r="M1735" s="1717">
        <v>92.54</v>
      </c>
      <c r="N1735" s="1718">
        <f>G1735*M1735</f>
        <v>47.658100000000005</v>
      </c>
      <c r="O1735" s="1719">
        <f>H1735*M1735</f>
        <v>4.7658100000000009E-2</v>
      </c>
      <c r="P1735" s="1720">
        <f>M1735*K1735</f>
        <v>3.7363950400000012E-2</v>
      </c>
      <c r="Q1735" s="3396"/>
      <c r="R1735" s="1296"/>
      <c r="S1735" s="16"/>
      <c r="T1735" s="16"/>
      <c r="U1735" s="16"/>
      <c r="V1735" s="16"/>
    </row>
    <row r="1736" spans="1:22">
      <c r="A1736" s="16"/>
      <c r="B1736" s="1320"/>
      <c r="C1736" s="1042"/>
      <c r="D1736" s="1359" t="s">
        <v>1067</v>
      </c>
      <c r="E1736" s="1857" t="s">
        <v>1508</v>
      </c>
      <c r="F1736" s="1430" t="s">
        <v>1512</v>
      </c>
      <c r="G1736" s="1431">
        <v>3.605</v>
      </c>
      <c r="H1736" s="1454">
        <f>$H$1733*G1736</f>
        <v>3.6050000000000001E-3</v>
      </c>
      <c r="I1736" s="1286"/>
      <c r="J1736" s="198"/>
      <c r="K1736" s="1307">
        <f>H1736*$K$1725</f>
        <v>2.8263200000000002E-3</v>
      </c>
      <c r="L1736" s="1335">
        <f>K1736*$K$1547</f>
        <v>0</v>
      </c>
      <c r="M1736" s="1717">
        <v>18.28</v>
      </c>
      <c r="N1736" s="1718">
        <f>G1736*M1736</f>
        <v>65.8994</v>
      </c>
      <c r="O1736" s="1719">
        <f>H1736*M1736</f>
        <v>6.5899400000000011E-2</v>
      </c>
      <c r="P1736" s="1720">
        <f>M1736*K1736</f>
        <v>5.1665129600000005E-2</v>
      </c>
      <c r="Q1736" s="3396"/>
      <c r="R1736" s="1296"/>
      <c r="S1736" s="16"/>
      <c r="T1736" s="16"/>
      <c r="U1736" s="16"/>
      <c r="V1736" s="16"/>
    </row>
    <row r="1737" spans="1:22">
      <c r="A1737" s="16"/>
      <c r="B1737" s="1320"/>
      <c r="C1737" s="1042"/>
      <c r="D1737" s="1396"/>
      <c r="E1737" s="1856"/>
      <c r="F1737" s="1397"/>
      <c r="G1737" s="1416"/>
      <c r="H1737" s="1399"/>
      <c r="I1737" s="1289"/>
      <c r="J1737" s="198"/>
      <c r="K1737" s="1307"/>
      <c r="L1737" s="1335"/>
      <c r="M1737" s="1499"/>
      <c r="N1737" s="1700"/>
      <c r="O1737" s="1290"/>
      <c r="P1737" s="1332"/>
      <c r="Q1737" s="3391"/>
      <c r="R1737" s="1296"/>
      <c r="S1737" s="16"/>
      <c r="T1737" s="16"/>
      <c r="U1737" s="16"/>
      <c r="V1737" s="16"/>
    </row>
    <row r="1738" spans="1:22">
      <c r="A1738" s="16"/>
      <c r="B1738" s="1320"/>
      <c r="C1738" s="1042"/>
      <c r="D1738" s="1400"/>
      <c r="E1738" s="1856"/>
      <c r="F1738" s="1397"/>
      <c r="G1738" s="1416"/>
      <c r="H1738" s="1399"/>
      <c r="I1738" s="1289"/>
      <c r="J1738" s="198"/>
      <c r="K1738" s="1307"/>
      <c r="L1738" s="1335"/>
      <c r="M1738" s="1499"/>
      <c r="N1738" s="1701"/>
      <c r="O1738" s="1290"/>
      <c r="P1738" s="1332"/>
      <c r="Q1738" s="3391"/>
      <c r="R1738" s="1296"/>
      <c r="S1738" s="16"/>
      <c r="T1738" s="16"/>
      <c r="U1738" s="16"/>
      <c r="V1738" s="16"/>
    </row>
    <row r="1739" spans="1:22">
      <c r="A1739" s="16"/>
      <c r="B1739" s="1320"/>
      <c r="C1739" s="1320"/>
      <c r="D1739" s="1410"/>
      <c r="E1739" s="1858"/>
      <c r="F1739" s="1360" t="s">
        <v>2</v>
      </c>
      <c r="G1739" s="1360"/>
      <c r="H1739" s="1362"/>
      <c r="I1739" s="1380"/>
      <c r="J1739" s="1381"/>
      <c r="K1739" s="1359"/>
      <c r="L1739" s="1458"/>
      <c r="M1739" s="1502"/>
      <c r="N1739" s="1502"/>
      <c r="O1739" s="1362"/>
      <c r="P1739" s="1359"/>
      <c r="Q1739" s="3387"/>
      <c r="R1739" s="1296"/>
      <c r="S1739" s="16"/>
      <c r="T1739" s="16"/>
      <c r="U1739" s="16"/>
      <c r="V1739" s="16"/>
    </row>
    <row r="1740" spans="1:22">
      <c r="A1740" s="16"/>
      <c r="B1740" s="1320"/>
      <c r="C1740" s="1042"/>
      <c r="D1740" s="1404" t="s">
        <v>1067</v>
      </c>
      <c r="E1740" s="1858" t="s">
        <v>1508</v>
      </c>
      <c r="F1740" s="1361" t="s">
        <v>1512</v>
      </c>
      <c r="G1740" s="1405">
        <v>4.4999999999999998E-2</v>
      </c>
      <c r="H1740" s="1405"/>
      <c r="I1740" s="198"/>
      <c r="J1740" s="6"/>
      <c r="K1740" s="1307">
        <f>G1740*$K$1725</f>
        <v>3.5279999999999999E-2</v>
      </c>
      <c r="L1740" s="1335">
        <f>K1740*$K$1547</f>
        <v>0</v>
      </c>
      <c r="M1740" s="1499">
        <v>18.28</v>
      </c>
      <c r="N1740" s="1701"/>
      <c r="O1740" s="1290">
        <f>G1740*M1740</f>
        <v>0.8226</v>
      </c>
      <c r="P1740" s="1332">
        <f>M1740*K1740</f>
        <v>0.6449184</v>
      </c>
      <c r="Q1740" s="3391"/>
      <c r="R1740" s="1296"/>
      <c r="S1740" s="16"/>
      <c r="T1740" s="16"/>
      <c r="U1740" s="16"/>
      <c r="V1740" s="16"/>
    </row>
    <row r="1741" spans="1:22">
      <c r="A1741" s="16"/>
      <c r="B1741" s="1320"/>
      <c r="C1741" s="1042"/>
      <c r="D1741" s="1655" t="s">
        <v>1134</v>
      </c>
      <c r="E1741" s="1859" t="s">
        <v>1508</v>
      </c>
      <c r="F1741" s="1655" t="s">
        <v>1547</v>
      </c>
      <c r="G1741" s="1359">
        <v>0.09</v>
      </c>
      <c r="H1741" s="1359"/>
      <c r="I1741" s="198"/>
      <c r="J1741" s="6"/>
      <c r="K1741" s="1307">
        <f>G1741*$K$1725</f>
        <v>7.0559999999999998E-2</v>
      </c>
      <c r="L1741" s="1335">
        <f>K1741*$K$1547</f>
        <v>0</v>
      </c>
      <c r="M1741" s="1499">
        <v>19.23</v>
      </c>
      <c r="N1741" s="1701"/>
      <c r="O1741" s="1290">
        <f>G1741*M1741</f>
        <v>1.7306999999999999</v>
      </c>
      <c r="P1741" s="1332">
        <f>M1741*K1741</f>
        <v>1.3568688</v>
      </c>
      <c r="Q1741" s="3391"/>
      <c r="R1741" s="1296"/>
      <c r="S1741" s="16"/>
      <c r="T1741" s="16"/>
      <c r="U1741" s="16"/>
      <c r="V1741" s="16"/>
    </row>
    <row r="1742" spans="1:22">
      <c r="A1742" s="16"/>
      <c r="B1742" s="1320"/>
      <c r="C1742" s="1042"/>
      <c r="D1742" s="1402"/>
      <c r="E1742" s="1857"/>
      <c r="F1742" s="1403"/>
      <c r="G1742" s="1362"/>
      <c r="H1742" s="1359"/>
      <c r="I1742" s="198"/>
      <c r="J1742" s="6"/>
      <c r="K1742" s="1307"/>
      <c r="L1742" s="1335"/>
      <c r="M1742" s="1499"/>
      <c r="N1742" s="1701"/>
      <c r="O1742" s="1290"/>
      <c r="P1742" s="1332"/>
      <c r="Q1742" s="3391"/>
      <c r="R1742" s="1296"/>
      <c r="S1742" s="16"/>
      <c r="T1742" s="16"/>
      <c r="U1742" s="16"/>
      <c r="V1742" s="16"/>
    </row>
    <row r="1743" spans="1:22">
      <c r="A1743" s="16"/>
      <c r="B1743" s="1320"/>
      <c r="C1743" s="1042"/>
      <c r="D1743" s="1411"/>
      <c r="E1743" s="2123"/>
      <c r="F1743" s="1374" t="s">
        <v>3</v>
      </c>
      <c r="G1743" s="1374"/>
      <c r="H1743" s="1376"/>
      <c r="I1743" s="1382"/>
      <c r="J1743" s="1383"/>
      <c r="K1743" s="1373"/>
      <c r="L1743" s="1413"/>
      <c r="M1743" s="1505"/>
      <c r="N1743" s="1505"/>
      <c r="O1743" s="1376"/>
      <c r="P1743" s="1413"/>
      <c r="Q1743" s="3387"/>
      <c r="R1743" s="1296"/>
      <c r="S1743" s="16"/>
      <c r="T1743" s="16"/>
      <c r="U1743" s="16"/>
      <c r="V1743" s="16"/>
    </row>
    <row r="1744" spans="1:22">
      <c r="A1744" s="16"/>
      <c r="B1744" s="1320"/>
      <c r="C1744" s="1042"/>
      <c r="D1744" s="1412"/>
      <c r="E1744" s="2124"/>
      <c r="F1744" s="1378"/>
      <c r="G1744" s="1378"/>
      <c r="H1744" s="1379"/>
      <c r="I1744" s="198"/>
      <c r="J1744" s="6"/>
      <c r="K1744" s="1307"/>
      <c r="L1744" s="1335"/>
      <c r="M1744" s="1499"/>
      <c r="N1744" s="1701"/>
      <c r="O1744" s="1290"/>
      <c r="P1744" s="1332"/>
      <c r="Q1744" s="3391"/>
      <c r="R1744" s="1296"/>
      <c r="S1744" s="16"/>
      <c r="T1744" s="16"/>
      <c r="U1744" s="16"/>
      <c r="V1744" s="16"/>
    </row>
    <row r="1745" spans="1:22">
      <c r="A1745" s="16"/>
      <c r="B1745" s="1320"/>
      <c r="C1745" s="1042"/>
      <c r="D1745" s="1411"/>
      <c r="E1745" s="2123"/>
      <c r="F1745" s="1375"/>
      <c r="G1745" s="1375"/>
      <c r="H1745" s="1670"/>
      <c r="I1745" s="197"/>
      <c r="J1745" s="198"/>
      <c r="K1745" s="1307"/>
      <c r="L1745" s="1335"/>
      <c r="M1745" s="1499"/>
      <c r="N1745" s="1701"/>
      <c r="O1745" s="1290"/>
      <c r="P1745" s="1332"/>
      <c r="Q1745" s="3391"/>
      <c r="R1745" s="1296"/>
      <c r="S1745" s="16"/>
      <c r="T1745" s="16"/>
      <c r="U1745" s="16"/>
      <c r="V1745" s="16"/>
    </row>
    <row r="1746" spans="1:22">
      <c r="A1746" s="16"/>
      <c r="B1746" s="225"/>
      <c r="C1746" s="223"/>
      <c r="D1746" s="1411"/>
      <c r="E1746" s="2123"/>
      <c r="F1746" s="1375"/>
      <c r="G1746" s="1375"/>
      <c r="H1746" s="1376"/>
      <c r="I1746" s="197"/>
      <c r="J1746" s="198"/>
      <c r="K1746" s="1307"/>
      <c r="L1746" s="1335"/>
      <c r="M1746" s="1499"/>
      <c r="N1746" s="1701"/>
      <c r="O1746" s="1290"/>
      <c r="P1746" s="1332"/>
      <c r="Q1746" s="3391"/>
      <c r="R1746" s="1296"/>
      <c r="S1746" s="16"/>
      <c r="T1746" s="16"/>
      <c r="U1746" s="16"/>
      <c r="V1746" s="16"/>
    </row>
    <row r="1747" spans="1:22" ht="15" customHeight="1">
      <c r="A1747" s="16" t="s">
        <v>3764</v>
      </c>
      <c r="B1747" s="4325" t="s">
        <v>1747</v>
      </c>
      <c r="C1747" s="3350"/>
      <c r="D1747" s="4327"/>
      <c r="E1747" s="4329" t="s">
        <v>1504</v>
      </c>
      <c r="F1747" s="4336" t="s">
        <v>1759</v>
      </c>
      <c r="G1747" s="4331" t="s">
        <v>1568</v>
      </c>
      <c r="H1747" s="4331" t="s">
        <v>1574</v>
      </c>
      <c r="I1747" s="1572" t="s">
        <v>1559</v>
      </c>
      <c r="J1747" s="1294" t="s">
        <v>1560</v>
      </c>
      <c r="K1747" s="1294" t="s">
        <v>1561</v>
      </c>
      <c r="L1747" s="4333" t="s">
        <v>3765</v>
      </c>
      <c r="M1747" s="4335" t="s">
        <v>1571</v>
      </c>
      <c r="N1747" s="4323" t="s">
        <v>1776</v>
      </c>
      <c r="O1747" s="3347" t="s">
        <v>1563</v>
      </c>
      <c r="P1747" s="1336" t="s">
        <v>1562</v>
      </c>
      <c r="Q1747" s="3389"/>
      <c r="R1747" s="1699" t="s">
        <v>1327</v>
      </c>
      <c r="S1747" s="16"/>
      <c r="T1747" s="16"/>
      <c r="U1747" s="16"/>
      <c r="V1747" s="16"/>
    </row>
    <row r="1748" spans="1:22">
      <c r="A1748" s="16" t="s">
        <v>2818</v>
      </c>
      <c r="B1748" s="4326"/>
      <c r="C1748" s="3351"/>
      <c r="D1748" s="4328"/>
      <c r="E1748" s="4389"/>
      <c r="F1748" s="4336"/>
      <c r="G1748" s="4332"/>
      <c r="H1748" s="4332"/>
      <c r="I1748" s="1345">
        <v>201.6</v>
      </c>
      <c r="J1748" s="1307">
        <v>2E-3</v>
      </c>
      <c r="K1748" s="1297">
        <f>I1748*J1748</f>
        <v>0.4032</v>
      </c>
      <c r="L1748" s="4334"/>
      <c r="M1748" s="4335"/>
      <c r="N1748" s="4324"/>
      <c r="O1748" s="1298">
        <f>SUM(O1750:O1767)</f>
        <v>98.886690000000002</v>
      </c>
      <c r="P1748" s="1337">
        <f>O1748*K1748</f>
        <v>39.871113407999999</v>
      </c>
      <c r="Q1748" s="3390"/>
      <c r="R1748" s="1721">
        <f>SUM(P1750:P1768)</f>
        <v>39.871113407999999</v>
      </c>
      <c r="S1748" s="16"/>
      <c r="T1748" s="16"/>
      <c r="U1748" s="16"/>
      <c r="V1748" s="16"/>
    </row>
    <row r="1749" spans="1:22">
      <c r="A1749" s="16"/>
      <c r="B1749" s="1327"/>
      <c r="C1749" s="1327"/>
      <c r="D1749" s="1400"/>
      <c r="E1749" s="2121"/>
      <c r="F1749" s="1368" t="s">
        <v>1</v>
      </c>
      <c r="G1749" s="1417"/>
      <c r="H1749" s="1390"/>
      <c r="I1749" s="1554"/>
      <c r="J1749" s="1367"/>
      <c r="K1749" s="1367"/>
      <c r="L1749" s="1554"/>
      <c r="M1749" s="1369"/>
      <c r="N1749" s="1369"/>
      <c r="O1749" s="1369"/>
      <c r="P1749" s="1367"/>
      <c r="Q1749" s="3387"/>
      <c r="R1749" s="1296"/>
      <c r="S1749" s="16"/>
      <c r="T1749" s="16"/>
      <c r="U1749" s="16"/>
      <c r="V1749" s="16"/>
    </row>
    <row r="1750" spans="1:22">
      <c r="A1750" s="16"/>
      <c r="B1750" s="1320"/>
      <c r="C1750" s="1042"/>
      <c r="D1750" s="1668" t="s">
        <v>1185</v>
      </c>
      <c r="E1750" s="2166" t="s">
        <v>1504</v>
      </c>
      <c r="F1750" s="1668" t="s">
        <v>1760</v>
      </c>
      <c r="G1750" s="1372">
        <v>0.56000000000000005</v>
      </c>
      <c r="H1750" s="1372"/>
      <c r="I1750" s="198"/>
      <c r="J1750" s="6"/>
      <c r="K1750" s="1307">
        <f t="shared" ref="K1750:K1759" si="89">G1750*$K$1748</f>
        <v>0.22579200000000002</v>
      </c>
      <c r="L1750" s="1335">
        <f t="shared" ref="L1750:L1759" si="90">K1750*$K$1547</f>
        <v>0</v>
      </c>
      <c r="M1750" s="1499">
        <v>2.75</v>
      </c>
      <c r="N1750" s="1701"/>
      <c r="O1750" s="1290">
        <f t="shared" ref="O1750:O1759" si="91">G1750*M1750</f>
        <v>1.54</v>
      </c>
      <c r="P1750" s="1332">
        <f t="shared" ref="P1750:P1759" si="92">M1750*K1750</f>
        <v>0.62092800000000004</v>
      </c>
      <c r="Q1750" s="3391"/>
      <c r="R1750" s="1296"/>
      <c r="S1750" s="16"/>
      <c r="T1750" s="16"/>
      <c r="U1750" s="16"/>
      <c r="V1750" s="16"/>
    </row>
    <row r="1751" spans="1:22">
      <c r="A1751" s="16"/>
      <c r="B1751" s="1320"/>
      <c r="C1751" s="1042"/>
      <c r="D1751" s="1668" t="s">
        <v>1184</v>
      </c>
      <c r="E1751" s="2166" t="s">
        <v>1504</v>
      </c>
      <c r="F1751" s="1668" t="s">
        <v>1761</v>
      </c>
      <c r="G1751" s="1372">
        <v>1.7</v>
      </c>
      <c r="H1751" s="1372"/>
      <c r="I1751" s="197"/>
      <c r="J1751" s="198"/>
      <c r="K1751" s="1307">
        <f t="shared" si="89"/>
        <v>0.68543999999999994</v>
      </c>
      <c r="L1751" s="1335">
        <f t="shared" si="90"/>
        <v>0</v>
      </c>
      <c r="M1751" s="1499">
        <v>2.52</v>
      </c>
      <c r="N1751" s="1701"/>
      <c r="O1751" s="1290">
        <f t="shared" si="91"/>
        <v>4.2839999999999998</v>
      </c>
      <c r="P1751" s="1332">
        <f t="shared" si="92"/>
        <v>1.7273087999999999</v>
      </c>
      <c r="Q1751" s="3391"/>
      <c r="R1751" s="1296"/>
      <c r="S1751" s="16"/>
      <c r="T1751" s="16"/>
      <c r="U1751" s="16"/>
      <c r="V1751" s="16"/>
    </row>
    <row r="1752" spans="1:22">
      <c r="A1752" s="16"/>
      <c r="B1752" s="1320"/>
      <c r="C1752" s="1042"/>
      <c r="D1752" s="1668" t="s">
        <v>1183</v>
      </c>
      <c r="E1752" s="2166" t="s">
        <v>1504</v>
      </c>
      <c r="F1752" s="1668" t="s">
        <v>1762</v>
      </c>
      <c r="G1752" s="1399">
        <v>0.56000000000000005</v>
      </c>
      <c r="H1752" s="1399"/>
      <c r="I1752" s="27"/>
      <c r="J1752" s="10"/>
      <c r="K1752" s="1307">
        <f t="shared" si="89"/>
        <v>0.22579200000000002</v>
      </c>
      <c r="L1752" s="1335">
        <f t="shared" si="90"/>
        <v>0</v>
      </c>
      <c r="M1752" s="1499">
        <v>7.66</v>
      </c>
      <c r="N1752" s="1701"/>
      <c r="O1752" s="1290">
        <f t="shared" si="91"/>
        <v>4.2896000000000001</v>
      </c>
      <c r="P1752" s="1332">
        <f t="shared" si="92"/>
        <v>1.7295667200000002</v>
      </c>
      <c r="Q1752" s="3391"/>
      <c r="R1752" s="1296"/>
      <c r="S1752" s="16"/>
      <c r="T1752" s="16"/>
      <c r="U1752" s="16"/>
      <c r="V1752" s="16"/>
    </row>
    <row r="1753" spans="1:22">
      <c r="A1753" s="16"/>
      <c r="B1753" s="1320"/>
      <c r="C1753" s="1042"/>
      <c r="D1753" s="1668" t="s">
        <v>1182</v>
      </c>
      <c r="E1753" s="2166" t="s">
        <v>1527</v>
      </c>
      <c r="F1753" s="1668" t="s">
        <v>1763</v>
      </c>
      <c r="G1753" s="1399">
        <v>5.7</v>
      </c>
      <c r="H1753" s="1399"/>
      <c r="I1753" s="198"/>
      <c r="J1753" s="198"/>
      <c r="K1753" s="1307">
        <f t="shared" si="89"/>
        <v>2.2982400000000003</v>
      </c>
      <c r="L1753" s="1335">
        <f t="shared" si="90"/>
        <v>0</v>
      </c>
      <c r="M1753" s="1499">
        <v>1.36</v>
      </c>
      <c r="N1753" s="1701"/>
      <c r="O1753" s="1290">
        <f t="shared" si="91"/>
        <v>7.7520000000000007</v>
      </c>
      <c r="P1753" s="1332">
        <f t="shared" si="92"/>
        <v>3.1256064000000006</v>
      </c>
      <c r="Q1753" s="3391"/>
      <c r="R1753" s="1296"/>
      <c r="S1753" s="16"/>
      <c r="T1753" s="16"/>
      <c r="U1753" s="16"/>
      <c r="V1753" s="16"/>
    </row>
    <row r="1754" spans="1:22">
      <c r="A1754" s="16"/>
      <c r="B1754" s="1320"/>
      <c r="C1754" s="1042"/>
      <c r="D1754" s="1668" t="s">
        <v>1181</v>
      </c>
      <c r="E1754" s="2166" t="s">
        <v>1517</v>
      </c>
      <c r="F1754" s="1668" t="s">
        <v>1764</v>
      </c>
      <c r="G1754" s="1399">
        <v>1E-3</v>
      </c>
      <c r="H1754" s="1399"/>
      <c r="I1754" s="198"/>
      <c r="J1754" s="198"/>
      <c r="K1754" s="1307">
        <f t="shared" si="89"/>
        <v>4.0319999999999999E-4</v>
      </c>
      <c r="L1754" s="1335">
        <f t="shared" si="90"/>
        <v>0</v>
      </c>
      <c r="M1754" s="1697">
        <v>761.79</v>
      </c>
      <c r="N1754" s="1716"/>
      <c r="O1754" s="1290">
        <f t="shared" si="91"/>
        <v>0.76178999999999997</v>
      </c>
      <c r="P1754" s="1332">
        <f t="shared" si="92"/>
        <v>0.30715372799999996</v>
      </c>
      <c r="Q1754" s="3391"/>
      <c r="R1754" s="1296"/>
      <c r="S1754" s="16"/>
      <c r="T1754" s="16"/>
      <c r="U1754" s="16"/>
      <c r="V1754" s="16"/>
    </row>
    <row r="1755" spans="1:22">
      <c r="A1755" s="16"/>
      <c r="B1755" s="1320"/>
      <c r="C1755" s="1042"/>
      <c r="D1755" s="1668" t="s">
        <v>1180</v>
      </c>
      <c r="E1755" s="2166" t="s">
        <v>1527</v>
      </c>
      <c r="F1755" s="1668" t="s">
        <v>1765</v>
      </c>
      <c r="G1755" s="1399">
        <v>2.85</v>
      </c>
      <c r="H1755" s="1399"/>
      <c r="I1755" s="198"/>
      <c r="J1755" s="198"/>
      <c r="K1755" s="1307">
        <f t="shared" si="89"/>
        <v>1.1491200000000001</v>
      </c>
      <c r="L1755" s="1335">
        <f t="shared" si="90"/>
        <v>0</v>
      </c>
      <c r="M1755" s="1499">
        <v>2.91</v>
      </c>
      <c r="N1755" s="1701"/>
      <c r="O1755" s="1290">
        <f t="shared" si="91"/>
        <v>8.2934999999999999</v>
      </c>
      <c r="P1755" s="1332">
        <f t="shared" si="92"/>
        <v>3.3439392000000008</v>
      </c>
      <c r="Q1755" s="3391"/>
      <c r="R1755" s="1296"/>
      <c r="S1755" s="16"/>
      <c r="T1755" s="16"/>
      <c r="U1755" s="16"/>
      <c r="V1755" s="16"/>
    </row>
    <row r="1756" spans="1:22">
      <c r="A1756" s="16"/>
      <c r="B1756" s="1320"/>
      <c r="C1756" s="1042"/>
      <c r="D1756" s="1668" t="s">
        <v>1179</v>
      </c>
      <c r="E1756" s="2166" t="s">
        <v>1504</v>
      </c>
      <c r="F1756" s="1668" t="s">
        <v>1766</v>
      </c>
      <c r="G1756" s="1399">
        <v>0.56000000000000005</v>
      </c>
      <c r="H1756" s="1399"/>
      <c r="I1756" s="197"/>
      <c r="J1756" s="198"/>
      <c r="K1756" s="1307">
        <f t="shared" si="89"/>
        <v>0.22579200000000002</v>
      </c>
      <c r="L1756" s="1335">
        <f t="shared" si="90"/>
        <v>0</v>
      </c>
      <c r="M1756" s="1499">
        <v>21.73</v>
      </c>
      <c r="N1756" s="1701"/>
      <c r="O1756" s="1290">
        <f t="shared" si="91"/>
        <v>12.168800000000001</v>
      </c>
      <c r="P1756" s="1332">
        <f t="shared" si="92"/>
        <v>4.9064601600000008</v>
      </c>
      <c r="Q1756" s="3391"/>
      <c r="R1756" s="1296"/>
      <c r="S1756" s="16"/>
      <c r="T1756" s="16"/>
      <c r="U1756" s="16"/>
      <c r="V1756" s="16"/>
    </row>
    <row r="1757" spans="1:22">
      <c r="A1757" s="16"/>
      <c r="B1757" s="1320"/>
      <c r="C1757" s="1042"/>
      <c r="D1757" s="1668" t="s">
        <v>1178</v>
      </c>
      <c r="E1757" s="2166" t="s">
        <v>1527</v>
      </c>
      <c r="F1757" s="1668" t="s">
        <v>1767</v>
      </c>
      <c r="G1757" s="1399">
        <v>2.8</v>
      </c>
      <c r="H1757" s="1399"/>
      <c r="I1757" s="1289"/>
      <c r="J1757" s="198"/>
      <c r="K1757" s="1307">
        <f t="shared" si="89"/>
        <v>1.12896</v>
      </c>
      <c r="L1757" s="1335">
        <f t="shared" si="90"/>
        <v>0</v>
      </c>
      <c r="M1757" s="1499">
        <v>6.63</v>
      </c>
      <c r="N1757" s="1701"/>
      <c r="O1757" s="1290">
        <f t="shared" si="91"/>
        <v>18.564</v>
      </c>
      <c r="P1757" s="1332">
        <f t="shared" si="92"/>
        <v>7.4850047999999996</v>
      </c>
      <c r="Q1757" s="3391"/>
      <c r="R1757" s="1296"/>
      <c r="S1757" s="16"/>
      <c r="T1757" s="16"/>
      <c r="U1757" s="16"/>
      <c r="V1757" s="16"/>
    </row>
    <row r="1758" spans="1:22">
      <c r="A1758" s="16"/>
      <c r="B1758" s="1320"/>
      <c r="C1758" s="1042"/>
      <c r="D1758" s="1668" t="s">
        <v>1082</v>
      </c>
      <c r="E1758" s="2166" t="s">
        <v>1504</v>
      </c>
      <c r="F1758" s="1668" t="s">
        <v>1541</v>
      </c>
      <c r="G1758" s="1399">
        <v>1</v>
      </c>
      <c r="H1758" s="1399"/>
      <c r="I1758" s="1289"/>
      <c r="J1758" s="198"/>
      <c r="K1758" s="1307">
        <f t="shared" si="89"/>
        <v>0.4032</v>
      </c>
      <c r="L1758" s="1335">
        <f t="shared" si="90"/>
        <v>0</v>
      </c>
      <c r="M1758" s="1499">
        <v>0.3</v>
      </c>
      <c r="N1758" s="1701"/>
      <c r="O1758" s="1290">
        <f t="shared" si="91"/>
        <v>0.3</v>
      </c>
      <c r="P1758" s="1332">
        <f t="shared" si="92"/>
        <v>0.12096</v>
      </c>
      <c r="Q1758" s="3391"/>
      <c r="R1758" s="1296"/>
      <c r="S1758" s="16"/>
      <c r="T1758" s="16"/>
      <c r="U1758" s="16"/>
      <c r="V1758" s="16"/>
    </row>
    <row r="1759" spans="1:22">
      <c r="A1759" s="16"/>
      <c r="B1759" s="1320"/>
      <c r="C1759" s="1042"/>
      <c r="D1759" s="2254" t="s">
        <v>1097</v>
      </c>
      <c r="E1759" s="2255" t="s">
        <v>1504</v>
      </c>
      <c r="F1759" s="1668" t="s">
        <v>1632</v>
      </c>
      <c r="G1759" s="1399">
        <v>1</v>
      </c>
      <c r="H1759" s="1399"/>
      <c r="I1759" s="1289"/>
      <c r="J1759" s="198"/>
      <c r="K1759" s="1307">
        <f t="shared" si="89"/>
        <v>0.4032</v>
      </c>
      <c r="L1759" s="1335">
        <f t="shared" si="90"/>
        <v>0</v>
      </c>
      <c r="M1759" s="1499">
        <v>0.55000000000000004</v>
      </c>
      <c r="N1759" s="1701"/>
      <c r="O1759" s="1290">
        <f t="shared" si="91"/>
        <v>0.55000000000000004</v>
      </c>
      <c r="P1759" s="1332">
        <f t="shared" si="92"/>
        <v>0.22176000000000001</v>
      </c>
      <c r="Q1759" s="3391"/>
      <c r="R1759" s="1296"/>
      <c r="S1759" s="16"/>
      <c r="T1759" s="16"/>
      <c r="U1759" s="16"/>
      <c r="V1759" s="16"/>
    </row>
    <row r="1760" spans="1:22">
      <c r="A1760" s="16"/>
      <c r="B1760" s="1320"/>
      <c r="C1760" s="1042"/>
      <c r="D1760" s="1761"/>
      <c r="E1760" s="2170"/>
      <c r="F1760" s="2253"/>
      <c r="G1760" s="1399"/>
      <c r="H1760" s="1399"/>
      <c r="I1760" s="1289"/>
      <c r="J1760" s="198"/>
      <c r="K1760" s="1307"/>
      <c r="L1760" s="1335"/>
      <c r="M1760" s="1499"/>
      <c r="N1760" s="1701"/>
      <c r="O1760" s="1290"/>
      <c r="P1760" s="1332"/>
      <c r="Q1760" s="3391"/>
      <c r="R1760" s="1296"/>
      <c r="S1760" s="16"/>
      <c r="T1760" s="16"/>
      <c r="U1760" s="16"/>
      <c r="V1760" s="16"/>
    </row>
    <row r="1761" spans="1:22">
      <c r="A1761" s="16"/>
      <c r="B1761" s="1320"/>
      <c r="C1761" s="1320"/>
      <c r="D1761" s="1410"/>
      <c r="E1761" s="1858"/>
      <c r="F1761" s="1360" t="s">
        <v>2</v>
      </c>
      <c r="G1761" s="1362"/>
      <c r="H1761" s="1362"/>
      <c r="I1761" s="1380"/>
      <c r="J1761" s="1381"/>
      <c r="K1761" s="1359"/>
      <c r="L1761" s="1458"/>
      <c r="M1761" s="1502"/>
      <c r="N1761" s="1502"/>
      <c r="O1761" s="1362"/>
      <c r="P1761" s="1362"/>
      <c r="Q1761" s="3399"/>
      <c r="R1761" s="1296"/>
      <c r="S1761" s="16"/>
      <c r="T1761" s="16"/>
      <c r="U1761" s="16"/>
      <c r="V1761" s="16"/>
    </row>
    <row r="1762" spans="1:22">
      <c r="A1762" s="16"/>
      <c r="B1762" s="1320"/>
      <c r="C1762" s="1042"/>
      <c r="D1762" s="1624" t="s">
        <v>1173</v>
      </c>
      <c r="E1762" s="2158" t="s">
        <v>1508</v>
      </c>
      <c r="F1762" s="1624" t="s">
        <v>1768</v>
      </c>
      <c r="G1762" s="1405">
        <v>2.1</v>
      </c>
      <c r="H1762" s="1405"/>
      <c r="I1762" s="198"/>
      <c r="J1762" s="6"/>
      <c r="K1762" s="1307">
        <f>G1762*$K$1748</f>
        <v>0.84672000000000003</v>
      </c>
      <c r="L1762" s="1335">
        <f>K1762*$K$1547</f>
        <v>0</v>
      </c>
      <c r="M1762" s="1499">
        <v>19.23</v>
      </c>
      <c r="N1762" s="1701"/>
      <c r="O1762" s="1290">
        <f>G1762*M1762</f>
        <v>40.383000000000003</v>
      </c>
      <c r="P1762" s="1332">
        <f>M1762*K1762</f>
        <v>16.2824256</v>
      </c>
      <c r="Q1762" s="3391"/>
      <c r="R1762" s="1296"/>
      <c r="S1762" s="16"/>
      <c r="T1762" s="16"/>
      <c r="U1762" s="16"/>
      <c r="V1762" s="16"/>
    </row>
    <row r="1763" spans="1:22">
      <c r="A1763" s="16"/>
      <c r="B1763" s="1320"/>
      <c r="C1763" s="1042"/>
      <c r="D1763" s="1402"/>
      <c r="E1763" s="1857"/>
      <c r="F1763" s="1645"/>
      <c r="G1763" s="1362"/>
      <c r="H1763" s="1359"/>
      <c r="I1763" s="198"/>
      <c r="J1763" s="6"/>
      <c r="K1763" s="1306"/>
      <c r="L1763" s="1646"/>
      <c r="M1763" s="1499"/>
      <c r="N1763" s="1499"/>
      <c r="O1763" s="1291"/>
      <c r="P1763" s="1332"/>
      <c r="Q1763" s="3391"/>
      <c r="R1763" s="1296"/>
      <c r="S1763" s="16"/>
      <c r="T1763" s="16"/>
      <c r="U1763" s="16"/>
      <c r="V1763" s="16"/>
    </row>
    <row r="1764" spans="1:22">
      <c r="A1764" s="16"/>
      <c r="B1764" s="1320"/>
      <c r="C1764" s="1042"/>
      <c r="D1764" s="1402"/>
      <c r="E1764" s="1857"/>
      <c r="F1764" s="1403"/>
      <c r="G1764" s="1362"/>
      <c r="H1764" s="1359"/>
      <c r="I1764" s="198"/>
      <c r="J1764" s="6"/>
      <c r="K1764" s="1307"/>
      <c r="L1764" s="1335"/>
      <c r="M1764" s="1499"/>
      <c r="N1764" s="1701"/>
      <c r="O1764" s="1290"/>
      <c r="P1764" s="1332"/>
      <c r="Q1764" s="3391"/>
      <c r="R1764" s="1296"/>
      <c r="S1764" s="16"/>
      <c r="T1764" s="16"/>
      <c r="U1764" s="16"/>
      <c r="V1764" s="16"/>
    </row>
    <row r="1765" spans="1:22">
      <c r="A1765" s="16"/>
      <c r="B1765" s="1320"/>
      <c r="C1765" s="1042"/>
      <c r="D1765" s="1411"/>
      <c r="E1765" s="2123"/>
      <c r="F1765" s="1374" t="s">
        <v>3</v>
      </c>
      <c r="G1765" s="1374"/>
      <c r="H1765" s="1376"/>
      <c r="I1765" s="1382"/>
      <c r="J1765" s="1383"/>
      <c r="K1765" s="1373"/>
      <c r="L1765" s="1413"/>
      <c r="M1765" s="1505"/>
      <c r="N1765" s="1505"/>
      <c r="O1765" s="1376"/>
      <c r="P1765" s="1413"/>
      <c r="Q1765" s="3387"/>
      <c r="R1765" s="1296"/>
      <c r="S1765" s="16"/>
      <c r="T1765" s="16"/>
      <c r="U1765" s="16"/>
      <c r="V1765" s="16"/>
    </row>
    <row r="1766" spans="1:22">
      <c r="A1766" s="16"/>
      <c r="B1766" s="1320"/>
      <c r="C1766" s="1042"/>
      <c r="D1766" s="1412"/>
      <c r="E1766" s="2124"/>
      <c r="F1766" s="1378"/>
      <c r="G1766" s="1378"/>
      <c r="H1766" s="1379"/>
      <c r="I1766" s="198"/>
      <c r="J1766" s="6"/>
      <c r="K1766" s="1307"/>
      <c r="L1766" s="1335"/>
      <c r="M1766" s="1499"/>
      <c r="N1766" s="1701"/>
      <c r="O1766" s="1290"/>
      <c r="P1766" s="1332"/>
      <c r="Q1766" s="3391"/>
      <c r="R1766" s="1296"/>
      <c r="S1766" s="16"/>
      <c r="T1766" s="16"/>
      <c r="U1766" s="16"/>
      <c r="V1766" s="16"/>
    </row>
    <row r="1767" spans="1:22">
      <c r="A1767" s="16"/>
      <c r="B1767" s="1320"/>
      <c r="C1767" s="1042"/>
      <c r="D1767" s="1412"/>
      <c r="E1767" s="2124"/>
      <c r="F1767" s="1378"/>
      <c r="G1767" s="1378"/>
      <c r="H1767" s="1379"/>
      <c r="I1767" s="198"/>
      <c r="J1767" s="6"/>
      <c r="K1767" s="1307"/>
      <c r="L1767" s="1335"/>
      <c r="M1767" s="1499"/>
      <c r="N1767" s="1701"/>
      <c r="O1767" s="1290"/>
      <c r="P1767" s="1332"/>
      <c r="Q1767" s="3391"/>
      <c r="R1767" s="1296"/>
      <c r="S1767" s="16"/>
      <c r="T1767" s="16"/>
      <c r="U1767" s="16"/>
      <c r="V1767" s="16"/>
    </row>
    <row r="1768" spans="1:22">
      <c r="A1768" s="16"/>
      <c r="B1768" s="225"/>
      <c r="C1768" s="223"/>
      <c r="D1768" s="1412"/>
      <c r="E1768" s="2124"/>
      <c r="F1768" s="1378"/>
      <c r="G1768" s="1378"/>
      <c r="H1768" s="1379"/>
      <c r="I1768" s="198"/>
      <c r="J1768" s="6"/>
      <c r="K1768" s="1307"/>
      <c r="L1768" s="1335"/>
      <c r="M1768" s="1499"/>
      <c r="N1768" s="1701"/>
      <c r="O1768" s="1290"/>
      <c r="P1768" s="1332"/>
      <c r="Q1768" s="3391"/>
      <c r="R1768" s="1296"/>
      <c r="S1768" s="16"/>
      <c r="T1768" s="16"/>
      <c r="U1768" s="16"/>
      <c r="V1768" s="16"/>
    </row>
    <row r="1769" spans="1:22" ht="15" customHeight="1">
      <c r="A1769" s="16" t="s">
        <v>3764</v>
      </c>
      <c r="B1769" s="4325" t="s">
        <v>1661</v>
      </c>
      <c r="C1769" s="3350"/>
      <c r="D1769" s="4327"/>
      <c r="E1769" s="4329" t="s">
        <v>1507</v>
      </c>
      <c r="F1769" s="4336" t="s">
        <v>1706</v>
      </c>
      <c r="G1769" s="4331" t="s">
        <v>1568</v>
      </c>
      <c r="H1769" s="4331" t="s">
        <v>1574</v>
      </c>
      <c r="I1769" s="1572" t="s">
        <v>1559</v>
      </c>
      <c r="J1769" s="1294" t="s">
        <v>1560</v>
      </c>
      <c r="K1769" s="1294" t="s">
        <v>1561</v>
      </c>
      <c r="L1769" s="4333" t="s">
        <v>3765</v>
      </c>
      <c r="M1769" s="4335" t="s">
        <v>1571</v>
      </c>
      <c r="N1769" s="4323" t="s">
        <v>1776</v>
      </c>
      <c r="O1769" s="3347" t="s">
        <v>1563</v>
      </c>
      <c r="P1769" s="1336" t="s">
        <v>1562</v>
      </c>
      <c r="Q1769" s="3389"/>
      <c r="R1769" s="1699" t="s">
        <v>1327</v>
      </c>
      <c r="S1769" s="16"/>
      <c r="T1769" s="16"/>
      <c r="U1769" s="16"/>
      <c r="V1769" s="16"/>
    </row>
    <row r="1770" spans="1:22">
      <c r="A1770" s="16" t="s">
        <v>2818</v>
      </c>
      <c r="B1770" s="4326"/>
      <c r="C1770" s="3351"/>
      <c r="D1770" s="4328"/>
      <c r="E1770" s="4389"/>
      <c r="F1770" s="4336"/>
      <c r="G1770" s="4332"/>
      <c r="H1770" s="4332"/>
      <c r="I1770" s="1345">
        <v>1058.4000000000001</v>
      </c>
      <c r="J1770" s="1307">
        <v>2E-3</v>
      </c>
      <c r="K1770" s="1297">
        <f>I1770*J1770</f>
        <v>2.1168</v>
      </c>
      <c r="L1770" s="4334"/>
      <c r="M1770" s="4335"/>
      <c r="N1770" s="4324"/>
      <c r="O1770" s="1298">
        <f>SUM(O1772:O1783)</f>
        <v>8.9870400000000004</v>
      </c>
      <c r="P1770" s="1337">
        <f>O1770*K1770</f>
        <v>19.023766272</v>
      </c>
      <c r="Q1770" s="3390"/>
      <c r="R1770" s="1721">
        <f>SUM(P1772:P1784)</f>
        <v>19.023766272</v>
      </c>
      <c r="S1770" s="16"/>
      <c r="T1770" s="16"/>
      <c r="U1770" s="16"/>
      <c r="V1770" s="16"/>
    </row>
    <row r="1771" spans="1:22">
      <c r="A1771" s="16"/>
      <c r="B1771" s="1327"/>
      <c r="C1771" s="1327"/>
      <c r="D1771" s="1400"/>
      <c r="E1771" s="2121"/>
      <c r="F1771" s="1368" t="s">
        <v>1</v>
      </c>
      <c r="G1771" s="1417"/>
      <c r="H1771" s="1390"/>
      <c r="I1771" s="1554"/>
      <c r="J1771" s="1367"/>
      <c r="K1771" s="1367"/>
      <c r="L1771" s="1554"/>
      <c r="M1771" s="1369"/>
      <c r="N1771" s="1369"/>
      <c r="O1771" s="1369"/>
      <c r="P1771" s="1367"/>
      <c r="Q1771" s="3387"/>
      <c r="R1771" s="1296"/>
      <c r="S1771" s="16"/>
      <c r="T1771" s="16"/>
      <c r="U1771" s="16"/>
      <c r="V1771" s="16"/>
    </row>
    <row r="1772" spans="1:22">
      <c r="A1772" s="16"/>
      <c r="B1772" s="1320"/>
      <c r="C1772" s="1042"/>
      <c r="D1772" s="1668" t="s">
        <v>1698</v>
      </c>
      <c r="E1772" s="2166" t="s">
        <v>1357</v>
      </c>
      <c r="F1772" s="1668" t="s">
        <v>1699</v>
      </c>
      <c r="G1772" s="1372">
        <v>0.45</v>
      </c>
      <c r="H1772" s="1372"/>
      <c r="I1772" s="198"/>
      <c r="J1772" s="6"/>
      <c r="K1772" s="1307">
        <f>G1772*$K$1770</f>
        <v>0.95256000000000007</v>
      </c>
      <c r="L1772" s="1335">
        <f>K1772*$K$1547</f>
        <v>0</v>
      </c>
      <c r="M1772" s="1499">
        <v>1.7</v>
      </c>
      <c r="N1772" s="1701"/>
      <c r="O1772" s="1290">
        <f>G1772*M1772</f>
        <v>0.76500000000000001</v>
      </c>
      <c r="P1772" s="1332">
        <f>M1772*K1772</f>
        <v>1.6193520000000001</v>
      </c>
      <c r="Q1772" s="3391"/>
      <c r="R1772" s="1296"/>
      <c r="S1772" s="16"/>
      <c r="T1772" s="16"/>
      <c r="U1772" s="16"/>
      <c r="V1772" s="16"/>
    </row>
    <row r="1773" spans="1:22">
      <c r="A1773" s="16"/>
      <c r="B1773" s="1320"/>
      <c r="C1773" s="1042"/>
      <c r="D1773" s="1668" t="s">
        <v>1214</v>
      </c>
      <c r="E1773" s="2166" t="s">
        <v>1357</v>
      </c>
      <c r="F1773" s="1668" t="s">
        <v>1700</v>
      </c>
      <c r="G1773" s="1372">
        <v>0.35</v>
      </c>
      <c r="H1773" s="1372"/>
      <c r="I1773" s="197"/>
      <c r="J1773" s="198"/>
      <c r="K1773" s="1307">
        <f>G1773*$K$1770</f>
        <v>0.74087999999999998</v>
      </c>
      <c r="L1773" s="1335">
        <f>K1773*$K$1547</f>
        <v>0</v>
      </c>
      <c r="M1773" s="1499">
        <v>4.2</v>
      </c>
      <c r="N1773" s="1701"/>
      <c r="O1773" s="1290">
        <f>G1773*M1773</f>
        <v>1.47</v>
      </c>
      <c r="P1773" s="1332">
        <f>M1773*K1773</f>
        <v>3.1116960000000002</v>
      </c>
      <c r="Q1773" s="3391"/>
      <c r="R1773" s="1296"/>
      <c r="S1773" s="16"/>
      <c r="T1773" s="16"/>
      <c r="U1773" s="16"/>
      <c r="V1773" s="16"/>
    </row>
    <row r="1774" spans="1:22">
      <c r="A1774" s="16"/>
      <c r="B1774" s="1320"/>
      <c r="C1774" s="1042"/>
      <c r="D1774" s="1668" t="s">
        <v>1701</v>
      </c>
      <c r="E1774" s="2166" t="s">
        <v>1504</v>
      </c>
      <c r="F1774" s="1668" t="s">
        <v>1541</v>
      </c>
      <c r="G1774" s="1399">
        <v>0.2</v>
      </c>
      <c r="H1774" s="1399"/>
      <c r="I1774" s="27"/>
      <c r="J1774" s="10"/>
      <c r="K1774" s="1307">
        <f>G1774*$K$1770</f>
        <v>0.42336000000000001</v>
      </c>
      <c r="L1774" s="1335">
        <f>K1774*$K$1547</f>
        <v>0</v>
      </c>
      <c r="M1774" s="1499">
        <v>0.3</v>
      </c>
      <c r="N1774" s="1701"/>
      <c r="O1774" s="1290">
        <f>G1774*M1774</f>
        <v>0.06</v>
      </c>
      <c r="P1774" s="1332">
        <f>M1774*K1774</f>
        <v>0.12700800000000001</v>
      </c>
      <c r="Q1774" s="3391"/>
      <c r="R1774" s="1296"/>
      <c r="S1774" s="16"/>
      <c r="T1774" s="16"/>
      <c r="U1774" s="16"/>
      <c r="V1774" s="16"/>
    </row>
    <row r="1775" spans="1:22">
      <c r="A1775" s="16"/>
      <c r="B1775" s="1320"/>
      <c r="C1775" s="1042"/>
      <c r="D1775" s="1400"/>
      <c r="E1775" s="1856"/>
      <c r="F1775" s="1397"/>
      <c r="G1775" s="1399"/>
      <c r="H1775" s="1399"/>
      <c r="I1775" s="198"/>
      <c r="J1775" s="198"/>
      <c r="K1775" s="1307"/>
      <c r="L1775" s="1335"/>
      <c r="M1775" s="1499"/>
      <c r="N1775" s="1701"/>
      <c r="O1775" s="1290"/>
      <c r="P1775" s="1332"/>
      <c r="Q1775" s="3391"/>
      <c r="R1775" s="1296"/>
      <c r="S1775" s="16"/>
      <c r="T1775" s="16"/>
      <c r="U1775" s="16"/>
      <c r="V1775" s="16"/>
    </row>
    <row r="1776" spans="1:22">
      <c r="A1776" s="16"/>
      <c r="B1776" s="1320"/>
      <c r="C1776" s="1042"/>
      <c r="D1776" s="1400"/>
      <c r="E1776" s="1856"/>
      <c r="F1776" s="1397"/>
      <c r="G1776" s="1399"/>
      <c r="H1776" s="1399"/>
      <c r="I1776" s="1289"/>
      <c r="J1776" s="198"/>
      <c r="K1776" s="1307"/>
      <c r="L1776" s="1335"/>
      <c r="M1776" s="1499"/>
      <c r="N1776" s="1701"/>
      <c r="O1776" s="1290"/>
      <c r="P1776" s="1332"/>
      <c r="Q1776" s="3391"/>
      <c r="R1776" s="1296"/>
      <c r="S1776" s="16"/>
      <c r="T1776" s="16"/>
      <c r="U1776" s="16"/>
      <c r="V1776" s="16"/>
    </row>
    <row r="1777" spans="1:22">
      <c r="A1777" s="16"/>
      <c r="B1777" s="1320"/>
      <c r="C1777" s="1320"/>
      <c r="D1777" s="1410"/>
      <c r="E1777" s="1858"/>
      <c r="F1777" s="1360" t="s">
        <v>2</v>
      </c>
      <c r="G1777" s="1362"/>
      <c r="H1777" s="1362"/>
      <c r="I1777" s="1380"/>
      <c r="J1777" s="1381"/>
      <c r="K1777" s="1359"/>
      <c r="L1777" s="1458"/>
      <c r="M1777" s="1502"/>
      <c r="N1777" s="1502"/>
      <c r="O1777" s="1362"/>
      <c r="P1777" s="1359"/>
      <c r="Q1777" s="3387"/>
      <c r="R1777" s="1296"/>
      <c r="S1777" s="16"/>
      <c r="T1777" s="16"/>
      <c r="U1777" s="16"/>
      <c r="V1777" s="16"/>
    </row>
    <row r="1778" spans="1:22">
      <c r="A1778" s="16"/>
      <c r="B1778" s="1320"/>
      <c r="C1778" s="1042"/>
      <c r="D1778" s="1624" t="s">
        <v>1702</v>
      </c>
      <c r="E1778" s="2158" t="s">
        <v>1508</v>
      </c>
      <c r="F1778" s="1624" t="s">
        <v>1703</v>
      </c>
      <c r="G1778" s="1405">
        <v>0.34799999999999998</v>
      </c>
      <c r="H1778" s="1405"/>
      <c r="I1778" s="198"/>
      <c r="J1778" s="6"/>
      <c r="K1778" s="1307">
        <f>G1778*$K$1770</f>
        <v>0.73664639999999992</v>
      </c>
      <c r="L1778" s="1335">
        <f>K1778*$K$1547</f>
        <v>0</v>
      </c>
      <c r="M1778" s="1499">
        <v>19.23</v>
      </c>
      <c r="N1778" s="1701"/>
      <c r="O1778" s="1290">
        <f>G1778*M1778</f>
        <v>6.6920399999999995</v>
      </c>
      <c r="P1778" s="1332">
        <f>M1778*K1778</f>
        <v>14.165710271999998</v>
      </c>
      <c r="Q1778" s="3391"/>
      <c r="R1778" s="1296"/>
      <c r="S1778" s="16"/>
      <c r="T1778" s="16"/>
      <c r="U1778" s="16"/>
      <c r="V1778" s="16"/>
    </row>
    <row r="1779" spans="1:22">
      <c r="A1779" s="16"/>
      <c r="B1779" s="1320"/>
      <c r="C1779" s="1042"/>
      <c r="D1779" s="1402"/>
      <c r="E1779" s="1857"/>
      <c r="F1779" s="1645"/>
      <c r="G1779" s="1362"/>
      <c r="H1779" s="1359"/>
      <c r="I1779" s="198"/>
      <c r="J1779" s="6"/>
      <c r="K1779" s="1306"/>
      <c r="L1779" s="1646"/>
      <c r="M1779" s="1499"/>
      <c r="N1779" s="1499"/>
      <c r="O1779" s="1291"/>
      <c r="P1779" s="1332"/>
      <c r="Q1779" s="3391"/>
      <c r="R1779" s="1296"/>
      <c r="S1779" s="16"/>
      <c r="T1779" s="16"/>
      <c r="U1779" s="16"/>
      <c r="V1779" s="16"/>
    </row>
    <row r="1780" spans="1:22">
      <c r="A1780" s="16"/>
      <c r="B1780" s="1320"/>
      <c r="C1780" s="1042"/>
      <c r="D1780" s="1402"/>
      <c r="E1780" s="1857"/>
      <c r="F1780" s="1403"/>
      <c r="G1780" s="1362"/>
      <c r="H1780" s="1359"/>
      <c r="I1780" s="198"/>
      <c r="J1780" s="6"/>
      <c r="K1780" s="1307"/>
      <c r="L1780" s="1335"/>
      <c r="M1780" s="1499"/>
      <c r="N1780" s="1701"/>
      <c r="O1780" s="1290"/>
      <c r="P1780" s="1332"/>
      <c r="Q1780" s="3391"/>
      <c r="R1780" s="1296"/>
      <c r="S1780" s="16"/>
      <c r="T1780" s="16"/>
      <c r="U1780" s="16"/>
      <c r="V1780" s="16"/>
    </row>
    <row r="1781" spans="1:22">
      <c r="A1781" s="16"/>
      <c r="B1781" s="1320"/>
      <c r="C1781" s="1042"/>
      <c r="D1781" s="1411"/>
      <c r="E1781" s="2123"/>
      <c r="F1781" s="1374" t="s">
        <v>3</v>
      </c>
      <c r="G1781" s="1374"/>
      <c r="H1781" s="1376"/>
      <c r="I1781" s="1382"/>
      <c r="J1781" s="1383"/>
      <c r="K1781" s="1373"/>
      <c r="L1781" s="1413"/>
      <c r="M1781" s="1505"/>
      <c r="N1781" s="1505"/>
      <c r="O1781" s="1376"/>
      <c r="P1781" s="1413"/>
      <c r="Q1781" s="3387"/>
      <c r="R1781" s="1296"/>
      <c r="S1781" s="16"/>
      <c r="T1781" s="16"/>
      <c r="U1781" s="16"/>
      <c r="V1781" s="16"/>
    </row>
    <row r="1782" spans="1:22">
      <c r="A1782" s="16"/>
      <c r="B1782" s="1320"/>
      <c r="C1782" s="1042"/>
      <c r="D1782" s="1412"/>
      <c r="E1782" s="2124"/>
      <c r="F1782" s="1378"/>
      <c r="G1782" s="1378"/>
      <c r="H1782" s="1379"/>
      <c r="I1782" s="198"/>
      <c r="J1782" s="6"/>
      <c r="K1782" s="1307"/>
      <c r="L1782" s="1335"/>
      <c r="M1782" s="1499"/>
      <c r="N1782" s="1701"/>
      <c r="O1782" s="1290"/>
      <c r="P1782" s="1332"/>
      <c r="Q1782" s="3391"/>
      <c r="R1782" s="1296"/>
      <c r="S1782" s="16"/>
      <c r="T1782" s="16"/>
      <c r="U1782" s="16"/>
      <c r="V1782" s="16"/>
    </row>
    <row r="1783" spans="1:22">
      <c r="A1783" s="16"/>
      <c r="B1783" s="1320"/>
      <c r="C1783" s="1042"/>
      <c r="D1783" s="1412"/>
      <c r="E1783" s="2124"/>
      <c r="F1783" s="1378"/>
      <c r="G1783" s="1378"/>
      <c r="H1783" s="1379"/>
      <c r="I1783" s="198"/>
      <c r="J1783" s="6"/>
      <c r="K1783" s="1307"/>
      <c r="L1783" s="1335"/>
      <c r="M1783" s="1499"/>
      <c r="N1783" s="1701"/>
      <c r="O1783" s="1290"/>
      <c r="P1783" s="1332"/>
      <c r="Q1783" s="3391"/>
      <c r="R1783" s="1296"/>
      <c r="S1783" s="16"/>
      <c r="T1783" s="16"/>
      <c r="U1783" s="16"/>
      <c r="V1783" s="16"/>
    </row>
    <row r="1784" spans="1:22">
      <c r="A1784" s="16"/>
      <c r="B1784" s="225"/>
      <c r="C1784" s="223"/>
      <c r="D1784" s="1412"/>
      <c r="E1784" s="2124"/>
      <c r="F1784" s="2110"/>
      <c r="G1784" s="2110"/>
      <c r="H1784" s="2111"/>
      <c r="I1784" s="198"/>
      <c r="J1784" s="6"/>
      <c r="K1784" s="1307"/>
      <c r="L1784" s="1335"/>
      <c r="M1784" s="1499"/>
      <c r="N1784" s="1701"/>
      <c r="O1784" s="1290"/>
      <c r="P1784" s="1332"/>
      <c r="Q1784" s="3391"/>
      <c r="R1784" s="1296"/>
      <c r="S1784" s="16"/>
      <c r="T1784" s="16"/>
      <c r="U1784" s="16"/>
      <c r="V1784" s="16"/>
    </row>
    <row r="1785" spans="1:22" s="22" customFormat="1">
      <c r="A1785" s="16"/>
      <c r="B1785" s="16"/>
      <c r="C1785" s="16"/>
      <c r="D1785" s="1795"/>
      <c r="E1785" s="2179"/>
      <c r="F1785" s="1795"/>
      <c r="G1785" s="1795"/>
      <c r="H1785" s="1797"/>
      <c r="I1785" s="1561"/>
      <c r="J1785" s="1561"/>
      <c r="K1785" s="1639"/>
      <c r="L1785" s="1640"/>
      <c r="M1785" s="1292"/>
      <c r="N1785" s="1292"/>
      <c r="O1785" s="1292"/>
      <c r="P1785" s="1292"/>
      <c r="Q1785" s="3391"/>
      <c r="R1785" s="2337"/>
      <c r="S1785" s="16"/>
      <c r="T1785" s="16"/>
      <c r="U1785" s="16"/>
      <c r="V1785" s="16"/>
    </row>
    <row r="1786" spans="1:22">
      <c r="A1786" s="16"/>
      <c r="F1786" s="1795"/>
      <c r="G1786" s="1796"/>
      <c r="H1786" s="1795"/>
      <c r="I1786" s="1795"/>
      <c r="J1786" s="1797"/>
      <c r="K1786" s="1561"/>
      <c r="L1786" s="1561"/>
      <c r="M1786" s="1639"/>
      <c r="N1786" s="1639"/>
      <c r="O1786" s="1640"/>
      <c r="P1786" s="1292"/>
      <c r="Q1786" s="3391"/>
      <c r="R1786" s="2337"/>
      <c r="S1786" s="16"/>
      <c r="T1786" s="16"/>
      <c r="U1786" s="16"/>
      <c r="V1786" s="16"/>
    </row>
    <row r="1787" spans="1:22">
      <c r="A1787" s="4391" t="s">
        <v>1796</v>
      </c>
      <c r="B1787" s="4392"/>
      <c r="C1787" s="4392"/>
      <c r="D1787" s="4392"/>
      <c r="E1787" s="1303" t="s">
        <v>1507</v>
      </c>
      <c r="F1787" s="1305" t="s">
        <v>1797</v>
      </c>
      <c r="G1787" s="1288"/>
      <c r="H1787" s="1288"/>
      <c r="I1787" s="1557"/>
      <c r="J1787" s="1288"/>
      <c r="K1787" s="1288"/>
      <c r="L1787" s="1557"/>
      <c r="M1787" s="1288"/>
      <c r="N1787" s="1288"/>
      <c r="O1787" s="1288"/>
      <c r="P1787" s="1283"/>
      <c r="Q1787" s="3386"/>
      <c r="R1787" s="1296"/>
      <c r="S1787" s="16"/>
      <c r="T1787" s="16"/>
      <c r="U1787" s="16"/>
      <c r="V1787" s="16"/>
    </row>
    <row r="1788" spans="1:22">
      <c r="A1788" s="1304"/>
      <c r="B1788" s="1304"/>
      <c r="C1788" s="1304"/>
      <c r="D1788" s="1304"/>
      <c r="E1788" s="1304"/>
      <c r="G1788" s="1831" t="s">
        <v>1439</v>
      </c>
      <c r="H1788" s="1832"/>
      <c r="I1788" s="1833"/>
      <c r="J1788" s="1832"/>
      <c r="K1788" s="1832"/>
      <c r="L1788" s="1833"/>
      <c r="M1788" s="1832"/>
      <c r="N1788" s="1832"/>
      <c r="O1788" s="1832"/>
      <c r="P1788" s="1834"/>
      <c r="Q1788" s="3386"/>
      <c r="R1788" s="1296"/>
      <c r="S1788" s="16"/>
      <c r="T1788" s="16"/>
      <c r="U1788" s="16"/>
      <c r="V1788" s="16"/>
    </row>
    <row r="1789" spans="1:22" ht="28.5">
      <c r="A1789" s="16"/>
      <c r="L1789" s="2403" t="s">
        <v>2856</v>
      </c>
      <c r="R1789" s="2337"/>
      <c r="S1789" s="16"/>
      <c r="T1789" s="16"/>
      <c r="U1789" s="16"/>
      <c r="V1789" s="16"/>
    </row>
    <row r="1790" spans="1:22">
      <c r="A1790" s="4393" t="s">
        <v>162</v>
      </c>
      <c r="B1790" s="4394"/>
      <c r="C1790" s="4394"/>
      <c r="D1790" s="4395"/>
      <c r="E1790" s="4396" t="s">
        <v>1549</v>
      </c>
      <c r="F1790" s="4397" t="s">
        <v>1550</v>
      </c>
      <c r="G1790" s="4399" t="s">
        <v>1566</v>
      </c>
      <c r="H1790" s="4400"/>
      <c r="I1790" s="4400"/>
      <c r="J1790" s="4400"/>
      <c r="K1790" s="4400"/>
      <c r="L1790" s="4401"/>
      <c r="M1790" s="4405" t="s">
        <v>1567</v>
      </c>
      <c r="N1790" s="4405"/>
      <c r="O1790" s="4405"/>
      <c r="P1790" s="4405"/>
      <c r="Q1790" s="3395"/>
      <c r="R1790" s="2337"/>
      <c r="S1790" s="1661" t="s">
        <v>1775</v>
      </c>
      <c r="T1790" s="16"/>
      <c r="U1790" s="16"/>
      <c r="V1790" s="16"/>
    </row>
    <row r="1791" spans="1:22">
      <c r="A1791" s="1324" t="s">
        <v>3766</v>
      </c>
      <c r="B1791" s="1325" t="s">
        <v>1513</v>
      </c>
      <c r="C1791" s="1326" t="s">
        <v>1573</v>
      </c>
      <c r="D1791" s="1323" t="s">
        <v>1514</v>
      </c>
      <c r="E1791" s="4396"/>
      <c r="F1791" s="4398"/>
      <c r="G1791" s="4402"/>
      <c r="H1791" s="4403"/>
      <c r="I1791" s="4403"/>
      <c r="J1791" s="4403"/>
      <c r="K1791" s="4403"/>
      <c r="L1791" s="4404"/>
      <c r="M1791" s="4405"/>
      <c r="N1791" s="4405"/>
      <c r="O1791" s="4405"/>
      <c r="P1791" s="4405"/>
      <c r="Q1791" s="3395"/>
      <c r="R1791" s="2337"/>
      <c r="S1791" s="16"/>
      <c r="T1791" s="16"/>
      <c r="U1791" s="16"/>
      <c r="V1791" s="16"/>
    </row>
    <row r="1792" spans="1:22">
      <c r="A1792" s="4374" t="s">
        <v>1798</v>
      </c>
      <c r="B1792" s="4375"/>
      <c r="C1792" s="4375"/>
      <c r="D1792" s="4376"/>
      <c r="E1792" s="4380" t="s">
        <v>1507</v>
      </c>
      <c r="F1792" s="4382" t="s">
        <v>1799</v>
      </c>
      <c r="G1792" s="4493" t="s">
        <v>294</v>
      </c>
      <c r="H1792" s="4493"/>
      <c r="I1792" s="1665" t="s">
        <v>1565</v>
      </c>
      <c r="J1792" s="3348" t="s">
        <v>1575</v>
      </c>
      <c r="K1792" s="4493" t="s">
        <v>289</v>
      </c>
      <c r="L1792" s="4493"/>
      <c r="M1792" s="4408" t="s">
        <v>3349</v>
      </c>
      <c r="N1792" s="4408"/>
      <c r="O1792" s="4408"/>
      <c r="P1792" s="4408"/>
      <c r="Q1792" s="3394" t="s">
        <v>3934</v>
      </c>
      <c r="R1792" s="2337"/>
      <c r="S1792" s="16"/>
      <c r="T1792" s="16"/>
      <c r="U1792" s="16"/>
      <c r="V1792" s="16"/>
    </row>
    <row r="1793" spans="1:22" ht="15.5">
      <c r="A1793" s="4377"/>
      <c r="B1793" s="4378"/>
      <c r="C1793" s="4378"/>
      <c r="D1793" s="4379"/>
      <c r="E1793" s="4381"/>
      <c r="F1793" s="4383"/>
      <c r="G1793" s="4451">
        <f>IF('Seleccion proyecto HEREVEA02'!G30="Reparación de fisuras",'Seleccion proyecto HEREVEA02'!E29,0)</f>
        <v>0</v>
      </c>
      <c r="H1793" s="4452"/>
      <c r="I1793" s="3353">
        <f>IF('Seleccion proyecto HEREVEA02'!H30=0,0,IF('Seleccion proyecto HEREVEA02'!H30="1 a 30",0.3,IF('Seleccion proyecto HEREVEA02'!H30="31 a 60",0.6,IF('Seleccion proyecto HEREVEA02'!H30="61 a 100",1))))</f>
        <v>0</v>
      </c>
      <c r="J1793" s="1351">
        <f>'Seleccion proyecto HEREVEA02'!L8</f>
        <v>11100.968999999999</v>
      </c>
      <c r="K1793" s="4358">
        <f>G1793*I1793*J1793</f>
        <v>0</v>
      </c>
      <c r="L1793" s="4359"/>
      <c r="M1793" s="4360">
        <f>P1795+P1808+P1822+P1836+P1856+P1877+P1895+P1914+P1931+P1951+P1966</f>
        <v>79.114385463196811</v>
      </c>
      <c r="N1793" s="4361"/>
      <c r="O1793" s="4361"/>
      <c r="P1793" s="4449"/>
      <c r="Q1793" s="3388">
        <f>M1793*K1793</f>
        <v>0</v>
      </c>
      <c r="R1793" s="2337"/>
      <c r="S1793" s="1332"/>
      <c r="T1793" s="16"/>
      <c r="U1793" s="16"/>
      <c r="V1793" s="16"/>
    </row>
    <row r="1794" spans="1:22" ht="15" customHeight="1">
      <c r="A1794" s="19" t="s">
        <v>3764</v>
      </c>
      <c r="B1794" s="4514" t="s">
        <v>1800</v>
      </c>
      <c r="C1794" s="3354"/>
      <c r="D1794" s="4368"/>
      <c r="E1794" s="4329" t="s">
        <v>1507</v>
      </c>
      <c r="F1794" s="4336" t="s">
        <v>1801</v>
      </c>
      <c r="G1794" s="4331" t="s">
        <v>1568</v>
      </c>
      <c r="H1794" s="4331" t="s">
        <v>1574</v>
      </c>
      <c r="I1794" s="1572" t="s">
        <v>1559</v>
      </c>
      <c r="J1794" s="1294" t="s">
        <v>1560</v>
      </c>
      <c r="K1794" s="1294" t="s">
        <v>1569</v>
      </c>
      <c r="L1794" s="4333" t="s">
        <v>3765</v>
      </c>
      <c r="M1794" s="4335" t="s">
        <v>1571</v>
      </c>
      <c r="N1794" s="4323" t="s">
        <v>1776</v>
      </c>
      <c r="O1794" s="3347" t="s">
        <v>1563</v>
      </c>
      <c r="P1794" s="1336" t="s">
        <v>1562</v>
      </c>
      <c r="Q1794" s="3389"/>
      <c r="R1794" s="1699" t="s">
        <v>1327</v>
      </c>
      <c r="S1794" s="16"/>
      <c r="T1794" s="16"/>
      <c r="U1794" s="16"/>
      <c r="V1794" s="16"/>
    </row>
    <row r="1795" spans="1:22">
      <c r="A1795" s="1660" t="s">
        <v>1798</v>
      </c>
      <c r="B1795" s="4369"/>
      <c r="C1795" s="3351"/>
      <c r="D1795" s="4328"/>
      <c r="E1795" s="4330"/>
      <c r="F1795" s="4336"/>
      <c r="G1795" s="4332"/>
      <c r="H1795" s="4332"/>
      <c r="I1795" s="1345">
        <v>145.93</v>
      </c>
      <c r="J1795" s="1307">
        <v>2E-3</v>
      </c>
      <c r="K1795" s="1307">
        <f>I1795*J1795</f>
        <v>0.29186000000000001</v>
      </c>
      <c r="L1795" s="4334"/>
      <c r="M1795" s="4335"/>
      <c r="N1795" s="4324"/>
      <c r="O1795" s="1298">
        <f>SUM(O1797:O1806)</f>
        <v>30.126660000000001</v>
      </c>
      <c r="P1795" s="1337">
        <f>O1795*K1795</f>
        <v>8.7927669876000003</v>
      </c>
      <c r="Q1795" s="3390"/>
      <c r="R1795" s="1721">
        <f>P1804+P1801</f>
        <v>8.7927669876000003</v>
      </c>
      <c r="S1795" s="16"/>
      <c r="T1795" s="16"/>
      <c r="U1795" s="16"/>
      <c r="V1795" s="16"/>
    </row>
    <row r="1796" spans="1:22">
      <c r="B1796" s="1327"/>
      <c r="C1796" s="1327"/>
      <c r="D1796" s="1400"/>
      <c r="E1796" s="2121"/>
      <c r="F1796" s="1368" t="s">
        <v>1</v>
      </c>
      <c r="G1796" s="1390"/>
      <c r="H1796" s="1390"/>
      <c r="I1796" s="1554"/>
      <c r="J1796" s="1367"/>
      <c r="K1796" s="1367"/>
      <c r="L1796" s="1554"/>
      <c r="M1796" s="1369"/>
      <c r="N1796" s="1369"/>
      <c r="O1796" s="1369"/>
      <c r="P1796" s="1367"/>
      <c r="Q1796" s="3387"/>
      <c r="R1796" s="3363"/>
      <c r="S1796" s="16"/>
      <c r="T1796" s="16"/>
      <c r="U1796" s="16"/>
      <c r="V1796" s="16"/>
    </row>
    <row r="1797" spans="1:22">
      <c r="B1797" s="1042"/>
      <c r="C1797" s="1042"/>
      <c r="D1797" s="1400"/>
      <c r="E1797" s="1856"/>
      <c r="F1797" s="1421"/>
      <c r="G1797" s="1399"/>
      <c r="H1797" s="1399"/>
      <c r="I1797" s="1760"/>
      <c r="J1797" s="198"/>
      <c r="K1797" s="1307"/>
      <c r="L1797" s="1335"/>
      <c r="M1797" s="1499"/>
      <c r="N1797" s="1701"/>
      <c r="O1797" s="1290"/>
      <c r="P1797" s="1332"/>
      <c r="Q1797" s="3391"/>
      <c r="R1797" s="3363"/>
      <c r="S1797" s="105"/>
      <c r="T1797" s="105"/>
      <c r="U1797" s="16"/>
      <c r="V1797" s="16"/>
    </row>
    <row r="1798" spans="1:22">
      <c r="B1798" s="1042"/>
      <c r="C1798" s="1042"/>
      <c r="D1798" s="1400"/>
      <c r="E1798" s="1856"/>
      <c r="F1798" s="1421"/>
      <c r="G1798" s="1399"/>
      <c r="H1798" s="1399"/>
      <c r="I1798" s="1760"/>
      <c r="J1798" s="198"/>
      <c r="K1798" s="1307"/>
      <c r="L1798" s="1335"/>
      <c r="M1798" s="1499"/>
      <c r="N1798" s="1701"/>
      <c r="O1798" s="1290"/>
      <c r="P1798" s="1332"/>
      <c r="Q1798" s="3391"/>
      <c r="R1798" s="2337"/>
      <c r="S1798" s="16"/>
      <c r="T1798" s="16"/>
      <c r="U1798" s="16"/>
      <c r="V1798" s="16"/>
    </row>
    <row r="1799" spans="1:22">
      <c r="B1799" s="1042"/>
      <c r="C1799" s="1042"/>
      <c r="D1799" s="1400"/>
      <c r="E1799" s="1856"/>
      <c r="F1799" s="1421"/>
      <c r="G1799" s="1399"/>
      <c r="H1799" s="1399"/>
      <c r="I1799" s="197"/>
      <c r="J1799" s="198"/>
      <c r="K1799" s="1307"/>
      <c r="L1799" s="1335"/>
      <c r="M1799" s="1499"/>
      <c r="N1799" s="1701"/>
      <c r="O1799" s="1290"/>
      <c r="P1799" s="1332"/>
      <c r="Q1799" s="3391"/>
      <c r="R1799" s="3363"/>
      <c r="S1799" s="16"/>
      <c r="T1799" s="16"/>
      <c r="U1799" s="16"/>
      <c r="V1799" s="16"/>
    </row>
    <row r="1800" spans="1:22">
      <c r="B1800" s="1042"/>
      <c r="C1800" s="1042"/>
      <c r="D1800" s="1410"/>
      <c r="E1800" s="1858"/>
      <c r="F1800" s="1360" t="s">
        <v>2</v>
      </c>
      <c r="G1800" s="1362"/>
      <c r="H1800" s="1362"/>
      <c r="I1800" s="1380"/>
      <c r="J1800" s="1381"/>
      <c r="K1800" s="1359"/>
      <c r="L1800" s="1458"/>
      <c r="M1800" s="1502"/>
      <c r="N1800" s="1502"/>
      <c r="O1800" s="1362"/>
      <c r="P1800" s="1359"/>
      <c r="Q1800" s="3387"/>
      <c r="R1800" s="3363"/>
      <c r="S1800" s="16"/>
      <c r="T1800" s="16"/>
      <c r="U1800" s="16"/>
      <c r="V1800" s="16"/>
    </row>
    <row r="1801" spans="1:22">
      <c r="B1801" s="1042"/>
      <c r="C1801" s="1042"/>
      <c r="D1801" s="1623" t="s">
        <v>1802</v>
      </c>
      <c r="E1801" s="2158" t="s">
        <v>1803</v>
      </c>
      <c r="F1801" s="1801" t="s">
        <v>1804</v>
      </c>
      <c r="G1801" s="1822">
        <v>1.0469999999999999</v>
      </c>
      <c r="H1801" s="1822"/>
      <c r="I1801" s="198"/>
      <c r="J1801" s="6"/>
      <c r="K1801" s="1307">
        <f>G1801*K1795</f>
        <v>0.30557741999999999</v>
      </c>
      <c r="L1801" s="1335">
        <f>K1801*$K$1793</f>
        <v>0</v>
      </c>
      <c r="M1801" s="1499">
        <v>18.28</v>
      </c>
      <c r="N1801" s="1701"/>
      <c r="O1801" s="1290">
        <f>(G1801*M1801)</f>
        <v>19.13916</v>
      </c>
      <c r="P1801" s="1332">
        <f>M1801*K1801</f>
        <v>5.5859552376000003</v>
      </c>
      <c r="Q1801" s="3391"/>
      <c r="R1801" s="3363"/>
      <c r="S1801" s="16"/>
      <c r="T1801" s="16"/>
      <c r="U1801" s="16"/>
      <c r="V1801" s="16"/>
    </row>
    <row r="1802" spans="1:22">
      <c r="B1802" s="1042"/>
      <c r="C1802" s="1042"/>
      <c r="D1802" s="1623"/>
      <c r="E1802" s="2158"/>
      <c r="F1802" s="1801"/>
      <c r="G1802" s="1822"/>
      <c r="H1802" s="1822"/>
      <c r="I1802" s="198"/>
      <c r="J1802" s="6"/>
      <c r="K1802" s="1307"/>
      <c r="L1802" s="1335"/>
      <c r="M1802" s="1499"/>
      <c r="N1802" s="1701"/>
      <c r="O1802" s="1290"/>
      <c r="P1802" s="1332"/>
      <c r="Q1802" s="3391"/>
      <c r="R1802" s="3363"/>
      <c r="S1802" s="16"/>
      <c r="T1802" s="16"/>
      <c r="U1802" s="16"/>
      <c r="V1802" s="16"/>
    </row>
    <row r="1803" spans="1:22">
      <c r="B1803" s="1042"/>
      <c r="C1803" s="1042"/>
      <c r="D1803" s="1411"/>
      <c r="E1803" s="2123"/>
      <c r="F1803" s="1802" t="s">
        <v>3</v>
      </c>
      <c r="G1803" s="1376"/>
      <c r="H1803" s="1376"/>
      <c r="I1803" s="1382"/>
      <c r="J1803" s="1383"/>
      <c r="K1803" s="1373"/>
      <c r="L1803" s="1413"/>
      <c r="M1803" s="1505"/>
      <c r="N1803" s="1505"/>
      <c r="O1803" s="1376"/>
      <c r="P1803" s="1413"/>
      <c r="Q1803" s="3387"/>
      <c r="R1803" s="3363"/>
      <c r="S1803" s="16"/>
      <c r="T1803" s="16"/>
      <c r="U1803" s="16"/>
      <c r="V1803" s="16"/>
    </row>
    <row r="1804" spans="1:22">
      <c r="B1804" s="1042"/>
      <c r="C1804" s="1042"/>
      <c r="D1804" s="1411" t="s">
        <v>1686</v>
      </c>
      <c r="E1804" s="2123" t="s">
        <v>1803</v>
      </c>
      <c r="F1804" s="1475" t="s">
        <v>1688</v>
      </c>
      <c r="G1804" s="1376">
        <v>1.4650000000000001</v>
      </c>
      <c r="H1804" s="1376"/>
      <c r="I1804" s="198"/>
      <c r="J1804" s="6"/>
      <c r="K1804" s="1307">
        <f>G1804*K1795</f>
        <v>0.42757490000000004</v>
      </c>
      <c r="L1804" s="1335">
        <f>K1804*$K$1793</f>
        <v>0</v>
      </c>
      <c r="M1804" s="1499">
        <v>7.5</v>
      </c>
      <c r="N1804" s="1701"/>
      <c r="O1804" s="1290">
        <f>(G1804*M1804)</f>
        <v>10.987500000000001</v>
      </c>
      <c r="P1804" s="1332">
        <f>M1804*K1804</f>
        <v>3.2068117500000004</v>
      </c>
      <c r="Q1804" s="3391"/>
      <c r="R1804" s="3363"/>
      <c r="S1804" s="16"/>
      <c r="T1804" s="16"/>
      <c r="U1804" s="16"/>
      <c r="V1804" s="16"/>
    </row>
    <row r="1805" spans="1:22">
      <c r="B1805" s="1042"/>
      <c r="C1805" s="1042"/>
      <c r="D1805" s="1411"/>
      <c r="E1805" s="2123"/>
      <c r="F1805" s="1475"/>
      <c r="G1805" s="1376"/>
      <c r="H1805" s="1376"/>
      <c r="I1805" s="198"/>
      <c r="J1805" s="6"/>
      <c r="K1805" s="1307"/>
      <c r="L1805" s="1335"/>
      <c r="M1805" s="1499"/>
      <c r="N1805" s="1701"/>
      <c r="O1805" s="1290"/>
      <c r="P1805" s="1332"/>
      <c r="Q1805" s="3391"/>
      <c r="R1805" s="3363"/>
      <c r="S1805" s="16"/>
      <c r="T1805" s="16"/>
      <c r="U1805" s="16"/>
      <c r="V1805" s="16"/>
    </row>
    <row r="1806" spans="1:22">
      <c r="B1806" s="223"/>
      <c r="C1806" s="223"/>
      <c r="D1806" s="1808"/>
      <c r="E1806" s="2132"/>
      <c r="F1806" s="1804"/>
      <c r="G1806" s="1805"/>
      <c r="H1806" s="1805"/>
      <c r="I1806" s="197"/>
      <c r="J1806" s="1806"/>
      <c r="K1806" s="1307"/>
      <c r="L1806" s="1335"/>
      <c r="M1806" s="1701"/>
      <c r="N1806" s="1701"/>
      <c r="O1806" s="1290"/>
      <c r="P1806" s="1333"/>
      <c r="Q1806" s="3391"/>
      <c r="R1806" s="2337"/>
      <c r="S1806" s="16"/>
      <c r="T1806" s="16"/>
      <c r="U1806" s="16"/>
      <c r="V1806" s="16"/>
    </row>
    <row r="1807" spans="1:22" ht="15" customHeight="1">
      <c r="A1807" s="19" t="s">
        <v>3764</v>
      </c>
      <c r="B1807" s="4325" t="s">
        <v>1654</v>
      </c>
      <c r="C1807" s="3350"/>
      <c r="D1807" s="4327"/>
      <c r="E1807" s="4329" t="s">
        <v>1507</v>
      </c>
      <c r="F1807" s="4336" t="s">
        <v>1664</v>
      </c>
      <c r="G1807" s="4331" t="s">
        <v>1568</v>
      </c>
      <c r="H1807" s="4331" t="s">
        <v>1574</v>
      </c>
      <c r="I1807" s="1572" t="s">
        <v>1559</v>
      </c>
      <c r="J1807" s="1294" t="s">
        <v>1560</v>
      </c>
      <c r="K1807" s="1294" t="s">
        <v>1569</v>
      </c>
      <c r="L1807" s="4333" t="s">
        <v>3765</v>
      </c>
      <c r="M1807" s="4335" t="s">
        <v>1571</v>
      </c>
      <c r="N1807" s="4323" t="s">
        <v>1776</v>
      </c>
      <c r="O1807" s="3347" t="s">
        <v>1563</v>
      </c>
      <c r="P1807" s="1336" t="s">
        <v>1562</v>
      </c>
      <c r="Q1807" s="3389"/>
      <c r="R1807" s="1699" t="s">
        <v>1327</v>
      </c>
      <c r="S1807" s="16"/>
      <c r="T1807" s="16"/>
      <c r="U1807" s="16"/>
      <c r="V1807" s="16"/>
    </row>
    <row r="1808" spans="1:22">
      <c r="A1808" s="1807" t="s">
        <v>1798</v>
      </c>
      <c r="B1808" s="4326"/>
      <c r="C1808" s="3351"/>
      <c r="D1808" s="4328"/>
      <c r="E1808" s="4330"/>
      <c r="F1808" s="4336"/>
      <c r="G1808" s="4332"/>
      <c r="H1808" s="4332"/>
      <c r="I1808" s="1345">
        <v>21.38</v>
      </c>
      <c r="J1808" s="1307">
        <v>2E-3</v>
      </c>
      <c r="K1808" s="1307">
        <f>I1808*J1808</f>
        <v>4.2759999999999999E-2</v>
      </c>
      <c r="L1808" s="4334"/>
      <c r="M1808" s="4335"/>
      <c r="N1808" s="4324"/>
      <c r="O1808" s="1298">
        <f>SUM(O1810:O1823)</f>
        <v>59.458320299999997</v>
      </c>
      <c r="P1808" s="1337">
        <f>O1808*K1808</f>
        <v>2.5424377760279997</v>
      </c>
      <c r="Q1808" s="3390"/>
      <c r="R1808" s="1721">
        <f>SUM(P1810:P1823)</f>
        <v>9.2795759797540001</v>
      </c>
      <c r="S1808" s="16"/>
      <c r="T1808" s="16"/>
      <c r="U1808" s="16"/>
      <c r="V1808" s="16"/>
    </row>
    <row r="1809" spans="1:22">
      <c r="B1809" s="1327"/>
      <c r="C1809" s="1327"/>
      <c r="D1809" s="1400"/>
      <c r="E1809" s="2121"/>
      <c r="F1809" s="1368" t="s">
        <v>1</v>
      </c>
      <c r="G1809" s="1417"/>
      <c r="H1809" s="1390"/>
      <c r="I1809" s="1554"/>
      <c r="J1809" s="1367"/>
      <c r="K1809" s="1367"/>
      <c r="L1809" s="1554"/>
      <c r="M1809" s="1369"/>
      <c r="N1809" s="1369"/>
      <c r="O1809" s="1369"/>
      <c r="P1809" s="1367"/>
      <c r="Q1809" s="3387"/>
      <c r="R1809" s="2337"/>
      <c r="S1809" s="16"/>
      <c r="T1809" s="16"/>
      <c r="U1809" s="16"/>
      <c r="V1809" s="16"/>
    </row>
    <row r="1810" spans="1:22">
      <c r="B1810" s="1042"/>
      <c r="C1810" s="1042"/>
      <c r="D1810" s="1400"/>
      <c r="E1810" s="1856"/>
      <c r="F1810" s="1421"/>
      <c r="G1810" s="1399"/>
      <c r="H1810" s="1399"/>
      <c r="I1810" s="1760"/>
      <c r="J1810" s="198"/>
      <c r="K1810" s="1307"/>
      <c r="L1810" s="1335"/>
      <c r="M1810" s="1499"/>
      <c r="N1810" s="1701"/>
      <c r="O1810" s="1290"/>
      <c r="P1810" s="1332"/>
      <c r="Q1810" s="3391"/>
      <c r="R1810" s="2337"/>
      <c r="S1810" s="16"/>
      <c r="T1810" s="16"/>
      <c r="U1810" s="16"/>
      <c r="V1810" s="16"/>
    </row>
    <row r="1811" spans="1:22">
      <c r="B1811" s="1042"/>
      <c r="C1811" s="1042"/>
      <c r="D1811" s="1400"/>
      <c r="E1811" s="1856"/>
      <c r="F1811" s="1421"/>
      <c r="G1811" s="1399"/>
      <c r="H1811" s="1399"/>
      <c r="I1811" s="1760"/>
      <c r="J1811" s="198"/>
      <c r="K1811" s="1307"/>
      <c r="L1811" s="1335"/>
      <c r="M1811" s="1499"/>
      <c r="N1811" s="1701"/>
      <c r="O1811" s="1290"/>
      <c r="P1811" s="1332"/>
      <c r="Q1811" s="3391"/>
      <c r="R1811" s="3363"/>
      <c r="S1811" s="16"/>
      <c r="T1811" s="16"/>
      <c r="U1811" s="16"/>
      <c r="V1811" s="16"/>
    </row>
    <row r="1812" spans="1:22">
      <c r="B1812" s="1042"/>
      <c r="C1812" s="1042"/>
      <c r="D1812" s="1400"/>
      <c r="E1812" s="1856"/>
      <c r="F1812" s="1421"/>
      <c r="G1812" s="1452"/>
      <c r="H1812" s="1399"/>
      <c r="I1812" s="197"/>
      <c r="J1812" s="198"/>
      <c r="K1812" s="1307"/>
      <c r="L1812" s="1335"/>
      <c r="M1812" s="1499"/>
      <c r="N1812" s="1701"/>
      <c r="O1812" s="1290"/>
      <c r="P1812" s="1332"/>
      <c r="Q1812" s="3391"/>
      <c r="R1812" s="3363"/>
      <c r="S1812" s="16"/>
      <c r="T1812" s="16"/>
      <c r="U1812" s="16"/>
      <c r="V1812" s="16"/>
    </row>
    <row r="1813" spans="1:22">
      <c r="B1813" s="1042"/>
      <c r="C1813" s="1042"/>
      <c r="D1813" s="1410"/>
      <c r="E1813" s="1858"/>
      <c r="F1813" s="1360" t="s">
        <v>2</v>
      </c>
      <c r="G1813" s="1360"/>
      <c r="H1813" s="1362"/>
      <c r="I1813" s="1380"/>
      <c r="J1813" s="1381"/>
      <c r="K1813" s="1359"/>
      <c r="L1813" s="1458"/>
      <c r="M1813" s="1502"/>
      <c r="N1813" s="1502"/>
      <c r="O1813" s="1362"/>
      <c r="P1813" s="1359"/>
      <c r="Q1813" s="3387"/>
      <c r="R1813" s="3363"/>
      <c r="S1813" s="16"/>
      <c r="T1813" s="16"/>
      <c r="U1813" s="16"/>
      <c r="V1813" s="16"/>
    </row>
    <row r="1814" spans="1:22">
      <c r="B1814" s="1042"/>
      <c r="C1814" s="1042"/>
      <c r="D1814" s="1473" t="s">
        <v>1067</v>
      </c>
      <c r="E1814" s="2148" t="s">
        <v>1508</v>
      </c>
      <c r="F1814" s="1473" t="s">
        <v>1512</v>
      </c>
      <c r="G1814" s="1365">
        <v>0.628</v>
      </c>
      <c r="H1814" s="1365"/>
      <c r="I1814" s="198"/>
      <c r="J1814" s="6"/>
      <c r="K1814" s="1307">
        <f>G1814*K1808</f>
        <v>2.685328E-2</v>
      </c>
      <c r="L1814" s="1335">
        <f>K1814*$K$1793</f>
        <v>0</v>
      </c>
      <c r="M1814" s="1499">
        <v>18.28</v>
      </c>
      <c r="N1814" s="1701"/>
      <c r="O1814" s="1290">
        <f>(G1814*M1814)</f>
        <v>11.479840000000001</v>
      </c>
      <c r="P1814" s="1332">
        <f>M1814*K1814</f>
        <v>0.49087795840000004</v>
      </c>
      <c r="Q1814" s="3391"/>
      <c r="R1814" s="3363"/>
      <c r="S1814" s="16"/>
      <c r="T1814" s="16"/>
      <c r="U1814" s="16"/>
      <c r="V1814" s="16"/>
    </row>
    <row r="1815" spans="1:22">
      <c r="B1815" s="1042"/>
      <c r="C1815" s="1042"/>
      <c r="D1815" s="1623"/>
      <c r="E1815" s="2158"/>
      <c r="F1815" s="1801"/>
      <c r="G1815" s="1359"/>
      <c r="H1815" s="1803"/>
      <c r="I1815" s="198"/>
      <c r="J1815" s="6"/>
      <c r="K1815" s="1307"/>
      <c r="L1815" s="1335"/>
      <c r="M1815" s="1499"/>
      <c r="N1815" s="1701"/>
      <c r="O1815" s="1290"/>
      <c r="P1815" s="1332"/>
      <c r="Q1815" s="3391"/>
      <c r="R1815" s="3363"/>
      <c r="S1815" s="16"/>
      <c r="T1815" s="16"/>
      <c r="U1815" s="16"/>
      <c r="V1815" s="16"/>
    </row>
    <row r="1816" spans="1:22">
      <c r="B1816" s="1042"/>
      <c r="C1816" s="1042"/>
      <c r="D1816" s="1623"/>
      <c r="E1816" s="2158"/>
      <c r="F1816" s="1801"/>
      <c r="G1816" s="1359"/>
      <c r="H1816" s="1803"/>
      <c r="I1816" s="198"/>
      <c r="J1816" s="6"/>
      <c r="K1816" s="1307"/>
      <c r="L1816" s="1335"/>
      <c r="M1816" s="1499"/>
      <c r="N1816" s="1701"/>
      <c r="O1816" s="1290"/>
      <c r="P1816" s="1332"/>
      <c r="Q1816" s="3391"/>
      <c r="R1816" s="3363"/>
      <c r="S1816" s="631"/>
      <c r="T1816" s="631"/>
      <c r="U1816" s="16"/>
      <c r="V1816" s="16"/>
    </row>
    <row r="1817" spans="1:22" s="22" customFormat="1">
      <c r="B1817" s="1042"/>
      <c r="C1817" s="1042"/>
      <c r="D1817" s="1411"/>
      <c r="E1817" s="2123"/>
      <c r="F1817" s="1802" t="s">
        <v>3</v>
      </c>
      <c r="G1817" s="1475"/>
      <c r="H1817" s="1505"/>
      <c r="I1817" s="1382"/>
      <c r="J1817" s="1383"/>
      <c r="K1817" s="1373"/>
      <c r="L1817" s="1413"/>
      <c r="M1817" s="1505"/>
      <c r="N1817" s="1505"/>
      <c r="O1817" s="1376"/>
      <c r="P1817" s="1413"/>
      <c r="Q1817" s="3387"/>
      <c r="R1817" s="2337"/>
      <c r="S1817" s="16"/>
      <c r="T1817" s="16"/>
      <c r="U1817" s="16"/>
      <c r="V1817" s="16"/>
    </row>
    <row r="1818" spans="1:22">
      <c r="B1818" s="1042"/>
      <c r="C1818" s="1042"/>
      <c r="D1818" s="1411"/>
      <c r="E1818" s="2123"/>
      <c r="F1818" s="1475"/>
      <c r="G1818" s="1475"/>
      <c r="H1818" s="1376"/>
      <c r="I1818" s="198"/>
      <c r="J1818" s="6"/>
      <c r="K1818" s="1307"/>
      <c r="L1818" s="1335"/>
      <c r="M1818" s="1499"/>
      <c r="N1818" s="1701"/>
      <c r="O1818" s="1290"/>
      <c r="P1818" s="1332"/>
      <c r="Q1818" s="3391"/>
      <c r="R1818" s="3363"/>
      <c r="S1818" s="16"/>
      <c r="T1818" s="16"/>
      <c r="U1818" s="16"/>
      <c r="V1818" s="16"/>
    </row>
    <row r="1819" spans="1:22">
      <c r="B1819" s="1042"/>
      <c r="C1819" s="1042"/>
      <c r="D1819" s="1412"/>
      <c r="E1819" s="2124"/>
      <c r="F1819" s="1377"/>
      <c r="G1819" s="1377"/>
      <c r="H1819" s="1597"/>
      <c r="I1819" s="198"/>
      <c r="J1819" s="6"/>
      <c r="K1819" s="1306"/>
      <c r="L1819" s="1646"/>
      <c r="M1819" s="1302"/>
      <c r="N1819" s="1302"/>
      <c r="O1819" s="1291"/>
      <c r="P1819" s="1332"/>
      <c r="Q1819" s="3391"/>
      <c r="R1819" s="2337"/>
      <c r="S1819" s="105"/>
      <c r="T1819" s="105"/>
      <c r="U1819" s="16"/>
      <c r="V1819" s="16"/>
    </row>
    <row r="1820" spans="1:22">
      <c r="B1820" s="223"/>
      <c r="C1820" s="223"/>
      <c r="D1820" s="1808"/>
      <c r="E1820" s="2132"/>
      <c r="F1820" s="1804"/>
      <c r="G1820" s="1804"/>
      <c r="H1820" s="1805"/>
      <c r="I1820" s="197"/>
      <c r="J1820" s="1806"/>
      <c r="K1820" s="1307"/>
      <c r="L1820" s="1335"/>
      <c r="M1820" s="1701"/>
      <c r="N1820" s="1701"/>
      <c r="O1820" s="1290"/>
      <c r="P1820" s="1333"/>
      <c r="Q1820" s="3391"/>
      <c r="R1820" s="3363"/>
      <c r="S1820" s="16"/>
      <c r="T1820" s="16"/>
      <c r="U1820" s="16"/>
      <c r="V1820" s="16"/>
    </row>
    <row r="1821" spans="1:22" ht="15" customHeight="1">
      <c r="A1821" s="19" t="s">
        <v>3764</v>
      </c>
      <c r="B1821" s="4325" t="s">
        <v>1735</v>
      </c>
      <c r="C1821" s="3350"/>
      <c r="D1821" s="4327"/>
      <c r="E1821" s="4329" t="s">
        <v>1507</v>
      </c>
      <c r="F1821" s="4336" t="s">
        <v>1771</v>
      </c>
      <c r="G1821" s="4331" t="s">
        <v>1568</v>
      </c>
      <c r="H1821" s="4331" t="s">
        <v>1574</v>
      </c>
      <c r="I1821" s="1572" t="s">
        <v>1559</v>
      </c>
      <c r="J1821" s="1294" t="s">
        <v>1560</v>
      </c>
      <c r="K1821" s="1294" t="s">
        <v>1569</v>
      </c>
      <c r="L1821" s="4333" t="s">
        <v>3765</v>
      </c>
      <c r="M1821" s="4335" t="s">
        <v>1571</v>
      </c>
      <c r="N1821" s="4323" t="s">
        <v>1776</v>
      </c>
      <c r="O1821" s="3347" t="s">
        <v>1563</v>
      </c>
      <c r="P1821" s="1336" t="s">
        <v>1562</v>
      </c>
      <c r="Q1821" s="3389"/>
      <c r="R1821" s="1699" t="s">
        <v>1327</v>
      </c>
      <c r="S1821" s="16"/>
      <c r="T1821" s="16"/>
      <c r="U1821" s="16"/>
      <c r="V1821" s="16"/>
    </row>
    <row r="1822" spans="1:22">
      <c r="A1822" s="1807" t="s">
        <v>1798</v>
      </c>
      <c r="B1822" s="4326"/>
      <c r="C1822" s="3351"/>
      <c r="D1822" s="4328"/>
      <c r="E1822" s="4330"/>
      <c r="F1822" s="4336"/>
      <c r="G1822" s="4332"/>
      <c r="H1822" s="4332"/>
      <c r="I1822" s="1345">
        <v>91.59</v>
      </c>
      <c r="J1822" s="1307">
        <v>2E-3</v>
      </c>
      <c r="K1822" s="1307">
        <f>I1822*J1822</f>
        <v>0.18318000000000001</v>
      </c>
      <c r="L1822" s="4334"/>
      <c r="M1822" s="4335"/>
      <c r="N1822" s="4324"/>
      <c r="O1822" s="1298">
        <f>SUM(O1824:O1838)</f>
        <v>47.978480299999994</v>
      </c>
      <c r="P1822" s="1337">
        <f>O1822*K1822</f>
        <v>8.7886980213539996</v>
      </c>
      <c r="Q1822" s="3390"/>
      <c r="R1822" s="1721">
        <f>SUM(P1824:P1838)</f>
        <v>13.059330820357999</v>
      </c>
      <c r="S1822" s="16"/>
      <c r="T1822" s="16"/>
      <c r="U1822" s="16"/>
      <c r="V1822" s="16"/>
    </row>
    <row r="1823" spans="1:22">
      <c r="B1823" s="551"/>
      <c r="C1823" s="18"/>
      <c r="D1823" s="1400"/>
      <c r="E1823" s="2121"/>
      <c r="F1823" s="1368" t="s">
        <v>1</v>
      </c>
      <c r="G1823" s="1417"/>
      <c r="H1823" s="1390"/>
      <c r="I1823" s="1554"/>
      <c r="J1823" s="1367"/>
      <c r="K1823" s="1367"/>
      <c r="L1823" s="1554"/>
      <c r="M1823" s="1369"/>
      <c r="N1823" s="1369"/>
      <c r="O1823" s="1369"/>
      <c r="P1823" s="1367"/>
      <c r="Q1823" s="3387"/>
      <c r="R1823" s="3363"/>
      <c r="S1823" s="16"/>
      <c r="T1823" s="16"/>
      <c r="U1823" s="16"/>
      <c r="V1823" s="16"/>
    </row>
    <row r="1824" spans="1:22">
      <c r="B1824" s="553"/>
      <c r="C1824" s="1042"/>
      <c r="D1824" s="1400"/>
      <c r="E1824" s="1856"/>
      <c r="F1824" s="1421"/>
      <c r="G1824" s="1399"/>
      <c r="H1824" s="1399"/>
      <c r="I1824" s="1760"/>
      <c r="J1824" s="198"/>
      <c r="K1824" s="1307"/>
      <c r="L1824" s="1335"/>
      <c r="M1824" s="1499"/>
      <c r="N1824" s="1701"/>
      <c r="O1824" s="1290"/>
      <c r="P1824" s="1332"/>
      <c r="Q1824" s="3391"/>
      <c r="R1824" s="3363"/>
      <c r="S1824" s="16"/>
      <c r="T1824" s="16"/>
      <c r="U1824" s="16"/>
      <c r="V1824" s="16"/>
    </row>
    <row r="1825" spans="1:22">
      <c r="B1825" s="553"/>
      <c r="C1825" s="1042"/>
      <c r="D1825" s="1400"/>
      <c r="E1825" s="1856"/>
      <c r="F1825" s="1421"/>
      <c r="G1825" s="1399"/>
      <c r="H1825" s="1399"/>
      <c r="I1825" s="1760"/>
      <c r="J1825" s="198"/>
      <c r="K1825" s="1307"/>
      <c r="L1825" s="1335"/>
      <c r="M1825" s="1499"/>
      <c r="N1825" s="1701"/>
      <c r="O1825" s="1290"/>
      <c r="P1825" s="1332"/>
      <c r="Q1825" s="3391"/>
      <c r="R1825" s="3363"/>
      <c r="S1825" s="16"/>
      <c r="T1825" s="16"/>
      <c r="U1825" s="16"/>
      <c r="V1825" s="16"/>
    </row>
    <row r="1826" spans="1:22">
      <c r="B1826" s="553"/>
      <c r="C1826" s="1042"/>
      <c r="D1826" s="1400"/>
      <c r="E1826" s="1856"/>
      <c r="F1826" s="1421"/>
      <c r="G1826" s="1452"/>
      <c r="H1826" s="1399"/>
      <c r="I1826" s="197"/>
      <c r="J1826" s="198"/>
      <c r="K1826" s="1307"/>
      <c r="L1826" s="1335"/>
      <c r="M1826" s="1499"/>
      <c r="N1826" s="1701"/>
      <c r="O1826" s="1290"/>
      <c r="P1826" s="1332"/>
      <c r="Q1826" s="3391"/>
      <c r="R1826" s="3363"/>
      <c r="S1826" s="16"/>
      <c r="T1826" s="16"/>
      <c r="U1826" s="16"/>
      <c r="V1826" s="16"/>
    </row>
    <row r="1827" spans="1:22">
      <c r="B1827" s="553"/>
      <c r="C1827" s="1042"/>
      <c r="D1827" s="1410"/>
      <c r="E1827" s="1858"/>
      <c r="F1827" s="1360" t="s">
        <v>2</v>
      </c>
      <c r="G1827" s="1360"/>
      <c r="H1827" s="1362"/>
      <c r="I1827" s="1380"/>
      <c r="J1827" s="1381"/>
      <c r="K1827" s="1359"/>
      <c r="L1827" s="1458"/>
      <c r="M1827" s="1502"/>
      <c r="N1827" s="1502"/>
      <c r="O1827" s="1362"/>
      <c r="P1827" s="1359"/>
      <c r="Q1827" s="3387"/>
      <c r="R1827" s="3363"/>
      <c r="S1827" s="16"/>
      <c r="T1827" s="16"/>
      <c r="U1827" s="16"/>
      <c r="V1827" s="16"/>
    </row>
    <row r="1828" spans="1:22">
      <c r="B1828" s="553"/>
      <c r="C1828" s="1042"/>
      <c r="D1828" s="1364" t="s">
        <v>1067</v>
      </c>
      <c r="E1828" s="2148" t="s">
        <v>1508</v>
      </c>
      <c r="F1828" s="1473" t="s">
        <v>1512</v>
      </c>
      <c r="G1828" s="1365">
        <v>0.47499999999999998</v>
      </c>
      <c r="H1828" s="1365"/>
      <c r="I1828" s="198"/>
      <c r="J1828" s="6"/>
      <c r="K1828" s="1307">
        <f>G1828*K1822</f>
        <v>8.7010500000000005E-2</v>
      </c>
      <c r="L1828" s="1335">
        <f>K1828*$K$1793</f>
        <v>0</v>
      </c>
      <c r="M1828" s="1499">
        <v>18.28</v>
      </c>
      <c r="N1828" s="1701"/>
      <c r="O1828" s="1290">
        <f>(G1828*M1828)</f>
        <v>8.6829999999999998</v>
      </c>
      <c r="P1828" s="1332">
        <f>M1828*K1828</f>
        <v>1.5905519400000001</v>
      </c>
      <c r="Q1828" s="3391"/>
      <c r="R1828" s="3363"/>
      <c r="S1828" s="16"/>
      <c r="T1828" s="16"/>
      <c r="U1828" s="16"/>
      <c r="V1828" s="16"/>
    </row>
    <row r="1829" spans="1:22">
      <c r="B1829" s="553"/>
      <c r="C1829" s="1042"/>
      <c r="D1829" s="1623"/>
      <c r="E1829" s="2158"/>
      <c r="F1829" s="1801"/>
      <c r="G1829" s="1359"/>
      <c r="H1829" s="1803"/>
      <c r="I1829" s="198"/>
      <c r="J1829" s="6"/>
      <c r="K1829" s="1307"/>
      <c r="L1829" s="1335"/>
      <c r="M1829" s="1499"/>
      <c r="N1829" s="1701"/>
      <c r="O1829" s="1290"/>
      <c r="P1829" s="1332"/>
      <c r="Q1829" s="3391"/>
      <c r="R1829" s="3363"/>
      <c r="S1829" s="16"/>
      <c r="T1829" s="16"/>
      <c r="U1829" s="16"/>
      <c r="V1829" s="16"/>
    </row>
    <row r="1830" spans="1:22">
      <c r="B1830" s="553"/>
      <c r="C1830" s="1042"/>
      <c r="D1830" s="1623"/>
      <c r="E1830" s="2158"/>
      <c r="F1830" s="1801"/>
      <c r="G1830" s="1359"/>
      <c r="H1830" s="1803"/>
      <c r="I1830" s="198"/>
      <c r="J1830" s="6"/>
      <c r="K1830" s="1307"/>
      <c r="L1830" s="1335"/>
      <c r="M1830" s="1499"/>
      <c r="N1830" s="1701"/>
      <c r="O1830" s="1290"/>
      <c r="P1830" s="1332"/>
      <c r="Q1830" s="3391"/>
      <c r="R1830" s="3363"/>
      <c r="S1830" s="16"/>
      <c r="T1830" s="16"/>
      <c r="U1830" s="16"/>
      <c r="V1830" s="16"/>
    </row>
    <row r="1831" spans="1:22">
      <c r="B1831" s="553"/>
      <c r="C1831" s="1042"/>
      <c r="D1831" s="1411"/>
      <c r="E1831" s="2123"/>
      <c r="F1831" s="1802" t="s">
        <v>3</v>
      </c>
      <c r="G1831" s="1475"/>
      <c r="H1831" s="1505"/>
      <c r="I1831" s="1382"/>
      <c r="J1831" s="1383"/>
      <c r="K1831" s="1373"/>
      <c r="L1831" s="1413"/>
      <c r="M1831" s="1505"/>
      <c r="N1831" s="1505"/>
      <c r="O1831" s="1376"/>
      <c r="P1831" s="1413"/>
      <c r="Q1831" s="3387"/>
      <c r="R1831" s="3363"/>
      <c r="S1831" s="16"/>
      <c r="T1831" s="16"/>
      <c r="U1831" s="16"/>
      <c r="V1831" s="16"/>
    </row>
    <row r="1832" spans="1:22">
      <c r="B1832" s="553"/>
      <c r="C1832" s="1042"/>
      <c r="D1832" s="1411"/>
      <c r="E1832" s="2123"/>
      <c r="F1832" s="1475"/>
      <c r="G1832" s="1475"/>
      <c r="H1832" s="1376"/>
      <c r="I1832" s="198"/>
      <c r="J1832" s="6"/>
      <c r="K1832" s="1307"/>
      <c r="L1832" s="1335"/>
      <c r="M1832" s="1499"/>
      <c r="N1832" s="1701"/>
      <c r="O1832" s="1290"/>
      <c r="P1832" s="1332"/>
      <c r="Q1832" s="3391"/>
      <c r="R1832" s="3363"/>
      <c r="S1832" s="16"/>
      <c r="T1832" s="16"/>
      <c r="U1832" s="16"/>
      <c r="V1832" s="16"/>
    </row>
    <row r="1833" spans="1:22">
      <c r="B1833" s="553"/>
      <c r="C1833" s="1042"/>
      <c r="D1833" s="1412"/>
      <c r="E1833" s="2124"/>
      <c r="F1833" s="1377"/>
      <c r="G1833" s="1377"/>
      <c r="H1833" s="1597"/>
      <c r="I1833" s="198"/>
      <c r="J1833" s="6"/>
      <c r="K1833" s="1306"/>
      <c r="L1833" s="1646"/>
      <c r="M1833" s="1302"/>
      <c r="N1833" s="1302"/>
      <c r="O1833" s="1291"/>
      <c r="P1833" s="1332"/>
      <c r="Q1833" s="3391"/>
      <c r="R1833" s="2337"/>
      <c r="S1833" s="16"/>
      <c r="T1833" s="16"/>
      <c r="U1833" s="16"/>
      <c r="V1833" s="16"/>
    </row>
    <row r="1834" spans="1:22">
      <c r="B1834" s="554"/>
      <c r="C1834" s="223"/>
      <c r="D1834" s="1808"/>
      <c r="E1834" s="2132"/>
      <c r="F1834" s="1804"/>
      <c r="G1834" s="1804"/>
      <c r="H1834" s="1805"/>
      <c r="I1834" s="197"/>
      <c r="J1834" s="1806"/>
      <c r="K1834" s="1307"/>
      <c r="L1834" s="1335"/>
      <c r="M1834" s="1701"/>
      <c r="N1834" s="1701"/>
      <c r="O1834" s="1290"/>
      <c r="P1834" s="1333"/>
      <c r="Q1834" s="3391"/>
      <c r="R1834" s="3363"/>
      <c r="S1834" s="16"/>
      <c r="T1834" s="16"/>
      <c r="U1834" s="16"/>
      <c r="V1834" s="16"/>
    </row>
    <row r="1835" spans="1:22">
      <c r="A1835" s="19" t="s">
        <v>3764</v>
      </c>
      <c r="B1835" s="4325" t="s">
        <v>1805</v>
      </c>
      <c r="C1835" s="3350"/>
      <c r="D1835" s="4327"/>
      <c r="E1835" s="4329" t="s">
        <v>1527</v>
      </c>
      <c r="F1835" s="4336" t="s">
        <v>1807</v>
      </c>
      <c r="G1835" s="4331" t="s">
        <v>1568</v>
      </c>
      <c r="H1835" s="4331" t="s">
        <v>1574</v>
      </c>
      <c r="I1835" s="1572" t="s">
        <v>1559</v>
      </c>
      <c r="J1835" s="1294" t="s">
        <v>1560</v>
      </c>
      <c r="K1835" s="1294" t="s">
        <v>1569</v>
      </c>
      <c r="L1835" s="4333" t="s">
        <v>3765</v>
      </c>
      <c r="M1835" s="4335" t="s">
        <v>1571</v>
      </c>
      <c r="N1835" s="4323" t="s">
        <v>1776</v>
      </c>
      <c r="O1835" s="3347" t="s">
        <v>1563</v>
      </c>
      <c r="P1835" s="1336" t="s">
        <v>1562</v>
      </c>
      <c r="Q1835" s="3389"/>
      <c r="R1835" s="1699" t="s">
        <v>1327</v>
      </c>
      <c r="S1835" s="16"/>
      <c r="T1835" s="16"/>
      <c r="U1835" s="16"/>
      <c r="V1835" s="16"/>
    </row>
    <row r="1836" spans="1:22">
      <c r="A1836" s="1807" t="s">
        <v>1798</v>
      </c>
      <c r="B1836" s="4326"/>
      <c r="C1836" s="3351"/>
      <c r="D1836" s="4328"/>
      <c r="E1836" s="4330"/>
      <c r="F1836" s="4336"/>
      <c r="G1836" s="4332"/>
      <c r="H1836" s="4332"/>
      <c r="I1836" s="1345">
        <v>145.93</v>
      </c>
      <c r="J1836" s="1307">
        <v>2E-3</v>
      </c>
      <c r="K1836" s="1307">
        <f>I1836*J1836</f>
        <v>0.29186000000000001</v>
      </c>
      <c r="L1836" s="4334"/>
      <c r="M1836" s="4335"/>
      <c r="N1836" s="4324"/>
      <c r="O1836" s="1298">
        <f>O1838+O1839+O1847+O1848+O1852</f>
        <v>38.602480299999996</v>
      </c>
      <c r="P1836" s="1337">
        <f>K1836*O1836</f>
        <v>11.266519900357999</v>
      </c>
      <c r="Q1836" s="3390"/>
      <c r="R1836" s="1721">
        <f>P1838+P1839+P1847+P1848+P1852</f>
        <v>11.266519900357999</v>
      </c>
      <c r="S1836" s="16"/>
      <c r="T1836" s="16"/>
      <c r="U1836" s="16"/>
      <c r="V1836" s="16"/>
    </row>
    <row r="1837" spans="1:22">
      <c r="B1837" s="18"/>
      <c r="C1837" s="18"/>
      <c r="D1837" s="1400"/>
      <c r="E1837" s="2121"/>
      <c r="F1837" s="1368" t="s">
        <v>1</v>
      </c>
      <c r="G1837" s="1417"/>
      <c r="H1837" s="1390"/>
      <c r="I1837" s="1554"/>
      <c r="J1837" s="1367"/>
      <c r="K1837" s="1367"/>
      <c r="L1837" s="1554"/>
      <c r="M1837" s="1369"/>
      <c r="N1837" s="1369"/>
      <c r="O1837" s="1369"/>
      <c r="P1837" s="1367"/>
      <c r="Q1837" s="3387"/>
      <c r="R1837" s="3363"/>
      <c r="S1837" s="17"/>
      <c r="T1837" s="17"/>
      <c r="U1837" s="16"/>
      <c r="V1837" s="16"/>
    </row>
    <row r="1838" spans="1:22">
      <c r="B1838" s="1042"/>
      <c r="C1838" s="223"/>
      <c r="D1838" s="1610" t="s">
        <v>1786</v>
      </c>
      <c r="E1838" s="2170" t="s">
        <v>1787</v>
      </c>
      <c r="F1838" s="1367" t="s">
        <v>1788</v>
      </c>
      <c r="G1838" s="1762">
        <v>0.45</v>
      </c>
      <c r="I1838" s="10"/>
      <c r="J1838" s="198"/>
      <c r="K1838" s="1307">
        <f>G1838*K1836</f>
        <v>0.13133700000000001</v>
      </c>
      <c r="L1838" s="1335">
        <f>K1838*$K$1793</f>
        <v>0</v>
      </c>
      <c r="M1838" s="1499">
        <v>1.54</v>
      </c>
      <c r="N1838" s="1718"/>
      <c r="O1838" s="1719">
        <f>(G1838*M1838)</f>
        <v>0.69300000000000006</v>
      </c>
      <c r="P1838" s="1720">
        <f>M1838*K1838</f>
        <v>0.20225898000000003</v>
      </c>
      <c r="Q1838" s="3396"/>
      <c r="R1838" s="2337"/>
      <c r="S1838" s="105"/>
      <c r="T1838" s="16"/>
      <c r="U1838" s="16"/>
    </row>
    <row r="1839" spans="1:22">
      <c r="B1839" s="1042"/>
      <c r="C1839" s="1356" t="s">
        <v>1790</v>
      </c>
      <c r="D1839" s="1311"/>
      <c r="E1839" s="2137" t="s">
        <v>1517</v>
      </c>
      <c r="F1839" s="1343" t="s">
        <v>1791</v>
      </c>
      <c r="G1839" s="1344"/>
      <c r="H1839" s="1344">
        <v>3.5000000000000003E-2</v>
      </c>
      <c r="I1839" s="1444"/>
      <c r="J1839" s="1388"/>
      <c r="K1839" s="1445"/>
      <c r="L1839" s="1457"/>
      <c r="M1839" s="1446"/>
      <c r="N1839" s="1447">
        <f>SUM(N1840:N1844)</f>
        <v>76.906580000000005</v>
      </c>
      <c r="O1839" s="1447">
        <f>SUM(O1840:O1844)</f>
        <v>2.6917303000000006</v>
      </c>
      <c r="P1839" s="1447">
        <f>SUM(P1840:P1844)</f>
        <v>0.78560840535800014</v>
      </c>
      <c r="Q1839" s="3391"/>
      <c r="R1839" s="3363"/>
      <c r="S1839" s="16"/>
      <c r="T1839" s="16"/>
      <c r="U1839" s="16"/>
      <c r="V1839" s="16"/>
    </row>
    <row r="1840" spans="1:22">
      <c r="B1840" s="1042"/>
      <c r="C1840" s="1327"/>
      <c r="D1840" s="1756" t="s">
        <v>1069</v>
      </c>
      <c r="E1840" s="1852" t="s">
        <v>1517</v>
      </c>
      <c r="F1840" s="1784" t="s">
        <v>1578</v>
      </c>
      <c r="G1840" s="1399">
        <v>0.2</v>
      </c>
      <c r="H1840" s="1399">
        <f>G1840*$H$1839</f>
        <v>7.000000000000001E-3</v>
      </c>
      <c r="I1840" s="197"/>
      <c r="J1840" s="198"/>
      <c r="K1840" s="1307">
        <f>H1840*$K$1836</f>
        <v>2.0430200000000004E-3</v>
      </c>
      <c r="L1840" s="1335">
        <f>K1840*$K$1793</f>
        <v>0</v>
      </c>
      <c r="M1840" s="1499">
        <v>0.55000000000000004</v>
      </c>
      <c r="N1840" s="1718">
        <f>G1840*M1840</f>
        <v>0.11000000000000001</v>
      </c>
      <c r="O1840" s="1719">
        <f>H1840*M1840</f>
        <v>3.850000000000001E-3</v>
      </c>
      <c r="P1840" s="1720">
        <f>M1840*K1840</f>
        <v>1.1236610000000004E-3</v>
      </c>
      <c r="Q1840" s="3396"/>
      <c r="R1840" s="3363"/>
      <c r="S1840" s="16"/>
      <c r="T1840" s="16"/>
      <c r="U1840" s="16"/>
      <c r="V1840" s="16"/>
    </row>
    <row r="1841" spans="1:22">
      <c r="B1841" s="1042"/>
      <c r="C1841" s="1320"/>
      <c r="D1841" s="1756" t="s">
        <v>1792</v>
      </c>
      <c r="E1841" s="1852" t="s">
        <v>1577</v>
      </c>
      <c r="F1841" s="1752" t="s">
        <v>1793</v>
      </c>
      <c r="G1841" s="1399">
        <v>0.25</v>
      </c>
      <c r="H1841" s="1399">
        <f>G1841*$H$1839</f>
        <v>8.7500000000000008E-3</v>
      </c>
      <c r="I1841" s="197"/>
      <c r="J1841" s="198"/>
      <c r="K1841" s="1307">
        <f>H1841*$K$1836</f>
        <v>2.5537750000000003E-3</v>
      </c>
      <c r="L1841" s="1335">
        <f>K1841*$K$1793</f>
        <v>0</v>
      </c>
      <c r="M1841" s="1499">
        <v>85.09</v>
      </c>
      <c r="N1841" s="1718">
        <f>G1841*M1841</f>
        <v>21.272500000000001</v>
      </c>
      <c r="O1841" s="1719">
        <f>H1841*M1841</f>
        <v>0.74453750000000007</v>
      </c>
      <c r="P1841" s="1720">
        <f>M1841*K1841</f>
        <v>0.21730071475000004</v>
      </c>
      <c r="Q1841" s="3396"/>
      <c r="R1841" s="3363"/>
      <c r="S1841" s="16"/>
      <c r="T1841" s="16"/>
      <c r="U1841" s="16"/>
      <c r="V1841" s="16"/>
    </row>
    <row r="1842" spans="1:22">
      <c r="B1842" s="1042"/>
      <c r="C1842" s="1320"/>
      <c r="D1842" s="1756" t="s">
        <v>1394</v>
      </c>
      <c r="E1842" s="1852" t="s">
        <v>1577</v>
      </c>
      <c r="F1842" s="1752" t="s">
        <v>1579</v>
      </c>
      <c r="G1842" s="1399">
        <v>0.25</v>
      </c>
      <c r="H1842" s="1399">
        <f>G1842*$H$1839</f>
        <v>8.7500000000000008E-3</v>
      </c>
      <c r="I1842" s="197"/>
      <c r="J1842" s="198"/>
      <c r="K1842" s="1307">
        <f>H1842*$K$1836</f>
        <v>2.5537750000000003E-3</v>
      </c>
      <c r="L1842" s="1335">
        <f>K1842*$K$1793</f>
        <v>0</v>
      </c>
      <c r="M1842" s="1499">
        <v>92.54</v>
      </c>
      <c r="N1842" s="1718">
        <f>G1842*M1842</f>
        <v>23.135000000000002</v>
      </c>
      <c r="O1842" s="1719">
        <f>H1842*M1842</f>
        <v>0.80972500000000014</v>
      </c>
      <c r="P1842" s="1720">
        <f>M1842*K1842</f>
        <v>0.23632633850000004</v>
      </c>
      <c r="Q1842" s="3396"/>
      <c r="R1842" s="1173"/>
      <c r="S1842" s="16"/>
      <c r="T1842" s="16"/>
      <c r="U1842" s="16"/>
      <c r="V1842" s="16"/>
    </row>
    <row r="1843" spans="1:22">
      <c r="B1843" s="1042"/>
      <c r="C1843" s="1320"/>
      <c r="D1843" s="1756" t="s">
        <v>1576</v>
      </c>
      <c r="E1843" s="1852" t="s">
        <v>1517</v>
      </c>
      <c r="F1843" s="1752" t="s">
        <v>1580</v>
      </c>
      <c r="G1843" s="1399">
        <v>1.5</v>
      </c>
      <c r="H1843" s="1399">
        <f>G1843*$H$1839</f>
        <v>5.2500000000000005E-2</v>
      </c>
      <c r="I1843" s="197"/>
      <c r="J1843" s="198"/>
      <c r="K1843" s="1307">
        <f>H1843*$K$1836</f>
        <v>1.5322650000000002E-2</v>
      </c>
      <c r="L1843" s="1335">
        <f>K1843*$K$1793</f>
        <v>0</v>
      </c>
      <c r="M1843" s="1499">
        <v>6.53</v>
      </c>
      <c r="N1843" s="1718">
        <f>G1843*M1843</f>
        <v>9.7949999999999999</v>
      </c>
      <c r="O1843" s="1719">
        <f>H1843*M1843</f>
        <v>0.34282500000000005</v>
      </c>
      <c r="P1843" s="1720">
        <f>M1843*K1843</f>
        <v>0.10005690450000002</v>
      </c>
      <c r="Q1843" s="3396"/>
      <c r="R1843" s="3363"/>
      <c r="S1843" s="16"/>
      <c r="T1843" s="16"/>
      <c r="U1843" s="16"/>
      <c r="V1843" s="16"/>
    </row>
    <row r="1844" spans="1:22">
      <c r="B1844" s="1042"/>
      <c r="C1844" s="1320"/>
      <c r="D1844" s="1757" t="s">
        <v>1067</v>
      </c>
      <c r="E1844" s="1853" t="s">
        <v>1508</v>
      </c>
      <c r="F1844" s="1754" t="s">
        <v>1512</v>
      </c>
      <c r="G1844" s="1408">
        <v>1.236</v>
      </c>
      <c r="H1844" s="1408">
        <f>G1844*$H$1839</f>
        <v>4.3260000000000007E-2</v>
      </c>
      <c r="I1844" s="197"/>
      <c r="J1844" s="198"/>
      <c r="K1844" s="1307">
        <f>H1844*$K$1836</f>
        <v>1.2625863600000002E-2</v>
      </c>
      <c r="L1844" s="1335">
        <f>K1844*$K$1793</f>
        <v>0</v>
      </c>
      <c r="M1844" s="1499">
        <v>18.28</v>
      </c>
      <c r="N1844" s="1718">
        <f>G1844*M1844</f>
        <v>22.594080000000002</v>
      </c>
      <c r="O1844" s="1719">
        <f>H1844*M1844</f>
        <v>0.79079280000000018</v>
      </c>
      <c r="P1844" s="1720">
        <f>M1844*K1844</f>
        <v>0.23080078660800005</v>
      </c>
      <c r="Q1844" s="3396"/>
      <c r="R1844" s="3363"/>
      <c r="S1844" s="16"/>
      <c r="T1844" s="16"/>
      <c r="U1844" s="16"/>
      <c r="V1844" s="16"/>
    </row>
    <row r="1845" spans="1:22">
      <c r="B1845" s="1042"/>
      <c r="C1845" s="1320"/>
      <c r="D1845" s="2263"/>
      <c r="E1845" s="2167"/>
      <c r="F1845" s="2256"/>
      <c r="G1845" s="1657"/>
      <c r="H1845" s="1657"/>
      <c r="I1845" s="2235"/>
      <c r="J1845" s="198"/>
      <c r="K1845" s="1307"/>
      <c r="L1845" s="1335"/>
      <c r="M1845" s="1499"/>
      <c r="N1845" s="1724"/>
      <c r="O1845" s="1719"/>
      <c r="P1845" s="1720"/>
      <c r="Q1845" s="3396"/>
      <c r="R1845" s="3363"/>
      <c r="S1845" s="16"/>
      <c r="T1845" s="16"/>
      <c r="U1845" s="16"/>
      <c r="V1845" s="16"/>
    </row>
    <row r="1846" spans="1:22">
      <c r="B1846" s="1042"/>
      <c r="C1846" s="1320"/>
      <c r="D1846" s="1811"/>
      <c r="E1846" s="2171"/>
      <c r="F1846" s="1813" t="s">
        <v>2</v>
      </c>
      <c r="G1846" s="1395"/>
      <c r="H1846" s="1395"/>
      <c r="I1846" s="1381"/>
      <c r="J1846" s="1381"/>
      <c r="K1846" s="1679"/>
      <c r="L1846" s="1680"/>
      <c r="M1846" s="1681"/>
      <c r="N1846" s="1810"/>
      <c r="O1846" s="1782"/>
      <c r="P1846" s="1783"/>
      <c r="Q1846" s="3396"/>
      <c r="R1846" s="3363"/>
      <c r="S1846" s="16"/>
      <c r="T1846" s="16"/>
      <c r="U1846" s="16"/>
      <c r="V1846" s="16"/>
    </row>
    <row r="1847" spans="1:22">
      <c r="B1847" s="1042"/>
      <c r="C1847" s="1042"/>
      <c r="D1847" s="1627" t="s">
        <v>1806</v>
      </c>
      <c r="E1847" s="2157" t="s">
        <v>1508</v>
      </c>
      <c r="F1847" s="1818" t="s">
        <v>1663</v>
      </c>
      <c r="G1847" s="1621">
        <v>1.0469999999999999</v>
      </c>
      <c r="H1847" s="10"/>
      <c r="I1847" s="198"/>
      <c r="J1847" s="6"/>
      <c r="K1847" s="1307">
        <f>G1847*$K$1836</f>
        <v>0.30557741999999999</v>
      </c>
      <c r="L1847" s="1335">
        <f>K1847*$K$1793</f>
        <v>0</v>
      </c>
      <c r="M1847" s="1499">
        <v>19.23</v>
      </c>
      <c r="N1847" s="1701"/>
      <c r="O1847" s="1290">
        <f>(G1847*M1847)</f>
        <v>20.13381</v>
      </c>
      <c r="P1847" s="1332">
        <f>M1847*K1847</f>
        <v>5.8762537865999995</v>
      </c>
      <c r="Q1847" s="3391"/>
      <c r="R1847" s="3363"/>
      <c r="S1847" s="16"/>
      <c r="T1847" s="16"/>
      <c r="U1847" s="16"/>
      <c r="V1847" s="16"/>
    </row>
    <row r="1848" spans="1:22">
      <c r="B1848" s="1042"/>
      <c r="C1848" s="1042"/>
      <c r="D1848" s="1627" t="s">
        <v>1067</v>
      </c>
      <c r="E1848" s="2157" t="s">
        <v>1803</v>
      </c>
      <c r="F1848" s="1818" t="s">
        <v>1512</v>
      </c>
      <c r="G1848" s="1621">
        <v>0.34799999999999998</v>
      </c>
      <c r="H1848" s="10"/>
      <c r="I1848" s="198"/>
      <c r="J1848" s="6"/>
      <c r="K1848" s="1307">
        <f>G1848*$K$1836</f>
        <v>0.10156728</v>
      </c>
      <c r="L1848" s="1335">
        <f>K1848*$K$1793</f>
        <v>0</v>
      </c>
      <c r="M1848" s="1499">
        <v>18.28</v>
      </c>
      <c r="N1848" s="1701"/>
      <c r="O1848" s="1290">
        <f>(G1848*M1848)</f>
        <v>6.36144</v>
      </c>
      <c r="P1848" s="1332">
        <f>M1848*K1848</f>
        <v>1.8566498784000001</v>
      </c>
      <c r="Q1848" s="3391"/>
      <c r="R1848" s="3363"/>
      <c r="S1848" s="16"/>
      <c r="T1848" s="16"/>
      <c r="U1848" s="16"/>
      <c r="V1848" s="16"/>
    </row>
    <row r="1849" spans="1:22">
      <c r="B1849" s="1042"/>
      <c r="C1849" s="1042"/>
      <c r="D1849" s="1814"/>
      <c r="E1849" s="2172"/>
      <c r="F1849" s="1815"/>
      <c r="G1849" s="1822"/>
      <c r="H1849" s="10"/>
      <c r="I1849" s="198"/>
      <c r="J1849" s="6"/>
      <c r="K1849" s="1307"/>
      <c r="L1849" s="1335"/>
      <c r="M1849" s="1499"/>
      <c r="N1849" s="1701"/>
      <c r="O1849" s="1290"/>
      <c r="P1849" s="1332"/>
      <c r="Q1849" s="3391"/>
      <c r="R1849" s="3363"/>
      <c r="S1849" s="16"/>
      <c r="T1849" s="16"/>
      <c r="U1849" s="16"/>
      <c r="V1849" s="16"/>
    </row>
    <row r="1850" spans="1:22">
      <c r="B1850" s="1042"/>
      <c r="C1850" s="1042"/>
      <c r="D1850" s="1623"/>
      <c r="E1850" s="2158"/>
      <c r="F1850" s="1801"/>
      <c r="G1850" s="1822"/>
      <c r="H1850" s="10"/>
      <c r="I1850" s="198"/>
      <c r="J1850" s="6"/>
      <c r="K1850" s="1307"/>
      <c r="L1850" s="1335"/>
      <c r="M1850" s="1499"/>
      <c r="N1850" s="1701"/>
      <c r="O1850" s="1290"/>
      <c r="P1850" s="1332"/>
      <c r="Q1850" s="3391"/>
      <c r="R1850" s="3363"/>
      <c r="S1850" s="16"/>
      <c r="T1850" s="16"/>
      <c r="U1850" s="16"/>
      <c r="V1850" s="16"/>
    </row>
    <row r="1851" spans="1:22">
      <c r="B1851" s="1042"/>
      <c r="C1851" s="1042"/>
      <c r="D1851" s="1411"/>
      <c r="E1851" s="2123"/>
      <c r="F1851" s="1802" t="s">
        <v>3</v>
      </c>
      <c r="G1851" s="1376"/>
      <c r="H1851" s="1376"/>
      <c r="I1851" s="1383"/>
      <c r="J1851" s="1383"/>
      <c r="K1851" s="1373"/>
      <c r="L1851" s="1413"/>
      <c r="M1851" s="1505"/>
      <c r="N1851" s="1505"/>
      <c r="O1851" s="1376"/>
      <c r="P1851" s="1413"/>
      <c r="Q1851" s="3387"/>
      <c r="R1851" s="3363"/>
      <c r="S1851" s="16"/>
      <c r="T1851" s="16"/>
      <c r="U1851" s="16"/>
      <c r="V1851" s="16"/>
    </row>
    <row r="1852" spans="1:22">
      <c r="B1852" s="1042"/>
      <c r="C1852" s="1042"/>
      <c r="D1852" s="1816" t="s">
        <v>1686</v>
      </c>
      <c r="E1852" s="2145" t="s">
        <v>1687</v>
      </c>
      <c r="F1852" s="1819" t="s">
        <v>1688</v>
      </c>
      <c r="G1852" s="1823">
        <v>1.163</v>
      </c>
      <c r="H1852" s="10"/>
      <c r="I1852" s="198"/>
      <c r="J1852" s="6"/>
      <c r="K1852" s="1307">
        <f>G1852*$K$1836</f>
        <v>0.33943318</v>
      </c>
      <c r="L1852" s="1335">
        <f>K1852*$K$1793</f>
        <v>0</v>
      </c>
      <c r="M1852" s="1499">
        <v>7.5</v>
      </c>
      <c r="N1852" s="1701"/>
      <c r="O1852" s="1290">
        <f>(G1852*M1852)</f>
        <v>8.7225000000000001</v>
      </c>
      <c r="P1852" s="1332">
        <f>M1852*K1852</f>
        <v>2.5457488499999998</v>
      </c>
      <c r="Q1852" s="3391"/>
      <c r="R1852" s="3363"/>
      <c r="S1852" s="16"/>
      <c r="T1852" s="16"/>
      <c r="U1852" s="16"/>
      <c r="V1852" s="16"/>
    </row>
    <row r="1853" spans="1:22">
      <c r="B1853" s="1042"/>
      <c r="C1853" s="1042"/>
      <c r="D1853" s="1411"/>
      <c r="E1853" s="2123"/>
      <c r="F1853" s="1820"/>
      <c r="G1853" s="1376"/>
      <c r="H1853" s="10"/>
      <c r="I1853" s="198"/>
      <c r="J1853" s="6"/>
      <c r="K1853" s="1307"/>
      <c r="L1853" s="1335"/>
      <c r="M1853" s="1499"/>
      <c r="N1853" s="1701"/>
      <c r="O1853" s="1290"/>
      <c r="P1853" s="1332"/>
      <c r="Q1853" s="3391"/>
      <c r="R1853" s="3363"/>
      <c r="S1853" s="16"/>
      <c r="T1853" s="16"/>
      <c r="U1853" s="16"/>
      <c r="V1853" s="16"/>
    </row>
    <row r="1854" spans="1:22">
      <c r="B1854" s="223"/>
      <c r="C1854" s="223"/>
      <c r="D1854" s="1817"/>
      <c r="E1854" s="2132"/>
      <c r="F1854" s="1821"/>
      <c r="G1854" s="1824"/>
      <c r="H1854" s="10"/>
      <c r="I1854" s="198"/>
      <c r="J1854" s="1806"/>
      <c r="K1854" s="1307"/>
      <c r="L1854" s="1335"/>
      <c r="M1854" s="1701"/>
      <c r="N1854" s="1701"/>
      <c r="O1854" s="1290"/>
      <c r="P1854" s="1333"/>
      <c r="Q1854" s="3391"/>
      <c r="R1854" s="3363"/>
      <c r="S1854" s="16"/>
      <c r="T1854" s="16"/>
      <c r="U1854" s="16"/>
      <c r="V1854" s="16"/>
    </row>
    <row r="1855" spans="1:22">
      <c r="A1855" s="19" t="s">
        <v>3764</v>
      </c>
      <c r="B1855" s="4325" t="s">
        <v>1739</v>
      </c>
      <c r="C1855" s="3350"/>
      <c r="D1855" s="4327"/>
      <c r="E1855" s="4329" t="s">
        <v>1527</v>
      </c>
      <c r="F1855" s="4336" t="s">
        <v>1774</v>
      </c>
      <c r="G1855" s="4331" t="s">
        <v>1568</v>
      </c>
      <c r="H1855" s="4331" t="s">
        <v>1574</v>
      </c>
      <c r="I1855" s="1572" t="s">
        <v>1559</v>
      </c>
      <c r="J1855" s="1294" t="s">
        <v>1560</v>
      </c>
      <c r="K1855" s="1294" t="s">
        <v>1561</v>
      </c>
      <c r="L1855" s="4333" t="s">
        <v>3765</v>
      </c>
      <c r="M1855" s="4335" t="s">
        <v>1571</v>
      </c>
      <c r="N1855" s="4323" t="s">
        <v>1776</v>
      </c>
      <c r="O1855" s="3347" t="s">
        <v>1563</v>
      </c>
      <c r="P1855" s="1336" t="s">
        <v>1562</v>
      </c>
      <c r="Q1855" s="3389"/>
      <c r="R1855" s="1699" t="s">
        <v>1327</v>
      </c>
      <c r="S1855" s="16"/>
      <c r="T1855" s="16"/>
      <c r="U1855" s="16"/>
      <c r="V1855" s="16"/>
    </row>
    <row r="1856" spans="1:22">
      <c r="A1856" s="1807" t="s">
        <v>1798</v>
      </c>
      <c r="B1856" s="4326"/>
      <c r="C1856" s="3351"/>
      <c r="D1856" s="4328"/>
      <c r="E1856" s="4330"/>
      <c r="F1856" s="4336"/>
      <c r="G1856" s="4332"/>
      <c r="H1856" s="4332"/>
      <c r="I1856" s="1345">
        <v>167.31</v>
      </c>
      <c r="J1856" s="1307">
        <v>2E-3</v>
      </c>
      <c r="K1856" s="1307">
        <f>I1856*J1856</f>
        <v>0.33462000000000003</v>
      </c>
      <c r="L1856" s="4334"/>
      <c r="M1856" s="4335"/>
      <c r="N1856" s="4324"/>
      <c r="O1856" s="1298">
        <f>O1858+O1859+O1863+O1870</f>
        <v>23.396839499999999</v>
      </c>
      <c r="P1856" s="1337">
        <f>O1856*K1856</f>
        <v>7.82905043349</v>
      </c>
      <c r="Q1856" s="3390"/>
      <c r="R1856" s="1721">
        <f>P1858+P1859+P1863+P1870</f>
        <v>7.8300542934900008</v>
      </c>
      <c r="S1856" s="16"/>
      <c r="T1856" s="16"/>
      <c r="U1856" s="16"/>
      <c r="V1856" s="16"/>
    </row>
    <row r="1857" spans="2:22">
      <c r="B1857" s="1327"/>
      <c r="C1857" s="18"/>
      <c r="D1857" s="1400"/>
      <c r="E1857" s="2121"/>
      <c r="F1857" s="1368" t="s">
        <v>1</v>
      </c>
      <c r="G1857" s="1368"/>
      <c r="H1857" s="1369"/>
      <c r="I1857" s="1391"/>
      <c r="J1857" s="1369"/>
      <c r="K1857" s="1367"/>
      <c r="L1857" s="1554"/>
      <c r="M1857" s="1369"/>
      <c r="N1857" s="1369"/>
      <c r="O1857" s="1369"/>
      <c r="P1857" s="1367"/>
      <c r="Q1857" s="3387"/>
      <c r="R1857" s="2337"/>
      <c r="S1857" s="16"/>
      <c r="T1857" s="16"/>
      <c r="U1857" s="16"/>
      <c r="V1857" s="16"/>
    </row>
    <row r="1858" spans="2:22">
      <c r="B1858" s="1320"/>
      <c r="C1858" s="1042"/>
      <c r="D1858" s="1433" t="s">
        <v>1777</v>
      </c>
      <c r="E1858" s="2133" t="s">
        <v>1507</v>
      </c>
      <c r="F1858" s="1434" t="s">
        <v>1778</v>
      </c>
      <c r="G1858" s="2213">
        <v>1.1000000000000001</v>
      </c>
      <c r="H1858" s="1751"/>
      <c r="I1858" s="197"/>
      <c r="J1858" s="198"/>
      <c r="K1858" s="1307">
        <f>G1858*K1856</f>
        <v>0.36808200000000008</v>
      </c>
      <c r="L1858" s="1335">
        <f>K1858*$K$1793</f>
        <v>0</v>
      </c>
      <c r="M1858" s="1499">
        <v>1.53</v>
      </c>
      <c r="N1858" s="1701"/>
      <c r="O1858" s="1290">
        <f>ROUND(G1858*M1858,2)</f>
        <v>1.68</v>
      </c>
      <c r="P1858" s="1332">
        <f>M1858*K1858</f>
        <v>0.56316546000000012</v>
      </c>
      <c r="Q1858" s="3391"/>
      <c r="R1858" s="2337"/>
      <c r="S1858" s="16"/>
      <c r="T1858" s="16"/>
      <c r="U1858" s="16"/>
      <c r="V1858" s="16"/>
    </row>
    <row r="1859" spans="2:22">
      <c r="B1859" s="1320"/>
      <c r="C1859" s="1356" t="s">
        <v>1128</v>
      </c>
      <c r="D1859" s="1311"/>
      <c r="E1859" s="2169" t="s">
        <v>1517</v>
      </c>
      <c r="F1859" s="2212" t="s">
        <v>1695</v>
      </c>
      <c r="G1859" s="1338"/>
      <c r="H1859" s="1758">
        <v>0.01</v>
      </c>
      <c r="I1859" s="1750"/>
      <c r="J1859" s="1388"/>
      <c r="K1859" s="1510"/>
      <c r="L1859" s="1445"/>
      <c r="M1859" s="1447"/>
      <c r="N1859" s="1447">
        <f>SUM(N1860:N1862)</f>
        <v>104.27969999999999</v>
      </c>
      <c r="O1859" s="1447">
        <f>SUM(O1860:O1862)</f>
        <v>1.042797</v>
      </c>
      <c r="P1859" s="1446">
        <f>SUM(P1860:P1862)</f>
        <v>0.34894073214000004</v>
      </c>
      <c r="Q1859" s="3391"/>
      <c r="R1859" s="2337"/>
      <c r="S1859" s="16"/>
      <c r="T1859" s="16"/>
      <c r="U1859" s="16"/>
      <c r="V1859" s="16"/>
    </row>
    <row r="1860" spans="2:22">
      <c r="B1860" s="1320"/>
      <c r="C1860" s="1042"/>
      <c r="D1860" s="1752" t="s">
        <v>1779</v>
      </c>
      <c r="E1860" s="1852" t="s">
        <v>1577</v>
      </c>
      <c r="F1860" s="1752" t="s">
        <v>1780</v>
      </c>
      <c r="G1860" s="1775">
        <v>0.876</v>
      </c>
      <c r="H1860" s="1453">
        <f>$H$1288*G1860</f>
        <v>8.7600000000000004E-3</v>
      </c>
      <c r="I1860" s="198"/>
      <c r="J1860" s="198"/>
      <c r="K1860" s="1307">
        <f>H1860*K1856</f>
        <v>2.9312712000000006E-3</v>
      </c>
      <c r="L1860" s="1335">
        <f>K1860*$K$1793</f>
        <v>0</v>
      </c>
      <c r="M1860" s="1759">
        <v>56.05</v>
      </c>
      <c r="N1860" s="1718">
        <f>G1860*M1860</f>
        <v>49.099799999999995</v>
      </c>
      <c r="O1860" s="1719">
        <f>H1860*M1860</f>
        <v>0.49099799999999999</v>
      </c>
      <c r="P1860" s="1720">
        <f>M1860*K1860</f>
        <v>0.16429775076000003</v>
      </c>
      <c r="Q1860" s="3396"/>
      <c r="R1860" s="2337"/>
      <c r="S1860" s="16"/>
      <c r="T1860" s="16"/>
      <c r="U1860" s="16"/>
      <c r="V1860" s="16"/>
    </row>
    <row r="1861" spans="2:22">
      <c r="B1861" s="1320"/>
      <c r="C1861" s="1042"/>
      <c r="D1861" s="1752" t="s">
        <v>1069</v>
      </c>
      <c r="E1861" s="1852" t="s">
        <v>1517</v>
      </c>
      <c r="F1861" s="1752" t="s">
        <v>1578</v>
      </c>
      <c r="G1861" s="1753">
        <v>0.61799999999999999</v>
      </c>
      <c r="H1861" s="1453">
        <f>$H$1288*G1861</f>
        <v>6.1799999999999997E-3</v>
      </c>
      <c r="I1861" s="198"/>
      <c r="J1861" s="198"/>
      <c r="K1861" s="1307">
        <f>H1861*K1856</f>
        <v>2.0679515999999999E-3</v>
      </c>
      <c r="L1861" s="1335">
        <f>K1861*$K$1793</f>
        <v>0</v>
      </c>
      <c r="M1861" s="1759">
        <v>0.55000000000000004</v>
      </c>
      <c r="N1861" s="1718">
        <f>G1861*M1861</f>
        <v>0.33990000000000004</v>
      </c>
      <c r="O1861" s="1719">
        <f>H1861*M1861</f>
        <v>3.3990000000000001E-3</v>
      </c>
      <c r="P1861" s="1720">
        <f>M1861*K1861</f>
        <v>1.1373733800000001E-3</v>
      </c>
      <c r="Q1861" s="3396"/>
      <c r="R1861" s="2337"/>
      <c r="S1861" s="16"/>
      <c r="T1861" s="16"/>
      <c r="U1861" s="16"/>
      <c r="V1861" s="16"/>
    </row>
    <row r="1862" spans="2:22">
      <c r="B1862" s="1320"/>
      <c r="C1862" s="1042"/>
      <c r="D1862" s="1754" t="s">
        <v>1067</v>
      </c>
      <c r="E1862" s="1853" t="s">
        <v>1508</v>
      </c>
      <c r="F1862" s="1754" t="s">
        <v>1512</v>
      </c>
      <c r="G1862" s="1755">
        <v>3</v>
      </c>
      <c r="H1862" s="1454">
        <f>$H$1288*G1862</f>
        <v>0.03</v>
      </c>
      <c r="I1862" s="198"/>
      <c r="J1862" s="198"/>
      <c r="K1862" s="1307">
        <f>H1862*K1856</f>
        <v>1.00386E-2</v>
      </c>
      <c r="L1862" s="1335">
        <f>K1862*$K$1793</f>
        <v>0</v>
      </c>
      <c r="M1862" s="1759">
        <v>18.28</v>
      </c>
      <c r="N1862" s="1718">
        <f>G1862*M1862</f>
        <v>54.84</v>
      </c>
      <c r="O1862" s="1719">
        <f>H1862*M1862</f>
        <v>0.5484</v>
      </c>
      <c r="P1862" s="1720">
        <f>M1862*K1862</f>
        <v>0.18350560800000001</v>
      </c>
      <c r="Q1862" s="3396"/>
      <c r="R1862" s="2337"/>
      <c r="S1862" s="16"/>
      <c r="T1862" s="16"/>
      <c r="U1862" s="16"/>
      <c r="V1862" s="16"/>
    </row>
    <row r="1863" spans="2:22">
      <c r="B1863" s="1320"/>
      <c r="C1863" s="1356" t="s">
        <v>1152</v>
      </c>
      <c r="D1863" s="1311"/>
      <c r="E1863" s="1854" t="s">
        <v>1517</v>
      </c>
      <c r="F1863" s="1749" t="s">
        <v>1696</v>
      </c>
      <c r="G1863" s="1461"/>
      <c r="H1863" s="1688">
        <v>5.0000000000000001E-3</v>
      </c>
      <c r="I1863" s="1388"/>
      <c r="J1863" s="1510"/>
      <c r="K1863" s="1445"/>
      <c r="L1863" s="1447"/>
      <c r="M1863" s="1447"/>
      <c r="N1863" s="1447">
        <f>SUM(N1864:N1866)</f>
        <v>108.04650000000001</v>
      </c>
      <c r="O1863" s="1447">
        <f>SUM(O1864:O1866)</f>
        <v>0.54023250000000012</v>
      </c>
      <c r="P1863" s="1446">
        <f>SUM(P1864:P1866)</f>
        <v>0.18077259915000005</v>
      </c>
      <c r="Q1863" s="3391"/>
      <c r="R1863" s="2337"/>
      <c r="S1863" s="17"/>
      <c r="T1863" s="17"/>
      <c r="U1863" s="16"/>
      <c r="V1863" s="16"/>
    </row>
    <row r="1864" spans="2:22">
      <c r="B1864" s="1320"/>
      <c r="C1864" s="18"/>
      <c r="D1864" s="1756" t="s">
        <v>1781</v>
      </c>
      <c r="E1864" s="1852" t="s">
        <v>1577</v>
      </c>
      <c r="F1864" s="1752" t="s">
        <v>1782</v>
      </c>
      <c r="G1864" s="1753">
        <v>0.876</v>
      </c>
      <c r="H1864" s="1453">
        <f>$H$1292*G1864</f>
        <v>4.3800000000000002E-3</v>
      </c>
      <c r="I1864" s="198"/>
      <c r="J1864" s="198"/>
      <c r="K1864" s="1307">
        <f>H1864*K1856</f>
        <v>1.4656356000000003E-3</v>
      </c>
      <c r="L1864" s="1335">
        <f>K1864*$K$1793</f>
        <v>0</v>
      </c>
      <c r="M1864" s="1723">
        <v>60.35</v>
      </c>
      <c r="N1864" s="1718">
        <f>G1864*M1864</f>
        <v>52.866599999999998</v>
      </c>
      <c r="O1864" s="1719">
        <f>H1864*M1864</f>
        <v>0.26433300000000004</v>
      </c>
      <c r="P1864" s="1720">
        <f>M1864*K1864</f>
        <v>8.8451108460000025E-2</v>
      </c>
      <c r="Q1864" s="3396"/>
      <c r="R1864" s="2337"/>
      <c r="S1864" s="105"/>
      <c r="T1864" s="105"/>
      <c r="U1864" s="16"/>
      <c r="V1864" s="16"/>
    </row>
    <row r="1865" spans="2:22">
      <c r="B1865" s="1320"/>
      <c r="C1865" s="1042"/>
      <c r="D1865" s="1756" t="s">
        <v>1069</v>
      </c>
      <c r="E1865" s="1852" t="s">
        <v>1517</v>
      </c>
      <c r="F1865" s="1752" t="s">
        <v>1578</v>
      </c>
      <c r="G1865" s="1753">
        <v>0.61799999999999999</v>
      </c>
      <c r="H1865" s="1453">
        <f>$H$1292*G1865</f>
        <v>3.0899999999999999E-3</v>
      </c>
      <c r="I1865" s="198"/>
      <c r="J1865" s="198"/>
      <c r="K1865" s="1307">
        <f>H1865*K1856</f>
        <v>1.0339758E-3</v>
      </c>
      <c r="L1865" s="1335">
        <f>K1865*$K$1793</f>
        <v>0</v>
      </c>
      <c r="M1865" s="1723">
        <v>0.55000000000000004</v>
      </c>
      <c r="N1865" s="1718">
        <f>G1865*M1865</f>
        <v>0.33990000000000004</v>
      </c>
      <c r="O1865" s="1719">
        <f>H1865*M1865</f>
        <v>1.6995000000000001E-3</v>
      </c>
      <c r="P1865" s="1720">
        <f>M1865*K1865</f>
        <v>5.6868669000000006E-4</v>
      </c>
      <c r="Q1865" s="3396"/>
      <c r="R1865" s="2337"/>
      <c r="S1865" s="16"/>
      <c r="T1865" s="16"/>
      <c r="U1865" s="16"/>
      <c r="V1865" s="16"/>
    </row>
    <row r="1866" spans="2:22">
      <c r="B1866" s="1320"/>
      <c r="C1866" s="1042"/>
      <c r="D1866" s="1757" t="s">
        <v>1067</v>
      </c>
      <c r="E1866" s="1853" t="s">
        <v>1508</v>
      </c>
      <c r="F1866" s="1754" t="s">
        <v>1512</v>
      </c>
      <c r="G1866" s="1755">
        <v>3</v>
      </c>
      <c r="H1866" s="1454">
        <f>$H$1292*G1866</f>
        <v>1.4999999999999999E-2</v>
      </c>
      <c r="I1866" s="198"/>
      <c r="J1866" s="198"/>
      <c r="K1866" s="1307">
        <f>H1866*K1856</f>
        <v>5.0193E-3</v>
      </c>
      <c r="L1866" s="1335">
        <f>K1866*$K$1793</f>
        <v>0</v>
      </c>
      <c r="M1866" s="1723">
        <v>18.28</v>
      </c>
      <c r="N1866" s="1718">
        <f>G1866*M1866</f>
        <v>54.84</v>
      </c>
      <c r="O1866" s="1719">
        <f>H1866*M1866</f>
        <v>0.2742</v>
      </c>
      <c r="P1866" s="1720">
        <f>M1866*K1866</f>
        <v>9.1752804000000007E-2</v>
      </c>
      <c r="Q1866" s="3396"/>
      <c r="R1866" s="2337"/>
      <c r="S1866" s="16"/>
      <c r="T1866" s="16"/>
      <c r="U1866" s="16"/>
      <c r="V1866" s="16"/>
    </row>
    <row r="1867" spans="2:22">
      <c r="B1867" s="1320"/>
      <c r="C1867" s="1320"/>
      <c r="D1867" s="1756"/>
      <c r="E1867" s="1852"/>
      <c r="F1867" s="1752"/>
      <c r="G1867" s="1753"/>
      <c r="H1867" s="1453"/>
      <c r="I1867" s="198"/>
      <c r="J1867" s="198"/>
      <c r="K1867" s="1307"/>
      <c r="L1867" s="1335"/>
      <c r="M1867" s="1717"/>
      <c r="N1867" s="1718"/>
      <c r="O1867" s="1719"/>
      <c r="P1867" s="1720"/>
      <c r="Q1867" s="3396"/>
      <c r="R1867" s="2337"/>
      <c r="S1867" s="16"/>
      <c r="T1867" s="16"/>
      <c r="U1867" s="16"/>
      <c r="V1867" s="16"/>
    </row>
    <row r="1868" spans="2:22">
      <c r="B1868" s="1320"/>
      <c r="C1868" s="1320"/>
      <c r="D1868" s="1756"/>
      <c r="E1868" s="1852"/>
      <c r="F1868" s="1752"/>
      <c r="G1868" s="1753"/>
      <c r="H1868" s="1453"/>
      <c r="I1868" s="198"/>
      <c r="J1868" s="198"/>
      <c r="K1868" s="1307"/>
      <c r="L1868" s="1335"/>
      <c r="M1868" s="1717"/>
      <c r="N1868" s="1718"/>
      <c r="O1868" s="1719"/>
      <c r="P1868" s="1720"/>
      <c r="Q1868" s="3396"/>
      <c r="R1868" s="2337"/>
      <c r="S1868" s="16"/>
      <c r="T1868" s="16"/>
      <c r="U1868" s="16"/>
      <c r="V1868" s="16"/>
    </row>
    <row r="1869" spans="2:22">
      <c r="B1869" s="1320"/>
      <c r="C1869" s="1042"/>
      <c r="D1869" s="1404"/>
      <c r="E1869" s="1858"/>
      <c r="F1869" s="1360" t="s">
        <v>2</v>
      </c>
      <c r="G1869" s="1360"/>
      <c r="H1869" s="1362"/>
      <c r="I1869" s="1380"/>
      <c r="J1869" s="1381"/>
      <c r="K1869" s="1359"/>
      <c r="L1869" s="1359"/>
      <c r="M1869" s="1502"/>
      <c r="N1869" s="1702"/>
      <c r="O1869" s="1429"/>
      <c r="P1869" s="1359"/>
      <c r="Q1869" s="3387"/>
      <c r="R1869" s="2337"/>
      <c r="S1869" s="16"/>
      <c r="T1869" s="16"/>
      <c r="U1869" s="16"/>
      <c r="V1869" s="16"/>
    </row>
    <row r="1870" spans="2:22">
      <c r="B1870" s="1320"/>
      <c r="C1870" s="1161"/>
      <c r="D1870" s="1437" t="s">
        <v>1153</v>
      </c>
      <c r="E1870" s="2134" t="s">
        <v>1508</v>
      </c>
      <c r="F1870" s="1438" t="s">
        <v>1783</v>
      </c>
      <c r="G1870" s="1825">
        <v>1.0469999999999999</v>
      </c>
      <c r="H1870" s="1359"/>
      <c r="I1870" s="197"/>
      <c r="J1870" s="198"/>
      <c r="K1870" s="1307">
        <f>G1870*$K$1856</f>
        <v>0.35034714</v>
      </c>
      <c r="L1870" s="1335">
        <f>K1870*$K$1793</f>
        <v>0</v>
      </c>
      <c r="M1870" s="1499">
        <v>19.23</v>
      </c>
      <c r="N1870" s="1701"/>
      <c r="O1870" s="1290">
        <f>(G1870*M1870)</f>
        <v>20.13381</v>
      </c>
      <c r="P1870" s="1332">
        <f>M1870*K1870</f>
        <v>6.7371755022000004</v>
      </c>
      <c r="Q1870" s="3391"/>
      <c r="R1870" s="2337"/>
      <c r="S1870" s="16"/>
      <c r="T1870" s="16"/>
      <c r="U1870" s="16"/>
      <c r="V1870" s="16"/>
    </row>
    <row r="1871" spans="2:22">
      <c r="B1871" s="1320"/>
      <c r="C1871" s="1042"/>
      <c r="D1871" s="1402"/>
      <c r="E1871" s="1857"/>
      <c r="F1871" s="1430"/>
      <c r="G1871" s="1362"/>
      <c r="H1871" s="1362"/>
      <c r="I1871" s="197"/>
      <c r="J1871" s="198"/>
      <c r="K1871" s="1307"/>
      <c r="L1871" s="1335"/>
      <c r="M1871" s="1499"/>
      <c r="N1871" s="1701"/>
      <c r="O1871" s="1290"/>
      <c r="P1871" s="1332"/>
      <c r="Q1871" s="3391"/>
      <c r="R1871" s="2337"/>
      <c r="S1871" s="16"/>
      <c r="T1871" s="16"/>
      <c r="U1871" s="16"/>
      <c r="V1871" s="16"/>
    </row>
    <row r="1872" spans="2:22">
      <c r="B1872" s="1320"/>
      <c r="C1872" s="1042"/>
      <c r="D1872" s="1411"/>
      <c r="E1872" s="2123"/>
      <c r="F1872" s="1374" t="s">
        <v>3</v>
      </c>
      <c r="G1872" s="1374"/>
      <c r="H1872" s="1376"/>
      <c r="I1872" s="1382"/>
      <c r="J1872" s="1383"/>
      <c r="K1872" s="1373"/>
      <c r="L1872" s="1373"/>
      <c r="M1872" s="1505"/>
      <c r="N1872" s="1704"/>
      <c r="O1872" s="1432"/>
      <c r="P1872" s="1373"/>
      <c r="Q1872" s="3387"/>
      <c r="R1872" s="2337"/>
      <c r="S1872" s="16"/>
      <c r="T1872" s="16"/>
      <c r="U1872" s="16"/>
      <c r="V1872" s="16"/>
    </row>
    <row r="1873" spans="1:22">
      <c r="B1873" s="1320"/>
      <c r="C1873" s="1042"/>
      <c r="D1873" s="1440"/>
      <c r="E1873" s="2132"/>
      <c r="F1873" s="1441"/>
      <c r="G1873" s="1441"/>
      <c r="H1873" s="1442"/>
      <c r="I1873" s="197"/>
      <c r="J1873" s="198"/>
      <c r="K1873" s="1307"/>
      <c r="L1873" s="1335"/>
      <c r="M1873" s="1499"/>
      <c r="N1873" s="1701"/>
      <c r="O1873" s="1290"/>
      <c r="P1873" s="1332"/>
      <c r="Q1873" s="3391"/>
      <c r="R1873" s="2337"/>
      <c r="S1873" s="16"/>
      <c r="T1873" s="16"/>
      <c r="U1873" s="16"/>
      <c r="V1873" s="16"/>
    </row>
    <row r="1874" spans="1:22">
      <c r="B1874" s="1320"/>
      <c r="C1874" s="1042"/>
      <c r="D1874" s="1440"/>
      <c r="E1874" s="2132"/>
      <c r="F1874" s="1441"/>
      <c r="G1874" s="1441"/>
      <c r="H1874" s="1442"/>
      <c r="I1874" s="197" t="str">
        <f ca="1">IF(COUNT(H1874:O1874)=0,"",(SUM(H1874:O1874)/COUNT(H1874:O1874)))</f>
        <v/>
      </c>
      <c r="J1874" s="198"/>
      <c r="K1874" s="1307"/>
      <c r="L1874" s="1335"/>
      <c r="M1874" s="1499"/>
      <c r="N1874" s="1701"/>
      <c r="O1874" s="1290"/>
      <c r="P1874" s="1332"/>
      <c r="Q1874" s="3391"/>
      <c r="R1874" s="2337"/>
      <c r="S1874" s="16"/>
      <c r="T1874" s="16"/>
      <c r="U1874" s="16"/>
      <c r="V1874" s="16"/>
    </row>
    <row r="1875" spans="1:22">
      <c r="B1875" s="225"/>
      <c r="C1875" s="223"/>
      <c r="D1875" s="1440"/>
      <c r="E1875" s="2132"/>
      <c r="F1875" s="1441"/>
      <c r="G1875" s="1441"/>
      <c r="H1875" s="1442"/>
      <c r="I1875" s="197" t="str">
        <f ca="1">IF(COUNT(H1875:O1875)=0,"",(SUM(H1875:O1875)/COUNT(H1875:O1875)))</f>
        <v/>
      </c>
      <c r="J1875" s="198"/>
      <c r="K1875" s="1307"/>
      <c r="L1875" s="1335"/>
      <c r="M1875" s="1499"/>
      <c r="N1875" s="1701"/>
      <c r="O1875" s="1290"/>
      <c r="P1875" s="1332"/>
      <c r="Q1875" s="3391"/>
      <c r="R1875" s="2337"/>
      <c r="S1875" s="16"/>
      <c r="T1875" s="16"/>
      <c r="U1875" s="16"/>
      <c r="V1875" s="16"/>
    </row>
    <row r="1876" spans="1:22">
      <c r="A1876" s="1807" t="s">
        <v>3764</v>
      </c>
      <c r="B1876" s="4325" t="s">
        <v>1659</v>
      </c>
      <c r="C1876" s="3350"/>
      <c r="D1876" s="4327"/>
      <c r="E1876" s="4329" t="s">
        <v>1507</v>
      </c>
      <c r="F1876" s="4338" t="s">
        <v>1685</v>
      </c>
      <c r="G1876" s="4331" t="s">
        <v>1568</v>
      </c>
      <c r="H1876" s="4331" t="s">
        <v>1574</v>
      </c>
      <c r="I1876" s="1572" t="s">
        <v>1559</v>
      </c>
      <c r="J1876" s="1294" t="s">
        <v>1560</v>
      </c>
      <c r="K1876" s="1294" t="s">
        <v>1561</v>
      </c>
      <c r="L1876" s="4333" t="s">
        <v>3765</v>
      </c>
      <c r="M1876" s="4335" t="s">
        <v>1571</v>
      </c>
      <c r="N1876" s="4323" t="s">
        <v>1776</v>
      </c>
      <c r="O1876" s="3347" t="s">
        <v>1563</v>
      </c>
      <c r="P1876" s="1336" t="s">
        <v>1562</v>
      </c>
      <c r="Q1876" s="3389"/>
      <c r="R1876" s="1699" t="s">
        <v>1327</v>
      </c>
      <c r="S1876" s="16"/>
      <c r="T1876" s="16"/>
      <c r="U1876" s="16"/>
      <c r="V1876" s="16"/>
    </row>
    <row r="1877" spans="1:22">
      <c r="A1877" s="1807" t="s">
        <v>1798</v>
      </c>
      <c r="B1877" s="4326"/>
      <c r="C1877" s="3351"/>
      <c r="D1877" s="4328"/>
      <c r="E1877" s="4330"/>
      <c r="F1877" s="4338"/>
      <c r="G1877" s="4332"/>
      <c r="H1877" s="4332"/>
      <c r="I1877" s="1345">
        <v>21.38</v>
      </c>
      <c r="J1877" s="1307">
        <v>2E-3</v>
      </c>
      <c r="K1877" s="1307">
        <f>I1877*J1877</f>
        <v>4.2759999999999999E-2</v>
      </c>
      <c r="L1877" s="4334"/>
      <c r="M1877" s="4335"/>
      <c r="N1877" s="4324"/>
      <c r="O1877" s="1298">
        <f>O1879+O1887</f>
        <v>13.241683030000001</v>
      </c>
      <c r="P1877" s="1337">
        <f>O1877*K1877</f>
        <v>0.56621436636279998</v>
      </c>
      <c r="Q1877" s="3390"/>
      <c r="R1877" s="1721">
        <f>P1879+P1887</f>
        <v>0.56621436636279998</v>
      </c>
      <c r="S1877" s="16"/>
      <c r="T1877" s="16"/>
      <c r="U1877" s="16"/>
      <c r="V1877" s="16"/>
    </row>
    <row r="1878" spans="1:22">
      <c r="A1878" s="1042"/>
      <c r="B1878" s="18"/>
      <c r="D1878" s="1449"/>
      <c r="E1878" s="2121"/>
      <c r="F1878" s="1368" t="s">
        <v>1</v>
      </c>
      <c r="G1878" s="1368"/>
      <c r="H1878" s="1369"/>
      <c r="I1878" s="1409"/>
      <c r="J1878" s="1391"/>
      <c r="K1878" s="1367"/>
      <c r="L1878" s="1554"/>
      <c r="M1878" s="1369"/>
      <c r="N1878" s="1369"/>
      <c r="O1878" s="1369"/>
      <c r="P1878" s="1367"/>
      <c r="Q1878" s="3387"/>
      <c r="R1878" s="2337"/>
      <c r="S1878" s="16"/>
      <c r="T1878" s="16"/>
      <c r="U1878" s="16"/>
      <c r="V1878" s="16"/>
    </row>
    <row r="1879" spans="1:22">
      <c r="A1879" s="1042"/>
      <c r="B1879" s="1042"/>
      <c r="C1879" s="1356" t="s">
        <v>1127</v>
      </c>
      <c r="D1879" s="1311"/>
      <c r="E1879" s="2137" t="s">
        <v>1517</v>
      </c>
      <c r="F1879" s="1319" t="s">
        <v>1519</v>
      </c>
      <c r="G1879" s="1353"/>
      <c r="H1879" s="1456">
        <v>2.1000000000000001E-2</v>
      </c>
      <c r="I1879" s="1444"/>
      <c r="J1879" s="1388"/>
      <c r="K1879" s="1445"/>
      <c r="L1879" s="1457"/>
      <c r="M1879" s="1447"/>
      <c r="N1879" s="1447">
        <f>SUM(N1880:N1883)</f>
        <v>50.044430000000006</v>
      </c>
      <c r="O1879" s="1447">
        <f>SUM(O1880:O1883)</f>
        <v>1.0509330300000002</v>
      </c>
      <c r="P1879" s="1446">
        <f>SUM(P1880:P1883)</f>
        <v>4.4937896362800003E-2</v>
      </c>
      <c r="Q1879" s="3391"/>
      <c r="R1879" s="2337"/>
      <c r="S1879" s="17"/>
      <c r="T1879" s="17"/>
      <c r="U1879" s="16"/>
      <c r="V1879" s="16"/>
    </row>
    <row r="1880" spans="1:22">
      <c r="A1880" s="1042"/>
      <c r="B1880" s="1042"/>
      <c r="C1880" s="1327"/>
      <c r="D1880" s="1400" t="s">
        <v>1069</v>
      </c>
      <c r="E1880" s="1856" t="s">
        <v>1517</v>
      </c>
      <c r="F1880" s="1397" t="s">
        <v>1578</v>
      </c>
      <c r="G1880" s="1416">
        <v>0.26300000000000001</v>
      </c>
      <c r="H1880" s="1399">
        <f>G1880*$H$1879</f>
        <v>5.523000000000001E-3</v>
      </c>
      <c r="I1880" s="197"/>
      <c r="J1880" s="198"/>
      <c r="K1880" s="1307">
        <f>H1880*$K$1877</f>
        <v>2.3616348000000004E-4</v>
      </c>
      <c r="L1880" s="1335">
        <f>K1880*$K$1793</f>
        <v>0</v>
      </c>
      <c r="M1880" s="1302">
        <v>0.55000000000000004</v>
      </c>
      <c r="N1880" s="1718">
        <f>G1880*M1880</f>
        <v>0.14465000000000003</v>
      </c>
      <c r="O1880" s="1290">
        <f>H1880*M1880</f>
        <v>3.0376500000000007E-3</v>
      </c>
      <c r="P1880" s="1332">
        <f>M1880*K1880</f>
        <v>1.2988991400000004E-4</v>
      </c>
      <c r="Q1880" s="3391"/>
      <c r="R1880" s="2337"/>
      <c r="S1880" s="105"/>
      <c r="T1880" s="105"/>
      <c r="U1880" s="16"/>
      <c r="V1880" s="16"/>
    </row>
    <row r="1881" spans="1:22">
      <c r="A1881" s="1042"/>
      <c r="B1881" s="1042"/>
      <c r="C1881" s="1320"/>
      <c r="D1881" s="1400" t="s">
        <v>1394</v>
      </c>
      <c r="E1881" s="1856" t="s">
        <v>1577</v>
      </c>
      <c r="F1881" s="1397" t="s">
        <v>1579</v>
      </c>
      <c r="G1881" s="1416">
        <v>0.25800000000000001</v>
      </c>
      <c r="H1881" s="1399">
        <f>G1881*$H$1879</f>
        <v>5.4180000000000001E-3</v>
      </c>
      <c r="I1881" s="197"/>
      <c r="J1881" s="198"/>
      <c r="K1881" s="1307">
        <f>H1881*$K$1877</f>
        <v>2.3167368E-4</v>
      </c>
      <c r="L1881" s="1335">
        <f>K1881*$K$1793</f>
        <v>0</v>
      </c>
      <c r="M1881" s="1302">
        <v>92.54</v>
      </c>
      <c r="N1881" s="1718">
        <f>G1881*M1881</f>
        <v>23.875320000000002</v>
      </c>
      <c r="O1881" s="1290">
        <f>H1881*M1881</f>
        <v>0.50138172000000003</v>
      </c>
      <c r="P1881" s="1332">
        <f>M1881*K1881</f>
        <v>2.14390823472E-2</v>
      </c>
      <c r="Q1881" s="3391"/>
      <c r="R1881" s="2337"/>
      <c r="S1881" s="16"/>
      <c r="T1881" s="16"/>
      <c r="U1881" s="16"/>
      <c r="V1881" s="16"/>
    </row>
    <row r="1882" spans="1:22">
      <c r="A1882" s="1042"/>
      <c r="B1882" s="1042"/>
      <c r="C1882" s="1320"/>
      <c r="D1882" s="1400" t="s">
        <v>1576</v>
      </c>
      <c r="E1882" s="1856" t="s">
        <v>1517</v>
      </c>
      <c r="F1882" s="1397" t="s">
        <v>1580</v>
      </c>
      <c r="G1882" s="1416">
        <v>1.1020000000000001</v>
      </c>
      <c r="H1882" s="1399">
        <f>G1882*$H$1879</f>
        <v>2.3142000000000003E-2</v>
      </c>
      <c r="I1882" s="197"/>
      <c r="J1882" s="198"/>
      <c r="K1882" s="1307">
        <f>H1882*$K$1877</f>
        <v>9.895519200000002E-4</v>
      </c>
      <c r="L1882" s="1335">
        <f>K1882*$K$1793</f>
        <v>0</v>
      </c>
      <c r="M1882" s="1302">
        <v>6.53</v>
      </c>
      <c r="N1882" s="1718">
        <f>G1882*M1882</f>
        <v>7.196060000000001</v>
      </c>
      <c r="O1882" s="1290">
        <f>H1882*M1882</f>
        <v>0.15111726000000003</v>
      </c>
      <c r="P1882" s="1332">
        <f>M1882*K1882</f>
        <v>6.4617740376000012E-3</v>
      </c>
      <c r="Q1882" s="3391"/>
      <c r="R1882" s="2337"/>
      <c r="S1882" s="16"/>
      <c r="T1882" s="16"/>
      <c r="U1882" s="16"/>
      <c r="V1882" s="16"/>
    </row>
    <row r="1883" spans="1:22">
      <c r="A1883" s="1042"/>
      <c r="B1883" s="1042"/>
      <c r="C1883" s="1320"/>
      <c r="D1883" s="1400" t="s">
        <v>1067</v>
      </c>
      <c r="E1883" s="1856" t="s">
        <v>1508</v>
      </c>
      <c r="F1883" s="1397" t="s">
        <v>1512</v>
      </c>
      <c r="G1883" s="1416">
        <v>1.03</v>
      </c>
      <c r="H1883" s="1399">
        <f>G1883*$H$1879</f>
        <v>2.1630000000000003E-2</v>
      </c>
      <c r="I1883" s="197"/>
      <c r="J1883" s="198"/>
      <c r="K1883" s="1307">
        <f>H1883*$K$1877</f>
        <v>9.2489880000000012E-4</v>
      </c>
      <c r="L1883" s="1335">
        <f>K1883*$K$1793</f>
        <v>0</v>
      </c>
      <c r="M1883" s="1302">
        <v>18.28</v>
      </c>
      <c r="N1883" s="1718">
        <f>G1883*M1883</f>
        <v>18.828400000000002</v>
      </c>
      <c r="O1883" s="1290">
        <f>H1883*M1883</f>
        <v>0.39539640000000009</v>
      </c>
      <c r="P1883" s="1332">
        <f>M1883*K1883</f>
        <v>1.6907150064000002E-2</v>
      </c>
      <c r="Q1883" s="3391"/>
      <c r="R1883" s="2337"/>
      <c r="S1883" s="16"/>
      <c r="T1883" s="16"/>
      <c r="U1883" s="16"/>
      <c r="V1883" s="16"/>
    </row>
    <row r="1884" spans="1:22">
      <c r="A1884" s="1042"/>
      <c r="B1884" s="1042"/>
      <c r="C1884" s="1320"/>
      <c r="D1884" s="1400"/>
      <c r="E1884" s="1856"/>
      <c r="F1884" s="1397"/>
      <c r="G1884" s="1416"/>
      <c r="H1884" s="1399"/>
      <c r="I1884" s="197"/>
      <c r="J1884" s="198"/>
      <c r="K1884" s="1307"/>
      <c r="L1884" s="1335"/>
      <c r="M1884" s="1302"/>
      <c r="N1884" s="1718"/>
      <c r="O1884" s="1290"/>
      <c r="P1884" s="1332"/>
      <c r="Q1884" s="3391"/>
      <c r="R1884" s="2337"/>
      <c r="S1884" s="16"/>
      <c r="T1884" s="16"/>
      <c r="U1884" s="16"/>
      <c r="V1884" s="16"/>
    </row>
    <row r="1885" spans="1:22">
      <c r="A1885" s="1042"/>
      <c r="B1885" s="1042"/>
      <c r="C1885" s="1320"/>
      <c r="D1885" s="1400"/>
      <c r="E1885" s="1856"/>
      <c r="F1885" s="1397"/>
      <c r="G1885" s="1416"/>
      <c r="H1885" s="1399"/>
      <c r="I1885" s="197"/>
      <c r="J1885" s="198"/>
      <c r="K1885" s="1307"/>
      <c r="L1885" s="1335"/>
      <c r="M1885" s="1302"/>
      <c r="N1885" s="1718"/>
      <c r="O1885" s="1290"/>
      <c r="P1885" s="1332"/>
      <c r="Q1885" s="3391"/>
      <c r="R1885" s="2337"/>
      <c r="S1885" s="16"/>
      <c r="T1885" s="16"/>
      <c r="U1885" s="16"/>
      <c r="V1885" s="16"/>
    </row>
    <row r="1886" spans="1:22">
      <c r="A1886" s="1042"/>
      <c r="B1886" s="1042"/>
      <c r="C1886" s="88"/>
      <c r="D1886" s="1359"/>
      <c r="E1886" s="1858"/>
      <c r="F1886" s="1360" t="s">
        <v>2</v>
      </c>
      <c r="G1886" s="1360"/>
      <c r="H1886" s="1362"/>
      <c r="I1886" s="1380" t="str">
        <f ca="1">IF(COUNT(H1886:O1886)=0,"",(SUM(H1886:O1886)/COUNT(H1886:O1886)))</f>
        <v/>
      </c>
      <c r="J1886" s="1381"/>
      <c r="K1886" s="1359" t="str">
        <f>IF(COUNT(#REF!)=0,"",IF(#REF!="","",(#REF!*#REF!)))</f>
        <v/>
      </c>
      <c r="L1886" s="1458"/>
      <c r="M1886" s="1362"/>
      <c r="N1886" s="1362"/>
      <c r="O1886" s="1362"/>
      <c r="P1886" s="1458"/>
      <c r="Q1886" s="3387"/>
      <c r="R1886" s="2337"/>
      <c r="S1886" s="16"/>
      <c r="T1886" s="16"/>
      <c r="U1886" s="16"/>
      <c r="V1886" s="16"/>
    </row>
    <row r="1887" spans="1:22">
      <c r="A1887" s="1042"/>
      <c r="B1887" s="1042"/>
      <c r="C1887" s="1652" t="s">
        <v>1755</v>
      </c>
      <c r="D1887" s="1461"/>
      <c r="E1887" s="2163" t="s">
        <v>1508</v>
      </c>
      <c r="F1887" s="1648" t="s">
        <v>1524</v>
      </c>
      <c r="G1887" s="1353"/>
      <c r="H1887" s="1456">
        <v>0.32500000000000001</v>
      </c>
      <c r="I1887" s="1444"/>
      <c r="J1887" s="1388"/>
      <c r="K1887" s="1445"/>
      <c r="L1887" s="1457"/>
      <c r="M1887" s="1447"/>
      <c r="N1887" s="1447">
        <f>SUM(N1888:N1889)</f>
        <v>37.510000000000005</v>
      </c>
      <c r="O1887" s="1447">
        <f>SUM(O1888:O1889)</f>
        <v>12.190750000000001</v>
      </c>
      <c r="P1887" s="1447">
        <f>SUM(P1888:P1889)</f>
        <v>0.52127646999999999</v>
      </c>
      <c r="Q1887" s="3391"/>
      <c r="R1887" s="2337"/>
      <c r="S1887" s="16"/>
      <c r="T1887" s="16"/>
      <c r="U1887" s="16"/>
      <c r="V1887" s="16"/>
    </row>
    <row r="1888" spans="1:22">
      <c r="A1888" s="1042"/>
      <c r="B1888" s="1042"/>
      <c r="C1888" s="88"/>
      <c r="D1888" s="1430" t="s">
        <v>1067</v>
      </c>
      <c r="E1888" s="1857" t="s">
        <v>1508</v>
      </c>
      <c r="F1888" s="1403" t="s">
        <v>5</v>
      </c>
      <c r="G1888" s="1431">
        <v>1</v>
      </c>
      <c r="H1888" s="1399">
        <f>G1888*$H$1887</f>
        <v>0.32500000000000001</v>
      </c>
      <c r="I1888" s="1286"/>
      <c r="J1888" s="198"/>
      <c r="K1888" s="1307">
        <f>H1888*$K$1877</f>
        <v>1.3897E-2</v>
      </c>
      <c r="L1888" s="1335">
        <f>K1888*$K$1793</f>
        <v>0</v>
      </c>
      <c r="M1888" s="1302">
        <v>18.28</v>
      </c>
      <c r="N1888" s="1718">
        <f>G1888*M1888</f>
        <v>18.28</v>
      </c>
      <c r="O1888" s="1290">
        <f>H1888*M1888</f>
        <v>5.9410000000000007</v>
      </c>
      <c r="P1888" s="1332">
        <f>M1888*K1888</f>
        <v>0.25403715999999998</v>
      </c>
      <c r="Q1888" s="3391"/>
      <c r="R1888" s="2337"/>
      <c r="S1888" s="16"/>
      <c r="T1888" s="16"/>
      <c r="U1888" s="16"/>
      <c r="V1888" s="16"/>
    </row>
    <row r="1889" spans="1:22">
      <c r="A1889" s="1042"/>
      <c r="B1889" s="1042"/>
      <c r="C1889" s="88"/>
      <c r="D1889" s="1430" t="s">
        <v>1077</v>
      </c>
      <c r="E1889" s="1857" t="s">
        <v>1508</v>
      </c>
      <c r="F1889" s="1403" t="s">
        <v>37</v>
      </c>
      <c r="G1889" s="1431">
        <v>1</v>
      </c>
      <c r="H1889" s="1399">
        <f>G1889*$H$1887</f>
        <v>0.32500000000000001</v>
      </c>
      <c r="I1889" s="197">
        <f ca="1">IF(COUNT(H1889:L1889)=0,"",(SUM(H1889:L1889)/COUNT(H1889:L1889)))</f>
        <v>5.9981477325653003</v>
      </c>
      <c r="J1889" s="198"/>
      <c r="K1889" s="1307">
        <f>H1889*$K$1877</f>
        <v>1.3897E-2</v>
      </c>
      <c r="L1889" s="1335">
        <f>K1889*$K$1793</f>
        <v>0</v>
      </c>
      <c r="M1889" s="1302">
        <v>19.23</v>
      </c>
      <c r="N1889" s="1718">
        <f>G1889*M1889</f>
        <v>19.23</v>
      </c>
      <c r="O1889" s="1290">
        <f>H1889*M1889</f>
        <v>6.2497500000000006</v>
      </c>
      <c r="P1889" s="1332">
        <f>M1889*K1889</f>
        <v>0.26723931000000001</v>
      </c>
      <c r="Q1889" s="3391"/>
      <c r="R1889" s="2337"/>
      <c r="S1889" s="16"/>
      <c r="T1889" s="16"/>
      <c r="U1889" s="16"/>
      <c r="V1889" s="16"/>
    </row>
    <row r="1890" spans="1:22">
      <c r="A1890" s="1042"/>
      <c r="B1890" s="1042"/>
      <c r="C1890" s="88"/>
      <c r="D1890" s="1373"/>
      <c r="E1890" s="2123"/>
      <c r="F1890" s="1374" t="s">
        <v>3</v>
      </c>
      <c r="G1890" s="1374"/>
      <c r="H1890" s="1376"/>
      <c r="I1890" s="1382" t="str">
        <f t="shared" ref="I1890:I1893" ca="1" si="93">IF(COUNT(H1890:O1890)=0,"",(SUM(H1890:O1890)/COUNT(H1890:O1890)))</f>
        <v/>
      </c>
      <c r="J1890" s="1383"/>
      <c r="K1890" s="1373"/>
      <c r="L1890" s="1413"/>
      <c r="M1890" s="1376"/>
      <c r="N1890" s="1376"/>
      <c r="O1890" s="1376"/>
      <c r="P1890" s="1413"/>
      <c r="Q1890" s="3387"/>
      <c r="R1890" s="2337"/>
      <c r="S1890" s="16"/>
      <c r="T1890" s="16"/>
      <c r="U1890" s="16"/>
      <c r="V1890" s="16"/>
    </row>
    <row r="1891" spans="1:22">
      <c r="A1891" s="1042"/>
      <c r="B1891" s="1042"/>
      <c r="C1891" s="88"/>
      <c r="D1891" s="1440"/>
      <c r="E1891" s="2132"/>
      <c r="F1891" s="1441"/>
      <c r="G1891" s="1441"/>
      <c r="H1891" s="1442"/>
      <c r="I1891" s="197" t="str">
        <f t="shared" ca="1" si="93"/>
        <v/>
      </c>
      <c r="J1891" s="198"/>
      <c r="K1891" s="1307"/>
      <c r="L1891" s="1335"/>
      <c r="M1891" s="1499"/>
      <c r="N1891" s="1701"/>
      <c r="O1891" s="1290"/>
      <c r="P1891" s="1332"/>
      <c r="Q1891" s="3391"/>
      <c r="R1891" s="2337"/>
      <c r="S1891" s="16"/>
      <c r="T1891" s="16"/>
      <c r="U1891" s="16"/>
      <c r="V1891" s="16"/>
    </row>
    <row r="1892" spans="1:22">
      <c r="A1892" s="1042"/>
      <c r="B1892" s="1042"/>
      <c r="C1892" s="88"/>
      <c r="D1892" s="1440"/>
      <c r="E1892" s="2132"/>
      <c r="F1892" s="1441"/>
      <c r="G1892" s="1441"/>
      <c r="H1892" s="1442"/>
      <c r="I1892" s="197" t="str">
        <f t="shared" ca="1" si="93"/>
        <v/>
      </c>
      <c r="J1892" s="198"/>
      <c r="K1892" s="1307"/>
      <c r="L1892" s="1335"/>
      <c r="M1892" s="1499"/>
      <c r="N1892" s="1701"/>
      <c r="O1892" s="1290"/>
      <c r="P1892" s="1332"/>
      <c r="Q1892" s="3391"/>
      <c r="R1892" s="2337"/>
      <c r="S1892" s="16"/>
      <c r="T1892" s="16"/>
      <c r="U1892" s="16"/>
      <c r="V1892" s="16"/>
    </row>
    <row r="1893" spans="1:22">
      <c r="A1893" s="1042"/>
      <c r="B1893" s="223"/>
      <c r="C1893" s="581"/>
      <c r="D1893" s="1440"/>
      <c r="E1893" s="2132"/>
      <c r="F1893" s="1441"/>
      <c r="G1893" s="1441"/>
      <c r="H1893" s="1442"/>
      <c r="I1893" s="197" t="str">
        <f t="shared" ca="1" si="93"/>
        <v/>
      </c>
      <c r="J1893" s="198"/>
      <c r="K1893" s="1307"/>
      <c r="L1893" s="1335"/>
      <c r="M1893" s="1499"/>
      <c r="N1893" s="1701"/>
      <c r="O1893" s="1290"/>
      <c r="P1893" s="1332"/>
      <c r="Q1893" s="3391"/>
      <c r="R1893" s="2337"/>
      <c r="S1893" s="16"/>
      <c r="T1893" s="16"/>
      <c r="U1893" s="16"/>
      <c r="V1893" s="16"/>
    </row>
    <row r="1894" spans="1:22">
      <c r="A1894" s="1807" t="s">
        <v>3764</v>
      </c>
      <c r="B1894" s="4325" t="s">
        <v>1808</v>
      </c>
      <c r="C1894" s="3350"/>
      <c r="D1894" s="4327"/>
      <c r="E1894" s="4329" t="s">
        <v>1507</v>
      </c>
      <c r="F1894" s="4338" t="s">
        <v>1809</v>
      </c>
      <c r="G1894" s="4331" t="s">
        <v>1568</v>
      </c>
      <c r="H1894" s="4331" t="s">
        <v>1574</v>
      </c>
      <c r="I1894" s="1572" t="s">
        <v>1559</v>
      </c>
      <c r="J1894" s="1294" t="s">
        <v>1560</v>
      </c>
      <c r="K1894" s="1294" t="s">
        <v>1561</v>
      </c>
      <c r="L1894" s="4333" t="s">
        <v>3765</v>
      </c>
      <c r="M1894" s="4335" t="s">
        <v>1571</v>
      </c>
      <c r="N1894" s="4323" t="s">
        <v>1776</v>
      </c>
      <c r="O1894" s="3347" t="s">
        <v>1563</v>
      </c>
      <c r="P1894" s="1336" t="s">
        <v>1562</v>
      </c>
      <c r="Q1894" s="3389"/>
      <c r="R1894" s="1699" t="s">
        <v>1327</v>
      </c>
      <c r="S1894" s="16"/>
      <c r="T1894" s="16"/>
      <c r="U1894" s="16"/>
      <c r="V1894" s="16"/>
    </row>
    <row r="1895" spans="1:22">
      <c r="A1895" s="1807" t="s">
        <v>1798</v>
      </c>
      <c r="B1895" s="4326"/>
      <c r="C1895" s="3351"/>
      <c r="D1895" s="4328"/>
      <c r="E1895" s="4330"/>
      <c r="F1895" s="4338"/>
      <c r="G1895" s="4332"/>
      <c r="H1895" s="4332"/>
      <c r="I1895" s="1345">
        <v>145.93</v>
      </c>
      <c r="J1895" s="1307">
        <v>2E-3</v>
      </c>
      <c r="K1895" s="1307">
        <f>I1895*J1895</f>
        <v>0.29186000000000001</v>
      </c>
      <c r="L1895" s="4334"/>
      <c r="M1895" s="4335"/>
      <c r="N1895" s="4324"/>
      <c r="O1895" s="1298">
        <f>O1897+O1906</f>
        <v>18.061397399999997</v>
      </c>
      <c r="P1895" s="1337">
        <f>O1895*K1895</f>
        <v>5.2713994451639996</v>
      </c>
      <c r="Q1895" s="3390"/>
      <c r="R1895" s="1721">
        <f>P1897+P1906</f>
        <v>5.2713994451640005</v>
      </c>
      <c r="S1895" s="16"/>
      <c r="T1895" s="16"/>
      <c r="U1895" s="16"/>
      <c r="V1895" s="16"/>
    </row>
    <row r="1896" spans="1:22">
      <c r="A1896" s="1042"/>
      <c r="B1896" s="18"/>
      <c r="D1896" s="1449"/>
      <c r="E1896" s="2121"/>
      <c r="F1896" s="1368" t="s">
        <v>1</v>
      </c>
      <c r="G1896" s="1368"/>
      <c r="H1896" s="1369"/>
      <c r="I1896" s="1409"/>
      <c r="J1896" s="1391"/>
      <c r="K1896" s="1367"/>
      <c r="L1896" s="1554"/>
      <c r="M1896" s="1369"/>
      <c r="N1896" s="1369"/>
      <c r="O1896" s="1369"/>
      <c r="P1896" s="1367"/>
      <c r="Q1896" s="3387"/>
      <c r="R1896" s="2337"/>
      <c r="S1896" s="16"/>
      <c r="T1896" s="16"/>
      <c r="U1896" s="16"/>
      <c r="V1896" s="16"/>
    </row>
    <row r="1897" spans="1:22">
      <c r="A1897" s="1042"/>
      <c r="B1897" s="1042"/>
      <c r="C1897" s="1356" t="s">
        <v>1790</v>
      </c>
      <c r="D1897" s="1311"/>
      <c r="E1897" s="2137" t="s">
        <v>1517</v>
      </c>
      <c r="F1897" s="1343" t="s">
        <v>1791</v>
      </c>
      <c r="G1897" s="1344"/>
      <c r="H1897" s="1344">
        <v>0.03</v>
      </c>
      <c r="I1897" s="1444"/>
      <c r="J1897" s="1388"/>
      <c r="K1897" s="1445"/>
      <c r="L1897" s="1457"/>
      <c r="M1897" s="1446"/>
      <c r="N1897" s="1447">
        <f>SUM(N1898:N1902)</f>
        <v>76.906580000000005</v>
      </c>
      <c r="O1897" s="1447">
        <f>SUM(O1898:O1902)</f>
        <v>2.3071973999999997</v>
      </c>
      <c r="P1897" s="1447">
        <f>SUM(P1898:P1902)</f>
        <v>0.67337863316399993</v>
      </c>
      <c r="Q1897" s="3391"/>
      <c r="R1897" s="2337"/>
      <c r="S1897" s="16"/>
      <c r="T1897" s="16"/>
      <c r="U1897" s="16"/>
      <c r="V1897" s="16"/>
    </row>
    <row r="1898" spans="1:22">
      <c r="A1898" s="1042"/>
      <c r="B1898" s="1042"/>
      <c r="C1898" s="1327"/>
      <c r="D1898" s="1756" t="s">
        <v>1069</v>
      </c>
      <c r="E1898" s="1852" t="s">
        <v>1517</v>
      </c>
      <c r="F1898" s="1784" t="s">
        <v>1578</v>
      </c>
      <c r="G1898" s="1399">
        <v>0.2</v>
      </c>
      <c r="H1898" s="1399">
        <f>G1898*$H$1897</f>
        <v>6.0000000000000001E-3</v>
      </c>
      <c r="I1898" s="197"/>
      <c r="J1898" s="198"/>
      <c r="K1898" s="1307">
        <f>H1898*$K$1895</f>
        <v>1.7511600000000001E-3</v>
      </c>
      <c r="L1898" s="1335">
        <f>K1898*$K$1793</f>
        <v>0</v>
      </c>
      <c r="M1898" s="1499">
        <v>0.55000000000000004</v>
      </c>
      <c r="N1898" s="1718">
        <f>G1898*M1898</f>
        <v>0.11000000000000001</v>
      </c>
      <c r="O1898" s="1719">
        <f>H1898*M1898</f>
        <v>3.3000000000000004E-3</v>
      </c>
      <c r="P1898" s="1720">
        <f>M1898*K1898</f>
        <v>9.631380000000001E-4</v>
      </c>
      <c r="Q1898" s="3396"/>
      <c r="R1898" s="2337"/>
      <c r="S1898" s="16"/>
      <c r="T1898" s="16"/>
      <c r="U1898" s="16"/>
      <c r="V1898" s="16"/>
    </row>
    <row r="1899" spans="1:22">
      <c r="A1899" s="1042"/>
      <c r="B1899" s="1042"/>
      <c r="C1899" s="1320"/>
      <c r="D1899" s="1756" t="s">
        <v>1792</v>
      </c>
      <c r="E1899" s="1852" t="s">
        <v>1577</v>
      </c>
      <c r="F1899" s="1752" t="s">
        <v>1793</v>
      </c>
      <c r="G1899" s="1399">
        <v>0.25</v>
      </c>
      <c r="H1899" s="1399">
        <f>G1899*$H$1897</f>
        <v>7.4999999999999997E-3</v>
      </c>
      <c r="I1899" s="197"/>
      <c r="J1899" s="198"/>
      <c r="K1899" s="1307">
        <f>H1899*$K$1895</f>
        <v>2.1889499999999998E-3</v>
      </c>
      <c r="L1899" s="1335">
        <f>K1899*$K$1793</f>
        <v>0</v>
      </c>
      <c r="M1899" s="1499">
        <v>85.09</v>
      </c>
      <c r="N1899" s="1718">
        <f>G1899*M1899</f>
        <v>21.272500000000001</v>
      </c>
      <c r="O1899" s="1719">
        <f>H1899*M1899</f>
        <v>0.63817500000000005</v>
      </c>
      <c r="P1899" s="1720">
        <f>M1899*K1899</f>
        <v>0.18625775549999998</v>
      </c>
      <c r="Q1899" s="3396"/>
      <c r="R1899" s="2337"/>
      <c r="S1899" s="631"/>
      <c r="T1899" s="631"/>
      <c r="U1899" s="16"/>
      <c r="V1899" s="16"/>
    </row>
    <row r="1900" spans="1:22">
      <c r="A1900" s="1042"/>
      <c r="B1900" s="1042"/>
      <c r="C1900" s="1320"/>
      <c r="D1900" s="1756" t="s">
        <v>1394</v>
      </c>
      <c r="E1900" s="1852" t="s">
        <v>1577</v>
      </c>
      <c r="F1900" s="1752" t="s">
        <v>1579</v>
      </c>
      <c r="G1900" s="1399">
        <v>0.25</v>
      </c>
      <c r="H1900" s="1399">
        <f>G1900*$H$1897</f>
        <v>7.4999999999999997E-3</v>
      </c>
      <c r="I1900" s="197"/>
      <c r="J1900" s="198"/>
      <c r="K1900" s="1307">
        <f>H1900*$K$1895</f>
        <v>2.1889499999999998E-3</v>
      </c>
      <c r="L1900" s="1335">
        <f>K1900*$K$1793</f>
        <v>0</v>
      </c>
      <c r="M1900" s="1499">
        <v>92.54</v>
      </c>
      <c r="N1900" s="1718">
        <f>G1900*M1900</f>
        <v>23.135000000000002</v>
      </c>
      <c r="O1900" s="1719">
        <f>H1900*M1900</f>
        <v>0.69405000000000006</v>
      </c>
      <c r="P1900" s="1720">
        <f>M1900*K1900</f>
        <v>0.20256543299999999</v>
      </c>
      <c r="Q1900" s="3396"/>
      <c r="R1900" s="2337"/>
      <c r="S1900" s="631"/>
      <c r="T1900" s="631"/>
      <c r="U1900" s="16"/>
      <c r="V1900" s="16"/>
    </row>
    <row r="1901" spans="1:22">
      <c r="A1901" s="1042"/>
      <c r="B1901" s="1042"/>
      <c r="C1901" s="1320"/>
      <c r="D1901" s="1756" t="s">
        <v>1576</v>
      </c>
      <c r="E1901" s="1852" t="s">
        <v>1517</v>
      </c>
      <c r="F1901" s="1752" t="s">
        <v>1580</v>
      </c>
      <c r="G1901" s="1399">
        <v>1.5</v>
      </c>
      <c r="H1901" s="1399">
        <f>G1901*$H$1897</f>
        <v>4.4999999999999998E-2</v>
      </c>
      <c r="I1901" s="197"/>
      <c r="J1901" s="198"/>
      <c r="K1901" s="1307">
        <f>H1901*$K$1895</f>
        <v>1.31337E-2</v>
      </c>
      <c r="L1901" s="1335">
        <f>K1901*$K$1793</f>
        <v>0</v>
      </c>
      <c r="M1901" s="1499">
        <v>6.53</v>
      </c>
      <c r="N1901" s="1718">
        <f>G1901*M1901</f>
        <v>9.7949999999999999</v>
      </c>
      <c r="O1901" s="1719">
        <f>H1901*M1901</f>
        <v>0.29385</v>
      </c>
      <c r="P1901" s="1720">
        <f>M1901*K1901</f>
        <v>8.5763061000000002E-2</v>
      </c>
      <c r="Q1901" s="3396"/>
      <c r="R1901" s="2337"/>
      <c r="S1901" s="16"/>
      <c r="T1901" s="16"/>
      <c r="U1901" s="16"/>
      <c r="V1901" s="16"/>
    </row>
    <row r="1902" spans="1:22" s="22" customFormat="1">
      <c r="A1902" s="1042"/>
      <c r="B1902" s="1042"/>
      <c r="C1902" s="1320"/>
      <c r="D1902" s="1757" t="s">
        <v>1067</v>
      </c>
      <c r="E1902" s="1853" t="s">
        <v>1508</v>
      </c>
      <c r="F1902" s="1754" t="s">
        <v>1512</v>
      </c>
      <c r="G1902" s="1408">
        <v>1.236</v>
      </c>
      <c r="H1902" s="1408">
        <f>G1902*$H$1897</f>
        <v>3.7079999999999995E-2</v>
      </c>
      <c r="I1902" s="197"/>
      <c r="J1902" s="198"/>
      <c r="K1902" s="1307">
        <f>H1902*$K$1895</f>
        <v>1.0822168799999999E-2</v>
      </c>
      <c r="L1902" s="1335">
        <f>K1902*$K$1793</f>
        <v>0</v>
      </c>
      <c r="M1902" s="1499">
        <v>18.28</v>
      </c>
      <c r="N1902" s="1718">
        <f>G1902*M1902</f>
        <v>22.594080000000002</v>
      </c>
      <c r="O1902" s="1719">
        <f>H1902*M1902</f>
        <v>0.67782239999999994</v>
      </c>
      <c r="P1902" s="1720">
        <f>M1902*K1902</f>
        <v>0.19782924566399998</v>
      </c>
      <c r="Q1902" s="3396"/>
      <c r="R1902" s="2337"/>
      <c r="S1902" s="16"/>
      <c r="T1902" s="16"/>
      <c r="U1902" s="16"/>
      <c r="V1902" s="16"/>
    </row>
    <row r="1903" spans="1:22">
      <c r="A1903" s="1042"/>
      <c r="B1903" s="1042"/>
      <c r="C1903" s="88"/>
      <c r="D1903" s="1756"/>
      <c r="E1903" s="1852"/>
      <c r="F1903" s="1752"/>
      <c r="G1903" s="1399"/>
      <c r="H1903" s="1399"/>
      <c r="I1903" s="197"/>
      <c r="J1903" s="198"/>
      <c r="K1903" s="1307"/>
      <c r="L1903" s="1335"/>
      <c r="M1903" s="1499"/>
      <c r="N1903" s="1718"/>
      <c r="O1903" s="1719"/>
      <c r="P1903" s="1720"/>
      <c r="Q1903" s="3396"/>
      <c r="R1903" s="2337"/>
      <c r="S1903" s="16"/>
      <c r="T1903" s="16"/>
      <c r="U1903" s="16"/>
      <c r="V1903" s="16"/>
    </row>
    <row r="1904" spans="1:22">
      <c r="A1904" s="1042"/>
      <c r="B1904" s="1042"/>
      <c r="C1904" s="88"/>
      <c r="D1904" s="1756"/>
      <c r="E1904" s="1852"/>
      <c r="F1904" s="1752"/>
      <c r="G1904" s="1399"/>
      <c r="H1904" s="1399"/>
      <c r="I1904" s="197"/>
      <c r="J1904" s="198"/>
      <c r="K1904" s="1307" t="str">
        <f>IF(COUNT(#REF!)=0,"",IF(#REF!="","",(#REF!*#REF!)))</f>
        <v/>
      </c>
      <c r="L1904" s="1335"/>
      <c r="M1904" s="1499"/>
      <c r="N1904" s="1718"/>
      <c r="O1904" s="1719"/>
      <c r="P1904" s="1720"/>
      <c r="Q1904" s="3396"/>
      <c r="R1904" s="2337"/>
      <c r="S1904" s="17"/>
      <c r="T1904" s="17"/>
      <c r="U1904" s="16"/>
      <c r="V1904" s="16"/>
    </row>
    <row r="1905" spans="1:22">
      <c r="A1905" s="1042"/>
      <c r="B1905" s="1042"/>
      <c r="C1905" s="88"/>
      <c r="D1905" s="1359"/>
      <c r="E1905" s="1858"/>
      <c r="F1905" s="1360" t="s">
        <v>2</v>
      </c>
      <c r="G1905" s="1360"/>
      <c r="H1905" s="1362"/>
      <c r="I1905" s="1380"/>
      <c r="J1905" s="1381"/>
      <c r="K1905" s="1359" t="str">
        <f>IF(COUNT(#REF!)=0,"",IF(#REF!="","",(#REF!*#REF!)))</f>
        <v/>
      </c>
      <c r="L1905" s="1458"/>
      <c r="M1905" s="1362"/>
      <c r="N1905" s="1362"/>
      <c r="O1905" s="1362"/>
      <c r="P1905" s="1458"/>
      <c r="Q1905" s="3387"/>
      <c r="R1905" s="2337"/>
      <c r="S1905" s="105"/>
      <c r="T1905" s="105"/>
      <c r="U1905" s="16"/>
      <c r="V1905" s="16"/>
    </row>
    <row r="1906" spans="1:22">
      <c r="A1906" s="1042"/>
      <c r="B1906" s="1042"/>
      <c r="C1906" s="1652" t="s">
        <v>1755</v>
      </c>
      <c r="D1906" s="1461"/>
      <c r="E1906" s="2163" t="s">
        <v>1508</v>
      </c>
      <c r="F1906" s="1648" t="s">
        <v>1524</v>
      </c>
      <c r="G1906" s="1353"/>
      <c r="H1906" s="1456">
        <v>0.42</v>
      </c>
      <c r="I1906" s="1444"/>
      <c r="J1906" s="1388"/>
      <c r="K1906" s="1445"/>
      <c r="L1906" s="1457"/>
      <c r="M1906" s="1447"/>
      <c r="N1906" s="1447">
        <f>SUM(N1907:N1908)</f>
        <v>37.510000000000005</v>
      </c>
      <c r="O1906" s="1447">
        <f>SUM(O1907:O1908)</f>
        <v>15.754199999999999</v>
      </c>
      <c r="P1906" s="1447">
        <f>SUM(P1907:P1908)</f>
        <v>4.5980208120000006</v>
      </c>
      <c r="Q1906" s="3391"/>
      <c r="R1906" s="2337"/>
      <c r="S1906" s="16"/>
      <c r="T1906" s="16"/>
      <c r="U1906" s="16"/>
      <c r="V1906" s="16"/>
    </row>
    <row r="1907" spans="1:22">
      <c r="A1907" s="1042"/>
      <c r="B1907" s="1042"/>
      <c r="C1907" s="88"/>
      <c r="D1907" s="1430" t="s">
        <v>1067</v>
      </c>
      <c r="E1907" s="1857" t="s">
        <v>1508</v>
      </c>
      <c r="F1907" s="1403" t="s">
        <v>5</v>
      </c>
      <c r="G1907" s="1431">
        <v>1</v>
      </c>
      <c r="H1907" s="1399">
        <f>G1907*$H$1906</f>
        <v>0.42</v>
      </c>
      <c r="I1907" s="1286"/>
      <c r="J1907" s="198"/>
      <c r="K1907" s="1307">
        <f>H1907*$K$1895</f>
        <v>0.1225812</v>
      </c>
      <c r="L1907" s="1335">
        <f>K1907*$K$1793</f>
        <v>0</v>
      </c>
      <c r="M1907" s="1302">
        <v>18.28</v>
      </c>
      <c r="N1907" s="1718">
        <f>G1907*M1907</f>
        <v>18.28</v>
      </c>
      <c r="O1907" s="1290">
        <f>H1907*M1907</f>
        <v>7.6776</v>
      </c>
      <c r="P1907" s="1332">
        <f>M1907*K1907</f>
        <v>2.2407843360000004</v>
      </c>
      <c r="Q1907" s="3391"/>
      <c r="R1907" s="2337"/>
      <c r="S1907" s="16"/>
      <c r="T1907" s="16"/>
      <c r="U1907" s="16"/>
      <c r="V1907" s="16"/>
    </row>
    <row r="1908" spans="1:22">
      <c r="A1908" s="1042"/>
      <c r="B1908" s="1042"/>
      <c r="C1908" s="88"/>
      <c r="D1908" s="1430" t="s">
        <v>1077</v>
      </c>
      <c r="E1908" s="1857" t="s">
        <v>1508</v>
      </c>
      <c r="F1908" s="1403" t="s">
        <v>37</v>
      </c>
      <c r="G1908" s="1431">
        <v>1</v>
      </c>
      <c r="H1908" s="1399">
        <f>G1908*$H$1906</f>
        <v>0.42</v>
      </c>
      <c r="I1908" s="197"/>
      <c r="J1908" s="198"/>
      <c r="K1908" s="1307">
        <f>H1908*$K$1895</f>
        <v>0.1225812</v>
      </c>
      <c r="L1908" s="1335">
        <f>K1908*$K$1793</f>
        <v>0</v>
      </c>
      <c r="M1908" s="1302">
        <v>19.23</v>
      </c>
      <c r="N1908" s="1718">
        <f>G1908*M1908</f>
        <v>19.23</v>
      </c>
      <c r="O1908" s="1290">
        <f>H1908*M1908</f>
        <v>8.0765999999999991</v>
      </c>
      <c r="P1908" s="1332">
        <f>M1908*K1908</f>
        <v>2.3572364760000002</v>
      </c>
      <c r="Q1908" s="3391"/>
      <c r="R1908" s="2337"/>
      <c r="S1908" s="16"/>
      <c r="T1908" s="16"/>
      <c r="U1908" s="16"/>
      <c r="V1908" s="16"/>
    </row>
    <row r="1909" spans="1:22">
      <c r="A1909" s="1042"/>
      <c r="B1909" s="1042"/>
      <c r="C1909" s="88"/>
      <c r="D1909" s="1373"/>
      <c r="E1909" s="2123"/>
      <c r="F1909" s="1374" t="s">
        <v>3</v>
      </c>
      <c r="G1909" s="1374"/>
      <c r="H1909" s="1376"/>
      <c r="I1909" s="1382"/>
      <c r="J1909" s="1383"/>
      <c r="K1909" s="1373"/>
      <c r="L1909" s="1413"/>
      <c r="M1909" s="1376"/>
      <c r="N1909" s="1376"/>
      <c r="O1909" s="1376"/>
      <c r="P1909" s="1413"/>
      <c r="Q1909" s="3387"/>
      <c r="R1909" s="2337"/>
      <c r="S1909" s="16"/>
      <c r="T1909" s="16"/>
      <c r="U1909" s="16"/>
      <c r="V1909" s="16"/>
    </row>
    <row r="1910" spans="1:22">
      <c r="A1910" s="1042"/>
      <c r="B1910" s="1042"/>
      <c r="C1910" s="88"/>
      <c r="D1910" s="1440"/>
      <c r="E1910" s="2132"/>
      <c r="F1910" s="1441"/>
      <c r="G1910" s="1441"/>
      <c r="H1910" s="1442"/>
      <c r="I1910" s="197"/>
      <c r="J1910" s="198"/>
      <c r="K1910" s="1307"/>
      <c r="L1910" s="1335"/>
      <c r="M1910" s="1499"/>
      <c r="N1910" s="1701"/>
      <c r="O1910" s="1290"/>
      <c r="P1910" s="1332"/>
      <c r="Q1910" s="3391"/>
      <c r="R1910" s="2337"/>
      <c r="S1910" s="16"/>
      <c r="T1910" s="16"/>
      <c r="U1910" s="16"/>
      <c r="V1910" s="16"/>
    </row>
    <row r="1911" spans="1:22">
      <c r="A1911" s="1042"/>
      <c r="B1911" s="1042"/>
      <c r="C1911" s="88"/>
      <c r="D1911" s="1440"/>
      <c r="E1911" s="2132"/>
      <c r="F1911" s="1441"/>
      <c r="G1911" s="1441"/>
      <c r="H1911" s="1442"/>
      <c r="I1911" s="197"/>
      <c r="J1911" s="198"/>
      <c r="K1911" s="1307"/>
      <c r="L1911" s="1335"/>
      <c r="M1911" s="1499"/>
      <c r="N1911" s="1701"/>
      <c r="O1911" s="1290"/>
      <c r="P1911" s="1332"/>
      <c r="Q1911" s="3391"/>
      <c r="R1911" s="2337"/>
      <c r="S1911" s="16"/>
      <c r="T1911" s="16"/>
      <c r="U1911" s="16"/>
      <c r="V1911" s="16"/>
    </row>
    <row r="1912" spans="1:22">
      <c r="A1912" s="1042"/>
      <c r="B1912" s="223"/>
      <c r="C1912" s="581"/>
      <c r="D1912" s="1440"/>
      <c r="E1912" s="2132"/>
      <c r="F1912" s="1441"/>
      <c r="G1912" s="1441"/>
      <c r="H1912" s="1442"/>
      <c r="I1912" s="197"/>
      <c r="J1912" s="198"/>
      <c r="K1912" s="1307"/>
      <c r="L1912" s="1335"/>
      <c r="M1912" s="1499"/>
      <c r="N1912" s="1701"/>
      <c r="O1912" s="1290"/>
      <c r="P1912" s="1332"/>
      <c r="Q1912" s="3391"/>
      <c r="R1912" s="2337"/>
      <c r="S1912" s="16"/>
      <c r="T1912" s="16"/>
      <c r="U1912" s="16"/>
      <c r="V1912" s="16"/>
    </row>
    <row r="1913" spans="1:22" ht="15" customHeight="1">
      <c r="A1913" s="1807" t="s">
        <v>3764</v>
      </c>
      <c r="B1913" s="4325" t="s">
        <v>1660</v>
      </c>
      <c r="C1913" s="3350"/>
      <c r="D1913" s="4327"/>
      <c r="E1913" s="4329" t="s">
        <v>1507</v>
      </c>
      <c r="F1913" s="4372" t="s">
        <v>1689</v>
      </c>
      <c r="G1913" s="4331" t="s">
        <v>1568</v>
      </c>
      <c r="H1913" s="4331" t="s">
        <v>1574</v>
      </c>
      <c r="I1913" s="1572" t="s">
        <v>1559</v>
      </c>
      <c r="J1913" s="1294" t="s">
        <v>1560</v>
      </c>
      <c r="K1913" s="1294" t="s">
        <v>1561</v>
      </c>
      <c r="L1913" s="4333" t="s">
        <v>3765</v>
      </c>
      <c r="M1913" s="4323" t="s">
        <v>1571</v>
      </c>
      <c r="N1913" s="4323" t="s">
        <v>1776</v>
      </c>
      <c r="O1913" s="3347" t="s">
        <v>1563</v>
      </c>
      <c r="P1913" s="1336" t="s">
        <v>1562</v>
      </c>
      <c r="Q1913" s="3389"/>
      <c r="R1913" s="1699" t="s">
        <v>1327</v>
      </c>
      <c r="S1913" s="16"/>
      <c r="T1913" s="16"/>
      <c r="U1913" s="16"/>
      <c r="V1913" s="16"/>
    </row>
    <row r="1914" spans="1:22">
      <c r="A1914" s="1807" t="s">
        <v>1798</v>
      </c>
      <c r="B1914" s="4326"/>
      <c r="C1914" s="3351"/>
      <c r="D1914" s="4328"/>
      <c r="E1914" s="4330"/>
      <c r="F1914" s="4363"/>
      <c r="G1914" s="4332"/>
      <c r="H1914" s="4332"/>
      <c r="I1914" s="1345">
        <v>145.93</v>
      </c>
      <c r="J1914" s="1307">
        <v>2E-3</v>
      </c>
      <c r="K1914" s="1307">
        <f>I1914*J1914</f>
        <v>0.29186000000000001</v>
      </c>
      <c r="L1914" s="4334"/>
      <c r="M1914" s="4324"/>
      <c r="N1914" s="4324"/>
      <c r="O1914" s="1298">
        <f>SUM(O1916:O1928)</f>
        <v>19.719749999999998</v>
      </c>
      <c r="P1914" s="1337">
        <f>O1914*K1914</f>
        <v>5.7554062349999997</v>
      </c>
      <c r="Q1914" s="3390"/>
      <c r="R1914" s="1721">
        <f>SUM(P1916:P1929)</f>
        <v>5.7554062350000006</v>
      </c>
      <c r="S1914" s="16"/>
      <c r="T1914" s="16"/>
      <c r="U1914" s="16"/>
      <c r="V1914" s="16"/>
    </row>
    <row r="1915" spans="1:22">
      <c r="A1915" s="1320"/>
      <c r="B1915" s="1327"/>
      <c r="C1915" s="1327"/>
      <c r="D1915" s="1400"/>
      <c r="E1915" s="2121"/>
      <c r="F1915" s="1368" t="s">
        <v>1</v>
      </c>
      <c r="G1915" s="1417"/>
      <c r="H1915" s="1390"/>
      <c r="I1915" s="1554"/>
      <c r="J1915" s="1367"/>
      <c r="K1915" s="1367"/>
      <c r="L1915" s="1554"/>
      <c r="M1915" s="1369"/>
      <c r="N1915" s="1369"/>
      <c r="O1915" s="1369"/>
      <c r="P1915" s="1367"/>
      <c r="Q1915" s="3387"/>
      <c r="R1915" s="2337"/>
      <c r="S1915" s="16"/>
      <c r="T1915" s="16"/>
      <c r="U1915" s="16"/>
      <c r="V1915" s="16"/>
    </row>
    <row r="1916" spans="1:22" ht="15" customHeight="1">
      <c r="A1916" s="1320"/>
      <c r="B1916" s="1320"/>
      <c r="C1916" s="1042"/>
      <c r="D1916" s="1615" t="s">
        <v>1145</v>
      </c>
      <c r="E1916" s="2126" t="s">
        <v>1577</v>
      </c>
      <c r="F1916" s="1598" t="s">
        <v>1690</v>
      </c>
      <c r="G1916" s="1372">
        <v>1E-3</v>
      </c>
      <c r="H1916" s="1372"/>
      <c r="I1916" s="198"/>
      <c r="J1916" s="6"/>
      <c r="K1916" s="1307">
        <f>G1916*$K$1914</f>
        <v>2.9186000000000001E-4</v>
      </c>
      <c r="L1916" s="1335">
        <f>K1916*$K$1793</f>
        <v>0</v>
      </c>
      <c r="M1916" s="1499">
        <v>246.4</v>
      </c>
      <c r="N1916" s="1701"/>
      <c r="O1916" s="1291">
        <f>G1916*M1916</f>
        <v>0.24640000000000001</v>
      </c>
      <c r="P1916" s="1332">
        <f>M1916*K1916</f>
        <v>7.1914303999999998E-2</v>
      </c>
      <c r="Q1916" s="3391"/>
      <c r="R1916" s="2337"/>
      <c r="S1916" s="16"/>
      <c r="T1916" s="16"/>
      <c r="U1916" s="16"/>
      <c r="V1916" s="16"/>
    </row>
    <row r="1917" spans="1:22">
      <c r="A1917" s="1320"/>
      <c r="B1917" s="1320"/>
      <c r="C1917" s="1042"/>
      <c r="D1917" s="1598" t="s">
        <v>1147</v>
      </c>
      <c r="E1917" s="2154" t="s">
        <v>1357</v>
      </c>
      <c r="F1917" s="1598" t="s">
        <v>1691</v>
      </c>
      <c r="G1917" s="1372">
        <v>1</v>
      </c>
      <c r="H1917" s="1372"/>
      <c r="I1917" s="197"/>
      <c r="J1917" s="198"/>
      <c r="K1917" s="1307">
        <f>G1917*$K$1914</f>
        <v>0.29186000000000001</v>
      </c>
      <c r="L1917" s="1335">
        <f>K1917*$K$1793</f>
        <v>0</v>
      </c>
      <c r="M1917" s="1499">
        <v>0.22</v>
      </c>
      <c r="N1917" s="1701"/>
      <c r="O1917" s="1291">
        <f>G1917*M1917</f>
        <v>0.22</v>
      </c>
      <c r="P1917" s="1332">
        <f>M1917*K1917</f>
        <v>6.4209200000000008E-2</v>
      </c>
      <c r="Q1917" s="3391"/>
      <c r="R1917" s="2337"/>
      <c r="S1917" s="16"/>
      <c r="T1917" s="16"/>
      <c r="U1917" s="16"/>
      <c r="V1917" s="16"/>
    </row>
    <row r="1918" spans="1:22" ht="15" customHeight="1">
      <c r="A1918" s="1320"/>
      <c r="B1918" s="1320"/>
      <c r="C1918" s="1042"/>
      <c r="D1918" s="1598" t="s">
        <v>1692</v>
      </c>
      <c r="E1918" s="2154" t="s">
        <v>1504</v>
      </c>
      <c r="F1918" s="1598" t="s">
        <v>1693</v>
      </c>
      <c r="G1918" s="1399">
        <v>47.17</v>
      </c>
      <c r="H1918" s="1399"/>
      <c r="I1918" s="27"/>
      <c r="J1918" s="10"/>
      <c r="K1918" s="1307">
        <f>G1918*$K$1914</f>
        <v>13.767036200000002</v>
      </c>
      <c r="L1918" s="1335">
        <f>K1918*$K$1793</f>
        <v>0</v>
      </c>
      <c r="M1918" s="1499">
        <v>0.17</v>
      </c>
      <c r="N1918" s="1701"/>
      <c r="O1918" s="1291">
        <f>G1918*M1918</f>
        <v>8.0189000000000004</v>
      </c>
      <c r="P1918" s="1332">
        <f>M1918*K1918</f>
        <v>2.3403961540000005</v>
      </c>
      <c r="Q1918" s="3391"/>
      <c r="R1918" s="2337"/>
      <c r="S1918" s="16"/>
      <c r="T1918" s="16"/>
      <c r="U1918" s="16"/>
      <c r="V1918" s="16"/>
    </row>
    <row r="1919" spans="1:22">
      <c r="A1919" s="22"/>
      <c r="B1919" s="1320"/>
      <c r="C1919" s="1042"/>
      <c r="D1919" s="1598" t="s">
        <v>1097</v>
      </c>
      <c r="E1919" s="1856" t="s">
        <v>1504</v>
      </c>
      <c r="F1919" s="1598" t="s">
        <v>1632</v>
      </c>
      <c r="G1919" s="1399">
        <v>1</v>
      </c>
      <c r="H1919" s="1399"/>
      <c r="I1919" s="198"/>
      <c r="J1919" s="198"/>
      <c r="K1919" s="1307">
        <f>G1919*$K$1914</f>
        <v>0.29186000000000001</v>
      </c>
      <c r="L1919" s="1335">
        <f>K1919*$K$1793</f>
        <v>0</v>
      </c>
      <c r="M1919" s="1499">
        <v>0.55000000000000004</v>
      </c>
      <c r="N1919" s="1701"/>
      <c r="O1919" s="1291">
        <f>G1919*M1919</f>
        <v>0.55000000000000004</v>
      </c>
      <c r="P1919" s="1332">
        <f>M1919*K1919</f>
        <v>0.16052300000000003</v>
      </c>
      <c r="Q1919" s="3391"/>
      <c r="S1919" s="16"/>
      <c r="T1919" s="16"/>
      <c r="U1919" s="16"/>
      <c r="V1919" s="16"/>
    </row>
    <row r="1920" spans="1:22">
      <c r="A1920" s="1637"/>
      <c r="B1920" s="1320"/>
      <c r="C1920" s="1042"/>
      <c r="D1920" s="1400"/>
      <c r="E1920" s="1856"/>
      <c r="F1920" s="1397"/>
      <c r="G1920" s="1416"/>
      <c r="H1920" s="1399"/>
      <c r="I1920" s="1289"/>
      <c r="J1920" s="198"/>
      <c r="K1920" s="1307"/>
      <c r="L1920" s="1335"/>
      <c r="M1920" s="1499"/>
      <c r="N1920" s="1701"/>
      <c r="O1920" s="1290"/>
      <c r="P1920" s="1332"/>
      <c r="Q1920" s="3391"/>
      <c r="R1920" s="2337"/>
      <c r="S1920" s="16"/>
      <c r="T1920" s="16"/>
      <c r="U1920" s="16"/>
      <c r="V1920" s="16"/>
    </row>
    <row r="1921" spans="1:22">
      <c r="A1921" s="1599"/>
      <c r="B1921" s="1320"/>
      <c r="C1921" s="1042"/>
      <c r="D1921" s="1400"/>
      <c r="E1921" s="1856"/>
      <c r="F1921" s="1397"/>
      <c r="G1921" s="1416"/>
      <c r="H1921" s="1399"/>
      <c r="I1921" s="1289"/>
      <c r="J1921" s="198"/>
      <c r="K1921" s="1307"/>
      <c r="L1921" s="1335"/>
      <c r="M1921" s="1499"/>
      <c r="N1921" s="1701"/>
      <c r="O1921" s="1290"/>
      <c r="P1921" s="1332"/>
      <c r="Q1921" s="3391"/>
      <c r="R1921" s="2337"/>
      <c r="S1921" s="16"/>
      <c r="T1921" s="16"/>
      <c r="U1921" s="16"/>
      <c r="V1921" s="16"/>
    </row>
    <row r="1922" spans="1:22">
      <c r="A1922" s="1599"/>
      <c r="B1922" s="1320"/>
      <c r="C1922" s="1320"/>
      <c r="D1922" s="1410"/>
      <c r="E1922" s="1858"/>
      <c r="F1922" s="1360" t="s">
        <v>2</v>
      </c>
      <c r="G1922" s="1360"/>
      <c r="H1922" s="1362"/>
      <c r="I1922" s="1380"/>
      <c r="J1922" s="1381"/>
      <c r="K1922" s="1359"/>
      <c r="L1922" s="1458"/>
      <c r="M1922" s="1502"/>
      <c r="N1922" s="1502"/>
      <c r="O1922" s="1362"/>
      <c r="P1922" s="1359"/>
      <c r="Q1922" s="3387"/>
      <c r="R1922" s="2337"/>
      <c r="S1922" s="16"/>
      <c r="T1922" s="16"/>
      <c r="U1922" s="16"/>
      <c r="V1922" s="16"/>
    </row>
    <row r="1923" spans="1:22">
      <c r="A1923" s="1599"/>
      <c r="B1923" s="1320"/>
      <c r="C1923" s="1042"/>
      <c r="D1923" s="1410" t="s">
        <v>1088</v>
      </c>
      <c r="E1923" s="1858" t="s">
        <v>1508</v>
      </c>
      <c r="F1923" s="1655" t="s">
        <v>1694</v>
      </c>
      <c r="G1923" s="1405">
        <v>0.375</v>
      </c>
      <c r="H1923" s="1405"/>
      <c r="I1923" s="1826"/>
      <c r="J1923" s="6"/>
      <c r="K1923" s="1307">
        <f>G1923*$K$1914</f>
        <v>0.1094475</v>
      </c>
      <c r="L1923" s="1335">
        <f>K1923*$K$1793</f>
        <v>0</v>
      </c>
      <c r="M1923" s="1302">
        <v>19.23</v>
      </c>
      <c r="N1923" s="1701"/>
      <c r="O1923" s="1291">
        <f>G1923*M1923</f>
        <v>7.2112499999999997</v>
      </c>
      <c r="P1923" s="1332">
        <f>M1923*K1923</f>
        <v>2.1046754249999999</v>
      </c>
      <c r="Q1923" s="3391"/>
      <c r="R1923" s="2337"/>
      <c r="S1923" s="16"/>
      <c r="T1923" s="16"/>
      <c r="U1923" s="16"/>
      <c r="V1923" s="16"/>
    </row>
    <row r="1924" spans="1:22">
      <c r="A1924" s="1599"/>
      <c r="B1924" s="1320"/>
      <c r="C1924" s="1042"/>
      <c r="D1924" s="1410" t="s">
        <v>1067</v>
      </c>
      <c r="E1924" s="1858" t="s">
        <v>1508</v>
      </c>
      <c r="F1924" s="1655" t="s">
        <v>1512</v>
      </c>
      <c r="G1924" s="1359">
        <v>0.19</v>
      </c>
      <c r="H1924" s="1359"/>
      <c r="I1924" s="12"/>
      <c r="J1924" s="6"/>
      <c r="K1924" s="1307">
        <f>G1924*$K$1914</f>
        <v>5.54534E-2</v>
      </c>
      <c r="L1924" s="1335">
        <f>K1924*$K$1793</f>
        <v>0</v>
      </c>
      <c r="M1924" s="1302">
        <v>18.28</v>
      </c>
      <c r="N1924" s="1499"/>
      <c r="O1924" s="1291">
        <f>G1924*M1924</f>
        <v>3.4732000000000003</v>
      </c>
      <c r="P1924" s="1332">
        <f>M1924*K1924</f>
        <v>1.0136881520000001</v>
      </c>
      <c r="Q1924" s="3391"/>
      <c r="R1924" s="2337"/>
      <c r="S1924" s="16"/>
      <c r="T1924" s="16"/>
      <c r="U1924" s="16"/>
      <c r="V1924" s="16"/>
    </row>
    <row r="1925" spans="1:22">
      <c r="A1925" s="1599"/>
      <c r="B1925" s="1320"/>
      <c r="C1925" s="1042"/>
      <c r="D1925" s="1402"/>
      <c r="E1925" s="1857"/>
      <c r="F1925" s="1403"/>
      <c r="G1925" s="1362"/>
      <c r="H1925" s="1359"/>
      <c r="I1925" s="198"/>
      <c r="J1925" s="6"/>
      <c r="K1925" s="1307"/>
      <c r="L1925" s="1335"/>
      <c r="M1925" s="1499"/>
      <c r="N1925" s="1701"/>
      <c r="O1925" s="1290"/>
      <c r="P1925" s="1332"/>
      <c r="Q1925" s="3391"/>
      <c r="R1925" s="2337"/>
      <c r="S1925" s="17"/>
      <c r="T1925" s="17"/>
      <c r="U1925" s="16"/>
      <c r="V1925" s="16"/>
    </row>
    <row r="1926" spans="1:22">
      <c r="A1926" s="1599"/>
      <c r="B1926" s="1320"/>
      <c r="C1926" s="1042"/>
      <c r="D1926" s="1411"/>
      <c r="E1926" s="2123"/>
      <c r="F1926" s="1374" t="s">
        <v>3</v>
      </c>
      <c r="G1926" s="1374"/>
      <c r="H1926" s="1376"/>
      <c r="I1926" s="1382"/>
      <c r="J1926" s="1383"/>
      <c r="K1926" s="1373"/>
      <c r="L1926" s="1413"/>
      <c r="M1926" s="1505"/>
      <c r="N1926" s="1505"/>
      <c r="O1926" s="1376"/>
      <c r="P1926" s="1413"/>
      <c r="Q1926" s="3387"/>
      <c r="R1926" s="2337"/>
      <c r="S1926" s="105"/>
      <c r="T1926" s="105"/>
      <c r="U1926" s="16"/>
      <c r="V1926" s="16"/>
    </row>
    <row r="1927" spans="1:22">
      <c r="A1927" s="1599"/>
      <c r="B1927" s="1320"/>
      <c r="C1927" s="1042"/>
      <c r="D1927" s="1440"/>
      <c r="E1927" s="2132"/>
      <c r="F1927" s="1441"/>
      <c r="G1927" s="1441"/>
      <c r="H1927" s="1442"/>
      <c r="I1927" s="197"/>
      <c r="J1927" s="198"/>
      <c r="K1927" s="1307"/>
      <c r="L1927" s="1335"/>
      <c r="M1927" s="1499"/>
      <c r="N1927" s="1701"/>
      <c r="O1927" s="1290"/>
      <c r="P1927" s="1332"/>
      <c r="Q1927" s="3391"/>
      <c r="R1927" s="2337"/>
      <c r="S1927" s="16"/>
      <c r="T1927" s="16"/>
      <c r="U1927" s="16"/>
      <c r="V1927" s="16"/>
    </row>
    <row r="1928" spans="1:22">
      <c r="A1928" s="1599"/>
      <c r="B1928" s="1320"/>
      <c r="C1928" s="1042"/>
      <c r="D1928" s="1440"/>
      <c r="E1928" s="2132"/>
      <c r="F1928" s="1441"/>
      <c r="G1928" s="1441"/>
      <c r="H1928" s="1442"/>
      <c r="I1928" s="197"/>
      <c r="J1928" s="198"/>
      <c r="K1928" s="1307"/>
      <c r="L1928" s="1335"/>
      <c r="M1928" s="1499"/>
      <c r="N1928" s="1701"/>
      <c r="O1928" s="1290"/>
      <c r="P1928" s="1332"/>
      <c r="Q1928" s="3391"/>
      <c r="R1928" s="2337"/>
      <c r="S1928" s="16"/>
      <c r="T1928" s="16"/>
      <c r="U1928" s="16"/>
      <c r="V1928" s="16"/>
    </row>
    <row r="1929" spans="1:22">
      <c r="A1929" s="1599"/>
      <c r="B1929" s="225"/>
      <c r="C1929" s="223"/>
      <c r="D1929" s="1440"/>
      <c r="E1929" s="2132"/>
      <c r="F1929" s="1441"/>
      <c r="G1929" s="1441"/>
      <c r="H1929" s="1442"/>
      <c r="I1929" s="197"/>
      <c r="J1929" s="198"/>
      <c r="K1929" s="1307"/>
      <c r="L1929" s="1335"/>
      <c r="M1929" s="1499"/>
      <c r="N1929" s="1701"/>
      <c r="O1929" s="1290"/>
      <c r="P1929" s="1332"/>
      <c r="Q1929" s="3391"/>
      <c r="R1929" s="2337"/>
      <c r="S1929" s="16"/>
      <c r="T1929" s="16"/>
      <c r="U1929" s="16"/>
      <c r="V1929" s="16"/>
    </row>
    <row r="1930" spans="1:22" ht="15" customHeight="1">
      <c r="A1930" s="16" t="s">
        <v>3764</v>
      </c>
      <c r="B1930" s="4325" t="s">
        <v>1738</v>
      </c>
      <c r="C1930" s="3350"/>
      <c r="D1930" s="4327"/>
      <c r="E1930" s="4329" t="s">
        <v>1507</v>
      </c>
      <c r="F1930" s="4336" t="s">
        <v>1714</v>
      </c>
      <c r="G1930" s="4331" t="s">
        <v>1568</v>
      </c>
      <c r="H1930" s="4331" t="s">
        <v>1574</v>
      </c>
      <c r="I1930" s="1572" t="s">
        <v>1559</v>
      </c>
      <c r="J1930" s="1294" t="s">
        <v>1560</v>
      </c>
      <c r="K1930" s="1294" t="s">
        <v>1561</v>
      </c>
      <c r="L1930" s="4333" t="s">
        <v>3765</v>
      </c>
      <c r="M1930" s="4335" t="s">
        <v>1571</v>
      </c>
      <c r="N1930" s="4323" t="s">
        <v>1776</v>
      </c>
      <c r="O1930" s="3347" t="s">
        <v>1563</v>
      </c>
      <c r="P1930" s="1336" t="s">
        <v>1562</v>
      </c>
      <c r="Q1930" s="3389"/>
      <c r="R1930" s="1699" t="s">
        <v>1327</v>
      </c>
      <c r="S1930" s="16"/>
      <c r="T1930" s="16"/>
      <c r="U1930" s="16"/>
      <c r="V1930" s="16"/>
    </row>
    <row r="1931" spans="1:22">
      <c r="A1931" s="1807" t="s">
        <v>1798</v>
      </c>
      <c r="B1931" s="4326"/>
      <c r="C1931" s="3351"/>
      <c r="D1931" s="4328"/>
      <c r="E1931" s="4389"/>
      <c r="F1931" s="4336"/>
      <c r="G1931" s="4332"/>
      <c r="H1931" s="4332"/>
      <c r="I1931" s="1345">
        <v>91.59</v>
      </c>
      <c r="J1931" s="1307">
        <v>2E-3</v>
      </c>
      <c r="K1931" s="1307">
        <f>I1931*J1931</f>
        <v>0.18318000000000001</v>
      </c>
      <c r="L1931" s="4334"/>
      <c r="M1931" s="4335"/>
      <c r="N1931" s="4324"/>
      <c r="O1931" s="1298">
        <f>O1933+O1937+O1943</f>
        <v>7.8734280000000005</v>
      </c>
      <c r="P1931" s="1337">
        <f>O1931*K1931</f>
        <v>1.4422545410400003</v>
      </c>
      <c r="Q1931" s="3390"/>
      <c r="R1931" s="1721">
        <f>P1933+P1937+P1943</f>
        <v>1.4422545410400001</v>
      </c>
      <c r="S1931" s="16"/>
      <c r="T1931" s="16"/>
      <c r="U1931" s="16"/>
      <c r="V1931" s="16"/>
    </row>
    <row r="1932" spans="1:22">
      <c r="A1932" s="1599"/>
      <c r="B1932" s="1327"/>
      <c r="C1932" s="1327"/>
      <c r="D1932" s="1400"/>
      <c r="E1932" s="2121"/>
      <c r="F1932" s="1368" t="s">
        <v>1</v>
      </c>
      <c r="G1932" s="1417"/>
      <c r="H1932" s="1390"/>
      <c r="I1932" s="1554"/>
      <c r="J1932" s="1367"/>
      <c r="K1932" s="1367"/>
      <c r="L1932" s="1554"/>
      <c r="M1932" s="1369"/>
      <c r="N1932" s="1369"/>
      <c r="O1932" s="1369"/>
      <c r="P1932" s="1367"/>
      <c r="Q1932" s="3387"/>
      <c r="R1932" s="2337"/>
      <c r="S1932" s="16"/>
      <c r="T1932" s="16"/>
      <c r="U1932" s="16"/>
      <c r="V1932" s="16"/>
    </row>
    <row r="1933" spans="1:22">
      <c r="A1933" s="1599"/>
      <c r="B1933" s="1320"/>
      <c r="C1933" s="1356" t="s">
        <v>1128</v>
      </c>
      <c r="D1933" s="1311"/>
      <c r="E1933" s="2169" t="s">
        <v>1517</v>
      </c>
      <c r="F1933" s="1749" t="s">
        <v>1695</v>
      </c>
      <c r="G1933" s="1758"/>
      <c r="H1933" s="1331">
        <v>1.4999999999999999E-2</v>
      </c>
      <c r="I1933" s="1388"/>
      <c r="J1933" s="1366"/>
      <c r="K1933" s="1510"/>
      <c r="L1933" s="1445"/>
      <c r="M1933" s="1447"/>
      <c r="N1933" s="1447">
        <f>SUM(N1934:N1936)</f>
        <v>104.27969999999999</v>
      </c>
      <c r="O1933" s="1447">
        <f>SUM(O1934:O1936)</f>
        <v>1.5641954999999998</v>
      </c>
      <c r="P1933" s="1446">
        <f>SUM(P1934:P1936)</f>
        <v>0.28652933169</v>
      </c>
      <c r="Q1933" s="3391"/>
      <c r="R1933" s="2337"/>
      <c r="S1933" s="16"/>
      <c r="T1933" s="16"/>
      <c r="U1933" s="16"/>
      <c r="V1933" s="16"/>
    </row>
    <row r="1934" spans="1:22">
      <c r="A1934" s="1599"/>
      <c r="B1934" s="1320"/>
      <c r="C1934" s="1042"/>
      <c r="D1934" s="1752" t="s">
        <v>1779</v>
      </c>
      <c r="E1934" s="1852" t="s">
        <v>1577</v>
      </c>
      <c r="F1934" s="1752" t="s">
        <v>1780</v>
      </c>
      <c r="G1934" s="1753">
        <v>0.876</v>
      </c>
      <c r="H1934" s="1453">
        <f>G1934*$H$1933</f>
        <v>1.3139999999999999E-2</v>
      </c>
      <c r="I1934" s="197"/>
      <c r="J1934" s="198"/>
      <c r="K1934" s="1307">
        <f>H1934*$K$1931</f>
        <v>2.4069852E-3</v>
      </c>
      <c r="L1934" s="1335">
        <f>K1934*$K$1793</f>
        <v>0</v>
      </c>
      <c r="M1934" s="1759">
        <v>56.05</v>
      </c>
      <c r="N1934" s="1718">
        <f>G1934*M1934</f>
        <v>49.099799999999995</v>
      </c>
      <c r="O1934" s="1719">
        <f>H1934*M1934</f>
        <v>0.73649699999999985</v>
      </c>
      <c r="P1934" s="1720">
        <f>M1934*K1934</f>
        <v>0.13491152045999999</v>
      </c>
      <c r="Q1934" s="3396"/>
      <c r="R1934" s="2337"/>
      <c r="S1934" s="16"/>
      <c r="T1934" s="16"/>
      <c r="U1934" s="16"/>
      <c r="V1934" s="16"/>
    </row>
    <row r="1935" spans="1:22">
      <c r="A1935" s="1599"/>
      <c r="B1935" s="1320"/>
      <c r="C1935" s="1042"/>
      <c r="D1935" s="1752" t="s">
        <v>1069</v>
      </c>
      <c r="E1935" s="1852" t="s">
        <v>1517</v>
      </c>
      <c r="F1935" s="1752" t="s">
        <v>1578</v>
      </c>
      <c r="G1935" s="1753">
        <v>0.61799999999999999</v>
      </c>
      <c r="H1935" s="1453">
        <f>G1935*$H$1933</f>
        <v>9.2699999999999987E-3</v>
      </c>
      <c r="I1935" s="27"/>
      <c r="J1935" s="10"/>
      <c r="K1935" s="1307">
        <f>H1935*$K$1931</f>
        <v>1.6980785999999998E-3</v>
      </c>
      <c r="L1935" s="1335">
        <f>K1935*$K$1793</f>
        <v>0</v>
      </c>
      <c r="M1935" s="1759">
        <v>0.55000000000000004</v>
      </c>
      <c r="N1935" s="1718">
        <f>G1935*M1935</f>
        <v>0.33990000000000004</v>
      </c>
      <c r="O1935" s="1719">
        <f>H1935*M1935</f>
        <v>5.0984999999999997E-3</v>
      </c>
      <c r="P1935" s="1720">
        <f>M1935*K1935</f>
        <v>9.3394322999999996E-4</v>
      </c>
      <c r="Q1935" s="3396"/>
      <c r="R1935" s="2337"/>
      <c r="S1935" s="16"/>
      <c r="T1935" s="16"/>
      <c r="U1935" s="16"/>
      <c r="V1935" s="16"/>
    </row>
    <row r="1936" spans="1:22">
      <c r="B1936" s="1320"/>
      <c r="C1936" s="1042"/>
      <c r="D1936" s="1754" t="s">
        <v>1067</v>
      </c>
      <c r="E1936" s="1853" t="s">
        <v>1508</v>
      </c>
      <c r="F1936" s="1754" t="s">
        <v>1512</v>
      </c>
      <c r="G1936" s="1755">
        <v>3</v>
      </c>
      <c r="H1936" s="1454">
        <f>G1936*$H$1933</f>
        <v>4.4999999999999998E-2</v>
      </c>
      <c r="I1936" s="198"/>
      <c r="J1936" s="198"/>
      <c r="K1936" s="1307">
        <f>H1936*$K$1931</f>
        <v>8.2430999999999997E-3</v>
      </c>
      <c r="L1936" s="1335">
        <f>K1936*$K$1793</f>
        <v>0</v>
      </c>
      <c r="M1936" s="1759">
        <v>18.28</v>
      </c>
      <c r="N1936" s="1718">
        <f>G1936*M1936</f>
        <v>54.84</v>
      </c>
      <c r="O1936" s="1719">
        <f>H1936*M1936</f>
        <v>0.8226</v>
      </c>
      <c r="P1936" s="1720">
        <f>M1936*K1936</f>
        <v>0.150683868</v>
      </c>
      <c r="Q1936" s="3396"/>
      <c r="S1936" s="16"/>
      <c r="T1936" s="16"/>
      <c r="U1936" s="16"/>
      <c r="V1936" s="16"/>
    </row>
    <row r="1937" spans="1:22">
      <c r="B1937" s="1320"/>
      <c r="C1937" s="1356" t="s">
        <v>1152</v>
      </c>
      <c r="D1937" s="1311"/>
      <c r="E1937" s="1854" t="s">
        <v>1517</v>
      </c>
      <c r="F1937" s="1749" t="s">
        <v>1696</v>
      </c>
      <c r="G1937" s="1688"/>
      <c r="H1937" s="1366">
        <v>5.0000000000000001E-3</v>
      </c>
      <c r="I1937" s="1388"/>
      <c r="J1937" s="1388"/>
      <c r="K1937" s="1510"/>
      <c r="L1937" s="1445"/>
      <c r="M1937" s="1447"/>
      <c r="N1937" s="1447">
        <f>SUM(N1938:N1940)</f>
        <v>108.04650000000001</v>
      </c>
      <c r="O1937" s="1447">
        <f>SUM(O1938:O1940)</f>
        <v>0.54023250000000012</v>
      </c>
      <c r="P1937" s="1446">
        <f>SUM(P1938:P1940)</f>
        <v>9.8959789350000008E-2</v>
      </c>
      <c r="Q1937" s="3391"/>
      <c r="S1937" s="16"/>
      <c r="T1937" s="16"/>
      <c r="U1937" s="16"/>
      <c r="V1937" s="16"/>
    </row>
    <row r="1938" spans="1:22">
      <c r="A1938" s="16"/>
      <c r="B1938" s="1320"/>
      <c r="C1938" s="18"/>
      <c r="D1938" s="1756" t="s">
        <v>1781</v>
      </c>
      <c r="E1938" s="1852" t="s">
        <v>1577</v>
      </c>
      <c r="F1938" s="1752" t="s">
        <v>1782</v>
      </c>
      <c r="G1938" s="1753">
        <v>0.876</v>
      </c>
      <c r="H1938" s="1453">
        <f>G1938*$H$1937</f>
        <v>4.3800000000000002E-3</v>
      </c>
      <c r="I1938" s="198"/>
      <c r="J1938" s="198"/>
      <c r="K1938" s="1307">
        <f>H1938*$K$1931</f>
        <v>8.0232840000000008E-4</v>
      </c>
      <c r="L1938" s="1335">
        <f>K1938*$K$1793</f>
        <v>0</v>
      </c>
      <c r="M1938" s="1723">
        <v>60.35</v>
      </c>
      <c r="N1938" s="1718">
        <f>G1938*M1938</f>
        <v>52.866599999999998</v>
      </c>
      <c r="O1938" s="1719">
        <f>H1938*M1938</f>
        <v>0.26433300000000004</v>
      </c>
      <c r="P1938" s="1720">
        <f>M1938*K1938</f>
        <v>4.8420518940000004E-2</v>
      </c>
      <c r="Q1938" s="3396"/>
      <c r="R1938" s="2337"/>
      <c r="S1938" s="16"/>
      <c r="T1938" s="16"/>
      <c r="U1938" s="16"/>
      <c r="V1938" s="16"/>
    </row>
    <row r="1939" spans="1:22">
      <c r="A1939" s="16"/>
      <c r="B1939" s="1320"/>
      <c r="C1939" s="1042"/>
      <c r="D1939" s="1756" t="s">
        <v>1069</v>
      </c>
      <c r="E1939" s="1852" t="s">
        <v>1517</v>
      </c>
      <c r="F1939" s="1752" t="s">
        <v>1578</v>
      </c>
      <c r="G1939" s="1753">
        <v>0.61799999999999999</v>
      </c>
      <c r="H1939" s="1453">
        <f>G1939*$H$1937</f>
        <v>3.0899999999999999E-3</v>
      </c>
      <c r="I1939" s="197"/>
      <c r="J1939" s="198"/>
      <c r="K1939" s="1307">
        <f>H1939*$K$1931</f>
        <v>5.6602620000000003E-4</v>
      </c>
      <c r="L1939" s="1335">
        <f>K1939*$K$1793</f>
        <v>0</v>
      </c>
      <c r="M1939" s="1723">
        <v>0.55000000000000004</v>
      </c>
      <c r="N1939" s="1718">
        <f>G1939*M1939</f>
        <v>0.33990000000000004</v>
      </c>
      <c r="O1939" s="1719">
        <f>H1939*M1939</f>
        <v>1.6995000000000001E-3</v>
      </c>
      <c r="P1939" s="1720">
        <f>M1939*K1939</f>
        <v>3.1131441000000002E-4</v>
      </c>
      <c r="Q1939" s="3396"/>
      <c r="R1939" s="2337"/>
      <c r="S1939" s="16"/>
      <c r="T1939" s="16"/>
      <c r="U1939" s="16"/>
      <c r="V1939" s="16"/>
    </row>
    <row r="1940" spans="1:22">
      <c r="A1940" s="16"/>
      <c r="B1940" s="1320"/>
      <c r="C1940" s="1042"/>
      <c r="D1940" s="1757" t="s">
        <v>1067</v>
      </c>
      <c r="E1940" s="1853" t="s">
        <v>1508</v>
      </c>
      <c r="F1940" s="1754" t="s">
        <v>1512</v>
      </c>
      <c r="G1940" s="1755">
        <v>3</v>
      </c>
      <c r="H1940" s="1454">
        <f>G1940*$H$1937</f>
        <v>1.4999999999999999E-2</v>
      </c>
      <c r="I1940" s="1289"/>
      <c r="J1940" s="198"/>
      <c r="K1940" s="1307">
        <f>H1940*$K$1931</f>
        <v>2.7477000000000001E-3</v>
      </c>
      <c r="L1940" s="1335">
        <f>K1940*$K$1793</f>
        <v>0</v>
      </c>
      <c r="M1940" s="1723">
        <v>18.28</v>
      </c>
      <c r="N1940" s="1718">
        <f>G1940*M1940</f>
        <v>54.84</v>
      </c>
      <c r="O1940" s="1719">
        <f>H1940*M1940</f>
        <v>0.2742</v>
      </c>
      <c r="P1940" s="1720">
        <f>M1940*K1940</f>
        <v>5.0227956000000004E-2</v>
      </c>
      <c r="Q1940" s="3396"/>
      <c r="R1940" s="2337"/>
      <c r="S1940" s="16"/>
      <c r="T1940" s="16"/>
      <c r="U1940" s="16"/>
      <c r="V1940" s="16"/>
    </row>
    <row r="1941" spans="1:22">
      <c r="A1941" s="16"/>
      <c r="B1941" s="1320"/>
      <c r="C1941" s="1042"/>
      <c r="D1941" s="1400"/>
      <c r="E1941" s="1856"/>
      <c r="F1941" s="1397"/>
      <c r="G1941" s="1416"/>
      <c r="H1941" s="1399"/>
      <c r="I1941" s="1289"/>
      <c r="J1941" s="198"/>
      <c r="K1941" s="1307"/>
      <c r="L1941" s="1335"/>
      <c r="M1941" s="1499"/>
      <c r="N1941" s="1701"/>
      <c r="O1941" s="1290"/>
      <c r="P1941" s="1332"/>
      <c r="Q1941" s="3391"/>
      <c r="R1941" s="2337"/>
      <c r="S1941" s="16"/>
      <c r="T1941" s="16"/>
      <c r="U1941" s="16"/>
      <c r="V1941" s="16"/>
    </row>
    <row r="1942" spans="1:22">
      <c r="A1942" s="16"/>
      <c r="B1942" s="1320"/>
      <c r="C1942" s="1320"/>
      <c r="D1942" s="1410"/>
      <c r="E1942" s="1858"/>
      <c r="F1942" s="1360" t="s">
        <v>2</v>
      </c>
      <c r="G1942" s="1360"/>
      <c r="H1942" s="1362"/>
      <c r="I1942" s="1380"/>
      <c r="J1942" s="1381"/>
      <c r="K1942" s="1359"/>
      <c r="L1942" s="1458"/>
      <c r="M1942" s="1502"/>
      <c r="N1942" s="1502"/>
      <c r="O1942" s="1362"/>
      <c r="P1942" s="1359"/>
      <c r="Q1942" s="3387"/>
      <c r="R1942" s="2337"/>
      <c r="S1942" s="16"/>
      <c r="T1942" s="16"/>
      <c r="U1942" s="16"/>
      <c r="V1942" s="16"/>
    </row>
    <row r="1943" spans="1:22">
      <c r="A1943" s="16"/>
      <c r="B1943" s="1320"/>
      <c r="C1943" s="1042"/>
      <c r="D1943" s="1437" t="s">
        <v>1153</v>
      </c>
      <c r="E1943" s="2134" t="s">
        <v>1508</v>
      </c>
      <c r="F1943" s="1438" t="s">
        <v>1783</v>
      </c>
      <c r="G1943" s="1439">
        <v>0.3</v>
      </c>
      <c r="H1943" s="1439"/>
      <c r="I1943" s="197"/>
      <c r="J1943" s="198"/>
      <c r="K1943" s="1307">
        <f>G1943*$K$1931</f>
        <v>5.4954000000000003E-2</v>
      </c>
      <c r="L1943" s="1335">
        <f>K1943*$K$1793</f>
        <v>0</v>
      </c>
      <c r="M1943" s="1499">
        <v>19.23</v>
      </c>
      <c r="N1943" s="1701"/>
      <c r="O1943" s="1290">
        <f>(G1943*M1943)</f>
        <v>5.7690000000000001</v>
      </c>
      <c r="P1943" s="1332">
        <f>M1943*K1943</f>
        <v>1.0567654200000001</v>
      </c>
      <c r="Q1943" s="3391"/>
      <c r="R1943" s="2337"/>
      <c r="S1943" s="16"/>
      <c r="T1943" s="16"/>
      <c r="U1943" s="16"/>
      <c r="V1943" s="16"/>
    </row>
    <row r="1944" spans="1:22">
      <c r="A1944" s="16"/>
      <c r="B1944" s="1320"/>
      <c r="C1944" s="1042"/>
      <c r="D1944" s="1402"/>
      <c r="E1944" s="1857"/>
      <c r="F1944" s="1645"/>
      <c r="G1944" s="1362"/>
      <c r="H1944" s="1359"/>
      <c r="I1944" s="198"/>
      <c r="J1944" s="6"/>
      <c r="K1944" s="1306"/>
      <c r="L1944" s="1646"/>
      <c r="M1944" s="1499"/>
      <c r="N1944" s="1499"/>
      <c r="O1944" s="1291"/>
      <c r="P1944" s="1332"/>
      <c r="Q1944" s="3391"/>
      <c r="R1944" s="2337"/>
      <c r="S1944" s="16"/>
      <c r="T1944" s="16"/>
      <c r="U1944" s="16"/>
      <c r="V1944" s="16"/>
    </row>
    <row r="1945" spans="1:22">
      <c r="A1945" s="16"/>
      <c r="B1945" s="1320"/>
      <c r="C1945" s="1042"/>
      <c r="D1945" s="1402"/>
      <c r="E1945" s="1857"/>
      <c r="F1945" s="1403"/>
      <c r="G1945" s="1362"/>
      <c r="H1945" s="1359"/>
      <c r="I1945" s="198"/>
      <c r="J1945" s="6"/>
      <c r="K1945" s="1307"/>
      <c r="L1945" s="1335"/>
      <c r="M1945" s="1499"/>
      <c r="N1945" s="1701"/>
      <c r="O1945" s="1290"/>
      <c r="P1945" s="1332"/>
      <c r="Q1945" s="3391"/>
      <c r="R1945" s="2337"/>
      <c r="S1945" s="16"/>
      <c r="T1945" s="16"/>
      <c r="U1945" s="16"/>
      <c r="V1945" s="16"/>
    </row>
    <row r="1946" spans="1:22">
      <c r="A1946" s="16"/>
      <c r="B1946" s="1320"/>
      <c r="C1946" s="1042"/>
      <c r="D1946" s="1411"/>
      <c r="E1946" s="2123"/>
      <c r="F1946" s="1374" t="s">
        <v>3</v>
      </c>
      <c r="G1946" s="1374"/>
      <c r="H1946" s="1376"/>
      <c r="I1946" s="1382"/>
      <c r="J1946" s="1383"/>
      <c r="K1946" s="1373"/>
      <c r="L1946" s="1413"/>
      <c r="M1946" s="1505"/>
      <c r="N1946" s="1505"/>
      <c r="O1946" s="1376"/>
      <c r="P1946" s="1413"/>
      <c r="Q1946" s="3387"/>
      <c r="R1946" s="2337"/>
      <c r="S1946" s="16"/>
      <c r="T1946" s="16"/>
      <c r="U1946" s="16"/>
      <c r="V1946" s="16"/>
    </row>
    <row r="1947" spans="1:22">
      <c r="A1947" s="16"/>
      <c r="B1947" s="1320"/>
      <c r="C1947" s="1042"/>
      <c r="D1947" s="1440"/>
      <c r="E1947" s="2132"/>
      <c r="F1947" s="1441"/>
      <c r="G1947" s="1441"/>
      <c r="H1947" s="1442"/>
      <c r="I1947" s="197"/>
      <c r="J1947" s="198"/>
      <c r="K1947" s="1307"/>
      <c r="L1947" s="1335"/>
      <c r="M1947" s="1499"/>
      <c r="N1947" s="1701"/>
      <c r="O1947" s="1290"/>
      <c r="P1947" s="1332"/>
      <c r="Q1947" s="3391"/>
      <c r="R1947" s="2337"/>
      <c r="S1947" s="16"/>
      <c r="T1947" s="16"/>
      <c r="U1947" s="16"/>
      <c r="V1947" s="16"/>
    </row>
    <row r="1948" spans="1:22">
      <c r="A1948" s="16"/>
      <c r="B1948" s="1320"/>
      <c r="C1948" s="1042"/>
      <c r="D1948" s="1440"/>
      <c r="E1948" s="2132"/>
      <c r="F1948" s="1441"/>
      <c r="G1948" s="1441"/>
      <c r="H1948" s="1442"/>
      <c r="I1948" s="197"/>
      <c r="J1948" s="198"/>
      <c r="K1948" s="1307"/>
      <c r="L1948" s="1335"/>
      <c r="M1948" s="1499"/>
      <c r="N1948" s="1701"/>
      <c r="O1948" s="1290"/>
      <c r="P1948" s="1332"/>
      <c r="Q1948" s="3391"/>
      <c r="R1948" s="2337"/>
      <c r="S1948" s="17"/>
      <c r="T1948" s="17"/>
      <c r="U1948" s="16"/>
      <c r="V1948" s="16"/>
    </row>
    <row r="1949" spans="1:22">
      <c r="A1949" s="16"/>
      <c r="B1949" s="225"/>
      <c r="C1949" s="223"/>
      <c r="D1949" s="1440"/>
      <c r="E1949" s="2132"/>
      <c r="F1949" s="1441"/>
      <c r="G1949" s="1441"/>
      <c r="H1949" s="1442"/>
      <c r="I1949" s="197"/>
      <c r="J1949" s="198"/>
      <c r="K1949" s="1307"/>
      <c r="L1949" s="1335"/>
      <c r="M1949" s="1499"/>
      <c r="N1949" s="1701"/>
      <c r="O1949" s="1290"/>
      <c r="P1949" s="1332"/>
      <c r="Q1949" s="3391"/>
      <c r="R1949" s="2337"/>
      <c r="S1949" s="105"/>
      <c r="T1949" s="105"/>
      <c r="U1949" s="16"/>
      <c r="V1949" s="16"/>
    </row>
    <row r="1950" spans="1:22" ht="15" customHeight="1">
      <c r="A1950" s="16" t="s">
        <v>3764</v>
      </c>
      <c r="B1950" s="4325" t="s">
        <v>1810</v>
      </c>
      <c r="C1950" s="3350"/>
      <c r="D1950" s="4327"/>
      <c r="E1950" s="4329" t="s">
        <v>1507</v>
      </c>
      <c r="F1950" s="4336" t="s">
        <v>1811</v>
      </c>
      <c r="G1950" s="4331" t="s">
        <v>1568</v>
      </c>
      <c r="H1950" s="4331" t="s">
        <v>1574</v>
      </c>
      <c r="I1950" s="1572" t="s">
        <v>1559</v>
      </c>
      <c r="J1950" s="1294" t="s">
        <v>1560</v>
      </c>
      <c r="K1950" s="1294" t="s">
        <v>1561</v>
      </c>
      <c r="L1950" s="4333" t="s">
        <v>3765</v>
      </c>
      <c r="M1950" s="4335" t="s">
        <v>1571</v>
      </c>
      <c r="N1950" s="4323" t="s">
        <v>1776</v>
      </c>
      <c r="O1950" s="3347" t="s">
        <v>1563</v>
      </c>
      <c r="P1950" s="1336" t="s">
        <v>1562</v>
      </c>
      <c r="Q1950" s="3389"/>
      <c r="R1950" s="1699" t="s">
        <v>1327</v>
      </c>
      <c r="S1950" s="16"/>
      <c r="T1950" s="16"/>
      <c r="U1950" s="16"/>
      <c r="V1950" s="16"/>
    </row>
    <row r="1951" spans="1:22">
      <c r="A1951" s="1807" t="s">
        <v>1798</v>
      </c>
      <c r="B1951" s="4326"/>
      <c r="C1951" s="3351"/>
      <c r="D1951" s="4328"/>
      <c r="E1951" s="4389"/>
      <c r="F1951" s="4336"/>
      <c r="G1951" s="4332"/>
      <c r="H1951" s="4332"/>
      <c r="I1951" s="1345">
        <v>442.2</v>
      </c>
      <c r="J1951" s="1307">
        <v>2E-3</v>
      </c>
      <c r="K1951" s="1307">
        <f>I1951*J1951</f>
        <v>0.88439999999999996</v>
      </c>
      <c r="L1951" s="4334"/>
      <c r="M1951" s="4335"/>
      <c r="N1951" s="4324"/>
      <c r="O1951" s="1298">
        <f>SUM(O1953:O1963)</f>
        <v>24.729479999999999</v>
      </c>
      <c r="P1951" s="1337">
        <f>O1951*K1951</f>
        <v>21.870752111999998</v>
      </c>
      <c r="Q1951" s="3390"/>
      <c r="R1951" s="1721">
        <f>SUM(P1953:P1964)</f>
        <v>21.870752112000002</v>
      </c>
      <c r="S1951" s="16"/>
      <c r="T1951" s="16"/>
      <c r="U1951" s="16"/>
      <c r="V1951" s="16"/>
    </row>
    <row r="1952" spans="1:22">
      <c r="A1952" s="16"/>
      <c r="B1952" s="1327"/>
      <c r="C1952" s="1327"/>
      <c r="D1952" s="1400"/>
      <c r="E1952" s="2121"/>
      <c r="F1952" s="1368" t="s">
        <v>1</v>
      </c>
      <c r="G1952" s="1417"/>
      <c r="H1952" s="1390"/>
      <c r="I1952" s="1554"/>
      <c r="J1952" s="1367"/>
      <c r="K1952" s="1367"/>
      <c r="L1952" s="1554"/>
      <c r="M1952" s="1369"/>
      <c r="N1952" s="1369"/>
      <c r="O1952" s="1369"/>
      <c r="P1952" s="1367"/>
      <c r="Q1952" s="3387"/>
      <c r="R1952" s="2337"/>
      <c r="S1952" s="16"/>
      <c r="T1952" s="16"/>
      <c r="U1952" s="16"/>
      <c r="V1952" s="16"/>
    </row>
    <row r="1953" spans="1:22">
      <c r="A1953" s="16"/>
      <c r="B1953" s="1320"/>
      <c r="C1953" s="1042"/>
      <c r="D1953" s="1761" t="s">
        <v>1812</v>
      </c>
      <c r="E1953" s="2170" t="s">
        <v>1357</v>
      </c>
      <c r="F1953" s="1761" t="s">
        <v>1813</v>
      </c>
      <c r="G1953" s="1762">
        <v>0.9</v>
      </c>
      <c r="H1953" s="1762"/>
      <c r="I1953" s="27"/>
      <c r="J1953" s="10"/>
      <c r="K1953" s="1307">
        <f>G1953*$K$1951</f>
        <v>0.79596</v>
      </c>
      <c r="L1953" s="1335">
        <f>K1953*$K$1793</f>
        <v>0</v>
      </c>
      <c r="M1953" s="1499">
        <v>1.71</v>
      </c>
      <c r="N1953" s="1701"/>
      <c r="O1953" s="1290">
        <f>(G1953*M1953)</f>
        <v>1.5389999999999999</v>
      </c>
      <c r="P1953" s="1332">
        <f>M1953*K1953</f>
        <v>1.3610916</v>
      </c>
      <c r="Q1953" s="3391"/>
      <c r="R1953" s="2337"/>
      <c r="S1953" s="16"/>
      <c r="T1953" s="16"/>
      <c r="U1953" s="16"/>
      <c r="V1953" s="16"/>
    </row>
    <row r="1954" spans="1:22">
      <c r="A1954" s="16"/>
      <c r="B1954" s="1320"/>
      <c r="C1954" s="1042"/>
      <c r="D1954" s="1761" t="s">
        <v>1701</v>
      </c>
      <c r="E1954" s="2170" t="s">
        <v>1504</v>
      </c>
      <c r="F1954" s="1761" t="s">
        <v>1541</v>
      </c>
      <c r="G1954" s="1762">
        <v>0.4</v>
      </c>
      <c r="H1954" s="1762"/>
      <c r="I1954" s="27"/>
      <c r="J1954" s="10"/>
      <c r="K1954" s="1307">
        <f>G1954*$K$1951</f>
        <v>0.35376000000000002</v>
      </c>
      <c r="L1954" s="1335">
        <f>K1954*$K$1793</f>
        <v>0</v>
      </c>
      <c r="M1954" s="1499">
        <v>0.3</v>
      </c>
      <c r="N1954" s="1701"/>
      <c r="O1954" s="1290">
        <f>(G1954*M1954)</f>
        <v>0.12</v>
      </c>
      <c r="P1954" s="1332">
        <f>M1954*K1954</f>
        <v>0.106128</v>
      </c>
      <c r="Q1954" s="3391"/>
      <c r="R1954" s="2337"/>
      <c r="S1954" s="16"/>
      <c r="T1954" s="16"/>
      <c r="U1954" s="16"/>
      <c r="V1954" s="16"/>
    </row>
    <row r="1955" spans="1:22">
      <c r="B1955" s="1320"/>
      <c r="C1955" s="1042"/>
      <c r="D1955" s="1367"/>
      <c r="E1955" s="1856"/>
      <c r="F1955" s="1421"/>
      <c r="G1955" s="1399"/>
      <c r="H1955" s="1399"/>
      <c r="I1955" s="1760"/>
      <c r="J1955" s="198"/>
      <c r="K1955" s="1307"/>
      <c r="L1955" s="1335"/>
      <c r="M1955" s="1499"/>
      <c r="N1955" s="1701"/>
      <c r="O1955" s="1290"/>
      <c r="P1955" s="1332"/>
      <c r="Q1955" s="3391"/>
      <c r="S1955" s="16"/>
      <c r="T1955" s="16"/>
      <c r="U1955" s="16"/>
      <c r="V1955" s="16"/>
    </row>
    <row r="1956" spans="1:22">
      <c r="A1956" s="16"/>
      <c r="B1956" s="1320"/>
      <c r="C1956" s="1042"/>
      <c r="D1956" s="1367"/>
      <c r="E1956" s="1856"/>
      <c r="F1956" s="1421"/>
      <c r="G1956" s="1399"/>
      <c r="H1956" s="1399"/>
      <c r="I1956" s="1289"/>
      <c r="J1956" s="198"/>
      <c r="K1956" s="1307"/>
      <c r="L1956" s="1335"/>
      <c r="M1956" s="1499"/>
      <c r="N1956" s="1701"/>
      <c r="O1956" s="1290"/>
      <c r="P1956" s="1332"/>
      <c r="Q1956" s="3391"/>
      <c r="R1956" s="2337"/>
      <c r="S1956" s="16"/>
      <c r="T1956" s="16"/>
      <c r="U1956" s="16"/>
      <c r="V1956" s="16"/>
    </row>
    <row r="1957" spans="1:22">
      <c r="A1957" s="16"/>
      <c r="B1957" s="1320"/>
      <c r="C1957" s="1320"/>
      <c r="D1957" s="1410"/>
      <c r="E1957" s="1858"/>
      <c r="F1957" s="1360" t="s">
        <v>2</v>
      </c>
      <c r="G1957" s="1362"/>
      <c r="H1957" s="1362"/>
      <c r="I1957" s="1380"/>
      <c r="J1957" s="1381"/>
      <c r="K1957" s="1359"/>
      <c r="L1957" s="1458"/>
      <c r="M1957" s="1502"/>
      <c r="N1957" s="1502"/>
      <c r="O1957" s="1362"/>
      <c r="P1957" s="1359"/>
      <c r="Q1957" s="3387"/>
      <c r="R1957" s="2337"/>
      <c r="S1957" s="16"/>
      <c r="T1957" s="16"/>
      <c r="U1957" s="16"/>
      <c r="V1957" s="16"/>
    </row>
    <row r="1958" spans="1:22">
      <c r="A1958" s="16"/>
      <c r="B1958" s="1320"/>
      <c r="C1958" s="1042"/>
      <c r="D1958" s="1624" t="s">
        <v>1702</v>
      </c>
      <c r="E1958" s="2158" t="s">
        <v>1508</v>
      </c>
      <c r="F1958" s="1624" t="s">
        <v>1703</v>
      </c>
      <c r="G1958" s="1625">
        <v>0.77600000000000002</v>
      </c>
      <c r="H1958" s="1625"/>
      <c r="I1958" s="198"/>
      <c r="J1958" s="6"/>
      <c r="K1958" s="1307">
        <f>G1958*$K$1951</f>
        <v>0.68629439999999997</v>
      </c>
      <c r="L1958" s="1335">
        <f>K1958*$K$1793</f>
        <v>0</v>
      </c>
      <c r="M1958" s="1499">
        <v>19.23</v>
      </c>
      <c r="N1958" s="1701"/>
      <c r="O1958" s="1290">
        <f>(G1958*M1958)</f>
        <v>14.92248</v>
      </c>
      <c r="P1958" s="1332">
        <f>M1958*K1958</f>
        <v>13.197441312</v>
      </c>
      <c r="Q1958" s="3391"/>
      <c r="R1958" s="2337"/>
      <c r="S1958" s="16"/>
      <c r="T1958" s="16"/>
      <c r="U1958" s="16"/>
      <c r="V1958" s="16"/>
    </row>
    <row r="1959" spans="1:22">
      <c r="A1959" s="16"/>
      <c r="B1959" s="1320"/>
      <c r="C1959" s="1042"/>
      <c r="D1959" s="1402"/>
      <c r="E1959" s="1857"/>
      <c r="F1959" s="1645"/>
      <c r="G1959" s="1362"/>
      <c r="H1959" s="1359"/>
      <c r="I1959" s="198"/>
      <c r="J1959" s="6"/>
      <c r="K1959" s="1306"/>
      <c r="L1959" s="1646"/>
      <c r="M1959" s="1499"/>
      <c r="N1959" s="1499"/>
      <c r="O1959" s="1291"/>
      <c r="P1959" s="1332"/>
      <c r="Q1959" s="3391"/>
      <c r="R1959" s="2337"/>
      <c r="S1959" s="16"/>
      <c r="T1959" s="16"/>
      <c r="U1959" s="16"/>
      <c r="V1959" s="16"/>
    </row>
    <row r="1960" spans="1:22">
      <c r="A1960" s="16"/>
      <c r="B1960" s="1320"/>
      <c r="C1960" s="1042"/>
      <c r="D1960" s="1402"/>
      <c r="E1960" s="1857"/>
      <c r="F1960" s="1403"/>
      <c r="G1960" s="1362"/>
      <c r="H1960" s="1359"/>
      <c r="I1960" s="198"/>
      <c r="J1960" s="6"/>
      <c r="K1960" s="1307"/>
      <c r="L1960" s="1335"/>
      <c r="M1960" s="1499"/>
      <c r="N1960" s="1701"/>
      <c r="O1960" s="1290"/>
      <c r="P1960" s="1332"/>
      <c r="Q1960" s="3391"/>
      <c r="R1960" s="2337"/>
      <c r="S1960" s="16"/>
      <c r="T1960" s="16"/>
      <c r="U1960" s="16"/>
      <c r="V1960" s="16"/>
    </row>
    <row r="1961" spans="1:22">
      <c r="A1961" s="16"/>
      <c r="B1961" s="1320"/>
      <c r="C1961" s="1042"/>
      <c r="D1961" s="1411"/>
      <c r="E1961" s="2123"/>
      <c r="F1961" s="1374" t="s">
        <v>3</v>
      </c>
      <c r="G1961" s="1374"/>
      <c r="H1961" s="1376"/>
      <c r="I1961" s="1382"/>
      <c r="J1961" s="1383"/>
      <c r="K1961" s="1373"/>
      <c r="L1961" s="1413"/>
      <c r="M1961" s="1505"/>
      <c r="N1961" s="1505"/>
      <c r="O1961" s="1376"/>
      <c r="P1961" s="1413"/>
      <c r="Q1961" s="3387"/>
      <c r="R1961" s="1699"/>
      <c r="S1961" s="16"/>
      <c r="T1961" s="16"/>
      <c r="U1961" s="16"/>
      <c r="V1961" s="16"/>
    </row>
    <row r="1962" spans="1:22">
      <c r="A1962" s="16"/>
      <c r="B1962" s="1320"/>
      <c r="C1962" s="1042"/>
      <c r="D1962" s="1827" t="s">
        <v>1686</v>
      </c>
      <c r="E1962" s="2173" t="s">
        <v>1687</v>
      </c>
      <c r="F1962" s="1827" t="s">
        <v>1688</v>
      </c>
      <c r="G1962" s="1828">
        <v>1.0864</v>
      </c>
      <c r="H1962" s="1521"/>
      <c r="I1962" s="198"/>
      <c r="J1962" s="6"/>
      <c r="K1962" s="1307">
        <f>G1962*$K$1951</f>
        <v>0.96081216000000003</v>
      </c>
      <c r="L1962" s="1335">
        <f>K1962*$K$1793</f>
        <v>0</v>
      </c>
      <c r="M1962" s="1499">
        <v>7.5</v>
      </c>
      <c r="N1962" s="1701"/>
      <c r="O1962" s="1290">
        <f>(G1962*M1962)</f>
        <v>8.1479999999999997</v>
      </c>
      <c r="P1962" s="1332">
        <f>M1962*K1962</f>
        <v>7.2060912000000004</v>
      </c>
      <c r="Q1962" s="3391"/>
      <c r="R1962" s="2337"/>
      <c r="S1962" s="16"/>
      <c r="T1962" s="16"/>
      <c r="U1962" s="16"/>
      <c r="V1962" s="16"/>
    </row>
    <row r="1963" spans="1:22">
      <c r="A1963" s="16"/>
      <c r="B1963" s="1320"/>
      <c r="C1963" s="1042"/>
      <c r="D1963" s="1440"/>
      <c r="E1963" s="2132"/>
      <c r="F1963" s="1441"/>
      <c r="G1963" s="1441"/>
      <c r="H1963" s="1442"/>
      <c r="I1963" s="197"/>
      <c r="J1963" s="198"/>
      <c r="K1963" s="1307"/>
      <c r="L1963" s="1335"/>
      <c r="M1963" s="1499"/>
      <c r="N1963" s="1701"/>
      <c r="O1963" s="1290"/>
      <c r="P1963" s="1332"/>
      <c r="Q1963" s="3391"/>
      <c r="R1963" s="2337"/>
      <c r="S1963" s="16"/>
      <c r="T1963" s="16"/>
      <c r="U1963" s="16"/>
      <c r="V1963" s="16"/>
    </row>
    <row r="1964" spans="1:22">
      <c r="A1964" s="16"/>
      <c r="B1964" s="225"/>
      <c r="C1964" s="223"/>
      <c r="D1964" s="1440"/>
      <c r="E1964" s="2132"/>
      <c r="F1964" s="1441"/>
      <c r="G1964" s="1441"/>
      <c r="H1964" s="1442"/>
      <c r="I1964" s="197"/>
      <c r="J1964" s="198"/>
      <c r="K1964" s="1307"/>
      <c r="L1964" s="1335"/>
      <c r="M1964" s="1499"/>
      <c r="N1964" s="1701"/>
      <c r="O1964" s="1290"/>
      <c r="P1964" s="1332"/>
      <c r="Q1964" s="3391"/>
      <c r="R1964" s="2337"/>
      <c r="S1964" s="16"/>
      <c r="T1964" s="16"/>
      <c r="U1964" s="16"/>
      <c r="V1964" s="16"/>
    </row>
    <row r="1965" spans="1:22" ht="15" customHeight="1">
      <c r="A1965" s="16" t="s">
        <v>3764</v>
      </c>
      <c r="B1965" s="4325" t="s">
        <v>1661</v>
      </c>
      <c r="C1965" s="3350"/>
      <c r="D1965" s="4327"/>
      <c r="E1965" s="4329" t="s">
        <v>1507</v>
      </c>
      <c r="F1965" s="4336" t="s">
        <v>1706</v>
      </c>
      <c r="G1965" s="4331" t="s">
        <v>1568</v>
      </c>
      <c r="H1965" s="4331" t="s">
        <v>1574</v>
      </c>
      <c r="I1965" s="1572" t="s">
        <v>1559</v>
      </c>
      <c r="J1965" s="1294" t="s">
        <v>1560</v>
      </c>
      <c r="K1965" s="1294" t="s">
        <v>1561</v>
      </c>
      <c r="L1965" s="4333" t="s">
        <v>3765</v>
      </c>
      <c r="M1965" s="4335" t="s">
        <v>1571</v>
      </c>
      <c r="N1965" s="4323" t="s">
        <v>1776</v>
      </c>
      <c r="O1965" s="3347" t="s">
        <v>1563</v>
      </c>
      <c r="P1965" s="1336" t="s">
        <v>1562</v>
      </c>
      <c r="Q1965" s="3389"/>
      <c r="R1965" s="1699" t="s">
        <v>1327</v>
      </c>
      <c r="S1965" s="16"/>
      <c r="T1965" s="16"/>
      <c r="U1965" s="16"/>
      <c r="V1965" s="16"/>
    </row>
    <row r="1966" spans="1:22">
      <c r="A1966" s="1807" t="s">
        <v>1798</v>
      </c>
      <c r="B1966" s="4326"/>
      <c r="C1966" s="3351"/>
      <c r="D1966" s="4328"/>
      <c r="E1966" s="4389"/>
      <c r="F1966" s="4336"/>
      <c r="G1966" s="4332"/>
      <c r="H1966" s="4332"/>
      <c r="I1966" s="1345">
        <v>277.56</v>
      </c>
      <c r="J1966" s="1307">
        <v>2E-3</v>
      </c>
      <c r="K1966" s="1307">
        <f>I1966*J1966</f>
        <v>0.55512000000000006</v>
      </c>
      <c r="L1966" s="4334"/>
      <c r="M1966" s="4335"/>
      <c r="N1966" s="4324"/>
      <c r="O1966" s="1298">
        <f>SUM(O1968:O1979)</f>
        <v>8.9870400000000004</v>
      </c>
      <c r="P1966" s="1337">
        <f>O1966*K1966</f>
        <v>4.9888856448000007</v>
      </c>
      <c r="Q1966" s="3390"/>
      <c r="R1966" s="1721">
        <f>SUM(P1968:P1980)</f>
        <v>4.9888856447999999</v>
      </c>
      <c r="S1966" s="16"/>
      <c r="T1966" s="16"/>
      <c r="U1966" s="16"/>
      <c r="V1966" s="16"/>
    </row>
    <row r="1967" spans="1:22">
      <c r="A1967" s="16"/>
      <c r="B1967" s="1327"/>
      <c r="C1967" s="1327"/>
      <c r="D1967" s="1400"/>
      <c r="E1967" s="2121"/>
      <c r="F1967" s="1368" t="s">
        <v>1</v>
      </c>
      <c r="G1967" s="1417"/>
      <c r="H1967" s="1390"/>
      <c r="I1967" s="1554"/>
      <c r="J1967" s="1367"/>
      <c r="K1967" s="1367"/>
      <c r="L1967" s="1554"/>
      <c r="M1967" s="1369"/>
      <c r="N1967" s="1369"/>
      <c r="O1967" s="1369"/>
      <c r="P1967" s="1367"/>
      <c r="Q1967" s="3387"/>
      <c r="R1967" s="2337"/>
      <c r="S1967" s="17"/>
      <c r="T1967" s="17"/>
      <c r="U1967" s="16"/>
      <c r="V1967" s="16"/>
    </row>
    <row r="1968" spans="1:22">
      <c r="A1968" s="16"/>
      <c r="B1968" s="1320"/>
      <c r="C1968" s="1042"/>
      <c r="D1968" s="1761" t="s">
        <v>1698</v>
      </c>
      <c r="E1968" s="2170" t="s">
        <v>1357</v>
      </c>
      <c r="F1968" s="1761" t="s">
        <v>1699</v>
      </c>
      <c r="G1968" s="1762">
        <v>0.45</v>
      </c>
      <c r="H1968" s="1762"/>
      <c r="I1968" s="27"/>
      <c r="J1968" s="6"/>
      <c r="K1968" s="1307">
        <f>G1968*$K$1966</f>
        <v>0.24980400000000003</v>
      </c>
      <c r="L1968" s="1335">
        <f>K1968*$K$1793</f>
        <v>0</v>
      </c>
      <c r="M1968" s="1499">
        <v>1.7</v>
      </c>
      <c r="N1968" s="1701"/>
      <c r="O1968" s="1290">
        <f>(G1968*M1968)</f>
        <v>0.76500000000000001</v>
      </c>
      <c r="P1968" s="1332">
        <f>M1968*K1968</f>
        <v>0.42466680000000001</v>
      </c>
      <c r="Q1968" s="3391"/>
      <c r="R1968" s="2337"/>
      <c r="S1968" s="105"/>
      <c r="T1968" s="105"/>
      <c r="U1968" s="16"/>
      <c r="V1968" s="16"/>
    </row>
    <row r="1969" spans="1:22">
      <c r="A1969" s="16"/>
      <c r="B1969" s="1320"/>
      <c r="C1969" s="1042"/>
      <c r="D1969" s="1761" t="s">
        <v>1214</v>
      </c>
      <c r="E1969" s="2170" t="s">
        <v>1357</v>
      </c>
      <c r="F1969" s="1761" t="s">
        <v>1700</v>
      </c>
      <c r="G1969" s="1762">
        <v>0.35</v>
      </c>
      <c r="H1969" s="1762"/>
      <c r="I1969" s="27"/>
      <c r="J1969" s="198"/>
      <c r="K1969" s="1307">
        <f>G1969*$K$1966</f>
        <v>0.19429200000000002</v>
      </c>
      <c r="L1969" s="1335">
        <f>K1969*$K$1793</f>
        <v>0</v>
      </c>
      <c r="M1969" s="1499">
        <v>4.2</v>
      </c>
      <c r="N1969" s="1701"/>
      <c r="O1969" s="1290">
        <f>(G1969*M1969)</f>
        <v>1.47</v>
      </c>
      <c r="P1969" s="1332">
        <f>M1969*K1969</f>
        <v>0.81602640000000015</v>
      </c>
      <c r="Q1969" s="3391"/>
      <c r="R1969" s="2337"/>
      <c r="S1969" s="16"/>
      <c r="T1969" s="16"/>
      <c r="U1969" s="16"/>
      <c r="V1969" s="16"/>
    </row>
    <row r="1970" spans="1:22">
      <c r="A1970" s="16"/>
      <c r="B1970" s="1320"/>
      <c r="C1970" s="1042"/>
      <c r="D1970" s="1761" t="s">
        <v>1701</v>
      </c>
      <c r="E1970" s="2170" t="s">
        <v>1504</v>
      </c>
      <c r="F1970" s="1761" t="s">
        <v>1541</v>
      </c>
      <c r="G1970" s="1762">
        <v>0.2</v>
      </c>
      <c r="H1970" s="1762"/>
      <c r="I1970" s="27"/>
      <c r="J1970" s="10"/>
      <c r="K1970" s="1307">
        <f>G1970*$K$1966</f>
        <v>0.11102400000000001</v>
      </c>
      <c r="L1970" s="1335">
        <f>K1970*$K$1793</f>
        <v>0</v>
      </c>
      <c r="M1970" s="1499">
        <v>0.3</v>
      </c>
      <c r="N1970" s="1701"/>
      <c r="O1970" s="1290">
        <f>(G1970*M1970)</f>
        <v>0.06</v>
      </c>
      <c r="P1970" s="1332">
        <f>M1970*K1970</f>
        <v>3.3307200000000002E-2</v>
      </c>
      <c r="Q1970" s="3391"/>
      <c r="R1970" s="2337"/>
      <c r="S1970" s="16"/>
      <c r="T1970" s="16"/>
      <c r="U1970" s="16"/>
      <c r="V1970" s="16"/>
    </row>
    <row r="1971" spans="1:22">
      <c r="A1971" s="16"/>
      <c r="B1971" s="1320"/>
      <c r="C1971" s="1042"/>
      <c r="D1971" s="1367"/>
      <c r="E1971" s="1856"/>
      <c r="F1971" s="1421"/>
      <c r="G1971" s="1399"/>
      <c r="H1971" s="1399"/>
      <c r="I1971" s="1289"/>
      <c r="J1971" s="198"/>
      <c r="K1971" s="1307"/>
      <c r="L1971" s="1335"/>
      <c r="M1971" s="1499"/>
      <c r="N1971" s="1701"/>
      <c r="O1971" s="1290"/>
      <c r="P1971" s="1332"/>
      <c r="Q1971" s="3391"/>
      <c r="R1971" s="2337"/>
      <c r="S1971" s="16"/>
      <c r="T1971" s="16"/>
      <c r="U1971" s="16"/>
      <c r="V1971" s="16"/>
    </row>
    <row r="1972" spans="1:22">
      <c r="A1972" s="16"/>
      <c r="B1972" s="1320"/>
      <c r="C1972" s="1042"/>
      <c r="D1972" s="1367"/>
      <c r="E1972" s="1856"/>
      <c r="F1972" s="1421"/>
      <c r="G1972" s="1399"/>
      <c r="H1972" s="1399"/>
      <c r="I1972" s="1289"/>
      <c r="J1972" s="198"/>
      <c r="K1972" s="1307"/>
      <c r="L1972" s="1335"/>
      <c r="M1972" s="1499"/>
      <c r="N1972" s="1701"/>
      <c r="O1972" s="1290"/>
      <c r="P1972" s="1332"/>
      <c r="Q1972" s="3391"/>
      <c r="R1972" s="2337"/>
      <c r="S1972" s="16"/>
      <c r="T1972" s="16"/>
      <c r="U1972" s="16"/>
      <c r="V1972" s="16"/>
    </row>
    <row r="1973" spans="1:22">
      <c r="A1973" s="16"/>
      <c r="B1973" s="1320"/>
      <c r="C1973" s="1320"/>
      <c r="D1973" s="1410"/>
      <c r="E1973" s="1858"/>
      <c r="F1973" s="1360" t="s">
        <v>2</v>
      </c>
      <c r="G1973" s="1362"/>
      <c r="H1973" s="1362"/>
      <c r="I1973" s="1380"/>
      <c r="J1973" s="1381"/>
      <c r="K1973" s="1359"/>
      <c r="L1973" s="1458"/>
      <c r="M1973" s="1502"/>
      <c r="N1973" s="1502"/>
      <c r="O1973" s="1362"/>
      <c r="P1973" s="1359"/>
      <c r="Q1973" s="3387"/>
      <c r="R1973" s="2337"/>
      <c r="S1973" s="16"/>
      <c r="T1973" s="16"/>
      <c r="U1973" s="16"/>
      <c r="V1973" s="16"/>
    </row>
    <row r="1974" spans="1:22">
      <c r="A1974" s="16"/>
      <c r="B1974" s="1320"/>
      <c r="C1974" s="1042"/>
      <c r="D1974" s="1624" t="s">
        <v>1702</v>
      </c>
      <c r="E1974" s="2158" t="s">
        <v>1508</v>
      </c>
      <c r="F1974" s="1624" t="s">
        <v>1703</v>
      </c>
      <c r="G1974" s="1625">
        <v>0.34799999999999998</v>
      </c>
      <c r="H1974" s="1625"/>
      <c r="I1974" s="198"/>
      <c r="J1974" s="6"/>
      <c r="K1974" s="1307">
        <f>G1974*$K$1966</f>
        <v>0.19318176000000001</v>
      </c>
      <c r="L1974" s="1335">
        <f>K1974*$K$1793</f>
        <v>0</v>
      </c>
      <c r="M1974" s="1499">
        <v>19.23</v>
      </c>
      <c r="N1974" s="1701"/>
      <c r="O1974" s="1290">
        <f>(G1974*M1974)</f>
        <v>6.6920399999999995</v>
      </c>
      <c r="P1974" s="1332">
        <f>M1974*K1974</f>
        <v>3.7148852448</v>
      </c>
      <c r="Q1974" s="3391"/>
      <c r="R1974" s="2337"/>
      <c r="S1974" s="16"/>
      <c r="T1974" s="16"/>
      <c r="U1974" s="16"/>
      <c r="V1974" s="16"/>
    </row>
    <row r="1975" spans="1:22">
      <c r="A1975" s="16"/>
      <c r="B1975" s="1320"/>
      <c r="C1975" s="1042"/>
      <c r="D1975" s="1402"/>
      <c r="E1975" s="1857"/>
      <c r="F1975" s="1645"/>
      <c r="G1975" s="1362"/>
      <c r="H1975" s="1359"/>
      <c r="I1975" s="198"/>
      <c r="J1975" s="6"/>
      <c r="K1975" s="1306"/>
      <c r="L1975" s="1646"/>
      <c r="M1975" s="1499"/>
      <c r="N1975" s="1499"/>
      <c r="O1975" s="1291"/>
      <c r="P1975" s="1332"/>
      <c r="Q1975" s="3391"/>
      <c r="R1975" s="2337"/>
      <c r="S1975" s="16"/>
      <c r="T1975" s="16"/>
      <c r="U1975" s="16"/>
      <c r="V1975" s="16"/>
    </row>
    <row r="1976" spans="1:22">
      <c r="A1976" s="16"/>
      <c r="B1976" s="1320"/>
      <c r="C1976" s="1042"/>
      <c r="D1976" s="1402"/>
      <c r="E1976" s="1857"/>
      <c r="F1976" s="1403"/>
      <c r="G1976" s="1362"/>
      <c r="H1976" s="1359"/>
      <c r="I1976" s="198"/>
      <c r="J1976" s="6"/>
      <c r="K1976" s="1307"/>
      <c r="L1976" s="1335"/>
      <c r="M1976" s="1499"/>
      <c r="N1976" s="1701"/>
      <c r="O1976" s="1290"/>
      <c r="P1976" s="1332"/>
      <c r="Q1976" s="3391"/>
      <c r="R1976" s="2337"/>
      <c r="S1976" s="16"/>
      <c r="T1976" s="16"/>
      <c r="U1976" s="16"/>
      <c r="V1976" s="16"/>
    </row>
    <row r="1977" spans="1:22">
      <c r="A1977" s="16"/>
      <c r="B1977" s="1320"/>
      <c r="C1977" s="1042"/>
      <c r="D1977" s="1411"/>
      <c r="E1977" s="2123"/>
      <c r="F1977" s="1374" t="s">
        <v>3</v>
      </c>
      <c r="G1977" s="1374"/>
      <c r="H1977" s="1376"/>
      <c r="I1977" s="1382"/>
      <c r="J1977" s="1383"/>
      <c r="K1977" s="1373"/>
      <c r="L1977" s="1413"/>
      <c r="M1977" s="1505"/>
      <c r="N1977" s="1505"/>
      <c r="O1977" s="1376"/>
      <c r="P1977" s="1413"/>
      <c r="Q1977" s="3387"/>
      <c r="R1977" s="2337"/>
      <c r="S1977" s="16"/>
      <c r="T1977" s="16"/>
      <c r="U1977" s="16"/>
      <c r="V1977" s="16"/>
    </row>
    <row r="1978" spans="1:22">
      <c r="A1978" s="16"/>
      <c r="B1978" s="1320"/>
      <c r="C1978" s="1042"/>
      <c r="D1978" s="1440"/>
      <c r="E1978" s="2132"/>
      <c r="F1978" s="1441"/>
      <c r="G1978" s="1441"/>
      <c r="H1978" s="1442"/>
      <c r="I1978" s="197"/>
      <c r="J1978" s="198"/>
      <c r="K1978" s="1307"/>
      <c r="L1978" s="1335"/>
      <c r="M1978" s="1499"/>
      <c r="N1978" s="1701"/>
      <c r="O1978" s="1290"/>
      <c r="P1978" s="1332"/>
      <c r="Q1978" s="3391"/>
      <c r="R1978" s="2337"/>
      <c r="S1978" s="16"/>
      <c r="T1978" s="16"/>
      <c r="U1978" s="16"/>
      <c r="V1978" s="16"/>
    </row>
    <row r="1979" spans="1:22">
      <c r="A1979" s="16"/>
      <c r="B1979" s="1320"/>
      <c r="C1979" s="1042"/>
      <c r="D1979" s="1440"/>
      <c r="E1979" s="2132"/>
      <c r="F1979" s="1441"/>
      <c r="G1979" s="1441"/>
      <c r="H1979" s="1442"/>
      <c r="I1979" s="197"/>
      <c r="J1979" s="198"/>
      <c r="K1979" s="1307"/>
      <c r="L1979" s="1335"/>
      <c r="M1979" s="1499"/>
      <c r="N1979" s="1701"/>
      <c r="O1979" s="1290"/>
      <c r="P1979" s="1332"/>
      <c r="Q1979" s="3391"/>
      <c r="R1979" s="2337"/>
      <c r="S1979" s="16"/>
      <c r="T1979" s="16"/>
      <c r="U1979" s="16"/>
      <c r="V1979" s="16"/>
    </row>
    <row r="1980" spans="1:22">
      <c r="A1980" s="16"/>
      <c r="B1980" s="225"/>
      <c r="C1980" s="223"/>
      <c r="D1980" s="1440"/>
      <c r="E1980" s="2132"/>
      <c r="F1980" s="1441"/>
      <c r="G1980" s="1441"/>
      <c r="H1980" s="1442"/>
      <c r="I1980" s="197"/>
      <c r="J1980" s="198"/>
      <c r="K1980" s="1307"/>
      <c r="L1980" s="1335"/>
      <c r="M1980" s="1499"/>
      <c r="N1980" s="1701"/>
      <c r="O1980" s="1290"/>
      <c r="P1980" s="1332"/>
      <c r="Q1980" s="3391"/>
      <c r="R1980" s="2337"/>
      <c r="S1980" s="16"/>
      <c r="T1980" s="16"/>
      <c r="U1980" s="16"/>
      <c r="V1980" s="16"/>
    </row>
    <row r="1981" spans="1:22">
      <c r="A1981" s="16"/>
      <c r="B1981" s="16"/>
      <c r="C1981" s="1799"/>
      <c r="D1981" s="16"/>
      <c r="E1981" s="2174"/>
      <c r="F1981" s="1462"/>
      <c r="G1981" s="1798"/>
      <c r="H1981" s="1638"/>
      <c r="I1981" s="1800"/>
      <c r="J1981" s="1561"/>
      <c r="K1981" s="1640"/>
      <c r="L1981" s="105"/>
      <c r="M1981" s="1292"/>
      <c r="N1981" s="1292"/>
      <c r="O1981" s="1292"/>
      <c r="P1981" s="1292"/>
      <c r="Q1981" s="3391"/>
      <c r="R1981" s="3363"/>
      <c r="S1981" s="16"/>
      <c r="T1981" s="16"/>
      <c r="U1981" s="16"/>
      <c r="V1981" s="16"/>
    </row>
    <row r="1982" spans="1:22">
      <c r="A1982" s="16"/>
      <c r="B1982" s="16"/>
      <c r="C1982" s="16"/>
      <c r="D1982" s="16"/>
      <c r="E1982" s="2174"/>
      <c r="F1982" s="1462"/>
      <c r="G1982" s="1831" t="s">
        <v>1814</v>
      </c>
      <c r="H1982" s="1832"/>
      <c r="I1982" s="1833"/>
      <c r="J1982" s="1832"/>
      <c r="K1982" s="1832"/>
      <c r="L1982" s="1833"/>
      <c r="M1982" s="1832"/>
      <c r="N1982" s="1832"/>
      <c r="O1982" s="1832"/>
      <c r="P1982" s="1834"/>
      <c r="Q1982" s="3386"/>
      <c r="R1982" s="3363"/>
      <c r="S1982" s="16"/>
      <c r="T1982" s="16"/>
      <c r="U1982" s="16"/>
      <c r="V1982" s="16"/>
    </row>
    <row r="1983" spans="1:22" s="16" customFormat="1" ht="31">
      <c r="E1983" s="2174"/>
      <c r="F1983" s="1462"/>
      <c r="G1983" s="1583"/>
      <c r="H1983" s="1296"/>
      <c r="I1983" s="1558"/>
      <c r="J1983" s="1296"/>
      <c r="K1983" s="1296"/>
      <c r="L1983" s="2402" t="s">
        <v>2856</v>
      </c>
      <c r="M1983" s="1296"/>
      <c r="N1983" s="1296"/>
      <c r="O1983" s="1296"/>
      <c r="P1983" s="1296"/>
      <c r="Q1983" s="3386"/>
      <c r="R1983" s="3363"/>
    </row>
    <row r="1984" spans="1:22" s="22" customFormat="1">
      <c r="A1984" s="4393" t="s">
        <v>162</v>
      </c>
      <c r="B1984" s="4394"/>
      <c r="C1984" s="4394"/>
      <c r="D1984" s="4395"/>
      <c r="E1984" s="4396" t="s">
        <v>1549</v>
      </c>
      <c r="F1984" s="4397" t="s">
        <v>1550</v>
      </c>
      <c r="G1984" s="4399" t="s">
        <v>1566</v>
      </c>
      <c r="H1984" s="4400"/>
      <c r="I1984" s="4400"/>
      <c r="J1984" s="4400"/>
      <c r="K1984" s="4400"/>
      <c r="L1984" s="4401"/>
      <c r="M1984" s="4405" t="s">
        <v>1567</v>
      </c>
      <c r="N1984" s="4405"/>
      <c r="O1984" s="4405"/>
      <c r="P1984" s="4405"/>
      <c r="Q1984" s="3395"/>
      <c r="R1984" s="3363"/>
      <c r="S1984" s="16"/>
      <c r="T1984" s="16"/>
      <c r="U1984" s="16"/>
      <c r="V1984" s="16"/>
    </row>
    <row r="1985" spans="1:22">
      <c r="A1985" s="1324" t="s">
        <v>3766</v>
      </c>
      <c r="B1985" s="1325" t="s">
        <v>1513</v>
      </c>
      <c r="C1985" s="1326" t="s">
        <v>1573</v>
      </c>
      <c r="D1985" s="1323" t="s">
        <v>1514</v>
      </c>
      <c r="E1985" s="4396"/>
      <c r="F1985" s="4398"/>
      <c r="G1985" s="4402"/>
      <c r="H1985" s="4403"/>
      <c r="I1985" s="4403"/>
      <c r="J1985" s="4403"/>
      <c r="K1985" s="4403"/>
      <c r="L1985" s="4404"/>
      <c r="M1985" s="4405"/>
      <c r="N1985" s="4405"/>
      <c r="O1985" s="4405"/>
      <c r="P1985" s="4405"/>
      <c r="Q1985" s="3395"/>
      <c r="R1985" s="2337"/>
      <c r="S1985" s="16"/>
      <c r="T1985" s="16"/>
      <c r="U1985" s="16"/>
      <c r="V1985" s="16"/>
    </row>
    <row r="1986" spans="1:22">
      <c r="A1986" s="4374" t="s">
        <v>1865</v>
      </c>
      <c r="B1986" s="4375"/>
      <c r="C1986" s="4375"/>
      <c r="D1986" s="4376"/>
      <c r="E1986" s="4380" t="s">
        <v>1507</v>
      </c>
      <c r="F1986" s="4382" t="s">
        <v>3834</v>
      </c>
      <c r="G1986" s="4493" t="s">
        <v>294</v>
      </c>
      <c r="H1986" s="4493"/>
      <c r="I1986" s="1665" t="s">
        <v>1565</v>
      </c>
      <c r="J1986" s="3348" t="s">
        <v>1575</v>
      </c>
      <c r="K1986" s="4493" t="s">
        <v>289</v>
      </c>
      <c r="L1986" s="4493"/>
      <c r="M1986" s="4408" t="s">
        <v>3349</v>
      </c>
      <c r="N1986" s="4408"/>
      <c r="O1986" s="4408"/>
      <c r="P1986" s="4408"/>
      <c r="Q1986" s="3394" t="s">
        <v>3935</v>
      </c>
      <c r="R1986" s="2337"/>
      <c r="S1986" s="16"/>
      <c r="T1986" s="16"/>
      <c r="U1986" s="16"/>
      <c r="V1986" s="16"/>
    </row>
    <row r="1987" spans="1:22" ht="15.5">
      <c r="A1987" s="4377"/>
      <c r="B1987" s="4378"/>
      <c r="C1987" s="4378"/>
      <c r="D1987" s="4379"/>
      <c r="E1987" s="4381"/>
      <c r="F1987" s="4383"/>
      <c r="G1987" s="4451">
        <f>IF('Seleccion proyecto HEREVEA02'!G31="Reparación grietas en superficie ≤60%",'Seleccion proyecto HEREVEA02'!E29,0)</f>
        <v>0</v>
      </c>
      <c r="H1987" s="4452"/>
      <c r="I1987" s="4078">
        <f>IF('Seleccion proyecto HEREVEA02'!H31=0,0,IF('Seleccion proyecto HEREVEA02'!H31="1 a 60",0.6,IF('Seleccion proyecto HEREVEA02'!H31="61 a 100",0)))</f>
        <v>0</v>
      </c>
      <c r="J1987" s="1351">
        <f>'Seleccion proyecto HEREVEA02'!L8</f>
        <v>11100.968999999999</v>
      </c>
      <c r="K1987" s="4358">
        <f>G1987*I1987*J1987</f>
        <v>0</v>
      </c>
      <c r="L1987" s="4359"/>
      <c r="M1987" s="4360">
        <f>P1989+P2003+P2017+P2031+P2049+P2070+P2092+P2120+P2150+P2179+P2208+P2227+P2247+P2266+P2283+P2303+P2318+P2332</f>
        <v>163.54486819497203</v>
      </c>
      <c r="N1987" s="4361"/>
      <c r="O1987" s="4361"/>
      <c r="P1987" s="4449"/>
      <c r="Q1987" s="3388">
        <f>M1987*K1987</f>
        <v>0</v>
      </c>
      <c r="R1987" s="2337"/>
      <c r="S1987" s="16"/>
      <c r="T1987" s="16"/>
      <c r="U1987" s="16"/>
      <c r="V1987" s="16"/>
    </row>
    <row r="1988" spans="1:22" ht="15" customHeight="1">
      <c r="A1988" s="19" t="s">
        <v>3764</v>
      </c>
      <c r="B1988" s="4514" t="s">
        <v>1800</v>
      </c>
      <c r="C1988" s="3354"/>
      <c r="D1988" s="4368"/>
      <c r="E1988" s="4389" t="s">
        <v>1507</v>
      </c>
      <c r="F1988" s="4363" t="s">
        <v>1801</v>
      </c>
      <c r="G1988" s="4364" t="s">
        <v>1568</v>
      </c>
      <c r="H1988" s="4364" t="s">
        <v>1574</v>
      </c>
      <c r="I1988" s="1835" t="s">
        <v>1559</v>
      </c>
      <c r="J1988" s="1836" t="s">
        <v>1560</v>
      </c>
      <c r="K1988" s="1836" t="s">
        <v>1569</v>
      </c>
      <c r="L1988" s="4365" t="s">
        <v>3765</v>
      </c>
      <c r="M1988" s="4324" t="s">
        <v>1571</v>
      </c>
      <c r="N1988" s="4366" t="s">
        <v>1776</v>
      </c>
      <c r="O1988" s="3343" t="s">
        <v>1563</v>
      </c>
      <c r="P1988" s="3349" t="s">
        <v>1562</v>
      </c>
      <c r="Q1988" s="3389"/>
      <c r="R1988" s="1699" t="s">
        <v>1327</v>
      </c>
      <c r="S1988" s="16"/>
      <c r="T1988" s="16"/>
      <c r="U1988" s="16"/>
      <c r="V1988" s="16"/>
    </row>
    <row r="1989" spans="1:22">
      <c r="A1989" s="1660" t="s">
        <v>1865</v>
      </c>
      <c r="B1989" s="4369"/>
      <c r="C1989" s="3351"/>
      <c r="D1989" s="4328"/>
      <c r="E1989" s="4330"/>
      <c r="F1989" s="4336"/>
      <c r="G1989" s="4332"/>
      <c r="H1989" s="4332"/>
      <c r="I1989" s="1345">
        <v>442.2</v>
      </c>
      <c r="J1989" s="1307">
        <v>2E-3</v>
      </c>
      <c r="K1989" s="1307">
        <f>I1989*J1989</f>
        <v>0.88439999999999996</v>
      </c>
      <c r="L1989" s="4334"/>
      <c r="M1989" s="4335"/>
      <c r="N1989" s="4324"/>
      <c r="O1989" s="1298">
        <f>SUM(O1991:O2001)</f>
        <v>30.126660000000001</v>
      </c>
      <c r="P1989" s="1337">
        <f>O1989*K1989</f>
        <v>26.644018104000001</v>
      </c>
      <c r="Q1989" s="3390"/>
      <c r="R1989" s="1721">
        <f>P1999+P1995</f>
        <v>26.644018103999997</v>
      </c>
      <c r="S1989" s="16"/>
      <c r="T1989" s="16"/>
      <c r="U1989" s="16"/>
      <c r="V1989" s="16"/>
    </row>
    <row r="1990" spans="1:22" ht="15" customHeight="1">
      <c r="B1990" s="1327"/>
      <c r="C1990" s="1327"/>
      <c r="D1990" s="1400"/>
      <c r="E1990" s="2121"/>
      <c r="F1990" s="1368" t="s">
        <v>1</v>
      </c>
      <c r="G1990" s="1390"/>
      <c r="H1990" s="1390"/>
      <c r="I1990" s="1554"/>
      <c r="J1990" s="1367"/>
      <c r="K1990" s="1367"/>
      <c r="L1990" s="1554"/>
      <c r="M1990" s="1369"/>
      <c r="N1990" s="1369"/>
      <c r="O1990" s="1369"/>
      <c r="P1990" s="1367"/>
      <c r="Q1990" s="3387"/>
      <c r="R1990" s="3363"/>
      <c r="S1990" s="16"/>
      <c r="T1990" s="16"/>
      <c r="U1990" s="16"/>
      <c r="V1990" s="16"/>
    </row>
    <row r="1991" spans="1:22">
      <c r="B1991" s="1042"/>
      <c r="C1991" s="1042"/>
      <c r="D1991" s="1400"/>
      <c r="E1991" s="1856"/>
      <c r="F1991" s="1421"/>
      <c r="G1991" s="1399"/>
      <c r="H1991" s="1399"/>
      <c r="I1991" s="1760"/>
      <c r="J1991" s="198"/>
      <c r="K1991" s="1307"/>
      <c r="L1991" s="1335"/>
      <c r="M1991" s="1499"/>
      <c r="N1991" s="1701"/>
      <c r="O1991" s="1290"/>
      <c r="P1991" s="1332"/>
      <c r="Q1991" s="3391"/>
      <c r="R1991" s="3363"/>
      <c r="S1991" s="16"/>
      <c r="T1991" s="16"/>
      <c r="U1991" s="16"/>
      <c r="V1991" s="16"/>
    </row>
    <row r="1992" spans="1:22">
      <c r="B1992" s="1042"/>
      <c r="C1992" s="1042"/>
      <c r="D1992" s="1400"/>
      <c r="E1992" s="1856"/>
      <c r="F1992" s="1421"/>
      <c r="G1992" s="1399"/>
      <c r="H1992" s="1399"/>
      <c r="I1992" s="1760"/>
      <c r="J1992" s="198"/>
      <c r="K1992" s="1307"/>
      <c r="L1992" s="1335"/>
      <c r="M1992" s="1499"/>
      <c r="N1992" s="1701"/>
      <c r="O1992" s="1290"/>
      <c r="P1992" s="1332"/>
      <c r="Q1992" s="3391"/>
      <c r="R1992" s="2337"/>
      <c r="S1992" s="16"/>
      <c r="T1992" s="16"/>
      <c r="U1992" s="16"/>
      <c r="V1992" s="16"/>
    </row>
    <row r="1993" spans="1:22">
      <c r="B1993" s="1042"/>
      <c r="C1993" s="1042"/>
      <c r="D1993" s="1400"/>
      <c r="E1993" s="1856"/>
      <c r="F1993" s="1421"/>
      <c r="G1993" s="1399"/>
      <c r="H1993" s="1399"/>
      <c r="I1993" s="197"/>
      <c r="J1993" s="198"/>
      <c r="K1993" s="1307"/>
      <c r="L1993" s="1335"/>
      <c r="M1993" s="1499"/>
      <c r="N1993" s="1701"/>
      <c r="O1993" s="1290"/>
      <c r="P1993" s="1332"/>
      <c r="Q1993" s="3391"/>
      <c r="R1993" s="3363"/>
      <c r="S1993" s="16"/>
      <c r="T1993" s="16"/>
      <c r="U1993" s="16"/>
      <c r="V1993" s="16"/>
    </row>
    <row r="1994" spans="1:22">
      <c r="B1994" s="1042"/>
      <c r="C1994" s="1042"/>
      <c r="D1994" s="1410"/>
      <c r="E1994" s="1858"/>
      <c r="F1994" s="1360" t="s">
        <v>2</v>
      </c>
      <c r="G1994" s="1362"/>
      <c r="H1994" s="1362"/>
      <c r="I1994" s="1380"/>
      <c r="J1994" s="1381"/>
      <c r="K1994" s="1359"/>
      <c r="L1994" s="1458"/>
      <c r="M1994" s="1502"/>
      <c r="N1994" s="1502"/>
      <c r="O1994" s="1362"/>
      <c r="P1994" s="1359"/>
      <c r="Q1994" s="3387"/>
      <c r="R1994" s="3363"/>
      <c r="S1994" s="16"/>
      <c r="T1994" s="16"/>
      <c r="U1994" s="16"/>
      <c r="V1994" s="16"/>
    </row>
    <row r="1995" spans="1:22">
      <c r="B1995" s="1042"/>
      <c r="C1995" s="1042"/>
      <c r="D1995" s="1623" t="s">
        <v>1802</v>
      </c>
      <c r="E1995" s="2158" t="s">
        <v>1803</v>
      </c>
      <c r="F1995" s="1801" t="s">
        <v>1804</v>
      </c>
      <c r="G1995" s="1822">
        <v>1.0469999999999999</v>
      </c>
      <c r="H1995" s="1822"/>
      <c r="I1995" s="198"/>
      <c r="J1995" s="6"/>
      <c r="K1995" s="1307">
        <f>G1995*K1989</f>
        <v>0.92596679999999987</v>
      </c>
      <c r="L1995" s="1335">
        <f>K1995*$K$1987</f>
        <v>0</v>
      </c>
      <c r="M1995" s="1499">
        <v>18.28</v>
      </c>
      <c r="N1995" s="1701"/>
      <c r="O1995" s="1290">
        <f>(G1995*M1995)</f>
        <v>19.13916</v>
      </c>
      <c r="P1995" s="1332">
        <f>M1995*K1995</f>
        <v>16.926673103999999</v>
      </c>
      <c r="Q1995" s="3391"/>
      <c r="R1995" s="3363"/>
      <c r="S1995" s="16"/>
      <c r="T1995" s="16"/>
      <c r="U1995" s="16"/>
      <c r="V1995" s="16"/>
    </row>
    <row r="1996" spans="1:22">
      <c r="B1996" s="1042"/>
      <c r="C1996" s="1042"/>
      <c r="D1996" s="1623"/>
      <c r="E1996" s="2158"/>
      <c r="F1996" s="1801"/>
      <c r="G1996" s="1822"/>
      <c r="H1996" s="1822"/>
      <c r="I1996" s="198"/>
      <c r="J1996" s="6"/>
      <c r="K1996" s="1307"/>
      <c r="L1996" s="1335"/>
      <c r="M1996" s="1499"/>
      <c r="N1996" s="1701"/>
      <c r="O1996" s="1290"/>
      <c r="P1996" s="1332"/>
      <c r="Q1996" s="3391"/>
      <c r="R1996" s="3363"/>
      <c r="S1996" s="16"/>
      <c r="T1996" s="16"/>
      <c r="U1996" s="16"/>
      <c r="V1996" s="16"/>
    </row>
    <row r="1997" spans="1:22">
      <c r="B1997" s="1042"/>
      <c r="C1997" s="1042"/>
      <c r="D1997" s="1623"/>
      <c r="E1997" s="2158"/>
      <c r="F1997" s="1801"/>
      <c r="G1997" s="1822"/>
      <c r="H1997" s="1822"/>
      <c r="I1997" s="198"/>
      <c r="J1997" s="6"/>
      <c r="K1997" s="1307"/>
      <c r="L1997" s="1335"/>
      <c r="M1997" s="1499"/>
      <c r="N1997" s="1701"/>
      <c r="O1997" s="1290"/>
      <c r="P1997" s="1332"/>
      <c r="Q1997" s="3391"/>
      <c r="R1997" s="3363"/>
      <c r="S1997" s="16"/>
      <c r="T1997" s="16"/>
      <c r="U1997" s="16"/>
      <c r="V1997" s="16"/>
    </row>
    <row r="1998" spans="1:22">
      <c r="B1998" s="1042"/>
      <c r="C1998" s="1042"/>
      <c r="D1998" s="1411"/>
      <c r="E1998" s="2123"/>
      <c r="F1998" s="1802" t="s">
        <v>3</v>
      </c>
      <c r="G1998" s="1376"/>
      <c r="H1998" s="1376"/>
      <c r="I1998" s="1382"/>
      <c r="J1998" s="1383"/>
      <c r="K1998" s="1373"/>
      <c r="L1998" s="1413"/>
      <c r="M1998" s="1505"/>
      <c r="N1998" s="1505"/>
      <c r="O1998" s="1376"/>
      <c r="P1998" s="1413"/>
      <c r="Q1998" s="3387"/>
      <c r="R1998" s="3363"/>
      <c r="S1998" s="16"/>
      <c r="T1998" s="16"/>
      <c r="U1998" s="16"/>
      <c r="V1998" s="16"/>
    </row>
    <row r="1999" spans="1:22">
      <c r="B1999" s="1042"/>
      <c r="C1999" s="1042"/>
      <c r="D1999" s="1411" t="s">
        <v>1686</v>
      </c>
      <c r="E1999" s="2123" t="s">
        <v>1803</v>
      </c>
      <c r="F1999" s="1475" t="s">
        <v>1688</v>
      </c>
      <c r="G1999" s="1376">
        <v>1.4650000000000001</v>
      </c>
      <c r="H1999" s="1376"/>
      <c r="I1999" s="198"/>
      <c r="J1999" s="6"/>
      <c r="K1999" s="1307">
        <f>G1999*K1989</f>
        <v>1.2956460000000001</v>
      </c>
      <c r="L1999" s="1335">
        <f>K1999*$K$1987</f>
        <v>0</v>
      </c>
      <c r="M1999" s="1499">
        <v>7.5</v>
      </c>
      <c r="N1999" s="1701"/>
      <c r="O1999" s="1290">
        <f>(G1999*M1999)</f>
        <v>10.987500000000001</v>
      </c>
      <c r="P1999" s="1332">
        <f>M1999*K1999</f>
        <v>9.7173449999999999</v>
      </c>
      <c r="Q1999" s="3391"/>
      <c r="R1999" s="3363"/>
      <c r="S1999" s="16"/>
      <c r="T1999" s="16"/>
      <c r="U1999" s="16"/>
      <c r="V1999" s="16"/>
    </row>
    <row r="2000" spans="1:22">
      <c r="B2000" s="1042"/>
      <c r="C2000" s="1042"/>
      <c r="D2000" s="1411"/>
      <c r="E2000" s="2123"/>
      <c r="F2000" s="1475"/>
      <c r="G2000" s="1376"/>
      <c r="H2000" s="1376"/>
      <c r="I2000" s="198"/>
      <c r="J2000" s="6"/>
      <c r="K2000" s="1307"/>
      <c r="L2000" s="1335"/>
      <c r="M2000" s="1499"/>
      <c r="N2000" s="1701"/>
      <c r="O2000" s="1290"/>
      <c r="P2000" s="1332"/>
      <c r="Q2000" s="3391"/>
      <c r="R2000" s="3363"/>
      <c r="S2000" s="16"/>
      <c r="T2000" s="16"/>
      <c r="U2000" s="16"/>
      <c r="V2000" s="16"/>
    </row>
    <row r="2001" spans="1:22">
      <c r="B2001" s="223"/>
      <c r="C2001" s="223"/>
      <c r="D2001" s="1808"/>
      <c r="E2001" s="2132"/>
      <c r="F2001" s="1804"/>
      <c r="G2001" s="1805"/>
      <c r="H2001" s="1805"/>
      <c r="I2001" s="197"/>
      <c r="J2001" s="1806"/>
      <c r="K2001" s="1307"/>
      <c r="L2001" s="1335"/>
      <c r="M2001" s="1701"/>
      <c r="N2001" s="1701"/>
      <c r="O2001" s="1290"/>
      <c r="P2001" s="1333"/>
      <c r="Q2001" s="3391"/>
      <c r="R2001" s="2337"/>
      <c r="S2001" s="16"/>
      <c r="T2001" s="16"/>
      <c r="U2001" s="16"/>
      <c r="V2001" s="16"/>
    </row>
    <row r="2002" spans="1:22" ht="15" customHeight="1">
      <c r="A2002" s="19" t="s">
        <v>3764</v>
      </c>
      <c r="B2002" s="4325" t="s">
        <v>1654</v>
      </c>
      <c r="C2002" s="3350"/>
      <c r="D2002" s="4327"/>
      <c r="E2002" s="4329" t="s">
        <v>1507</v>
      </c>
      <c r="F2002" s="4336" t="s">
        <v>1664</v>
      </c>
      <c r="G2002" s="4331" t="s">
        <v>1568</v>
      </c>
      <c r="H2002" s="4331" t="s">
        <v>1574</v>
      </c>
      <c r="I2002" s="1572" t="s">
        <v>1559</v>
      </c>
      <c r="J2002" s="1294" t="s">
        <v>1560</v>
      </c>
      <c r="K2002" s="1294" t="s">
        <v>1569</v>
      </c>
      <c r="L2002" s="4333" t="s">
        <v>3765</v>
      </c>
      <c r="M2002" s="4335" t="s">
        <v>1571</v>
      </c>
      <c r="N2002" s="4323" t="s">
        <v>1776</v>
      </c>
      <c r="O2002" s="3347" t="s">
        <v>1563</v>
      </c>
      <c r="P2002" s="1336" t="s">
        <v>1562</v>
      </c>
      <c r="Q2002" s="3389"/>
      <c r="R2002" s="1699" t="s">
        <v>1327</v>
      </c>
      <c r="S2002" s="16"/>
      <c r="T2002" s="16"/>
      <c r="U2002" s="16"/>
      <c r="V2002" s="16"/>
    </row>
    <row r="2003" spans="1:22">
      <c r="A2003" s="1660" t="s">
        <v>1865</v>
      </c>
      <c r="B2003" s="4326"/>
      <c r="C2003" s="3351"/>
      <c r="D2003" s="4328"/>
      <c r="E2003" s="4330"/>
      <c r="F2003" s="4336"/>
      <c r="G2003" s="4332"/>
      <c r="H2003" s="4332"/>
      <c r="I2003" s="1345">
        <v>64.8</v>
      </c>
      <c r="J2003" s="1307">
        <v>2E-3</v>
      </c>
      <c r="K2003" s="1307">
        <f>I2003*J2003</f>
        <v>0.12959999999999999</v>
      </c>
      <c r="L2003" s="4334"/>
      <c r="M2003" s="4335"/>
      <c r="N2003" s="4324"/>
      <c r="O2003" s="1298">
        <f>SUM(O2005:O2015)</f>
        <v>11.479840000000001</v>
      </c>
      <c r="P2003" s="1337">
        <f>O2003*K2003</f>
        <v>1.4877872640000001</v>
      </c>
      <c r="Q2003" s="3390"/>
      <c r="R2003" s="1721">
        <f>SUM(P2005:P2015)</f>
        <v>1.4877872640000001</v>
      </c>
      <c r="S2003" s="16"/>
      <c r="T2003" s="16"/>
      <c r="U2003" s="16"/>
      <c r="V2003" s="16"/>
    </row>
    <row r="2004" spans="1:22">
      <c r="B2004" s="1327"/>
      <c r="C2004" s="1327"/>
      <c r="D2004" s="1400"/>
      <c r="E2004" s="2121"/>
      <c r="F2004" s="1368" t="s">
        <v>1</v>
      </c>
      <c r="G2004" s="1417"/>
      <c r="H2004" s="1390"/>
      <c r="I2004" s="1554"/>
      <c r="J2004" s="1367"/>
      <c r="K2004" s="1367"/>
      <c r="L2004" s="1554"/>
      <c r="M2004" s="1369"/>
      <c r="N2004" s="1369"/>
      <c r="O2004" s="1369"/>
      <c r="P2004" s="1367"/>
      <c r="Q2004" s="3387"/>
      <c r="R2004" s="2337"/>
      <c r="S2004" s="16"/>
      <c r="T2004" s="16"/>
      <c r="U2004" s="16"/>
      <c r="V2004" s="16"/>
    </row>
    <row r="2005" spans="1:22">
      <c r="B2005" s="1042"/>
      <c r="C2005" s="1042"/>
      <c r="D2005" s="1400"/>
      <c r="E2005" s="1856"/>
      <c r="F2005" s="1421"/>
      <c r="G2005" s="1399"/>
      <c r="H2005" s="1399"/>
      <c r="I2005" s="1760"/>
      <c r="J2005" s="198"/>
      <c r="K2005" s="1307"/>
      <c r="L2005" s="1335"/>
      <c r="M2005" s="1499"/>
      <c r="N2005" s="1701"/>
      <c r="O2005" s="1290"/>
      <c r="P2005" s="1332"/>
      <c r="Q2005" s="3391"/>
      <c r="R2005" s="2337"/>
      <c r="S2005" s="16"/>
      <c r="T2005" s="16"/>
      <c r="U2005" s="16"/>
      <c r="V2005" s="16"/>
    </row>
    <row r="2006" spans="1:22">
      <c r="B2006" s="1042"/>
      <c r="C2006" s="1042"/>
      <c r="D2006" s="1400"/>
      <c r="E2006" s="1856"/>
      <c r="F2006" s="1421"/>
      <c r="G2006" s="1399"/>
      <c r="H2006" s="1399"/>
      <c r="I2006" s="1760"/>
      <c r="J2006" s="198"/>
      <c r="K2006" s="1307"/>
      <c r="L2006" s="1335"/>
      <c r="M2006" s="1499"/>
      <c r="N2006" s="1701"/>
      <c r="O2006" s="1290"/>
      <c r="P2006" s="1332"/>
      <c r="Q2006" s="3391"/>
      <c r="R2006" s="3363"/>
      <c r="S2006" s="16"/>
      <c r="T2006" s="16"/>
      <c r="U2006" s="16"/>
      <c r="V2006" s="16"/>
    </row>
    <row r="2007" spans="1:22">
      <c r="B2007" s="1042"/>
      <c r="C2007" s="1042"/>
      <c r="D2007" s="1400"/>
      <c r="E2007" s="1856"/>
      <c r="F2007" s="1421"/>
      <c r="G2007" s="1452"/>
      <c r="H2007" s="1399"/>
      <c r="I2007" s="197"/>
      <c r="J2007" s="198"/>
      <c r="K2007" s="1307"/>
      <c r="L2007" s="1335"/>
      <c r="M2007" s="1499"/>
      <c r="N2007" s="1701"/>
      <c r="O2007" s="1290"/>
      <c r="P2007" s="1332"/>
      <c r="Q2007" s="3391"/>
      <c r="R2007" s="3363"/>
      <c r="S2007" s="16"/>
      <c r="T2007" s="16"/>
      <c r="U2007" s="16"/>
      <c r="V2007" s="16"/>
    </row>
    <row r="2008" spans="1:22">
      <c r="B2008" s="1042"/>
      <c r="C2008" s="1042"/>
      <c r="D2008" s="1410"/>
      <c r="E2008" s="1858"/>
      <c r="F2008" s="1360" t="s">
        <v>2</v>
      </c>
      <c r="G2008" s="1360"/>
      <c r="H2008" s="1362"/>
      <c r="I2008" s="1380"/>
      <c r="J2008" s="1381"/>
      <c r="K2008" s="1359"/>
      <c r="L2008" s="1458"/>
      <c r="M2008" s="1502"/>
      <c r="N2008" s="1502"/>
      <c r="O2008" s="1362"/>
      <c r="P2008" s="1359"/>
      <c r="Q2008" s="3387"/>
      <c r="R2008" s="3363"/>
      <c r="S2008" s="17"/>
      <c r="T2008" s="17"/>
      <c r="U2008" s="16"/>
      <c r="V2008" s="16"/>
    </row>
    <row r="2009" spans="1:22">
      <c r="B2009" s="1042"/>
      <c r="C2009" s="1042"/>
      <c r="D2009" s="1473" t="s">
        <v>1067</v>
      </c>
      <c r="E2009" s="2148" t="s">
        <v>1508</v>
      </c>
      <c r="F2009" s="1473" t="s">
        <v>1512</v>
      </c>
      <c r="G2009" s="1365">
        <v>0.628</v>
      </c>
      <c r="H2009" s="1365"/>
      <c r="I2009" s="198"/>
      <c r="J2009" s="6"/>
      <c r="K2009" s="1307">
        <f>G2009*K2003</f>
        <v>8.1388799999999997E-2</v>
      </c>
      <c r="L2009" s="1335">
        <f>K2009*$K$1987</f>
        <v>0</v>
      </c>
      <c r="M2009" s="1499">
        <v>18.28</v>
      </c>
      <c r="N2009" s="1701"/>
      <c r="O2009" s="1290">
        <f>(G2009*M2009)</f>
        <v>11.479840000000001</v>
      </c>
      <c r="P2009" s="1332">
        <f>M2009*K2009</f>
        <v>1.4877872640000001</v>
      </c>
      <c r="Q2009" s="3391"/>
      <c r="R2009" s="3363"/>
      <c r="S2009" s="105"/>
      <c r="T2009" s="105"/>
      <c r="U2009" s="16"/>
      <c r="V2009" s="16"/>
    </row>
    <row r="2010" spans="1:22">
      <c r="B2010" s="1042"/>
      <c r="C2010" s="1042"/>
      <c r="D2010" s="1623"/>
      <c r="E2010" s="2158"/>
      <c r="F2010" s="1801"/>
      <c r="G2010" s="1359"/>
      <c r="H2010" s="1803"/>
      <c r="I2010" s="198"/>
      <c r="J2010" s="6"/>
      <c r="K2010" s="1307"/>
      <c r="L2010" s="1335"/>
      <c r="M2010" s="1499"/>
      <c r="N2010" s="1701"/>
      <c r="O2010" s="1290"/>
      <c r="P2010" s="1332"/>
      <c r="Q2010" s="3391"/>
      <c r="R2010" s="3363"/>
      <c r="S2010" s="16"/>
      <c r="T2010" s="16"/>
      <c r="U2010" s="16"/>
      <c r="V2010" s="16"/>
    </row>
    <row r="2011" spans="1:22">
      <c r="B2011" s="1042"/>
      <c r="C2011" s="1042"/>
      <c r="D2011" s="1623"/>
      <c r="E2011" s="2158"/>
      <c r="F2011" s="1801"/>
      <c r="G2011" s="1359"/>
      <c r="H2011" s="1803"/>
      <c r="I2011" s="198"/>
      <c r="J2011" s="6"/>
      <c r="K2011" s="1307"/>
      <c r="L2011" s="1335"/>
      <c r="M2011" s="1499"/>
      <c r="N2011" s="1701"/>
      <c r="O2011" s="1290"/>
      <c r="P2011" s="1332"/>
      <c r="Q2011" s="3391"/>
      <c r="R2011" s="2337"/>
      <c r="S2011" s="16"/>
      <c r="T2011" s="16"/>
      <c r="U2011" s="16"/>
      <c r="V2011" s="16"/>
    </row>
    <row r="2012" spans="1:22">
      <c r="A2012" s="22"/>
      <c r="B2012" s="1042"/>
      <c r="C2012" s="1042"/>
      <c r="D2012" s="1411"/>
      <c r="E2012" s="2123"/>
      <c r="F2012" s="1802" t="s">
        <v>3</v>
      </c>
      <c r="G2012" s="1475"/>
      <c r="H2012" s="1505"/>
      <c r="I2012" s="1382"/>
      <c r="J2012" s="1383"/>
      <c r="K2012" s="1373"/>
      <c r="L2012" s="1413"/>
      <c r="M2012" s="1505"/>
      <c r="N2012" s="1505"/>
      <c r="O2012" s="1376"/>
      <c r="P2012" s="1413"/>
      <c r="Q2012" s="3387"/>
      <c r="R2012" s="2337"/>
      <c r="S2012" s="16"/>
      <c r="T2012" s="16"/>
      <c r="U2012" s="16"/>
      <c r="V2012" s="16"/>
    </row>
    <row r="2013" spans="1:22">
      <c r="B2013" s="1042"/>
      <c r="C2013" s="1042"/>
      <c r="D2013" s="1411"/>
      <c r="E2013" s="2123"/>
      <c r="F2013" s="1475"/>
      <c r="G2013" s="1475"/>
      <c r="H2013" s="1376"/>
      <c r="I2013" s="198"/>
      <c r="J2013" s="6"/>
      <c r="K2013" s="1307"/>
      <c r="L2013" s="1335"/>
      <c r="M2013" s="1499"/>
      <c r="N2013" s="1701"/>
      <c r="O2013" s="1290"/>
      <c r="P2013" s="1332"/>
      <c r="Q2013" s="3391"/>
      <c r="R2013" s="3363"/>
      <c r="S2013" s="16"/>
      <c r="T2013" s="16"/>
      <c r="U2013" s="16"/>
      <c r="V2013" s="16"/>
    </row>
    <row r="2014" spans="1:22">
      <c r="B2014" s="1042"/>
      <c r="C2014" s="1042"/>
      <c r="D2014" s="1412"/>
      <c r="E2014" s="2124"/>
      <c r="F2014" s="1377"/>
      <c r="G2014" s="1377"/>
      <c r="H2014" s="1597"/>
      <c r="I2014" s="198"/>
      <c r="J2014" s="6"/>
      <c r="K2014" s="1306"/>
      <c r="L2014" s="1646"/>
      <c r="M2014" s="1302"/>
      <c r="N2014" s="1302"/>
      <c r="O2014" s="1291"/>
      <c r="P2014" s="1332"/>
      <c r="Q2014" s="3391"/>
      <c r="R2014" s="2337"/>
      <c r="S2014" s="16"/>
      <c r="T2014" s="16"/>
      <c r="U2014" s="16"/>
      <c r="V2014" s="16"/>
    </row>
    <row r="2015" spans="1:22">
      <c r="B2015" s="223"/>
      <c r="C2015" s="223"/>
      <c r="D2015" s="1808"/>
      <c r="E2015" s="2132"/>
      <c r="F2015" s="1804"/>
      <c r="G2015" s="1804"/>
      <c r="H2015" s="1805"/>
      <c r="I2015" s="197"/>
      <c r="J2015" s="1806"/>
      <c r="K2015" s="1307"/>
      <c r="L2015" s="1335"/>
      <c r="M2015" s="1701"/>
      <c r="N2015" s="1701"/>
      <c r="O2015" s="1290"/>
      <c r="P2015" s="1333"/>
      <c r="Q2015" s="3391"/>
      <c r="R2015" s="3363"/>
      <c r="S2015" s="16"/>
      <c r="T2015" s="16"/>
      <c r="U2015" s="16"/>
      <c r="V2015" s="16"/>
    </row>
    <row r="2016" spans="1:22" ht="15" customHeight="1">
      <c r="A2016" s="19" t="s">
        <v>3764</v>
      </c>
      <c r="B2016" s="4325" t="s">
        <v>1735</v>
      </c>
      <c r="C2016" s="3350"/>
      <c r="D2016" s="4327"/>
      <c r="E2016" s="4329" t="s">
        <v>1507</v>
      </c>
      <c r="F2016" s="4336" t="s">
        <v>1771</v>
      </c>
      <c r="G2016" s="4331" t="s">
        <v>1568</v>
      </c>
      <c r="H2016" s="4331" t="s">
        <v>1574</v>
      </c>
      <c r="I2016" s="1572" t="s">
        <v>1559</v>
      </c>
      <c r="J2016" s="1294" t="s">
        <v>1560</v>
      </c>
      <c r="K2016" s="1294" t="s">
        <v>1569</v>
      </c>
      <c r="L2016" s="4333" t="s">
        <v>3765</v>
      </c>
      <c r="M2016" s="4335" t="s">
        <v>1571</v>
      </c>
      <c r="N2016" s="4323" t="s">
        <v>1776</v>
      </c>
      <c r="O2016" s="3347" t="s">
        <v>1563</v>
      </c>
      <c r="P2016" s="1336" t="s">
        <v>1562</v>
      </c>
      <c r="Q2016" s="3389"/>
      <c r="R2016" s="1699" t="s">
        <v>1327</v>
      </c>
      <c r="S2016" s="16"/>
      <c r="T2016" s="16"/>
      <c r="U2016" s="16"/>
      <c r="V2016" s="16"/>
    </row>
    <row r="2017" spans="1:22">
      <c r="A2017" s="1660" t="s">
        <v>1865</v>
      </c>
      <c r="B2017" s="4326"/>
      <c r="C2017" s="3351"/>
      <c r="D2017" s="4328"/>
      <c r="E2017" s="4330"/>
      <c r="F2017" s="4336"/>
      <c r="G2017" s="4332"/>
      <c r="H2017" s="4332"/>
      <c r="I2017" s="1345">
        <v>277.56</v>
      </c>
      <c r="J2017" s="1307">
        <v>2E-3</v>
      </c>
      <c r="K2017" s="1307">
        <f>I2017*J2017</f>
        <v>0.55512000000000006</v>
      </c>
      <c r="L2017" s="4334"/>
      <c r="M2017" s="4335"/>
      <c r="N2017" s="4324"/>
      <c r="O2017" s="1298">
        <f>SUM(O2019:O2029)</f>
        <v>8.6829999999999998</v>
      </c>
      <c r="P2017" s="1337">
        <f>O2017*K2017</f>
        <v>4.8201069600000004</v>
      </c>
      <c r="Q2017" s="3390"/>
      <c r="R2017" s="1721">
        <f>SUM(P2019:P2029)</f>
        <v>4.8201069600000004</v>
      </c>
      <c r="S2017" s="16"/>
      <c r="T2017" s="16"/>
      <c r="U2017" s="16"/>
      <c r="V2017" s="16"/>
    </row>
    <row r="2018" spans="1:22">
      <c r="B2018" s="551"/>
      <c r="C2018" s="18"/>
      <c r="D2018" s="1400"/>
      <c r="E2018" s="2121"/>
      <c r="F2018" s="1368" t="s">
        <v>1</v>
      </c>
      <c r="G2018" s="1417"/>
      <c r="H2018" s="1390"/>
      <c r="I2018" s="1554"/>
      <c r="J2018" s="1367"/>
      <c r="K2018" s="1367"/>
      <c r="L2018" s="1554"/>
      <c r="M2018" s="1369"/>
      <c r="N2018" s="1369"/>
      <c r="O2018" s="1369"/>
      <c r="P2018" s="1367"/>
      <c r="Q2018" s="3387"/>
      <c r="R2018" s="3363"/>
      <c r="S2018" s="16"/>
      <c r="T2018" s="16"/>
      <c r="U2018" s="16"/>
      <c r="V2018" s="16"/>
    </row>
    <row r="2019" spans="1:22">
      <c r="B2019" s="553"/>
      <c r="C2019" s="1042"/>
      <c r="D2019" s="1400"/>
      <c r="E2019" s="1856"/>
      <c r="F2019" s="1421"/>
      <c r="G2019" s="1399"/>
      <c r="H2019" s="1399"/>
      <c r="I2019" s="1760"/>
      <c r="J2019" s="198"/>
      <c r="K2019" s="1307"/>
      <c r="L2019" s="1335"/>
      <c r="M2019" s="1499"/>
      <c r="N2019" s="1701"/>
      <c r="O2019" s="1290"/>
      <c r="P2019" s="1332"/>
      <c r="Q2019" s="3391"/>
      <c r="R2019" s="3363"/>
      <c r="S2019" s="16"/>
      <c r="T2019" s="16"/>
      <c r="U2019" s="16"/>
      <c r="V2019" s="16"/>
    </row>
    <row r="2020" spans="1:22">
      <c r="B2020" s="553"/>
      <c r="C2020" s="1042"/>
      <c r="D2020" s="1400"/>
      <c r="E2020" s="1856"/>
      <c r="F2020" s="1421"/>
      <c r="G2020" s="1399"/>
      <c r="H2020" s="1399"/>
      <c r="I2020" s="1760"/>
      <c r="J2020" s="198"/>
      <c r="K2020" s="1307"/>
      <c r="L2020" s="1335"/>
      <c r="M2020" s="1499"/>
      <c r="N2020" s="1701"/>
      <c r="O2020" s="1290"/>
      <c r="P2020" s="1332"/>
      <c r="Q2020" s="3391"/>
      <c r="R2020" s="3363"/>
      <c r="S2020" s="16"/>
      <c r="T2020" s="16"/>
      <c r="U2020" s="16"/>
      <c r="V2020" s="16"/>
    </row>
    <row r="2021" spans="1:22">
      <c r="B2021" s="553"/>
      <c r="C2021" s="1042"/>
      <c r="D2021" s="1400"/>
      <c r="E2021" s="1856"/>
      <c r="F2021" s="1421"/>
      <c r="G2021" s="1452"/>
      <c r="H2021" s="1399"/>
      <c r="I2021" s="197"/>
      <c r="J2021" s="198"/>
      <c r="K2021" s="1307"/>
      <c r="L2021" s="1335"/>
      <c r="M2021" s="1499"/>
      <c r="N2021" s="1701"/>
      <c r="O2021" s="1290"/>
      <c r="P2021" s="1332"/>
      <c r="Q2021" s="3391"/>
      <c r="R2021" s="3363"/>
      <c r="S2021" s="16"/>
      <c r="T2021" s="16"/>
      <c r="U2021" s="16"/>
      <c r="V2021" s="16"/>
    </row>
    <row r="2022" spans="1:22">
      <c r="B2022" s="553"/>
      <c r="C2022" s="1042"/>
      <c r="D2022" s="1410"/>
      <c r="E2022" s="1858"/>
      <c r="F2022" s="1360" t="s">
        <v>2</v>
      </c>
      <c r="G2022" s="1360"/>
      <c r="H2022" s="1362"/>
      <c r="I2022" s="1380"/>
      <c r="J2022" s="1381"/>
      <c r="K2022" s="1359"/>
      <c r="L2022" s="1458"/>
      <c r="M2022" s="1502"/>
      <c r="N2022" s="1502"/>
      <c r="O2022" s="1362"/>
      <c r="P2022" s="1359"/>
      <c r="Q2022" s="3387"/>
      <c r="R2022" s="3363"/>
      <c r="S2022" s="16"/>
      <c r="T2022" s="16"/>
      <c r="U2022" s="16"/>
      <c r="V2022" s="16"/>
    </row>
    <row r="2023" spans="1:22">
      <c r="B2023" s="553"/>
      <c r="C2023" s="1042"/>
      <c r="D2023" s="1364" t="s">
        <v>1067</v>
      </c>
      <c r="E2023" s="2148" t="s">
        <v>1508</v>
      </c>
      <c r="F2023" s="1473" t="s">
        <v>1512</v>
      </c>
      <c r="G2023" s="1365">
        <v>0.47499999999999998</v>
      </c>
      <c r="H2023" s="1365"/>
      <c r="I2023" s="198"/>
      <c r="J2023" s="6"/>
      <c r="K2023" s="1307">
        <f>G2023*K2017</f>
        <v>0.26368200000000003</v>
      </c>
      <c r="L2023" s="1335">
        <f>K2023*$K$1987</f>
        <v>0</v>
      </c>
      <c r="M2023" s="1499">
        <v>18.28</v>
      </c>
      <c r="N2023" s="1701"/>
      <c r="O2023" s="1290">
        <f>(G2023*M2023)</f>
        <v>8.6829999999999998</v>
      </c>
      <c r="P2023" s="1332">
        <f>M2023*K2023</f>
        <v>4.8201069600000004</v>
      </c>
      <c r="Q2023" s="3391"/>
      <c r="R2023" s="3363"/>
      <c r="S2023" s="16"/>
      <c r="T2023" s="16"/>
      <c r="U2023" s="16"/>
      <c r="V2023" s="16"/>
    </row>
    <row r="2024" spans="1:22">
      <c r="B2024" s="553"/>
      <c r="C2024" s="1042"/>
      <c r="D2024" s="1623"/>
      <c r="E2024" s="2158"/>
      <c r="F2024" s="1801"/>
      <c r="G2024" s="1359"/>
      <c r="H2024" s="1803"/>
      <c r="I2024" s="198"/>
      <c r="J2024" s="6"/>
      <c r="K2024" s="1307"/>
      <c r="L2024" s="1335"/>
      <c r="M2024" s="1499"/>
      <c r="N2024" s="1701"/>
      <c r="O2024" s="1290"/>
      <c r="P2024" s="1332"/>
      <c r="Q2024" s="3391"/>
      <c r="R2024" s="3363"/>
      <c r="S2024" s="16"/>
      <c r="T2024" s="16"/>
      <c r="U2024" s="16"/>
      <c r="V2024" s="16"/>
    </row>
    <row r="2025" spans="1:22">
      <c r="B2025" s="553"/>
      <c r="C2025" s="1042"/>
      <c r="D2025" s="1623"/>
      <c r="E2025" s="2158"/>
      <c r="F2025" s="1801"/>
      <c r="G2025" s="1359"/>
      <c r="H2025" s="1803"/>
      <c r="I2025" s="198"/>
      <c r="J2025" s="6"/>
      <c r="K2025" s="1307"/>
      <c r="L2025" s="1335"/>
      <c r="M2025" s="1499"/>
      <c r="N2025" s="1701"/>
      <c r="O2025" s="1290"/>
      <c r="P2025" s="1332"/>
      <c r="Q2025" s="3391"/>
      <c r="R2025" s="3363"/>
      <c r="S2025" s="16"/>
      <c r="T2025" s="16"/>
      <c r="U2025" s="16"/>
      <c r="V2025" s="16"/>
    </row>
    <row r="2026" spans="1:22">
      <c r="B2026" s="553"/>
      <c r="C2026" s="1042"/>
      <c r="D2026" s="1411"/>
      <c r="E2026" s="2123"/>
      <c r="F2026" s="1802" t="s">
        <v>3</v>
      </c>
      <c r="G2026" s="1475"/>
      <c r="H2026" s="1505"/>
      <c r="I2026" s="1382"/>
      <c r="J2026" s="1383"/>
      <c r="K2026" s="1373"/>
      <c r="L2026" s="1413"/>
      <c r="M2026" s="1505"/>
      <c r="N2026" s="1505"/>
      <c r="O2026" s="1376"/>
      <c r="P2026" s="1413"/>
      <c r="Q2026" s="3387"/>
      <c r="R2026" s="3363"/>
      <c r="S2026" s="17"/>
      <c r="T2026" s="17"/>
      <c r="U2026" s="16"/>
      <c r="V2026" s="16"/>
    </row>
    <row r="2027" spans="1:22">
      <c r="B2027" s="553"/>
      <c r="C2027" s="1042"/>
      <c r="D2027" s="1411"/>
      <c r="E2027" s="2123"/>
      <c r="F2027" s="1475"/>
      <c r="G2027" s="1475"/>
      <c r="H2027" s="1376"/>
      <c r="I2027" s="198"/>
      <c r="J2027" s="6"/>
      <c r="K2027" s="1307"/>
      <c r="L2027" s="1335"/>
      <c r="M2027" s="1499"/>
      <c r="N2027" s="1701"/>
      <c r="O2027" s="1290"/>
      <c r="P2027" s="1332"/>
      <c r="Q2027" s="3391"/>
      <c r="R2027" s="3363"/>
      <c r="S2027" s="16"/>
      <c r="T2027" s="16"/>
      <c r="U2027" s="16"/>
      <c r="V2027" s="16"/>
    </row>
    <row r="2028" spans="1:22">
      <c r="B2028" s="553"/>
      <c r="C2028" s="1042"/>
      <c r="D2028" s="1412"/>
      <c r="E2028" s="2124"/>
      <c r="F2028" s="1377"/>
      <c r="G2028" s="1377"/>
      <c r="H2028" s="1597"/>
      <c r="I2028" s="198"/>
      <c r="J2028" s="6"/>
      <c r="K2028" s="1306"/>
      <c r="L2028" s="1646"/>
      <c r="M2028" s="1302"/>
      <c r="N2028" s="1302"/>
      <c r="O2028" s="1291"/>
      <c r="P2028" s="1332"/>
      <c r="Q2028" s="3391"/>
      <c r="R2028" s="2337"/>
      <c r="S2028" s="16"/>
      <c r="T2028" s="16"/>
      <c r="U2028" s="16"/>
      <c r="V2028" s="16"/>
    </row>
    <row r="2029" spans="1:22">
      <c r="B2029" s="554"/>
      <c r="C2029" s="223"/>
      <c r="D2029" s="1808"/>
      <c r="E2029" s="2132"/>
      <c r="F2029" s="1804"/>
      <c r="G2029" s="1804"/>
      <c r="H2029" s="1805"/>
      <c r="I2029" s="197"/>
      <c r="J2029" s="1806"/>
      <c r="K2029" s="1307"/>
      <c r="L2029" s="1335"/>
      <c r="M2029" s="1701"/>
      <c r="N2029" s="1701"/>
      <c r="O2029" s="1290"/>
      <c r="P2029" s="1333"/>
      <c r="Q2029" s="3391"/>
      <c r="R2029" s="3363"/>
      <c r="S2029" s="16"/>
      <c r="T2029" s="16"/>
      <c r="U2029" s="16"/>
      <c r="V2029" s="16"/>
    </row>
    <row r="2030" spans="1:22" ht="15" customHeight="1">
      <c r="A2030" s="19" t="s">
        <v>3764</v>
      </c>
      <c r="B2030" s="4325" t="s">
        <v>2792</v>
      </c>
      <c r="C2030" s="3350"/>
      <c r="D2030" s="4327"/>
      <c r="E2030" s="4329" t="s">
        <v>1507</v>
      </c>
      <c r="F2030" s="4336" t="s">
        <v>2793</v>
      </c>
      <c r="G2030" s="4331" t="s">
        <v>1568</v>
      </c>
      <c r="H2030" s="4331" t="s">
        <v>1574</v>
      </c>
      <c r="I2030" s="1572" t="s">
        <v>1559</v>
      </c>
      <c r="J2030" s="1294" t="s">
        <v>1560</v>
      </c>
      <c r="K2030" s="1294" t="s">
        <v>1569</v>
      </c>
      <c r="L2030" s="4333" t="s">
        <v>3765</v>
      </c>
      <c r="M2030" s="4335" t="s">
        <v>1571</v>
      </c>
      <c r="N2030" s="4323" t="s">
        <v>1776</v>
      </c>
      <c r="O2030" s="3347" t="s">
        <v>1563</v>
      </c>
      <c r="P2030" s="1336" t="s">
        <v>1562</v>
      </c>
      <c r="Q2030" s="3389"/>
      <c r="R2030" s="1699" t="s">
        <v>1327</v>
      </c>
      <c r="S2030" s="16"/>
      <c r="T2030" s="16"/>
      <c r="U2030" s="16"/>
      <c r="V2030" s="16"/>
    </row>
    <row r="2031" spans="1:22">
      <c r="A2031" s="1660" t="s">
        <v>1865</v>
      </c>
      <c r="B2031" s="4326"/>
      <c r="C2031" s="3351"/>
      <c r="D2031" s="4328"/>
      <c r="E2031" s="4330"/>
      <c r="F2031" s="4336"/>
      <c r="G2031" s="4332"/>
      <c r="H2031" s="4332"/>
      <c r="I2031" s="1345">
        <v>277.56</v>
      </c>
      <c r="J2031" s="1307">
        <v>2E-3</v>
      </c>
      <c r="K2031" s="1307">
        <f>I2031*J2031</f>
        <v>0.55512000000000006</v>
      </c>
      <c r="L2031" s="4334"/>
      <c r="M2031" s="4335"/>
      <c r="N2031" s="4324"/>
      <c r="O2031" s="1298">
        <f>SUM(O2033:O2047)</f>
        <v>13.77628</v>
      </c>
      <c r="P2031" s="1337">
        <f>O2031*K2031</f>
        <v>7.6474885536000006</v>
      </c>
      <c r="Q2031" s="3390"/>
      <c r="R2031" s="1721">
        <f>SUM(P2033:P2047)</f>
        <v>7.6474885536000006</v>
      </c>
      <c r="S2031" s="16"/>
      <c r="T2031" s="16"/>
      <c r="U2031" s="16"/>
      <c r="V2031" s="16"/>
    </row>
    <row r="2032" spans="1:22">
      <c r="B2032" s="551"/>
      <c r="C2032" s="18"/>
      <c r="D2032" s="1400"/>
      <c r="E2032" s="2121"/>
      <c r="F2032" s="1368" t="s">
        <v>1</v>
      </c>
      <c r="G2032" s="1417"/>
      <c r="H2032" s="1390"/>
      <c r="I2032" s="1554"/>
      <c r="J2032" s="1367"/>
      <c r="K2032" s="1367"/>
      <c r="L2032" s="1554"/>
      <c r="M2032" s="1369"/>
      <c r="N2032" s="1369"/>
      <c r="O2032" s="1369"/>
      <c r="P2032" s="1367"/>
      <c r="Q2032" s="3387"/>
      <c r="R2032" s="3363"/>
      <c r="S2032" s="16"/>
      <c r="T2032" s="16"/>
      <c r="U2032" s="16"/>
      <c r="V2032" s="16"/>
    </row>
    <row r="2033" spans="1:22">
      <c r="B2033" s="553"/>
      <c r="C2033" s="1042"/>
      <c r="D2033" s="1400" t="s">
        <v>2794</v>
      </c>
      <c r="E2033" s="1856" t="s">
        <v>1504</v>
      </c>
      <c r="F2033" s="1421" t="s">
        <v>2795</v>
      </c>
      <c r="G2033" s="1399">
        <v>0.72</v>
      </c>
      <c r="H2033" s="1399"/>
      <c r="I2033" s="1760"/>
      <c r="J2033" s="198"/>
      <c r="K2033" s="1307">
        <f>G2033*K2031</f>
        <v>0.39968640000000005</v>
      </c>
      <c r="L2033" s="1335">
        <f>K2033*$K$1987</f>
        <v>0</v>
      </c>
      <c r="M2033" s="1499">
        <v>7.1</v>
      </c>
      <c r="N2033" s="1701"/>
      <c r="O2033" s="1290">
        <f>(G2033*M2033)</f>
        <v>5.1119999999999992</v>
      </c>
      <c r="P2033" s="1332">
        <f>M2033*K2033</f>
        <v>2.8377734400000003</v>
      </c>
      <c r="Q2033" s="3391"/>
      <c r="R2033" s="3363"/>
      <c r="S2033" s="16"/>
      <c r="T2033" s="16"/>
      <c r="U2033" s="16"/>
      <c r="V2033" s="16"/>
    </row>
    <row r="2034" spans="1:22">
      <c r="B2034" s="553"/>
      <c r="C2034" s="1042"/>
      <c r="D2034" s="1400" t="s">
        <v>2796</v>
      </c>
      <c r="E2034" s="1856" t="s">
        <v>1517</v>
      </c>
      <c r="F2034" s="1421" t="s">
        <v>2797</v>
      </c>
      <c r="G2034" s="1399">
        <v>1.2E-2</v>
      </c>
      <c r="H2034" s="1399"/>
      <c r="I2034" s="1760"/>
      <c r="J2034" s="198"/>
      <c r="K2034" s="1307">
        <f>G2034*K2031</f>
        <v>6.6614400000000011E-3</v>
      </c>
      <c r="L2034" s="1335">
        <f>K2034*$K$1987</f>
        <v>0</v>
      </c>
      <c r="M2034" s="1499">
        <v>225.64</v>
      </c>
      <c r="N2034" s="1701"/>
      <c r="O2034" s="1290">
        <f>(G2034*M2034)</f>
        <v>2.7076799999999999</v>
      </c>
      <c r="P2034" s="1332">
        <f>M2034*K2034</f>
        <v>1.5030873216000002</v>
      </c>
      <c r="Q2034" s="3391"/>
      <c r="R2034" s="3363"/>
      <c r="S2034" s="16"/>
      <c r="T2034" s="16"/>
      <c r="U2034" s="16"/>
      <c r="V2034" s="16"/>
    </row>
    <row r="2035" spans="1:22">
      <c r="B2035" s="553"/>
      <c r="C2035" s="1042"/>
      <c r="D2035" s="1400" t="s">
        <v>1097</v>
      </c>
      <c r="E2035" s="1856" t="s">
        <v>1504</v>
      </c>
      <c r="F2035" s="1421" t="s">
        <v>1632</v>
      </c>
      <c r="G2035" s="1399">
        <v>1</v>
      </c>
      <c r="H2035" s="1399"/>
      <c r="I2035" s="1760"/>
      <c r="J2035" s="198"/>
      <c r="K2035" s="1307">
        <f>G2035*K2031</f>
        <v>0.55512000000000006</v>
      </c>
      <c r="L2035" s="1335">
        <f>K2035*$K$1987</f>
        <v>0</v>
      </c>
      <c r="M2035" s="1499">
        <v>0.55000000000000004</v>
      </c>
      <c r="N2035" s="1701"/>
      <c r="O2035" s="1290">
        <f>(G2035*M2035)</f>
        <v>0.55000000000000004</v>
      </c>
      <c r="P2035" s="1332">
        <f>M2035*K2035</f>
        <v>0.30531600000000003</v>
      </c>
      <c r="Q2035" s="3391"/>
      <c r="R2035" s="3363"/>
      <c r="S2035" s="16"/>
      <c r="T2035" s="16"/>
      <c r="U2035" s="16"/>
      <c r="V2035" s="16"/>
    </row>
    <row r="2036" spans="1:22">
      <c r="B2036" s="553"/>
      <c r="C2036" s="1042"/>
      <c r="D2036" s="1400" t="s">
        <v>1082</v>
      </c>
      <c r="E2036" s="1856" t="s">
        <v>1504</v>
      </c>
      <c r="F2036" s="1421" t="s">
        <v>1541</v>
      </c>
      <c r="G2036" s="1399">
        <v>1</v>
      </c>
      <c r="H2036" s="1399"/>
      <c r="I2036" s="1760"/>
      <c r="J2036" s="198"/>
      <c r="K2036" s="1307">
        <f>G2036*K2031</f>
        <v>0.55512000000000006</v>
      </c>
      <c r="L2036" s="1335">
        <f>K2036*$K$1987</f>
        <v>0</v>
      </c>
      <c r="M2036" s="1499">
        <v>0.3</v>
      </c>
      <c r="N2036" s="1701"/>
      <c r="O2036" s="1290">
        <f>(G2036*M2036)</f>
        <v>0.3</v>
      </c>
      <c r="P2036" s="1332">
        <f>M2036*K2036</f>
        <v>0.16653600000000002</v>
      </c>
      <c r="Q2036" s="3391"/>
      <c r="R2036" s="3363"/>
      <c r="S2036" s="16"/>
      <c r="T2036" s="16"/>
      <c r="U2036" s="16"/>
      <c r="V2036" s="16"/>
    </row>
    <row r="2037" spans="1:22">
      <c r="B2037" s="553"/>
      <c r="C2037" s="1042"/>
      <c r="D2037" s="1400"/>
      <c r="E2037" s="1856"/>
      <c r="F2037" s="1421"/>
      <c r="G2037" s="1399"/>
      <c r="H2037" s="1399"/>
      <c r="I2037" s="1760"/>
      <c r="J2037" s="198"/>
      <c r="K2037" s="1307"/>
      <c r="L2037" s="1335"/>
      <c r="M2037" s="1499"/>
      <c r="N2037" s="1701"/>
      <c r="O2037" s="1290"/>
      <c r="P2037" s="1332"/>
      <c r="Q2037" s="3391"/>
      <c r="R2037" s="3363"/>
      <c r="S2037" s="16"/>
      <c r="T2037" s="16"/>
      <c r="U2037" s="16"/>
      <c r="V2037" s="16"/>
    </row>
    <row r="2038" spans="1:22">
      <c r="B2038" s="553"/>
      <c r="C2038" s="1042"/>
      <c r="D2038" s="1400"/>
      <c r="E2038" s="1856"/>
      <c r="F2038" s="1421"/>
      <c r="G2038" s="1399"/>
      <c r="H2038" s="1399"/>
      <c r="I2038" s="1760"/>
      <c r="J2038" s="198"/>
      <c r="K2038" s="1307"/>
      <c r="L2038" s="1335"/>
      <c r="M2038" s="1499"/>
      <c r="N2038" s="1701"/>
      <c r="O2038" s="1290"/>
      <c r="P2038" s="1332"/>
      <c r="Q2038" s="3391"/>
      <c r="R2038" s="3363"/>
      <c r="S2038" s="16"/>
      <c r="T2038" s="16"/>
      <c r="U2038" s="16"/>
      <c r="V2038" s="16"/>
    </row>
    <row r="2039" spans="1:22">
      <c r="B2039" s="553"/>
      <c r="C2039" s="1042"/>
      <c r="D2039" s="1400"/>
      <c r="E2039" s="1856"/>
      <c r="F2039" s="1421"/>
      <c r="G2039" s="1452"/>
      <c r="H2039" s="1399"/>
      <c r="I2039" s="197"/>
      <c r="J2039" s="198"/>
      <c r="K2039" s="1307"/>
      <c r="L2039" s="1335"/>
      <c r="M2039" s="1499"/>
      <c r="N2039" s="1701"/>
      <c r="O2039" s="1290"/>
      <c r="P2039" s="1332"/>
      <c r="Q2039" s="3391"/>
      <c r="R2039" s="3363"/>
      <c r="S2039" s="16"/>
      <c r="T2039" s="16"/>
      <c r="U2039" s="16"/>
      <c r="V2039" s="16"/>
    </row>
    <row r="2040" spans="1:22">
      <c r="B2040" s="553"/>
      <c r="C2040" s="1042"/>
      <c r="D2040" s="1410"/>
      <c r="E2040" s="1858"/>
      <c r="F2040" s="1360" t="s">
        <v>2</v>
      </c>
      <c r="G2040" s="1360"/>
      <c r="H2040" s="1362"/>
      <c r="I2040" s="1380"/>
      <c r="J2040" s="1381"/>
      <c r="K2040" s="1359"/>
      <c r="L2040" s="1458"/>
      <c r="M2040" s="1502"/>
      <c r="N2040" s="1502"/>
      <c r="O2040" s="1362"/>
      <c r="P2040" s="1359"/>
      <c r="Q2040" s="3387"/>
      <c r="R2040" s="3363"/>
      <c r="S2040" s="16"/>
      <c r="T2040" s="16"/>
      <c r="U2040" s="16"/>
      <c r="V2040" s="16"/>
    </row>
    <row r="2041" spans="1:22">
      <c r="B2041" s="553"/>
      <c r="C2041" s="1042"/>
      <c r="D2041" s="1364" t="s">
        <v>1121</v>
      </c>
      <c r="E2041" s="2148" t="s">
        <v>1508</v>
      </c>
      <c r="F2041" s="1473" t="s">
        <v>1663</v>
      </c>
      <c r="G2041" s="1365">
        <v>0.18</v>
      </c>
      <c r="H2041" s="1365"/>
      <c r="I2041" s="198"/>
      <c r="J2041" s="6"/>
      <c r="K2041" s="1307">
        <f>G2041*K2031</f>
        <v>9.9921600000000013E-2</v>
      </c>
      <c r="L2041" s="1335">
        <f>K2041*$K$1987</f>
        <v>0</v>
      </c>
      <c r="M2041" s="1499">
        <v>19.23</v>
      </c>
      <c r="N2041" s="1701"/>
      <c r="O2041" s="1290">
        <f>(G2041*M2041)</f>
        <v>3.4613999999999998</v>
      </c>
      <c r="P2041" s="1332">
        <f>M2041*K2041</f>
        <v>1.9214923680000002</v>
      </c>
      <c r="Q2041" s="3391"/>
      <c r="R2041" s="3363"/>
      <c r="S2041" s="16"/>
      <c r="T2041" s="16"/>
      <c r="U2041" s="16"/>
      <c r="V2041" s="16"/>
    </row>
    <row r="2042" spans="1:22">
      <c r="B2042" s="553"/>
      <c r="C2042" s="1042"/>
      <c r="D2042" s="1623" t="s">
        <v>1067</v>
      </c>
      <c r="E2042" s="2158" t="s">
        <v>1508</v>
      </c>
      <c r="F2042" s="1801" t="s">
        <v>1512</v>
      </c>
      <c r="G2042" s="1359">
        <v>0.09</v>
      </c>
      <c r="H2042" s="1803"/>
      <c r="I2042" s="198"/>
      <c r="J2042" s="6"/>
      <c r="K2042" s="1307">
        <f>G2042*K2031</f>
        <v>4.9960800000000007E-2</v>
      </c>
      <c r="L2042" s="1335">
        <f>K2042*$K$1987</f>
        <v>0</v>
      </c>
      <c r="M2042" s="1499">
        <v>18.28</v>
      </c>
      <c r="N2042" s="1701"/>
      <c r="O2042" s="1290">
        <f>(G2042*M2042)</f>
        <v>1.6452</v>
      </c>
      <c r="P2042" s="1332">
        <f>M2042*K2042</f>
        <v>0.91328342400000018</v>
      </c>
      <c r="Q2042" s="3391"/>
      <c r="R2042" s="3363"/>
      <c r="S2042" s="16"/>
      <c r="T2042" s="16"/>
      <c r="U2042" s="16"/>
      <c r="V2042" s="16"/>
    </row>
    <row r="2043" spans="1:22">
      <c r="B2043" s="553"/>
      <c r="C2043" s="1042"/>
      <c r="D2043" s="1623"/>
      <c r="E2043" s="2158"/>
      <c r="F2043" s="1801"/>
      <c r="G2043" s="1359"/>
      <c r="H2043" s="1803"/>
      <c r="I2043" s="198"/>
      <c r="J2043" s="6"/>
      <c r="K2043" s="1307"/>
      <c r="L2043" s="1335"/>
      <c r="M2043" s="1499"/>
      <c r="N2043" s="1701"/>
      <c r="O2043" s="1290"/>
      <c r="P2043" s="1332"/>
      <c r="Q2043" s="3391"/>
      <c r="R2043" s="3363"/>
      <c r="S2043" s="16"/>
      <c r="T2043" s="16"/>
      <c r="U2043" s="16"/>
      <c r="V2043" s="16"/>
    </row>
    <row r="2044" spans="1:22">
      <c r="B2044" s="553"/>
      <c r="C2044" s="1042"/>
      <c r="D2044" s="1411"/>
      <c r="E2044" s="2123"/>
      <c r="F2044" s="1802" t="s">
        <v>3</v>
      </c>
      <c r="G2044" s="1475"/>
      <c r="H2044" s="1505"/>
      <c r="I2044" s="1382"/>
      <c r="J2044" s="1383"/>
      <c r="K2044" s="1373"/>
      <c r="L2044" s="1413"/>
      <c r="M2044" s="1505"/>
      <c r="N2044" s="1505"/>
      <c r="O2044" s="1376"/>
      <c r="P2044" s="1413"/>
      <c r="Q2044" s="3387"/>
      <c r="R2044" s="3363"/>
      <c r="S2044" s="16"/>
      <c r="T2044" s="16"/>
      <c r="U2044" s="16"/>
      <c r="V2044" s="16"/>
    </row>
    <row r="2045" spans="1:22">
      <c r="B2045" s="553"/>
      <c r="C2045" s="1042"/>
      <c r="D2045" s="1411"/>
      <c r="E2045" s="2123"/>
      <c r="F2045" s="1475"/>
      <c r="G2045" s="1475"/>
      <c r="H2045" s="1376"/>
      <c r="I2045" s="198"/>
      <c r="J2045" s="6"/>
      <c r="K2045" s="1307"/>
      <c r="L2045" s="1335"/>
      <c r="M2045" s="1499"/>
      <c r="N2045" s="1701"/>
      <c r="O2045" s="1290"/>
      <c r="P2045" s="1332"/>
      <c r="Q2045" s="3391"/>
      <c r="R2045" s="3363"/>
      <c r="S2045" s="16"/>
      <c r="T2045" s="16"/>
      <c r="U2045" s="16"/>
      <c r="V2045" s="16"/>
    </row>
    <row r="2046" spans="1:22">
      <c r="B2046" s="553"/>
      <c r="C2046" s="1042"/>
      <c r="D2046" s="1412"/>
      <c r="E2046" s="2124"/>
      <c r="F2046" s="1377"/>
      <c r="G2046" s="1377"/>
      <c r="H2046" s="1597"/>
      <c r="I2046" s="198"/>
      <c r="J2046" s="6"/>
      <c r="K2046" s="1306"/>
      <c r="L2046" s="1646"/>
      <c r="M2046" s="1302"/>
      <c r="N2046" s="1302"/>
      <c r="O2046" s="1291"/>
      <c r="P2046" s="1332"/>
      <c r="Q2046" s="3391"/>
      <c r="R2046" s="2337"/>
      <c r="S2046" s="16"/>
      <c r="T2046" s="16"/>
      <c r="U2046" s="16"/>
      <c r="V2046" s="16"/>
    </row>
    <row r="2047" spans="1:22">
      <c r="B2047" s="554"/>
      <c r="C2047" s="223"/>
      <c r="D2047" s="1808"/>
      <c r="E2047" s="2132"/>
      <c r="F2047" s="1804"/>
      <c r="G2047" s="1804"/>
      <c r="H2047" s="1805"/>
      <c r="I2047" s="197"/>
      <c r="J2047" s="1806"/>
      <c r="K2047" s="1307"/>
      <c r="L2047" s="1335"/>
      <c r="M2047" s="1701"/>
      <c r="N2047" s="1701"/>
      <c r="O2047" s="1290"/>
      <c r="P2047" s="1333"/>
      <c r="Q2047" s="3391"/>
      <c r="R2047" s="3363"/>
      <c r="S2047" s="16"/>
      <c r="T2047" s="16"/>
      <c r="U2047" s="16"/>
      <c r="V2047" s="16"/>
    </row>
    <row r="2048" spans="1:22" ht="15" customHeight="1">
      <c r="A2048" s="19" t="s">
        <v>3764</v>
      </c>
      <c r="B2048" s="4325" t="s">
        <v>1815</v>
      </c>
      <c r="C2048" s="3350"/>
      <c r="D2048" s="4327"/>
      <c r="E2048" s="4329" t="s">
        <v>1527</v>
      </c>
      <c r="F2048" s="4336" t="s">
        <v>1816</v>
      </c>
      <c r="G2048" s="4331" t="s">
        <v>1568</v>
      </c>
      <c r="H2048" s="4331" t="s">
        <v>1574</v>
      </c>
      <c r="I2048" s="1572" t="s">
        <v>1559</v>
      </c>
      <c r="J2048" s="1294" t="s">
        <v>1560</v>
      </c>
      <c r="K2048" s="1294" t="s">
        <v>1569</v>
      </c>
      <c r="L2048" s="4333" t="s">
        <v>3765</v>
      </c>
      <c r="M2048" s="4335" t="s">
        <v>1571</v>
      </c>
      <c r="N2048" s="4323" t="s">
        <v>1776</v>
      </c>
      <c r="O2048" s="3347" t="s">
        <v>1563</v>
      </c>
      <c r="P2048" s="1336" t="s">
        <v>1562</v>
      </c>
      <c r="Q2048" s="3389"/>
      <c r="R2048" s="1699" t="s">
        <v>1327</v>
      </c>
      <c r="S2048" s="16"/>
      <c r="T2048" s="16"/>
      <c r="U2048" s="16"/>
      <c r="V2048" s="16"/>
    </row>
    <row r="2049" spans="1:22">
      <c r="A2049" s="1660" t="s">
        <v>1865</v>
      </c>
      <c r="B2049" s="4326"/>
      <c r="C2049" s="3351"/>
      <c r="D2049" s="4328"/>
      <c r="E2049" s="4330"/>
      <c r="F2049" s="4336"/>
      <c r="G2049" s="4332"/>
      <c r="H2049" s="4332"/>
      <c r="I2049" s="1345">
        <v>420.09</v>
      </c>
      <c r="J2049" s="1307">
        <v>2E-3</v>
      </c>
      <c r="K2049" s="1307">
        <f>I2049*J2049</f>
        <v>0.84017999999999993</v>
      </c>
      <c r="L2049" s="4334"/>
      <c r="M2049" s="4335"/>
      <c r="N2049" s="4324"/>
      <c r="O2049" s="1298">
        <f>O2051+O2052+O2053+O2061+O2062+O2066</f>
        <v>54.830050300000003</v>
      </c>
      <c r="P2049" s="1337">
        <f>O2049*K2049</f>
        <v>46.067111661054</v>
      </c>
      <c r="Q2049" s="3390"/>
      <c r="R2049" s="1721">
        <f>P2051+P2052+P2053+P2061+P2062+P2066</f>
        <v>46.067111661054</v>
      </c>
      <c r="S2049" s="16"/>
      <c r="T2049" s="16"/>
      <c r="U2049" s="16"/>
      <c r="V2049" s="16"/>
    </row>
    <row r="2050" spans="1:22">
      <c r="B2050" s="551"/>
      <c r="C2050" s="18"/>
      <c r="D2050" s="1400"/>
      <c r="E2050" s="2121"/>
      <c r="F2050" s="1368" t="s">
        <v>1</v>
      </c>
      <c r="G2050" s="1417"/>
      <c r="H2050" s="1390"/>
      <c r="I2050" s="1554"/>
      <c r="J2050" s="1367"/>
      <c r="K2050" s="1367"/>
      <c r="L2050" s="1554"/>
      <c r="M2050" s="1369"/>
      <c r="N2050" s="1369"/>
      <c r="O2050" s="1369"/>
      <c r="P2050" s="1367"/>
      <c r="Q2050" s="3387"/>
      <c r="R2050" s="3363"/>
      <c r="S2050" s="16"/>
      <c r="T2050" s="16"/>
      <c r="U2050" s="16"/>
      <c r="V2050" s="16"/>
    </row>
    <row r="2051" spans="1:22">
      <c r="B2051" s="553"/>
      <c r="C2051" s="1042"/>
      <c r="D2051" s="1400" t="s">
        <v>1817</v>
      </c>
      <c r="E2051" s="1856" t="s">
        <v>1521</v>
      </c>
      <c r="F2051" s="1421" t="s">
        <v>1785</v>
      </c>
      <c r="G2051" s="1399">
        <v>1.2E-2</v>
      </c>
      <c r="H2051" s="1400"/>
      <c r="I2051" s="27"/>
      <c r="J2051" s="10"/>
      <c r="K2051" s="1307">
        <f>G2051*$K$2049</f>
        <v>1.008216E-2</v>
      </c>
      <c r="L2051" s="1335">
        <f>K2051*$K$1987</f>
        <v>0</v>
      </c>
      <c r="M2051" s="1499">
        <v>236.83</v>
      </c>
      <c r="N2051" s="1701"/>
      <c r="O2051" s="1290">
        <f>(G2051*M2051)</f>
        <v>2.8419600000000003</v>
      </c>
      <c r="P2051" s="1332">
        <f>M2051*K2051</f>
        <v>2.3877579527999999</v>
      </c>
      <c r="Q2051" s="3391"/>
      <c r="R2051" s="3363"/>
      <c r="S2051" s="16"/>
      <c r="T2051" s="16"/>
      <c r="U2051" s="16"/>
      <c r="V2051" s="16"/>
    </row>
    <row r="2052" spans="1:22">
      <c r="B2052" s="553"/>
      <c r="C2052" s="1042"/>
      <c r="D2052" s="1400" t="s">
        <v>1786</v>
      </c>
      <c r="E2052" s="1856" t="s">
        <v>1787</v>
      </c>
      <c r="F2052" s="1421" t="s">
        <v>1788</v>
      </c>
      <c r="G2052" s="1399">
        <v>0.45</v>
      </c>
      <c r="H2052" s="1400"/>
      <c r="I2052" s="1760"/>
      <c r="J2052" s="198"/>
      <c r="K2052" s="1307">
        <f>G2052*$K$2049</f>
        <v>0.378081</v>
      </c>
      <c r="L2052" s="1335">
        <f>K2052*$K$1987</f>
        <v>0</v>
      </c>
      <c r="M2052" s="1499">
        <v>1.54</v>
      </c>
      <c r="N2052" s="1701"/>
      <c r="O2052" s="1290">
        <f>(G2052*M2052)</f>
        <v>0.69300000000000006</v>
      </c>
      <c r="P2052" s="1332">
        <f>M2052*K2052</f>
        <v>0.58224474000000004</v>
      </c>
      <c r="Q2052" s="3391"/>
      <c r="R2052" s="3363"/>
      <c r="S2052" s="16"/>
      <c r="T2052" s="16"/>
      <c r="U2052" s="16"/>
      <c r="V2052" s="16"/>
    </row>
    <row r="2053" spans="1:22">
      <c r="B2053" s="553"/>
      <c r="C2053" s="1356" t="s">
        <v>1790</v>
      </c>
      <c r="D2053" s="1311"/>
      <c r="E2053" s="2137" t="s">
        <v>1517</v>
      </c>
      <c r="F2053" s="1343" t="s">
        <v>1791</v>
      </c>
      <c r="G2053" s="1344"/>
      <c r="H2053" s="1344">
        <v>3.5000000000000003E-2</v>
      </c>
      <c r="I2053" s="1444"/>
      <c r="J2053" s="1388"/>
      <c r="K2053" s="1445"/>
      <c r="L2053" s="1457"/>
      <c r="M2053" s="1446"/>
      <c r="N2053" s="1447">
        <f>SUM(N2054:N2058)</f>
        <v>76.906580000000005</v>
      </c>
      <c r="O2053" s="1447">
        <f>SUM(O2054:O2058)</f>
        <v>2.6917303000000006</v>
      </c>
      <c r="P2053" s="1447">
        <f>SUM(P2054:P2058)</f>
        <v>2.2615379634539998</v>
      </c>
      <c r="Q2053" s="3391"/>
      <c r="R2053" s="3363"/>
      <c r="S2053" s="16"/>
      <c r="T2053" s="16"/>
      <c r="U2053" s="16"/>
      <c r="V2053" s="16"/>
    </row>
    <row r="2054" spans="1:22">
      <c r="B2054" s="553"/>
      <c r="C2054" s="1327"/>
      <c r="D2054" s="1756" t="s">
        <v>1069</v>
      </c>
      <c r="E2054" s="1852" t="s">
        <v>1517</v>
      </c>
      <c r="F2054" s="1784" t="s">
        <v>1578</v>
      </c>
      <c r="G2054" s="1399">
        <v>0.2</v>
      </c>
      <c r="H2054" s="1399">
        <f>G2054*$H$2053</f>
        <v>7.000000000000001E-3</v>
      </c>
      <c r="I2054" s="197"/>
      <c r="J2054" s="198"/>
      <c r="K2054" s="1307">
        <f>H2054*$K$2049</f>
        <v>5.8812600000000001E-3</v>
      </c>
      <c r="L2054" s="1335">
        <f>K2054*$K$1987</f>
        <v>0</v>
      </c>
      <c r="M2054" s="1499">
        <v>0.55000000000000004</v>
      </c>
      <c r="N2054" s="1718">
        <f>G2054*M2054</f>
        <v>0.11000000000000001</v>
      </c>
      <c r="O2054" s="1719">
        <f>H2054*M2054</f>
        <v>3.850000000000001E-3</v>
      </c>
      <c r="P2054" s="1720">
        <f>M2054*K2054</f>
        <v>3.2346930000000003E-3</v>
      </c>
      <c r="Q2054" s="3396"/>
      <c r="R2054" s="3363"/>
      <c r="S2054" s="16"/>
      <c r="T2054" s="16"/>
      <c r="U2054" s="16"/>
      <c r="V2054" s="16"/>
    </row>
    <row r="2055" spans="1:22">
      <c r="B2055" s="553"/>
      <c r="C2055" s="1320"/>
      <c r="D2055" s="1756" t="s">
        <v>1792</v>
      </c>
      <c r="E2055" s="1852" t="s">
        <v>1577</v>
      </c>
      <c r="F2055" s="1752" t="s">
        <v>1793</v>
      </c>
      <c r="G2055" s="1399">
        <v>0.25</v>
      </c>
      <c r="H2055" s="1399">
        <f>G2055*$H$2053</f>
        <v>8.7500000000000008E-3</v>
      </c>
      <c r="I2055" s="197"/>
      <c r="J2055" s="198"/>
      <c r="K2055" s="1307">
        <f>H2055*$K$2049</f>
        <v>7.351575E-3</v>
      </c>
      <c r="L2055" s="1335">
        <f>K2055*$K$1987</f>
        <v>0</v>
      </c>
      <c r="M2055" s="1499">
        <v>85.09</v>
      </c>
      <c r="N2055" s="1718">
        <f>G2055*M2055</f>
        <v>21.272500000000001</v>
      </c>
      <c r="O2055" s="1719">
        <f>H2055*M2055</f>
        <v>0.74453750000000007</v>
      </c>
      <c r="P2055" s="1720">
        <f>M2055*K2055</f>
        <v>0.62554551675000003</v>
      </c>
      <c r="Q2055" s="3396"/>
      <c r="R2055" s="3363"/>
      <c r="S2055" s="16"/>
      <c r="T2055" s="16"/>
      <c r="U2055" s="16"/>
      <c r="V2055" s="16"/>
    </row>
    <row r="2056" spans="1:22">
      <c r="B2056" s="553"/>
      <c r="C2056" s="1320"/>
      <c r="D2056" s="1756" t="s">
        <v>1394</v>
      </c>
      <c r="E2056" s="1852" t="s">
        <v>1577</v>
      </c>
      <c r="F2056" s="1752" t="s">
        <v>1579</v>
      </c>
      <c r="G2056" s="1399">
        <v>0.25</v>
      </c>
      <c r="H2056" s="1399">
        <f>G2056*$H$2053</f>
        <v>8.7500000000000008E-3</v>
      </c>
      <c r="I2056" s="197"/>
      <c r="J2056" s="198"/>
      <c r="K2056" s="1307">
        <f>H2056*$K$2049</f>
        <v>7.351575E-3</v>
      </c>
      <c r="L2056" s="1335">
        <f>K2056*$K$1987</f>
        <v>0</v>
      </c>
      <c r="M2056" s="1499">
        <v>92.54</v>
      </c>
      <c r="N2056" s="1718">
        <f>G2056*M2056</f>
        <v>23.135000000000002</v>
      </c>
      <c r="O2056" s="1719">
        <f>H2056*M2056</f>
        <v>0.80972500000000014</v>
      </c>
      <c r="P2056" s="1720">
        <f>M2056*K2056</f>
        <v>0.68031475050000001</v>
      </c>
      <c r="Q2056" s="3396"/>
      <c r="R2056" s="3363"/>
      <c r="S2056" s="16"/>
      <c r="T2056" s="16"/>
      <c r="U2056" s="16"/>
      <c r="V2056" s="16"/>
    </row>
    <row r="2057" spans="1:22">
      <c r="B2057" s="553"/>
      <c r="C2057" s="1320"/>
      <c r="D2057" s="1756" t="s">
        <v>1576</v>
      </c>
      <c r="E2057" s="1852" t="s">
        <v>1517</v>
      </c>
      <c r="F2057" s="1752" t="s">
        <v>1580</v>
      </c>
      <c r="G2057" s="1399">
        <v>1.5</v>
      </c>
      <c r="H2057" s="1399">
        <f>G2057*$H$2053</f>
        <v>5.2500000000000005E-2</v>
      </c>
      <c r="I2057" s="197"/>
      <c r="J2057" s="198"/>
      <c r="K2057" s="1307">
        <f>H2057*$K$2049</f>
        <v>4.4109450000000001E-2</v>
      </c>
      <c r="L2057" s="1335">
        <f>K2057*$K$1987</f>
        <v>0</v>
      </c>
      <c r="M2057" s="1499">
        <v>6.53</v>
      </c>
      <c r="N2057" s="1718">
        <f>G2057*M2057</f>
        <v>9.7949999999999999</v>
      </c>
      <c r="O2057" s="1719">
        <f>H2057*M2057</f>
        <v>0.34282500000000005</v>
      </c>
      <c r="P2057" s="1720">
        <f>M2057*K2057</f>
        <v>0.28803470850000001</v>
      </c>
      <c r="Q2057" s="3396"/>
      <c r="R2057" s="3363"/>
      <c r="S2057" s="16"/>
      <c r="T2057" s="16"/>
      <c r="U2057" s="16"/>
      <c r="V2057" s="16"/>
    </row>
    <row r="2058" spans="1:22">
      <c r="B2058" s="553"/>
      <c r="C2058" s="1320"/>
      <c r="D2058" s="1811" t="s">
        <v>1067</v>
      </c>
      <c r="E2058" s="2171" t="s">
        <v>1508</v>
      </c>
      <c r="F2058" s="1754" t="s">
        <v>1512</v>
      </c>
      <c r="G2058" s="1408">
        <v>1.236</v>
      </c>
      <c r="H2058" s="1408">
        <f>G2058*$H$2053</f>
        <v>4.3260000000000007E-2</v>
      </c>
      <c r="I2058" s="197"/>
      <c r="J2058" s="198"/>
      <c r="K2058" s="1307">
        <f>H2058*$K$2049</f>
        <v>3.6346186799999999E-2</v>
      </c>
      <c r="L2058" s="1335">
        <f>K2058*$K$1987</f>
        <v>0</v>
      </c>
      <c r="M2058" s="1499">
        <v>18.28</v>
      </c>
      <c r="N2058" s="1718">
        <f>G2058*M2058</f>
        <v>22.594080000000002</v>
      </c>
      <c r="O2058" s="1719">
        <f>H2058*M2058</f>
        <v>0.79079280000000018</v>
      </c>
      <c r="P2058" s="1720">
        <f>M2058*K2058</f>
        <v>0.66440829470399998</v>
      </c>
      <c r="Q2058" s="3396"/>
      <c r="R2058" s="3363"/>
      <c r="S2058" s="16"/>
      <c r="T2058" s="16"/>
      <c r="U2058" s="16"/>
      <c r="V2058" s="16"/>
    </row>
    <row r="2059" spans="1:22">
      <c r="B2059" s="553"/>
      <c r="C2059" s="1320"/>
      <c r="D2059" s="2257"/>
      <c r="E2059" s="2258"/>
      <c r="F2059" s="2256"/>
      <c r="G2059" s="1399"/>
      <c r="H2059" s="1399"/>
      <c r="I2059" s="197"/>
      <c r="J2059" s="198"/>
      <c r="K2059" s="1307"/>
      <c r="L2059" s="1335"/>
      <c r="M2059" s="1499"/>
      <c r="N2059" s="1724"/>
      <c r="O2059" s="1719"/>
      <c r="P2059" s="1720"/>
      <c r="Q2059" s="3396"/>
      <c r="R2059" s="3363"/>
      <c r="S2059" s="16"/>
      <c r="T2059" s="16"/>
      <c r="U2059" s="16"/>
      <c r="V2059" s="16"/>
    </row>
    <row r="2060" spans="1:22">
      <c r="B2060" s="553"/>
      <c r="C2060" s="1042"/>
      <c r="D2060" s="1410"/>
      <c r="E2060" s="1858"/>
      <c r="F2060" s="1360" t="s">
        <v>2</v>
      </c>
      <c r="G2060" s="1360"/>
      <c r="H2060" s="1362"/>
      <c r="I2060" s="1380"/>
      <c r="J2060" s="1381"/>
      <c r="K2060" s="1359"/>
      <c r="L2060" s="1458"/>
      <c r="M2060" s="1502"/>
      <c r="N2060" s="1502"/>
      <c r="O2060" s="1362"/>
      <c r="P2060" s="1359"/>
      <c r="Q2060" s="3387"/>
      <c r="R2060" s="3363"/>
      <c r="S2060" s="16"/>
      <c r="T2060" s="16"/>
      <c r="U2060" s="16"/>
      <c r="V2060" s="16"/>
    </row>
    <row r="2061" spans="1:22">
      <c r="B2061" s="553"/>
      <c r="C2061" s="1042"/>
      <c r="D2061" s="1655" t="s">
        <v>1806</v>
      </c>
      <c r="E2061" s="1857" t="s">
        <v>1508</v>
      </c>
      <c r="F2061" s="1403" t="s">
        <v>1818</v>
      </c>
      <c r="G2061" s="1365">
        <v>1.28</v>
      </c>
      <c r="H2061" s="1365"/>
      <c r="I2061" s="198"/>
      <c r="J2061" s="6"/>
      <c r="K2061" s="1307">
        <f>G2061*$K$2049</f>
        <v>1.0754303999999999</v>
      </c>
      <c r="L2061" s="1335">
        <f>K2061*$K$1987</f>
        <v>0</v>
      </c>
      <c r="M2061" s="1499">
        <v>19.23</v>
      </c>
      <c r="N2061" s="1701"/>
      <c r="O2061" s="1290">
        <f>(G2061*M2061)</f>
        <v>24.6144</v>
      </c>
      <c r="P2061" s="1332">
        <f>M2061*K2061</f>
        <v>20.680526592</v>
      </c>
      <c r="Q2061" s="3391"/>
      <c r="R2061" s="3363"/>
      <c r="S2061" s="16"/>
      <c r="T2061" s="16"/>
      <c r="U2061" s="16"/>
      <c r="V2061" s="16"/>
    </row>
    <row r="2062" spans="1:22">
      <c r="B2062" s="553"/>
      <c r="C2062" s="1042"/>
      <c r="D2062" s="1364" t="s">
        <v>1067</v>
      </c>
      <c r="E2062" s="2148" t="s">
        <v>1508</v>
      </c>
      <c r="F2062" s="1473" t="s">
        <v>1512</v>
      </c>
      <c r="G2062" s="1365">
        <v>0.58199999999999996</v>
      </c>
      <c r="H2062" s="1365"/>
      <c r="I2062" s="198"/>
      <c r="J2062" s="6"/>
      <c r="K2062" s="1307">
        <f>G2062*$K$2049</f>
        <v>0.48898475999999991</v>
      </c>
      <c r="L2062" s="1335">
        <f>K2062*$K$1987</f>
        <v>0</v>
      </c>
      <c r="M2062" s="1499">
        <v>18.28</v>
      </c>
      <c r="N2062" s="1701"/>
      <c r="O2062" s="1290">
        <f>(G2062*M2062)</f>
        <v>10.638959999999999</v>
      </c>
      <c r="P2062" s="1332">
        <f>M2062*K2062</f>
        <v>8.9386414127999991</v>
      </c>
      <c r="Q2062" s="3391"/>
      <c r="R2062" s="3363"/>
      <c r="S2062" s="16"/>
      <c r="T2062" s="16"/>
      <c r="U2062" s="16"/>
      <c r="V2062" s="16"/>
    </row>
    <row r="2063" spans="1:22">
      <c r="B2063" s="553"/>
      <c r="C2063" s="1042"/>
      <c r="D2063" s="1623"/>
      <c r="E2063" s="2158"/>
      <c r="F2063" s="1801"/>
      <c r="G2063" s="1359"/>
      <c r="H2063" s="1803"/>
      <c r="I2063" s="198"/>
      <c r="J2063" s="6"/>
      <c r="K2063" s="1307"/>
      <c r="L2063" s="1335"/>
      <c r="M2063" s="1499"/>
      <c r="N2063" s="1701"/>
      <c r="O2063" s="1290"/>
      <c r="P2063" s="1332"/>
      <c r="Q2063" s="3391"/>
      <c r="R2063" s="3363"/>
      <c r="S2063" s="16"/>
      <c r="T2063" s="16"/>
      <c r="U2063" s="16"/>
      <c r="V2063" s="16"/>
    </row>
    <row r="2064" spans="1:22">
      <c r="B2064" s="553"/>
      <c r="C2064" s="1042"/>
      <c r="D2064" s="1623"/>
      <c r="E2064" s="2158"/>
      <c r="F2064" s="1801"/>
      <c r="G2064" s="1359"/>
      <c r="H2064" s="1803"/>
      <c r="I2064" s="198"/>
      <c r="J2064" s="6"/>
      <c r="K2064" s="1307"/>
      <c r="L2064" s="1335"/>
      <c r="M2064" s="1499"/>
      <c r="N2064" s="1701"/>
      <c r="O2064" s="1290"/>
      <c r="P2064" s="1332"/>
      <c r="Q2064" s="3391"/>
      <c r="R2064" s="3363"/>
      <c r="S2064" s="16"/>
      <c r="T2064" s="16"/>
      <c r="U2064" s="16"/>
      <c r="V2064" s="16"/>
    </row>
    <row r="2065" spans="1:22">
      <c r="B2065" s="553"/>
      <c r="C2065" s="1042"/>
      <c r="D2065" s="1411"/>
      <c r="E2065" s="2123"/>
      <c r="F2065" s="1802" t="s">
        <v>3</v>
      </c>
      <c r="G2065" s="1475"/>
      <c r="H2065" s="1505"/>
      <c r="I2065" s="1382"/>
      <c r="J2065" s="1383"/>
      <c r="K2065" s="1373"/>
      <c r="L2065" s="1413"/>
      <c r="M2065" s="1505"/>
      <c r="N2065" s="1505"/>
      <c r="O2065" s="1376"/>
      <c r="P2065" s="1413"/>
      <c r="Q2065" s="3387"/>
      <c r="R2065" s="3363"/>
      <c r="S2065" s="16"/>
      <c r="T2065" s="16"/>
      <c r="U2065" s="16"/>
      <c r="V2065" s="16"/>
    </row>
    <row r="2066" spans="1:22">
      <c r="B2066" s="553"/>
      <c r="C2066" s="1042"/>
      <c r="D2066" s="1411" t="s">
        <v>1686</v>
      </c>
      <c r="E2066" s="2123" t="s">
        <v>1803</v>
      </c>
      <c r="F2066" s="1837" t="s">
        <v>1688</v>
      </c>
      <c r="G2066" s="1376">
        <v>1.78</v>
      </c>
      <c r="H2066" s="1376"/>
      <c r="I2066" s="198"/>
      <c r="J2066" s="6"/>
      <c r="K2066" s="1307">
        <f>G2066*$K$2049</f>
        <v>1.4955204</v>
      </c>
      <c r="L2066" s="1335">
        <f>K2066*$K$1987</f>
        <v>0</v>
      </c>
      <c r="M2066" s="1499">
        <v>7.5</v>
      </c>
      <c r="N2066" s="1701"/>
      <c r="O2066" s="1290">
        <f>(G2066*M2066)</f>
        <v>13.35</v>
      </c>
      <c r="P2066" s="1332">
        <f>M2066*K2066</f>
        <v>11.216403</v>
      </c>
      <c r="Q2066" s="3391"/>
      <c r="R2066" s="3363"/>
      <c r="S2066" s="16"/>
      <c r="T2066" s="16"/>
      <c r="U2066" s="16"/>
      <c r="V2066" s="16"/>
    </row>
    <row r="2067" spans="1:22">
      <c r="B2067" s="553"/>
      <c r="C2067" s="1042"/>
      <c r="D2067" s="1411"/>
      <c r="E2067" s="2123"/>
      <c r="F2067" s="1475"/>
      <c r="G2067" s="1475"/>
      <c r="H2067" s="1376"/>
      <c r="I2067" s="198"/>
      <c r="J2067" s="6"/>
      <c r="K2067" s="1307"/>
      <c r="L2067" s="1335"/>
      <c r="M2067" s="1499"/>
      <c r="N2067" s="1701"/>
      <c r="O2067" s="1290"/>
      <c r="P2067" s="1332"/>
      <c r="Q2067" s="3391"/>
      <c r="R2067" s="3363"/>
      <c r="S2067" s="16"/>
      <c r="T2067" s="16"/>
      <c r="U2067" s="16"/>
      <c r="V2067" s="16"/>
    </row>
    <row r="2068" spans="1:22">
      <c r="B2068" s="554"/>
      <c r="C2068" s="223"/>
      <c r="D2068" s="1808"/>
      <c r="E2068" s="2132"/>
      <c r="F2068" s="1804"/>
      <c r="G2068" s="1804"/>
      <c r="H2068" s="1805"/>
      <c r="I2068" s="197"/>
      <c r="J2068" s="1806"/>
      <c r="K2068" s="1307"/>
      <c r="L2068" s="1335"/>
      <c r="M2068" s="1701"/>
      <c r="N2068" s="1701"/>
      <c r="O2068" s="1290"/>
      <c r="P2068" s="1333"/>
      <c r="Q2068" s="3391"/>
      <c r="R2068" s="3363"/>
      <c r="S2068" s="16"/>
      <c r="T2068" s="16"/>
      <c r="U2068" s="16"/>
      <c r="V2068" s="16"/>
    </row>
    <row r="2069" spans="1:22">
      <c r="A2069" s="19" t="s">
        <v>3764</v>
      </c>
      <c r="B2069" s="4325" t="s">
        <v>1819</v>
      </c>
      <c r="C2069" s="3350"/>
      <c r="D2069" s="4327"/>
      <c r="E2069" s="4329" t="s">
        <v>1527</v>
      </c>
      <c r="F2069" s="4336" t="s">
        <v>2819</v>
      </c>
      <c r="G2069" s="4331" t="s">
        <v>1568</v>
      </c>
      <c r="H2069" s="4331" t="s">
        <v>1574</v>
      </c>
      <c r="I2069" s="1572" t="s">
        <v>1559</v>
      </c>
      <c r="J2069" s="1294" t="s">
        <v>1560</v>
      </c>
      <c r="K2069" s="1294" t="s">
        <v>1569</v>
      </c>
      <c r="L2069" s="4333" t="s">
        <v>3765</v>
      </c>
      <c r="M2069" s="4335" t="s">
        <v>1571</v>
      </c>
      <c r="N2069" s="4323" t="s">
        <v>1776</v>
      </c>
      <c r="O2069" s="3347" t="s">
        <v>1563</v>
      </c>
      <c r="P2069" s="1336" t="s">
        <v>1562</v>
      </c>
      <c r="Q2069" s="3389"/>
      <c r="R2069" s="1699" t="s">
        <v>1327</v>
      </c>
      <c r="S2069" s="16"/>
      <c r="T2069" s="16"/>
      <c r="U2069" s="16"/>
      <c r="V2069" s="16"/>
    </row>
    <row r="2070" spans="1:22">
      <c r="A2070" s="1660" t="s">
        <v>1865</v>
      </c>
      <c r="B2070" s="4326"/>
      <c r="C2070" s="3351"/>
      <c r="D2070" s="4328"/>
      <c r="E2070" s="4330"/>
      <c r="F2070" s="4336"/>
      <c r="G2070" s="4332"/>
      <c r="H2070" s="4332"/>
      <c r="I2070" s="1345">
        <v>22.11</v>
      </c>
      <c r="J2070" s="1307">
        <v>2E-3</v>
      </c>
      <c r="K2070" s="1307">
        <f>I2070*J2070</f>
        <v>4.4220000000000002E-2</v>
      </c>
      <c r="L2070" s="4334"/>
      <c r="M2070" s="4335"/>
      <c r="N2070" s="4324"/>
      <c r="O2070" s="1298">
        <f>O2072+O2073+O2074+O2075+O2083+O2084+O2088</f>
        <v>67.751446099999995</v>
      </c>
      <c r="P2070" s="1337">
        <f>O2070*K2070</f>
        <v>2.9959689465419999</v>
      </c>
      <c r="Q2070" s="3390"/>
      <c r="R2070" s="1721">
        <f>P2072+P2073+P2074+P2075+P2083+P2084+P2088</f>
        <v>2.9959689465419999</v>
      </c>
      <c r="S2070" s="17"/>
      <c r="T2070" s="17"/>
      <c r="U2070" s="16"/>
      <c r="V2070" s="16"/>
    </row>
    <row r="2071" spans="1:22">
      <c r="B2071" s="551"/>
      <c r="C2071" s="18"/>
      <c r="D2071" s="1400"/>
      <c r="E2071" s="2121"/>
      <c r="F2071" s="1368" t="s">
        <v>1</v>
      </c>
      <c r="G2071" s="1417"/>
      <c r="H2071" s="1390"/>
      <c r="I2071" s="1554"/>
      <c r="J2071" s="1367"/>
      <c r="K2071" s="1367"/>
      <c r="L2071" s="1554"/>
      <c r="M2071" s="1369"/>
      <c r="N2071" s="1369"/>
      <c r="O2071" s="1369"/>
      <c r="P2071" s="1367"/>
      <c r="Q2071" s="3387"/>
      <c r="R2071" s="3363"/>
      <c r="S2071" s="105"/>
      <c r="T2071" s="105"/>
      <c r="U2071" s="16"/>
      <c r="V2071" s="16"/>
    </row>
    <row r="2072" spans="1:22">
      <c r="B2072" s="553"/>
      <c r="C2072" s="1042"/>
      <c r="D2072" s="1400" t="s">
        <v>1075</v>
      </c>
      <c r="E2072" s="1856" t="s">
        <v>1357</v>
      </c>
      <c r="F2072" s="1421" t="s">
        <v>1822</v>
      </c>
      <c r="G2072" s="1399">
        <v>1.25</v>
      </c>
      <c r="H2072" s="1400"/>
      <c r="I2072" s="27"/>
      <c r="J2072" s="10"/>
      <c r="K2072" s="1307">
        <f>G2072*$K$2070</f>
        <v>5.5275000000000005E-2</v>
      </c>
      <c r="L2072" s="1335">
        <f>K2072*$K$1987</f>
        <v>0</v>
      </c>
      <c r="M2072" s="1499">
        <v>0.81</v>
      </c>
      <c r="N2072" s="1701"/>
      <c r="O2072" s="1290">
        <f>(G2072*M2072)</f>
        <v>1.0125000000000002</v>
      </c>
      <c r="P2072" s="1332">
        <f>M2072*K2072</f>
        <v>4.4772750000000007E-2</v>
      </c>
      <c r="Q2072" s="3391"/>
      <c r="R2072" s="3363"/>
      <c r="S2072" s="16"/>
      <c r="T2072" s="16"/>
      <c r="U2072" s="16"/>
      <c r="V2072" s="16"/>
    </row>
    <row r="2073" spans="1:22">
      <c r="B2073" s="553"/>
      <c r="C2073" s="1042"/>
      <c r="D2073" s="1400" t="s">
        <v>1817</v>
      </c>
      <c r="E2073" s="1856" t="s">
        <v>1521</v>
      </c>
      <c r="F2073" s="1421" t="s">
        <v>1785</v>
      </c>
      <c r="G2073" s="1399">
        <v>1.2E-2</v>
      </c>
      <c r="H2073" s="1400"/>
      <c r="I2073" s="27"/>
      <c r="J2073" s="10"/>
      <c r="K2073" s="1307">
        <f>G2073*$K$2070</f>
        <v>5.3064000000000008E-4</v>
      </c>
      <c r="L2073" s="1335">
        <f>K2073*$K$1987</f>
        <v>0</v>
      </c>
      <c r="M2073" s="1499">
        <v>236.83</v>
      </c>
      <c r="N2073" s="1701"/>
      <c r="O2073" s="1290">
        <f>(G2073*M2073)</f>
        <v>2.8419600000000003</v>
      </c>
      <c r="P2073" s="1332">
        <f>M2073*K2073</f>
        <v>0.12567147120000002</v>
      </c>
      <c r="Q2073" s="3391"/>
      <c r="R2073" s="3363"/>
      <c r="S2073" s="16"/>
      <c r="T2073" s="16"/>
      <c r="U2073" s="16"/>
      <c r="V2073" s="16"/>
    </row>
    <row r="2074" spans="1:22">
      <c r="B2074" s="553"/>
      <c r="C2074" s="1042"/>
      <c r="D2074" s="1400" t="s">
        <v>1786</v>
      </c>
      <c r="E2074" s="1856" t="s">
        <v>1787</v>
      </c>
      <c r="F2074" s="1421" t="s">
        <v>1788</v>
      </c>
      <c r="G2074" s="1399">
        <v>0.45</v>
      </c>
      <c r="H2074" s="1400"/>
      <c r="I2074" s="1760"/>
      <c r="J2074" s="198"/>
      <c r="K2074" s="1307">
        <f>G2074*$K$2070</f>
        <v>1.9899E-2</v>
      </c>
      <c r="L2074" s="1335">
        <f>K2074*$K$1987</f>
        <v>0</v>
      </c>
      <c r="M2074" s="1499">
        <v>1.54</v>
      </c>
      <c r="N2074" s="1701"/>
      <c r="O2074" s="1290">
        <f>(G2074*M2074)</f>
        <v>0.69300000000000006</v>
      </c>
      <c r="P2074" s="1332">
        <f>M2074*K2074</f>
        <v>3.0644460000000002E-2</v>
      </c>
      <c r="Q2074" s="3391"/>
      <c r="R2074" s="3363"/>
      <c r="S2074" s="16"/>
      <c r="T2074" s="16"/>
      <c r="U2074" s="16"/>
      <c r="V2074" s="16"/>
    </row>
    <row r="2075" spans="1:22">
      <c r="B2075" s="553"/>
      <c r="C2075" s="1356" t="s">
        <v>1790</v>
      </c>
      <c r="D2075" s="1311"/>
      <c r="E2075" s="2137" t="s">
        <v>1517</v>
      </c>
      <c r="F2075" s="1343" t="s">
        <v>1791</v>
      </c>
      <c r="G2075" s="1344"/>
      <c r="H2075" s="1344">
        <v>4.4999999999999998E-2</v>
      </c>
      <c r="I2075" s="1444"/>
      <c r="J2075" s="1388"/>
      <c r="K2075" s="1445"/>
      <c r="L2075" s="1457"/>
      <c r="M2075" s="1446"/>
      <c r="N2075" s="1447">
        <f>SUM(N2076:N2080)</f>
        <v>76.906580000000005</v>
      </c>
      <c r="O2075" s="1447">
        <f>SUM(O2076:O2080)</f>
        <v>3.4607960999999996</v>
      </c>
      <c r="P2075" s="1447">
        <f>SUM(P2076:P2080)</f>
        <v>0.15303640354200002</v>
      </c>
      <c r="Q2075" s="3391"/>
      <c r="R2075" s="3363"/>
      <c r="S2075" s="16"/>
      <c r="T2075" s="16"/>
      <c r="U2075" s="16"/>
      <c r="V2075" s="16"/>
    </row>
    <row r="2076" spans="1:22">
      <c r="B2076" s="553"/>
      <c r="C2076" s="1327"/>
      <c r="D2076" s="1756" t="s">
        <v>1069</v>
      </c>
      <c r="E2076" s="1852" t="s">
        <v>1517</v>
      </c>
      <c r="F2076" s="1784" t="s">
        <v>1578</v>
      </c>
      <c r="G2076" s="1399">
        <v>0.2</v>
      </c>
      <c r="H2076" s="1399">
        <f>G2076*$H$2075</f>
        <v>8.9999999999999993E-3</v>
      </c>
      <c r="I2076" s="197"/>
      <c r="J2076" s="198"/>
      <c r="K2076" s="1732">
        <f>H2076*$K$2070</f>
        <v>3.9797999999999998E-4</v>
      </c>
      <c r="L2076" s="1335">
        <f>K2076*$K$1987</f>
        <v>0</v>
      </c>
      <c r="M2076" s="1499">
        <v>0.55000000000000004</v>
      </c>
      <c r="N2076" s="1718">
        <f>G2076*M2076</f>
        <v>0.11000000000000001</v>
      </c>
      <c r="O2076" s="1719">
        <f>H2076*M2076</f>
        <v>4.9500000000000004E-3</v>
      </c>
      <c r="P2076" s="1720">
        <f>M2076*K2076</f>
        <v>2.18889E-4</v>
      </c>
      <c r="Q2076" s="3396"/>
      <c r="R2076" s="3363"/>
      <c r="S2076" s="16"/>
      <c r="T2076" s="16"/>
      <c r="U2076" s="16"/>
      <c r="V2076" s="16"/>
    </row>
    <row r="2077" spans="1:22">
      <c r="B2077" s="553"/>
      <c r="C2077" s="1320"/>
      <c r="D2077" s="1756" t="s">
        <v>1792</v>
      </c>
      <c r="E2077" s="1852" t="s">
        <v>1577</v>
      </c>
      <c r="F2077" s="1752" t="s">
        <v>1793</v>
      </c>
      <c r="G2077" s="1399">
        <v>0.25</v>
      </c>
      <c r="H2077" s="1399">
        <f>G2077*$H$2075</f>
        <v>1.125E-2</v>
      </c>
      <c r="I2077" s="197"/>
      <c r="J2077" s="198"/>
      <c r="K2077" s="1732">
        <f>H2077*$K$2070</f>
        <v>4.9747500000000004E-4</v>
      </c>
      <c r="L2077" s="1335">
        <f>K2077*$K$1987</f>
        <v>0</v>
      </c>
      <c r="M2077" s="1499">
        <v>85.09</v>
      </c>
      <c r="N2077" s="1718">
        <f>G2077*M2077</f>
        <v>21.272500000000001</v>
      </c>
      <c r="O2077" s="1719">
        <f>H2077*M2077</f>
        <v>0.95726250000000002</v>
      </c>
      <c r="P2077" s="1720">
        <f>M2077*K2077</f>
        <v>4.2330147750000005E-2</v>
      </c>
      <c r="Q2077" s="3396"/>
      <c r="R2077" s="3363"/>
      <c r="S2077" s="16"/>
      <c r="T2077" s="16"/>
      <c r="U2077" s="16"/>
      <c r="V2077" s="16"/>
    </row>
    <row r="2078" spans="1:22">
      <c r="B2078" s="553"/>
      <c r="C2078" s="1320"/>
      <c r="D2078" s="1756" t="s">
        <v>1394</v>
      </c>
      <c r="E2078" s="1852" t="s">
        <v>1577</v>
      </c>
      <c r="F2078" s="1752" t="s">
        <v>1579</v>
      </c>
      <c r="G2078" s="1399">
        <v>0.25</v>
      </c>
      <c r="H2078" s="1399">
        <f>G2078*$H$2075</f>
        <v>1.125E-2</v>
      </c>
      <c r="I2078" s="197"/>
      <c r="J2078" s="198"/>
      <c r="K2078" s="1732">
        <f>H2078*$K$2070</f>
        <v>4.9747500000000004E-4</v>
      </c>
      <c r="L2078" s="1335">
        <f>K2078*$K$1987</f>
        <v>0</v>
      </c>
      <c r="M2078" s="1499">
        <v>92.54</v>
      </c>
      <c r="N2078" s="1718">
        <f>G2078*M2078</f>
        <v>23.135000000000002</v>
      </c>
      <c r="O2078" s="1719">
        <f>H2078*M2078</f>
        <v>1.041075</v>
      </c>
      <c r="P2078" s="1720">
        <f>M2078*K2078</f>
        <v>4.6036336500000004E-2</v>
      </c>
      <c r="Q2078" s="3396"/>
      <c r="R2078" s="3363"/>
      <c r="S2078" s="16"/>
      <c r="T2078" s="16"/>
      <c r="U2078" s="16"/>
      <c r="V2078" s="16"/>
    </row>
    <row r="2079" spans="1:22">
      <c r="B2079" s="553"/>
      <c r="C2079" s="1320"/>
      <c r="D2079" s="1756" t="s">
        <v>1576</v>
      </c>
      <c r="E2079" s="1852" t="s">
        <v>1517</v>
      </c>
      <c r="F2079" s="1752" t="s">
        <v>1580</v>
      </c>
      <c r="G2079" s="1399">
        <v>1.5</v>
      </c>
      <c r="H2079" s="1399">
        <f>G2079*$H$2075</f>
        <v>6.7500000000000004E-2</v>
      </c>
      <c r="I2079" s="197"/>
      <c r="J2079" s="198"/>
      <c r="K2079" s="1732">
        <f>H2079*$K$2070</f>
        <v>2.9848500000000003E-3</v>
      </c>
      <c r="L2079" s="1335">
        <f>K2079*$K$1987</f>
        <v>0</v>
      </c>
      <c r="M2079" s="1499">
        <v>6.53</v>
      </c>
      <c r="N2079" s="1718">
        <f>G2079*M2079</f>
        <v>9.7949999999999999</v>
      </c>
      <c r="O2079" s="1719">
        <f>H2079*M2079</f>
        <v>0.44077500000000003</v>
      </c>
      <c r="P2079" s="1720">
        <f>M2079*K2079</f>
        <v>1.9491070500000002E-2</v>
      </c>
      <c r="Q2079" s="3396"/>
      <c r="R2079" s="3363"/>
      <c r="S2079" s="16"/>
      <c r="T2079" s="16"/>
      <c r="U2079" s="16"/>
      <c r="V2079" s="16"/>
    </row>
    <row r="2080" spans="1:22">
      <c r="B2080" s="553"/>
      <c r="C2080" s="1320"/>
      <c r="D2080" s="1811" t="s">
        <v>1067</v>
      </c>
      <c r="E2080" s="2171" t="s">
        <v>1508</v>
      </c>
      <c r="F2080" s="1812" t="s">
        <v>1512</v>
      </c>
      <c r="G2080" s="1395">
        <v>1.236</v>
      </c>
      <c r="H2080" s="1395">
        <f>G2080*$H$2075</f>
        <v>5.5619999999999996E-2</v>
      </c>
      <c r="I2080" s="197"/>
      <c r="J2080" s="198"/>
      <c r="K2080" s="1732">
        <f>H2080*$K$2070</f>
        <v>2.4595163999999998E-3</v>
      </c>
      <c r="L2080" s="1335">
        <f>K2080*$K$1987</f>
        <v>0</v>
      </c>
      <c r="M2080" s="1499">
        <v>18.28</v>
      </c>
      <c r="N2080" s="1718">
        <f>G2080*M2080</f>
        <v>22.594080000000002</v>
      </c>
      <c r="O2080" s="1719">
        <f>H2080*M2080</f>
        <v>1.0167336</v>
      </c>
      <c r="P2080" s="1720">
        <f>M2080*K2080</f>
        <v>4.4959959792000001E-2</v>
      </c>
      <c r="Q2080" s="3396"/>
      <c r="R2080" s="3363"/>
      <c r="S2080" s="16"/>
      <c r="T2080" s="16"/>
      <c r="U2080" s="16"/>
      <c r="V2080" s="16"/>
    </row>
    <row r="2081" spans="1:22">
      <c r="B2081" s="553"/>
      <c r="C2081" s="1320"/>
      <c r="D2081" s="2257"/>
      <c r="E2081" s="2258"/>
      <c r="F2081" s="2257"/>
      <c r="G2081" s="1399"/>
      <c r="H2081" s="1399"/>
      <c r="I2081" s="197"/>
      <c r="J2081" s="198"/>
      <c r="K2081" s="1732"/>
      <c r="L2081" s="1335"/>
      <c r="M2081" s="1499"/>
      <c r="N2081" s="1724"/>
      <c r="O2081" s="1719"/>
      <c r="P2081" s="1720"/>
      <c r="Q2081" s="3396"/>
      <c r="R2081" s="3363"/>
      <c r="S2081" s="16"/>
      <c r="T2081" s="16"/>
      <c r="U2081" s="16"/>
      <c r="V2081" s="16"/>
    </row>
    <row r="2082" spans="1:22">
      <c r="B2082" s="553"/>
      <c r="C2082" s="1042"/>
      <c r="D2082" s="1410"/>
      <c r="E2082" s="1858"/>
      <c r="F2082" s="1360" t="s">
        <v>2</v>
      </c>
      <c r="G2082" s="1360"/>
      <c r="H2082" s="1362"/>
      <c r="I2082" s="1380"/>
      <c r="J2082" s="1381"/>
      <c r="K2082" s="1359"/>
      <c r="L2082" s="1458"/>
      <c r="M2082" s="1502"/>
      <c r="N2082" s="1502"/>
      <c r="O2082" s="1362"/>
      <c r="P2082" s="1359"/>
      <c r="Q2082" s="3387"/>
      <c r="R2082" s="3363"/>
      <c r="S2082" s="16"/>
      <c r="T2082" s="16"/>
      <c r="U2082" s="16"/>
      <c r="V2082" s="16"/>
    </row>
    <row r="2083" spans="1:22">
      <c r="B2083" s="553"/>
      <c r="C2083" s="1042"/>
      <c r="D2083" s="1655" t="s">
        <v>1806</v>
      </c>
      <c r="E2083" s="1857" t="s">
        <v>1508</v>
      </c>
      <c r="F2083" s="1403" t="s">
        <v>1818</v>
      </c>
      <c r="G2083" s="1365">
        <v>1.5129999999999999</v>
      </c>
      <c r="H2083" s="1365"/>
      <c r="I2083" s="198"/>
      <c r="J2083" s="6"/>
      <c r="K2083" s="1307">
        <f>G2083*$K$2070</f>
        <v>6.6904859999999997E-2</v>
      </c>
      <c r="L2083" s="1335">
        <f>K2083*$K$1987</f>
        <v>0</v>
      </c>
      <c r="M2083" s="1499">
        <v>19.23</v>
      </c>
      <c r="N2083" s="1701"/>
      <c r="O2083" s="1290">
        <f>(G2083*M2083)</f>
        <v>29.094989999999999</v>
      </c>
      <c r="P2083" s="1332">
        <f>M2083*K2083</f>
        <v>1.2865804578</v>
      </c>
      <c r="Q2083" s="3391"/>
      <c r="R2083" s="3363"/>
      <c r="S2083" s="16"/>
      <c r="T2083" s="16"/>
      <c r="U2083" s="16"/>
      <c r="V2083" s="16"/>
    </row>
    <row r="2084" spans="1:22">
      <c r="B2084" s="553"/>
      <c r="C2084" s="1042"/>
      <c r="D2084" s="1364" t="s">
        <v>1067</v>
      </c>
      <c r="E2084" s="2148" t="s">
        <v>1508</v>
      </c>
      <c r="F2084" s="1473" t="s">
        <v>1512</v>
      </c>
      <c r="G2084" s="1365">
        <v>0.81499999999999995</v>
      </c>
      <c r="H2084" s="1365"/>
      <c r="I2084" s="198"/>
      <c r="J2084" s="6"/>
      <c r="K2084" s="1307">
        <f>G2084*$K$2070</f>
        <v>3.6039299999999996E-2</v>
      </c>
      <c r="L2084" s="1335">
        <f>K2084*$K$1987</f>
        <v>0</v>
      </c>
      <c r="M2084" s="1499">
        <v>18.28</v>
      </c>
      <c r="N2084" s="1701"/>
      <c r="O2084" s="1290">
        <f>(G2084*M2084)</f>
        <v>14.898199999999999</v>
      </c>
      <c r="P2084" s="1332">
        <f>M2084*K2084</f>
        <v>0.658798404</v>
      </c>
      <c r="Q2084" s="3391"/>
      <c r="R2084" s="3363"/>
      <c r="S2084" s="16"/>
      <c r="T2084" s="16"/>
      <c r="U2084" s="16"/>
      <c r="V2084" s="16"/>
    </row>
    <row r="2085" spans="1:22">
      <c r="B2085" s="553"/>
      <c r="C2085" s="1042"/>
      <c r="D2085" s="1623"/>
      <c r="E2085" s="2158"/>
      <c r="F2085" s="1801"/>
      <c r="G2085" s="1359"/>
      <c r="H2085" s="1803"/>
      <c r="I2085" s="198"/>
      <c r="J2085" s="6"/>
      <c r="K2085" s="1307"/>
      <c r="L2085" s="1335"/>
      <c r="M2085" s="1499"/>
      <c r="N2085" s="1701"/>
      <c r="O2085" s="1290"/>
      <c r="P2085" s="1332"/>
      <c r="Q2085" s="3391"/>
      <c r="R2085" s="3363"/>
      <c r="S2085" s="16"/>
      <c r="T2085" s="16"/>
      <c r="U2085" s="16"/>
      <c r="V2085" s="16"/>
    </row>
    <row r="2086" spans="1:22">
      <c r="B2086" s="553"/>
      <c r="C2086" s="1042"/>
      <c r="D2086" s="1623"/>
      <c r="E2086" s="2158"/>
      <c r="F2086" s="1801"/>
      <c r="G2086" s="1359"/>
      <c r="H2086" s="1803"/>
      <c r="I2086" s="198"/>
      <c r="J2086" s="6"/>
      <c r="K2086" s="1307"/>
      <c r="L2086" s="1335"/>
      <c r="M2086" s="1499"/>
      <c r="N2086" s="1701"/>
      <c r="O2086" s="1290"/>
      <c r="P2086" s="1332"/>
      <c r="Q2086" s="3391"/>
      <c r="R2086" s="3363"/>
      <c r="S2086" s="16"/>
      <c r="T2086" s="16"/>
      <c r="U2086" s="16"/>
      <c r="V2086" s="16"/>
    </row>
    <row r="2087" spans="1:22">
      <c r="B2087" s="553"/>
      <c r="C2087" s="1042"/>
      <c r="D2087" s="1411"/>
      <c r="E2087" s="2123"/>
      <c r="F2087" s="1802" t="s">
        <v>3</v>
      </c>
      <c r="G2087" s="1475"/>
      <c r="H2087" s="1505"/>
      <c r="I2087" s="1382"/>
      <c r="J2087" s="1383"/>
      <c r="K2087" s="1373"/>
      <c r="L2087" s="1413"/>
      <c r="M2087" s="1505"/>
      <c r="N2087" s="1505"/>
      <c r="O2087" s="1376"/>
      <c r="P2087" s="1413"/>
      <c r="Q2087" s="3387"/>
      <c r="R2087" s="3363"/>
      <c r="S2087" s="16"/>
      <c r="T2087" s="16"/>
      <c r="U2087" s="16"/>
      <c r="V2087" s="16"/>
    </row>
    <row r="2088" spans="1:22">
      <c r="B2088" s="553"/>
      <c r="C2088" s="1042"/>
      <c r="D2088" s="1411" t="s">
        <v>1686</v>
      </c>
      <c r="E2088" s="2123" t="s">
        <v>1803</v>
      </c>
      <c r="F2088" s="1837" t="s">
        <v>1688</v>
      </c>
      <c r="G2088" s="1376">
        <v>2.1</v>
      </c>
      <c r="H2088" s="1376"/>
      <c r="I2088" s="198"/>
      <c r="J2088" s="6"/>
      <c r="K2088" s="1307">
        <f>G2088*$K$2070</f>
        <v>9.2862000000000014E-2</v>
      </c>
      <c r="L2088" s="1335">
        <f>K2088*$K$1987</f>
        <v>0</v>
      </c>
      <c r="M2088" s="1499">
        <v>7.5</v>
      </c>
      <c r="N2088" s="1701"/>
      <c r="O2088" s="1290">
        <f>(G2088*M2088)</f>
        <v>15.75</v>
      </c>
      <c r="P2088" s="1332">
        <f>M2088*K2088</f>
        <v>0.69646500000000011</v>
      </c>
      <c r="Q2088" s="3391"/>
      <c r="R2088" s="3363"/>
      <c r="S2088" s="16"/>
      <c r="T2088" s="16"/>
      <c r="U2088" s="16"/>
      <c r="V2088" s="16"/>
    </row>
    <row r="2089" spans="1:22">
      <c r="B2089" s="553"/>
      <c r="C2089" s="1042"/>
      <c r="D2089" s="1411"/>
      <c r="E2089" s="2123"/>
      <c r="F2089" s="1475"/>
      <c r="G2089" s="1475"/>
      <c r="H2089" s="1376"/>
      <c r="I2089" s="198"/>
      <c r="J2089" s="6"/>
      <c r="K2089" s="1307"/>
      <c r="L2089" s="1335"/>
      <c r="M2089" s="1499"/>
      <c r="N2089" s="1701"/>
      <c r="O2089" s="1290"/>
      <c r="P2089" s="1332"/>
      <c r="Q2089" s="3391"/>
      <c r="R2089" s="3363"/>
      <c r="S2089" s="16"/>
      <c r="T2089" s="16"/>
      <c r="U2089" s="16"/>
      <c r="V2089" s="16"/>
    </row>
    <row r="2090" spans="1:22">
      <c r="B2090" s="554"/>
      <c r="C2090" s="223"/>
      <c r="D2090" s="1808"/>
      <c r="E2090" s="2132"/>
      <c r="F2090" s="1804"/>
      <c r="G2090" s="1804"/>
      <c r="H2090" s="1805"/>
      <c r="I2090" s="197"/>
      <c r="J2090" s="1806"/>
      <c r="K2090" s="1307"/>
      <c r="L2090" s="1335"/>
      <c r="M2090" s="1701"/>
      <c r="N2090" s="1701"/>
      <c r="O2090" s="1290"/>
      <c r="P2090" s="1333"/>
      <c r="Q2090" s="3391"/>
      <c r="R2090" s="3363"/>
      <c r="S2090" s="16"/>
      <c r="T2090" s="16"/>
      <c r="U2090" s="16"/>
      <c r="V2090" s="16"/>
    </row>
    <row r="2091" spans="1:22" ht="15" customHeight="1">
      <c r="A2091" s="1042" t="s">
        <v>3764</v>
      </c>
      <c r="B2091" s="4367" t="s">
        <v>1736</v>
      </c>
      <c r="C2091" s="3354"/>
      <c r="D2091" s="4327"/>
      <c r="E2091" s="4329" t="s">
        <v>1527</v>
      </c>
      <c r="F2091" s="4336" t="s">
        <v>1772</v>
      </c>
      <c r="G2091" s="4331" t="s">
        <v>1568</v>
      </c>
      <c r="H2091" s="4331" t="s">
        <v>1574</v>
      </c>
      <c r="I2091" s="1572" t="s">
        <v>1559</v>
      </c>
      <c r="J2091" s="1294" t="s">
        <v>1560</v>
      </c>
      <c r="K2091" s="1294" t="s">
        <v>1561</v>
      </c>
      <c r="L2091" s="4333" t="s">
        <v>3765</v>
      </c>
      <c r="M2091" s="4335" t="s">
        <v>1571</v>
      </c>
      <c r="N2091" s="4323" t="s">
        <v>1776</v>
      </c>
      <c r="O2091" s="3347" t="s">
        <v>1563</v>
      </c>
      <c r="P2091" s="1336" t="s">
        <v>1562</v>
      </c>
      <c r="Q2091" s="3389"/>
      <c r="R2091" s="1699" t="s">
        <v>1327</v>
      </c>
      <c r="S2091" s="16"/>
      <c r="T2091" s="16"/>
      <c r="U2091" s="16"/>
      <c r="V2091" s="16"/>
    </row>
    <row r="2092" spans="1:22">
      <c r="A2092" s="1660" t="s">
        <v>1865</v>
      </c>
      <c r="B2092" s="4369"/>
      <c r="C2092" s="3351"/>
      <c r="D2092" s="4328"/>
      <c r="E2092" s="4330"/>
      <c r="F2092" s="4336"/>
      <c r="G2092" s="4332"/>
      <c r="H2092" s="4332"/>
      <c r="I2092" s="1345">
        <v>325.24</v>
      </c>
      <c r="J2092" s="1307">
        <v>2E-3</v>
      </c>
      <c r="K2092" s="1307">
        <f>I2092*J2092</f>
        <v>0.65048000000000006</v>
      </c>
      <c r="L2092" s="4334"/>
      <c r="M2092" s="4335"/>
      <c r="N2092" s="4324"/>
      <c r="O2092" s="1298">
        <f>O2094+O2095+O2096+O2100+O2104+O2112</f>
        <v>29.094884700000001</v>
      </c>
      <c r="P2092" s="1337">
        <f>O2092*K2092</f>
        <v>18.925640599656003</v>
      </c>
      <c r="Q2092" s="3390"/>
      <c r="R2092" s="1721">
        <f>P2094+P2095+P2096+P2100+P2104+P2112</f>
        <v>18.925640599656003</v>
      </c>
      <c r="S2092" s="16"/>
      <c r="T2092" s="16"/>
      <c r="U2092" s="16"/>
      <c r="V2092" s="16"/>
    </row>
    <row r="2093" spans="1:22">
      <c r="A2093" s="1320"/>
      <c r="B2093" s="22"/>
      <c r="C2093" s="18"/>
      <c r="D2093" s="1400"/>
      <c r="E2093" s="2121"/>
      <c r="F2093" s="1368" t="s">
        <v>1</v>
      </c>
      <c r="G2093" s="1368"/>
      <c r="H2093" s="1369"/>
      <c r="I2093" s="1391"/>
      <c r="J2093" s="1369"/>
      <c r="K2093" s="1367"/>
      <c r="L2093" s="1554"/>
      <c r="M2093" s="1369"/>
      <c r="N2093" s="1369"/>
      <c r="O2093" s="1369"/>
      <c r="P2093" s="1367"/>
      <c r="Q2093" s="3387"/>
      <c r="R2093" s="2344"/>
      <c r="S2093" s="16"/>
      <c r="T2093" s="16"/>
      <c r="U2093" s="16"/>
      <c r="V2093" s="16"/>
    </row>
    <row r="2094" spans="1:22">
      <c r="A2094" s="1320"/>
      <c r="B2094" s="22"/>
      <c r="C2094" s="1042"/>
      <c r="D2094" s="1767" t="s">
        <v>1784</v>
      </c>
      <c r="E2094" s="1849" t="s">
        <v>1521</v>
      </c>
      <c r="F2094" s="1654" t="s">
        <v>1785</v>
      </c>
      <c r="G2094" s="1567">
        <v>1E-3</v>
      </c>
      <c r="H2094" s="1567"/>
      <c r="I2094" s="1286"/>
      <c r="J2094" s="198"/>
      <c r="K2094" s="1307">
        <f>G2094*$K$2092</f>
        <v>6.5048000000000005E-4</v>
      </c>
      <c r="L2094" s="1335">
        <f>K2094*$K$1987</f>
        <v>0</v>
      </c>
      <c r="M2094" s="1499">
        <v>236.83</v>
      </c>
      <c r="N2094" s="1700"/>
      <c r="O2094" s="1290">
        <f>G2094*M2094</f>
        <v>0.23683000000000001</v>
      </c>
      <c r="P2094" s="1332">
        <f>M2094*K2094</f>
        <v>0.15405317840000002</v>
      </c>
      <c r="Q2094" s="3391"/>
      <c r="R2094" s="2337"/>
      <c r="S2094" s="16"/>
      <c r="T2094" s="16"/>
      <c r="U2094" s="16"/>
      <c r="V2094" s="16"/>
    </row>
    <row r="2095" spans="1:22">
      <c r="A2095" s="1320"/>
      <c r="B2095" s="22"/>
      <c r="C2095" s="1042"/>
      <c r="D2095" s="1769" t="s">
        <v>1786</v>
      </c>
      <c r="E2095" s="1850" t="s">
        <v>1787</v>
      </c>
      <c r="F2095" s="1770" t="s">
        <v>1788</v>
      </c>
      <c r="G2095" s="1771">
        <v>1.1000000000000001</v>
      </c>
      <c r="H2095" s="1771"/>
      <c r="I2095" s="1286"/>
      <c r="J2095" s="198"/>
      <c r="K2095" s="1307">
        <f>G2095*$K$2092</f>
        <v>0.71552800000000016</v>
      </c>
      <c r="L2095" s="1335">
        <f>K2095*$K$1987</f>
        <v>0</v>
      </c>
      <c r="M2095" s="1302">
        <v>1.53</v>
      </c>
      <c r="N2095" s="1700"/>
      <c r="O2095" s="1290">
        <f>G2095*M2095</f>
        <v>1.6830000000000003</v>
      </c>
      <c r="P2095" s="1332">
        <f>M2095*K2095</f>
        <v>1.0947578400000002</v>
      </c>
      <c r="Q2095" s="3391"/>
      <c r="R2095" s="2337"/>
      <c r="S2095" s="17"/>
      <c r="T2095" s="17"/>
      <c r="U2095" s="16"/>
      <c r="V2095" s="16"/>
    </row>
    <row r="2096" spans="1:22">
      <c r="A2096" s="1320"/>
      <c r="B2096" s="22"/>
      <c r="C2096" s="1356" t="s">
        <v>1128</v>
      </c>
      <c r="D2096" s="1585"/>
      <c r="E2096" s="1851" t="s">
        <v>1517</v>
      </c>
      <c r="F2096" s="1774" t="s">
        <v>1695</v>
      </c>
      <c r="G2096" s="1776"/>
      <c r="H2096" s="1776">
        <v>1.2E-2</v>
      </c>
      <c r="I2096" s="1388"/>
      <c r="J2096" s="1366"/>
      <c r="K2096" s="1510"/>
      <c r="L2096" s="1445"/>
      <c r="M2096" s="1447"/>
      <c r="N2096" s="1447">
        <f>SUM(N2097:N2099)</f>
        <v>104.27969999999999</v>
      </c>
      <c r="O2096" s="1447">
        <f>SUM(O2097:O2099)</f>
        <v>1.2513564000000001</v>
      </c>
      <c r="P2096" s="1446">
        <f>SUM(P2097:P2099)</f>
        <v>0.81398231107200014</v>
      </c>
      <c r="Q2096" s="3391"/>
      <c r="R2096" s="2337"/>
      <c r="S2096" s="105"/>
      <c r="T2096" s="105"/>
      <c r="U2096" s="16"/>
      <c r="V2096" s="16"/>
    </row>
    <row r="2097" spans="1:22">
      <c r="A2097" s="1320"/>
      <c r="B2097" s="22"/>
      <c r="C2097" s="1042"/>
      <c r="D2097" s="1752" t="s">
        <v>1779</v>
      </c>
      <c r="E2097" s="1852" t="s">
        <v>1577</v>
      </c>
      <c r="F2097" s="1752" t="s">
        <v>1780</v>
      </c>
      <c r="G2097" s="1775">
        <v>0.876</v>
      </c>
      <c r="H2097" s="1453">
        <f>$H$2096*G2097</f>
        <v>1.0512000000000001E-2</v>
      </c>
      <c r="I2097" s="197"/>
      <c r="J2097" s="198"/>
      <c r="K2097" s="1307">
        <f>H2097*$K$2092</f>
        <v>6.8378457600000008E-3</v>
      </c>
      <c r="L2097" s="1335">
        <f>K2097*$K$1987</f>
        <v>0</v>
      </c>
      <c r="M2097" s="1759">
        <v>56.05</v>
      </c>
      <c r="N2097" s="1718">
        <f>G2097*M2097</f>
        <v>49.099799999999995</v>
      </c>
      <c r="O2097" s="1719">
        <f>H2097*M2097</f>
        <v>0.58919759999999999</v>
      </c>
      <c r="P2097" s="1720">
        <f>M2097*K2097</f>
        <v>0.383261254848</v>
      </c>
      <c r="Q2097" s="3396"/>
      <c r="R2097" s="2337"/>
      <c r="S2097" s="16"/>
      <c r="T2097" s="16"/>
      <c r="U2097" s="16"/>
      <c r="V2097" s="16"/>
    </row>
    <row r="2098" spans="1:22">
      <c r="A2098" s="1320"/>
      <c r="B2098" s="22"/>
      <c r="C2098" s="1042"/>
      <c r="D2098" s="1752" t="s">
        <v>1069</v>
      </c>
      <c r="E2098" s="1852" t="s">
        <v>1517</v>
      </c>
      <c r="F2098" s="1752" t="s">
        <v>1578</v>
      </c>
      <c r="G2098" s="1753">
        <v>0.61799999999999999</v>
      </c>
      <c r="H2098" s="1453">
        <f>$H$2096*G2098</f>
        <v>7.4159999999999998E-3</v>
      </c>
      <c r="I2098" s="27"/>
      <c r="J2098" s="10"/>
      <c r="K2098" s="1307">
        <f>H2098*$K$2092</f>
        <v>4.8239596799999999E-3</v>
      </c>
      <c r="L2098" s="1335">
        <f>K2098*$K$1987</f>
        <v>0</v>
      </c>
      <c r="M2098" s="1759">
        <v>0.55000000000000004</v>
      </c>
      <c r="N2098" s="1718">
        <f>G2098*M2098</f>
        <v>0.33990000000000004</v>
      </c>
      <c r="O2098" s="1719">
        <f>H2098*M2098</f>
        <v>4.0788000000000005E-3</v>
      </c>
      <c r="P2098" s="1720">
        <f>M2098*K2098</f>
        <v>2.6531778240000002E-3</v>
      </c>
      <c r="Q2098" s="3396"/>
      <c r="R2098" s="2337"/>
      <c r="S2098" s="16"/>
      <c r="T2098" s="16"/>
      <c r="U2098" s="16"/>
      <c r="V2098" s="16"/>
    </row>
    <row r="2099" spans="1:22">
      <c r="A2099" s="1320"/>
      <c r="B2099" s="22"/>
      <c r="C2099" s="1042"/>
      <c r="D2099" s="1754" t="s">
        <v>1067</v>
      </c>
      <c r="E2099" s="1853" t="s">
        <v>1508</v>
      </c>
      <c r="F2099" s="1754" t="s">
        <v>1512</v>
      </c>
      <c r="G2099" s="1755">
        <v>3</v>
      </c>
      <c r="H2099" s="1454">
        <f>$H$2096*G2099</f>
        <v>3.6000000000000004E-2</v>
      </c>
      <c r="I2099" s="198"/>
      <c r="J2099" s="198"/>
      <c r="K2099" s="1307">
        <f>H2099*$K$2092</f>
        <v>2.3417280000000006E-2</v>
      </c>
      <c r="L2099" s="1335">
        <f>K2099*$K$1987</f>
        <v>0</v>
      </c>
      <c r="M2099" s="1759">
        <v>18.28</v>
      </c>
      <c r="N2099" s="1718">
        <f>G2099*M2099</f>
        <v>54.84</v>
      </c>
      <c r="O2099" s="1719">
        <f>H2099*M2099</f>
        <v>0.65808000000000011</v>
      </c>
      <c r="P2099" s="1720">
        <f>M2099*K2099</f>
        <v>0.4280678784000001</v>
      </c>
      <c r="Q2099" s="3396"/>
      <c r="R2099" s="2337"/>
      <c r="S2099" s="16"/>
      <c r="T2099" s="16"/>
      <c r="U2099" s="16"/>
      <c r="V2099" s="16"/>
    </row>
    <row r="2100" spans="1:22">
      <c r="A2100" s="1320"/>
      <c r="B2100" s="22"/>
      <c r="C2100" s="1356" t="s">
        <v>1152</v>
      </c>
      <c r="D2100" s="1311"/>
      <c r="E2100" s="1854" t="s">
        <v>1517</v>
      </c>
      <c r="F2100" s="1749" t="s">
        <v>1696</v>
      </c>
      <c r="G2100" s="1776"/>
      <c r="H2100" s="1688">
        <v>5.0000000000000001E-3</v>
      </c>
      <c r="I2100" s="1388"/>
      <c r="J2100" s="1388"/>
      <c r="K2100" s="1510"/>
      <c r="L2100" s="1445"/>
      <c r="M2100" s="1447"/>
      <c r="N2100" s="1447">
        <f>SUM(N2101:N2103)</f>
        <v>108.04650000000001</v>
      </c>
      <c r="O2100" s="1447">
        <f>SUM(O2101:O2103)</f>
        <v>0.54023250000000012</v>
      </c>
      <c r="P2100" s="1446">
        <f>SUM(P2101:P2103)</f>
        <v>0.35141043660000004</v>
      </c>
      <c r="Q2100" s="3391"/>
      <c r="R2100" s="2337"/>
      <c r="S2100" s="16"/>
      <c r="T2100" s="16"/>
      <c r="U2100" s="16"/>
      <c r="V2100" s="16"/>
    </row>
    <row r="2101" spans="1:22">
      <c r="A2101" s="1320"/>
      <c r="B2101" s="22"/>
      <c r="C2101" s="18"/>
      <c r="D2101" s="1756" t="s">
        <v>1781</v>
      </c>
      <c r="E2101" s="1852" t="s">
        <v>1577</v>
      </c>
      <c r="F2101" s="1752" t="s">
        <v>1782</v>
      </c>
      <c r="G2101" s="1753">
        <v>0.876</v>
      </c>
      <c r="H2101" s="1453">
        <f>$H$2100*G2101</f>
        <v>4.3800000000000002E-3</v>
      </c>
      <c r="I2101" s="198"/>
      <c r="J2101" s="198"/>
      <c r="K2101" s="1307">
        <f>H2101*$K$2092</f>
        <v>2.8491024000000002E-3</v>
      </c>
      <c r="L2101" s="1335">
        <f>K2101*$K$1987</f>
        <v>0</v>
      </c>
      <c r="M2101" s="1723">
        <v>60.35</v>
      </c>
      <c r="N2101" s="1718">
        <f>G2101*M2101</f>
        <v>52.866599999999998</v>
      </c>
      <c r="O2101" s="1719">
        <f>H2101*M2101</f>
        <v>0.26433300000000004</v>
      </c>
      <c r="P2101" s="1720">
        <f>M2101*K2101</f>
        <v>0.17194332984000002</v>
      </c>
      <c r="Q2101" s="3396"/>
      <c r="R2101" s="2337"/>
      <c r="S2101" s="16"/>
      <c r="T2101" s="16"/>
      <c r="U2101" s="16"/>
      <c r="V2101" s="16"/>
    </row>
    <row r="2102" spans="1:22">
      <c r="A2102" s="1320"/>
      <c r="B2102" s="22"/>
      <c r="C2102" s="1042"/>
      <c r="D2102" s="1756" t="s">
        <v>1069</v>
      </c>
      <c r="E2102" s="1852" t="s">
        <v>1517</v>
      </c>
      <c r="F2102" s="1752" t="s">
        <v>1578</v>
      </c>
      <c r="G2102" s="1753">
        <v>0.61799999999999999</v>
      </c>
      <c r="H2102" s="1453">
        <f>$H$2100*G2102</f>
        <v>3.0899999999999999E-3</v>
      </c>
      <c r="I2102" s="197"/>
      <c r="J2102" s="198"/>
      <c r="K2102" s="1307">
        <f>H2102*$K$2092</f>
        <v>2.0099832E-3</v>
      </c>
      <c r="L2102" s="1335">
        <f>K2102*$K$1987</f>
        <v>0</v>
      </c>
      <c r="M2102" s="1723">
        <v>0.55000000000000004</v>
      </c>
      <c r="N2102" s="1718">
        <f>G2102*M2102</f>
        <v>0.33990000000000004</v>
      </c>
      <c r="O2102" s="1719">
        <f>H2102*M2102</f>
        <v>1.6995000000000001E-3</v>
      </c>
      <c r="P2102" s="1720">
        <f>M2102*K2102</f>
        <v>1.10549076E-3</v>
      </c>
      <c r="Q2102" s="3396"/>
      <c r="R2102" s="2337"/>
      <c r="S2102" s="16"/>
      <c r="T2102" s="16"/>
      <c r="U2102" s="16"/>
      <c r="V2102" s="16"/>
    </row>
    <row r="2103" spans="1:22">
      <c r="A2103" s="1320"/>
      <c r="B2103" s="22"/>
      <c r="C2103" s="1042"/>
      <c r="D2103" s="1757" t="s">
        <v>1067</v>
      </c>
      <c r="E2103" s="1853" t="s">
        <v>1508</v>
      </c>
      <c r="F2103" s="1754" t="s">
        <v>1512</v>
      </c>
      <c r="G2103" s="1755">
        <v>3</v>
      </c>
      <c r="H2103" s="1454">
        <f>$H$2100*G2103</f>
        <v>1.4999999999999999E-2</v>
      </c>
      <c r="I2103" s="1289"/>
      <c r="J2103" s="198"/>
      <c r="K2103" s="1307">
        <f>H2103*$K$2092</f>
        <v>9.7572000000000006E-3</v>
      </c>
      <c r="L2103" s="1335">
        <f>K2103*$K$1987</f>
        <v>0</v>
      </c>
      <c r="M2103" s="1723">
        <v>18.28</v>
      </c>
      <c r="N2103" s="1718">
        <f>G2103*M2103</f>
        <v>54.84</v>
      </c>
      <c r="O2103" s="1719">
        <f>H2103*M2103</f>
        <v>0.2742</v>
      </c>
      <c r="P2103" s="1720">
        <f>M2103*K2103</f>
        <v>0.17836161600000003</v>
      </c>
      <c r="Q2103" s="3396"/>
      <c r="R2103" s="2338"/>
      <c r="S2103" s="16"/>
      <c r="T2103" s="16"/>
      <c r="U2103" s="16"/>
      <c r="V2103" s="16"/>
    </row>
    <row r="2104" spans="1:22">
      <c r="A2104" s="1320"/>
      <c r="B2104" s="22"/>
      <c r="C2104" s="1356" t="s">
        <v>1790</v>
      </c>
      <c r="D2104" s="1311"/>
      <c r="E2104" s="2137" t="s">
        <v>1517</v>
      </c>
      <c r="F2104" s="1319" t="s">
        <v>1791</v>
      </c>
      <c r="G2104" s="1776"/>
      <c r="H2104" s="1353">
        <v>0.01</v>
      </c>
      <c r="I2104" s="1444"/>
      <c r="J2104" s="1388"/>
      <c r="K2104" s="1445"/>
      <c r="L2104" s="1457"/>
      <c r="M2104" s="1446"/>
      <c r="N2104" s="1447">
        <f>SUM(N2105:N2109)</f>
        <v>76.906580000000005</v>
      </c>
      <c r="O2104" s="1447">
        <f>SUM(O2105:O2109)</f>
        <v>0.76906580000000013</v>
      </c>
      <c r="P2104" s="1447">
        <f>SUM(P2105:P2109)</f>
        <v>0.50026192158400007</v>
      </c>
      <c r="Q2104" s="3391"/>
      <c r="R2104" s="2338"/>
      <c r="S2104" s="16"/>
      <c r="T2104" s="16"/>
      <c r="U2104" s="16"/>
      <c r="V2104" s="16"/>
    </row>
    <row r="2105" spans="1:22">
      <c r="A2105" s="1320"/>
      <c r="B2105" s="22"/>
      <c r="C2105" s="1327"/>
      <c r="D2105" s="1752" t="s">
        <v>1069</v>
      </c>
      <c r="E2105" s="1852" t="s">
        <v>1517</v>
      </c>
      <c r="F2105" s="1752" t="s">
        <v>1578</v>
      </c>
      <c r="G2105" s="1753">
        <v>0.2</v>
      </c>
      <c r="H2105" s="1367">
        <f>$H$2104*G2105</f>
        <v>2E-3</v>
      </c>
      <c r="I2105" s="197"/>
      <c r="J2105" s="198"/>
      <c r="K2105" s="1307">
        <f>H2105*$K$2092</f>
        <v>1.3009600000000001E-3</v>
      </c>
      <c r="L2105" s="1335">
        <f>K2105*$K$1987</f>
        <v>0</v>
      </c>
      <c r="M2105" s="1759">
        <v>0.55000000000000004</v>
      </c>
      <c r="N2105" s="1718">
        <f>G2105*M2105</f>
        <v>0.11000000000000001</v>
      </c>
      <c r="O2105" s="1719">
        <f>H2105*M2105</f>
        <v>1.1000000000000001E-3</v>
      </c>
      <c r="P2105" s="1720">
        <f>M2105*K2105</f>
        <v>7.1552800000000011E-4</v>
      </c>
      <c r="Q2105" s="3396"/>
      <c r="R2105" s="2338"/>
      <c r="S2105" s="16"/>
      <c r="T2105" s="16"/>
      <c r="U2105" s="16"/>
      <c r="V2105" s="16"/>
    </row>
    <row r="2106" spans="1:22">
      <c r="A2106" s="1320"/>
      <c r="B2106" s="22"/>
      <c r="C2106" s="1320"/>
      <c r="D2106" s="1752" t="s">
        <v>1792</v>
      </c>
      <c r="E2106" s="1852" t="s">
        <v>1577</v>
      </c>
      <c r="F2106" s="1752" t="s">
        <v>1793</v>
      </c>
      <c r="G2106" s="1753">
        <v>0.25</v>
      </c>
      <c r="H2106" s="1367">
        <f>$H$2104*G2106</f>
        <v>2.5000000000000001E-3</v>
      </c>
      <c r="I2106" s="197"/>
      <c r="J2106" s="198"/>
      <c r="K2106" s="1307">
        <f>H2106*$K$2092</f>
        <v>1.6262000000000002E-3</v>
      </c>
      <c r="L2106" s="1335">
        <f>K2106*$K$1987</f>
        <v>0</v>
      </c>
      <c r="M2106" s="1759">
        <v>85.09</v>
      </c>
      <c r="N2106" s="1718">
        <f>G2106*M2106</f>
        <v>21.272500000000001</v>
      </c>
      <c r="O2106" s="1719">
        <f>H2106*M2106</f>
        <v>0.21272500000000003</v>
      </c>
      <c r="P2106" s="1720">
        <f>M2106*K2106</f>
        <v>0.13837335800000003</v>
      </c>
      <c r="Q2106" s="3396"/>
      <c r="R2106" s="2338"/>
      <c r="S2106" s="16"/>
      <c r="T2106" s="16"/>
      <c r="U2106" s="16"/>
      <c r="V2106" s="16"/>
    </row>
    <row r="2107" spans="1:22">
      <c r="A2107" s="1320"/>
      <c r="B2107" s="22"/>
      <c r="C2107" s="1320"/>
      <c r="D2107" s="1752" t="s">
        <v>1394</v>
      </c>
      <c r="E2107" s="1852" t="s">
        <v>1577</v>
      </c>
      <c r="F2107" s="1752" t="s">
        <v>1579</v>
      </c>
      <c r="G2107" s="1753">
        <v>0.25</v>
      </c>
      <c r="H2107" s="1367">
        <f>$H$2104*G2107</f>
        <v>2.5000000000000001E-3</v>
      </c>
      <c r="I2107" s="197"/>
      <c r="J2107" s="198"/>
      <c r="K2107" s="1307">
        <f>H2107*$K$2092</f>
        <v>1.6262000000000002E-3</v>
      </c>
      <c r="L2107" s="1335">
        <f>K2107*$K$1987</f>
        <v>0</v>
      </c>
      <c r="M2107" s="1759">
        <v>92.54</v>
      </c>
      <c r="N2107" s="1718">
        <f>G2107*M2107</f>
        <v>23.135000000000002</v>
      </c>
      <c r="O2107" s="1719">
        <f>H2107*M2107</f>
        <v>0.23135000000000003</v>
      </c>
      <c r="P2107" s="1720">
        <f>M2107*K2107</f>
        <v>0.15048854800000003</v>
      </c>
      <c r="Q2107" s="3396"/>
      <c r="R2107" s="2343"/>
      <c r="S2107" s="16"/>
      <c r="T2107" s="16"/>
      <c r="U2107" s="16"/>
      <c r="V2107" s="16"/>
    </row>
    <row r="2108" spans="1:22">
      <c r="A2108" s="1320"/>
      <c r="B2108" s="22"/>
      <c r="C2108" s="1320"/>
      <c r="D2108" s="1752" t="s">
        <v>1576</v>
      </c>
      <c r="E2108" s="1852" t="s">
        <v>1517</v>
      </c>
      <c r="F2108" s="1752" t="s">
        <v>1580</v>
      </c>
      <c r="G2108" s="1753">
        <v>1.5</v>
      </c>
      <c r="H2108" s="1367">
        <f>$H$2104*G2108</f>
        <v>1.4999999999999999E-2</v>
      </c>
      <c r="I2108" s="197"/>
      <c r="J2108" s="198"/>
      <c r="K2108" s="1307">
        <f>H2108*$K$2092</f>
        <v>9.7572000000000006E-3</v>
      </c>
      <c r="L2108" s="1335">
        <f>K2108*$K$1987</f>
        <v>0</v>
      </c>
      <c r="M2108" s="1759">
        <v>6.53</v>
      </c>
      <c r="N2108" s="1718">
        <f>G2108*M2108</f>
        <v>9.7949999999999999</v>
      </c>
      <c r="O2108" s="1719">
        <f>H2108*M2108</f>
        <v>9.7949999999999995E-2</v>
      </c>
      <c r="P2108" s="1720">
        <f>M2108*K2108</f>
        <v>6.3714516000000013E-2</v>
      </c>
      <c r="Q2108" s="3396"/>
      <c r="R2108" s="2338"/>
      <c r="S2108" s="16"/>
      <c r="T2108" s="16"/>
      <c r="U2108" s="16"/>
      <c r="V2108" s="16"/>
    </row>
    <row r="2109" spans="1:22">
      <c r="A2109" s="1320"/>
      <c r="B2109" s="22"/>
      <c r="C2109" s="1320"/>
      <c r="D2109" s="1812" t="s">
        <v>1067</v>
      </c>
      <c r="E2109" s="2171" t="s">
        <v>1508</v>
      </c>
      <c r="F2109" s="1754" t="s">
        <v>1512</v>
      </c>
      <c r="G2109" s="1838">
        <v>1.236</v>
      </c>
      <c r="H2109" s="1454">
        <f>$H$2104*G2109</f>
        <v>1.2359999999999999E-2</v>
      </c>
      <c r="I2109" s="1289"/>
      <c r="J2109" s="1341"/>
      <c r="K2109" s="1307">
        <f>H2109*$K$2092</f>
        <v>8.0399327999999999E-3</v>
      </c>
      <c r="L2109" s="1335">
        <f>K2109*$K$1987</f>
        <v>0</v>
      </c>
      <c r="M2109" s="1759">
        <v>18.28</v>
      </c>
      <c r="N2109" s="1718">
        <f>G2109*M2109</f>
        <v>22.594080000000002</v>
      </c>
      <c r="O2109" s="1719">
        <f>H2109*M2109</f>
        <v>0.2259408</v>
      </c>
      <c r="P2109" s="1720">
        <f>M2109*K2109</f>
        <v>0.14696997158400002</v>
      </c>
      <c r="Q2109" s="3396"/>
      <c r="R2109" s="2338"/>
      <c r="S2109" s="16"/>
      <c r="T2109" s="16"/>
      <c r="U2109" s="16"/>
      <c r="V2109" s="16"/>
    </row>
    <row r="2110" spans="1:22">
      <c r="A2110" s="1320"/>
      <c r="B2110" s="22"/>
      <c r="C2110" s="1320"/>
      <c r="D2110" s="1752"/>
      <c r="E2110" s="1852"/>
      <c r="F2110" s="1752"/>
      <c r="G2110" s="1753"/>
      <c r="H2110" s="1367"/>
      <c r="I2110" s="197"/>
      <c r="J2110" s="198"/>
      <c r="K2110" s="1307"/>
      <c r="L2110" s="1335"/>
      <c r="M2110" s="1759"/>
      <c r="N2110" s="1718"/>
      <c r="O2110" s="1719"/>
      <c r="P2110" s="1720"/>
      <c r="Q2110" s="3396"/>
      <c r="R2110" s="2338"/>
      <c r="S2110" s="16"/>
      <c r="T2110" s="16"/>
      <c r="U2110" s="16"/>
      <c r="V2110" s="16"/>
    </row>
    <row r="2111" spans="1:22">
      <c r="A2111" s="1320"/>
      <c r="B2111" s="22"/>
      <c r="C2111" s="1320"/>
      <c r="D2111" s="1779"/>
      <c r="E2111" s="2168"/>
      <c r="F2111" s="1360" t="s">
        <v>2</v>
      </c>
      <c r="G2111" s="1780"/>
      <c r="H2111" s="1359"/>
      <c r="I2111" s="1380"/>
      <c r="J2111" s="1381"/>
      <c r="K2111" s="1679"/>
      <c r="L2111" s="1680"/>
      <c r="M2111" s="1781"/>
      <c r="N2111" s="1782"/>
      <c r="O2111" s="1782"/>
      <c r="P2111" s="1783"/>
      <c r="Q2111" s="3396"/>
      <c r="R2111" s="2338"/>
      <c r="S2111" s="16"/>
      <c r="T2111" s="16"/>
      <c r="U2111" s="16"/>
      <c r="V2111" s="16"/>
    </row>
    <row r="2112" spans="1:22">
      <c r="A2112" s="1320"/>
      <c r="B2112" s="22"/>
      <c r="C2112" s="1320"/>
      <c r="D2112" s="1437" t="s">
        <v>1153</v>
      </c>
      <c r="E2112" s="2134" t="s">
        <v>1508</v>
      </c>
      <c r="F2112" s="1788" t="s">
        <v>1783</v>
      </c>
      <c r="G2112" s="1789">
        <v>1.28</v>
      </c>
      <c r="H2112" s="1789"/>
      <c r="I2112" s="197"/>
      <c r="J2112" s="198"/>
      <c r="K2112" s="1307">
        <f>G2112*$K$2092</f>
        <v>0.83261440000000009</v>
      </c>
      <c r="L2112" s="1335">
        <f>K2112*$K$1987</f>
        <v>0</v>
      </c>
      <c r="M2112" s="1759">
        <v>19.23</v>
      </c>
      <c r="N2112" s="1718"/>
      <c r="O2112" s="1719">
        <f>(G2112*M2112)</f>
        <v>24.6144</v>
      </c>
      <c r="P2112" s="1720">
        <f>M2112*K2112</f>
        <v>16.011174912000001</v>
      </c>
      <c r="Q2112" s="3396"/>
      <c r="R2112" s="2338"/>
      <c r="S2112" s="16"/>
      <c r="T2112" s="16"/>
      <c r="U2112" s="16"/>
      <c r="V2112" s="16"/>
    </row>
    <row r="2113" spans="1:22">
      <c r="A2113" s="1320"/>
      <c r="B2113" s="1320"/>
      <c r="C2113" s="595"/>
      <c r="D2113" s="1437"/>
      <c r="E2113" s="2134"/>
      <c r="F2113" s="1790"/>
      <c r="G2113" s="1790"/>
      <c r="H2113" s="1791"/>
      <c r="I2113" s="197"/>
      <c r="J2113" s="198"/>
      <c r="K2113" s="1307"/>
      <c r="L2113" s="1335"/>
      <c r="M2113" s="1787"/>
      <c r="N2113" s="1718"/>
      <c r="O2113" s="1719"/>
      <c r="P2113" s="1720"/>
      <c r="Q2113" s="3396"/>
      <c r="R2113" s="2338"/>
      <c r="S2113" s="16"/>
      <c r="T2113" s="16"/>
      <c r="U2113" s="16"/>
      <c r="V2113" s="16"/>
    </row>
    <row r="2114" spans="1:22">
      <c r="A2114" s="1320"/>
      <c r="B2114" s="1320"/>
      <c r="C2114" s="595"/>
      <c r="D2114" s="1437"/>
      <c r="E2114" s="2134"/>
      <c r="F2114" s="1790"/>
      <c r="G2114" s="1790"/>
      <c r="H2114" s="1791"/>
      <c r="I2114" s="197"/>
      <c r="J2114" s="198"/>
      <c r="K2114" s="1307"/>
      <c r="L2114" s="1335"/>
      <c r="M2114" s="1787"/>
      <c r="N2114" s="1718"/>
      <c r="O2114" s="1719"/>
      <c r="P2114" s="1720"/>
      <c r="Q2114" s="3396"/>
      <c r="R2114" s="2338"/>
      <c r="S2114" s="16"/>
      <c r="T2114" s="16"/>
      <c r="U2114" s="16"/>
      <c r="V2114" s="16"/>
    </row>
    <row r="2115" spans="1:22">
      <c r="A2115" s="1320"/>
      <c r="B2115" s="1042"/>
      <c r="C2115" s="88"/>
      <c r="D2115" s="1373"/>
      <c r="E2115" s="2123"/>
      <c r="F2115" s="1374" t="s">
        <v>3</v>
      </c>
      <c r="G2115" s="1374"/>
      <c r="H2115" s="1376"/>
      <c r="I2115" s="1382"/>
      <c r="J2115" s="1383"/>
      <c r="K2115" s="1373"/>
      <c r="L2115" s="1413"/>
      <c r="M2115" s="1376"/>
      <c r="N2115" s="1376"/>
      <c r="O2115" s="1376"/>
      <c r="P2115" s="1413"/>
      <c r="Q2115" s="3387"/>
      <c r="R2115" s="2343"/>
      <c r="S2115" s="16"/>
      <c r="T2115" s="16"/>
      <c r="U2115" s="16"/>
      <c r="V2115" s="16"/>
    </row>
    <row r="2116" spans="1:22">
      <c r="A2116" s="1320"/>
      <c r="B2116" s="1042"/>
      <c r="C2116" s="88"/>
      <c r="D2116" s="1373"/>
      <c r="E2116" s="2123"/>
      <c r="F2116" s="1374"/>
      <c r="G2116" s="1374"/>
      <c r="H2116" s="1376"/>
      <c r="I2116" s="1382"/>
      <c r="J2116" s="1383"/>
      <c r="K2116" s="1373"/>
      <c r="L2116" s="1413"/>
      <c r="M2116" s="1376"/>
      <c r="N2116" s="1376"/>
      <c r="O2116" s="1376"/>
      <c r="P2116" s="1413"/>
      <c r="Q2116" s="3387"/>
      <c r="R2116" s="2343"/>
      <c r="S2116" s="16"/>
      <c r="T2116" s="16"/>
      <c r="U2116" s="16"/>
      <c r="V2116" s="16"/>
    </row>
    <row r="2117" spans="1:22">
      <c r="A2117" s="1320"/>
      <c r="B2117" s="1042"/>
      <c r="C2117" s="88"/>
      <c r="D2117" s="1373"/>
      <c r="E2117" s="2123"/>
      <c r="F2117" s="1374"/>
      <c r="G2117" s="1374"/>
      <c r="H2117" s="1376"/>
      <c r="I2117" s="1382"/>
      <c r="J2117" s="1383"/>
      <c r="K2117" s="1373"/>
      <c r="L2117" s="1413"/>
      <c r="M2117" s="1376"/>
      <c r="N2117" s="1376"/>
      <c r="O2117" s="1376"/>
      <c r="P2117" s="1413"/>
      <c r="Q2117" s="3387"/>
      <c r="R2117" s="2343"/>
      <c r="S2117" s="16"/>
      <c r="T2117" s="16"/>
      <c r="U2117" s="16"/>
      <c r="V2117" s="16"/>
    </row>
    <row r="2118" spans="1:22">
      <c r="A2118" s="1320"/>
      <c r="B2118" s="1042"/>
      <c r="C2118" s="88"/>
      <c r="D2118" s="1373"/>
      <c r="E2118" s="2123"/>
      <c r="F2118" s="1374"/>
      <c r="G2118" s="1374"/>
      <c r="H2118" s="1376"/>
      <c r="I2118" s="1382"/>
      <c r="J2118" s="1383"/>
      <c r="K2118" s="1373"/>
      <c r="L2118" s="1413"/>
      <c r="M2118" s="1376"/>
      <c r="N2118" s="1376"/>
      <c r="O2118" s="1376"/>
      <c r="P2118" s="1413"/>
      <c r="Q2118" s="3387"/>
      <c r="R2118" s="2343"/>
      <c r="S2118" s="16"/>
      <c r="T2118" s="16"/>
      <c r="U2118" s="16"/>
      <c r="V2118" s="16"/>
    </row>
    <row r="2119" spans="1:22">
      <c r="A2119" s="1042" t="s">
        <v>3764</v>
      </c>
      <c r="B2119" s="4367" t="s">
        <v>1737</v>
      </c>
      <c r="C2119" s="3350"/>
      <c r="D2119" s="4327"/>
      <c r="E2119" s="4329" t="s">
        <v>1527</v>
      </c>
      <c r="F2119" s="4461" t="s">
        <v>1773</v>
      </c>
      <c r="G2119" s="4331" t="s">
        <v>1568</v>
      </c>
      <c r="H2119" s="4331" t="s">
        <v>1574</v>
      </c>
      <c r="I2119" s="1572" t="s">
        <v>1559</v>
      </c>
      <c r="J2119" s="1294" t="s">
        <v>1560</v>
      </c>
      <c r="K2119" s="1294" t="s">
        <v>1561</v>
      </c>
      <c r="L2119" s="4333" t="s">
        <v>3765</v>
      </c>
      <c r="M2119" s="4323" t="s">
        <v>1571</v>
      </c>
      <c r="N2119" s="4323" t="s">
        <v>1776</v>
      </c>
      <c r="O2119" s="3347" t="s">
        <v>1563</v>
      </c>
      <c r="P2119" s="1336" t="s">
        <v>1562</v>
      </c>
      <c r="Q2119" s="3389"/>
      <c r="R2119" s="1839" t="s">
        <v>1327</v>
      </c>
      <c r="S2119" s="16"/>
      <c r="T2119" s="16"/>
      <c r="U2119" s="16"/>
      <c r="V2119" s="16"/>
    </row>
    <row r="2120" spans="1:22">
      <c r="A2120" s="1660" t="s">
        <v>1865</v>
      </c>
      <c r="B2120" s="4369"/>
      <c r="C2120" s="3351"/>
      <c r="D2120" s="4328"/>
      <c r="E2120" s="4330"/>
      <c r="F2120" s="4462"/>
      <c r="G2120" s="4332"/>
      <c r="H2120" s="4332"/>
      <c r="I2120" s="1345">
        <v>17.12</v>
      </c>
      <c r="J2120" s="1307">
        <v>2E-3</v>
      </c>
      <c r="K2120" s="1307">
        <f>I2120*J2120</f>
        <v>3.424E-2</v>
      </c>
      <c r="L2120" s="4334"/>
      <c r="M2120" s="4324"/>
      <c r="N2120" s="4324"/>
      <c r="O2120" s="1298">
        <f>O2122+O2123+O2124+O2125+O2129+O2133+O2141+O2142+O2143</f>
        <v>55.308563800000002</v>
      </c>
      <c r="P2120" s="1337">
        <f>K2120*O2120</f>
        <v>1.893765224512</v>
      </c>
      <c r="Q2120" s="3390"/>
      <c r="R2120" s="1840">
        <f>P2122+P2123+P2124+P2125+P2129+P2133+P2141+P2142+P2143</f>
        <v>1.8937652245119998</v>
      </c>
      <c r="S2120" s="16"/>
      <c r="T2120" s="16"/>
      <c r="U2120" s="16"/>
      <c r="V2120" s="16"/>
    </row>
    <row r="2121" spans="1:22">
      <c r="A2121" s="16"/>
      <c r="B2121" s="18"/>
      <c r="D2121" s="1449"/>
      <c r="E2121" s="2121"/>
      <c r="F2121" s="1368" t="s">
        <v>1</v>
      </c>
      <c r="G2121" s="1368"/>
      <c r="H2121" s="1369"/>
      <c r="I2121" s="1409"/>
      <c r="J2121" s="1391"/>
      <c r="K2121" s="1367"/>
      <c r="L2121" s="1554"/>
      <c r="M2121" s="1369"/>
      <c r="N2121" s="1369"/>
      <c r="O2121" s="1369"/>
      <c r="P2121" s="1367"/>
      <c r="Q2121" s="3387"/>
      <c r="R2121" s="2343"/>
      <c r="S2121" s="16"/>
      <c r="T2121" s="16"/>
      <c r="U2121" s="16"/>
      <c r="V2121" s="16"/>
    </row>
    <row r="2122" spans="1:22">
      <c r="A2122" s="16"/>
      <c r="B2122" s="1042"/>
      <c r="D2122" s="1450" t="s">
        <v>1075</v>
      </c>
      <c r="E2122" s="1856" t="s">
        <v>1357</v>
      </c>
      <c r="F2122" s="1397" t="s">
        <v>1532</v>
      </c>
      <c r="G2122" s="1372">
        <v>0.1</v>
      </c>
      <c r="H2122" s="1372"/>
      <c r="I2122" s="1286"/>
      <c r="J2122" s="198"/>
      <c r="K2122" s="1307">
        <f>G2122*$K$2120</f>
        <v>3.424E-3</v>
      </c>
      <c r="L2122" s="1335">
        <f>K2122*$K$1987</f>
        <v>0</v>
      </c>
      <c r="M2122" s="1302">
        <v>0.81</v>
      </c>
      <c r="N2122" s="1700"/>
      <c r="O2122" s="1290">
        <f>G2122*M2122</f>
        <v>8.1000000000000016E-2</v>
      </c>
      <c r="P2122" s="1739">
        <f>M2122*K2122</f>
        <v>2.7734400000000003E-3</v>
      </c>
      <c r="Q2122" s="3391"/>
      <c r="R2122" s="2343"/>
      <c r="S2122" s="17"/>
      <c r="T2122" s="17"/>
      <c r="U2122" s="16"/>
      <c r="V2122" s="16"/>
    </row>
    <row r="2123" spans="1:22">
      <c r="A2123" s="16"/>
      <c r="B2123" s="1042"/>
      <c r="D2123" s="1767" t="s">
        <v>1784</v>
      </c>
      <c r="E2123" s="1849" t="s">
        <v>1521</v>
      </c>
      <c r="F2123" s="1654" t="s">
        <v>1785</v>
      </c>
      <c r="G2123" s="1567">
        <v>1E-3</v>
      </c>
      <c r="H2123" s="1567"/>
      <c r="I2123" s="1286"/>
      <c r="J2123" s="198"/>
      <c r="K2123" s="1307">
        <f>G2123*$K$2120</f>
        <v>3.4239999999999997E-5</v>
      </c>
      <c r="L2123" s="1335">
        <f>K2123*$K$1987</f>
        <v>0</v>
      </c>
      <c r="M2123" s="1499">
        <v>236.83</v>
      </c>
      <c r="N2123" s="1700"/>
      <c r="O2123" s="1290">
        <f>G2123*M2123</f>
        <v>0.23683000000000001</v>
      </c>
      <c r="P2123" s="1332">
        <f>M2123*K2123</f>
        <v>8.1090591999999993E-3</v>
      </c>
      <c r="Q2123" s="3391"/>
      <c r="R2123" s="2343"/>
      <c r="S2123" s="105"/>
      <c r="T2123" s="105"/>
      <c r="U2123" s="16"/>
      <c r="V2123" s="16"/>
    </row>
    <row r="2124" spans="1:22">
      <c r="A2124" s="16"/>
      <c r="B2124" s="1042"/>
      <c r="D2124" s="1769" t="s">
        <v>1786</v>
      </c>
      <c r="E2124" s="1850" t="s">
        <v>1787</v>
      </c>
      <c r="F2124" s="1770" t="s">
        <v>1788</v>
      </c>
      <c r="G2124" s="1771">
        <v>1.1000000000000001</v>
      </c>
      <c r="H2124" s="1771"/>
      <c r="I2124" s="1286"/>
      <c r="J2124" s="198"/>
      <c r="K2124" s="1307">
        <f>G2124*$K$2120</f>
        <v>3.7664000000000003E-2</v>
      </c>
      <c r="L2124" s="1335">
        <f>K2124*$K$1987</f>
        <v>0</v>
      </c>
      <c r="M2124" s="1302">
        <v>1.53</v>
      </c>
      <c r="N2124" s="1700"/>
      <c r="O2124" s="1290">
        <f>G2124*M2124</f>
        <v>1.6830000000000003</v>
      </c>
      <c r="P2124" s="1332">
        <f>M2124*K2124</f>
        <v>5.7625920000000004E-2</v>
      </c>
      <c r="Q2124" s="3391"/>
      <c r="R2124" s="2343"/>
      <c r="S2124" s="16"/>
      <c r="T2124" s="16"/>
      <c r="U2124" s="16"/>
      <c r="V2124" s="16"/>
    </row>
    <row r="2125" spans="1:22">
      <c r="A2125" s="16"/>
      <c r="B2125" s="1042"/>
      <c r="C2125" s="1356" t="s">
        <v>1128</v>
      </c>
      <c r="D2125" s="1585"/>
      <c r="E2125" s="1851" t="s">
        <v>1517</v>
      </c>
      <c r="F2125" s="1768" t="s">
        <v>1695</v>
      </c>
      <c r="G2125" s="1776"/>
      <c r="H2125" s="1776">
        <v>1.4999999999999999E-2</v>
      </c>
      <c r="I2125" s="1388"/>
      <c r="J2125" s="1366"/>
      <c r="K2125" s="1510"/>
      <c r="L2125" s="1445"/>
      <c r="M2125" s="1447"/>
      <c r="N2125" s="1447">
        <f>SUM(N2126:N2128)</f>
        <v>104.27969999999999</v>
      </c>
      <c r="O2125" s="1447">
        <f>SUM(O2126:O2128)</f>
        <v>1.5641954999999998</v>
      </c>
      <c r="P2125" s="1446">
        <f>SUM(P2126:P2128)</f>
        <v>5.3558053919999994E-2</v>
      </c>
      <c r="Q2125" s="3391"/>
      <c r="R2125" s="2343"/>
      <c r="S2125" s="16"/>
      <c r="T2125" s="16"/>
      <c r="U2125" s="16"/>
      <c r="V2125" s="16"/>
    </row>
    <row r="2126" spans="1:22">
      <c r="A2126" s="16"/>
      <c r="B2126" s="553"/>
      <c r="C2126" s="1042"/>
      <c r="D2126" s="1752" t="s">
        <v>1779</v>
      </c>
      <c r="E2126" s="1852" t="s">
        <v>1577</v>
      </c>
      <c r="F2126" s="1752" t="s">
        <v>1780</v>
      </c>
      <c r="G2126" s="1753">
        <v>0.876</v>
      </c>
      <c r="H2126" s="1453">
        <f>$H$2125*G2126</f>
        <v>1.3139999999999999E-2</v>
      </c>
      <c r="I2126" s="197"/>
      <c r="J2126" s="198"/>
      <c r="K2126" s="1307">
        <f>H2126*$K$2120</f>
        <v>4.4991359999999996E-4</v>
      </c>
      <c r="L2126" s="1335">
        <f>K2126*$K$1987</f>
        <v>0</v>
      </c>
      <c r="M2126" s="1759">
        <v>56.05</v>
      </c>
      <c r="N2126" s="1718">
        <f>G2126*M2126</f>
        <v>49.099799999999995</v>
      </c>
      <c r="O2126" s="1719">
        <f>H2126*M2126</f>
        <v>0.73649699999999985</v>
      </c>
      <c r="P2126" s="1720">
        <f>M2126*K2126</f>
        <v>2.5217657279999996E-2</v>
      </c>
      <c r="Q2126" s="3396"/>
      <c r="R2126" s="2343"/>
      <c r="S2126" s="16"/>
      <c r="T2126" s="16"/>
      <c r="U2126" s="16"/>
      <c r="V2126" s="16"/>
    </row>
    <row r="2127" spans="1:22">
      <c r="A2127" s="16"/>
      <c r="B2127" s="553"/>
      <c r="C2127" s="1042"/>
      <c r="D2127" s="1752" t="s">
        <v>1069</v>
      </c>
      <c r="E2127" s="1852" t="s">
        <v>1517</v>
      </c>
      <c r="F2127" s="1752" t="s">
        <v>1578</v>
      </c>
      <c r="G2127" s="1753">
        <v>0.61799999999999999</v>
      </c>
      <c r="H2127" s="1453">
        <f>$H$2125*G2127</f>
        <v>9.2699999999999987E-3</v>
      </c>
      <c r="I2127" s="27"/>
      <c r="J2127" s="10"/>
      <c r="K2127" s="1307">
        <f>H2127*$K$2120</f>
        <v>3.1740479999999997E-4</v>
      </c>
      <c r="L2127" s="1335">
        <f>K2127*$K$1987</f>
        <v>0</v>
      </c>
      <c r="M2127" s="1759">
        <v>0.55000000000000004</v>
      </c>
      <c r="N2127" s="1718">
        <f>G2127*M2127</f>
        <v>0.33990000000000004</v>
      </c>
      <c r="O2127" s="1719">
        <f>H2127*M2127</f>
        <v>5.0984999999999997E-3</v>
      </c>
      <c r="P2127" s="1720">
        <f>M2127*K2127</f>
        <v>1.7457264E-4</v>
      </c>
      <c r="Q2127" s="3396"/>
      <c r="R2127" s="2343"/>
      <c r="S2127" s="16"/>
      <c r="T2127" s="16"/>
      <c r="U2127" s="16"/>
      <c r="V2127" s="16"/>
    </row>
    <row r="2128" spans="1:22">
      <c r="A2128" s="16"/>
      <c r="B2128" s="553"/>
      <c r="C2128" s="1042"/>
      <c r="D2128" s="1754" t="s">
        <v>1067</v>
      </c>
      <c r="E2128" s="1853" t="s">
        <v>1508</v>
      </c>
      <c r="F2128" s="1754" t="s">
        <v>1512</v>
      </c>
      <c r="G2128" s="1755">
        <v>3</v>
      </c>
      <c r="H2128" s="1454">
        <f>$H$2125*G2128</f>
        <v>4.4999999999999998E-2</v>
      </c>
      <c r="I2128" s="198"/>
      <c r="J2128" s="198"/>
      <c r="K2128" s="1307">
        <f>H2128*$K$2120</f>
        <v>1.5407999999999999E-3</v>
      </c>
      <c r="L2128" s="1335">
        <f>K2128*$K$1987</f>
        <v>0</v>
      </c>
      <c r="M2128" s="1759">
        <v>18.28</v>
      </c>
      <c r="N2128" s="1718">
        <f>G2128*M2128</f>
        <v>54.84</v>
      </c>
      <c r="O2128" s="1719">
        <f>H2128*M2128</f>
        <v>0.8226</v>
      </c>
      <c r="P2128" s="1720">
        <f>M2128*K2128</f>
        <v>2.8165823999999999E-2</v>
      </c>
      <c r="Q2128" s="3396"/>
      <c r="R2128" s="2343"/>
      <c r="S2128" s="16"/>
      <c r="T2128" s="16"/>
      <c r="U2128" s="16"/>
      <c r="V2128" s="16"/>
    </row>
    <row r="2129" spans="1:22">
      <c r="A2129" s="16"/>
      <c r="B2129" s="553"/>
      <c r="C2129" s="1356" t="s">
        <v>1152</v>
      </c>
      <c r="D2129" s="1311"/>
      <c r="E2129" s="1854" t="s">
        <v>1517</v>
      </c>
      <c r="F2129" s="1749" t="s">
        <v>1696</v>
      </c>
      <c r="G2129" s="1776"/>
      <c r="H2129" s="1688">
        <v>5.0000000000000001E-3</v>
      </c>
      <c r="I2129" s="1388"/>
      <c r="J2129" s="1388"/>
      <c r="K2129" s="1510"/>
      <c r="L2129" s="1445"/>
      <c r="M2129" s="1447"/>
      <c r="N2129" s="1447">
        <f>SUM(N2130:N2132)</f>
        <v>108.04650000000001</v>
      </c>
      <c r="O2129" s="1447">
        <f>SUM(O2130:O2132)</f>
        <v>0.54023250000000012</v>
      </c>
      <c r="P2129" s="1446">
        <f>SUM(P2130:P2132)</f>
        <v>1.84975608E-2</v>
      </c>
      <c r="Q2129" s="3391"/>
      <c r="R2129" s="2343"/>
      <c r="S2129" s="16"/>
      <c r="T2129" s="16"/>
      <c r="U2129" s="16"/>
      <c r="V2129" s="16"/>
    </row>
    <row r="2130" spans="1:22">
      <c r="A2130" s="16"/>
      <c r="B2130" s="553"/>
      <c r="C2130" s="18"/>
      <c r="D2130" s="1756" t="s">
        <v>1781</v>
      </c>
      <c r="E2130" s="1852" t="s">
        <v>1577</v>
      </c>
      <c r="F2130" s="1752" t="s">
        <v>1782</v>
      </c>
      <c r="G2130" s="1753">
        <v>0.876</v>
      </c>
      <c r="H2130" s="1453">
        <f>$H$2129*G2130</f>
        <v>4.3800000000000002E-3</v>
      </c>
      <c r="I2130" s="198"/>
      <c r="J2130" s="198"/>
      <c r="K2130" s="1307">
        <f>H2130*$K$2120</f>
        <v>1.4997120000000001E-4</v>
      </c>
      <c r="L2130" s="1335">
        <f>K2130*$K$1987</f>
        <v>0</v>
      </c>
      <c r="M2130" s="1723">
        <v>60.35</v>
      </c>
      <c r="N2130" s="1718">
        <f>G2130*M2130</f>
        <v>52.866599999999998</v>
      </c>
      <c r="O2130" s="1719">
        <f>H2130*M2130</f>
        <v>0.26433300000000004</v>
      </c>
      <c r="P2130" s="1720">
        <f>M2130*K2130</f>
        <v>9.0507619200000007E-3</v>
      </c>
      <c r="Q2130" s="3396"/>
      <c r="R2130" s="2343"/>
      <c r="S2130" s="16"/>
      <c r="T2130" s="16"/>
      <c r="U2130" s="16"/>
      <c r="V2130" s="16"/>
    </row>
    <row r="2131" spans="1:22">
      <c r="A2131" s="16"/>
      <c r="B2131" s="553"/>
      <c r="C2131" s="1042"/>
      <c r="D2131" s="1756" t="s">
        <v>1069</v>
      </c>
      <c r="E2131" s="1852" t="s">
        <v>1517</v>
      </c>
      <c r="F2131" s="1752" t="s">
        <v>1578</v>
      </c>
      <c r="G2131" s="1753">
        <v>0.61799999999999999</v>
      </c>
      <c r="H2131" s="1453">
        <f>$H$2129*G2131</f>
        <v>3.0899999999999999E-3</v>
      </c>
      <c r="I2131" s="197"/>
      <c r="J2131" s="198"/>
      <c r="K2131" s="1307">
        <f>H2131*$K$2120</f>
        <v>1.058016E-4</v>
      </c>
      <c r="L2131" s="1335">
        <f>K2131*$K$1987</f>
        <v>0</v>
      </c>
      <c r="M2131" s="1723">
        <v>0.55000000000000004</v>
      </c>
      <c r="N2131" s="1718">
        <f>G2131*M2131</f>
        <v>0.33990000000000004</v>
      </c>
      <c r="O2131" s="1719">
        <f>H2131*M2131</f>
        <v>1.6995000000000001E-3</v>
      </c>
      <c r="P2131" s="1720">
        <f>M2131*K2131</f>
        <v>5.8190880000000004E-5</v>
      </c>
      <c r="Q2131" s="3396"/>
      <c r="R2131" s="2343"/>
      <c r="S2131" s="16"/>
      <c r="T2131" s="16"/>
      <c r="U2131" s="16"/>
      <c r="V2131" s="16"/>
    </row>
    <row r="2132" spans="1:22">
      <c r="A2132" s="16"/>
      <c r="B2132" s="553"/>
      <c r="C2132" s="1042"/>
      <c r="D2132" s="1811" t="s">
        <v>1067</v>
      </c>
      <c r="E2132" s="1853" t="s">
        <v>1508</v>
      </c>
      <c r="F2132" s="1754" t="s">
        <v>1512</v>
      </c>
      <c r="G2132" s="1755">
        <v>3</v>
      </c>
      <c r="H2132" s="1454">
        <f>$H$2129*G2132</f>
        <v>1.4999999999999999E-2</v>
      </c>
      <c r="I2132" s="1289"/>
      <c r="J2132" s="198"/>
      <c r="K2132" s="1307">
        <f>H2132*$K$2120</f>
        <v>5.1360000000000002E-4</v>
      </c>
      <c r="L2132" s="1335">
        <f>K2132*$K$1987</f>
        <v>0</v>
      </c>
      <c r="M2132" s="1723">
        <v>18.28</v>
      </c>
      <c r="N2132" s="1718">
        <f>G2132*M2132</f>
        <v>54.84</v>
      </c>
      <c r="O2132" s="1719">
        <f>H2132*M2132</f>
        <v>0.2742</v>
      </c>
      <c r="P2132" s="1720">
        <f>M2132*K2132</f>
        <v>9.3886080000000014E-3</v>
      </c>
      <c r="Q2132" s="3396"/>
      <c r="R2132" s="2343"/>
      <c r="S2132" s="16"/>
      <c r="T2132" s="16"/>
      <c r="U2132" s="16"/>
      <c r="V2132" s="16"/>
    </row>
    <row r="2133" spans="1:22">
      <c r="A2133" s="16"/>
      <c r="B2133" s="1042"/>
      <c r="C2133" s="1356" t="s">
        <v>1790</v>
      </c>
      <c r="D2133" s="1311"/>
      <c r="E2133" s="2137" t="s">
        <v>1517</v>
      </c>
      <c r="F2133" s="1343" t="s">
        <v>1791</v>
      </c>
      <c r="G2133" s="1776"/>
      <c r="H2133" s="1344">
        <v>0.01</v>
      </c>
      <c r="I2133" s="1444"/>
      <c r="J2133" s="1388"/>
      <c r="K2133" s="1445"/>
      <c r="L2133" s="1457"/>
      <c r="M2133" s="1446"/>
      <c r="N2133" s="1447">
        <f>SUM(N2134:N2138)</f>
        <v>76.906580000000005</v>
      </c>
      <c r="O2133" s="1447">
        <f>SUM(O2134:O2138)</f>
        <v>0.76906580000000013</v>
      </c>
      <c r="P2133" s="1447">
        <f>SUM(P2134:P2138)</f>
        <v>2.6332812992E-2</v>
      </c>
      <c r="Q2133" s="3391"/>
      <c r="R2133" s="2343"/>
      <c r="S2133" s="16"/>
      <c r="T2133" s="16"/>
      <c r="U2133" s="16"/>
      <c r="V2133" s="16"/>
    </row>
    <row r="2134" spans="1:22">
      <c r="A2134" s="16"/>
      <c r="B2134" s="1042"/>
      <c r="C2134" s="1327"/>
      <c r="D2134" s="1752" t="s">
        <v>1069</v>
      </c>
      <c r="E2134" s="1852" t="s">
        <v>1517</v>
      </c>
      <c r="F2134" s="1784" t="s">
        <v>1578</v>
      </c>
      <c r="G2134" s="1399">
        <v>0.2</v>
      </c>
      <c r="H2134" s="1399">
        <f>$H$2133*G2134</f>
        <v>2E-3</v>
      </c>
      <c r="I2134" s="197"/>
      <c r="J2134" s="198"/>
      <c r="K2134" s="1307">
        <f>H2134*$K$2120</f>
        <v>6.8479999999999995E-5</v>
      </c>
      <c r="L2134" s="1335">
        <f>K2134*$K$1987</f>
        <v>0</v>
      </c>
      <c r="M2134" s="1499">
        <v>0.55000000000000004</v>
      </c>
      <c r="N2134" s="1718">
        <f>G2134*M2134</f>
        <v>0.11000000000000001</v>
      </c>
      <c r="O2134" s="1719">
        <f>H2134*M2134</f>
        <v>1.1000000000000001E-3</v>
      </c>
      <c r="P2134" s="1720">
        <f>M2134*K2134</f>
        <v>3.7663999999999997E-5</v>
      </c>
      <c r="Q2134" s="3396"/>
      <c r="R2134" s="2338"/>
      <c r="S2134" s="16"/>
      <c r="T2134" s="16"/>
      <c r="U2134" s="16"/>
      <c r="V2134" s="16"/>
    </row>
    <row r="2135" spans="1:22">
      <c r="A2135" s="16"/>
      <c r="B2135" s="1042"/>
      <c r="C2135" s="1320"/>
      <c r="D2135" s="1752" t="s">
        <v>1792</v>
      </c>
      <c r="E2135" s="1852" t="s">
        <v>1577</v>
      </c>
      <c r="F2135" s="1752" t="s">
        <v>1793</v>
      </c>
      <c r="G2135" s="1399">
        <v>0.25</v>
      </c>
      <c r="H2135" s="1399">
        <f>$H$2133*G2135</f>
        <v>2.5000000000000001E-3</v>
      </c>
      <c r="I2135" s="197"/>
      <c r="J2135" s="198"/>
      <c r="K2135" s="1307">
        <f>H2135*$K$2120</f>
        <v>8.5600000000000007E-5</v>
      </c>
      <c r="L2135" s="1335">
        <f>K2135*$K$1987</f>
        <v>0</v>
      </c>
      <c r="M2135" s="1499">
        <v>85.09</v>
      </c>
      <c r="N2135" s="1718">
        <f>G2135*M2135</f>
        <v>21.272500000000001</v>
      </c>
      <c r="O2135" s="1719">
        <f>H2135*M2135</f>
        <v>0.21272500000000003</v>
      </c>
      <c r="P2135" s="1720">
        <f>M2135*K2135</f>
        <v>7.2837040000000011E-3</v>
      </c>
      <c r="Q2135" s="3396"/>
      <c r="R2135" s="2338"/>
      <c r="S2135" s="16"/>
      <c r="T2135" s="16"/>
      <c r="U2135" s="16"/>
      <c r="V2135" s="16"/>
    </row>
    <row r="2136" spans="1:22">
      <c r="A2136" s="16"/>
      <c r="B2136" s="1042"/>
      <c r="C2136" s="1320"/>
      <c r="D2136" s="1752" t="s">
        <v>1394</v>
      </c>
      <c r="E2136" s="1852" t="s">
        <v>1577</v>
      </c>
      <c r="F2136" s="1752" t="s">
        <v>1579</v>
      </c>
      <c r="G2136" s="1399">
        <v>0.25</v>
      </c>
      <c r="H2136" s="1399">
        <f>$H$2133*G2136</f>
        <v>2.5000000000000001E-3</v>
      </c>
      <c r="I2136" s="197"/>
      <c r="J2136" s="198"/>
      <c r="K2136" s="1307">
        <f>H2136*$K$2120</f>
        <v>8.5600000000000007E-5</v>
      </c>
      <c r="L2136" s="1335">
        <f>K2136*$K$1987</f>
        <v>0</v>
      </c>
      <c r="M2136" s="1499">
        <v>92.54</v>
      </c>
      <c r="N2136" s="1718">
        <f>G2136*M2136</f>
        <v>23.135000000000002</v>
      </c>
      <c r="O2136" s="1719">
        <f>H2136*M2136</f>
        <v>0.23135000000000003</v>
      </c>
      <c r="P2136" s="1720">
        <f>M2136*K2136</f>
        <v>7.9214240000000016E-3</v>
      </c>
      <c r="Q2136" s="3396"/>
      <c r="R2136" s="2338"/>
      <c r="S2136" s="16"/>
      <c r="T2136" s="16"/>
      <c r="U2136" s="16"/>
      <c r="V2136" s="16"/>
    </row>
    <row r="2137" spans="1:22">
      <c r="A2137" s="16"/>
      <c r="B2137" s="1042"/>
      <c r="C2137" s="1320"/>
      <c r="D2137" s="1752" t="s">
        <v>1576</v>
      </c>
      <c r="E2137" s="1852" t="s">
        <v>1517</v>
      </c>
      <c r="F2137" s="1752" t="s">
        <v>1580</v>
      </c>
      <c r="G2137" s="1399">
        <v>1.5</v>
      </c>
      <c r="H2137" s="1399">
        <f>$H$2133*G2137</f>
        <v>1.4999999999999999E-2</v>
      </c>
      <c r="I2137" s="197"/>
      <c r="J2137" s="198"/>
      <c r="K2137" s="1307">
        <f>H2137*$K$2120</f>
        <v>5.1360000000000002E-4</v>
      </c>
      <c r="L2137" s="1335">
        <f>K2137*$K$1987</f>
        <v>0</v>
      </c>
      <c r="M2137" s="1499">
        <v>6.53</v>
      </c>
      <c r="N2137" s="1718">
        <f>G2137*M2137</f>
        <v>9.7949999999999999</v>
      </c>
      <c r="O2137" s="1719">
        <f>H2137*M2137</f>
        <v>9.7949999999999995E-2</v>
      </c>
      <c r="P2137" s="1720">
        <f>M2137*K2137</f>
        <v>3.3538080000000002E-3</v>
      </c>
      <c r="Q2137" s="3396"/>
      <c r="R2137" s="2338"/>
      <c r="S2137" s="16"/>
      <c r="T2137" s="16"/>
      <c r="U2137" s="16"/>
      <c r="V2137" s="16"/>
    </row>
    <row r="2138" spans="1:22">
      <c r="A2138" s="16"/>
      <c r="B2138" s="1042"/>
      <c r="C2138" s="1320"/>
      <c r="D2138" s="1754" t="s">
        <v>1067</v>
      </c>
      <c r="E2138" s="1853" t="s">
        <v>1508</v>
      </c>
      <c r="F2138" s="1754" t="s">
        <v>1512</v>
      </c>
      <c r="G2138" s="1408">
        <v>1.236</v>
      </c>
      <c r="H2138" s="1408">
        <f>$H$2133*G2138</f>
        <v>1.2359999999999999E-2</v>
      </c>
      <c r="I2138" s="197"/>
      <c r="J2138" s="198"/>
      <c r="K2138" s="1307">
        <f>H2138*$K$2120</f>
        <v>4.232064E-4</v>
      </c>
      <c r="L2138" s="1335">
        <f>K2138*$K$1987</f>
        <v>0</v>
      </c>
      <c r="M2138" s="1499">
        <v>18.28</v>
      </c>
      <c r="N2138" s="1718">
        <f>G2138*M2138</f>
        <v>22.594080000000002</v>
      </c>
      <c r="O2138" s="1719">
        <f>H2138*M2138</f>
        <v>0.2259408</v>
      </c>
      <c r="P2138" s="1720">
        <f>M2138*K2138</f>
        <v>7.7362129920000005E-3</v>
      </c>
      <c r="Q2138" s="3396"/>
      <c r="R2138" s="2338"/>
      <c r="S2138" s="16"/>
      <c r="T2138" s="16"/>
      <c r="U2138" s="16"/>
      <c r="V2138" s="16"/>
    </row>
    <row r="2139" spans="1:22">
      <c r="A2139" s="16"/>
      <c r="B2139" s="1042"/>
      <c r="C2139" s="88"/>
      <c r="D2139" s="1752"/>
      <c r="E2139" s="1852"/>
      <c r="F2139" s="1752"/>
      <c r="G2139" s="1399"/>
      <c r="H2139" s="1399"/>
      <c r="I2139" s="197" t="str">
        <f ca="1">IF(COUNT(H2139:O2139)=0,"",(SUM(H2139:O2139)/COUNT(H2139:O2139)))</f>
        <v/>
      </c>
      <c r="J2139" s="198"/>
      <c r="K2139" s="1307"/>
      <c r="L2139" s="1335"/>
      <c r="M2139" s="1499"/>
      <c r="N2139" s="1718"/>
      <c r="O2139" s="1719"/>
      <c r="P2139" s="1720"/>
      <c r="Q2139" s="3396"/>
      <c r="R2139" s="2338"/>
      <c r="S2139" s="16"/>
      <c r="T2139" s="16"/>
      <c r="U2139" s="16"/>
      <c r="V2139" s="16"/>
    </row>
    <row r="2140" spans="1:22">
      <c r="A2140" s="16"/>
      <c r="B2140" s="1042"/>
      <c r="C2140" s="88"/>
      <c r="D2140" s="1359"/>
      <c r="E2140" s="1858"/>
      <c r="F2140" s="1360" t="s">
        <v>2</v>
      </c>
      <c r="G2140" s="1360"/>
      <c r="H2140" s="1362"/>
      <c r="I2140" s="1380" t="str">
        <f ca="1">IF(COUNT(H2140:O2140)=0,"",(SUM(H2140:O2140)/COUNT(H2140:O2140)))</f>
        <v/>
      </c>
      <c r="J2140" s="1381"/>
      <c r="K2140" s="1359"/>
      <c r="L2140" s="1458"/>
      <c r="M2140" s="1362"/>
      <c r="N2140" s="1362"/>
      <c r="O2140" s="1362"/>
      <c r="P2140" s="1458"/>
      <c r="Q2140" s="3387"/>
      <c r="R2140" s="2343"/>
      <c r="S2140" s="16"/>
      <c r="T2140" s="16"/>
      <c r="U2140" s="16"/>
      <c r="V2140" s="16"/>
    </row>
    <row r="2141" spans="1:22">
      <c r="A2141" s="16"/>
      <c r="B2141" s="1320"/>
      <c r="C2141" s="1042"/>
      <c r="D2141" s="1437" t="s">
        <v>1153</v>
      </c>
      <c r="E2141" s="2134" t="s">
        <v>1508</v>
      </c>
      <c r="F2141" s="1438" t="s">
        <v>1783</v>
      </c>
      <c r="G2141" s="1439">
        <v>1.5129999999999999</v>
      </c>
      <c r="H2141" s="1439"/>
      <c r="I2141" s="197"/>
      <c r="J2141" s="198"/>
      <c r="K2141" s="1307">
        <f>G2141*$K$2120</f>
        <v>5.1805119999999996E-2</v>
      </c>
      <c r="L2141" s="1335">
        <f>K2141*$K$1987</f>
        <v>0</v>
      </c>
      <c r="M2141" s="1499">
        <v>19.23</v>
      </c>
      <c r="N2141" s="1701"/>
      <c r="O2141" s="1290">
        <f>(G2141*M2141)</f>
        <v>29.094989999999999</v>
      </c>
      <c r="P2141" s="1332">
        <f>M2141*K2141</f>
        <v>0.99621245759999999</v>
      </c>
      <c r="Q2141" s="3391"/>
      <c r="R2141" s="3363"/>
      <c r="S2141" s="16"/>
      <c r="T2141" s="16"/>
      <c r="U2141" s="16"/>
      <c r="V2141" s="16"/>
    </row>
    <row r="2142" spans="1:22">
      <c r="A2142" s="16"/>
      <c r="B2142" s="1042"/>
      <c r="C2142" s="88"/>
      <c r="D2142" s="1363" t="s">
        <v>1067</v>
      </c>
      <c r="E2142" s="2125" t="s">
        <v>1508</v>
      </c>
      <c r="F2142" s="1364" t="s">
        <v>1512</v>
      </c>
      <c r="G2142" s="1365">
        <v>0.31</v>
      </c>
      <c r="H2142" s="1365"/>
      <c r="I2142" s="1286"/>
      <c r="J2142" s="198"/>
      <c r="K2142" s="1307">
        <f>G2142*$K$2120</f>
        <v>1.06144E-2</v>
      </c>
      <c r="L2142" s="1335">
        <f>K2142*$K$1987</f>
        <v>0</v>
      </c>
      <c r="M2142" s="1302">
        <v>18.28</v>
      </c>
      <c r="N2142" s="1302"/>
      <c r="O2142" s="1290">
        <f>(G2142*M2142)</f>
        <v>5.6668000000000003</v>
      </c>
      <c r="P2142" s="1332">
        <f>M2142*K2142</f>
        <v>0.194031232</v>
      </c>
      <c r="Q2142" s="3391"/>
      <c r="R2142" s="2338"/>
      <c r="S2142" s="16"/>
      <c r="T2142" s="16"/>
      <c r="U2142" s="16"/>
      <c r="V2142" s="16"/>
    </row>
    <row r="2143" spans="1:22">
      <c r="A2143" s="16"/>
      <c r="B2143" s="1042"/>
      <c r="C2143" s="88"/>
      <c r="D2143" s="1430" t="s">
        <v>1077</v>
      </c>
      <c r="E2143" s="1857" t="s">
        <v>1508</v>
      </c>
      <c r="F2143" s="1403" t="s">
        <v>1539</v>
      </c>
      <c r="G2143" s="1362">
        <v>0.81499999999999995</v>
      </c>
      <c r="H2143" s="1362"/>
      <c r="I2143" s="197"/>
      <c r="J2143" s="198"/>
      <c r="K2143" s="1307">
        <f>G2143*$K$2120</f>
        <v>2.7905599999999999E-2</v>
      </c>
      <c r="L2143" s="1335">
        <f>K2143*$K$1987</f>
        <v>0</v>
      </c>
      <c r="M2143" s="1302">
        <v>19.23</v>
      </c>
      <c r="N2143" s="7"/>
      <c r="O2143" s="1290">
        <f>(G2143*M2143)</f>
        <v>15.67245</v>
      </c>
      <c r="P2143" s="1332">
        <f>M2143*K2143</f>
        <v>0.53662468799999996</v>
      </c>
      <c r="Q2143" s="3391"/>
      <c r="R2143" s="2338"/>
      <c r="S2143" s="16"/>
      <c r="T2143" s="16"/>
      <c r="U2143" s="16"/>
      <c r="V2143" s="16"/>
    </row>
    <row r="2144" spans="1:22">
      <c r="A2144" s="16"/>
      <c r="B2144" s="1042"/>
      <c r="C2144" s="88"/>
      <c r="D2144" s="1430"/>
      <c r="E2144" s="1857"/>
      <c r="F2144" s="1766"/>
      <c r="G2144" s="1502"/>
      <c r="H2144" s="1362"/>
      <c r="I2144" s="197"/>
      <c r="J2144" s="198"/>
      <c r="K2144" s="1307"/>
      <c r="L2144" s="1335"/>
      <c r="M2144" s="1302"/>
      <c r="N2144" s="7"/>
      <c r="O2144" s="1290"/>
      <c r="P2144" s="1332"/>
      <c r="Q2144" s="3391"/>
      <c r="R2144" s="2338"/>
      <c r="S2144" s="16"/>
      <c r="T2144" s="16"/>
      <c r="U2144" s="16"/>
      <c r="V2144" s="16"/>
    </row>
    <row r="2145" spans="1:24">
      <c r="A2145" s="16"/>
      <c r="B2145" s="1042"/>
      <c r="C2145" s="88"/>
      <c r="D2145" s="1373"/>
      <c r="E2145" s="2123"/>
      <c r="F2145" s="1374" t="s">
        <v>3</v>
      </c>
      <c r="G2145" s="1374"/>
      <c r="H2145" s="1376"/>
      <c r="I2145" s="1382" t="str">
        <f t="shared" ref="I2145:I2148" ca="1" si="94">IF(COUNT(H2145:O2145)=0,"",(SUM(H2145:O2145)/COUNT(H2145:O2145)))</f>
        <v/>
      </c>
      <c r="J2145" s="1383"/>
      <c r="K2145" s="1373"/>
      <c r="L2145" s="1413"/>
      <c r="M2145" s="1376"/>
      <c r="N2145" s="1376"/>
      <c r="O2145" s="1376"/>
      <c r="P2145" s="1413"/>
      <c r="Q2145" s="3387"/>
      <c r="R2145" s="2343"/>
      <c r="S2145" s="16"/>
      <c r="T2145" s="16"/>
      <c r="U2145" s="16"/>
      <c r="V2145" s="16"/>
    </row>
    <row r="2146" spans="1:24">
      <c r="A2146" s="16"/>
      <c r="B2146" s="1042"/>
      <c r="C2146" s="88"/>
      <c r="D2146" s="1440"/>
      <c r="E2146" s="2132"/>
      <c r="F2146" s="1441"/>
      <c r="G2146" s="1441"/>
      <c r="H2146" s="1442"/>
      <c r="I2146" s="197" t="str">
        <f t="shared" ca="1" si="94"/>
        <v/>
      </c>
      <c r="J2146" s="198"/>
      <c r="K2146" s="1307"/>
      <c r="L2146" s="1335"/>
      <c r="M2146" s="1499"/>
      <c r="N2146" s="1701"/>
      <c r="O2146" s="1290"/>
      <c r="P2146" s="1332"/>
      <c r="Q2146" s="3391"/>
      <c r="R2146" s="2338"/>
      <c r="S2146" s="16"/>
      <c r="T2146" s="16"/>
      <c r="U2146" s="16"/>
      <c r="V2146" s="16"/>
    </row>
    <row r="2147" spans="1:24">
      <c r="A2147" s="16"/>
      <c r="B2147" s="1042"/>
      <c r="C2147" s="88"/>
      <c r="D2147" s="1440"/>
      <c r="E2147" s="2132"/>
      <c r="F2147" s="1441"/>
      <c r="G2147" s="1441"/>
      <c r="H2147" s="1442"/>
      <c r="I2147" s="197" t="str">
        <f t="shared" ca="1" si="94"/>
        <v/>
      </c>
      <c r="J2147" s="198"/>
      <c r="K2147" s="1307"/>
      <c r="L2147" s="1335"/>
      <c r="M2147" s="1499"/>
      <c r="N2147" s="1701"/>
      <c r="O2147" s="1290"/>
      <c r="P2147" s="1332"/>
      <c r="Q2147" s="3391"/>
      <c r="R2147" s="2338"/>
      <c r="S2147" s="105"/>
      <c r="T2147" s="105"/>
      <c r="U2147" s="16"/>
      <c r="V2147" s="16"/>
    </row>
    <row r="2148" spans="1:24">
      <c r="A2148" s="16"/>
      <c r="B2148" s="223"/>
      <c r="C2148" s="581"/>
      <c r="D2148" s="1440"/>
      <c r="E2148" s="2132"/>
      <c r="F2148" s="1441"/>
      <c r="G2148" s="1441"/>
      <c r="H2148" s="1442"/>
      <c r="I2148" s="197" t="str">
        <f t="shared" ca="1" si="94"/>
        <v/>
      </c>
      <c r="J2148" s="198"/>
      <c r="K2148" s="1307"/>
      <c r="L2148" s="1335"/>
      <c r="M2148" s="1499"/>
      <c r="N2148" s="1701"/>
      <c r="O2148" s="1290"/>
      <c r="P2148" s="1332"/>
      <c r="Q2148" s="3391"/>
      <c r="R2148" s="2338"/>
      <c r="S2148" s="16"/>
      <c r="T2148" s="16"/>
      <c r="U2148" s="16"/>
      <c r="V2148" s="16"/>
    </row>
    <row r="2149" spans="1:24">
      <c r="A2149" s="1042" t="s">
        <v>3764</v>
      </c>
      <c r="B2149" s="4367" t="s">
        <v>1823</v>
      </c>
      <c r="C2149" s="3350"/>
      <c r="D2149" s="4327"/>
      <c r="E2149" s="4329" t="s">
        <v>1527</v>
      </c>
      <c r="F2149" s="4461" t="s">
        <v>1824</v>
      </c>
      <c r="G2149" s="4331" t="s">
        <v>1568</v>
      </c>
      <c r="H2149" s="4331" t="s">
        <v>1574</v>
      </c>
      <c r="I2149" s="1572" t="s">
        <v>1559</v>
      </c>
      <c r="J2149" s="1294" t="s">
        <v>1560</v>
      </c>
      <c r="K2149" s="1294" t="s">
        <v>1561</v>
      </c>
      <c r="L2149" s="4333" t="s">
        <v>3765</v>
      </c>
      <c r="M2149" s="4323" t="s">
        <v>1571</v>
      </c>
      <c r="N2149" s="4323" t="s">
        <v>1776</v>
      </c>
      <c r="O2149" s="3347" t="s">
        <v>1563</v>
      </c>
      <c r="P2149" s="1336" t="s">
        <v>1562</v>
      </c>
      <c r="Q2149" s="3389"/>
      <c r="R2149" s="1839" t="s">
        <v>1327</v>
      </c>
      <c r="S2149" s="16"/>
      <c r="T2149" s="16"/>
      <c r="U2149" s="16"/>
      <c r="V2149" s="16"/>
    </row>
    <row r="2150" spans="1:24">
      <c r="A2150" s="1660" t="s">
        <v>1865</v>
      </c>
      <c r="B2150" s="4369"/>
      <c r="C2150" s="3351"/>
      <c r="D2150" s="4328"/>
      <c r="E2150" s="4330"/>
      <c r="F2150" s="4462"/>
      <c r="G2150" s="4332"/>
      <c r="H2150" s="4332"/>
      <c r="I2150" s="1345">
        <v>1</v>
      </c>
      <c r="J2150" s="1307">
        <v>2E-3</v>
      </c>
      <c r="K2150" s="1307">
        <f>I2150*J2150</f>
        <v>2E-3</v>
      </c>
      <c r="L2150" s="4334"/>
      <c r="M2150" s="4324"/>
      <c r="N2150" s="4324"/>
      <c r="O2150" s="1298">
        <f>O2152+O2153+O2154+O2158+O2162+O2170+O2171+O2172</f>
        <v>125.97102734000002</v>
      </c>
      <c r="P2150" s="1337">
        <f>K2150*O2150</f>
        <v>0.25194205468000003</v>
      </c>
      <c r="Q2150" s="3390"/>
      <c r="R2150" s="1840">
        <f>P2152+P2153+P2154+P2158+P2162+P2170+P2171+P2172</f>
        <v>0.25194205468000003</v>
      </c>
      <c r="S2150" s="16"/>
      <c r="T2150" s="16"/>
      <c r="U2150" s="16"/>
      <c r="V2150" s="16"/>
    </row>
    <row r="2151" spans="1:24">
      <c r="A2151" s="16"/>
      <c r="B2151" s="18"/>
      <c r="D2151" s="1449"/>
      <c r="E2151" s="2121"/>
      <c r="F2151" s="1368" t="s">
        <v>1</v>
      </c>
      <c r="G2151" s="1368"/>
      <c r="H2151" s="1369"/>
      <c r="I2151" s="1409"/>
      <c r="J2151" s="1391"/>
      <c r="K2151" s="1367"/>
      <c r="L2151" s="1554"/>
      <c r="M2151" s="1369"/>
      <c r="N2151" s="1369"/>
      <c r="O2151" s="1369"/>
      <c r="P2151" s="1367"/>
      <c r="Q2151" s="3387"/>
      <c r="R2151" s="2343"/>
      <c r="S2151" s="16"/>
      <c r="T2151" s="16"/>
      <c r="U2151" s="16"/>
      <c r="V2151" s="16"/>
    </row>
    <row r="2152" spans="1:24">
      <c r="A2152" s="16"/>
      <c r="B2152" s="1042"/>
      <c r="D2152" s="1767" t="s">
        <v>1752</v>
      </c>
      <c r="E2152" s="1849" t="s">
        <v>1521</v>
      </c>
      <c r="F2152" s="1654" t="s">
        <v>1825</v>
      </c>
      <c r="G2152" s="1567">
        <v>1.4E-2</v>
      </c>
      <c r="H2152" s="1567"/>
      <c r="I2152" s="1286"/>
      <c r="J2152" s="198"/>
      <c r="K2152" s="1722">
        <f>G2152*$K$2150</f>
        <v>2.8E-5</v>
      </c>
      <c r="L2152" s="1335">
        <f>K2152*$K$1987</f>
        <v>0</v>
      </c>
      <c r="M2152" s="1302">
        <v>66.989999999999995</v>
      </c>
      <c r="N2152" s="1700"/>
      <c r="O2152" s="1290">
        <f>G2152*M2152</f>
        <v>0.93785999999999992</v>
      </c>
      <c r="P2152" s="1739">
        <f>M2152*K2152</f>
        <v>1.8757199999999998E-3</v>
      </c>
      <c r="Q2152" s="3391"/>
      <c r="R2152" s="2343"/>
      <c r="S2152" s="16"/>
      <c r="T2152" s="16"/>
      <c r="U2152" s="16"/>
      <c r="V2152" s="16"/>
    </row>
    <row r="2153" spans="1:24">
      <c r="A2153" s="16"/>
      <c r="B2153" s="1042"/>
      <c r="D2153" s="1769" t="s">
        <v>1786</v>
      </c>
      <c r="E2153" s="1850" t="s">
        <v>1787</v>
      </c>
      <c r="F2153" s="1770" t="s">
        <v>1788</v>
      </c>
      <c r="G2153" s="1771">
        <v>1.1000000000000001</v>
      </c>
      <c r="H2153" s="1771"/>
      <c r="I2153" s="1286"/>
      <c r="J2153" s="198"/>
      <c r="K2153" s="1722">
        <f>G2153*$K$2150</f>
        <v>2.2000000000000001E-3</v>
      </c>
      <c r="L2153" s="1335">
        <f>K2153*$K$1987</f>
        <v>0</v>
      </c>
      <c r="M2153" s="1302">
        <v>1.54</v>
      </c>
      <c r="N2153" s="1700"/>
      <c r="O2153" s="1290">
        <f>G2153*M2153</f>
        <v>1.6940000000000002</v>
      </c>
      <c r="P2153" s="1739">
        <f>M2153*K2153</f>
        <v>3.3880000000000004E-3</v>
      </c>
      <c r="Q2153" s="3391"/>
      <c r="R2153" s="2343"/>
      <c r="S2153" s="16"/>
      <c r="T2153" s="16"/>
      <c r="U2153" s="16"/>
      <c r="V2153" s="16"/>
    </row>
    <row r="2154" spans="1:24">
      <c r="A2154" s="16"/>
      <c r="B2154" s="1042"/>
      <c r="C2154" s="1356" t="s">
        <v>1128</v>
      </c>
      <c r="D2154" s="1585"/>
      <c r="E2154" s="1851" t="s">
        <v>1517</v>
      </c>
      <c r="F2154" s="1768" t="s">
        <v>1695</v>
      </c>
      <c r="G2154" s="1776"/>
      <c r="H2154" s="1776">
        <v>5.0000000000000001E-3</v>
      </c>
      <c r="I2154" s="1388"/>
      <c r="J2154" s="1366"/>
      <c r="K2154" s="1841"/>
      <c r="L2154" s="1445"/>
      <c r="M2154" s="1447"/>
      <c r="N2154" s="1447">
        <f>SUM(N2155:N2157)</f>
        <v>104.27969999999999</v>
      </c>
      <c r="O2154" s="1447">
        <f>SUM(O2155:O2157)</f>
        <v>0.52139849999999999</v>
      </c>
      <c r="P2154" s="1741">
        <f>SUM(P2155:P2157)</f>
        <v>1.0427969999999998E-3</v>
      </c>
      <c r="Q2154" s="3391"/>
      <c r="R2154" s="2343"/>
      <c r="S2154" s="1847" t="s">
        <v>1833</v>
      </c>
      <c r="T2154" s="1847" t="s">
        <v>1517</v>
      </c>
      <c r="U2154" s="1847" t="s">
        <v>1834</v>
      </c>
      <c r="V2154" s="1848">
        <v>1.4E-2</v>
      </c>
      <c r="W2154" s="1602">
        <v>51.67</v>
      </c>
      <c r="X2154" s="1602">
        <f t="shared" ref="X2154:X2158" si="95">ROUND(V2154*W2154,2)</f>
        <v>0.72</v>
      </c>
    </row>
    <row r="2155" spans="1:24">
      <c r="A2155" s="16"/>
      <c r="B2155" s="553"/>
      <c r="C2155" s="1042"/>
      <c r="D2155" s="1752" t="s">
        <v>1779</v>
      </c>
      <c r="E2155" s="1852" t="s">
        <v>1577</v>
      </c>
      <c r="F2155" s="1752" t="s">
        <v>1780</v>
      </c>
      <c r="G2155" s="1753">
        <v>0.876</v>
      </c>
      <c r="H2155" s="1453">
        <f>$H$2154*G2155</f>
        <v>4.3800000000000002E-3</v>
      </c>
      <c r="I2155" s="197"/>
      <c r="J2155" s="198"/>
      <c r="K2155" s="1722">
        <f>H2155*$K$2150</f>
        <v>8.7600000000000008E-6</v>
      </c>
      <c r="L2155" s="1335">
        <f t="shared" ref="L2155:L2157" si="96">K2155*$K$1987</f>
        <v>0</v>
      </c>
      <c r="M2155" s="1759">
        <v>56.05</v>
      </c>
      <c r="N2155" s="1718">
        <f>G2155*M2155</f>
        <v>49.099799999999995</v>
      </c>
      <c r="O2155" s="1719">
        <f>H2155*M2155</f>
        <v>0.245499</v>
      </c>
      <c r="P2155" s="1731">
        <f>M2155*K2155</f>
        <v>4.9099799999999998E-4</v>
      </c>
      <c r="Q2155" s="3396"/>
      <c r="R2155" s="2343"/>
      <c r="S2155" s="1847" t="s">
        <v>1831</v>
      </c>
      <c r="T2155" s="1847" t="s">
        <v>1517</v>
      </c>
      <c r="U2155" s="1847" t="s">
        <v>1835</v>
      </c>
      <c r="V2155" s="1848">
        <v>5.0000000000000001E-3</v>
      </c>
      <c r="W2155" s="1602">
        <v>104.28</v>
      </c>
      <c r="X2155" s="1602">
        <f t="shared" si="95"/>
        <v>0.52</v>
      </c>
    </row>
    <row r="2156" spans="1:24">
      <c r="A2156" s="16"/>
      <c r="B2156" s="553"/>
      <c r="C2156" s="1042"/>
      <c r="D2156" s="1752" t="s">
        <v>1069</v>
      </c>
      <c r="E2156" s="1852" t="s">
        <v>1517</v>
      </c>
      <c r="F2156" s="1752" t="s">
        <v>1578</v>
      </c>
      <c r="G2156" s="1753">
        <v>0.61799999999999999</v>
      </c>
      <c r="H2156" s="1453">
        <f>$H$2154*G2156</f>
        <v>3.0899999999999999E-3</v>
      </c>
      <c r="I2156" s="27"/>
      <c r="J2156" s="10"/>
      <c r="K2156" s="1722">
        <f>H2156*$K$2150</f>
        <v>6.1800000000000001E-6</v>
      </c>
      <c r="L2156" s="1335">
        <f t="shared" si="96"/>
        <v>0</v>
      </c>
      <c r="M2156" s="1759">
        <v>0.55000000000000004</v>
      </c>
      <c r="N2156" s="1718">
        <f>G2156*M2156</f>
        <v>0.33990000000000004</v>
      </c>
      <c r="O2156" s="1719">
        <f>H2156*M2156</f>
        <v>1.6995000000000001E-3</v>
      </c>
      <c r="P2156" s="1843">
        <f>M2156*K2156</f>
        <v>3.3990000000000004E-6</v>
      </c>
      <c r="Q2156" s="3396"/>
      <c r="R2156" s="2343"/>
      <c r="S2156" s="1847" t="s">
        <v>1832</v>
      </c>
      <c r="T2156" s="1847" t="s">
        <v>1517</v>
      </c>
      <c r="U2156" s="1847" t="s">
        <v>1836</v>
      </c>
      <c r="V2156" s="1848">
        <v>1E-3</v>
      </c>
      <c r="W2156" s="1602">
        <v>108.05</v>
      </c>
      <c r="X2156" s="1602">
        <f t="shared" si="95"/>
        <v>0.11</v>
      </c>
    </row>
    <row r="2157" spans="1:24">
      <c r="A2157" s="16"/>
      <c r="B2157" s="553"/>
      <c r="C2157" s="1042"/>
      <c r="D2157" s="1754" t="s">
        <v>1067</v>
      </c>
      <c r="E2157" s="1853" t="s">
        <v>1508</v>
      </c>
      <c r="F2157" s="1754" t="s">
        <v>1512</v>
      </c>
      <c r="G2157" s="1755">
        <v>3</v>
      </c>
      <c r="H2157" s="1454">
        <f>$H$2154*G2157</f>
        <v>1.4999999999999999E-2</v>
      </c>
      <c r="I2157" s="198"/>
      <c r="J2157" s="198"/>
      <c r="K2157" s="1722">
        <f>H2157*$K$2150</f>
        <v>3.0000000000000001E-5</v>
      </c>
      <c r="L2157" s="1335">
        <f t="shared" si="96"/>
        <v>0</v>
      </c>
      <c r="M2157" s="1759">
        <v>18.28</v>
      </c>
      <c r="N2157" s="1718">
        <f>G2157*M2157</f>
        <v>54.84</v>
      </c>
      <c r="O2157" s="1719">
        <f>H2157*M2157</f>
        <v>0.2742</v>
      </c>
      <c r="P2157" s="1727">
        <f>M2157*K2157</f>
        <v>5.4839999999999999E-4</v>
      </c>
      <c r="Q2157" s="3396"/>
      <c r="R2157" s="2343"/>
      <c r="S2157" s="1847" t="s">
        <v>1837</v>
      </c>
      <c r="T2157" s="1847" t="s">
        <v>1521</v>
      </c>
      <c r="U2157" s="1847" t="s">
        <v>1838</v>
      </c>
      <c r="V2157" s="1848">
        <v>1.4E-2</v>
      </c>
      <c r="W2157" s="1602">
        <v>66.989999999999995</v>
      </c>
      <c r="X2157" s="1602">
        <f>ROUND(V2157*W2157,2)</f>
        <v>0.94</v>
      </c>
    </row>
    <row r="2158" spans="1:24">
      <c r="A2158" s="16"/>
      <c r="B2158" s="553"/>
      <c r="C2158" s="1356" t="s">
        <v>1152</v>
      </c>
      <c r="D2158" s="1311"/>
      <c r="E2158" s="1854" t="s">
        <v>1517</v>
      </c>
      <c r="F2158" s="1749" t="s">
        <v>1696</v>
      </c>
      <c r="G2158" s="1776"/>
      <c r="H2158" s="1688">
        <v>1E-3</v>
      </c>
      <c r="I2158" s="1388"/>
      <c r="J2158" s="1388"/>
      <c r="K2158" s="1841"/>
      <c r="L2158" s="1445"/>
      <c r="M2158" s="1447"/>
      <c r="N2158" s="1447">
        <f>SUM(N2159:N2161)</f>
        <v>108.04650000000001</v>
      </c>
      <c r="O2158" s="1447">
        <f>SUM(O2159:O2161)</f>
        <v>0.10804650000000002</v>
      </c>
      <c r="P2158" s="1844">
        <f>SUM(P2159:P2161)</f>
        <v>2.1609300000000002E-4</v>
      </c>
      <c r="Q2158" s="3391"/>
      <c r="R2158" s="2343"/>
      <c r="S2158" s="1847" t="s">
        <v>1786</v>
      </c>
      <c r="T2158" s="1847" t="s">
        <v>1787</v>
      </c>
      <c r="U2158" s="1847" t="s">
        <v>1788</v>
      </c>
      <c r="V2158" s="1848">
        <v>1.1000000000000001</v>
      </c>
      <c r="W2158" s="1602">
        <v>1.54</v>
      </c>
      <c r="X2158" s="1602">
        <f t="shared" si="95"/>
        <v>1.69</v>
      </c>
    </row>
    <row r="2159" spans="1:24">
      <c r="A2159" s="16"/>
      <c r="B2159" s="553"/>
      <c r="C2159" s="18"/>
      <c r="D2159" s="1756" t="s">
        <v>1781</v>
      </c>
      <c r="E2159" s="1852" t="s">
        <v>1577</v>
      </c>
      <c r="F2159" s="1752" t="s">
        <v>1782</v>
      </c>
      <c r="G2159" s="1753">
        <v>0.876</v>
      </c>
      <c r="H2159" s="1453">
        <f>$H$2158*G2159</f>
        <v>8.7600000000000004E-4</v>
      </c>
      <c r="I2159" s="198"/>
      <c r="J2159" s="198"/>
      <c r="K2159" s="1722">
        <f>H2159*$K$2150</f>
        <v>1.7520000000000001E-6</v>
      </c>
      <c r="L2159" s="1335">
        <f t="shared" ref="L2159:L2161" si="97">K2159*$K$1987</f>
        <v>0</v>
      </c>
      <c r="M2159" s="1723">
        <v>60.35</v>
      </c>
      <c r="N2159" s="1718">
        <f>G2159*M2159</f>
        <v>52.866599999999998</v>
      </c>
      <c r="O2159" s="1719">
        <f>H2159*M2159</f>
        <v>5.2866600000000007E-2</v>
      </c>
      <c r="P2159" s="1731">
        <f>M2159*K2159</f>
        <v>1.0573320000000001E-4</v>
      </c>
      <c r="Q2159" s="3396"/>
      <c r="R2159" s="2343"/>
      <c r="S2159" s="1847" t="s">
        <v>1806</v>
      </c>
      <c r="T2159" s="1847" t="s">
        <v>1508</v>
      </c>
      <c r="U2159" s="1847" t="s">
        <v>1821</v>
      </c>
      <c r="V2159" s="1848">
        <v>2.3279999999999998</v>
      </c>
      <c r="W2159" s="1602">
        <v>19.23</v>
      </c>
      <c r="X2159" s="1602">
        <f>ROUND(V2159*W2159,2)</f>
        <v>44.77</v>
      </c>
    </row>
    <row r="2160" spans="1:24">
      <c r="A2160" s="16"/>
      <c r="B2160" s="553"/>
      <c r="C2160" s="1042"/>
      <c r="D2160" s="1756" t="s">
        <v>1069</v>
      </c>
      <c r="E2160" s="1852" t="s">
        <v>1517</v>
      </c>
      <c r="F2160" s="1752" t="s">
        <v>1578</v>
      </c>
      <c r="G2160" s="1753">
        <v>0.61799999999999999</v>
      </c>
      <c r="H2160" s="1453">
        <f>$H$2158*G2160</f>
        <v>6.1800000000000006E-4</v>
      </c>
      <c r="I2160" s="197"/>
      <c r="J2160" s="198"/>
      <c r="K2160" s="1722">
        <f>H2160*$K$2150</f>
        <v>1.2360000000000001E-6</v>
      </c>
      <c r="L2160" s="1335">
        <f t="shared" si="97"/>
        <v>0</v>
      </c>
      <c r="M2160" s="1723">
        <v>0.55000000000000004</v>
      </c>
      <c r="N2160" s="1718">
        <f>G2160*M2160</f>
        <v>0.33990000000000004</v>
      </c>
      <c r="O2160" s="1719">
        <f>H2160*M2160</f>
        <v>3.3990000000000008E-4</v>
      </c>
      <c r="P2160" s="1843">
        <f>M2160*K2160</f>
        <v>6.7980000000000014E-7</v>
      </c>
      <c r="Q2160" s="3396"/>
      <c r="R2160" s="2343"/>
      <c r="S2160" s="1847" t="s">
        <v>1826</v>
      </c>
      <c r="T2160" s="1847" t="s">
        <v>1508</v>
      </c>
      <c r="U2160" s="1847" t="s">
        <v>1827</v>
      </c>
      <c r="V2160" s="1848">
        <v>2.91</v>
      </c>
      <c r="W2160" s="1602">
        <v>19.23</v>
      </c>
      <c r="X2160" s="1602">
        <f>ROUND(V2160*W2160,2)</f>
        <v>55.96</v>
      </c>
    </row>
    <row r="2161" spans="1:24">
      <c r="A2161" s="16"/>
      <c r="B2161" s="553"/>
      <c r="C2161" s="1042"/>
      <c r="D2161" s="1811" t="s">
        <v>1067</v>
      </c>
      <c r="E2161" s="1853" t="s">
        <v>1508</v>
      </c>
      <c r="F2161" s="1754" t="s">
        <v>1512</v>
      </c>
      <c r="G2161" s="1755">
        <v>3</v>
      </c>
      <c r="H2161" s="1454">
        <f>$H$2158*G2161</f>
        <v>3.0000000000000001E-3</v>
      </c>
      <c r="I2161" s="1289"/>
      <c r="J2161" s="198"/>
      <c r="K2161" s="1722">
        <f>H2161*$K$2150</f>
        <v>6.0000000000000002E-6</v>
      </c>
      <c r="L2161" s="1335">
        <f t="shared" si="97"/>
        <v>0</v>
      </c>
      <c r="M2161" s="1723">
        <v>18.28</v>
      </c>
      <c r="N2161" s="1718">
        <f>G2161*M2161</f>
        <v>54.84</v>
      </c>
      <c r="O2161" s="1719">
        <f>H2161*M2161</f>
        <v>5.4840000000000007E-2</v>
      </c>
      <c r="P2161" s="1731">
        <f>M2161*K2161</f>
        <v>1.0968000000000001E-4</v>
      </c>
      <c r="Q2161" s="3396"/>
      <c r="R2161" s="2343"/>
      <c r="S2161" s="1847" t="s">
        <v>1802</v>
      </c>
      <c r="T2161" s="1847" t="s">
        <v>1508</v>
      </c>
      <c r="U2161" s="1847" t="s">
        <v>1804</v>
      </c>
      <c r="V2161" s="1848">
        <v>1.163</v>
      </c>
      <c r="W2161" s="1602">
        <v>18.28</v>
      </c>
      <c r="X2161" s="1602">
        <f>ROUND(V2161*W2161,2)</f>
        <v>21.26</v>
      </c>
    </row>
    <row r="2162" spans="1:24">
      <c r="A2162" s="16"/>
      <c r="B2162" s="1042"/>
      <c r="C2162" s="1658" t="s">
        <v>1122</v>
      </c>
      <c r="D2162" s="1311"/>
      <c r="E2162" s="1855" t="s">
        <v>1517</v>
      </c>
      <c r="F2162" s="1647" t="s">
        <v>1681</v>
      </c>
      <c r="G2162" s="1689"/>
      <c r="H2162" s="1689">
        <v>1.4E-2</v>
      </c>
      <c r="I2162" s="1444"/>
      <c r="J2162" s="1388"/>
      <c r="K2162" s="1841"/>
      <c r="L2162" s="1445"/>
      <c r="M2162" s="1500"/>
      <c r="N2162" s="1501">
        <f>SUM(N2163:N2167)</f>
        <v>51.667310000000001</v>
      </c>
      <c r="O2162" s="1501">
        <f>SUM(O2163:O2167)</f>
        <v>0.72334234000000008</v>
      </c>
      <c r="P2162" s="1845">
        <f>SUM(P2163:P2167)</f>
        <v>1.44668468E-3</v>
      </c>
      <c r="Q2162" s="3391"/>
      <c r="R2162" s="2343"/>
      <c r="S2162" s="16"/>
      <c r="T2162" s="16"/>
      <c r="U2162" s="16"/>
      <c r="V2162" s="16"/>
    </row>
    <row r="2163" spans="1:24">
      <c r="A2163" s="16"/>
      <c r="B2163" s="1042"/>
      <c r="C2163" s="1042"/>
      <c r="D2163" s="1451" t="s">
        <v>1069</v>
      </c>
      <c r="E2163" s="1856" t="s">
        <v>1517</v>
      </c>
      <c r="F2163" s="1421" t="s">
        <v>1578</v>
      </c>
      <c r="G2163" s="1452">
        <v>0.26300000000000001</v>
      </c>
      <c r="H2163" s="1453">
        <f>$H$2162*G2163</f>
        <v>3.6820000000000004E-3</v>
      </c>
      <c r="I2163" s="197"/>
      <c r="J2163" s="198"/>
      <c r="K2163" s="1722">
        <f>H2163*$K$2150</f>
        <v>7.364000000000001E-6</v>
      </c>
      <c r="L2163" s="1335">
        <f t="shared" ref="L2163:L2167" si="98">K2163*$K$1987</f>
        <v>0</v>
      </c>
      <c r="M2163" s="1723">
        <v>0.55000000000000004</v>
      </c>
      <c r="N2163" s="1724">
        <f>G2163*M2163</f>
        <v>0.14465000000000003</v>
      </c>
      <c r="O2163" s="1719">
        <f>H2163*M2163</f>
        <v>2.0251000000000002E-3</v>
      </c>
      <c r="P2163" s="1843">
        <f>K2163*M2163</f>
        <v>4.0502000000000006E-6</v>
      </c>
      <c r="Q2163" s="3396"/>
      <c r="R2163" s="2338"/>
      <c r="S2163" s="16"/>
      <c r="T2163" s="16"/>
      <c r="U2163" s="16"/>
      <c r="V2163" s="16"/>
    </row>
    <row r="2164" spans="1:24">
      <c r="A2164" s="16"/>
      <c r="B2164" s="1042"/>
      <c r="C2164" s="1320"/>
      <c r="D2164" s="1367" t="s">
        <v>1394</v>
      </c>
      <c r="E2164" s="1856" t="s">
        <v>1577</v>
      </c>
      <c r="F2164" s="1421" t="s">
        <v>1579</v>
      </c>
      <c r="G2164" s="1452">
        <v>0.25800000000000001</v>
      </c>
      <c r="H2164" s="1453">
        <f>$H$2162*G2164</f>
        <v>3.6120000000000002E-3</v>
      </c>
      <c r="I2164" s="197"/>
      <c r="J2164" s="198"/>
      <c r="K2164" s="1722">
        <f>H2164*$K$2150</f>
        <v>7.2240000000000006E-6</v>
      </c>
      <c r="L2164" s="1335">
        <f t="shared" si="98"/>
        <v>0</v>
      </c>
      <c r="M2164" s="1723">
        <v>92.54</v>
      </c>
      <c r="N2164" s="1724">
        <f>G2164*M2164</f>
        <v>23.875320000000002</v>
      </c>
      <c r="O2164" s="1719">
        <f>H2164*M2164</f>
        <v>0.33425448000000002</v>
      </c>
      <c r="P2164" s="1731">
        <f>K2164*M2164</f>
        <v>6.6850896000000013E-4</v>
      </c>
      <c r="Q2164" s="3396"/>
      <c r="R2164" s="2338"/>
      <c r="S2164" s="16"/>
      <c r="T2164" s="16"/>
      <c r="U2164" s="16"/>
      <c r="V2164" s="16"/>
    </row>
    <row r="2165" spans="1:24">
      <c r="A2165" s="16"/>
      <c r="B2165" s="1042"/>
      <c r="C2165" s="1320"/>
      <c r="D2165" s="1603" t="s">
        <v>1682</v>
      </c>
      <c r="E2165" s="1856" t="s">
        <v>1683</v>
      </c>
      <c r="F2165" s="1421" t="s">
        <v>1684</v>
      </c>
      <c r="G2165" s="1452">
        <v>1.288</v>
      </c>
      <c r="H2165" s="1453">
        <f>$H$2162*G2165</f>
        <v>1.8031999999999999E-2</v>
      </c>
      <c r="I2165" s="197"/>
      <c r="J2165" s="198"/>
      <c r="K2165" s="1722">
        <f>H2165*$K$2150</f>
        <v>3.6063999999999999E-5</v>
      </c>
      <c r="L2165" s="1335">
        <f t="shared" si="98"/>
        <v>0</v>
      </c>
      <c r="M2165" s="1723">
        <v>1.26</v>
      </c>
      <c r="N2165" s="1724">
        <f>G2165*M2165</f>
        <v>1.6228800000000001</v>
      </c>
      <c r="O2165" s="1719">
        <f>H2165*M2165</f>
        <v>2.2720319999999999E-2</v>
      </c>
      <c r="P2165" s="1734">
        <f>K2165*M2165</f>
        <v>4.5440639999999996E-5</v>
      </c>
      <c r="Q2165" s="3396"/>
      <c r="R2165" s="2338"/>
      <c r="S2165" s="16"/>
      <c r="T2165" s="16"/>
      <c r="U2165" s="16"/>
      <c r="V2165" s="16"/>
    </row>
    <row r="2166" spans="1:24">
      <c r="A2166" s="16"/>
      <c r="B2166" s="1042"/>
      <c r="C2166" s="1320"/>
      <c r="D2166" s="1603" t="s">
        <v>1576</v>
      </c>
      <c r="E2166" s="1856" t="s">
        <v>1517</v>
      </c>
      <c r="F2166" s="1421" t="s">
        <v>1580</v>
      </c>
      <c r="G2166" s="1452">
        <v>1.1020000000000001</v>
      </c>
      <c r="H2166" s="1453">
        <f>$H$2162*G2166</f>
        <v>1.5428000000000001E-2</v>
      </c>
      <c r="I2166" s="197"/>
      <c r="J2166" s="198"/>
      <c r="K2166" s="1722">
        <f>H2166*$K$2150</f>
        <v>3.0856000000000004E-5</v>
      </c>
      <c r="L2166" s="1335">
        <f t="shared" si="98"/>
        <v>0</v>
      </c>
      <c r="M2166" s="1723">
        <v>6.53</v>
      </c>
      <c r="N2166" s="1724">
        <f>G2166*M2166</f>
        <v>7.196060000000001</v>
      </c>
      <c r="O2166" s="1719">
        <f>H2166*M2166</f>
        <v>0.10074484</v>
      </c>
      <c r="P2166" s="1731">
        <f>K2166*M2166</f>
        <v>2.0148968000000003E-4</v>
      </c>
      <c r="Q2166" s="3396"/>
      <c r="R2166" s="2338"/>
      <c r="S2166" s="16"/>
      <c r="T2166" s="16"/>
      <c r="U2166" s="16"/>
      <c r="V2166" s="16"/>
    </row>
    <row r="2167" spans="1:24">
      <c r="A2167" s="16"/>
      <c r="B2167" s="1042"/>
      <c r="C2167" s="1320"/>
      <c r="D2167" s="1443" t="s">
        <v>1067</v>
      </c>
      <c r="E2167" s="1857" t="s">
        <v>1508</v>
      </c>
      <c r="F2167" s="1430" t="s">
        <v>1512</v>
      </c>
      <c r="G2167" s="1431">
        <v>1.03</v>
      </c>
      <c r="H2167" s="1454">
        <f>$H$2162*G2167</f>
        <v>1.4420000000000001E-2</v>
      </c>
      <c r="I2167" s="197"/>
      <c r="J2167" s="198"/>
      <c r="K2167" s="1722">
        <f>H2167*$K$2150</f>
        <v>2.8840000000000002E-5</v>
      </c>
      <c r="L2167" s="1335">
        <f t="shared" si="98"/>
        <v>0</v>
      </c>
      <c r="M2167" s="1723">
        <v>18.28</v>
      </c>
      <c r="N2167" s="1724">
        <f>G2167*M2167</f>
        <v>18.828400000000002</v>
      </c>
      <c r="O2167" s="1719">
        <f>H2167*M2167</f>
        <v>0.26359760000000004</v>
      </c>
      <c r="P2167" s="1731">
        <f>K2167*M2167</f>
        <v>5.2719520000000001E-4</v>
      </c>
      <c r="Q2167" s="3396"/>
      <c r="R2167" s="2338"/>
      <c r="S2167" s="16"/>
      <c r="T2167" s="16"/>
      <c r="U2167" s="16"/>
      <c r="V2167" s="16"/>
    </row>
    <row r="2168" spans="1:24">
      <c r="A2168" s="16"/>
      <c r="B2168" s="1042"/>
      <c r="C2168" s="88"/>
      <c r="D2168" s="1752"/>
      <c r="E2168" s="1852"/>
      <c r="F2168" s="1752"/>
      <c r="G2168" s="1399"/>
      <c r="H2168" s="1399"/>
      <c r="I2168" s="197"/>
      <c r="J2168" s="198"/>
      <c r="K2168" s="1722"/>
      <c r="L2168" s="1335"/>
      <c r="M2168" s="1499"/>
      <c r="N2168" s="1718"/>
      <c r="O2168" s="1719"/>
      <c r="P2168" s="1731"/>
      <c r="Q2168" s="3396"/>
      <c r="R2168" s="2338"/>
      <c r="S2168" s="16"/>
      <c r="T2168" s="16"/>
      <c r="U2168" s="16"/>
      <c r="V2168" s="16"/>
    </row>
    <row r="2169" spans="1:24">
      <c r="A2169" s="16"/>
      <c r="B2169" s="1042"/>
      <c r="C2169" s="88"/>
      <c r="D2169" s="1359"/>
      <c r="E2169" s="1858"/>
      <c r="F2169" s="1360" t="s">
        <v>2</v>
      </c>
      <c r="G2169" s="1360"/>
      <c r="H2169" s="1362"/>
      <c r="I2169" s="1380"/>
      <c r="J2169" s="1381"/>
      <c r="K2169" s="1842"/>
      <c r="L2169" s="1458"/>
      <c r="M2169" s="1362"/>
      <c r="N2169" s="1362"/>
      <c r="O2169" s="1362"/>
      <c r="P2169" s="1458"/>
      <c r="Q2169" s="3387"/>
      <c r="R2169" s="2343"/>
      <c r="S2169" s="16"/>
      <c r="T2169" s="16"/>
      <c r="U2169" s="16"/>
      <c r="V2169" s="16"/>
    </row>
    <row r="2170" spans="1:24">
      <c r="A2170" s="16"/>
      <c r="B2170" s="1320"/>
      <c r="C2170" s="1042"/>
      <c r="D2170" s="1655" t="s">
        <v>1806</v>
      </c>
      <c r="E2170" s="1859" t="s">
        <v>1508</v>
      </c>
      <c r="F2170" s="1655" t="s">
        <v>1821</v>
      </c>
      <c r="G2170" s="1809">
        <v>2.3279999999999998</v>
      </c>
      <c r="H2170" s="1439"/>
      <c r="I2170" s="197"/>
      <c r="J2170" s="198"/>
      <c r="K2170" s="1722">
        <f>G2170*$K$2150</f>
        <v>4.6559999999999995E-3</v>
      </c>
      <c r="L2170" s="1335">
        <f t="shared" ref="L2170:L2172" si="99">K2170*$K$1987</f>
        <v>0</v>
      </c>
      <c r="M2170" s="1499">
        <v>19.23</v>
      </c>
      <c r="N2170" s="1701"/>
      <c r="O2170" s="1290">
        <f>(G2170*M2170)</f>
        <v>44.767440000000001</v>
      </c>
      <c r="P2170" s="1739">
        <f>M2170*K2170</f>
        <v>8.9534879999999997E-2</v>
      </c>
      <c r="Q2170" s="3391"/>
      <c r="R2170" s="3363"/>
      <c r="S2170" s="16"/>
      <c r="T2170" s="16"/>
      <c r="U2170" s="16"/>
      <c r="V2170" s="16"/>
    </row>
    <row r="2171" spans="1:24">
      <c r="A2171" s="16"/>
      <c r="B2171" s="1042"/>
      <c r="C2171" s="88"/>
      <c r="D2171" s="1655" t="s">
        <v>1826</v>
      </c>
      <c r="E2171" s="1859" t="s">
        <v>1508</v>
      </c>
      <c r="F2171" s="1655" t="s">
        <v>1827</v>
      </c>
      <c r="G2171" s="1809">
        <v>2.91</v>
      </c>
      <c r="H2171" s="1365"/>
      <c r="I2171" s="1286"/>
      <c r="J2171" s="198"/>
      <c r="K2171" s="1722">
        <f>G2171*$K$2150</f>
        <v>5.8200000000000005E-3</v>
      </c>
      <c r="L2171" s="1335">
        <f t="shared" si="99"/>
        <v>0</v>
      </c>
      <c r="M2171" s="1302">
        <v>19.23</v>
      </c>
      <c r="N2171" s="1302"/>
      <c r="O2171" s="1290">
        <f>(G2171*M2171)</f>
        <v>55.959300000000006</v>
      </c>
      <c r="P2171" s="1739">
        <f>M2171*K2171</f>
        <v>0.11191860000000001</v>
      </c>
      <c r="Q2171" s="3391"/>
      <c r="R2171" s="2338"/>
      <c r="S2171" s="16"/>
      <c r="T2171" s="16"/>
      <c r="U2171" s="16"/>
      <c r="V2171" s="16"/>
    </row>
    <row r="2172" spans="1:24">
      <c r="A2172" s="16"/>
      <c r="B2172" s="1042"/>
      <c r="C2172" s="88"/>
      <c r="D2172" s="2192" t="s">
        <v>1802</v>
      </c>
      <c r="E2172" s="2267" t="s">
        <v>1508</v>
      </c>
      <c r="F2172" s="2192" t="s">
        <v>1804</v>
      </c>
      <c r="G2172" s="1809">
        <v>1.163</v>
      </c>
      <c r="H2172" s="1362"/>
      <c r="I2172" s="197"/>
      <c r="J2172" s="198"/>
      <c r="K2172" s="1722">
        <f>G2172*$K$2150</f>
        <v>2.3259999999999999E-3</v>
      </c>
      <c r="L2172" s="1335">
        <f t="shared" si="99"/>
        <v>0</v>
      </c>
      <c r="M2172" s="1302">
        <v>18.28</v>
      </c>
      <c r="N2172" s="7"/>
      <c r="O2172" s="1290">
        <f>(G2172*M2172)</f>
        <v>21.259640000000001</v>
      </c>
      <c r="P2172" s="1739">
        <f>M2172*K2172</f>
        <v>4.251928E-2</v>
      </c>
      <c r="Q2172" s="3391"/>
      <c r="R2172" s="2338"/>
      <c r="S2172" s="17"/>
      <c r="T2172" s="17"/>
      <c r="U2172" s="16"/>
      <c r="V2172" s="16"/>
    </row>
    <row r="2173" spans="1:24">
      <c r="A2173" s="16"/>
      <c r="B2173" s="1042"/>
      <c r="C2173" s="88"/>
      <c r="D2173" s="1620"/>
      <c r="E2173" s="2157"/>
      <c r="F2173" s="1620"/>
      <c r="G2173" s="2266"/>
      <c r="H2173" s="1362"/>
      <c r="I2173" s="197"/>
      <c r="J2173" s="198"/>
      <c r="K2173" s="1722"/>
      <c r="L2173" s="1335"/>
      <c r="M2173" s="1302"/>
      <c r="N2173" s="7"/>
      <c r="O2173" s="1290"/>
      <c r="P2173" s="1739"/>
      <c r="Q2173" s="3391"/>
      <c r="R2173" s="2338"/>
      <c r="S2173" s="17"/>
      <c r="T2173" s="17"/>
      <c r="U2173" s="16"/>
      <c r="V2173" s="16"/>
    </row>
    <row r="2174" spans="1:24">
      <c r="A2174" s="16"/>
      <c r="B2174" s="1042"/>
      <c r="C2174" s="88"/>
      <c r="D2174" s="1373"/>
      <c r="E2174" s="2123"/>
      <c r="F2174" s="1374" t="s">
        <v>3</v>
      </c>
      <c r="G2174" s="1374"/>
      <c r="H2174" s="1376"/>
      <c r="I2174" s="1382"/>
      <c r="J2174" s="1383"/>
      <c r="K2174" s="1373"/>
      <c r="L2174" s="1413"/>
      <c r="M2174" s="1376"/>
      <c r="N2174" s="1376"/>
      <c r="O2174" s="1376"/>
      <c r="P2174" s="1413"/>
      <c r="Q2174" s="3387"/>
      <c r="R2174" s="2343"/>
      <c r="S2174" s="105"/>
      <c r="T2174" s="105"/>
      <c r="U2174" s="16"/>
      <c r="V2174" s="16"/>
    </row>
    <row r="2175" spans="1:24">
      <c r="A2175" s="16"/>
      <c r="B2175" s="1042"/>
      <c r="C2175" s="88"/>
      <c r="D2175" s="1440"/>
      <c r="E2175" s="2132"/>
      <c r="F2175" s="1441"/>
      <c r="G2175" s="1441"/>
      <c r="H2175" s="1442"/>
      <c r="I2175" s="197"/>
      <c r="J2175" s="198"/>
      <c r="K2175" s="1307"/>
      <c r="L2175" s="1335"/>
      <c r="M2175" s="1499"/>
      <c r="N2175" s="1701"/>
      <c r="O2175" s="1290"/>
      <c r="P2175" s="1332"/>
      <c r="Q2175" s="3391"/>
      <c r="R2175" s="2338"/>
      <c r="S2175" s="16"/>
      <c r="T2175" s="16"/>
      <c r="U2175" s="16"/>
      <c r="V2175" s="16"/>
    </row>
    <row r="2176" spans="1:24">
      <c r="A2176" s="16"/>
      <c r="B2176" s="1042"/>
      <c r="C2176" s="88"/>
      <c r="D2176" s="1440"/>
      <c r="E2176" s="2132"/>
      <c r="F2176" s="1441"/>
      <c r="G2176" s="1441"/>
      <c r="H2176" s="1442"/>
      <c r="I2176" s="197"/>
      <c r="J2176" s="198"/>
      <c r="K2176" s="1307"/>
      <c r="L2176" s="1335"/>
      <c r="M2176" s="1499"/>
      <c r="N2176" s="1701"/>
      <c r="O2176" s="1290"/>
      <c r="P2176" s="1332"/>
      <c r="Q2176" s="3391"/>
      <c r="R2176" s="2338"/>
      <c r="S2176" s="16"/>
      <c r="T2176" s="16"/>
      <c r="U2176" s="16"/>
      <c r="V2176" s="16"/>
    </row>
    <row r="2177" spans="1:22">
      <c r="A2177" s="16"/>
      <c r="B2177" s="223"/>
      <c r="C2177" s="581"/>
      <c r="D2177" s="1440"/>
      <c r="E2177" s="2132"/>
      <c r="F2177" s="1441"/>
      <c r="G2177" s="1441"/>
      <c r="H2177" s="1442"/>
      <c r="I2177" s="197"/>
      <c r="J2177" s="198"/>
      <c r="K2177" s="1307"/>
      <c r="L2177" s="1335"/>
      <c r="M2177" s="1499"/>
      <c r="N2177" s="1701"/>
      <c r="O2177" s="1290"/>
      <c r="P2177" s="1332"/>
      <c r="Q2177" s="3391"/>
      <c r="R2177" s="2338"/>
      <c r="S2177" s="16"/>
      <c r="T2177" s="16"/>
      <c r="U2177" s="16"/>
      <c r="V2177" s="16"/>
    </row>
    <row r="2178" spans="1:22">
      <c r="A2178" s="1042" t="s">
        <v>3764</v>
      </c>
      <c r="B2178" s="4367" t="s">
        <v>1828</v>
      </c>
      <c r="C2178" s="3350"/>
      <c r="D2178" s="4327"/>
      <c r="E2178" s="4329" t="s">
        <v>1504</v>
      </c>
      <c r="F2178" s="4461" t="s">
        <v>1829</v>
      </c>
      <c r="G2178" s="4331" t="s">
        <v>1568</v>
      </c>
      <c r="H2178" s="4331" t="s">
        <v>1574</v>
      </c>
      <c r="I2178" s="1572" t="s">
        <v>1559</v>
      </c>
      <c r="J2178" s="1294" t="s">
        <v>1560</v>
      </c>
      <c r="K2178" s="1294" t="s">
        <v>1561</v>
      </c>
      <c r="L2178" s="4333" t="s">
        <v>3765</v>
      </c>
      <c r="M2178" s="4323" t="s">
        <v>1571</v>
      </c>
      <c r="N2178" s="4323" t="s">
        <v>1776</v>
      </c>
      <c r="O2178" s="3347" t="s">
        <v>1563</v>
      </c>
      <c r="P2178" s="1336" t="s">
        <v>1562</v>
      </c>
      <c r="Q2178" s="3389"/>
      <c r="R2178" s="1839" t="s">
        <v>1327</v>
      </c>
      <c r="S2178" s="16"/>
      <c r="T2178" s="16"/>
      <c r="U2178" s="16"/>
      <c r="V2178" s="16"/>
    </row>
    <row r="2179" spans="1:22">
      <c r="A2179" s="1660" t="s">
        <v>1865</v>
      </c>
      <c r="B2179" s="4369"/>
      <c r="C2179" s="3351"/>
      <c r="D2179" s="4328"/>
      <c r="E2179" s="4330"/>
      <c r="F2179" s="4462"/>
      <c r="G2179" s="4332"/>
      <c r="H2179" s="4332"/>
      <c r="I2179" s="1345">
        <v>2</v>
      </c>
      <c r="J2179" s="1307">
        <v>2E-3</v>
      </c>
      <c r="K2179" s="1307">
        <f>I2179*J2179</f>
        <v>4.0000000000000001E-3</v>
      </c>
      <c r="L2179" s="4334"/>
      <c r="M2179" s="4324"/>
      <c r="N2179" s="4324"/>
      <c r="O2179" s="1298">
        <f>O2181+O2182+O2183+O2187+O2191+O2199+O2200+O2201</f>
        <v>34.756902779999997</v>
      </c>
      <c r="P2179" s="1337">
        <f>K2179*O2179</f>
        <v>0.13902761112000001</v>
      </c>
      <c r="Q2179" s="3390"/>
      <c r="R2179" s="1840">
        <f>P2181+P2182+P2183+P2187+P2191+P2199+P2200+P2201</f>
        <v>0.12630473111999999</v>
      </c>
      <c r="S2179" s="16"/>
      <c r="T2179" s="16"/>
      <c r="U2179" s="16"/>
      <c r="V2179" s="16"/>
    </row>
    <row r="2180" spans="1:22">
      <c r="A2180" s="16"/>
      <c r="B2180" s="18"/>
      <c r="D2180" s="1449"/>
      <c r="E2180" s="2121"/>
      <c r="F2180" s="1368" t="s">
        <v>1</v>
      </c>
      <c r="G2180" s="1368"/>
      <c r="H2180" s="1369"/>
      <c r="I2180" s="1409"/>
      <c r="J2180" s="1391"/>
      <c r="K2180" s="1367"/>
      <c r="L2180" s="1554"/>
      <c r="M2180" s="1369"/>
      <c r="N2180" s="1369"/>
      <c r="O2180" s="1369"/>
      <c r="P2180" s="1367"/>
      <c r="Q2180" s="3387"/>
      <c r="R2180" s="2343"/>
      <c r="S2180" s="16"/>
      <c r="T2180" s="16"/>
      <c r="U2180" s="16"/>
      <c r="V2180" s="16"/>
    </row>
    <row r="2181" spans="1:22">
      <c r="A2181" s="16"/>
      <c r="B2181" s="1042"/>
      <c r="D2181" s="1767" t="s">
        <v>1784</v>
      </c>
      <c r="E2181" s="1849" t="s">
        <v>1521</v>
      </c>
      <c r="F2181" s="1598" t="s">
        <v>1830</v>
      </c>
      <c r="G2181" s="1567">
        <v>5.0000000000000001E-3</v>
      </c>
      <c r="H2181" s="1567"/>
      <c r="I2181" s="1286"/>
      <c r="J2181" s="198"/>
      <c r="K2181" s="1722">
        <f>G2181*$K$2179</f>
        <v>2.0000000000000002E-5</v>
      </c>
      <c r="L2181" s="1335">
        <f t="shared" ref="L2181:L2182" si="100">K2181*$K$1987</f>
        <v>0</v>
      </c>
      <c r="M2181" s="1499">
        <v>236.83</v>
      </c>
      <c r="N2181" s="1700"/>
      <c r="O2181" s="1290">
        <f>G2181*M2181</f>
        <v>1.18415</v>
      </c>
      <c r="P2181" s="1739">
        <f>M2181*K2181</f>
        <v>4.7366000000000005E-3</v>
      </c>
      <c r="Q2181" s="3391"/>
      <c r="R2181" s="2343"/>
      <c r="S2181" s="16"/>
      <c r="T2181" s="16"/>
      <c r="U2181" s="16"/>
      <c r="V2181" s="16"/>
    </row>
    <row r="2182" spans="1:22">
      <c r="A2182" s="16"/>
      <c r="B2182" s="1042"/>
      <c r="D2182" s="1769" t="s">
        <v>1786</v>
      </c>
      <c r="E2182" s="1850" t="s">
        <v>1787</v>
      </c>
      <c r="F2182" s="1770" t="s">
        <v>1788</v>
      </c>
      <c r="G2182" s="1771">
        <v>0.05</v>
      </c>
      <c r="H2182" s="1771"/>
      <c r="I2182" s="1286"/>
      <c r="J2182" s="198"/>
      <c r="K2182" s="1722">
        <f>G2182*$K$2179</f>
        <v>2.0000000000000001E-4</v>
      </c>
      <c r="L2182" s="1335">
        <f t="shared" si="100"/>
        <v>0</v>
      </c>
      <c r="M2182" s="1302">
        <v>1.54</v>
      </c>
      <c r="N2182" s="1700"/>
      <c r="O2182" s="1290">
        <f>G2182*M2182</f>
        <v>7.7000000000000013E-2</v>
      </c>
      <c r="P2182" s="1739">
        <f>M2182*K2182</f>
        <v>3.0800000000000001E-4</v>
      </c>
      <c r="Q2182" s="3391"/>
      <c r="R2182" s="2343"/>
      <c r="S2182" s="16"/>
      <c r="T2182" s="16"/>
      <c r="U2182" s="16"/>
      <c r="V2182" s="16"/>
    </row>
    <row r="2183" spans="1:22">
      <c r="A2183" s="16"/>
      <c r="B2183" s="1042"/>
      <c r="C2183" s="1356" t="s">
        <v>1128</v>
      </c>
      <c r="D2183" s="1585"/>
      <c r="E2183" s="1851" t="s">
        <v>1517</v>
      </c>
      <c r="F2183" s="1768" t="s">
        <v>1695</v>
      </c>
      <c r="G2183" s="1776"/>
      <c r="H2183" s="1776">
        <v>1E-3</v>
      </c>
      <c r="I2183" s="1388"/>
      <c r="J2183" s="1366"/>
      <c r="K2183" s="1841"/>
      <c r="L2183" s="1445"/>
      <c r="M2183" s="1447"/>
      <c r="N2183" s="1447">
        <f>SUM(N2184:N2186)</f>
        <v>104.27969999999999</v>
      </c>
      <c r="O2183" s="1447">
        <f>SUM(O2184:O2186)</f>
        <v>0.1042797</v>
      </c>
      <c r="P2183" s="1741">
        <f>SUM(P2184:P2186)</f>
        <v>4.1711880000000002E-4</v>
      </c>
      <c r="Q2183" s="3391"/>
      <c r="R2183" s="2343"/>
      <c r="S2183" s="16"/>
      <c r="T2183" s="16"/>
      <c r="U2183" s="16"/>
      <c r="V2183" s="16"/>
    </row>
    <row r="2184" spans="1:22">
      <c r="A2184" s="16"/>
      <c r="B2184" s="553"/>
      <c r="C2184" s="1042"/>
      <c r="D2184" s="1752" t="s">
        <v>1779</v>
      </c>
      <c r="E2184" s="1852" t="s">
        <v>1577</v>
      </c>
      <c r="F2184" s="1752" t="s">
        <v>1780</v>
      </c>
      <c r="G2184" s="1753">
        <v>0.876</v>
      </c>
      <c r="H2184" s="1453">
        <f>$H$2183*G2184</f>
        <v>8.7600000000000004E-4</v>
      </c>
      <c r="I2184" s="197"/>
      <c r="J2184" s="198"/>
      <c r="K2184" s="1722">
        <f>H2184*$K$2179</f>
        <v>3.5040000000000002E-6</v>
      </c>
      <c r="L2184" s="1335">
        <f t="shared" ref="L2184:L2186" si="101">K2184*$K$1987</f>
        <v>0</v>
      </c>
      <c r="M2184" s="1759">
        <v>56.05</v>
      </c>
      <c r="N2184" s="1718">
        <f>G2184*M2184</f>
        <v>49.099799999999995</v>
      </c>
      <c r="O2184" s="1719">
        <f>H2184*M2184</f>
        <v>4.9099799999999999E-2</v>
      </c>
      <c r="P2184" s="1731">
        <f>M2184*K2184</f>
        <v>1.963992E-4</v>
      </c>
      <c r="Q2184" s="3396"/>
      <c r="R2184" s="2343"/>
      <c r="S2184" s="16"/>
      <c r="T2184" s="16"/>
      <c r="U2184" s="16"/>
      <c r="V2184" s="16"/>
    </row>
    <row r="2185" spans="1:22">
      <c r="A2185" s="16"/>
      <c r="B2185" s="553"/>
      <c r="C2185" s="1042"/>
      <c r="D2185" s="1752" t="s">
        <v>1069</v>
      </c>
      <c r="E2185" s="1852" t="s">
        <v>1517</v>
      </c>
      <c r="F2185" s="1752" t="s">
        <v>1578</v>
      </c>
      <c r="G2185" s="1753">
        <v>0.61799999999999999</v>
      </c>
      <c r="H2185" s="1453">
        <f>$H$2183*G2185</f>
        <v>6.1800000000000006E-4</v>
      </c>
      <c r="I2185" s="27"/>
      <c r="J2185" s="10"/>
      <c r="K2185" s="1722">
        <f>H2185*$K$2179</f>
        <v>2.4720000000000002E-6</v>
      </c>
      <c r="L2185" s="1335">
        <f t="shared" si="101"/>
        <v>0</v>
      </c>
      <c r="M2185" s="1759">
        <v>0.55000000000000004</v>
      </c>
      <c r="N2185" s="1718">
        <f>G2185*M2185</f>
        <v>0.33990000000000004</v>
      </c>
      <c r="O2185" s="1719">
        <f>H2185*M2185</f>
        <v>3.3990000000000008E-4</v>
      </c>
      <c r="P2185" s="1843">
        <f>M2185*K2185</f>
        <v>1.3596000000000003E-6</v>
      </c>
      <c r="Q2185" s="3396"/>
      <c r="R2185" s="2343"/>
      <c r="S2185" s="16"/>
      <c r="T2185" s="16"/>
      <c r="U2185" s="16"/>
      <c r="V2185" s="16"/>
    </row>
    <row r="2186" spans="1:22">
      <c r="A2186" s="16"/>
      <c r="B2186" s="553"/>
      <c r="C2186" s="1042"/>
      <c r="D2186" s="1754" t="s">
        <v>1067</v>
      </c>
      <c r="E2186" s="1853" t="s">
        <v>1508</v>
      </c>
      <c r="F2186" s="1754" t="s">
        <v>1512</v>
      </c>
      <c r="G2186" s="1755">
        <v>3</v>
      </c>
      <c r="H2186" s="1454">
        <f>$H$2183*G2186</f>
        <v>3.0000000000000001E-3</v>
      </c>
      <c r="I2186" s="198"/>
      <c r="J2186" s="198"/>
      <c r="K2186" s="1722">
        <f>H2186*$K$2179</f>
        <v>1.2E-5</v>
      </c>
      <c r="L2186" s="1335">
        <f t="shared" si="101"/>
        <v>0</v>
      </c>
      <c r="M2186" s="1759">
        <v>18.28</v>
      </c>
      <c r="N2186" s="1718">
        <f>G2186*M2186</f>
        <v>54.84</v>
      </c>
      <c r="O2186" s="1719">
        <f>H2186*M2186</f>
        <v>5.4840000000000007E-2</v>
      </c>
      <c r="P2186" s="1727">
        <f>M2186*K2186</f>
        <v>2.1936000000000001E-4</v>
      </c>
      <c r="Q2186" s="3396"/>
      <c r="R2186" s="2343"/>
      <c r="S2186" s="16"/>
      <c r="T2186" s="16"/>
      <c r="U2186" s="16"/>
      <c r="V2186" s="16"/>
    </row>
    <row r="2187" spans="1:22">
      <c r="A2187" s="16"/>
      <c r="B2187" s="553"/>
      <c r="C2187" s="1356" t="s">
        <v>1152</v>
      </c>
      <c r="D2187" s="1311"/>
      <c r="E2187" s="1854" t="s">
        <v>1517</v>
      </c>
      <c r="F2187" s="1749" t="s">
        <v>1696</v>
      </c>
      <c r="G2187" s="1776"/>
      <c r="H2187" s="1688">
        <v>1E-3</v>
      </c>
      <c r="I2187" s="1388"/>
      <c r="J2187" s="1388"/>
      <c r="K2187" s="1861"/>
      <c r="L2187" s="1445"/>
      <c r="M2187" s="1447"/>
      <c r="N2187" s="1447">
        <f>SUM(N2188:N2190)</f>
        <v>108.04650000000001</v>
      </c>
      <c r="O2187" s="1447">
        <f>SUM(O2188:O2190)</f>
        <v>0.10804650000000002</v>
      </c>
      <c r="P2187" s="1844">
        <f>SUM(P2188:P2190)</f>
        <v>4.3218600000000004E-4</v>
      </c>
      <c r="Q2187" s="3391"/>
      <c r="R2187" s="2343"/>
      <c r="S2187" s="16"/>
      <c r="T2187" s="16"/>
      <c r="U2187" s="16"/>
      <c r="V2187" s="16"/>
    </row>
    <row r="2188" spans="1:22">
      <c r="A2188" s="16"/>
      <c r="B2188" s="553"/>
      <c r="C2188" s="18"/>
      <c r="D2188" s="1756" t="s">
        <v>1781</v>
      </c>
      <c r="E2188" s="1852" t="s">
        <v>1577</v>
      </c>
      <c r="F2188" s="1752" t="s">
        <v>1782</v>
      </c>
      <c r="G2188" s="1753">
        <v>0.876</v>
      </c>
      <c r="H2188" s="1453">
        <f>$H$2187*G2188</f>
        <v>8.7600000000000004E-4</v>
      </c>
      <c r="I2188" s="198"/>
      <c r="J2188" s="198"/>
      <c r="K2188" s="1860">
        <f>H2188*$K$2179</f>
        <v>3.5040000000000002E-6</v>
      </c>
      <c r="L2188" s="1335">
        <f t="shared" ref="L2188:L2190" si="102">K2188*$K$1987</f>
        <v>0</v>
      </c>
      <c r="M2188" s="1723">
        <v>60.35</v>
      </c>
      <c r="N2188" s="1718">
        <f>G2188*M2188</f>
        <v>52.866599999999998</v>
      </c>
      <c r="O2188" s="1719">
        <f>H2188*M2188</f>
        <v>5.2866600000000007E-2</v>
      </c>
      <c r="P2188" s="1731">
        <f>M2188*K2188</f>
        <v>2.1146640000000003E-4</v>
      </c>
      <c r="Q2188" s="3396"/>
      <c r="R2188" s="2343"/>
      <c r="S2188" s="16"/>
      <c r="T2188" s="16"/>
      <c r="U2188" s="16"/>
      <c r="V2188" s="16"/>
    </row>
    <row r="2189" spans="1:22">
      <c r="A2189" s="16"/>
      <c r="B2189" s="553"/>
      <c r="C2189" s="1042"/>
      <c r="D2189" s="1756" t="s">
        <v>1069</v>
      </c>
      <c r="E2189" s="1852" t="s">
        <v>1517</v>
      </c>
      <c r="F2189" s="1752" t="s">
        <v>1578</v>
      </c>
      <c r="G2189" s="1753">
        <v>0.61799999999999999</v>
      </c>
      <c r="H2189" s="1453">
        <f>$H$2187*G2189</f>
        <v>6.1800000000000006E-4</v>
      </c>
      <c r="I2189" s="197"/>
      <c r="J2189" s="198"/>
      <c r="K2189" s="1860">
        <f>H2189*$K$2179</f>
        <v>2.4720000000000002E-6</v>
      </c>
      <c r="L2189" s="1335">
        <f t="shared" si="102"/>
        <v>0</v>
      </c>
      <c r="M2189" s="1723">
        <v>0.55000000000000004</v>
      </c>
      <c r="N2189" s="1718">
        <f>G2189*M2189</f>
        <v>0.33990000000000004</v>
      </c>
      <c r="O2189" s="1719">
        <f>H2189*M2189</f>
        <v>3.3990000000000008E-4</v>
      </c>
      <c r="P2189" s="1843">
        <f>M2189*K2189</f>
        <v>1.3596000000000003E-6</v>
      </c>
      <c r="Q2189" s="3396"/>
      <c r="R2189" s="2343"/>
      <c r="S2189" s="16"/>
      <c r="T2189" s="16"/>
      <c r="U2189" s="16"/>
      <c r="V2189" s="16"/>
    </row>
    <row r="2190" spans="1:22">
      <c r="A2190" s="16"/>
      <c r="B2190" s="553"/>
      <c r="C2190" s="1042"/>
      <c r="D2190" s="1811" t="s">
        <v>1067</v>
      </c>
      <c r="E2190" s="1853" t="s">
        <v>1508</v>
      </c>
      <c r="F2190" s="1754" t="s">
        <v>1512</v>
      </c>
      <c r="G2190" s="1755">
        <v>3</v>
      </c>
      <c r="H2190" s="1454">
        <f>$H$2187*G2190</f>
        <v>3.0000000000000001E-3</v>
      </c>
      <c r="I2190" s="1289"/>
      <c r="J2190" s="198"/>
      <c r="K2190" s="1860">
        <f>H2190*$K$2179</f>
        <v>1.2E-5</v>
      </c>
      <c r="L2190" s="1335">
        <f t="shared" si="102"/>
        <v>0</v>
      </c>
      <c r="M2190" s="1723">
        <v>18.28</v>
      </c>
      <c r="N2190" s="1718">
        <f>G2190*M2190</f>
        <v>54.84</v>
      </c>
      <c r="O2190" s="1719">
        <f>H2190*M2190</f>
        <v>5.4840000000000007E-2</v>
      </c>
      <c r="P2190" s="1731">
        <f>M2190*K2190</f>
        <v>2.1936000000000001E-4</v>
      </c>
      <c r="Q2190" s="3396"/>
      <c r="R2190" s="2343"/>
      <c r="S2190" s="16"/>
      <c r="T2190" s="16"/>
      <c r="U2190" s="16"/>
      <c r="V2190" s="16"/>
    </row>
    <row r="2191" spans="1:22">
      <c r="A2191" s="16"/>
      <c r="B2191" s="1042"/>
      <c r="C2191" s="1356" t="s">
        <v>1790</v>
      </c>
      <c r="D2191" s="1311"/>
      <c r="E2191" s="2137" t="s">
        <v>1517</v>
      </c>
      <c r="F2191" s="1343" t="s">
        <v>1791</v>
      </c>
      <c r="G2191" s="1776"/>
      <c r="H2191" s="1344">
        <v>1E-3</v>
      </c>
      <c r="I2191" s="1444"/>
      <c r="J2191" s="1388"/>
      <c r="K2191" s="1862"/>
      <c r="L2191" s="1457"/>
      <c r="M2191" s="1446"/>
      <c r="N2191" s="1447">
        <f>SUM(N2192:N2196)</f>
        <v>76.906580000000005</v>
      </c>
      <c r="O2191" s="1447">
        <f>SUM(O2192:O2196)</f>
        <v>7.6906580000000002E-2</v>
      </c>
      <c r="P2191" s="1738">
        <f>SUM(P2192:P2196)</f>
        <v>3.0762631999999999E-4</v>
      </c>
      <c r="Q2191" s="3391"/>
      <c r="R2191" s="2343"/>
      <c r="S2191" s="16"/>
      <c r="T2191" s="16"/>
      <c r="U2191" s="16"/>
      <c r="V2191" s="16"/>
    </row>
    <row r="2192" spans="1:22">
      <c r="A2192" s="16"/>
      <c r="B2192" s="1042"/>
      <c r="C2192" s="1327"/>
      <c r="D2192" s="1752" t="s">
        <v>1069</v>
      </c>
      <c r="E2192" s="1852" t="s">
        <v>1517</v>
      </c>
      <c r="F2192" s="1784" t="s">
        <v>1578</v>
      </c>
      <c r="G2192" s="1399">
        <v>0.2</v>
      </c>
      <c r="H2192" s="1863">
        <f>$H$2191*G2192</f>
        <v>2.0000000000000001E-4</v>
      </c>
      <c r="I2192" s="197"/>
      <c r="J2192" s="198"/>
      <c r="K2192" s="1722">
        <f>H2192*$K$2179</f>
        <v>8.0000000000000007E-7</v>
      </c>
      <c r="L2192" s="1335">
        <f t="shared" ref="L2192:L2196" si="103">K2192*$K$1987</f>
        <v>0</v>
      </c>
      <c r="M2192" s="1499">
        <v>0.55000000000000004</v>
      </c>
      <c r="N2192" s="1718">
        <f>G2192*M2192</f>
        <v>0.11000000000000001</v>
      </c>
      <c r="O2192" s="1719">
        <f>H2192*M2192</f>
        <v>1.1000000000000002E-4</v>
      </c>
      <c r="P2192" s="2334">
        <f>M2192*K2192</f>
        <v>4.4000000000000008E-7</v>
      </c>
      <c r="Q2192" s="3396"/>
      <c r="R2192" s="2338"/>
      <c r="S2192" s="16"/>
      <c r="T2192" s="16"/>
      <c r="U2192" s="16"/>
      <c r="V2192" s="16"/>
    </row>
    <row r="2193" spans="1:22">
      <c r="A2193" s="16"/>
      <c r="B2193" s="1042"/>
      <c r="C2193" s="1320"/>
      <c r="D2193" s="1752" t="s">
        <v>1792</v>
      </c>
      <c r="E2193" s="1852" t="s">
        <v>1577</v>
      </c>
      <c r="F2193" s="1752" t="s">
        <v>1793</v>
      </c>
      <c r="G2193" s="1399">
        <v>0.25</v>
      </c>
      <c r="H2193" s="1863">
        <f>$H$2191*G2193</f>
        <v>2.5000000000000001E-4</v>
      </c>
      <c r="I2193" s="197"/>
      <c r="J2193" s="198"/>
      <c r="K2193" s="1722">
        <f>H2193*$K$2179</f>
        <v>9.9999999999999995E-7</v>
      </c>
      <c r="L2193" s="1335">
        <f t="shared" si="103"/>
        <v>0</v>
      </c>
      <c r="M2193" s="1499">
        <v>85.09</v>
      </c>
      <c r="N2193" s="1718">
        <f>G2193*M2193</f>
        <v>21.272500000000001</v>
      </c>
      <c r="O2193" s="1719">
        <f>H2193*M2193</f>
        <v>2.12725E-2</v>
      </c>
      <c r="P2193" s="1843">
        <f>M2193*K2193</f>
        <v>8.509E-5</v>
      </c>
      <c r="Q2193" s="3396"/>
      <c r="R2193" s="2338"/>
      <c r="S2193" s="16"/>
      <c r="T2193" s="16"/>
      <c r="U2193" s="16"/>
      <c r="V2193" s="16"/>
    </row>
    <row r="2194" spans="1:22">
      <c r="A2194" s="16"/>
      <c r="B2194" s="1042"/>
      <c r="C2194" s="1320"/>
      <c r="D2194" s="1752" t="s">
        <v>1394</v>
      </c>
      <c r="E2194" s="1852" t="s">
        <v>1577</v>
      </c>
      <c r="F2194" s="1752" t="s">
        <v>1579</v>
      </c>
      <c r="G2194" s="1399">
        <v>0.25</v>
      </c>
      <c r="H2194" s="1863">
        <f>$H$2191*G2194</f>
        <v>2.5000000000000001E-4</v>
      </c>
      <c r="I2194" s="197"/>
      <c r="J2194" s="198"/>
      <c r="K2194" s="1722">
        <f>H2194*$K$2179</f>
        <v>9.9999999999999995E-7</v>
      </c>
      <c r="L2194" s="1335">
        <f t="shared" si="103"/>
        <v>0</v>
      </c>
      <c r="M2194" s="1499">
        <v>92.54</v>
      </c>
      <c r="N2194" s="1718">
        <f>G2194*M2194</f>
        <v>23.135000000000002</v>
      </c>
      <c r="O2194" s="1719">
        <f>H2194*M2194</f>
        <v>2.3135000000000003E-2</v>
      </c>
      <c r="P2194" s="1843">
        <f>M2194*K2194</f>
        <v>9.2540000000000005E-5</v>
      </c>
      <c r="Q2194" s="3396"/>
      <c r="R2194" s="2338"/>
      <c r="S2194" s="16"/>
      <c r="T2194" s="16"/>
      <c r="U2194" s="16"/>
      <c r="V2194" s="16"/>
    </row>
    <row r="2195" spans="1:22">
      <c r="A2195" s="16"/>
      <c r="B2195" s="1042"/>
      <c r="C2195" s="1320"/>
      <c r="D2195" s="1752" t="s">
        <v>1576</v>
      </c>
      <c r="E2195" s="1852" t="s">
        <v>1517</v>
      </c>
      <c r="F2195" s="1752" t="s">
        <v>1580</v>
      </c>
      <c r="G2195" s="1399">
        <v>1.5</v>
      </c>
      <c r="H2195" s="1863">
        <f>$H$2191*G2195</f>
        <v>1.5E-3</v>
      </c>
      <c r="I2195" s="197"/>
      <c r="J2195" s="198"/>
      <c r="K2195" s="1722">
        <f>H2195*$K$2179</f>
        <v>6.0000000000000002E-6</v>
      </c>
      <c r="L2195" s="1335">
        <f t="shared" si="103"/>
        <v>0</v>
      </c>
      <c r="M2195" s="1499">
        <v>6.53</v>
      </c>
      <c r="N2195" s="1718">
        <f>G2195*M2195</f>
        <v>9.7949999999999999</v>
      </c>
      <c r="O2195" s="1719">
        <f>H2195*M2195</f>
        <v>9.7949999999999999E-3</v>
      </c>
      <c r="P2195" s="1843">
        <f>M2195*K2195</f>
        <v>3.9180000000000001E-5</v>
      </c>
      <c r="Q2195" s="3396"/>
      <c r="R2195" s="2338"/>
      <c r="S2195" s="16"/>
      <c r="T2195" s="16"/>
      <c r="U2195" s="16"/>
      <c r="V2195" s="16"/>
    </row>
    <row r="2196" spans="1:22">
      <c r="A2196" s="16"/>
      <c r="B2196" s="1042"/>
      <c r="C2196" s="1320"/>
      <c r="D2196" s="1754" t="s">
        <v>1067</v>
      </c>
      <c r="E2196" s="1853" t="s">
        <v>1508</v>
      </c>
      <c r="F2196" s="1754" t="s">
        <v>1512</v>
      </c>
      <c r="G2196" s="1408">
        <v>1.236</v>
      </c>
      <c r="H2196" s="1864">
        <f>$H$2191*G2196</f>
        <v>1.2360000000000001E-3</v>
      </c>
      <c r="I2196" s="197"/>
      <c r="J2196" s="198"/>
      <c r="K2196" s="1722">
        <f>H2196*$K$2179</f>
        <v>4.9440000000000004E-6</v>
      </c>
      <c r="L2196" s="1335">
        <f t="shared" si="103"/>
        <v>0</v>
      </c>
      <c r="M2196" s="1499">
        <v>18.28</v>
      </c>
      <c r="N2196" s="1718">
        <f>G2196*M2196</f>
        <v>22.594080000000002</v>
      </c>
      <c r="O2196" s="1719">
        <f>H2196*M2196</f>
        <v>2.2594080000000002E-2</v>
      </c>
      <c r="P2196" s="1843">
        <f>M2196*K2196</f>
        <v>9.0376320000000012E-5</v>
      </c>
      <c r="Q2196" s="3396"/>
      <c r="R2196" s="2338"/>
      <c r="S2196" s="16"/>
      <c r="T2196" s="16"/>
      <c r="U2196" s="16"/>
      <c r="V2196" s="16"/>
    </row>
    <row r="2197" spans="1:22">
      <c r="A2197" s="16"/>
      <c r="B2197" s="1042"/>
      <c r="C2197" s="88"/>
      <c r="D2197" s="1752"/>
      <c r="E2197" s="1852"/>
      <c r="F2197" s="1752"/>
      <c r="G2197" s="1399"/>
      <c r="H2197" s="1399"/>
      <c r="I2197" s="197"/>
      <c r="J2197" s="198"/>
      <c r="K2197" s="1722"/>
      <c r="L2197" s="1335"/>
      <c r="M2197" s="1499"/>
      <c r="N2197" s="1718"/>
      <c r="O2197" s="1719"/>
      <c r="P2197" s="1731"/>
      <c r="Q2197" s="3396"/>
      <c r="R2197" s="2338"/>
      <c r="S2197" s="16"/>
      <c r="T2197" s="16"/>
      <c r="U2197" s="16"/>
      <c r="V2197" s="16"/>
    </row>
    <row r="2198" spans="1:22">
      <c r="A2198" s="16"/>
      <c r="B2198" s="1042"/>
      <c r="C2198" s="88"/>
      <c r="D2198" s="1359"/>
      <c r="E2198" s="1858"/>
      <c r="F2198" s="1360" t="s">
        <v>2</v>
      </c>
      <c r="G2198" s="1360"/>
      <c r="H2198" s="1362"/>
      <c r="I2198" s="1380"/>
      <c r="J2198" s="1381"/>
      <c r="K2198" s="1842"/>
      <c r="L2198" s="1458"/>
      <c r="M2198" s="1362"/>
      <c r="N2198" s="1362"/>
      <c r="O2198" s="1362"/>
      <c r="P2198" s="1458"/>
      <c r="Q2198" s="3387"/>
      <c r="R2198" s="2343"/>
      <c r="S2198" s="17"/>
      <c r="T2198" s="17"/>
      <c r="U2198" s="16"/>
      <c r="V2198" s="16"/>
    </row>
    <row r="2199" spans="1:22">
      <c r="A2199" s="16"/>
      <c r="B2199" s="1320"/>
      <c r="C2199" s="1042"/>
      <c r="D2199" s="1655" t="s">
        <v>1806</v>
      </c>
      <c r="E2199" s="1859" t="s">
        <v>1508</v>
      </c>
      <c r="F2199" s="1655" t="s">
        <v>1821</v>
      </c>
      <c r="G2199" s="1809">
        <v>0.69799999999999995</v>
      </c>
      <c r="H2199" s="1439"/>
      <c r="I2199" s="197"/>
      <c r="J2199" s="198"/>
      <c r="K2199" s="1722">
        <f>G2199*$K$2179</f>
        <v>2.7919999999999998E-3</v>
      </c>
      <c r="L2199" s="1335">
        <f t="shared" ref="L2199:L2201" si="104">K2199*$K$1987</f>
        <v>0</v>
      </c>
      <c r="M2199" s="1499">
        <v>19.23</v>
      </c>
      <c r="N2199" s="1701"/>
      <c r="O2199" s="1290">
        <f>(G2199*M2199)</f>
        <v>13.42254</v>
      </c>
      <c r="P2199" s="1739">
        <f>M2199*K2199</f>
        <v>5.3690159999999994E-2</v>
      </c>
      <c r="Q2199" s="3391"/>
      <c r="R2199" s="3363"/>
      <c r="S2199" s="105"/>
      <c r="T2199" s="105"/>
      <c r="U2199" s="16"/>
      <c r="V2199" s="16"/>
    </row>
    <row r="2200" spans="1:22">
      <c r="A2200" s="16"/>
      <c r="B2200" s="1042"/>
      <c r="C2200" s="88"/>
      <c r="D2200" s="1655" t="s">
        <v>1826</v>
      </c>
      <c r="E2200" s="1859" t="s">
        <v>1508</v>
      </c>
      <c r="F2200" s="1655" t="s">
        <v>1827</v>
      </c>
      <c r="G2200" s="1809">
        <v>0.69799999999999995</v>
      </c>
      <c r="H2200" s="1365"/>
      <c r="I2200" s="1286"/>
      <c r="J2200" s="198"/>
      <c r="K2200" s="1722">
        <f>G2200*$K$2179</f>
        <v>2.7919999999999998E-3</v>
      </c>
      <c r="L2200" s="1335">
        <f t="shared" si="104"/>
        <v>0</v>
      </c>
      <c r="M2200" s="1302">
        <v>19.23</v>
      </c>
      <c r="N2200" s="1302"/>
      <c r="O2200" s="1290">
        <f>(G2200*M2200)</f>
        <v>13.42254</v>
      </c>
      <c r="P2200" s="1739">
        <f>M2200*K2200</f>
        <v>5.3690159999999994E-2</v>
      </c>
      <c r="Q2200" s="3391"/>
      <c r="R2200" s="2338"/>
      <c r="S2200" s="16"/>
      <c r="T2200" s="16"/>
      <c r="U2200" s="16"/>
      <c r="V2200" s="16"/>
    </row>
    <row r="2201" spans="1:22">
      <c r="A2201" s="16"/>
      <c r="B2201" s="1042"/>
      <c r="C2201" s="88"/>
      <c r="D2201" s="2192" t="s">
        <v>1802</v>
      </c>
      <c r="E2201" s="2267" t="s">
        <v>1508</v>
      </c>
      <c r="F2201" s="1655" t="s">
        <v>1804</v>
      </c>
      <c r="G2201" s="2193">
        <v>0.34799999999999998</v>
      </c>
      <c r="H2201" s="1362"/>
      <c r="I2201" s="197"/>
      <c r="J2201" s="198"/>
      <c r="K2201" s="1722">
        <f>G2201*$K$2150</f>
        <v>6.96E-4</v>
      </c>
      <c r="L2201" s="1335">
        <f t="shared" si="104"/>
        <v>0</v>
      </c>
      <c r="M2201" s="1302">
        <v>18.28</v>
      </c>
      <c r="N2201" s="7"/>
      <c r="O2201" s="1290">
        <f>(G2201*M2201)</f>
        <v>6.36144</v>
      </c>
      <c r="P2201" s="1739">
        <f>M2201*K2201</f>
        <v>1.2722880000000001E-2</v>
      </c>
      <c r="Q2201" s="3391"/>
      <c r="R2201" s="2338"/>
      <c r="S2201" s="16"/>
      <c r="T2201" s="16"/>
      <c r="U2201" s="16"/>
      <c r="V2201" s="16"/>
    </row>
    <row r="2202" spans="1:22">
      <c r="A2202" s="16"/>
      <c r="B2202" s="1042"/>
      <c r="C2202" s="88"/>
      <c r="D2202" s="1620"/>
      <c r="E2202" s="2157"/>
      <c r="F2202" s="2265"/>
      <c r="G2202" s="1621"/>
      <c r="H2202" s="1362"/>
      <c r="I2202" s="197"/>
      <c r="J2202" s="198"/>
      <c r="K2202" s="1722"/>
      <c r="L2202" s="1335"/>
      <c r="M2202" s="1302"/>
      <c r="N2202" s="7"/>
      <c r="O2202" s="1290"/>
      <c r="P2202" s="1739"/>
      <c r="Q2202" s="3391"/>
      <c r="R2202" s="2338"/>
      <c r="S2202" s="16"/>
      <c r="T2202" s="16"/>
      <c r="U2202" s="16"/>
      <c r="V2202" s="16"/>
    </row>
    <row r="2203" spans="1:22">
      <c r="A2203" s="16"/>
      <c r="B2203" s="1042"/>
      <c r="C2203" s="88"/>
      <c r="D2203" s="1373"/>
      <c r="E2203" s="2123"/>
      <c r="F2203" s="1374" t="s">
        <v>3</v>
      </c>
      <c r="G2203" s="1374"/>
      <c r="H2203" s="1376"/>
      <c r="I2203" s="1382"/>
      <c r="J2203" s="1383"/>
      <c r="K2203" s="1373"/>
      <c r="L2203" s="1413"/>
      <c r="M2203" s="1376"/>
      <c r="N2203" s="1376"/>
      <c r="O2203" s="1376"/>
      <c r="P2203" s="1413"/>
      <c r="Q2203" s="3387"/>
      <c r="R2203" s="2343"/>
      <c r="S2203" s="16"/>
      <c r="T2203" s="16"/>
      <c r="U2203" s="16"/>
      <c r="V2203" s="16"/>
    </row>
    <row r="2204" spans="1:22">
      <c r="A2204" s="16"/>
      <c r="B2204" s="1042"/>
      <c r="C2204" s="88"/>
      <c r="D2204" s="1440"/>
      <c r="E2204" s="2132"/>
      <c r="F2204" s="1441"/>
      <c r="G2204" s="1441"/>
      <c r="H2204" s="1442"/>
      <c r="I2204" s="197"/>
      <c r="J2204" s="198"/>
      <c r="K2204" s="1307"/>
      <c r="L2204" s="1335"/>
      <c r="M2204" s="1499"/>
      <c r="N2204" s="1701"/>
      <c r="O2204" s="1290"/>
      <c r="P2204" s="1332"/>
      <c r="Q2204" s="3391"/>
      <c r="R2204" s="2338"/>
      <c r="S2204" s="16"/>
      <c r="T2204" s="16"/>
      <c r="U2204" s="16"/>
      <c r="V2204" s="16"/>
    </row>
    <row r="2205" spans="1:22">
      <c r="A2205" s="16"/>
      <c r="B2205" s="1042"/>
      <c r="C2205" s="88"/>
      <c r="D2205" s="1440"/>
      <c r="E2205" s="2132"/>
      <c r="F2205" s="1441"/>
      <c r="G2205" s="1441"/>
      <c r="H2205" s="1442"/>
      <c r="I2205" s="197"/>
      <c r="J2205" s="198"/>
      <c r="K2205" s="1307"/>
      <c r="L2205" s="1335"/>
      <c r="M2205" s="1499"/>
      <c r="N2205" s="1701"/>
      <c r="O2205" s="1290"/>
      <c r="P2205" s="1332"/>
      <c r="Q2205" s="3391"/>
      <c r="R2205" s="2338"/>
      <c r="S2205" s="16"/>
      <c r="T2205" s="16"/>
      <c r="U2205" s="16"/>
      <c r="V2205" s="16"/>
    </row>
    <row r="2206" spans="1:22">
      <c r="A2206" s="16"/>
      <c r="B2206" s="223"/>
      <c r="C2206" s="581"/>
      <c r="D2206" s="1440"/>
      <c r="E2206" s="2132"/>
      <c r="F2206" s="1441"/>
      <c r="G2206" s="1441"/>
      <c r="H2206" s="1442"/>
      <c r="I2206" s="197"/>
      <c r="J2206" s="198"/>
      <c r="K2206" s="1307"/>
      <c r="L2206" s="1335"/>
      <c r="M2206" s="1499"/>
      <c r="N2206" s="1701"/>
      <c r="O2206" s="1290"/>
      <c r="P2206" s="1332"/>
      <c r="Q2206" s="3391"/>
      <c r="R2206" s="2338"/>
      <c r="S2206" s="16"/>
      <c r="T2206" s="16"/>
      <c r="U2206" s="16"/>
      <c r="V2206" s="16"/>
    </row>
    <row r="2207" spans="1:22">
      <c r="A2207" s="1042" t="s">
        <v>3764</v>
      </c>
      <c r="B2207" s="4325" t="s">
        <v>1659</v>
      </c>
      <c r="C2207" s="3350"/>
      <c r="D2207" s="4327"/>
      <c r="E2207" s="4329" t="s">
        <v>1507</v>
      </c>
      <c r="F2207" s="4338" t="s">
        <v>1685</v>
      </c>
      <c r="G2207" s="4331" t="s">
        <v>1568</v>
      </c>
      <c r="H2207" s="4331" t="s">
        <v>1574</v>
      </c>
      <c r="I2207" s="1572" t="s">
        <v>1559</v>
      </c>
      <c r="J2207" s="1294" t="s">
        <v>1560</v>
      </c>
      <c r="K2207" s="1294" t="s">
        <v>1561</v>
      </c>
      <c r="L2207" s="4333" t="s">
        <v>3765</v>
      </c>
      <c r="M2207" s="4335" t="s">
        <v>1571</v>
      </c>
      <c r="N2207" s="4323" t="s">
        <v>1776</v>
      </c>
      <c r="O2207" s="3347" t="s">
        <v>1563</v>
      </c>
      <c r="P2207" s="1336" t="s">
        <v>1562</v>
      </c>
      <c r="Q2207" s="3389"/>
      <c r="R2207" s="1699" t="s">
        <v>1327</v>
      </c>
      <c r="S2207" s="16"/>
      <c r="T2207" s="16"/>
      <c r="U2207" s="16"/>
      <c r="V2207" s="16"/>
    </row>
    <row r="2208" spans="1:22">
      <c r="A2208" s="1660" t="s">
        <v>1865</v>
      </c>
      <c r="B2208" s="4326"/>
      <c r="C2208" s="3351"/>
      <c r="D2208" s="4328"/>
      <c r="E2208" s="4330"/>
      <c r="F2208" s="4338"/>
      <c r="G2208" s="4332"/>
      <c r="H2208" s="4332"/>
      <c r="I2208" s="1345">
        <v>64.8</v>
      </c>
      <c r="J2208" s="1307">
        <v>2E-3</v>
      </c>
      <c r="K2208" s="1307">
        <f>I2208*J2208</f>
        <v>0.12959999999999999</v>
      </c>
      <c r="L2208" s="4334"/>
      <c r="M2208" s="4335"/>
      <c r="N2208" s="4324"/>
      <c r="O2208" s="1298">
        <f>O2210+O2218</f>
        <v>13.241683030000001</v>
      </c>
      <c r="P2208" s="1337">
        <f>O2208*K2208</f>
        <v>1.716122120688</v>
      </c>
      <c r="Q2208" s="3390"/>
      <c r="R2208" s="1721">
        <f>P2210+P2218</f>
        <v>1.716122120688</v>
      </c>
      <c r="S2208" s="16"/>
      <c r="T2208" s="16"/>
      <c r="U2208" s="16"/>
      <c r="V2208" s="16"/>
    </row>
    <row r="2209" spans="1:22">
      <c r="A2209" s="16"/>
      <c r="B2209" s="18"/>
      <c r="D2209" s="1449"/>
      <c r="E2209" s="2121"/>
      <c r="F2209" s="1368" t="s">
        <v>1</v>
      </c>
      <c r="G2209" s="1368"/>
      <c r="H2209" s="1369"/>
      <c r="I2209" s="1409"/>
      <c r="J2209" s="1391"/>
      <c r="K2209" s="1367"/>
      <c r="L2209" s="1554"/>
      <c r="M2209" s="1369"/>
      <c r="N2209" s="1369"/>
      <c r="O2209" s="1369"/>
      <c r="P2209" s="1367"/>
      <c r="Q2209" s="3387"/>
      <c r="R2209" s="2337"/>
      <c r="S2209" s="16"/>
      <c r="T2209" s="16"/>
      <c r="U2209" s="16"/>
      <c r="V2209" s="16"/>
    </row>
    <row r="2210" spans="1:22">
      <c r="A2210" s="16"/>
      <c r="B2210" s="1042"/>
      <c r="C2210" s="1356" t="s">
        <v>1127</v>
      </c>
      <c r="D2210" s="1311"/>
      <c r="E2210" s="2137" t="s">
        <v>1517</v>
      </c>
      <c r="F2210" s="1319" t="s">
        <v>1519</v>
      </c>
      <c r="G2210" s="1353"/>
      <c r="H2210" s="1456">
        <v>2.1000000000000001E-2</v>
      </c>
      <c r="I2210" s="1444"/>
      <c r="J2210" s="1388"/>
      <c r="K2210" s="1445"/>
      <c r="L2210" s="1457"/>
      <c r="M2210" s="1447"/>
      <c r="N2210" s="1447">
        <f>SUM(N2211:N2214)</f>
        <v>50.044430000000006</v>
      </c>
      <c r="O2210" s="1447">
        <f>SUM(O2211:O2214)</f>
        <v>1.0509330300000002</v>
      </c>
      <c r="P2210" s="1446">
        <f>SUM(P2211:P2214)</f>
        <v>0.13620092068800002</v>
      </c>
      <c r="Q2210" s="3391"/>
      <c r="R2210" s="2337"/>
      <c r="S2210" s="16"/>
      <c r="T2210" s="16"/>
      <c r="U2210" s="16"/>
      <c r="V2210" s="16"/>
    </row>
    <row r="2211" spans="1:22">
      <c r="A2211" s="16"/>
      <c r="B2211" s="1042"/>
      <c r="C2211" s="1327"/>
      <c r="D2211" s="1400" t="s">
        <v>1069</v>
      </c>
      <c r="E2211" s="1856" t="s">
        <v>1517</v>
      </c>
      <c r="F2211" s="1397" t="s">
        <v>1578</v>
      </c>
      <c r="G2211" s="1416">
        <v>0.26300000000000001</v>
      </c>
      <c r="H2211" s="1399">
        <f>G2211*$H$2210</f>
        <v>5.523000000000001E-3</v>
      </c>
      <c r="I2211" s="197"/>
      <c r="J2211" s="198"/>
      <c r="K2211" s="1307">
        <f>H2211*$K$2208</f>
        <v>7.1578080000000012E-4</v>
      </c>
      <c r="L2211" s="1335">
        <f t="shared" ref="L2211:L2214" si="105">K2211*$K$1987</f>
        <v>0</v>
      </c>
      <c r="M2211" s="1302">
        <v>0.55000000000000004</v>
      </c>
      <c r="N2211" s="1718">
        <f>G2211*M2211</f>
        <v>0.14465000000000003</v>
      </c>
      <c r="O2211" s="1290">
        <f>H2211*M2211</f>
        <v>3.0376500000000007E-3</v>
      </c>
      <c r="P2211" s="1332">
        <f>M2211*K2211</f>
        <v>3.9367944000000011E-4</v>
      </c>
      <c r="Q2211" s="3391"/>
      <c r="R2211" s="2337"/>
      <c r="S2211" s="16"/>
      <c r="T2211" s="16"/>
      <c r="U2211" s="16"/>
      <c r="V2211" s="16"/>
    </row>
    <row r="2212" spans="1:22">
      <c r="A2212" s="16"/>
      <c r="B2212" s="1042"/>
      <c r="C2212" s="1320"/>
      <c r="D2212" s="1400" t="s">
        <v>1394</v>
      </c>
      <c r="E2212" s="1856" t="s">
        <v>1577</v>
      </c>
      <c r="F2212" s="1397" t="s">
        <v>1579</v>
      </c>
      <c r="G2212" s="1416">
        <v>0.25800000000000001</v>
      </c>
      <c r="H2212" s="1399">
        <f>G2212*$H$2210</f>
        <v>5.4180000000000001E-3</v>
      </c>
      <c r="I2212" s="197"/>
      <c r="J2212" s="198"/>
      <c r="K2212" s="1307">
        <f t="shared" ref="K2212:K2214" si="106">H2212*$K$2208</f>
        <v>7.0217279999999999E-4</v>
      </c>
      <c r="L2212" s="1335">
        <f t="shared" si="105"/>
        <v>0</v>
      </c>
      <c r="M2212" s="1302">
        <v>92.54</v>
      </c>
      <c r="N2212" s="1718">
        <f>G2212*M2212</f>
        <v>23.875320000000002</v>
      </c>
      <c r="O2212" s="1290">
        <f>H2212*M2212</f>
        <v>0.50138172000000003</v>
      </c>
      <c r="P2212" s="1332">
        <f>M2212*K2212</f>
        <v>6.4979070912000003E-2</v>
      </c>
      <c r="Q2212" s="3391"/>
      <c r="R2212" s="2337"/>
      <c r="S2212" s="16"/>
      <c r="T2212" s="16"/>
      <c r="U2212" s="16"/>
      <c r="V2212" s="16"/>
    </row>
    <row r="2213" spans="1:22">
      <c r="A2213" s="16"/>
      <c r="B2213" s="1042"/>
      <c r="C2213" s="1320"/>
      <c r="D2213" s="1400" t="s">
        <v>1576</v>
      </c>
      <c r="E2213" s="1856" t="s">
        <v>1517</v>
      </c>
      <c r="F2213" s="1397" t="s">
        <v>1580</v>
      </c>
      <c r="G2213" s="1416">
        <v>1.1020000000000001</v>
      </c>
      <c r="H2213" s="1399">
        <f>G2213*$H$2210</f>
        <v>2.3142000000000003E-2</v>
      </c>
      <c r="I2213" s="197"/>
      <c r="J2213" s="198"/>
      <c r="K2213" s="1307">
        <f t="shared" si="106"/>
        <v>2.9992032000000003E-3</v>
      </c>
      <c r="L2213" s="1335">
        <f t="shared" si="105"/>
        <v>0</v>
      </c>
      <c r="M2213" s="1302">
        <v>6.53</v>
      </c>
      <c r="N2213" s="1718">
        <f>G2213*M2213</f>
        <v>7.196060000000001</v>
      </c>
      <c r="O2213" s="1290">
        <f>H2213*M2213</f>
        <v>0.15111726000000003</v>
      </c>
      <c r="P2213" s="1332">
        <f>M2213*K2213</f>
        <v>1.9584796896000001E-2</v>
      </c>
      <c r="Q2213" s="3391"/>
      <c r="R2213" s="2337"/>
      <c r="S2213" s="16"/>
      <c r="T2213" s="16"/>
      <c r="U2213" s="16"/>
      <c r="V2213" s="16"/>
    </row>
    <row r="2214" spans="1:22">
      <c r="A2214" s="16"/>
      <c r="B2214" s="1042"/>
      <c r="C2214" s="1320"/>
      <c r="D2214" s="1404" t="s">
        <v>1067</v>
      </c>
      <c r="E2214" s="1857" t="s">
        <v>1508</v>
      </c>
      <c r="F2214" s="1406" t="s">
        <v>1512</v>
      </c>
      <c r="G2214" s="1407">
        <v>1.03</v>
      </c>
      <c r="H2214" s="1408">
        <f>G2214*$H$2210</f>
        <v>2.1630000000000003E-2</v>
      </c>
      <c r="I2214" s="197"/>
      <c r="J2214" s="198"/>
      <c r="K2214" s="1307">
        <f t="shared" si="106"/>
        <v>2.8032480000000004E-3</v>
      </c>
      <c r="L2214" s="1335">
        <f t="shared" si="105"/>
        <v>0</v>
      </c>
      <c r="M2214" s="1302">
        <v>18.28</v>
      </c>
      <c r="N2214" s="1718">
        <f>G2214*M2214</f>
        <v>18.828400000000002</v>
      </c>
      <c r="O2214" s="1290">
        <f>H2214*M2214</f>
        <v>0.39539640000000009</v>
      </c>
      <c r="P2214" s="1332">
        <f>M2214*K2214</f>
        <v>5.124337344000001E-2</v>
      </c>
      <c r="Q2214" s="3391"/>
      <c r="R2214" s="2337"/>
      <c r="S2214" s="16"/>
      <c r="T2214" s="16"/>
      <c r="U2214" s="16"/>
      <c r="V2214" s="16"/>
    </row>
    <row r="2215" spans="1:22">
      <c r="A2215" s="16"/>
      <c r="B2215" s="1042"/>
      <c r="C2215" s="88"/>
      <c r="D2215" s="1400"/>
      <c r="E2215" s="1856"/>
      <c r="F2215" s="1397"/>
      <c r="G2215" s="1416"/>
      <c r="H2215" s="1399"/>
      <c r="I2215" s="197"/>
      <c r="J2215" s="198"/>
      <c r="K2215" s="1307"/>
      <c r="L2215" s="1335"/>
      <c r="M2215" s="1302"/>
      <c r="N2215" s="1718"/>
      <c r="O2215" s="1290"/>
      <c r="P2215" s="1332"/>
      <c r="Q2215" s="3391"/>
      <c r="R2215" s="2337"/>
      <c r="S2215" s="16"/>
      <c r="T2215" s="16"/>
      <c r="U2215" s="16"/>
      <c r="V2215" s="16"/>
    </row>
    <row r="2216" spans="1:22">
      <c r="A2216" s="16"/>
      <c r="B2216" s="1042"/>
      <c r="C2216" s="88"/>
      <c r="D2216" s="1400"/>
      <c r="E2216" s="1856"/>
      <c r="F2216" s="1397"/>
      <c r="G2216" s="1416"/>
      <c r="H2216" s="1399"/>
      <c r="I2216" s="197"/>
      <c r="J2216" s="198"/>
      <c r="K2216" s="1307" t="str">
        <f>IF(COUNT(#REF!)=0,"",IF(#REF!="","",(#REF!*#REF!)))</f>
        <v/>
      </c>
      <c r="L2216" s="1335"/>
      <c r="M2216" s="1302"/>
      <c r="N2216" s="1718"/>
      <c r="O2216" s="1290"/>
      <c r="P2216" s="1332"/>
      <c r="Q2216" s="3391"/>
      <c r="R2216" s="2337"/>
      <c r="S2216" s="16"/>
      <c r="T2216" s="16"/>
      <c r="U2216" s="16"/>
      <c r="V2216" s="16"/>
    </row>
    <row r="2217" spans="1:22">
      <c r="A2217" s="16"/>
      <c r="B2217" s="1042"/>
      <c r="C2217" s="88"/>
      <c r="D2217" s="1359"/>
      <c r="E2217" s="1858"/>
      <c r="F2217" s="1360" t="s">
        <v>2</v>
      </c>
      <c r="G2217" s="1360"/>
      <c r="H2217" s="1362"/>
      <c r="I2217" s="1380"/>
      <c r="J2217" s="1381"/>
      <c r="K2217" s="1359" t="str">
        <f>IF(COUNT(#REF!)=0,"",IF(#REF!="","",(#REF!*#REF!)))</f>
        <v/>
      </c>
      <c r="L2217" s="1458"/>
      <c r="M2217" s="1362"/>
      <c r="N2217" s="1362"/>
      <c r="O2217" s="1362"/>
      <c r="P2217" s="1458"/>
      <c r="Q2217" s="3387"/>
      <c r="R2217" s="2337"/>
      <c r="S2217" s="16"/>
      <c r="T2217" s="16"/>
      <c r="U2217" s="16"/>
      <c r="V2217" s="16"/>
    </row>
    <row r="2218" spans="1:22">
      <c r="A2218" s="16"/>
      <c r="B2218" s="1042"/>
      <c r="C2218" s="1652" t="s">
        <v>1755</v>
      </c>
      <c r="D2218" s="1461"/>
      <c r="E2218" s="2163" t="s">
        <v>1508</v>
      </c>
      <c r="F2218" s="1648" t="s">
        <v>1524</v>
      </c>
      <c r="G2218" s="1353"/>
      <c r="H2218" s="1456">
        <v>0.32500000000000001</v>
      </c>
      <c r="I2218" s="1444"/>
      <c r="J2218" s="1388"/>
      <c r="K2218" s="1445"/>
      <c r="L2218" s="1457"/>
      <c r="M2218" s="1447"/>
      <c r="N2218" s="1447">
        <f>SUM(N2219:N2220)</f>
        <v>37.510000000000005</v>
      </c>
      <c r="O2218" s="1447">
        <f>SUM(O2219:O2220)</f>
        <v>12.190750000000001</v>
      </c>
      <c r="P2218" s="1447">
        <f>SUM(P2219:P2220)</f>
        <v>1.5799212</v>
      </c>
      <c r="Q2218" s="3391"/>
      <c r="R2218" s="2337"/>
      <c r="S2218" s="16"/>
      <c r="T2218" s="16"/>
      <c r="U2218" s="16"/>
      <c r="V2218" s="16"/>
    </row>
    <row r="2219" spans="1:22">
      <c r="A2219" s="16"/>
      <c r="B2219" s="1042"/>
      <c r="C2219" s="88"/>
      <c r="D2219" s="1430" t="s">
        <v>1067</v>
      </c>
      <c r="E2219" s="1857" t="s">
        <v>1508</v>
      </c>
      <c r="F2219" s="1403" t="s">
        <v>5</v>
      </c>
      <c r="G2219" s="1431">
        <v>1</v>
      </c>
      <c r="H2219" s="1408">
        <f>G2219*$H$2218</f>
        <v>0.32500000000000001</v>
      </c>
      <c r="I2219" s="1286"/>
      <c r="J2219" s="198"/>
      <c r="K2219" s="1307">
        <f t="shared" ref="K2219:K2220" si="107">H2219*$K$2208</f>
        <v>4.2119999999999998E-2</v>
      </c>
      <c r="L2219" s="1335">
        <f t="shared" ref="L2219:L2220" si="108">K2219*$K$1987</f>
        <v>0</v>
      </c>
      <c r="M2219" s="1302">
        <v>18.28</v>
      </c>
      <c r="N2219" s="1718">
        <f>G2219*M2219</f>
        <v>18.28</v>
      </c>
      <c r="O2219" s="1290">
        <f>H2219*M2219</f>
        <v>5.9410000000000007</v>
      </c>
      <c r="P2219" s="1332">
        <f>M2219*K2219</f>
        <v>0.76995360000000002</v>
      </c>
      <c r="Q2219" s="3391"/>
      <c r="R2219" s="2337"/>
      <c r="S2219" s="16"/>
      <c r="T2219" s="16"/>
      <c r="U2219" s="16"/>
      <c r="V2219" s="16"/>
    </row>
    <row r="2220" spans="1:22">
      <c r="A2220" s="16"/>
      <c r="B2220" s="1042"/>
      <c r="C2220" s="88"/>
      <c r="D2220" s="1430" t="s">
        <v>1077</v>
      </c>
      <c r="E2220" s="1857" t="s">
        <v>1508</v>
      </c>
      <c r="F2220" s="1403" t="s">
        <v>37</v>
      </c>
      <c r="G2220" s="1431">
        <v>1</v>
      </c>
      <c r="H2220" s="1408">
        <f>G2220*$H$2218</f>
        <v>0.32500000000000001</v>
      </c>
      <c r="I2220" s="197"/>
      <c r="J2220" s="198"/>
      <c r="K2220" s="1307">
        <f t="shared" si="107"/>
        <v>4.2119999999999998E-2</v>
      </c>
      <c r="L2220" s="1335">
        <f t="shared" si="108"/>
        <v>0</v>
      </c>
      <c r="M2220" s="1302">
        <v>19.23</v>
      </c>
      <c r="N2220" s="1718">
        <f>G2220*M2220</f>
        <v>19.23</v>
      </c>
      <c r="O2220" s="1290">
        <f>H2220*M2220</f>
        <v>6.2497500000000006</v>
      </c>
      <c r="P2220" s="1332">
        <f>M2220*K2220</f>
        <v>0.80996760000000001</v>
      </c>
      <c r="Q2220" s="3391"/>
      <c r="R2220" s="2337"/>
      <c r="S2220" s="16"/>
      <c r="T2220" s="16"/>
      <c r="U2220" s="16"/>
      <c r="V2220" s="16"/>
    </row>
    <row r="2221" spans="1:22">
      <c r="A2221" s="16"/>
      <c r="B2221" s="1042"/>
      <c r="C2221" s="88"/>
      <c r="D2221" s="1430"/>
      <c r="E2221" s="1857"/>
      <c r="F2221" s="1766"/>
      <c r="G2221" s="1943"/>
      <c r="H2221" s="1408"/>
      <c r="I2221" s="197"/>
      <c r="J2221" s="198"/>
      <c r="K2221" s="1307"/>
      <c r="L2221" s="1335"/>
      <c r="M2221" s="1302"/>
      <c r="N2221" s="1718"/>
      <c r="O2221" s="1290"/>
      <c r="P2221" s="1332"/>
      <c r="Q2221" s="3391"/>
      <c r="R2221" s="2337"/>
      <c r="S2221" s="16"/>
      <c r="T2221" s="16"/>
      <c r="U2221" s="16"/>
      <c r="V2221" s="16"/>
    </row>
    <row r="2222" spans="1:22">
      <c r="A2222" s="16"/>
      <c r="B2222" s="1042"/>
      <c r="C2222" s="88"/>
      <c r="D2222" s="1373"/>
      <c r="E2222" s="2123"/>
      <c r="F2222" s="1374" t="s">
        <v>3</v>
      </c>
      <c r="G2222" s="1374"/>
      <c r="H2222" s="1376"/>
      <c r="I2222" s="1382"/>
      <c r="J2222" s="1383"/>
      <c r="K2222" s="1373"/>
      <c r="L2222" s="1413"/>
      <c r="M2222" s="1376"/>
      <c r="N2222" s="1376"/>
      <c r="O2222" s="1376"/>
      <c r="P2222" s="1413"/>
      <c r="Q2222" s="3387"/>
      <c r="R2222" s="2337"/>
      <c r="S2222" s="16"/>
      <c r="T2222" s="16"/>
      <c r="U2222" s="16"/>
      <c r="V2222" s="16"/>
    </row>
    <row r="2223" spans="1:22">
      <c r="A2223" s="16"/>
      <c r="B2223" s="1042"/>
      <c r="C2223" s="88"/>
      <c r="D2223" s="1440"/>
      <c r="E2223" s="2132"/>
      <c r="F2223" s="1441"/>
      <c r="G2223" s="1441"/>
      <c r="H2223" s="1442"/>
      <c r="I2223" s="197"/>
      <c r="J2223" s="198"/>
      <c r="K2223" s="1307"/>
      <c r="L2223" s="1335"/>
      <c r="M2223" s="1499"/>
      <c r="N2223" s="1701"/>
      <c r="O2223" s="1290"/>
      <c r="P2223" s="1332"/>
      <c r="Q2223" s="3391"/>
      <c r="R2223" s="2337"/>
      <c r="S2223" s="17"/>
      <c r="T2223" s="17"/>
      <c r="U2223" s="16"/>
      <c r="V2223" s="16"/>
    </row>
    <row r="2224" spans="1:22">
      <c r="A2224" s="16"/>
      <c r="B2224" s="1042"/>
      <c r="C2224" s="88"/>
      <c r="D2224" s="1440"/>
      <c r="E2224" s="2132"/>
      <c r="F2224" s="1441"/>
      <c r="G2224" s="1441"/>
      <c r="H2224" s="1442"/>
      <c r="I2224" s="197"/>
      <c r="J2224" s="198"/>
      <c r="K2224" s="1307"/>
      <c r="L2224" s="1335"/>
      <c r="M2224" s="1499"/>
      <c r="N2224" s="1701"/>
      <c r="O2224" s="1290"/>
      <c r="P2224" s="1332"/>
      <c r="Q2224" s="3391"/>
      <c r="R2224" s="2337"/>
      <c r="S2224" s="105"/>
      <c r="T2224" s="105"/>
      <c r="U2224" s="16"/>
      <c r="V2224" s="16"/>
    </row>
    <row r="2225" spans="1:22">
      <c r="A2225" s="16"/>
      <c r="B2225" s="223"/>
      <c r="C2225" s="581"/>
      <c r="D2225" s="1440"/>
      <c r="E2225" s="2132"/>
      <c r="F2225" s="1441"/>
      <c r="G2225" s="1441"/>
      <c r="H2225" s="1442"/>
      <c r="I2225" s="197"/>
      <c r="J2225" s="198"/>
      <c r="K2225" s="1307"/>
      <c r="L2225" s="1335"/>
      <c r="M2225" s="1499"/>
      <c r="N2225" s="1701"/>
      <c r="O2225" s="1290"/>
      <c r="P2225" s="1332"/>
      <c r="Q2225" s="3391"/>
      <c r="R2225" s="2337"/>
      <c r="S2225" s="16"/>
      <c r="T2225" s="16"/>
      <c r="U2225" s="16"/>
      <c r="V2225" s="16"/>
    </row>
    <row r="2226" spans="1:22" ht="15" customHeight="1">
      <c r="A2226" s="1042" t="s">
        <v>3764</v>
      </c>
      <c r="B2226" s="4325" t="s">
        <v>1808</v>
      </c>
      <c r="C2226" s="3350"/>
      <c r="D2226" s="4327"/>
      <c r="E2226" s="4329" t="s">
        <v>1507</v>
      </c>
      <c r="F2226" s="4338" t="s">
        <v>1809</v>
      </c>
      <c r="G2226" s="4331" t="s">
        <v>1568</v>
      </c>
      <c r="H2226" s="4331" t="s">
        <v>1574</v>
      </c>
      <c r="I2226" s="1572" t="s">
        <v>1559</v>
      </c>
      <c r="J2226" s="1294" t="s">
        <v>1560</v>
      </c>
      <c r="K2226" s="1294" t="s">
        <v>1561</v>
      </c>
      <c r="L2226" s="4333" t="s">
        <v>3765</v>
      </c>
      <c r="M2226" s="4335" t="s">
        <v>1571</v>
      </c>
      <c r="N2226" s="4323" t="s">
        <v>1776</v>
      </c>
      <c r="O2226" s="3347" t="s">
        <v>1563</v>
      </c>
      <c r="P2226" s="1336" t="s">
        <v>1562</v>
      </c>
      <c r="Q2226" s="3389"/>
      <c r="R2226" s="1699" t="s">
        <v>1327</v>
      </c>
      <c r="S2226" s="16"/>
      <c r="T2226" s="16"/>
      <c r="U2226" s="16"/>
      <c r="V2226" s="16"/>
    </row>
    <row r="2227" spans="1:22">
      <c r="A2227" s="1660" t="s">
        <v>1865</v>
      </c>
      <c r="B2227" s="4326"/>
      <c r="C2227" s="3351"/>
      <c r="D2227" s="4328"/>
      <c r="E2227" s="4330"/>
      <c r="F2227" s="4338"/>
      <c r="G2227" s="4332"/>
      <c r="H2227" s="4332"/>
      <c r="I2227" s="1345">
        <v>442.2</v>
      </c>
      <c r="J2227" s="1307">
        <v>2E-3</v>
      </c>
      <c r="K2227" s="1307">
        <f>I2227*J2227</f>
        <v>0.88439999999999996</v>
      </c>
      <c r="L2227" s="4334"/>
      <c r="M2227" s="4335"/>
      <c r="N2227" s="4324"/>
      <c r="O2227" s="1298">
        <f>O2229+O2238</f>
        <v>18.061397399999997</v>
      </c>
      <c r="P2227" s="1337">
        <f>O2227*K2227</f>
        <v>15.973499860559997</v>
      </c>
      <c r="Q2227" s="3390"/>
      <c r="R2227" s="1721">
        <f>P2229+P2238</f>
        <v>15.973499860559997</v>
      </c>
      <c r="S2227" s="16"/>
      <c r="T2227" s="16"/>
      <c r="U2227" s="16"/>
      <c r="V2227" s="16"/>
    </row>
    <row r="2228" spans="1:22">
      <c r="A2228" s="16"/>
      <c r="B2228" s="18"/>
      <c r="D2228" s="1449"/>
      <c r="E2228" s="2121"/>
      <c r="F2228" s="1368" t="s">
        <v>1</v>
      </c>
      <c r="G2228" s="1368"/>
      <c r="H2228" s="1369"/>
      <c r="I2228" s="1409"/>
      <c r="J2228" s="1391"/>
      <c r="K2228" s="1367"/>
      <c r="L2228" s="1554"/>
      <c r="M2228" s="1369"/>
      <c r="N2228" s="1369"/>
      <c r="O2228" s="1369"/>
      <c r="P2228" s="1367"/>
      <c r="Q2228" s="3387"/>
      <c r="R2228" s="2337"/>
      <c r="S2228" s="16"/>
      <c r="T2228" s="16"/>
      <c r="U2228" s="16"/>
      <c r="V2228" s="16"/>
    </row>
    <row r="2229" spans="1:22">
      <c r="A2229" s="16"/>
      <c r="B2229" s="1042"/>
      <c r="C2229" s="1356" t="s">
        <v>1790</v>
      </c>
      <c r="D2229" s="1311"/>
      <c r="E2229" s="2137" t="s">
        <v>1517</v>
      </c>
      <c r="F2229" s="1343" t="s">
        <v>1791</v>
      </c>
      <c r="G2229" s="1344"/>
      <c r="H2229" s="1344">
        <v>0.03</v>
      </c>
      <c r="I2229" s="1444"/>
      <c r="J2229" s="1388"/>
      <c r="K2229" s="1445"/>
      <c r="L2229" s="1457"/>
      <c r="M2229" s="1446"/>
      <c r="N2229" s="1447">
        <f>SUM(N2230:N2234)</f>
        <v>76.906580000000005</v>
      </c>
      <c r="O2229" s="1447">
        <f>SUM(O2230:O2234)</f>
        <v>2.3071973999999997</v>
      </c>
      <c r="P2229" s="1447">
        <f>SUM(P2230:P2234)</f>
        <v>2.0404853805599998</v>
      </c>
      <c r="Q2229" s="3391"/>
      <c r="R2229" s="2337"/>
      <c r="S2229" s="16"/>
      <c r="T2229" s="16"/>
      <c r="U2229" s="16"/>
      <c r="V2229" s="16"/>
    </row>
    <row r="2230" spans="1:22">
      <c r="A2230" s="16"/>
      <c r="B2230" s="1042"/>
      <c r="C2230" s="1327"/>
      <c r="D2230" s="1756" t="s">
        <v>1069</v>
      </c>
      <c r="E2230" s="1852" t="s">
        <v>1517</v>
      </c>
      <c r="F2230" s="1784" t="s">
        <v>1578</v>
      </c>
      <c r="G2230" s="1399">
        <v>0.2</v>
      </c>
      <c r="H2230" s="1399">
        <f>G2230*$H$2229</f>
        <v>6.0000000000000001E-3</v>
      </c>
      <c r="I2230" s="197"/>
      <c r="J2230" s="198"/>
      <c r="K2230" s="1307">
        <f>H2230*$K$2227</f>
        <v>5.3064000000000002E-3</v>
      </c>
      <c r="L2230" s="1335">
        <f t="shared" ref="L2230:L2234" si="109">K2230*$K$1987</f>
        <v>0</v>
      </c>
      <c r="M2230" s="1499">
        <v>0.55000000000000004</v>
      </c>
      <c r="N2230" s="1718">
        <f>G2230*M2230</f>
        <v>0.11000000000000001</v>
      </c>
      <c r="O2230" s="1719">
        <f>H2230*M2230</f>
        <v>3.3000000000000004E-3</v>
      </c>
      <c r="P2230" s="1720">
        <f>M2230*K2230</f>
        <v>2.9185200000000004E-3</v>
      </c>
      <c r="Q2230" s="3396"/>
      <c r="R2230" s="2337"/>
      <c r="S2230" s="16"/>
      <c r="T2230" s="16"/>
      <c r="U2230" s="16"/>
      <c r="V2230" s="16"/>
    </row>
    <row r="2231" spans="1:22">
      <c r="A2231" s="16"/>
      <c r="B2231" s="1042"/>
      <c r="C2231" s="1320"/>
      <c r="D2231" s="1756" t="s">
        <v>1792</v>
      </c>
      <c r="E2231" s="1852" t="s">
        <v>1577</v>
      </c>
      <c r="F2231" s="1752" t="s">
        <v>1793</v>
      </c>
      <c r="G2231" s="1399">
        <v>0.25</v>
      </c>
      <c r="H2231" s="1399">
        <f t="shared" ref="H2231:H2234" si="110">G2231*$H$2229</f>
        <v>7.4999999999999997E-3</v>
      </c>
      <c r="I2231" s="197"/>
      <c r="J2231" s="198"/>
      <c r="K2231" s="1307">
        <f t="shared" ref="K2231:K2234" si="111">H2231*$K$2227</f>
        <v>6.6329999999999991E-3</v>
      </c>
      <c r="L2231" s="1335">
        <f t="shared" si="109"/>
        <v>0</v>
      </c>
      <c r="M2231" s="1499">
        <v>85.09</v>
      </c>
      <c r="N2231" s="1718">
        <f>G2231*M2231</f>
        <v>21.272500000000001</v>
      </c>
      <c r="O2231" s="1719">
        <f>H2231*M2231</f>
        <v>0.63817500000000005</v>
      </c>
      <c r="P2231" s="1720">
        <f>M2231*K2231</f>
        <v>0.56440196999999992</v>
      </c>
      <c r="Q2231" s="3396"/>
      <c r="R2231" s="2337"/>
      <c r="S2231" s="16"/>
      <c r="T2231" s="16"/>
      <c r="U2231" s="16"/>
      <c r="V2231" s="16"/>
    </row>
    <row r="2232" spans="1:22">
      <c r="A2232" s="16"/>
      <c r="B2232" s="1042"/>
      <c r="C2232" s="1320"/>
      <c r="D2232" s="1756" t="s">
        <v>1394</v>
      </c>
      <c r="E2232" s="1852" t="s">
        <v>1577</v>
      </c>
      <c r="F2232" s="1752" t="s">
        <v>1579</v>
      </c>
      <c r="G2232" s="1399">
        <v>0.25</v>
      </c>
      <c r="H2232" s="1399">
        <f t="shared" si="110"/>
        <v>7.4999999999999997E-3</v>
      </c>
      <c r="I2232" s="197"/>
      <c r="J2232" s="198"/>
      <c r="K2232" s="1307">
        <f t="shared" si="111"/>
        <v>6.6329999999999991E-3</v>
      </c>
      <c r="L2232" s="1335">
        <f t="shared" si="109"/>
        <v>0</v>
      </c>
      <c r="M2232" s="1499">
        <v>92.54</v>
      </c>
      <c r="N2232" s="1718">
        <f>G2232*M2232</f>
        <v>23.135000000000002</v>
      </c>
      <c r="O2232" s="1719">
        <f>H2232*M2232</f>
        <v>0.69405000000000006</v>
      </c>
      <c r="P2232" s="1720">
        <f>M2232*K2232</f>
        <v>0.61381781999999996</v>
      </c>
      <c r="Q2232" s="3396"/>
      <c r="R2232" s="2337"/>
      <c r="S2232" s="16"/>
      <c r="T2232" s="16"/>
      <c r="U2232" s="16"/>
      <c r="V2232" s="16"/>
    </row>
    <row r="2233" spans="1:22">
      <c r="A2233" s="16"/>
      <c r="B2233" s="1042"/>
      <c r="C2233" s="1320"/>
      <c r="D2233" s="1756" t="s">
        <v>1576</v>
      </c>
      <c r="E2233" s="1852" t="s">
        <v>1517</v>
      </c>
      <c r="F2233" s="1752" t="s">
        <v>1580</v>
      </c>
      <c r="G2233" s="1399">
        <v>1.5</v>
      </c>
      <c r="H2233" s="1399">
        <f t="shared" si="110"/>
        <v>4.4999999999999998E-2</v>
      </c>
      <c r="I2233" s="197"/>
      <c r="J2233" s="198"/>
      <c r="K2233" s="1307">
        <f t="shared" si="111"/>
        <v>3.9798E-2</v>
      </c>
      <c r="L2233" s="1335">
        <f t="shared" si="109"/>
        <v>0</v>
      </c>
      <c r="M2233" s="1499">
        <v>6.53</v>
      </c>
      <c r="N2233" s="1718">
        <f>G2233*M2233</f>
        <v>9.7949999999999999</v>
      </c>
      <c r="O2233" s="1719">
        <f>H2233*M2233</f>
        <v>0.29385</v>
      </c>
      <c r="P2233" s="1720">
        <f>M2233*K2233</f>
        <v>0.25988094</v>
      </c>
      <c r="Q2233" s="3396"/>
      <c r="R2233" s="2337"/>
      <c r="S2233" s="16"/>
      <c r="T2233" s="16"/>
      <c r="U2233" s="16"/>
      <c r="V2233" s="16"/>
    </row>
    <row r="2234" spans="1:22">
      <c r="A2234" s="16"/>
      <c r="B2234" s="1042"/>
      <c r="C2234" s="1320"/>
      <c r="D2234" s="1757" t="s">
        <v>1067</v>
      </c>
      <c r="E2234" s="1853" t="s">
        <v>1508</v>
      </c>
      <c r="F2234" s="1754" t="s">
        <v>1512</v>
      </c>
      <c r="G2234" s="1408">
        <v>1.236</v>
      </c>
      <c r="H2234" s="1408">
        <f t="shared" si="110"/>
        <v>3.7079999999999995E-2</v>
      </c>
      <c r="I2234" s="197"/>
      <c r="J2234" s="198"/>
      <c r="K2234" s="1307">
        <f t="shared" si="111"/>
        <v>3.2793551999999997E-2</v>
      </c>
      <c r="L2234" s="1335">
        <f t="shared" si="109"/>
        <v>0</v>
      </c>
      <c r="M2234" s="1499">
        <v>18.28</v>
      </c>
      <c r="N2234" s="1718">
        <f>G2234*M2234</f>
        <v>22.594080000000002</v>
      </c>
      <c r="O2234" s="1719">
        <f>H2234*M2234</f>
        <v>0.67782239999999994</v>
      </c>
      <c r="P2234" s="1720">
        <f>M2234*K2234</f>
        <v>0.59946613055999998</v>
      </c>
      <c r="Q2234" s="3396"/>
      <c r="R2234" s="2337"/>
      <c r="S2234" s="16"/>
      <c r="T2234" s="16"/>
      <c r="U2234" s="16"/>
      <c r="V2234" s="16"/>
    </row>
    <row r="2235" spans="1:22">
      <c r="A2235" s="16"/>
      <c r="B2235" s="1042"/>
      <c r="C2235" s="88"/>
      <c r="D2235" s="1756"/>
      <c r="E2235" s="1852"/>
      <c r="F2235" s="1752"/>
      <c r="G2235" s="1399"/>
      <c r="H2235" s="1399"/>
      <c r="I2235" s="197"/>
      <c r="J2235" s="198"/>
      <c r="K2235" s="1307"/>
      <c r="L2235" s="1335"/>
      <c r="M2235" s="1499"/>
      <c r="N2235" s="1718"/>
      <c r="O2235" s="1719"/>
      <c r="P2235" s="1720"/>
      <c r="Q2235" s="3396"/>
      <c r="R2235" s="2337"/>
      <c r="S2235" s="16"/>
      <c r="T2235" s="16"/>
      <c r="U2235" s="16"/>
      <c r="V2235" s="16"/>
    </row>
    <row r="2236" spans="1:22">
      <c r="A2236" s="16"/>
      <c r="B2236" s="1042"/>
      <c r="C2236" s="88"/>
      <c r="D2236" s="1756"/>
      <c r="E2236" s="1852"/>
      <c r="F2236" s="1752"/>
      <c r="G2236" s="1399"/>
      <c r="H2236" s="1399"/>
      <c r="I2236" s="197"/>
      <c r="J2236" s="198"/>
      <c r="K2236" s="1307" t="str">
        <f>IF(COUNT(#REF!)=0,"",IF(#REF!="","",(#REF!*#REF!)))</f>
        <v/>
      </c>
      <c r="L2236" s="1335"/>
      <c r="M2236" s="1499"/>
      <c r="N2236" s="1718"/>
      <c r="O2236" s="1719"/>
      <c r="P2236" s="1720"/>
      <c r="Q2236" s="3396"/>
      <c r="R2236" s="2337"/>
      <c r="S2236" s="16"/>
      <c r="T2236" s="16"/>
      <c r="U2236" s="16"/>
      <c r="V2236" s="16"/>
    </row>
    <row r="2237" spans="1:22">
      <c r="A2237" s="16"/>
      <c r="B2237" s="1042"/>
      <c r="C2237" s="88"/>
      <c r="D2237" s="1359"/>
      <c r="E2237" s="1858"/>
      <c r="F2237" s="1360" t="s">
        <v>2</v>
      </c>
      <c r="G2237" s="1360"/>
      <c r="H2237" s="1362"/>
      <c r="I2237" s="1380"/>
      <c r="J2237" s="1381"/>
      <c r="K2237" s="1359" t="str">
        <f>IF(COUNT(#REF!)=0,"",IF(#REF!="","",(#REF!*#REF!)))</f>
        <v/>
      </c>
      <c r="L2237" s="1458"/>
      <c r="M2237" s="1362"/>
      <c r="N2237" s="1362"/>
      <c r="O2237" s="1362"/>
      <c r="P2237" s="1458"/>
      <c r="Q2237" s="3387"/>
      <c r="R2237" s="2337"/>
      <c r="S2237" s="16"/>
      <c r="T2237" s="16"/>
      <c r="U2237" s="16"/>
      <c r="V2237" s="16"/>
    </row>
    <row r="2238" spans="1:22">
      <c r="A2238" s="16"/>
      <c r="B2238" s="1042"/>
      <c r="C2238" s="1652" t="s">
        <v>1755</v>
      </c>
      <c r="D2238" s="1461"/>
      <c r="E2238" s="2163" t="s">
        <v>1508</v>
      </c>
      <c r="F2238" s="1648" t="s">
        <v>1524</v>
      </c>
      <c r="G2238" s="1353"/>
      <c r="H2238" s="1456">
        <v>0.42</v>
      </c>
      <c r="I2238" s="1444"/>
      <c r="J2238" s="1388"/>
      <c r="K2238" s="1445"/>
      <c r="L2238" s="1457"/>
      <c r="M2238" s="1447"/>
      <c r="N2238" s="1447">
        <f>SUM(N2239:N2240)</f>
        <v>37.510000000000005</v>
      </c>
      <c r="O2238" s="1447">
        <f>SUM(O2239:O2240)</f>
        <v>15.754199999999999</v>
      </c>
      <c r="P2238" s="1447">
        <f>SUM(P2239:P2240)</f>
        <v>13.933014479999997</v>
      </c>
      <c r="Q2238" s="3391"/>
      <c r="R2238" s="2337"/>
      <c r="S2238" s="16"/>
      <c r="T2238" s="16"/>
      <c r="U2238" s="16"/>
      <c r="V2238" s="16"/>
    </row>
    <row r="2239" spans="1:22">
      <c r="A2239" s="16"/>
      <c r="B2239" s="1042"/>
      <c r="C2239" s="88"/>
      <c r="D2239" s="1430" t="s">
        <v>1067</v>
      </c>
      <c r="E2239" s="1857" t="s">
        <v>1508</v>
      </c>
      <c r="F2239" s="1403" t="s">
        <v>5</v>
      </c>
      <c r="G2239" s="1431">
        <v>1</v>
      </c>
      <c r="H2239" s="1408">
        <f>G2239*$H$2238</f>
        <v>0.42</v>
      </c>
      <c r="I2239" s="1286"/>
      <c r="J2239" s="198"/>
      <c r="K2239" s="1307">
        <f t="shared" ref="K2239:K2240" si="112">H2239*$K$2227</f>
        <v>0.37144799999999994</v>
      </c>
      <c r="L2239" s="1335">
        <f t="shared" ref="L2239:L2240" si="113">K2239*$K$1987</f>
        <v>0</v>
      </c>
      <c r="M2239" s="1302">
        <v>18.28</v>
      </c>
      <c r="N2239" s="1718">
        <f>G2239*M2239</f>
        <v>18.28</v>
      </c>
      <c r="O2239" s="1290">
        <f>H2239*M2239</f>
        <v>7.6776</v>
      </c>
      <c r="P2239" s="1332">
        <f>M2239*K2239</f>
        <v>6.790069439999999</v>
      </c>
      <c r="Q2239" s="3391"/>
      <c r="R2239" s="2337"/>
      <c r="S2239" s="16"/>
      <c r="T2239" s="16"/>
      <c r="U2239" s="16"/>
      <c r="V2239" s="16"/>
    </row>
    <row r="2240" spans="1:22">
      <c r="A2240" s="16"/>
      <c r="B2240" s="1042"/>
      <c r="C2240" s="88"/>
      <c r="D2240" s="1430" t="s">
        <v>1077</v>
      </c>
      <c r="E2240" s="1857" t="s">
        <v>1508</v>
      </c>
      <c r="F2240" s="1403" t="s">
        <v>37</v>
      </c>
      <c r="G2240" s="1431">
        <v>1</v>
      </c>
      <c r="H2240" s="1408">
        <f>G2240*$H$2238</f>
        <v>0.42</v>
      </c>
      <c r="I2240" s="197"/>
      <c r="J2240" s="198"/>
      <c r="K2240" s="1307">
        <f t="shared" si="112"/>
        <v>0.37144799999999994</v>
      </c>
      <c r="L2240" s="1335">
        <f t="shared" si="113"/>
        <v>0</v>
      </c>
      <c r="M2240" s="1302">
        <v>19.23</v>
      </c>
      <c r="N2240" s="1718">
        <f>G2240*M2240</f>
        <v>19.23</v>
      </c>
      <c r="O2240" s="1290">
        <f>H2240*M2240</f>
        <v>8.0765999999999991</v>
      </c>
      <c r="P2240" s="1332">
        <f>M2240*K2240</f>
        <v>7.142945039999999</v>
      </c>
      <c r="Q2240" s="3391"/>
      <c r="R2240" s="2337"/>
      <c r="S2240" s="16"/>
      <c r="T2240" s="16"/>
      <c r="U2240" s="16"/>
      <c r="V2240" s="16"/>
    </row>
    <row r="2241" spans="1:24">
      <c r="A2241" s="16"/>
      <c r="B2241" s="1042"/>
      <c r="C2241" s="88"/>
      <c r="D2241" s="1430"/>
      <c r="E2241" s="1857"/>
      <c r="F2241" s="1766"/>
      <c r="G2241" s="1943"/>
      <c r="H2241" s="1408"/>
      <c r="I2241" s="197"/>
      <c r="J2241" s="198"/>
      <c r="K2241" s="1307"/>
      <c r="L2241" s="1335"/>
      <c r="M2241" s="1302"/>
      <c r="N2241" s="1718"/>
      <c r="O2241" s="1290"/>
      <c r="P2241" s="1332"/>
      <c r="Q2241" s="3391"/>
      <c r="R2241" s="2337"/>
      <c r="S2241" s="16"/>
      <c r="T2241" s="16"/>
      <c r="U2241" s="16"/>
      <c r="V2241" s="16"/>
    </row>
    <row r="2242" spans="1:24">
      <c r="A2242" s="16"/>
      <c r="B2242" s="1042"/>
      <c r="C2242" s="88"/>
      <c r="D2242" s="1373"/>
      <c r="E2242" s="2123"/>
      <c r="F2242" s="1374" t="s">
        <v>3</v>
      </c>
      <c r="G2242" s="1374"/>
      <c r="H2242" s="1376"/>
      <c r="I2242" s="1382"/>
      <c r="J2242" s="1383"/>
      <c r="K2242" s="1373"/>
      <c r="L2242" s="1413"/>
      <c r="M2242" s="1376"/>
      <c r="N2242" s="1376"/>
      <c r="O2242" s="1376"/>
      <c r="P2242" s="1413"/>
      <c r="Q2242" s="3387"/>
      <c r="R2242" s="2337"/>
      <c r="S2242" s="16"/>
      <c r="T2242" s="16"/>
      <c r="U2242" s="16"/>
      <c r="V2242" s="16"/>
    </row>
    <row r="2243" spans="1:24">
      <c r="A2243" s="16"/>
      <c r="B2243" s="1042"/>
      <c r="C2243" s="88"/>
      <c r="D2243" s="1440"/>
      <c r="E2243" s="2132"/>
      <c r="F2243" s="1441"/>
      <c r="G2243" s="1441"/>
      <c r="H2243" s="1442"/>
      <c r="I2243" s="197"/>
      <c r="J2243" s="198"/>
      <c r="K2243" s="1307"/>
      <c r="L2243" s="1335"/>
      <c r="M2243" s="1499"/>
      <c r="N2243" s="1701"/>
      <c r="O2243" s="1290"/>
      <c r="P2243" s="1332"/>
      <c r="Q2243" s="3391"/>
      <c r="R2243" s="2337"/>
      <c r="S2243" s="16"/>
      <c r="T2243" s="16"/>
      <c r="U2243" s="16"/>
      <c r="V2243" s="16"/>
    </row>
    <row r="2244" spans="1:24">
      <c r="A2244" s="16"/>
      <c r="B2244" s="1042"/>
      <c r="C2244" s="88"/>
      <c r="D2244" s="1440"/>
      <c r="E2244" s="2132"/>
      <c r="F2244" s="1441"/>
      <c r="G2244" s="1441"/>
      <c r="H2244" s="1442"/>
      <c r="I2244" s="197"/>
      <c r="J2244" s="198"/>
      <c r="K2244" s="1307"/>
      <c r="L2244" s="1335"/>
      <c r="M2244" s="1499"/>
      <c r="N2244" s="1701"/>
      <c r="O2244" s="1290"/>
      <c r="P2244" s="1332"/>
      <c r="Q2244" s="3391"/>
      <c r="R2244" s="2337"/>
      <c r="S2244" s="16"/>
      <c r="T2244" s="16"/>
      <c r="U2244" s="16"/>
      <c r="V2244" s="16"/>
    </row>
    <row r="2245" spans="1:24">
      <c r="A2245" s="16"/>
      <c r="B2245" s="223"/>
      <c r="C2245" s="581"/>
      <c r="D2245" s="1440"/>
      <c r="E2245" s="2132"/>
      <c r="F2245" s="1441"/>
      <c r="G2245" s="1441"/>
      <c r="H2245" s="1442"/>
      <c r="I2245" s="197"/>
      <c r="J2245" s="198"/>
      <c r="K2245" s="1307"/>
      <c r="L2245" s="1335"/>
      <c r="M2245" s="1499"/>
      <c r="N2245" s="1701"/>
      <c r="O2245" s="1290"/>
      <c r="P2245" s="1332"/>
      <c r="Q2245" s="3391"/>
      <c r="R2245" s="2337"/>
      <c r="S2245" s="16"/>
      <c r="T2245" s="16"/>
      <c r="U2245" s="16"/>
      <c r="V2245" s="16"/>
    </row>
    <row r="2246" spans="1:24" ht="15" customHeight="1">
      <c r="A2246" s="1042" t="s">
        <v>3764</v>
      </c>
      <c r="B2246" s="4325" t="s">
        <v>1839</v>
      </c>
      <c r="C2246" s="3350"/>
      <c r="D2246" s="4327"/>
      <c r="E2246" s="4329" t="s">
        <v>1507</v>
      </c>
      <c r="F2246" s="4338" t="s">
        <v>1840</v>
      </c>
      <c r="G2246" s="4331" t="s">
        <v>1568</v>
      </c>
      <c r="H2246" s="4331" t="s">
        <v>1574</v>
      </c>
      <c r="I2246" s="1572" t="s">
        <v>1559</v>
      </c>
      <c r="J2246" s="1294" t="s">
        <v>1560</v>
      </c>
      <c r="K2246" s="1294" t="s">
        <v>1561</v>
      </c>
      <c r="L2246" s="4333" t="s">
        <v>3765</v>
      </c>
      <c r="M2246" s="4335" t="s">
        <v>1571</v>
      </c>
      <c r="N2246" s="4323" t="s">
        <v>1776</v>
      </c>
      <c r="O2246" s="3347" t="s">
        <v>1563</v>
      </c>
      <c r="P2246" s="1336" t="s">
        <v>1562</v>
      </c>
      <c r="Q2246" s="3389"/>
      <c r="R2246" s="1699" t="s">
        <v>1327</v>
      </c>
      <c r="S2246" s="16"/>
      <c r="T2246" s="16"/>
      <c r="U2246" s="16"/>
      <c r="V2246" s="16"/>
    </row>
    <row r="2247" spans="1:24">
      <c r="A2247" s="1660" t="s">
        <v>1865</v>
      </c>
      <c r="B2247" s="4326"/>
      <c r="C2247" s="3351"/>
      <c r="D2247" s="4328"/>
      <c r="E2247" s="4330"/>
      <c r="F2247" s="4338"/>
      <c r="G2247" s="4332"/>
      <c r="H2247" s="4332"/>
      <c r="I2247" s="1345">
        <v>12</v>
      </c>
      <c r="J2247" s="1307">
        <v>2E-3</v>
      </c>
      <c r="K2247" s="1307">
        <f>I2247*J2247</f>
        <v>2.4E-2</v>
      </c>
      <c r="L2247" s="4334"/>
      <c r="M2247" s="4335"/>
      <c r="N2247" s="4324"/>
      <c r="O2247" s="1298">
        <f>O2249+O2257+O2262</f>
        <v>11.5480886</v>
      </c>
      <c r="P2247" s="1337">
        <f>O2247*K2247</f>
        <v>0.27715412639999998</v>
      </c>
      <c r="Q2247" s="3390"/>
      <c r="R2247" s="1721">
        <f>P2249+P2257+P2262</f>
        <v>0.27715412640000003</v>
      </c>
      <c r="S2247" s="16"/>
      <c r="T2247" s="16"/>
      <c r="U2247" s="16"/>
      <c r="V2247" s="16"/>
    </row>
    <row r="2248" spans="1:24">
      <c r="A2248" s="16"/>
      <c r="B2248" s="18"/>
      <c r="D2248" s="1449"/>
      <c r="E2248" s="2121"/>
      <c r="F2248" s="1368" t="s">
        <v>1</v>
      </c>
      <c r="G2248" s="1368"/>
      <c r="H2248" s="1369"/>
      <c r="I2248" s="1409"/>
      <c r="J2248" s="1391"/>
      <c r="K2248" s="1367"/>
      <c r="L2248" s="1554"/>
      <c r="M2248" s="1369"/>
      <c r="N2248" s="1369"/>
      <c r="O2248" s="1369"/>
      <c r="P2248" s="1367"/>
      <c r="Q2248" s="3387"/>
      <c r="R2248" s="2337"/>
      <c r="S2248" s="16"/>
      <c r="T2248" s="16"/>
      <c r="U2248" s="16"/>
      <c r="V2248" s="16"/>
    </row>
    <row r="2249" spans="1:24">
      <c r="A2249" s="16"/>
      <c r="B2249" s="1320"/>
      <c r="C2249" s="1902" t="str">
        <f>C2210:D2210</f>
        <v>AGM00500</v>
      </c>
      <c r="D2249" s="1311"/>
      <c r="E2249" s="2175" t="s">
        <v>1517</v>
      </c>
      <c r="F2249" s="1899" t="s">
        <v>1881</v>
      </c>
      <c r="G2249" s="1344"/>
      <c r="H2249" s="1344">
        <v>0.02</v>
      </c>
      <c r="I2249" s="1444"/>
      <c r="J2249" s="1388"/>
      <c r="K2249" s="1445"/>
      <c r="L2249" s="1457"/>
      <c r="M2249" s="1446"/>
      <c r="N2249" s="1447">
        <f>SUM(N2250:N2253)</f>
        <v>50.044430000000006</v>
      </c>
      <c r="O2249" s="1447">
        <f>SUM(O2250:O2253)</f>
        <v>1.0008886000000001</v>
      </c>
      <c r="P2249" s="1447">
        <f>SUM(P2250:P2253)</f>
        <v>2.4021326400000001E-2</v>
      </c>
      <c r="Q2249" s="3391"/>
      <c r="R2249" s="2337"/>
      <c r="S2249" s="17"/>
      <c r="T2249" s="17"/>
      <c r="U2249" s="16"/>
      <c r="V2249" s="16"/>
    </row>
    <row r="2250" spans="1:24">
      <c r="A2250" s="16"/>
      <c r="B2250" s="1320"/>
      <c r="C2250" s="1327"/>
      <c r="D2250" s="1752" t="s">
        <v>1069</v>
      </c>
      <c r="E2250" s="1852" t="s">
        <v>1517</v>
      </c>
      <c r="F2250" s="1752" t="s">
        <v>1578</v>
      </c>
      <c r="G2250" s="1941">
        <v>0.26300000000000001</v>
      </c>
      <c r="H2250" s="1399">
        <f>G2250*$H$2249</f>
        <v>5.2599999999999999E-3</v>
      </c>
      <c r="I2250" s="198"/>
      <c r="J2250" s="198"/>
      <c r="K2250" s="1307">
        <f>H2250*$K$2247</f>
        <v>1.2624000000000001E-4</v>
      </c>
      <c r="L2250" s="1335">
        <f t="shared" ref="L2250:L2253" si="114">K2250*$K$1987</f>
        <v>0</v>
      </c>
      <c r="M2250" s="1302">
        <v>0.55000000000000004</v>
      </c>
      <c r="N2250" s="1718">
        <f>G2250*M2250</f>
        <v>0.14465000000000003</v>
      </c>
      <c r="O2250" s="1719">
        <f>H2250*M2250</f>
        <v>2.8930000000000002E-3</v>
      </c>
      <c r="P2250" s="1720">
        <f>M2250*K2250</f>
        <v>6.9432000000000009E-5</v>
      </c>
      <c r="Q2250" s="3396"/>
      <c r="R2250" s="2337"/>
      <c r="S2250" s="105"/>
      <c r="T2250" s="105"/>
      <c r="U2250" s="16"/>
      <c r="V2250" s="16"/>
    </row>
    <row r="2251" spans="1:24">
      <c r="A2251" s="16"/>
      <c r="B2251" s="1320"/>
      <c r="C2251" s="1320"/>
      <c r="D2251" s="1752" t="s">
        <v>1394</v>
      </c>
      <c r="E2251" s="1852" t="s">
        <v>1577</v>
      </c>
      <c r="F2251" s="1752" t="s">
        <v>1579</v>
      </c>
      <c r="G2251" s="1941">
        <v>0.25800000000000001</v>
      </c>
      <c r="H2251" s="1399">
        <f>G2251*$H$2249</f>
        <v>5.1600000000000005E-3</v>
      </c>
      <c r="I2251" s="198"/>
      <c r="J2251" s="198"/>
      <c r="K2251" s="1307">
        <f>H2251*$K$2247</f>
        <v>1.2384000000000001E-4</v>
      </c>
      <c r="L2251" s="1335">
        <f t="shared" si="114"/>
        <v>0</v>
      </c>
      <c r="M2251" s="1302">
        <v>92.54</v>
      </c>
      <c r="N2251" s="1718">
        <f>G2251*M2251</f>
        <v>23.875320000000002</v>
      </c>
      <c r="O2251" s="1719">
        <f>H2251*M2251</f>
        <v>0.47750640000000005</v>
      </c>
      <c r="P2251" s="1720">
        <f>M2251*K2251</f>
        <v>1.1460153600000002E-2</v>
      </c>
      <c r="Q2251" s="3396"/>
      <c r="R2251" s="2337"/>
      <c r="S2251" s="16"/>
      <c r="T2251" s="16"/>
      <c r="U2251" s="16"/>
      <c r="V2251" s="16"/>
    </row>
    <row r="2252" spans="1:24">
      <c r="A2252" s="16"/>
      <c r="B2252" s="1320"/>
      <c r="C2252" s="16"/>
      <c r="D2252" s="1752" t="s">
        <v>1576</v>
      </c>
      <c r="E2252" s="1852" t="s">
        <v>1517</v>
      </c>
      <c r="F2252" s="1752" t="s">
        <v>1580</v>
      </c>
      <c r="G2252" s="1941">
        <v>1.1020000000000001</v>
      </c>
      <c r="H2252" s="1399">
        <f>G2252*$H$2249</f>
        <v>2.2040000000000001E-2</v>
      </c>
      <c r="I2252" s="1341"/>
      <c r="J2252" s="8"/>
      <c r="K2252" s="1307">
        <f>H2252*$K$2247</f>
        <v>5.2895999999999998E-4</v>
      </c>
      <c r="L2252" s="1335">
        <f t="shared" si="114"/>
        <v>0</v>
      </c>
      <c r="M2252" s="1302">
        <v>6.53</v>
      </c>
      <c r="N2252" s="1718">
        <f>G2252*M2252</f>
        <v>7.196060000000001</v>
      </c>
      <c r="O2252" s="1719">
        <f>H2252*M2252</f>
        <v>0.1439212</v>
      </c>
      <c r="P2252" s="1720">
        <f>M2252*K2252</f>
        <v>3.4541087999999998E-3</v>
      </c>
      <c r="Q2252" s="3396"/>
      <c r="R2252" s="2337"/>
      <c r="S2252" s="16"/>
      <c r="T2252" s="16"/>
      <c r="U2252" s="16"/>
      <c r="V2252" s="16"/>
    </row>
    <row r="2253" spans="1:24">
      <c r="A2253" s="16"/>
      <c r="B2253" s="1042"/>
      <c r="C2253" s="16"/>
      <c r="D2253" s="1754" t="s">
        <v>1067</v>
      </c>
      <c r="E2253" s="1853" t="s">
        <v>1508</v>
      </c>
      <c r="F2253" s="1754" t="s">
        <v>1512</v>
      </c>
      <c r="G2253" s="1942">
        <v>1.03</v>
      </c>
      <c r="H2253" s="1408">
        <f>G2253*$H$2249</f>
        <v>2.06E-2</v>
      </c>
      <c r="I2253" s="1341"/>
      <c r="J2253" s="8"/>
      <c r="K2253" s="1307">
        <f>H2253*$K$2247</f>
        <v>4.9439999999999998E-4</v>
      </c>
      <c r="L2253" s="1335">
        <f t="shared" si="114"/>
        <v>0</v>
      </c>
      <c r="M2253" s="1302">
        <v>18.28</v>
      </c>
      <c r="N2253" s="1718">
        <f>G2253*M2253</f>
        <v>18.828400000000002</v>
      </c>
      <c r="O2253" s="1719">
        <f>H2253*M2253</f>
        <v>0.37656800000000001</v>
      </c>
      <c r="P2253" s="1720">
        <f>M2253*K2253</f>
        <v>9.0376320000000003E-3</v>
      </c>
      <c r="Q2253" s="3396"/>
      <c r="R2253" s="2337"/>
      <c r="S2253" s="16"/>
      <c r="T2253" s="16"/>
      <c r="U2253" s="16"/>
      <c r="V2253" s="16"/>
    </row>
    <row r="2254" spans="1:24">
      <c r="A2254" s="16"/>
      <c r="B2254" s="1042"/>
      <c r="C2254" s="1320"/>
      <c r="D2254" s="1900"/>
      <c r="E2254" s="2130"/>
      <c r="F2254" s="1900"/>
      <c r="G2254" s="1901"/>
      <c r="H2254" s="1399"/>
      <c r="I2254" s="197"/>
      <c r="J2254" s="198"/>
      <c r="K2254" s="1307"/>
      <c r="L2254" s="1335"/>
      <c r="M2254" s="1499"/>
      <c r="N2254" s="1718"/>
      <c r="O2254" s="1719"/>
      <c r="P2254" s="1720"/>
      <c r="Q2254" s="3396"/>
      <c r="R2254" s="2337"/>
      <c r="S2254" s="16"/>
      <c r="T2254" s="16"/>
      <c r="U2254" s="16"/>
      <c r="V2254" s="16"/>
    </row>
    <row r="2255" spans="1:24">
      <c r="A2255" s="16"/>
      <c r="B2255" s="1042"/>
      <c r="C2255" s="88"/>
      <c r="D2255" s="1756"/>
      <c r="E2255" s="1852"/>
      <c r="F2255" s="1752"/>
      <c r="G2255" s="1399"/>
      <c r="H2255" s="1399"/>
      <c r="I2255" s="197"/>
      <c r="J2255" s="198"/>
      <c r="K2255" s="1307" t="str">
        <f>IF(COUNT(#REF!)=0,"",IF(#REF!="","",(#REF!*#REF!)))</f>
        <v/>
      </c>
      <c r="L2255" s="1335"/>
      <c r="M2255" s="1499"/>
      <c r="N2255" s="1718"/>
      <c r="O2255" s="1719"/>
      <c r="P2255" s="1720"/>
      <c r="Q2255" s="3396"/>
      <c r="R2255" s="2337"/>
      <c r="S2255" s="16"/>
      <c r="T2255" s="16"/>
      <c r="U2255" s="16"/>
      <c r="V2255" s="16"/>
    </row>
    <row r="2256" spans="1:24">
      <c r="A2256" s="16"/>
      <c r="B2256" s="1042"/>
      <c r="C2256" s="88"/>
      <c r="D2256" s="1443"/>
      <c r="E2256" s="1858"/>
      <c r="F2256" s="1360" t="s">
        <v>2</v>
      </c>
      <c r="G2256" s="1360"/>
      <c r="H2256" s="1362"/>
      <c r="I2256" s="1380"/>
      <c r="J2256" s="1381"/>
      <c r="K2256" s="1359" t="str">
        <f>IF(COUNT(#REF!)=0,"",IF(#REF!="","",(#REF!*#REF!)))</f>
        <v/>
      </c>
      <c r="L2256" s="1458"/>
      <c r="M2256" s="1362"/>
      <c r="N2256" s="1362"/>
      <c r="O2256" s="1362"/>
      <c r="P2256" s="1458"/>
      <c r="Q2256" s="3387"/>
      <c r="R2256" s="2337"/>
      <c r="S2256" s="16" t="s">
        <v>1755</v>
      </c>
      <c r="T2256" s="16" t="s">
        <v>1803</v>
      </c>
      <c r="U2256" s="3356" t="s">
        <v>1524</v>
      </c>
      <c r="V2256" s="15">
        <v>0.22</v>
      </c>
      <c r="W2256" s="13">
        <v>37.51</v>
      </c>
      <c r="X2256" s="1561">
        <v>8.25</v>
      </c>
    </row>
    <row r="2257" spans="1:24">
      <c r="A2257" s="16"/>
      <c r="B2257" s="553"/>
      <c r="C2257" s="1938" t="s">
        <v>1755</v>
      </c>
      <c r="D2257" s="1311"/>
      <c r="E2257" s="2176" t="s">
        <v>1508</v>
      </c>
      <c r="F2257" s="1648" t="s">
        <v>1524</v>
      </c>
      <c r="G2257" s="1353"/>
      <c r="H2257" s="1456">
        <v>0.22</v>
      </c>
      <c r="I2257" s="1444"/>
      <c r="J2257" s="1388"/>
      <c r="K2257" s="1445"/>
      <c r="L2257" s="1457"/>
      <c r="M2257" s="1447"/>
      <c r="N2257" s="1447">
        <f>SUM(N2258:N2259)</f>
        <v>37.510000000000005</v>
      </c>
      <c r="O2257" s="1447">
        <f>SUM(O2258:O2259)</f>
        <v>8.2522000000000002</v>
      </c>
      <c r="P2257" s="1447">
        <f>SUM(P2258:P2259)</f>
        <v>0.1980528</v>
      </c>
      <c r="Q2257" s="3391"/>
      <c r="R2257" s="2337"/>
      <c r="S2257" s="16" t="s">
        <v>1879</v>
      </c>
      <c r="T2257" s="16" t="s">
        <v>1880</v>
      </c>
      <c r="U2257" s="3356" t="s">
        <v>1881</v>
      </c>
      <c r="V2257" s="3356">
        <v>0.02</v>
      </c>
      <c r="W2257" s="13">
        <v>52.48</v>
      </c>
      <c r="X2257" s="1561">
        <v>1.05</v>
      </c>
    </row>
    <row r="2258" spans="1:24">
      <c r="A2258" s="16"/>
      <c r="B2258" s="1042"/>
      <c r="C2258" s="88"/>
      <c r="D2258" s="1898" t="s">
        <v>1067</v>
      </c>
      <c r="E2258" s="1857" t="s">
        <v>1508</v>
      </c>
      <c r="F2258" s="1403" t="s">
        <v>5</v>
      </c>
      <c r="G2258" s="1431">
        <v>1</v>
      </c>
      <c r="H2258" s="1937">
        <f>G2258*$H$2257</f>
        <v>0.22</v>
      </c>
      <c r="I2258" s="1286"/>
      <c r="J2258" s="198"/>
      <c r="K2258" s="1307">
        <f>H2258*$K$2247</f>
        <v>5.28E-3</v>
      </c>
      <c r="L2258" s="1335">
        <f t="shared" ref="L2258:L2259" si="115">K2258*$K$1987</f>
        <v>0</v>
      </c>
      <c r="M2258" s="1302">
        <v>18.28</v>
      </c>
      <c r="N2258" s="1718">
        <f>G2258*M2258</f>
        <v>18.28</v>
      </c>
      <c r="O2258" s="1719">
        <f>H2258*M2258</f>
        <v>4.0216000000000003</v>
      </c>
      <c r="P2258" s="1720">
        <f>M2258*K2258</f>
        <v>9.6518400000000004E-2</v>
      </c>
      <c r="Q2258" s="3396"/>
      <c r="R2258" s="2337"/>
      <c r="S2258" s="16" t="s">
        <v>1686</v>
      </c>
      <c r="T2258" s="16" t="s">
        <v>1687</v>
      </c>
      <c r="U2258" s="3356" t="s">
        <v>1688</v>
      </c>
      <c r="V2258" s="3356">
        <v>0.30599999999999999</v>
      </c>
      <c r="W2258" s="13">
        <v>7.5</v>
      </c>
      <c r="X2258" s="1561">
        <v>2.2999999999999998</v>
      </c>
    </row>
    <row r="2259" spans="1:24">
      <c r="A2259" s="16"/>
      <c r="B2259" s="1042"/>
      <c r="C2259" s="88"/>
      <c r="D2259" s="1430" t="s">
        <v>1077</v>
      </c>
      <c r="E2259" s="1857" t="s">
        <v>1508</v>
      </c>
      <c r="F2259" s="1403" t="s">
        <v>37</v>
      </c>
      <c r="G2259" s="1431">
        <v>1</v>
      </c>
      <c r="H2259" s="1937">
        <f>G2259*$H$2257</f>
        <v>0.22</v>
      </c>
      <c r="I2259" s="197"/>
      <c r="J2259" s="198"/>
      <c r="K2259" s="1307">
        <f>H2259*$K$2247</f>
        <v>5.28E-3</v>
      </c>
      <c r="L2259" s="1335">
        <f t="shared" si="115"/>
        <v>0</v>
      </c>
      <c r="M2259" s="1302">
        <v>19.23</v>
      </c>
      <c r="N2259" s="1718">
        <f>G2259*M2259</f>
        <v>19.23</v>
      </c>
      <c r="O2259" s="1719">
        <f>H2259*M2259</f>
        <v>4.2305999999999999</v>
      </c>
      <c r="P2259" s="1720">
        <f>M2259*K2259</f>
        <v>0.1015344</v>
      </c>
      <c r="Q2259" s="3396"/>
      <c r="R2259" s="2337"/>
      <c r="S2259" s="16"/>
      <c r="T2259" s="16"/>
      <c r="U2259" s="3"/>
      <c r="V2259" s="3356" t="s">
        <v>1848</v>
      </c>
      <c r="W2259" s="13"/>
      <c r="X2259" s="1561">
        <v>11.600000000000001</v>
      </c>
    </row>
    <row r="2260" spans="1:24">
      <c r="A2260" s="16"/>
      <c r="B2260" s="1042"/>
      <c r="C2260" s="88"/>
      <c r="D2260" s="1430"/>
      <c r="E2260" s="1857"/>
      <c r="F2260" s="1766"/>
      <c r="G2260" s="1943"/>
      <c r="H2260" s="1937"/>
      <c r="I2260" s="197"/>
      <c r="J2260" s="198"/>
      <c r="K2260" s="1307"/>
      <c r="L2260" s="1335"/>
      <c r="M2260" s="1302"/>
      <c r="N2260" s="1718"/>
      <c r="O2260" s="1290"/>
      <c r="P2260" s="1332"/>
      <c r="Q2260" s="3391"/>
      <c r="R2260" s="2337"/>
      <c r="S2260" s="16"/>
      <c r="T2260" s="16"/>
      <c r="U2260" s="3"/>
      <c r="V2260" s="3356">
        <v>0</v>
      </c>
      <c r="W2260" s="13" t="s">
        <v>1882</v>
      </c>
      <c r="X2260" s="1561">
        <v>0</v>
      </c>
    </row>
    <row r="2261" spans="1:24">
      <c r="A2261" s="16"/>
      <c r="B2261" s="1042"/>
      <c r="C2261" s="88"/>
      <c r="D2261" s="1373"/>
      <c r="E2261" s="2123"/>
      <c r="F2261" s="1374" t="s">
        <v>3</v>
      </c>
      <c r="G2261" s="1374"/>
      <c r="H2261" s="1376"/>
      <c r="I2261" s="1382"/>
      <c r="J2261" s="1383"/>
      <c r="K2261" s="1373"/>
      <c r="L2261" s="1413"/>
      <c r="M2261" s="1376"/>
      <c r="N2261" s="1376"/>
      <c r="O2261" s="1376"/>
      <c r="P2261" s="1413"/>
      <c r="Q2261" s="3387"/>
      <c r="R2261" s="2337"/>
      <c r="S2261" s="16"/>
      <c r="T2261" s="16"/>
      <c r="U2261" s="3"/>
      <c r="V2261" s="3" t="s">
        <v>327</v>
      </c>
      <c r="W2261" s="3356"/>
      <c r="X2261" s="1561">
        <v>11.600000000000001</v>
      </c>
    </row>
    <row r="2262" spans="1:24">
      <c r="A2262" s="16"/>
      <c r="B2262" s="1042"/>
      <c r="C2262" s="88"/>
      <c r="D2262" s="1373" t="s">
        <v>1686</v>
      </c>
      <c r="E2262" s="2123" t="s">
        <v>1687</v>
      </c>
      <c r="F2262" s="1373" t="s">
        <v>1688</v>
      </c>
      <c r="G2262" s="1670">
        <v>0.30599999999999999</v>
      </c>
      <c r="H2262" s="1939"/>
      <c r="I2262" s="197"/>
      <c r="J2262" s="198"/>
      <c r="K2262" s="1307">
        <f>G2262*$K$2247</f>
        <v>7.3439999999999998E-3</v>
      </c>
      <c r="L2262" s="1335"/>
      <c r="M2262" s="1302">
        <v>7.5</v>
      </c>
      <c r="N2262" s="1718"/>
      <c r="O2262" s="1290">
        <f>G2262*M2262</f>
        <v>2.2949999999999999</v>
      </c>
      <c r="P2262" s="1332">
        <f>M2262*K2262</f>
        <v>5.5079999999999997E-2</v>
      </c>
      <c r="Q2262" s="3391"/>
      <c r="R2262" s="2337"/>
      <c r="S2262" s="16"/>
      <c r="T2262" s="16"/>
      <c r="U2262" s="16"/>
      <c r="V2262" s="16"/>
    </row>
    <row r="2263" spans="1:24">
      <c r="A2263" s="16"/>
      <c r="B2263" s="1042"/>
      <c r="C2263" s="88"/>
      <c r="D2263" s="1940"/>
      <c r="E2263" s="2177"/>
      <c r="F2263" s="1804"/>
      <c r="G2263" s="1804"/>
      <c r="H2263" s="1442"/>
      <c r="I2263" s="197"/>
      <c r="J2263" s="198"/>
      <c r="K2263" s="1307"/>
      <c r="L2263" s="1335"/>
      <c r="M2263" s="1499"/>
      <c r="N2263" s="1701"/>
      <c r="O2263" s="1290"/>
      <c r="P2263" s="1332"/>
      <c r="Q2263" s="3391"/>
      <c r="R2263" s="2337"/>
      <c r="S2263" s="16"/>
      <c r="T2263" s="16"/>
      <c r="U2263" s="16"/>
      <c r="V2263" s="16"/>
    </row>
    <row r="2264" spans="1:24">
      <c r="A2264" s="16"/>
      <c r="B2264" s="223"/>
      <c r="C2264" s="581"/>
      <c r="D2264" s="1440"/>
      <c r="E2264" s="2132"/>
      <c r="F2264" s="1441"/>
      <c r="G2264" s="1441"/>
      <c r="H2264" s="1442"/>
      <c r="I2264" s="197"/>
      <c r="J2264" s="198"/>
      <c r="K2264" s="1307"/>
      <c r="L2264" s="1335"/>
      <c r="M2264" s="1499"/>
      <c r="N2264" s="1701"/>
      <c r="O2264" s="1290"/>
      <c r="P2264" s="1332"/>
      <c r="Q2264" s="3391"/>
      <c r="R2264" s="2337"/>
      <c r="S2264" s="16"/>
      <c r="T2264" s="16"/>
      <c r="U2264" s="16"/>
      <c r="V2264" s="16"/>
    </row>
    <row r="2265" spans="1:24">
      <c r="A2265" s="1042" t="s">
        <v>3764</v>
      </c>
      <c r="B2265" s="4325" t="s">
        <v>1660</v>
      </c>
      <c r="C2265" s="3350"/>
      <c r="D2265" s="4327"/>
      <c r="E2265" s="4329" t="s">
        <v>1507</v>
      </c>
      <c r="F2265" s="4372" t="s">
        <v>1689</v>
      </c>
      <c r="G2265" s="4331" t="s">
        <v>1568</v>
      </c>
      <c r="H2265" s="4331" t="s">
        <v>1574</v>
      </c>
      <c r="I2265" s="1572" t="s">
        <v>1559</v>
      </c>
      <c r="J2265" s="1294" t="s">
        <v>1560</v>
      </c>
      <c r="K2265" s="1294" t="s">
        <v>1561</v>
      </c>
      <c r="L2265" s="4333" t="s">
        <v>3765</v>
      </c>
      <c r="M2265" s="4323" t="s">
        <v>1571</v>
      </c>
      <c r="N2265" s="4323" t="s">
        <v>1776</v>
      </c>
      <c r="O2265" s="3347" t="s">
        <v>1563</v>
      </c>
      <c r="P2265" s="1336" t="s">
        <v>1562</v>
      </c>
      <c r="Q2265" s="3389"/>
      <c r="R2265" s="1699" t="s">
        <v>1327</v>
      </c>
      <c r="S2265" s="16"/>
      <c r="T2265" s="16"/>
      <c r="U2265" s="16"/>
      <c r="V2265" s="16"/>
    </row>
    <row r="2266" spans="1:24">
      <c r="A2266" s="1660" t="s">
        <v>1865</v>
      </c>
      <c r="B2266" s="4326"/>
      <c r="C2266" s="3351"/>
      <c r="D2266" s="4328"/>
      <c r="E2266" s="4330"/>
      <c r="F2266" s="4363"/>
      <c r="G2266" s="4332"/>
      <c r="H2266" s="4332"/>
      <c r="I2266" s="1345">
        <v>64.8</v>
      </c>
      <c r="J2266" s="1307">
        <v>2E-3</v>
      </c>
      <c r="K2266" s="1307">
        <f>I2266*J2266</f>
        <v>0.12959999999999999</v>
      </c>
      <c r="L2266" s="4334"/>
      <c r="M2266" s="4324"/>
      <c r="N2266" s="4324"/>
      <c r="O2266" s="1298">
        <f>SUM(O2268:O2280)</f>
        <v>19.719749999999998</v>
      </c>
      <c r="P2266" s="1337">
        <f>O2266*K2266</f>
        <v>2.5556795999999995</v>
      </c>
      <c r="Q2266" s="3390"/>
      <c r="R2266" s="1721">
        <f>SUM(P2268:P2281)</f>
        <v>2.5556796000000004</v>
      </c>
      <c r="S2266" s="16"/>
      <c r="T2266" s="16"/>
      <c r="U2266" s="16"/>
      <c r="V2266" s="16"/>
    </row>
    <row r="2267" spans="1:24">
      <c r="A2267" s="16"/>
      <c r="B2267" s="1327"/>
      <c r="C2267" s="1327"/>
      <c r="D2267" s="1400"/>
      <c r="E2267" s="2121"/>
      <c r="F2267" s="1368" t="s">
        <v>1</v>
      </c>
      <c r="G2267" s="1417"/>
      <c r="H2267" s="1390"/>
      <c r="I2267" s="1554"/>
      <c r="J2267" s="1367"/>
      <c r="K2267" s="1367"/>
      <c r="L2267" s="1554"/>
      <c r="M2267" s="1369"/>
      <c r="N2267" s="1369"/>
      <c r="O2267" s="1369"/>
      <c r="P2267" s="1367"/>
      <c r="Q2267" s="3387"/>
      <c r="R2267" s="2337"/>
      <c r="S2267" s="16"/>
      <c r="T2267" s="16"/>
      <c r="U2267" s="16"/>
      <c r="V2267" s="16"/>
    </row>
    <row r="2268" spans="1:24">
      <c r="A2268" s="16"/>
      <c r="B2268" s="1320"/>
      <c r="C2268" s="1042"/>
      <c r="D2268" s="1615" t="s">
        <v>1145</v>
      </c>
      <c r="E2268" s="2126" t="s">
        <v>1577</v>
      </c>
      <c r="F2268" s="1598" t="s">
        <v>1690</v>
      </c>
      <c r="G2268" s="1372">
        <v>1E-3</v>
      </c>
      <c r="H2268" s="1372"/>
      <c r="I2268" s="198"/>
      <c r="J2268" s="6"/>
      <c r="K2268" s="1307">
        <f>G2268*$K$2266</f>
        <v>1.2960000000000001E-4</v>
      </c>
      <c r="L2268" s="1335">
        <f t="shared" ref="L2268:L2271" si="116">K2268*$K$1987</f>
        <v>0</v>
      </c>
      <c r="M2268" s="1499">
        <v>246.4</v>
      </c>
      <c r="N2268" s="1701"/>
      <c r="O2268" s="1291">
        <f>G2268*M2268</f>
        <v>0.24640000000000001</v>
      </c>
      <c r="P2268" s="1332">
        <f>M2268*K2268</f>
        <v>3.193344E-2</v>
      </c>
      <c r="Q2268" s="3391"/>
      <c r="R2268" s="2337"/>
      <c r="S2268" s="16"/>
      <c r="T2268" s="16"/>
      <c r="U2268" s="16"/>
      <c r="V2268" s="16"/>
    </row>
    <row r="2269" spans="1:24">
      <c r="A2269" s="16"/>
      <c r="B2269" s="1320"/>
      <c r="C2269" s="1042"/>
      <c r="D2269" s="1598" t="s">
        <v>1147</v>
      </c>
      <c r="E2269" s="2154" t="s">
        <v>1357</v>
      </c>
      <c r="F2269" s="1598" t="s">
        <v>1691</v>
      </c>
      <c r="G2269" s="1372">
        <v>1</v>
      </c>
      <c r="H2269" s="1372"/>
      <c r="I2269" s="197"/>
      <c r="J2269" s="198"/>
      <c r="K2269" s="1307">
        <f>G2269*$K$2266</f>
        <v>0.12959999999999999</v>
      </c>
      <c r="L2269" s="1335">
        <f t="shared" si="116"/>
        <v>0</v>
      </c>
      <c r="M2269" s="1499">
        <v>0.22</v>
      </c>
      <c r="N2269" s="1701"/>
      <c r="O2269" s="1291">
        <f>G2269*M2269</f>
        <v>0.22</v>
      </c>
      <c r="P2269" s="1332">
        <f>M2269*K2269</f>
        <v>2.8511999999999999E-2</v>
      </c>
      <c r="Q2269" s="3391"/>
      <c r="R2269" s="2337"/>
      <c r="S2269" s="16"/>
      <c r="T2269" s="16"/>
      <c r="U2269" s="16"/>
      <c r="V2269" s="16"/>
    </row>
    <row r="2270" spans="1:24">
      <c r="A2270" s="16"/>
      <c r="B2270" s="1320"/>
      <c r="C2270" s="1042"/>
      <c r="D2270" s="1598" t="s">
        <v>1692</v>
      </c>
      <c r="E2270" s="2154" t="s">
        <v>1504</v>
      </c>
      <c r="F2270" s="1598" t="s">
        <v>1693</v>
      </c>
      <c r="G2270" s="1399">
        <v>47.17</v>
      </c>
      <c r="H2270" s="1399"/>
      <c r="I2270" s="27"/>
      <c r="J2270" s="10"/>
      <c r="K2270" s="1307">
        <f>G2270*$K$2266</f>
        <v>6.113232</v>
      </c>
      <c r="L2270" s="1335">
        <f t="shared" si="116"/>
        <v>0</v>
      </c>
      <c r="M2270" s="1499">
        <v>0.17</v>
      </c>
      <c r="N2270" s="1701"/>
      <c r="O2270" s="1291">
        <f>G2270*M2270</f>
        <v>8.0189000000000004</v>
      </c>
      <c r="P2270" s="1332">
        <f>M2270*K2270</f>
        <v>1.0392494400000001</v>
      </c>
      <c r="Q2270" s="3391"/>
      <c r="R2270" s="2337"/>
      <c r="S2270" s="16"/>
      <c r="T2270" s="16"/>
      <c r="U2270" s="16"/>
      <c r="V2270" s="16"/>
    </row>
    <row r="2271" spans="1:24">
      <c r="A2271" s="16"/>
      <c r="B2271" s="1320"/>
      <c r="C2271" s="1042"/>
      <c r="D2271" s="1598" t="s">
        <v>1097</v>
      </c>
      <c r="E2271" s="1856" t="s">
        <v>1504</v>
      </c>
      <c r="F2271" s="1598" t="s">
        <v>1632</v>
      </c>
      <c r="G2271" s="1399">
        <v>1</v>
      </c>
      <c r="H2271" s="1399"/>
      <c r="I2271" s="198"/>
      <c r="J2271" s="198"/>
      <c r="K2271" s="1307">
        <f>G2271*$K$2266</f>
        <v>0.12959999999999999</v>
      </c>
      <c r="L2271" s="1335">
        <f t="shared" si="116"/>
        <v>0</v>
      </c>
      <c r="M2271" s="1499">
        <v>0.55000000000000004</v>
      </c>
      <c r="N2271" s="1701"/>
      <c r="O2271" s="1291">
        <f>G2271*M2271</f>
        <v>0.55000000000000004</v>
      </c>
      <c r="P2271" s="1332">
        <f>M2271*K2271</f>
        <v>7.1279999999999996E-2</v>
      </c>
      <c r="Q2271" s="3391"/>
      <c r="S2271" s="16"/>
      <c r="T2271" s="16"/>
      <c r="U2271" s="16"/>
      <c r="V2271" s="16"/>
    </row>
    <row r="2272" spans="1:24">
      <c r="A2272" s="16"/>
      <c r="B2272" s="1320"/>
      <c r="C2272" s="1042"/>
      <c r="D2272" s="1400"/>
      <c r="E2272" s="1856"/>
      <c r="F2272" s="1397"/>
      <c r="G2272" s="1401"/>
      <c r="H2272" s="1399"/>
      <c r="I2272" s="198"/>
      <c r="J2272" s="198"/>
      <c r="K2272" s="1307"/>
      <c r="L2272" s="1335"/>
      <c r="M2272" s="1499"/>
      <c r="N2272" s="1701"/>
      <c r="O2272" s="1290"/>
      <c r="P2272" s="1332"/>
      <c r="Q2272" s="3391"/>
      <c r="S2272" s="16"/>
      <c r="T2272" s="16"/>
      <c r="U2272" s="16"/>
      <c r="V2272" s="16"/>
    </row>
    <row r="2273" spans="1:22">
      <c r="A2273" s="16"/>
      <c r="B2273" s="1320"/>
      <c r="C2273" s="1042"/>
      <c r="D2273" s="1400"/>
      <c r="E2273" s="1856"/>
      <c r="F2273" s="1397"/>
      <c r="G2273" s="1416"/>
      <c r="H2273" s="1399"/>
      <c r="I2273" s="1289"/>
      <c r="J2273" s="198"/>
      <c r="K2273" s="1307"/>
      <c r="L2273" s="1335"/>
      <c r="M2273" s="1499"/>
      <c r="N2273" s="1701"/>
      <c r="O2273" s="1290"/>
      <c r="P2273" s="1332"/>
      <c r="Q2273" s="3391"/>
      <c r="R2273" s="2337"/>
      <c r="S2273" s="16"/>
      <c r="T2273" s="16"/>
      <c r="U2273" s="16"/>
      <c r="V2273" s="16"/>
    </row>
    <row r="2274" spans="1:22">
      <c r="A2274" s="16"/>
      <c r="B2274" s="1320"/>
      <c r="C2274" s="1320"/>
      <c r="D2274" s="1410"/>
      <c r="E2274" s="1858"/>
      <c r="F2274" s="1360" t="s">
        <v>2</v>
      </c>
      <c r="G2274" s="1360"/>
      <c r="H2274" s="1362"/>
      <c r="I2274" s="1380"/>
      <c r="J2274" s="1381"/>
      <c r="K2274" s="1359"/>
      <c r="L2274" s="1458"/>
      <c r="M2274" s="1502"/>
      <c r="N2274" s="1502"/>
      <c r="O2274" s="1362"/>
      <c r="P2274" s="1359"/>
      <c r="Q2274" s="3387"/>
      <c r="R2274" s="2337"/>
      <c r="S2274" s="16"/>
      <c r="T2274" s="16"/>
      <c r="U2274" s="16"/>
      <c r="V2274" s="16"/>
    </row>
    <row r="2275" spans="1:22">
      <c r="A2275" s="16"/>
      <c r="B2275" s="1320"/>
      <c r="C2275" s="1042"/>
      <c r="D2275" s="1410" t="s">
        <v>1088</v>
      </c>
      <c r="E2275" s="1858" t="s">
        <v>1508</v>
      </c>
      <c r="F2275" s="1655" t="s">
        <v>1694</v>
      </c>
      <c r="G2275" s="1405">
        <v>0.375</v>
      </c>
      <c r="H2275" s="1405"/>
      <c r="I2275" s="1826"/>
      <c r="J2275" s="6"/>
      <c r="K2275" s="1307">
        <f>G2275*$K$2266</f>
        <v>4.8599999999999997E-2</v>
      </c>
      <c r="L2275" s="1335">
        <f t="shared" ref="L2275:L2276" si="117">K2275*$K$1987</f>
        <v>0</v>
      </c>
      <c r="M2275" s="1302">
        <v>19.23</v>
      </c>
      <c r="N2275" s="1701"/>
      <c r="O2275" s="1291">
        <f>G2275*M2275</f>
        <v>7.2112499999999997</v>
      </c>
      <c r="P2275" s="1332">
        <f>M2275*K2275</f>
        <v>0.93457800000000002</v>
      </c>
      <c r="Q2275" s="3391"/>
      <c r="R2275" s="2337"/>
      <c r="S2275" s="16"/>
      <c r="T2275" s="16"/>
      <c r="U2275" s="16"/>
      <c r="V2275" s="16"/>
    </row>
    <row r="2276" spans="1:22">
      <c r="A2276" s="16"/>
      <c r="B2276" s="1320"/>
      <c r="C2276" s="1042"/>
      <c r="D2276" s="1410" t="s">
        <v>1067</v>
      </c>
      <c r="E2276" s="1858" t="s">
        <v>1508</v>
      </c>
      <c r="F2276" s="1655" t="s">
        <v>1512</v>
      </c>
      <c r="G2276" s="1359">
        <v>0.19</v>
      </c>
      <c r="H2276" s="1359"/>
      <c r="I2276" s="12"/>
      <c r="J2276" s="6"/>
      <c r="K2276" s="1307">
        <f>G2276*$K$2266</f>
        <v>2.4624E-2</v>
      </c>
      <c r="L2276" s="1335">
        <f t="shared" si="117"/>
        <v>0</v>
      </c>
      <c r="M2276" s="1302">
        <v>18.28</v>
      </c>
      <c r="N2276" s="1499"/>
      <c r="O2276" s="1291">
        <f>G2276*M2276</f>
        <v>3.4732000000000003</v>
      </c>
      <c r="P2276" s="1332">
        <f>M2276*K2276</f>
        <v>0.45012672000000004</v>
      </c>
      <c r="Q2276" s="3391"/>
      <c r="R2276" s="2337"/>
      <c r="S2276" s="16"/>
      <c r="T2276" s="16"/>
      <c r="U2276" s="16"/>
      <c r="V2276" s="16"/>
    </row>
    <row r="2277" spans="1:22">
      <c r="A2277" s="16"/>
      <c r="B2277" s="1320"/>
      <c r="C2277" s="1042"/>
      <c r="D2277" s="1402"/>
      <c r="E2277" s="1857"/>
      <c r="F2277" s="1403"/>
      <c r="G2277" s="1362"/>
      <c r="H2277" s="1359"/>
      <c r="I2277" s="198"/>
      <c r="J2277" s="6"/>
      <c r="K2277" s="1307"/>
      <c r="L2277" s="1335"/>
      <c r="M2277" s="1499"/>
      <c r="N2277" s="1701"/>
      <c r="O2277" s="1290"/>
      <c r="P2277" s="1332"/>
      <c r="Q2277" s="3391"/>
      <c r="R2277" s="2337"/>
      <c r="S2277" s="16"/>
      <c r="T2277" s="16"/>
      <c r="U2277" s="16"/>
      <c r="V2277" s="16"/>
    </row>
    <row r="2278" spans="1:22">
      <c r="A2278" s="16"/>
      <c r="B2278" s="1320"/>
      <c r="C2278" s="1042"/>
      <c r="D2278" s="1411"/>
      <c r="E2278" s="2123"/>
      <c r="F2278" s="1374" t="s">
        <v>3</v>
      </c>
      <c r="G2278" s="1374"/>
      <c r="H2278" s="1376"/>
      <c r="I2278" s="1382"/>
      <c r="J2278" s="1383"/>
      <c r="K2278" s="1373"/>
      <c r="L2278" s="1413"/>
      <c r="M2278" s="1505"/>
      <c r="N2278" s="1505"/>
      <c r="O2278" s="1376"/>
      <c r="P2278" s="1413"/>
      <c r="Q2278" s="3387"/>
      <c r="R2278" s="2337"/>
      <c r="S2278" s="16"/>
      <c r="T2278" s="16"/>
      <c r="U2278" s="16"/>
      <c r="V2278" s="16"/>
    </row>
    <row r="2279" spans="1:22">
      <c r="A2279" s="16"/>
      <c r="B2279" s="1320"/>
      <c r="C2279" s="1042"/>
      <c r="D2279" s="1412"/>
      <c r="E2279" s="2124"/>
      <c r="F2279" s="1378"/>
      <c r="G2279" s="1378"/>
      <c r="H2279" s="1379"/>
      <c r="I2279" s="198"/>
      <c r="J2279" s="6"/>
      <c r="K2279" s="1307"/>
      <c r="L2279" s="1335"/>
      <c r="M2279" s="1499"/>
      <c r="N2279" s="1701"/>
      <c r="O2279" s="1290"/>
      <c r="P2279" s="1332"/>
      <c r="Q2279" s="3391"/>
      <c r="R2279" s="2337"/>
      <c r="S2279" s="16"/>
      <c r="T2279" s="16"/>
      <c r="U2279" s="16"/>
      <c r="V2279" s="16"/>
    </row>
    <row r="2280" spans="1:22">
      <c r="A2280" s="16"/>
      <c r="B2280" s="1320"/>
      <c r="C2280" s="1042"/>
      <c r="D2280" s="1440"/>
      <c r="E2280" s="2132"/>
      <c r="F2280" s="1441"/>
      <c r="G2280" s="1441"/>
      <c r="H2280" s="1442"/>
      <c r="I2280" s="197"/>
      <c r="J2280" s="198"/>
      <c r="K2280" s="1307"/>
      <c r="L2280" s="1335"/>
      <c r="M2280" s="1499"/>
      <c r="N2280" s="1701"/>
      <c r="O2280" s="1290"/>
      <c r="P2280" s="1332"/>
      <c r="Q2280" s="3391"/>
      <c r="R2280" s="2337"/>
      <c r="S2280" s="16"/>
      <c r="T2280" s="16"/>
      <c r="U2280" s="16"/>
      <c r="V2280" s="16"/>
    </row>
    <row r="2281" spans="1:22">
      <c r="A2281" s="16"/>
      <c r="B2281" s="225"/>
      <c r="C2281" s="223"/>
      <c r="D2281" s="1440"/>
      <c r="E2281" s="2132"/>
      <c r="F2281" s="1441"/>
      <c r="G2281" s="1441"/>
      <c r="H2281" s="1442"/>
      <c r="I2281" s="197"/>
      <c r="J2281" s="198"/>
      <c r="K2281" s="1307"/>
      <c r="L2281" s="1335"/>
      <c r="M2281" s="1499"/>
      <c r="N2281" s="1701"/>
      <c r="O2281" s="1290"/>
      <c r="P2281" s="1332"/>
      <c r="Q2281" s="3391"/>
      <c r="R2281" s="2337"/>
      <c r="S2281" s="16"/>
      <c r="T2281" s="16"/>
      <c r="U2281" s="16"/>
      <c r="V2281" s="16"/>
    </row>
    <row r="2282" spans="1:22">
      <c r="A2282" s="16"/>
      <c r="B2282" s="4325" t="s">
        <v>1738</v>
      </c>
      <c r="C2282" s="3350"/>
      <c r="D2282" s="4327"/>
      <c r="E2282" s="4329" t="s">
        <v>1507</v>
      </c>
      <c r="F2282" s="4336" t="s">
        <v>1714</v>
      </c>
      <c r="G2282" s="4331" t="s">
        <v>1568</v>
      </c>
      <c r="H2282" s="4331" t="s">
        <v>1574</v>
      </c>
      <c r="I2282" s="1572" t="s">
        <v>1559</v>
      </c>
      <c r="J2282" s="1294" t="s">
        <v>1560</v>
      </c>
      <c r="K2282" s="1294" t="s">
        <v>1561</v>
      </c>
      <c r="L2282" s="4333" t="s">
        <v>3765</v>
      </c>
      <c r="M2282" s="4335" t="s">
        <v>1571</v>
      </c>
      <c r="N2282" s="4323" t="s">
        <v>1776</v>
      </c>
      <c r="O2282" s="3347" t="s">
        <v>1563</v>
      </c>
      <c r="P2282" s="1336" t="s">
        <v>1562</v>
      </c>
      <c r="Q2282" s="3389"/>
      <c r="R2282" s="1839" t="s">
        <v>1327</v>
      </c>
      <c r="S2282" s="16"/>
      <c r="T2282" s="16"/>
      <c r="U2282" s="16"/>
      <c r="V2282" s="16"/>
    </row>
    <row r="2283" spans="1:22">
      <c r="A2283" s="16"/>
      <c r="B2283" s="4326"/>
      <c r="C2283" s="3351"/>
      <c r="D2283" s="4328"/>
      <c r="E2283" s="4389"/>
      <c r="F2283" s="4336"/>
      <c r="G2283" s="4332"/>
      <c r="H2283" s="4332"/>
      <c r="I2283" s="1345">
        <v>277.56</v>
      </c>
      <c r="J2283" s="1307">
        <v>2E-3</v>
      </c>
      <c r="K2283" s="1307">
        <f>I2283*J2283</f>
        <v>0.55512000000000006</v>
      </c>
      <c r="L2283" s="4334"/>
      <c r="M2283" s="4335"/>
      <c r="N2283" s="4324"/>
      <c r="O2283" s="1298">
        <f>O2285+O2289+O2295</f>
        <v>7.8734280000000005</v>
      </c>
      <c r="P2283" s="1337">
        <f>O2283*K2283</f>
        <v>4.3706973513600005</v>
      </c>
      <c r="Q2283" s="3390"/>
      <c r="R2283" s="1840">
        <f>P2285+P2289+P2295</f>
        <v>4.3706973513600005</v>
      </c>
      <c r="S2283" s="16"/>
      <c r="T2283" s="16"/>
      <c r="U2283" s="16"/>
      <c r="V2283" s="16"/>
    </row>
    <row r="2284" spans="1:22">
      <c r="A2284" s="16"/>
      <c r="B2284" s="1327"/>
      <c r="C2284" s="1327"/>
      <c r="D2284" s="1400"/>
      <c r="E2284" s="2121"/>
      <c r="F2284" s="1368" t="s">
        <v>1</v>
      </c>
      <c r="G2284" s="1417"/>
      <c r="H2284" s="1390"/>
      <c r="I2284" s="1554"/>
      <c r="J2284" s="1367"/>
      <c r="K2284" s="1367"/>
      <c r="L2284" s="1554"/>
      <c r="M2284" s="1369"/>
      <c r="N2284" s="1369"/>
      <c r="O2284" s="1369"/>
      <c r="P2284" s="1367"/>
      <c r="Q2284" s="3387"/>
      <c r="R2284" s="2337"/>
      <c r="S2284" s="16"/>
      <c r="T2284" s="16"/>
      <c r="U2284" s="16"/>
      <c r="V2284" s="16"/>
    </row>
    <row r="2285" spans="1:22">
      <c r="A2285" s="16"/>
      <c r="B2285" s="1320"/>
      <c r="C2285" s="1356" t="s">
        <v>1128</v>
      </c>
      <c r="D2285" s="1311"/>
      <c r="E2285" s="2169" t="s">
        <v>1517</v>
      </c>
      <c r="F2285" s="1749" t="s">
        <v>1695</v>
      </c>
      <c r="G2285" s="1758"/>
      <c r="H2285" s="1331">
        <v>1.4999999999999999E-2</v>
      </c>
      <c r="I2285" s="1388"/>
      <c r="J2285" s="1366"/>
      <c r="K2285" s="1510"/>
      <c r="L2285" s="1445"/>
      <c r="M2285" s="1447"/>
      <c r="N2285" s="1447">
        <f>SUM(N2286:N2288)</f>
        <v>104.27969999999999</v>
      </c>
      <c r="O2285" s="1447">
        <f>SUM(O2286:O2288)</f>
        <v>1.5641954999999998</v>
      </c>
      <c r="P2285" s="1446">
        <f>SUM(P2286:P2288)</f>
        <v>0.86831620596000003</v>
      </c>
      <c r="Q2285" s="3391"/>
      <c r="R2285" s="2337"/>
      <c r="S2285" s="17"/>
      <c r="T2285" s="17"/>
      <c r="U2285" s="16"/>
      <c r="V2285" s="16"/>
    </row>
    <row r="2286" spans="1:22">
      <c r="A2286" s="16"/>
      <c r="B2286" s="1320"/>
      <c r="C2286" s="1042"/>
      <c r="D2286" s="1752" t="s">
        <v>1779</v>
      </c>
      <c r="E2286" s="1852" t="s">
        <v>1577</v>
      </c>
      <c r="F2286" s="1752" t="s">
        <v>1780</v>
      </c>
      <c r="G2286" s="1753">
        <v>0.876</v>
      </c>
      <c r="H2286" s="1453">
        <f>G2286*$H$2285</f>
        <v>1.3139999999999999E-2</v>
      </c>
      <c r="I2286" s="197"/>
      <c r="J2286" s="198"/>
      <c r="K2286" s="1307">
        <f>H2286*$K$2283</f>
        <v>7.2942768E-3</v>
      </c>
      <c r="L2286" s="1335">
        <f t="shared" ref="L2286:L2288" si="118">K2286*$K$1987</f>
        <v>0</v>
      </c>
      <c r="M2286" s="1499">
        <v>56.05</v>
      </c>
      <c r="N2286" s="1718">
        <f>G2286*M2286</f>
        <v>49.099799999999995</v>
      </c>
      <c r="O2286" s="1719">
        <f>H2286*M2286</f>
        <v>0.73649699999999985</v>
      </c>
      <c r="P2286" s="1720">
        <f>M2286*K2286</f>
        <v>0.40884421463999998</v>
      </c>
      <c r="Q2286" s="3396"/>
      <c r="R2286" s="2337"/>
      <c r="S2286" s="105"/>
      <c r="T2286" s="105"/>
      <c r="U2286" s="16"/>
      <c r="V2286" s="16"/>
    </row>
    <row r="2287" spans="1:22">
      <c r="A2287" s="16"/>
      <c r="B2287" s="1320"/>
      <c r="C2287" s="1042"/>
      <c r="D2287" s="1752" t="s">
        <v>1069</v>
      </c>
      <c r="E2287" s="1852" t="s">
        <v>1517</v>
      </c>
      <c r="F2287" s="1752" t="s">
        <v>1578</v>
      </c>
      <c r="G2287" s="1753">
        <v>0.61799999999999999</v>
      </c>
      <c r="H2287" s="1453">
        <f>G2287*$H$2285</f>
        <v>9.2699999999999987E-3</v>
      </c>
      <c r="I2287" s="27"/>
      <c r="J2287" s="10"/>
      <c r="K2287" s="1307">
        <f>H2287*$K$2283</f>
        <v>5.1459623999999997E-3</v>
      </c>
      <c r="L2287" s="1335">
        <f t="shared" si="118"/>
        <v>0</v>
      </c>
      <c r="M2287" s="1499">
        <v>0.55000000000000004</v>
      </c>
      <c r="N2287" s="1718">
        <f>G2287*M2287</f>
        <v>0.33990000000000004</v>
      </c>
      <c r="O2287" s="1719">
        <f>H2287*M2287</f>
        <v>5.0984999999999997E-3</v>
      </c>
      <c r="P2287" s="1720">
        <f>M2287*K2287</f>
        <v>2.8302793200000002E-3</v>
      </c>
      <c r="Q2287" s="3396"/>
      <c r="R2287" s="2337"/>
      <c r="S2287" s="16"/>
      <c r="T2287" s="16"/>
      <c r="U2287" s="16"/>
      <c r="V2287" s="16"/>
    </row>
    <row r="2288" spans="1:22">
      <c r="A2288" s="16"/>
      <c r="B2288" s="1320"/>
      <c r="C2288" s="1042"/>
      <c r="D2288" s="1754" t="s">
        <v>1067</v>
      </c>
      <c r="E2288" s="1853" t="s">
        <v>1508</v>
      </c>
      <c r="F2288" s="1754" t="s">
        <v>1512</v>
      </c>
      <c r="G2288" s="1755">
        <v>3</v>
      </c>
      <c r="H2288" s="1454">
        <f>G2288*$H$2285</f>
        <v>4.4999999999999998E-2</v>
      </c>
      <c r="I2288" s="198"/>
      <c r="J2288" s="198"/>
      <c r="K2288" s="1307">
        <f>H2288*$K$2283</f>
        <v>2.4980400000000003E-2</v>
      </c>
      <c r="L2288" s="1335">
        <f t="shared" si="118"/>
        <v>0</v>
      </c>
      <c r="M2288" s="1499">
        <v>18.28</v>
      </c>
      <c r="N2288" s="1718">
        <f>G2288*M2288</f>
        <v>54.84</v>
      </c>
      <c r="O2288" s="1719">
        <f>H2288*M2288</f>
        <v>0.8226</v>
      </c>
      <c r="P2288" s="1720">
        <f>M2288*K2288</f>
        <v>0.45664171200000009</v>
      </c>
      <c r="Q2288" s="3396"/>
      <c r="S2288" s="16"/>
      <c r="T2288" s="16"/>
      <c r="U2288" s="16"/>
      <c r="V2288" s="16"/>
    </row>
    <row r="2289" spans="1:22">
      <c r="A2289" s="16"/>
      <c r="B2289" s="1320"/>
      <c r="C2289" s="1356" t="s">
        <v>1152</v>
      </c>
      <c r="D2289" s="1311"/>
      <c r="E2289" s="1854" t="s">
        <v>1517</v>
      </c>
      <c r="F2289" s="1749" t="s">
        <v>1696</v>
      </c>
      <c r="G2289" s="1688"/>
      <c r="H2289" s="1366">
        <v>5.0000000000000001E-3</v>
      </c>
      <c r="I2289" s="1388"/>
      <c r="J2289" s="1388"/>
      <c r="K2289" s="1510"/>
      <c r="L2289" s="1445"/>
      <c r="M2289" s="1447"/>
      <c r="N2289" s="1447">
        <f>SUM(N2290:N2292)</f>
        <v>108.04650000000001</v>
      </c>
      <c r="O2289" s="1447">
        <f>SUM(O2290:O2292)</f>
        <v>0.54023250000000012</v>
      </c>
      <c r="P2289" s="1446">
        <f>SUM(P2290:P2292)</f>
        <v>0.29989386540000007</v>
      </c>
      <c r="Q2289" s="3391"/>
      <c r="S2289" s="16"/>
      <c r="T2289" s="16"/>
      <c r="U2289" s="16"/>
      <c r="V2289" s="16"/>
    </row>
    <row r="2290" spans="1:22">
      <c r="A2290" s="16"/>
      <c r="B2290" s="1320"/>
      <c r="C2290" s="18"/>
      <c r="D2290" s="1756" t="s">
        <v>1781</v>
      </c>
      <c r="E2290" s="1852" t="s">
        <v>1577</v>
      </c>
      <c r="F2290" s="1752" t="s">
        <v>1782</v>
      </c>
      <c r="G2290" s="1753">
        <v>0.876</v>
      </c>
      <c r="H2290" s="1453">
        <f>G2290*$H$2289</f>
        <v>4.3800000000000002E-3</v>
      </c>
      <c r="I2290" s="198"/>
      <c r="J2290" s="198"/>
      <c r="K2290" s="1307">
        <f>H2290*K2283</f>
        <v>2.4314256000000003E-3</v>
      </c>
      <c r="L2290" s="1335">
        <f t="shared" ref="L2290:L2292" si="119">K2290*$K$1987</f>
        <v>0</v>
      </c>
      <c r="M2290" s="1499">
        <v>60.35</v>
      </c>
      <c r="N2290" s="1718">
        <f>G2290*M2290</f>
        <v>52.866599999999998</v>
      </c>
      <c r="O2290" s="1719">
        <f>H2290*M2290</f>
        <v>0.26433300000000004</v>
      </c>
      <c r="P2290" s="1720">
        <f>M2290*K2290</f>
        <v>0.14673653496000003</v>
      </c>
      <c r="Q2290" s="3396"/>
      <c r="R2290" s="2337"/>
      <c r="S2290" s="16"/>
      <c r="T2290" s="16"/>
      <c r="U2290" s="16"/>
      <c r="V2290" s="16"/>
    </row>
    <row r="2291" spans="1:22">
      <c r="A2291" s="16"/>
      <c r="B2291" s="1320"/>
      <c r="C2291" s="1042"/>
      <c r="D2291" s="1756" t="s">
        <v>1069</v>
      </c>
      <c r="E2291" s="1852" t="s">
        <v>1517</v>
      </c>
      <c r="F2291" s="1752" t="s">
        <v>1578</v>
      </c>
      <c r="G2291" s="1753">
        <v>0.61799999999999999</v>
      </c>
      <c r="H2291" s="1453">
        <f>G2291*$H$2289</f>
        <v>3.0899999999999999E-3</v>
      </c>
      <c r="I2291" s="197"/>
      <c r="J2291" s="198"/>
      <c r="K2291" s="1307">
        <f>H2291*$K$2283</f>
        <v>1.7153208000000001E-3</v>
      </c>
      <c r="L2291" s="1335">
        <f t="shared" si="119"/>
        <v>0</v>
      </c>
      <c r="M2291" s="1499">
        <v>0.55000000000000004</v>
      </c>
      <c r="N2291" s="1718">
        <f>G2291*M2291</f>
        <v>0.33990000000000004</v>
      </c>
      <c r="O2291" s="1719">
        <f>H2291*M2291</f>
        <v>1.6995000000000001E-3</v>
      </c>
      <c r="P2291" s="1720">
        <f>M2291*K2291</f>
        <v>9.4342644000000012E-4</v>
      </c>
      <c r="Q2291" s="3396"/>
      <c r="R2291" s="2337"/>
      <c r="S2291" s="16"/>
      <c r="T2291" s="16"/>
      <c r="U2291" s="16"/>
      <c r="V2291" s="16"/>
    </row>
    <row r="2292" spans="1:22">
      <c r="A2292" s="16"/>
      <c r="B2292" s="1320"/>
      <c r="C2292" s="1042"/>
      <c r="D2292" s="1757" t="s">
        <v>1067</v>
      </c>
      <c r="E2292" s="1853" t="s">
        <v>1508</v>
      </c>
      <c r="F2292" s="1754" t="s">
        <v>1512</v>
      </c>
      <c r="G2292" s="1755">
        <v>3</v>
      </c>
      <c r="H2292" s="1454">
        <f>G2292*$H$2289</f>
        <v>1.4999999999999999E-2</v>
      </c>
      <c r="I2292" s="1289"/>
      <c r="J2292" s="198"/>
      <c r="K2292" s="1307">
        <f>H2292*$K$2283</f>
        <v>8.3268000000000005E-3</v>
      </c>
      <c r="L2292" s="1335">
        <f t="shared" si="119"/>
        <v>0</v>
      </c>
      <c r="M2292" s="1499">
        <v>18.28</v>
      </c>
      <c r="N2292" s="1718">
        <f>G2292*M2292</f>
        <v>54.84</v>
      </c>
      <c r="O2292" s="1719">
        <f>H2292*M2292</f>
        <v>0.2742</v>
      </c>
      <c r="P2292" s="1720">
        <f>M2292*K2292</f>
        <v>0.15221390400000001</v>
      </c>
      <c r="Q2292" s="3396"/>
      <c r="R2292" s="2337"/>
      <c r="S2292" s="16"/>
      <c r="T2292" s="16"/>
      <c r="U2292" s="16"/>
      <c r="V2292" s="16"/>
    </row>
    <row r="2293" spans="1:22">
      <c r="A2293" s="16"/>
      <c r="B2293" s="1320"/>
      <c r="C2293" s="1042"/>
      <c r="D2293" s="1400"/>
      <c r="E2293" s="1856"/>
      <c r="F2293" s="1397"/>
      <c r="G2293" s="1416"/>
      <c r="H2293" s="1399"/>
      <c r="I2293" s="1289"/>
      <c r="J2293" s="198"/>
      <c r="K2293" s="1307"/>
      <c r="L2293" s="1335"/>
      <c r="M2293" s="1499"/>
      <c r="N2293" s="1701"/>
      <c r="O2293" s="1290"/>
      <c r="P2293" s="1332"/>
      <c r="Q2293" s="3391"/>
      <c r="R2293" s="2337"/>
      <c r="S2293" s="16"/>
      <c r="T2293" s="16"/>
      <c r="U2293" s="16"/>
      <c r="V2293" s="16"/>
    </row>
    <row r="2294" spans="1:22">
      <c r="A2294" s="16"/>
      <c r="B2294" s="1320"/>
      <c r="C2294" s="1320"/>
      <c r="D2294" s="1410"/>
      <c r="E2294" s="1858"/>
      <c r="F2294" s="1360" t="s">
        <v>2</v>
      </c>
      <c r="G2294" s="1360"/>
      <c r="H2294" s="1362"/>
      <c r="I2294" s="1380"/>
      <c r="J2294" s="1381"/>
      <c r="K2294" s="1359"/>
      <c r="L2294" s="1458"/>
      <c r="M2294" s="1502"/>
      <c r="N2294" s="1502"/>
      <c r="O2294" s="1362"/>
      <c r="P2294" s="1359"/>
      <c r="Q2294" s="3387"/>
      <c r="R2294" s="2337"/>
      <c r="S2294" s="16"/>
      <c r="T2294" s="16"/>
      <c r="U2294" s="16"/>
      <c r="V2294" s="16"/>
    </row>
    <row r="2295" spans="1:22">
      <c r="A2295" s="16"/>
      <c r="B2295" s="1320"/>
      <c r="C2295" s="1042"/>
      <c r="D2295" s="1437" t="s">
        <v>1153</v>
      </c>
      <c r="E2295" s="2134" t="s">
        <v>1508</v>
      </c>
      <c r="F2295" s="1438" t="s">
        <v>1783</v>
      </c>
      <c r="G2295" s="1439">
        <v>0.3</v>
      </c>
      <c r="H2295" s="1439"/>
      <c r="I2295" s="197"/>
      <c r="J2295" s="198"/>
      <c r="K2295" s="1307">
        <f>G2295*$K$2283</f>
        <v>0.16653600000000002</v>
      </c>
      <c r="L2295" s="1335">
        <f t="shared" ref="L2295" si="120">K2295*$K$1987</f>
        <v>0</v>
      </c>
      <c r="M2295" s="1499">
        <v>19.23</v>
      </c>
      <c r="N2295" s="1701"/>
      <c r="O2295" s="1290">
        <f>(G2295*M2295)</f>
        <v>5.7690000000000001</v>
      </c>
      <c r="P2295" s="1332">
        <f>M2295*K2295</f>
        <v>3.2024872800000006</v>
      </c>
      <c r="Q2295" s="3391"/>
      <c r="R2295" s="2337"/>
      <c r="S2295" s="16"/>
      <c r="T2295" s="16"/>
      <c r="U2295" s="16"/>
      <c r="V2295" s="16"/>
    </row>
    <row r="2296" spans="1:22">
      <c r="A2296" s="16"/>
      <c r="B2296" s="1320"/>
      <c r="C2296" s="1042"/>
      <c r="D2296" s="1402"/>
      <c r="E2296" s="1857"/>
      <c r="F2296" s="1645"/>
      <c r="G2296" s="1362"/>
      <c r="H2296" s="1359"/>
      <c r="I2296" s="198"/>
      <c r="J2296" s="6"/>
      <c r="K2296" s="1306"/>
      <c r="L2296" s="1646"/>
      <c r="M2296" s="1499"/>
      <c r="N2296" s="1499"/>
      <c r="O2296" s="1291"/>
      <c r="P2296" s="1332"/>
      <c r="Q2296" s="3391"/>
      <c r="R2296" s="2337"/>
      <c r="S2296" s="16"/>
      <c r="T2296" s="16"/>
      <c r="U2296" s="16"/>
      <c r="V2296" s="16"/>
    </row>
    <row r="2297" spans="1:22">
      <c r="A2297" s="16"/>
      <c r="B2297" s="1320"/>
      <c r="C2297" s="1042"/>
      <c r="D2297" s="1402"/>
      <c r="E2297" s="1857"/>
      <c r="F2297" s="1403"/>
      <c r="G2297" s="1362"/>
      <c r="H2297" s="1359"/>
      <c r="I2297" s="198"/>
      <c r="J2297" s="6"/>
      <c r="K2297" s="1307"/>
      <c r="L2297" s="1335"/>
      <c r="M2297" s="1499"/>
      <c r="N2297" s="1701"/>
      <c r="O2297" s="1290"/>
      <c r="P2297" s="1332"/>
      <c r="Q2297" s="3391"/>
      <c r="R2297" s="2337"/>
      <c r="S2297" s="16"/>
      <c r="T2297" s="16"/>
      <c r="U2297" s="16"/>
      <c r="V2297" s="16"/>
    </row>
    <row r="2298" spans="1:22">
      <c r="A2298" s="16"/>
      <c r="B2298" s="1320"/>
      <c r="C2298" s="1042"/>
      <c r="D2298" s="1411"/>
      <c r="E2298" s="2123"/>
      <c r="F2298" s="1374" t="s">
        <v>3</v>
      </c>
      <c r="G2298" s="1374"/>
      <c r="H2298" s="1376"/>
      <c r="I2298" s="1382"/>
      <c r="J2298" s="1383"/>
      <c r="K2298" s="1373"/>
      <c r="L2298" s="1413"/>
      <c r="M2298" s="1505"/>
      <c r="N2298" s="1505"/>
      <c r="O2298" s="1376"/>
      <c r="P2298" s="1413"/>
      <c r="Q2298" s="3387"/>
      <c r="R2298" s="2337"/>
      <c r="S2298" s="16"/>
      <c r="T2298" s="16"/>
      <c r="U2298" s="16"/>
      <c r="V2298" s="16"/>
    </row>
    <row r="2299" spans="1:22">
      <c r="A2299" s="16"/>
      <c r="B2299" s="1320"/>
      <c r="C2299" s="1042"/>
      <c r="D2299" s="1412"/>
      <c r="E2299" s="2124"/>
      <c r="F2299" s="1378"/>
      <c r="G2299" s="1378"/>
      <c r="H2299" s="1379"/>
      <c r="I2299" s="198"/>
      <c r="J2299" s="6"/>
      <c r="K2299" s="1307"/>
      <c r="L2299" s="1335"/>
      <c r="M2299" s="1499"/>
      <c r="N2299" s="1701"/>
      <c r="O2299" s="1290"/>
      <c r="P2299" s="1332"/>
      <c r="Q2299" s="3391"/>
      <c r="R2299" s="2337"/>
      <c r="S2299" s="16"/>
      <c r="T2299" s="16"/>
      <c r="U2299" s="16"/>
      <c r="V2299" s="16"/>
    </row>
    <row r="2300" spans="1:22">
      <c r="A2300" s="16"/>
      <c r="B2300" s="1320"/>
      <c r="C2300" s="1042"/>
      <c r="D2300" s="1440"/>
      <c r="E2300" s="2132"/>
      <c r="F2300" s="1441"/>
      <c r="G2300" s="1441"/>
      <c r="H2300" s="1442"/>
      <c r="I2300" s="197"/>
      <c r="J2300" s="198"/>
      <c r="K2300" s="1307"/>
      <c r="L2300" s="1335"/>
      <c r="M2300" s="1499"/>
      <c r="N2300" s="1701"/>
      <c r="O2300" s="1290"/>
      <c r="P2300" s="1332"/>
      <c r="Q2300" s="3391"/>
      <c r="R2300" s="2337"/>
      <c r="S2300" s="16"/>
      <c r="T2300" s="16"/>
      <c r="U2300" s="16"/>
      <c r="V2300" s="16"/>
    </row>
    <row r="2301" spans="1:22">
      <c r="A2301" s="16"/>
      <c r="B2301" s="225"/>
      <c r="C2301" s="223"/>
      <c r="D2301" s="1440"/>
      <c r="E2301" s="2132"/>
      <c r="F2301" s="1441"/>
      <c r="G2301" s="1441"/>
      <c r="H2301" s="1442"/>
      <c r="I2301" s="197"/>
      <c r="J2301" s="198"/>
      <c r="K2301" s="1307"/>
      <c r="L2301" s="1335"/>
      <c r="M2301" s="1499"/>
      <c r="N2301" s="1701"/>
      <c r="O2301" s="1290"/>
      <c r="P2301" s="1332"/>
      <c r="Q2301" s="3391"/>
      <c r="R2301" s="2337"/>
      <c r="S2301" s="16"/>
      <c r="T2301" s="16"/>
      <c r="U2301" s="16"/>
      <c r="V2301" s="16"/>
    </row>
    <row r="2302" spans="1:22">
      <c r="A2302" s="16" t="s">
        <v>3764</v>
      </c>
      <c r="B2302" s="4325" t="s">
        <v>1810</v>
      </c>
      <c r="C2302" s="3350"/>
      <c r="D2302" s="4327"/>
      <c r="E2302" s="4329" t="s">
        <v>1507</v>
      </c>
      <c r="F2302" s="4336" t="s">
        <v>1811</v>
      </c>
      <c r="G2302" s="4331" t="s">
        <v>1568</v>
      </c>
      <c r="H2302" s="4331" t="s">
        <v>1574</v>
      </c>
      <c r="I2302" s="1572" t="s">
        <v>1559</v>
      </c>
      <c r="J2302" s="1294" t="s">
        <v>1560</v>
      </c>
      <c r="K2302" s="1294" t="s">
        <v>1561</v>
      </c>
      <c r="L2302" s="4333" t="s">
        <v>3765</v>
      </c>
      <c r="M2302" s="4335" t="s">
        <v>1571</v>
      </c>
      <c r="N2302" s="4323" t="s">
        <v>1776</v>
      </c>
      <c r="O2302" s="3347" t="s">
        <v>1563</v>
      </c>
      <c r="P2302" s="1336" t="s">
        <v>1562</v>
      </c>
      <c r="Q2302" s="3389"/>
      <c r="R2302" s="1699" t="s">
        <v>1327</v>
      </c>
      <c r="S2302" s="16"/>
      <c r="T2302" s="16"/>
      <c r="U2302" s="16"/>
      <c r="V2302" s="16"/>
    </row>
    <row r="2303" spans="1:22">
      <c r="A2303" s="1660" t="s">
        <v>1865</v>
      </c>
      <c r="B2303" s="4326"/>
      <c r="C2303" s="3351"/>
      <c r="D2303" s="4328"/>
      <c r="E2303" s="4389"/>
      <c r="F2303" s="4336"/>
      <c r="G2303" s="4332"/>
      <c r="H2303" s="4332"/>
      <c r="I2303" s="1345">
        <v>442.2</v>
      </c>
      <c r="J2303" s="1307">
        <v>2E-3</v>
      </c>
      <c r="K2303" s="1307">
        <f>I2303*J2303</f>
        <v>0.88439999999999996</v>
      </c>
      <c r="L2303" s="4334"/>
      <c r="M2303" s="4335"/>
      <c r="N2303" s="4324"/>
      <c r="O2303" s="1298">
        <f>SUM(O2305:O2315)</f>
        <v>24.729479999999999</v>
      </c>
      <c r="P2303" s="1337">
        <f>O2303*K2303</f>
        <v>21.870752111999998</v>
      </c>
      <c r="Q2303" s="3390"/>
      <c r="R2303" s="1721">
        <f>SUM(P2305:P2316)</f>
        <v>21.870752112000002</v>
      </c>
      <c r="S2303" s="16"/>
      <c r="T2303" s="16"/>
      <c r="U2303" s="16"/>
      <c r="V2303" s="16"/>
    </row>
    <row r="2304" spans="1:22">
      <c r="A2304" s="16"/>
      <c r="B2304" s="1327"/>
      <c r="C2304" s="1327"/>
      <c r="D2304" s="1400"/>
      <c r="E2304" s="2121"/>
      <c r="F2304" s="1368" t="s">
        <v>1</v>
      </c>
      <c r="G2304" s="1417"/>
      <c r="H2304" s="1390"/>
      <c r="I2304" s="1554"/>
      <c r="J2304" s="1367"/>
      <c r="K2304" s="1367"/>
      <c r="L2304" s="1554"/>
      <c r="M2304" s="1369"/>
      <c r="N2304" s="1369"/>
      <c r="O2304" s="1369"/>
      <c r="P2304" s="1367"/>
      <c r="Q2304" s="3387"/>
      <c r="R2304" s="2337"/>
      <c r="S2304" s="16"/>
      <c r="T2304" s="16"/>
      <c r="U2304" s="16"/>
      <c r="V2304" s="16"/>
    </row>
    <row r="2305" spans="1:22">
      <c r="A2305" s="16"/>
      <c r="B2305" s="1320"/>
      <c r="C2305" s="1042"/>
      <c r="D2305" s="1761" t="s">
        <v>1812</v>
      </c>
      <c r="E2305" s="2170" t="s">
        <v>1357</v>
      </c>
      <c r="F2305" s="1761" t="s">
        <v>1813</v>
      </c>
      <c r="G2305" s="1762">
        <v>0.9</v>
      </c>
      <c r="H2305" s="1762"/>
      <c r="I2305" s="27"/>
      <c r="J2305" s="10"/>
      <c r="K2305" s="1307">
        <f>G2305*$K$2303</f>
        <v>0.79596</v>
      </c>
      <c r="L2305" s="1335">
        <f t="shared" ref="L2305:L2306" si="121">K2305*$K$1987</f>
        <v>0</v>
      </c>
      <c r="M2305" s="1499">
        <v>1.71</v>
      </c>
      <c r="N2305" s="1701"/>
      <c r="O2305" s="1290">
        <f>(G2305*M2305)</f>
        <v>1.5389999999999999</v>
      </c>
      <c r="P2305" s="1332">
        <f>M2305*K2305</f>
        <v>1.3610916</v>
      </c>
      <c r="Q2305" s="3391"/>
      <c r="R2305" s="2337"/>
      <c r="S2305" s="16"/>
      <c r="T2305" s="16"/>
      <c r="U2305" s="16"/>
      <c r="V2305" s="16"/>
    </row>
    <row r="2306" spans="1:22">
      <c r="A2306" s="16"/>
      <c r="B2306" s="1320"/>
      <c r="C2306" s="1042"/>
      <c r="D2306" s="1761" t="s">
        <v>1701</v>
      </c>
      <c r="E2306" s="2170" t="s">
        <v>1504</v>
      </c>
      <c r="F2306" s="1761" t="s">
        <v>1541</v>
      </c>
      <c r="G2306" s="1762">
        <v>0.4</v>
      </c>
      <c r="H2306" s="1762"/>
      <c r="I2306" s="27"/>
      <c r="J2306" s="10"/>
      <c r="K2306" s="1307">
        <f>G2306*$K$2303</f>
        <v>0.35376000000000002</v>
      </c>
      <c r="L2306" s="1335">
        <f t="shared" si="121"/>
        <v>0</v>
      </c>
      <c r="M2306" s="1499">
        <v>0.3</v>
      </c>
      <c r="N2306" s="1701"/>
      <c r="O2306" s="1290">
        <f>(G2306*M2306)</f>
        <v>0.12</v>
      </c>
      <c r="P2306" s="1332">
        <f>M2306*K2306</f>
        <v>0.106128</v>
      </c>
      <c r="Q2306" s="3391"/>
      <c r="R2306" s="2337"/>
      <c r="S2306" s="16"/>
      <c r="T2306" s="16"/>
      <c r="U2306" s="16"/>
      <c r="V2306" s="16"/>
    </row>
    <row r="2307" spans="1:22">
      <c r="A2307" s="16"/>
      <c r="B2307" s="1320"/>
      <c r="C2307" s="1042"/>
      <c r="D2307" s="1367"/>
      <c r="E2307" s="1856"/>
      <c r="F2307" s="1421"/>
      <c r="G2307" s="1399"/>
      <c r="H2307" s="1399"/>
      <c r="I2307" s="1289"/>
      <c r="J2307" s="198"/>
      <c r="K2307" s="1307"/>
      <c r="L2307" s="1335"/>
      <c r="M2307" s="1499"/>
      <c r="N2307" s="1701"/>
      <c r="O2307" s="1290"/>
      <c r="P2307" s="1332"/>
      <c r="Q2307" s="3391"/>
      <c r="R2307" s="2337"/>
      <c r="S2307" s="105"/>
      <c r="T2307" s="105"/>
      <c r="U2307" s="16"/>
      <c r="V2307" s="16"/>
    </row>
    <row r="2308" spans="1:22">
      <c r="A2308" s="16"/>
      <c r="B2308" s="1320"/>
      <c r="C2308" s="1042"/>
      <c r="D2308" s="1367"/>
      <c r="E2308" s="1856"/>
      <c r="F2308" s="1421"/>
      <c r="G2308" s="1399"/>
      <c r="H2308" s="1399"/>
      <c r="I2308" s="1289"/>
      <c r="J2308" s="198"/>
      <c r="K2308" s="1307"/>
      <c r="L2308" s="1335"/>
      <c r="M2308" s="1499"/>
      <c r="N2308" s="1701"/>
      <c r="O2308" s="1290"/>
      <c r="P2308" s="1332"/>
      <c r="Q2308" s="3391"/>
      <c r="R2308" s="2337"/>
      <c r="S2308" s="16"/>
      <c r="T2308" s="16"/>
      <c r="U2308" s="16"/>
      <c r="V2308" s="16"/>
    </row>
    <row r="2309" spans="1:22">
      <c r="A2309" s="16"/>
      <c r="B2309" s="1320"/>
      <c r="C2309" s="1320"/>
      <c r="D2309" s="1410"/>
      <c r="E2309" s="1858"/>
      <c r="F2309" s="1360" t="s">
        <v>2</v>
      </c>
      <c r="G2309" s="1362"/>
      <c r="H2309" s="1362"/>
      <c r="I2309" s="1380"/>
      <c r="J2309" s="1381"/>
      <c r="K2309" s="1359"/>
      <c r="L2309" s="1458"/>
      <c r="M2309" s="1502"/>
      <c r="N2309" s="1502"/>
      <c r="O2309" s="1362"/>
      <c r="P2309" s="1359"/>
      <c r="Q2309" s="3387"/>
      <c r="R2309" s="2337"/>
      <c r="S2309" s="16"/>
      <c r="T2309" s="16"/>
      <c r="U2309" s="16"/>
      <c r="V2309" s="16"/>
    </row>
    <row r="2310" spans="1:22">
      <c r="A2310" s="16"/>
      <c r="B2310" s="1320"/>
      <c r="C2310" s="1042"/>
      <c r="D2310" s="1624" t="s">
        <v>1702</v>
      </c>
      <c r="E2310" s="2158" t="s">
        <v>1508</v>
      </c>
      <c r="F2310" s="1624" t="s">
        <v>1703</v>
      </c>
      <c r="G2310" s="1625">
        <v>0.77600000000000002</v>
      </c>
      <c r="H2310" s="1625"/>
      <c r="I2310" s="198"/>
      <c r="J2310" s="6"/>
      <c r="K2310" s="1307">
        <f>G2310*$K$2303</f>
        <v>0.68629439999999997</v>
      </c>
      <c r="L2310" s="1335">
        <f t="shared" ref="L2310" si="122">K2310*$K$1987</f>
        <v>0</v>
      </c>
      <c r="M2310" s="1499">
        <v>19.23</v>
      </c>
      <c r="N2310" s="1701"/>
      <c r="O2310" s="1290">
        <f>(G2310*M2310)</f>
        <v>14.92248</v>
      </c>
      <c r="P2310" s="1332">
        <f>M2310*K2310</f>
        <v>13.197441312</v>
      </c>
      <c r="Q2310" s="3391"/>
      <c r="R2310" s="2337"/>
      <c r="S2310" s="16"/>
      <c r="T2310" s="16"/>
      <c r="U2310" s="16"/>
      <c r="V2310" s="16"/>
    </row>
    <row r="2311" spans="1:22">
      <c r="A2311" s="16"/>
      <c r="B2311" s="1320"/>
      <c r="C2311" s="1042"/>
      <c r="D2311" s="1402"/>
      <c r="E2311" s="1857"/>
      <c r="F2311" s="1645"/>
      <c r="G2311" s="1362"/>
      <c r="H2311" s="1359"/>
      <c r="I2311" s="198"/>
      <c r="J2311" s="6"/>
      <c r="K2311" s="1306"/>
      <c r="L2311" s="1646"/>
      <c r="M2311" s="1499"/>
      <c r="N2311" s="1499"/>
      <c r="O2311" s="1291"/>
      <c r="P2311" s="1332"/>
      <c r="Q2311" s="3391"/>
      <c r="R2311" s="2337"/>
      <c r="S2311" s="16"/>
      <c r="T2311" s="16"/>
      <c r="U2311" s="16"/>
      <c r="V2311" s="16"/>
    </row>
    <row r="2312" spans="1:22">
      <c r="A2312" s="16"/>
      <c r="B2312" s="1320"/>
      <c r="C2312" s="1042"/>
      <c r="D2312" s="1402"/>
      <c r="E2312" s="1857"/>
      <c r="F2312" s="1403"/>
      <c r="G2312" s="1362"/>
      <c r="H2312" s="1359"/>
      <c r="I2312" s="198"/>
      <c r="J2312" s="6"/>
      <c r="K2312" s="1307"/>
      <c r="L2312" s="1335"/>
      <c r="M2312" s="1499"/>
      <c r="N2312" s="1701"/>
      <c r="O2312" s="1290"/>
      <c r="P2312" s="1332"/>
      <c r="Q2312" s="3391"/>
      <c r="R2312" s="2337"/>
      <c r="S2312" s="16"/>
      <c r="T2312" s="16"/>
      <c r="U2312" s="16"/>
      <c r="V2312" s="16"/>
    </row>
    <row r="2313" spans="1:22">
      <c r="A2313" s="16"/>
      <c r="B2313" s="1320"/>
      <c r="C2313" s="1042"/>
      <c r="D2313" s="1411"/>
      <c r="E2313" s="2123"/>
      <c r="F2313" s="1374" t="s">
        <v>3</v>
      </c>
      <c r="G2313" s="1374"/>
      <c r="H2313" s="1376"/>
      <c r="I2313" s="1382"/>
      <c r="J2313" s="1383"/>
      <c r="K2313" s="1373"/>
      <c r="L2313" s="1413"/>
      <c r="M2313" s="1505"/>
      <c r="N2313" s="1505"/>
      <c r="O2313" s="1376"/>
      <c r="P2313" s="1413"/>
      <c r="Q2313" s="3387"/>
      <c r="R2313" s="1699"/>
      <c r="S2313" s="16"/>
      <c r="T2313" s="16"/>
      <c r="U2313" s="16"/>
      <c r="V2313" s="16"/>
    </row>
    <row r="2314" spans="1:22">
      <c r="A2314" s="16"/>
      <c r="B2314" s="1320"/>
      <c r="C2314" s="1042"/>
      <c r="D2314" s="1827" t="s">
        <v>1686</v>
      </c>
      <c r="E2314" s="2173" t="s">
        <v>1687</v>
      </c>
      <c r="F2314" s="1827" t="s">
        <v>1688</v>
      </c>
      <c r="G2314" s="1828">
        <v>1.0864</v>
      </c>
      <c r="H2314" s="1521"/>
      <c r="I2314" s="198"/>
      <c r="J2314" s="6"/>
      <c r="K2314" s="1307">
        <f>G2314*$K$2303</f>
        <v>0.96081216000000003</v>
      </c>
      <c r="L2314" s="1335">
        <f t="shared" ref="L2314" si="123">K2314*$K$1987</f>
        <v>0</v>
      </c>
      <c r="M2314" s="1499">
        <v>7.5</v>
      </c>
      <c r="N2314" s="1701"/>
      <c r="O2314" s="1290">
        <f>(G2314*M2314)</f>
        <v>8.1479999999999997</v>
      </c>
      <c r="P2314" s="1332">
        <f>M2314*K2314</f>
        <v>7.2060912000000004</v>
      </c>
      <c r="Q2314" s="3391"/>
      <c r="R2314" s="2337"/>
      <c r="S2314" s="16"/>
      <c r="T2314" s="16"/>
      <c r="U2314" s="16"/>
      <c r="V2314" s="16"/>
    </row>
    <row r="2315" spans="1:22">
      <c r="A2315" s="16"/>
      <c r="B2315" s="1320"/>
      <c r="C2315" s="1042"/>
      <c r="D2315" s="1440"/>
      <c r="E2315" s="2132"/>
      <c r="F2315" s="1441"/>
      <c r="G2315" s="1441"/>
      <c r="H2315" s="1442"/>
      <c r="I2315" s="197"/>
      <c r="J2315" s="198"/>
      <c r="K2315" s="1307"/>
      <c r="L2315" s="1335"/>
      <c r="M2315" s="1499"/>
      <c r="N2315" s="1701"/>
      <c r="O2315" s="1290"/>
      <c r="P2315" s="1332"/>
      <c r="Q2315" s="3391"/>
      <c r="R2315" s="2337"/>
      <c r="S2315" s="16"/>
      <c r="T2315" s="16"/>
      <c r="U2315" s="16"/>
      <c r="V2315" s="16"/>
    </row>
    <row r="2316" spans="1:22">
      <c r="A2316" s="16"/>
      <c r="B2316" s="225"/>
      <c r="C2316" s="223"/>
      <c r="D2316" s="1440"/>
      <c r="E2316" s="2132"/>
      <c r="F2316" s="1441"/>
      <c r="G2316" s="1441"/>
      <c r="H2316" s="1442"/>
      <c r="I2316" s="197"/>
      <c r="J2316" s="198"/>
      <c r="K2316" s="1307"/>
      <c r="L2316" s="1335"/>
      <c r="M2316" s="1499"/>
      <c r="N2316" s="1701"/>
      <c r="O2316" s="1290"/>
      <c r="P2316" s="1332"/>
      <c r="Q2316" s="3391"/>
      <c r="R2316" s="2337"/>
      <c r="S2316" s="16"/>
      <c r="T2316" s="16"/>
      <c r="U2316" s="16"/>
      <c r="V2316" s="16"/>
    </row>
    <row r="2317" spans="1:22">
      <c r="A2317" s="16" t="s">
        <v>3764</v>
      </c>
      <c r="B2317" s="4325" t="s">
        <v>1885</v>
      </c>
      <c r="C2317" s="3350"/>
      <c r="D2317" s="4327"/>
      <c r="E2317" s="4329" t="s">
        <v>1507</v>
      </c>
      <c r="F2317" s="4336" t="s">
        <v>1886</v>
      </c>
      <c r="G2317" s="4331" t="s">
        <v>1568</v>
      </c>
      <c r="H2317" s="4331" t="s">
        <v>1574</v>
      </c>
      <c r="I2317" s="1572" t="s">
        <v>1559</v>
      </c>
      <c r="J2317" s="1294" t="s">
        <v>1560</v>
      </c>
      <c r="K2317" s="1294" t="s">
        <v>1561</v>
      </c>
      <c r="L2317" s="4333" t="s">
        <v>3765</v>
      </c>
      <c r="M2317" s="4335" t="s">
        <v>1571</v>
      </c>
      <c r="N2317" s="4323" t="s">
        <v>1776</v>
      </c>
      <c r="O2317" s="3347" t="s">
        <v>1563</v>
      </c>
      <c r="P2317" s="1336" t="s">
        <v>1562</v>
      </c>
      <c r="Q2317" s="3389"/>
      <c r="R2317" s="1699" t="s">
        <v>1327</v>
      </c>
      <c r="S2317" s="16"/>
      <c r="T2317" s="16"/>
      <c r="U2317" s="16"/>
      <c r="V2317" s="16"/>
    </row>
    <row r="2318" spans="1:22">
      <c r="A2318" s="1660" t="s">
        <v>1865</v>
      </c>
      <c r="B2318" s="4326"/>
      <c r="C2318" s="3351"/>
      <c r="D2318" s="4328"/>
      <c r="E2318" s="4389"/>
      <c r="F2318" s="4336"/>
      <c r="G2318" s="4332"/>
      <c r="H2318" s="4332"/>
      <c r="I2318" s="1345">
        <v>60</v>
      </c>
      <c r="J2318" s="1307">
        <v>2E-3</v>
      </c>
      <c r="K2318" s="1307">
        <f>I2318*J2318</f>
        <v>0.12</v>
      </c>
      <c r="L2318" s="4334"/>
      <c r="M2318" s="4335"/>
      <c r="N2318" s="4324"/>
      <c r="O2318" s="1298">
        <f>SUM(O2320:O2329)</f>
        <v>7.6601700000000008</v>
      </c>
      <c r="P2318" s="1337">
        <f>O2318*K2318</f>
        <v>0.91922040000000005</v>
      </c>
      <c r="Q2318" s="3390"/>
      <c r="R2318" s="1721">
        <f>SUM(P2320:P2330)</f>
        <v>0.91922040000000005</v>
      </c>
      <c r="S2318" s="16"/>
      <c r="T2318" s="16"/>
      <c r="U2318" s="16"/>
      <c r="V2318" s="16"/>
    </row>
    <row r="2319" spans="1:22">
      <c r="A2319" s="16"/>
      <c r="B2319" s="1327"/>
      <c r="C2319" s="1327"/>
      <c r="D2319" s="1400"/>
      <c r="E2319" s="2121"/>
      <c r="F2319" s="1368" t="s">
        <v>1</v>
      </c>
      <c r="G2319" s="1417"/>
      <c r="H2319" s="1390"/>
      <c r="I2319" s="1554"/>
      <c r="J2319" s="1367"/>
      <c r="K2319" s="1367"/>
      <c r="L2319" s="1554"/>
      <c r="M2319" s="1369"/>
      <c r="N2319" s="1369"/>
      <c r="O2319" s="1369"/>
      <c r="P2319" s="1367"/>
      <c r="Q2319" s="3387"/>
      <c r="R2319" s="2337"/>
      <c r="S2319" s="16"/>
      <c r="T2319" s="16"/>
      <c r="U2319" s="16"/>
      <c r="V2319" s="16"/>
    </row>
    <row r="2320" spans="1:22">
      <c r="A2320" s="16"/>
      <c r="B2320" s="1320"/>
      <c r="C2320" s="1042"/>
      <c r="D2320" s="1367"/>
      <c r="E2320" s="1856"/>
      <c r="F2320" s="1421"/>
      <c r="G2320" s="1399"/>
      <c r="H2320" s="1399"/>
      <c r="I2320" s="197"/>
      <c r="J2320" s="198"/>
      <c r="K2320" s="1307"/>
      <c r="L2320" s="1335"/>
      <c r="M2320" s="1499"/>
      <c r="N2320" s="1701"/>
      <c r="O2320" s="1290"/>
      <c r="P2320" s="1332"/>
      <c r="Q2320" s="3391"/>
      <c r="R2320" s="2337"/>
      <c r="S2320" s="16"/>
      <c r="T2320" s="16"/>
      <c r="U2320" s="16"/>
      <c r="V2320" s="16"/>
    </row>
    <row r="2321" spans="1:22">
      <c r="A2321" s="16"/>
      <c r="B2321" s="1320"/>
      <c r="C2321" s="1042"/>
      <c r="D2321" s="1367"/>
      <c r="E2321" s="1856"/>
      <c r="F2321" s="1421"/>
      <c r="G2321" s="1399"/>
      <c r="H2321" s="1399"/>
      <c r="I2321" s="1289"/>
      <c r="J2321" s="198"/>
      <c r="K2321" s="1307"/>
      <c r="L2321" s="1335"/>
      <c r="M2321" s="1499"/>
      <c r="N2321" s="1701"/>
      <c r="O2321" s="1290"/>
      <c r="P2321" s="1332"/>
      <c r="Q2321" s="3391"/>
      <c r="R2321" s="2337"/>
      <c r="S2321" s="16"/>
      <c r="T2321" s="16"/>
      <c r="U2321" s="16"/>
      <c r="V2321" s="16"/>
    </row>
    <row r="2322" spans="1:22">
      <c r="A2322" s="16"/>
      <c r="B2322" s="1320"/>
      <c r="C2322" s="1042"/>
      <c r="D2322" s="1367"/>
      <c r="E2322" s="1856"/>
      <c r="F2322" s="1421"/>
      <c r="G2322" s="1399"/>
      <c r="H2322" s="1399"/>
      <c r="I2322" s="1289"/>
      <c r="J2322" s="198"/>
      <c r="K2322" s="1307"/>
      <c r="L2322" s="1335"/>
      <c r="M2322" s="1499"/>
      <c r="N2322" s="1701"/>
      <c r="O2322" s="1290"/>
      <c r="P2322" s="1332"/>
      <c r="Q2322" s="3391"/>
      <c r="R2322" s="2337"/>
      <c r="S2322" s="16"/>
      <c r="T2322" s="16"/>
      <c r="U2322" s="16"/>
      <c r="V2322" s="16"/>
    </row>
    <row r="2323" spans="1:22">
      <c r="A2323" s="16"/>
      <c r="B2323" s="1320"/>
      <c r="C2323" s="1320"/>
      <c r="D2323" s="1410"/>
      <c r="E2323" s="1858"/>
      <c r="F2323" s="1360" t="s">
        <v>2</v>
      </c>
      <c r="G2323" s="1362"/>
      <c r="H2323" s="1362"/>
      <c r="I2323" s="1380"/>
      <c r="J2323" s="1381"/>
      <c r="K2323" s="1359"/>
      <c r="L2323" s="1458"/>
      <c r="M2323" s="1502"/>
      <c r="N2323" s="1502"/>
      <c r="O2323" s="1362"/>
      <c r="P2323" s="1359"/>
      <c r="Q2323" s="3387"/>
      <c r="R2323" s="2337"/>
      <c r="S2323" s="16"/>
      <c r="T2323" s="16"/>
      <c r="U2323" s="16"/>
      <c r="V2323" s="16"/>
    </row>
    <row r="2324" spans="1:22">
      <c r="A2324" s="16"/>
      <c r="B2324" s="1320"/>
      <c r="C2324" s="1042"/>
      <c r="D2324" s="1624" t="s">
        <v>1702</v>
      </c>
      <c r="E2324" s="2158" t="s">
        <v>1508</v>
      </c>
      <c r="F2324" s="1624" t="s">
        <v>1703</v>
      </c>
      <c r="G2324" s="1625">
        <v>0.27900000000000003</v>
      </c>
      <c r="H2324" s="1625"/>
      <c r="I2324" s="198"/>
      <c r="J2324" s="6"/>
      <c r="K2324" s="1307">
        <f>G2324*$K$2318</f>
        <v>3.3480000000000003E-2</v>
      </c>
      <c r="L2324" s="1335">
        <f t="shared" ref="L2324" si="124">K2324*$K$1987</f>
        <v>0</v>
      </c>
      <c r="M2324" s="1499">
        <v>19.23</v>
      </c>
      <c r="N2324" s="1701"/>
      <c r="O2324" s="1290">
        <f>(G2324*M2324)</f>
        <v>5.3651700000000009</v>
      </c>
      <c r="P2324" s="1332">
        <f>M2324*K2324</f>
        <v>0.64382040000000007</v>
      </c>
      <c r="Q2324" s="3391"/>
      <c r="R2324" s="2337"/>
      <c r="S2324" s="16"/>
      <c r="T2324" s="16"/>
      <c r="U2324" s="16"/>
      <c r="V2324" s="16"/>
    </row>
    <row r="2325" spans="1:22">
      <c r="A2325" s="16"/>
      <c r="B2325" s="1320"/>
      <c r="C2325" s="1042"/>
      <c r="D2325" s="1402"/>
      <c r="E2325" s="1857"/>
      <c r="F2325" s="1645"/>
      <c r="G2325" s="1362"/>
      <c r="H2325" s="1359"/>
      <c r="I2325" s="198"/>
      <c r="J2325" s="6"/>
      <c r="K2325" s="1306"/>
      <c r="L2325" s="1646"/>
      <c r="M2325" s="1499"/>
      <c r="N2325" s="1499"/>
      <c r="O2325" s="1291"/>
      <c r="P2325" s="1332"/>
      <c r="Q2325" s="3391"/>
      <c r="R2325" s="2337"/>
      <c r="S2325" s="17"/>
      <c r="T2325" s="17"/>
      <c r="U2325" s="16"/>
      <c r="V2325" s="16"/>
    </row>
    <row r="2326" spans="1:22">
      <c r="A2326" s="16"/>
      <c r="B2326" s="1320"/>
      <c r="C2326" s="1042"/>
      <c r="D2326" s="1402"/>
      <c r="E2326" s="1857"/>
      <c r="F2326" s="1403"/>
      <c r="G2326" s="1362"/>
      <c r="H2326" s="1359"/>
      <c r="I2326" s="198"/>
      <c r="J2326" s="6"/>
      <c r="K2326" s="1307"/>
      <c r="L2326" s="1335"/>
      <c r="M2326" s="1499"/>
      <c r="N2326" s="1701"/>
      <c r="O2326" s="1290"/>
      <c r="P2326" s="1332"/>
      <c r="Q2326" s="3391"/>
      <c r="R2326" s="2337"/>
      <c r="S2326" s="105"/>
      <c r="T2326" s="105"/>
      <c r="U2326" s="16"/>
      <c r="V2326" s="16"/>
    </row>
    <row r="2327" spans="1:22">
      <c r="A2327" s="16"/>
      <c r="B2327" s="1320"/>
      <c r="C2327" s="1042"/>
      <c r="D2327" s="1411"/>
      <c r="E2327" s="2123"/>
      <c r="F2327" s="1374" t="s">
        <v>3</v>
      </c>
      <c r="G2327" s="1374"/>
      <c r="H2327" s="1376"/>
      <c r="I2327" s="1382"/>
      <c r="J2327" s="1383"/>
      <c r="K2327" s="1373"/>
      <c r="L2327" s="1413"/>
      <c r="M2327" s="1505"/>
      <c r="N2327" s="1505"/>
      <c r="O2327" s="1376"/>
      <c r="P2327" s="1413"/>
      <c r="Q2327" s="3387"/>
      <c r="R2327" s="2337"/>
      <c r="S2327" s="16"/>
      <c r="T2327" s="16"/>
      <c r="U2327" s="16"/>
      <c r="V2327" s="16"/>
    </row>
    <row r="2328" spans="1:22">
      <c r="A2328" s="16"/>
      <c r="B2328" s="1320"/>
      <c r="C2328" s="1042"/>
      <c r="D2328" s="1827" t="s">
        <v>1686</v>
      </c>
      <c r="E2328" s="2173" t="s">
        <v>1687</v>
      </c>
      <c r="F2328" s="1827" t="s">
        <v>1688</v>
      </c>
      <c r="G2328" s="1828">
        <v>0.30599999999999999</v>
      </c>
      <c r="H2328" s="1521"/>
      <c r="I2328" s="198"/>
      <c r="J2328" s="6"/>
      <c r="K2328" s="1307">
        <f>G2328*$K$2318</f>
        <v>3.6719999999999996E-2</v>
      </c>
      <c r="L2328" s="1335">
        <f t="shared" ref="L2328" si="125">K2328*$K$1987</f>
        <v>0</v>
      </c>
      <c r="M2328" s="1499">
        <v>7.5</v>
      </c>
      <c r="N2328" s="1701"/>
      <c r="O2328" s="1290">
        <f>(G2328*M2328)</f>
        <v>2.2949999999999999</v>
      </c>
      <c r="P2328" s="1332">
        <f>M2328*K2328</f>
        <v>0.27539999999999998</v>
      </c>
      <c r="Q2328" s="3391"/>
      <c r="R2328" s="2337"/>
      <c r="S2328" s="16"/>
      <c r="T2328" s="16"/>
      <c r="U2328" s="16"/>
      <c r="V2328" s="16"/>
    </row>
    <row r="2329" spans="1:22">
      <c r="A2329" s="16"/>
      <c r="B2329" s="1320"/>
      <c r="C2329" s="1042"/>
      <c r="D2329" s="1440"/>
      <c r="E2329" s="2132"/>
      <c r="F2329" s="1441"/>
      <c r="G2329" s="1441"/>
      <c r="H2329" s="1442"/>
      <c r="I2329" s="197"/>
      <c r="J2329" s="198"/>
      <c r="K2329" s="1307"/>
      <c r="L2329" s="1335"/>
      <c r="M2329" s="1499"/>
      <c r="N2329" s="1701"/>
      <c r="O2329" s="1290"/>
      <c r="P2329" s="1332"/>
      <c r="Q2329" s="3391"/>
      <c r="R2329" s="2337"/>
      <c r="S2329" s="16"/>
      <c r="T2329" s="16"/>
      <c r="U2329" s="16"/>
      <c r="V2329" s="16"/>
    </row>
    <row r="2330" spans="1:22">
      <c r="A2330" s="16"/>
      <c r="B2330" s="225"/>
      <c r="C2330" s="223"/>
      <c r="D2330" s="1440"/>
      <c r="E2330" s="2132"/>
      <c r="F2330" s="1441"/>
      <c r="G2330" s="1441"/>
      <c r="H2330" s="1442"/>
      <c r="I2330" s="197"/>
      <c r="J2330" s="198"/>
      <c r="K2330" s="1307"/>
      <c r="L2330" s="1335"/>
      <c r="M2330" s="1499"/>
      <c r="N2330" s="1701"/>
      <c r="O2330" s="1290"/>
      <c r="P2330" s="1332"/>
      <c r="Q2330" s="3391"/>
      <c r="R2330" s="2337"/>
      <c r="S2330" s="16"/>
      <c r="T2330" s="16"/>
      <c r="U2330" s="16"/>
      <c r="V2330" s="16"/>
    </row>
    <row r="2331" spans="1:22">
      <c r="A2331" s="16" t="s">
        <v>3764</v>
      </c>
      <c r="B2331" s="4325" t="s">
        <v>1661</v>
      </c>
      <c r="C2331" s="3350"/>
      <c r="D2331" s="4327"/>
      <c r="E2331" s="4329" t="s">
        <v>1507</v>
      </c>
      <c r="F2331" s="4336" t="s">
        <v>1706</v>
      </c>
      <c r="G2331" s="4331" t="s">
        <v>1568</v>
      </c>
      <c r="H2331" s="4331" t="s">
        <v>1574</v>
      </c>
      <c r="I2331" s="1572" t="s">
        <v>1559</v>
      </c>
      <c r="J2331" s="1294" t="s">
        <v>1560</v>
      </c>
      <c r="K2331" s="1294" t="s">
        <v>1561</v>
      </c>
      <c r="L2331" s="4333" t="s">
        <v>3765</v>
      </c>
      <c r="M2331" s="4335" t="s">
        <v>1571</v>
      </c>
      <c r="N2331" s="4323" t="s">
        <v>1776</v>
      </c>
      <c r="O2331" s="3347" t="s">
        <v>1563</v>
      </c>
      <c r="P2331" s="1336" t="s">
        <v>1562</v>
      </c>
      <c r="Q2331" s="3389"/>
      <c r="R2331" s="1699" t="s">
        <v>1327</v>
      </c>
      <c r="S2331" s="16"/>
      <c r="T2331" s="16"/>
      <c r="U2331" s="16"/>
      <c r="V2331" s="16"/>
    </row>
    <row r="2332" spans="1:22">
      <c r="A2332" s="1660" t="s">
        <v>1865</v>
      </c>
      <c r="B2332" s="4326"/>
      <c r="C2332" s="3351"/>
      <c r="D2332" s="4328"/>
      <c r="E2332" s="4389"/>
      <c r="F2332" s="4336"/>
      <c r="G2332" s="4332"/>
      <c r="H2332" s="4332"/>
      <c r="I2332" s="1345">
        <v>277.56</v>
      </c>
      <c r="J2332" s="1307">
        <v>2E-3</v>
      </c>
      <c r="K2332" s="1307">
        <f>I2332*J2332</f>
        <v>0.55512000000000006</v>
      </c>
      <c r="L2332" s="4334"/>
      <c r="M2332" s="4335"/>
      <c r="N2332" s="4324"/>
      <c r="O2332" s="1298">
        <f>SUM(O2334:O2346)</f>
        <v>8.9870400000000004</v>
      </c>
      <c r="P2332" s="1337">
        <f>O2332*K2332</f>
        <v>4.9888856448000007</v>
      </c>
      <c r="Q2332" s="3390"/>
      <c r="R2332" s="1721">
        <f>SUM(P2334:P2347)</f>
        <v>4.9888856447999999</v>
      </c>
      <c r="S2332" s="16"/>
      <c r="T2332" s="16"/>
      <c r="U2332" s="16"/>
      <c r="V2332" s="16"/>
    </row>
    <row r="2333" spans="1:22">
      <c r="A2333" s="16"/>
      <c r="B2333" s="1327"/>
      <c r="C2333" s="1327"/>
      <c r="D2333" s="1400"/>
      <c r="E2333" s="2121"/>
      <c r="F2333" s="1368" t="s">
        <v>1</v>
      </c>
      <c r="G2333" s="1417"/>
      <c r="H2333" s="1390"/>
      <c r="I2333" s="1554"/>
      <c r="J2333" s="1367"/>
      <c r="K2333" s="1367"/>
      <c r="L2333" s="1554"/>
      <c r="M2333" s="1369"/>
      <c r="N2333" s="1369"/>
      <c r="O2333" s="1369"/>
      <c r="P2333" s="1367"/>
      <c r="Q2333" s="3387"/>
      <c r="R2333" s="2337"/>
      <c r="S2333" s="16"/>
      <c r="T2333" s="16"/>
      <c r="U2333" s="16"/>
      <c r="V2333" s="16"/>
    </row>
    <row r="2334" spans="1:22">
      <c r="A2334" s="16"/>
      <c r="B2334" s="1320"/>
      <c r="C2334" s="1042"/>
      <c r="D2334" s="1761" t="s">
        <v>1698</v>
      </c>
      <c r="E2334" s="2170" t="s">
        <v>1357</v>
      </c>
      <c r="F2334" s="1761" t="s">
        <v>1699</v>
      </c>
      <c r="G2334" s="1762">
        <v>0.45</v>
      </c>
      <c r="H2334" s="1762"/>
      <c r="I2334" s="27"/>
      <c r="J2334" s="6"/>
      <c r="K2334" s="1307">
        <f>G2334*$K$1966</f>
        <v>0.24980400000000003</v>
      </c>
      <c r="L2334" s="1335">
        <f t="shared" ref="L2334:L2336" si="126">K2334*$K$1987</f>
        <v>0</v>
      </c>
      <c r="M2334" s="1499">
        <v>1.7</v>
      </c>
      <c r="N2334" s="1701"/>
      <c r="O2334" s="1290">
        <f>(G2334*M2334)</f>
        <v>0.76500000000000001</v>
      </c>
      <c r="P2334" s="1332">
        <f>M2334*K2334</f>
        <v>0.42466680000000001</v>
      </c>
      <c r="Q2334" s="3391"/>
      <c r="R2334" s="2337"/>
      <c r="S2334" s="16"/>
      <c r="T2334" s="16"/>
      <c r="U2334" s="16"/>
      <c r="V2334" s="16"/>
    </row>
    <row r="2335" spans="1:22">
      <c r="A2335" s="16"/>
      <c r="B2335" s="1320"/>
      <c r="C2335" s="1042"/>
      <c r="D2335" s="1761" t="s">
        <v>1214</v>
      </c>
      <c r="E2335" s="2170" t="s">
        <v>1357</v>
      </c>
      <c r="F2335" s="1761" t="s">
        <v>1700</v>
      </c>
      <c r="G2335" s="1762">
        <v>0.35</v>
      </c>
      <c r="H2335" s="1762"/>
      <c r="I2335" s="27"/>
      <c r="J2335" s="198"/>
      <c r="K2335" s="1307">
        <f t="shared" ref="K2335:K2336" si="127">G2335*$K$1966</f>
        <v>0.19429200000000002</v>
      </c>
      <c r="L2335" s="1335">
        <f t="shared" si="126"/>
        <v>0</v>
      </c>
      <c r="M2335" s="1499">
        <v>4.2</v>
      </c>
      <c r="N2335" s="1701"/>
      <c r="O2335" s="1290">
        <f>(G2335*M2335)</f>
        <v>1.47</v>
      </c>
      <c r="P2335" s="1332">
        <f>M2335*K2335</f>
        <v>0.81602640000000015</v>
      </c>
      <c r="Q2335" s="3391"/>
      <c r="R2335" s="2337"/>
      <c r="S2335" s="16"/>
      <c r="T2335" s="16"/>
      <c r="U2335" s="16"/>
      <c r="V2335" s="16"/>
    </row>
    <row r="2336" spans="1:22">
      <c r="A2336" s="16"/>
      <c r="B2336" s="1320"/>
      <c r="C2336" s="1042"/>
      <c r="D2336" s="1761" t="s">
        <v>1701</v>
      </c>
      <c r="E2336" s="2170" t="s">
        <v>1504</v>
      </c>
      <c r="F2336" s="1761" t="s">
        <v>1541</v>
      </c>
      <c r="G2336" s="1762">
        <v>0.2</v>
      </c>
      <c r="H2336" s="1762"/>
      <c r="I2336" s="27"/>
      <c r="J2336" s="10"/>
      <c r="K2336" s="1307">
        <f t="shared" si="127"/>
        <v>0.11102400000000001</v>
      </c>
      <c r="L2336" s="1335">
        <f t="shared" si="126"/>
        <v>0</v>
      </c>
      <c r="M2336" s="1499">
        <v>0.3</v>
      </c>
      <c r="N2336" s="1701"/>
      <c r="O2336" s="1290">
        <f>(G2336*M2336)</f>
        <v>0.06</v>
      </c>
      <c r="P2336" s="1332">
        <f>M2336*K2336</f>
        <v>3.3307200000000002E-2</v>
      </c>
      <c r="Q2336" s="3391"/>
      <c r="R2336" s="2337"/>
      <c r="S2336" s="16"/>
      <c r="T2336" s="16"/>
      <c r="U2336" s="16"/>
      <c r="V2336" s="16"/>
    </row>
    <row r="2337" spans="1:22">
      <c r="B2337" s="1320"/>
      <c r="C2337" s="1042"/>
      <c r="D2337" s="1367"/>
      <c r="E2337" s="1856"/>
      <c r="F2337" s="1421"/>
      <c r="G2337" s="1399"/>
      <c r="H2337" s="1399"/>
      <c r="I2337" s="1760"/>
      <c r="J2337" s="198"/>
      <c r="K2337" s="1307"/>
      <c r="L2337" s="1335"/>
      <c r="M2337" s="1499"/>
      <c r="N2337" s="1701"/>
      <c r="O2337" s="1290"/>
      <c r="P2337" s="1332"/>
      <c r="Q2337" s="3391"/>
      <c r="S2337" s="16"/>
      <c r="T2337" s="16"/>
      <c r="U2337" s="16"/>
      <c r="V2337" s="16"/>
    </row>
    <row r="2338" spans="1:22">
      <c r="A2338" s="16"/>
      <c r="B2338" s="1320"/>
      <c r="C2338" s="1042"/>
      <c r="D2338" s="1367"/>
      <c r="E2338" s="1856"/>
      <c r="F2338" s="1421"/>
      <c r="G2338" s="1399"/>
      <c r="H2338" s="1399"/>
      <c r="I2338" s="1289"/>
      <c r="J2338" s="198"/>
      <c r="K2338" s="1307"/>
      <c r="L2338" s="1335"/>
      <c r="M2338" s="1499"/>
      <c r="N2338" s="1701"/>
      <c r="O2338" s="1290"/>
      <c r="P2338" s="1332"/>
      <c r="Q2338" s="3391"/>
      <c r="R2338" s="2337"/>
      <c r="S2338" s="16"/>
      <c r="T2338" s="16"/>
      <c r="U2338" s="16"/>
      <c r="V2338" s="16"/>
    </row>
    <row r="2339" spans="1:22">
      <c r="A2339" s="16"/>
      <c r="B2339" s="1320"/>
      <c r="C2339" s="1042"/>
      <c r="D2339" s="1367"/>
      <c r="E2339" s="1856"/>
      <c r="F2339" s="1421"/>
      <c r="G2339" s="1399"/>
      <c r="H2339" s="1399"/>
      <c r="I2339" s="1289"/>
      <c r="J2339" s="198"/>
      <c r="K2339" s="1307"/>
      <c r="L2339" s="1335"/>
      <c r="M2339" s="1499"/>
      <c r="N2339" s="1701"/>
      <c r="O2339" s="1290"/>
      <c r="P2339" s="1332"/>
      <c r="Q2339" s="3391"/>
      <c r="R2339" s="2337"/>
      <c r="S2339" s="16"/>
      <c r="T2339" s="16"/>
      <c r="U2339" s="16"/>
      <c r="V2339" s="16"/>
    </row>
    <row r="2340" spans="1:22">
      <c r="A2340" s="16"/>
      <c r="B2340" s="1320"/>
      <c r="C2340" s="1320"/>
      <c r="D2340" s="1410"/>
      <c r="E2340" s="1858"/>
      <c r="F2340" s="1360" t="s">
        <v>2</v>
      </c>
      <c r="G2340" s="1362"/>
      <c r="H2340" s="1362"/>
      <c r="I2340" s="1380"/>
      <c r="J2340" s="1381"/>
      <c r="K2340" s="1359"/>
      <c r="L2340" s="1458"/>
      <c r="M2340" s="1502"/>
      <c r="N2340" s="1502"/>
      <c r="O2340" s="1362"/>
      <c r="P2340" s="1359"/>
      <c r="Q2340" s="3387"/>
      <c r="R2340" s="2337"/>
      <c r="S2340" s="16"/>
      <c r="T2340" s="16"/>
      <c r="U2340" s="16"/>
      <c r="V2340" s="16"/>
    </row>
    <row r="2341" spans="1:22">
      <c r="A2341" s="16"/>
      <c r="B2341" s="1320"/>
      <c r="C2341" s="1042"/>
      <c r="D2341" s="1624" t="s">
        <v>1702</v>
      </c>
      <c r="E2341" s="2158" t="s">
        <v>1508</v>
      </c>
      <c r="F2341" s="1624" t="s">
        <v>1703</v>
      </c>
      <c r="G2341" s="1625">
        <v>0.34799999999999998</v>
      </c>
      <c r="H2341" s="1625"/>
      <c r="I2341" s="198"/>
      <c r="J2341" s="6"/>
      <c r="K2341" s="1307">
        <f>G2341*$K$1966</f>
        <v>0.19318176000000001</v>
      </c>
      <c r="L2341" s="1335">
        <f t="shared" ref="L2341" si="128">K2341*$K$1987</f>
        <v>0</v>
      </c>
      <c r="M2341" s="1499">
        <v>19.23</v>
      </c>
      <c r="N2341" s="1701"/>
      <c r="O2341" s="1290">
        <f>(G2341*M2341)</f>
        <v>6.6920399999999995</v>
      </c>
      <c r="P2341" s="1332">
        <f>M2341*K2341</f>
        <v>3.7148852448</v>
      </c>
      <c r="Q2341" s="3391"/>
      <c r="R2341" s="2337"/>
      <c r="S2341" s="16"/>
      <c r="T2341" s="16"/>
      <c r="U2341" s="16"/>
      <c r="V2341" s="16"/>
    </row>
    <row r="2342" spans="1:22">
      <c r="A2342" s="16"/>
      <c r="B2342" s="1320"/>
      <c r="C2342" s="1042"/>
      <c r="D2342" s="1402"/>
      <c r="E2342" s="1857"/>
      <c r="F2342" s="1645"/>
      <c r="G2342" s="1362"/>
      <c r="H2342" s="1359"/>
      <c r="I2342" s="198"/>
      <c r="J2342" s="6"/>
      <c r="K2342" s="1306"/>
      <c r="L2342" s="1646"/>
      <c r="M2342" s="1499"/>
      <c r="N2342" s="1499"/>
      <c r="O2342" s="1291"/>
      <c r="P2342" s="1332"/>
      <c r="Q2342" s="3391"/>
      <c r="R2342" s="2337"/>
      <c r="S2342" s="16"/>
      <c r="T2342" s="16"/>
      <c r="U2342" s="16"/>
      <c r="V2342" s="16"/>
    </row>
    <row r="2343" spans="1:22">
      <c r="A2343" s="16"/>
      <c r="B2343" s="1320"/>
      <c r="C2343" s="1042"/>
      <c r="D2343" s="1402"/>
      <c r="E2343" s="1857"/>
      <c r="F2343" s="1403"/>
      <c r="G2343" s="1362"/>
      <c r="H2343" s="1359"/>
      <c r="I2343" s="198"/>
      <c r="J2343" s="6"/>
      <c r="K2343" s="1307"/>
      <c r="L2343" s="1335"/>
      <c r="M2343" s="1499"/>
      <c r="N2343" s="1701"/>
      <c r="O2343" s="1290"/>
      <c r="P2343" s="1332"/>
      <c r="Q2343" s="3391"/>
      <c r="R2343" s="2337"/>
      <c r="S2343" s="16"/>
      <c r="T2343" s="16"/>
      <c r="U2343" s="16"/>
      <c r="V2343" s="16"/>
    </row>
    <row r="2344" spans="1:22">
      <c r="A2344" s="16"/>
      <c r="B2344" s="1320"/>
      <c r="C2344" s="1042"/>
      <c r="D2344" s="1411"/>
      <c r="E2344" s="2123"/>
      <c r="F2344" s="1374" t="s">
        <v>3</v>
      </c>
      <c r="G2344" s="1374"/>
      <c r="H2344" s="1376"/>
      <c r="I2344" s="1382"/>
      <c r="J2344" s="1383"/>
      <c r="K2344" s="1373"/>
      <c r="L2344" s="1413"/>
      <c r="M2344" s="1505"/>
      <c r="N2344" s="1505"/>
      <c r="O2344" s="1376"/>
      <c r="P2344" s="1413"/>
      <c r="Q2344" s="3387"/>
      <c r="R2344" s="2337"/>
      <c r="S2344" s="16"/>
      <c r="T2344" s="16"/>
      <c r="U2344" s="16"/>
      <c r="V2344" s="16"/>
    </row>
    <row r="2345" spans="1:22">
      <c r="A2345" s="16"/>
      <c r="B2345" s="1320"/>
      <c r="C2345" s="1042"/>
      <c r="D2345" s="1412"/>
      <c r="E2345" s="2124"/>
      <c r="F2345" s="1378"/>
      <c r="G2345" s="1378"/>
      <c r="H2345" s="1379"/>
      <c r="I2345" s="198"/>
      <c r="J2345" s="6"/>
      <c r="K2345" s="1307"/>
      <c r="L2345" s="1335"/>
      <c r="M2345" s="1499"/>
      <c r="N2345" s="1701"/>
      <c r="O2345" s="1290"/>
      <c r="P2345" s="1332"/>
      <c r="Q2345" s="3391"/>
      <c r="R2345" s="2337"/>
      <c r="S2345" s="16"/>
      <c r="T2345" s="16"/>
      <c r="U2345" s="16"/>
      <c r="V2345" s="16"/>
    </row>
    <row r="2346" spans="1:22">
      <c r="A2346" s="16"/>
      <c r="B2346" s="1320"/>
      <c r="C2346" s="1042"/>
      <c r="D2346" s="1440"/>
      <c r="E2346" s="2132"/>
      <c r="F2346" s="1441"/>
      <c r="G2346" s="1441"/>
      <c r="H2346" s="1442"/>
      <c r="I2346" s="197"/>
      <c r="J2346" s="198"/>
      <c r="K2346" s="1307"/>
      <c r="L2346" s="1335"/>
      <c r="M2346" s="1499"/>
      <c r="N2346" s="1701"/>
      <c r="O2346" s="1290"/>
      <c r="P2346" s="1332"/>
      <c r="Q2346" s="3391"/>
      <c r="R2346" s="2337"/>
      <c r="S2346" s="17"/>
      <c r="T2346" s="17"/>
      <c r="U2346" s="16"/>
      <c r="V2346" s="16"/>
    </row>
    <row r="2347" spans="1:22">
      <c r="A2347" s="16"/>
      <c r="B2347" s="225"/>
      <c r="C2347" s="223"/>
      <c r="D2347" s="1440"/>
      <c r="E2347" s="2132"/>
      <c r="F2347" s="1441"/>
      <c r="G2347" s="1441"/>
      <c r="H2347" s="1442"/>
      <c r="I2347" s="197"/>
      <c r="J2347" s="198"/>
      <c r="K2347" s="1307"/>
      <c r="L2347" s="1335"/>
      <c r="M2347" s="1499"/>
      <c r="N2347" s="1701"/>
      <c r="O2347" s="1290"/>
      <c r="P2347" s="1332"/>
      <c r="Q2347" s="3391"/>
      <c r="R2347" s="2337"/>
      <c r="S2347" s="105"/>
      <c r="T2347" s="105"/>
      <c r="U2347" s="16"/>
      <c r="V2347" s="16"/>
    </row>
    <row r="2348" spans="1:22" ht="28.5">
      <c r="A2348" s="16"/>
      <c r="B2348" s="16"/>
      <c r="C2348" s="16"/>
      <c r="D2348" s="16"/>
      <c r="E2348" s="2119"/>
      <c r="F2348" s="1608"/>
      <c r="G2348" s="3"/>
      <c r="H2348" s="13"/>
      <c r="I2348" s="1561"/>
      <c r="J2348" s="13"/>
      <c r="K2348" s="1561"/>
      <c r="L2348" s="2400" t="s">
        <v>2856</v>
      </c>
      <c r="M2348" s="1561"/>
      <c r="N2348" s="1561"/>
      <c r="O2348" s="16"/>
      <c r="P2348" s="16"/>
      <c r="Q2348" s="3387"/>
      <c r="R2348" s="3363"/>
      <c r="S2348" s="16"/>
      <c r="T2348" s="16"/>
      <c r="U2348" s="16"/>
      <c r="V2348" s="16"/>
    </row>
    <row r="2349" spans="1:22">
      <c r="A2349" s="4393" t="s">
        <v>162</v>
      </c>
      <c r="B2349" s="4394"/>
      <c r="C2349" s="4394"/>
      <c r="D2349" s="4395"/>
      <c r="E2349" s="4396" t="s">
        <v>1549</v>
      </c>
      <c r="F2349" s="4397" t="s">
        <v>1550</v>
      </c>
      <c r="G2349" s="4399" t="s">
        <v>1566</v>
      </c>
      <c r="H2349" s="4400"/>
      <c r="I2349" s="4400"/>
      <c r="J2349" s="4400"/>
      <c r="K2349" s="4400"/>
      <c r="L2349" s="4401"/>
      <c r="M2349" s="4405" t="s">
        <v>1567</v>
      </c>
      <c r="N2349" s="4405"/>
      <c r="O2349" s="4405"/>
      <c r="P2349" s="4405"/>
      <c r="Q2349" s="3395"/>
      <c r="R2349" s="3363"/>
      <c r="S2349" s="16"/>
      <c r="T2349" s="16"/>
      <c r="U2349" s="16"/>
      <c r="V2349" s="16"/>
    </row>
    <row r="2350" spans="1:22" ht="15" thickBot="1">
      <c r="A2350" s="1324" t="s">
        <v>3766</v>
      </c>
      <c r="B2350" s="1325" t="s">
        <v>1513</v>
      </c>
      <c r="C2350" s="1326" t="s">
        <v>1573</v>
      </c>
      <c r="D2350" s="1323" t="s">
        <v>1514</v>
      </c>
      <c r="E2350" s="4396"/>
      <c r="F2350" s="4398"/>
      <c r="G2350" s="4402"/>
      <c r="H2350" s="4403"/>
      <c r="I2350" s="4403"/>
      <c r="J2350" s="4403"/>
      <c r="K2350" s="4403"/>
      <c r="L2350" s="4404"/>
      <c r="M2350" s="4405"/>
      <c r="N2350" s="4405"/>
      <c r="O2350" s="4405"/>
      <c r="P2350" s="4405"/>
      <c r="Q2350" s="3395"/>
      <c r="R2350" s="2337"/>
      <c r="S2350" s="16"/>
      <c r="T2350" s="16"/>
      <c r="U2350" s="16"/>
      <c r="V2350" s="16"/>
    </row>
    <row r="2351" spans="1:22">
      <c r="A2351" s="4374" t="s">
        <v>1887</v>
      </c>
      <c r="B2351" s="4375"/>
      <c r="C2351" s="4375"/>
      <c r="D2351" s="4376"/>
      <c r="E2351" s="4380" t="s">
        <v>1507</v>
      </c>
      <c r="F2351" s="4382" t="s">
        <v>3573</v>
      </c>
      <c r="G2351" s="4493" t="s">
        <v>294</v>
      </c>
      <c r="H2351" s="4493"/>
      <c r="I2351" s="1665" t="s">
        <v>1565</v>
      </c>
      <c r="J2351" s="3348" t="s">
        <v>1575</v>
      </c>
      <c r="K2351" s="4493" t="s">
        <v>289</v>
      </c>
      <c r="L2351" s="4493"/>
      <c r="M2351" s="4408" t="s">
        <v>3349</v>
      </c>
      <c r="N2351" s="4408"/>
      <c r="O2351" s="4408"/>
      <c r="P2351" s="4409"/>
      <c r="Q2351" s="4244" t="s">
        <v>3936</v>
      </c>
      <c r="R2351" s="2337"/>
      <c r="S2351" s="16"/>
      <c r="T2351" s="16"/>
      <c r="U2351" s="16"/>
      <c r="V2351" s="16"/>
    </row>
    <row r="2352" spans="1:22" ht="26.5" thickBot="1">
      <c r="A2352" s="4377"/>
      <c r="B2352" s="4378"/>
      <c r="C2352" s="4378"/>
      <c r="D2352" s="4379"/>
      <c r="E2352" s="4381"/>
      <c r="F2352" s="4383"/>
      <c r="G2352" s="4451">
        <f>IF('Seleccion proyecto HEREVEA02'!G31="Reparación grietas (&gt;60% superf. fach.). Rehab.energ. ext. Fach. Revest. contínuo, aisl. EPS",'Seleccion proyecto HEREVEA02'!E29,0)</f>
        <v>0</v>
      </c>
      <c r="H2352" s="4452"/>
      <c r="I2352" s="3353">
        <f>IF('Seleccion proyecto HEREVEA02'!H31=0,0,IF('Seleccion proyecto HEREVEA02'!H31="1 a 60",0,IF('Seleccion proyecto HEREVEA02'!H31="61 a 100",1)))</f>
        <v>0</v>
      </c>
      <c r="J2352" s="1351">
        <f>'Seleccion proyecto HEREVEA02'!L8</f>
        <v>11100.968999999999</v>
      </c>
      <c r="K2352" s="4358">
        <f>G2352*I2352*J2352</f>
        <v>0</v>
      </c>
      <c r="L2352" s="4359"/>
      <c r="M2352" s="4360">
        <f>P2354+P2368+P2382+P2396+P2410+P2424+P2438+P2456+P2477+P2499+P2527+P2557+P2586+P2615+P2647+P2665+P2680+P2696+P2630+P2714+P2736+P2756+P2783+P2809+P2823</f>
        <v>211.65291681919601</v>
      </c>
      <c r="N2352" s="4361"/>
      <c r="O2352" s="4361"/>
      <c r="P2352" s="4362"/>
      <c r="Q2352" s="4245">
        <f>M2354*K2354</f>
        <v>0</v>
      </c>
      <c r="R2352" s="2345" t="s">
        <v>2799</v>
      </c>
      <c r="S2352" s="16"/>
      <c r="T2352" s="16"/>
      <c r="U2352" s="16"/>
      <c r="V2352" s="16"/>
    </row>
    <row r="2353" spans="1:22">
      <c r="A2353" s="19" t="s">
        <v>3764</v>
      </c>
      <c r="B2353" s="4325" t="s">
        <v>1888</v>
      </c>
      <c r="C2353" s="3354"/>
      <c r="D2353" s="4368"/>
      <c r="E2353" s="4389" t="s">
        <v>1527</v>
      </c>
      <c r="F2353" s="4363" t="s">
        <v>1889</v>
      </c>
      <c r="G2353" s="4364" t="s">
        <v>1568</v>
      </c>
      <c r="H2353" s="4364" t="s">
        <v>1574</v>
      </c>
      <c r="I2353" s="1835" t="s">
        <v>1559</v>
      </c>
      <c r="J2353" s="1836" t="s">
        <v>1560</v>
      </c>
      <c r="K2353" s="1836" t="s">
        <v>1569</v>
      </c>
      <c r="L2353" s="4365" t="s">
        <v>3765</v>
      </c>
      <c r="M2353" s="4324" t="s">
        <v>1571</v>
      </c>
      <c r="N2353" s="4366" t="s">
        <v>1776</v>
      </c>
      <c r="O2353" s="3343" t="s">
        <v>1563</v>
      </c>
      <c r="P2353" s="3349" t="s">
        <v>1562</v>
      </c>
      <c r="R2353" s="1699" t="s">
        <v>1327</v>
      </c>
      <c r="S2353" s="16"/>
      <c r="T2353" s="16"/>
      <c r="U2353" s="16"/>
      <c r="V2353" s="16"/>
    </row>
    <row r="2354" spans="1:22">
      <c r="A2354" s="1807" t="s">
        <v>1887</v>
      </c>
      <c r="B2354" s="4326"/>
      <c r="C2354" s="3351"/>
      <c r="D2354" s="4328"/>
      <c r="E2354" s="4330"/>
      <c r="F2354" s="4336"/>
      <c r="G2354" s="4332"/>
      <c r="H2354" s="4332"/>
      <c r="I2354" s="1345">
        <v>102.8</v>
      </c>
      <c r="J2354" s="1307">
        <v>2E-3</v>
      </c>
      <c r="K2354" s="1307">
        <f>I2354*J2354</f>
        <v>0.2056</v>
      </c>
      <c r="L2354" s="4334"/>
      <c r="M2354" s="4335"/>
      <c r="N2354" s="4324"/>
      <c r="O2354" s="1298">
        <f>SUM(O2356:O2366)</f>
        <v>2.1936</v>
      </c>
      <c r="P2354" s="1337">
        <f>O2354*K2354</f>
        <v>0.45100415999999999</v>
      </c>
      <c r="R2354" s="1721">
        <f>SUM(P2356:P2366)</f>
        <v>0.45100416000000004</v>
      </c>
      <c r="S2354" s="16"/>
      <c r="T2354" s="16"/>
      <c r="U2354" s="16"/>
      <c r="V2354" s="16"/>
    </row>
    <row r="2355" spans="1:22">
      <c r="B2355" s="1327"/>
      <c r="C2355" s="1327"/>
      <c r="D2355" s="1400"/>
      <c r="E2355" s="2121"/>
      <c r="F2355" s="1368" t="s">
        <v>1</v>
      </c>
      <c r="G2355" s="1390"/>
      <c r="H2355" s="1390"/>
      <c r="I2355" s="1554"/>
      <c r="J2355" s="1367"/>
      <c r="K2355" s="1367"/>
      <c r="L2355" s="1554"/>
      <c r="M2355" s="1369"/>
      <c r="N2355" s="1369"/>
      <c r="O2355" s="1369"/>
      <c r="P2355" s="1367"/>
      <c r="Q2355" s="3387"/>
      <c r="R2355" s="3363"/>
      <c r="S2355" s="16"/>
      <c r="T2355" s="16"/>
      <c r="U2355" s="16"/>
      <c r="V2355" s="16"/>
    </row>
    <row r="2356" spans="1:22">
      <c r="B2356" s="1042"/>
      <c r="C2356" s="1042"/>
      <c r="D2356" s="1400"/>
      <c r="E2356" s="1856"/>
      <c r="F2356" s="1421"/>
      <c r="G2356" s="1399"/>
      <c r="H2356" s="1399"/>
      <c r="I2356" s="1760"/>
      <c r="J2356" s="198"/>
      <c r="K2356" s="1307"/>
      <c r="L2356" s="1335"/>
      <c r="M2356" s="1499"/>
      <c r="N2356" s="1701"/>
      <c r="O2356" s="1290"/>
      <c r="P2356" s="1332"/>
      <c r="Q2356" s="3391"/>
      <c r="R2356" s="2337"/>
      <c r="S2356" s="16"/>
      <c r="T2356" s="16"/>
      <c r="U2356" s="16"/>
      <c r="V2356" s="16"/>
    </row>
    <row r="2357" spans="1:22">
      <c r="B2357" s="1042"/>
      <c r="C2357" s="1042"/>
      <c r="D2357" s="1400"/>
      <c r="E2357" s="1856"/>
      <c r="F2357" s="1421"/>
      <c r="G2357" s="1399"/>
      <c r="H2357" s="1399"/>
      <c r="I2357" s="1760"/>
      <c r="J2357" s="198"/>
      <c r="K2357" s="1307"/>
      <c r="L2357" s="1335"/>
      <c r="M2357" s="1499"/>
      <c r="N2357" s="1701"/>
      <c r="O2357" s="1290"/>
      <c r="P2357" s="1332"/>
      <c r="Q2357" s="3391"/>
      <c r="R2357" s="2337"/>
      <c r="S2357" s="16"/>
      <c r="T2357" s="16"/>
      <c r="U2357" s="16"/>
      <c r="V2357" s="16"/>
    </row>
    <row r="2358" spans="1:22">
      <c r="B2358" s="1042"/>
      <c r="C2358" s="1042"/>
      <c r="D2358" s="1400"/>
      <c r="E2358" s="1856"/>
      <c r="F2358" s="1421"/>
      <c r="G2358" s="1399"/>
      <c r="H2358" s="1399"/>
      <c r="I2358" s="197"/>
      <c r="J2358" s="198"/>
      <c r="K2358" s="1307"/>
      <c r="L2358" s="1335"/>
      <c r="M2358" s="1499"/>
      <c r="N2358" s="1701"/>
      <c r="O2358" s="1290"/>
      <c r="P2358" s="1332"/>
      <c r="Q2358" s="3391"/>
      <c r="R2358" s="3363"/>
      <c r="S2358" s="16"/>
      <c r="T2358" s="16"/>
      <c r="U2358" s="16"/>
      <c r="V2358" s="16"/>
    </row>
    <row r="2359" spans="1:22">
      <c r="B2359" s="1042"/>
      <c r="C2359" s="1042"/>
      <c r="D2359" s="1410"/>
      <c r="E2359" s="1858"/>
      <c r="F2359" s="1360" t="s">
        <v>2</v>
      </c>
      <c r="G2359" s="1362"/>
      <c r="H2359" s="1362"/>
      <c r="I2359" s="1380"/>
      <c r="J2359" s="1381"/>
      <c r="K2359" s="1359"/>
      <c r="L2359" s="1458"/>
      <c r="M2359" s="1502"/>
      <c r="N2359" s="1502"/>
      <c r="O2359" s="1362"/>
      <c r="P2359" s="1359"/>
      <c r="Q2359" s="3387"/>
      <c r="R2359" s="3363"/>
      <c r="S2359" s="16"/>
      <c r="T2359" s="16"/>
      <c r="U2359" s="16"/>
      <c r="V2359" s="16"/>
    </row>
    <row r="2360" spans="1:22">
      <c r="B2360" s="1042"/>
      <c r="C2360" s="1042"/>
      <c r="D2360" s="1623" t="s">
        <v>1802</v>
      </c>
      <c r="E2360" s="2158" t="s">
        <v>1803</v>
      </c>
      <c r="F2360" s="1801" t="s">
        <v>1804</v>
      </c>
      <c r="G2360" s="1822">
        <v>0.12</v>
      </c>
      <c r="H2360" s="1822"/>
      <c r="I2360" s="198"/>
      <c r="J2360" s="6"/>
      <c r="K2360" s="1307">
        <f>G2360*K2354</f>
        <v>2.4671999999999999E-2</v>
      </c>
      <c r="L2360" s="1335">
        <f>K2360*$K$2352</f>
        <v>0</v>
      </c>
      <c r="M2360" s="1499">
        <v>18.28</v>
      </c>
      <c r="N2360" s="1701"/>
      <c r="O2360" s="1290">
        <f>(G2360*M2360)</f>
        <v>2.1936</v>
      </c>
      <c r="P2360" s="1332">
        <f>M2360*K2360</f>
        <v>0.45100416000000004</v>
      </c>
      <c r="Q2360" s="3391"/>
      <c r="R2360" s="3363"/>
      <c r="S2360" s="16"/>
      <c r="T2360" s="16"/>
      <c r="U2360" s="16"/>
      <c r="V2360" s="16"/>
    </row>
    <row r="2361" spans="1:22">
      <c r="B2361" s="1042"/>
      <c r="C2361" s="1042"/>
      <c r="D2361" s="1623"/>
      <c r="E2361" s="2158"/>
      <c r="F2361" s="1801"/>
      <c r="G2361" s="1822"/>
      <c r="H2361" s="1822"/>
      <c r="I2361" s="198"/>
      <c r="J2361" s="6"/>
      <c r="K2361" s="1307"/>
      <c r="L2361" s="1335"/>
      <c r="M2361" s="1499"/>
      <c r="N2361" s="1701"/>
      <c r="O2361" s="1290"/>
      <c r="P2361" s="1332"/>
      <c r="Q2361" s="3391"/>
      <c r="R2361" s="3363"/>
      <c r="S2361" s="16"/>
      <c r="T2361" s="16"/>
      <c r="U2361" s="16"/>
      <c r="V2361" s="16"/>
    </row>
    <row r="2362" spans="1:22">
      <c r="B2362" s="1042"/>
      <c r="C2362" s="1042"/>
      <c r="D2362" s="1623"/>
      <c r="E2362" s="2158"/>
      <c r="F2362" s="1801"/>
      <c r="G2362" s="1822"/>
      <c r="H2362" s="1822"/>
      <c r="I2362" s="198"/>
      <c r="J2362" s="6"/>
      <c r="K2362" s="1307"/>
      <c r="L2362" s="1335"/>
      <c r="M2362" s="1499"/>
      <c r="N2362" s="1701"/>
      <c r="O2362" s="1290"/>
      <c r="P2362" s="1332"/>
      <c r="Q2362" s="3391"/>
      <c r="R2362" s="3363"/>
      <c r="S2362" s="16"/>
      <c r="T2362" s="16"/>
      <c r="U2362" s="16"/>
      <c r="V2362" s="16"/>
    </row>
    <row r="2363" spans="1:22">
      <c r="B2363" s="1042"/>
      <c r="C2363" s="1042"/>
      <c r="D2363" s="1411"/>
      <c r="E2363" s="2123"/>
      <c r="F2363" s="1802" t="s">
        <v>3</v>
      </c>
      <c r="G2363" s="1376"/>
      <c r="H2363" s="1376"/>
      <c r="I2363" s="1382"/>
      <c r="J2363" s="1383"/>
      <c r="K2363" s="1373"/>
      <c r="L2363" s="1413"/>
      <c r="M2363" s="1505"/>
      <c r="N2363" s="1505"/>
      <c r="O2363" s="1376"/>
      <c r="P2363" s="1413"/>
      <c r="Q2363" s="3387"/>
      <c r="R2363" s="3363"/>
      <c r="S2363" s="16"/>
      <c r="T2363" s="16"/>
      <c r="U2363" s="16"/>
      <c r="V2363" s="16"/>
    </row>
    <row r="2364" spans="1:22">
      <c r="B2364" s="1042"/>
      <c r="C2364" s="1042"/>
      <c r="D2364" s="1411"/>
      <c r="E2364" s="2123"/>
      <c r="F2364" s="1475"/>
      <c r="G2364" s="1376"/>
      <c r="H2364" s="1376"/>
      <c r="I2364" s="198"/>
      <c r="J2364" s="6"/>
      <c r="K2364" s="1307"/>
      <c r="L2364" s="1335"/>
      <c r="M2364" s="1499"/>
      <c r="N2364" s="1701"/>
      <c r="O2364" s="1290"/>
      <c r="P2364" s="1332"/>
      <c r="Q2364" s="3391"/>
      <c r="R2364" s="3363"/>
      <c r="S2364" s="17"/>
      <c r="T2364" s="17"/>
      <c r="U2364" s="16"/>
      <c r="V2364" s="16"/>
    </row>
    <row r="2365" spans="1:22">
      <c r="B2365" s="1042"/>
      <c r="C2365" s="1042"/>
      <c r="D2365" s="1412"/>
      <c r="E2365" s="2124"/>
      <c r="F2365" s="1377"/>
      <c r="G2365" s="1597"/>
      <c r="H2365" s="1597"/>
      <c r="I2365" s="198"/>
      <c r="J2365" s="6"/>
      <c r="K2365" s="1306"/>
      <c r="L2365" s="1646"/>
      <c r="M2365" s="1302"/>
      <c r="N2365" s="1302"/>
      <c r="O2365" s="1291"/>
      <c r="P2365" s="1332"/>
      <c r="Q2365" s="3391"/>
      <c r="R2365" s="3363"/>
      <c r="S2365" s="105"/>
      <c r="T2365" s="105"/>
      <c r="U2365" s="16"/>
      <c r="V2365" s="16"/>
    </row>
    <row r="2366" spans="1:22">
      <c r="B2366" s="1042"/>
      <c r="C2366" s="1042"/>
      <c r="D2366" s="1808"/>
      <c r="E2366" s="2132"/>
      <c r="F2366" s="1804"/>
      <c r="G2366" s="1805"/>
      <c r="H2366" s="1805"/>
      <c r="I2366" s="197"/>
      <c r="J2366" s="1806"/>
      <c r="K2366" s="1307"/>
      <c r="L2366" s="1335"/>
      <c r="M2366" s="1701"/>
      <c r="N2366" s="1701"/>
      <c r="O2366" s="1290"/>
      <c r="P2366" s="1333"/>
      <c r="Q2366" s="3391"/>
      <c r="R2366" s="2337"/>
      <c r="S2366" s="16"/>
      <c r="T2366" s="16"/>
      <c r="U2366" s="16"/>
      <c r="V2366" s="16"/>
    </row>
    <row r="2367" spans="1:22">
      <c r="A2367" s="19" t="s">
        <v>3764</v>
      </c>
      <c r="B2367" s="4325" t="s">
        <v>1890</v>
      </c>
      <c r="C2367" s="3350"/>
      <c r="D2367" s="4327"/>
      <c r="E2367" s="4389" t="s">
        <v>1527</v>
      </c>
      <c r="F2367" s="4363" t="s">
        <v>1891</v>
      </c>
      <c r="G2367" s="4364" t="s">
        <v>1568</v>
      </c>
      <c r="H2367" s="4364" t="s">
        <v>1574</v>
      </c>
      <c r="I2367" s="1835" t="s">
        <v>1559</v>
      </c>
      <c r="J2367" s="1836" t="s">
        <v>1560</v>
      </c>
      <c r="K2367" s="1836" t="s">
        <v>1569</v>
      </c>
      <c r="L2367" s="4365" t="s">
        <v>3765</v>
      </c>
      <c r="M2367" s="4324" t="s">
        <v>1571</v>
      </c>
      <c r="N2367" s="4366" t="s">
        <v>1776</v>
      </c>
      <c r="O2367" s="3343" t="s">
        <v>1563</v>
      </c>
      <c r="P2367" s="3349" t="s">
        <v>1562</v>
      </c>
      <c r="Q2367" s="3389"/>
      <c r="R2367" s="1699" t="s">
        <v>1327</v>
      </c>
      <c r="S2367" s="16"/>
      <c r="T2367" s="16"/>
      <c r="U2367" s="16"/>
      <c r="V2367" s="16"/>
    </row>
    <row r="2368" spans="1:22">
      <c r="A2368" s="1807" t="s">
        <v>1887</v>
      </c>
      <c r="B2368" s="4326"/>
      <c r="C2368" s="3351"/>
      <c r="D2368" s="4328"/>
      <c r="E2368" s="4330"/>
      <c r="F2368" s="4336"/>
      <c r="G2368" s="4332"/>
      <c r="H2368" s="4332"/>
      <c r="I2368" s="1345">
        <v>33</v>
      </c>
      <c r="J2368" s="1307">
        <v>2E-3</v>
      </c>
      <c r="K2368" s="1307">
        <f>I2368*J2368</f>
        <v>6.6000000000000003E-2</v>
      </c>
      <c r="L2368" s="4334"/>
      <c r="M2368" s="4335"/>
      <c r="N2368" s="4324"/>
      <c r="O2368" s="1298">
        <f>SUM(O2370:O2380)</f>
        <v>2.1936</v>
      </c>
      <c r="P2368" s="1337">
        <f>O2368*K2368</f>
        <v>0.14477760000000001</v>
      </c>
      <c r="Q2368" s="3390"/>
      <c r="R2368" s="1721">
        <f>SUM(P2370:P2380)</f>
        <v>0.14477760000000001</v>
      </c>
      <c r="S2368" s="16"/>
      <c r="T2368" s="16"/>
      <c r="U2368" s="16"/>
      <c r="V2368" s="16"/>
    </row>
    <row r="2369" spans="1:22">
      <c r="B2369" s="1327"/>
      <c r="C2369" s="1327"/>
      <c r="D2369" s="1400"/>
      <c r="E2369" s="2121"/>
      <c r="F2369" s="1368" t="s">
        <v>1</v>
      </c>
      <c r="G2369" s="1390"/>
      <c r="H2369" s="1390"/>
      <c r="I2369" s="1554"/>
      <c r="J2369" s="1367"/>
      <c r="K2369" s="1367"/>
      <c r="L2369" s="1554"/>
      <c r="M2369" s="1369"/>
      <c r="N2369" s="1369"/>
      <c r="O2369" s="1369"/>
      <c r="P2369" s="1367"/>
      <c r="Q2369" s="3387"/>
      <c r="R2369" s="3363"/>
      <c r="S2369" s="16"/>
      <c r="T2369" s="16"/>
      <c r="U2369" s="16"/>
      <c r="V2369" s="16"/>
    </row>
    <row r="2370" spans="1:22">
      <c r="B2370" s="1042"/>
      <c r="C2370" s="1042"/>
      <c r="D2370" s="1400"/>
      <c r="E2370" s="1856"/>
      <c r="F2370" s="1421"/>
      <c r="G2370" s="1399"/>
      <c r="H2370" s="1399"/>
      <c r="I2370" s="1760"/>
      <c r="J2370" s="198"/>
      <c r="K2370" s="1307"/>
      <c r="L2370" s="1335"/>
      <c r="M2370" s="1499"/>
      <c r="N2370" s="1701"/>
      <c r="O2370" s="1290"/>
      <c r="P2370" s="1332"/>
      <c r="Q2370" s="3391"/>
      <c r="R2370" s="3363"/>
      <c r="S2370" s="16"/>
      <c r="T2370" s="16"/>
      <c r="U2370" s="16"/>
      <c r="V2370" s="16"/>
    </row>
    <row r="2371" spans="1:22">
      <c r="B2371" s="1042"/>
      <c r="C2371" s="1042"/>
      <c r="D2371" s="1400"/>
      <c r="E2371" s="1856"/>
      <c r="F2371" s="1421"/>
      <c r="G2371" s="1399"/>
      <c r="H2371" s="1399"/>
      <c r="I2371" s="1760"/>
      <c r="J2371" s="198"/>
      <c r="K2371" s="1307"/>
      <c r="L2371" s="1335"/>
      <c r="M2371" s="1499"/>
      <c r="N2371" s="1701"/>
      <c r="O2371" s="1290"/>
      <c r="P2371" s="1332"/>
      <c r="Q2371" s="3391"/>
      <c r="R2371" s="2337"/>
      <c r="S2371" s="16"/>
      <c r="T2371" s="16"/>
      <c r="U2371" s="16"/>
      <c r="V2371" s="16"/>
    </row>
    <row r="2372" spans="1:22">
      <c r="B2372" s="1042"/>
      <c r="C2372" s="1042"/>
      <c r="D2372" s="1400"/>
      <c r="E2372" s="1856"/>
      <c r="F2372" s="1421"/>
      <c r="G2372" s="1399"/>
      <c r="H2372" s="1399"/>
      <c r="I2372" s="197"/>
      <c r="J2372" s="198"/>
      <c r="K2372" s="1307"/>
      <c r="L2372" s="1335"/>
      <c r="M2372" s="1499"/>
      <c r="N2372" s="1701"/>
      <c r="O2372" s="1290"/>
      <c r="P2372" s="1332"/>
      <c r="Q2372" s="3391"/>
      <c r="R2372" s="3363"/>
      <c r="S2372" s="16"/>
      <c r="T2372" s="16"/>
      <c r="U2372" s="16"/>
      <c r="V2372" s="16"/>
    </row>
    <row r="2373" spans="1:22">
      <c r="B2373" s="1042"/>
      <c r="C2373" s="1042"/>
      <c r="D2373" s="1410"/>
      <c r="E2373" s="1858"/>
      <c r="F2373" s="1360" t="s">
        <v>2</v>
      </c>
      <c r="G2373" s="1362"/>
      <c r="H2373" s="1362"/>
      <c r="I2373" s="1380"/>
      <c r="J2373" s="1381"/>
      <c r="K2373" s="1359"/>
      <c r="L2373" s="1458"/>
      <c r="M2373" s="1502"/>
      <c r="N2373" s="1502"/>
      <c r="O2373" s="1362"/>
      <c r="P2373" s="1359"/>
      <c r="Q2373" s="3387"/>
      <c r="R2373" s="3363"/>
      <c r="S2373" s="16"/>
      <c r="T2373" s="16"/>
      <c r="U2373" s="16"/>
      <c r="V2373" s="16"/>
    </row>
    <row r="2374" spans="1:22">
      <c r="B2374" s="1042"/>
      <c r="C2374" s="1042"/>
      <c r="D2374" s="1623" t="s">
        <v>1802</v>
      </c>
      <c r="E2374" s="2158" t="s">
        <v>1803</v>
      </c>
      <c r="F2374" s="1801" t="s">
        <v>1804</v>
      </c>
      <c r="G2374" s="1822">
        <v>0.12</v>
      </c>
      <c r="H2374" s="1822"/>
      <c r="I2374" s="198"/>
      <c r="J2374" s="6"/>
      <c r="K2374" s="1307">
        <f>G2374*K2368</f>
        <v>7.92E-3</v>
      </c>
      <c r="L2374" s="1335">
        <f>K2374*$K$2352</f>
        <v>0</v>
      </c>
      <c r="M2374" s="1499">
        <v>18.28</v>
      </c>
      <c r="N2374" s="1701"/>
      <c r="O2374" s="1290">
        <f>(G2374*M2374)</f>
        <v>2.1936</v>
      </c>
      <c r="P2374" s="1332">
        <f>M2374*K2374</f>
        <v>0.14477760000000001</v>
      </c>
      <c r="Q2374" s="3391"/>
      <c r="R2374" s="3363"/>
      <c r="S2374" s="16"/>
      <c r="T2374" s="16"/>
      <c r="U2374" s="16"/>
      <c r="V2374" s="16"/>
    </row>
    <row r="2375" spans="1:22">
      <c r="B2375" s="1042"/>
      <c r="C2375" s="1042"/>
      <c r="D2375" s="1623"/>
      <c r="E2375" s="2158"/>
      <c r="F2375" s="1801"/>
      <c r="G2375" s="1822"/>
      <c r="H2375" s="1822"/>
      <c r="I2375" s="198"/>
      <c r="J2375" s="6"/>
      <c r="K2375" s="1307"/>
      <c r="L2375" s="1335"/>
      <c r="M2375" s="1499"/>
      <c r="N2375" s="1701"/>
      <c r="O2375" s="1290"/>
      <c r="P2375" s="1332"/>
      <c r="Q2375" s="3391"/>
      <c r="R2375" s="3363"/>
      <c r="S2375" s="16"/>
      <c r="T2375" s="16"/>
      <c r="U2375" s="16"/>
      <c r="V2375" s="16"/>
    </row>
    <row r="2376" spans="1:22">
      <c r="B2376" s="1042"/>
      <c r="C2376" s="1042"/>
      <c r="D2376" s="1623"/>
      <c r="E2376" s="2158"/>
      <c r="F2376" s="1801"/>
      <c r="G2376" s="1822"/>
      <c r="H2376" s="1822"/>
      <c r="I2376" s="198"/>
      <c r="J2376" s="6"/>
      <c r="K2376" s="1307"/>
      <c r="L2376" s="1335"/>
      <c r="M2376" s="1499"/>
      <c r="N2376" s="1701"/>
      <c r="O2376" s="1290"/>
      <c r="P2376" s="1332"/>
      <c r="Q2376" s="3391"/>
      <c r="R2376" s="3363"/>
      <c r="S2376" s="16"/>
      <c r="T2376" s="16"/>
      <c r="U2376" s="16"/>
      <c r="V2376" s="16"/>
    </row>
    <row r="2377" spans="1:22">
      <c r="B2377" s="1042"/>
      <c r="C2377" s="1042"/>
      <c r="D2377" s="1411"/>
      <c r="E2377" s="2123"/>
      <c r="F2377" s="1802" t="s">
        <v>3</v>
      </c>
      <c r="G2377" s="1376"/>
      <c r="H2377" s="1376"/>
      <c r="I2377" s="1382"/>
      <c r="J2377" s="1383"/>
      <c r="K2377" s="1373"/>
      <c r="L2377" s="1413"/>
      <c r="M2377" s="1505"/>
      <c r="N2377" s="1505"/>
      <c r="O2377" s="1376"/>
      <c r="P2377" s="1413"/>
      <c r="Q2377" s="3387"/>
      <c r="R2377" s="3363"/>
      <c r="S2377" s="16"/>
      <c r="T2377" s="16"/>
      <c r="U2377" s="16"/>
      <c r="V2377" s="16"/>
    </row>
    <row r="2378" spans="1:22">
      <c r="B2378" s="1042"/>
      <c r="C2378" s="1042"/>
      <c r="D2378" s="1411"/>
      <c r="E2378" s="2123"/>
      <c r="F2378" s="1475"/>
      <c r="G2378" s="1376"/>
      <c r="H2378" s="1376"/>
      <c r="I2378" s="198"/>
      <c r="J2378" s="6"/>
      <c r="K2378" s="1307"/>
      <c r="L2378" s="1335"/>
      <c r="M2378" s="1499"/>
      <c r="N2378" s="1701"/>
      <c r="O2378" s="1290"/>
      <c r="P2378" s="1332"/>
      <c r="Q2378" s="3391"/>
      <c r="R2378" s="3363"/>
      <c r="S2378" s="16"/>
      <c r="T2378" s="16"/>
      <c r="U2378" s="16"/>
      <c r="V2378" s="16"/>
    </row>
    <row r="2379" spans="1:22">
      <c r="B2379" s="1042"/>
      <c r="C2379" s="1042"/>
      <c r="D2379" s="1412"/>
      <c r="E2379" s="2124"/>
      <c r="F2379" s="1377"/>
      <c r="G2379" s="1597"/>
      <c r="H2379" s="1597"/>
      <c r="I2379" s="198"/>
      <c r="J2379" s="6"/>
      <c r="K2379" s="1306"/>
      <c r="L2379" s="1646"/>
      <c r="M2379" s="1302"/>
      <c r="N2379" s="1302"/>
      <c r="O2379" s="1291"/>
      <c r="P2379" s="1332"/>
      <c r="Q2379" s="3391"/>
      <c r="R2379" s="3363"/>
      <c r="S2379" s="16"/>
      <c r="T2379" s="16"/>
      <c r="U2379" s="16"/>
      <c r="V2379" s="16"/>
    </row>
    <row r="2380" spans="1:22">
      <c r="B2380" s="223"/>
      <c r="C2380" s="223"/>
      <c r="D2380" s="1808"/>
      <c r="E2380" s="2132"/>
      <c r="F2380" s="1804"/>
      <c r="G2380" s="1805"/>
      <c r="H2380" s="1805"/>
      <c r="I2380" s="197"/>
      <c r="J2380" s="1806"/>
      <c r="K2380" s="1307"/>
      <c r="L2380" s="1335"/>
      <c r="M2380" s="1701"/>
      <c r="N2380" s="1701"/>
      <c r="O2380" s="1290"/>
      <c r="P2380" s="1333"/>
      <c r="Q2380" s="3391"/>
      <c r="R2380" s="2337"/>
      <c r="S2380" s="16"/>
      <c r="T2380" s="16"/>
      <c r="U2380" s="16"/>
      <c r="V2380" s="16"/>
    </row>
    <row r="2381" spans="1:22">
      <c r="A2381" s="19" t="s">
        <v>3764</v>
      </c>
      <c r="B2381" s="4325" t="s">
        <v>1800</v>
      </c>
      <c r="C2381" s="3350"/>
      <c r="D2381" s="4327"/>
      <c r="E2381" s="4389" t="s">
        <v>1507</v>
      </c>
      <c r="F2381" s="4363" t="s">
        <v>1801</v>
      </c>
      <c r="G2381" s="4364" t="s">
        <v>1568</v>
      </c>
      <c r="H2381" s="4364" t="s">
        <v>1574</v>
      </c>
      <c r="I2381" s="1835" t="s">
        <v>1559</v>
      </c>
      <c r="J2381" s="1836" t="s">
        <v>1560</v>
      </c>
      <c r="K2381" s="1836" t="s">
        <v>1569</v>
      </c>
      <c r="L2381" s="4365" t="s">
        <v>3765</v>
      </c>
      <c r="M2381" s="4324" t="s">
        <v>1571</v>
      </c>
      <c r="N2381" s="4366" t="s">
        <v>1776</v>
      </c>
      <c r="O2381" s="3343" t="s">
        <v>1563</v>
      </c>
      <c r="P2381" s="3349" t="s">
        <v>1562</v>
      </c>
      <c r="Q2381" s="3389"/>
      <c r="R2381" s="1699" t="s">
        <v>1327</v>
      </c>
      <c r="S2381" s="16"/>
      <c r="T2381" s="16"/>
      <c r="U2381" s="16"/>
      <c r="V2381" s="16"/>
    </row>
    <row r="2382" spans="1:22">
      <c r="A2382" s="1807" t="s">
        <v>1887</v>
      </c>
      <c r="B2382" s="4326"/>
      <c r="C2382" s="3351"/>
      <c r="D2382" s="4328"/>
      <c r="E2382" s="4330"/>
      <c r="F2382" s="4336"/>
      <c r="G2382" s="4332"/>
      <c r="H2382" s="4332"/>
      <c r="I2382" s="1345">
        <v>442.2</v>
      </c>
      <c r="J2382" s="1307">
        <v>2E-3</v>
      </c>
      <c r="K2382" s="1307">
        <f>I2382*J2382</f>
        <v>0.88439999999999996</v>
      </c>
      <c r="L2382" s="4334"/>
      <c r="M2382" s="4335"/>
      <c r="N2382" s="4324"/>
      <c r="O2382" s="1298">
        <f>SUM(O2384:O2394)</f>
        <v>30.126660000000001</v>
      </c>
      <c r="P2382" s="1337">
        <f>O2382*K2382</f>
        <v>26.644018104000001</v>
      </c>
      <c r="Q2382" s="3390"/>
      <c r="R2382" s="1721">
        <f>SUM(P2384:P2394)</f>
        <v>26.644018103999997</v>
      </c>
      <c r="S2382" s="16"/>
      <c r="T2382" s="16"/>
      <c r="U2382" s="16"/>
      <c r="V2382" s="16"/>
    </row>
    <row r="2383" spans="1:22">
      <c r="B2383" s="1327"/>
      <c r="C2383" s="1327"/>
      <c r="D2383" s="1400"/>
      <c r="E2383" s="2121"/>
      <c r="F2383" s="1368" t="s">
        <v>1</v>
      </c>
      <c r="G2383" s="1390"/>
      <c r="H2383" s="1390"/>
      <c r="I2383" s="1554"/>
      <c r="J2383" s="1367"/>
      <c r="K2383" s="1367"/>
      <c r="L2383" s="1554"/>
      <c r="M2383" s="1369"/>
      <c r="N2383" s="1369"/>
      <c r="O2383" s="1369"/>
      <c r="P2383" s="1367"/>
      <c r="Q2383" s="3387"/>
      <c r="R2383" s="3363"/>
      <c r="S2383" s="16"/>
      <c r="T2383" s="16"/>
      <c r="U2383" s="16"/>
      <c r="V2383" s="16"/>
    </row>
    <row r="2384" spans="1:22">
      <c r="B2384" s="1042"/>
      <c r="C2384" s="1042"/>
      <c r="D2384" s="1400"/>
      <c r="E2384" s="1856"/>
      <c r="F2384" s="1421"/>
      <c r="G2384" s="1399"/>
      <c r="H2384" s="1399"/>
      <c r="I2384" s="1760"/>
      <c r="J2384" s="198"/>
      <c r="K2384" s="1307"/>
      <c r="L2384" s="1335"/>
      <c r="M2384" s="1499"/>
      <c r="N2384" s="1701"/>
      <c r="O2384" s="1290"/>
      <c r="P2384" s="1332"/>
      <c r="Q2384" s="3391"/>
      <c r="R2384" s="3363"/>
      <c r="S2384" s="16"/>
      <c r="T2384" s="16"/>
      <c r="U2384" s="16"/>
      <c r="V2384" s="16"/>
    </row>
    <row r="2385" spans="1:22">
      <c r="B2385" s="1042"/>
      <c r="C2385" s="1042"/>
      <c r="D2385" s="1400"/>
      <c r="E2385" s="1856"/>
      <c r="F2385" s="1421"/>
      <c r="G2385" s="1399"/>
      <c r="H2385" s="1399"/>
      <c r="I2385" s="1760"/>
      <c r="J2385" s="198"/>
      <c r="K2385" s="1307"/>
      <c r="L2385" s="1335"/>
      <c r="M2385" s="1499"/>
      <c r="N2385" s="1701"/>
      <c r="O2385" s="1290"/>
      <c r="P2385" s="1332"/>
      <c r="Q2385" s="3391"/>
      <c r="R2385" s="2337"/>
      <c r="S2385" s="16"/>
      <c r="T2385" s="16"/>
      <c r="U2385" s="16"/>
      <c r="V2385" s="16"/>
    </row>
    <row r="2386" spans="1:22">
      <c r="B2386" s="1042"/>
      <c r="C2386" s="1042"/>
      <c r="D2386" s="1400"/>
      <c r="E2386" s="1856"/>
      <c r="F2386" s="1421"/>
      <c r="G2386" s="1399"/>
      <c r="H2386" s="1399"/>
      <c r="I2386" s="197"/>
      <c r="J2386" s="198"/>
      <c r="K2386" s="1307"/>
      <c r="L2386" s="1335"/>
      <c r="M2386" s="1499"/>
      <c r="N2386" s="1701"/>
      <c r="O2386" s="1290"/>
      <c r="P2386" s="1332"/>
      <c r="Q2386" s="3391"/>
      <c r="R2386" s="3363"/>
      <c r="S2386" s="16"/>
      <c r="T2386" s="16"/>
      <c r="U2386" s="16"/>
      <c r="V2386" s="16"/>
    </row>
    <row r="2387" spans="1:22">
      <c r="B2387" s="1042"/>
      <c r="C2387" s="1042"/>
      <c r="D2387" s="1410"/>
      <c r="E2387" s="1858"/>
      <c r="F2387" s="1360" t="s">
        <v>2</v>
      </c>
      <c r="G2387" s="1362"/>
      <c r="H2387" s="1362"/>
      <c r="I2387" s="1380"/>
      <c r="J2387" s="1381"/>
      <c r="K2387" s="1359"/>
      <c r="L2387" s="1458"/>
      <c r="M2387" s="1502"/>
      <c r="N2387" s="1502"/>
      <c r="O2387" s="1362"/>
      <c r="P2387" s="1359"/>
      <c r="Q2387" s="3387"/>
      <c r="R2387" s="3363"/>
      <c r="S2387" s="16"/>
      <c r="T2387" s="16"/>
      <c r="U2387" s="16"/>
      <c r="V2387" s="16"/>
    </row>
    <row r="2388" spans="1:22">
      <c r="B2388" s="1042"/>
      <c r="C2388" s="1042"/>
      <c r="D2388" s="1623" t="s">
        <v>1802</v>
      </c>
      <c r="E2388" s="2158" t="s">
        <v>1803</v>
      </c>
      <c r="F2388" s="1801" t="s">
        <v>1804</v>
      </c>
      <c r="G2388" s="1822">
        <v>1.0469999999999999</v>
      </c>
      <c r="H2388" s="1822"/>
      <c r="I2388" s="198"/>
      <c r="J2388" s="6"/>
      <c r="K2388" s="1307">
        <f>G2388*K2382</f>
        <v>0.92596679999999987</v>
      </c>
      <c r="L2388" s="1335">
        <f>K2388*$K$2352</f>
        <v>0</v>
      </c>
      <c r="M2388" s="1499">
        <v>18.28</v>
      </c>
      <c r="N2388" s="1701"/>
      <c r="O2388" s="1290">
        <f>(G2388*M2388)</f>
        <v>19.13916</v>
      </c>
      <c r="P2388" s="1332">
        <f>M2388*K2388</f>
        <v>16.926673103999999</v>
      </c>
      <c r="Q2388" s="3391"/>
      <c r="R2388" s="3363"/>
      <c r="S2388" s="16"/>
      <c r="T2388" s="16"/>
      <c r="U2388" s="16"/>
      <c r="V2388" s="16"/>
    </row>
    <row r="2389" spans="1:22">
      <c r="B2389" s="1042"/>
      <c r="C2389" s="1042"/>
      <c r="D2389" s="1623"/>
      <c r="E2389" s="2158"/>
      <c r="F2389" s="1801"/>
      <c r="G2389" s="1822"/>
      <c r="H2389" s="1822"/>
      <c r="I2389" s="198"/>
      <c r="J2389" s="6"/>
      <c r="K2389" s="1307"/>
      <c r="L2389" s="1335"/>
      <c r="M2389" s="1499"/>
      <c r="N2389" s="1701"/>
      <c r="O2389" s="1290"/>
      <c r="P2389" s="1332"/>
      <c r="Q2389" s="3391"/>
      <c r="R2389" s="3363"/>
      <c r="S2389" s="16"/>
      <c r="T2389" s="16"/>
      <c r="U2389" s="16"/>
      <c r="V2389" s="16"/>
    </row>
    <row r="2390" spans="1:22">
      <c r="B2390" s="1042"/>
      <c r="C2390" s="1042"/>
      <c r="D2390" s="1623"/>
      <c r="E2390" s="2158"/>
      <c r="F2390" s="1801"/>
      <c r="G2390" s="1822"/>
      <c r="H2390" s="1822"/>
      <c r="I2390" s="198"/>
      <c r="J2390" s="6"/>
      <c r="K2390" s="1307"/>
      <c r="L2390" s="1335"/>
      <c r="M2390" s="1499"/>
      <c r="N2390" s="1701"/>
      <c r="O2390" s="1290"/>
      <c r="P2390" s="1332"/>
      <c r="Q2390" s="3391"/>
      <c r="R2390" s="3363"/>
      <c r="S2390" s="16"/>
      <c r="T2390" s="16"/>
      <c r="U2390" s="16"/>
      <c r="V2390" s="16"/>
    </row>
    <row r="2391" spans="1:22">
      <c r="B2391" s="1042"/>
      <c r="C2391" s="1042"/>
      <c r="D2391" s="1411"/>
      <c r="E2391" s="2123"/>
      <c r="F2391" s="1802" t="s">
        <v>3</v>
      </c>
      <c r="G2391" s="1376"/>
      <c r="H2391" s="1376"/>
      <c r="I2391" s="1382"/>
      <c r="J2391" s="1383"/>
      <c r="K2391" s="1373"/>
      <c r="L2391" s="1413"/>
      <c r="M2391" s="1505"/>
      <c r="N2391" s="1505"/>
      <c r="O2391" s="1376"/>
      <c r="P2391" s="1413"/>
      <c r="Q2391" s="3387"/>
      <c r="R2391" s="3363"/>
      <c r="S2391" s="16"/>
      <c r="T2391" s="16"/>
      <c r="U2391" s="16"/>
      <c r="V2391" s="16"/>
    </row>
    <row r="2392" spans="1:22">
      <c r="B2392" s="1042"/>
      <c r="C2392" s="1042"/>
      <c r="D2392" s="1827" t="s">
        <v>1686</v>
      </c>
      <c r="E2392" s="2173" t="s">
        <v>1687</v>
      </c>
      <c r="F2392" s="1827" t="s">
        <v>1688</v>
      </c>
      <c r="G2392" s="1828">
        <v>1.4650000000000001</v>
      </c>
      <c r="H2392" s="1521"/>
      <c r="I2392" s="198"/>
      <c r="J2392" s="6"/>
      <c r="K2392" s="1307">
        <f>G2392*$K$2382</f>
        <v>1.2956460000000001</v>
      </c>
      <c r="L2392" s="1335">
        <f>K2392*$K$2352</f>
        <v>0</v>
      </c>
      <c r="M2392" s="1499">
        <v>7.5</v>
      </c>
      <c r="N2392" s="1701"/>
      <c r="O2392" s="1290">
        <f>(G2392*M2392)</f>
        <v>10.987500000000001</v>
      </c>
      <c r="P2392" s="1332">
        <f>M2392*K2392</f>
        <v>9.7173449999999999</v>
      </c>
      <c r="Q2392" s="3391"/>
      <c r="R2392" s="3363"/>
      <c r="S2392" s="16"/>
      <c r="T2392" s="16"/>
      <c r="U2392" s="16"/>
      <c r="V2392" s="16"/>
    </row>
    <row r="2393" spans="1:22">
      <c r="B2393" s="1042"/>
      <c r="C2393" s="1042"/>
      <c r="D2393" s="1412"/>
      <c r="E2393" s="2124"/>
      <c r="F2393" s="1377"/>
      <c r="G2393" s="1597"/>
      <c r="H2393" s="1597"/>
      <c r="I2393" s="198"/>
      <c r="J2393" s="6"/>
      <c r="K2393" s="1306"/>
      <c r="L2393" s="1646"/>
      <c r="M2393" s="1302"/>
      <c r="N2393" s="1302"/>
      <c r="O2393" s="1291"/>
      <c r="P2393" s="1332"/>
      <c r="Q2393" s="3391"/>
      <c r="R2393" s="3363"/>
      <c r="S2393" s="16"/>
      <c r="T2393" s="16"/>
      <c r="U2393" s="16"/>
      <c r="V2393" s="16"/>
    </row>
    <row r="2394" spans="1:22">
      <c r="B2394" s="223"/>
      <c r="C2394" s="223"/>
      <c r="D2394" s="1808"/>
      <c r="E2394" s="2132"/>
      <c r="F2394" s="1804"/>
      <c r="G2394" s="1805"/>
      <c r="H2394" s="1805"/>
      <c r="I2394" s="197"/>
      <c r="J2394" s="1806"/>
      <c r="K2394" s="1307"/>
      <c r="L2394" s="1335"/>
      <c r="M2394" s="1701"/>
      <c r="N2394" s="1701"/>
      <c r="O2394" s="1290"/>
      <c r="P2394" s="1333"/>
      <c r="Q2394" s="3391"/>
      <c r="R2394" s="2337"/>
      <c r="S2394" s="16"/>
      <c r="T2394" s="16"/>
      <c r="U2394" s="16"/>
      <c r="V2394" s="16"/>
    </row>
    <row r="2395" spans="1:22">
      <c r="A2395" s="19" t="s">
        <v>3764</v>
      </c>
      <c r="B2395" s="4325" t="s">
        <v>1654</v>
      </c>
      <c r="C2395" s="3350"/>
      <c r="D2395" s="4327"/>
      <c r="E2395" s="4329" t="s">
        <v>1507</v>
      </c>
      <c r="F2395" s="4336" t="s">
        <v>1664</v>
      </c>
      <c r="G2395" s="4331" t="s">
        <v>1568</v>
      </c>
      <c r="H2395" s="4331" t="s">
        <v>1574</v>
      </c>
      <c r="I2395" s="1572" t="s">
        <v>1559</v>
      </c>
      <c r="J2395" s="1294" t="s">
        <v>1560</v>
      </c>
      <c r="K2395" s="1294" t="s">
        <v>1569</v>
      </c>
      <c r="L2395" s="4333" t="s">
        <v>3765</v>
      </c>
      <c r="M2395" s="4335" t="s">
        <v>1571</v>
      </c>
      <c r="N2395" s="4323" t="s">
        <v>1776</v>
      </c>
      <c r="O2395" s="3347" t="s">
        <v>1563</v>
      </c>
      <c r="P2395" s="1336" t="s">
        <v>1562</v>
      </c>
      <c r="Q2395" s="3389"/>
      <c r="R2395" s="1699" t="s">
        <v>1327</v>
      </c>
      <c r="S2395" s="16"/>
      <c r="T2395" s="16"/>
      <c r="U2395" s="16"/>
      <c r="V2395" s="16"/>
    </row>
    <row r="2396" spans="1:22">
      <c r="A2396" s="1807" t="s">
        <v>1887</v>
      </c>
      <c r="B2396" s="4326"/>
      <c r="C2396" s="3351"/>
      <c r="D2396" s="4328"/>
      <c r="E2396" s="4330"/>
      <c r="F2396" s="4336"/>
      <c r="G2396" s="4332"/>
      <c r="H2396" s="4332"/>
      <c r="I2396" s="1345">
        <v>64.8</v>
      </c>
      <c r="J2396" s="1307">
        <v>2E-3</v>
      </c>
      <c r="K2396" s="1307">
        <f>I2396*J2396</f>
        <v>0.12959999999999999</v>
      </c>
      <c r="L2396" s="4334"/>
      <c r="M2396" s="4335"/>
      <c r="N2396" s="4324"/>
      <c r="O2396" s="1298">
        <f>SUM(O2398:O2408)</f>
        <v>11.479840000000001</v>
      </c>
      <c r="P2396" s="1337">
        <f>O2396*K2396</f>
        <v>1.4877872640000001</v>
      </c>
      <c r="Q2396" s="3390"/>
      <c r="R2396" s="1721">
        <f>SUM(P2398:P2408)</f>
        <v>1.4877872640000001</v>
      </c>
      <c r="S2396" s="16"/>
      <c r="T2396" s="16"/>
      <c r="U2396" s="16"/>
      <c r="V2396" s="16"/>
    </row>
    <row r="2397" spans="1:22">
      <c r="A2397" s="22"/>
      <c r="B2397" s="1327"/>
      <c r="C2397" s="1327"/>
      <c r="D2397" s="1400"/>
      <c r="E2397" s="2121"/>
      <c r="F2397" s="1368" t="s">
        <v>1</v>
      </c>
      <c r="G2397" s="1417"/>
      <c r="H2397" s="1390"/>
      <c r="I2397" s="1554"/>
      <c r="J2397" s="1367"/>
      <c r="K2397" s="1367"/>
      <c r="L2397" s="1554"/>
      <c r="M2397" s="1369"/>
      <c r="N2397" s="1369"/>
      <c r="O2397" s="1369"/>
      <c r="P2397" s="1367"/>
      <c r="Q2397" s="3387"/>
      <c r="R2397" s="2337"/>
      <c r="S2397" s="16"/>
      <c r="T2397" s="16"/>
      <c r="U2397" s="16"/>
      <c r="V2397" s="16"/>
    </row>
    <row r="2398" spans="1:22">
      <c r="A2398" s="22"/>
      <c r="B2398" s="1042"/>
      <c r="C2398" s="1042"/>
      <c r="D2398" s="1400"/>
      <c r="E2398" s="1856"/>
      <c r="F2398" s="1421"/>
      <c r="G2398" s="1399"/>
      <c r="H2398" s="1399"/>
      <c r="I2398" s="1760"/>
      <c r="J2398" s="198"/>
      <c r="K2398" s="1307"/>
      <c r="L2398" s="1335"/>
      <c r="M2398" s="1499"/>
      <c r="N2398" s="1701"/>
      <c r="O2398" s="1290"/>
      <c r="P2398" s="1332"/>
      <c r="Q2398" s="3391"/>
      <c r="R2398" s="2337"/>
      <c r="S2398" s="16"/>
      <c r="T2398" s="16"/>
      <c r="U2398" s="16"/>
      <c r="V2398" s="16"/>
    </row>
    <row r="2399" spans="1:22">
      <c r="A2399" s="22"/>
      <c r="B2399" s="1042"/>
      <c r="C2399" s="1042"/>
      <c r="D2399" s="1400"/>
      <c r="E2399" s="1856"/>
      <c r="F2399" s="1421"/>
      <c r="G2399" s="1399"/>
      <c r="H2399" s="1399"/>
      <c r="I2399" s="1760"/>
      <c r="J2399" s="198"/>
      <c r="K2399" s="1307"/>
      <c r="L2399" s="1335"/>
      <c r="M2399" s="1499"/>
      <c r="N2399" s="1701"/>
      <c r="O2399" s="1290"/>
      <c r="P2399" s="1332"/>
      <c r="Q2399" s="3391"/>
      <c r="R2399" s="3363"/>
      <c r="S2399" s="16"/>
      <c r="T2399" s="16"/>
      <c r="U2399" s="16"/>
      <c r="V2399" s="16"/>
    </row>
    <row r="2400" spans="1:22">
      <c r="A2400" s="22"/>
      <c r="B2400" s="1042"/>
      <c r="C2400" s="1042"/>
      <c r="D2400" s="1400"/>
      <c r="E2400" s="1856"/>
      <c r="F2400" s="1421"/>
      <c r="G2400" s="1452"/>
      <c r="H2400" s="1399"/>
      <c r="I2400" s="197"/>
      <c r="J2400" s="198"/>
      <c r="K2400" s="1307"/>
      <c r="L2400" s="1335"/>
      <c r="M2400" s="1499"/>
      <c r="N2400" s="1701"/>
      <c r="O2400" s="1290"/>
      <c r="P2400" s="1332"/>
      <c r="Q2400" s="3391"/>
      <c r="R2400" s="3363"/>
      <c r="S2400" s="16"/>
      <c r="T2400" s="16"/>
      <c r="U2400" s="16"/>
      <c r="V2400" s="16"/>
    </row>
    <row r="2401" spans="1:22">
      <c r="A2401" s="22"/>
      <c r="B2401" s="1042"/>
      <c r="C2401" s="1042"/>
      <c r="D2401" s="1410"/>
      <c r="E2401" s="1858"/>
      <c r="F2401" s="1360" t="s">
        <v>2</v>
      </c>
      <c r="G2401" s="1360"/>
      <c r="H2401" s="1362"/>
      <c r="I2401" s="1380"/>
      <c r="J2401" s="1381"/>
      <c r="K2401" s="1359"/>
      <c r="L2401" s="1458"/>
      <c r="M2401" s="1502"/>
      <c r="N2401" s="1502"/>
      <c r="O2401" s="1362"/>
      <c r="P2401" s="1359"/>
      <c r="Q2401" s="3387"/>
      <c r="R2401" s="3363"/>
      <c r="S2401" s="16"/>
      <c r="T2401" s="16"/>
      <c r="U2401" s="16"/>
      <c r="V2401" s="16"/>
    </row>
    <row r="2402" spans="1:22">
      <c r="A2402" s="22"/>
      <c r="B2402" s="1042"/>
      <c r="C2402" s="1042"/>
      <c r="D2402" s="1473" t="s">
        <v>1067</v>
      </c>
      <c r="E2402" s="2148" t="s">
        <v>1508</v>
      </c>
      <c r="F2402" s="1473" t="s">
        <v>1512</v>
      </c>
      <c r="G2402" s="1365">
        <v>0.628</v>
      </c>
      <c r="H2402" s="1365"/>
      <c r="I2402" s="198"/>
      <c r="J2402" s="6"/>
      <c r="K2402" s="1307">
        <f>G2402*K2396</f>
        <v>8.1388799999999997E-2</v>
      </c>
      <c r="L2402" s="1335">
        <f>K2402*$K$2352</f>
        <v>0</v>
      </c>
      <c r="M2402" s="1499">
        <v>18.28</v>
      </c>
      <c r="N2402" s="1701"/>
      <c r="O2402" s="1290">
        <f>(G2402*M2402)</f>
        <v>11.479840000000001</v>
      </c>
      <c r="P2402" s="1332">
        <f>M2402*K2402</f>
        <v>1.4877872640000001</v>
      </c>
      <c r="Q2402" s="3391"/>
      <c r="R2402" s="3363"/>
      <c r="S2402" s="16"/>
      <c r="T2402" s="16"/>
      <c r="U2402" s="16"/>
      <c r="V2402" s="16"/>
    </row>
    <row r="2403" spans="1:22">
      <c r="A2403" s="22"/>
      <c r="B2403" s="1042"/>
      <c r="C2403" s="1042"/>
      <c r="D2403" s="1623"/>
      <c r="E2403" s="2158"/>
      <c r="F2403" s="1801"/>
      <c r="G2403" s="1359"/>
      <c r="H2403" s="1803"/>
      <c r="I2403" s="198"/>
      <c r="J2403" s="6"/>
      <c r="K2403" s="1307"/>
      <c r="L2403" s="1335"/>
      <c r="M2403" s="1499"/>
      <c r="N2403" s="1701"/>
      <c r="O2403" s="1290"/>
      <c r="P2403" s="1332"/>
      <c r="Q2403" s="3391"/>
      <c r="R2403" s="3363"/>
      <c r="S2403" s="16"/>
      <c r="T2403" s="16"/>
      <c r="U2403" s="16"/>
      <c r="V2403" s="16"/>
    </row>
    <row r="2404" spans="1:22">
      <c r="A2404" s="22"/>
      <c r="B2404" s="1042"/>
      <c r="C2404" s="1042"/>
      <c r="D2404" s="1623"/>
      <c r="E2404" s="2158"/>
      <c r="F2404" s="1801"/>
      <c r="G2404" s="1359"/>
      <c r="H2404" s="1803"/>
      <c r="I2404" s="198"/>
      <c r="J2404" s="6"/>
      <c r="K2404" s="1307"/>
      <c r="L2404" s="1335"/>
      <c r="M2404" s="1499"/>
      <c r="N2404" s="1701"/>
      <c r="O2404" s="1290"/>
      <c r="P2404" s="1332"/>
      <c r="Q2404" s="3391"/>
      <c r="R2404" s="2337"/>
      <c r="S2404" s="16"/>
      <c r="T2404" s="16"/>
      <c r="U2404" s="16"/>
      <c r="V2404" s="16"/>
    </row>
    <row r="2405" spans="1:22">
      <c r="A2405" s="22"/>
      <c r="B2405" s="1042"/>
      <c r="C2405" s="1042"/>
      <c r="D2405" s="1411"/>
      <c r="E2405" s="2123"/>
      <c r="F2405" s="1802" t="s">
        <v>3</v>
      </c>
      <c r="G2405" s="1475"/>
      <c r="H2405" s="1505"/>
      <c r="I2405" s="1382"/>
      <c r="J2405" s="1383"/>
      <c r="K2405" s="1373"/>
      <c r="L2405" s="1413"/>
      <c r="M2405" s="1505"/>
      <c r="N2405" s="1505"/>
      <c r="O2405" s="1376"/>
      <c r="P2405" s="1413"/>
      <c r="Q2405" s="3387"/>
      <c r="R2405" s="2337"/>
      <c r="S2405" s="16"/>
      <c r="T2405" s="16"/>
      <c r="U2405" s="16"/>
      <c r="V2405" s="16"/>
    </row>
    <row r="2406" spans="1:22">
      <c r="A2406" s="22"/>
      <c r="B2406" s="1042"/>
      <c r="C2406" s="1042"/>
      <c r="D2406" s="1411"/>
      <c r="E2406" s="2123"/>
      <c r="F2406" s="1475"/>
      <c r="G2406" s="1475"/>
      <c r="H2406" s="1376"/>
      <c r="I2406" s="198"/>
      <c r="J2406" s="6"/>
      <c r="K2406" s="1307"/>
      <c r="L2406" s="1335"/>
      <c r="M2406" s="1499"/>
      <c r="N2406" s="1701"/>
      <c r="O2406" s="1290"/>
      <c r="P2406" s="1332"/>
      <c r="Q2406" s="3391"/>
      <c r="R2406" s="3363"/>
      <c r="S2406" s="16"/>
      <c r="T2406" s="16"/>
      <c r="U2406" s="16"/>
      <c r="V2406" s="16"/>
    </row>
    <row r="2407" spans="1:22">
      <c r="A2407" s="22"/>
      <c r="B2407" s="1042"/>
      <c r="C2407" s="1042"/>
      <c r="D2407" s="1411"/>
      <c r="E2407" s="2123"/>
      <c r="F2407" s="1475"/>
      <c r="G2407" s="1475"/>
      <c r="H2407" s="1376"/>
      <c r="I2407" s="198"/>
      <c r="J2407" s="6"/>
      <c r="K2407" s="1307"/>
      <c r="L2407" s="1335"/>
      <c r="M2407" s="1499"/>
      <c r="N2407" s="1701"/>
      <c r="O2407" s="1290"/>
      <c r="P2407" s="1332"/>
      <c r="Q2407" s="3391"/>
      <c r="R2407" s="3363"/>
      <c r="S2407" s="16"/>
      <c r="T2407" s="16"/>
      <c r="U2407" s="16"/>
      <c r="V2407" s="16"/>
    </row>
    <row r="2408" spans="1:22">
      <c r="A2408" s="22"/>
      <c r="B2408" s="1042"/>
      <c r="C2408" s="1042"/>
      <c r="D2408" s="1412"/>
      <c r="E2408" s="2124"/>
      <c r="F2408" s="1377"/>
      <c r="G2408" s="1377"/>
      <c r="H2408" s="1597"/>
      <c r="I2408" s="198"/>
      <c r="J2408" s="6"/>
      <c r="K2408" s="1306"/>
      <c r="L2408" s="1646"/>
      <c r="M2408" s="1302"/>
      <c r="N2408" s="1302"/>
      <c r="O2408" s="1291"/>
      <c r="P2408" s="1332"/>
      <c r="Q2408" s="3391"/>
      <c r="R2408" s="2337"/>
      <c r="S2408" s="16"/>
      <c r="T2408" s="16"/>
      <c r="U2408" s="16"/>
      <c r="V2408" s="16"/>
    </row>
    <row r="2409" spans="1:22">
      <c r="A2409" s="19" t="s">
        <v>3764</v>
      </c>
      <c r="B2409" s="4325" t="s">
        <v>1892</v>
      </c>
      <c r="C2409" s="3350"/>
      <c r="D2409" s="4327"/>
      <c r="E2409" s="4329" t="s">
        <v>1527</v>
      </c>
      <c r="F2409" s="4336" t="s">
        <v>1748</v>
      </c>
      <c r="G2409" s="4331" t="s">
        <v>1568</v>
      </c>
      <c r="H2409" s="4331" t="s">
        <v>1574</v>
      </c>
      <c r="I2409" s="1572" t="s">
        <v>1559</v>
      </c>
      <c r="J2409" s="1294" t="s">
        <v>1560</v>
      </c>
      <c r="K2409" s="1294" t="s">
        <v>1569</v>
      </c>
      <c r="L2409" s="4333" t="s">
        <v>3765</v>
      </c>
      <c r="M2409" s="4335" t="s">
        <v>1571</v>
      </c>
      <c r="N2409" s="4323" t="s">
        <v>1776</v>
      </c>
      <c r="O2409" s="3347" t="s">
        <v>1563</v>
      </c>
      <c r="P2409" s="1336" t="s">
        <v>1562</v>
      </c>
      <c r="Q2409" s="3389"/>
      <c r="R2409" s="1699" t="s">
        <v>1327</v>
      </c>
      <c r="S2409" s="16"/>
      <c r="T2409" s="16"/>
      <c r="U2409" s="16"/>
      <c r="V2409" s="16"/>
    </row>
    <row r="2410" spans="1:22">
      <c r="A2410" s="1807" t="s">
        <v>1887</v>
      </c>
      <c r="B2410" s="4326"/>
      <c r="C2410" s="3351"/>
      <c r="D2410" s="4328"/>
      <c r="E2410" s="4330"/>
      <c r="F2410" s="4336"/>
      <c r="G2410" s="4332"/>
      <c r="H2410" s="4332"/>
      <c r="I2410" s="1345">
        <v>102.8</v>
      </c>
      <c r="J2410" s="1307">
        <v>2E-3</v>
      </c>
      <c r="K2410" s="1307">
        <f>I2410*J2410</f>
        <v>0.2056</v>
      </c>
      <c r="L2410" s="4334"/>
      <c r="M2410" s="4335"/>
      <c r="N2410" s="4324"/>
      <c r="O2410" s="1298">
        <f>SUM(O2412:O2422)</f>
        <v>0.63980000000000015</v>
      </c>
      <c r="P2410" s="1337">
        <f>O2410*K2410</f>
        <v>0.13154288000000003</v>
      </c>
      <c r="Q2410" s="3390"/>
      <c r="R2410" s="1721">
        <f>SUM(P2412:P2422)</f>
        <v>0.13154288000000003</v>
      </c>
      <c r="S2410" s="16"/>
      <c r="T2410" s="16"/>
      <c r="U2410" s="16"/>
      <c r="V2410" s="16"/>
    </row>
    <row r="2411" spans="1:22" ht="15" customHeight="1">
      <c r="A2411" s="22"/>
      <c r="B2411" s="1327"/>
      <c r="C2411" s="1327"/>
      <c r="D2411" s="1400"/>
      <c r="E2411" s="2121"/>
      <c r="F2411" s="1368" t="s">
        <v>1</v>
      </c>
      <c r="G2411" s="1417"/>
      <c r="H2411" s="1390"/>
      <c r="I2411" s="1554"/>
      <c r="J2411" s="1367"/>
      <c r="K2411" s="1367"/>
      <c r="L2411" s="1554"/>
      <c r="M2411" s="1369"/>
      <c r="N2411" s="1369"/>
      <c r="O2411" s="1369"/>
      <c r="P2411" s="1367"/>
      <c r="Q2411" s="3387"/>
      <c r="R2411" s="2337"/>
      <c r="S2411" s="16"/>
      <c r="T2411" s="16"/>
      <c r="U2411" s="16"/>
      <c r="V2411" s="16"/>
    </row>
    <row r="2412" spans="1:22">
      <c r="A2412" s="22"/>
      <c r="B2412" s="1042"/>
      <c r="C2412" s="1042"/>
      <c r="D2412" s="1400"/>
      <c r="E2412" s="1856"/>
      <c r="F2412" s="1421"/>
      <c r="G2412" s="1399"/>
      <c r="H2412" s="1399"/>
      <c r="I2412" s="1760"/>
      <c r="J2412" s="198"/>
      <c r="K2412" s="1307"/>
      <c r="L2412" s="1335"/>
      <c r="M2412" s="1499"/>
      <c r="N2412" s="1701"/>
      <c r="O2412" s="1290"/>
      <c r="P2412" s="1332"/>
      <c r="Q2412" s="3391"/>
      <c r="R2412" s="2337"/>
      <c r="S2412" s="16"/>
      <c r="T2412" s="16"/>
      <c r="U2412" s="16"/>
      <c r="V2412" s="16"/>
    </row>
    <row r="2413" spans="1:22">
      <c r="A2413" s="22"/>
      <c r="B2413" s="1042"/>
      <c r="C2413" s="1042"/>
      <c r="D2413" s="1400"/>
      <c r="E2413" s="1856"/>
      <c r="F2413" s="1421"/>
      <c r="G2413" s="1399"/>
      <c r="H2413" s="1399"/>
      <c r="I2413" s="1760"/>
      <c r="J2413" s="198"/>
      <c r="K2413" s="1307"/>
      <c r="L2413" s="1335"/>
      <c r="M2413" s="1499"/>
      <c r="N2413" s="1701"/>
      <c r="O2413" s="1290"/>
      <c r="P2413" s="1332"/>
      <c r="Q2413" s="3391"/>
      <c r="R2413" s="3363"/>
      <c r="S2413" s="16"/>
      <c r="T2413" s="16"/>
      <c r="U2413" s="16"/>
      <c r="V2413" s="16"/>
    </row>
    <row r="2414" spans="1:22">
      <c r="A2414" s="22"/>
      <c r="B2414" s="1042"/>
      <c r="C2414" s="1042"/>
      <c r="D2414" s="1400"/>
      <c r="E2414" s="1856"/>
      <c r="F2414" s="1421"/>
      <c r="G2414" s="1452"/>
      <c r="H2414" s="1399"/>
      <c r="I2414" s="197"/>
      <c r="J2414" s="198"/>
      <c r="K2414" s="1307"/>
      <c r="L2414" s="1335"/>
      <c r="M2414" s="1499"/>
      <c r="N2414" s="1701"/>
      <c r="O2414" s="1290"/>
      <c r="P2414" s="1332"/>
      <c r="Q2414" s="3391"/>
      <c r="R2414" s="3363"/>
      <c r="S2414" s="16"/>
      <c r="T2414" s="16"/>
      <c r="U2414" s="16"/>
      <c r="V2414" s="16"/>
    </row>
    <row r="2415" spans="1:22">
      <c r="A2415" s="22"/>
      <c r="B2415" s="1042"/>
      <c r="C2415" s="1042"/>
      <c r="D2415" s="1410"/>
      <c r="E2415" s="1858"/>
      <c r="F2415" s="1360" t="s">
        <v>2</v>
      </c>
      <c r="G2415" s="1360"/>
      <c r="H2415" s="1362"/>
      <c r="I2415" s="1380"/>
      <c r="J2415" s="1381"/>
      <c r="K2415" s="1359"/>
      <c r="L2415" s="1458"/>
      <c r="M2415" s="1502"/>
      <c r="N2415" s="1502"/>
      <c r="O2415" s="1362"/>
      <c r="P2415" s="1359"/>
      <c r="Q2415" s="3387"/>
      <c r="R2415" s="3363"/>
      <c r="S2415" s="16"/>
      <c r="T2415" s="16"/>
      <c r="U2415" s="16"/>
      <c r="V2415" s="16"/>
    </row>
    <row r="2416" spans="1:22">
      <c r="A2416" s="22"/>
      <c r="B2416" s="1042"/>
      <c r="C2416" s="1042"/>
      <c r="D2416" s="1473" t="s">
        <v>1067</v>
      </c>
      <c r="E2416" s="2148" t="s">
        <v>1508</v>
      </c>
      <c r="F2416" s="1473" t="s">
        <v>1512</v>
      </c>
      <c r="G2416" s="1365">
        <v>3.5000000000000003E-2</v>
      </c>
      <c r="H2416" s="1365"/>
      <c r="I2416" s="198"/>
      <c r="J2416" s="6"/>
      <c r="K2416" s="1307">
        <f>G2416*K2410</f>
        <v>7.196000000000001E-3</v>
      </c>
      <c r="L2416" s="1335">
        <f>K2416*$K$2352</f>
        <v>0</v>
      </c>
      <c r="M2416" s="1499">
        <v>18.28</v>
      </c>
      <c r="N2416" s="1701"/>
      <c r="O2416" s="1290">
        <f>(G2416*M2416)</f>
        <v>0.63980000000000015</v>
      </c>
      <c r="P2416" s="1332">
        <f>M2416*K2416</f>
        <v>0.13154288000000003</v>
      </c>
      <c r="Q2416" s="3391"/>
      <c r="R2416" s="3363"/>
      <c r="S2416" s="16"/>
      <c r="T2416" s="16"/>
      <c r="U2416" s="16"/>
      <c r="V2416" s="16"/>
    </row>
    <row r="2417" spans="1:22">
      <c r="A2417" s="22"/>
      <c r="B2417" s="1042"/>
      <c r="C2417" s="1042"/>
      <c r="D2417" s="1623"/>
      <c r="E2417" s="2158"/>
      <c r="F2417" s="1801"/>
      <c r="G2417" s="1359"/>
      <c r="H2417" s="1803"/>
      <c r="I2417" s="198"/>
      <c r="J2417" s="6"/>
      <c r="K2417" s="1307"/>
      <c r="L2417" s="1335"/>
      <c r="M2417" s="1499"/>
      <c r="N2417" s="1701"/>
      <c r="O2417" s="1290"/>
      <c r="P2417" s="1332"/>
      <c r="Q2417" s="3391"/>
      <c r="R2417" s="3363"/>
      <c r="S2417" s="16"/>
      <c r="T2417" s="16"/>
      <c r="U2417" s="16"/>
      <c r="V2417" s="16"/>
    </row>
    <row r="2418" spans="1:22">
      <c r="A2418" s="22"/>
      <c r="B2418" s="1042"/>
      <c r="C2418" s="1042"/>
      <c r="D2418" s="1623"/>
      <c r="E2418" s="2158"/>
      <c r="F2418" s="1801"/>
      <c r="G2418" s="1359"/>
      <c r="H2418" s="1803"/>
      <c r="I2418" s="198"/>
      <c r="J2418" s="6"/>
      <c r="K2418" s="1307"/>
      <c r="L2418" s="1335"/>
      <c r="M2418" s="1499"/>
      <c r="N2418" s="1701"/>
      <c r="O2418" s="1290"/>
      <c r="P2418" s="1332"/>
      <c r="Q2418" s="3391"/>
      <c r="R2418" s="2337"/>
      <c r="S2418" s="16"/>
      <c r="T2418" s="16"/>
      <c r="U2418" s="16"/>
      <c r="V2418" s="16"/>
    </row>
    <row r="2419" spans="1:22">
      <c r="A2419" s="22"/>
      <c r="B2419" s="1042"/>
      <c r="C2419" s="1042"/>
      <c r="D2419" s="1411"/>
      <c r="E2419" s="2123"/>
      <c r="F2419" s="1802" t="s">
        <v>3</v>
      </c>
      <c r="G2419" s="1475"/>
      <c r="H2419" s="1505"/>
      <c r="I2419" s="1382"/>
      <c r="J2419" s="1383"/>
      <c r="K2419" s="1373"/>
      <c r="L2419" s="1413"/>
      <c r="M2419" s="1505"/>
      <c r="N2419" s="1505"/>
      <c r="O2419" s="1376"/>
      <c r="P2419" s="1413"/>
      <c r="Q2419" s="3387"/>
      <c r="R2419" s="2337"/>
      <c r="S2419" s="16"/>
      <c r="T2419" s="16"/>
      <c r="U2419" s="16"/>
      <c r="V2419" s="16"/>
    </row>
    <row r="2420" spans="1:22">
      <c r="A2420" s="22"/>
      <c r="B2420" s="1042"/>
      <c r="C2420" s="1042"/>
      <c r="D2420" s="1411"/>
      <c r="E2420" s="2123"/>
      <c r="F2420" s="1475"/>
      <c r="G2420" s="1475"/>
      <c r="H2420" s="1376"/>
      <c r="I2420" s="198"/>
      <c r="J2420" s="6"/>
      <c r="K2420" s="1307"/>
      <c r="L2420" s="1335"/>
      <c r="M2420" s="1499"/>
      <c r="N2420" s="1701"/>
      <c r="O2420" s="1290"/>
      <c r="P2420" s="1332"/>
      <c r="Q2420" s="3391"/>
      <c r="R2420" s="3363"/>
      <c r="S2420" s="16"/>
      <c r="T2420" s="16"/>
      <c r="U2420" s="16"/>
      <c r="V2420" s="16"/>
    </row>
    <row r="2421" spans="1:22">
      <c r="A2421" s="22"/>
      <c r="B2421" s="1042"/>
      <c r="C2421" s="1042"/>
      <c r="D2421" s="1412"/>
      <c r="E2421" s="2124"/>
      <c r="F2421" s="1377"/>
      <c r="G2421" s="1377"/>
      <c r="H2421" s="1597"/>
      <c r="I2421" s="198"/>
      <c r="J2421" s="6"/>
      <c r="K2421" s="1306"/>
      <c r="L2421" s="1646"/>
      <c r="M2421" s="1302"/>
      <c r="N2421" s="1302"/>
      <c r="O2421" s="1291"/>
      <c r="P2421" s="1332"/>
      <c r="Q2421" s="3391"/>
      <c r="R2421" s="2337"/>
      <c r="S2421" s="16"/>
      <c r="T2421" s="16"/>
      <c r="U2421" s="16"/>
      <c r="V2421" s="16"/>
    </row>
    <row r="2422" spans="1:22">
      <c r="A2422" s="22"/>
      <c r="B2422" s="223"/>
      <c r="C2422" s="223"/>
      <c r="D2422" s="1808"/>
      <c r="E2422" s="2132"/>
      <c r="F2422" s="1804"/>
      <c r="G2422" s="1804"/>
      <c r="H2422" s="1805"/>
      <c r="I2422" s="197"/>
      <c r="J2422" s="1806"/>
      <c r="K2422" s="1307"/>
      <c r="L2422" s="1335"/>
      <c r="M2422" s="1701"/>
      <c r="N2422" s="1701"/>
      <c r="O2422" s="1290"/>
      <c r="P2422" s="1333"/>
      <c r="Q2422" s="3391"/>
      <c r="R2422" s="3363"/>
      <c r="S2422" s="16"/>
      <c r="T2422" s="16"/>
      <c r="U2422" s="16"/>
      <c r="V2422" s="16"/>
    </row>
    <row r="2423" spans="1:22" ht="15" customHeight="1">
      <c r="A2423" s="19" t="s">
        <v>3764</v>
      </c>
      <c r="B2423" s="4325" t="s">
        <v>1735</v>
      </c>
      <c r="C2423" s="3350"/>
      <c r="D2423" s="4327"/>
      <c r="E2423" s="4329" t="s">
        <v>1507</v>
      </c>
      <c r="F2423" s="4515" t="s">
        <v>1771</v>
      </c>
      <c r="G2423" s="4516" t="s">
        <v>1568</v>
      </c>
      <c r="H2423" s="4516" t="s">
        <v>1574</v>
      </c>
      <c r="I2423" s="1572" t="s">
        <v>1559</v>
      </c>
      <c r="J2423" s="1294" t="s">
        <v>1560</v>
      </c>
      <c r="K2423" s="1294" t="s">
        <v>1569</v>
      </c>
      <c r="L2423" s="4333" t="s">
        <v>3765</v>
      </c>
      <c r="M2423" s="4323" t="s">
        <v>1571</v>
      </c>
      <c r="N2423" s="4323" t="s">
        <v>1776</v>
      </c>
      <c r="O2423" s="3347" t="s">
        <v>1563</v>
      </c>
      <c r="P2423" s="1336" t="s">
        <v>1562</v>
      </c>
      <c r="Q2423" s="3389"/>
      <c r="R2423" s="1699" t="s">
        <v>1327</v>
      </c>
      <c r="S2423" s="631"/>
      <c r="T2423" s="631"/>
      <c r="U2423" s="16"/>
      <c r="V2423" s="16"/>
    </row>
    <row r="2424" spans="1:22">
      <c r="A2424" s="1807" t="s">
        <v>1887</v>
      </c>
      <c r="B2424" s="4326"/>
      <c r="C2424" s="3351"/>
      <c r="D2424" s="4328"/>
      <c r="E2424" s="4330"/>
      <c r="F2424" s="4363"/>
      <c r="G2424" s="4332"/>
      <c r="H2424" s="4332"/>
      <c r="I2424" s="1345">
        <v>277.56</v>
      </c>
      <c r="J2424" s="1307">
        <v>2E-3</v>
      </c>
      <c r="K2424" s="1307">
        <f>I2424*J2424</f>
        <v>0.55512000000000006</v>
      </c>
      <c r="L2424" s="4334"/>
      <c r="M2424" s="4324"/>
      <c r="N2424" s="4324"/>
      <c r="O2424" s="1298">
        <f>SUM(O2426:O2436)</f>
        <v>8.6829999999999998</v>
      </c>
      <c r="P2424" s="1337">
        <f>O2424*K2424</f>
        <v>4.8201069600000004</v>
      </c>
      <c r="Q2424" s="3390"/>
      <c r="R2424" s="1721">
        <f>SUM(P2426:P2436)</f>
        <v>4.8201069600000004</v>
      </c>
      <c r="S2424" s="631"/>
      <c r="T2424" s="631"/>
      <c r="U2424" s="16"/>
      <c r="V2424" s="16"/>
    </row>
    <row r="2425" spans="1:22">
      <c r="A2425" s="22"/>
      <c r="B2425" s="551"/>
      <c r="C2425" s="18"/>
      <c r="D2425" s="1400"/>
      <c r="E2425" s="2121"/>
      <c r="F2425" s="1368" t="s">
        <v>1</v>
      </c>
      <c r="G2425" s="1417"/>
      <c r="H2425" s="1390"/>
      <c r="I2425" s="1554"/>
      <c r="J2425" s="1367"/>
      <c r="K2425" s="1367"/>
      <c r="L2425" s="1554"/>
      <c r="M2425" s="1369"/>
      <c r="N2425" s="1369"/>
      <c r="O2425" s="1369"/>
      <c r="P2425" s="1367"/>
      <c r="Q2425" s="3387"/>
      <c r="R2425" s="3363"/>
      <c r="S2425" s="16"/>
      <c r="T2425" s="16"/>
      <c r="U2425" s="16"/>
      <c r="V2425" s="16"/>
    </row>
    <row r="2426" spans="1:22">
      <c r="A2426" s="22"/>
      <c r="B2426" s="553"/>
      <c r="C2426" s="1042"/>
      <c r="D2426" s="1400"/>
      <c r="E2426" s="1856"/>
      <c r="F2426" s="1421"/>
      <c r="G2426" s="1399"/>
      <c r="H2426" s="1399"/>
      <c r="I2426" s="1760"/>
      <c r="J2426" s="198"/>
      <c r="K2426" s="1307"/>
      <c r="L2426" s="1335"/>
      <c r="M2426" s="1499"/>
      <c r="N2426" s="1701"/>
      <c r="O2426" s="1290"/>
      <c r="P2426" s="1332"/>
      <c r="Q2426" s="3391"/>
      <c r="R2426" s="3363"/>
      <c r="S2426" s="105"/>
      <c r="T2426" s="105"/>
      <c r="U2426" s="16"/>
      <c r="V2426" s="16"/>
    </row>
    <row r="2427" spans="1:22">
      <c r="A2427" s="22"/>
      <c r="B2427" s="553"/>
      <c r="C2427" s="1042"/>
      <c r="D2427" s="1400"/>
      <c r="E2427" s="1856"/>
      <c r="F2427" s="1421"/>
      <c r="G2427" s="1399"/>
      <c r="H2427" s="1399"/>
      <c r="I2427" s="1760"/>
      <c r="J2427" s="198"/>
      <c r="K2427" s="1307"/>
      <c r="L2427" s="1335"/>
      <c r="M2427" s="1499"/>
      <c r="N2427" s="1701"/>
      <c r="O2427" s="1290"/>
      <c r="P2427" s="1332"/>
      <c r="Q2427" s="3391"/>
      <c r="R2427" s="3363"/>
      <c r="S2427" s="16"/>
      <c r="T2427" s="16"/>
      <c r="U2427" s="16"/>
      <c r="V2427" s="16"/>
    </row>
    <row r="2428" spans="1:22">
      <c r="A2428" s="22"/>
      <c r="B2428" s="553"/>
      <c r="C2428" s="1042"/>
      <c r="D2428" s="1400"/>
      <c r="E2428" s="1856"/>
      <c r="F2428" s="1421"/>
      <c r="G2428" s="1452"/>
      <c r="H2428" s="1399"/>
      <c r="I2428" s="197"/>
      <c r="J2428" s="198"/>
      <c r="K2428" s="1307"/>
      <c r="L2428" s="1335"/>
      <c r="M2428" s="1499"/>
      <c r="N2428" s="1701"/>
      <c r="O2428" s="1290"/>
      <c r="P2428" s="1332"/>
      <c r="Q2428" s="3391"/>
      <c r="R2428" s="3363"/>
      <c r="S2428" s="16"/>
      <c r="T2428" s="16"/>
      <c r="U2428" s="16"/>
      <c r="V2428" s="16"/>
    </row>
    <row r="2429" spans="1:22">
      <c r="A2429" s="22"/>
      <c r="B2429" s="553"/>
      <c r="C2429" s="1042"/>
      <c r="D2429" s="1410"/>
      <c r="E2429" s="1858"/>
      <c r="F2429" s="1360" t="s">
        <v>2</v>
      </c>
      <c r="G2429" s="1360"/>
      <c r="H2429" s="1362"/>
      <c r="I2429" s="1380"/>
      <c r="J2429" s="1381"/>
      <c r="K2429" s="1359"/>
      <c r="L2429" s="1458"/>
      <c r="M2429" s="1502"/>
      <c r="N2429" s="1502"/>
      <c r="O2429" s="1362"/>
      <c r="P2429" s="1359"/>
      <c r="Q2429" s="3387"/>
      <c r="R2429" s="3363"/>
      <c r="S2429" s="16"/>
      <c r="T2429" s="16"/>
      <c r="U2429" s="16"/>
      <c r="V2429" s="16"/>
    </row>
    <row r="2430" spans="1:22">
      <c r="A2430" s="22"/>
      <c r="B2430" s="553"/>
      <c r="C2430" s="1042"/>
      <c r="D2430" s="1364" t="s">
        <v>1067</v>
      </c>
      <c r="E2430" s="2148" t="s">
        <v>1508</v>
      </c>
      <c r="F2430" s="1473" t="s">
        <v>1512</v>
      </c>
      <c r="G2430" s="1365">
        <v>0.47499999999999998</v>
      </c>
      <c r="H2430" s="1365"/>
      <c r="I2430" s="198"/>
      <c r="J2430" s="6"/>
      <c r="K2430" s="1307">
        <f>G2430*K2424</f>
        <v>0.26368200000000003</v>
      </c>
      <c r="L2430" s="1335">
        <f>K2430*$K$2352</f>
        <v>0</v>
      </c>
      <c r="M2430" s="1499">
        <v>18.28</v>
      </c>
      <c r="N2430" s="1701"/>
      <c r="O2430" s="1290">
        <f>(G2430*M2430)</f>
        <v>8.6829999999999998</v>
      </c>
      <c r="P2430" s="1332">
        <f>M2430*K2430</f>
        <v>4.8201069600000004</v>
      </c>
      <c r="Q2430" s="3391"/>
      <c r="R2430" s="3363"/>
      <c r="S2430" s="16"/>
      <c r="T2430" s="16"/>
      <c r="U2430" s="16"/>
      <c r="V2430" s="16"/>
    </row>
    <row r="2431" spans="1:22">
      <c r="A2431" s="22"/>
      <c r="B2431" s="553"/>
      <c r="C2431" s="1042"/>
      <c r="D2431" s="1623"/>
      <c r="E2431" s="2158"/>
      <c r="F2431" s="1801"/>
      <c r="G2431" s="1359"/>
      <c r="H2431" s="1803"/>
      <c r="I2431" s="198"/>
      <c r="J2431" s="6"/>
      <c r="K2431" s="1307"/>
      <c r="L2431" s="1335"/>
      <c r="M2431" s="1499"/>
      <c r="N2431" s="1701"/>
      <c r="O2431" s="1290"/>
      <c r="P2431" s="1332"/>
      <c r="Q2431" s="3391"/>
      <c r="R2431" s="3363"/>
      <c r="S2431" s="16"/>
      <c r="T2431" s="16"/>
      <c r="U2431" s="16"/>
      <c r="V2431" s="16"/>
    </row>
    <row r="2432" spans="1:22">
      <c r="A2432" s="22"/>
      <c r="B2432" s="553"/>
      <c r="C2432" s="1042"/>
      <c r="D2432" s="1623"/>
      <c r="E2432" s="2158"/>
      <c r="F2432" s="1801"/>
      <c r="G2432" s="1359"/>
      <c r="H2432" s="1803"/>
      <c r="I2432" s="198"/>
      <c r="J2432" s="6"/>
      <c r="K2432" s="1307"/>
      <c r="L2432" s="1335"/>
      <c r="M2432" s="1499"/>
      <c r="N2432" s="1701"/>
      <c r="O2432" s="1290"/>
      <c r="P2432" s="1332"/>
      <c r="Q2432" s="3391"/>
      <c r="R2432" s="3363"/>
      <c r="S2432" s="16"/>
      <c r="T2432" s="16"/>
      <c r="U2432" s="16"/>
      <c r="V2432" s="16"/>
    </row>
    <row r="2433" spans="1:22">
      <c r="A2433" s="22"/>
      <c r="B2433" s="553"/>
      <c r="C2433" s="1042"/>
      <c r="D2433" s="1411"/>
      <c r="E2433" s="2123"/>
      <c r="F2433" s="1802" t="s">
        <v>3</v>
      </c>
      <c r="G2433" s="1475"/>
      <c r="H2433" s="1505"/>
      <c r="I2433" s="1382"/>
      <c r="J2433" s="1383"/>
      <c r="K2433" s="1373"/>
      <c r="L2433" s="1413"/>
      <c r="M2433" s="1505"/>
      <c r="N2433" s="1505"/>
      <c r="O2433" s="1376"/>
      <c r="P2433" s="1413"/>
      <c r="Q2433" s="3387"/>
      <c r="R2433" s="3363"/>
      <c r="S2433" s="16"/>
      <c r="T2433" s="16"/>
      <c r="U2433" s="16"/>
      <c r="V2433" s="16"/>
    </row>
    <row r="2434" spans="1:22">
      <c r="A2434" s="22"/>
      <c r="B2434" s="553"/>
      <c r="C2434" s="1042"/>
      <c r="D2434" s="1411"/>
      <c r="E2434" s="2123"/>
      <c r="F2434" s="1475"/>
      <c r="G2434" s="1475"/>
      <c r="H2434" s="1376"/>
      <c r="I2434" s="198"/>
      <c r="J2434" s="6"/>
      <c r="K2434" s="1307"/>
      <c r="L2434" s="1335"/>
      <c r="M2434" s="1499"/>
      <c r="N2434" s="1701"/>
      <c r="O2434" s="1290"/>
      <c r="P2434" s="1332"/>
      <c r="Q2434" s="3391"/>
      <c r="R2434" s="3363"/>
      <c r="S2434" s="16"/>
      <c r="T2434" s="16"/>
      <c r="U2434" s="16"/>
      <c r="V2434" s="16"/>
    </row>
    <row r="2435" spans="1:22">
      <c r="A2435" s="22"/>
      <c r="B2435" s="553"/>
      <c r="C2435" s="1042"/>
      <c r="D2435" s="1412"/>
      <c r="E2435" s="2124"/>
      <c r="F2435" s="1377"/>
      <c r="G2435" s="1377"/>
      <c r="H2435" s="1597"/>
      <c r="I2435" s="198"/>
      <c r="J2435" s="6"/>
      <c r="K2435" s="1306"/>
      <c r="L2435" s="1646"/>
      <c r="M2435" s="1302"/>
      <c r="N2435" s="1302"/>
      <c r="O2435" s="1291"/>
      <c r="P2435" s="1332"/>
      <c r="Q2435" s="3391"/>
      <c r="R2435" s="2337"/>
      <c r="S2435" s="16"/>
      <c r="T2435" s="16"/>
      <c r="U2435" s="16"/>
      <c r="V2435" s="16"/>
    </row>
    <row r="2436" spans="1:22">
      <c r="A2436" s="22"/>
      <c r="B2436" s="554"/>
      <c r="C2436" s="223"/>
      <c r="D2436" s="1808"/>
      <c r="E2436" s="2132"/>
      <c r="F2436" s="1804"/>
      <c r="G2436" s="1804"/>
      <c r="H2436" s="1805"/>
      <c r="I2436" s="197"/>
      <c r="J2436" s="1806"/>
      <c r="K2436" s="1307"/>
      <c r="L2436" s="1335"/>
      <c r="M2436" s="1701"/>
      <c r="N2436" s="1701"/>
      <c r="O2436" s="1290"/>
      <c r="P2436" s="1333"/>
      <c r="Q2436" s="3391"/>
      <c r="R2436" s="3363"/>
      <c r="S2436" s="16"/>
      <c r="T2436" s="16"/>
      <c r="U2436" s="16"/>
      <c r="V2436" s="16"/>
    </row>
    <row r="2437" spans="1:22">
      <c r="A2437" s="16" t="s">
        <v>3764</v>
      </c>
      <c r="B2437" s="4325" t="s">
        <v>2792</v>
      </c>
      <c r="C2437" s="3350"/>
      <c r="D2437" s="4327"/>
      <c r="E2437" s="4329" t="s">
        <v>1507</v>
      </c>
      <c r="F2437" s="4336" t="s">
        <v>2793</v>
      </c>
      <c r="G2437" s="4331" t="s">
        <v>1568</v>
      </c>
      <c r="H2437" s="4331" t="s">
        <v>1574</v>
      </c>
      <c r="I2437" s="1572" t="s">
        <v>1559</v>
      </c>
      <c r="J2437" s="1294" t="s">
        <v>1560</v>
      </c>
      <c r="K2437" s="1294" t="s">
        <v>1569</v>
      </c>
      <c r="L2437" s="4333" t="s">
        <v>3765</v>
      </c>
      <c r="M2437" s="4335" t="s">
        <v>1571</v>
      </c>
      <c r="N2437" s="4323" t="s">
        <v>1776</v>
      </c>
      <c r="O2437" s="3347" t="s">
        <v>1563</v>
      </c>
      <c r="P2437" s="1336" t="s">
        <v>1562</v>
      </c>
      <c r="Q2437" s="3389"/>
      <c r="R2437" s="1699" t="s">
        <v>1327</v>
      </c>
      <c r="S2437" s="16"/>
      <c r="T2437" s="16"/>
      <c r="U2437" s="16"/>
      <c r="V2437" s="16"/>
    </row>
    <row r="2438" spans="1:22">
      <c r="A2438" s="1971" t="s">
        <v>1967</v>
      </c>
      <c r="B2438" s="4326"/>
      <c r="C2438" s="3351"/>
      <c r="D2438" s="4328"/>
      <c r="E2438" s="4330"/>
      <c r="F2438" s="4336"/>
      <c r="G2438" s="4332"/>
      <c r="H2438" s="4332"/>
      <c r="I2438" s="1345">
        <v>277.56</v>
      </c>
      <c r="J2438" s="1307">
        <v>2E-3</v>
      </c>
      <c r="K2438" s="1307">
        <f>I2438*J2438</f>
        <v>0.55512000000000006</v>
      </c>
      <c r="L2438" s="4334"/>
      <c r="M2438" s="4335"/>
      <c r="N2438" s="4324"/>
      <c r="O2438" s="1298">
        <f>SUM(O2440:O2454)</f>
        <v>13.77628</v>
      </c>
      <c r="P2438" s="1337">
        <f>O2438*K2438</f>
        <v>7.6474885536000006</v>
      </c>
      <c r="Q2438" s="3390"/>
      <c r="R2438" s="1721">
        <f>SUM(P2440:P2454)</f>
        <v>7.6474885536000006</v>
      </c>
      <c r="S2438" s="16"/>
      <c r="T2438" s="16"/>
      <c r="U2438" s="16"/>
      <c r="V2438" s="16"/>
    </row>
    <row r="2439" spans="1:22">
      <c r="B2439" s="551"/>
      <c r="C2439" s="18"/>
      <c r="D2439" s="1400"/>
      <c r="E2439" s="2121"/>
      <c r="F2439" s="1368" t="s">
        <v>1</v>
      </c>
      <c r="G2439" s="1417"/>
      <c r="H2439" s="1390"/>
      <c r="I2439" s="1554"/>
      <c r="J2439" s="1367"/>
      <c r="K2439" s="1367"/>
      <c r="L2439" s="1554"/>
      <c r="M2439" s="1369"/>
      <c r="N2439" s="1369"/>
      <c r="O2439" s="1369"/>
      <c r="P2439" s="1367"/>
      <c r="Q2439" s="3387"/>
      <c r="R2439" s="3363"/>
      <c r="S2439" s="16"/>
      <c r="T2439" s="16"/>
      <c r="U2439" s="16"/>
      <c r="V2439" s="16"/>
    </row>
    <row r="2440" spans="1:22">
      <c r="B2440" s="553"/>
      <c r="C2440" s="1042"/>
      <c r="D2440" s="1400" t="s">
        <v>2794</v>
      </c>
      <c r="E2440" s="1856" t="s">
        <v>1504</v>
      </c>
      <c r="F2440" s="1421" t="s">
        <v>2795</v>
      </c>
      <c r="G2440" s="1399">
        <v>0.72</v>
      </c>
      <c r="H2440" s="1399"/>
      <c r="I2440" s="1760"/>
      <c r="J2440" s="198"/>
      <c r="K2440" s="1307">
        <f>G2440*K2438</f>
        <v>0.39968640000000005</v>
      </c>
      <c r="L2440" s="1335">
        <f t="shared" ref="L2440:L2443" si="129">K2440*$K$2352</f>
        <v>0</v>
      </c>
      <c r="M2440" s="1499">
        <v>7.1</v>
      </c>
      <c r="N2440" s="1701"/>
      <c r="O2440" s="1290">
        <f>(G2440*M2440)</f>
        <v>5.1119999999999992</v>
      </c>
      <c r="P2440" s="1332">
        <f>M2440*K2440</f>
        <v>2.8377734400000003</v>
      </c>
      <c r="Q2440" s="3391"/>
      <c r="R2440" s="3363"/>
      <c r="S2440" s="16"/>
      <c r="T2440" s="16"/>
      <c r="U2440" s="16"/>
      <c r="V2440" s="16"/>
    </row>
    <row r="2441" spans="1:22">
      <c r="B2441" s="553"/>
      <c r="C2441" s="1042"/>
      <c r="D2441" s="1400" t="s">
        <v>2796</v>
      </c>
      <c r="E2441" s="1856" t="s">
        <v>1517</v>
      </c>
      <c r="F2441" s="1421" t="s">
        <v>2797</v>
      </c>
      <c r="G2441" s="1399">
        <v>1.2E-2</v>
      </c>
      <c r="H2441" s="1399"/>
      <c r="I2441" s="1760"/>
      <c r="J2441" s="198"/>
      <c r="K2441" s="1307">
        <f>G2441*K2438</f>
        <v>6.6614400000000011E-3</v>
      </c>
      <c r="L2441" s="1335">
        <f t="shared" si="129"/>
        <v>0</v>
      </c>
      <c r="M2441" s="1499">
        <v>225.64</v>
      </c>
      <c r="N2441" s="1701"/>
      <c r="O2441" s="1290">
        <f>(G2441*M2441)</f>
        <v>2.7076799999999999</v>
      </c>
      <c r="P2441" s="1332">
        <f>M2441*K2441</f>
        <v>1.5030873216000002</v>
      </c>
      <c r="Q2441" s="3391"/>
      <c r="R2441" s="3363"/>
      <c r="S2441" s="16"/>
      <c r="T2441" s="16"/>
      <c r="U2441" s="16"/>
      <c r="V2441" s="16"/>
    </row>
    <row r="2442" spans="1:22">
      <c r="B2442" s="553"/>
      <c r="C2442" s="1042"/>
      <c r="D2442" s="1400" t="s">
        <v>1097</v>
      </c>
      <c r="E2442" s="1856" t="s">
        <v>1504</v>
      </c>
      <c r="F2442" s="1421" t="s">
        <v>1632</v>
      </c>
      <c r="G2442" s="1399">
        <v>1</v>
      </c>
      <c r="H2442" s="1399"/>
      <c r="I2442" s="1760"/>
      <c r="J2442" s="198"/>
      <c r="K2442" s="1307">
        <f>G2442*K2438</f>
        <v>0.55512000000000006</v>
      </c>
      <c r="L2442" s="1335">
        <f t="shared" si="129"/>
        <v>0</v>
      </c>
      <c r="M2442" s="1499">
        <v>0.55000000000000004</v>
      </c>
      <c r="N2442" s="1701"/>
      <c r="O2442" s="1290">
        <f>(G2442*M2442)</f>
        <v>0.55000000000000004</v>
      </c>
      <c r="P2442" s="1332">
        <f>M2442*K2442</f>
        <v>0.30531600000000003</v>
      </c>
      <c r="Q2442" s="3391"/>
      <c r="R2442" s="3363"/>
      <c r="S2442" s="16"/>
      <c r="T2442" s="16"/>
      <c r="U2442" s="16"/>
      <c r="V2442" s="16"/>
    </row>
    <row r="2443" spans="1:22">
      <c r="B2443" s="553"/>
      <c r="C2443" s="1042"/>
      <c r="D2443" s="1400" t="s">
        <v>1082</v>
      </c>
      <c r="E2443" s="1856" t="s">
        <v>1504</v>
      </c>
      <c r="F2443" s="1421" t="s">
        <v>1541</v>
      </c>
      <c r="G2443" s="1399">
        <v>1</v>
      </c>
      <c r="H2443" s="1399"/>
      <c r="I2443" s="1760"/>
      <c r="J2443" s="198"/>
      <c r="K2443" s="1307">
        <f>G2443*K2438</f>
        <v>0.55512000000000006</v>
      </c>
      <c r="L2443" s="1335">
        <f t="shared" si="129"/>
        <v>0</v>
      </c>
      <c r="M2443" s="1499">
        <v>0.3</v>
      </c>
      <c r="N2443" s="1701"/>
      <c r="O2443" s="1290">
        <f>(G2443*M2443)</f>
        <v>0.3</v>
      </c>
      <c r="P2443" s="1332">
        <f>M2443*K2443</f>
        <v>0.16653600000000002</v>
      </c>
      <c r="Q2443" s="3391"/>
      <c r="R2443" s="3363"/>
      <c r="S2443" s="16"/>
      <c r="T2443" s="16"/>
      <c r="U2443" s="16"/>
      <c r="V2443" s="16"/>
    </row>
    <row r="2444" spans="1:22">
      <c r="B2444" s="553"/>
      <c r="C2444" s="1042"/>
      <c r="D2444" s="1400"/>
      <c r="E2444" s="1856"/>
      <c r="F2444" s="1421"/>
      <c r="G2444" s="1399"/>
      <c r="H2444" s="1399"/>
      <c r="I2444" s="1760"/>
      <c r="J2444" s="198"/>
      <c r="K2444" s="1307"/>
      <c r="L2444" s="1335"/>
      <c r="M2444" s="1499"/>
      <c r="N2444" s="1701"/>
      <c r="O2444" s="1290"/>
      <c r="P2444" s="1332"/>
      <c r="Q2444" s="3391"/>
      <c r="R2444" s="3363"/>
      <c r="S2444" s="16"/>
      <c r="T2444" s="16"/>
      <c r="U2444" s="16"/>
      <c r="V2444" s="16"/>
    </row>
    <row r="2445" spans="1:22">
      <c r="B2445" s="553"/>
      <c r="C2445" s="1042"/>
      <c r="D2445" s="1400"/>
      <c r="E2445" s="1856"/>
      <c r="F2445" s="1421"/>
      <c r="G2445" s="1399"/>
      <c r="H2445" s="1399"/>
      <c r="I2445" s="1760"/>
      <c r="J2445" s="198"/>
      <c r="K2445" s="1307"/>
      <c r="L2445" s="1335"/>
      <c r="M2445" s="1499"/>
      <c r="N2445" s="1701"/>
      <c r="O2445" s="1290"/>
      <c r="P2445" s="1332"/>
      <c r="Q2445" s="3391"/>
      <c r="R2445" s="3363"/>
      <c r="S2445" s="16"/>
      <c r="T2445" s="16"/>
      <c r="U2445" s="16"/>
      <c r="V2445" s="16"/>
    </row>
    <row r="2446" spans="1:22">
      <c r="B2446" s="553"/>
      <c r="C2446" s="1042"/>
      <c r="D2446" s="1400"/>
      <c r="E2446" s="1856"/>
      <c r="F2446" s="1421"/>
      <c r="G2446" s="1452"/>
      <c r="H2446" s="1399"/>
      <c r="I2446" s="197"/>
      <c r="J2446" s="198"/>
      <c r="K2446" s="1307"/>
      <c r="L2446" s="1335"/>
      <c r="M2446" s="1499"/>
      <c r="N2446" s="1701"/>
      <c r="O2446" s="1290"/>
      <c r="P2446" s="1332"/>
      <c r="Q2446" s="3391"/>
      <c r="R2446" s="3363"/>
      <c r="S2446" s="16"/>
      <c r="T2446" s="16"/>
      <c r="U2446" s="16"/>
      <c r="V2446" s="16"/>
    </row>
    <row r="2447" spans="1:22">
      <c r="B2447" s="553"/>
      <c r="C2447" s="1042"/>
      <c r="D2447" s="1410"/>
      <c r="E2447" s="1858"/>
      <c r="F2447" s="1360" t="s">
        <v>2</v>
      </c>
      <c r="G2447" s="1360"/>
      <c r="H2447" s="1362"/>
      <c r="I2447" s="1380"/>
      <c r="J2447" s="1381"/>
      <c r="K2447" s="1359"/>
      <c r="L2447" s="1458"/>
      <c r="M2447" s="1502"/>
      <c r="N2447" s="1502"/>
      <c r="O2447" s="1362"/>
      <c r="P2447" s="1359"/>
      <c r="Q2447" s="3387"/>
      <c r="R2447" s="3363"/>
      <c r="S2447" s="16"/>
      <c r="T2447" s="16"/>
      <c r="U2447" s="16"/>
      <c r="V2447" s="16"/>
    </row>
    <row r="2448" spans="1:22">
      <c r="B2448" s="553"/>
      <c r="C2448" s="1042"/>
      <c r="D2448" s="1364" t="s">
        <v>1121</v>
      </c>
      <c r="E2448" s="2148" t="s">
        <v>1508</v>
      </c>
      <c r="F2448" s="1473" t="s">
        <v>1663</v>
      </c>
      <c r="G2448" s="1365">
        <v>0.18</v>
      </c>
      <c r="H2448" s="1365"/>
      <c r="I2448" s="198"/>
      <c r="J2448" s="6"/>
      <c r="K2448" s="1307">
        <f>G2448*K2438</f>
        <v>9.9921600000000013E-2</v>
      </c>
      <c r="L2448" s="1335">
        <f t="shared" ref="L2448:L2449" si="130">K2448*$K$2352</f>
        <v>0</v>
      </c>
      <c r="M2448" s="1499">
        <v>19.23</v>
      </c>
      <c r="N2448" s="1701"/>
      <c r="O2448" s="1290">
        <f>(G2448*M2448)</f>
        <v>3.4613999999999998</v>
      </c>
      <c r="P2448" s="1332">
        <f>M2448*K2448</f>
        <v>1.9214923680000002</v>
      </c>
      <c r="Q2448" s="3391"/>
      <c r="R2448" s="3363"/>
      <c r="S2448" s="16"/>
      <c r="T2448" s="16"/>
      <c r="U2448" s="16"/>
      <c r="V2448" s="16"/>
    </row>
    <row r="2449" spans="1:22">
      <c r="B2449" s="553"/>
      <c r="C2449" s="1042"/>
      <c r="D2449" s="1623" t="s">
        <v>1067</v>
      </c>
      <c r="E2449" s="2158" t="s">
        <v>1508</v>
      </c>
      <c r="F2449" s="1801" t="s">
        <v>1512</v>
      </c>
      <c r="G2449" s="1359">
        <v>0.09</v>
      </c>
      <c r="H2449" s="1803"/>
      <c r="I2449" s="198"/>
      <c r="J2449" s="6"/>
      <c r="K2449" s="1307">
        <f>G2449*K2438</f>
        <v>4.9960800000000007E-2</v>
      </c>
      <c r="L2449" s="1335">
        <f t="shared" si="130"/>
        <v>0</v>
      </c>
      <c r="M2449" s="1499">
        <v>18.28</v>
      </c>
      <c r="N2449" s="1701"/>
      <c r="O2449" s="1290">
        <f>(G2449*M2449)</f>
        <v>1.6452</v>
      </c>
      <c r="P2449" s="1332">
        <f>M2449*K2449</f>
        <v>0.91328342400000018</v>
      </c>
      <c r="Q2449" s="3391"/>
      <c r="R2449" s="3363"/>
      <c r="S2449" s="16"/>
      <c r="T2449" s="16"/>
      <c r="U2449" s="16"/>
      <c r="V2449" s="16"/>
    </row>
    <row r="2450" spans="1:22">
      <c r="B2450" s="553"/>
      <c r="C2450" s="1042"/>
      <c r="D2450" s="1623"/>
      <c r="E2450" s="2158"/>
      <c r="F2450" s="1801"/>
      <c r="G2450" s="1359"/>
      <c r="H2450" s="1803"/>
      <c r="I2450" s="198"/>
      <c r="J2450" s="6"/>
      <c r="K2450" s="1307"/>
      <c r="L2450" s="1335"/>
      <c r="M2450" s="1499"/>
      <c r="N2450" s="1701"/>
      <c r="O2450" s="1290"/>
      <c r="P2450" s="1332"/>
      <c r="Q2450" s="3391"/>
      <c r="R2450" s="3363"/>
      <c r="S2450" s="16"/>
      <c r="T2450" s="16"/>
      <c r="U2450" s="16"/>
      <c r="V2450" s="16"/>
    </row>
    <row r="2451" spans="1:22">
      <c r="B2451" s="553"/>
      <c r="C2451" s="1042"/>
      <c r="D2451" s="1411"/>
      <c r="E2451" s="2123"/>
      <c r="F2451" s="1802" t="s">
        <v>3</v>
      </c>
      <c r="G2451" s="1475"/>
      <c r="H2451" s="1505"/>
      <c r="I2451" s="1382"/>
      <c r="J2451" s="1383"/>
      <c r="K2451" s="1373"/>
      <c r="L2451" s="1413"/>
      <c r="M2451" s="1505"/>
      <c r="N2451" s="1505"/>
      <c r="O2451" s="1376"/>
      <c r="P2451" s="1413"/>
      <c r="Q2451" s="3387"/>
      <c r="R2451" s="3363"/>
      <c r="S2451" s="16"/>
      <c r="T2451" s="16"/>
      <c r="U2451" s="16"/>
      <c r="V2451" s="16"/>
    </row>
    <row r="2452" spans="1:22">
      <c r="B2452" s="553"/>
      <c r="C2452" s="1042"/>
      <c r="D2452" s="1411"/>
      <c r="E2452" s="2123"/>
      <c r="F2452" s="1475"/>
      <c r="G2452" s="1475"/>
      <c r="H2452" s="1376"/>
      <c r="I2452" s="198"/>
      <c r="J2452" s="6"/>
      <c r="K2452" s="1307"/>
      <c r="L2452" s="1335"/>
      <c r="M2452" s="1499"/>
      <c r="N2452" s="1701"/>
      <c r="O2452" s="1290"/>
      <c r="P2452" s="1332"/>
      <c r="Q2452" s="3391"/>
      <c r="R2452" s="3363"/>
      <c r="S2452" s="16"/>
      <c r="T2452" s="16"/>
      <c r="U2452" s="16"/>
      <c r="V2452" s="16"/>
    </row>
    <row r="2453" spans="1:22">
      <c r="B2453" s="553"/>
      <c r="C2453" s="1042"/>
      <c r="D2453" s="1412"/>
      <c r="E2453" s="2124"/>
      <c r="F2453" s="1377"/>
      <c r="G2453" s="1377"/>
      <c r="H2453" s="1597"/>
      <c r="I2453" s="198"/>
      <c r="J2453" s="6"/>
      <c r="K2453" s="1306"/>
      <c r="L2453" s="1646"/>
      <c r="M2453" s="1302"/>
      <c r="N2453" s="1302"/>
      <c r="O2453" s="1291"/>
      <c r="P2453" s="1332"/>
      <c r="Q2453" s="3391"/>
      <c r="R2453" s="2337"/>
      <c r="S2453" s="16"/>
      <c r="T2453" s="16"/>
      <c r="U2453" s="16"/>
      <c r="V2453" s="16"/>
    </row>
    <row r="2454" spans="1:22">
      <c r="B2454" s="554"/>
      <c r="C2454" s="223"/>
      <c r="D2454" s="1808"/>
      <c r="E2454" s="2132"/>
      <c r="F2454" s="1804"/>
      <c r="G2454" s="1804"/>
      <c r="H2454" s="1805"/>
      <c r="I2454" s="197"/>
      <c r="J2454" s="1806"/>
      <c r="K2454" s="1307"/>
      <c r="L2454" s="1335"/>
      <c r="M2454" s="1701"/>
      <c r="N2454" s="1701"/>
      <c r="O2454" s="1290"/>
      <c r="P2454" s="1333"/>
      <c r="Q2454" s="3391"/>
      <c r="R2454" s="3363"/>
      <c r="S2454" s="16"/>
      <c r="T2454" s="16"/>
      <c r="U2454" s="16"/>
      <c r="V2454" s="16"/>
    </row>
    <row r="2455" spans="1:22">
      <c r="A2455" s="19" t="s">
        <v>3764</v>
      </c>
      <c r="B2455" s="4325" t="s">
        <v>1815</v>
      </c>
      <c r="C2455" s="3350"/>
      <c r="D2455" s="4327"/>
      <c r="E2455" s="4329" t="s">
        <v>1527</v>
      </c>
      <c r="F2455" s="4336" t="s">
        <v>1816</v>
      </c>
      <c r="G2455" s="4331" t="s">
        <v>1568</v>
      </c>
      <c r="H2455" s="4331" t="s">
        <v>1574</v>
      </c>
      <c r="I2455" s="1572" t="s">
        <v>1559</v>
      </c>
      <c r="J2455" s="1294" t="s">
        <v>1560</v>
      </c>
      <c r="K2455" s="1294" t="s">
        <v>1569</v>
      </c>
      <c r="L2455" s="4333" t="s">
        <v>3765</v>
      </c>
      <c r="M2455" s="4335" t="s">
        <v>1571</v>
      </c>
      <c r="N2455" s="4323" t="s">
        <v>1776</v>
      </c>
      <c r="O2455" s="3347" t="s">
        <v>1563</v>
      </c>
      <c r="P2455" s="1336" t="s">
        <v>1562</v>
      </c>
      <c r="Q2455" s="3389"/>
      <c r="R2455" s="1699" t="s">
        <v>1327</v>
      </c>
      <c r="S2455" s="16"/>
      <c r="T2455" s="16"/>
      <c r="U2455" s="16"/>
      <c r="V2455" s="16"/>
    </row>
    <row r="2456" spans="1:22">
      <c r="A2456" s="1807" t="s">
        <v>1887</v>
      </c>
      <c r="B2456" s="4326"/>
      <c r="C2456" s="3351"/>
      <c r="D2456" s="4328"/>
      <c r="E2456" s="4330"/>
      <c r="F2456" s="4336"/>
      <c r="G2456" s="4332"/>
      <c r="H2456" s="4332"/>
      <c r="I2456" s="1345">
        <v>420.09</v>
      </c>
      <c r="J2456" s="1307">
        <v>2E-3</v>
      </c>
      <c r="K2456" s="1307">
        <f>I2456*J2456</f>
        <v>0.84017999999999993</v>
      </c>
      <c r="L2456" s="4334"/>
      <c r="M2456" s="4335"/>
      <c r="N2456" s="4324"/>
      <c r="O2456" s="1298">
        <f>O2458+O2459+O2460+O2468+O2469+O2473</f>
        <v>54.830050300000003</v>
      </c>
      <c r="P2456" s="1337">
        <f>O2456*K2456</f>
        <v>46.067111661054</v>
      </c>
      <c r="Q2456" s="3390"/>
      <c r="R2456" s="1721">
        <f>P2458+P2459+P2460+P2468+P2469+P2473</f>
        <v>46.067111661054</v>
      </c>
      <c r="S2456" s="16"/>
      <c r="T2456" s="16"/>
      <c r="U2456" s="16"/>
      <c r="V2456" s="16"/>
    </row>
    <row r="2457" spans="1:22">
      <c r="A2457" s="22"/>
      <c r="B2457" s="551"/>
      <c r="C2457" s="18"/>
      <c r="D2457" s="1400"/>
      <c r="E2457" s="2121"/>
      <c r="F2457" s="1368" t="s">
        <v>1</v>
      </c>
      <c r="G2457" s="1417"/>
      <c r="H2457" s="1390"/>
      <c r="I2457" s="1554"/>
      <c r="J2457" s="1367"/>
      <c r="K2457" s="1367"/>
      <c r="L2457" s="1554"/>
      <c r="M2457" s="1369"/>
      <c r="N2457" s="1369"/>
      <c r="O2457" s="1369"/>
      <c r="P2457" s="1367"/>
      <c r="Q2457" s="3387"/>
      <c r="R2457" s="3363"/>
      <c r="S2457" s="16"/>
      <c r="T2457" s="16"/>
      <c r="U2457" s="16"/>
      <c r="V2457" s="16"/>
    </row>
    <row r="2458" spans="1:22">
      <c r="A2458" s="22"/>
      <c r="B2458" s="553"/>
      <c r="C2458" s="1042"/>
      <c r="D2458" s="1400" t="s">
        <v>1817</v>
      </c>
      <c r="E2458" s="1856" t="s">
        <v>1521</v>
      </c>
      <c r="F2458" s="1421" t="s">
        <v>1785</v>
      </c>
      <c r="G2458" s="1399">
        <v>1.2E-2</v>
      </c>
      <c r="H2458" s="1400"/>
      <c r="I2458" s="27"/>
      <c r="J2458" s="10"/>
      <c r="K2458" s="1307">
        <f>G2458*$K$2456</f>
        <v>1.008216E-2</v>
      </c>
      <c r="L2458" s="1335">
        <f t="shared" ref="L2458:L2459" si="131">K2458*$K$2352</f>
        <v>0</v>
      </c>
      <c r="M2458" s="1499">
        <v>236.83</v>
      </c>
      <c r="N2458" s="1701"/>
      <c r="O2458" s="1290">
        <f>(G2458*M2458)</f>
        <v>2.8419600000000003</v>
      </c>
      <c r="P2458" s="1332">
        <f>M2458*K2458</f>
        <v>2.3877579527999999</v>
      </c>
      <c r="Q2458" s="3391"/>
      <c r="R2458" s="3363"/>
      <c r="S2458" s="16"/>
      <c r="T2458" s="16"/>
      <c r="U2458" s="16"/>
      <c r="V2458" s="16"/>
    </row>
    <row r="2459" spans="1:22">
      <c r="A2459" s="22"/>
      <c r="B2459" s="553"/>
      <c r="C2459" s="1042"/>
      <c r="D2459" s="1400" t="s">
        <v>1786</v>
      </c>
      <c r="E2459" s="1856" t="s">
        <v>1787</v>
      </c>
      <c r="F2459" s="1421" t="s">
        <v>1788</v>
      </c>
      <c r="G2459" s="1399">
        <v>0.45</v>
      </c>
      <c r="H2459" s="1400"/>
      <c r="I2459" s="1760"/>
      <c r="J2459" s="198"/>
      <c r="K2459" s="1307">
        <f>G2459*$K$2456</f>
        <v>0.378081</v>
      </c>
      <c r="L2459" s="1335">
        <f t="shared" si="131"/>
        <v>0</v>
      </c>
      <c r="M2459" s="1499">
        <v>1.54</v>
      </c>
      <c r="N2459" s="1701"/>
      <c r="O2459" s="1290">
        <f>(G2459*M2459)</f>
        <v>0.69300000000000006</v>
      </c>
      <c r="P2459" s="1332">
        <f>M2459*K2459</f>
        <v>0.58224474000000004</v>
      </c>
      <c r="Q2459" s="3391"/>
      <c r="R2459" s="3363"/>
      <c r="S2459" s="16"/>
      <c r="T2459" s="16"/>
      <c r="U2459" s="16"/>
      <c r="V2459" s="16"/>
    </row>
    <row r="2460" spans="1:22">
      <c r="A2460" s="22"/>
      <c r="B2460" s="553"/>
      <c r="C2460" s="1356" t="s">
        <v>1790</v>
      </c>
      <c r="D2460" s="1311"/>
      <c r="E2460" s="2137" t="s">
        <v>1517</v>
      </c>
      <c r="F2460" s="1343" t="s">
        <v>1791</v>
      </c>
      <c r="G2460" s="1344"/>
      <c r="H2460" s="1344">
        <v>3.5000000000000003E-2</v>
      </c>
      <c r="I2460" s="1444"/>
      <c r="J2460" s="1388"/>
      <c r="K2460" s="1445"/>
      <c r="L2460" s="1457"/>
      <c r="M2460" s="1446"/>
      <c r="N2460" s="1447">
        <f>SUM(N2461:N2465)</f>
        <v>76.906580000000005</v>
      </c>
      <c r="O2460" s="1447">
        <f>SUM(O2461:O2465)</f>
        <v>2.6917303000000006</v>
      </c>
      <c r="P2460" s="1447">
        <f>SUM(P2461:P2465)</f>
        <v>2.2615379634539998</v>
      </c>
      <c r="Q2460" s="3391"/>
      <c r="R2460" s="3363"/>
      <c r="S2460" s="16"/>
      <c r="T2460" s="16"/>
      <c r="U2460" s="16"/>
      <c r="V2460" s="16"/>
    </row>
    <row r="2461" spans="1:22">
      <c r="A2461" s="22"/>
      <c r="B2461" s="553"/>
      <c r="C2461" s="1327"/>
      <c r="D2461" s="1756" t="s">
        <v>1069</v>
      </c>
      <c r="E2461" s="1852" t="s">
        <v>1517</v>
      </c>
      <c r="F2461" s="1784" t="s">
        <v>1578</v>
      </c>
      <c r="G2461" s="1399">
        <v>0.2</v>
      </c>
      <c r="H2461" s="1399">
        <f>G2461*$H$2460</f>
        <v>7.000000000000001E-3</v>
      </c>
      <c r="I2461" s="197"/>
      <c r="J2461" s="198"/>
      <c r="K2461" s="1307">
        <f>H2461*$K$2456</f>
        <v>5.8812600000000001E-3</v>
      </c>
      <c r="L2461" s="1335">
        <f t="shared" ref="L2461:L2465" si="132">K2461*$K$2352</f>
        <v>0</v>
      </c>
      <c r="M2461" s="1499">
        <v>0.55000000000000004</v>
      </c>
      <c r="N2461" s="1718">
        <f>G2461*M2461</f>
        <v>0.11000000000000001</v>
      </c>
      <c r="O2461" s="1719">
        <f>H2461*M2461</f>
        <v>3.850000000000001E-3</v>
      </c>
      <c r="P2461" s="1720">
        <f>M2461*K2461</f>
        <v>3.2346930000000003E-3</v>
      </c>
      <c r="Q2461" s="3396"/>
      <c r="R2461" s="3363"/>
      <c r="S2461" s="16"/>
      <c r="T2461" s="16"/>
      <c r="U2461" s="16"/>
      <c r="V2461" s="16"/>
    </row>
    <row r="2462" spans="1:22">
      <c r="A2462" s="22"/>
      <c r="B2462" s="553"/>
      <c r="C2462" s="1320"/>
      <c r="D2462" s="1756" t="s">
        <v>1792</v>
      </c>
      <c r="E2462" s="1852" t="s">
        <v>1577</v>
      </c>
      <c r="F2462" s="1752" t="s">
        <v>1793</v>
      </c>
      <c r="G2462" s="1399">
        <v>0.25</v>
      </c>
      <c r="H2462" s="1399">
        <f t="shared" ref="H2462:H2465" si="133">G2462*$H$2460</f>
        <v>8.7500000000000008E-3</v>
      </c>
      <c r="I2462" s="197"/>
      <c r="J2462" s="198"/>
      <c r="K2462" s="1307">
        <f t="shared" ref="K2462:K2465" si="134">H2462*$K$2456</f>
        <v>7.351575E-3</v>
      </c>
      <c r="L2462" s="1335">
        <f t="shared" si="132"/>
        <v>0</v>
      </c>
      <c r="M2462" s="1499">
        <v>85.09</v>
      </c>
      <c r="N2462" s="1718">
        <f>G2462*M2462</f>
        <v>21.272500000000001</v>
      </c>
      <c r="O2462" s="1719">
        <f>H2462*M2462</f>
        <v>0.74453750000000007</v>
      </c>
      <c r="P2462" s="1720">
        <f>M2462*K2462</f>
        <v>0.62554551675000003</v>
      </c>
      <c r="Q2462" s="3396"/>
      <c r="R2462" s="3363"/>
      <c r="S2462" s="16"/>
      <c r="T2462" s="16"/>
      <c r="U2462" s="16"/>
      <c r="V2462" s="16"/>
    </row>
    <row r="2463" spans="1:22">
      <c r="A2463" s="22"/>
      <c r="B2463" s="553"/>
      <c r="C2463" s="1320"/>
      <c r="D2463" s="1756" t="s">
        <v>1394</v>
      </c>
      <c r="E2463" s="1852" t="s">
        <v>1577</v>
      </c>
      <c r="F2463" s="1752" t="s">
        <v>1579</v>
      </c>
      <c r="G2463" s="1399">
        <v>0.25</v>
      </c>
      <c r="H2463" s="1399">
        <f t="shared" si="133"/>
        <v>8.7500000000000008E-3</v>
      </c>
      <c r="I2463" s="197"/>
      <c r="J2463" s="198"/>
      <c r="K2463" s="1307">
        <f t="shared" si="134"/>
        <v>7.351575E-3</v>
      </c>
      <c r="L2463" s="1335">
        <f t="shared" si="132"/>
        <v>0</v>
      </c>
      <c r="M2463" s="1499">
        <v>92.54</v>
      </c>
      <c r="N2463" s="1718">
        <f>G2463*M2463</f>
        <v>23.135000000000002</v>
      </c>
      <c r="O2463" s="1719">
        <f>H2463*M2463</f>
        <v>0.80972500000000014</v>
      </c>
      <c r="P2463" s="1720">
        <f>M2463*K2463</f>
        <v>0.68031475050000001</v>
      </c>
      <c r="Q2463" s="3396"/>
      <c r="R2463" s="3363"/>
      <c r="S2463" s="16"/>
      <c r="T2463" s="16"/>
      <c r="U2463" s="16"/>
      <c r="V2463" s="16"/>
    </row>
    <row r="2464" spans="1:22">
      <c r="A2464" s="22"/>
      <c r="B2464" s="553"/>
      <c r="C2464" s="1320"/>
      <c r="D2464" s="1756" t="s">
        <v>1576</v>
      </c>
      <c r="E2464" s="1852" t="s">
        <v>1517</v>
      </c>
      <c r="F2464" s="1752" t="s">
        <v>1580</v>
      </c>
      <c r="G2464" s="1399">
        <v>1.5</v>
      </c>
      <c r="H2464" s="1399">
        <f t="shared" si="133"/>
        <v>5.2500000000000005E-2</v>
      </c>
      <c r="I2464" s="197"/>
      <c r="J2464" s="198"/>
      <c r="K2464" s="1307">
        <f t="shared" si="134"/>
        <v>4.4109450000000001E-2</v>
      </c>
      <c r="L2464" s="1335">
        <f t="shared" si="132"/>
        <v>0</v>
      </c>
      <c r="M2464" s="1499">
        <v>6.53</v>
      </c>
      <c r="N2464" s="1718">
        <f>G2464*M2464</f>
        <v>9.7949999999999999</v>
      </c>
      <c r="O2464" s="1719">
        <f>H2464*M2464</f>
        <v>0.34282500000000005</v>
      </c>
      <c r="P2464" s="1720">
        <f>M2464*K2464</f>
        <v>0.28803470850000001</v>
      </c>
      <c r="Q2464" s="3396"/>
      <c r="R2464" s="3363"/>
      <c r="S2464" s="16"/>
      <c r="T2464" s="16"/>
      <c r="U2464" s="16"/>
      <c r="V2464" s="16"/>
    </row>
    <row r="2465" spans="1:22">
      <c r="A2465" s="22"/>
      <c r="B2465" s="553"/>
      <c r="C2465" s="1320"/>
      <c r="D2465" s="1811" t="s">
        <v>1067</v>
      </c>
      <c r="E2465" s="2171" t="s">
        <v>1508</v>
      </c>
      <c r="F2465" s="1812" t="s">
        <v>1512</v>
      </c>
      <c r="G2465" s="1408">
        <v>1.236</v>
      </c>
      <c r="H2465" s="1408">
        <f t="shared" si="133"/>
        <v>4.3260000000000007E-2</v>
      </c>
      <c r="I2465" s="197"/>
      <c r="J2465" s="198"/>
      <c r="K2465" s="1307">
        <f t="shared" si="134"/>
        <v>3.6346186799999999E-2</v>
      </c>
      <c r="L2465" s="1335">
        <f t="shared" si="132"/>
        <v>0</v>
      </c>
      <c r="M2465" s="1499">
        <v>18.28</v>
      </c>
      <c r="N2465" s="1718">
        <f>G2465*M2465</f>
        <v>22.594080000000002</v>
      </c>
      <c r="O2465" s="1719">
        <f>H2465*M2465</f>
        <v>0.79079280000000018</v>
      </c>
      <c r="P2465" s="1720">
        <f>M2465*K2465</f>
        <v>0.66440829470399998</v>
      </c>
      <c r="Q2465" s="3396"/>
      <c r="R2465" s="3363"/>
      <c r="S2465" s="16"/>
      <c r="T2465" s="16"/>
      <c r="U2465" s="16"/>
      <c r="V2465" s="16"/>
    </row>
    <row r="2466" spans="1:22">
      <c r="A2466" s="22"/>
      <c r="B2466" s="553"/>
      <c r="C2466" s="1320"/>
      <c r="D2466" s="2257"/>
      <c r="E2466" s="2258"/>
      <c r="F2466" s="2257"/>
      <c r="G2466" s="2233"/>
      <c r="H2466" s="1399"/>
      <c r="I2466" s="197"/>
      <c r="J2466" s="198"/>
      <c r="K2466" s="1307"/>
      <c r="L2466" s="1335"/>
      <c r="M2466" s="1499"/>
      <c r="N2466" s="1724"/>
      <c r="O2466" s="1719"/>
      <c r="P2466" s="1720"/>
      <c r="Q2466" s="3396"/>
      <c r="R2466" s="3363"/>
      <c r="S2466" s="16"/>
      <c r="T2466" s="16"/>
      <c r="U2466" s="16"/>
      <c r="V2466" s="16"/>
    </row>
    <row r="2467" spans="1:22">
      <c r="A2467" s="22"/>
      <c r="B2467" s="553"/>
      <c r="C2467" s="1042"/>
      <c r="D2467" s="1410"/>
      <c r="E2467" s="1858"/>
      <c r="F2467" s="1360" t="s">
        <v>2</v>
      </c>
      <c r="G2467" s="1360"/>
      <c r="H2467" s="1362"/>
      <c r="I2467" s="1380"/>
      <c r="J2467" s="1381"/>
      <c r="K2467" s="1359"/>
      <c r="L2467" s="1458"/>
      <c r="M2467" s="1502"/>
      <c r="N2467" s="1502"/>
      <c r="O2467" s="1362"/>
      <c r="P2467" s="1359"/>
      <c r="Q2467" s="3387"/>
      <c r="R2467" s="3363"/>
      <c r="S2467" s="17"/>
      <c r="T2467" s="17"/>
      <c r="U2467" s="16"/>
      <c r="V2467" s="16"/>
    </row>
    <row r="2468" spans="1:22">
      <c r="A2468" s="22"/>
      <c r="B2468" s="553"/>
      <c r="C2468" s="1042"/>
      <c r="D2468" s="1655" t="s">
        <v>1806</v>
      </c>
      <c r="E2468" s="1857" t="s">
        <v>1508</v>
      </c>
      <c r="F2468" s="1403" t="s">
        <v>1818</v>
      </c>
      <c r="G2468" s="1365">
        <v>1.28</v>
      </c>
      <c r="H2468" s="1365"/>
      <c r="I2468" s="198"/>
      <c r="J2468" s="6"/>
      <c r="K2468" s="1307">
        <f>G2468*$K$2456</f>
        <v>1.0754303999999999</v>
      </c>
      <c r="L2468" s="1335">
        <f t="shared" ref="L2468:L2469" si="135">K2468*$K$2352</f>
        <v>0</v>
      </c>
      <c r="M2468" s="1499">
        <v>19.23</v>
      </c>
      <c r="N2468" s="1701"/>
      <c r="O2468" s="1290">
        <f>(G2468*M2468)</f>
        <v>24.6144</v>
      </c>
      <c r="P2468" s="1332">
        <f>M2468*K2468</f>
        <v>20.680526592</v>
      </c>
      <c r="Q2468" s="3391"/>
      <c r="R2468" s="3363"/>
      <c r="S2468" s="105"/>
      <c r="T2468" s="105"/>
      <c r="U2468" s="16"/>
      <c r="V2468" s="16"/>
    </row>
    <row r="2469" spans="1:22">
      <c r="A2469" s="22"/>
      <c r="B2469" s="553"/>
      <c r="C2469" s="1042"/>
      <c r="D2469" s="1364" t="s">
        <v>1067</v>
      </c>
      <c r="E2469" s="2148" t="s">
        <v>1508</v>
      </c>
      <c r="F2469" s="1473" t="s">
        <v>1512</v>
      </c>
      <c r="G2469" s="1365">
        <v>0.58199999999999996</v>
      </c>
      <c r="H2469" s="1365"/>
      <c r="I2469" s="198"/>
      <c r="J2469" s="6"/>
      <c r="K2469" s="1307">
        <f>G2469*$K$2456</f>
        <v>0.48898475999999991</v>
      </c>
      <c r="L2469" s="1335">
        <f t="shared" si="135"/>
        <v>0</v>
      </c>
      <c r="M2469" s="1499">
        <v>18.28</v>
      </c>
      <c r="N2469" s="1701"/>
      <c r="O2469" s="1290">
        <f>(G2469*M2469)</f>
        <v>10.638959999999999</v>
      </c>
      <c r="P2469" s="1332">
        <f>M2469*K2469</f>
        <v>8.9386414127999991</v>
      </c>
      <c r="Q2469" s="3391"/>
      <c r="R2469" s="3363"/>
      <c r="S2469" s="16"/>
      <c r="T2469" s="16"/>
      <c r="U2469" s="16"/>
      <c r="V2469" s="16"/>
    </row>
    <row r="2470" spans="1:22">
      <c r="A2470" s="22"/>
      <c r="B2470" s="553"/>
      <c r="C2470" s="1042"/>
      <c r="D2470" s="1623"/>
      <c r="E2470" s="2158"/>
      <c r="F2470" s="1801"/>
      <c r="G2470" s="1359"/>
      <c r="H2470" s="1803"/>
      <c r="I2470" s="198"/>
      <c r="J2470" s="6"/>
      <c r="K2470" s="1307"/>
      <c r="L2470" s="1335"/>
      <c r="M2470" s="1499"/>
      <c r="N2470" s="1701"/>
      <c r="O2470" s="1290"/>
      <c r="P2470" s="1332"/>
      <c r="Q2470" s="3391"/>
      <c r="R2470" s="3363"/>
      <c r="S2470" s="16"/>
      <c r="T2470" s="16"/>
      <c r="U2470" s="16"/>
      <c r="V2470" s="16"/>
    </row>
    <row r="2471" spans="1:22">
      <c r="A2471" s="22"/>
      <c r="B2471" s="553"/>
      <c r="C2471" s="1042"/>
      <c r="D2471" s="1623"/>
      <c r="E2471" s="2158"/>
      <c r="F2471" s="1801"/>
      <c r="G2471" s="1359"/>
      <c r="H2471" s="1803"/>
      <c r="I2471" s="198"/>
      <c r="J2471" s="6"/>
      <c r="K2471" s="1307"/>
      <c r="L2471" s="1335"/>
      <c r="M2471" s="1499"/>
      <c r="N2471" s="1701"/>
      <c r="O2471" s="1290"/>
      <c r="P2471" s="1332"/>
      <c r="Q2471" s="3391"/>
      <c r="R2471" s="3363"/>
      <c r="S2471" s="16"/>
      <c r="T2471" s="16"/>
      <c r="U2471" s="16"/>
      <c r="V2471" s="16"/>
    </row>
    <row r="2472" spans="1:22">
      <c r="A2472" s="22"/>
      <c r="B2472" s="553"/>
      <c r="C2472" s="1042"/>
      <c r="D2472" s="1411"/>
      <c r="E2472" s="2123"/>
      <c r="F2472" s="1802" t="s">
        <v>3</v>
      </c>
      <c r="G2472" s="1475"/>
      <c r="H2472" s="1505"/>
      <c r="I2472" s="1382"/>
      <c r="J2472" s="1383"/>
      <c r="K2472" s="1373"/>
      <c r="L2472" s="1413"/>
      <c r="M2472" s="1505"/>
      <c r="N2472" s="1505"/>
      <c r="O2472" s="1376"/>
      <c r="P2472" s="1413"/>
      <c r="Q2472" s="3387"/>
      <c r="R2472" s="3363"/>
      <c r="S2472" s="16"/>
      <c r="T2472" s="16"/>
      <c r="U2472" s="16"/>
      <c r="V2472" s="16"/>
    </row>
    <row r="2473" spans="1:22">
      <c r="A2473" s="22"/>
      <c r="B2473" s="553"/>
      <c r="C2473" s="1042"/>
      <c r="D2473" s="1411" t="s">
        <v>1686</v>
      </c>
      <c r="E2473" s="2123" t="s">
        <v>1803</v>
      </c>
      <c r="F2473" s="1837" t="s">
        <v>1688</v>
      </c>
      <c r="G2473" s="1376">
        <v>1.78</v>
      </c>
      <c r="H2473" s="1376"/>
      <c r="I2473" s="198"/>
      <c r="J2473" s="6"/>
      <c r="K2473" s="1307">
        <f>G2473*$K$2456</f>
        <v>1.4955204</v>
      </c>
      <c r="L2473" s="1335">
        <f>K2473*$K$2352</f>
        <v>0</v>
      </c>
      <c r="M2473" s="1499">
        <v>7.5</v>
      </c>
      <c r="N2473" s="1701"/>
      <c r="O2473" s="1290">
        <f>(G2473*M2473)</f>
        <v>13.35</v>
      </c>
      <c r="P2473" s="1332">
        <f>M2473*K2473</f>
        <v>11.216403</v>
      </c>
      <c r="Q2473" s="3391"/>
      <c r="R2473" s="3363"/>
      <c r="S2473" s="16"/>
      <c r="T2473" s="16"/>
      <c r="U2473" s="16"/>
      <c r="V2473" s="16"/>
    </row>
    <row r="2474" spans="1:22">
      <c r="A2474" s="22"/>
      <c r="B2474" s="553"/>
      <c r="C2474" s="1042"/>
      <c r="D2474" s="1411"/>
      <c r="E2474" s="2123"/>
      <c r="F2474" s="1475"/>
      <c r="G2474" s="1475"/>
      <c r="H2474" s="1376"/>
      <c r="I2474" s="198"/>
      <c r="J2474" s="6"/>
      <c r="K2474" s="1307"/>
      <c r="L2474" s="1335"/>
      <c r="M2474" s="1499"/>
      <c r="N2474" s="1701"/>
      <c r="O2474" s="1290"/>
      <c r="P2474" s="1332"/>
      <c r="Q2474" s="3391"/>
      <c r="R2474" s="3363"/>
      <c r="S2474" s="16"/>
      <c r="T2474" s="16"/>
      <c r="U2474" s="16"/>
      <c r="V2474" s="16"/>
    </row>
    <row r="2475" spans="1:22">
      <c r="A2475" s="22"/>
      <c r="B2475" s="554"/>
      <c r="C2475" s="223"/>
      <c r="D2475" s="1808"/>
      <c r="E2475" s="2132"/>
      <c r="F2475" s="1804"/>
      <c r="G2475" s="1804"/>
      <c r="H2475" s="1805"/>
      <c r="I2475" s="197"/>
      <c r="J2475" s="1806"/>
      <c r="K2475" s="1307"/>
      <c r="L2475" s="1335"/>
      <c r="M2475" s="1701"/>
      <c r="N2475" s="1701"/>
      <c r="O2475" s="1290"/>
      <c r="P2475" s="1333"/>
      <c r="Q2475" s="3391"/>
      <c r="R2475" s="3363"/>
      <c r="S2475" s="16"/>
      <c r="T2475" s="16"/>
      <c r="U2475" s="16"/>
      <c r="V2475" s="16"/>
    </row>
    <row r="2476" spans="1:22">
      <c r="A2476" s="19" t="s">
        <v>3764</v>
      </c>
      <c r="B2476" s="4325" t="s">
        <v>1819</v>
      </c>
      <c r="C2476" s="3350"/>
      <c r="D2476" s="4327"/>
      <c r="E2476" s="4329" t="s">
        <v>1527</v>
      </c>
      <c r="F2476" s="4336" t="s">
        <v>1820</v>
      </c>
      <c r="G2476" s="4331" t="s">
        <v>1568</v>
      </c>
      <c r="H2476" s="4331" t="s">
        <v>1574</v>
      </c>
      <c r="I2476" s="1572" t="s">
        <v>1559</v>
      </c>
      <c r="J2476" s="1294" t="s">
        <v>1560</v>
      </c>
      <c r="K2476" s="1294" t="s">
        <v>1569</v>
      </c>
      <c r="L2476" s="4333" t="s">
        <v>3765</v>
      </c>
      <c r="M2476" s="4335" t="s">
        <v>1571</v>
      </c>
      <c r="N2476" s="4323" t="s">
        <v>1776</v>
      </c>
      <c r="O2476" s="3347" t="s">
        <v>1563</v>
      </c>
      <c r="P2476" s="1336" t="s">
        <v>1562</v>
      </c>
      <c r="Q2476" s="3389"/>
      <c r="R2476" s="1699" t="s">
        <v>1327</v>
      </c>
      <c r="S2476" s="16"/>
      <c r="T2476" s="16"/>
      <c r="U2476" s="16"/>
      <c r="V2476" s="16"/>
    </row>
    <row r="2477" spans="1:22">
      <c r="A2477" s="1807" t="s">
        <v>1887</v>
      </c>
      <c r="B2477" s="4326"/>
      <c r="C2477" s="3351"/>
      <c r="D2477" s="4328"/>
      <c r="E2477" s="4330"/>
      <c r="F2477" s="4336"/>
      <c r="G2477" s="4332"/>
      <c r="H2477" s="4332"/>
      <c r="I2477" s="1345">
        <v>22.11</v>
      </c>
      <c r="J2477" s="1307">
        <v>2E-3</v>
      </c>
      <c r="K2477" s="1307">
        <f>I2477*J2477</f>
        <v>4.4220000000000002E-2</v>
      </c>
      <c r="L2477" s="4334"/>
      <c r="M2477" s="4335"/>
      <c r="N2477" s="4324"/>
      <c r="O2477" s="1298">
        <f>O2479+O2480+O2481+O2482+O2490+O2491+O2495</f>
        <v>67.751446099999995</v>
      </c>
      <c r="P2477" s="1337">
        <f>O2477*K2477</f>
        <v>2.9959689465419999</v>
      </c>
      <c r="Q2477" s="3390"/>
      <c r="R2477" s="1721">
        <f>P2479+P2480+P2481+P2482+P2490+P2491+P2495</f>
        <v>2.9959689465419999</v>
      </c>
      <c r="S2477" s="16"/>
      <c r="T2477" s="16"/>
      <c r="U2477" s="16"/>
      <c r="V2477" s="16"/>
    </row>
    <row r="2478" spans="1:22">
      <c r="A2478" s="22"/>
      <c r="B2478" s="551"/>
      <c r="C2478" s="18"/>
      <c r="D2478" s="1400"/>
      <c r="E2478" s="2121"/>
      <c r="F2478" s="1368" t="s">
        <v>1</v>
      </c>
      <c r="G2478" s="1417"/>
      <c r="H2478" s="1390"/>
      <c r="I2478" s="1554"/>
      <c r="J2478" s="1367"/>
      <c r="K2478" s="1367"/>
      <c r="L2478" s="1554"/>
      <c r="M2478" s="1369"/>
      <c r="N2478" s="1369"/>
      <c r="O2478" s="1369"/>
      <c r="P2478" s="1367"/>
      <c r="Q2478" s="3387"/>
      <c r="R2478" s="3363"/>
      <c r="S2478" s="16"/>
      <c r="T2478" s="16"/>
      <c r="U2478" s="16"/>
      <c r="V2478" s="16"/>
    </row>
    <row r="2479" spans="1:22" ht="15" customHeight="1">
      <c r="A2479" s="22"/>
      <c r="B2479" s="553"/>
      <c r="C2479" s="1042"/>
      <c r="D2479" s="1400" t="s">
        <v>1075</v>
      </c>
      <c r="E2479" s="1856" t="s">
        <v>1357</v>
      </c>
      <c r="F2479" s="1421" t="s">
        <v>1822</v>
      </c>
      <c r="G2479" s="1399">
        <v>1.25</v>
      </c>
      <c r="H2479" s="1400"/>
      <c r="I2479" s="27"/>
      <c r="J2479" s="10"/>
      <c r="K2479" s="1307">
        <f>G2479*$K$2477</f>
        <v>5.5275000000000005E-2</v>
      </c>
      <c r="L2479" s="1335">
        <f t="shared" ref="L2479:L2481" si="136">K2479*$K$2352</f>
        <v>0</v>
      </c>
      <c r="M2479" s="1499">
        <v>0.81</v>
      </c>
      <c r="N2479" s="1701"/>
      <c r="O2479" s="1290">
        <f>(G2479*M2479)</f>
        <v>1.0125000000000002</v>
      </c>
      <c r="P2479" s="1332">
        <f>M2479*K2479</f>
        <v>4.4772750000000007E-2</v>
      </c>
      <c r="Q2479" s="3391"/>
      <c r="R2479" s="3363"/>
      <c r="S2479" s="16"/>
      <c r="T2479" s="16"/>
      <c r="U2479" s="16"/>
      <c r="V2479" s="16"/>
    </row>
    <row r="2480" spans="1:22">
      <c r="A2480" s="22"/>
      <c r="B2480" s="553"/>
      <c r="C2480" s="1042"/>
      <c r="D2480" s="1400" t="s">
        <v>1817</v>
      </c>
      <c r="E2480" s="1856" t="s">
        <v>1521</v>
      </c>
      <c r="F2480" s="1421" t="s">
        <v>1785</v>
      </c>
      <c r="G2480" s="1399">
        <v>1.2E-2</v>
      </c>
      <c r="H2480" s="1400"/>
      <c r="I2480" s="27"/>
      <c r="J2480" s="10"/>
      <c r="K2480" s="1307">
        <f>G2480*$K$2477</f>
        <v>5.3064000000000008E-4</v>
      </c>
      <c r="L2480" s="1335">
        <f t="shared" si="136"/>
        <v>0</v>
      </c>
      <c r="M2480" s="1499">
        <v>236.83</v>
      </c>
      <c r="N2480" s="1701"/>
      <c r="O2480" s="1290">
        <f>(G2480*M2480)</f>
        <v>2.8419600000000003</v>
      </c>
      <c r="P2480" s="1332">
        <f>M2480*K2480</f>
        <v>0.12567147120000002</v>
      </c>
      <c r="Q2480" s="3391"/>
      <c r="R2480" s="3363"/>
      <c r="S2480" s="16"/>
      <c r="T2480" s="16"/>
      <c r="U2480" s="16"/>
      <c r="V2480" s="16"/>
    </row>
    <row r="2481" spans="1:22">
      <c r="A2481" s="22"/>
      <c r="B2481" s="553"/>
      <c r="C2481" s="1042"/>
      <c r="D2481" s="1400" t="s">
        <v>1786</v>
      </c>
      <c r="E2481" s="1856" t="s">
        <v>1787</v>
      </c>
      <c r="F2481" s="1421" t="s">
        <v>1788</v>
      </c>
      <c r="G2481" s="1399">
        <v>0.45</v>
      </c>
      <c r="H2481" s="1400"/>
      <c r="I2481" s="1760"/>
      <c r="J2481" s="198"/>
      <c r="K2481" s="1307">
        <f>G2481*$K$2477</f>
        <v>1.9899E-2</v>
      </c>
      <c r="L2481" s="1335">
        <f t="shared" si="136"/>
        <v>0</v>
      </c>
      <c r="M2481" s="1499">
        <v>1.54</v>
      </c>
      <c r="N2481" s="1701"/>
      <c r="O2481" s="1290">
        <f>(G2481*M2481)</f>
        <v>0.69300000000000006</v>
      </c>
      <c r="P2481" s="1332">
        <f>M2481*K2481</f>
        <v>3.0644460000000002E-2</v>
      </c>
      <c r="Q2481" s="3391"/>
      <c r="R2481" s="3363"/>
      <c r="S2481" s="16"/>
      <c r="T2481" s="16"/>
      <c r="U2481" s="16"/>
      <c r="V2481" s="16"/>
    </row>
    <row r="2482" spans="1:22">
      <c r="A2482" s="22"/>
      <c r="B2482" s="553"/>
      <c r="C2482" s="1356" t="s">
        <v>1790</v>
      </c>
      <c r="D2482" s="1311"/>
      <c r="E2482" s="2137" t="s">
        <v>1517</v>
      </c>
      <c r="F2482" s="1343" t="s">
        <v>1791</v>
      </c>
      <c r="G2482" s="1344"/>
      <c r="H2482" s="1344">
        <v>4.4999999999999998E-2</v>
      </c>
      <c r="I2482" s="1444"/>
      <c r="J2482" s="1388"/>
      <c r="K2482" s="1445"/>
      <c r="L2482" s="1457"/>
      <c r="M2482" s="1446"/>
      <c r="N2482" s="1447">
        <f>SUM(N2483:N2487)</f>
        <v>76.906580000000005</v>
      </c>
      <c r="O2482" s="1447">
        <f>SUM(O2483:O2487)</f>
        <v>3.4607960999999996</v>
      </c>
      <c r="P2482" s="1447">
        <f>SUM(P2483:P2487)</f>
        <v>0.15303640354200002</v>
      </c>
      <c r="Q2482" s="3391"/>
      <c r="R2482" s="3363"/>
      <c r="S2482" s="16"/>
      <c r="T2482" s="16"/>
      <c r="U2482" s="16"/>
      <c r="V2482" s="16"/>
    </row>
    <row r="2483" spans="1:22">
      <c r="A2483" s="22"/>
      <c r="B2483" s="553"/>
      <c r="C2483" s="1327"/>
      <c r="D2483" s="1756" t="s">
        <v>1069</v>
      </c>
      <c r="E2483" s="1852" t="s">
        <v>1517</v>
      </c>
      <c r="F2483" s="1784" t="s">
        <v>1578</v>
      </c>
      <c r="G2483" s="1399">
        <v>0.2</v>
      </c>
      <c r="H2483" s="1399">
        <f>G2483*$H$2075</f>
        <v>8.9999999999999993E-3</v>
      </c>
      <c r="I2483" s="197"/>
      <c r="J2483" s="198"/>
      <c r="K2483" s="1732">
        <f>H2483*$K$2477</f>
        <v>3.9797999999999998E-4</v>
      </c>
      <c r="L2483" s="1335">
        <f t="shared" ref="L2483:L2487" si="137">K2483*$K$2352</f>
        <v>0</v>
      </c>
      <c r="M2483" s="1499">
        <v>0.55000000000000004</v>
      </c>
      <c r="N2483" s="1718">
        <f>G2483*M2483</f>
        <v>0.11000000000000001</v>
      </c>
      <c r="O2483" s="1719">
        <f>H2483*M2483</f>
        <v>4.9500000000000004E-3</v>
      </c>
      <c r="P2483" s="1720">
        <f>M2483*K2483</f>
        <v>2.18889E-4</v>
      </c>
      <c r="Q2483" s="3396"/>
      <c r="R2483" s="3363"/>
      <c r="S2483" s="16"/>
      <c r="T2483" s="16"/>
      <c r="U2483" s="16"/>
      <c r="V2483" s="16"/>
    </row>
    <row r="2484" spans="1:22">
      <c r="A2484" s="22"/>
      <c r="B2484" s="553"/>
      <c r="C2484" s="1320"/>
      <c r="D2484" s="1756" t="s">
        <v>1792</v>
      </c>
      <c r="E2484" s="1852" t="s">
        <v>1577</v>
      </c>
      <c r="F2484" s="1752" t="s">
        <v>1793</v>
      </c>
      <c r="G2484" s="1399">
        <v>0.25</v>
      </c>
      <c r="H2484" s="1399">
        <f>G2484*$H$2075</f>
        <v>1.125E-2</v>
      </c>
      <c r="I2484" s="197"/>
      <c r="J2484" s="198"/>
      <c r="K2484" s="1732">
        <f>H2484*$K$2477</f>
        <v>4.9747500000000004E-4</v>
      </c>
      <c r="L2484" s="1335">
        <f t="shared" si="137"/>
        <v>0</v>
      </c>
      <c r="M2484" s="1499">
        <v>85.09</v>
      </c>
      <c r="N2484" s="1718">
        <f>G2484*M2484</f>
        <v>21.272500000000001</v>
      </c>
      <c r="O2484" s="1719">
        <f>H2484*M2484</f>
        <v>0.95726250000000002</v>
      </c>
      <c r="P2484" s="1720">
        <f>M2484*K2484</f>
        <v>4.2330147750000005E-2</v>
      </c>
      <c r="Q2484" s="3396"/>
      <c r="R2484" s="3363"/>
      <c r="S2484" s="16"/>
      <c r="T2484" s="16"/>
      <c r="U2484" s="16"/>
      <c r="V2484" s="16"/>
    </row>
    <row r="2485" spans="1:22">
      <c r="A2485" s="22"/>
      <c r="B2485" s="553"/>
      <c r="C2485" s="1320"/>
      <c r="D2485" s="1756" t="s">
        <v>1394</v>
      </c>
      <c r="E2485" s="1852" t="s">
        <v>1577</v>
      </c>
      <c r="F2485" s="1752" t="s">
        <v>1579</v>
      </c>
      <c r="G2485" s="1399">
        <v>0.25</v>
      </c>
      <c r="H2485" s="1399">
        <f>G2485*$H$2075</f>
        <v>1.125E-2</v>
      </c>
      <c r="I2485" s="197"/>
      <c r="J2485" s="198"/>
      <c r="K2485" s="1732">
        <f>H2485*$K$2477</f>
        <v>4.9747500000000004E-4</v>
      </c>
      <c r="L2485" s="1335">
        <f t="shared" si="137"/>
        <v>0</v>
      </c>
      <c r="M2485" s="1499">
        <v>92.54</v>
      </c>
      <c r="N2485" s="1718">
        <f>G2485*M2485</f>
        <v>23.135000000000002</v>
      </c>
      <c r="O2485" s="1719">
        <f>H2485*M2485</f>
        <v>1.041075</v>
      </c>
      <c r="P2485" s="1720">
        <f>M2485*K2485</f>
        <v>4.6036336500000004E-2</v>
      </c>
      <c r="Q2485" s="3396"/>
      <c r="R2485" s="3363"/>
      <c r="S2485" s="16"/>
      <c r="T2485" s="16"/>
      <c r="U2485" s="16"/>
      <c r="V2485" s="16"/>
    </row>
    <row r="2486" spans="1:22">
      <c r="A2486" s="22"/>
      <c r="B2486" s="553"/>
      <c r="C2486" s="1320"/>
      <c r="D2486" s="1756" t="s">
        <v>1576</v>
      </c>
      <c r="E2486" s="1852" t="s">
        <v>1517</v>
      </c>
      <c r="F2486" s="1752" t="s">
        <v>1580</v>
      </c>
      <c r="G2486" s="1399">
        <v>1.5</v>
      </c>
      <c r="H2486" s="1399">
        <f>G2486*$H$2075</f>
        <v>6.7500000000000004E-2</v>
      </c>
      <c r="I2486" s="197"/>
      <c r="J2486" s="198"/>
      <c r="K2486" s="1732">
        <f>H2486*$K$2477</f>
        <v>2.9848500000000003E-3</v>
      </c>
      <c r="L2486" s="1335">
        <f t="shared" si="137"/>
        <v>0</v>
      </c>
      <c r="M2486" s="1499">
        <v>6.53</v>
      </c>
      <c r="N2486" s="1718">
        <f>G2486*M2486</f>
        <v>9.7949999999999999</v>
      </c>
      <c r="O2486" s="1719">
        <f>H2486*M2486</f>
        <v>0.44077500000000003</v>
      </c>
      <c r="P2486" s="1720">
        <f>M2486*K2486</f>
        <v>1.9491070500000002E-2</v>
      </c>
      <c r="Q2486" s="3396"/>
      <c r="R2486" s="3363"/>
      <c r="S2486" s="16"/>
      <c r="T2486" s="16"/>
      <c r="U2486" s="16"/>
      <c r="V2486" s="16"/>
    </row>
    <row r="2487" spans="1:22">
      <c r="A2487" s="22"/>
      <c r="B2487" s="553"/>
      <c r="C2487" s="1320"/>
      <c r="D2487" s="1811" t="s">
        <v>1067</v>
      </c>
      <c r="E2487" s="2171" t="s">
        <v>1508</v>
      </c>
      <c r="F2487" s="1812" t="s">
        <v>1512</v>
      </c>
      <c r="G2487" s="1408">
        <v>1.236</v>
      </c>
      <c r="H2487" s="1408">
        <f>G2487*$H$2075</f>
        <v>5.5619999999999996E-2</v>
      </c>
      <c r="I2487" s="197"/>
      <c r="J2487" s="198"/>
      <c r="K2487" s="1732">
        <f>H2487*$K$2477</f>
        <v>2.4595163999999998E-3</v>
      </c>
      <c r="L2487" s="1335">
        <f t="shared" si="137"/>
        <v>0</v>
      </c>
      <c r="M2487" s="1499">
        <v>18.28</v>
      </c>
      <c r="N2487" s="1718">
        <f>G2487*M2487</f>
        <v>22.594080000000002</v>
      </c>
      <c r="O2487" s="1719">
        <f>H2487*M2487</f>
        <v>1.0167336</v>
      </c>
      <c r="P2487" s="1720">
        <f>M2487*K2487</f>
        <v>4.4959959792000001E-2</v>
      </c>
      <c r="Q2487" s="3396"/>
      <c r="R2487" s="3363"/>
      <c r="S2487" s="16"/>
      <c r="T2487" s="16"/>
      <c r="U2487" s="16"/>
      <c r="V2487" s="16"/>
    </row>
    <row r="2488" spans="1:22">
      <c r="A2488" s="22"/>
      <c r="B2488" s="553"/>
      <c r="C2488" s="1320"/>
      <c r="D2488" s="2257"/>
      <c r="E2488" s="2258"/>
      <c r="F2488" s="2257"/>
      <c r="G2488" s="2233"/>
      <c r="H2488" s="1399"/>
      <c r="I2488" s="197"/>
      <c r="J2488" s="198"/>
      <c r="K2488" s="1732"/>
      <c r="L2488" s="1335"/>
      <c r="M2488" s="1499"/>
      <c r="N2488" s="1724"/>
      <c r="O2488" s="1719"/>
      <c r="P2488" s="1720"/>
      <c r="Q2488" s="3396"/>
      <c r="R2488" s="3363"/>
      <c r="S2488" s="16"/>
      <c r="T2488" s="16"/>
      <c r="U2488" s="16"/>
      <c r="V2488" s="16"/>
    </row>
    <row r="2489" spans="1:22">
      <c r="A2489" s="22"/>
      <c r="B2489" s="553"/>
      <c r="C2489" s="1042"/>
      <c r="D2489" s="1410"/>
      <c r="E2489" s="1858"/>
      <c r="F2489" s="1360" t="s">
        <v>2</v>
      </c>
      <c r="G2489" s="1360"/>
      <c r="H2489" s="1362"/>
      <c r="I2489" s="1380"/>
      <c r="J2489" s="1381"/>
      <c r="K2489" s="1359"/>
      <c r="L2489" s="1458"/>
      <c r="M2489" s="1502"/>
      <c r="N2489" s="1502"/>
      <c r="O2489" s="1362"/>
      <c r="P2489" s="1359"/>
      <c r="Q2489" s="3387"/>
      <c r="R2489" s="3363"/>
      <c r="S2489" s="16"/>
      <c r="T2489" s="16"/>
      <c r="U2489" s="16"/>
      <c r="V2489" s="16"/>
    </row>
    <row r="2490" spans="1:22">
      <c r="A2490" s="22"/>
      <c r="B2490" s="553"/>
      <c r="C2490" s="1042"/>
      <c r="D2490" s="1655" t="s">
        <v>1806</v>
      </c>
      <c r="E2490" s="1857" t="s">
        <v>1508</v>
      </c>
      <c r="F2490" s="1403" t="s">
        <v>1818</v>
      </c>
      <c r="G2490" s="1365">
        <v>1.5129999999999999</v>
      </c>
      <c r="H2490" s="1365"/>
      <c r="I2490" s="198"/>
      <c r="J2490" s="6"/>
      <c r="K2490" s="1307">
        <f>G2490*$K$2477</f>
        <v>6.6904859999999997E-2</v>
      </c>
      <c r="L2490" s="1335">
        <f t="shared" ref="L2490:L2491" si="138">K2490*$K$2352</f>
        <v>0</v>
      </c>
      <c r="M2490" s="1499">
        <v>19.23</v>
      </c>
      <c r="N2490" s="1701"/>
      <c r="O2490" s="1290">
        <f>(G2490*M2490)</f>
        <v>29.094989999999999</v>
      </c>
      <c r="P2490" s="1332">
        <f>M2490*K2490</f>
        <v>1.2865804578</v>
      </c>
      <c r="Q2490" s="3391"/>
      <c r="R2490" s="3363"/>
      <c r="S2490" s="16"/>
      <c r="T2490" s="16"/>
      <c r="U2490" s="16"/>
      <c r="V2490" s="16"/>
    </row>
    <row r="2491" spans="1:22">
      <c r="A2491" s="22"/>
      <c r="B2491" s="553"/>
      <c r="C2491" s="1042"/>
      <c r="D2491" s="1364" t="s">
        <v>1067</v>
      </c>
      <c r="E2491" s="2148" t="s">
        <v>1508</v>
      </c>
      <c r="F2491" s="1473" t="s">
        <v>1512</v>
      </c>
      <c r="G2491" s="1365">
        <v>0.81499999999999995</v>
      </c>
      <c r="H2491" s="1365"/>
      <c r="I2491" s="198"/>
      <c r="J2491" s="6"/>
      <c r="K2491" s="1307">
        <f>G2491*$K$2477</f>
        <v>3.6039299999999996E-2</v>
      </c>
      <c r="L2491" s="1335">
        <f t="shared" si="138"/>
        <v>0</v>
      </c>
      <c r="M2491" s="1499">
        <v>18.28</v>
      </c>
      <c r="N2491" s="1701"/>
      <c r="O2491" s="1290">
        <f>(G2491*M2491)</f>
        <v>14.898199999999999</v>
      </c>
      <c r="P2491" s="1332">
        <f>M2491*K2491</f>
        <v>0.658798404</v>
      </c>
      <c r="Q2491" s="3391"/>
      <c r="R2491" s="3363"/>
      <c r="S2491" s="17"/>
      <c r="T2491" s="17"/>
      <c r="U2491" s="16"/>
      <c r="V2491" s="16"/>
    </row>
    <row r="2492" spans="1:22">
      <c r="A2492" s="22"/>
      <c r="B2492" s="553"/>
      <c r="C2492" s="1042"/>
      <c r="D2492" s="1623"/>
      <c r="E2492" s="2158"/>
      <c r="F2492" s="1801"/>
      <c r="G2492" s="1359"/>
      <c r="H2492" s="1803"/>
      <c r="I2492" s="198"/>
      <c r="J2492" s="6"/>
      <c r="K2492" s="1307"/>
      <c r="L2492" s="1335"/>
      <c r="M2492" s="1499"/>
      <c r="N2492" s="1701"/>
      <c r="O2492" s="1290"/>
      <c r="P2492" s="1332"/>
      <c r="Q2492" s="3391"/>
      <c r="R2492" s="3363"/>
      <c r="S2492" s="105"/>
      <c r="T2492" s="105"/>
      <c r="U2492" s="16"/>
      <c r="V2492" s="16"/>
    </row>
    <row r="2493" spans="1:22">
      <c r="A2493" s="22"/>
      <c r="B2493" s="553"/>
      <c r="C2493" s="1042"/>
      <c r="D2493" s="1623"/>
      <c r="E2493" s="2158"/>
      <c r="F2493" s="1801"/>
      <c r="G2493" s="1359"/>
      <c r="H2493" s="1803"/>
      <c r="I2493" s="198"/>
      <c r="J2493" s="6"/>
      <c r="K2493" s="1307"/>
      <c r="L2493" s="1335"/>
      <c r="M2493" s="1499"/>
      <c r="N2493" s="1701"/>
      <c r="O2493" s="1290"/>
      <c r="P2493" s="1332"/>
      <c r="Q2493" s="3391"/>
      <c r="R2493" s="3363"/>
      <c r="S2493" s="16"/>
      <c r="T2493" s="16"/>
      <c r="U2493" s="16"/>
      <c r="V2493" s="16"/>
    </row>
    <row r="2494" spans="1:22">
      <c r="A2494" s="22"/>
      <c r="B2494" s="553"/>
      <c r="C2494" s="1042"/>
      <c r="D2494" s="1411"/>
      <c r="E2494" s="2123"/>
      <c r="F2494" s="1802" t="s">
        <v>3</v>
      </c>
      <c r="G2494" s="1475"/>
      <c r="H2494" s="1505"/>
      <c r="I2494" s="1382"/>
      <c r="J2494" s="1383"/>
      <c r="K2494" s="1373"/>
      <c r="L2494" s="1413"/>
      <c r="M2494" s="1505"/>
      <c r="N2494" s="1505"/>
      <c r="O2494" s="1376"/>
      <c r="P2494" s="1413"/>
      <c r="Q2494" s="3387"/>
      <c r="R2494" s="3363"/>
      <c r="S2494" s="16"/>
      <c r="T2494" s="16"/>
      <c r="U2494" s="16"/>
      <c r="V2494" s="16"/>
    </row>
    <row r="2495" spans="1:22">
      <c r="A2495" s="22"/>
      <c r="B2495" s="553"/>
      <c r="C2495" s="1042"/>
      <c r="D2495" s="1411" t="s">
        <v>1686</v>
      </c>
      <c r="E2495" s="2123" t="s">
        <v>1803</v>
      </c>
      <c r="F2495" s="1837" t="s">
        <v>1688</v>
      </c>
      <c r="G2495" s="1376">
        <v>2.1</v>
      </c>
      <c r="H2495" s="1376"/>
      <c r="I2495" s="198"/>
      <c r="J2495" s="6"/>
      <c r="K2495" s="1307">
        <f>G2495*$K$2070</f>
        <v>9.2862000000000014E-2</v>
      </c>
      <c r="L2495" s="1335">
        <f>K2495*$K$2352</f>
        <v>0</v>
      </c>
      <c r="M2495" s="1499">
        <v>7.5</v>
      </c>
      <c r="N2495" s="1701"/>
      <c r="O2495" s="1290">
        <f>(G2495*M2495)</f>
        <v>15.75</v>
      </c>
      <c r="P2495" s="1332">
        <f>M2495*K2495</f>
        <v>0.69646500000000011</v>
      </c>
      <c r="Q2495" s="3391"/>
      <c r="R2495" s="3363"/>
      <c r="S2495" s="16"/>
      <c r="T2495" s="16"/>
      <c r="U2495" s="16"/>
      <c r="V2495" s="16"/>
    </row>
    <row r="2496" spans="1:22">
      <c r="A2496" s="22"/>
      <c r="B2496" s="553"/>
      <c r="C2496" s="1042"/>
      <c r="D2496" s="1411"/>
      <c r="E2496" s="2123"/>
      <c r="F2496" s="1475"/>
      <c r="G2496" s="1475"/>
      <c r="H2496" s="1376"/>
      <c r="I2496" s="198"/>
      <c r="J2496" s="6"/>
      <c r="K2496" s="1307"/>
      <c r="L2496" s="1335"/>
      <c r="M2496" s="1499"/>
      <c r="N2496" s="1701"/>
      <c r="O2496" s="1290"/>
      <c r="P2496" s="1332"/>
      <c r="Q2496" s="3391"/>
      <c r="R2496" s="3363"/>
      <c r="S2496" s="16"/>
      <c r="T2496" s="16"/>
      <c r="U2496" s="16"/>
      <c r="V2496" s="16"/>
    </row>
    <row r="2497" spans="1:22">
      <c r="A2497" s="22"/>
      <c r="B2497" s="554"/>
      <c r="C2497" s="223"/>
      <c r="D2497" s="1808"/>
      <c r="E2497" s="2132"/>
      <c r="F2497" s="1804"/>
      <c r="G2497" s="1804"/>
      <c r="H2497" s="1805"/>
      <c r="I2497" s="197"/>
      <c r="J2497" s="1806"/>
      <c r="K2497" s="1307"/>
      <c r="L2497" s="1335"/>
      <c r="M2497" s="1701"/>
      <c r="N2497" s="1701"/>
      <c r="O2497" s="1290"/>
      <c r="P2497" s="1333"/>
      <c r="Q2497" s="3391"/>
      <c r="R2497" s="3363"/>
      <c r="S2497" s="16"/>
      <c r="T2497" s="16"/>
      <c r="U2497" s="16"/>
      <c r="V2497" s="16"/>
    </row>
    <row r="2498" spans="1:22">
      <c r="A2498" s="19" t="s">
        <v>3764</v>
      </c>
      <c r="B2498" s="4325" t="s">
        <v>1736</v>
      </c>
      <c r="C2498" s="3350"/>
      <c r="D2498" s="4327"/>
      <c r="E2498" s="4329" t="s">
        <v>1527</v>
      </c>
      <c r="F2498" s="4336" t="s">
        <v>1772</v>
      </c>
      <c r="G2498" s="4331" t="s">
        <v>1568</v>
      </c>
      <c r="H2498" s="4331" t="s">
        <v>1574</v>
      </c>
      <c r="I2498" s="1572" t="s">
        <v>1559</v>
      </c>
      <c r="J2498" s="1294" t="s">
        <v>1560</v>
      </c>
      <c r="K2498" s="1294" t="s">
        <v>1561</v>
      </c>
      <c r="L2498" s="4333" t="s">
        <v>3765</v>
      </c>
      <c r="M2498" s="4335" t="s">
        <v>1571</v>
      </c>
      <c r="N2498" s="4323" t="s">
        <v>1776</v>
      </c>
      <c r="O2498" s="3347" t="s">
        <v>1563</v>
      </c>
      <c r="P2498" s="1336" t="s">
        <v>1562</v>
      </c>
      <c r="Q2498" s="3389"/>
      <c r="R2498" s="1699" t="s">
        <v>1327</v>
      </c>
      <c r="S2498" s="16"/>
      <c r="T2498" s="16"/>
      <c r="U2498" s="16"/>
      <c r="V2498" s="16"/>
    </row>
    <row r="2499" spans="1:22">
      <c r="A2499" s="1807" t="s">
        <v>1887</v>
      </c>
      <c r="B2499" s="4326"/>
      <c r="C2499" s="3351"/>
      <c r="D2499" s="4328"/>
      <c r="E2499" s="4330"/>
      <c r="F2499" s="4336"/>
      <c r="G2499" s="4332"/>
      <c r="H2499" s="4332"/>
      <c r="I2499" s="1345">
        <v>325.24</v>
      </c>
      <c r="J2499" s="1307">
        <v>2E-3</v>
      </c>
      <c r="K2499" s="1307">
        <f>I2499*J2499</f>
        <v>0.65048000000000006</v>
      </c>
      <c r="L2499" s="4334"/>
      <c r="M2499" s="4335"/>
      <c r="N2499" s="4324"/>
      <c r="O2499" s="1298">
        <f>O2501+O2502+O2503+O2507+O2511+O2519</f>
        <v>29.094884700000001</v>
      </c>
      <c r="P2499" s="1337">
        <f>O2499*K2499</f>
        <v>18.925640599656003</v>
      </c>
      <c r="Q2499" s="3390"/>
      <c r="R2499" s="1721">
        <f>P2501+P2502+P2503+P2507+P2511+P2519</f>
        <v>18.925640599656003</v>
      </c>
      <c r="S2499" s="16"/>
      <c r="T2499" s="16"/>
      <c r="U2499" s="16"/>
      <c r="V2499" s="16"/>
    </row>
    <row r="2500" spans="1:22">
      <c r="A2500" s="1320"/>
      <c r="B2500" s="22"/>
      <c r="C2500" s="18"/>
      <c r="D2500" s="1400"/>
      <c r="E2500" s="2121"/>
      <c r="F2500" s="1368" t="s">
        <v>1</v>
      </c>
      <c r="G2500" s="1368"/>
      <c r="H2500" s="1369"/>
      <c r="I2500" s="1391"/>
      <c r="J2500" s="1369"/>
      <c r="K2500" s="1367"/>
      <c r="L2500" s="1554"/>
      <c r="M2500" s="1369"/>
      <c r="N2500" s="1369"/>
      <c r="O2500" s="1369"/>
      <c r="P2500" s="1367"/>
      <c r="Q2500" s="3387"/>
      <c r="R2500" s="2344"/>
      <c r="S2500" s="16"/>
      <c r="T2500" s="16"/>
      <c r="U2500" s="16"/>
      <c r="V2500" s="16"/>
    </row>
    <row r="2501" spans="1:22">
      <c r="A2501" s="1320"/>
      <c r="B2501" s="22"/>
      <c r="C2501" s="1042"/>
      <c r="D2501" s="1767" t="s">
        <v>1784</v>
      </c>
      <c r="E2501" s="1849" t="s">
        <v>1521</v>
      </c>
      <c r="F2501" s="1654" t="s">
        <v>1785</v>
      </c>
      <c r="G2501" s="1567">
        <v>1E-3</v>
      </c>
      <c r="H2501" s="1567"/>
      <c r="I2501" s="1286"/>
      <c r="J2501" s="198"/>
      <c r="K2501" s="1307">
        <f>G2501*$K$2499</f>
        <v>6.5048000000000005E-4</v>
      </c>
      <c r="L2501" s="1335">
        <f t="shared" ref="L2501:L2502" si="139">K2501*$K$2352</f>
        <v>0</v>
      </c>
      <c r="M2501" s="1499">
        <v>236.83</v>
      </c>
      <c r="N2501" s="1700"/>
      <c r="O2501" s="1290">
        <f>G2501*M2501</f>
        <v>0.23683000000000001</v>
      </c>
      <c r="P2501" s="1332">
        <f>M2501*K2501</f>
        <v>0.15405317840000002</v>
      </c>
      <c r="Q2501" s="3391"/>
      <c r="R2501" s="2337"/>
      <c r="S2501" s="16"/>
      <c r="T2501" s="16"/>
      <c r="U2501" s="16"/>
      <c r="V2501" s="16"/>
    </row>
    <row r="2502" spans="1:22">
      <c r="A2502" s="1320"/>
      <c r="B2502" s="22"/>
      <c r="C2502" s="1042"/>
      <c r="D2502" s="1769" t="s">
        <v>1786</v>
      </c>
      <c r="E2502" s="1850" t="s">
        <v>1787</v>
      </c>
      <c r="F2502" s="1770" t="s">
        <v>1788</v>
      </c>
      <c r="G2502" s="1771">
        <v>1.1000000000000001</v>
      </c>
      <c r="H2502" s="1771"/>
      <c r="I2502" s="1286"/>
      <c r="J2502" s="198"/>
      <c r="K2502" s="1307">
        <f>G2502*$K$2499</f>
        <v>0.71552800000000016</v>
      </c>
      <c r="L2502" s="1335">
        <f t="shared" si="139"/>
        <v>0</v>
      </c>
      <c r="M2502" s="1302">
        <v>1.53</v>
      </c>
      <c r="N2502" s="1700"/>
      <c r="O2502" s="1290">
        <f>G2502*M2502</f>
        <v>1.6830000000000003</v>
      </c>
      <c r="P2502" s="1332">
        <f>M2502*K2502</f>
        <v>1.0947578400000002</v>
      </c>
      <c r="Q2502" s="3391"/>
      <c r="R2502" s="2337"/>
      <c r="S2502" s="16"/>
      <c r="T2502" s="16"/>
      <c r="U2502" s="16"/>
      <c r="V2502" s="16"/>
    </row>
    <row r="2503" spans="1:22">
      <c r="A2503" s="1320"/>
      <c r="B2503" s="22"/>
      <c r="C2503" s="1356" t="s">
        <v>1128</v>
      </c>
      <c r="D2503" s="1585"/>
      <c r="E2503" s="1851" t="s">
        <v>1517</v>
      </c>
      <c r="F2503" s="1774" t="s">
        <v>1695</v>
      </c>
      <c r="G2503" s="1776"/>
      <c r="H2503" s="1776">
        <v>1.2E-2</v>
      </c>
      <c r="I2503" s="1388"/>
      <c r="J2503" s="1366"/>
      <c r="K2503" s="1510"/>
      <c r="L2503" s="1445"/>
      <c r="M2503" s="1447"/>
      <c r="N2503" s="1447">
        <f>SUM(N2504:N2506)</f>
        <v>104.27969999999999</v>
      </c>
      <c r="O2503" s="1447">
        <f>SUM(O2504:O2506)</f>
        <v>1.2513564000000001</v>
      </c>
      <c r="P2503" s="1446">
        <f>SUM(P2504:P2506)</f>
        <v>0.81398231107200014</v>
      </c>
      <c r="Q2503" s="3391"/>
      <c r="R2503" s="2337"/>
      <c r="S2503" s="16"/>
      <c r="T2503" s="16"/>
      <c r="U2503" s="16"/>
      <c r="V2503" s="16"/>
    </row>
    <row r="2504" spans="1:22">
      <c r="A2504" s="1320"/>
      <c r="B2504" s="22"/>
      <c r="C2504" s="1042"/>
      <c r="D2504" s="1752" t="s">
        <v>1779</v>
      </c>
      <c r="E2504" s="1852" t="s">
        <v>1577</v>
      </c>
      <c r="F2504" s="1752" t="s">
        <v>1780</v>
      </c>
      <c r="G2504" s="1775">
        <v>0.876</v>
      </c>
      <c r="H2504" s="1453">
        <f>$H$2503*G2504</f>
        <v>1.0512000000000001E-2</v>
      </c>
      <c r="I2504" s="197"/>
      <c r="J2504" s="198"/>
      <c r="K2504" s="1307">
        <f>H2504*$K$2499</f>
        <v>6.8378457600000008E-3</v>
      </c>
      <c r="L2504" s="1335">
        <f t="shared" ref="L2504:L2506" si="140">K2504*$K$2352</f>
        <v>0</v>
      </c>
      <c r="M2504" s="1759">
        <v>56.05</v>
      </c>
      <c r="N2504" s="1718">
        <f>G2504*M2504</f>
        <v>49.099799999999995</v>
      </c>
      <c r="O2504" s="1719">
        <f>H2504*M2504</f>
        <v>0.58919759999999999</v>
      </c>
      <c r="P2504" s="1720">
        <f>M2504*K2504</f>
        <v>0.383261254848</v>
      </c>
      <c r="Q2504" s="3396"/>
      <c r="R2504" s="2337"/>
      <c r="S2504" s="16"/>
      <c r="T2504" s="16"/>
      <c r="U2504" s="16"/>
      <c r="V2504" s="16"/>
    </row>
    <row r="2505" spans="1:22">
      <c r="A2505" s="1320"/>
      <c r="B2505" s="22"/>
      <c r="C2505" s="1042"/>
      <c r="D2505" s="1752" t="s">
        <v>1069</v>
      </c>
      <c r="E2505" s="1852" t="s">
        <v>1517</v>
      </c>
      <c r="F2505" s="1752" t="s">
        <v>1578</v>
      </c>
      <c r="G2505" s="1753">
        <v>0.61799999999999999</v>
      </c>
      <c r="H2505" s="1453">
        <f>$H$2503*G2505</f>
        <v>7.4159999999999998E-3</v>
      </c>
      <c r="I2505" s="27"/>
      <c r="J2505" s="10"/>
      <c r="K2505" s="1307">
        <f>H2505*$K$2499</f>
        <v>4.8239596799999999E-3</v>
      </c>
      <c r="L2505" s="1335">
        <f t="shared" si="140"/>
        <v>0</v>
      </c>
      <c r="M2505" s="1759">
        <v>0.55000000000000004</v>
      </c>
      <c r="N2505" s="1718">
        <f>G2505*M2505</f>
        <v>0.33990000000000004</v>
      </c>
      <c r="O2505" s="1719">
        <f>H2505*M2505</f>
        <v>4.0788000000000005E-3</v>
      </c>
      <c r="P2505" s="1720">
        <f>M2505*K2505</f>
        <v>2.6531778240000002E-3</v>
      </c>
      <c r="Q2505" s="3396"/>
      <c r="R2505" s="2337"/>
      <c r="S2505" s="16"/>
      <c r="T2505" s="16"/>
      <c r="U2505" s="16"/>
      <c r="V2505" s="16"/>
    </row>
    <row r="2506" spans="1:22">
      <c r="A2506" s="1320"/>
      <c r="B2506" s="22"/>
      <c r="C2506" s="1042"/>
      <c r="D2506" s="1754" t="s">
        <v>1067</v>
      </c>
      <c r="E2506" s="1853" t="s">
        <v>1508</v>
      </c>
      <c r="F2506" s="1754" t="s">
        <v>1512</v>
      </c>
      <c r="G2506" s="1755">
        <v>3</v>
      </c>
      <c r="H2506" s="1454">
        <f>$H$2503*G2506</f>
        <v>3.6000000000000004E-2</v>
      </c>
      <c r="I2506" s="198"/>
      <c r="J2506" s="198"/>
      <c r="K2506" s="1307">
        <f>H2506*$K$2499</f>
        <v>2.3417280000000006E-2</v>
      </c>
      <c r="L2506" s="1335">
        <f t="shared" si="140"/>
        <v>0</v>
      </c>
      <c r="M2506" s="1759">
        <v>18.28</v>
      </c>
      <c r="N2506" s="1718">
        <f>G2506*M2506</f>
        <v>54.84</v>
      </c>
      <c r="O2506" s="1719">
        <f>H2506*M2506</f>
        <v>0.65808000000000011</v>
      </c>
      <c r="P2506" s="1720">
        <f>M2506*K2506</f>
        <v>0.4280678784000001</v>
      </c>
      <c r="Q2506" s="3396"/>
      <c r="R2506" s="2337"/>
      <c r="S2506" s="16"/>
      <c r="T2506" s="16"/>
      <c r="U2506" s="16"/>
      <c r="V2506" s="16"/>
    </row>
    <row r="2507" spans="1:22">
      <c r="A2507" s="1320"/>
      <c r="B2507" s="22"/>
      <c r="C2507" s="1356" t="s">
        <v>1152</v>
      </c>
      <c r="D2507" s="1311"/>
      <c r="E2507" s="1854" t="s">
        <v>1517</v>
      </c>
      <c r="F2507" s="1749" t="s">
        <v>1696</v>
      </c>
      <c r="G2507" s="1776"/>
      <c r="H2507" s="1688">
        <v>5.0000000000000001E-3</v>
      </c>
      <c r="I2507" s="1388"/>
      <c r="J2507" s="1388"/>
      <c r="K2507" s="1510"/>
      <c r="L2507" s="1445"/>
      <c r="M2507" s="1447"/>
      <c r="N2507" s="1447">
        <f>SUM(N2508:N2510)</f>
        <v>108.04650000000001</v>
      </c>
      <c r="O2507" s="1447">
        <f>SUM(O2508:O2510)</f>
        <v>0.54023250000000012</v>
      </c>
      <c r="P2507" s="1446">
        <f>SUM(P2508:P2510)</f>
        <v>0.35141043660000004</v>
      </c>
      <c r="Q2507" s="3391"/>
      <c r="R2507" s="2337"/>
      <c r="S2507" s="16"/>
      <c r="T2507" s="16"/>
      <c r="U2507" s="16"/>
      <c r="V2507" s="16"/>
    </row>
    <row r="2508" spans="1:22">
      <c r="A2508" s="1320"/>
      <c r="B2508" s="22"/>
      <c r="C2508" s="18"/>
      <c r="D2508" s="1756" t="s">
        <v>1781</v>
      </c>
      <c r="E2508" s="1852" t="s">
        <v>1577</v>
      </c>
      <c r="F2508" s="1752" t="s">
        <v>1782</v>
      </c>
      <c r="G2508" s="1753">
        <v>0.876</v>
      </c>
      <c r="H2508" s="1453">
        <f>$H$2507*G2508</f>
        <v>4.3800000000000002E-3</v>
      </c>
      <c r="I2508" s="198"/>
      <c r="J2508" s="198"/>
      <c r="K2508" s="1307">
        <f>H2508*$K$2499</f>
        <v>2.8491024000000002E-3</v>
      </c>
      <c r="L2508" s="1335">
        <f t="shared" ref="L2508:L2510" si="141">K2508*$K$2352</f>
        <v>0</v>
      </c>
      <c r="M2508" s="1759">
        <v>60.35</v>
      </c>
      <c r="N2508" s="1718">
        <f>G2508*M2508</f>
        <v>52.866599999999998</v>
      </c>
      <c r="O2508" s="1719">
        <f>H2508*M2508</f>
        <v>0.26433300000000004</v>
      </c>
      <c r="P2508" s="1720">
        <f>M2508*K2508</f>
        <v>0.17194332984000002</v>
      </c>
      <c r="Q2508" s="3396"/>
      <c r="R2508" s="2337"/>
      <c r="S2508" s="16"/>
      <c r="T2508" s="16"/>
      <c r="U2508" s="16"/>
      <c r="V2508" s="16"/>
    </row>
    <row r="2509" spans="1:22">
      <c r="A2509" s="1320"/>
      <c r="B2509" s="22"/>
      <c r="C2509" s="1042"/>
      <c r="D2509" s="1756" t="s">
        <v>1069</v>
      </c>
      <c r="E2509" s="1852" t="s">
        <v>1517</v>
      </c>
      <c r="F2509" s="1752" t="s">
        <v>1578</v>
      </c>
      <c r="G2509" s="1753">
        <v>0.61799999999999999</v>
      </c>
      <c r="H2509" s="1453">
        <f>$H$2507*G2509</f>
        <v>3.0899999999999999E-3</v>
      </c>
      <c r="I2509" s="197"/>
      <c r="J2509" s="198"/>
      <c r="K2509" s="1307">
        <f>H2509*$K$2499</f>
        <v>2.0099832E-3</v>
      </c>
      <c r="L2509" s="1335">
        <f t="shared" si="141"/>
        <v>0</v>
      </c>
      <c r="M2509" s="1759">
        <v>0.55000000000000004</v>
      </c>
      <c r="N2509" s="1718">
        <f>G2509*M2509</f>
        <v>0.33990000000000004</v>
      </c>
      <c r="O2509" s="1719">
        <f>H2509*M2509</f>
        <v>1.6995000000000001E-3</v>
      </c>
      <c r="P2509" s="1720">
        <f>M2509*K2509</f>
        <v>1.10549076E-3</v>
      </c>
      <c r="Q2509" s="3396"/>
      <c r="R2509" s="2337"/>
      <c r="S2509" s="16"/>
      <c r="T2509" s="16"/>
      <c r="U2509" s="16"/>
      <c r="V2509" s="16"/>
    </row>
    <row r="2510" spans="1:22">
      <c r="A2510" s="1320"/>
      <c r="B2510" s="22"/>
      <c r="C2510" s="1042"/>
      <c r="D2510" s="1757" t="s">
        <v>1067</v>
      </c>
      <c r="E2510" s="1853" t="s">
        <v>1508</v>
      </c>
      <c r="F2510" s="1754" t="s">
        <v>1512</v>
      </c>
      <c r="G2510" s="1755">
        <v>3</v>
      </c>
      <c r="H2510" s="1454">
        <f>$H$2507*G2510</f>
        <v>1.4999999999999999E-2</v>
      </c>
      <c r="I2510" s="1289"/>
      <c r="J2510" s="198"/>
      <c r="K2510" s="1307">
        <f>H2510*$K$2499</f>
        <v>9.7572000000000006E-3</v>
      </c>
      <c r="L2510" s="1335">
        <f t="shared" si="141"/>
        <v>0</v>
      </c>
      <c r="M2510" s="1759">
        <v>18.28</v>
      </c>
      <c r="N2510" s="1718">
        <f>G2510*M2510</f>
        <v>54.84</v>
      </c>
      <c r="O2510" s="1719">
        <f>H2510*M2510</f>
        <v>0.2742</v>
      </c>
      <c r="P2510" s="1720">
        <f>M2510*K2510</f>
        <v>0.17836161600000003</v>
      </c>
      <c r="Q2510" s="3396"/>
      <c r="R2510" s="2338"/>
      <c r="S2510" s="16"/>
      <c r="T2510" s="16"/>
      <c r="U2510" s="16"/>
      <c r="V2510" s="16"/>
    </row>
    <row r="2511" spans="1:22">
      <c r="A2511" s="1320"/>
      <c r="B2511" s="22"/>
      <c r="C2511" s="1356" t="s">
        <v>1790</v>
      </c>
      <c r="D2511" s="1311"/>
      <c r="E2511" s="2137" t="s">
        <v>1517</v>
      </c>
      <c r="F2511" s="1319" t="s">
        <v>1791</v>
      </c>
      <c r="G2511" s="1776"/>
      <c r="H2511" s="1353">
        <v>0.01</v>
      </c>
      <c r="I2511" s="1444"/>
      <c r="J2511" s="1388"/>
      <c r="K2511" s="1445"/>
      <c r="L2511" s="1457"/>
      <c r="M2511" s="1446"/>
      <c r="N2511" s="1447">
        <f>SUM(N2512:N2516)</f>
        <v>76.906580000000005</v>
      </c>
      <c r="O2511" s="1447">
        <f>SUM(O2512:O2516)</f>
        <v>0.76906580000000013</v>
      </c>
      <c r="P2511" s="1447">
        <f>SUM(P2512:P2516)</f>
        <v>0.50026192158400007</v>
      </c>
      <c r="Q2511" s="3391"/>
      <c r="R2511" s="2338"/>
      <c r="S2511" s="16"/>
      <c r="T2511" s="16"/>
      <c r="U2511" s="16"/>
      <c r="V2511" s="16"/>
    </row>
    <row r="2512" spans="1:22">
      <c r="A2512" s="1320"/>
      <c r="B2512" s="22"/>
      <c r="C2512" s="1327"/>
      <c r="D2512" s="1752" t="s">
        <v>1069</v>
      </c>
      <c r="E2512" s="1852" t="s">
        <v>1517</v>
      </c>
      <c r="F2512" s="1752" t="s">
        <v>1578</v>
      </c>
      <c r="G2512" s="1753">
        <v>0.2</v>
      </c>
      <c r="H2512" s="1367">
        <f>$H$2511*G2512</f>
        <v>2E-3</v>
      </c>
      <c r="I2512" s="197"/>
      <c r="J2512" s="198"/>
      <c r="K2512" s="1307">
        <f>H2512*$K$2499</f>
        <v>1.3009600000000001E-3</v>
      </c>
      <c r="L2512" s="1335">
        <f t="shared" ref="L2512:L2516" si="142">K2512*$K$2352</f>
        <v>0</v>
      </c>
      <c r="M2512" s="1759">
        <v>0.55000000000000004</v>
      </c>
      <c r="N2512" s="1718">
        <f>G2512*M2512</f>
        <v>0.11000000000000001</v>
      </c>
      <c r="O2512" s="1719">
        <f>H2512*M2512</f>
        <v>1.1000000000000001E-3</v>
      </c>
      <c r="P2512" s="1720">
        <f>M2512*K2512</f>
        <v>7.1552800000000011E-4</v>
      </c>
      <c r="Q2512" s="3396"/>
      <c r="R2512" s="2338"/>
      <c r="S2512" s="16"/>
      <c r="T2512" s="16"/>
      <c r="U2512" s="16"/>
      <c r="V2512" s="16"/>
    </row>
    <row r="2513" spans="1:22">
      <c r="A2513" s="1320"/>
      <c r="B2513" s="22"/>
      <c r="C2513" s="1320"/>
      <c r="D2513" s="1752" t="s">
        <v>1792</v>
      </c>
      <c r="E2513" s="1852" t="s">
        <v>1577</v>
      </c>
      <c r="F2513" s="1752" t="s">
        <v>1793</v>
      </c>
      <c r="G2513" s="1753">
        <v>0.25</v>
      </c>
      <c r="H2513" s="1367">
        <f>$H$2511*G2513</f>
        <v>2.5000000000000001E-3</v>
      </c>
      <c r="I2513" s="197"/>
      <c r="J2513" s="198"/>
      <c r="K2513" s="1307">
        <f>H2513*$K$2499</f>
        <v>1.6262000000000002E-3</v>
      </c>
      <c r="L2513" s="1335">
        <f t="shared" si="142"/>
        <v>0</v>
      </c>
      <c r="M2513" s="1759">
        <v>85.09</v>
      </c>
      <c r="N2513" s="1718">
        <f>G2513*M2513</f>
        <v>21.272500000000001</v>
      </c>
      <c r="O2513" s="1719">
        <f>H2513*M2513</f>
        <v>0.21272500000000003</v>
      </c>
      <c r="P2513" s="1720">
        <f>M2513*K2513</f>
        <v>0.13837335800000003</v>
      </c>
      <c r="Q2513" s="3396"/>
      <c r="R2513" s="2338"/>
      <c r="S2513" s="16"/>
      <c r="T2513" s="16"/>
      <c r="U2513" s="16"/>
      <c r="V2513" s="16"/>
    </row>
    <row r="2514" spans="1:22">
      <c r="A2514" s="1320"/>
      <c r="B2514" s="22"/>
      <c r="C2514" s="1320"/>
      <c r="D2514" s="1752" t="s">
        <v>1394</v>
      </c>
      <c r="E2514" s="1852" t="s">
        <v>1577</v>
      </c>
      <c r="F2514" s="1752" t="s">
        <v>1579</v>
      </c>
      <c r="G2514" s="1753">
        <v>0.25</v>
      </c>
      <c r="H2514" s="1367">
        <f>$H$2511*G2514</f>
        <v>2.5000000000000001E-3</v>
      </c>
      <c r="I2514" s="197"/>
      <c r="J2514" s="198"/>
      <c r="K2514" s="1307">
        <f>H2514*$K$2499</f>
        <v>1.6262000000000002E-3</v>
      </c>
      <c r="L2514" s="1335">
        <f t="shared" si="142"/>
        <v>0</v>
      </c>
      <c r="M2514" s="1759">
        <v>92.54</v>
      </c>
      <c r="N2514" s="1718">
        <f>G2514*M2514</f>
        <v>23.135000000000002</v>
      </c>
      <c r="O2514" s="1719">
        <f>H2514*M2514</f>
        <v>0.23135000000000003</v>
      </c>
      <c r="P2514" s="1720">
        <f>M2514*K2514</f>
        <v>0.15048854800000003</v>
      </c>
      <c r="Q2514" s="3396"/>
      <c r="R2514" s="2343"/>
      <c r="S2514" s="17"/>
      <c r="T2514" s="17"/>
      <c r="U2514" s="16"/>
      <c r="V2514" s="16"/>
    </row>
    <row r="2515" spans="1:22">
      <c r="A2515" s="1320"/>
      <c r="B2515" s="22"/>
      <c r="C2515" s="1320"/>
      <c r="D2515" s="1752" t="s">
        <v>1576</v>
      </c>
      <c r="E2515" s="1852" t="s">
        <v>1517</v>
      </c>
      <c r="F2515" s="1752" t="s">
        <v>1580</v>
      </c>
      <c r="G2515" s="1753">
        <v>1.5</v>
      </c>
      <c r="H2515" s="1367">
        <f>$H$2511*G2515</f>
        <v>1.4999999999999999E-2</v>
      </c>
      <c r="I2515" s="197"/>
      <c r="J2515" s="198"/>
      <c r="K2515" s="1307">
        <f>H2515*$K$2499</f>
        <v>9.7572000000000006E-3</v>
      </c>
      <c r="L2515" s="1335">
        <f t="shared" si="142"/>
        <v>0</v>
      </c>
      <c r="M2515" s="1759">
        <v>6.53</v>
      </c>
      <c r="N2515" s="1718">
        <f>G2515*M2515</f>
        <v>9.7949999999999999</v>
      </c>
      <c r="O2515" s="1719">
        <f>H2515*M2515</f>
        <v>9.7949999999999995E-2</v>
      </c>
      <c r="P2515" s="1720">
        <f>M2515*K2515</f>
        <v>6.3714516000000013E-2</v>
      </c>
      <c r="Q2515" s="3396"/>
      <c r="R2515" s="2338"/>
      <c r="S2515" s="105"/>
      <c r="T2515" s="105"/>
      <c r="U2515" s="16"/>
      <c r="V2515" s="16"/>
    </row>
    <row r="2516" spans="1:22">
      <c r="A2516" s="1320"/>
      <c r="B2516" s="22"/>
      <c r="C2516" s="1320"/>
      <c r="D2516" s="1812" t="s">
        <v>1067</v>
      </c>
      <c r="E2516" s="2171" t="s">
        <v>1508</v>
      </c>
      <c r="F2516" s="1812" t="s">
        <v>1512</v>
      </c>
      <c r="G2516" s="1838">
        <v>1.236</v>
      </c>
      <c r="H2516" s="2268">
        <f>$H$2511*G2516</f>
        <v>1.2359999999999999E-2</v>
      </c>
      <c r="I2516" s="1289">
        <f ca="1">IF(COUNT(I2516:O2516)=0,"",(SUM(I2516:O2516)/COUNT(I2516:O2516)))</f>
        <v>8.2216121465600001</v>
      </c>
      <c r="J2516" s="1341"/>
      <c r="K2516" s="1307">
        <f>H2516*$K$2499</f>
        <v>8.0399327999999999E-3</v>
      </c>
      <c r="L2516" s="1335">
        <f t="shared" si="142"/>
        <v>0</v>
      </c>
      <c r="M2516" s="1759">
        <v>18.28</v>
      </c>
      <c r="N2516" s="1718">
        <f>G2516*M2516</f>
        <v>22.594080000000002</v>
      </c>
      <c r="O2516" s="1719">
        <f>H2516*M2516</f>
        <v>0.2259408</v>
      </c>
      <c r="P2516" s="1720">
        <f>M2516*K2516</f>
        <v>0.14696997158400002</v>
      </c>
      <c r="Q2516" s="3396"/>
      <c r="R2516" s="2338"/>
      <c r="S2516" s="16"/>
      <c r="T2516" s="16"/>
      <c r="U2516" s="16"/>
      <c r="V2516" s="16"/>
    </row>
    <row r="2517" spans="1:22">
      <c r="A2517" s="1320"/>
      <c r="B2517" s="22"/>
      <c r="C2517" s="1320"/>
      <c r="D2517" s="2257"/>
      <c r="E2517" s="2258"/>
      <c r="F2517" s="2257"/>
      <c r="G2517" s="2259"/>
      <c r="H2517" s="1453"/>
      <c r="I2517" s="1289"/>
      <c r="J2517" s="1341"/>
      <c r="K2517" s="1307"/>
      <c r="L2517" s="1335"/>
      <c r="M2517" s="1759"/>
      <c r="N2517" s="1718"/>
      <c r="O2517" s="1719"/>
      <c r="P2517" s="1720"/>
      <c r="Q2517" s="3396"/>
      <c r="R2517" s="2338"/>
      <c r="S2517" s="16"/>
      <c r="T2517" s="16"/>
      <c r="U2517" s="16"/>
      <c r="V2517" s="16"/>
    </row>
    <row r="2518" spans="1:22">
      <c r="A2518" s="1320"/>
      <c r="B2518" s="22"/>
      <c r="C2518" s="1320"/>
      <c r="D2518" s="1779"/>
      <c r="E2518" s="2168"/>
      <c r="F2518" s="1360" t="s">
        <v>2</v>
      </c>
      <c r="G2518" s="1780"/>
      <c r="H2518" s="1359"/>
      <c r="I2518" s="1380"/>
      <c r="J2518" s="1381"/>
      <c r="K2518" s="1679"/>
      <c r="L2518" s="1680"/>
      <c r="M2518" s="1781"/>
      <c r="N2518" s="1782"/>
      <c r="O2518" s="1782"/>
      <c r="P2518" s="1783"/>
      <c r="Q2518" s="3396"/>
      <c r="R2518" s="2338"/>
      <c r="S2518" s="16"/>
      <c r="T2518" s="16"/>
      <c r="U2518" s="16"/>
      <c r="V2518" s="16"/>
    </row>
    <row r="2519" spans="1:22">
      <c r="A2519" s="1320"/>
      <c r="B2519" s="22"/>
      <c r="C2519" s="1320"/>
      <c r="D2519" s="1437" t="s">
        <v>1153</v>
      </c>
      <c r="E2519" s="2134" t="s">
        <v>1508</v>
      </c>
      <c r="F2519" s="1788" t="s">
        <v>1783</v>
      </c>
      <c r="G2519" s="1789">
        <v>1.28</v>
      </c>
      <c r="H2519" s="1789"/>
      <c r="I2519" s="197"/>
      <c r="J2519" s="198"/>
      <c r="K2519" s="1307">
        <f>G2519*$K$2499</f>
        <v>0.83261440000000009</v>
      </c>
      <c r="L2519" s="1335">
        <f>K2519*$K$2352</f>
        <v>0</v>
      </c>
      <c r="M2519" s="1759">
        <v>19.23</v>
      </c>
      <c r="N2519" s="1718"/>
      <c r="O2519" s="1719">
        <f>(G2519*M2519)</f>
        <v>24.6144</v>
      </c>
      <c r="P2519" s="1720">
        <f>M2519*K2519</f>
        <v>16.011174912000001</v>
      </c>
      <c r="Q2519" s="3396"/>
      <c r="R2519" s="2338"/>
      <c r="S2519" s="16"/>
      <c r="T2519" s="16"/>
      <c r="U2519" s="16"/>
      <c r="V2519" s="16"/>
    </row>
    <row r="2520" spans="1:22">
      <c r="A2520" s="1320"/>
      <c r="B2520" s="1320"/>
      <c r="C2520" s="595"/>
      <c r="D2520" s="1437"/>
      <c r="E2520" s="2134"/>
      <c r="F2520" s="1790"/>
      <c r="G2520" s="1790"/>
      <c r="H2520" s="1791"/>
      <c r="I2520" s="197"/>
      <c r="J2520" s="198"/>
      <c r="K2520" s="1307"/>
      <c r="L2520" s="1335"/>
      <c r="M2520" s="1787"/>
      <c r="N2520" s="1718"/>
      <c r="O2520" s="1719"/>
      <c r="P2520" s="1720"/>
      <c r="Q2520" s="3396"/>
      <c r="R2520" s="2338"/>
      <c r="S2520" s="16"/>
      <c r="T2520" s="16"/>
      <c r="U2520" s="16"/>
      <c r="V2520" s="16"/>
    </row>
    <row r="2521" spans="1:22">
      <c r="A2521" s="1320"/>
      <c r="B2521" s="1320"/>
      <c r="C2521" s="595"/>
      <c r="D2521" s="1437"/>
      <c r="E2521" s="2134"/>
      <c r="F2521" s="1790"/>
      <c r="G2521" s="1790"/>
      <c r="H2521" s="1791"/>
      <c r="I2521" s="197"/>
      <c r="J2521" s="198"/>
      <c r="K2521" s="1307"/>
      <c r="L2521" s="1335"/>
      <c r="M2521" s="1787"/>
      <c r="N2521" s="1718"/>
      <c r="O2521" s="1719"/>
      <c r="P2521" s="1720"/>
      <c r="Q2521" s="3396"/>
      <c r="R2521" s="2338"/>
      <c r="S2521" s="16"/>
      <c r="T2521" s="16"/>
      <c r="U2521" s="16"/>
      <c r="V2521" s="16"/>
    </row>
    <row r="2522" spans="1:22">
      <c r="A2522" s="1320"/>
      <c r="B2522" s="1042"/>
      <c r="C2522" s="88"/>
      <c r="D2522" s="1373"/>
      <c r="E2522" s="2123"/>
      <c r="F2522" s="1374" t="s">
        <v>3</v>
      </c>
      <c r="G2522" s="1374"/>
      <c r="H2522" s="1376"/>
      <c r="I2522" s="1382" t="str">
        <f t="shared" ref="I2522" ca="1" si="143">IF(COUNT(H2522:O2522)=0,"",(SUM(H2522:O2522)/COUNT(H2522:O2522)))</f>
        <v/>
      </c>
      <c r="J2522" s="1383"/>
      <c r="K2522" s="1373"/>
      <c r="L2522" s="1413"/>
      <c r="M2522" s="1376"/>
      <c r="N2522" s="1376"/>
      <c r="O2522" s="1376"/>
      <c r="P2522" s="1413"/>
      <c r="Q2522" s="3387"/>
      <c r="R2522" s="2343"/>
      <c r="S2522" s="16"/>
      <c r="T2522" s="16"/>
      <c r="U2522" s="16"/>
      <c r="V2522" s="16"/>
    </row>
    <row r="2523" spans="1:22">
      <c r="A2523" s="1320"/>
      <c r="B2523" s="22"/>
      <c r="C2523" s="1320"/>
      <c r="D2523" s="1373"/>
      <c r="E2523" s="2260"/>
      <c r="F2523" s="2261"/>
      <c r="G2523" s="2262"/>
      <c r="H2523" s="1597"/>
      <c r="I2523" s="197"/>
      <c r="J2523" s="198"/>
      <c r="K2523" s="1307"/>
      <c r="L2523" s="1335"/>
      <c r="M2523" s="1302"/>
      <c r="N2523" s="1718"/>
      <c r="O2523" s="1719"/>
      <c r="P2523" s="1720"/>
      <c r="Q2523" s="3396"/>
      <c r="R2523" s="2338"/>
      <c r="S2523" s="16"/>
      <c r="T2523" s="16"/>
      <c r="U2523" s="16"/>
      <c r="V2523" s="16"/>
    </row>
    <row r="2524" spans="1:22">
      <c r="A2524" s="1320"/>
      <c r="B2524" s="22"/>
      <c r="C2524" s="1320"/>
      <c r="D2524" s="1373"/>
      <c r="E2524" s="2260"/>
      <c r="F2524" s="2261"/>
      <c r="G2524" s="2262"/>
      <c r="H2524" s="1597"/>
      <c r="I2524" s="197"/>
      <c r="J2524" s="198"/>
      <c r="K2524" s="1307"/>
      <c r="L2524" s="1335"/>
      <c r="M2524" s="1302"/>
      <c r="N2524" s="1718"/>
      <c r="O2524" s="1719"/>
      <c r="P2524" s="1720"/>
      <c r="Q2524" s="3396"/>
      <c r="R2524" s="2338"/>
      <c r="S2524" s="16"/>
      <c r="T2524" s="16"/>
      <c r="U2524" s="16"/>
      <c r="V2524" s="16"/>
    </row>
    <row r="2525" spans="1:22">
      <c r="A2525" s="1320"/>
      <c r="B2525" s="22"/>
      <c r="C2525" s="1320"/>
      <c r="D2525" s="1373"/>
      <c r="E2525" s="2260"/>
      <c r="F2525" s="2261"/>
      <c r="G2525" s="2262"/>
      <c r="H2525" s="1597"/>
      <c r="I2525" s="197"/>
      <c r="J2525" s="198"/>
      <c r="K2525" s="1307"/>
      <c r="L2525" s="1335"/>
      <c r="M2525" s="1302"/>
      <c r="N2525" s="1718"/>
      <c r="O2525" s="1719"/>
      <c r="P2525" s="1720"/>
      <c r="Q2525" s="3396"/>
      <c r="R2525" s="2338"/>
      <c r="S2525" s="16"/>
      <c r="T2525" s="16"/>
      <c r="U2525" s="16"/>
      <c r="V2525" s="16"/>
    </row>
    <row r="2526" spans="1:22">
      <c r="A2526" s="19" t="s">
        <v>3764</v>
      </c>
      <c r="B2526" s="4325" t="s">
        <v>1737</v>
      </c>
      <c r="C2526" s="3350"/>
      <c r="D2526" s="4327"/>
      <c r="E2526" s="4329" t="s">
        <v>1527</v>
      </c>
      <c r="F2526" s="4461" t="s">
        <v>1773</v>
      </c>
      <c r="G2526" s="4331" t="s">
        <v>1568</v>
      </c>
      <c r="H2526" s="4331" t="s">
        <v>1574</v>
      </c>
      <c r="I2526" s="1572" t="s">
        <v>1559</v>
      </c>
      <c r="J2526" s="1294" t="s">
        <v>1560</v>
      </c>
      <c r="K2526" s="1294" t="s">
        <v>1561</v>
      </c>
      <c r="L2526" s="4333" t="s">
        <v>3765</v>
      </c>
      <c r="M2526" s="4323" t="s">
        <v>1571</v>
      </c>
      <c r="N2526" s="4323" t="s">
        <v>1776</v>
      </c>
      <c r="O2526" s="3347" t="s">
        <v>1563</v>
      </c>
      <c r="P2526" s="1336" t="s">
        <v>1562</v>
      </c>
      <c r="Q2526" s="3389"/>
      <c r="R2526" s="1839" t="s">
        <v>1327</v>
      </c>
      <c r="S2526" s="16"/>
      <c r="T2526" s="16"/>
      <c r="U2526" s="16"/>
      <c r="V2526" s="16"/>
    </row>
    <row r="2527" spans="1:22">
      <c r="A2527" s="1807" t="s">
        <v>1887</v>
      </c>
      <c r="B2527" s="4326"/>
      <c r="C2527" s="3351"/>
      <c r="D2527" s="4328"/>
      <c r="E2527" s="4330"/>
      <c r="F2527" s="4462"/>
      <c r="G2527" s="4332"/>
      <c r="H2527" s="4332"/>
      <c r="I2527" s="1345">
        <v>17.12</v>
      </c>
      <c r="J2527" s="1307">
        <v>2E-3</v>
      </c>
      <c r="K2527" s="1307">
        <f>I2527*J2527</f>
        <v>3.424E-2</v>
      </c>
      <c r="L2527" s="4334"/>
      <c r="M2527" s="4324"/>
      <c r="N2527" s="4324"/>
      <c r="O2527" s="1298">
        <f>O2529+O2530+O2531+O2532+O2536+O2540+O2548+O2549+O2550</f>
        <v>55.319563799999997</v>
      </c>
      <c r="P2527" s="1337">
        <f>K2527*O2527</f>
        <v>1.8941418645119998</v>
      </c>
      <c r="Q2527" s="3390"/>
      <c r="R2527" s="1840">
        <f>P2529+P2530+P2531+P2532+P2536+P2540+P2548+P2549+P2550</f>
        <v>1.8941418645120001</v>
      </c>
      <c r="S2527" s="16"/>
      <c r="T2527" s="16"/>
      <c r="U2527" s="16"/>
      <c r="V2527" s="16"/>
    </row>
    <row r="2528" spans="1:22">
      <c r="A2528" s="16"/>
      <c r="B2528" s="18"/>
      <c r="D2528" s="1449"/>
      <c r="E2528" s="2121"/>
      <c r="F2528" s="1368" t="s">
        <v>1</v>
      </c>
      <c r="G2528" s="1368"/>
      <c r="H2528" s="1369"/>
      <c r="I2528" s="1409"/>
      <c r="J2528" s="1391"/>
      <c r="K2528" s="1367"/>
      <c r="L2528" s="1554"/>
      <c r="M2528" s="1369"/>
      <c r="N2528" s="1369"/>
      <c r="O2528" s="1369"/>
      <c r="P2528" s="1367"/>
      <c r="Q2528" s="3387"/>
      <c r="R2528" s="2343"/>
      <c r="S2528" s="16"/>
      <c r="T2528" s="16"/>
      <c r="U2528" s="16"/>
      <c r="V2528" s="16"/>
    </row>
    <row r="2529" spans="1:22">
      <c r="A2529" s="16"/>
      <c r="B2529" s="1042"/>
      <c r="D2529" s="1450" t="s">
        <v>1075</v>
      </c>
      <c r="E2529" s="1856" t="s">
        <v>1357</v>
      </c>
      <c r="F2529" s="1397" t="s">
        <v>1532</v>
      </c>
      <c r="G2529" s="1372">
        <v>0.1</v>
      </c>
      <c r="H2529" s="1372"/>
      <c r="I2529" s="1286"/>
      <c r="J2529" s="198"/>
      <c r="K2529" s="1307">
        <f>G2529*$K$2527</f>
        <v>3.424E-3</v>
      </c>
      <c r="L2529" s="1335">
        <f t="shared" ref="L2529:L2531" si="144">K2529*$K$2352</f>
        <v>0</v>
      </c>
      <c r="M2529" s="1302">
        <v>0.81</v>
      </c>
      <c r="N2529" s="1700"/>
      <c r="O2529" s="1290">
        <f>G2529*M2529</f>
        <v>8.1000000000000016E-2</v>
      </c>
      <c r="P2529" s="1739">
        <f>M2529*K2529</f>
        <v>2.7734400000000003E-3</v>
      </c>
      <c r="Q2529" s="3391"/>
      <c r="R2529" s="2343"/>
      <c r="S2529" s="16"/>
      <c r="T2529" s="16"/>
      <c r="U2529" s="16"/>
      <c r="V2529" s="16"/>
    </row>
    <row r="2530" spans="1:22">
      <c r="A2530" s="16"/>
      <c r="B2530" s="1042"/>
      <c r="D2530" s="1767" t="s">
        <v>1784</v>
      </c>
      <c r="E2530" s="1849" t="s">
        <v>1521</v>
      </c>
      <c r="F2530" s="1654" t="s">
        <v>1785</v>
      </c>
      <c r="G2530" s="1567">
        <v>1E-3</v>
      </c>
      <c r="H2530" s="1567"/>
      <c r="I2530" s="1286"/>
      <c r="J2530" s="198"/>
      <c r="K2530" s="1307">
        <f t="shared" ref="K2530:K2531" si="145">G2530*$K$2527</f>
        <v>3.4239999999999997E-5</v>
      </c>
      <c r="L2530" s="1335">
        <f t="shared" si="144"/>
        <v>0</v>
      </c>
      <c r="M2530" s="1499">
        <v>236.83</v>
      </c>
      <c r="N2530" s="1700"/>
      <c r="O2530" s="1290">
        <f>G2530*M2530</f>
        <v>0.23683000000000001</v>
      </c>
      <c r="P2530" s="1332">
        <f>M2530*K2530</f>
        <v>8.1090591999999993E-3</v>
      </c>
      <c r="Q2530" s="3391"/>
      <c r="R2530" s="2343"/>
      <c r="S2530" s="16"/>
      <c r="T2530" s="16"/>
      <c r="U2530" s="16"/>
      <c r="V2530" s="16"/>
    </row>
    <row r="2531" spans="1:22">
      <c r="A2531" s="16"/>
      <c r="B2531" s="1042"/>
      <c r="D2531" s="1769" t="s">
        <v>1786</v>
      </c>
      <c r="E2531" s="1850" t="s">
        <v>1787</v>
      </c>
      <c r="F2531" s="1770" t="s">
        <v>1788</v>
      </c>
      <c r="G2531" s="1771">
        <v>1.1000000000000001</v>
      </c>
      <c r="H2531" s="1771"/>
      <c r="I2531" s="1286"/>
      <c r="J2531" s="198"/>
      <c r="K2531" s="1307">
        <f t="shared" si="145"/>
        <v>3.7664000000000003E-2</v>
      </c>
      <c r="L2531" s="1335">
        <f t="shared" si="144"/>
        <v>0</v>
      </c>
      <c r="M2531" s="1302">
        <v>1.54</v>
      </c>
      <c r="N2531" s="1700"/>
      <c r="O2531" s="1290">
        <f>G2531*M2531</f>
        <v>1.6940000000000002</v>
      </c>
      <c r="P2531" s="1332">
        <f>M2531*K2531</f>
        <v>5.8002560000000009E-2</v>
      </c>
      <c r="Q2531" s="3391"/>
      <c r="R2531" s="2343"/>
      <c r="S2531" s="16"/>
      <c r="T2531" s="16"/>
      <c r="U2531" s="16"/>
      <c r="V2531" s="16"/>
    </row>
    <row r="2532" spans="1:22">
      <c r="A2532" s="16"/>
      <c r="B2532" s="1042"/>
      <c r="C2532" s="1356" t="s">
        <v>1128</v>
      </c>
      <c r="D2532" s="1585"/>
      <c r="E2532" s="1851" t="s">
        <v>1517</v>
      </c>
      <c r="F2532" s="1768" t="s">
        <v>1695</v>
      </c>
      <c r="G2532" s="1776"/>
      <c r="H2532" s="1776">
        <v>1.4999999999999999E-2</v>
      </c>
      <c r="I2532" s="1388"/>
      <c r="J2532" s="1366"/>
      <c r="K2532" s="1510"/>
      <c r="L2532" s="1445"/>
      <c r="M2532" s="1447"/>
      <c r="N2532" s="1447">
        <f>SUM(N2533:N2535)</f>
        <v>104.27969999999999</v>
      </c>
      <c r="O2532" s="1447">
        <f>SUM(O2533:O2535)</f>
        <v>1.5641954999999998</v>
      </c>
      <c r="P2532" s="1446">
        <f>SUM(P2533:P2535)</f>
        <v>5.3558053919999994E-2</v>
      </c>
      <c r="Q2532" s="3391"/>
      <c r="R2532" s="2343"/>
      <c r="S2532" s="16"/>
      <c r="T2532" s="16"/>
      <c r="U2532" s="16"/>
      <c r="V2532" s="16"/>
    </row>
    <row r="2533" spans="1:22">
      <c r="A2533" s="16"/>
      <c r="B2533" s="553"/>
      <c r="C2533" s="1042"/>
      <c r="D2533" s="1752" t="s">
        <v>1779</v>
      </c>
      <c r="E2533" s="1852" t="s">
        <v>1577</v>
      </c>
      <c r="F2533" s="1752" t="s">
        <v>1780</v>
      </c>
      <c r="G2533" s="1753">
        <v>0.876</v>
      </c>
      <c r="H2533" s="1453">
        <f>$H$2532*G2533</f>
        <v>1.3139999999999999E-2</v>
      </c>
      <c r="I2533" s="197"/>
      <c r="J2533" s="198"/>
      <c r="K2533" s="1307">
        <f>H2533*$K$2527</f>
        <v>4.4991359999999996E-4</v>
      </c>
      <c r="L2533" s="1335">
        <f t="shared" ref="L2533:L2535" si="146">K2533*$K$2352</f>
        <v>0</v>
      </c>
      <c r="M2533" s="1759">
        <v>56.05</v>
      </c>
      <c r="N2533" s="1718">
        <f>G2533*M2533</f>
        <v>49.099799999999995</v>
      </c>
      <c r="O2533" s="1719">
        <f>H2533*M2533</f>
        <v>0.73649699999999985</v>
      </c>
      <c r="P2533" s="1720">
        <f>M2533*K2533</f>
        <v>2.5217657279999996E-2</v>
      </c>
      <c r="Q2533" s="3396"/>
      <c r="R2533" s="2343"/>
      <c r="S2533" s="16"/>
      <c r="T2533" s="16"/>
      <c r="U2533" s="16"/>
      <c r="V2533" s="16"/>
    </row>
    <row r="2534" spans="1:22">
      <c r="A2534" s="16"/>
      <c r="B2534" s="553"/>
      <c r="C2534" s="1042"/>
      <c r="D2534" s="1752" t="s">
        <v>1069</v>
      </c>
      <c r="E2534" s="1852" t="s">
        <v>1517</v>
      </c>
      <c r="F2534" s="1752" t="s">
        <v>1578</v>
      </c>
      <c r="G2534" s="1753">
        <v>0.61799999999999999</v>
      </c>
      <c r="H2534" s="1453">
        <f>$H$2532*G2534</f>
        <v>9.2699999999999987E-3</v>
      </c>
      <c r="I2534" s="27"/>
      <c r="J2534" s="10"/>
      <c r="K2534" s="1307">
        <f>H2534*$K$2527</f>
        <v>3.1740479999999997E-4</v>
      </c>
      <c r="L2534" s="1335">
        <f t="shared" si="146"/>
        <v>0</v>
      </c>
      <c r="M2534" s="1759">
        <v>0.55000000000000004</v>
      </c>
      <c r="N2534" s="1718">
        <f>G2534*M2534</f>
        <v>0.33990000000000004</v>
      </c>
      <c r="O2534" s="1719">
        <f>H2534*M2534</f>
        <v>5.0984999999999997E-3</v>
      </c>
      <c r="P2534" s="1720">
        <f>M2534*K2534</f>
        <v>1.7457264E-4</v>
      </c>
      <c r="Q2534" s="3396"/>
      <c r="R2534" s="2343"/>
      <c r="S2534" s="16"/>
      <c r="T2534" s="16"/>
      <c r="U2534" s="16"/>
      <c r="V2534" s="16"/>
    </row>
    <row r="2535" spans="1:22">
      <c r="A2535" s="16"/>
      <c r="B2535" s="553"/>
      <c r="C2535" s="1042"/>
      <c r="D2535" s="1754" t="s">
        <v>1067</v>
      </c>
      <c r="E2535" s="1853" t="s">
        <v>1508</v>
      </c>
      <c r="F2535" s="1754" t="s">
        <v>1512</v>
      </c>
      <c r="G2535" s="1755">
        <v>3</v>
      </c>
      <c r="H2535" s="1454">
        <f>$H$2532*G2535</f>
        <v>4.4999999999999998E-2</v>
      </c>
      <c r="I2535" s="198"/>
      <c r="J2535" s="198"/>
      <c r="K2535" s="1307">
        <f>H2535*$K$2527</f>
        <v>1.5407999999999999E-3</v>
      </c>
      <c r="L2535" s="1335">
        <f t="shared" si="146"/>
        <v>0</v>
      </c>
      <c r="M2535" s="1759">
        <v>18.28</v>
      </c>
      <c r="N2535" s="1718">
        <f>G2535*M2535</f>
        <v>54.84</v>
      </c>
      <c r="O2535" s="1719">
        <f>H2535*M2535</f>
        <v>0.8226</v>
      </c>
      <c r="P2535" s="1720">
        <f>M2535*K2535</f>
        <v>2.8165823999999999E-2</v>
      </c>
      <c r="Q2535" s="3396"/>
      <c r="R2535" s="2343"/>
      <c r="S2535" s="16"/>
      <c r="T2535" s="16"/>
      <c r="U2535" s="16"/>
      <c r="V2535" s="16"/>
    </row>
    <row r="2536" spans="1:22">
      <c r="A2536" s="16"/>
      <c r="B2536" s="553"/>
      <c r="C2536" s="1356" t="s">
        <v>1152</v>
      </c>
      <c r="D2536" s="1311"/>
      <c r="E2536" s="1854" t="s">
        <v>1517</v>
      </c>
      <c r="F2536" s="1749" t="s">
        <v>1696</v>
      </c>
      <c r="G2536" s="1776"/>
      <c r="H2536" s="1688">
        <v>5.0000000000000001E-3</v>
      </c>
      <c r="I2536" s="1388"/>
      <c r="J2536" s="1388"/>
      <c r="K2536" s="1510"/>
      <c r="L2536" s="1445"/>
      <c r="M2536" s="1447"/>
      <c r="N2536" s="1447">
        <f>SUM(N2537:N2539)</f>
        <v>108.04650000000001</v>
      </c>
      <c r="O2536" s="1447">
        <f>SUM(O2537:O2539)</f>
        <v>0.54023250000000012</v>
      </c>
      <c r="P2536" s="1446">
        <f>SUM(P2537:P2539)</f>
        <v>1.84975608E-2</v>
      </c>
      <c r="Q2536" s="3391"/>
      <c r="R2536" s="2343"/>
      <c r="S2536" s="16"/>
      <c r="T2536" s="16"/>
      <c r="U2536" s="16"/>
      <c r="V2536" s="16"/>
    </row>
    <row r="2537" spans="1:22">
      <c r="A2537" s="16"/>
      <c r="B2537" s="553"/>
      <c r="C2537" s="18"/>
      <c r="D2537" s="1756" t="s">
        <v>1781</v>
      </c>
      <c r="E2537" s="1852" t="s">
        <v>1577</v>
      </c>
      <c r="F2537" s="1752" t="s">
        <v>1782</v>
      </c>
      <c r="G2537" s="1753">
        <v>0.876</v>
      </c>
      <c r="H2537" s="1453">
        <f>$H$2536*G2537</f>
        <v>4.3800000000000002E-3</v>
      </c>
      <c r="I2537" s="198"/>
      <c r="J2537" s="198"/>
      <c r="K2537" s="1307">
        <f>H2537*$K$2527</f>
        <v>1.4997120000000001E-4</v>
      </c>
      <c r="L2537" s="1335">
        <f t="shared" ref="L2537:L2539" si="147">K2537*$K$2352</f>
        <v>0</v>
      </c>
      <c r="M2537" s="1759">
        <v>60.35</v>
      </c>
      <c r="N2537" s="1718">
        <f>G2537*M2537</f>
        <v>52.866599999999998</v>
      </c>
      <c r="O2537" s="1719">
        <f>H2537*M2537</f>
        <v>0.26433300000000004</v>
      </c>
      <c r="P2537" s="1720">
        <f>M2537*K2537</f>
        <v>9.0507619200000007E-3</v>
      </c>
      <c r="Q2537" s="3396"/>
      <c r="R2537" s="2343"/>
      <c r="S2537" s="16"/>
      <c r="T2537" s="16"/>
      <c r="U2537" s="16"/>
      <c r="V2537" s="16"/>
    </row>
    <row r="2538" spans="1:22">
      <c r="A2538" s="16"/>
      <c r="B2538" s="553"/>
      <c r="C2538" s="1042"/>
      <c r="D2538" s="1756" t="s">
        <v>1069</v>
      </c>
      <c r="E2538" s="1852" t="s">
        <v>1517</v>
      </c>
      <c r="F2538" s="1752" t="s">
        <v>1578</v>
      </c>
      <c r="G2538" s="1753">
        <v>0.61799999999999999</v>
      </c>
      <c r="H2538" s="1453">
        <f>$H$2536*G2538</f>
        <v>3.0899999999999999E-3</v>
      </c>
      <c r="I2538" s="197"/>
      <c r="J2538" s="198"/>
      <c r="K2538" s="1307">
        <f>H2538*$K$2527</f>
        <v>1.058016E-4</v>
      </c>
      <c r="L2538" s="1335">
        <f t="shared" si="147"/>
        <v>0</v>
      </c>
      <c r="M2538" s="1759">
        <v>0.55000000000000004</v>
      </c>
      <c r="N2538" s="1718">
        <f>G2538*M2538</f>
        <v>0.33990000000000004</v>
      </c>
      <c r="O2538" s="1719">
        <f>H2538*M2538</f>
        <v>1.6995000000000001E-3</v>
      </c>
      <c r="P2538" s="1720">
        <f>M2538*K2538</f>
        <v>5.8190880000000004E-5</v>
      </c>
      <c r="Q2538" s="3396"/>
      <c r="R2538" s="2343"/>
      <c r="S2538" s="16"/>
      <c r="T2538" s="16"/>
      <c r="U2538" s="16"/>
      <c r="V2538" s="16"/>
    </row>
    <row r="2539" spans="1:22">
      <c r="A2539" s="16"/>
      <c r="B2539" s="553"/>
      <c r="C2539" s="1042"/>
      <c r="D2539" s="1811" t="s">
        <v>1067</v>
      </c>
      <c r="E2539" s="1853" t="s">
        <v>1508</v>
      </c>
      <c r="F2539" s="1754" t="s">
        <v>1512</v>
      </c>
      <c r="G2539" s="1755">
        <v>3</v>
      </c>
      <c r="H2539" s="1454">
        <f>$H$2536*G2539</f>
        <v>1.4999999999999999E-2</v>
      </c>
      <c r="I2539" s="1289"/>
      <c r="J2539" s="198"/>
      <c r="K2539" s="1307">
        <f>H2539*$K$2527</f>
        <v>5.1360000000000002E-4</v>
      </c>
      <c r="L2539" s="1335">
        <f t="shared" si="147"/>
        <v>0</v>
      </c>
      <c r="M2539" s="1759">
        <v>18.28</v>
      </c>
      <c r="N2539" s="1718">
        <f>G2539*M2539</f>
        <v>54.84</v>
      </c>
      <c r="O2539" s="1719">
        <f>H2539*M2539</f>
        <v>0.2742</v>
      </c>
      <c r="P2539" s="1720">
        <f>M2539*K2539</f>
        <v>9.3886080000000014E-3</v>
      </c>
      <c r="Q2539" s="3396"/>
      <c r="R2539" s="2343"/>
      <c r="S2539" s="16"/>
      <c r="T2539" s="16"/>
      <c r="U2539" s="16"/>
      <c r="V2539" s="16"/>
    </row>
    <row r="2540" spans="1:22">
      <c r="A2540" s="16"/>
      <c r="B2540" s="1042"/>
      <c r="C2540" s="1356" t="s">
        <v>1790</v>
      </c>
      <c r="D2540" s="1311"/>
      <c r="E2540" s="2137" t="s">
        <v>1517</v>
      </c>
      <c r="F2540" s="1343" t="s">
        <v>1791</v>
      </c>
      <c r="G2540" s="1776"/>
      <c r="H2540" s="1344">
        <v>0.01</v>
      </c>
      <c r="I2540" s="1444"/>
      <c r="J2540" s="1388"/>
      <c r="K2540" s="1445"/>
      <c r="L2540" s="1457"/>
      <c r="M2540" s="1446"/>
      <c r="N2540" s="1447">
        <f>SUM(N2541:N2545)</f>
        <v>76.906580000000005</v>
      </c>
      <c r="O2540" s="1447">
        <f>SUM(O2541:O2545)</f>
        <v>0.76906580000000013</v>
      </c>
      <c r="P2540" s="1447">
        <f>SUM(P2541:P2545)</f>
        <v>2.6332812992E-2</v>
      </c>
      <c r="Q2540" s="3391"/>
      <c r="R2540" s="2343"/>
      <c r="S2540" s="16"/>
      <c r="T2540" s="16"/>
      <c r="U2540" s="16"/>
      <c r="V2540" s="16"/>
    </row>
    <row r="2541" spans="1:22">
      <c r="A2541" s="16"/>
      <c r="B2541" s="1042"/>
      <c r="C2541" s="1327"/>
      <c r="D2541" s="1752" t="s">
        <v>1069</v>
      </c>
      <c r="E2541" s="1852" t="s">
        <v>1517</v>
      </c>
      <c r="F2541" s="1784" t="s">
        <v>1578</v>
      </c>
      <c r="G2541" s="1399">
        <v>0.2</v>
      </c>
      <c r="H2541" s="1399">
        <f>$H$2540*G2541</f>
        <v>2E-3</v>
      </c>
      <c r="I2541" s="197"/>
      <c r="J2541" s="198"/>
      <c r="K2541" s="1307">
        <f>H2541*$K$2527</f>
        <v>6.8479999999999995E-5</v>
      </c>
      <c r="L2541" s="1335">
        <f t="shared" ref="L2541:L2545" si="148">K2541*$K$2352</f>
        <v>0</v>
      </c>
      <c r="M2541" s="1499">
        <v>0.55000000000000004</v>
      </c>
      <c r="N2541" s="1718">
        <f>G2541*M2541</f>
        <v>0.11000000000000001</v>
      </c>
      <c r="O2541" s="1719">
        <f>H2541*M2541</f>
        <v>1.1000000000000001E-3</v>
      </c>
      <c r="P2541" s="1720">
        <f>M2541*K2541</f>
        <v>3.7663999999999997E-5</v>
      </c>
      <c r="Q2541" s="3396"/>
      <c r="R2541" s="2338"/>
      <c r="S2541" s="17"/>
      <c r="T2541" s="17"/>
      <c r="U2541" s="16"/>
      <c r="V2541" s="16"/>
    </row>
    <row r="2542" spans="1:22">
      <c r="A2542" s="16"/>
      <c r="B2542" s="1042"/>
      <c r="C2542" s="1320"/>
      <c r="D2542" s="1752" t="s">
        <v>1792</v>
      </c>
      <c r="E2542" s="1852" t="s">
        <v>1577</v>
      </c>
      <c r="F2542" s="1752" t="s">
        <v>1793</v>
      </c>
      <c r="G2542" s="1399">
        <v>0.25</v>
      </c>
      <c r="H2542" s="1399">
        <f>$H$2540*G2542</f>
        <v>2.5000000000000001E-3</v>
      </c>
      <c r="I2542" s="197"/>
      <c r="J2542" s="198"/>
      <c r="K2542" s="1307">
        <f>H2542*$K$2527</f>
        <v>8.5600000000000007E-5</v>
      </c>
      <c r="L2542" s="1335">
        <f t="shared" si="148"/>
        <v>0</v>
      </c>
      <c r="M2542" s="1499">
        <v>85.09</v>
      </c>
      <c r="N2542" s="1718">
        <f>G2542*M2542</f>
        <v>21.272500000000001</v>
      </c>
      <c r="O2542" s="1719">
        <f>H2542*M2542</f>
        <v>0.21272500000000003</v>
      </c>
      <c r="P2542" s="1720">
        <f>M2542*K2542</f>
        <v>7.2837040000000011E-3</v>
      </c>
      <c r="Q2542" s="3396"/>
      <c r="R2542" s="2338"/>
      <c r="S2542" s="105"/>
      <c r="T2542" s="105"/>
      <c r="U2542" s="16"/>
      <c r="V2542" s="16"/>
    </row>
    <row r="2543" spans="1:22">
      <c r="A2543" s="16"/>
      <c r="B2543" s="1042"/>
      <c r="C2543" s="1320"/>
      <c r="D2543" s="1752" t="s">
        <v>1394</v>
      </c>
      <c r="E2543" s="1852" t="s">
        <v>1577</v>
      </c>
      <c r="F2543" s="1752" t="s">
        <v>1579</v>
      </c>
      <c r="G2543" s="1399">
        <v>0.25</v>
      </c>
      <c r="H2543" s="1399">
        <f>$H$2540*G2543</f>
        <v>2.5000000000000001E-3</v>
      </c>
      <c r="I2543" s="197"/>
      <c r="J2543" s="198"/>
      <c r="K2543" s="1307">
        <f>H2543*$K$2527</f>
        <v>8.5600000000000007E-5</v>
      </c>
      <c r="L2543" s="1335">
        <f t="shared" si="148"/>
        <v>0</v>
      </c>
      <c r="M2543" s="1499">
        <v>92.54</v>
      </c>
      <c r="N2543" s="1718">
        <f>G2543*M2543</f>
        <v>23.135000000000002</v>
      </c>
      <c r="O2543" s="1719">
        <f>H2543*M2543</f>
        <v>0.23135000000000003</v>
      </c>
      <c r="P2543" s="1720">
        <f>M2543*K2543</f>
        <v>7.9214240000000016E-3</v>
      </c>
      <c r="Q2543" s="3396"/>
      <c r="R2543" s="2338"/>
      <c r="S2543" s="16"/>
      <c r="T2543" s="16"/>
      <c r="U2543" s="16"/>
      <c r="V2543" s="16"/>
    </row>
    <row r="2544" spans="1:22">
      <c r="A2544" s="16"/>
      <c r="B2544" s="1042"/>
      <c r="C2544" s="1320"/>
      <c r="D2544" s="1752" t="s">
        <v>1576</v>
      </c>
      <c r="E2544" s="1852" t="s">
        <v>1517</v>
      </c>
      <c r="F2544" s="1752" t="s">
        <v>1580</v>
      </c>
      <c r="G2544" s="1399">
        <v>1.5</v>
      </c>
      <c r="H2544" s="1399">
        <f>$H$2540*G2544</f>
        <v>1.4999999999999999E-2</v>
      </c>
      <c r="I2544" s="197"/>
      <c r="J2544" s="198"/>
      <c r="K2544" s="1307">
        <f t="shared" ref="K2544:K2545" si="149">H2544*$K$2527</f>
        <v>5.1360000000000002E-4</v>
      </c>
      <c r="L2544" s="1335">
        <f t="shared" si="148"/>
        <v>0</v>
      </c>
      <c r="M2544" s="1499">
        <v>6.53</v>
      </c>
      <c r="N2544" s="1718">
        <f>G2544*M2544</f>
        <v>9.7949999999999999</v>
      </c>
      <c r="O2544" s="1719">
        <f>H2544*M2544</f>
        <v>9.7949999999999995E-2</v>
      </c>
      <c r="P2544" s="1720">
        <f>M2544*K2544</f>
        <v>3.3538080000000002E-3</v>
      </c>
      <c r="Q2544" s="3396"/>
      <c r="R2544" s="2338"/>
      <c r="S2544" s="16"/>
      <c r="T2544" s="16"/>
      <c r="U2544" s="16"/>
      <c r="V2544" s="16"/>
    </row>
    <row r="2545" spans="1:22">
      <c r="A2545" s="16"/>
      <c r="B2545" s="1042"/>
      <c r="C2545" s="1320"/>
      <c r="D2545" s="1754" t="s">
        <v>1067</v>
      </c>
      <c r="E2545" s="1853" t="s">
        <v>1508</v>
      </c>
      <c r="F2545" s="1754" t="s">
        <v>1512</v>
      </c>
      <c r="G2545" s="1408">
        <v>1.236</v>
      </c>
      <c r="H2545" s="1408">
        <f>$H$2540*G2545</f>
        <v>1.2359999999999999E-2</v>
      </c>
      <c r="I2545" s="197"/>
      <c r="J2545" s="198"/>
      <c r="K2545" s="1307">
        <f t="shared" si="149"/>
        <v>4.232064E-4</v>
      </c>
      <c r="L2545" s="1335">
        <f t="shared" si="148"/>
        <v>0</v>
      </c>
      <c r="M2545" s="1499">
        <v>18.28</v>
      </c>
      <c r="N2545" s="1718">
        <f>G2545*M2545</f>
        <v>22.594080000000002</v>
      </c>
      <c r="O2545" s="1719">
        <f>H2545*M2545</f>
        <v>0.2259408</v>
      </c>
      <c r="P2545" s="1720">
        <f>M2545*K2545</f>
        <v>7.7362129920000005E-3</v>
      </c>
      <c r="Q2545" s="3396"/>
      <c r="R2545" s="2338"/>
      <c r="S2545" s="16"/>
      <c r="T2545" s="16"/>
      <c r="U2545" s="16"/>
      <c r="V2545" s="16"/>
    </row>
    <row r="2546" spans="1:22">
      <c r="A2546" s="16"/>
      <c r="B2546" s="1042"/>
      <c r="C2546" s="88"/>
      <c r="D2546" s="1752"/>
      <c r="E2546" s="1852"/>
      <c r="F2546" s="1752"/>
      <c r="G2546" s="1399"/>
      <c r="H2546" s="1399"/>
      <c r="I2546" s="197" t="str">
        <f ca="1">IF(COUNT(H2546:O2546)=0,"",(SUM(H2546:O2546)/COUNT(H2546:O2546)))</f>
        <v/>
      </c>
      <c r="J2546" s="198"/>
      <c r="K2546" s="1307"/>
      <c r="L2546" s="1335"/>
      <c r="M2546" s="1499"/>
      <c r="N2546" s="1718"/>
      <c r="O2546" s="1719"/>
      <c r="P2546" s="1720"/>
      <c r="Q2546" s="3396"/>
      <c r="R2546" s="2338"/>
      <c r="S2546" s="16"/>
      <c r="T2546" s="16"/>
      <c r="U2546" s="16"/>
      <c r="V2546" s="16"/>
    </row>
    <row r="2547" spans="1:22">
      <c r="A2547" s="16"/>
      <c r="B2547" s="1042"/>
      <c r="C2547" s="88"/>
      <c r="D2547" s="1359"/>
      <c r="E2547" s="1858"/>
      <c r="F2547" s="1360" t="s">
        <v>2</v>
      </c>
      <c r="G2547" s="1360"/>
      <c r="H2547" s="1362"/>
      <c r="I2547" s="1380" t="str">
        <f ca="1">IF(COUNT(H2547:O2547)=0,"",(SUM(H2547:O2547)/COUNT(H2547:O2547)))</f>
        <v/>
      </c>
      <c r="J2547" s="1381"/>
      <c r="K2547" s="1359"/>
      <c r="L2547" s="1458"/>
      <c r="M2547" s="1362"/>
      <c r="N2547" s="1362"/>
      <c r="O2547" s="1362"/>
      <c r="P2547" s="1458"/>
      <c r="Q2547" s="3387"/>
      <c r="R2547" s="2343"/>
      <c r="S2547" s="16"/>
      <c r="T2547" s="16"/>
      <c r="U2547" s="16"/>
      <c r="V2547" s="16"/>
    </row>
    <row r="2548" spans="1:22">
      <c r="A2548" s="16"/>
      <c r="B2548" s="1320"/>
      <c r="C2548" s="1042"/>
      <c r="D2548" s="1437" t="s">
        <v>1153</v>
      </c>
      <c r="E2548" s="2134" t="s">
        <v>1508</v>
      </c>
      <c r="F2548" s="1438" t="s">
        <v>1783</v>
      </c>
      <c r="G2548" s="1439">
        <v>1.5129999999999999</v>
      </c>
      <c r="H2548" s="1439"/>
      <c r="I2548" s="197"/>
      <c r="J2548" s="198"/>
      <c r="K2548" s="1307">
        <f>G2548*$K$2527</f>
        <v>5.1805119999999996E-2</v>
      </c>
      <c r="L2548" s="1335">
        <f t="shared" ref="L2548:L2550" si="150">K2548*$K$2352</f>
        <v>0</v>
      </c>
      <c r="M2548" s="1499">
        <v>19.23</v>
      </c>
      <c r="N2548" s="1701"/>
      <c r="O2548" s="1290">
        <f>(G2548*M2548)</f>
        <v>29.094989999999999</v>
      </c>
      <c r="P2548" s="1332">
        <f>M2548*K2548</f>
        <v>0.99621245759999999</v>
      </c>
      <c r="Q2548" s="3391"/>
      <c r="R2548" s="3363"/>
      <c r="S2548" s="16"/>
      <c r="T2548" s="16"/>
      <c r="U2548" s="16"/>
      <c r="V2548" s="16"/>
    </row>
    <row r="2549" spans="1:22">
      <c r="A2549" s="16"/>
      <c r="B2549" s="1042"/>
      <c r="C2549" s="88"/>
      <c r="D2549" s="1363" t="s">
        <v>1067</v>
      </c>
      <c r="E2549" s="2125" t="s">
        <v>1508</v>
      </c>
      <c r="F2549" s="1364" t="s">
        <v>1512</v>
      </c>
      <c r="G2549" s="1365">
        <v>0.31</v>
      </c>
      <c r="H2549" s="1365"/>
      <c r="I2549" s="1286"/>
      <c r="J2549" s="198"/>
      <c r="K2549" s="1307">
        <f t="shared" ref="K2549:K2550" si="151">G2549*$K$2527</f>
        <v>1.06144E-2</v>
      </c>
      <c r="L2549" s="1335">
        <f t="shared" si="150"/>
        <v>0</v>
      </c>
      <c r="M2549" s="1302">
        <v>18.28</v>
      </c>
      <c r="N2549" s="1302"/>
      <c r="O2549" s="1290">
        <f>(G2549*M2549)</f>
        <v>5.6668000000000003</v>
      </c>
      <c r="P2549" s="1332">
        <f>M2549*K2549</f>
        <v>0.194031232</v>
      </c>
      <c r="Q2549" s="3391"/>
      <c r="R2549" s="2338"/>
      <c r="S2549" s="16"/>
      <c r="T2549" s="16"/>
      <c r="U2549" s="16"/>
      <c r="V2549" s="16"/>
    </row>
    <row r="2550" spans="1:22">
      <c r="A2550" s="16"/>
      <c r="B2550" s="1042"/>
      <c r="C2550" s="88"/>
      <c r="D2550" s="1430" t="s">
        <v>1077</v>
      </c>
      <c r="E2550" s="1857" t="s">
        <v>1508</v>
      </c>
      <c r="F2550" s="1403" t="s">
        <v>1539</v>
      </c>
      <c r="G2550" s="1362">
        <v>0.81499999999999995</v>
      </c>
      <c r="H2550" s="1362"/>
      <c r="I2550" s="197">
        <f ca="1">IF(COUNT(G2550:L2550)=0,"",(SUM(G2550:L2550)/COUNT(G2550:L2550)))</f>
        <v>0.28096853333333333</v>
      </c>
      <c r="J2550" s="198"/>
      <c r="K2550" s="1307">
        <f t="shared" si="151"/>
        <v>2.7905599999999999E-2</v>
      </c>
      <c r="L2550" s="1335">
        <f t="shared" si="150"/>
        <v>0</v>
      </c>
      <c r="M2550" s="1302">
        <v>19.23</v>
      </c>
      <c r="N2550" s="7"/>
      <c r="O2550" s="1290">
        <f>(G2550*M2550)</f>
        <v>15.67245</v>
      </c>
      <c r="P2550" s="1332">
        <f>M2550*K2550</f>
        <v>0.53662468799999996</v>
      </c>
      <c r="Q2550" s="3391"/>
      <c r="R2550" s="2338"/>
      <c r="S2550" s="16"/>
      <c r="T2550" s="16"/>
      <c r="U2550" s="16"/>
      <c r="V2550" s="16"/>
    </row>
    <row r="2551" spans="1:22">
      <c r="A2551" s="16"/>
      <c r="B2551" s="1042"/>
      <c r="C2551" s="88"/>
      <c r="D2551" s="1430"/>
      <c r="E2551" s="1857"/>
      <c r="F2551" s="1766"/>
      <c r="G2551" s="1362"/>
      <c r="H2551" s="1362"/>
      <c r="I2551" s="197"/>
      <c r="J2551" s="198"/>
      <c r="K2551" s="1307"/>
      <c r="L2551" s="1335"/>
      <c r="M2551" s="1302"/>
      <c r="N2551" s="7"/>
      <c r="O2551" s="1290"/>
      <c r="P2551" s="1332"/>
      <c r="Q2551" s="3391"/>
      <c r="R2551" s="2338"/>
      <c r="S2551" s="16"/>
      <c r="T2551" s="16"/>
      <c r="U2551" s="16"/>
      <c r="V2551" s="16"/>
    </row>
    <row r="2552" spans="1:22">
      <c r="A2552" s="16"/>
      <c r="B2552" s="1042"/>
      <c r="C2552" s="88"/>
      <c r="D2552" s="1373"/>
      <c r="E2552" s="2123"/>
      <c r="F2552" s="1374" t="s">
        <v>3</v>
      </c>
      <c r="G2552" s="1374"/>
      <c r="H2552" s="1376"/>
      <c r="I2552" s="1382" t="str">
        <f t="shared" ref="I2552:I2555" ca="1" si="152">IF(COUNT(H2552:O2552)=0,"",(SUM(H2552:O2552)/COUNT(H2552:O2552)))</f>
        <v/>
      </c>
      <c r="J2552" s="1383"/>
      <c r="K2552" s="1373"/>
      <c r="L2552" s="1413"/>
      <c r="M2552" s="1376"/>
      <c r="N2552" s="1376"/>
      <c r="O2552" s="1376"/>
      <c r="P2552" s="1413"/>
      <c r="Q2552" s="3387"/>
      <c r="R2552" s="2343"/>
      <c r="S2552" s="16"/>
      <c r="T2552" s="16"/>
      <c r="U2552" s="16"/>
      <c r="V2552" s="16"/>
    </row>
    <row r="2553" spans="1:22">
      <c r="A2553" s="16"/>
      <c r="B2553" s="1042"/>
      <c r="C2553" s="88"/>
      <c r="D2553" s="1440"/>
      <c r="E2553" s="2132"/>
      <c r="F2553" s="1441"/>
      <c r="G2553" s="1441"/>
      <c r="H2553" s="1442"/>
      <c r="I2553" s="197" t="str">
        <f t="shared" ca="1" si="152"/>
        <v/>
      </c>
      <c r="J2553" s="198"/>
      <c r="K2553" s="1307"/>
      <c r="L2553" s="1335"/>
      <c r="M2553" s="1499"/>
      <c r="N2553" s="1701"/>
      <c r="O2553" s="1290"/>
      <c r="P2553" s="1332"/>
      <c r="Q2553" s="3391"/>
      <c r="R2553" s="2338"/>
      <c r="S2553" s="16"/>
      <c r="T2553" s="16"/>
      <c r="U2553" s="16"/>
      <c r="V2553" s="16"/>
    </row>
    <row r="2554" spans="1:22">
      <c r="A2554" s="16"/>
      <c r="B2554" s="1042"/>
      <c r="C2554" s="88"/>
      <c r="D2554" s="1440"/>
      <c r="E2554" s="2132"/>
      <c r="F2554" s="1441"/>
      <c r="G2554" s="1441"/>
      <c r="H2554" s="1442"/>
      <c r="I2554" s="197" t="str">
        <f t="shared" ca="1" si="152"/>
        <v/>
      </c>
      <c r="J2554" s="198"/>
      <c r="K2554" s="1307"/>
      <c r="L2554" s="1335"/>
      <c r="M2554" s="1499"/>
      <c r="N2554" s="1701"/>
      <c r="O2554" s="1290"/>
      <c r="P2554" s="1332"/>
      <c r="Q2554" s="3391"/>
      <c r="R2554" s="2338"/>
      <c r="S2554" s="16"/>
      <c r="T2554" s="16"/>
      <c r="U2554" s="16"/>
      <c r="V2554" s="16"/>
    </row>
    <row r="2555" spans="1:22">
      <c r="A2555" s="16"/>
      <c r="B2555" s="223"/>
      <c r="C2555" s="581"/>
      <c r="D2555" s="1440"/>
      <c r="E2555" s="2132"/>
      <c r="F2555" s="1441"/>
      <c r="G2555" s="1441"/>
      <c r="H2555" s="1442"/>
      <c r="I2555" s="197" t="str">
        <f t="shared" ca="1" si="152"/>
        <v/>
      </c>
      <c r="J2555" s="198"/>
      <c r="K2555" s="1307"/>
      <c r="L2555" s="1335"/>
      <c r="M2555" s="1499"/>
      <c r="N2555" s="1701"/>
      <c r="O2555" s="1290"/>
      <c r="P2555" s="1332"/>
      <c r="Q2555" s="3391"/>
      <c r="R2555" s="2338"/>
      <c r="S2555" s="16"/>
      <c r="T2555" s="16"/>
      <c r="U2555" s="16"/>
      <c r="V2555" s="16"/>
    </row>
    <row r="2556" spans="1:22">
      <c r="A2556" s="19" t="s">
        <v>3764</v>
      </c>
      <c r="B2556" s="4325" t="s">
        <v>1823</v>
      </c>
      <c r="C2556" s="3350"/>
      <c r="D2556" s="4327"/>
      <c r="E2556" s="4329" t="s">
        <v>1527</v>
      </c>
      <c r="F2556" s="4461" t="s">
        <v>1824</v>
      </c>
      <c r="G2556" s="4331" t="s">
        <v>1568</v>
      </c>
      <c r="H2556" s="4331" t="s">
        <v>1574</v>
      </c>
      <c r="I2556" s="1572" t="s">
        <v>1559</v>
      </c>
      <c r="J2556" s="1294" t="s">
        <v>1560</v>
      </c>
      <c r="K2556" s="1294" t="s">
        <v>1561</v>
      </c>
      <c r="L2556" s="4333" t="s">
        <v>3765</v>
      </c>
      <c r="M2556" s="4323" t="s">
        <v>1571</v>
      </c>
      <c r="N2556" s="4323" t="s">
        <v>1776</v>
      </c>
      <c r="O2556" s="3347" t="s">
        <v>1563</v>
      </c>
      <c r="P2556" s="1336" t="s">
        <v>1562</v>
      </c>
      <c r="Q2556" s="3389"/>
      <c r="R2556" s="1839" t="s">
        <v>1327</v>
      </c>
      <c r="S2556" s="16"/>
      <c r="T2556" s="16"/>
      <c r="U2556" s="16"/>
      <c r="V2556" s="16"/>
    </row>
    <row r="2557" spans="1:22">
      <c r="A2557" s="1807" t="s">
        <v>1887</v>
      </c>
      <c r="B2557" s="4326"/>
      <c r="C2557" s="3351"/>
      <c r="D2557" s="4328"/>
      <c r="E2557" s="4330"/>
      <c r="F2557" s="4462"/>
      <c r="G2557" s="4332"/>
      <c r="H2557" s="4332"/>
      <c r="I2557" s="1345">
        <v>1</v>
      </c>
      <c r="J2557" s="1307">
        <v>2E-3</v>
      </c>
      <c r="K2557" s="1307">
        <f>I2557*J2557</f>
        <v>2E-3</v>
      </c>
      <c r="L2557" s="4334"/>
      <c r="M2557" s="4324"/>
      <c r="N2557" s="4324"/>
      <c r="O2557" s="1298">
        <f>O2559+O2560+O2561+O2565+O2569+O2577+O2578+O2579</f>
        <v>125.97102734000002</v>
      </c>
      <c r="P2557" s="1337">
        <f>K2557*O2557</f>
        <v>0.25194205468000003</v>
      </c>
      <c r="Q2557" s="3390"/>
      <c r="R2557" s="1840">
        <f>P2559+P2560+P2561+P2565+P2569+P2577+P2578+P2579</f>
        <v>0.25194205468000003</v>
      </c>
      <c r="S2557" s="16"/>
      <c r="T2557" s="16"/>
      <c r="U2557" s="16"/>
      <c r="V2557" s="16"/>
    </row>
    <row r="2558" spans="1:22">
      <c r="A2558" s="16"/>
      <c r="B2558" s="18"/>
      <c r="D2558" s="1449"/>
      <c r="E2558" s="2121"/>
      <c r="F2558" s="1368" t="s">
        <v>1</v>
      </c>
      <c r="G2558" s="1368"/>
      <c r="H2558" s="1369"/>
      <c r="I2558" s="1409"/>
      <c r="J2558" s="1391"/>
      <c r="K2558" s="1367"/>
      <c r="L2558" s="1554"/>
      <c r="M2558" s="1369"/>
      <c r="N2558" s="1369"/>
      <c r="O2558" s="1369"/>
      <c r="P2558" s="1367"/>
      <c r="Q2558" s="3387"/>
      <c r="R2558" s="2343"/>
      <c r="S2558" s="16"/>
      <c r="T2558" s="16"/>
      <c r="U2558" s="16"/>
      <c r="V2558" s="16"/>
    </row>
    <row r="2559" spans="1:22">
      <c r="A2559" s="16"/>
      <c r="B2559" s="1042"/>
      <c r="D2559" s="1767" t="s">
        <v>1752</v>
      </c>
      <c r="E2559" s="1849" t="s">
        <v>1521</v>
      </c>
      <c r="F2559" s="1654" t="s">
        <v>1825</v>
      </c>
      <c r="G2559" s="1567">
        <v>1.4E-2</v>
      </c>
      <c r="H2559" s="1567"/>
      <c r="I2559" s="1286"/>
      <c r="J2559" s="198"/>
      <c r="K2559" s="1722">
        <f>G2559*$K$2557</f>
        <v>2.8E-5</v>
      </c>
      <c r="L2559" s="1335">
        <f t="shared" ref="L2559:L2560" si="153">K2559*$K$2352</f>
        <v>0</v>
      </c>
      <c r="M2559" s="1302">
        <v>66.989999999999995</v>
      </c>
      <c r="N2559" s="1700"/>
      <c r="O2559" s="1290">
        <f>G2559*M2559</f>
        <v>0.93785999999999992</v>
      </c>
      <c r="P2559" s="1739">
        <f>M2559*K2559</f>
        <v>1.8757199999999998E-3</v>
      </c>
      <c r="Q2559" s="3391"/>
      <c r="R2559" s="2343"/>
      <c r="S2559" s="16"/>
      <c r="T2559" s="16"/>
      <c r="U2559" s="16"/>
      <c r="V2559" s="16"/>
    </row>
    <row r="2560" spans="1:22">
      <c r="A2560" s="16"/>
      <c r="B2560" s="1042"/>
      <c r="D2560" s="1769" t="s">
        <v>1786</v>
      </c>
      <c r="E2560" s="1850" t="s">
        <v>1787</v>
      </c>
      <c r="F2560" s="1770" t="s">
        <v>1788</v>
      </c>
      <c r="G2560" s="1771">
        <v>1.1000000000000001</v>
      </c>
      <c r="H2560" s="1771"/>
      <c r="I2560" s="1286"/>
      <c r="J2560" s="198"/>
      <c r="K2560" s="1722">
        <f>G2560*$K$2557</f>
        <v>2.2000000000000001E-3</v>
      </c>
      <c r="L2560" s="1335">
        <f t="shared" si="153"/>
        <v>0</v>
      </c>
      <c r="M2560" s="1302">
        <v>1.54</v>
      </c>
      <c r="N2560" s="1700"/>
      <c r="O2560" s="1290">
        <f>G2560*M2560</f>
        <v>1.6940000000000002</v>
      </c>
      <c r="P2560" s="1739">
        <f>M2560*K2560</f>
        <v>3.3880000000000004E-3</v>
      </c>
      <c r="Q2560" s="3391"/>
      <c r="R2560" s="2343"/>
      <c r="S2560" s="16"/>
      <c r="T2560" s="16"/>
      <c r="U2560" s="16"/>
      <c r="V2560" s="16"/>
    </row>
    <row r="2561" spans="1:22">
      <c r="A2561" s="16"/>
      <c r="B2561" s="1042"/>
      <c r="C2561" s="1356" t="s">
        <v>1128</v>
      </c>
      <c r="D2561" s="1585"/>
      <c r="E2561" s="1851" t="s">
        <v>1517</v>
      </c>
      <c r="F2561" s="1768" t="s">
        <v>1695</v>
      </c>
      <c r="G2561" s="1776"/>
      <c r="H2561" s="1776">
        <v>5.0000000000000001E-3</v>
      </c>
      <c r="I2561" s="1388"/>
      <c r="J2561" s="1366"/>
      <c r="K2561" s="1841"/>
      <c r="L2561" s="1445"/>
      <c r="M2561" s="1447"/>
      <c r="N2561" s="1447">
        <f>SUM(N2562:N2564)</f>
        <v>104.27969999999999</v>
      </c>
      <c r="O2561" s="1447">
        <f>SUM(O2562:O2564)</f>
        <v>0.52139849999999999</v>
      </c>
      <c r="P2561" s="1741">
        <f>SUM(P2562:P2564)</f>
        <v>1.0427969999999998E-3</v>
      </c>
      <c r="Q2561" s="3391"/>
      <c r="R2561" s="2343"/>
      <c r="S2561" s="16"/>
      <c r="T2561" s="16"/>
      <c r="U2561" s="16"/>
      <c r="V2561" s="16"/>
    </row>
    <row r="2562" spans="1:22">
      <c r="A2562" s="16"/>
      <c r="B2562" s="553"/>
      <c r="C2562" s="1042"/>
      <c r="D2562" s="1752" t="s">
        <v>1779</v>
      </c>
      <c r="E2562" s="1852" t="s">
        <v>1577</v>
      </c>
      <c r="F2562" s="1752" t="s">
        <v>1780</v>
      </c>
      <c r="G2562" s="1753">
        <v>0.876</v>
      </c>
      <c r="H2562" s="1453">
        <f>$H$2561*G2562</f>
        <v>4.3800000000000002E-3</v>
      </c>
      <c r="I2562" s="197"/>
      <c r="J2562" s="198"/>
      <c r="K2562" s="1722">
        <f>H2562*$K$2557</f>
        <v>8.7600000000000008E-6</v>
      </c>
      <c r="L2562" s="1335">
        <f t="shared" ref="L2562:L2564" si="154">K2562*$K$2352</f>
        <v>0</v>
      </c>
      <c r="M2562" s="1759">
        <v>56.05</v>
      </c>
      <c r="N2562" s="1718">
        <f>G2562*M2562</f>
        <v>49.099799999999995</v>
      </c>
      <c r="O2562" s="1719">
        <f>H2562*M2562</f>
        <v>0.245499</v>
      </c>
      <c r="P2562" s="1731">
        <f>M2562*K2562</f>
        <v>4.9099799999999998E-4</v>
      </c>
      <c r="Q2562" s="3396"/>
      <c r="R2562" s="2343"/>
      <c r="S2562" s="16"/>
      <c r="T2562" s="16"/>
      <c r="U2562" s="16"/>
      <c r="V2562" s="16"/>
    </row>
    <row r="2563" spans="1:22">
      <c r="A2563" s="16"/>
      <c r="B2563" s="553"/>
      <c r="C2563" s="1042"/>
      <c r="D2563" s="1752" t="s">
        <v>1069</v>
      </c>
      <c r="E2563" s="1852" t="s">
        <v>1517</v>
      </c>
      <c r="F2563" s="1752" t="s">
        <v>1578</v>
      </c>
      <c r="G2563" s="1753">
        <v>0.61799999999999999</v>
      </c>
      <c r="H2563" s="1453">
        <f t="shared" ref="H2563:H2564" si="155">$H$2561*G2563</f>
        <v>3.0899999999999999E-3</v>
      </c>
      <c r="I2563" s="27"/>
      <c r="J2563" s="10"/>
      <c r="K2563" s="1722">
        <f t="shared" ref="K2563:K2564" si="156">H2563*$K$2557</f>
        <v>6.1800000000000001E-6</v>
      </c>
      <c r="L2563" s="1335">
        <f t="shared" si="154"/>
        <v>0</v>
      </c>
      <c r="M2563" s="1759">
        <v>0.55000000000000004</v>
      </c>
      <c r="N2563" s="1718">
        <f>G2563*M2563</f>
        <v>0.33990000000000004</v>
      </c>
      <c r="O2563" s="1719">
        <f>H2563*M2563</f>
        <v>1.6995000000000001E-3</v>
      </c>
      <c r="P2563" s="1843">
        <f>M2563*K2563</f>
        <v>3.3990000000000004E-6</v>
      </c>
      <c r="Q2563" s="3396"/>
      <c r="R2563" s="2343"/>
      <c r="S2563" s="16"/>
      <c r="T2563" s="16"/>
      <c r="U2563" s="16"/>
      <c r="V2563" s="16"/>
    </row>
    <row r="2564" spans="1:22">
      <c r="A2564" s="16"/>
      <c r="B2564" s="553"/>
      <c r="C2564" s="1042"/>
      <c r="D2564" s="1754" t="s">
        <v>1067</v>
      </c>
      <c r="E2564" s="1853" t="s">
        <v>1508</v>
      </c>
      <c r="F2564" s="1754" t="s">
        <v>1512</v>
      </c>
      <c r="G2564" s="1755">
        <v>3</v>
      </c>
      <c r="H2564" s="1454">
        <f t="shared" si="155"/>
        <v>1.4999999999999999E-2</v>
      </c>
      <c r="I2564" s="198"/>
      <c r="J2564" s="198"/>
      <c r="K2564" s="1722">
        <f t="shared" si="156"/>
        <v>3.0000000000000001E-5</v>
      </c>
      <c r="L2564" s="1335">
        <f t="shared" si="154"/>
        <v>0</v>
      </c>
      <c r="M2564" s="1759">
        <v>18.28</v>
      </c>
      <c r="N2564" s="1718">
        <f>G2564*M2564</f>
        <v>54.84</v>
      </c>
      <c r="O2564" s="1719">
        <f>H2564*M2564</f>
        <v>0.2742</v>
      </c>
      <c r="P2564" s="1727">
        <f>M2564*K2564</f>
        <v>5.4839999999999999E-4</v>
      </c>
      <c r="Q2564" s="3396"/>
      <c r="R2564" s="2343"/>
      <c r="S2564" s="16"/>
      <c r="T2564" s="16"/>
      <c r="U2564" s="16"/>
      <c r="V2564" s="16"/>
    </row>
    <row r="2565" spans="1:22">
      <c r="A2565" s="16"/>
      <c r="B2565" s="553"/>
      <c r="C2565" s="1356" t="s">
        <v>1152</v>
      </c>
      <c r="D2565" s="1311"/>
      <c r="E2565" s="1854" t="s">
        <v>1517</v>
      </c>
      <c r="F2565" s="1749" t="s">
        <v>1696</v>
      </c>
      <c r="G2565" s="1776"/>
      <c r="H2565" s="1688">
        <v>1E-3</v>
      </c>
      <c r="I2565" s="1388"/>
      <c r="J2565" s="1388"/>
      <c r="K2565" s="1841"/>
      <c r="L2565" s="1445"/>
      <c r="M2565" s="1447"/>
      <c r="N2565" s="1447">
        <f>SUM(N2566:N2568)</f>
        <v>108.04650000000001</v>
      </c>
      <c r="O2565" s="1447">
        <f>SUM(O2566:O2568)</f>
        <v>0.10804650000000002</v>
      </c>
      <c r="P2565" s="1844">
        <f>SUM(P2566:P2568)</f>
        <v>2.1609300000000002E-4</v>
      </c>
      <c r="Q2565" s="3391"/>
      <c r="R2565" s="2343"/>
      <c r="S2565" s="16"/>
      <c r="T2565" s="16"/>
      <c r="U2565" s="16"/>
      <c r="V2565" s="16"/>
    </row>
    <row r="2566" spans="1:22">
      <c r="A2566" s="16"/>
      <c r="B2566" s="553"/>
      <c r="C2566" s="18"/>
      <c r="D2566" s="1756" t="s">
        <v>1781</v>
      </c>
      <c r="E2566" s="1852" t="s">
        <v>1577</v>
      </c>
      <c r="F2566" s="1752" t="s">
        <v>1782</v>
      </c>
      <c r="G2566" s="1753">
        <v>0.876</v>
      </c>
      <c r="H2566" s="1453">
        <f>$H$2565*G2566</f>
        <v>8.7600000000000004E-4</v>
      </c>
      <c r="I2566" s="198"/>
      <c r="J2566" s="198"/>
      <c r="K2566" s="1860">
        <f>H2566*$K$2557</f>
        <v>1.7520000000000001E-6</v>
      </c>
      <c r="L2566" s="1335">
        <f t="shared" ref="L2566:L2568" si="157">K2566*$K$2352</f>
        <v>0</v>
      </c>
      <c r="M2566" s="1723">
        <v>60.35</v>
      </c>
      <c r="N2566" s="1718">
        <f>G2566*M2566</f>
        <v>52.866599999999998</v>
      </c>
      <c r="O2566" s="1719">
        <f>H2566*M2566</f>
        <v>5.2866600000000007E-2</v>
      </c>
      <c r="P2566" s="1731">
        <f>M2566*K2566</f>
        <v>1.0573320000000001E-4</v>
      </c>
      <c r="Q2566" s="3396"/>
      <c r="R2566" s="2343"/>
      <c r="S2566" s="16"/>
      <c r="T2566" s="16"/>
      <c r="U2566" s="16"/>
      <c r="V2566" s="16"/>
    </row>
    <row r="2567" spans="1:22">
      <c r="A2567" s="16"/>
      <c r="B2567" s="553"/>
      <c r="C2567" s="1042"/>
      <c r="D2567" s="1756" t="s">
        <v>1069</v>
      </c>
      <c r="E2567" s="1852" t="s">
        <v>1517</v>
      </c>
      <c r="F2567" s="1752" t="s">
        <v>1578</v>
      </c>
      <c r="G2567" s="1753">
        <v>0.61799999999999999</v>
      </c>
      <c r="H2567" s="1453">
        <f t="shared" ref="H2567:H2568" si="158">$H$2565*G2567</f>
        <v>6.1800000000000006E-4</v>
      </c>
      <c r="I2567" s="197"/>
      <c r="J2567" s="198"/>
      <c r="K2567" s="1860">
        <f>H2567*$K$2557</f>
        <v>1.2360000000000001E-6</v>
      </c>
      <c r="L2567" s="1335">
        <f t="shared" si="157"/>
        <v>0</v>
      </c>
      <c r="M2567" s="1723">
        <v>0.55000000000000004</v>
      </c>
      <c r="N2567" s="1718">
        <f>G2567*M2567</f>
        <v>0.33990000000000004</v>
      </c>
      <c r="O2567" s="1719">
        <f>H2567*M2567</f>
        <v>3.3990000000000008E-4</v>
      </c>
      <c r="P2567" s="1843">
        <f>M2567*K2567</f>
        <v>6.7980000000000014E-7</v>
      </c>
      <c r="Q2567" s="3396"/>
      <c r="R2567" s="2343"/>
      <c r="S2567" s="17"/>
      <c r="T2567" s="17"/>
      <c r="U2567" s="16"/>
      <c r="V2567" s="16"/>
    </row>
    <row r="2568" spans="1:22">
      <c r="A2568" s="16"/>
      <c r="B2568" s="553"/>
      <c r="C2568" s="1042"/>
      <c r="D2568" s="1811" t="s">
        <v>1067</v>
      </c>
      <c r="E2568" s="1853" t="s">
        <v>1508</v>
      </c>
      <c r="F2568" s="1754" t="s">
        <v>1512</v>
      </c>
      <c r="G2568" s="1755">
        <v>3</v>
      </c>
      <c r="H2568" s="1454">
        <f t="shared" si="158"/>
        <v>3.0000000000000001E-3</v>
      </c>
      <c r="I2568" s="1289"/>
      <c r="J2568" s="198"/>
      <c r="K2568" s="1860">
        <f t="shared" ref="K2568:K2574" si="159">H2568*$K$2557</f>
        <v>6.0000000000000002E-6</v>
      </c>
      <c r="L2568" s="1335">
        <f t="shared" si="157"/>
        <v>0</v>
      </c>
      <c r="M2568" s="1723">
        <v>18.28</v>
      </c>
      <c r="N2568" s="1718">
        <f>G2568*M2568</f>
        <v>54.84</v>
      </c>
      <c r="O2568" s="1719">
        <f>H2568*M2568</f>
        <v>5.4840000000000007E-2</v>
      </c>
      <c r="P2568" s="1731">
        <f>M2568*K2568</f>
        <v>1.0968000000000001E-4</v>
      </c>
      <c r="Q2568" s="3396"/>
      <c r="R2568" s="2343"/>
      <c r="S2568" s="105"/>
      <c r="T2568" s="105"/>
      <c r="U2568" s="16"/>
      <c r="V2568" s="16"/>
    </row>
    <row r="2569" spans="1:22">
      <c r="A2569" s="16"/>
      <c r="B2569" s="1042"/>
      <c r="C2569" s="1658" t="s">
        <v>1122</v>
      </c>
      <c r="D2569" s="1311"/>
      <c r="E2569" s="1855" t="s">
        <v>1517</v>
      </c>
      <c r="F2569" s="1647" t="s">
        <v>1681</v>
      </c>
      <c r="G2569" s="1689"/>
      <c r="H2569" s="1689">
        <v>1.4E-2</v>
      </c>
      <c r="I2569" s="1444"/>
      <c r="J2569" s="1388"/>
      <c r="K2569" s="1841"/>
      <c r="L2569" s="1445"/>
      <c r="M2569" s="1500"/>
      <c r="N2569" s="1501">
        <f>SUM(N2570:N2574)</f>
        <v>51.667310000000001</v>
      </c>
      <c r="O2569" s="1501">
        <f>SUM(O2570:O2574)</f>
        <v>0.72334234000000008</v>
      </c>
      <c r="P2569" s="1845">
        <f>SUM(P2570:P2574)</f>
        <v>1.44668468E-3</v>
      </c>
      <c r="Q2569" s="3391"/>
      <c r="R2569" s="2343"/>
      <c r="S2569" s="16"/>
      <c r="T2569" s="16"/>
      <c r="U2569" s="16"/>
      <c r="V2569" s="16"/>
    </row>
    <row r="2570" spans="1:22">
      <c r="A2570" s="16"/>
      <c r="B2570" s="1042"/>
      <c r="C2570" s="1042"/>
      <c r="D2570" s="1451" t="s">
        <v>1069</v>
      </c>
      <c r="E2570" s="1856" t="s">
        <v>1517</v>
      </c>
      <c r="F2570" s="1421" t="s">
        <v>1578</v>
      </c>
      <c r="G2570" s="1452">
        <v>0.26300000000000001</v>
      </c>
      <c r="H2570" s="1453">
        <f>$H$2569*G2570</f>
        <v>3.6820000000000004E-3</v>
      </c>
      <c r="I2570" s="197"/>
      <c r="J2570" s="198"/>
      <c r="K2570" s="1860">
        <f t="shared" si="159"/>
        <v>7.364000000000001E-6</v>
      </c>
      <c r="L2570" s="1335">
        <f t="shared" ref="L2570:L2574" si="160">K2570*$K$2352</f>
        <v>0</v>
      </c>
      <c r="M2570" s="1723">
        <v>0.55000000000000004</v>
      </c>
      <c r="N2570" s="1724">
        <f>G2570*M2570</f>
        <v>0.14465000000000003</v>
      </c>
      <c r="O2570" s="1719">
        <f>H2570*M2570</f>
        <v>2.0251000000000002E-3</v>
      </c>
      <c r="P2570" s="1843">
        <f>K2570*M2570</f>
        <v>4.0502000000000006E-6</v>
      </c>
      <c r="Q2570" s="3396"/>
      <c r="R2570" s="2338"/>
      <c r="S2570" s="16"/>
      <c r="T2570" s="16"/>
      <c r="U2570" s="16"/>
      <c r="V2570" s="16"/>
    </row>
    <row r="2571" spans="1:22">
      <c r="A2571" s="16"/>
      <c r="B2571" s="1042"/>
      <c r="C2571" s="1320"/>
      <c r="D2571" s="1367" t="s">
        <v>1394</v>
      </c>
      <c r="E2571" s="1856" t="s">
        <v>1577</v>
      </c>
      <c r="F2571" s="1421" t="s">
        <v>1579</v>
      </c>
      <c r="G2571" s="1452">
        <v>0.25800000000000001</v>
      </c>
      <c r="H2571" s="1453">
        <f t="shared" ref="H2571:H2574" si="161">$H$2569*G2571</f>
        <v>3.6120000000000002E-3</v>
      </c>
      <c r="I2571" s="197"/>
      <c r="J2571" s="198"/>
      <c r="K2571" s="1860">
        <f t="shared" si="159"/>
        <v>7.2240000000000006E-6</v>
      </c>
      <c r="L2571" s="1335">
        <f t="shared" si="160"/>
        <v>0</v>
      </c>
      <c r="M2571" s="1723">
        <v>92.54</v>
      </c>
      <c r="N2571" s="1724">
        <f>G2571*M2571</f>
        <v>23.875320000000002</v>
      </c>
      <c r="O2571" s="1719">
        <f>H2571*M2571</f>
        <v>0.33425448000000002</v>
      </c>
      <c r="P2571" s="1731">
        <f>K2571*M2571</f>
        <v>6.6850896000000013E-4</v>
      </c>
      <c r="Q2571" s="3396"/>
      <c r="R2571" s="2338"/>
      <c r="S2571" s="16"/>
      <c r="T2571" s="16"/>
      <c r="U2571" s="16"/>
      <c r="V2571" s="16"/>
    </row>
    <row r="2572" spans="1:22">
      <c r="A2572" s="16"/>
      <c r="B2572" s="1042"/>
      <c r="C2572" s="1320"/>
      <c r="D2572" s="1603" t="s">
        <v>1682</v>
      </c>
      <c r="E2572" s="1856" t="s">
        <v>1683</v>
      </c>
      <c r="F2572" s="1421" t="s">
        <v>1684</v>
      </c>
      <c r="G2572" s="1452">
        <v>1.288</v>
      </c>
      <c r="H2572" s="1453">
        <f t="shared" si="161"/>
        <v>1.8031999999999999E-2</v>
      </c>
      <c r="I2572" s="197"/>
      <c r="J2572" s="198"/>
      <c r="K2572" s="1860">
        <f t="shared" si="159"/>
        <v>3.6063999999999999E-5</v>
      </c>
      <c r="L2572" s="1335">
        <f t="shared" si="160"/>
        <v>0</v>
      </c>
      <c r="M2572" s="1723">
        <v>1.26</v>
      </c>
      <c r="N2572" s="1724">
        <f>G2572*M2572</f>
        <v>1.6228800000000001</v>
      </c>
      <c r="O2572" s="1719">
        <f>H2572*M2572</f>
        <v>2.2720319999999999E-2</v>
      </c>
      <c r="P2572" s="1734">
        <f>K2572*M2572</f>
        <v>4.5440639999999996E-5</v>
      </c>
      <c r="Q2572" s="3396"/>
      <c r="R2572" s="2338"/>
      <c r="S2572" s="16"/>
      <c r="T2572" s="16"/>
      <c r="U2572" s="16"/>
      <c r="V2572" s="16"/>
    </row>
    <row r="2573" spans="1:22">
      <c r="A2573" s="16"/>
      <c r="B2573" s="1042"/>
      <c r="C2573" s="1320"/>
      <c r="D2573" s="1603" t="s">
        <v>1576</v>
      </c>
      <c r="E2573" s="1856" t="s">
        <v>1517</v>
      </c>
      <c r="F2573" s="1421" t="s">
        <v>1580</v>
      </c>
      <c r="G2573" s="1452">
        <v>1.1020000000000001</v>
      </c>
      <c r="H2573" s="1453">
        <f t="shared" si="161"/>
        <v>1.5428000000000001E-2</v>
      </c>
      <c r="I2573" s="197"/>
      <c r="J2573" s="198"/>
      <c r="K2573" s="1860">
        <f t="shared" si="159"/>
        <v>3.0856000000000004E-5</v>
      </c>
      <c r="L2573" s="1335">
        <f t="shared" si="160"/>
        <v>0</v>
      </c>
      <c r="M2573" s="1723">
        <v>6.53</v>
      </c>
      <c r="N2573" s="1724">
        <f>G2573*M2573</f>
        <v>7.196060000000001</v>
      </c>
      <c r="O2573" s="1719">
        <f>H2573*M2573</f>
        <v>0.10074484</v>
      </c>
      <c r="P2573" s="1731">
        <f>K2573*M2573</f>
        <v>2.0148968000000003E-4</v>
      </c>
      <c r="Q2573" s="3396"/>
      <c r="R2573" s="2338"/>
      <c r="S2573" s="16"/>
      <c r="T2573" s="16"/>
      <c r="U2573" s="16"/>
      <c r="V2573" s="16"/>
    </row>
    <row r="2574" spans="1:22">
      <c r="A2574" s="16"/>
      <c r="B2574" s="1042"/>
      <c r="C2574" s="1320"/>
      <c r="D2574" s="1443" t="s">
        <v>1067</v>
      </c>
      <c r="E2574" s="1857" t="s">
        <v>1508</v>
      </c>
      <c r="F2574" s="1430" t="s">
        <v>1512</v>
      </c>
      <c r="G2574" s="1431">
        <v>1.03</v>
      </c>
      <c r="H2574" s="1454">
        <f t="shared" si="161"/>
        <v>1.4420000000000001E-2</v>
      </c>
      <c r="I2574" s="197"/>
      <c r="J2574" s="198"/>
      <c r="K2574" s="1860">
        <f t="shared" si="159"/>
        <v>2.8840000000000002E-5</v>
      </c>
      <c r="L2574" s="1335">
        <f t="shared" si="160"/>
        <v>0</v>
      </c>
      <c r="M2574" s="1723">
        <v>18.28</v>
      </c>
      <c r="N2574" s="1724">
        <f>G2574*M2574</f>
        <v>18.828400000000002</v>
      </c>
      <c r="O2574" s="1719">
        <f>H2574*M2574</f>
        <v>0.26359760000000004</v>
      </c>
      <c r="P2574" s="1731">
        <f>K2574*M2574</f>
        <v>5.2719520000000001E-4</v>
      </c>
      <c r="Q2574" s="3396"/>
      <c r="R2574" s="2338"/>
      <c r="S2574" s="16"/>
      <c r="T2574" s="16"/>
      <c r="U2574" s="16"/>
      <c r="V2574" s="16"/>
    </row>
    <row r="2575" spans="1:22">
      <c r="A2575" s="16"/>
      <c r="B2575" s="1042"/>
      <c r="C2575" s="88"/>
      <c r="D2575" s="1752"/>
      <c r="E2575" s="1852"/>
      <c r="F2575" s="1752"/>
      <c r="G2575" s="1399"/>
      <c r="H2575" s="1399"/>
      <c r="I2575" s="197"/>
      <c r="J2575" s="198"/>
      <c r="K2575" s="1722"/>
      <c r="L2575" s="1335"/>
      <c r="M2575" s="1499"/>
      <c r="N2575" s="1718"/>
      <c r="O2575" s="1719"/>
      <c r="P2575" s="1731"/>
      <c r="Q2575" s="3396"/>
      <c r="R2575" s="2338"/>
      <c r="S2575" s="16"/>
      <c r="T2575" s="16"/>
      <c r="U2575" s="16"/>
      <c r="V2575" s="16"/>
    </row>
    <row r="2576" spans="1:22">
      <c r="A2576" s="16"/>
      <c r="B2576" s="1042"/>
      <c r="C2576" s="88"/>
      <c r="D2576" s="1359"/>
      <c r="E2576" s="1858"/>
      <c r="F2576" s="1360" t="s">
        <v>2</v>
      </c>
      <c r="G2576" s="1360"/>
      <c r="H2576" s="1362"/>
      <c r="I2576" s="1380"/>
      <c r="J2576" s="1381"/>
      <c r="K2576" s="1842"/>
      <c r="L2576" s="1458"/>
      <c r="M2576" s="1362"/>
      <c r="N2576" s="1362"/>
      <c r="O2576" s="1362"/>
      <c r="P2576" s="1458"/>
      <c r="Q2576" s="3387"/>
      <c r="R2576" s="2343"/>
      <c r="S2576" s="16"/>
      <c r="T2576" s="16"/>
      <c r="U2576" s="16"/>
      <c r="V2576" s="16"/>
    </row>
    <row r="2577" spans="1:22">
      <c r="A2577" s="16"/>
      <c r="B2577" s="1320"/>
      <c r="C2577" s="1042"/>
      <c r="D2577" s="1655" t="s">
        <v>1806</v>
      </c>
      <c r="E2577" s="1859" t="s">
        <v>1508</v>
      </c>
      <c r="F2577" s="1655" t="s">
        <v>1821</v>
      </c>
      <c r="G2577" s="1809">
        <v>2.3279999999999998</v>
      </c>
      <c r="H2577" s="1439"/>
      <c r="I2577" s="197"/>
      <c r="J2577" s="198"/>
      <c r="K2577" s="1722">
        <f t="shared" ref="K2577:K2579" si="162">G2577*$K$2557</f>
        <v>4.6559999999999995E-3</v>
      </c>
      <c r="L2577" s="1335">
        <f t="shared" ref="L2577:L2579" si="163">K2577*$K$2352</f>
        <v>0</v>
      </c>
      <c r="M2577" s="1499">
        <v>19.23</v>
      </c>
      <c r="N2577" s="1701"/>
      <c r="O2577" s="1290">
        <f>(G2577*M2577)</f>
        <v>44.767440000000001</v>
      </c>
      <c r="P2577" s="1739">
        <f>M2577*K2577</f>
        <v>8.9534879999999997E-2</v>
      </c>
      <c r="Q2577" s="3391"/>
      <c r="R2577" s="3363"/>
      <c r="S2577" s="16"/>
      <c r="T2577" s="16"/>
      <c r="U2577" s="16"/>
      <c r="V2577" s="16"/>
    </row>
    <row r="2578" spans="1:22">
      <c r="A2578" s="16"/>
      <c r="B2578" s="1042"/>
      <c r="C2578" s="88"/>
      <c r="D2578" s="1655" t="s">
        <v>1826</v>
      </c>
      <c r="E2578" s="1859" t="s">
        <v>1508</v>
      </c>
      <c r="F2578" s="1655" t="s">
        <v>1827</v>
      </c>
      <c r="G2578" s="1809">
        <v>2.91</v>
      </c>
      <c r="H2578" s="1365"/>
      <c r="I2578" s="1286"/>
      <c r="J2578" s="198"/>
      <c r="K2578" s="1722">
        <f t="shared" si="162"/>
        <v>5.8200000000000005E-3</v>
      </c>
      <c r="L2578" s="1335">
        <f t="shared" si="163"/>
        <v>0</v>
      </c>
      <c r="M2578" s="1302">
        <v>19.23</v>
      </c>
      <c r="N2578" s="1302"/>
      <c r="O2578" s="1290">
        <f>(G2578*M2578)</f>
        <v>55.959300000000006</v>
      </c>
      <c r="P2578" s="1739">
        <f>M2578*K2578</f>
        <v>0.11191860000000001</v>
      </c>
      <c r="Q2578" s="3391"/>
      <c r="R2578" s="2338"/>
      <c r="S2578" s="16"/>
      <c r="T2578" s="16"/>
      <c r="U2578" s="16"/>
      <c r="V2578" s="16"/>
    </row>
    <row r="2579" spans="1:22">
      <c r="A2579" s="16"/>
      <c r="B2579" s="1042"/>
      <c r="C2579" s="88"/>
      <c r="D2579" s="2192" t="s">
        <v>1802</v>
      </c>
      <c r="E2579" s="2267" t="s">
        <v>1508</v>
      </c>
      <c r="F2579" s="1655" t="s">
        <v>1804</v>
      </c>
      <c r="G2579" s="2193">
        <v>1.163</v>
      </c>
      <c r="H2579" s="1362"/>
      <c r="I2579" s="197"/>
      <c r="J2579" s="198"/>
      <c r="K2579" s="1722">
        <f t="shared" si="162"/>
        <v>2.3259999999999999E-3</v>
      </c>
      <c r="L2579" s="1335">
        <f t="shared" si="163"/>
        <v>0</v>
      </c>
      <c r="M2579" s="1302">
        <v>18.28</v>
      </c>
      <c r="N2579" s="7"/>
      <c r="O2579" s="1290">
        <f>(G2579*M2579)</f>
        <v>21.259640000000001</v>
      </c>
      <c r="P2579" s="1739">
        <f>M2579*K2579</f>
        <v>4.251928E-2</v>
      </c>
      <c r="Q2579" s="3391"/>
      <c r="R2579" s="2338"/>
      <c r="S2579" s="16"/>
      <c r="T2579" s="16"/>
      <c r="U2579" s="16"/>
      <c r="V2579" s="16"/>
    </row>
    <row r="2580" spans="1:22">
      <c r="A2580" s="16"/>
      <c r="B2580" s="1042"/>
      <c r="C2580" s="88"/>
      <c r="D2580" s="1620"/>
      <c r="E2580" s="2157"/>
      <c r="F2580" s="2265"/>
      <c r="G2580" s="1621"/>
      <c r="H2580" s="1362"/>
      <c r="I2580" s="197"/>
      <c r="J2580" s="198"/>
      <c r="K2580" s="1722"/>
      <c r="L2580" s="1335"/>
      <c r="M2580" s="1302"/>
      <c r="N2580" s="7"/>
      <c r="O2580" s="1290"/>
      <c r="P2580" s="1739"/>
      <c r="Q2580" s="3391"/>
      <c r="R2580" s="2338"/>
      <c r="S2580" s="16"/>
      <c r="T2580" s="16"/>
      <c r="U2580" s="16"/>
      <c r="V2580" s="16"/>
    </row>
    <row r="2581" spans="1:22">
      <c r="A2581" s="16"/>
      <c r="B2581" s="1042"/>
      <c r="C2581" s="88"/>
      <c r="D2581" s="1373"/>
      <c r="E2581" s="2123"/>
      <c r="F2581" s="1374" t="s">
        <v>3</v>
      </c>
      <c r="G2581" s="1374"/>
      <c r="H2581" s="1376"/>
      <c r="I2581" s="1382"/>
      <c r="J2581" s="1383"/>
      <c r="K2581" s="1373"/>
      <c r="L2581" s="1413"/>
      <c r="M2581" s="1376"/>
      <c r="N2581" s="1376"/>
      <c r="O2581" s="1376"/>
      <c r="P2581" s="1413"/>
      <c r="Q2581" s="3387"/>
      <c r="R2581" s="2343"/>
      <c r="S2581" s="16"/>
      <c r="T2581" s="16"/>
      <c r="U2581" s="16"/>
      <c r="V2581" s="16"/>
    </row>
    <row r="2582" spans="1:22">
      <c r="A2582" s="16"/>
      <c r="B2582" s="1042"/>
      <c r="C2582" s="88"/>
      <c r="D2582" s="1440"/>
      <c r="E2582" s="2132"/>
      <c r="F2582" s="1441"/>
      <c r="G2582" s="1441"/>
      <c r="H2582" s="1442"/>
      <c r="I2582" s="197"/>
      <c r="J2582" s="198"/>
      <c r="K2582" s="1307"/>
      <c r="L2582" s="1335" t="str">
        <f>IF(COUNT(K2581)=0,"",IF(#REF!="","",(K2581*#REF!)))</f>
        <v/>
      </c>
      <c r="M2582" s="1499"/>
      <c r="N2582" s="1701"/>
      <c r="O2582" s="1290"/>
      <c r="P2582" s="1332"/>
      <c r="Q2582" s="3391"/>
      <c r="R2582" s="2338"/>
      <c r="S2582" s="16"/>
      <c r="T2582" s="16"/>
      <c r="U2582" s="16"/>
      <c r="V2582" s="16"/>
    </row>
    <row r="2583" spans="1:22">
      <c r="A2583" s="16"/>
      <c r="B2583" s="1042"/>
      <c r="C2583" s="88"/>
      <c r="D2583" s="1440"/>
      <c r="E2583" s="2132"/>
      <c r="F2583" s="1441"/>
      <c r="G2583" s="1441"/>
      <c r="H2583" s="1442"/>
      <c r="I2583" s="197"/>
      <c r="J2583" s="198"/>
      <c r="K2583" s="1307"/>
      <c r="L2583" s="1335"/>
      <c r="M2583" s="1499"/>
      <c r="N2583" s="1701"/>
      <c r="O2583" s="1290"/>
      <c r="P2583" s="1332"/>
      <c r="Q2583" s="3391"/>
      <c r="R2583" s="2338"/>
      <c r="S2583" s="16"/>
      <c r="T2583" s="16"/>
      <c r="U2583" s="16"/>
      <c r="V2583" s="16"/>
    </row>
    <row r="2584" spans="1:22">
      <c r="A2584" s="16"/>
      <c r="B2584" s="223"/>
      <c r="C2584" s="581"/>
      <c r="D2584" s="1440"/>
      <c r="E2584" s="2132"/>
      <c r="F2584" s="1441"/>
      <c r="G2584" s="1441"/>
      <c r="H2584" s="1442"/>
      <c r="I2584" s="197" t="str">
        <f t="shared" ref="I2584" ca="1" si="164">IF(COUNT(H2584:O2584)=0,"",(SUM(H2584:O2584)/COUNT(H2584:O2584)))</f>
        <v/>
      </c>
      <c r="J2584" s="198"/>
      <c r="K2584" s="1307"/>
      <c r="L2584" s="1335"/>
      <c r="M2584" s="1499"/>
      <c r="N2584" s="1701"/>
      <c r="O2584" s="1290"/>
      <c r="P2584" s="1332"/>
      <c r="Q2584" s="3391"/>
      <c r="R2584" s="2338"/>
      <c r="S2584" s="16"/>
      <c r="T2584" s="16"/>
      <c r="U2584" s="16"/>
      <c r="V2584" s="16"/>
    </row>
    <row r="2585" spans="1:22">
      <c r="A2585" s="19" t="s">
        <v>3764</v>
      </c>
      <c r="B2585" s="4325" t="s">
        <v>1828</v>
      </c>
      <c r="C2585" s="3350"/>
      <c r="D2585" s="4327"/>
      <c r="E2585" s="4329" t="s">
        <v>1504</v>
      </c>
      <c r="F2585" s="4461" t="s">
        <v>1829</v>
      </c>
      <c r="G2585" s="4331" t="s">
        <v>1568</v>
      </c>
      <c r="H2585" s="4331" t="s">
        <v>1574</v>
      </c>
      <c r="I2585" s="1572" t="s">
        <v>1559</v>
      </c>
      <c r="J2585" s="1294" t="s">
        <v>1560</v>
      </c>
      <c r="K2585" s="1294" t="s">
        <v>1561</v>
      </c>
      <c r="L2585" s="4333" t="s">
        <v>3765</v>
      </c>
      <c r="M2585" s="4323" t="s">
        <v>1571</v>
      </c>
      <c r="N2585" s="4323" t="s">
        <v>1776</v>
      </c>
      <c r="O2585" s="3347" t="s">
        <v>1563</v>
      </c>
      <c r="P2585" s="1336" t="s">
        <v>1562</v>
      </c>
      <c r="Q2585" s="3389"/>
      <c r="R2585" s="1839" t="s">
        <v>1327</v>
      </c>
      <c r="S2585" s="16"/>
      <c r="T2585" s="16"/>
      <c r="U2585" s="16"/>
      <c r="V2585" s="16"/>
    </row>
    <row r="2586" spans="1:22">
      <c r="A2586" s="1807" t="s">
        <v>1952</v>
      </c>
      <c r="B2586" s="4326"/>
      <c r="C2586" s="3351"/>
      <c r="D2586" s="4328"/>
      <c r="E2586" s="4330"/>
      <c r="F2586" s="4462"/>
      <c r="G2586" s="4332"/>
      <c r="H2586" s="4332"/>
      <c r="I2586" s="1345">
        <v>2</v>
      </c>
      <c r="J2586" s="1307">
        <v>2E-3</v>
      </c>
      <c r="K2586" s="1307">
        <f>I2586*J2586</f>
        <v>4.0000000000000001E-3</v>
      </c>
      <c r="L2586" s="4334"/>
      <c r="M2586" s="4324"/>
      <c r="N2586" s="4324"/>
      <c r="O2586" s="1298">
        <f>O2588+O2589+O2590+O2594+O2598+O2606+O2607+O2608</f>
        <v>34.756902779999997</v>
      </c>
      <c r="P2586" s="1337">
        <f>K2586*O2586</f>
        <v>0.13902761112000001</v>
      </c>
      <c r="Q2586" s="3390"/>
      <c r="R2586" s="1840">
        <f>P2588+P2589+P2590+P2594+P2598+P2606+P2607+P2608</f>
        <v>0.13902761112000001</v>
      </c>
      <c r="S2586" s="16"/>
      <c r="T2586" s="16"/>
      <c r="U2586" s="16"/>
      <c r="V2586" s="16"/>
    </row>
    <row r="2587" spans="1:22">
      <c r="A2587" s="16"/>
      <c r="B2587" s="18"/>
      <c r="D2587" s="1449"/>
      <c r="E2587" s="2121"/>
      <c r="F2587" s="1368" t="s">
        <v>1</v>
      </c>
      <c r="G2587" s="1368"/>
      <c r="H2587" s="1369"/>
      <c r="I2587" s="1409"/>
      <c r="J2587" s="1391"/>
      <c r="K2587" s="1367"/>
      <c r="L2587" s="1554"/>
      <c r="M2587" s="1369"/>
      <c r="N2587" s="1369"/>
      <c r="O2587" s="1369"/>
      <c r="P2587" s="1367"/>
      <c r="Q2587" s="3387"/>
      <c r="R2587" s="2343"/>
      <c r="S2587" s="16"/>
      <c r="T2587" s="16"/>
      <c r="U2587" s="16"/>
      <c r="V2587" s="16"/>
    </row>
    <row r="2588" spans="1:22">
      <c r="A2588" s="16"/>
      <c r="B2588" s="1042"/>
      <c r="D2588" s="1767" t="s">
        <v>1784</v>
      </c>
      <c r="E2588" s="1849" t="s">
        <v>1521</v>
      </c>
      <c r="F2588" s="1598" t="s">
        <v>1830</v>
      </c>
      <c r="G2588" s="1567">
        <v>5.0000000000000001E-3</v>
      </c>
      <c r="H2588" s="1567"/>
      <c r="I2588" s="1286"/>
      <c r="J2588" s="198"/>
      <c r="K2588" s="1722">
        <f>G2588*$K$2586</f>
        <v>2.0000000000000002E-5</v>
      </c>
      <c r="L2588" s="1335">
        <f t="shared" ref="L2588:L2589" si="165">K2588*$K$2352</f>
        <v>0</v>
      </c>
      <c r="M2588" s="1302">
        <v>236.83</v>
      </c>
      <c r="N2588" s="1700"/>
      <c r="O2588" s="1290">
        <f>G2588*M2588</f>
        <v>1.18415</v>
      </c>
      <c r="P2588" s="1739">
        <f>M2588*K2588</f>
        <v>4.7366000000000005E-3</v>
      </c>
      <c r="Q2588" s="3391"/>
      <c r="R2588" s="2343"/>
      <c r="S2588" s="16"/>
      <c r="T2588" s="16"/>
      <c r="U2588" s="16"/>
      <c r="V2588" s="16"/>
    </row>
    <row r="2589" spans="1:22">
      <c r="A2589" s="16"/>
      <c r="B2589" s="1042"/>
      <c r="D2589" s="1769" t="s">
        <v>1786</v>
      </c>
      <c r="E2589" s="1850" t="s">
        <v>1787</v>
      </c>
      <c r="F2589" s="1770" t="s">
        <v>1788</v>
      </c>
      <c r="G2589" s="1771">
        <v>0.05</v>
      </c>
      <c r="H2589" s="1771"/>
      <c r="I2589" s="1286"/>
      <c r="J2589" s="198"/>
      <c r="K2589" s="1722">
        <f>G2589*$K$2586</f>
        <v>2.0000000000000001E-4</v>
      </c>
      <c r="L2589" s="1335">
        <f t="shared" si="165"/>
        <v>0</v>
      </c>
      <c r="M2589" s="1302">
        <v>1.54</v>
      </c>
      <c r="N2589" s="1700"/>
      <c r="O2589" s="1290">
        <f>G2589*M2589</f>
        <v>7.7000000000000013E-2</v>
      </c>
      <c r="P2589" s="1739">
        <f>M2589*K2589</f>
        <v>3.0800000000000001E-4</v>
      </c>
      <c r="Q2589" s="3391"/>
      <c r="R2589" s="2343"/>
      <c r="S2589" s="16"/>
      <c r="T2589" s="16"/>
      <c r="U2589" s="16"/>
      <c r="V2589" s="16"/>
    </row>
    <row r="2590" spans="1:22">
      <c r="A2590" s="16"/>
      <c r="B2590" s="1042"/>
      <c r="C2590" s="1356" t="s">
        <v>1128</v>
      </c>
      <c r="D2590" s="1585"/>
      <c r="E2590" s="1851" t="s">
        <v>1517</v>
      </c>
      <c r="F2590" s="1768" t="s">
        <v>1695</v>
      </c>
      <c r="G2590" s="1776"/>
      <c r="H2590" s="1776">
        <v>1E-3</v>
      </c>
      <c r="I2590" s="1388"/>
      <c r="J2590" s="1366"/>
      <c r="K2590" s="1841"/>
      <c r="L2590" s="1445"/>
      <c r="M2590" s="1447"/>
      <c r="N2590" s="1447">
        <f>SUM(N2591:N2593)</f>
        <v>104.27969999999999</v>
      </c>
      <c r="O2590" s="1447">
        <f>SUM(O2591:O2593)</f>
        <v>0.1042797</v>
      </c>
      <c r="P2590" s="1741">
        <f>SUM(P2591:P2593)</f>
        <v>4.1711880000000002E-4</v>
      </c>
      <c r="Q2590" s="3391"/>
      <c r="R2590" s="2343"/>
      <c r="S2590" s="16"/>
      <c r="T2590" s="16"/>
      <c r="U2590" s="16"/>
      <c r="V2590" s="16"/>
    </row>
    <row r="2591" spans="1:22">
      <c r="A2591" s="16"/>
      <c r="B2591" s="553"/>
      <c r="C2591" s="1042"/>
      <c r="D2591" s="1752" t="s">
        <v>1779</v>
      </c>
      <c r="E2591" s="1852" t="s">
        <v>1577</v>
      </c>
      <c r="F2591" s="1752" t="s">
        <v>1780</v>
      </c>
      <c r="G2591" s="1753">
        <v>0.876</v>
      </c>
      <c r="H2591" s="1453">
        <f>$H$2590*G2591</f>
        <v>8.7600000000000004E-4</v>
      </c>
      <c r="I2591" s="197"/>
      <c r="J2591" s="198"/>
      <c r="K2591" s="1722">
        <f>H2591*$K$2586</f>
        <v>3.5040000000000002E-6</v>
      </c>
      <c r="L2591" s="1335">
        <f t="shared" ref="L2591:L2593" si="166">K2591*$K$2352</f>
        <v>0</v>
      </c>
      <c r="M2591" s="1759">
        <v>56.05</v>
      </c>
      <c r="N2591" s="1718">
        <f>G2591*M2591</f>
        <v>49.099799999999995</v>
      </c>
      <c r="O2591" s="1719">
        <f>H2591*M2591</f>
        <v>4.9099799999999999E-2</v>
      </c>
      <c r="P2591" s="1731">
        <f>M2591*K2591</f>
        <v>1.963992E-4</v>
      </c>
      <c r="Q2591" s="3396"/>
      <c r="R2591" s="2343"/>
      <c r="S2591" s="16"/>
      <c r="T2591" s="16"/>
      <c r="U2591" s="16"/>
      <c r="V2591" s="16"/>
    </row>
    <row r="2592" spans="1:22">
      <c r="A2592" s="16"/>
      <c r="B2592" s="553"/>
      <c r="C2592" s="1042"/>
      <c r="D2592" s="1752" t="s">
        <v>1069</v>
      </c>
      <c r="E2592" s="1852" t="s">
        <v>1517</v>
      </c>
      <c r="F2592" s="1752" t="s">
        <v>1578</v>
      </c>
      <c r="G2592" s="1753">
        <v>0.61799999999999999</v>
      </c>
      <c r="H2592" s="1453">
        <f t="shared" ref="H2592:H2593" si="167">$H$2590*G2592</f>
        <v>6.1800000000000006E-4</v>
      </c>
      <c r="I2592" s="27"/>
      <c r="J2592" s="10"/>
      <c r="K2592" s="1722">
        <f>H2592*$K$2586</f>
        <v>2.4720000000000002E-6</v>
      </c>
      <c r="L2592" s="1335">
        <f t="shared" si="166"/>
        <v>0</v>
      </c>
      <c r="M2592" s="1759">
        <v>0.55000000000000004</v>
      </c>
      <c r="N2592" s="1718">
        <f>G2592*M2592</f>
        <v>0.33990000000000004</v>
      </c>
      <c r="O2592" s="1719">
        <f>H2592*M2592</f>
        <v>3.3990000000000008E-4</v>
      </c>
      <c r="P2592" s="1843">
        <f>M2592*K2592</f>
        <v>1.3596000000000003E-6</v>
      </c>
      <c r="Q2592" s="3396"/>
      <c r="R2592" s="2343"/>
      <c r="S2592" s="16"/>
      <c r="T2592" s="16"/>
      <c r="U2592" s="16"/>
      <c r="V2592" s="16"/>
    </row>
    <row r="2593" spans="1:22">
      <c r="A2593" s="16"/>
      <c r="B2593" s="553"/>
      <c r="C2593" s="1042"/>
      <c r="D2593" s="1754" t="s">
        <v>1067</v>
      </c>
      <c r="E2593" s="1853" t="s">
        <v>1508</v>
      </c>
      <c r="F2593" s="1754" t="s">
        <v>1512</v>
      </c>
      <c r="G2593" s="1755">
        <v>3</v>
      </c>
      <c r="H2593" s="1454">
        <f t="shared" si="167"/>
        <v>3.0000000000000001E-3</v>
      </c>
      <c r="I2593" s="198"/>
      <c r="J2593" s="198"/>
      <c r="K2593" s="1722">
        <f>H2593*$K$2586</f>
        <v>1.2E-5</v>
      </c>
      <c r="L2593" s="1335">
        <f t="shared" si="166"/>
        <v>0</v>
      </c>
      <c r="M2593" s="1759">
        <v>18.28</v>
      </c>
      <c r="N2593" s="1718">
        <f>G2593*M2593</f>
        <v>54.84</v>
      </c>
      <c r="O2593" s="1719">
        <f>H2593*M2593</f>
        <v>5.4840000000000007E-2</v>
      </c>
      <c r="P2593" s="1727">
        <f>M2593*K2593</f>
        <v>2.1936000000000001E-4</v>
      </c>
      <c r="Q2593" s="3396"/>
      <c r="R2593" s="2343"/>
      <c r="S2593" s="16"/>
      <c r="T2593" s="16"/>
      <c r="U2593" s="16"/>
      <c r="V2593" s="16"/>
    </row>
    <row r="2594" spans="1:22">
      <c r="A2594" s="16"/>
      <c r="B2594" s="553"/>
      <c r="C2594" s="1356" t="s">
        <v>1152</v>
      </c>
      <c r="D2594" s="1311"/>
      <c r="E2594" s="1854" t="s">
        <v>1517</v>
      </c>
      <c r="F2594" s="1749" t="s">
        <v>1696</v>
      </c>
      <c r="G2594" s="1776"/>
      <c r="H2594" s="1688">
        <v>1E-3</v>
      </c>
      <c r="I2594" s="1388"/>
      <c r="J2594" s="1388"/>
      <c r="K2594" s="1841"/>
      <c r="L2594" s="1445"/>
      <c r="M2594" s="1447"/>
      <c r="N2594" s="1447">
        <f>SUM(N2595:N2597)</f>
        <v>108.04650000000001</v>
      </c>
      <c r="O2594" s="1447">
        <f>SUM(O2595:O2597)</f>
        <v>0.10804650000000002</v>
      </c>
      <c r="P2594" s="1844">
        <f>SUM(P2595:P2597)</f>
        <v>4.3218600000000004E-4</v>
      </c>
      <c r="Q2594" s="3391"/>
      <c r="R2594" s="2343"/>
      <c r="S2594" s="16"/>
      <c r="T2594" s="16"/>
      <c r="U2594" s="16"/>
      <c r="V2594" s="16"/>
    </row>
    <row r="2595" spans="1:22">
      <c r="A2595" s="16"/>
      <c r="B2595" s="553"/>
      <c r="C2595" s="18"/>
      <c r="D2595" s="1756" t="s">
        <v>1781</v>
      </c>
      <c r="E2595" s="1852" t="s">
        <v>1577</v>
      </c>
      <c r="F2595" s="1752" t="s">
        <v>1782</v>
      </c>
      <c r="G2595" s="1753">
        <v>0.876</v>
      </c>
      <c r="H2595" s="1453">
        <f>$H$2594*G2595</f>
        <v>8.7600000000000004E-4</v>
      </c>
      <c r="I2595" s="198"/>
      <c r="J2595" s="198"/>
      <c r="K2595" s="1722">
        <f>H2595*$K$2586</f>
        <v>3.5040000000000002E-6</v>
      </c>
      <c r="L2595" s="1335">
        <f t="shared" ref="L2595:L2597" si="168">K2595*$K$2352</f>
        <v>0</v>
      </c>
      <c r="M2595" s="1723">
        <v>60.35</v>
      </c>
      <c r="N2595" s="1718">
        <f>G2595*M2595</f>
        <v>52.866599999999998</v>
      </c>
      <c r="O2595" s="1719">
        <f>H2595*M2595</f>
        <v>5.2866600000000007E-2</v>
      </c>
      <c r="P2595" s="1731">
        <f>M2595*K2595</f>
        <v>2.1146640000000003E-4</v>
      </c>
      <c r="Q2595" s="3396"/>
      <c r="R2595" s="2343"/>
      <c r="S2595" s="16"/>
      <c r="T2595" s="16"/>
      <c r="U2595" s="16"/>
      <c r="V2595" s="16"/>
    </row>
    <row r="2596" spans="1:22">
      <c r="A2596" s="16"/>
      <c r="B2596" s="553"/>
      <c r="C2596" s="1042"/>
      <c r="D2596" s="1756" t="s">
        <v>1069</v>
      </c>
      <c r="E2596" s="1852" t="s">
        <v>1517</v>
      </c>
      <c r="F2596" s="1752" t="s">
        <v>1578</v>
      </c>
      <c r="G2596" s="1753">
        <v>0.61799999999999999</v>
      </c>
      <c r="H2596" s="1453">
        <f>$H$2594*G2596</f>
        <v>6.1800000000000006E-4</v>
      </c>
      <c r="I2596" s="197"/>
      <c r="J2596" s="198"/>
      <c r="K2596" s="1722">
        <f>H2596*$K$2586</f>
        <v>2.4720000000000002E-6</v>
      </c>
      <c r="L2596" s="1335">
        <f t="shared" si="168"/>
        <v>0</v>
      </c>
      <c r="M2596" s="1723">
        <v>0.55000000000000004</v>
      </c>
      <c r="N2596" s="1718">
        <f>G2596*M2596</f>
        <v>0.33990000000000004</v>
      </c>
      <c r="O2596" s="1719">
        <f>H2596*M2596</f>
        <v>3.3990000000000008E-4</v>
      </c>
      <c r="P2596" s="1843">
        <f>M2596*K2596</f>
        <v>1.3596000000000003E-6</v>
      </c>
      <c r="Q2596" s="3396"/>
      <c r="R2596" s="2343"/>
      <c r="S2596" s="17"/>
      <c r="T2596" s="16"/>
      <c r="U2596" s="16"/>
      <c r="V2596" s="16"/>
    </row>
    <row r="2597" spans="1:22">
      <c r="A2597" s="16"/>
      <c r="B2597" s="553"/>
      <c r="C2597" s="1042"/>
      <c r="D2597" s="1811" t="s">
        <v>1067</v>
      </c>
      <c r="E2597" s="1853" t="s">
        <v>1508</v>
      </c>
      <c r="F2597" s="1754" t="s">
        <v>1512</v>
      </c>
      <c r="G2597" s="1755">
        <v>3</v>
      </c>
      <c r="H2597" s="1454">
        <f>$H$2594*G2597</f>
        <v>3.0000000000000001E-3</v>
      </c>
      <c r="I2597" s="1289"/>
      <c r="J2597" s="198"/>
      <c r="K2597" s="1722">
        <f>H2597*$K$2586</f>
        <v>1.2E-5</v>
      </c>
      <c r="L2597" s="1335">
        <f t="shared" si="168"/>
        <v>0</v>
      </c>
      <c r="M2597" s="1723">
        <v>18.28</v>
      </c>
      <c r="N2597" s="1718">
        <f>G2597*M2597</f>
        <v>54.84</v>
      </c>
      <c r="O2597" s="1719">
        <f>H2597*M2597</f>
        <v>5.4840000000000007E-2</v>
      </c>
      <c r="P2597" s="1731">
        <f>M2597*K2597</f>
        <v>2.1936000000000001E-4</v>
      </c>
      <c r="Q2597" s="3396"/>
      <c r="R2597" s="2343"/>
      <c r="S2597" s="105"/>
      <c r="T2597" s="16"/>
      <c r="U2597" s="16"/>
      <c r="V2597" s="16"/>
    </row>
    <row r="2598" spans="1:22">
      <c r="A2598" s="16"/>
      <c r="B2598" s="1042"/>
      <c r="C2598" s="1356" t="s">
        <v>1790</v>
      </c>
      <c r="D2598" s="1311"/>
      <c r="E2598" s="2137" t="s">
        <v>1517</v>
      </c>
      <c r="F2598" s="1343" t="s">
        <v>1791</v>
      </c>
      <c r="G2598" s="1776"/>
      <c r="H2598" s="1344">
        <v>1E-3</v>
      </c>
      <c r="I2598" s="1444"/>
      <c r="J2598" s="1388"/>
      <c r="K2598" s="1445"/>
      <c r="L2598" s="1457"/>
      <c r="M2598" s="1446"/>
      <c r="N2598" s="1447">
        <f>SUM(N2599:N2603)</f>
        <v>76.906580000000005</v>
      </c>
      <c r="O2598" s="1447">
        <f>SUM(O2599:O2603)</f>
        <v>7.6906580000000002E-2</v>
      </c>
      <c r="P2598" s="1447">
        <f>SUM(P2599:P2603)</f>
        <v>3.0762631999999999E-4</v>
      </c>
      <c r="Q2598" s="3391"/>
      <c r="R2598" s="2343"/>
      <c r="S2598" s="16"/>
      <c r="T2598" s="16"/>
      <c r="U2598" s="16"/>
      <c r="V2598" s="16"/>
    </row>
    <row r="2599" spans="1:22">
      <c r="A2599" s="16"/>
      <c r="B2599" s="1042"/>
      <c r="C2599" s="1327"/>
      <c r="D2599" s="1752" t="s">
        <v>1069</v>
      </c>
      <c r="E2599" s="1852" t="s">
        <v>1517</v>
      </c>
      <c r="F2599" s="1784" t="s">
        <v>1578</v>
      </c>
      <c r="G2599" s="1399">
        <v>0.2</v>
      </c>
      <c r="H2599" s="1399">
        <f>$H$2598*G2599</f>
        <v>2.0000000000000001E-4</v>
      </c>
      <c r="I2599" s="197"/>
      <c r="J2599" s="198"/>
      <c r="K2599" s="1722">
        <f>H2599*$K$2586</f>
        <v>8.0000000000000007E-7</v>
      </c>
      <c r="L2599" s="1335">
        <f t="shared" ref="L2599:L2603" si="169">K2599*$K$2352</f>
        <v>0</v>
      </c>
      <c r="M2599" s="1499">
        <v>0.55000000000000004</v>
      </c>
      <c r="N2599" s="1718">
        <f>G2599*M2599</f>
        <v>0.11000000000000001</v>
      </c>
      <c r="O2599" s="1719">
        <f>H2599*M2599</f>
        <v>1.1000000000000002E-4</v>
      </c>
      <c r="P2599" s="1720">
        <f>M2599*K2599</f>
        <v>4.4000000000000008E-7</v>
      </c>
      <c r="Q2599" s="3396"/>
      <c r="R2599" s="2338"/>
      <c r="S2599" s="17"/>
      <c r="T2599" s="17"/>
      <c r="U2599" s="16"/>
      <c r="V2599" s="16"/>
    </row>
    <row r="2600" spans="1:22">
      <c r="A2600" s="16"/>
      <c r="B2600" s="1042"/>
      <c r="C2600" s="1320"/>
      <c r="D2600" s="1752" t="s">
        <v>1792</v>
      </c>
      <c r="E2600" s="1852" t="s">
        <v>1577</v>
      </c>
      <c r="F2600" s="1752" t="s">
        <v>1793</v>
      </c>
      <c r="G2600" s="1399">
        <v>0.25</v>
      </c>
      <c r="H2600" s="1399">
        <f>$H$2598*G2600</f>
        <v>2.5000000000000001E-4</v>
      </c>
      <c r="I2600" s="197"/>
      <c r="J2600" s="198"/>
      <c r="K2600" s="1722">
        <f t="shared" ref="K2600:K2603" si="170">H2600*$K$2586</f>
        <v>9.9999999999999995E-7</v>
      </c>
      <c r="L2600" s="1335">
        <f t="shared" si="169"/>
        <v>0</v>
      </c>
      <c r="M2600" s="1499">
        <v>85.09</v>
      </c>
      <c r="N2600" s="1718">
        <f>G2600*M2600</f>
        <v>21.272500000000001</v>
      </c>
      <c r="O2600" s="1719">
        <f>H2600*M2600</f>
        <v>2.12725E-2</v>
      </c>
      <c r="P2600" s="1720">
        <f>M2600*K2600</f>
        <v>8.509E-5</v>
      </c>
      <c r="Q2600" s="3396"/>
      <c r="R2600" s="2338"/>
      <c r="S2600" s="105"/>
      <c r="T2600" s="105"/>
      <c r="U2600" s="16"/>
      <c r="V2600" s="16"/>
    </row>
    <row r="2601" spans="1:22">
      <c r="A2601" s="16"/>
      <c r="B2601" s="1042"/>
      <c r="C2601" s="1320"/>
      <c r="D2601" s="1752" t="s">
        <v>1394</v>
      </c>
      <c r="E2601" s="1852" t="s">
        <v>1577</v>
      </c>
      <c r="F2601" s="1752" t="s">
        <v>1579</v>
      </c>
      <c r="G2601" s="1399">
        <v>0.25</v>
      </c>
      <c r="H2601" s="1399">
        <f>$H$2598*G2601</f>
        <v>2.5000000000000001E-4</v>
      </c>
      <c r="I2601" s="197"/>
      <c r="J2601" s="198"/>
      <c r="K2601" s="1722">
        <f t="shared" si="170"/>
        <v>9.9999999999999995E-7</v>
      </c>
      <c r="L2601" s="1335">
        <f t="shared" si="169"/>
        <v>0</v>
      </c>
      <c r="M2601" s="1499">
        <v>92.54</v>
      </c>
      <c r="N2601" s="1718">
        <f>G2601*M2601</f>
        <v>23.135000000000002</v>
      </c>
      <c r="O2601" s="1719">
        <f>H2601*M2601</f>
        <v>2.3135000000000003E-2</v>
      </c>
      <c r="P2601" s="1720">
        <f>M2601*K2601</f>
        <v>9.2540000000000005E-5</v>
      </c>
      <c r="Q2601" s="3396"/>
      <c r="R2601" s="2338"/>
      <c r="S2601" s="16"/>
      <c r="T2601" s="16"/>
      <c r="U2601" s="16"/>
      <c r="V2601" s="16"/>
    </row>
    <row r="2602" spans="1:22">
      <c r="A2602" s="16"/>
      <c r="B2602" s="1042"/>
      <c r="C2602" s="1320"/>
      <c r="D2602" s="1752" t="s">
        <v>1576</v>
      </c>
      <c r="E2602" s="1852" t="s">
        <v>1517</v>
      </c>
      <c r="F2602" s="1752" t="s">
        <v>1580</v>
      </c>
      <c r="G2602" s="1399">
        <v>1.5</v>
      </c>
      <c r="H2602" s="1399">
        <f>$H$2598*G2602</f>
        <v>1.5E-3</v>
      </c>
      <c r="I2602" s="197"/>
      <c r="J2602" s="198"/>
      <c r="K2602" s="1722">
        <f>H2602*$K$2586</f>
        <v>6.0000000000000002E-6</v>
      </c>
      <c r="L2602" s="1335">
        <f t="shared" si="169"/>
        <v>0</v>
      </c>
      <c r="M2602" s="1499">
        <v>6.53</v>
      </c>
      <c r="N2602" s="1718">
        <f>G2602*M2602</f>
        <v>9.7949999999999999</v>
      </c>
      <c r="O2602" s="1719">
        <f>H2602*M2602</f>
        <v>9.7949999999999999E-3</v>
      </c>
      <c r="P2602" s="1720">
        <f>M2602*K2602</f>
        <v>3.9180000000000001E-5</v>
      </c>
      <c r="Q2602" s="3396"/>
      <c r="R2602" s="2338"/>
      <c r="S2602" s="16"/>
      <c r="T2602" s="16"/>
      <c r="U2602" s="16"/>
      <c r="V2602" s="16"/>
    </row>
    <row r="2603" spans="1:22">
      <c r="A2603" s="16"/>
      <c r="B2603" s="1042"/>
      <c r="C2603" s="1320"/>
      <c r="D2603" s="1754" t="s">
        <v>1067</v>
      </c>
      <c r="E2603" s="1853" t="s">
        <v>1508</v>
      </c>
      <c r="F2603" s="1754" t="s">
        <v>1512</v>
      </c>
      <c r="G2603" s="1408">
        <v>1.236</v>
      </c>
      <c r="H2603" s="1408">
        <f>$H$2598*G2603</f>
        <v>1.2360000000000001E-3</v>
      </c>
      <c r="I2603" s="197"/>
      <c r="J2603" s="198"/>
      <c r="K2603" s="1722">
        <f t="shared" si="170"/>
        <v>4.9440000000000004E-6</v>
      </c>
      <c r="L2603" s="1335">
        <f t="shared" si="169"/>
        <v>0</v>
      </c>
      <c r="M2603" s="1499">
        <v>18.28</v>
      </c>
      <c r="N2603" s="1718">
        <f>G2603*M2603</f>
        <v>22.594080000000002</v>
      </c>
      <c r="O2603" s="1719">
        <f>H2603*M2603</f>
        <v>2.2594080000000002E-2</v>
      </c>
      <c r="P2603" s="1720">
        <f>M2603*K2603</f>
        <v>9.0376320000000012E-5</v>
      </c>
      <c r="Q2603" s="3396"/>
      <c r="R2603" s="2338"/>
      <c r="S2603" s="16"/>
      <c r="T2603" s="16"/>
      <c r="U2603" s="16"/>
      <c r="V2603" s="16"/>
    </row>
    <row r="2604" spans="1:22">
      <c r="A2604" s="16"/>
      <c r="B2604" s="1042"/>
      <c r="C2604" s="88"/>
      <c r="D2604" s="1752"/>
      <c r="E2604" s="1852"/>
      <c r="F2604" s="1752"/>
      <c r="G2604" s="1399"/>
      <c r="H2604" s="1399"/>
      <c r="I2604" s="197"/>
      <c r="J2604" s="198"/>
      <c r="K2604" s="1722"/>
      <c r="L2604" s="1335"/>
      <c r="M2604" s="1499"/>
      <c r="N2604" s="1718"/>
      <c r="O2604" s="1719"/>
      <c r="P2604" s="1731"/>
      <c r="Q2604" s="3396"/>
      <c r="R2604" s="2338"/>
      <c r="S2604" s="16"/>
      <c r="T2604" s="16"/>
      <c r="U2604" s="16"/>
      <c r="V2604" s="16"/>
    </row>
    <row r="2605" spans="1:22">
      <c r="A2605" s="16"/>
      <c r="B2605" s="1042"/>
      <c r="C2605" s="88"/>
      <c r="D2605" s="1359"/>
      <c r="E2605" s="1858"/>
      <c r="F2605" s="1360" t="s">
        <v>2</v>
      </c>
      <c r="G2605" s="1360"/>
      <c r="H2605" s="1362"/>
      <c r="I2605" s="1380"/>
      <c r="J2605" s="1381"/>
      <c r="K2605" s="1842"/>
      <c r="L2605" s="1458"/>
      <c r="M2605" s="1362"/>
      <c r="N2605" s="1362"/>
      <c r="O2605" s="1362"/>
      <c r="P2605" s="1458"/>
      <c r="Q2605" s="3387"/>
      <c r="R2605" s="2343"/>
      <c r="S2605" s="16"/>
      <c r="T2605" s="16"/>
      <c r="U2605" s="16"/>
      <c r="V2605" s="16"/>
    </row>
    <row r="2606" spans="1:22">
      <c r="A2606" s="16"/>
      <c r="B2606" s="1320"/>
      <c r="C2606" s="1042"/>
      <c r="D2606" s="1655" t="s">
        <v>1806</v>
      </c>
      <c r="E2606" s="1859" t="s">
        <v>1508</v>
      </c>
      <c r="F2606" s="1655" t="s">
        <v>1821</v>
      </c>
      <c r="G2606" s="1809">
        <v>0.69799999999999995</v>
      </c>
      <c r="H2606" s="1439"/>
      <c r="I2606" s="197"/>
      <c r="J2606" s="198"/>
      <c r="K2606" s="1722">
        <f>G2606*$K$2586</f>
        <v>2.7919999999999998E-3</v>
      </c>
      <c r="L2606" s="1335">
        <f t="shared" ref="L2606:L2608" si="171">K2606*$K$2352</f>
        <v>0</v>
      </c>
      <c r="M2606" s="1499">
        <v>19.23</v>
      </c>
      <c r="N2606" s="1701"/>
      <c r="O2606" s="1290">
        <f>(G2606*M2606)</f>
        <v>13.42254</v>
      </c>
      <c r="P2606" s="1739">
        <f>M2606*K2606</f>
        <v>5.3690159999999994E-2</v>
      </c>
      <c r="Q2606" s="3391"/>
      <c r="R2606" s="3363"/>
      <c r="S2606" s="16"/>
      <c r="T2606" s="16"/>
      <c r="U2606" s="16"/>
      <c r="V2606" s="16"/>
    </row>
    <row r="2607" spans="1:22">
      <c r="A2607" s="16"/>
      <c r="B2607" s="1042"/>
      <c r="C2607" s="88"/>
      <c r="D2607" s="1655" t="s">
        <v>1826</v>
      </c>
      <c r="E2607" s="1859" t="s">
        <v>1508</v>
      </c>
      <c r="F2607" s="1655" t="s">
        <v>1827</v>
      </c>
      <c r="G2607" s="1809">
        <v>0.69799999999999995</v>
      </c>
      <c r="H2607" s="1365"/>
      <c r="I2607" s="1286"/>
      <c r="J2607" s="198"/>
      <c r="K2607" s="1722">
        <f>G2607*$K$2586</f>
        <v>2.7919999999999998E-3</v>
      </c>
      <c r="L2607" s="1335">
        <f t="shared" si="171"/>
        <v>0</v>
      </c>
      <c r="M2607" s="1302">
        <v>19.23</v>
      </c>
      <c r="N2607" s="1302"/>
      <c r="O2607" s="1290">
        <f>(G2607*M2607)</f>
        <v>13.42254</v>
      </c>
      <c r="P2607" s="1739">
        <f>M2607*K2607</f>
        <v>5.3690159999999994E-2</v>
      </c>
      <c r="Q2607" s="3391"/>
      <c r="R2607" s="2338"/>
      <c r="S2607" s="16"/>
      <c r="T2607" s="16"/>
      <c r="U2607" s="16"/>
      <c r="V2607" s="16"/>
    </row>
    <row r="2608" spans="1:22">
      <c r="A2608" s="16"/>
      <c r="B2608" s="1042"/>
      <c r="C2608" s="88"/>
      <c r="D2608" s="2192" t="s">
        <v>1802</v>
      </c>
      <c r="E2608" s="2267" t="s">
        <v>1508</v>
      </c>
      <c r="F2608" s="2192" t="s">
        <v>1804</v>
      </c>
      <c r="G2608" s="1809">
        <v>0.34799999999999998</v>
      </c>
      <c r="H2608" s="1362"/>
      <c r="I2608" s="197"/>
      <c r="J2608" s="198"/>
      <c r="K2608" s="1722">
        <f>G2608*$K$2586</f>
        <v>1.392E-3</v>
      </c>
      <c r="L2608" s="1335">
        <f t="shared" si="171"/>
        <v>0</v>
      </c>
      <c r="M2608" s="1302">
        <v>18.28</v>
      </c>
      <c r="N2608" s="7"/>
      <c r="O2608" s="1290">
        <f>(G2608*M2608)</f>
        <v>6.36144</v>
      </c>
      <c r="P2608" s="1739">
        <f>M2608*K2608</f>
        <v>2.5445760000000001E-2</v>
      </c>
      <c r="Q2608" s="3391"/>
      <c r="R2608" s="2338"/>
      <c r="S2608" s="16"/>
      <c r="T2608" s="16"/>
      <c r="U2608" s="16"/>
      <c r="V2608" s="16"/>
    </row>
    <row r="2609" spans="1:22">
      <c r="A2609" s="16"/>
      <c r="B2609" s="1042"/>
      <c r="C2609" s="88"/>
      <c r="D2609" s="1620"/>
      <c r="E2609" s="2157"/>
      <c r="F2609" s="1620"/>
      <c r="G2609" s="2266"/>
      <c r="H2609" s="1362"/>
      <c r="I2609" s="197"/>
      <c r="J2609" s="198"/>
      <c r="K2609" s="1722"/>
      <c r="L2609" s="1335"/>
      <c r="M2609" s="1302"/>
      <c r="N2609" s="7"/>
      <c r="O2609" s="1290"/>
      <c r="P2609" s="1739"/>
      <c r="Q2609" s="3391"/>
      <c r="R2609" s="2338"/>
      <c r="S2609" s="16"/>
      <c r="T2609" s="16"/>
      <c r="U2609" s="16"/>
      <c r="V2609" s="16"/>
    </row>
    <row r="2610" spans="1:22">
      <c r="A2610" s="16"/>
      <c r="B2610" s="1042"/>
      <c r="C2610" s="88"/>
      <c r="D2610" s="1373"/>
      <c r="E2610" s="2123"/>
      <c r="F2610" s="1374" t="s">
        <v>3</v>
      </c>
      <c r="G2610" s="1374"/>
      <c r="H2610" s="1376"/>
      <c r="I2610" s="1382"/>
      <c r="J2610" s="1383"/>
      <c r="K2610" s="1373"/>
      <c r="L2610" s="1413"/>
      <c r="M2610" s="1376"/>
      <c r="N2610" s="1376"/>
      <c r="O2610" s="1376"/>
      <c r="P2610" s="1413"/>
      <c r="Q2610" s="3387"/>
      <c r="R2610" s="2343"/>
      <c r="S2610" s="16"/>
      <c r="T2610" s="16"/>
      <c r="U2610" s="16"/>
      <c r="V2610" s="16"/>
    </row>
    <row r="2611" spans="1:22">
      <c r="A2611" s="16"/>
      <c r="B2611" s="1042"/>
      <c r="C2611" s="88"/>
      <c r="D2611" s="1440"/>
      <c r="E2611" s="2132"/>
      <c r="F2611" s="1441"/>
      <c r="G2611" s="1441"/>
      <c r="H2611" s="1442"/>
      <c r="I2611" s="197" t="str">
        <f t="shared" ref="I2611:I2613" ca="1" si="172">IF(COUNT(H2611:O2611)=0,"",(SUM(H2611:O2611)/COUNT(H2611:O2611)))</f>
        <v/>
      </c>
      <c r="J2611" s="198"/>
      <c r="K2611" s="1307"/>
      <c r="L2611" s="1335"/>
      <c r="M2611" s="1499"/>
      <c r="N2611" s="1701"/>
      <c r="O2611" s="1290"/>
      <c r="P2611" s="1332"/>
      <c r="Q2611" s="3391"/>
      <c r="R2611" s="2338"/>
      <c r="S2611" s="16"/>
      <c r="T2611" s="16"/>
      <c r="U2611" s="16"/>
      <c r="V2611" s="16"/>
    </row>
    <row r="2612" spans="1:22">
      <c r="A2612" s="16"/>
      <c r="B2612" s="1042"/>
      <c r="C2612" s="88"/>
      <c r="D2612" s="1440"/>
      <c r="E2612" s="2132"/>
      <c r="F2612" s="1441"/>
      <c r="G2612" s="1441"/>
      <c r="H2612" s="1442"/>
      <c r="I2612" s="197" t="str">
        <f t="shared" ca="1" si="172"/>
        <v/>
      </c>
      <c r="J2612" s="198"/>
      <c r="K2612" s="1307"/>
      <c r="L2612" s="1335"/>
      <c r="M2612" s="1499"/>
      <c r="N2612" s="1701"/>
      <c r="O2612" s="1290"/>
      <c r="P2612" s="1332"/>
      <c r="Q2612" s="3391"/>
      <c r="R2612" s="2338"/>
      <c r="S2612" s="16"/>
      <c r="T2612" s="16"/>
      <c r="U2612" s="16"/>
      <c r="V2612" s="16"/>
    </row>
    <row r="2613" spans="1:22">
      <c r="A2613" s="16"/>
      <c r="B2613" s="223"/>
      <c r="C2613" s="581"/>
      <c r="D2613" s="1440"/>
      <c r="E2613" s="2132"/>
      <c r="F2613" s="1441"/>
      <c r="G2613" s="1441"/>
      <c r="H2613" s="1442"/>
      <c r="I2613" s="197" t="str">
        <f t="shared" ca="1" si="172"/>
        <v/>
      </c>
      <c r="J2613" s="198"/>
      <c r="K2613" s="1307"/>
      <c r="L2613" s="1335"/>
      <c r="M2613" s="1499"/>
      <c r="N2613" s="1701"/>
      <c r="O2613" s="1290"/>
      <c r="P2613" s="1332"/>
      <c r="Q2613" s="3391"/>
      <c r="R2613" s="2338"/>
      <c r="S2613" s="16"/>
      <c r="T2613" s="16"/>
      <c r="U2613" s="16"/>
      <c r="V2613" s="16"/>
    </row>
    <row r="2614" spans="1:22">
      <c r="A2614" s="19" t="s">
        <v>3764</v>
      </c>
      <c r="B2614" s="4325" t="s">
        <v>1893</v>
      </c>
      <c r="C2614" s="3350"/>
      <c r="D2614" s="4327"/>
      <c r="E2614" s="4329" t="s">
        <v>1507</v>
      </c>
      <c r="F2614" s="4461" t="s">
        <v>1894</v>
      </c>
      <c r="G2614" s="4331" t="s">
        <v>1568</v>
      </c>
      <c r="H2614" s="4331" t="s">
        <v>1574</v>
      </c>
      <c r="I2614" s="1572" t="s">
        <v>1559</v>
      </c>
      <c r="J2614" s="1294" t="s">
        <v>1560</v>
      </c>
      <c r="K2614" s="1294" t="s">
        <v>1561</v>
      </c>
      <c r="L2614" s="4333" t="s">
        <v>3765</v>
      </c>
      <c r="M2614" s="4323" t="s">
        <v>1571</v>
      </c>
      <c r="N2614" s="4323" t="s">
        <v>1776</v>
      </c>
      <c r="O2614" s="3347" t="s">
        <v>1563</v>
      </c>
      <c r="P2614" s="1336" t="s">
        <v>1562</v>
      </c>
      <c r="Q2614" s="3389"/>
      <c r="R2614" s="1839" t="s">
        <v>1327</v>
      </c>
      <c r="S2614" s="16"/>
      <c r="T2614" s="16"/>
      <c r="U2614" s="16"/>
      <c r="V2614" s="16"/>
    </row>
    <row r="2615" spans="1:22">
      <c r="A2615" s="1807" t="s">
        <v>1887</v>
      </c>
      <c r="B2615" s="4326"/>
      <c r="C2615" s="3351"/>
      <c r="D2615" s="4328"/>
      <c r="E2615" s="4330"/>
      <c r="F2615" s="4462"/>
      <c r="G2615" s="4332"/>
      <c r="H2615" s="4332"/>
      <c r="I2615" s="1345">
        <v>442.2</v>
      </c>
      <c r="J2615" s="1307">
        <v>2E-3</v>
      </c>
      <c r="K2615" s="1307">
        <f>I2615*J2615</f>
        <v>0.88439999999999996</v>
      </c>
      <c r="L2615" s="4334"/>
      <c r="M2615" s="4324"/>
      <c r="N2615" s="4324"/>
      <c r="O2615" s="1298">
        <f>O2617+O2618+O2622+O2623</f>
        <v>13.355</v>
      </c>
      <c r="P2615" s="1337">
        <f>K2615*O2615</f>
        <v>11.811161999999999</v>
      </c>
      <c r="Q2615" s="3390"/>
      <c r="R2615" s="1840">
        <f>P2617+P2618+P2622+P2623</f>
        <v>11.811162000000001</v>
      </c>
      <c r="S2615" s="16"/>
      <c r="T2615" s="16"/>
      <c r="U2615" s="16"/>
      <c r="V2615" s="16"/>
    </row>
    <row r="2616" spans="1:22">
      <c r="A2616" s="16"/>
      <c r="B2616" s="18"/>
      <c r="D2616" s="1449"/>
      <c r="E2616" s="2121"/>
      <c r="F2616" s="1368" t="s">
        <v>1</v>
      </c>
      <c r="G2616" s="1368"/>
      <c r="H2616" s="1369"/>
      <c r="I2616" s="1409"/>
      <c r="J2616" s="1391"/>
      <c r="K2616" s="1367"/>
      <c r="L2616" s="1554"/>
      <c r="M2616" s="1369"/>
      <c r="N2616" s="1369"/>
      <c r="O2616" s="1369"/>
      <c r="P2616" s="1367"/>
      <c r="Q2616" s="3387"/>
      <c r="R2616" s="2343"/>
      <c r="S2616" s="16"/>
      <c r="T2616" s="16"/>
      <c r="U2616" s="16"/>
      <c r="V2616" s="16"/>
    </row>
    <row r="2617" spans="1:22">
      <c r="A2617" s="16"/>
      <c r="B2617" s="1042"/>
      <c r="D2617" s="1767" t="s">
        <v>1082</v>
      </c>
      <c r="E2617" s="1849" t="s">
        <v>1504</v>
      </c>
      <c r="F2617" s="1598" t="s">
        <v>1541</v>
      </c>
      <c r="G2617" s="1567">
        <v>1</v>
      </c>
      <c r="H2617" s="1567"/>
      <c r="I2617" s="1286"/>
      <c r="J2617" s="198"/>
      <c r="K2617" s="1350">
        <f>G2617*$K$2615</f>
        <v>0.88439999999999996</v>
      </c>
      <c r="L2617" s="1335">
        <f t="shared" ref="L2617:L2618" si="173">K2617*$K$2352</f>
        <v>0</v>
      </c>
      <c r="M2617" s="1499">
        <v>0.3</v>
      </c>
      <c r="N2617" s="1700"/>
      <c r="O2617" s="1290">
        <f>G2617*M2617</f>
        <v>0.3</v>
      </c>
      <c r="P2617" s="1739">
        <f>M2617*K2617</f>
        <v>0.26532</v>
      </c>
      <c r="Q2617" s="3391"/>
      <c r="R2617" s="2343"/>
      <c r="S2617" s="16"/>
      <c r="T2617" s="16"/>
      <c r="U2617" s="16"/>
      <c r="V2617" s="16"/>
    </row>
    <row r="2618" spans="1:22">
      <c r="A2618" s="16"/>
      <c r="B2618" s="1042"/>
      <c r="D2618" s="1769" t="s">
        <v>1143</v>
      </c>
      <c r="E2618" s="1850" t="s">
        <v>1517</v>
      </c>
      <c r="F2618" s="1770" t="s">
        <v>1895</v>
      </c>
      <c r="G2618" s="1771">
        <v>0.06</v>
      </c>
      <c r="H2618" s="1771"/>
      <c r="I2618" s="1286"/>
      <c r="J2618" s="198"/>
      <c r="K2618" s="1350">
        <f>G2618*$K$2615</f>
        <v>5.3063999999999993E-2</v>
      </c>
      <c r="L2618" s="1335">
        <f t="shared" si="173"/>
        <v>0</v>
      </c>
      <c r="M2618" s="1302">
        <v>183.12</v>
      </c>
      <c r="N2618" s="1700"/>
      <c r="O2618" s="1290">
        <f>G2618*M2618</f>
        <v>10.9872</v>
      </c>
      <c r="P2618" s="1739">
        <f>M2618*K2618</f>
        <v>9.7170796799999994</v>
      </c>
      <c r="Q2618" s="3391"/>
      <c r="R2618" s="2343"/>
      <c r="S2618" s="16"/>
      <c r="T2618" s="16"/>
      <c r="U2618" s="16"/>
      <c r="V2618" s="16"/>
    </row>
    <row r="2619" spans="1:22">
      <c r="A2619" s="16"/>
      <c r="B2619" s="1042"/>
      <c r="C2619" s="1320"/>
      <c r="D2619" s="1752"/>
      <c r="E2619" s="1852"/>
      <c r="F2619" s="1752"/>
      <c r="G2619" s="1399"/>
      <c r="H2619" s="1453"/>
      <c r="I2619" s="197"/>
      <c r="J2619" s="198"/>
      <c r="K2619" s="1350"/>
      <c r="L2619" s="1335"/>
      <c r="M2619" s="1499"/>
      <c r="N2619" s="1718"/>
      <c r="O2619" s="1719"/>
      <c r="P2619" s="1843"/>
      <c r="Q2619" s="3396"/>
      <c r="R2619" s="2338"/>
      <c r="S2619" s="16"/>
      <c r="T2619" s="16"/>
      <c r="U2619" s="16"/>
      <c r="V2619" s="16"/>
    </row>
    <row r="2620" spans="1:22">
      <c r="A2620" s="16"/>
      <c r="B2620" s="1042"/>
      <c r="C2620" s="88"/>
      <c r="D2620" s="1752"/>
      <c r="E2620" s="1852"/>
      <c r="F2620" s="1752"/>
      <c r="G2620" s="1399"/>
      <c r="H2620" s="1399"/>
      <c r="I2620" s="197"/>
      <c r="J2620" s="198"/>
      <c r="K2620" s="1350"/>
      <c r="L2620" s="1335"/>
      <c r="M2620" s="1499"/>
      <c r="N2620" s="1718"/>
      <c r="O2620" s="1719"/>
      <c r="P2620" s="1731"/>
      <c r="Q2620" s="3396"/>
      <c r="R2620" s="2338"/>
      <c r="S2620" s="16"/>
      <c r="T2620" s="16"/>
      <c r="U2620" s="16"/>
      <c r="V2620" s="16"/>
    </row>
    <row r="2621" spans="1:22">
      <c r="A2621" s="16"/>
      <c r="B2621" s="1042"/>
      <c r="C2621" s="88"/>
      <c r="D2621" s="1359"/>
      <c r="E2621" s="1858"/>
      <c r="F2621" s="1360" t="s">
        <v>2</v>
      </c>
      <c r="G2621" s="1360"/>
      <c r="H2621" s="1362"/>
      <c r="I2621" s="1380"/>
      <c r="J2621" s="1381"/>
      <c r="K2621" s="1458"/>
      <c r="L2621" s="1458"/>
      <c r="M2621" s="1362"/>
      <c r="N2621" s="1362"/>
      <c r="O2621" s="1362"/>
      <c r="P2621" s="1458"/>
      <c r="Q2621" s="3387"/>
      <c r="R2621" s="2343"/>
      <c r="S2621" s="16"/>
      <c r="T2621" s="16"/>
      <c r="U2621" s="16"/>
      <c r="V2621" s="16"/>
    </row>
    <row r="2622" spans="1:22">
      <c r="A2622" s="16"/>
      <c r="B2622" s="1320"/>
      <c r="C2622" s="1042"/>
      <c r="D2622" s="1655" t="s">
        <v>1896</v>
      </c>
      <c r="E2622" s="1859" t="s">
        <v>1508</v>
      </c>
      <c r="F2622" s="1655" t="s">
        <v>1897</v>
      </c>
      <c r="G2622" s="1809">
        <v>0.06</v>
      </c>
      <c r="H2622" s="1439"/>
      <c r="I2622" s="197"/>
      <c r="J2622" s="198"/>
      <c r="K2622" s="1350">
        <f>G2622*$K$2615</f>
        <v>5.3063999999999993E-2</v>
      </c>
      <c r="L2622" s="1335">
        <f t="shared" ref="L2622:L2623" si="174">K2622*$K$2352</f>
        <v>0</v>
      </c>
      <c r="M2622" s="1499">
        <v>19.23</v>
      </c>
      <c r="N2622" s="1701"/>
      <c r="O2622" s="1290">
        <f>(G2622*M2622)</f>
        <v>1.1537999999999999</v>
      </c>
      <c r="P2622" s="1739">
        <f>M2622*K2622</f>
        <v>1.0204207199999999</v>
      </c>
      <c r="Q2622" s="3391"/>
      <c r="R2622" s="3363"/>
      <c r="S2622" s="16"/>
      <c r="T2622" s="16"/>
      <c r="U2622" s="16"/>
      <c r="V2622" s="16"/>
    </row>
    <row r="2623" spans="1:22">
      <c r="A2623" s="16"/>
      <c r="B2623" s="1042"/>
      <c r="C2623" s="88"/>
      <c r="D2623" s="1655" t="s">
        <v>1802</v>
      </c>
      <c r="E2623" s="1859" t="s">
        <v>1508</v>
      </c>
      <c r="F2623" s="1655" t="s">
        <v>1804</v>
      </c>
      <c r="G2623" s="1809">
        <v>0.05</v>
      </c>
      <c r="H2623" s="1362"/>
      <c r="I2623" s="197"/>
      <c r="J2623" s="198"/>
      <c r="K2623" s="1350">
        <f>G2623*$K$2615</f>
        <v>4.4220000000000002E-2</v>
      </c>
      <c r="L2623" s="1335">
        <f t="shared" si="174"/>
        <v>0</v>
      </c>
      <c r="M2623" s="1302">
        <v>18.28</v>
      </c>
      <c r="N2623" s="7"/>
      <c r="O2623" s="1290">
        <f>(G2623*M2623)</f>
        <v>0.91400000000000015</v>
      </c>
      <c r="P2623" s="1739">
        <f>M2623*K2623</f>
        <v>0.8083416000000001</v>
      </c>
      <c r="Q2623" s="3391"/>
      <c r="R2623" s="2338"/>
      <c r="S2623" s="16"/>
      <c r="T2623" s="16"/>
      <c r="U2623" s="16"/>
      <c r="V2623" s="16"/>
    </row>
    <row r="2624" spans="1:22">
      <c r="A2624" s="16"/>
      <c r="B2624" s="1042"/>
      <c r="C2624" s="88"/>
      <c r="D2624" s="1655"/>
      <c r="E2624" s="1859"/>
      <c r="F2624" s="1655"/>
      <c r="G2624" s="1809"/>
      <c r="H2624" s="1362"/>
      <c r="I2624" s="197"/>
      <c r="J2624" s="198"/>
      <c r="K2624" s="1350"/>
      <c r="L2624" s="1335"/>
      <c r="M2624" s="1302"/>
      <c r="N2624" s="7"/>
      <c r="O2624" s="1290"/>
      <c r="P2624" s="1739"/>
      <c r="Q2624" s="3391"/>
      <c r="R2624" s="2338"/>
      <c r="S2624" s="16"/>
      <c r="T2624" s="16"/>
      <c r="U2624" s="16"/>
      <c r="V2624" s="16"/>
    </row>
    <row r="2625" spans="1:22">
      <c r="A2625" s="16"/>
      <c r="B2625" s="1042"/>
      <c r="C2625" s="88"/>
      <c r="D2625" s="1373"/>
      <c r="E2625" s="2123"/>
      <c r="F2625" s="1374" t="s">
        <v>3</v>
      </c>
      <c r="G2625" s="1374"/>
      <c r="H2625" s="1376"/>
      <c r="I2625" s="1382"/>
      <c r="J2625" s="1383"/>
      <c r="K2625" s="1373"/>
      <c r="L2625" s="1413"/>
      <c r="M2625" s="1376"/>
      <c r="N2625" s="1376"/>
      <c r="O2625" s="1376"/>
      <c r="P2625" s="1413"/>
      <c r="Q2625" s="3387"/>
      <c r="R2625" s="2343"/>
      <c r="S2625" s="16"/>
      <c r="T2625" s="16"/>
      <c r="U2625" s="16"/>
      <c r="V2625" s="16"/>
    </row>
    <row r="2626" spans="1:22">
      <c r="A2626" s="16"/>
      <c r="B2626" s="1042"/>
      <c r="C2626" s="88"/>
      <c r="D2626" s="1440"/>
      <c r="E2626" s="2132"/>
      <c r="F2626" s="1441"/>
      <c r="G2626" s="1441"/>
      <c r="H2626" s="1442"/>
      <c r="I2626" s="197"/>
      <c r="J2626" s="198"/>
      <c r="K2626" s="1307"/>
      <c r="L2626" s="1335"/>
      <c r="M2626" s="1499"/>
      <c r="N2626" s="1701"/>
      <c r="O2626" s="1290"/>
      <c r="P2626" s="1332"/>
      <c r="Q2626" s="3391"/>
      <c r="R2626" s="2338"/>
      <c r="S2626" s="16"/>
      <c r="T2626" s="16"/>
      <c r="U2626" s="16"/>
      <c r="V2626" s="16"/>
    </row>
    <row r="2627" spans="1:22">
      <c r="A2627" s="16"/>
      <c r="B2627" s="1042"/>
      <c r="C2627" s="88"/>
      <c r="D2627" s="1440"/>
      <c r="E2627" s="2132"/>
      <c r="F2627" s="1441"/>
      <c r="G2627" s="1441"/>
      <c r="H2627" s="1442"/>
      <c r="I2627" s="197"/>
      <c r="J2627" s="198"/>
      <c r="K2627" s="1307"/>
      <c r="L2627" s="1335"/>
      <c r="M2627" s="1499"/>
      <c r="N2627" s="1701"/>
      <c r="O2627" s="1290"/>
      <c r="P2627" s="1332"/>
      <c r="Q2627" s="3391"/>
      <c r="R2627" s="2338"/>
      <c r="S2627" s="16"/>
      <c r="T2627" s="16"/>
      <c r="U2627" s="16"/>
      <c r="V2627" s="16"/>
    </row>
    <row r="2628" spans="1:22">
      <c r="A2628" s="16"/>
      <c r="B2628" s="223"/>
      <c r="C2628" s="581"/>
      <c r="D2628" s="1440"/>
      <c r="E2628" s="2132"/>
      <c r="F2628" s="1441"/>
      <c r="G2628" s="1441"/>
      <c r="H2628" s="1442"/>
      <c r="I2628" s="197"/>
      <c r="J2628" s="198"/>
      <c r="K2628" s="1307"/>
      <c r="L2628" s="1335"/>
      <c r="M2628" s="1499"/>
      <c r="N2628" s="1701"/>
      <c r="O2628" s="1290"/>
      <c r="P2628" s="1332"/>
      <c r="Q2628" s="3391"/>
      <c r="R2628" s="2338"/>
      <c r="S2628" s="16"/>
      <c r="T2628" s="16"/>
      <c r="U2628" s="16"/>
      <c r="V2628" s="16"/>
    </row>
    <row r="2629" spans="1:22">
      <c r="A2629" s="19" t="s">
        <v>3764</v>
      </c>
      <c r="B2629" s="4325" t="s">
        <v>1660</v>
      </c>
      <c r="C2629" s="3350"/>
      <c r="D2629" s="4327"/>
      <c r="E2629" s="4329" t="s">
        <v>1507</v>
      </c>
      <c r="F2629" s="4372" t="s">
        <v>1689</v>
      </c>
      <c r="G2629" s="4331" t="s">
        <v>1568</v>
      </c>
      <c r="H2629" s="4331" t="s">
        <v>1574</v>
      </c>
      <c r="I2629" s="1572" t="s">
        <v>1559</v>
      </c>
      <c r="J2629" s="1294" t="s">
        <v>1560</v>
      </c>
      <c r="K2629" s="1294" t="s">
        <v>1561</v>
      </c>
      <c r="L2629" s="4333" t="s">
        <v>3765</v>
      </c>
      <c r="M2629" s="4323" t="s">
        <v>1571</v>
      </c>
      <c r="N2629" s="4323" t="s">
        <v>1776</v>
      </c>
      <c r="O2629" s="3347" t="s">
        <v>1563</v>
      </c>
      <c r="P2629" s="1336" t="s">
        <v>1562</v>
      </c>
      <c r="Q2629" s="3389"/>
      <c r="R2629" s="1699" t="s">
        <v>1327</v>
      </c>
      <c r="S2629" s="105"/>
      <c r="T2629" s="105"/>
      <c r="U2629" s="16"/>
      <c r="V2629" s="16"/>
    </row>
    <row r="2630" spans="1:22">
      <c r="A2630" s="1807" t="s">
        <v>1887</v>
      </c>
      <c r="B2630" s="4326"/>
      <c r="C2630" s="3351"/>
      <c r="D2630" s="4328"/>
      <c r="E2630" s="4330"/>
      <c r="F2630" s="4363"/>
      <c r="G2630" s="4332"/>
      <c r="H2630" s="4332"/>
      <c r="I2630" s="1345">
        <v>64.8</v>
      </c>
      <c r="J2630" s="1307">
        <v>2E-3</v>
      </c>
      <c r="K2630" s="1307">
        <f>I2630*J2630</f>
        <v>0.12959999999999999</v>
      </c>
      <c r="L2630" s="4334"/>
      <c r="M2630" s="4324"/>
      <c r="N2630" s="4324"/>
      <c r="O2630" s="1298">
        <f>SUM(O2632:O2644)</f>
        <v>19.719749999999998</v>
      </c>
      <c r="P2630" s="1337">
        <f>O2630*K2630</f>
        <v>2.5556795999999995</v>
      </c>
      <c r="Q2630" s="3390"/>
      <c r="R2630" s="1721">
        <f>SUM(P2632:P2645)</f>
        <v>2.5556796000000004</v>
      </c>
      <c r="S2630" s="16"/>
      <c r="T2630" s="16"/>
      <c r="U2630" s="16"/>
      <c r="V2630" s="16"/>
    </row>
    <row r="2631" spans="1:22">
      <c r="A2631" s="16"/>
      <c r="B2631" s="1327"/>
      <c r="C2631" s="1327"/>
      <c r="D2631" s="1400"/>
      <c r="E2631" s="2121"/>
      <c r="F2631" s="1368" t="s">
        <v>1</v>
      </c>
      <c r="G2631" s="1417"/>
      <c r="H2631" s="1390"/>
      <c r="I2631" s="1554"/>
      <c r="J2631" s="1367"/>
      <c r="K2631" s="1367"/>
      <c r="L2631" s="1554"/>
      <c r="M2631" s="1369"/>
      <c r="N2631" s="1369"/>
      <c r="O2631" s="1369"/>
      <c r="P2631" s="1367"/>
      <c r="Q2631" s="3387"/>
      <c r="R2631" s="2337"/>
      <c r="S2631" s="16"/>
      <c r="T2631" s="16"/>
      <c r="U2631" s="16"/>
      <c r="V2631" s="16"/>
    </row>
    <row r="2632" spans="1:22">
      <c r="A2632" s="16"/>
      <c r="B2632" s="1320"/>
      <c r="C2632" s="1042"/>
      <c r="D2632" s="1615" t="s">
        <v>1145</v>
      </c>
      <c r="E2632" s="2126" t="s">
        <v>1577</v>
      </c>
      <c r="F2632" s="1598" t="s">
        <v>1690</v>
      </c>
      <c r="G2632" s="1372">
        <v>1E-3</v>
      </c>
      <c r="H2632" s="1372"/>
      <c r="I2632" s="198"/>
      <c r="J2632" s="6"/>
      <c r="K2632" s="1307">
        <f>G2632*$K$2630</f>
        <v>1.2960000000000001E-4</v>
      </c>
      <c r="L2632" s="1335">
        <f t="shared" ref="L2632:L2635" si="175">K2632*$K$2352</f>
        <v>0</v>
      </c>
      <c r="M2632" s="1499">
        <v>246.4</v>
      </c>
      <c r="N2632" s="1701"/>
      <c r="O2632" s="1291">
        <f>G2632*M2632</f>
        <v>0.24640000000000001</v>
      </c>
      <c r="P2632" s="1332">
        <f>M2632*K2632</f>
        <v>3.193344E-2</v>
      </c>
      <c r="Q2632" s="3391"/>
      <c r="R2632" s="2337"/>
      <c r="S2632" s="16"/>
      <c r="T2632" s="16"/>
      <c r="U2632" s="16"/>
      <c r="V2632" s="16"/>
    </row>
    <row r="2633" spans="1:22">
      <c r="A2633" s="16"/>
      <c r="B2633" s="1320"/>
      <c r="C2633" s="1042"/>
      <c r="D2633" s="1598" t="s">
        <v>1147</v>
      </c>
      <c r="E2633" s="2154" t="s">
        <v>1357</v>
      </c>
      <c r="F2633" s="1598" t="s">
        <v>1691</v>
      </c>
      <c r="G2633" s="1372">
        <v>1</v>
      </c>
      <c r="H2633" s="1372"/>
      <c r="I2633" s="197"/>
      <c r="J2633" s="198"/>
      <c r="K2633" s="1307">
        <f>G2633*$K$2630</f>
        <v>0.12959999999999999</v>
      </c>
      <c r="L2633" s="1335">
        <f t="shared" si="175"/>
        <v>0</v>
      </c>
      <c r="M2633" s="1499">
        <v>0.22</v>
      </c>
      <c r="N2633" s="1701"/>
      <c r="O2633" s="1291">
        <f>G2633*M2633</f>
        <v>0.22</v>
      </c>
      <c r="P2633" s="1332">
        <f>M2633*K2633</f>
        <v>2.8511999999999999E-2</v>
      </c>
      <c r="Q2633" s="3391"/>
      <c r="R2633" s="2337"/>
      <c r="S2633" s="16"/>
      <c r="T2633" s="16"/>
      <c r="U2633" s="16"/>
      <c r="V2633" s="16"/>
    </row>
    <row r="2634" spans="1:22">
      <c r="A2634" s="16"/>
      <c r="B2634" s="1320"/>
      <c r="C2634" s="1042"/>
      <c r="D2634" s="1598" t="s">
        <v>1692</v>
      </c>
      <c r="E2634" s="2154" t="s">
        <v>1504</v>
      </c>
      <c r="F2634" s="1598" t="s">
        <v>1693</v>
      </c>
      <c r="G2634" s="1399">
        <v>47.17</v>
      </c>
      <c r="H2634" s="1399"/>
      <c r="I2634" s="27"/>
      <c r="J2634" s="10"/>
      <c r="K2634" s="1307">
        <f>G2634*$K$2630</f>
        <v>6.113232</v>
      </c>
      <c r="L2634" s="1335">
        <f t="shared" si="175"/>
        <v>0</v>
      </c>
      <c r="M2634" s="1499">
        <v>0.17</v>
      </c>
      <c r="N2634" s="1701"/>
      <c r="O2634" s="1291">
        <f>G2634*M2634</f>
        <v>8.0189000000000004</v>
      </c>
      <c r="P2634" s="1332">
        <f>M2634*K2634</f>
        <v>1.0392494400000001</v>
      </c>
      <c r="Q2634" s="3391"/>
      <c r="R2634" s="2337"/>
      <c r="S2634" s="16"/>
      <c r="T2634" s="16"/>
      <c r="U2634" s="16"/>
      <c r="V2634" s="16"/>
    </row>
    <row r="2635" spans="1:22">
      <c r="A2635" s="16"/>
      <c r="B2635" s="1320"/>
      <c r="C2635" s="1042"/>
      <c r="D2635" s="1598" t="s">
        <v>1097</v>
      </c>
      <c r="E2635" s="1856" t="s">
        <v>1504</v>
      </c>
      <c r="F2635" s="1598" t="s">
        <v>1632</v>
      </c>
      <c r="G2635" s="1399">
        <v>1</v>
      </c>
      <c r="H2635" s="1399"/>
      <c r="I2635" s="198"/>
      <c r="J2635" s="198"/>
      <c r="K2635" s="1307">
        <f>G2635*$K$2630</f>
        <v>0.12959999999999999</v>
      </c>
      <c r="L2635" s="1335">
        <f t="shared" si="175"/>
        <v>0</v>
      </c>
      <c r="M2635" s="1499">
        <v>0.55000000000000004</v>
      </c>
      <c r="N2635" s="1701"/>
      <c r="O2635" s="1291">
        <f>G2635*M2635</f>
        <v>0.55000000000000004</v>
      </c>
      <c r="P2635" s="1332">
        <f>M2635*K2635</f>
        <v>7.1279999999999996E-2</v>
      </c>
      <c r="Q2635" s="3391"/>
      <c r="S2635" s="16"/>
      <c r="T2635" s="16"/>
      <c r="U2635" s="16"/>
      <c r="V2635" s="16"/>
    </row>
    <row r="2636" spans="1:22">
      <c r="A2636" s="16"/>
      <c r="B2636" s="1320"/>
      <c r="C2636" s="1042"/>
      <c r="D2636" s="1400"/>
      <c r="E2636" s="1856"/>
      <c r="F2636" s="1397"/>
      <c r="G2636" s="1416"/>
      <c r="H2636" s="1399"/>
      <c r="I2636" s="1289"/>
      <c r="J2636" s="198"/>
      <c r="K2636" s="1307"/>
      <c r="L2636" s="1335"/>
      <c r="M2636" s="1499"/>
      <c r="N2636" s="1701"/>
      <c r="O2636" s="1290"/>
      <c r="P2636" s="1332"/>
      <c r="Q2636" s="3391"/>
      <c r="R2636" s="2337"/>
      <c r="S2636" s="16"/>
      <c r="T2636" s="16"/>
      <c r="U2636" s="16"/>
      <c r="V2636" s="16"/>
    </row>
    <row r="2637" spans="1:22">
      <c r="A2637" s="16"/>
      <c r="B2637" s="1320"/>
      <c r="C2637" s="1042"/>
      <c r="D2637" s="1400"/>
      <c r="E2637" s="1856"/>
      <c r="F2637" s="1397"/>
      <c r="G2637" s="1416"/>
      <c r="H2637" s="1399"/>
      <c r="I2637" s="1289"/>
      <c r="J2637" s="198"/>
      <c r="K2637" s="1307"/>
      <c r="L2637" s="1335"/>
      <c r="M2637" s="1499"/>
      <c r="N2637" s="1701"/>
      <c r="O2637" s="1290"/>
      <c r="P2637" s="1332"/>
      <c r="Q2637" s="3391"/>
      <c r="R2637" s="2337"/>
      <c r="S2637" s="16"/>
      <c r="T2637" s="16"/>
      <c r="U2637" s="16"/>
      <c r="V2637" s="16"/>
    </row>
    <row r="2638" spans="1:22">
      <c r="A2638" s="16"/>
      <c r="B2638" s="1320"/>
      <c r="C2638" s="1320"/>
      <c r="D2638" s="1410"/>
      <c r="E2638" s="1858"/>
      <c r="F2638" s="1360" t="s">
        <v>2</v>
      </c>
      <c r="G2638" s="1360"/>
      <c r="H2638" s="1362"/>
      <c r="I2638" s="1380"/>
      <c r="J2638" s="1381"/>
      <c r="K2638" s="1359"/>
      <c r="L2638" s="1458"/>
      <c r="M2638" s="1502"/>
      <c r="N2638" s="1502"/>
      <c r="O2638" s="1362"/>
      <c r="P2638" s="1359"/>
      <c r="Q2638" s="3387"/>
      <c r="R2638" s="2337"/>
      <c r="S2638" s="16"/>
      <c r="T2638" s="16"/>
      <c r="U2638" s="16"/>
      <c r="V2638" s="16"/>
    </row>
    <row r="2639" spans="1:22">
      <c r="A2639" s="16"/>
      <c r="B2639" s="1320"/>
      <c r="C2639" s="1042"/>
      <c r="D2639" s="1410" t="s">
        <v>1088</v>
      </c>
      <c r="E2639" s="1858" t="s">
        <v>1508</v>
      </c>
      <c r="F2639" s="1655" t="s">
        <v>1694</v>
      </c>
      <c r="G2639" s="1405">
        <v>0.375</v>
      </c>
      <c r="H2639" s="1405"/>
      <c r="I2639" s="1826"/>
      <c r="J2639" s="6"/>
      <c r="K2639" s="1307">
        <f>G2639*$K$2630</f>
        <v>4.8599999999999997E-2</v>
      </c>
      <c r="L2639" s="1335">
        <f t="shared" ref="L2639:L2640" si="176">K2639*$K$2352</f>
        <v>0</v>
      </c>
      <c r="M2639" s="1302">
        <v>19.23</v>
      </c>
      <c r="N2639" s="1701"/>
      <c r="O2639" s="1291">
        <f>G2639*M2639</f>
        <v>7.2112499999999997</v>
      </c>
      <c r="P2639" s="1332">
        <f>M2639*K2639</f>
        <v>0.93457800000000002</v>
      </c>
      <c r="Q2639" s="3391"/>
      <c r="R2639" s="2337"/>
      <c r="S2639" s="16"/>
      <c r="T2639" s="16"/>
      <c r="U2639" s="16"/>
      <c r="V2639" s="16"/>
    </row>
    <row r="2640" spans="1:22">
      <c r="A2640" s="16"/>
      <c r="B2640" s="1320"/>
      <c r="C2640" s="1042"/>
      <c r="D2640" s="1410" t="s">
        <v>1067</v>
      </c>
      <c r="E2640" s="1858" t="s">
        <v>1508</v>
      </c>
      <c r="F2640" s="1655" t="s">
        <v>1512</v>
      </c>
      <c r="G2640" s="1359">
        <v>0.19</v>
      </c>
      <c r="H2640" s="1359"/>
      <c r="I2640" s="12"/>
      <c r="J2640" s="6"/>
      <c r="K2640" s="1307">
        <f>G2640*$K$2630</f>
        <v>2.4624E-2</v>
      </c>
      <c r="L2640" s="1335">
        <f t="shared" si="176"/>
        <v>0</v>
      </c>
      <c r="M2640" s="1302">
        <v>18.28</v>
      </c>
      <c r="N2640" s="1499"/>
      <c r="O2640" s="1291">
        <f>G2640*M2640</f>
        <v>3.4732000000000003</v>
      </c>
      <c r="P2640" s="1332">
        <f>M2640*K2640</f>
        <v>0.45012672000000004</v>
      </c>
      <c r="Q2640" s="3391"/>
      <c r="R2640" s="2337"/>
      <c r="S2640" s="16"/>
      <c r="T2640" s="16"/>
      <c r="U2640" s="16"/>
      <c r="V2640" s="16"/>
    </row>
    <row r="2641" spans="1:22">
      <c r="A2641" s="16"/>
      <c r="B2641" s="1320"/>
      <c r="C2641" s="1042"/>
      <c r="D2641" s="1402"/>
      <c r="E2641" s="1857"/>
      <c r="F2641" s="1403"/>
      <c r="G2641" s="1362"/>
      <c r="H2641" s="1359"/>
      <c r="I2641" s="198"/>
      <c r="J2641" s="6"/>
      <c r="K2641" s="1307"/>
      <c r="L2641" s="1335"/>
      <c r="M2641" s="1499"/>
      <c r="N2641" s="1701"/>
      <c r="O2641" s="1290"/>
      <c r="P2641" s="1332"/>
      <c r="Q2641" s="3391"/>
      <c r="R2641" s="2337"/>
      <c r="S2641" s="16"/>
      <c r="T2641" s="16"/>
      <c r="U2641" s="16"/>
      <c r="V2641" s="16"/>
    </row>
    <row r="2642" spans="1:22">
      <c r="A2642" s="16"/>
      <c r="B2642" s="1320"/>
      <c r="C2642" s="1042"/>
      <c r="D2642" s="1411"/>
      <c r="E2642" s="2123"/>
      <c r="F2642" s="1374" t="s">
        <v>3</v>
      </c>
      <c r="G2642" s="1374"/>
      <c r="H2642" s="1376"/>
      <c r="I2642" s="1382"/>
      <c r="J2642" s="1383"/>
      <c r="K2642" s="1373"/>
      <c r="L2642" s="1413"/>
      <c r="M2642" s="1505"/>
      <c r="N2642" s="1505"/>
      <c r="O2642" s="1376"/>
      <c r="P2642" s="1413"/>
      <c r="Q2642" s="3387"/>
      <c r="R2642" s="2337"/>
      <c r="S2642" s="16"/>
      <c r="T2642" s="16"/>
      <c r="U2642" s="16"/>
      <c r="V2642" s="16"/>
    </row>
    <row r="2643" spans="1:22">
      <c r="A2643" s="16"/>
      <c r="B2643" s="1320"/>
      <c r="C2643" s="1042"/>
      <c r="D2643" s="1440"/>
      <c r="E2643" s="2132"/>
      <c r="F2643" s="1441"/>
      <c r="G2643" s="1441"/>
      <c r="H2643" s="1442"/>
      <c r="I2643" s="197"/>
      <c r="J2643" s="198"/>
      <c r="K2643" s="1307"/>
      <c r="L2643" s="1335"/>
      <c r="M2643" s="1499"/>
      <c r="N2643" s="1701"/>
      <c r="O2643" s="1290"/>
      <c r="P2643" s="1332"/>
      <c r="Q2643" s="3391"/>
      <c r="R2643" s="2337"/>
      <c r="S2643" s="16"/>
      <c r="T2643" s="16"/>
      <c r="U2643" s="16"/>
      <c r="V2643" s="16"/>
    </row>
    <row r="2644" spans="1:22">
      <c r="A2644" s="16"/>
      <c r="B2644" s="1320"/>
      <c r="C2644" s="1042"/>
      <c r="D2644" s="1440"/>
      <c r="E2644" s="2132"/>
      <c r="F2644" s="1441"/>
      <c r="G2644" s="1441"/>
      <c r="H2644" s="1442"/>
      <c r="I2644" s="197"/>
      <c r="J2644" s="198"/>
      <c r="K2644" s="1307"/>
      <c r="L2644" s="1335"/>
      <c r="M2644" s="1499"/>
      <c r="N2644" s="1701"/>
      <c r="O2644" s="1290"/>
      <c r="P2644" s="1332"/>
      <c r="Q2644" s="3391"/>
      <c r="R2644" s="2337"/>
      <c r="S2644" s="16"/>
      <c r="T2644" s="16"/>
      <c r="U2644" s="16"/>
      <c r="V2644" s="16"/>
    </row>
    <row r="2645" spans="1:22">
      <c r="A2645" s="16"/>
      <c r="B2645" s="225"/>
      <c r="C2645" s="223"/>
      <c r="D2645" s="1440"/>
      <c r="E2645" s="2132"/>
      <c r="F2645" s="1441"/>
      <c r="G2645" s="1441"/>
      <c r="H2645" s="1442"/>
      <c r="I2645" s="197"/>
      <c r="J2645" s="198"/>
      <c r="K2645" s="1307"/>
      <c r="L2645" s="1335"/>
      <c r="M2645" s="1499"/>
      <c r="N2645" s="1701"/>
      <c r="O2645" s="1290"/>
      <c r="P2645" s="1332"/>
      <c r="Q2645" s="3391"/>
      <c r="R2645" s="2337"/>
      <c r="S2645" s="16"/>
      <c r="T2645" s="16"/>
      <c r="U2645" s="16"/>
      <c r="V2645" s="16"/>
    </row>
    <row r="2646" spans="1:22">
      <c r="A2646" s="19" t="s">
        <v>3764</v>
      </c>
      <c r="B2646" s="4325" t="s">
        <v>1898</v>
      </c>
      <c r="C2646" s="3350"/>
      <c r="D2646" s="4327"/>
      <c r="E2646" s="4329" t="s">
        <v>1507</v>
      </c>
      <c r="F2646" s="4338" t="s">
        <v>1899</v>
      </c>
      <c r="G2646" s="4331" t="s">
        <v>1568</v>
      </c>
      <c r="H2646" s="4331" t="s">
        <v>1574</v>
      </c>
      <c r="I2646" s="1572" t="s">
        <v>1559</v>
      </c>
      <c r="J2646" s="1294" t="s">
        <v>1560</v>
      </c>
      <c r="K2646" s="1294" t="s">
        <v>1561</v>
      </c>
      <c r="L2646" s="4333" t="s">
        <v>3765</v>
      </c>
      <c r="M2646" s="4335" t="s">
        <v>1571</v>
      </c>
      <c r="N2646" s="4323" t="s">
        <v>1776</v>
      </c>
      <c r="O2646" s="3347" t="s">
        <v>1563</v>
      </c>
      <c r="P2646" s="1336" t="s">
        <v>1562</v>
      </c>
      <c r="Q2646" s="3389"/>
      <c r="R2646" s="1699" t="s">
        <v>1327</v>
      </c>
      <c r="S2646" s="16"/>
      <c r="T2646" s="16"/>
      <c r="U2646" s="16"/>
      <c r="V2646" s="16"/>
    </row>
    <row r="2647" spans="1:22">
      <c r="A2647" s="1807" t="s">
        <v>1887</v>
      </c>
      <c r="B2647" s="4326"/>
      <c r="C2647" s="3351"/>
      <c r="D2647" s="4328"/>
      <c r="E2647" s="4330"/>
      <c r="F2647" s="4338"/>
      <c r="G2647" s="4332"/>
      <c r="H2647" s="4332"/>
      <c r="I2647" s="1345">
        <v>442.2</v>
      </c>
      <c r="J2647" s="1307">
        <v>2E-3</v>
      </c>
      <c r="K2647" s="1307">
        <f>I2647*J2647</f>
        <v>0.88439999999999996</v>
      </c>
      <c r="L2647" s="4334"/>
      <c r="M2647" s="4335"/>
      <c r="N2647" s="4324"/>
      <c r="O2647" s="1298">
        <f>O2649+O2657+O2661</f>
        <v>13.053433030000001</v>
      </c>
      <c r="P2647" s="1337">
        <f>O2647*K2647</f>
        <v>11.544456171732</v>
      </c>
      <c r="Q2647" s="3390"/>
      <c r="R2647" s="1721">
        <f>P2649+P2657+P2661</f>
        <v>11.544456171732001</v>
      </c>
      <c r="S2647" s="16"/>
      <c r="T2647" s="16"/>
      <c r="U2647" s="16"/>
      <c r="V2647" s="16"/>
    </row>
    <row r="2648" spans="1:22">
      <c r="A2648" s="16"/>
      <c r="B2648" s="18"/>
      <c r="D2648" s="1449"/>
      <c r="E2648" s="2121"/>
      <c r="F2648" s="1368" t="s">
        <v>1</v>
      </c>
      <c r="G2648" s="1368"/>
      <c r="H2648" s="1369"/>
      <c r="I2648" s="1409"/>
      <c r="J2648" s="1391"/>
      <c r="K2648" s="1367"/>
      <c r="L2648" s="1554"/>
      <c r="M2648" s="1369"/>
      <c r="N2648" s="1369"/>
      <c r="O2648" s="1369"/>
      <c r="P2648" s="1367"/>
      <c r="Q2648" s="3387"/>
      <c r="R2648" s="2337"/>
      <c r="S2648" s="16"/>
      <c r="T2648" s="16"/>
      <c r="U2648" s="16"/>
      <c r="V2648" s="16"/>
    </row>
    <row r="2649" spans="1:22">
      <c r="A2649" s="16"/>
      <c r="B2649" s="1042"/>
      <c r="C2649" s="1356" t="s">
        <v>1127</v>
      </c>
      <c r="D2649" s="1311"/>
      <c r="E2649" s="2137" t="s">
        <v>1517</v>
      </c>
      <c r="F2649" s="1319" t="s">
        <v>1519</v>
      </c>
      <c r="G2649" s="1353"/>
      <c r="H2649" s="1456">
        <v>2.1000000000000001E-2</v>
      </c>
      <c r="I2649" s="1444"/>
      <c r="J2649" s="1388"/>
      <c r="K2649" s="1445"/>
      <c r="L2649" s="1457"/>
      <c r="M2649" s="1447"/>
      <c r="N2649" s="1447">
        <f>SUM(N2650:N2653)</f>
        <v>50.044430000000006</v>
      </c>
      <c r="O2649" s="1447">
        <f>SUM(O2650:O2653)</f>
        <v>1.0509330300000002</v>
      </c>
      <c r="P2649" s="1446">
        <f>SUM(P2650:P2653)</f>
        <v>0.92944517173200014</v>
      </c>
      <c r="Q2649" s="3391"/>
      <c r="R2649" s="2337"/>
      <c r="S2649" s="16"/>
      <c r="T2649" s="16"/>
      <c r="U2649" s="16"/>
      <c r="V2649" s="16"/>
    </row>
    <row r="2650" spans="1:22">
      <c r="A2650" s="16"/>
      <c r="B2650" s="1042"/>
      <c r="C2650" s="1327"/>
      <c r="D2650" s="1400" t="s">
        <v>1069</v>
      </c>
      <c r="E2650" s="1856" t="s">
        <v>1517</v>
      </c>
      <c r="F2650" s="1397" t="s">
        <v>1578</v>
      </c>
      <c r="G2650" s="1416">
        <v>0.26300000000000001</v>
      </c>
      <c r="H2650" s="1399">
        <f>G2650*$H$2649</f>
        <v>5.523000000000001E-3</v>
      </c>
      <c r="I2650" s="197"/>
      <c r="J2650" s="198"/>
      <c r="K2650" s="1307">
        <f>H2650*$K$2647</f>
        <v>4.884541200000001E-3</v>
      </c>
      <c r="L2650" s="1335">
        <f t="shared" ref="L2650:L2653" si="177">K2650*$K$2352</f>
        <v>0</v>
      </c>
      <c r="M2650" s="1302">
        <v>0.55000000000000004</v>
      </c>
      <c r="N2650" s="1718">
        <f>G2650*M2650</f>
        <v>0.14465000000000003</v>
      </c>
      <c r="O2650" s="1290">
        <f>H2650*M2650</f>
        <v>3.0376500000000007E-3</v>
      </c>
      <c r="P2650" s="1332">
        <f>M2650*K2650</f>
        <v>2.6864976600000008E-3</v>
      </c>
      <c r="Q2650" s="3391"/>
      <c r="R2650" s="2337"/>
      <c r="S2650" s="16"/>
      <c r="T2650" s="16"/>
      <c r="U2650" s="16"/>
      <c r="V2650" s="16"/>
    </row>
    <row r="2651" spans="1:22">
      <c r="A2651" s="16"/>
      <c r="B2651" s="1042"/>
      <c r="C2651" s="1320"/>
      <c r="D2651" s="1400" t="s">
        <v>1394</v>
      </c>
      <c r="E2651" s="1856" t="s">
        <v>1577</v>
      </c>
      <c r="F2651" s="1397" t="s">
        <v>1579</v>
      </c>
      <c r="G2651" s="1416">
        <v>0.25800000000000001</v>
      </c>
      <c r="H2651" s="1399">
        <f t="shared" ref="H2651:H2653" si="178">G2651*$H$2649</f>
        <v>5.4180000000000001E-3</v>
      </c>
      <c r="I2651" s="197"/>
      <c r="J2651" s="198"/>
      <c r="K2651" s="1307">
        <f t="shared" ref="K2651:K2653" si="179">H2651*$K$2647</f>
        <v>4.7916792000000001E-3</v>
      </c>
      <c r="L2651" s="1335">
        <f t="shared" si="177"/>
        <v>0</v>
      </c>
      <c r="M2651" s="1302">
        <v>92.54</v>
      </c>
      <c r="N2651" s="1718">
        <f>G2651*M2651</f>
        <v>23.875320000000002</v>
      </c>
      <c r="O2651" s="1290">
        <f>H2651*M2651</f>
        <v>0.50138172000000003</v>
      </c>
      <c r="P2651" s="1332">
        <f>M2651*K2651</f>
        <v>0.44342199316800002</v>
      </c>
      <c r="Q2651" s="3391"/>
      <c r="R2651" s="2337"/>
      <c r="S2651" s="17"/>
      <c r="T2651" s="17"/>
      <c r="U2651" s="16"/>
      <c r="V2651" s="16"/>
    </row>
    <row r="2652" spans="1:22">
      <c r="A2652" s="16"/>
      <c r="B2652" s="1042"/>
      <c r="C2652" s="1320"/>
      <c r="D2652" s="1400" t="s">
        <v>1576</v>
      </c>
      <c r="E2652" s="1856" t="s">
        <v>1517</v>
      </c>
      <c r="F2652" s="1397" t="s">
        <v>1580</v>
      </c>
      <c r="G2652" s="1416">
        <v>1.1020000000000001</v>
      </c>
      <c r="H2652" s="1399">
        <f t="shared" si="178"/>
        <v>2.3142000000000003E-2</v>
      </c>
      <c r="I2652" s="197"/>
      <c r="J2652" s="198"/>
      <c r="K2652" s="1307">
        <f t="shared" si="179"/>
        <v>2.0466784800000002E-2</v>
      </c>
      <c r="L2652" s="1335">
        <f t="shared" si="177"/>
        <v>0</v>
      </c>
      <c r="M2652" s="1302">
        <v>6.53</v>
      </c>
      <c r="N2652" s="1718">
        <f>G2652*M2652</f>
        <v>7.196060000000001</v>
      </c>
      <c r="O2652" s="1290">
        <f>H2652*M2652</f>
        <v>0.15111726000000003</v>
      </c>
      <c r="P2652" s="1332">
        <f>M2652*K2652</f>
        <v>0.13364810474400002</v>
      </c>
      <c r="Q2652" s="3391"/>
      <c r="R2652" s="2337"/>
      <c r="S2652" s="105"/>
      <c r="T2652" s="105"/>
      <c r="U2652" s="16"/>
      <c r="V2652" s="16"/>
    </row>
    <row r="2653" spans="1:22">
      <c r="A2653" s="16"/>
      <c r="B2653" s="1042"/>
      <c r="C2653" s="1320"/>
      <c r="D2653" s="1404" t="s">
        <v>1067</v>
      </c>
      <c r="E2653" s="1857" t="s">
        <v>1508</v>
      </c>
      <c r="F2653" s="1406" t="s">
        <v>1512</v>
      </c>
      <c r="G2653" s="1407">
        <v>1.03</v>
      </c>
      <c r="H2653" s="1408">
        <f t="shared" si="178"/>
        <v>2.1630000000000003E-2</v>
      </c>
      <c r="I2653" s="197"/>
      <c r="J2653" s="198"/>
      <c r="K2653" s="1307">
        <f t="shared" si="179"/>
        <v>1.9129572000000001E-2</v>
      </c>
      <c r="L2653" s="1335">
        <f t="shared" si="177"/>
        <v>0</v>
      </c>
      <c r="M2653" s="1302">
        <v>18.28</v>
      </c>
      <c r="N2653" s="1718">
        <f>G2653*M2653</f>
        <v>18.828400000000002</v>
      </c>
      <c r="O2653" s="1290">
        <f>H2653*M2653</f>
        <v>0.39539640000000009</v>
      </c>
      <c r="P2653" s="1332">
        <f>M2653*K2653</f>
        <v>0.34968857616000004</v>
      </c>
      <c r="Q2653" s="3391"/>
      <c r="R2653" s="2337"/>
      <c r="S2653" s="16"/>
      <c r="T2653" s="16"/>
      <c r="U2653" s="16"/>
      <c r="V2653" s="16"/>
    </row>
    <row r="2654" spans="1:22">
      <c r="A2654" s="16"/>
      <c r="B2654" s="1042"/>
      <c r="C2654" s="88"/>
      <c r="D2654" s="1400"/>
      <c r="E2654" s="1856"/>
      <c r="F2654" s="1397"/>
      <c r="G2654" s="1416"/>
      <c r="H2654" s="1399"/>
      <c r="I2654" s="197"/>
      <c r="J2654" s="198"/>
      <c r="K2654" s="1307"/>
      <c r="L2654" s="1335"/>
      <c r="M2654" s="1302"/>
      <c r="N2654" s="1718"/>
      <c r="O2654" s="1290"/>
      <c r="P2654" s="1332"/>
      <c r="Q2654" s="3391"/>
      <c r="R2654" s="2337"/>
      <c r="S2654" s="16"/>
      <c r="T2654" s="16"/>
      <c r="U2654" s="16"/>
      <c r="V2654" s="16"/>
    </row>
    <row r="2655" spans="1:22">
      <c r="A2655" s="16"/>
      <c r="B2655" s="1042"/>
      <c r="C2655" s="88"/>
      <c r="D2655" s="1400"/>
      <c r="E2655" s="1856"/>
      <c r="F2655" s="1397"/>
      <c r="G2655" s="1416"/>
      <c r="H2655" s="1399"/>
      <c r="I2655" s="197"/>
      <c r="J2655" s="198"/>
      <c r="K2655" s="1307" t="str">
        <f>IF(COUNT(#REF!)=0,"",IF(#REF!="","",(#REF!*#REF!)))</f>
        <v/>
      </c>
      <c r="L2655" s="1335"/>
      <c r="M2655" s="1302"/>
      <c r="N2655" s="1718"/>
      <c r="O2655" s="1290"/>
      <c r="P2655" s="1332"/>
      <c r="Q2655" s="3391"/>
      <c r="R2655" s="2337"/>
      <c r="S2655" s="16"/>
      <c r="T2655" s="16"/>
      <c r="U2655" s="16"/>
      <c r="V2655" s="16"/>
    </row>
    <row r="2656" spans="1:22">
      <c r="A2656" s="16"/>
      <c r="B2656" s="1042"/>
      <c r="C2656" s="88"/>
      <c r="D2656" s="1359"/>
      <c r="E2656" s="1858"/>
      <c r="F2656" s="1360" t="s">
        <v>2</v>
      </c>
      <c r="G2656" s="1360"/>
      <c r="H2656" s="1362"/>
      <c r="I2656" s="1380"/>
      <c r="J2656" s="1381"/>
      <c r="K2656" s="1359" t="str">
        <f>IF(COUNT(#REF!)=0,"",IF(#REF!="","",(#REF!*#REF!)))</f>
        <v/>
      </c>
      <c r="L2656" s="1458"/>
      <c r="M2656" s="1362"/>
      <c r="N2656" s="1362"/>
      <c r="O2656" s="1362"/>
      <c r="P2656" s="1458"/>
      <c r="Q2656" s="3387"/>
      <c r="R2656" s="2337"/>
      <c r="S2656" s="16"/>
      <c r="T2656" s="16"/>
      <c r="U2656" s="16"/>
      <c r="V2656" s="16"/>
    </row>
    <row r="2657" spans="1:22">
      <c r="A2657" s="16"/>
      <c r="B2657" s="1042"/>
      <c r="C2657" s="1652" t="s">
        <v>1755</v>
      </c>
      <c r="D2657" s="1461"/>
      <c r="E2657" s="2163" t="s">
        <v>1508</v>
      </c>
      <c r="F2657" s="1648" t="s">
        <v>1524</v>
      </c>
      <c r="G2657" s="1353"/>
      <c r="H2657" s="1456">
        <v>0.25</v>
      </c>
      <c r="I2657" s="1444"/>
      <c r="J2657" s="1388"/>
      <c r="K2657" s="1445"/>
      <c r="L2657" s="1457"/>
      <c r="M2657" s="1447"/>
      <c r="N2657" s="1447">
        <f>SUM(N2658:N2659)</f>
        <v>37.510000000000005</v>
      </c>
      <c r="O2657" s="1447">
        <f>SUM(O2658:O2659)</f>
        <v>9.3775000000000013</v>
      </c>
      <c r="P2657" s="1447">
        <f>SUM(P2658:P2659)</f>
        <v>8.2934610000000006</v>
      </c>
      <c r="Q2657" s="3391"/>
      <c r="R2657" s="2337"/>
      <c r="S2657" s="16"/>
      <c r="T2657" s="16"/>
      <c r="U2657" s="16"/>
      <c r="V2657" s="16"/>
    </row>
    <row r="2658" spans="1:22">
      <c r="A2658" s="16"/>
      <c r="B2658" s="1042"/>
      <c r="C2658" s="88"/>
      <c r="D2658" s="1430" t="s">
        <v>1067</v>
      </c>
      <c r="E2658" s="1857" t="s">
        <v>1508</v>
      </c>
      <c r="F2658" s="1403" t="s">
        <v>5</v>
      </c>
      <c r="G2658" s="1431">
        <v>1</v>
      </c>
      <c r="H2658" s="1408">
        <f>G2658*$H$2657</f>
        <v>0.25</v>
      </c>
      <c r="I2658" s="1286"/>
      <c r="J2658" s="198"/>
      <c r="K2658" s="1307">
        <f t="shared" ref="K2658:K2659" si="180">H2658*$K$2647</f>
        <v>0.22109999999999999</v>
      </c>
      <c r="L2658" s="1335">
        <f t="shared" ref="L2658:L2659" si="181">K2658*$K$2352</f>
        <v>0</v>
      </c>
      <c r="M2658" s="1302">
        <v>18.28</v>
      </c>
      <c r="N2658" s="1718">
        <f>G2658*M2658</f>
        <v>18.28</v>
      </c>
      <c r="O2658" s="1290">
        <f>H2658*M2658</f>
        <v>4.57</v>
      </c>
      <c r="P2658" s="1332">
        <f>M2658*K2658</f>
        <v>4.0417079999999999</v>
      </c>
      <c r="Q2658" s="3391"/>
      <c r="R2658" s="2337"/>
      <c r="S2658" s="16"/>
      <c r="T2658" s="16"/>
      <c r="U2658" s="16"/>
      <c r="V2658" s="16"/>
    </row>
    <row r="2659" spans="1:22">
      <c r="A2659" s="16"/>
      <c r="B2659" s="1042"/>
      <c r="C2659" s="88"/>
      <c r="D2659" s="1430" t="s">
        <v>1077</v>
      </c>
      <c r="E2659" s="1857" t="s">
        <v>1508</v>
      </c>
      <c r="F2659" s="1403" t="s">
        <v>37</v>
      </c>
      <c r="G2659" s="1431">
        <v>1</v>
      </c>
      <c r="H2659" s="1408">
        <f>G2659*$H$2657</f>
        <v>0.25</v>
      </c>
      <c r="I2659" s="197"/>
      <c r="J2659" s="198"/>
      <c r="K2659" s="1307">
        <f t="shared" si="180"/>
        <v>0.22109999999999999</v>
      </c>
      <c r="L2659" s="1335">
        <f t="shared" si="181"/>
        <v>0</v>
      </c>
      <c r="M2659" s="1302">
        <v>19.23</v>
      </c>
      <c r="N2659" s="1718">
        <f>G2659*M2659</f>
        <v>19.23</v>
      </c>
      <c r="O2659" s="1290">
        <f>H2659*M2659</f>
        <v>4.8075000000000001</v>
      </c>
      <c r="P2659" s="1332">
        <f>M2659*K2659</f>
        <v>4.2517529999999999</v>
      </c>
      <c r="Q2659" s="3391"/>
      <c r="R2659" s="2337"/>
      <c r="S2659" s="16"/>
      <c r="T2659" s="16"/>
      <c r="U2659" s="16"/>
      <c r="V2659" s="16"/>
    </row>
    <row r="2660" spans="1:22">
      <c r="A2660" s="16"/>
      <c r="B2660" s="1042"/>
      <c r="C2660" s="88"/>
      <c r="D2660" s="1373"/>
      <c r="E2660" s="2123"/>
      <c r="F2660" s="1374" t="s">
        <v>3</v>
      </c>
      <c r="G2660" s="1374"/>
      <c r="H2660" s="1376"/>
      <c r="I2660" s="1382"/>
      <c r="J2660" s="1383"/>
      <c r="K2660" s="1373"/>
      <c r="L2660" s="1413"/>
      <c r="M2660" s="1376"/>
      <c r="N2660" s="1376"/>
      <c r="O2660" s="1376"/>
      <c r="P2660" s="1413"/>
      <c r="Q2660" s="3387"/>
      <c r="R2660" s="2337"/>
      <c r="S2660" s="16"/>
      <c r="T2660" s="16"/>
      <c r="U2660" s="16"/>
      <c r="V2660" s="16"/>
    </row>
    <row r="2661" spans="1:22">
      <c r="A2661" s="16"/>
      <c r="B2661" s="1042"/>
      <c r="C2661" s="88"/>
      <c r="D2661" s="1440" t="s">
        <v>1686</v>
      </c>
      <c r="E2661" s="2132" t="s">
        <v>1508</v>
      </c>
      <c r="F2661" s="1441" t="s">
        <v>1900</v>
      </c>
      <c r="G2661" s="1939">
        <v>0.35</v>
      </c>
      <c r="H2661" s="1442"/>
      <c r="I2661" s="197"/>
      <c r="J2661" s="198"/>
      <c r="K2661" s="1307">
        <f>G2661*$K$2647</f>
        <v>0.30953999999999998</v>
      </c>
      <c r="L2661" s="1335"/>
      <c r="M2661" s="1499">
        <v>7.5</v>
      </c>
      <c r="N2661" s="1701"/>
      <c r="O2661" s="1290">
        <f>(G2661*M2661)</f>
        <v>2.625</v>
      </c>
      <c r="P2661" s="1739">
        <f>M2661*K2661</f>
        <v>2.3215499999999998</v>
      </c>
      <c r="Q2661" s="3391"/>
      <c r="R2661" s="2337"/>
      <c r="S2661" s="16"/>
      <c r="T2661" s="16"/>
      <c r="U2661" s="16"/>
      <c r="V2661" s="16"/>
    </row>
    <row r="2662" spans="1:22">
      <c r="A2662" s="16"/>
      <c r="B2662" s="1042"/>
      <c r="C2662" s="88"/>
      <c r="D2662" s="1440"/>
      <c r="E2662" s="2132"/>
      <c r="F2662" s="1441"/>
      <c r="G2662" s="1441"/>
      <c r="H2662" s="1442"/>
      <c r="I2662" s="197"/>
      <c r="J2662" s="198"/>
      <c r="K2662" s="1307"/>
      <c r="L2662" s="1335"/>
      <c r="M2662" s="1499"/>
      <c r="N2662" s="1701"/>
      <c r="O2662" s="1290"/>
      <c r="P2662" s="1332"/>
      <c r="Q2662" s="3391"/>
      <c r="R2662" s="2337"/>
      <c r="S2662" s="16"/>
      <c r="T2662" s="16"/>
      <c r="U2662" s="16"/>
      <c r="V2662" s="16"/>
    </row>
    <row r="2663" spans="1:22">
      <c r="A2663" s="16"/>
      <c r="B2663" s="223"/>
      <c r="C2663" s="581"/>
      <c r="D2663" s="1440"/>
      <c r="E2663" s="2132"/>
      <c r="F2663" s="1441"/>
      <c r="G2663" s="1441"/>
      <c r="H2663" s="1442"/>
      <c r="I2663" s="197" t="str">
        <f t="shared" ref="I2663" ca="1" si="182">IF(COUNT(H2663:O2663)=0,"",(SUM(H2663:O2663)/COUNT(H2663:O2663)))</f>
        <v/>
      </c>
      <c r="J2663" s="198"/>
      <c r="K2663" s="1307"/>
      <c r="L2663" s="1335"/>
      <c r="M2663" s="1499"/>
      <c r="N2663" s="1701"/>
      <c r="O2663" s="1290"/>
      <c r="P2663" s="1332"/>
      <c r="Q2663" s="3391"/>
      <c r="R2663" s="2337"/>
      <c r="S2663" s="16"/>
      <c r="T2663" s="16"/>
      <c r="U2663" s="16"/>
      <c r="V2663" s="16"/>
    </row>
    <row r="2664" spans="1:22">
      <c r="A2664" s="19" t="s">
        <v>3764</v>
      </c>
      <c r="B2664" s="4325" t="s">
        <v>1901</v>
      </c>
      <c r="C2664" s="3350"/>
      <c r="D2664" s="4327"/>
      <c r="E2664" s="4329" t="s">
        <v>1507</v>
      </c>
      <c r="F2664" s="4338" t="s">
        <v>1902</v>
      </c>
      <c r="G2664" s="4331" t="s">
        <v>1568</v>
      </c>
      <c r="H2664" s="4331" t="s">
        <v>1574</v>
      </c>
      <c r="I2664" s="1572" t="s">
        <v>1559</v>
      </c>
      <c r="J2664" s="1294" t="s">
        <v>1560</v>
      </c>
      <c r="K2664" s="1294" t="s">
        <v>1561</v>
      </c>
      <c r="L2664" s="4333" t="s">
        <v>3765</v>
      </c>
      <c r="M2664" s="4335" t="s">
        <v>1571</v>
      </c>
      <c r="N2664" s="4323" t="s">
        <v>1776</v>
      </c>
      <c r="O2664" s="3347" t="s">
        <v>1563</v>
      </c>
      <c r="P2664" s="1336" t="s">
        <v>1562</v>
      </c>
      <c r="Q2664" s="3389"/>
      <c r="R2664" s="1699" t="s">
        <v>1327</v>
      </c>
      <c r="S2664" s="16"/>
      <c r="T2664" s="16"/>
      <c r="U2664" s="16"/>
      <c r="V2664" s="16"/>
    </row>
    <row r="2665" spans="1:22">
      <c r="A2665" s="1807" t="s">
        <v>1887</v>
      </c>
      <c r="B2665" s="4326"/>
      <c r="C2665" s="3351"/>
      <c r="D2665" s="4328"/>
      <c r="E2665" s="4330"/>
      <c r="F2665" s="4338"/>
      <c r="G2665" s="4332"/>
      <c r="H2665" s="4332"/>
      <c r="I2665" s="1345">
        <v>442.2</v>
      </c>
      <c r="J2665" s="1307">
        <v>2E-3</v>
      </c>
      <c r="K2665" s="1307">
        <f>I2665*J2665</f>
        <v>0.88439999999999996</v>
      </c>
      <c r="L2665" s="4334"/>
      <c r="M2665" s="4335"/>
      <c r="N2665" s="4324"/>
      <c r="O2665" s="1298">
        <f>O2667+O2671+O2676</f>
        <v>6.0439999999999996</v>
      </c>
      <c r="P2665" s="1337">
        <f>O2665*K2665</f>
        <v>5.345313599999999</v>
      </c>
      <c r="Q2665" s="3390"/>
      <c r="R2665" s="1721">
        <f>P2667+P2671+P2676</f>
        <v>5.3453136000000008</v>
      </c>
      <c r="S2665" s="16"/>
      <c r="T2665" s="16"/>
      <c r="U2665" s="16"/>
      <c r="V2665" s="16"/>
    </row>
    <row r="2666" spans="1:22">
      <c r="A2666" s="16"/>
      <c r="B2666" s="18"/>
      <c r="C2666" s="1320"/>
      <c r="D2666" s="1756"/>
      <c r="E2666" s="2121"/>
      <c r="F2666" s="1368" t="s">
        <v>1</v>
      </c>
      <c r="G2666" s="1368"/>
      <c r="H2666" s="1369"/>
      <c r="I2666" s="1409"/>
      <c r="J2666" s="1391"/>
      <c r="K2666" s="1367"/>
      <c r="L2666" s="1554"/>
      <c r="M2666" s="1369"/>
      <c r="N2666" s="1369"/>
      <c r="O2666" s="1369"/>
      <c r="P2666" s="1367"/>
      <c r="Q2666" s="3387"/>
      <c r="R2666" s="2337"/>
      <c r="S2666" s="16"/>
      <c r="T2666" s="16"/>
      <c r="U2666" s="16"/>
      <c r="V2666" s="16"/>
    </row>
    <row r="2667" spans="1:22">
      <c r="A2667" s="16"/>
      <c r="B2667" s="553"/>
      <c r="C2667" s="1320"/>
      <c r="D2667" s="1756" t="s">
        <v>1903</v>
      </c>
      <c r="E2667" s="1850" t="s">
        <v>1787</v>
      </c>
      <c r="F2667" s="1770" t="s">
        <v>1904</v>
      </c>
      <c r="G2667" s="1771">
        <v>1.1000000000000001</v>
      </c>
      <c r="H2667" s="1771"/>
      <c r="I2667" s="1286"/>
      <c r="J2667" s="198"/>
      <c r="K2667" s="1350">
        <f>G2667*$K$2665</f>
        <v>0.97284000000000004</v>
      </c>
      <c r="L2667" s="1335">
        <f>K2667*$K$2352</f>
        <v>0</v>
      </c>
      <c r="M2667" s="1302">
        <v>1.1299999999999999</v>
      </c>
      <c r="N2667" s="1700"/>
      <c r="O2667" s="1290">
        <f>G2667*M2667</f>
        <v>1.2429999999999999</v>
      </c>
      <c r="P2667" s="1739">
        <f>M2667*K2667</f>
        <v>1.0993092</v>
      </c>
      <c r="Q2667" s="3391"/>
      <c r="R2667" s="2343"/>
      <c r="S2667" s="16"/>
      <c r="T2667" s="16"/>
      <c r="U2667" s="16"/>
      <c r="V2667" s="16"/>
    </row>
    <row r="2668" spans="1:22">
      <c r="A2668" s="16"/>
      <c r="B2668" s="1042"/>
      <c r="C2668" s="88"/>
      <c r="D2668" s="1756"/>
      <c r="E2668" s="1852"/>
      <c r="F2668" s="1752"/>
      <c r="G2668" s="1399"/>
      <c r="H2668" s="1399"/>
      <c r="I2668" s="197"/>
      <c r="J2668" s="198"/>
      <c r="K2668" s="1307"/>
      <c r="L2668" s="1335"/>
      <c r="M2668" s="1499"/>
      <c r="N2668" s="1718"/>
      <c r="O2668" s="1719"/>
      <c r="P2668" s="1720"/>
      <c r="Q2668" s="3396"/>
      <c r="R2668" s="2337"/>
      <c r="S2668" s="631"/>
      <c r="T2668" s="631"/>
      <c r="U2668" s="16"/>
      <c r="V2668" s="16"/>
    </row>
    <row r="2669" spans="1:22">
      <c r="A2669" s="16"/>
      <c r="B2669" s="1042"/>
      <c r="C2669" s="88"/>
      <c r="D2669" s="1756"/>
      <c r="E2669" s="1852"/>
      <c r="F2669" s="1752"/>
      <c r="G2669" s="1399"/>
      <c r="H2669" s="1399"/>
      <c r="I2669" s="197"/>
      <c r="J2669" s="198"/>
      <c r="K2669" s="1307" t="str">
        <f>IF(COUNT(#REF!)=0,"",IF(#REF!="","",(#REF!*#REF!)))</f>
        <v/>
      </c>
      <c r="L2669" s="1335"/>
      <c r="M2669" s="1499"/>
      <c r="N2669" s="1718"/>
      <c r="O2669" s="1719"/>
      <c r="P2669" s="1720"/>
      <c r="Q2669" s="3396"/>
      <c r="R2669" s="2337"/>
      <c r="S2669" s="16"/>
      <c r="T2669" s="16"/>
      <c r="U2669" s="16"/>
      <c r="V2669" s="16"/>
    </row>
    <row r="2670" spans="1:22" s="22" customFormat="1">
      <c r="A2670" s="16"/>
      <c r="B2670" s="1042"/>
      <c r="C2670" s="88"/>
      <c r="D2670" s="1359"/>
      <c r="E2670" s="1858"/>
      <c r="F2670" s="1360" t="s">
        <v>2</v>
      </c>
      <c r="G2670" s="1360"/>
      <c r="H2670" s="1362"/>
      <c r="I2670" s="1380"/>
      <c r="J2670" s="1381"/>
      <c r="K2670" s="1359" t="str">
        <f>IF(COUNT(#REF!)=0,"",IF(#REF!="","",(#REF!*#REF!)))</f>
        <v/>
      </c>
      <c r="L2670" s="1458"/>
      <c r="M2670" s="1362"/>
      <c r="N2670" s="1362"/>
      <c r="O2670" s="1362"/>
      <c r="P2670" s="1458"/>
      <c r="Q2670" s="3387"/>
      <c r="R2670" s="2337"/>
      <c r="S2670" s="16"/>
      <c r="T2670" s="16"/>
      <c r="U2670" s="16"/>
      <c r="V2670" s="16"/>
    </row>
    <row r="2671" spans="1:22">
      <c r="A2671" s="16"/>
      <c r="B2671" s="1042"/>
      <c r="C2671" s="1652" t="s">
        <v>1755</v>
      </c>
      <c r="D2671" s="1461"/>
      <c r="E2671" s="2163" t="s">
        <v>1508</v>
      </c>
      <c r="F2671" s="1648" t="s">
        <v>1524</v>
      </c>
      <c r="G2671" s="1353"/>
      <c r="H2671" s="1456">
        <v>0.1</v>
      </c>
      <c r="I2671" s="1444"/>
      <c r="J2671" s="1388"/>
      <c r="K2671" s="1445"/>
      <c r="L2671" s="1457"/>
      <c r="M2671" s="1447"/>
      <c r="N2671" s="1447">
        <f>SUM(N2672:N2673)</f>
        <v>37.510000000000005</v>
      </c>
      <c r="O2671" s="1447">
        <f>SUM(O2672:O2673)</f>
        <v>3.7510000000000003</v>
      </c>
      <c r="P2671" s="1447">
        <f>SUM(P2672:P2673)</f>
        <v>3.3173844000000003</v>
      </c>
      <c r="Q2671" s="3391"/>
      <c r="R2671" s="2337"/>
      <c r="S2671" s="16"/>
      <c r="T2671" s="16"/>
      <c r="U2671" s="16"/>
      <c r="V2671" s="16"/>
    </row>
    <row r="2672" spans="1:22">
      <c r="A2672" s="16"/>
      <c r="B2672" s="1042"/>
      <c r="C2672" s="88"/>
      <c r="D2672" s="1430" t="s">
        <v>1067</v>
      </c>
      <c r="E2672" s="1857" t="s">
        <v>1508</v>
      </c>
      <c r="F2672" s="1403" t="s">
        <v>5</v>
      </c>
      <c r="G2672" s="1431">
        <v>1</v>
      </c>
      <c r="H2672" s="1408">
        <f>G2672*$H$2671</f>
        <v>0.1</v>
      </c>
      <c r="I2672" s="1286"/>
      <c r="J2672" s="198"/>
      <c r="K2672" s="1307">
        <f>H2672*$K$2665</f>
        <v>8.8440000000000005E-2</v>
      </c>
      <c r="L2672" s="1335">
        <f t="shared" ref="L2672:L2673" si="183">K2672*$K$2352</f>
        <v>0</v>
      </c>
      <c r="M2672" s="1302">
        <v>18.28</v>
      </c>
      <c r="N2672" s="1718">
        <f>G2672*M2672</f>
        <v>18.28</v>
      </c>
      <c r="O2672" s="1290">
        <f>H2672*M2672</f>
        <v>1.8280000000000003</v>
      </c>
      <c r="P2672" s="1332">
        <f>M2672*K2672</f>
        <v>1.6166832000000002</v>
      </c>
      <c r="Q2672" s="3391"/>
      <c r="R2672" s="2337"/>
      <c r="S2672" s="17"/>
      <c r="T2672" s="17"/>
      <c r="U2672" s="16"/>
      <c r="V2672" s="16"/>
    </row>
    <row r="2673" spans="1:22">
      <c r="A2673" s="16"/>
      <c r="B2673" s="1042"/>
      <c r="C2673" s="88"/>
      <c r="D2673" s="1430" t="s">
        <v>1077</v>
      </c>
      <c r="E2673" s="1857" t="s">
        <v>1508</v>
      </c>
      <c r="F2673" s="1394" t="s">
        <v>37</v>
      </c>
      <c r="G2673" s="1431">
        <v>1</v>
      </c>
      <c r="H2673" s="1408">
        <f>G2673*$H$2671</f>
        <v>0.1</v>
      </c>
      <c r="I2673" s="197"/>
      <c r="J2673" s="198"/>
      <c r="K2673" s="1307">
        <f>H2673*$K$2665</f>
        <v>8.8440000000000005E-2</v>
      </c>
      <c r="L2673" s="1335">
        <f t="shared" si="183"/>
        <v>0</v>
      </c>
      <c r="M2673" s="1302">
        <v>19.23</v>
      </c>
      <c r="N2673" s="1718">
        <f>G2673*M2673</f>
        <v>19.23</v>
      </c>
      <c r="O2673" s="1290">
        <f>H2673*M2673</f>
        <v>1.923</v>
      </c>
      <c r="P2673" s="1332">
        <f>M2673*K2673</f>
        <v>1.7007012000000001</v>
      </c>
      <c r="Q2673" s="3391"/>
      <c r="R2673" s="2337"/>
      <c r="S2673" s="105"/>
      <c r="T2673" s="105"/>
      <c r="U2673" s="16"/>
      <c r="V2673" s="16"/>
    </row>
    <row r="2674" spans="1:22">
      <c r="A2674" s="16"/>
      <c r="B2674" s="1042"/>
      <c r="C2674" s="88"/>
      <c r="D2674" s="1430"/>
      <c r="E2674" s="1857"/>
      <c r="F2674" s="1430"/>
      <c r="G2674" s="1943"/>
      <c r="H2674" s="1408"/>
      <c r="I2674" s="197"/>
      <c r="J2674" s="198"/>
      <c r="K2674" s="1307"/>
      <c r="L2674" s="1335"/>
      <c r="M2674" s="1302"/>
      <c r="N2674" s="1718"/>
      <c r="O2674" s="1290"/>
      <c r="P2674" s="1332"/>
      <c r="Q2674" s="3391"/>
      <c r="R2674" s="2337"/>
      <c r="S2674" s="105"/>
      <c r="T2674" s="105"/>
      <c r="U2674" s="16"/>
      <c r="V2674" s="16"/>
    </row>
    <row r="2675" spans="1:22">
      <c r="A2675" s="16"/>
      <c r="B2675" s="1042"/>
      <c r="C2675" s="88"/>
      <c r="D2675" s="1373"/>
      <c r="E2675" s="2123"/>
      <c r="F2675" s="1374" t="s">
        <v>3</v>
      </c>
      <c r="G2675" s="1374"/>
      <c r="H2675" s="1376"/>
      <c r="I2675" s="1382"/>
      <c r="J2675" s="1383"/>
      <c r="K2675" s="1373"/>
      <c r="L2675" s="1413"/>
      <c r="M2675" s="1376"/>
      <c r="N2675" s="1376"/>
      <c r="O2675" s="1376"/>
      <c r="P2675" s="1413"/>
      <c r="Q2675" s="3387"/>
      <c r="R2675" s="2337"/>
      <c r="S2675" s="16"/>
      <c r="T2675" s="16"/>
      <c r="U2675" s="16"/>
      <c r="V2675" s="16"/>
    </row>
    <row r="2676" spans="1:22">
      <c r="A2676" s="16"/>
      <c r="B2676" s="1042"/>
      <c r="C2676" s="88"/>
      <c r="D2676" s="1440" t="s">
        <v>1686</v>
      </c>
      <c r="E2676" s="2132" t="s">
        <v>1508</v>
      </c>
      <c r="F2676" s="1441" t="s">
        <v>1900</v>
      </c>
      <c r="G2676" s="1939">
        <v>0.14000000000000001</v>
      </c>
      <c r="H2676" s="1442"/>
      <c r="I2676" s="197"/>
      <c r="J2676" s="198"/>
      <c r="K2676" s="1307">
        <f>G2676*$K$2665</f>
        <v>0.12381600000000001</v>
      </c>
      <c r="L2676" s="1335"/>
      <c r="M2676" s="1499">
        <v>7.5</v>
      </c>
      <c r="N2676" s="1701"/>
      <c r="O2676" s="1290">
        <f>(G2676*M2676)</f>
        <v>1.05</v>
      </c>
      <c r="P2676" s="1739">
        <f>M2676*K2676</f>
        <v>0.92862000000000011</v>
      </c>
      <c r="Q2676" s="3391"/>
      <c r="R2676" s="2337"/>
      <c r="S2676" s="16"/>
      <c r="T2676" s="16"/>
      <c r="U2676" s="16"/>
      <c r="V2676" s="16"/>
    </row>
    <row r="2677" spans="1:22">
      <c r="A2677" s="16"/>
      <c r="B2677" s="1042"/>
      <c r="C2677" s="88"/>
      <c r="D2677" s="1440"/>
      <c r="E2677" s="2132"/>
      <c r="F2677" s="1441"/>
      <c r="G2677" s="1441"/>
      <c r="H2677" s="1442"/>
      <c r="I2677" s="197"/>
      <c r="J2677" s="198"/>
      <c r="K2677" s="1307"/>
      <c r="L2677" s="1335"/>
      <c r="M2677" s="1499"/>
      <c r="N2677" s="1701"/>
      <c r="O2677" s="1290"/>
      <c r="P2677" s="1332"/>
      <c r="Q2677" s="3391"/>
      <c r="R2677" s="2337"/>
      <c r="S2677" s="16"/>
      <c r="T2677" s="16"/>
      <c r="U2677" s="16"/>
      <c r="V2677" s="16"/>
    </row>
    <row r="2678" spans="1:22">
      <c r="A2678" s="16"/>
      <c r="B2678" s="223"/>
      <c r="C2678" s="581"/>
      <c r="D2678" s="1440"/>
      <c r="E2678" s="2132"/>
      <c r="F2678" s="1441"/>
      <c r="G2678" s="1441"/>
      <c r="H2678" s="1442"/>
      <c r="I2678" s="197"/>
      <c r="J2678" s="198"/>
      <c r="K2678" s="1307"/>
      <c r="L2678" s="1335"/>
      <c r="M2678" s="1499"/>
      <c r="N2678" s="1701"/>
      <c r="O2678" s="1290"/>
      <c r="P2678" s="1332"/>
      <c r="Q2678" s="3391"/>
      <c r="R2678" s="2337"/>
      <c r="S2678" s="16"/>
      <c r="T2678" s="16"/>
      <c r="U2678" s="16"/>
      <c r="V2678" s="16"/>
    </row>
    <row r="2679" spans="1:22">
      <c r="A2679" s="19" t="s">
        <v>3764</v>
      </c>
      <c r="B2679" s="4325" t="s">
        <v>1905</v>
      </c>
      <c r="C2679" s="3350"/>
      <c r="D2679" s="4327"/>
      <c r="E2679" s="4329" t="s">
        <v>1507</v>
      </c>
      <c r="F2679" s="4338" t="s">
        <v>1906</v>
      </c>
      <c r="G2679" s="4331" t="s">
        <v>1568</v>
      </c>
      <c r="H2679" s="4331" t="s">
        <v>1574</v>
      </c>
      <c r="I2679" s="1572" t="s">
        <v>1559</v>
      </c>
      <c r="J2679" s="1294" t="s">
        <v>1560</v>
      </c>
      <c r="K2679" s="1294" t="s">
        <v>1561</v>
      </c>
      <c r="L2679" s="4333" t="s">
        <v>3765</v>
      </c>
      <c r="M2679" s="4335" t="s">
        <v>1571</v>
      </c>
      <c r="N2679" s="4323" t="s">
        <v>1776</v>
      </c>
      <c r="O2679" s="3347" t="s">
        <v>1563</v>
      </c>
      <c r="P2679" s="1336" t="s">
        <v>1562</v>
      </c>
      <c r="Q2679" s="3389"/>
      <c r="R2679" s="1699" t="s">
        <v>1327</v>
      </c>
      <c r="S2679" s="16"/>
      <c r="T2679" s="16"/>
      <c r="U2679" s="16"/>
      <c r="V2679" s="16"/>
    </row>
    <row r="2680" spans="1:22">
      <c r="A2680" s="1807" t="s">
        <v>1887</v>
      </c>
      <c r="B2680" s="4326"/>
      <c r="C2680" s="3354"/>
      <c r="D2680" s="4328"/>
      <c r="E2680" s="4330"/>
      <c r="F2680" s="4338"/>
      <c r="G2680" s="4332"/>
      <c r="H2680" s="4332"/>
      <c r="I2680" s="1345">
        <v>442.2</v>
      </c>
      <c r="J2680" s="1307">
        <v>2E-3</v>
      </c>
      <c r="K2680" s="1307">
        <f>I2680*J2680</f>
        <v>0.88439999999999996</v>
      </c>
      <c r="L2680" s="4334"/>
      <c r="M2680" s="4335"/>
      <c r="N2680" s="4324"/>
      <c r="O2680" s="1298">
        <f>O2682+O2683+O2684+O2688+O2692</f>
        <v>32.071000000000005</v>
      </c>
      <c r="P2680" s="1337">
        <f>O2680*K2680</f>
        <v>28.363592400000002</v>
      </c>
      <c r="Q2680" s="3390"/>
      <c r="R2680" s="1721">
        <f>P2682+P2683+P2684+P2688+P2692</f>
        <v>28.363592400000002</v>
      </c>
      <c r="S2680" s="16"/>
      <c r="T2680" s="16"/>
      <c r="U2680" s="16"/>
      <c r="V2680" s="16"/>
    </row>
    <row r="2681" spans="1:22">
      <c r="A2681" s="16"/>
      <c r="B2681" s="1949"/>
      <c r="C2681" s="1327"/>
      <c r="D2681" s="1463"/>
      <c r="E2681" s="2121"/>
      <c r="F2681" s="1368" t="s">
        <v>1</v>
      </c>
      <c r="G2681" s="1368"/>
      <c r="H2681" s="1369"/>
      <c r="I2681" s="1409"/>
      <c r="J2681" s="1391"/>
      <c r="K2681" s="1367"/>
      <c r="L2681" s="1554"/>
      <c r="M2681" s="1369"/>
      <c r="N2681" s="1369"/>
      <c r="O2681" s="1369"/>
      <c r="P2681" s="1367"/>
      <c r="Q2681" s="3387"/>
      <c r="R2681" s="2337"/>
      <c r="S2681" s="16"/>
      <c r="T2681" s="16"/>
      <c r="U2681" s="16"/>
      <c r="V2681" s="16"/>
    </row>
    <row r="2682" spans="1:22">
      <c r="A2682" s="16"/>
      <c r="B2682" s="1320"/>
      <c r="C2682" s="1320"/>
      <c r="D2682" s="1598" t="s">
        <v>1907</v>
      </c>
      <c r="E2682" s="1852" t="s">
        <v>1357</v>
      </c>
      <c r="F2682" s="1752" t="s">
        <v>1908</v>
      </c>
      <c r="G2682" s="1941">
        <v>16</v>
      </c>
      <c r="H2682" s="1399"/>
      <c r="I2682" s="198"/>
      <c r="J2682" s="198"/>
      <c r="K2682" s="1307">
        <f>G2682*$K$2680</f>
        <v>14.150399999999999</v>
      </c>
      <c r="L2682" s="1335">
        <f t="shared" ref="L2682:L2684" si="184">K2682*$K$2352</f>
        <v>0</v>
      </c>
      <c r="M2682" s="1302">
        <v>0.41</v>
      </c>
      <c r="N2682" s="1718"/>
      <c r="O2682" s="1290">
        <f>(G2682*M2682)</f>
        <v>6.56</v>
      </c>
      <c r="P2682" s="1739">
        <f>M2682*K2682</f>
        <v>5.8016639999999997</v>
      </c>
      <c r="Q2682" s="3391"/>
      <c r="R2682" s="2337"/>
      <c r="S2682" s="16"/>
      <c r="T2682" s="16"/>
      <c r="U2682" s="16"/>
      <c r="V2682" s="16"/>
    </row>
    <row r="2683" spans="1:22">
      <c r="A2683" s="16"/>
      <c r="B2683" s="1320"/>
      <c r="C2683" s="1320"/>
      <c r="D2683" s="1598" t="s">
        <v>1909</v>
      </c>
      <c r="E2683" s="1852" t="s">
        <v>1357</v>
      </c>
      <c r="F2683" s="1598" t="s">
        <v>1910</v>
      </c>
      <c r="G2683" s="1941">
        <v>11</v>
      </c>
      <c r="H2683" s="1399"/>
      <c r="I2683" s="198"/>
      <c r="J2683" s="198"/>
      <c r="K2683" s="1307">
        <f>G2683*$K$2680</f>
        <v>9.7283999999999988</v>
      </c>
      <c r="L2683" s="1335">
        <f t="shared" si="184"/>
        <v>0</v>
      </c>
      <c r="M2683" s="1302">
        <v>0.4</v>
      </c>
      <c r="N2683" s="1718"/>
      <c r="O2683" s="1290">
        <f>(G2683*M2683)</f>
        <v>4.4000000000000004</v>
      </c>
      <c r="P2683" s="1739">
        <f>M2683*K2683</f>
        <v>3.8913599999999997</v>
      </c>
      <c r="Q2683" s="3391"/>
      <c r="R2683" s="2337"/>
      <c r="S2683" s="16"/>
      <c r="T2683" s="16"/>
      <c r="U2683" s="16"/>
      <c r="V2683" s="16"/>
    </row>
    <row r="2684" spans="1:22">
      <c r="A2684" s="16"/>
      <c r="B2684" s="1320"/>
      <c r="C2684" s="16"/>
      <c r="D2684" s="1752" t="s">
        <v>1082</v>
      </c>
      <c r="E2684" s="1852" t="s">
        <v>1504</v>
      </c>
      <c r="F2684" s="1752" t="s">
        <v>1541</v>
      </c>
      <c r="G2684" s="1941">
        <v>1</v>
      </c>
      <c r="H2684" s="1399"/>
      <c r="I2684" s="1341"/>
      <c r="J2684" s="8"/>
      <c r="K2684" s="1307">
        <f>G2684*$K$2680</f>
        <v>0.88439999999999996</v>
      </c>
      <c r="L2684" s="1335">
        <f t="shared" si="184"/>
        <v>0</v>
      </c>
      <c r="M2684" s="1302">
        <v>0.3</v>
      </c>
      <c r="N2684" s="1718"/>
      <c r="O2684" s="1290">
        <f>(G2684*M2684)</f>
        <v>0.3</v>
      </c>
      <c r="P2684" s="1739">
        <f>M2684*K2684</f>
        <v>0.26532</v>
      </c>
      <c r="Q2684" s="3391"/>
      <c r="R2684" s="2337"/>
      <c r="S2684" s="16"/>
      <c r="T2684" s="16"/>
      <c r="U2684" s="16"/>
      <c r="V2684" s="16"/>
    </row>
    <row r="2685" spans="1:22">
      <c r="A2685" s="16"/>
      <c r="B2685" s="1320"/>
      <c r="C2685" s="1320"/>
      <c r="D2685" s="1900"/>
      <c r="E2685" s="2130"/>
      <c r="F2685" s="1900"/>
      <c r="G2685" s="1901"/>
      <c r="H2685" s="1399"/>
      <c r="I2685" s="197"/>
      <c r="J2685" s="198"/>
      <c r="K2685" s="1307"/>
      <c r="L2685" s="1335"/>
      <c r="M2685" s="1499"/>
      <c r="N2685" s="1718"/>
      <c r="O2685" s="1719"/>
      <c r="P2685" s="1720"/>
      <c r="Q2685" s="3396"/>
      <c r="R2685" s="2337"/>
      <c r="S2685" s="16"/>
      <c r="T2685" s="16"/>
      <c r="U2685" s="16"/>
      <c r="V2685" s="16"/>
    </row>
    <row r="2686" spans="1:22">
      <c r="A2686" s="16"/>
      <c r="B2686" s="1320"/>
      <c r="C2686" s="595"/>
      <c r="D2686" s="1756"/>
      <c r="E2686" s="1852"/>
      <c r="F2686" s="1752"/>
      <c r="G2686" s="1399"/>
      <c r="H2686" s="1399"/>
      <c r="I2686" s="197"/>
      <c r="J2686" s="198"/>
      <c r="K2686" s="1307" t="str">
        <f>IF(COUNT(#REF!)=0,"",IF(#REF!="","",(#REF!*#REF!)))</f>
        <v/>
      </c>
      <c r="L2686" s="1335"/>
      <c r="M2686" s="1499"/>
      <c r="N2686" s="1718"/>
      <c r="O2686" s="1719"/>
      <c r="P2686" s="1720"/>
      <c r="Q2686" s="3396"/>
      <c r="R2686" s="2337"/>
      <c r="S2686" s="16"/>
      <c r="T2686" s="16"/>
      <c r="U2686" s="16"/>
      <c r="V2686" s="16"/>
    </row>
    <row r="2687" spans="1:22">
      <c r="A2687" s="16"/>
      <c r="B2687" s="1042"/>
      <c r="C2687" s="88"/>
      <c r="D2687" s="1443"/>
      <c r="E2687" s="1858"/>
      <c r="F2687" s="1360" t="s">
        <v>2</v>
      </c>
      <c r="G2687" s="1360"/>
      <c r="H2687" s="1362"/>
      <c r="I2687" s="1380"/>
      <c r="J2687" s="1381"/>
      <c r="K2687" s="1359" t="str">
        <f>IF(COUNT(#REF!)=0,"",IF(#REF!="","",(#REF!*#REF!)))</f>
        <v/>
      </c>
      <c r="L2687" s="1458"/>
      <c r="M2687" s="1362"/>
      <c r="N2687" s="1362"/>
      <c r="O2687" s="1362"/>
      <c r="P2687" s="1458"/>
      <c r="Q2687" s="3387"/>
      <c r="R2687" s="2337"/>
      <c r="S2687" s="16"/>
      <c r="T2687" s="16"/>
      <c r="U2687" s="16"/>
      <c r="V2687" s="16"/>
    </row>
    <row r="2688" spans="1:22">
      <c r="A2688" s="16"/>
      <c r="B2688" s="1042"/>
      <c r="C2688" s="88"/>
      <c r="D2688" s="1430" t="s">
        <v>1077</v>
      </c>
      <c r="E2688" s="1857" t="s">
        <v>1508</v>
      </c>
      <c r="F2688" s="1403" t="s">
        <v>37</v>
      </c>
      <c r="G2688" s="1431">
        <v>0.7</v>
      </c>
      <c r="H2688" s="1937"/>
      <c r="I2688" s="197"/>
      <c r="J2688" s="198"/>
      <c r="K2688" s="1307">
        <f>G2688*$K$2680</f>
        <v>0.61907999999999996</v>
      </c>
      <c r="L2688" s="1335">
        <f>K2688*$K$2352</f>
        <v>0</v>
      </c>
      <c r="M2688" s="1302">
        <v>19.23</v>
      </c>
      <c r="N2688" s="1718"/>
      <c r="O2688" s="1290">
        <f>(G2688*M2688)</f>
        <v>13.461</v>
      </c>
      <c r="P2688" s="1739">
        <f>M2688*K2688</f>
        <v>11.9049084</v>
      </c>
      <c r="Q2688" s="3391"/>
      <c r="R2688" s="2337"/>
      <c r="S2688" s="16"/>
      <c r="T2688" s="16"/>
      <c r="U2688" s="16"/>
      <c r="V2688" s="16"/>
    </row>
    <row r="2689" spans="1:22">
      <c r="A2689" s="16"/>
      <c r="B2689" s="1042"/>
      <c r="C2689" s="88"/>
      <c r="D2689" s="1430"/>
      <c r="E2689" s="1857"/>
      <c r="F2689" s="1403"/>
      <c r="G2689" s="1431"/>
      <c r="H2689" s="1937"/>
      <c r="I2689" s="197"/>
      <c r="J2689" s="198"/>
      <c r="K2689" s="1307"/>
      <c r="L2689" s="1335"/>
      <c r="M2689" s="1302"/>
      <c r="N2689" s="1718"/>
      <c r="O2689" s="1719"/>
      <c r="P2689" s="1720"/>
      <c r="Q2689" s="3396"/>
      <c r="R2689" s="2337"/>
      <c r="S2689" s="16"/>
      <c r="T2689" s="16"/>
      <c r="U2689" s="16"/>
      <c r="V2689" s="16"/>
    </row>
    <row r="2690" spans="1:22">
      <c r="A2690" s="16"/>
      <c r="B2690" s="1042"/>
      <c r="C2690" s="88"/>
      <c r="D2690" s="1430"/>
      <c r="E2690" s="1857"/>
      <c r="F2690" s="1766"/>
      <c r="G2690" s="1943"/>
      <c r="H2690" s="1937"/>
      <c r="I2690" s="197"/>
      <c r="J2690" s="198"/>
      <c r="K2690" s="1307"/>
      <c r="L2690" s="1335"/>
      <c r="M2690" s="1302"/>
      <c r="N2690" s="1718"/>
      <c r="O2690" s="1290"/>
      <c r="P2690" s="1332"/>
      <c r="Q2690" s="3391"/>
      <c r="R2690" s="2337"/>
      <c r="S2690" s="16"/>
      <c r="T2690" s="16"/>
      <c r="U2690" s="16"/>
      <c r="V2690" s="16"/>
    </row>
    <row r="2691" spans="1:22">
      <c r="A2691" s="16"/>
      <c r="B2691" s="1042"/>
      <c r="C2691" s="88"/>
      <c r="D2691" s="1373"/>
      <c r="E2691" s="2123"/>
      <c r="F2691" s="1374" t="s">
        <v>3</v>
      </c>
      <c r="G2691" s="1374"/>
      <c r="H2691" s="1376"/>
      <c r="I2691" s="1382"/>
      <c r="J2691" s="1383"/>
      <c r="K2691" s="1373"/>
      <c r="L2691" s="1413"/>
      <c r="M2691" s="1376"/>
      <c r="N2691" s="1376"/>
      <c r="O2691" s="1376"/>
      <c r="P2691" s="1413"/>
      <c r="Q2691" s="3387"/>
      <c r="R2691" s="2337"/>
      <c r="S2691" s="16"/>
      <c r="T2691" s="16"/>
      <c r="U2691" s="16"/>
      <c r="V2691" s="16"/>
    </row>
    <row r="2692" spans="1:22">
      <c r="A2692" s="16"/>
      <c r="B2692" s="1042"/>
      <c r="C2692" s="88"/>
      <c r="D2692" s="1373" t="s">
        <v>1686</v>
      </c>
      <c r="E2692" s="2123" t="s">
        <v>1687</v>
      </c>
      <c r="F2692" s="1373" t="s">
        <v>1688</v>
      </c>
      <c r="G2692" s="1670">
        <v>0.98</v>
      </c>
      <c r="H2692" s="1939"/>
      <c r="I2692" s="197"/>
      <c r="J2692" s="198"/>
      <c r="K2692" s="1307">
        <f>G2692*$K$2680</f>
        <v>0.86671199999999993</v>
      </c>
      <c r="L2692" s="1335">
        <f>K2692*$K$2352</f>
        <v>0</v>
      </c>
      <c r="M2692" s="1302">
        <v>7.5</v>
      </c>
      <c r="N2692" s="1718"/>
      <c r="O2692" s="1290">
        <f>G2692*M2692</f>
        <v>7.35</v>
      </c>
      <c r="P2692" s="1332">
        <f>M2692*K2692</f>
        <v>6.5003399999999996</v>
      </c>
      <c r="Q2692" s="3391"/>
      <c r="R2692" s="2337"/>
      <c r="S2692" s="16"/>
      <c r="T2692" s="16"/>
      <c r="U2692" s="16"/>
      <c r="V2692" s="16"/>
    </row>
    <row r="2693" spans="1:22">
      <c r="A2693" s="16"/>
      <c r="B2693" s="1042"/>
      <c r="C2693" s="88"/>
      <c r="D2693" s="1940"/>
      <c r="E2693" s="2177"/>
      <c r="F2693" s="1804"/>
      <c r="G2693" s="1804"/>
      <c r="H2693" s="1442"/>
      <c r="I2693" s="197"/>
      <c r="J2693" s="198"/>
      <c r="K2693" s="1307"/>
      <c r="L2693" s="1335"/>
      <c r="M2693" s="1499"/>
      <c r="N2693" s="1701"/>
      <c r="O2693" s="1290"/>
      <c r="P2693" s="1332"/>
      <c r="Q2693" s="3391"/>
      <c r="R2693" s="2337"/>
      <c r="S2693" s="16"/>
      <c r="T2693" s="16"/>
      <c r="U2693" s="16"/>
      <c r="V2693" s="16"/>
    </row>
    <row r="2694" spans="1:22">
      <c r="A2694" s="16"/>
      <c r="B2694" s="223"/>
      <c r="C2694" s="581"/>
      <c r="D2694" s="1440"/>
      <c r="E2694" s="2132"/>
      <c r="F2694" s="1441"/>
      <c r="G2694" s="1441"/>
      <c r="H2694" s="1442"/>
      <c r="I2694" s="197"/>
      <c r="J2694" s="198"/>
      <c r="K2694" s="1307"/>
      <c r="L2694" s="1335"/>
      <c r="M2694" s="1499"/>
      <c r="N2694" s="1701"/>
      <c r="O2694" s="1290"/>
      <c r="P2694" s="1332"/>
      <c r="Q2694" s="3391"/>
      <c r="R2694" s="2337"/>
      <c r="S2694" s="17"/>
      <c r="T2694" s="17"/>
      <c r="U2694" s="16"/>
      <c r="V2694" s="16"/>
    </row>
    <row r="2695" spans="1:22">
      <c r="A2695" s="19" t="s">
        <v>3764</v>
      </c>
      <c r="B2695" s="4325" t="s">
        <v>1659</v>
      </c>
      <c r="C2695" s="3350"/>
      <c r="D2695" s="4327"/>
      <c r="E2695" s="4329" t="s">
        <v>1507</v>
      </c>
      <c r="F2695" s="4338" t="s">
        <v>1685</v>
      </c>
      <c r="G2695" s="4331" t="s">
        <v>1568</v>
      </c>
      <c r="H2695" s="4331" t="s">
        <v>1574</v>
      </c>
      <c r="I2695" s="1572" t="s">
        <v>1559</v>
      </c>
      <c r="J2695" s="1294" t="s">
        <v>1560</v>
      </c>
      <c r="K2695" s="1294" t="s">
        <v>1561</v>
      </c>
      <c r="L2695" s="4333" t="s">
        <v>3765</v>
      </c>
      <c r="M2695" s="4335" t="s">
        <v>1571</v>
      </c>
      <c r="N2695" s="4323" t="s">
        <v>1776</v>
      </c>
      <c r="O2695" s="3347" t="s">
        <v>1563</v>
      </c>
      <c r="P2695" s="1336" t="s">
        <v>1562</v>
      </c>
      <c r="Q2695" s="3389"/>
      <c r="R2695" s="1699" t="s">
        <v>1327</v>
      </c>
      <c r="S2695" s="16"/>
      <c r="T2695" s="17"/>
      <c r="U2695" s="16"/>
      <c r="V2695" s="16"/>
    </row>
    <row r="2696" spans="1:22">
      <c r="A2696" s="1807" t="s">
        <v>1887</v>
      </c>
      <c r="B2696" s="4326"/>
      <c r="C2696" s="3351"/>
      <c r="D2696" s="4328"/>
      <c r="E2696" s="4330"/>
      <c r="F2696" s="4338"/>
      <c r="G2696" s="4332"/>
      <c r="H2696" s="4332"/>
      <c r="I2696" s="1345">
        <v>64.8</v>
      </c>
      <c r="J2696" s="1307">
        <v>2E-3</v>
      </c>
      <c r="K2696" s="1307">
        <f>I2696*J2696</f>
        <v>0.12959999999999999</v>
      </c>
      <c r="L2696" s="4334"/>
      <c r="M2696" s="4335"/>
      <c r="N2696" s="4324"/>
      <c r="O2696" s="1298">
        <f>O2698+O2706</f>
        <v>13.241683030000001</v>
      </c>
      <c r="P2696" s="1337">
        <f>O2696*K2696</f>
        <v>1.716122120688</v>
      </c>
      <c r="Q2696" s="3390"/>
      <c r="R2696" s="1721">
        <f>P2698+P2706</f>
        <v>1.716122120688</v>
      </c>
      <c r="S2696" s="16"/>
      <c r="T2696" s="17"/>
      <c r="U2696" s="16"/>
      <c r="V2696" s="16"/>
    </row>
    <row r="2697" spans="1:22">
      <c r="A2697" s="16"/>
      <c r="B2697" s="18"/>
      <c r="D2697" s="1449"/>
      <c r="E2697" s="2121"/>
      <c r="F2697" s="1368" t="s">
        <v>1</v>
      </c>
      <c r="G2697" s="1368"/>
      <c r="H2697" s="1369"/>
      <c r="I2697" s="1409"/>
      <c r="J2697" s="1391"/>
      <c r="K2697" s="1367"/>
      <c r="L2697" s="1554"/>
      <c r="M2697" s="1369"/>
      <c r="N2697" s="1369"/>
      <c r="O2697" s="1369"/>
      <c r="P2697" s="1367"/>
      <c r="Q2697" s="3387"/>
      <c r="R2697" s="2337"/>
      <c r="S2697" s="16"/>
      <c r="T2697" s="17"/>
      <c r="U2697" s="16"/>
      <c r="V2697" s="16"/>
    </row>
    <row r="2698" spans="1:22">
      <c r="A2698" s="16"/>
      <c r="B2698" s="1042"/>
      <c r="C2698" s="1356" t="s">
        <v>1127</v>
      </c>
      <c r="D2698" s="1311"/>
      <c r="E2698" s="2137" t="s">
        <v>1517</v>
      </c>
      <c r="F2698" s="1319" t="s">
        <v>1519</v>
      </c>
      <c r="G2698" s="1353"/>
      <c r="H2698" s="1456">
        <v>2.1000000000000001E-2</v>
      </c>
      <c r="I2698" s="1444"/>
      <c r="J2698" s="1388"/>
      <c r="K2698" s="1445"/>
      <c r="L2698" s="1457"/>
      <c r="M2698" s="1447"/>
      <c r="N2698" s="1447">
        <f>SUM(N2699:N2702)</f>
        <v>50.044430000000006</v>
      </c>
      <c r="O2698" s="1447">
        <f>SUM(O2699:O2702)</f>
        <v>1.0509330300000002</v>
      </c>
      <c r="P2698" s="1446">
        <f>SUM(P2699:P2702)</f>
        <v>0.13620092068800002</v>
      </c>
      <c r="Q2698" s="3391"/>
      <c r="R2698" s="2337"/>
      <c r="S2698" s="16"/>
      <c r="T2698" s="17"/>
      <c r="U2698" s="16"/>
      <c r="V2698" s="16"/>
    </row>
    <row r="2699" spans="1:22">
      <c r="A2699" s="16"/>
      <c r="B2699" s="1042"/>
      <c r="C2699" s="1327"/>
      <c r="D2699" s="1400" t="s">
        <v>1069</v>
      </c>
      <c r="E2699" s="1856" t="s">
        <v>1517</v>
      </c>
      <c r="F2699" s="1397" t="s">
        <v>1578</v>
      </c>
      <c r="G2699" s="1416">
        <v>0.26300000000000001</v>
      </c>
      <c r="H2699" s="1399">
        <f>G2699*$H$2698</f>
        <v>5.523000000000001E-3</v>
      </c>
      <c r="I2699" s="197"/>
      <c r="J2699" s="198"/>
      <c r="K2699" s="1307">
        <f>H2699*$K$2696</f>
        <v>7.1578080000000012E-4</v>
      </c>
      <c r="L2699" s="1335">
        <f t="shared" ref="L2699:L2702" si="185">K2699*$K$2352</f>
        <v>0</v>
      </c>
      <c r="M2699" s="1302">
        <v>0.55000000000000004</v>
      </c>
      <c r="N2699" s="1718">
        <f>G2699*M2699</f>
        <v>0.14465000000000003</v>
      </c>
      <c r="O2699" s="1290">
        <f>H2699*M2699</f>
        <v>3.0376500000000007E-3</v>
      </c>
      <c r="P2699" s="1332">
        <f>M2699*K2699</f>
        <v>3.9367944000000011E-4</v>
      </c>
      <c r="Q2699" s="3391"/>
      <c r="R2699" s="2337"/>
      <c r="S2699" s="16"/>
      <c r="T2699" s="17"/>
      <c r="U2699" s="16"/>
      <c r="V2699" s="16"/>
    </row>
    <row r="2700" spans="1:22">
      <c r="A2700" s="16"/>
      <c r="B2700" s="1042"/>
      <c r="C2700" s="1320"/>
      <c r="D2700" s="1400" t="s">
        <v>1394</v>
      </c>
      <c r="E2700" s="1856" t="s">
        <v>1577</v>
      </c>
      <c r="F2700" s="1397" t="s">
        <v>1579</v>
      </c>
      <c r="G2700" s="1416">
        <v>0.25800000000000001</v>
      </c>
      <c r="H2700" s="1399">
        <f t="shared" ref="H2700:H2702" si="186">G2700*$H$2698</f>
        <v>5.4180000000000001E-3</v>
      </c>
      <c r="I2700" s="197"/>
      <c r="J2700" s="198"/>
      <c r="K2700" s="1307">
        <f t="shared" ref="K2700:K2702" si="187">H2700*$K$2696</f>
        <v>7.0217279999999999E-4</v>
      </c>
      <c r="L2700" s="1335">
        <f t="shared" si="185"/>
        <v>0</v>
      </c>
      <c r="M2700" s="1302">
        <v>92.54</v>
      </c>
      <c r="N2700" s="1718">
        <f>G2700*M2700</f>
        <v>23.875320000000002</v>
      </c>
      <c r="O2700" s="1290">
        <f>H2700*M2700</f>
        <v>0.50138172000000003</v>
      </c>
      <c r="P2700" s="1332">
        <f>M2700*K2700</f>
        <v>6.4979070912000003E-2</v>
      </c>
      <c r="Q2700" s="3391"/>
      <c r="R2700" s="2337"/>
      <c r="S2700" s="16"/>
      <c r="T2700" s="17"/>
      <c r="U2700" s="16"/>
      <c r="V2700" s="16"/>
    </row>
    <row r="2701" spans="1:22">
      <c r="A2701" s="16"/>
      <c r="B2701" s="1042"/>
      <c r="C2701" s="1320"/>
      <c r="D2701" s="1400" t="s">
        <v>1576</v>
      </c>
      <c r="E2701" s="1856" t="s">
        <v>1517</v>
      </c>
      <c r="F2701" s="1397" t="s">
        <v>1580</v>
      </c>
      <c r="G2701" s="1416">
        <v>1.1020000000000001</v>
      </c>
      <c r="H2701" s="1399">
        <f t="shared" si="186"/>
        <v>2.3142000000000003E-2</v>
      </c>
      <c r="I2701" s="197"/>
      <c r="J2701" s="198"/>
      <c r="K2701" s="1307">
        <f t="shared" si="187"/>
        <v>2.9992032000000003E-3</v>
      </c>
      <c r="L2701" s="1335">
        <f t="shared" si="185"/>
        <v>0</v>
      </c>
      <c r="M2701" s="1302">
        <v>6.53</v>
      </c>
      <c r="N2701" s="1718">
        <f>G2701*M2701</f>
        <v>7.196060000000001</v>
      </c>
      <c r="O2701" s="1290">
        <f>H2701*M2701</f>
        <v>0.15111726000000003</v>
      </c>
      <c r="P2701" s="1332">
        <f>M2701*K2701</f>
        <v>1.9584796896000001E-2</v>
      </c>
      <c r="Q2701" s="3391"/>
      <c r="R2701" s="2337"/>
      <c r="S2701" s="16"/>
      <c r="T2701" s="17"/>
      <c r="U2701" s="16"/>
      <c r="V2701" s="16"/>
    </row>
    <row r="2702" spans="1:22">
      <c r="A2702" s="16"/>
      <c r="B2702" s="1042"/>
      <c r="C2702" s="1320"/>
      <c r="D2702" s="1404" t="s">
        <v>1067</v>
      </c>
      <c r="E2702" s="1857" t="s">
        <v>1508</v>
      </c>
      <c r="F2702" s="1406" t="s">
        <v>1512</v>
      </c>
      <c r="G2702" s="1407">
        <v>1.03</v>
      </c>
      <c r="H2702" s="1408">
        <f t="shared" si="186"/>
        <v>2.1630000000000003E-2</v>
      </c>
      <c r="I2702" s="197"/>
      <c r="J2702" s="198"/>
      <c r="K2702" s="1307">
        <f t="shared" si="187"/>
        <v>2.8032480000000004E-3</v>
      </c>
      <c r="L2702" s="1335">
        <f t="shared" si="185"/>
        <v>0</v>
      </c>
      <c r="M2702" s="1302">
        <v>18.28</v>
      </c>
      <c r="N2702" s="1718">
        <f>G2702*M2702</f>
        <v>18.828400000000002</v>
      </c>
      <c r="O2702" s="1290">
        <f>H2702*M2702</f>
        <v>0.39539640000000009</v>
      </c>
      <c r="P2702" s="1332">
        <f>M2702*K2702</f>
        <v>5.124337344000001E-2</v>
      </c>
      <c r="Q2702" s="3391"/>
      <c r="R2702" s="2337"/>
      <c r="S2702" s="16"/>
      <c r="T2702" s="17"/>
      <c r="U2702" s="16"/>
      <c r="V2702" s="16"/>
    </row>
    <row r="2703" spans="1:22">
      <c r="A2703" s="16"/>
      <c r="B2703" s="1042"/>
      <c r="C2703" s="88"/>
      <c r="D2703" s="1400"/>
      <c r="E2703" s="1856"/>
      <c r="F2703" s="1397"/>
      <c r="G2703" s="1416"/>
      <c r="H2703" s="1399"/>
      <c r="I2703" s="197"/>
      <c r="J2703" s="198"/>
      <c r="K2703" s="1307"/>
      <c r="L2703" s="1335"/>
      <c r="M2703" s="1302"/>
      <c r="N2703" s="1718"/>
      <c r="O2703" s="1290"/>
      <c r="P2703" s="1332"/>
      <c r="Q2703" s="3391"/>
      <c r="R2703" s="2337"/>
      <c r="S2703" s="16"/>
      <c r="T2703" s="17"/>
      <c r="U2703" s="16"/>
      <c r="V2703" s="16"/>
    </row>
    <row r="2704" spans="1:22">
      <c r="A2704" s="16"/>
      <c r="B2704" s="1042"/>
      <c r="C2704" s="88"/>
      <c r="D2704" s="1400"/>
      <c r="E2704" s="1856"/>
      <c r="F2704" s="1397"/>
      <c r="G2704" s="1416"/>
      <c r="H2704" s="1399"/>
      <c r="I2704" s="197"/>
      <c r="J2704" s="198"/>
      <c r="K2704" s="1307" t="str">
        <f>IF(COUNT(#REF!)=0,"",IF(#REF!="","",(#REF!*#REF!)))</f>
        <v/>
      </c>
      <c r="L2704" s="1335"/>
      <c r="M2704" s="1302"/>
      <c r="N2704" s="1718"/>
      <c r="O2704" s="1290"/>
      <c r="P2704" s="1332"/>
      <c r="Q2704" s="3391"/>
      <c r="R2704" s="2337"/>
      <c r="S2704" s="16"/>
      <c r="T2704" s="17"/>
      <c r="U2704" s="16"/>
      <c r="V2704" s="16"/>
    </row>
    <row r="2705" spans="1:22">
      <c r="A2705" s="16"/>
      <c r="B2705" s="1042"/>
      <c r="C2705" s="88"/>
      <c r="D2705" s="1359"/>
      <c r="E2705" s="1858"/>
      <c r="F2705" s="1360" t="s">
        <v>2</v>
      </c>
      <c r="G2705" s="1360"/>
      <c r="H2705" s="1362"/>
      <c r="I2705" s="1380"/>
      <c r="J2705" s="1381"/>
      <c r="K2705" s="1359" t="str">
        <f>IF(COUNT(#REF!)=0,"",IF(#REF!="","",(#REF!*#REF!)))</f>
        <v/>
      </c>
      <c r="L2705" s="1458"/>
      <c r="M2705" s="1362"/>
      <c r="N2705" s="1362"/>
      <c r="O2705" s="1362"/>
      <c r="P2705" s="1458"/>
      <c r="Q2705" s="3387"/>
      <c r="R2705" s="2337"/>
      <c r="S2705" s="16"/>
      <c r="T2705" s="17"/>
      <c r="U2705" s="16"/>
      <c r="V2705" s="16"/>
    </row>
    <row r="2706" spans="1:22">
      <c r="A2706" s="16"/>
      <c r="B2706" s="1042"/>
      <c r="C2706" s="1652" t="s">
        <v>1755</v>
      </c>
      <c r="D2706" s="1461"/>
      <c r="E2706" s="2163" t="s">
        <v>1508</v>
      </c>
      <c r="F2706" s="1648" t="s">
        <v>1524</v>
      </c>
      <c r="G2706" s="1353"/>
      <c r="H2706" s="1456">
        <v>0.32500000000000001</v>
      </c>
      <c r="I2706" s="1444"/>
      <c r="J2706" s="1388"/>
      <c r="K2706" s="1445"/>
      <c r="L2706" s="1457"/>
      <c r="M2706" s="1447"/>
      <c r="N2706" s="1447">
        <f>SUM(N2707:N2708)</f>
        <v>37.510000000000005</v>
      </c>
      <c r="O2706" s="1447">
        <f>SUM(O2707:O2708)</f>
        <v>12.190750000000001</v>
      </c>
      <c r="P2706" s="1447">
        <f>SUM(P2707:P2708)</f>
        <v>1.5799212</v>
      </c>
      <c r="Q2706" s="3391"/>
      <c r="R2706" s="2337"/>
      <c r="S2706" s="16"/>
      <c r="T2706" s="17"/>
      <c r="U2706" s="16"/>
      <c r="V2706" s="16"/>
    </row>
    <row r="2707" spans="1:22">
      <c r="A2707" s="16"/>
      <c r="B2707" s="1042"/>
      <c r="C2707" s="88"/>
      <c r="D2707" s="1430" t="s">
        <v>1067</v>
      </c>
      <c r="E2707" s="1857" t="s">
        <v>1508</v>
      </c>
      <c r="F2707" s="1403" t="s">
        <v>5</v>
      </c>
      <c r="G2707" s="1431">
        <v>1</v>
      </c>
      <c r="H2707" s="1408">
        <f>G2707*$H$2706</f>
        <v>0.32500000000000001</v>
      </c>
      <c r="I2707" s="1286"/>
      <c r="J2707" s="198"/>
      <c r="K2707" s="1307">
        <f t="shared" ref="K2707:K2708" si="188">H2707*$K$2696</f>
        <v>4.2119999999999998E-2</v>
      </c>
      <c r="L2707" s="1335">
        <f t="shared" ref="L2707:L2708" si="189">K2707*$K$2352</f>
        <v>0</v>
      </c>
      <c r="M2707" s="1302">
        <v>18.28</v>
      </c>
      <c r="N2707" s="1718">
        <f>G2707*M2707</f>
        <v>18.28</v>
      </c>
      <c r="O2707" s="1290">
        <f>H2707*M2707</f>
        <v>5.9410000000000007</v>
      </c>
      <c r="P2707" s="1332">
        <f>M2707*K2707</f>
        <v>0.76995360000000002</v>
      </c>
      <c r="Q2707" s="3391"/>
      <c r="R2707" s="2337"/>
      <c r="S2707" s="16"/>
      <c r="T2707" s="17"/>
      <c r="U2707" s="16"/>
      <c r="V2707" s="16"/>
    </row>
    <row r="2708" spans="1:22">
      <c r="A2708" s="16"/>
      <c r="B2708" s="1042"/>
      <c r="C2708" s="88"/>
      <c r="D2708" s="1430" t="s">
        <v>1077</v>
      </c>
      <c r="E2708" s="1857" t="s">
        <v>1508</v>
      </c>
      <c r="F2708" s="1403" t="s">
        <v>37</v>
      </c>
      <c r="G2708" s="1431">
        <v>1</v>
      </c>
      <c r="H2708" s="1408">
        <f>G2708*$H$2706</f>
        <v>0.32500000000000001</v>
      </c>
      <c r="I2708" s="197"/>
      <c r="J2708" s="198"/>
      <c r="K2708" s="1307">
        <f t="shared" si="188"/>
        <v>4.2119999999999998E-2</v>
      </c>
      <c r="L2708" s="1335">
        <f t="shared" si="189"/>
        <v>0</v>
      </c>
      <c r="M2708" s="1302">
        <v>19.23</v>
      </c>
      <c r="N2708" s="1718">
        <f>G2708*M2708</f>
        <v>19.23</v>
      </c>
      <c r="O2708" s="1290">
        <f>H2708*M2708</f>
        <v>6.2497500000000006</v>
      </c>
      <c r="P2708" s="1332">
        <f>M2708*K2708</f>
        <v>0.80996760000000001</v>
      </c>
      <c r="Q2708" s="3391"/>
      <c r="R2708" s="2337"/>
      <c r="S2708" s="16"/>
      <c r="T2708" s="17"/>
      <c r="U2708" s="16"/>
      <c r="V2708" s="16"/>
    </row>
    <row r="2709" spans="1:22">
      <c r="A2709" s="16"/>
      <c r="B2709" s="1042"/>
      <c r="C2709" s="88"/>
      <c r="D2709" s="1373"/>
      <c r="E2709" s="2123"/>
      <c r="F2709" s="1374" t="s">
        <v>3</v>
      </c>
      <c r="G2709" s="1374"/>
      <c r="H2709" s="1376"/>
      <c r="I2709" s="1382"/>
      <c r="J2709" s="1383"/>
      <c r="K2709" s="1373"/>
      <c r="L2709" s="1413"/>
      <c r="M2709" s="1376"/>
      <c r="N2709" s="1376"/>
      <c r="O2709" s="1376"/>
      <c r="P2709" s="1413"/>
      <c r="Q2709" s="3387"/>
      <c r="R2709" s="2337"/>
      <c r="S2709" s="16"/>
      <c r="T2709" s="17"/>
      <c r="U2709" s="16"/>
      <c r="V2709" s="16"/>
    </row>
    <row r="2710" spans="1:22">
      <c r="A2710" s="16"/>
      <c r="B2710" s="1042"/>
      <c r="C2710" s="88"/>
      <c r="D2710" s="1440"/>
      <c r="E2710" s="2132"/>
      <c r="F2710" s="1441"/>
      <c r="G2710" s="1441"/>
      <c r="H2710" s="1442"/>
      <c r="I2710" s="197"/>
      <c r="J2710" s="198"/>
      <c r="K2710" s="1307"/>
      <c r="L2710" s="1335"/>
      <c r="M2710" s="1499"/>
      <c r="N2710" s="1701"/>
      <c r="O2710" s="1290"/>
      <c r="P2710" s="1332"/>
      <c r="Q2710" s="3391"/>
      <c r="R2710" s="2337"/>
      <c r="S2710" s="16"/>
      <c r="T2710" s="17"/>
      <c r="U2710" s="16"/>
      <c r="V2710" s="16"/>
    </row>
    <row r="2711" spans="1:22">
      <c r="A2711" s="16"/>
      <c r="B2711" s="1042"/>
      <c r="C2711" s="88"/>
      <c r="D2711" s="1440"/>
      <c r="E2711" s="2132"/>
      <c r="F2711" s="1441"/>
      <c r="G2711" s="1441"/>
      <c r="H2711" s="1442"/>
      <c r="I2711" s="197"/>
      <c r="J2711" s="198"/>
      <c r="K2711" s="1307"/>
      <c r="L2711" s="1335"/>
      <c r="M2711" s="1499"/>
      <c r="N2711" s="1701"/>
      <c r="O2711" s="1290"/>
      <c r="P2711" s="1332"/>
      <c r="Q2711" s="3391"/>
      <c r="R2711" s="2337"/>
      <c r="S2711" s="105"/>
      <c r="T2711" s="17"/>
      <c r="U2711" s="16"/>
      <c r="V2711" s="16"/>
    </row>
    <row r="2712" spans="1:22">
      <c r="A2712" s="16"/>
      <c r="B2712" s="223"/>
      <c r="C2712" s="581"/>
      <c r="D2712" s="1440"/>
      <c r="E2712" s="2132"/>
      <c r="F2712" s="1441"/>
      <c r="G2712" s="1441"/>
      <c r="H2712" s="1442"/>
      <c r="I2712" s="197"/>
      <c r="J2712" s="198"/>
      <c r="K2712" s="1307"/>
      <c r="L2712" s="1335"/>
      <c r="M2712" s="1499"/>
      <c r="N2712" s="1701"/>
      <c r="O2712" s="1290"/>
      <c r="P2712" s="1332"/>
      <c r="Q2712" s="3391"/>
      <c r="R2712" s="2337"/>
      <c r="S2712" s="16"/>
      <c r="T2712" s="17"/>
      <c r="U2712" s="16"/>
      <c r="V2712" s="16"/>
    </row>
    <row r="2713" spans="1:22">
      <c r="A2713" s="19" t="s">
        <v>3764</v>
      </c>
      <c r="B2713" s="4325" t="s">
        <v>1911</v>
      </c>
      <c r="C2713" s="3350"/>
      <c r="D2713" s="4327"/>
      <c r="E2713" s="4329" t="s">
        <v>1527</v>
      </c>
      <c r="F2713" s="4336" t="s">
        <v>1756</v>
      </c>
      <c r="G2713" s="4331" t="s">
        <v>1568</v>
      </c>
      <c r="H2713" s="4331" t="s">
        <v>1574</v>
      </c>
      <c r="I2713" s="1572" t="s">
        <v>1559</v>
      </c>
      <c r="J2713" s="1294" t="s">
        <v>1560</v>
      </c>
      <c r="K2713" s="1294" t="s">
        <v>1561</v>
      </c>
      <c r="L2713" s="4333" t="s">
        <v>3765</v>
      </c>
      <c r="M2713" s="4335" t="s">
        <v>1571</v>
      </c>
      <c r="N2713" s="4323" t="s">
        <v>1776</v>
      </c>
      <c r="O2713" s="3347" t="s">
        <v>1563</v>
      </c>
      <c r="P2713" s="1336" t="s">
        <v>1562</v>
      </c>
      <c r="Q2713" s="3389"/>
      <c r="R2713" s="1839" t="s">
        <v>1327</v>
      </c>
      <c r="S2713" s="16"/>
      <c r="T2713" s="16"/>
      <c r="U2713" s="16"/>
      <c r="V2713" s="16"/>
    </row>
    <row r="2714" spans="1:22">
      <c r="A2714" s="1807" t="s">
        <v>1887</v>
      </c>
      <c r="B2714" s="4326"/>
      <c r="C2714" s="3351"/>
      <c r="D2714" s="4328"/>
      <c r="E2714" s="4389"/>
      <c r="F2714" s="4336"/>
      <c r="G2714" s="4332"/>
      <c r="H2714" s="4332"/>
      <c r="I2714" s="1345">
        <v>102.8</v>
      </c>
      <c r="J2714" s="1307">
        <v>2E-3</v>
      </c>
      <c r="K2714" s="1307">
        <f>I2714*J2714</f>
        <v>0.2056</v>
      </c>
      <c r="L2714" s="4334"/>
      <c r="M2714" s="4335"/>
      <c r="N2714" s="4324"/>
      <c r="O2714" s="1298">
        <f>O2716+O2717+O2722+O2728+O2729</f>
        <v>3.3504364099999999</v>
      </c>
      <c r="P2714" s="1337">
        <f>O2714*K2714</f>
        <v>0.68884972589600002</v>
      </c>
      <c r="Q2714" s="3390"/>
      <c r="R2714" s="1840">
        <f>P2716+P2717+P2722+P2728+P2729</f>
        <v>0.68884972589600002</v>
      </c>
      <c r="S2714" s="16"/>
      <c r="T2714" s="16"/>
      <c r="U2714" s="16"/>
      <c r="V2714" s="16"/>
    </row>
    <row r="2715" spans="1:22">
      <c r="A2715" s="16"/>
      <c r="B2715" s="1327"/>
      <c r="C2715" s="1327"/>
      <c r="D2715" s="1400"/>
      <c r="E2715" s="2121"/>
      <c r="F2715" s="1368" t="s">
        <v>1</v>
      </c>
      <c r="G2715" s="1417"/>
      <c r="H2715" s="1390"/>
      <c r="I2715" s="1554"/>
      <c r="J2715" s="1367"/>
      <c r="K2715" s="1367"/>
      <c r="L2715" s="1554"/>
      <c r="M2715" s="1369"/>
      <c r="N2715" s="1369"/>
      <c r="O2715" s="1369"/>
      <c r="P2715" s="1367"/>
      <c r="Q2715" s="3387"/>
      <c r="R2715" s="2337"/>
      <c r="S2715" s="16"/>
      <c r="T2715" s="16"/>
      <c r="U2715" s="16"/>
      <c r="V2715" s="16"/>
    </row>
    <row r="2716" spans="1:22">
      <c r="A2716" s="16"/>
      <c r="B2716" s="1320"/>
      <c r="C2716" s="1042"/>
      <c r="D2716" s="1598" t="s">
        <v>1757</v>
      </c>
      <c r="E2716" s="1852" t="s">
        <v>1504</v>
      </c>
      <c r="F2716" s="1598" t="s">
        <v>1758</v>
      </c>
      <c r="G2716" s="1753">
        <v>5.3</v>
      </c>
      <c r="H2716" s="1453"/>
      <c r="I2716" s="197"/>
      <c r="J2716" s="198"/>
      <c r="K2716" s="1307">
        <f>G2716*$K$2714</f>
        <v>1.08968</v>
      </c>
      <c r="L2716" s="1335">
        <f>K2716*$K$2352</f>
        <v>0</v>
      </c>
      <c r="M2716" s="1499">
        <v>0.11</v>
      </c>
      <c r="N2716" s="1718"/>
      <c r="O2716" s="1719">
        <f>G2716*M2716</f>
        <v>0.58299999999999996</v>
      </c>
      <c r="P2716" s="1720">
        <f>M2716*K2716</f>
        <v>0.11986479999999999</v>
      </c>
      <c r="Q2716" s="3396"/>
      <c r="R2716" s="2337"/>
      <c r="S2716" s="16"/>
      <c r="T2716" s="16"/>
      <c r="U2716" s="16"/>
      <c r="V2716" s="16"/>
    </row>
    <row r="2717" spans="1:22">
      <c r="A2717" s="16"/>
      <c r="B2717" s="1042"/>
      <c r="C2717" s="1356" t="s">
        <v>1127</v>
      </c>
      <c r="D2717" s="1311"/>
      <c r="E2717" s="2137" t="s">
        <v>1517</v>
      </c>
      <c r="F2717" s="1319" t="s">
        <v>1519</v>
      </c>
      <c r="G2717" s="1353"/>
      <c r="H2717" s="1456">
        <v>2E-3</v>
      </c>
      <c r="I2717" s="1444"/>
      <c r="J2717" s="1388"/>
      <c r="K2717" s="1445"/>
      <c r="L2717" s="1457"/>
      <c r="M2717" s="1447"/>
      <c r="N2717" s="1447">
        <f>SUM(N2718:N2721)</f>
        <v>50.044430000000006</v>
      </c>
      <c r="O2717" s="1447">
        <f>SUM(O2718:O2721)</f>
        <v>0.10008886000000002</v>
      </c>
      <c r="P2717" s="1446">
        <f>SUM(P2718:P2721)</f>
        <v>2.0578269616000004E-2</v>
      </c>
      <c r="Q2717" s="3391"/>
      <c r="R2717" s="2337"/>
      <c r="S2717" s="16"/>
      <c r="T2717" s="17"/>
      <c r="U2717" s="16"/>
      <c r="V2717" s="16"/>
    </row>
    <row r="2718" spans="1:22">
      <c r="A2718" s="16"/>
      <c r="B2718" s="1042"/>
      <c r="C2718" s="1327"/>
      <c r="D2718" s="1400" t="s">
        <v>1069</v>
      </c>
      <c r="E2718" s="1856" t="s">
        <v>1517</v>
      </c>
      <c r="F2718" s="1397" t="s">
        <v>1578</v>
      </c>
      <c r="G2718" s="1416">
        <v>0.26300000000000001</v>
      </c>
      <c r="H2718" s="1399">
        <f>G2718*$H$2717</f>
        <v>5.2599999999999999E-4</v>
      </c>
      <c r="I2718" s="197"/>
      <c r="J2718" s="198"/>
      <c r="K2718" s="1732">
        <f>H2718*$K$2714</f>
        <v>1.081456E-4</v>
      </c>
      <c r="L2718" s="1335">
        <f t="shared" ref="L2718:L2721" si="190">K2718*$K$2352</f>
        <v>0</v>
      </c>
      <c r="M2718" s="1302">
        <v>0.55000000000000004</v>
      </c>
      <c r="N2718" s="1718">
        <f>G2718*M2718</f>
        <v>0.14465000000000003</v>
      </c>
      <c r="O2718" s="1290">
        <f>H2718*M2718</f>
        <v>2.8930000000000004E-4</v>
      </c>
      <c r="P2718" s="1332">
        <f>M2718*K2718</f>
        <v>5.9480080000000005E-5</v>
      </c>
      <c r="Q2718" s="3391"/>
      <c r="R2718" s="2337"/>
      <c r="S2718" s="16"/>
      <c r="T2718" s="17"/>
      <c r="U2718" s="16"/>
      <c r="V2718" s="16"/>
    </row>
    <row r="2719" spans="1:22">
      <c r="A2719" s="16"/>
      <c r="B2719" s="1042"/>
      <c r="C2719" s="1320"/>
      <c r="D2719" s="1400" t="s">
        <v>1394</v>
      </c>
      <c r="E2719" s="1856" t="s">
        <v>1577</v>
      </c>
      <c r="F2719" s="1397" t="s">
        <v>1579</v>
      </c>
      <c r="G2719" s="1416">
        <v>0.25800000000000001</v>
      </c>
      <c r="H2719" s="1399">
        <f t="shared" ref="H2719:H2721" si="191">G2719*$H$2717</f>
        <v>5.1600000000000007E-4</v>
      </c>
      <c r="I2719" s="197"/>
      <c r="J2719" s="198"/>
      <c r="K2719" s="1732">
        <f>H2719*$K$2714</f>
        <v>1.0608960000000002E-4</v>
      </c>
      <c r="L2719" s="1335">
        <f t="shared" si="190"/>
        <v>0</v>
      </c>
      <c r="M2719" s="1302">
        <v>92.54</v>
      </c>
      <c r="N2719" s="1718">
        <f>G2719*M2719</f>
        <v>23.875320000000002</v>
      </c>
      <c r="O2719" s="1290">
        <f>H2719*M2719</f>
        <v>4.7750640000000011E-2</v>
      </c>
      <c r="P2719" s="1332">
        <f>M2719*K2719</f>
        <v>9.817531584000002E-3</v>
      </c>
      <c r="Q2719" s="3391"/>
      <c r="R2719" s="2337"/>
      <c r="S2719" s="16"/>
      <c r="T2719" s="17"/>
      <c r="U2719" s="16"/>
      <c r="V2719" s="16"/>
    </row>
    <row r="2720" spans="1:22">
      <c r="A2720" s="16"/>
      <c r="B2720" s="1042"/>
      <c r="C2720" s="1320"/>
      <c r="D2720" s="1400" t="s">
        <v>1576</v>
      </c>
      <c r="E2720" s="1856" t="s">
        <v>1517</v>
      </c>
      <c r="F2720" s="1397" t="s">
        <v>1580</v>
      </c>
      <c r="G2720" s="1416">
        <v>1.1020000000000001</v>
      </c>
      <c r="H2720" s="1399">
        <f t="shared" si="191"/>
        <v>2.2040000000000002E-3</v>
      </c>
      <c r="I2720" s="197"/>
      <c r="J2720" s="198"/>
      <c r="K2720" s="1732">
        <f>H2720*$K$2714</f>
        <v>4.5314240000000005E-4</v>
      </c>
      <c r="L2720" s="1335">
        <f t="shared" si="190"/>
        <v>0</v>
      </c>
      <c r="M2720" s="1302">
        <v>6.53</v>
      </c>
      <c r="N2720" s="1718">
        <f>G2720*M2720</f>
        <v>7.196060000000001</v>
      </c>
      <c r="O2720" s="1290">
        <f>H2720*M2720</f>
        <v>1.4392120000000001E-2</v>
      </c>
      <c r="P2720" s="1332">
        <f>M2720*K2720</f>
        <v>2.9590198720000002E-3</v>
      </c>
      <c r="Q2720" s="3391"/>
      <c r="R2720" s="2337"/>
      <c r="S2720" s="16"/>
      <c r="T2720" s="17"/>
      <c r="U2720" s="16"/>
      <c r="V2720" s="16"/>
    </row>
    <row r="2721" spans="1:22">
      <c r="A2721" s="16"/>
      <c r="B2721" s="1042"/>
      <c r="C2721" s="1320"/>
      <c r="D2721" s="1404" t="s">
        <v>1067</v>
      </c>
      <c r="E2721" s="1857" t="s">
        <v>1508</v>
      </c>
      <c r="F2721" s="1406" t="s">
        <v>1512</v>
      </c>
      <c r="G2721" s="1407">
        <v>1.03</v>
      </c>
      <c r="H2721" s="1408">
        <f t="shared" si="191"/>
        <v>2.0600000000000002E-3</v>
      </c>
      <c r="I2721" s="197"/>
      <c r="J2721" s="198"/>
      <c r="K2721" s="1732">
        <f>H2721*$K$2714</f>
        <v>4.2353600000000007E-4</v>
      </c>
      <c r="L2721" s="1335">
        <f t="shared" si="190"/>
        <v>0</v>
      </c>
      <c r="M2721" s="1302">
        <v>18.28</v>
      </c>
      <c r="N2721" s="1718">
        <f>G2721*M2721</f>
        <v>18.828400000000002</v>
      </c>
      <c r="O2721" s="1290">
        <f>H2721*M2721</f>
        <v>3.7656800000000004E-2</v>
      </c>
      <c r="P2721" s="1332">
        <f>M2721*K2721</f>
        <v>7.7422380800000017E-3</v>
      </c>
      <c r="Q2721" s="3391"/>
      <c r="R2721" s="2337"/>
      <c r="S2721" s="16"/>
      <c r="T2721" s="17"/>
      <c r="U2721" s="16"/>
      <c r="V2721" s="16"/>
    </row>
    <row r="2722" spans="1:22">
      <c r="A2722" s="16"/>
      <c r="B2722" s="1320"/>
      <c r="C2722" s="1658" t="s">
        <v>1155</v>
      </c>
      <c r="D2722" s="1311"/>
      <c r="E2722" s="1855" t="s">
        <v>1517</v>
      </c>
      <c r="F2722" s="1647" t="s">
        <v>1544</v>
      </c>
      <c r="G2722" s="1830" t="s">
        <v>1551</v>
      </c>
      <c r="H2722" s="1830">
        <v>1E-3</v>
      </c>
      <c r="I2722" s="1444"/>
      <c r="J2722" s="1388"/>
      <c r="K2722" s="1953"/>
      <c r="L2722" s="1445"/>
      <c r="M2722" s="1447"/>
      <c r="N2722" s="1447">
        <f>SUM(N2723:N2725)</f>
        <v>114.04755</v>
      </c>
      <c r="O2722" s="1447">
        <f>SUM(O2723:O2725)</f>
        <v>0.11404755000000003</v>
      </c>
      <c r="P2722" s="1446">
        <f>SUM(P2723:P2725)</f>
        <v>2.3448176280000003E-2</v>
      </c>
      <c r="Q2722" s="3391"/>
      <c r="R2722" s="1296"/>
      <c r="S2722" s="16"/>
      <c r="T2722" s="16"/>
      <c r="U2722" s="16"/>
      <c r="V2722" s="16"/>
    </row>
    <row r="2723" spans="1:22">
      <c r="A2723" s="16"/>
      <c r="B2723" s="1320"/>
      <c r="C2723" s="1042"/>
      <c r="D2723" s="1451" t="s">
        <v>1069</v>
      </c>
      <c r="E2723" s="1856" t="s">
        <v>1517</v>
      </c>
      <c r="F2723" s="1421" t="s">
        <v>1578</v>
      </c>
      <c r="G2723" s="1452">
        <v>0.89100000000000001</v>
      </c>
      <c r="H2723" s="1453">
        <f>$H$2722*G2723</f>
        <v>8.9100000000000008E-4</v>
      </c>
      <c r="I2723" s="1286"/>
      <c r="J2723" s="198"/>
      <c r="K2723" s="1732">
        <f>H2723*$K$2714</f>
        <v>1.8318960000000001E-4</v>
      </c>
      <c r="L2723" s="1335">
        <f t="shared" ref="L2723:L2725" si="192">K2723*$K$2352</f>
        <v>0</v>
      </c>
      <c r="M2723" s="1717">
        <v>0.55000000000000004</v>
      </c>
      <c r="N2723" s="1718">
        <f>G2723*M2723</f>
        <v>0.49005000000000004</v>
      </c>
      <c r="O2723" s="1719">
        <f>H2723*M2723</f>
        <v>4.9005000000000012E-4</v>
      </c>
      <c r="P2723" s="1720">
        <f>M2723*K2723</f>
        <v>1.0075428000000001E-4</v>
      </c>
      <c r="Q2723" s="3396"/>
      <c r="R2723" s="1296"/>
      <c r="S2723" s="16"/>
      <c r="T2723" s="16"/>
      <c r="U2723" s="16"/>
      <c r="V2723" s="16"/>
    </row>
    <row r="2724" spans="1:22">
      <c r="A2724" s="16"/>
      <c r="B2724" s="1320"/>
      <c r="C2724" s="1042"/>
      <c r="D2724" s="1367" t="s">
        <v>1394</v>
      </c>
      <c r="E2724" s="1856" t="s">
        <v>1577</v>
      </c>
      <c r="F2724" s="1421" t="s">
        <v>1579</v>
      </c>
      <c r="G2724" s="1452">
        <v>0.51500000000000001</v>
      </c>
      <c r="H2724" s="1453">
        <f t="shared" ref="H2724:H2725" si="193">$H$2722*G2724</f>
        <v>5.1500000000000005E-4</v>
      </c>
      <c r="I2724" s="1286"/>
      <c r="J2724" s="198"/>
      <c r="K2724" s="1732">
        <f>H2724*$K$2714</f>
        <v>1.0588400000000002E-4</v>
      </c>
      <c r="L2724" s="1335">
        <f t="shared" si="192"/>
        <v>0</v>
      </c>
      <c r="M2724" s="1717">
        <v>92.54</v>
      </c>
      <c r="N2724" s="1718">
        <f>G2724*M2724</f>
        <v>47.658100000000005</v>
      </c>
      <c r="O2724" s="1719">
        <f>H2724*M2724</f>
        <v>4.7658100000000009E-2</v>
      </c>
      <c r="P2724" s="1720">
        <f>M2724*K2724</f>
        <v>9.7985053600000028E-3</v>
      </c>
      <c r="Q2724" s="3396"/>
      <c r="R2724" s="1296"/>
      <c r="S2724" s="16"/>
      <c r="T2724" s="16"/>
      <c r="U2724" s="16"/>
      <c r="V2724" s="16"/>
    </row>
    <row r="2725" spans="1:22">
      <c r="A2725" s="16"/>
      <c r="B2725" s="1320"/>
      <c r="C2725" s="1042"/>
      <c r="D2725" s="1359" t="s">
        <v>1067</v>
      </c>
      <c r="E2725" s="1857" t="s">
        <v>1508</v>
      </c>
      <c r="F2725" s="1430" t="s">
        <v>1512</v>
      </c>
      <c r="G2725" s="1431">
        <v>3.605</v>
      </c>
      <c r="H2725" s="1454">
        <f t="shared" si="193"/>
        <v>3.6050000000000001E-3</v>
      </c>
      <c r="I2725" s="1286"/>
      <c r="J2725" s="198"/>
      <c r="K2725" s="1307">
        <f>H2725*$K$2714</f>
        <v>7.4118800000000005E-4</v>
      </c>
      <c r="L2725" s="1335">
        <f t="shared" si="192"/>
        <v>0</v>
      </c>
      <c r="M2725" s="1717">
        <v>18.28</v>
      </c>
      <c r="N2725" s="1718">
        <f>G2725*M2725</f>
        <v>65.8994</v>
      </c>
      <c r="O2725" s="1719">
        <f>H2725*M2725</f>
        <v>6.5899400000000011E-2</v>
      </c>
      <c r="P2725" s="1720">
        <f>M2725*K2725</f>
        <v>1.3548916640000002E-2</v>
      </c>
      <c r="Q2725" s="3396"/>
      <c r="R2725" s="1296"/>
      <c r="S2725" s="16"/>
      <c r="T2725" s="16"/>
      <c r="U2725" s="16"/>
      <c r="V2725" s="16"/>
    </row>
    <row r="2726" spans="1:22">
      <c r="A2726" s="16"/>
      <c r="B2726" s="1320"/>
      <c r="C2726" s="1042"/>
      <c r="D2726" s="1400"/>
      <c r="E2726" s="1856"/>
      <c r="F2726" s="1397"/>
      <c r="G2726" s="1416"/>
      <c r="H2726" s="1399"/>
      <c r="I2726" s="1289"/>
      <c r="J2726" s="198"/>
      <c r="K2726" s="1307"/>
      <c r="L2726" s="1335"/>
      <c r="M2726" s="1499"/>
      <c r="N2726" s="1701"/>
      <c r="O2726" s="1290"/>
      <c r="P2726" s="1332"/>
      <c r="Q2726" s="3391"/>
      <c r="R2726" s="2337"/>
      <c r="S2726" s="16"/>
      <c r="T2726" s="16"/>
      <c r="U2726" s="16"/>
      <c r="V2726" s="16"/>
    </row>
    <row r="2727" spans="1:22">
      <c r="A2727" s="16"/>
      <c r="B2727" s="1320"/>
      <c r="C2727" s="1320"/>
      <c r="D2727" s="1410"/>
      <c r="E2727" s="1858"/>
      <c r="F2727" s="1360" t="s">
        <v>2</v>
      </c>
      <c r="G2727" s="1360"/>
      <c r="H2727" s="1362"/>
      <c r="I2727" s="1380"/>
      <c r="J2727" s="1381"/>
      <c r="K2727" s="1359"/>
      <c r="L2727" s="1458"/>
      <c r="M2727" s="1502"/>
      <c r="N2727" s="1502"/>
      <c r="O2727" s="1362"/>
      <c r="P2727" s="1359"/>
      <c r="Q2727" s="3387"/>
      <c r="R2727" s="2337"/>
      <c r="S2727" s="16"/>
      <c r="T2727" s="16"/>
      <c r="U2727" s="16"/>
      <c r="V2727" s="16"/>
    </row>
    <row r="2728" spans="1:22">
      <c r="A2728" s="16"/>
      <c r="B2728" s="1320"/>
      <c r="C2728" s="1042"/>
      <c r="D2728" s="1410" t="s">
        <v>1067</v>
      </c>
      <c r="E2728" s="1858" t="s">
        <v>1508</v>
      </c>
      <c r="F2728" s="1655" t="s">
        <v>1512</v>
      </c>
      <c r="G2728" s="1359">
        <v>4.4999999999999998E-2</v>
      </c>
      <c r="H2728" s="1359"/>
      <c r="I2728" s="12"/>
      <c r="J2728" s="6"/>
      <c r="K2728" s="1307">
        <f>G2728*$K$2714</f>
        <v>9.2519999999999998E-3</v>
      </c>
      <c r="L2728" s="1335">
        <f t="shared" ref="L2728:L2729" si="194">K2728*$K$2352</f>
        <v>0</v>
      </c>
      <c r="M2728" s="1302">
        <v>18.28</v>
      </c>
      <c r="N2728" s="1499"/>
      <c r="O2728" s="1291">
        <f>G2728*M2728</f>
        <v>0.8226</v>
      </c>
      <c r="P2728" s="1332">
        <f>M2728*K2728</f>
        <v>0.16912656000000001</v>
      </c>
      <c r="Q2728" s="3391"/>
      <c r="R2728" s="2337"/>
      <c r="S2728" s="16"/>
      <c r="T2728" s="16"/>
      <c r="U2728" s="16"/>
      <c r="V2728" s="16"/>
    </row>
    <row r="2729" spans="1:22">
      <c r="A2729" s="16"/>
      <c r="B2729" s="1320"/>
      <c r="C2729" s="1042"/>
      <c r="D2729" s="1410" t="s">
        <v>1134</v>
      </c>
      <c r="E2729" s="1858" t="s">
        <v>1508</v>
      </c>
      <c r="F2729" s="1655" t="s">
        <v>1547</v>
      </c>
      <c r="G2729" s="1405">
        <v>0.09</v>
      </c>
      <c r="H2729" s="1405"/>
      <c r="I2729" s="1826"/>
      <c r="J2729" s="6"/>
      <c r="K2729" s="1307">
        <f>G2729*$K$2714</f>
        <v>1.8504E-2</v>
      </c>
      <c r="L2729" s="1335">
        <f t="shared" si="194"/>
        <v>0</v>
      </c>
      <c r="M2729" s="1302">
        <v>19.23</v>
      </c>
      <c r="N2729" s="1701"/>
      <c r="O2729" s="1291">
        <f>G2729*M2729</f>
        <v>1.7306999999999999</v>
      </c>
      <c r="P2729" s="1332">
        <f>M2729*K2729</f>
        <v>0.35583192000000002</v>
      </c>
      <c r="Q2729" s="3391"/>
      <c r="R2729" s="2337"/>
      <c r="S2729" s="16"/>
      <c r="T2729" s="16"/>
      <c r="U2729" s="16"/>
      <c r="V2729" s="16"/>
    </row>
    <row r="2730" spans="1:22">
      <c r="A2730" s="16"/>
      <c r="B2730" s="1320"/>
      <c r="C2730" s="1042"/>
      <c r="D2730" s="1402"/>
      <c r="E2730" s="1857"/>
      <c r="F2730" s="1403"/>
      <c r="G2730" s="1362"/>
      <c r="H2730" s="1359"/>
      <c r="I2730" s="198"/>
      <c r="J2730" s="6"/>
      <c r="K2730" s="1307"/>
      <c r="L2730" s="1335"/>
      <c r="M2730" s="1499"/>
      <c r="N2730" s="1701"/>
      <c r="O2730" s="1290"/>
      <c r="P2730" s="1332"/>
      <c r="Q2730" s="3391"/>
      <c r="R2730" s="2337"/>
      <c r="S2730" s="16"/>
      <c r="T2730" s="16"/>
      <c r="U2730" s="16"/>
      <c r="V2730" s="16"/>
    </row>
    <row r="2731" spans="1:22">
      <c r="A2731" s="16"/>
      <c r="B2731" s="1320"/>
      <c r="C2731" s="1042"/>
      <c r="D2731" s="1411"/>
      <c r="E2731" s="2123"/>
      <c r="F2731" s="1374" t="s">
        <v>3</v>
      </c>
      <c r="G2731" s="1374"/>
      <c r="H2731" s="1376"/>
      <c r="I2731" s="1382"/>
      <c r="J2731" s="1383"/>
      <c r="K2731" s="1373"/>
      <c r="L2731" s="1413"/>
      <c r="M2731" s="1505"/>
      <c r="N2731" s="1505"/>
      <c r="O2731" s="1376"/>
      <c r="P2731" s="1413"/>
      <c r="Q2731" s="3387"/>
      <c r="R2731" s="2337"/>
      <c r="S2731" s="16"/>
      <c r="T2731" s="16"/>
      <c r="U2731" s="16"/>
      <c r="V2731" s="16"/>
    </row>
    <row r="2732" spans="1:22">
      <c r="A2732" s="16"/>
      <c r="B2732" s="1320"/>
      <c r="C2732" s="1042"/>
      <c r="D2732" s="1412"/>
      <c r="E2732" s="2124"/>
      <c r="F2732" s="1378"/>
      <c r="G2732" s="1378"/>
      <c r="H2732" s="1379"/>
      <c r="I2732" s="198"/>
      <c r="J2732" s="6"/>
      <c r="K2732" s="1307"/>
      <c r="L2732" s="1335"/>
      <c r="M2732" s="1499"/>
      <c r="N2732" s="1701"/>
      <c r="O2732" s="1290"/>
      <c r="P2732" s="1332"/>
      <c r="Q2732" s="3391"/>
      <c r="R2732" s="2337"/>
      <c r="S2732" s="16"/>
      <c r="T2732" s="16"/>
      <c r="U2732" s="16"/>
      <c r="V2732" s="16"/>
    </row>
    <row r="2733" spans="1:22">
      <c r="A2733" s="16"/>
      <c r="B2733" s="1320"/>
      <c r="C2733" s="1042"/>
      <c r="D2733" s="1440"/>
      <c r="E2733" s="2132"/>
      <c r="F2733" s="1441"/>
      <c r="G2733" s="1441"/>
      <c r="H2733" s="1442"/>
      <c r="I2733" s="197"/>
      <c r="J2733" s="198"/>
      <c r="K2733" s="1307"/>
      <c r="L2733" s="1335"/>
      <c r="M2733" s="1499"/>
      <c r="N2733" s="1701"/>
      <c r="O2733" s="1290"/>
      <c r="P2733" s="1332"/>
      <c r="Q2733" s="3391"/>
      <c r="R2733" s="2337"/>
      <c r="S2733" s="16"/>
      <c r="T2733" s="16"/>
      <c r="U2733" s="16"/>
      <c r="V2733" s="16"/>
    </row>
    <row r="2734" spans="1:22">
      <c r="A2734" s="16"/>
      <c r="B2734" s="225"/>
      <c r="C2734" s="223"/>
      <c r="D2734" s="1440"/>
      <c r="E2734" s="2132"/>
      <c r="F2734" s="1441"/>
      <c r="G2734" s="1441"/>
      <c r="H2734" s="1442"/>
      <c r="I2734" s="197"/>
      <c r="J2734" s="198"/>
      <c r="K2734" s="1307"/>
      <c r="L2734" s="1335"/>
      <c r="M2734" s="1499"/>
      <c r="N2734" s="1701"/>
      <c r="O2734" s="1290"/>
      <c r="P2734" s="1332"/>
      <c r="Q2734" s="3391"/>
      <c r="R2734" s="2337"/>
      <c r="S2734" s="16"/>
      <c r="T2734" s="16"/>
      <c r="U2734" s="16"/>
      <c r="V2734" s="16"/>
    </row>
    <row r="2735" spans="1:22">
      <c r="A2735" s="19" t="s">
        <v>3764</v>
      </c>
      <c r="B2735" s="4325" t="s">
        <v>1738</v>
      </c>
      <c r="C2735" s="3350"/>
      <c r="D2735" s="4327"/>
      <c r="E2735" s="4329" t="s">
        <v>1507</v>
      </c>
      <c r="F2735" s="4336" t="s">
        <v>1714</v>
      </c>
      <c r="G2735" s="4331" t="s">
        <v>1568</v>
      </c>
      <c r="H2735" s="4331" t="s">
        <v>1574</v>
      </c>
      <c r="I2735" s="1572" t="s">
        <v>1559</v>
      </c>
      <c r="J2735" s="1294" t="s">
        <v>1560</v>
      </c>
      <c r="K2735" s="1294" t="s">
        <v>1561</v>
      </c>
      <c r="L2735" s="4333" t="s">
        <v>3765</v>
      </c>
      <c r="M2735" s="4335" t="s">
        <v>1571</v>
      </c>
      <c r="N2735" s="4323" t="s">
        <v>1776</v>
      </c>
      <c r="O2735" s="3347" t="s">
        <v>1563</v>
      </c>
      <c r="P2735" s="1336" t="s">
        <v>1562</v>
      </c>
      <c r="Q2735" s="3389"/>
      <c r="R2735" s="1839" t="s">
        <v>1327</v>
      </c>
      <c r="S2735" s="16"/>
      <c r="T2735" s="16"/>
      <c r="U2735" s="16"/>
      <c r="V2735" s="16"/>
    </row>
    <row r="2736" spans="1:22">
      <c r="A2736" s="1807" t="s">
        <v>1887</v>
      </c>
      <c r="B2736" s="4326"/>
      <c r="C2736" s="3351"/>
      <c r="D2736" s="4328"/>
      <c r="E2736" s="4389"/>
      <c r="F2736" s="4336"/>
      <c r="G2736" s="4332"/>
      <c r="H2736" s="4332"/>
      <c r="I2736" s="1345">
        <v>277.56</v>
      </c>
      <c r="J2736" s="1307">
        <v>2E-3</v>
      </c>
      <c r="K2736" s="1307">
        <f>I2736*J2736</f>
        <v>0.55512000000000006</v>
      </c>
      <c r="L2736" s="4334"/>
      <c r="M2736" s="4335"/>
      <c r="N2736" s="4324"/>
      <c r="O2736" s="1298">
        <f>O2738+O2742+O2748</f>
        <v>7.8734280000000005</v>
      </c>
      <c r="P2736" s="1337">
        <f>O2736*K2736</f>
        <v>4.3706973513600005</v>
      </c>
      <c r="Q2736" s="3390"/>
      <c r="R2736" s="1840">
        <f>P2738+P2742+P2748</f>
        <v>4.3706973513600005</v>
      </c>
      <c r="S2736" s="16"/>
      <c r="T2736" s="16"/>
      <c r="U2736" s="16"/>
      <c r="V2736" s="16"/>
    </row>
    <row r="2737" spans="1:22">
      <c r="A2737" s="16"/>
      <c r="B2737" s="1327"/>
      <c r="C2737" s="1327"/>
      <c r="D2737" s="1400"/>
      <c r="E2737" s="2121"/>
      <c r="F2737" s="1368" t="s">
        <v>1</v>
      </c>
      <c r="G2737" s="1417"/>
      <c r="H2737" s="1390"/>
      <c r="I2737" s="1554"/>
      <c r="J2737" s="1367"/>
      <c r="K2737" s="1367"/>
      <c r="L2737" s="1554"/>
      <c r="M2737" s="1369"/>
      <c r="N2737" s="1369"/>
      <c r="O2737" s="1369"/>
      <c r="P2737" s="1367"/>
      <c r="Q2737" s="3387"/>
      <c r="R2737" s="2337"/>
      <c r="S2737" s="16"/>
      <c r="T2737" s="16"/>
      <c r="U2737" s="16"/>
      <c r="V2737" s="16"/>
    </row>
    <row r="2738" spans="1:22">
      <c r="A2738" s="16"/>
      <c r="B2738" s="1320"/>
      <c r="C2738" s="1356" t="s">
        <v>1128</v>
      </c>
      <c r="D2738" s="1311"/>
      <c r="E2738" s="2169" t="s">
        <v>1517</v>
      </c>
      <c r="F2738" s="1749" t="s">
        <v>1695</v>
      </c>
      <c r="G2738" s="1758"/>
      <c r="H2738" s="1331">
        <v>1.4999999999999999E-2</v>
      </c>
      <c r="I2738" s="1388"/>
      <c r="J2738" s="1366"/>
      <c r="K2738" s="1510"/>
      <c r="L2738" s="1445"/>
      <c r="M2738" s="1447"/>
      <c r="N2738" s="1447">
        <f>SUM(N2739:N2741)</f>
        <v>104.27969999999999</v>
      </c>
      <c r="O2738" s="1447">
        <f>SUM(O2739:O2741)</f>
        <v>1.5641954999999998</v>
      </c>
      <c r="P2738" s="1446">
        <f>SUM(P2739:P2741)</f>
        <v>0.86831620596000003</v>
      </c>
      <c r="Q2738" s="3391"/>
      <c r="R2738" s="2337"/>
      <c r="S2738" s="16"/>
      <c r="T2738" s="16"/>
      <c r="U2738" s="16"/>
      <c r="V2738" s="16"/>
    </row>
    <row r="2739" spans="1:22">
      <c r="A2739" s="16"/>
      <c r="B2739" s="1320"/>
      <c r="C2739" s="1042"/>
      <c r="D2739" s="1752" t="s">
        <v>1779</v>
      </c>
      <c r="E2739" s="1852" t="s">
        <v>1577</v>
      </c>
      <c r="F2739" s="1752" t="s">
        <v>1780</v>
      </c>
      <c r="G2739" s="1753">
        <v>0.876</v>
      </c>
      <c r="H2739" s="1453">
        <f>G2739*$H$2738</f>
        <v>1.3139999999999999E-2</v>
      </c>
      <c r="I2739" s="197"/>
      <c r="J2739" s="198"/>
      <c r="K2739" s="1307">
        <f>H2739*$K$2736</f>
        <v>7.2942768E-3</v>
      </c>
      <c r="L2739" s="1335">
        <f t="shared" ref="L2739:L2741" si="195">K2739*$K$2352</f>
        <v>0</v>
      </c>
      <c r="M2739" s="1499">
        <v>56.05</v>
      </c>
      <c r="N2739" s="1718">
        <f>G2739*M2739</f>
        <v>49.099799999999995</v>
      </c>
      <c r="O2739" s="1719">
        <f>H2739*M2739</f>
        <v>0.73649699999999985</v>
      </c>
      <c r="P2739" s="1720">
        <f>M2739*K2739</f>
        <v>0.40884421463999998</v>
      </c>
      <c r="Q2739" s="3396"/>
      <c r="R2739" s="2337"/>
      <c r="S2739" s="17"/>
      <c r="T2739" s="17"/>
      <c r="U2739" s="16"/>
      <c r="V2739" s="16"/>
    </row>
    <row r="2740" spans="1:22">
      <c r="A2740" s="16"/>
      <c r="B2740" s="1320"/>
      <c r="C2740" s="1042"/>
      <c r="D2740" s="1752" t="s">
        <v>1069</v>
      </c>
      <c r="E2740" s="1852" t="s">
        <v>1517</v>
      </c>
      <c r="F2740" s="1752" t="s">
        <v>1578</v>
      </c>
      <c r="G2740" s="1753">
        <v>0.61799999999999999</v>
      </c>
      <c r="H2740" s="1453">
        <f>G2740*$H$2738</f>
        <v>9.2699999999999987E-3</v>
      </c>
      <c r="I2740" s="27"/>
      <c r="J2740" s="10"/>
      <c r="K2740" s="1307">
        <f t="shared" ref="K2740:K2741" si="196">H2740*$K$2736</f>
        <v>5.1459623999999997E-3</v>
      </c>
      <c r="L2740" s="1335">
        <f t="shared" si="195"/>
        <v>0</v>
      </c>
      <c r="M2740" s="1499">
        <v>0.55000000000000004</v>
      </c>
      <c r="N2740" s="1718">
        <f>G2740*M2740</f>
        <v>0.33990000000000004</v>
      </c>
      <c r="O2740" s="1719">
        <f>H2740*M2740</f>
        <v>5.0984999999999997E-3</v>
      </c>
      <c r="P2740" s="1720">
        <f>M2740*K2740</f>
        <v>2.8302793200000002E-3</v>
      </c>
      <c r="Q2740" s="3396"/>
      <c r="R2740" s="2337"/>
      <c r="S2740" s="105"/>
      <c r="T2740" s="105"/>
      <c r="U2740" s="16"/>
      <c r="V2740" s="16"/>
    </row>
    <row r="2741" spans="1:22">
      <c r="A2741" s="16"/>
      <c r="B2741" s="1320"/>
      <c r="C2741" s="1042"/>
      <c r="D2741" s="1754" t="s">
        <v>1067</v>
      </c>
      <c r="E2741" s="1853" t="s">
        <v>1508</v>
      </c>
      <c r="F2741" s="1754" t="s">
        <v>1512</v>
      </c>
      <c r="G2741" s="1755">
        <v>3</v>
      </c>
      <c r="H2741" s="1454">
        <f>G2741*$H$2738</f>
        <v>4.4999999999999998E-2</v>
      </c>
      <c r="I2741" s="198"/>
      <c r="J2741" s="198"/>
      <c r="K2741" s="1307">
        <f t="shared" si="196"/>
        <v>2.4980400000000003E-2</v>
      </c>
      <c r="L2741" s="1335">
        <f t="shared" si="195"/>
        <v>0</v>
      </c>
      <c r="M2741" s="1499">
        <v>18.28</v>
      </c>
      <c r="N2741" s="1718">
        <f>G2741*M2741</f>
        <v>54.84</v>
      </c>
      <c r="O2741" s="1719">
        <f>H2741*M2741</f>
        <v>0.8226</v>
      </c>
      <c r="P2741" s="1720">
        <f>M2741*K2741</f>
        <v>0.45664171200000009</v>
      </c>
      <c r="Q2741" s="3396"/>
      <c r="S2741" s="16"/>
      <c r="T2741" s="16"/>
      <c r="U2741" s="16"/>
      <c r="V2741" s="16"/>
    </row>
    <row r="2742" spans="1:22">
      <c r="A2742" s="16"/>
      <c r="B2742" s="1320"/>
      <c r="C2742" s="1356" t="s">
        <v>1152</v>
      </c>
      <c r="D2742" s="1311"/>
      <c r="E2742" s="1854" t="s">
        <v>1517</v>
      </c>
      <c r="F2742" s="1749" t="s">
        <v>1696</v>
      </c>
      <c r="G2742" s="1688"/>
      <c r="H2742" s="1366">
        <v>5.0000000000000001E-3</v>
      </c>
      <c r="I2742" s="1388"/>
      <c r="J2742" s="1388"/>
      <c r="K2742" s="1510"/>
      <c r="L2742" s="1445"/>
      <c r="M2742" s="1447"/>
      <c r="N2742" s="1447">
        <f>SUM(N2743:N2745)</f>
        <v>108.04650000000001</v>
      </c>
      <c r="O2742" s="1447">
        <f>SUM(O2743:O2745)</f>
        <v>0.54023250000000012</v>
      </c>
      <c r="P2742" s="1446">
        <f>SUM(P2743:P2745)</f>
        <v>0.29989386540000007</v>
      </c>
      <c r="Q2742" s="3391"/>
      <c r="S2742" s="16"/>
      <c r="T2742" s="16"/>
      <c r="U2742" s="16"/>
      <c r="V2742" s="16"/>
    </row>
    <row r="2743" spans="1:22">
      <c r="A2743" s="16"/>
      <c r="B2743" s="1320"/>
      <c r="C2743" s="18"/>
      <c r="D2743" s="1756" t="s">
        <v>1781</v>
      </c>
      <c r="E2743" s="1852" t="s">
        <v>1577</v>
      </c>
      <c r="F2743" s="1752" t="s">
        <v>1782</v>
      </c>
      <c r="G2743" s="1753">
        <v>0.876</v>
      </c>
      <c r="H2743" s="1453">
        <f>G2743*$H$2742</f>
        <v>4.3800000000000002E-3</v>
      </c>
      <c r="I2743" s="198"/>
      <c r="J2743" s="198"/>
      <c r="K2743" s="1307">
        <f>H2743*$K$2736</f>
        <v>2.4314256000000003E-3</v>
      </c>
      <c r="L2743" s="1335">
        <f t="shared" ref="L2743:L2745" si="197">K2743*$K$2352</f>
        <v>0</v>
      </c>
      <c r="M2743" s="1499">
        <v>60.35</v>
      </c>
      <c r="N2743" s="1718">
        <f>G2743*M2743</f>
        <v>52.866599999999998</v>
      </c>
      <c r="O2743" s="1719">
        <f>H2743*M2743</f>
        <v>0.26433300000000004</v>
      </c>
      <c r="P2743" s="1720">
        <f>M2743*K2743</f>
        <v>0.14673653496000003</v>
      </c>
      <c r="Q2743" s="3396"/>
      <c r="R2743" s="2337"/>
      <c r="S2743" s="16"/>
      <c r="T2743" s="16"/>
      <c r="U2743" s="16"/>
      <c r="V2743" s="16"/>
    </row>
    <row r="2744" spans="1:22">
      <c r="A2744" s="16"/>
      <c r="B2744" s="1320"/>
      <c r="C2744" s="1042"/>
      <c r="D2744" s="1756" t="s">
        <v>1069</v>
      </c>
      <c r="E2744" s="1852" t="s">
        <v>1517</v>
      </c>
      <c r="F2744" s="1752" t="s">
        <v>1578</v>
      </c>
      <c r="G2744" s="1753">
        <v>0.61799999999999999</v>
      </c>
      <c r="H2744" s="1453">
        <f>G2744*$H$2742</f>
        <v>3.0899999999999999E-3</v>
      </c>
      <c r="I2744" s="197"/>
      <c r="J2744" s="198"/>
      <c r="K2744" s="1307">
        <f t="shared" ref="K2744:K2745" si="198">H2744*$K$2736</f>
        <v>1.7153208000000001E-3</v>
      </c>
      <c r="L2744" s="1335">
        <f t="shared" si="197"/>
        <v>0</v>
      </c>
      <c r="M2744" s="1499">
        <v>0.55000000000000004</v>
      </c>
      <c r="N2744" s="1718">
        <f>G2744*M2744</f>
        <v>0.33990000000000004</v>
      </c>
      <c r="O2744" s="1719">
        <f>H2744*M2744</f>
        <v>1.6995000000000001E-3</v>
      </c>
      <c r="P2744" s="1720">
        <f>M2744*K2744</f>
        <v>9.4342644000000012E-4</v>
      </c>
      <c r="Q2744" s="3396"/>
      <c r="R2744" s="2337"/>
      <c r="S2744" s="16"/>
      <c r="T2744" s="16"/>
      <c r="U2744" s="16"/>
      <c r="V2744" s="16"/>
    </row>
    <row r="2745" spans="1:22">
      <c r="A2745" s="16"/>
      <c r="B2745" s="1320"/>
      <c r="C2745" s="1042"/>
      <c r="D2745" s="1757" t="s">
        <v>1067</v>
      </c>
      <c r="E2745" s="1853" t="s">
        <v>1508</v>
      </c>
      <c r="F2745" s="1754" t="s">
        <v>1512</v>
      </c>
      <c r="G2745" s="1755">
        <v>3</v>
      </c>
      <c r="H2745" s="1454">
        <f>G2745*$H$2742</f>
        <v>1.4999999999999999E-2</v>
      </c>
      <c r="I2745" s="1289"/>
      <c r="J2745" s="198"/>
      <c r="K2745" s="1307">
        <f t="shared" si="198"/>
        <v>8.3268000000000005E-3</v>
      </c>
      <c r="L2745" s="1335">
        <f t="shared" si="197"/>
        <v>0</v>
      </c>
      <c r="M2745" s="1499">
        <v>18.28</v>
      </c>
      <c r="N2745" s="1718">
        <f>G2745*M2745</f>
        <v>54.84</v>
      </c>
      <c r="O2745" s="1719">
        <f>H2745*M2745</f>
        <v>0.2742</v>
      </c>
      <c r="P2745" s="1720">
        <f>M2745*K2745</f>
        <v>0.15221390400000001</v>
      </c>
      <c r="Q2745" s="3396"/>
      <c r="R2745" s="2337"/>
      <c r="S2745" s="16"/>
      <c r="T2745" s="16"/>
      <c r="U2745" s="16"/>
      <c r="V2745" s="16"/>
    </row>
    <row r="2746" spans="1:22">
      <c r="A2746" s="16"/>
      <c r="B2746" s="1320"/>
      <c r="C2746" s="1042"/>
      <c r="D2746" s="1400"/>
      <c r="E2746" s="1856"/>
      <c r="F2746" s="1397"/>
      <c r="G2746" s="1416"/>
      <c r="H2746" s="1399"/>
      <c r="I2746" s="1289"/>
      <c r="J2746" s="198"/>
      <c r="K2746" s="1307"/>
      <c r="L2746" s="1335"/>
      <c r="M2746" s="1499"/>
      <c r="N2746" s="1701"/>
      <c r="O2746" s="1290"/>
      <c r="P2746" s="1332"/>
      <c r="Q2746" s="3391"/>
      <c r="R2746" s="2337"/>
      <c r="S2746" s="16"/>
      <c r="T2746" s="16"/>
      <c r="U2746" s="16"/>
      <c r="V2746" s="16"/>
    </row>
    <row r="2747" spans="1:22">
      <c r="A2747" s="16"/>
      <c r="B2747" s="1320"/>
      <c r="C2747" s="1320"/>
      <c r="D2747" s="1410"/>
      <c r="E2747" s="1858"/>
      <c r="F2747" s="1360" t="s">
        <v>2</v>
      </c>
      <c r="G2747" s="1360"/>
      <c r="H2747" s="1362"/>
      <c r="I2747" s="1380"/>
      <c r="J2747" s="1381"/>
      <c r="K2747" s="1359"/>
      <c r="L2747" s="1458"/>
      <c r="M2747" s="1502"/>
      <c r="N2747" s="1502"/>
      <c r="O2747" s="1362"/>
      <c r="P2747" s="1359"/>
      <c r="Q2747" s="3387"/>
      <c r="R2747" s="2337"/>
      <c r="S2747" s="16"/>
      <c r="T2747" s="16"/>
      <c r="U2747" s="16"/>
      <c r="V2747" s="16"/>
    </row>
    <row r="2748" spans="1:22">
      <c r="A2748" s="16"/>
      <c r="B2748" s="1320"/>
      <c r="C2748" s="1042"/>
      <c r="D2748" s="1437" t="s">
        <v>1153</v>
      </c>
      <c r="E2748" s="2134" t="s">
        <v>1508</v>
      </c>
      <c r="F2748" s="1438" t="s">
        <v>1783</v>
      </c>
      <c r="G2748" s="1439">
        <v>0.3</v>
      </c>
      <c r="H2748" s="1439"/>
      <c r="I2748" s="197"/>
      <c r="J2748" s="198"/>
      <c r="K2748" s="1307">
        <f>G2748*$K$2736</f>
        <v>0.16653600000000002</v>
      </c>
      <c r="L2748" s="1335">
        <f>K2748*$K$2352</f>
        <v>0</v>
      </c>
      <c r="M2748" s="1499">
        <v>19.23</v>
      </c>
      <c r="N2748" s="1701"/>
      <c r="O2748" s="1290">
        <f>(G2748*M2748)</f>
        <v>5.7690000000000001</v>
      </c>
      <c r="P2748" s="1332">
        <f>M2748*K2748</f>
        <v>3.2024872800000006</v>
      </c>
      <c r="Q2748" s="3391"/>
      <c r="R2748" s="2337"/>
      <c r="S2748" s="16"/>
      <c r="T2748" s="16"/>
      <c r="U2748" s="16"/>
      <c r="V2748" s="16"/>
    </row>
    <row r="2749" spans="1:22">
      <c r="A2749" s="16"/>
      <c r="B2749" s="1320"/>
      <c r="C2749" s="1042"/>
      <c r="D2749" s="1402"/>
      <c r="E2749" s="1857"/>
      <c r="F2749" s="1645"/>
      <c r="G2749" s="1362"/>
      <c r="H2749" s="1359"/>
      <c r="I2749" s="198"/>
      <c r="J2749" s="6"/>
      <c r="K2749" s="1306"/>
      <c r="L2749" s="1646"/>
      <c r="M2749" s="1499"/>
      <c r="N2749" s="1499"/>
      <c r="O2749" s="1291"/>
      <c r="P2749" s="1332"/>
      <c r="Q2749" s="3391"/>
      <c r="R2749" s="2337"/>
      <c r="S2749" s="16"/>
      <c r="T2749" s="16"/>
      <c r="U2749" s="16"/>
      <c r="V2749" s="16"/>
    </row>
    <row r="2750" spans="1:22">
      <c r="A2750" s="16"/>
      <c r="B2750" s="1320"/>
      <c r="C2750" s="1042"/>
      <c r="D2750" s="1402"/>
      <c r="E2750" s="1857"/>
      <c r="F2750" s="1403"/>
      <c r="G2750" s="1362"/>
      <c r="H2750" s="1359"/>
      <c r="I2750" s="198"/>
      <c r="J2750" s="6"/>
      <c r="K2750" s="1307"/>
      <c r="L2750" s="1335"/>
      <c r="M2750" s="1499"/>
      <c r="N2750" s="1701"/>
      <c r="O2750" s="1290"/>
      <c r="P2750" s="1332"/>
      <c r="Q2750" s="3391"/>
      <c r="R2750" s="2337"/>
      <c r="S2750" s="16"/>
      <c r="T2750" s="16"/>
      <c r="U2750" s="16"/>
      <c r="V2750" s="16"/>
    </row>
    <row r="2751" spans="1:22">
      <c r="A2751" s="16"/>
      <c r="B2751" s="1320"/>
      <c r="C2751" s="1042"/>
      <c r="D2751" s="1411"/>
      <c r="E2751" s="2123"/>
      <c r="F2751" s="1374" t="s">
        <v>3</v>
      </c>
      <c r="G2751" s="1374"/>
      <c r="H2751" s="1376"/>
      <c r="I2751" s="1382"/>
      <c r="J2751" s="1383"/>
      <c r="K2751" s="1373"/>
      <c r="L2751" s="1413"/>
      <c r="M2751" s="1505"/>
      <c r="N2751" s="1505"/>
      <c r="O2751" s="1376"/>
      <c r="P2751" s="1413"/>
      <c r="Q2751" s="3387"/>
      <c r="R2751" s="2337"/>
      <c r="S2751" s="16"/>
      <c r="T2751" s="16"/>
      <c r="U2751" s="16"/>
      <c r="V2751" s="16"/>
    </row>
    <row r="2752" spans="1:22">
      <c r="A2752" s="16"/>
      <c r="B2752" s="1320"/>
      <c r="C2752" s="1042"/>
      <c r="D2752" s="1440"/>
      <c r="E2752" s="2132"/>
      <c r="F2752" s="1441"/>
      <c r="G2752" s="1441"/>
      <c r="H2752" s="1442"/>
      <c r="I2752" s="197"/>
      <c r="J2752" s="198"/>
      <c r="K2752" s="1307"/>
      <c r="L2752" s="1335"/>
      <c r="M2752" s="1499"/>
      <c r="N2752" s="1701"/>
      <c r="O2752" s="1290"/>
      <c r="P2752" s="1332"/>
      <c r="Q2752" s="3391"/>
      <c r="R2752" s="2337"/>
      <c r="S2752" s="16"/>
      <c r="T2752" s="16"/>
      <c r="U2752" s="16"/>
      <c r="V2752" s="16"/>
    </row>
    <row r="2753" spans="1:22">
      <c r="A2753" s="16"/>
      <c r="B2753" s="1320"/>
      <c r="C2753" s="1042"/>
      <c r="D2753" s="1440"/>
      <c r="E2753" s="2132"/>
      <c r="F2753" s="1441"/>
      <c r="G2753" s="1441"/>
      <c r="H2753" s="1442"/>
      <c r="I2753" s="197"/>
      <c r="J2753" s="198"/>
      <c r="K2753" s="1307"/>
      <c r="L2753" s="1335"/>
      <c r="M2753" s="1499"/>
      <c r="N2753" s="1701"/>
      <c r="O2753" s="1290"/>
      <c r="P2753" s="1332"/>
      <c r="Q2753" s="3391"/>
      <c r="R2753" s="2337"/>
      <c r="S2753" s="16"/>
      <c r="T2753" s="16"/>
      <c r="U2753" s="16"/>
      <c r="V2753" s="16"/>
    </row>
    <row r="2754" spans="1:22">
      <c r="A2754" s="16"/>
      <c r="B2754" s="225"/>
      <c r="C2754" s="223"/>
      <c r="D2754" s="1440"/>
      <c r="E2754" s="2132"/>
      <c r="F2754" s="1441"/>
      <c r="G2754" s="1441"/>
      <c r="H2754" s="1442"/>
      <c r="I2754" s="197"/>
      <c r="J2754" s="198"/>
      <c r="K2754" s="1307"/>
      <c r="L2754" s="1335"/>
      <c r="M2754" s="1499"/>
      <c r="N2754" s="1701"/>
      <c r="O2754" s="1290"/>
      <c r="P2754" s="1332"/>
      <c r="Q2754" s="3391"/>
      <c r="R2754" s="2337"/>
      <c r="S2754" s="16"/>
      <c r="T2754" s="16"/>
      <c r="U2754" s="16"/>
      <c r="V2754" s="16"/>
    </row>
    <row r="2755" spans="1:22" ht="15" customHeight="1">
      <c r="A2755" s="19" t="s">
        <v>3764</v>
      </c>
      <c r="B2755" s="4325" t="s">
        <v>1912</v>
      </c>
      <c r="C2755" s="3350"/>
      <c r="D2755" s="4327"/>
      <c r="E2755" s="4329" t="s">
        <v>1527</v>
      </c>
      <c r="F2755" s="4336" t="s">
        <v>1913</v>
      </c>
      <c r="G2755" s="4331" t="s">
        <v>1568</v>
      </c>
      <c r="H2755" s="4331" t="s">
        <v>1574</v>
      </c>
      <c r="I2755" s="1572" t="s">
        <v>1559</v>
      </c>
      <c r="J2755" s="1294" t="s">
        <v>1560</v>
      </c>
      <c r="K2755" s="1294" t="s">
        <v>1561</v>
      </c>
      <c r="L2755" s="4333" t="s">
        <v>3765</v>
      </c>
      <c r="M2755" s="4335" t="s">
        <v>1571</v>
      </c>
      <c r="N2755" s="4323" t="s">
        <v>1776</v>
      </c>
      <c r="O2755" s="3347" t="s">
        <v>1563</v>
      </c>
      <c r="P2755" s="1336" t="s">
        <v>1562</v>
      </c>
      <c r="Q2755" s="3389"/>
      <c r="R2755" s="1839" t="s">
        <v>1327</v>
      </c>
      <c r="S2755" s="16"/>
      <c r="T2755" s="16"/>
      <c r="U2755" s="16"/>
      <c r="V2755" s="16"/>
    </row>
    <row r="2756" spans="1:22">
      <c r="A2756" s="1807" t="s">
        <v>1887</v>
      </c>
      <c r="B2756" s="4326"/>
      <c r="C2756" s="3351"/>
      <c r="D2756" s="4328"/>
      <c r="E2756" s="4389"/>
      <c r="F2756" s="4336"/>
      <c r="G2756" s="4332"/>
      <c r="H2756" s="4332"/>
      <c r="I2756" s="1345">
        <v>102.8</v>
      </c>
      <c r="J2756" s="1307">
        <v>2E-3</v>
      </c>
      <c r="K2756" s="1307">
        <f>I2756*J2756</f>
        <v>0.2056</v>
      </c>
      <c r="L2756" s="4334"/>
      <c r="M2756" s="4335"/>
      <c r="N2756" s="4324"/>
      <c r="O2756" s="1298">
        <f>O2758+O2759+O2760+O2766+O2773</f>
        <v>24.525619910000003</v>
      </c>
      <c r="P2756" s="1337">
        <f>O2756*K2756</f>
        <v>5.042467453496001</v>
      </c>
      <c r="Q2756" s="3390"/>
      <c r="R2756" s="1840">
        <f>P2758+P2759+P2760+P2766+P2773</f>
        <v>5.0424674534960001</v>
      </c>
      <c r="S2756" s="16"/>
      <c r="T2756" s="16"/>
      <c r="U2756" s="16"/>
      <c r="V2756" s="16"/>
    </row>
    <row r="2757" spans="1:22">
      <c r="A2757" s="16"/>
      <c r="B2757" s="1327"/>
      <c r="C2757" s="1327"/>
      <c r="D2757" s="1400"/>
      <c r="E2757" s="2121"/>
      <c r="F2757" s="1368" t="s">
        <v>1</v>
      </c>
      <c r="G2757" s="1417"/>
      <c r="H2757" s="1390"/>
      <c r="I2757" s="1554"/>
      <c r="J2757" s="1367"/>
      <c r="K2757" s="1367"/>
      <c r="L2757" s="1554"/>
      <c r="M2757" s="1369"/>
      <c r="N2757" s="1369"/>
      <c r="O2757" s="1369"/>
      <c r="P2757" s="1367"/>
      <c r="Q2757" s="3387"/>
      <c r="R2757" s="2337"/>
      <c r="S2757" s="16"/>
      <c r="T2757" s="16"/>
      <c r="U2757" s="16"/>
      <c r="V2757" s="16"/>
    </row>
    <row r="2758" spans="1:22">
      <c r="A2758" s="16"/>
      <c r="B2758" s="1320"/>
      <c r="C2758" s="1042"/>
      <c r="D2758" s="1598" t="s">
        <v>1175</v>
      </c>
      <c r="E2758" s="1852" t="s">
        <v>1527</v>
      </c>
      <c r="F2758" s="1752" t="s">
        <v>1914</v>
      </c>
      <c r="G2758" s="1753">
        <v>0.4</v>
      </c>
      <c r="H2758" s="1453"/>
      <c r="I2758" s="197"/>
      <c r="J2758" s="198"/>
      <c r="K2758" s="1307">
        <f>G2758*$K$2756</f>
        <v>8.2240000000000008E-2</v>
      </c>
      <c r="L2758" s="1335">
        <f t="shared" ref="L2758:L2759" si="199">K2758*$K$2352</f>
        <v>0</v>
      </c>
      <c r="M2758" s="1499">
        <v>1.3</v>
      </c>
      <c r="N2758" s="1718"/>
      <c r="O2758" s="1719">
        <f>G2758*M2758</f>
        <v>0.52</v>
      </c>
      <c r="P2758" s="1720">
        <f>M2758*K2758</f>
        <v>0.10691200000000001</v>
      </c>
      <c r="Q2758" s="3396"/>
      <c r="R2758" s="2337"/>
      <c r="S2758" s="16"/>
      <c r="T2758" s="16"/>
      <c r="U2758" s="16"/>
      <c r="V2758" s="16"/>
    </row>
    <row r="2759" spans="1:22">
      <c r="A2759" s="16"/>
      <c r="B2759" s="1320"/>
      <c r="C2759" s="1042"/>
      <c r="D2759" s="1598" t="s">
        <v>1915</v>
      </c>
      <c r="E2759" s="1852" t="s">
        <v>1527</v>
      </c>
      <c r="F2759" s="1752" t="s">
        <v>1916</v>
      </c>
      <c r="G2759" s="1753">
        <v>1.06</v>
      </c>
      <c r="H2759" s="1453"/>
      <c r="I2759" s="27"/>
      <c r="J2759" s="10"/>
      <c r="K2759" s="1307">
        <f>G2759*$K$2756</f>
        <v>0.21793600000000002</v>
      </c>
      <c r="L2759" s="1335">
        <f t="shared" si="199"/>
        <v>0</v>
      </c>
      <c r="M2759" s="1499">
        <v>11.3</v>
      </c>
      <c r="N2759" s="1718"/>
      <c r="O2759" s="1719">
        <f>G2759*M2759</f>
        <v>11.978000000000002</v>
      </c>
      <c r="P2759" s="1720">
        <f>M2759*K2759</f>
        <v>2.4626768000000006</v>
      </c>
      <c r="Q2759" s="3396"/>
      <c r="R2759" s="2337"/>
      <c r="S2759" s="16"/>
      <c r="T2759" s="16"/>
      <c r="U2759" s="16"/>
      <c r="V2759" s="16"/>
    </row>
    <row r="2760" spans="1:22">
      <c r="A2760" s="16"/>
      <c r="B2760" s="1320"/>
      <c r="C2760" s="1356" t="s">
        <v>1119</v>
      </c>
      <c r="D2760" s="1311"/>
      <c r="E2760" s="1854" t="s">
        <v>1517</v>
      </c>
      <c r="F2760" s="1749" t="s">
        <v>1917</v>
      </c>
      <c r="G2760" s="1688"/>
      <c r="H2760" s="1366">
        <v>7.0000000000000001E-3</v>
      </c>
      <c r="I2760" s="1388"/>
      <c r="J2760" s="1388"/>
      <c r="K2760" s="1510"/>
      <c r="L2760" s="1445"/>
      <c r="M2760" s="1447"/>
      <c r="N2760" s="1447">
        <f>SUM(N2761:N2765)</f>
        <v>83.047780000000003</v>
      </c>
      <c r="O2760" s="1447">
        <f>SUM(O2761:O2765)</f>
        <v>0.58133446000000011</v>
      </c>
      <c r="P2760" s="1446">
        <f>SUM(P2761:P2765)</f>
        <v>0.11952236497600001</v>
      </c>
      <c r="Q2760" s="3391"/>
      <c r="S2760" s="16"/>
      <c r="T2760" s="16"/>
      <c r="U2760" s="16"/>
      <c r="V2760" s="16"/>
    </row>
    <row r="2761" spans="1:22">
      <c r="A2761" s="16"/>
      <c r="B2761" s="1320"/>
      <c r="C2761" s="18"/>
      <c r="D2761" s="1752" t="s">
        <v>1069</v>
      </c>
      <c r="E2761" s="1852" t="s">
        <v>1517</v>
      </c>
      <c r="F2761" s="1752" t="s">
        <v>1578</v>
      </c>
      <c r="G2761" s="1941">
        <v>0.2</v>
      </c>
      <c r="H2761" s="1453">
        <f>G2761*$H$2760</f>
        <v>1.4000000000000002E-3</v>
      </c>
      <c r="I2761" s="198"/>
      <c r="J2761" s="198"/>
      <c r="K2761" s="1307">
        <f>H2761*$K$2756</f>
        <v>2.8784000000000004E-4</v>
      </c>
      <c r="L2761" s="1335">
        <f t="shared" ref="L2761:L2765" si="200">K2761*$K$2352</f>
        <v>0</v>
      </c>
      <c r="M2761" s="1499">
        <v>0.55000000000000004</v>
      </c>
      <c r="N2761" s="1718">
        <f>G2761*M2761</f>
        <v>0.11000000000000001</v>
      </c>
      <c r="O2761" s="1719">
        <f>H2761*M2761</f>
        <v>7.7000000000000018E-4</v>
      </c>
      <c r="P2761" s="1720">
        <f>M2761*K2761</f>
        <v>1.5831200000000003E-4</v>
      </c>
      <c r="Q2761" s="3396"/>
      <c r="R2761" s="2337"/>
      <c r="S2761" s="16"/>
      <c r="T2761" s="16"/>
      <c r="U2761" s="16"/>
      <c r="V2761" s="16"/>
    </row>
    <row r="2762" spans="1:22">
      <c r="A2762" s="16"/>
      <c r="B2762" s="1320"/>
      <c r="C2762" s="1042"/>
      <c r="D2762" s="1752" t="s">
        <v>1792</v>
      </c>
      <c r="E2762" s="1852" t="s">
        <v>1577</v>
      </c>
      <c r="F2762" s="1752" t="s">
        <v>1793</v>
      </c>
      <c r="G2762" s="1941">
        <v>0.19</v>
      </c>
      <c r="H2762" s="1453">
        <f t="shared" ref="H2762:H2765" si="201">G2762*$H$2760</f>
        <v>1.33E-3</v>
      </c>
      <c r="I2762" s="197"/>
      <c r="J2762" s="198"/>
      <c r="K2762" s="1307">
        <f>H2762*$K$2756</f>
        <v>2.7344800000000003E-4</v>
      </c>
      <c r="L2762" s="1335">
        <f t="shared" si="200"/>
        <v>0</v>
      </c>
      <c r="M2762" s="1499">
        <v>85.09</v>
      </c>
      <c r="N2762" s="1718">
        <f>G2762*M2762</f>
        <v>16.167100000000001</v>
      </c>
      <c r="O2762" s="1719">
        <f>H2762*M2762</f>
        <v>0.11316970000000001</v>
      </c>
      <c r="P2762" s="1720">
        <f>M2762*K2762</f>
        <v>2.3267690320000003E-2</v>
      </c>
      <c r="Q2762" s="3396"/>
      <c r="R2762" s="2337"/>
      <c r="S2762" s="16"/>
      <c r="T2762" s="16"/>
      <c r="U2762" s="16"/>
      <c r="V2762" s="16"/>
    </row>
    <row r="2763" spans="1:22">
      <c r="A2763" s="16"/>
      <c r="B2763" s="1320"/>
      <c r="C2763" s="1042"/>
      <c r="D2763" s="1752" t="s">
        <v>1394</v>
      </c>
      <c r="E2763" s="1852" t="s">
        <v>1577</v>
      </c>
      <c r="F2763" s="1752" t="s">
        <v>1579</v>
      </c>
      <c r="G2763" s="1941">
        <v>0.38</v>
      </c>
      <c r="H2763" s="1453">
        <f t="shared" si="201"/>
        <v>2.66E-3</v>
      </c>
      <c r="I2763" s="1289"/>
      <c r="J2763" s="198"/>
      <c r="K2763" s="1307">
        <f>H2763*$K$2756</f>
        <v>5.4689600000000006E-4</v>
      </c>
      <c r="L2763" s="1335">
        <f t="shared" si="200"/>
        <v>0</v>
      </c>
      <c r="M2763" s="1499">
        <v>92.54</v>
      </c>
      <c r="N2763" s="1718">
        <f>G2763*M2763</f>
        <v>35.165200000000006</v>
      </c>
      <c r="O2763" s="1719">
        <f>H2763*M2763</f>
        <v>0.24615640000000003</v>
      </c>
      <c r="P2763" s="1720">
        <f>M2763*K2763</f>
        <v>5.0609755840000006E-2</v>
      </c>
      <c r="Q2763" s="3396"/>
      <c r="R2763" s="2337"/>
      <c r="S2763" s="16"/>
      <c r="T2763" s="16"/>
      <c r="U2763" s="16"/>
      <c r="V2763" s="16"/>
    </row>
    <row r="2764" spans="1:22">
      <c r="A2764" s="16"/>
      <c r="B2764" s="1320"/>
      <c r="C2764" s="1042"/>
      <c r="D2764" s="1752" t="s">
        <v>1576</v>
      </c>
      <c r="E2764" s="1852" t="s">
        <v>1517</v>
      </c>
      <c r="F2764" s="1752" t="s">
        <v>1580</v>
      </c>
      <c r="G2764" s="1941">
        <v>1.38</v>
      </c>
      <c r="H2764" s="1453">
        <f t="shared" si="201"/>
        <v>9.6600000000000002E-3</v>
      </c>
      <c r="I2764" s="1289"/>
      <c r="J2764" s="198"/>
      <c r="K2764" s="1307">
        <f>H2764*$K$2756</f>
        <v>1.9860960000000001E-3</v>
      </c>
      <c r="L2764" s="1335">
        <f t="shared" si="200"/>
        <v>0</v>
      </c>
      <c r="M2764" s="1499">
        <v>6.53</v>
      </c>
      <c r="N2764" s="1718">
        <f>G2764*M2764</f>
        <v>9.0114000000000001</v>
      </c>
      <c r="O2764" s="1719">
        <f>H2764*M2764</f>
        <v>6.3079800000000005E-2</v>
      </c>
      <c r="P2764" s="1720">
        <f>M2764*K2764</f>
        <v>1.2969206880000002E-2</v>
      </c>
      <c r="Q2764" s="3396"/>
      <c r="R2764" s="2337"/>
      <c r="S2764" s="16"/>
      <c r="T2764" s="16"/>
      <c r="U2764" s="16"/>
      <c r="V2764" s="16"/>
    </row>
    <row r="2765" spans="1:22">
      <c r="A2765" s="16"/>
      <c r="B2765" s="1320"/>
      <c r="C2765" s="1042"/>
      <c r="D2765" s="1754" t="s">
        <v>1067</v>
      </c>
      <c r="E2765" s="1853" t="s">
        <v>1508</v>
      </c>
      <c r="F2765" s="1754" t="s">
        <v>1512</v>
      </c>
      <c r="G2765" s="1942">
        <v>1.236</v>
      </c>
      <c r="H2765" s="1454">
        <f t="shared" si="201"/>
        <v>8.652E-3</v>
      </c>
      <c r="I2765" s="1289"/>
      <c r="J2765" s="198"/>
      <c r="K2765" s="1307">
        <f>H2765*$K$2756</f>
        <v>1.7788512E-3</v>
      </c>
      <c r="L2765" s="1335">
        <f t="shared" si="200"/>
        <v>0</v>
      </c>
      <c r="M2765" s="1499">
        <v>18.28</v>
      </c>
      <c r="N2765" s="1718">
        <f>G2765*M2765</f>
        <v>22.594080000000002</v>
      </c>
      <c r="O2765" s="1719">
        <f>H2765*M2765</f>
        <v>0.15815856</v>
      </c>
      <c r="P2765" s="1720">
        <f>M2765*K2765</f>
        <v>3.2517399936000002E-2</v>
      </c>
      <c r="Q2765" s="3396"/>
      <c r="R2765" s="2337"/>
      <c r="S2765" s="16"/>
      <c r="T2765" s="16"/>
      <c r="U2765" s="16"/>
      <c r="V2765" s="16"/>
    </row>
    <row r="2766" spans="1:22">
      <c r="A2766" s="16"/>
      <c r="B2766" s="1320"/>
      <c r="C2766" s="1356" t="s">
        <v>1918</v>
      </c>
      <c r="D2766" s="1311"/>
      <c r="E2766" s="1854" t="s">
        <v>1517</v>
      </c>
      <c r="F2766" s="1749" t="s">
        <v>1919</v>
      </c>
      <c r="G2766" s="1688"/>
      <c r="H2766" s="1366">
        <v>1E-3</v>
      </c>
      <c r="I2766" s="1388"/>
      <c r="J2766" s="1388"/>
      <c r="K2766" s="1510"/>
      <c r="L2766" s="1445"/>
      <c r="M2766" s="1447"/>
      <c r="N2766" s="1447">
        <f>SUM(N2767:N2769)</f>
        <v>193.28545</v>
      </c>
      <c r="O2766" s="1447">
        <f>SUM(O2767:O2769)</f>
        <v>0.19328545000000003</v>
      </c>
      <c r="P2766" s="1446">
        <f>SUM(P2767:P2769)</f>
        <v>3.9739488520000005E-2</v>
      </c>
      <c r="Q2766" s="3391"/>
      <c r="S2766" s="16"/>
      <c r="T2766" s="16"/>
      <c r="U2766" s="16"/>
      <c r="V2766" s="16"/>
    </row>
    <row r="2767" spans="1:22">
      <c r="A2767" s="16"/>
      <c r="B2767" s="1320"/>
      <c r="C2767" s="1042"/>
      <c r="D2767" s="1752" t="s">
        <v>1069</v>
      </c>
      <c r="E2767" s="1852" t="s">
        <v>1517</v>
      </c>
      <c r="F2767" s="1752" t="s">
        <v>1578</v>
      </c>
      <c r="G2767" s="1941">
        <v>0.89100000000000001</v>
      </c>
      <c r="H2767" s="1453">
        <f>G2767*$H$2766</f>
        <v>8.9100000000000008E-4</v>
      </c>
      <c r="I2767" s="1289"/>
      <c r="J2767" s="198"/>
      <c r="K2767" s="1732">
        <f>H2767*$K$2756</f>
        <v>1.8318960000000001E-4</v>
      </c>
      <c r="L2767" s="1335">
        <f t="shared" ref="L2767:L2769" si="202">K2767*$K$2352</f>
        <v>0</v>
      </c>
      <c r="M2767" s="1499">
        <v>0.55000000000000004</v>
      </c>
      <c r="N2767" s="1718">
        <f>G2767*M2767</f>
        <v>0.49005000000000004</v>
      </c>
      <c r="O2767" s="1740">
        <f>H2767*M2767</f>
        <v>4.9005000000000012E-4</v>
      </c>
      <c r="P2767" s="1731">
        <f>M2767*K2767</f>
        <v>1.0075428000000001E-4</v>
      </c>
      <c r="Q2767" s="3396"/>
      <c r="R2767" s="2337"/>
      <c r="S2767" s="16"/>
      <c r="T2767" s="16"/>
      <c r="U2767" s="16"/>
      <c r="V2767" s="16"/>
    </row>
    <row r="2768" spans="1:22">
      <c r="A2768" s="16"/>
      <c r="B2768" s="1320"/>
      <c r="C2768" s="1042"/>
      <c r="D2768" s="1752" t="s">
        <v>1145</v>
      </c>
      <c r="E2768" s="1852" t="s">
        <v>1577</v>
      </c>
      <c r="F2768" s="1752" t="s">
        <v>1690</v>
      </c>
      <c r="G2768" s="1941">
        <v>0.51500000000000001</v>
      </c>
      <c r="H2768" s="1453">
        <f t="shared" ref="H2768:H2769" si="203">G2768*$H$2766</f>
        <v>5.1500000000000005E-4</v>
      </c>
      <c r="I2768" s="1289"/>
      <c r="J2768" s="198"/>
      <c r="K2768" s="1732">
        <f>H2768*$K$2756</f>
        <v>1.0588400000000002E-4</v>
      </c>
      <c r="L2768" s="1335">
        <f t="shared" si="202"/>
        <v>0</v>
      </c>
      <c r="M2768" s="1499">
        <v>246.4</v>
      </c>
      <c r="N2768" s="1718">
        <f>G2768*M2768</f>
        <v>126.896</v>
      </c>
      <c r="O2768" s="1719">
        <f>H2768*M2768</f>
        <v>0.12689600000000001</v>
      </c>
      <c r="P2768" s="1720">
        <f>M2768*K2768</f>
        <v>2.6089817600000006E-2</v>
      </c>
      <c r="Q2768" s="3396"/>
      <c r="R2768" s="2337"/>
      <c r="S2768" s="16"/>
      <c r="T2768" s="16"/>
      <c r="U2768" s="16"/>
      <c r="V2768" s="16"/>
    </row>
    <row r="2769" spans="1:22">
      <c r="A2769" s="16"/>
      <c r="B2769" s="1320"/>
      <c r="C2769" s="1042"/>
      <c r="D2769" s="1754" t="s">
        <v>1067</v>
      </c>
      <c r="E2769" s="1853" t="s">
        <v>1508</v>
      </c>
      <c r="F2769" s="1754" t="s">
        <v>1512</v>
      </c>
      <c r="G2769" s="1942">
        <v>3.605</v>
      </c>
      <c r="H2769" s="1454">
        <f t="shared" si="203"/>
        <v>3.6050000000000001E-3</v>
      </c>
      <c r="I2769" s="1289"/>
      <c r="J2769" s="198"/>
      <c r="K2769" s="1307">
        <f>H2769*$K$2756</f>
        <v>7.4118800000000005E-4</v>
      </c>
      <c r="L2769" s="1335">
        <f t="shared" si="202"/>
        <v>0</v>
      </c>
      <c r="M2769" s="1499">
        <v>18.28</v>
      </c>
      <c r="N2769" s="1718">
        <f>G2769*M2769</f>
        <v>65.8994</v>
      </c>
      <c r="O2769" s="1719">
        <f>H2769*M2769</f>
        <v>6.5899400000000011E-2</v>
      </c>
      <c r="P2769" s="1720">
        <f>M2769*K2769</f>
        <v>1.3548916640000002E-2</v>
      </c>
      <c r="Q2769" s="3396"/>
      <c r="R2769" s="2337"/>
      <c r="S2769" s="16"/>
      <c r="T2769" s="16"/>
      <c r="U2769" s="16"/>
      <c r="V2769" s="16"/>
    </row>
    <row r="2770" spans="1:22">
      <c r="A2770" s="16"/>
      <c r="B2770" s="1320"/>
      <c r="C2770" s="1042"/>
      <c r="D2770" s="1752"/>
      <c r="E2770" s="1852"/>
      <c r="F2770" s="1752"/>
      <c r="G2770" s="1941"/>
      <c r="H2770" s="1453"/>
      <c r="I2770" s="1289"/>
      <c r="J2770" s="198"/>
      <c r="K2770" s="1307"/>
      <c r="L2770" s="1335"/>
      <c r="M2770" s="1723"/>
      <c r="N2770" s="1718"/>
      <c r="O2770" s="1719"/>
      <c r="P2770" s="1720"/>
      <c r="Q2770" s="3396"/>
      <c r="R2770" s="2337"/>
      <c r="S2770" s="16"/>
      <c r="T2770" s="16"/>
      <c r="U2770" s="16"/>
      <c r="V2770" s="16"/>
    </row>
    <row r="2771" spans="1:22">
      <c r="A2771" s="16"/>
      <c r="B2771" s="1320"/>
      <c r="C2771" s="1042"/>
      <c r="D2771" s="1752"/>
      <c r="E2771" s="1852"/>
      <c r="F2771" s="1752"/>
      <c r="G2771" s="1941"/>
      <c r="H2771" s="1453"/>
      <c r="I2771" s="1289"/>
      <c r="J2771" s="198"/>
      <c r="K2771" s="1307"/>
      <c r="L2771" s="1335"/>
      <c r="M2771" s="1723"/>
      <c r="N2771" s="1718"/>
      <c r="O2771" s="1719"/>
      <c r="P2771" s="1720"/>
      <c r="Q2771" s="3396"/>
      <c r="R2771" s="2337"/>
      <c r="S2771" s="16"/>
      <c r="T2771" s="16"/>
      <c r="U2771" s="16"/>
      <c r="V2771" s="16"/>
    </row>
    <row r="2772" spans="1:22">
      <c r="A2772" s="16"/>
      <c r="B2772" s="1320"/>
      <c r="C2772" s="1320"/>
      <c r="D2772" s="1410"/>
      <c r="E2772" s="1858"/>
      <c r="F2772" s="1360" t="s">
        <v>2</v>
      </c>
      <c r="G2772" s="1360"/>
      <c r="H2772" s="1362"/>
      <c r="I2772" s="1380"/>
      <c r="J2772" s="1381"/>
      <c r="K2772" s="1359"/>
      <c r="L2772" s="1458"/>
      <c r="M2772" s="1502"/>
      <c r="N2772" s="1502"/>
      <c r="O2772" s="1362"/>
      <c r="P2772" s="1359"/>
      <c r="Q2772" s="3387"/>
      <c r="R2772" s="2337"/>
      <c r="S2772" s="16"/>
      <c r="T2772" s="16"/>
      <c r="U2772" s="16"/>
      <c r="V2772" s="16"/>
    </row>
    <row r="2773" spans="1:22">
      <c r="A2773" s="16"/>
      <c r="B2773" s="1042"/>
      <c r="C2773" s="1356" t="s">
        <v>1755</v>
      </c>
      <c r="D2773" s="1311"/>
      <c r="E2773" s="2163" t="s">
        <v>1508</v>
      </c>
      <c r="F2773" s="1648" t="s">
        <v>1524</v>
      </c>
      <c r="G2773" s="1353"/>
      <c r="H2773" s="1954">
        <v>0.3</v>
      </c>
      <c r="I2773" s="1444"/>
      <c r="J2773" s="1388"/>
      <c r="K2773" s="1445"/>
      <c r="L2773" s="1457"/>
      <c r="M2773" s="1447"/>
      <c r="N2773" s="1447">
        <f>SUM(N2774:N2775)</f>
        <v>37.510000000000005</v>
      </c>
      <c r="O2773" s="1447">
        <f>SUM(O2774:O2775)</f>
        <v>11.253</v>
      </c>
      <c r="P2773" s="1447">
        <f>SUM(P2774:P2775)</f>
        <v>2.3136168000000001</v>
      </c>
      <c r="Q2773" s="3391"/>
      <c r="R2773" s="2337"/>
      <c r="S2773" s="16"/>
      <c r="T2773" s="17"/>
      <c r="U2773" s="16"/>
      <c r="V2773" s="16"/>
    </row>
    <row r="2774" spans="1:22">
      <c r="A2774" s="16"/>
      <c r="B2774" s="1042"/>
      <c r="C2774" s="88"/>
      <c r="D2774" s="1430" t="s">
        <v>1067</v>
      </c>
      <c r="E2774" s="1857" t="s">
        <v>1508</v>
      </c>
      <c r="F2774" s="1403" t="s">
        <v>5</v>
      </c>
      <c r="G2774" s="1431">
        <v>1</v>
      </c>
      <c r="H2774" s="1408">
        <f>G2774*$H$2773</f>
        <v>0.3</v>
      </c>
      <c r="I2774" s="1286"/>
      <c r="J2774" s="198"/>
      <c r="K2774" s="1307">
        <f>H2774*$K$2756</f>
        <v>6.1679999999999999E-2</v>
      </c>
      <c r="L2774" s="1335">
        <f t="shared" ref="L2774:L2775" si="204">K2774*$K$2352</f>
        <v>0</v>
      </c>
      <c r="M2774" s="1302">
        <v>18.28</v>
      </c>
      <c r="N2774" s="1718">
        <f>G2774*M2774</f>
        <v>18.28</v>
      </c>
      <c r="O2774" s="1290">
        <f>H2774*M2774</f>
        <v>5.484</v>
      </c>
      <c r="P2774" s="1332">
        <f>M2774*K2774</f>
        <v>1.1275104</v>
      </c>
      <c r="Q2774" s="3391"/>
      <c r="R2774" s="2337"/>
      <c r="S2774" s="16"/>
      <c r="T2774" s="17"/>
      <c r="U2774" s="16"/>
      <c r="V2774" s="16"/>
    </row>
    <row r="2775" spans="1:22">
      <c r="A2775" s="16"/>
      <c r="B2775" s="1042"/>
      <c r="C2775" s="88"/>
      <c r="D2775" s="1430" t="s">
        <v>1077</v>
      </c>
      <c r="E2775" s="1857" t="s">
        <v>1508</v>
      </c>
      <c r="F2775" s="1403" t="s">
        <v>37</v>
      </c>
      <c r="G2775" s="1431">
        <v>1</v>
      </c>
      <c r="H2775" s="1408">
        <f>G2775*$H$2773</f>
        <v>0.3</v>
      </c>
      <c r="I2775" s="197">
        <f ca="1">IF(COUNT(H2775:L2775)=0,"",(SUM(H2775:L2775)/COUNT(H2775:L2775)))</f>
        <v>0.12075779064970227</v>
      </c>
      <c r="J2775" s="198"/>
      <c r="K2775" s="1307">
        <f>H2775*$K$2756</f>
        <v>6.1679999999999999E-2</v>
      </c>
      <c r="L2775" s="1335">
        <f t="shared" si="204"/>
        <v>0</v>
      </c>
      <c r="M2775" s="1302">
        <v>19.23</v>
      </c>
      <c r="N2775" s="1718">
        <f>G2775*M2775</f>
        <v>19.23</v>
      </c>
      <c r="O2775" s="1290">
        <f>H2775*M2775</f>
        <v>5.7690000000000001</v>
      </c>
      <c r="P2775" s="1332">
        <f>M2775*K2775</f>
        <v>1.1861063999999999</v>
      </c>
      <c r="Q2775" s="3391"/>
      <c r="R2775" s="2337"/>
      <c r="S2775" s="16"/>
      <c r="T2775" s="17"/>
      <c r="U2775" s="16"/>
      <c r="V2775" s="16"/>
    </row>
    <row r="2776" spans="1:22">
      <c r="A2776" s="16"/>
      <c r="B2776" s="1320"/>
      <c r="C2776" s="1042"/>
      <c r="D2776" s="1402"/>
      <c r="E2776" s="1857"/>
      <c r="F2776" s="1645"/>
      <c r="G2776" s="1362"/>
      <c r="H2776" s="1359"/>
      <c r="I2776" s="198"/>
      <c r="J2776" s="6"/>
      <c r="K2776" s="1307"/>
      <c r="L2776" s="1646"/>
      <c r="M2776" s="1499"/>
      <c r="N2776" s="1499"/>
      <c r="O2776" s="1291"/>
      <c r="P2776" s="1332"/>
      <c r="Q2776" s="3391"/>
      <c r="R2776" s="2337"/>
      <c r="S2776" s="16"/>
      <c r="T2776" s="16"/>
      <c r="U2776" s="16"/>
      <c r="V2776" s="16"/>
    </row>
    <row r="2777" spans="1:22">
      <c r="A2777" s="16"/>
      <c r="B2777" s="1320"/>
      <c r="C2777" s="1042"/>
      <c r="D2777" s="1402"/>
      <c r="E2777" s="1857"/>
      <c r="F2777" s="1403"/>
      <c r="G2777" s="1362"/>
      <c r="H2777" s="1359"/>
      <c r="I2777" s="198"/>
      <c r="J2777" s="6"/>
      <c r="K2777" s="1307"/>
      <c r="L2777" s="1335"/>
      <c r="M2777" s="1499"/>
      <c r="N2777" s="1701"/>
      <c r="O2777" s="1290"/>
      <c r="P2777" s="1332"/>
      <c r="Q2777" s="3391"/>
      <c r="R2777" s="2337"/>
      <c r="S2777" s="16"/>
      <c r="T2777" s="16"/>
      <c r="U2777" s="16"/>
      <c r="V2777" s="16"/>
    </row>
    <row r="2778" spans="1:22">
      <c r="A2778" s="16"/>
      <c r="B2778" s="1320"/>
      <c r="C2778" s="1042"/>
      <c r="D2778" s="1411"/>
      <c r="E2778" s="2123"/>
      <c r="F2778" s="1374" t="s">
        <v>3</v>
      </c>
      <c r="G2778" s="1374"/>
      <c r="H2778" s="1376"/>
      <c r="I2778" s="1382"/>
      <c r="J2778" s="1383"/>
      <c r="K2778" s="1373"/>
      <c r="L2778" s="1413"/>
      <c r="M2778" s="1505"/>
      <c r="N2778" s="1505"/>
      <c r="O2778" s="1376"/>
      <c r="P2778" s="1413"/>
      <c r="Q2778" s="3387"/>
      <c r="R2778" s="2337"/>
      <c r="S2778" s="16"/>
      <c r="T2778" s="16"/>
      <c r="U2778" s="16"/>
      <c r="V2778" s="16"/>
    </row>
    <row r="2779" spans="1:22">
      <c r="A2779" s="16"/>
      <c r="B2779" s="1320"/>
      <c r="C2779" s="1042"/>
      <c r="D2779" s="1412"/>
      <c r="E2779" s="2124"/>
      <c r="F2779" s="1378"/>
      <c r="G2779" s="1378"/>
      <c r="H2779" s="1379"/>
      <c r="I2779" s="198"/>
      <c r="J2779" s="6"/>
      <c r="K2779" s="1307"/>
      <c r="L2779" s="1335"/>
      <c r="M2779" s="1499"/>
      <c r="N2779" s="1701"/>
      <c r="O2779" s="1290"/>
      <c r="P2779" s="1332"/>
      <c r="Q2779" s="3391"/>
      <c r="R2779" s="2337"/>
      <c r="S2779" s="16"/>
      <c r="T2779" s="16"/>
      <c r="U2779" s="16"/>
      <c r="V2779" s="16"/>
    </row>
    <row r="2780" spans="1:22">
      <c r="A2780" s="16"/>
      <c r="B2780" s="1320"/>
      <c r="C2780" s="1042"/>
      <c r="D2780" s="1440"/>
      <c r="E2780" s="2132"/>
      <c r="F2780" s="1441"/>
      <c r="G2780" s="1441"/>
      <c r="H2780" s="1442"/>
      <c r="I2780" s="197"/>
      <c r="J2780" s="198"/>
      <c r="K2780" s="1307"/>
      <c r="L2780" s="1335"/>
      <c r="M2780" s="1499"/>
      <c r="N2780" s="1701"/>
      <c r="O2780" s="1290"/>
      <c r="P2780" s="1332"/>
      <c r="Q2780" s="3391"/>
      <c r="R2780" s="2337"/>
      <c r="S2780" s="16"/>
      <c r="T2780" s="16"/>
      <c r="U2780" s="16"/>
      <c r="V2780" s="16"/>
    </row>
    <row r="2781" spans="1:22">
      <c r="A2781" s="16"/>
      <c r="B2781" s="1320"/>
      <c r="C2781" s="1042"/>
      <c r="D2781" s="1440"/>
      <c r="E2781" s="2132"/>
      <c r="F2781" s="1441"/>
      <c r="G2781" s="1441"/>
      <c r="H2781" s="1442"/>
      <c r="I2781" s="197"/>
      <c r="J2781" s="198"/>
      <c r="K2781" s="1307"/>
      <c r="L2781" s="1335"/>
      <c r="M2781" s="1499"/>
      <c r="N2781" s="1701"/>
      <c r="O2781" s="1290"/>
      <c r="P2781" s="1332"/>
      <c r="Q2781" s="3391"/>
      <c r="R2781" s="2337"/>
      <c r="S2781" s="16"/>
      <c r="T2781" s="16"/>
      <c r="U2781" s="16"/>
      <c r="V2781" s="16"/>
    </row>
    <row r="2782" spans="1:22" ht="15" customHeight="1">
      <c r="A2782" s="19" t="s">
        <v>3764</v>
      </c>
      <c r="B2782" s="4325" t="s">
        <v>1920</v>
      </c>
      <c r="C2782" s="3350"/>
      <c r="D2782" s="4327"/>
      <c r="E2782" s="4329" t="s">
        <v>1527</v>
      </c>
      <c r="F2782" s="4336" t="s">
        <v>1921</v>
      </c>
      <c r="G2782" s="4331" t="s">
        <v>1568</v>
      </c>
      <c r="H2782" s="4331" t="s">
        <v>1574</v>
      </c>
      <c r="I2782" s="1572" t="s">
        <v>1559</v>
      </c>
      <c r="J2782" s="1294" t="s">
        <v>1560</v>
      </c>
      <c r="K2782" s="1294" t="s">
        <v>1561</v>
      </c>
      <c r="L2782" s="4333" t="s">
        <v>3765</v>
      </c>
      <c r="M2782" s="4335" t="s">
        <v>1571</v>
      </c>
      <c r="N2782" s="4323" t="s">
        <v>1776</v>
      </c>
      <c r="O2782" s="3347" t="s">
        <v>1563</v>
      </c>
      <c r="P2782" s="1336" t="s">
        <v>1562</v>
      </c>
      <c r="Q2782" s="3389"/>
      <c r="R2782" s="1839" t="s">
        <v>1327</v>
      </c>
      <c r="S2782" s="16"/>
      <c r="T2782" s="16"/>
      <c r="U2782" s="16"/>
      <c r="V2782" s="16"/>
    </row>
    <row r="2783" spans="1:22" ht="15" customHeight="1">
      <c r="A2783" s="1807" t="s">
        <v>1887</v>
      </c>
      <c r="B2783" s="4326"/>
      <c r="C2783" s="3351"/>
      <c r="D2783" s="4328"/>
      <c r="E2783" s="4389"/>
      <c r="F2783" s="4336"/>
      <c r="G2783" s="4332"/>
      <c r="H2783" s="4332"/>
      <c r="I2783" s="1345">
        <v>33</v>
      </c>
      <c r="J2783" s="1307">
        <v>2E-3</v>
      </c>
      <c r="K2783" s="1307">
        <f>I2783*J2783</f>
        <v>6.6000000000000003E-2</v>
      </c>
      <c r="L2783" s="4334"/>
      <c r="M2783" s="4335"/>
      <c r="N2783" s="4324"/>
      <c r="O2783" s="1298">
        <f>O2785+O2786+O2792+O2799</f>
        <v>26.581520909999998</v>
      </c>
      <c r="P2783" s="1337">
        <f>O2783*K2783</f>
        <v>1.75438038006</v>
      </c>
      <c r="Q2783" s="3390"/>
      <c r="R2783" s="1840">
        <f>P2785+P2786+P2792+P2799</f>
        <v>1.7703014180400001</v>
      </c>
      <c r="S2783" s="16"/>
      <c r="T2783" s="16"/>
      <c r="U2783" s="16"/>
      <c r="V2783" s="16"/>
    </row>
    <row r="2784" spans="1:22">
      <c r="A2784" s="16"/>
      <c r="B2784" s="1327"/>
      <c r="C2784" s="1327"/>
      <c r="D2784" s="1400"/>
      <c r="E2784" s="2121"/>
      <c r="F2784" s="1368" t="s">
        <v>1</v>
      </c>
      <c r="G2784" s="1417"/>
      <c r="H2784" s="1390"/>
      <c r="I2784" s="1554"/>
      <c r="J2784" s="1367"/>
      <c r="K2784" s="1367"/>
      <c r="L2784" s="1554"/>
      <c r="M2784" s="1369"/>
      <c r="N2784" s="1369"/>
      <c r="O2784" s="1369"/>
      <c r="P2784" s="1367"/>
      <c r="Q2784" s="3387"/>
      <c r="R2784" s="2337"/>
      <c r="S2784" s="16"/>
      <c r="T2784" s="16"/>
      <c r="U2784" s="16"/>
      <c r="V2784" s="16"/>
    </row>
    <row r="2785" spans="1:22">
      <c r="A2785" s="16"/>
      <c r="B2785" s="1320"/>
      <c r="C2785" s="1042"/>
      <c r="D2785" s="1598" t="s">
        <v>1922</v>
      </c>
      <c r="E2785" s="2154" t="s">
        <v>1527</v>
      </c>
      <c r="F2785" s="1598" t="s">
        <v>1923</v>
      </c>
      <c r="G2785" s="1612">
        <v>1.1020000000000001</v>
      </c>
      <c r="H2785" s="1453"/>
      <c r="I2785" s="197"/>
      <c r="J2785" s="198"/>
      <c r="K2785" s="1307">
        <f>G2785*$K$2783</f>
        <v>7.2732000000000005E-2</v>
      </c>
      <c r="L2785" s="1335">
        <f>K2785*$K$2352</f>
        <v>0</v>
      </c>
      <c r="M2785" s="1499">
        <v>11.2</v>
      </c>
      <c r="N2785" s="1718"/>
      <c r="O2785" s="1719">
        <f>G2785*M2785</f>
        <v>12.3424</v>
      </c>
      <c r="P2785" s="1720">
        <f>M2785*K2785</f>
        <v>0.81459840000000006</v>
      </c>
      <c r="Q2785" s="3396"/>
      <c r="R2785" s="2337"/>
      <c r="S2785" s="16"/>
      <c r="T2785" s="16"/>
      <c r="U2785" s="16"/>
      <c r="V2785" s="16"/>
    </row>
    <row r="2786" spans="1:22">
      <c r="A2786" s="16"/>
      <c r="B2786" s="1320"/>
      <c r="C2786" s="1356" t="s">
        <v>1119</v>
      </c>
      <c r="D2786" s="1311"/>
      <c r="E2786" s="1854" t="s">
        <v>1517</v>
      </c>
      <c r="F2786" s="1749" t="s">
        <v>1917</v>
      </c>
      <c r="G2786" s="1688"/>
      <c r="H2786" s="1366">
        <v>1.2E-2</v>
      </c>
      <c r="I2786" s="1388"/>
      <c r="J2786" s="1388"/>
      <c r="K2786" s="1510"/>
      <c r="L2786" s="1445"/>
      <c r="M2786" s="1447"/>
      <c r="N2786" s="1447">
        <f>SUM(N2787:N2791)</f>
        <v>83.047780000000003</v>
      </c>
      <c r="O2786" s="1447">
        <f>SUM(O2787:O2791)</f>
        <v>0.99657335999999996</v>
      </c>
      <c r="P2786" s="1446">
        <f>SUM(P2787:P2791)</f>
        <v>6.5773841760000007E-2</v>
      </c>
      <c r="Q2786" s="3391"/>
      <c r="S2786" s="16"/>
      <c r="T2786" s="16"/>
      <c r="U2786" s="16"/>
      <c r="V2786" s="16"/>
    </row>
    <row r="2787" spans="1:22">
      <c r="A2787" s="16"/>
      <c r="B2787" s="1320"/>
      <c r="C2787" s="18"/>
      <c r="D2787" s="1752" t="s">
        <v>1069</v>
      </c>
      <c r="E2787" s="1852" t="s">
        <v>1517</v>
      </c>
      <c r="F2787" s="1752" t="s">
        <v>1578</v>
      </c>
      <c r="G2787" s="1941">
        <v>0.2</v>
      </c>
      <c r="H2787" s="1453">
        <f>G2787*$H$2786</f>
        <v>2.4000000000000002E-3</v>
      </c>
      <c r="I2787" s="198"/>
      <c r="J2787" s="198"/>
      <c r="K2787" s="1732">
        <f>H2787*$K$2783</f>
        <v>1.5840000000000003E-4</v>
      </c>
      <c r="L2787" s="1335">
        <f t="shared" ref="L2787:L2791" si="205">K2787*$K$2352</f>
        <v>0</v>
      </c>
      <c r="M2787" s="1499">
        <v>0.55000000000000004</v>
      </c>
      <c r="N2787" s="1718">
        <f>G2787*M2787</f>
        <v>0.11000000000000001</v>
      </c>
      <c r="O2787" s="1719">
        <f>H2787*M2787</f>
        <v>1.3200000000000002E-3</v>
      </c>
      <c r="P2787" s="1720">
        <f>M2787*K2787</f>
        <v>8.712000000000002E-5</v>
      </c>
      <c r="Q2787" s="3396"/>
      <c r="R2787" s="2337"/>
      <c r="S2787" s="16"/>
      <c r="T2787" s="16"/>
      <c r="U2787" s="16"/>
      <c r="V2787" s="16"/>
    </row>
    <row r="2788" spans="1:22">
      <c r="A2788" s="16"/>
      <c r="B2788" s="1320"/>
      <c r="C2788" s="1042"/>
      <c r="D2788" s="1752" t="s">
        <v>1792</v>
      </c>
      <c r="E2788" s="1852" t="s">
        <v>1577</v>
      </c>
      <c r="F2788" s="1752" t="s">
        <v>1793</v>
      </c>
      <c r="G2788" s="1941">
        <v>0.19</v>
      </c>
      <c r="H2788" s="1453">
        <f t="shared" ref="H2788:H2790" si="206">G2788*$H$2786</f>
        <v>2.2799999999999999E-3</v>
      </c>
      <c r="I2788" s="197"/>
      <c r="J2788" s="198"/>
      <c r="K2788" s="1732">
        <f>H2788*$K$2783</f>
        <v>1.5048000000000001E-4</v>
      </c>
      <c r="L2788" s="1335">
        <f t="shared" si="205"/>
        <v>0</v>
      </c>
      <c r="M2788" s="1499">
        <v>85.09</v>
      </c>
      <c r="N2788" s="1718">
        <f>G2788*M2788</f>
        <v>16.167100000000001</v>
      </c>
      <c r="O2788" s="1719">
        <f>H2788*M2788</f>
        <v>0.19400519999999999</v>
      </c>
      <c r="P2788" s="1720">
        <f>M2788*K2788</f>
        <v>1.2804343200000002E-2</v>
      </c>
      <c r="Q2788" s="3396"/>
      <c r="R2788" s="2337"/>
      <c r="S2788" s="16"/>
      <c r="T2788" s="16"/>
      <c r="U2788" s="16"/>
      <c r="V2788" s="16"/>
    </row>
    <row r="2789" spans="1:22">
      <c r="A2789" s="16"/>
      <c r="B2789" s="1320"/>
      <c r="C2789" s="1042"/>
      <c r="D2789" s="1752" t="s">
        <v>1394</v>
      </c>
      <c r="E2789" s="1852" t="s">
        <v>1577</v>
      </c>
      <c r="F2789" s="1752" t="s">
        <v>1579</v>
      </c>
      <c r="G2789" s="1941">
        <v>0.38</v>
      </c>
      <c r="H2789" s="1453">
        <f t="shared" si="206"/>
        <v>4.5599999999999998E-3</v>
      </c>
      <c r="I2789" s="1289"/>
      <c r="J2789" s="198"/>
      <c r="K2789" s="1732">
        <f>H2789*$K$2783</f>
        <v>3.0096000000000002E-4</v>
      </c>
      <c r="L2789" s="1335">
        <f t="shared" si="205"/>
        <v>0</v>
      </c>
      <c r="M2789" s="1499">
        <v>92.54</v>
      </c>
      <c r="N2789" s="1718">
        <f>G2789*M2789</f>
        <v>35.165200000000006</v>
      </c>
      <c r="O2789" s="1719">
        <f>H2789*M2789</f>
        <v>0.42198240000000004</v>
      </c>
      <c r="P2789" s="1720">
        <f>M2789*K2789</f>
        <v>2.7850838400000005E-2</v>
      </c>
      <c r="Q2789" s="3396"/>
      <c r="R2789" s="2337"/>
      <c r="S2789" s="16"/>
      <c r="T2789" s="16"/>
      <c r="U2789" s="16"/>
      <c r="V2789" s="16"/>
    </row>
    <row r="2790" spans="1:22">
      <c r="A2790" s="16"/>
      <c r="B2790" s="1320"/>
      <c r="C2790" s="1042"/>
      <c r="D2790" s="1752" t="s">
        <v>1576</v>
      </c>
      <c r="E2790" s="1852" t="s">
        <v>1517</v>
      </c>
      <c r="F2790" s="1752" t="s">
        <v>1580</v>
      </c>
      <c r="G2790" s="1941">
        <v>1.38</v>
      </c>
      <c r="H2790" s="1453">
        <f t="shared" si="206"/>
        <v>1.6559999999999998E-2</v>
      </c>
      <c r="I2790" s="1289"/>
      <c r="J2790" s="198"/>
      <c r="K2790" s="1307">
        <f>H2790*$K$2783</f>
        <v>1.09296E-3</v>
      </c>
      <c r="L2790" s="1335">
        <f t="shared" si="205"/>
        <v>0</v>
      </c>
      <c r="M2790" s="1499">
        <v>6.53</v>
      </c>
      <c r="N2790" s="1718">
        <f>G2790*M2790</f>
        <v>9.0114000000000001</v>
      </c>
      <c r="O2790" s="1719">
        <f>H2790*M2790</f>
        <v>0.10813679999999999</v>
      </c>
      <c r="P2790" s="1720">
        <f>M2790*K2790</f>
        <v>7.1370288000000004E-3</v>
      </c>
      <c r="Q2790" s="3396"/>
      <c r="R2790" s="2337"/>
      <c r="S2790" s="16"/>
      <c r="T2790" s="16"/>
      <c r="U2790" s="16"/>
      <c r="V2790" s="16"/>
    </row>
    <row r="2791" spans="1:22">
      <c r="A2791" s="16"/>
      <c r="B2791" s="1320"/>
      <c r="C2791" s="1042"/>
      <c r="D2791" s="1754" t="s">
        <v>1067</v>
      </c>
      <c r="E2791" s="1853" t="s">
        <v>1508</v>
      </c>
      <c r="F2791" s="1754" t="s">
        <v>1512</v>
      </c>
      <c r="G2791" s="1942">
        <v>1.236</v>
      </c>
      <c r="H2791" s="1454">
        <f>G2791*$H$2786</f>
        <v>1.4832E-2</v>
      </c>
      <c r="I2791" s="1289"/>
      <c r="J2791" s="198"/>
      <c r="K2791" s="1307">
        <f>H2791*$K$2783</f>
        <v>9.7891199999999997E-4</v>
      </c>
      <c r="L2791" s="1335">
        <f t="shared" si="205"/>
        <v>0</v>
      </c>
      <c r="M2791" s="1499">
        <v>18.28</v>
      </c>
      <c r="N2791" s="1718">
        <f>G2791*M2791</f>
        <v>22.594080000000002</v>
      </c>
      <c r="O2791" s="1719">
        <f>H2791*M2791</f>
        <v>0.27112896000000003</v>
      </c>
      <c r="P2791" s="1720">
        <f>M2791*K2791</f>
        <v>1.789451136E-2</v>
      </c>
      <c r="Q2791" s="3396"/>
      <c r="R2791" s="2337"/>
      <c r="S2791" s="16"/>
      <c r="T2791" s="16"/>
      <c r="U2791" s="16"/>
      <c r="V2791" s="16"/>
    </row>
    <row r="2792" spans="1:22">
      <c r="A2792" s="16"/>
      <c r="B2792" s="1320"/>
      <c r="C2792" s="1658" t="s">
        <v>1155</v>
      </c>
      <c r="D2792" s="1311"/>
      <c r="E2792" s="1855" t="s">
        <v>1517</v>
      </c>
      <c r="F2792" s="1647" t="s">
        <v>1544</v>
      </c>
      <c r="G2792" s="1830" t="s">
        <v>1551</v>
      </c>
      <c r="H2792" s="1830">
        <v>1E-3</v>
      </c>
      <c r="I2792" s="1444"/>
      <c r="J2792" s="1388"/>
      <c r="K2792" s="1953"/>
      <c r="L2792" s="1445"/>
      <c r="M2792" s="1447"/>
      <c r="N2792" s="1447">
        <f>SUM(N2793:N2795)</f>
        <v>114.04755</v>
      </c>
      <c r="O2792" s="1447">
        <f>SUM(O2793:O2795)</f>
        <v>0.11404755000000003</v>
      </c>
      <c r="P2792" s="1446">
        <f>SUM(P2793:P2795)</f>
        <v>2.3448176280000003E-2</v>
      </c>
      <c r="Q2792" s="3391"/>
      <c r="R2792" s="1296"/>
      <c r="S2792" s="16"/>
      <c r="T2792" s="16"/>
      <c r="U2792" s="16"/>
      <c r="V2792" s="16"/>
    </row>
    <row r="2793" spans="1:22">
      <c r="A2793" s="16"/>
      <c r="B2793" s="1320"/>
      <c r="C2793" s="1042"/>
      <c r="D2793" s="1451" t="s">
        <v>1069</v>
      </c>
      <c r="E2793" s="1856" t="s">
        <v>1517</v>
      </c>
      <c r="F2793" s="1421" t="s">
        <v>1578</v>
      </c>
      <c r="G2793" s="1452">
        <v>0.89100000000000001</v>
      </c>
      <c r="H2793" s="1453">
        <f>$H$2792*G2793</f>
        <v>8.9100000000000008E-4</v>
      </c>
      <c r="I2793" s="1286"/>
      <c r="J2793" s="198"/>
      <c r="K2793" s="1732">
        <f>H2793*$K$2714</f>
        <v>1.8318960000000001E-4</v>
      </c>
      <c r="L2793" s="1335">
        <f t="shared" ref="L2793:L2795" si="207">K2793*$K$2352</f>
        <v>0</v>
      </c>
      <c r="M2793" s="1717">
        <v>0.55000000000000004</v>
      </c>
      <c r="N2793" s="1718">
        <f>G2793*M2793</f>
        <v>0.49005000000000004</v>
      </c>
      <c r="O2793" s="1719">
        <f>H2793*M2793</f>
        <v>4.9005000000000012E-4</v>
      </c>
      <c r="P2793" s="1731">
        <f>M2793*K2793</f>
        <v>1.0075428000000001E-4</v>
      </c>
      <c r="Q2793" s="3396"/>
      <c r="R2793" s="1296"/>
      <c r="S2793" s="16"/>
      <c r="T2793" s="16"/>
      <c r="U2793" s="16"/>
      <c r="V2793" s="16"/>
    </row>
    <row r="2794" spans="1:22">
      <c r="A2794" s="16"/>
      <c r="B2794" s="1320"/>
      <c r="C2794" s="1042"/>
      <c r="D2794" s="1367" t="s">
        <v>1394</v>
      </c>
      <c r="E2794" s="1856" t="s">
        <v>1577</v>
      </c>
      <c r="F2794" s="1421" t="s">
        <v>1579</v>
      </c>
      <c r="G2794" s="1452">
        <v>0.51500000000000001</v>
      </c>
      <c r="H2794" s="1453">
        <f>$H$2792*G2794</f>
        <v>5.1500000000000005E-4</v>
      </c>
      <c r="I2794" s="1286"/>
      <c r="J2794" s="198"/>
      <c r="K2794" s="1732">
        <f>H2794*$K$2714</f>
        <v>1.0588400000000002E-4</v>
      </c>
      <c r="L2794" s="1335">
        <f t="shared" si="207"/>
        <v>0</v>
      </c>
      <c r="M2794" s="1717">
        <v>92.54</v>
      </c>
      <c r="N2794" s="1718">
        <f>G2794*M2794</f>
        <v>47.658100000000005</v>
      </c>
      <c r="O2794" s="1719">
        <f>H2794*M2794</f>
        <v>4.7658100000000009E-2</v>
      </c>
      <c r="P2794" s="1720">
        <f>M2794*K2794</f>
        <v>9.7985053600000028E-3</v>
      </c>
      <c r="Q2794" s="3396"/>
      <c r="R2794" s="1296"/>
      <c r="S2794" s="16"/>
      <c r="T2794" s="16"/>
      <c r="U2794" s="16"/>
      <c r="V2794" s="16"/>
    </row>
    <row r="2795" spans="1:22">
      <c r="A2795" s="16"/>
      <c r="B2795" s="1320"/>
      <c r="C2795" s="1042"/>
      <c r="D2795" s="1359" t="s">
        <v>1067</v>
      </c>
      <c r="E2795" s="1857" t="s">
        <v>1508</v>
      </c>
      <c r="F2795" s="1430" t="s">
        <v>1512</v>
      </c>
      <c r="G2795" s="1431">
        <v>3.605</v>
      </c>
      <c r="H2795" s="1454">
        <f t="shared" ref="H2795" si="208">$H$2792*G2795</f>
        <v>3.6050000000000001E-3</v>
      </c>
      <c r="I2795" s="1286"/>
      <c r="J2795" s="198"/>
      <c r="K2795" s="1307">
        <f>H2795*$K$2714</f>
        <v>7.4118800000000005E-4</v>
      </c>
      <c r="L2795" s="1335">
        <f t="shared" si="207"/>
        <v>0</v>
      </c>
      <c r="M2795" s="1717">
        <v>18.28</v>
      </c>
      <c r="N2795" s="1718">
        <f>G2795*M2795</f>
        <v>65.8994</v>
      </c>
      <c r="O2795" s="1719">
        <f>H2795*M2795</f>
        <v>6.5899400000000011E-2</v>
      </c>
      <c r="P2795" s="1720">
        <f>M2795*K2795</f>
        <v>1.3548916640000002E-2</v>
      </c>
      <c r="Q2795" s="3396"/>
      <c r="R2795" s="1296"/>
      <c r="S2795" s="16"/>
      <c r="T2795" s="16"/>
      <c r="U2795" s="16"/>
      <c r="V2795" s="16"/>
    </row>
    <row r="2796" spans="1:22">
      <c r="A2796" s="16"/>
      <c r="B2796" s="1320"/>
      <c r="C2796" s="1042"/>
      <c r="D2796" s="1752"/>
      <c r="E2796" s="1852"/>
      <c r="F2796" s="1752"/>
      <c r="G2796" s="1941"/>
      <c r="H2796" s="1453"/>
      <c r="I2796" s="1289"/>
      <c r="J2796" s="198"/>
      <c r="K2796" s="1307"/>
      <c r="L2796" s="1335"/>
      <c r="M2796" s="1723"/>
      <c r="N2796" s="1718"/>
      <c r="O2796" s="1719"/>
      <c r="P2796" s="1720"/>
      <c r="Q2796" s="3396"/>
      <c r="R2796" s="2337"/>
      <c r="S2796" s="16"/>
      <c r="T2796" s="16"/>
      <c r="U2796" s="16"/>
      <c r="V2796" s="16"/>
    </row>
    <row r="2797" spans="1:22">
      <c r="A2797" s="16"/>
      <c r="B2797" s="1320"/>
      <c r="C2797" s="1042"/>
      <c r="D2797" s="1752"/>
      <c r="E2797" s="1852"/>
      <c r="F2797" s="1752"/>
      <c r="G2797" s="1941"/>
      <c r="H2797" s="1453"/>
      <c r="I2797" s="1289"/>
      <c r="J2797" s="198"/>
      <c r="K2797" s="1307"/>
      <c r="L2797" s="1335"/>
      <c r="M2797" s="1723"/>
      <c r="N2797" s="1718"/>
      <c r="O2797" s="1719"/>
      <c r="P2797" s="1720"/>
      <c r="Q2797" s="3396"/>
      <c r="R2797" s="2337"/>
      <c r="S2797" s="16"/>
      <c r="T2797" s="16"/>
      <c r="U2797" s="16"/>
      <c r="V2797" s="16"/>
    </row>
    <row r="2798" spans="1:22">
      <c r="A2798" s="16"/>
      <c r="B2798" s="1320"/>
      <c r="C2798" s="1320"/>
      <c r="D2798" s="1410"/>
      <c r="E2798" s="1858"/>
      <c r="F2798" s="1360" t="s">
        <v>2</v>
      </c>
      <c r="G2798" s="1360"/>
      <c r="H2798" s="1362"/>
      <c r="I2798" s="1380"/>
      <c r="J2798" s="1381"/>
      <c r="K2798" s="1359"/>
      <c r="L2798" s="1458"/>
      <c r="M2798" s="1502"/>
      <c r="N2798" s="1502"/>
      <c r="O2798" s="1362"/>
      <c r="P2798" s="1359"/>
      <c r="Q2798" s="3387"/>
      <c r="R2798" s="2337"/>
      <c r="S2798" s="16"/>
      <c r="T2798" s="16"/>
      <c r="U2798" s="16"/>
      <c r="V2798" s="16"/>
    </row>
    <row r="2799" spans="1:22">
      <c r="A2799" s="16"/>
      <c r="B2799" s="1042"/>
      <c r="C2799" s="1356" t="s">
        <v>1755</v>
      </c>
      <c r="D2799" s="1311"/>
      <c r="E2799" s="2163" t="s">
        <v>1508</v>
      </c>
      <c r="F2799" s="1648" t="s">
        <v>1524</v>
      </c>
      <c r="G2799" s="1353"/>
      <c r="H2799" s="1954">
        <v>0.35</v>
      </c>
      <c r="I2799" s="1444"/>
      <c r="J2799" s="1388"/>
      <c r="K2799" s="1445"/>
      <c r="L2799" s="1457"/>
      <c r="M2799" s="1447"/>
      <c r="N2799" s="1447">
        <f>SUM(N2800:N2801)</f>
        <v>37.510000000000005</v>
      </c>
      <c r="O2799" s="1447">
        <f>SUM(O2800:O2801)</f>
        <v>13.128499999999999</v>
      </c>
      <c r="P2799" s="1447">
        <f>SUM(P2800:P2801)</f>
        <v>0.86648100000000006</v>
      </c>
      <c r="Q2799" s="3391"/>
      <c r="R2799" s="2337"/>
      <c r="S2799" s="16"/>
      <c r="T2799" s="16"/>
      <c r="U2799" s="16"/>
      <c r="V2799" s="16"/>
    </row>
    <row r="2800" spans="1:22">
      <c r="A2800" s="16"/>
      <c r="B2800" s="1042"/>
      <c r="C2800" s="88"/>
      <c r="D2800" s="1430" t="s">
        <v>1067</v>
      </c>
      <c r="E2800" s="1857" t="s">
        <v>1508</v>
      </c>
      <c r="F2800" s="1403" t="s">
        <v>5</v>
      </c>
      <c r="G2800" s="1431">
        <v>1</v>
      </c>
      <c r="H2800" s="1408">
        <f>G2800*$H$2799</f>
        <v>0.35</v>
      </c>
      <c r="I2800" s="1286"/>
      <c r="J2800" s="198"/>
      <c r="K2800" s="1307">
        <f>H2800*$K$2783</f>
        <v>2.3099999999999999E-2</v>
      </c>
      <c r="L2800" s="1335">
        <f t="shared" ref="L2800:L2801" si="209">K2800*$K$2352</f>
        <v>0</v>
      </c>
      <c r="M2800" s="1302">
        <v>18.28</v>
      </c>
      <c r="N2800" s="1718">
        <f>G2800*M2800</f>
        <v>18.28</v>
      </c>
      <c r="O2800" s="1290">
        <f>H2800*M2800</f>
        <v>6.3979999999999997</v>
      </c>
      <c r="P2800" s="1332">
        <f>M2800*K2800</f>
        <v>0.42226800000000003</v>
      </c>
      <c r="Q2800" s="3391"/>
      <c r="R2800" s="2337"/>
      <c r="S2800" s="16"/>
      <c r="T2800" s="16"/>
      <c r="U2800" s="16"/>
      <c r="V2800" s="16"/>
    </row>
    <row r="2801" spans="1:22">
      <c r="A2801" s="16"/>
      <c r="B2801" s="1042"/>
      <c r="C2801" s="88"/>
      <c r="D2801" s="1430" t="s">
        <v>1077</v>
      </c>
      <c r="E2801" s="1857" t="s">
        <v>1508</v>
      </c>
      <c r="F2801" s="1403" t="s">
        <v>37</v>
      </c>
      <c r="G2801" s="1431">
        <v>1</v>
      </c>
      <c r="H2801" s="1408">
        <f>G2801*$H$2799</f>
        <v>0.35</v>
      </c>
      <c r="I2801" s="197">
        <f ca="1">IF(COUNT(H2801:L2801)=0,"",(SUM(H2801:L2801)/COUNT(H2801:L2801)))</f>
        <v>0.12444074195862714</v>
      </c>
      <c r="J2801" s="198"/>
      <c r="K2801" s="1307">
        <f>H2801*$K$2783</f>
        <v>2.3099999999999999E-2</v>
      </c>
      <c r="L2801" s="1335">
        <f t="shared" si="209"/>
        <v>0</v>
      </c>
      <c r="M2801" s="1302">
        <v>19.23</v>
      </c>
      <c r="N2801" s="1718">
        <f>G2801*M2801</f>
        <v>19.23</v>
      </c>
      <c r="O2801" s="1290">
        <f>H2801*M2801</f>
        <v>6.7305000000000001</v>
      </c>
      <c r="P2801" s="1332">
        <f>M2801*K2801</f>
        <v>0.44421299999999997</v>
      </c>
      <c r="Q2801" s="3391"/>
      <c r="R2801" s="2337"/>
      <c r="S2801" s="16"/>
      <c r="T2801" s="16"/>
      <c r="U2801" s="16"/>
      <c r="V2801" s="16"/>
    </row>
    <row r="2802" spans="1:22">
      <c r="A2802" s="16"/>
      <c r="B2802" s="1320"/>
      <c r="C2802" s="1042"/>
      <c r="D2802" s="1402"/>
      <c r="E2802" s="1857"/>
      <c r="F2802" s="1645"/>
      <c r="G2802" s="1362"/>
      <c r="H2802" s="1359"/>
      <c r="I2802" s="198"/>
      <c r="J2802" s="6"/>
      <c r="K2802" s="1307"/>
      <c r="L2802" s="1646"/>
      <c r="M2802" s="1499"/>
      <c r="N2802" s="1499"/>
      <c r="O2802" s="1291"/>
      <c r="P2802" s="1332"/>
      <c r="Q2802" s="3391"/>
      <c r="R2802" s="2337"/>
      <c r="S2802" s="16"/>
      <c r="T2802" s="16"/>
      <c r="U2802" s="16"/>
      <c r="V2802" s="16"/>
    </row>
    <row r="2803" spans="1:22">
      <c r="A2803" s="16"/>
      <c r="B2803" s="1320"/>
      <c r="C2803" s="1042"/>
      <c r="D2803" s="1402"/>
      <c r="E2803" s="1857"/>
      <c r="F2803" s="1403"/>
      <c r="G2803" s="1362"/>
      <c r="H2803" s="1359"/>
      <c r="I2803" s="198"/>
      <c r="J2803" s="6"/>
      <c r="K2803" s="1307"/>
      <c r="L2803" s="1335"/>
      <c r="M2803" s="1499"/>
      <c r="N2803" s="1701"/>
      <c r="O2803" s="1290"/>
      <c r="P2803" s="1332"/>
      <c r="Q2803" s="3391"/>
      <c r="R2803" s="2337"/>
      <c r="S2803" s="16"/>
      <c r="T2803" s="16"/>
      <c r="U2803" s="16"/>
      <c r="V2803" s="16"/>
    </row>
    <row r="2804" spans="1:22">
      <c r="A2804" s="16"/>
      <c r="B2804" s="1320"/>
      <c r="C2804" s="1042"/>
      <c r="D2804" s="1411"/>
      <c r="E2804" s="2123"/>
      <c r="F2804" s="1374" t="s">
        <v>3</v>
      </c>
      <c r="G2804" s="1374"/>
      <c r="H2804" s="1376"/>
      <c r="I2804" s="1382"/>
      <c r="J2804" s="1383"/>
      <c r="K2804" s="1373"/>
      <c r="L2804" s="1413"/>
      <c r="M2804" s="1505"/>
      <c r="N2804" s="1505"/>
      <c r="O2804" s="1376"/>
      <c r="P2804" s="1413"/>
      <c r="Q2804" s="3387"/>
      <c r="R2804" s="2337"/>
      <c r="S2804" s="16"/>
      <c r="T2804" s="16"/>
      <c r="U2804" s="16"/>
      <c r="V2804" s="16"/>
    </row>
    <row r="2805" spans="1:22">
      <c r="A2805" s="16"/>
      <c r="B2805" s="1320"/>
      <c r="C2805" s="1042"/>
      <c r="D2805" s="1440"/>
      <c r="E2805" s="2132"/>
      <c r="F2805" s="1441"/>
      <c r="G2805" s="1441"/>
      <c r="H2805" s="1442"/>
      <c r="I2805" s="197"/>
      <c r="J2805" s="198"/>
      <c r="K2805" s="1307"/>
      <c r="L2805" s="1335"/>
      <c r="M2805" s="1499"/>
      <c r="N2805" s="1701"/>
      <c r="O2805" s="1290"/>
      <c r="P2805" s="1332"/>
      <c r="Q2805" s="3391"/>
      <c r="R2805" s="2337"/>
      <c r="S2805" s="16"/>
      <c r="T2805" s="16"/>
      <c r="U2805" s="16"/>
      <c r="V2805" s="16"/>
    </row>
    <row r="2806" spans="1:22">
      <c r="A2806" s="16"/>
      <c r="B2806" s="1320"/>
      <c r="C2806" s="1042"/>
      <c r="D2806" s="1440"/>
      <c r="E2806" s="2132"/>
      <c r="F2806" s="1441"/>
      <c r="G2806" s="1441"/>
      <c r="H2806" s="1442"/>
      <c r="I2806" s="197"/>
      <c r="J2806" s="198"/>
      <c r="K2806" s="1307"/>
      <c r="L2806" s="1335"/>
      <c r="M2806" s="1499"/>
      <c r="N2806" s="1701"/>
      <c r="O2806" s="1290"/>
      <c r="P2806" s="1332"/>
      <c r="Q2806" s="3391"/>
      <c r="R2806" s="2337"/>
      <c r="S2806" s="16"/>
      <c r="T2806" s="16"/>
      <c r="U2806" s="16"/>
      <c r="V2806" s="16"/>
    </row>
    <row r="2807" spans="1:22">
      <c r="A2807" s="16"/>
      <c r="B2807" s="225"/>
      <c r="C2807" s="19"/>
      <c r="D2807" s="1808"/>
      <c r="E2807" s="2178"/>
      <c r="F2807" s="1950"/>
      <c r="G2807" s="1950"/>
      <c r="H2807" s="1951"/>
      <c r="I2807" s="197"/>
      <c r="J2807" s="198"/>
      <c r="K2807" s="1307"/>
      <c r="L2807" s="1594"/>
      <c r="M2807" s="1499"/>
      <c r="N2807" s="1952"/>
      <c r="O2807" s="1290"/>
      <c r="P2807" s="1332"/>
      <c r="Q2807" s="3391"/>
      <c r="R2807" s="2337"/>
      <c r="S2807" s="16"/>
      <c r="T2807" s="16"/>
      <c r="U2807" s="16"/>
      <c r="V2807" s="16"/>
    </row>
    <row r="2808" spans="1:22" ht="15" customHeight="1">
      <c r="A2808" s="19" t="s">
        <v>3764</v>
      </c>
      <c r="B2808" s="4325" t="s">
        <v>1810</v>
      </c>
      <c r="C2808" s="3350"/>
      <c r="D2808" s="4327"/>
      <c r="E2808" s="4329" t="s">
        <v>1507</v>
      </c>
      <c r="F2808" s="4372" t="s">
        <v>1811</v>
      </c>
      <c r="G2808" s="4331" t="s">
        <v>1568</v>
      </c>
      <c r="H2808" s="4331" t="s">
        <v>1574</v>
      </c>
      <c r="I2808" s="1572" t="s">
        <v>1559</v>
      </c>
      <c r="J2808" s="1294" t="s">
        <v>1560</v>
      </c>
      <c r="K2808" s="1294" t="s">
        <v>1561</v>
      </c>
      <c r="L2808" s="4333" t="s">
        <v>3765</v>
      </c>
      <c r="M2808" s="4323" t="s">
        <v>1571</v>
      </c>
      <c r="N2808" s="4323" t="s">
        <v>1776</v>
      </c>
      <c r="O2808" s="3347" t="s">
        <v>1563</v>
      </c>
      <c r="P2808" s="1336" t="s">
        <v>1562</v>
      </c>
      <c r="Q2808" s="3389"/>
      <c r="R2808" s="1699" t="s">
        <v>1327</v>
      </c>
      <c r="S2808" s="16"/>
      <c r="T2808" s="16"/>
      <c r="U2808" s="16"/>
      <c r="V2808" s="16"/>
    </row>
    <row r="2809" spans="1:22">
      <c r="A2809" s="1807" t="s">
        <v>1887</v>
      </c>
      <c r="B2809" s="4326"/>
      <c r="C2809" s="3351"/>
      <c r="D2809" s="4328"/>
      <c r="E2809" s="4330"/>
      <c r="F2809" s="4363"/>
      <c r="G2809" s="4332"/>
      <c r="H2809" s="4332"/>
      <c r="I2809" s="1345">
        <v>442.2</v>
      </c>
      <c r="J2809" s="1307">
        <v>2E-3</v>
      </c>
      <c r="K2809" s="1307">
        <f>I2809*J2809</f>
        <v>0.88439999999999996</v>
      </c>
      <c r="L2809" s="4334"/>
      <c r="M2809" s="4324"/>
      <c r="N2809" s="4324"/>
      <c r="O2809" s="1298">
        <f>SUM(O2811:O2820)</f>
        <v>24.729479999999999</v>
      </c>
      <c r="P2809" s="1337">
        <f>O2809*K2809</f>
        <v>21.870752111999998</v>
      </c>
      <c r="Q2809" s="3390"/>
      <c r="R2809" s="1721">
        <f>SUM(P2811:P2821)</f>
        <v>21.870752112000002</v>
      </c>
      <c r="S2809" s="16"/>
      <c r="T2809" s="16"/>
      <c r="U2809" s="16"/>
      <c r="V2809" s="16"/>
    </row>
    <row r="2810" spans="1:22">
      <c r="A2810" s="16"/>
      <c r="B2810" s="1327"/>
      <c r="C2810" s="1327"/>
      <c r="D2810" s="1400"/>
      <c r="E2810" s="2121"/>
      <c r="F2810" s="1368" t="s">
        <v>1</v>
      </c>
      <c r="G2810" s="1417"/>
      <c r="H2810" s="1390"/>
      <c r="I2810" s="1554"/>
      <c r="J2810" s="1367"/>
      <c r="K2810" s="1367"/>
      <c r="L2810" s="1554"/>
      <c r="M2810" s="1369"/>
      <c r="N2810" s="1369"/>
      <c r="O2810" s="1369"/>
      <c r="P2810" s="1367"/>
      <c r="Q2810" s="3387"/>
      <c r="R2810" s="2337"/>
      <c r="S2810" s="16"/>
      <c r="T2810" s="16"/>
      <c r="U2810" s="16"/>
      <c r="V2810" s="16"/>
    </row>
    <row r="2811" spans="1:22">
      <c r="A2811" s="16"/>
      <c r="B2811" s="1320"/>
      <c r="C2811" s="1042"/>
      <c r="D2811" s="1761" t="s">
        <v>1812</v>
      </c>
      <c r="E2811" s="2170" t="s">
        <v>1357</v>
      </c>
      <c r="F2811" s="1761" t="s">
        <v>1813</v>
      </c>
      <c r="G2811" s="1762">
        <v>0.9</v>
      </c>
      <c r="H2811" s="1762"/>
      <c r="I2811" s="27"/>
      <c r="J2811" s="10"/>
      <c r="K2811" s="1307">
        <f>G2811*$K$2809</f>
        <v>0.79596</v>
      </c>
      <c r="L2811" s="1335">
        <f t="shared" ref="L2811:L2812" si="210">K2811*$K$2352</f>
        <v>0</v>
      </c>
      <c r="M2811" s="1499">
        <v>1.71</v>
      </c>
      <c r="N2811" s="1701"/>
      <c r="O2811" s="1290">
        <f>(G2811*M2811)</f>
        <v>1.5389999999999999</v>
      </c>
      <c r="P2811" s="1332">
        <f>M2811*K2811</f>
        <v>1.3610916</v>
      </c>
      <c r="Q2811" s="3391"/>
      <c r="R2811" s="2337"/>
      <c r="S2811" s="16"/>
      <c r="T2811" s="16"/>
      <c r="U2811" s="16"/>
      <c r="V2811" s="16"/>
    </row>
    <row r="2812" spans="1:22">
      <c r="A2812" s="16"/>
      <c r="B2812" s="1320"/>
      <c r="C2812" s="1042"/>
      <c r="D2812" s="1761" t="s">
        <v>1701</v>
      </c>
      <c r="E2812" s="2170" t="s">
        <v>1504</v>
      </c>
      <c r="F2812" s="1761" t="s">
        <v>1541</v>
      </c>
      <c r="G2812" s="1762">
        <v>0.4</v>
      </c>
      <c r="H2812" s="1762"/>
      <c r="I2812" s="27"/>
      <c r="J2812" s="10"/>
      <c r="K2812" s="1307">
        <f>G2812*$K$2809</f>
        <v>0.35376000000000002</v>
      </c>
      <c r="L2812" s="1335">
        <f t="shared" si="210"/>
        <v>0</v>
      </c>
      <c r="M2812" s="1499">
        <v>0.3</v>
      </c>
      <c r="N2812" s="1701"/>
      <c r="O2812" s="1290">
        <f>(G2812*M2812)</f>
        <v>0.12</v>
      </c>
      <c r="P2812" s="1332">
        <f>M2812*K2812</f>
        <v>0.106128</v>
      </c>
      <c r="Q2812" s="3391"/>
      <c r="R2812" s="2337"/>
      <c r="S2812" s="16"/>
      <c r="T2812" s="16"/>
      <c r="U2812" s="16"/>
      <c r="V2812" s="16"/>
    </row>
    <row r="2813" spans="1:22">
      <c r="A2813" s="16"/>
      <c r="B2813" s="1320"/>
      <c r="C2813" s="1042"/>
      <c r="D2813" s="1367"/>
      <c r="E2813" s="1856"/>
      <c r="F2813" s="1421"/>
      <c r="G2813" s="1399"/>
      <c r="H2813" s="1399"/>
      <c r="I2813" s="1289"/>
      <c r="J2813" s="198"/>
      <c r="K2813" s="1307"/>
      <c r="L2813" s="1335"/>
      <c r="M2813" s="1499"/>
      <c r="N2813" s="1701"/>
      <c r="O2813" s="1290"/>
      <c r="P2813" s="1332"/>
      <c r="Q2813" s="3391"/>
      <c r="R2813" s="2337"/>
      <c r="S2813" s="105"/>
      <c r="T2813" s="105"/>
      <c r="U2813" s="16"/>
      <c r="V2813" s="16"/>
    </row>
    <row r="2814" spans="1:22">
      <c r="A2814" s="16"/>
      <c r="B2814" s="1320"/>
      <c r="C2814" s="1320"/>
      <c r="D2814" s="1410"/>
      <c r="E2814" s="1858"/>
      <c r="F2814" s="1360" t="s">
        <v>2</v>
      </c>
      <c r="G2814" s="1362"/>
      <c r="H2814" s="1362"/>
      <c r="I2814" s="1380"/>
      <c r="J2814" s="1381"/>
      <c r="K2814" s="1359"/>
      <c r="L2814" s="1458"/>
      <c r="M2814" s="1502"/>
      <c r="N2814" s="1502"/>
      <c r="O2814" s="1362"/>
      <c r="P2814" s="1359"/>
      <c r="Q2814" s="3387"/>
      <c r="R2814" s="2337"/>
      <c r="S2814" s="16"/>
      <c r="T2814" s="16"/>
      <c r="U2814" s="16"/>
      <c r="V2814" s="16"/>
    </row>
    <row r="2815" spans="1:22">
      <c r="A2815" s="16"/>
      <c r="B2815" s="1320"/>
      <c r="C2815" s="1042"/>
      <c r="D2815" s="1624" t="s">
        <v>1702</v>
      </c>
      <c r="E2815" s="2158" t="s">
        <v>1508</v>
      </c>
      <c r="F2815" s="1624" t="s">
        <v>1703</v>
      </c>
      <c r="G2815" s="1625">
        <v>0.77600000000000002</v>
      </c>
      <c r="H2815" s="1625"/>
      <c r="I2815" s="198"/>
      <c r="J2815" s="6"/>
      <c r="K2815" s="1307">
        <f>G2815*$K$2809</f>
        <v>0.68629439999999997</v>
      </c>
      <c r="L2815" s="1335">
        <f>K2815*$K$2352</f>
        <v>0</v>
      </c>
      <c r="M2815" s="1499">
        <v>19.23</v>
      </c>
      <c r="N2815" s="1701"/>
      <c r="O2815" s="1290">
        <f>(G2815*M2815)</f>
        <v>14.92248</v>
      </c>
      <c r="P2815" s="1332">
        <f>M2815*K2815</f>
        <v>13.197441312</v>
      </c>
      <c r="Q2815" s="3391"/>
      <c r="R2815" s="2337"/>
      <c r="S2815" s="16"/>
      <c r="T2815" s="16"/>
      <c r="U2815" s="16"/>
      <c r="V2815" s="16"/>
    </row>
    <row r="2816" spans="1:22">
      <c r="A2816" s="16"/>
      <c r="B2816" s="1320"/>
      <c r="C2816" s="1042"/>
      <c r="D2816" s="1402"/>
      <c r="E2816" s="1857"/>
      <c r="F2816" s="1645"/>
      <c r="G2816" s="1362"/>
      <c r="H2816" s="1359"/>
      <c r="I2816" s="198"/>
      <c r="J2816" s="6"/>
      <c r="K2816" s="1306"/>
      <c r="L2816" s="1646"/>
      <c r="M2816" s="1499"/>
      <c r="N2816" s="1499"/>
      <c r="O2816" s="1291"/>
      <c r="P2816" s="1332"/>
      <c r="Q2816" s="3391"/>
      <c r="R2816" s="2337"/>
      <c r="S2816" s="16"/>
      <c r="T2816" s="16"/>
      <c r="U2816" s="16"/>
      <c r="V2816" s="16"/>
    </row>
    <row r="2817" spans="1:22">
      <c r="A2817" s="16"/>
      <c r="B2817" s="1320"/>
      <c r="C2817" s="1042"/>
      <c r="D2817" s="1402"/>
      <c r="E2817" s="1857"/>
      <c r="F2817" s="1403"/>
      <c r="G2817" s="1362"/>
      <c r="H2817" s="1359"/>
      <c r="I2817" s="198"/>
      <c r="J2817" s="6"/>
      <c r="K2817" s="1307"/>
      <c r="L2817" s="1335"/>
      <c r="M2817" s="1499"/>
      <c r="N2817" s="1701"/>
      <c r="O2817" s="1290"/>
      <c r="P2817" s="1332"/>
      <c r="Q2817" s="3391"/>
      <c r="R2817" s="2337"/>
      <c r="S2817" s="16"/>
      <c r="T2817" s="16"/>
      <c r="U2817" s="16"/>
      <c r="V2817" s="16"/>
    </row>
    <row r="2818" spans="1:22">
      <c r="A2818" s="16"/>
      <c r="B2818" s="1320"/>
      <c r="C2818" s="1042"/>
      <c r="D2818" s="1411"/>
      <c r="E2818" s="2123"/>
      <c r="F2818" s="1374" t="s">
        <v>3</v>
      </c>
      <c r="G2818" s="1374"/>
      <c r="H2818" s="1376"/>
      <c r="I2818" s="1382"/>
      <c r="J2818" s="1383"/>
      <c r="K2818" s="1373"/>
      <c r="L2818" s="1413"/>
      <c r="M2818" s="1505"/>
      <c r="N2818" s="1505"/>
      <c r="O2818" s="1376"/>
      <c r="P2818" s="1413"/>
      <c r="Q2818" s="3387"/>
      <c r="R2818" s="1699"/>
      <c r="S2818" s="16"/>
      <c r="T2818" s="16"/>
      <c r="U2818" s="16"/>
      <c r="V2818" s="16"/>
    </row>
    <row r="2819" spans="1:22">
      <c r="A2819" s="16"/>
      <c r="B2819" s="1320"/>
      <c r="C2819" s="1042"/>
      <c r="D2819" s="1827" t="s">
        <v>1686</v>
      </c>
      <c r="E2819" s="2173" t="s">
        <v>1687</v>
      </c>
      <c r="F2819" s="1827" t="s">
        <v>1688</v>
      </c>
      <c r="G2819" s="1828">
        <v>1.0864</v>
      </c>
      <c r="H2819" s="1521"/>
      <c r="I2819" s="198"/>
      <c r="J2819" s="6"/>
      <c r="K2819" s="1307">
        <f>G2819*$K$2809</f>
        <v>0.96081216000000003</v>
      </c>
      <c r="L2819" s="1335">
        <f>K2819*$K$2352</f>
        <v>0</v>
      </c>
      <c r="M2819" s="1499">
        <v>7.5</v>
      </c>
      <c r="N2819" s="1701"/>
      <c r="O2819" s="1290">
        <f>(G2819*M2819)</f>
        <v>8.1479999999999997</v>
      </c>
      <c r="P2819" s="1332">
        <f>M2819*K2819</f>
        <v>7.2060912000000004</v>
      </c>
      <c r="Q2819" s="3391"/>
      <c r="R2819" s="2337"/>
      <c r="S2819" s="16"/>
      <c r="T2819" s="16"/>
      <c r="U2819" s="16"/>
      <c r="V2819" s="16"/>
    </row>
    <row r="2820" spans="1:22">
      <c r="A2820" s="16"/>
      <c r="B2820" s="1320"/>
      <c r="C2820" s="1042"/>
      <c r="D2820" s="1440"/>
      <c r="E2820" s="2132"/>
      <c r="F2820" s="1441"/>
      <c r="G2820" s="1441"/>
      <c r="H2820" s="1442"/>
      <c r="I2820" s="197"/>
      <c r="J2820" s="198"/>
      <c r="K2820" s="1307"/>
      <c r="L2820" s="1335"/>
      <c r="M2820" s="1499"/>
      <c r="N2820" s="1701"/>
      <c r="O2820" s="1290"/>
      <c r="P2820" s="1332"/>
      <c r="Q2820" s="3391"/>
      <c r="R2820" s="2337"/>
      <c r="S2820" s="16"/>
      <c r="T2820" s="16"/>
      <c r="U2820" s="16"/>
      <c r="V2820" s="16"/>
    </row>
    <row r="2821" spans="1:22">
      <c r="A2821" s="16"/>
      <c r="B2821" s="225"/>
      <c r="C2821" s="223"/>
      <c r="D2821" s="1440"/>
      <c r="E2821" s="2132"/>
      <c r="F2821" s="1441"/>
      <c r="G2821" s="1441"/>
      <c r="H2821" s="1442"/>
      <c r="I2821" s="197"/>
      <c r="J2821" s="198"/>
      <c r="K2821" s="1307"/>
      <c r="L2821" s="1335"/>
      <c r="M2821" s="1499"/>
      <c r="N2821" s="1701"/>
      <c r="O2821" s="1290"/>
      <c r="P2821" s="1332"/>
      <c r="Q2821" s="3391"/>
      <c r="R2821" s="2337"/>
      <c r="S2821" s="16"/>
      <c r="T2821" s="16"/>
      <c r="U2821" s="16"/>
      <c r="V2821" s="16"/>
    </row>
    <row r="2822" spans="1:22">
      <c r="A2822" s="19" t="s">
        <v>3764</v>
      </c>
      <c r="B2822" s="4325" t="s">
        <v>1661</v>
      </c>
      <c r="C2822" s="3350"/>
      <c r="D2822" s="4327"/>
      <c r="E2822" s="4329" t="s">
        <v>1507</v>
      </c>
      <c r="F2822" s="4336" t="s">
        <v>1706</v>
      </c>
      <c r="G2822" s="4331" t="s">
        <v>1568</v>
      </c>
      <c r="H2822" s="4331" t="s">
        <v>1574</v>
      </c>
      <c r="I2822" s="1572" t="s">
        <v>1559</v>
      </c>
      <c r="J2822" s="1294" t="s">
        <v>1560</v>
      </c>
      <c r="K2822" s="1294" t="s">
        <v>1561</v>
      </c>
      <c r="L2822" s="4333" t="s">
        <v>3765</v>
      </c>
      <c r="M2822" s="4335" t="s">
        <v>1571</v>
      </c>
      <c r="N2822" s="4323" t="s">
        <v>1776</v>
      </c>
      <c r="O2822" s="3347" t="s">
        <v>1563</v>
      </c>
      <c r="P2822" s="1336" t="s">
        <v>1562</v>
      </c>
      <c r="Q2822" s="3389"/>
      <c r="R2822" s="1699" t="s">
        <v>1327</v>
      </c>
      <c r="S2822" s="16"/>
      <c r="T2822" s="16"/>
      <c r="U2822" s="16"/>
      <c r="V2822" s="16"/>
    </row>
    <row r="2823" spans="1:22">
      <c r="A2823" s="1807" t="s">
        <v>1887</v>
      </c>
      <c r="B2823" s="4326"/>
      <c r="C2823" s="3351"/>
      <c r="D2823" s="4328"/>
      <c r="E2823" s="4389"/>
      <c r="F2823" s="4336"/>
      <c r="G2823" s="4332"/>
      <c r="H2823" s="4332"/>
      <c r="I2823" s="1345">
        <v>277.56</v>
      </c>
      <c r="J2823" s="1307">
        <v>2E-3</v>
      </c>
      <c r="K2823" s="1307">
        <f>I2823*J2823</f>
        <v>0.55512000000000006</v>
      </c>
      <c r="L2823" s="4334"/>
      <c r="M2823" s="4335"/>
      <c r="N2823" s="4324"/>
      <c r="O2823" s="1298">
        <f>SUM(O2825:O2836)</f>
        <v>8.9870400000000004</v>
      </c>
      <c r="P2823" s="1337">
        <f>O2823*K2823</f>
        <v>4.9888856448000007</v>
      </c>
      <c r="Q2823" s="3390"/>
      <c r="R2823" s="1721">
        <f>SUM(P2825:P2837)</f>
        <v>4.9888856447999999</v>
      </c>
      <c r="S2823" s="16"/>
      <c r="T2823" s="16"/>
      <c r="U2823" s="16"/>
      <c r="V2823" s="16"/>
    </row>
    <row r="2824" spans="1:22">
      <c r="A2824" s="16"/>
      <c r="B2824" s="1327"/>
      <c r="C2824" s="1327"/>
      <c r="D2824" s="1400"/>
      <c r="E2824" s="2121"/>
      <c r="F2824" s="1368" t="s">
        <v>1</v>
      </c>
      <c r="G2824" s="1417"/>
      <c r="H2824" s="1390"/>
      <c r="I2824" s="1554"/>
      <c r="J2824" s="1367"/>
      <c r="K2824" s="1367"/>
      <c r="L2824" s="1554"/>
      <c r="M2824" s="1369"/>
      <c r="N2824" s="1369"/>
      <c r="O2824" s="1369"/>
      <c r="P2824" s="1367"/>
      <c r="Q2824" s="3387"/>
      <c r="R2824" s="2337"/>
      <c r="S2824" s="16"/>
      <c r="T2824" s="16"/>
      <c r="U2824" s="16"/>
      <c r="V2824" s="16"/>
    </row>
    <row r="2825" spans="1:22">
      <c r="A2825" s="16"/>
      <c r="B2825" s="1320"/>
      <c r="C2825" s="1042"/>
      <c r="D2825" s="1761" t="s">
        <v>1698</v>
      </c>
      <c r="E2825" s="2170" t="s">
        <v>1357</v>
      </c>
      <c r="F2825" s="1761" t="s">
        <v>1699</v>
      </c>
      <c r="G2825" s="1762">
        <v>0.45</v>
      </c>
      <c r="H2825" s="1762"/>
      <c r="I2825" s="27"/>
      <c r="J2825" s="6"/>
      <c r="K2825" s="1307">
        <f>G2825*$K$2823</f>
        <v>0.24980400000000003</v>
      </c>
      <c r="L2825" s="1335">
        <f t="shared" ref="L2825:L2827" si="211">K2825*$K$2352</f>
        <v>0</v>
      </c>
      <c r="M2825" s="1499">
        <v>1.7</v>
      </c>
      <c r="N2825" s="1701"/>
      <c r="O2825" s="1290">
        <f>(G2825*M2825)</f>
        <v>0.76500000000000001</v>
      </c>
      <c r="P2825" s="1332">
        <f>M2825*K2825</f>
        <v>0.42466680000000001</v>
      </c>
      <c r="Q2825" s="3391"/>
      <c r="R2825" s="2337"/>
      <c r="S2825" s="16"/>
      <c r="T2825" s="16"/>
      <c r="U2825" s="16"/>
      <c r="V2825" s="16"/>
    </row>
    <row r="2826" spans="1:22">
      <c r="A2826" s="16"/>
      <c r="B2826" s="1320"/>
      <c r="C2826" s="1042"/>
      <c r="D2826" s="1761" t="s">
        <v>1214</v>
      </c>
      <c r="E2826" s="2170" t="s">
        <v>1357</v>
      </c>
      <c r="F2826" s="1761" t="s">
        <v>1700</v>
      </c>
      <c r="G2826" s="1762">
        <v>0.35</v>
      </c>
      <c r="H2826" s="1762"/>
      <c r="I2826" s="27"/>
      <c r="J2826" s="198"/>
      <c r="K2826" s="1307">
        <f t="shared" ref="K2826:K2827" si="212">G2826*$K$2823</f>
        <v>0.19429200000000002</v>
      </c>
      <c r="L2826" s="1335">
        <f t="shared" si="211"/>
        <v>0</v>
      </c>
      <c r="M2826" s="1499">
        <v>4.2</v>
      </c>
      <c r="N2826" s="1701"/>
      <c r="O2826" s="1290">
        <f>(G2826*M2826)</f>
        <v>1.47</v>
      </c>
      <c r="P2826" s="1332">
        <f>M2826*K2826</f>
        <v>0.81602640000000015</v>
      </c>
      <c r="Q2826" s="3391"/>
      <c r="R2826" s="2337"/>
      <c r="S2826" s="16"/>
      <c r="T2826" s="16"/>
      <c r="U2826" s="16"/>
      <c r="V2826" s="16"/>
    </row>
    <row r="2827" spans="1:22">
      <c r="A2827" s="16"/>
      <c r="B2827" s="1320"/>
      <c r="C2827" s="1042"/>
      <c r="D2827" s="1761" t="s">
        <v>1701</v>
      </c>
      <c r="E2827" s="2170" t="s">
        <v>1504</v>
      </c>
      <c r="F2827" s="1761" t="s">
        <v>1541</v>
      </c>
      <c r="G2827" s="1762">
        <v>0.2</v>
      </c>
      <c r="H2827" s="1762"/>
      <c r="I2827" s="27"/>
      <c r="J2827" s="10"/>
      <c r="K2827" s="1307">
        <f t="shared" si="212"/>
        <v>0.11102400000000001</v>
      </c>
      <c r="L2827" s="1335">
        <f t="shared" si="211"/>
        <v>0</v>
      </c>
      <c r="M2827" s="1499">
        <v>0.3</v>
      </c>
      <c r="N2827" s="1701"/>
      <c r="O2827" s="1290">
        <f>(G2827*M2827)</f>
        <v>0.06</v>
      </c>
      <c r="P2827" s="1332">
        <f>M2827*K2827</f>
        <v>3.3307200000000002E-2</v>
      </c>
      <c r="Q2827" s="3391"/>
      <c r="R2827" s="2337"/>
      <c r="S2827" s="16"/>
      <c r="T2827" s="16"/>
      <c r="U2827" s="16"/>
      <c r="V2827" s="16"/>
    </row>
    <row r="2828" spans="1:22">
      <c r="A2828" s="16"/>
      <c r="B2828" s="1320"/>
      <c r="C2828" s="1042"/>
      <c r="D2828" s="1367"/>
      <c r="E2828" s="1856"/>
      <c r="F2828" s="1421"/>
      <c r="G2828" s="1399"/>
      <c r="H2828" s="1399"/>
      <c r="I2828" s="1289"/>
      <c r="J2828" s="198"/>
      <c r="K2828" s="1307"/>
      <c r="L2828" s="1335"/>
      <c r="M2828" s="1499"/>
      <c r="N2828" s="1701"/>
      <c r="O2828" s="1290"/>
      <c r="P2828" s="1332"/>
      <c r="Q2828" s="3391"/>
      <c r="R2828" s="2337"/>
      <c r="S2828" s="16"/>
      <c r="T2828" s="16"/>
      <c r="U2828" s="16"/>
      <c r="V2828" s="16"/>
    </row>
    <row r="2829" spans="1:22">
      <c r="A2829" s="16"/>
      <c r="B2829" s="1320"/>
      <c r="C2829" s="1042"/>
      <c r="D2829" s="1367"/>
      <c r="E2829" s="1856"/>
      <c r="F2829" s="1421"/>
      <c r="G2829" s="1399"/>
      <c r="H2829" s="1399"/>
      <c r="I2829" s="1289"/>
      <c r="J2829" s="198"/>
      <c r="K2829" s="1307"/>
      <c r="L2829" s="1335"/>
      <c r="M2829" s="1499"/>
      <c r="N2829" s="1701"/>
      <c r="O2829" s="1290"/>
      <c r="P2829" s="1332"/>
      <c r="Q2829" s="3391"/>
      <c r="R2829" s="2337"/>
      <c r="S2829" s="16"/>
      <c r="T2829" s="16"/>
      <c r="U2829" s="16"/>
      <c r="V2829" s="16"/>
    </row>
    <row r="2830" spans="1:22">
      <c r="A2830" s="16"/>
      <c r="B2830" s="1320"/>
      <c r="C2830" s="1320"/>
      <c r="D2830" s="1410"/>
      <c r="E2830" s="1858"/>
      <c r="F2830" s="1360" t="s">
        <v>2</v>
      </c>
      <c r="G2830" s="1362"/>
      <c r="H2830" s="1362"/>
      <c r="I2830" s="1380"/>
      <c r="J2830" s="1381"/>
      <c r="K2830" s="1359"/>
      <c r="L2830" s="1458"/>
      <c r="M2830" s="1502"/>
      <c r="N2830" s="1502"/>
      <c r="O2830" s="1362"/>
      <c r="P2830" s="1359"/>
      <c r="Q2830" s="3387"/>
      <c r="R2830" s="2337"/>
      <c r="S2830" s="16"/>
      <c r="T2830" s="16"/>
      <c r="U2830" s="16"/>
      <c r="V2830" s="16"/>
    </row>
    <row r="2831" spans="1:22">
      <c r="A2831" s="16"/>
      <c r="B2831" s="1320"/>
      <c r="C2831" s="1042"/>
      <c r="D2831" s="1624" t="s">
        <v>1702</v>
      </c>
      <c r="E2831" s="2158" t="s">
        <v>1508</v>
      </c>
      <c r="F2831" s="1624" t="s">
        <v>1703</v>
      </c>
      <c r="G2831" s="1625">
        <v>0.34799999999999998</v>
      </c>
      <c r="H2831" s="1625"/>
      <c r="I2831" s="198"/>
      <c r="J2831" s="6"/>
      <c r="K2831" s="1307">
        <f>G2831*$K$2823</f>
        <v>0.19318176000000001</v>
      </c>
      <c r="L2831" s="1335">
        <f>K2831*$K$2352</f>
        <v>0</v>
      </c>
      <c r="M2831" s="1499">
        <v>19.23</v>
      </c>
      <c r="N2831" s="1701"/>
      <c r="O2831" s="1290">
        <f>(G2831*M2831)</f>
        <v>6.6920399999999995</v>
      </c>
      <c r="P2831" s="1332">
        <f>M2831*K2831</f>
        <v>3.7148852448</v>
      </c>
      <c r="Q2831" s="3391"/>
      <c r="R2831" s="2337"/>
      <c r="S2831" s="16"/>
      <c r="T2831" s="16"/>
      <c r="U2831" s="16"/>
      <c r="V2831" s="16"/>
    </row>
    <row r="2832" spans="1:22">
      <c r="A2832" s="16"/>
      <c r="B2832" s="1320"/>
      <c r="C2832" s="1042"/>
      <c r="D2832" s="1402"/>
      <c r="E2832" s="1857"/>
      <c r="F2832" s="1645"/>
      <c r="G2832" s="1362"/>
      <c r="H2832" s="1359"/>
      <c r="I2832" s="198"/>
      <c r="J2832" s="6"/>
      <c r="K2832" s="1306"/>
      <c r="L2832" s="1646"/>
      <c r="M2832" s="1499"/>
      <c r="N2832" s="1499"/>
      <c r="O2832" s="1291"/>
      <c r="P2832" s="1332"/>
      <c r="Q2832" s="3391"/>
      <c r="R2832" s="2337"/>
      <c r="S2832" s="16"/>
      <c r="T2832" s="16"/>
      <c r="U2832" s="16"/>
      <c r="V2832" s="16"/>
    </row>
    <row r="2833" spans="1:22">
      <c r="A2833" s="16"/>
      <c r="B2833" s="1320"/>
      <c r="C2833" s="1042"/>
      <c r="D2833" s="1402"/>
      <c r="E2833" s="1857"/>
      <c r="F2833" s="1403"/>
      <c r="G2833" s="1362"/>
      <c r="H2833" s="1359"/>
      <c r="I2833" s="198"/>
      <c r="J2833" s="6"/>
      <c r="K2833" s="1307"/>
      <c r="L2833" s="1335"/>
      <c r="M2833" s="1499"/>
      <c r="N2833" s="1701"/>
      <c r="O2833" s="1290"/>
      <c r="P2833" s="1332"/>
      <c r="Q2833" s="3391"/>
      <c r="R2833" s="2337"/>
      <c r="S2833" s="16"/>
      <c r="T2833" s="16"/>
      <c r="U2833" s="16"/>
      <c r="V2833" s="16"/>
    </row>
    <row r="2834" spans="1:22">
      <c r="A2834" s="16"/>
      <c r="B2834" s="1320"/>
      <c r="C2834" s="1042"/>
      <c r="D2834" s="1411"/>
      <c r="E2834" s="2123"/>
      <c r="F2834" s="1374" t="s">
        <v>3</v>
      </c>
      <c r="G2834" s="1374"/>
      <c r="H2834" s="1376"/>
      <c r="I2834" s="1382"/>
      <c r="J2834" s="1383"/>
      <c r="K2834" s="1373"/>
      <c r="L2834" s="1413"/>
      <c r="M2834" s="1505"/>
      <c r="N2834" s="1505"/>
      <c r="O2834" s="1376"/>
      <c r="P2834" s="1413"/>
      <c r="Q2834" s="3387"/>
      <c r="R2834" s="2337"/>
      <c r="S2834" s="16"/>
      <c r="T2834" s="16"/>
      <c r="U2834" s="16"/>
      <c r="V2834" s="16"/>
    </row>
    <row r="2835" spans="1:22">
      <c r="A2835" s="16"/>
      <c r="B2835" s="1320"/>
      <c r="C2835" s="1042"/>
      <c r="D2835" s="1412"/>
      <c r="E2835" s="2124"/>
      <c r="F2835" s="1378"/>
      <c r="G2835" s="1378"/>
      <c r="H2835" s="1379"/>
      <c r="I2835" s="198"/>
      <c r="J2835" s="6"/>
      <c r="K2835" s="1307"/>
      <c r="L2835" s="1335"/>
      <c r="M2835" s="1499"/>
      <c r="N2835" s="1701"/>
      <c r="O2835" s="1290"/>
      <c r="P2835" s="1332"/>
      <c r="Q2835" s="3391"/>
      <c r="R2835" s="2337"/>
      <c r="S2835" s="16"/>
      <c r="T2835" s="16"/>
      <c r="U2835" s="16"/>
      <c r="V2835" s="16"/>
    </row>
    <row r="2836" spans="1:22">
      <c r="A2836" s="16"/>
      <c r="B2836" s="1320"/>
      <c r="C2836" s="1042"/>
      <c r="D2836" s="1440"/>
      <c r="E2836" s="2132"/>
      <c r="F2836" s="1441"/>
      <c r="G2836" s="1441"/>
      <c r="H2836" s="1442"/>
      <c r="I2836" s="197"/>
      <c r="J2836" s="198"/>
      <c r="K2836" s="1307"/>
      <c r="L2836" s="1335"/>
      <c r="M2836" s="1499"/>
      <c r="N2836" s="1701"/>
      <c r="O2836" s="1290"/>
      <c r="P2836" s="1332"/>
      <c r="Q2836" s="3391"/>
      <c r="R2836" s="2337"/>
      <c r="S2836" s="16"/>
      <c r="T2836" s="16"/>
      <c r="U2836" s="16"/>
      <c r="V2836" s="16"/>
    </row>
    <row r="2837" spans="1:22">
      <c r="A2837" s="16"/>
      <c r="B2837" s="225"/>
      <c r="C2837" s="223"/>
      <c r="D2837" s="1440"/>
      <c r="E2837" s="2132"/>
      <c r="F2837" s="1955"/>
      <c r="G2837" s="1955"/>
      <c r="H2837" s="1956"/>
      <c r="I2837" s="197"/>
      <c r="J2837" s="198"/>
      <c r="K2837" s="1307"/>
      <c r="L2837" s="1335"/>
      <c r="M2837" s="1499"/>
      <c r="N2837" s="1701"/>
      <c r="O2837" s="1290"/>
      <c r="P2837" s="1332"/>
      <c r="Q2837" s="3391"/>
      <c r="R2837" s="2337"/>
      <c r="S2837" s="17"/>
      <c r="T2837" s="17"/>
      <c r="U2837" s="16"/>
      <c r="V2837" s="16"/>
    </row>
    <row r="2838" spans="1:22" s="22" customFormat="1" ht="28.5">
      <c r="A2838" s="16"/>
      <c r="B2838" s="16"/>
      <c r="C2838" s="16"/>
      <c r="D2838" s="1795"/>
      <c r="E2838" s="2179"/>
      <c r="F2838" s="1795"/>
      <c r="G2838" s="1795"/>
      <c r="H2838" s="1797"/>
      <c r="I2838" s="1561"/>
      <c r="J2838" s="1561"/>
      <c r="K2838" s="1639"/>
      <c r="L2838" s="2400" t="s">
        <v>2856</v>
      </c>
      <c r="M2838" s="1292"/>
      <c r="N2838" s="1292"/>
      <c r="O2838" s="1292"/>
      <c r="P2838" s="1292"/>
      <c r="Q2838" s="3391"/>
      <c r="R2838" s="2337"/>
      <c r="S2838" s="17"/>
      <c r="T2838" s="17"/>
      <c r="U2838" s="16"/>
      <c r="V2838" s="16"/>
    </row>
    <row r="2839" spans="1:22">
      <c r="A2839" s="4393" t="s">
        <v>162</v>
      </c>
      <c r="B2839" s="4394"/>
      <c r="C2839" s="4394"/>
      <c r="D2839" s="4395"/>
      <c r="E2839" s="4396" t="s">
        <v>1549</v>
      </c>
      <c r="F2839" s="4397" t="s">
        <v>1550</v>
      </c>
      <c r="G2839" s="4399" t="s">
        <v>1566</v>
      </c>
      <c r="H2839" s="4400"/>
      <c r="I2839" s="4400"/>
      <c r="J2839" s="4400"/>
      <c r="K2839" s="4400"/>
      <c r="L2839" s="4401"/>
      <c r="M2839" s="4405" t="s">
        <v>1567</v>
      </c>
      <c r="N2839" s="4405"/>
      <c r="O2839" s="4405"/>
      <c r="P2839" s="4405"/>
      <c r="Q2839" s="3395"/>
      <c r="R2839" s="4080" t="s">
        <v>3828</v>
      </c>
      <c r="S2839" s="4081"/>
      <c r="T2839" s="17"/>
      <c r="U2839" s="16"/>
      <c r="V2839" s="16"/>
    </row>
    <row r="2840" spans="1:22">
      <c r="A2840" s="1324" t="s">
        <v>3766</v>
      </c>
      <c r="B2840" s="1325" t="s">
        <v>1513</v>
      </c>
      <c r="C2840" s="1326" t="s">
        <v>1573</v>
      </c>
      <c r="D2840" s="1323" t="s">
        <v>1514</v>
      </c>
      <c r="E2840" s="4396"/>
      <c r="F2840" s="4398"/>
      <c r="G2840" s="4402"/>
      <c r="H2840" s="4403"/>
      <c r="I2840" s="4403"/>
      <c r="J2840" s="4403"/>
      <c r="K2840" s="4403"/>
      <c r="L2840" s="4404"/>
      <c r="M2840" s="4405"/>
      <c r="N2840" s="4405"/>
      <c r="O2840" s="4405"/>
      <c r="P2840" s="4405"/>
      <c r="Q2840" s="3395"/>
      <c r="R2840" s="2337"/>
      <c r="S2840" s="17"/>
      <c r="T2840" s="17"/>
      <c r="U2840" s="16"/>
      <c r="V2840" s="16"/>
    </row>
    <row r="2841" spans="1:22" ht="29">
      <c r="A2841" s="4374" t="s">
        <v>1967</v>
      </c>
      <c r="B2841" s="4375"/>
      <c r="C2841" s="4375"/>
      <c r="D2841" s="4376"/>
      <c r="E2841" s="4380" t="s">
        <v>1507</v>
      </c>
      <c r="F2841" s="4382" t="s">
        <v>3577</v>
      </c>
      <c r="G2841" s="4493" t="s">
        <v>294</v>
      </c>
      <c r="H2841" s="4493"/>
      <c r="I2841" s="1665" t="s">
        <v>1565</v>
      </c>
      <c r="J2841" s="3348" t="s">
        <v>1575</v>
      </c>
      <c r="K2841" s="4493" t="s">
        <v>289</v>
      </c>
      <c r="L2841" s="4493"/>
      <c r="M2841" s="4408" t="s">
        <v>3349</v>
      </c>
      <c r="N2841" s="4408"/>
      <c r="O2841" s="4408"/>
      <c r="P2841" s="4408"/>
      <c r="Q2841" s="3394" t="s">
        <v>3937</v>
      </c>
      <c r="R2841" s="2337"/>
      <c r="S2841" s="4544" t="s">
        <v>3579</v>
      </c>
      <c r="T2841" s="17"/>
      <c r="U2841" s="16"/>
      <c r="V2841" s="16"/>
    </row>
    <row r="2842" spans="1:22" ht="26">
      <c r="A2842" s="4377"/>
      <c r="B2842" s="4378"/>
      <c r="C2842" s="4378"/>
      <c r="D2842" s="4379"/>
      <c r="E2842" s="4381"/>
      <c r="F2842" s="4383"/>
      <c r="G2842" s="4451">
        <f>IF('Seleccion proyecto HEREVEA02'!G31="Reparación grietas (&gt;60% superf. fach.). Rehab.energ. ext. Fach. Ventilada, aisl. EPS",'Seleccion proyecto HEREVEA02'!E29,0)</f>
        <v>0</v>
      </c>
      <c r="H2842" s="4452"/>
      <c r="I2842" s="3353">
        <f>IF('Seleccion proyecto HEREVEA02'!H31=0,0,IF('Seleccion proyecto HEREVEA02'!H31="1 a 60",0,IF('Seleccion proyecto HEREVEA02'!H31="61 a 100",1)))</f>
        <v>0</v>
      </c>
      <c r="J2842" s="1351">
        <f>'Seleccion proyecto HEREVEA02'!L8</f>
        <v>11100.968999999999</v>
      </c>
      <c r="K2842" s="4358">
        <f>G2842*I2842*J2842</f>
        <v>0</v>
      </c>
      <c r="L2842" s="4359"/>
      <c r="M2842" s="4360">
        <f>P2844+P2858+P2872+P2886+P2900+P2914+P2928+P2946+P2967+P2988+P3016+P3046+P3075+P3104+P3119+P3137+P3156+P3173+P3195+P3215+P3242+P3268</f>
        <v>232.23973134133922</v>
      </c>
      <c r="N2842" s="4517"/>
      <c r="O2842" s="4517"/>
      <c r="P2842" s="4518"/>
      <c r="Q2842" s="3388">
        <f>M2842*K2842</f>
        <v>0</v>
      </c>
      <c r="R2842" s="2345" t="s">
        <v>2799</v>
      </c>
      <c r="S2842" s="4544"/>
      <c r="T2842" s="17"/>
      <c r="U2842" s="16"/>
      <c r="V2842" s="16"/>
    </row>
    <row r="2843" spans="1:22">
      <c r="A2843" s="19" t="s">
        <v>3764</v>
      </c>
      <c r="B2843" s="4514" t="s">
        <v>1888</v>
      </c>
      <c r="C2843" s="3354"/>
      <c r="D2843" s="4368"/>
      <c r="E2843" s="4389" t="s">
        <v>1527</v>
      </c>
      <c r="F2843" s="4363" t="s">
        <v>1889</v>
      </c>
      <c r="G2843" s="4364" t="s">
        <v>1568</v>
      </c>
      <c r="H2843" s="4364" t="s">
        <v>1574</v>
      </c>
      <c r="I2843" s="1835" t="s">
        <v>1559</v>
      </c>
      <c r="J2843" s="1836" t="s">
        <v>1560</v>
      </c>
      <c r="K2843" s="1836" t="s">
        <v>1569</v>
      </c>
      <c r="L2843" s="4365" t="s">
        <v>3765</v>
      </c>
      <c r="M2843" s="4324" t="s">
        <v>1571</v>
      </c>
      <c r="N2843" s="4366" t="s">
        <v>1776</v>
      </c>
      <c r="O2843" s="3343" t="s">
        <v>1563</v>
      </c>
      <c r="P2843" s="3349" t="s">
        <v>1562</v>
      </c>
      <c r="Q2843" s="3389"/>
      <c r="R2843" s="1699" t="s">
        <v>1327</v>
      </c>
      <c r="S2843" s="4544"/>
      <c r="T2843" s="17"/>
      <c r="U2843" s="16"/>
      <c r="V2843" s="16"/>
    </row>
    <row r="2844" spans="1:22">
      <c r="A2844" s="1660" t="s">
        <v>1967</v>
      </c>
      <c r="B2844" s="4369"/>
      <c r="C2844" s="3351"/>
      <c r="D2844" s="4328"/>
      <c r="E2844" s="4330"/>
      <c r="F2844" s="4336"/>
      <c r="G2844" s="4332"/>
      <c r="H2844" s="4332"/>
      <c r="I2844" s="3814">
        <v>31.2</v>
      </c>
      <c r="J2844" s="3815">
        <v>3.0000000000000001E-3</v>
      </c>
      <c r="K2844" s="1307">
        <f>I2844*J2844</f>
        <v>9.3600000000000003E-2</v>
      </c>
      <c r="L2844" s="4334"/>
      <c r="M2844" s="4335"/>
      <c r="N2844" s="4324"/>
      <c r="O2844" s="1298">
        <f>SUM(O2846:O2856)</f>
        <v>2.1936</v>
      </c>
      <c r="P2844" s="1337">
        <f>O2844*K2844</f>
        <v>0.20532096</v>
      </c>
      <c r="Q2844" s="3390"/>
      <c r="R2844" s="1721">
        <f>SUM(P2846:P2856)</f>
        <v>0.20532096000000002</v>
      </c>
      <c r="S2844" s="4544"/>
      <c r="T2844" s="17"/>
      <c r="U2844" s="16"/>
      <c r="V2844" s="16"/>
    </row>
    <row r="2845" spans="1:22">
      <c r="B2845" s="1327"/>
      <c r="C2845" s="1327"/>
      <c r="D2845" s="1400"/>
      <c r="E2845" s="2121"/>
      <c r="F2845" s="1368" t="s">
        <v>1</v>
      </c>
      <c r="G2845" s="1390"/>
      <c r="H2845" s="1390"/>
      <c r="I2845" s="1554"/>
      <c r="J2845" s="1367"/>
      <c r="K2845" s="1367"/>
      <c r="L2845" s="1554"/>
      <c r="M2845" s="1369"/>
      <c r="N2845" s="1369"/>
      <c r="O2845" s="1369"/>
      <c r="P2845" s="1367"/>
      <c r="Q2845" s="3387"/>
      <c r="R2845" s="3363"/>
      <c r="S2845" s="17"/>
      <c r="T2845" s="17"/>
      <c r="U2845" s="16"/>
      <c r="V2845" s="16"/>
    </row>
    <row r="2846" spans="1:22">
      <c r="B2846" s="1042"/>
      <c r="C2846" s="1042"/>
      <c r="D2846" s="1400"/>
      <c r="E2846" s="1856"/>
      <c r="F2846" s="1421"/>
      <c r="G2846" s="1399"/>
      <c r="H2846" s="1399"/>
      <c r="I2846" s="1760"/>
      <c r="J2846" s="198"/>
      <c r="K2846" s="1307"/>
      <c r="L2846" s="1335"/>
      <c r="M2846" s="1499"/>
      <c r="N2846" s="1701"/>
      <c r="O2846" s="1290"/>
      <c r="P2846" s="1332"/>
      <c r="Q2846" s="3391"/>
      <c r="R2846" s="3363"/>
      <c r="S2846" s="17"/>
      <c r="T2846" s="17"/>
      <c r="U2846" s="16"/>
      <c r="V2846" s="16"/>
    </row>
    <row r="2847" spans="1:22">
      <c r="B2847" s="1042"/>
      <c r="C2847" s="1042"/>
      <c r="D2847" s="1400"/>
      <c r="E2847" s="1856"/>
      <c r="F2847" s="1421"/>
      <c r="G2847" s="1399"/>
      <c r="H2847" s="1399"/>
      <c r="I2847" s="1760"/>
      <c r="J2847" s="198"/>
      <c r="K2847" s="1307"/>
      <c r="L2847" s="1335"/>
      <c r="M2847" s="1499"/>
      <c r="N2847" s="1701"/>
      <c r="O2847" s="1290"/>
      <c r="P2847" s="1332"/>
      <c r="Q2847" s="3391"/>
      <c r="R2847" s="2337"/>
      <c r="S2847" s="17"/>
      <c r="T2847" s="17"/>
      <c r="U2847" s="16"/>
      <c r="V2847" s="16"/>
    </row>
    <row r="2848" spans="1:22">
      <c r="B2848" s="1042"/>
      <c r="C2848" s="1042"/>
      <c r="D2848" s="1400"/>
      <c r="E2848" s="1856"/>
      <c r="F2848" s="1421"/>
      <c r="G2848" s="1399"/>
      <c r="H2848" s="1399"/>
      <c r="I2848" s="197"/>
      <c r="J2848" s="198"/>
      <c r="K2848" s="1307"/>
      <c r="L2848" s="1335"/>
      <c r="M2848" s="1499"/>
      <c r="N2848" s="1701"/>
      <c r="O2848" s="1290"/>
      <c r="P2848" s="1332"/>
      <c r="Q2848" s="3391"/>
      <c r="R2848" s="3363"/>
      <c r="S2848" s="17"/>
      <c r="T2848" s="17"/>
      <c r="U2848" s="16"/>
      <c r="V2848" s="16"/>
    </row>
    <row r="2849" spans="1:22">
      <c r="B2849" s="1042"/>
      <c r="C2849" s="1042"/>
      <c r="D2849" s="1410"/>
      <c r="E2849" s="1858"/>
      <c r="F2849" s="1360" t="s">
        <v>2</v>
      </c>
      <c r="G2849" s="1362"/>
      <c r="H2849" s="1362"/>
      <c r="I2849" s="1380"/>
      <c r="J2849" s="1381"/>
      <c r="K2849" s="1359"/>
      <c r="L2849" s="1458"/>
      <c r="M2849" s="1502"/>
      <c r="N2849" s="1502"/>
      <c r="O2849" s="1362"/>
      <c r="P2849" s="1359"/>
      <c r="Q2849" s="3387"/>
      <c r="R2849" s="3363"/>
      <c r="S2849" s="17"/>
      <c r="T2849" s="17"/>
      <c r="U2849" s="16"/>
      <c r="V2849" s="16"/>
    </row>
    <row r="2850" spans="1:22">
      <c r="B2850" s="1042"/>
      <c r="C2850" s="1042"/>
      <c r="D2850" s="1623" t="s">
        <v>1802</v>
      </c>
      <c r="E2850" s="2158" t="s">
        <v>1803</v>
      </c>
      <c r="F2850" s="1801" t="s">
        <v>1804</v>
      </c>
      <c r="G2850" s="1822">
        <v>0.12</v>
      </c>
      <c r="H2850" s="1822"/>
      <c r="I2850" s="198"/>
      <c r="J2850" s="6"/>
      <c r="K2850" s="1307">
        <f>G2850*K2844</f>
        <v>1.1232000000000001E-2</v>
      </c>
      <c r="L2850" s="1335">
        <f>K2850*$K$2842</f>
        <v>0</v>
      </c>
      <c r="M2850" s="1499">
        <v>18.28</v>
      </c>
      <c r="N2850" s="1701"/>
      <c r="O2850" s="1290">
        <f>(G2850*M2850)</f>
        <v>2.1936</v>
      </c>
      <c r="P2850" s="1332">
        <f>M2850*K2850</f>
        <v>0.20532096000000002</v>
      </c>
      <c r="Q2850" s="3391"/>
      <c r="R2850" s="3363"/>
      <c r="S2850" s="17"/>
      <c r="T2850" s="17"/>
      <c r="U2850" s="16"/>
      <c r="V2850" s="16"/>
    </row>
    <row r="2851" spans="1:22">
      <c r="A2851" s="22"/>
      <c r="B2851" s="1042"/>
      <c r="C2851" s="1042"/>
      <c r="D2851" s="1623"/>
      <c r="E2851" s="2158"/>
      <c r="F2851" s="1801"/>
      <c r="G2851" s="1822"/>
      <c r="H2851" s="1822"/>
      <c r="I2851" s="198"/>
      <c r="J2851" s="6"/>
      <c r="K2851" s="1307"/>
      <c r="L2851" s="1335"/>
      <c r="M2851" s="1499"/>
      <c r="N2851" s="1701"/>
      <c r="O2851" s="1290"/>
      <c r="P2851" s="1332"/>
      <c r="Q2851" s="3391"/>
      <c r="R2851" s="3363"/>
      <c r="S2851" s="17"/>
      <c r="T2851" s="17"/>
      <c r="U2851" s="16"/>
      <c r="V2851" s="16"/>
    </row>
    <row r="2852" spans="1:22">
      <c r="A2852" s="22"/>
      <c r="B2852" s="1042"/>
      <c r="C2852" s="1042"/>
      <c r="D2852" s="1623"/>
      <c r="E2852" s="2158"/>
      <c r="F2852" s="1801"/>
      <c r="G2852" s="1822"/>
      <c r="H2852" s="1822"/>
      <c r="I2852" s="198"/>
      <c r="J2852" s="6"/>
      <c r="K2852" s="1307"/>
      <c r="L2852" s="1335"/>
      <c r="M2852" s="1499"/>
      <c r="N2852" s="1701"/>
      <c r="O2852" s="1290"/>
      <c r="P2852" s="1332"/>
      <c r="Q2852" s="3391"/>
      <c r="R2852" s="3363"/>
      <c r="S2852" s="17"/>
      <c r="T2852" s="17"/>
      <c r="U2852" s="16"/>
      <c r="V2852" s="16"/>
    </row>
    <row r="2853" spans="1:22">
      <c r="A2853" s="22"/>
      <c r="B2853" s="1042"/>
      <c r="C2853" s="1042"/>
      <c r="D2853" s="1411"/>
      <c r="E2853" s="2123"/>
      <c r="F2853" s="1802" t="s">
        <v>3</v>
      </c>
      <c r="G2853" s="1376"/>
      <c r="H2853" s="1376"/>
      <c r="I2853" s="1382"/>
      <c r="J2853" s="1383"/>
      <c r="K2853" s="1373"/>
      <c r="L2853" s="1413"/>
      <c r="M2853" s="1505"/>
      <c r="N2853" s="1505"/>
      <c r="O2853" s="1376"/>
      <c r="P2853" s="1413"/>
      <c r="Q2853" s="3387"/>
      <c r="R2853" s="3363"/>
      <c r="S2853" s="17"/>
      <c r="T2853" s="17"/>
      <c r="U2853" s="16"/>
      <c r="V2853" s="16"/>
    </row>
    <row r="2854" spans="1:22">
      <c r="A2854" s="22"/>
      <c r="B2854" s="1042"/>
      <c r="C2854" s="1042"/>
      <c r="D2854" s="1411"/>
      <c r="E2854" s="2123"/>
      <c r="F2854" s="1475"/>
      <c r="G2854" s="1376"/>
      <c r="H2854" s="1376"/>
      <c r="I2854" s="198"/>
      <c r="J2854" s="6"/>
      <c r="K2854" s="1307"/>
      <c r="L2854" s="1335"/>
      <c r="M2854" s="1499"/>
      <c r="N2854" s="1701"/>
      <c r="O2854" s="1290"/>
      <c r="P2854" s="1332"/>
      <c r="Q2854" s="3391"/>
      <c r="R2854" s="3363"/>
      <c r="S2854" s="17"/>
      <c r="T2854" s="17"/>
      <c r="U2854" s="16"/>
      <c r="V2854" s="16"/>
    </row>
    <row r="2855" spans="1:22">
      <c r="A2855" s="22"/>
      <c r="B2855" s="1042"/>
      <c r="C2855" s="1042"/>
      <c r="D2855" s="1412"/>
      <c r="E2855" s="2124"/>
      <c r="F2855" s="1377"/>
      <c r="G2855" s="1597"/>
      <c r="H2855" s="1597"/>
      <c r="I2855" s="198"/>
      <c r="J2855" s="6"/>
      <c r="K2855" s="1306"/>
      <c r="L2855" s="1646"/>
      <c r="M2855" s="1302"/>
      <c r="N2855" s="1302"/>
      <c r="O2855" s="1291"/>
      <c r="P2855" s="1332"/>
      <c r="Q2855" s="3391"/>
      <c r="R2855" s="3363"/>
      <c r="S2855" s="17"/>
      <c r="T2855" s="17"/>
      <c r="U2855" s="16"/>
      <c r="V2855" s="16"/>
    </row>
    <row r="2856" spans="1:22">
      <c r="A2856" s="22"/>
      <c r="B2856" s="1042"/>
      <c r="C2856" s="1042"/>
      <c r="D2856" s="1808"/>
      <c r="E2856" s="2132"/>
      <c r="F2856" s="1804"/>
      <c r="G2856" s="1805"/>
      <c r="H2856" s="1805"/>
      <c r="I2856" s="197"/>
      <c r="J2856" s="1806"/>
      <c r="K2856" s="1307"/>
      <c r="L2856" s="1335"/>
      <c r="M2856" s="1701"/>
      <c r="N2856" s="1701"/>
      <c r="O2856" s="1290"/>
      <c r="P2856" s="1333"/>
      <c r="Q2856" s="3391"/>
      <c r="R2856" s="2337"/>
      <c r="S2856" s="17"/>
      <c r="T2856" s="17"/>
      <c r="U2856" s="16"/>
      <c r="V2856" s="16"/>
    </row>
    <row r="2857" spans="1:22">
      <c r="A2857" s="16" t="s">
        <v>3764</v>
      </c>
      <c r="B2857" s="4325" t="s">
        <v>1890</v>
      </c>
      <c r="C2857" s="3350"/>
      <c r="D2857" s="4327"/>
      <c r="E2857" s="4389" t="s">
        <v>1527</v>
      </c>
      <c r="F2857" s="4363" t="s">
        <v>1891</v>
      </c>
      <c r="G2857" s="4364" t="s">
        <v>1568</v>
      </c>
      <c r="H2857" s="4364" t="s">
        <v>1574</v>
      </c>
      <c r="I2857" s="1835" t="s">
        <v>1559</v>
      </c>
      <c r="J2857" s="1836" t="s">
        <v>1560</v>
      </c>
      <c r="K2857" s="1836" t="s">
        <v>1569</v>
      </c>
      <c r="L2857" s="4365" t="s">
        <v>3765</v>
      </c>
      <c r="M2857" s="4324" t="s">
        <v>1571</v>
      </c>
      <c r="N2857" s="4366" t="s">
        <v>1776</v>
      </c>
      <c r="O2857" s="3343" t="s">
        <v>1563</v>
      </c>
      <c r="P2857" s="3349" t="s">
        <v>1562</v>
      </c>
      <c r="Q2857" s="3389"/>
      <c r="R2857" s="1699" t="s">
        <v>1327</v>
      </c>
      <c r="S2857" s="17"/>
      <c r="T2857" s="17"/>
      <c r="U2857" s="16"/>
      <c r="V2857" s="16"/>
    </row>
    <row r="2858" spans="1:22">
      <c r="A2858" s="1971" t="s">
        <v>1967</v>
      </c>
      <c r="B2858" s="4326"/>
      <c r="C2858" s="3351"/>
      <c r="D2858" s="4328"/>
      <c r="E2858" s="4330"/>
      <c r="F2858" s="4336"/>
      <c r="G2858" s="4332"/>
      <c r="H2858" s="4332"/>
      <c r="I2858" s="3814">
        <v>27</v>
      </c>
      <c r="J2858" s="3815">
        <v>3.0000000000000001E-3</v>
      </c>
      <c r="K2858" s="1307">
        <f>I2858*J2858</f>
        <v>8.1000000000000003E-2</v>
      </c>
      <c r="L2858" s="4334"/>
      <c r="M2858" s="4335"/>
      <c r="N2858" s="4324"/>
      <c r="O2858" s="1298">
        <f>SUM(O2860:O2870)</f>
        <v>2.1936</v>
      </c>
      <c r="P2858" s="1337">
        <f>O2858*K2858</f>
        <v>0.1776816</v>
      </c>
      <c r="Q2858" s="3390"/>
      <c r="R2858" s="1721">
        <f>SUM(P2860:P2870)</f>
        <v>0.1776816</v>
      </c>
      <c r="S2858" s="17"/>
      <c r="T2858" s="17"/>
      <c r="U2858" s="16"/>
      <c r="V2858" s="16"/>
    </row>
    <row r="2859" spans="1:22">
      <c r="A2859" s="22"/>
      <c r="B2859" s="1327"/>
      <c r="C2859" s="1327"/>
      <c r="D2859" s="1400"/>
      <c r="E2859" s="2121"/>
      <c r="F2859" s="1368" t="s">
        <v>1</v>
      </c>
      <c r="G2859" s="1390"/>
      <c r="H2859" s="1390"/>
      <c r="I2859" s="1554"/>
      <c r="J2859" s="1367"/>
      <c r="K2859" s="1367"/>
      <c r="L2859" s="1554"/>
      <c r="M2859" s="1369"/>
      <c r="N2859" s="1369"/>
      <c r="O2859" s="1369"/>
      <c r="P2859" s="1367"/>
      <c r="Q2859" s="3387"/>
      <c r="R2859" s="3363"/>
      <c r="S2859" s="17"/>
      <c r="T2859" s="17"/>
      <c r="U2859" s="16"/>
      <c r="V2859" s="16"/>
    </row>
    <row r="2860" spans="1:22">
      <c r="A2860" s="22"/>
      <c r="B2860" s="1042"/>
      <c r="C2860" s="1042"/>
      <c r="D2860" s="1400"/>
      <c r="E2860" s="1856"/>
      <c r="F2860" s="1421"/>
      <c r="G2860" s="1399"/>
      <c r="H2860" s="1399"/>
      <c r="I2860" s="1760"/>
      <c r="J2860" s="198"/>
      <c r="K2860" s="1307"/>
      <c r="L2860" s="1335"/>
      <c r="M2860" s="1499"/>
      <c r="N2860" s="1701"/>
      <c r="O2860" s="1290"/>
      <c r="P2860" s="1332"/>
      <c r="Q2860" s="3391"/>
      <c r="R2860" s="3363"/>
      <c r="S2860" s="17"/>
      <c r="T2860" s="17"/>
      <c r="U2860" s="16"/>
      <c r="V2860" s="16"/>
    </row>
    <row r="2861" spans="1:22">
      <c r="A2861" s="22"/>
      <c r="B2861" s="1042"/>
      <c r="C2861" s="1042"/>
      <c r="D2861" s="1400"/>
      <c r="E2861" s="1856"/>
      <c r="F2861" s="1421"/>
      <c r="G2861" s="1399"/>
      <c r="H2861" s="1399"/>
      <c r="I2861" s="1760"/>
      <c r="J2861" s="198"/>
      <c r="K2861" s="1307"/>
      <c r="L2861" s="1335"/>
      <c r="M2861" s="1499"/>
      <c r="N2861" s="1701"/>
      <c r="O2861" s="1290"/>
      <c r="P2861" s="1332"/>
      <c r="Q2861" s="3391"/>
      <c r="R2861" s="2337"/>
      <c r="S2861" s="17"/>
      <c r="T2861" s="17"/>
      <c r="U2861" s="16"/>
      <c r="V2861" s="16"/>
    </row>
    <row r="2862" spans="1:22">
      <c r="A2862" s="22"/>
      <c r="B2862" s="1042"/>
      <c r="C2862" s="1042"/>
      <c r="D2862" s="1400"/>
      <c r="E2862" s="1856"/>
      <c r="F2862" s="1421"/>
      <c r="G2862" s="1399"/>
      <c r="H2862" s="1399"/>
      <c r="I2862" s="197"/>
      <c r="J2862" s="198"/>
      <c r="K2862" s="1307"/>
      <c r="L2862" s="1335"/>
      <c r="M2862" s="1499"/>
      <c r="N2862" s="1701"/>
      <c r="O2862" s="1290"/>
      <c r="P2862" s="1332"/>
      <c r="Q2862" s="3391"/>
      <c r="R2862" s="3363"/>
      <c r="S2862" s="17"/>
      <c r="T2862" s="17"/>
      <c r="U2862" s="16"/>
      <c r="V2862" s="16"/>
    </row>
    <row r="2863" spans="1:22">
      <c r="A2863" s="22"/>
      <c r="B2863" s="1042"/>
      <c r="C2863" s="1042"/>
      <c r="D2863" s="1410"/>
      <c r="E2863" s="1858"/>
      <c r="F2863" s="1360" t="s">
        <v>2</v>
      </c>
      <c r="G2863" s="1362"/>
      <c r="H2863" s="1362"/>
      <c r="I2863" s="1380"/>
      <c r="J2863" s="1381"/>
      <c r="K2863" s="1359"/>
      <c r="L2863" s="1458"/>
      <c r="M2863" s="1502"/>
      <c r="N2863" s="1502"/>
      <c r="O2863" s="1362"/>
      <c r="P2863" s="1359"/>
      <c r="Q2863" s="3387"/>
      <c r="R2863" s="3363"/>
      <c r="S2863" s="17"/>
      <c r="T2863" s="17"/>
      <c r="U2863" s="16"/>
      <c r="V2863" s="16"/>
    </row>
    <row r="2864" spans="1:22">
      <c r="A2864" s="22"/>
      <c r="B2864" s="1042"/>
      <c r="C2864" s="1042"/>
      <c r="D2864" s="1623" t="s">
        <v>1802</v>
      </c>
      <c r="E2864" s="2158" t="s">
        <v>1803</v>
      </c>
      <c r="F2864" s="1801" t="s">
        <v>1804</v>
      </c>
      <c r="G2864" s="1822">
        <v>0.12</v>
      </c>
      <c r="H2864" s="1822"/>
      <c r="I2864" s="198"/>
      <c r="J2864" s="6"/>
      <c r="K2864" s="1307">
        <f>G2864*K2858</f>
        <v>9.7199999999999995E-3</v>
      </c>
      <c r="L2864" s="1335">
        <f>K2864*$K$2842</f>
        <v>0</v>
      </c>
      <c r="M2864" s="1499">
        <v>18.28</v>
      </c>
      <c r="N2864" s="1701"/>
      <c r="O2864" s="1290">
        <f>(G2864*M2864)</f>
        <v>2.1936</v>
      </c>
      <c r="P2864" s="1332">
        <f>M2864*K2864</f>
        <v>0.1776816</v>
      </c>
      <c r="Q2864" s="3391"/>
      <c r="R2864" s="3363"/>
      <c r="S2864" s="17"/>
      <c r="T2864" s="17"/>
      <c r="U2864" s="16"/>
      <c r="V2864" s="16"/>
    </row>
    <row r="2865" spans="1:22">
      <c r="A2865" s="22"/>
      <c r="B2865" s="1042"/>
      <c r="C2865" s="1042"/>
      <c r="D2865" s="1623"/>
      <c r="E2865" s="2158"/>
      <c r="F2865" s="1801"/>
      <c r="G2865" s="1822"/>
      <c r="H2865" s="1822"/>
      <c r="I2865" s="198"/>
      <c r="J2865" s="6"/>
      <c r="K2865" s="1307"/>
      <c r="L2865" s="1335"/>
      <c r="M2865" s="1499"/>
      <c r="N2865" s="1701"/>
      <c r="O2865" s="1290"/>
      <c r="P2865" s="1332"/>
      <c r="Q2865" s="3391"/>
      <c r="R2865" s="3363"/>
      <c r="S2865" s="17"/>
      <c r="T2865" s="17"/>
      <c r="U2865" s="16"/>
      <c r="V2865" s="16"/>
    </row>
    <row r="2866" spans="1:22">
      <c r="A2866" s="22"/>
      <c r="B2866" s="1042"/>
      <c r="C2866" s="1042"/>
      <c r="D2866" s="1623"/>
      <c r="E2866" s="2158"/>
      <c r="F2866" s="1801"/>
      <c r="G2866" s="1822"/>
      <c r="H2866" s="1822"/>
      <c r="I2866" s="198"/>
      <c r="J2866" s="6"/>
      <c r="K2866" s="1307"/>
      <c r="L2866" s="1335"/>
      <c r="M2866" s="1499"/>
      <c r="N2866" s="1701"/>
      <c r="O2866" s="1290"/>
      <c r="P2866" s="1332"/>
      <c r="Q2866" s="3391"/>
      <c r="R2866" s="3363"/>
      <c r="S2866" s="17"/>
      <c r="T2866" s="17"/>
      <c r="U2866" s="16"/>
      <c r="V2866" s="16"/>
    </row>
    <row r="2867" spans="1:22">
      <c r="A2867" s="22"/>
      <c r="B2867" s="1042"/>
      <c r="C2867" s="1042"/>
      <c r="D2867" s="1411"/>
      <c r="E2867" s="2123"/>
      <c r="F2867" s="1802" t="s">
        <v>3</v>
      </c>
      <c r="G2867" s="1376"/>
      <c r="H2867" s="1376"/>
      <c r="I2867" s="1382"/>
      <c r="J2867" s="1383"/>
      <c r="K2867" s="1373"/>
      <c r="L2867" s="1413"/>
      <c r="M2867" s="1505"/>
      <c r="N2867" s="1505"/>
      <c r="O2867" s="1376"/>
      <c r="P2867" s="1413"/>
      <c r="Q2867" s="3387"/>
      <c r="R2867" s="3363"/>
      <c r="S2867" s="17"/>
      <c r="T2867" s="17"/>
      <c r="U2867" s="16"/>
      <c r="V2867" s="16"/>
    </row>
    <row r="2868" spans="1:22">
      <c r="A2868" s="22"/>
      <c r="B2868" s="1042"/>
      <c r="C2868" s="1042"/>
      <c r="D2868" s="1411"/>
      <c r="E2868" s="2123"/>
      <c r="F2868" s="1475"/>
      <c r="G2868" s="1376"/>
      <c r="H2868" s="1376"/>
      <c r="I2868" s="198"/>
      <c r="J2868" s="6"/>
      <c r="K2868" s="1307"/>
      <c r="L2868" s="1335"/>
      <c r="M2868" s="1499"/>
      <c r="N2868" s="1701"/>
      <c r="O2868" s="1290"/>
      <c r="P2868" s="1332"/>
      <c r="Q2868" s="3391"/>
      <c r="R2868" s="3363"/>
      <c r="S2868" s="17"/>
      <c r="T2868" s="17"/>
      <c r="U2868" s="16"/>
      <c r="V2868" s="16"/>
    </row>
    <row r="2869" spans="1:22">
      <c r="A2869" s="22"/>
      <c r="B2869" s="1042"/>
      <c r="C2869" s="1042"/>
      <c r="D2869" s="1412"/>
      <c r="E2869" s="2124"/>
      <c r="F2869" s="1377"/>
      <c r="G2869" s="1597"/>
      <c r="H2869" s="1597"/>
      <c r="I2869" s="198"/>
      <c r="J2869" s="6"/>
      <c r="K2869" s="1306"/>
      <c r="L2869" s="1646"/>
      <c r="M2869" s="1302"/>
      <c r="N2869" s="1302"/>
      <c r="O2869" s="1291"/>
      <c r="P2869" s="1332"/>
      <c r="Q2869" s="3391"/>
      <c r="R2869" s="3363"/>
      <c r="S2869" s="17"/>
      <c r="T2869" s="17"/>
      <c r="U2869" s="16"/>
      <c r="V2869" s="16"/>
    </row>
    <row r="2870" spans="1:22">
      <c r="A2870" s="22"/>
      <c r="B2870" s="223"/>
      <c r="C2870" s="223"/>
      <c r="D2870" s="1808"/>
      <c r="E2870" s="2132"/>
      <c r="F2870" s="1804"/>
      <c r="G2870" s="1805"/>
      <c r="H2870" s="1805"/>
      <c r="I2870" s="197"/>
      <c r="J2870" s="1806"/>
      <c r="K2870" s="1307"/>
      <c r="L2870" s="1335"/>
      <c r="M2870" s="1701"/>
      <c r="N2870" s="1701"/>
      <c r="O2870" s="1290"/>
      <c r="P2870" s="1333"/>
      <c r="Q2870" s="3391"/>
      <c r="R2870" s="2337"/>
      <c r="S2870" s="17"/>
      <c r="T2870" s="17"/>
      <c r="U2870" s="16"/>
      <c r="V2870" s="16"/>
    </row>
    <row r="2871" spans="1:22">
      <c r="A2871" s="16" t="s">
        <v>3764</v>
      </c>
      <c r="B2871" s="4325" t="s">
        <v>1800</v>
      </c>
      <c r="C2871" s="3350"/>
      <c r="D2871" s="4327"/>
      <c r="E2871" s="4389" t="s">
        <v>1507</v>
      </c>
      <c r="F2871" s="4363" t="s">
        <v>1801</v>
      </c>
      <c r="G2871" s="4364" t="s">
        <v>1568</v>
      </c>
      <c r="H2871" s="4364" t="s">
        <v>1574</v>
      </c>
      <c r="I2871" s="1835" t="s">
        <v>1559</v>
      </c>
      <c r="J2871" s="1836" t="s">
        <v>1560</v>
      </c>
      <c r="K2871" s="1836" t="s">
        <v>1569</v>
      </c>
      <c r="L2871" s="4365" t="s">
        <v>3765</v>
      </c>
      <c r="M2871" s="4324" t="s">
        <v>1571</v>
      </c>
      <c r="N2871" s="4366" t="s">
        <v>1776</v>
      </c>
      <c r="O2871" s="3343" t="s">
        <v>1563</v>
      </c>
      <c r="P2871" s="3349" t="s">
        <v>1562</v>
      </c>
      <c r="Q2871" s="3389"/>
      <c r="R2871" s="1699" t="s">
        <v>1327</v>
      </c>
      <c r="S2871" s="17"/>
      <c r="T2871" s="17"/>
      <c r="U2871" s="16"/>
      <c r="V2871" s="16"/>
    </row>
    <row r="2872" spans="1:22">
      <c r="A2872" s="1971" t="s">
        <v>1967</v>
      </c>
      <c r="B2872" s="4326"/>
      <c r="C2872" s="3351"/>
      <c r="D2872" s="4328"/>
      <c r="E2872" s="4330"/>
      <c r="F2872" s="4336"/>
      <c r="G2872" s="4332"/>
      <c r="H2872" s="4332"/>
      <c r="I2872" s="4079">
        <v>319.68</v>
      </c>
      <c r="J2872" s="3815">
        <v>3.0000000000000001E-3</v>
      </c>
      <c r="K2872" s="1307">
        <f>I2872*J2872</f>
        <v>0.95904</v>
      </c>
      <c r="L2872" s="4334"/>
      <c r="M2872" s="4335"/>
      <c r="N2872" s="4324"/>
      <c r="O2872" s="1298">
        <f>SUM(O2874:O2884)</f>
        <v>30.126660000000001</v>
      </c>
      <c r="P2872" s="1337">
        <f>O2872*K2872</f>
        <v>28.892672006400002</v>
      </c>
      <c r="Q2872" s="3390"/>
      <c r="R2872" s="1721">
        <f>SUM(P2874:P2884)</f>
        <v>28.072565006399998</v>
      </c>
      <c r="S2872" s="17"/>
      <c r="T2872" s="17"/>
      <c r="U2872" s="16"/>
      <c r="V2872" s="16"/>
    </row>
    <row r="2873" spans="1:22">
      <c r="A2873" s="22"/>
      <c r="B2873" s="1327"/>
      <c r="C2873" s="1327"/>
      <c r="D2873" s="1400"/>
      <c r="E2873" s="2121"/>
      <c r="F2873" s="1368" t="s">
        <v>1</v>
      </c>
      <c r="G2873" s="1390"/>
      <c r="H2873" s="1390"/>
      <c r="I2873" s="1554"/>
      <c r="J2873" s="1367"/>
      <c r="K2873" s="1367"/>
      <c r="L2873" s="1554"/>
      <c r="M2873" s="1369"/>
      <c r="N2873" s="1369"/>
      <c r="O2873" s="1369"/>
      <c r="P2873" s="1367"/>
      <c r="Q2873" s="3387"/>
      <c r="R2873" s="3363"/>
      <c r="S2873" s="17"/>
      <c r="T2873" s="17"/>
      <c r="U2873" s="16"/>
      <c r="V2873" s="16"/>
    </row>
    <row r="2874" spans="1:22">
      <c r="A2874" s="22"/>
      <c r="B2874" s="1042"/>
      <c r="C2874" s="1042"/>
      <c r="D2874" s="1400"/>
      <c r="E2874" s="1856"/>
      <c r="F2874" s="1421"/>
      <c r="G2874" s="1399"/>
      <c r="H2874" s="1399"/>
      <c r="I2874" s="1760"/>
      <c r="J2874" s="198"/>
      <c r="K2874" s="1307"/>
      <c r="L2874" s="1335"/>
      <c r="M2874" s="1499"/>
      <c r="N2874" s="1701"/>
      <c r="O2874" s="1290"/>
      <c r="P2874" s="1332"/>
      <c r="Q2874" s="3391"/>
      <c r="R2874" s="3363"/>
      <c r="S2874" s="17"/>
      <c r="T2874" s="17"/>
      <c r="U2874" s="16"/>
      <c r="V2874" s="16"/>
    </row>
    <row r="2875" spans="1:22">
      <c r="A2875" s="22"/>
      <c r="B2875" s="1042"/>
      <c r="C2875" s="1042"/>
      <c r="D2875" s="1400"/>
      <c r="E2875" s="1856"/>
      <c r="F2875" s="1421"/>
      <c r="G2875" s="1399"/>
      <c r="H2875" s="1399"/>
      <c r="I2875" s="1760"/>
      <c r="J2875" s="198"/>
      <c r="K2875" s="1307"/>
      <c r="L2875" s="1335"/>
      <c r="M2875" s="1499"/>
      <c r="N2875" s="1701"/>
      <c r="O2875" s="1290"/>
      <c r="P2875" s="1332"/>
      <c r="Q2875" s="3391"/>
      <c r="R2875" s="2337"/>
      <c r="S2875" s="17"/>
      <c r="T2875" s="17"/>
      <c r="U2875" s="16"/>
      <c r="V2875" s="16"/>
    </row>
    <row r="2876" spans="1:22">
      <c r="A2876" s="22"/>
      <c r="B2876" s="1042"/>
      <c r="C2876" s="1042"/>
      <c r="D2876" s="1400"/>
      <c r="E2876" s="1856"/>
      <c r="F2876" s="1421"/>
      <c r="G2876" s="1399"/>
      <c r="H2876" s="1399"/>
      <c r="I2876" s="197"/>
      <c r="J2876" s="198"/>
      <c r="K2876" s="1307"/>
      <c r="L2876" s="1335"/>
      <c r="M2876" s="1499"/>
      <c r="N2876" s="1701"/>
      <c r="O2876" s="1290"/>
      <c r="P2876" s="1332"/>
      <c r="Q2876" s="3391"/>
      <c r="R2876" s="3363"/>
      <c r="S2876" s="17"/>
      <c r="T2876" s="17"/>
      <c r="U2876" s="16"/>
      <c r="V2876" s="16"/>
    </row>
    <row r="2877" spans="1:22">
      <c r="A2877" s="22"/>
      <c r="B2877" s="1042"/>
      <c r="C2877" s="1042"/>
      <c r="D2877" s="1410"/>
      <c r="E2877" s="1858"/>
      <c r="F2877" s="1360" t="s">
        <v>2</v>
      </c>
      <c r="G2877" s="1362"/>
      <c r="H2877" s="1362"/>
      <c r="I2877" s="1380"/>
      <c r="J2877" s="1381"/>
      <c r="K2877" s="1359"/>
      <c r="L2877" s="1458"/>
      <c r="M2877" s="1502"/>
      <c r="N2877" s="1502"/>
      <c r="O2877" s="1362"/>
      <c r="P2877" s="1359"/>
      <c r="Q2877" s="3387"/>
      <c r="R2877" s="3363"/>
      <c r="S2877" s="17"/>
      <c r="T2877" s="17"/>
      <c r="U2877" s="16"/>
      <c r="V2877" s="16"/>
    </row>
    <row r="2878" spans="1:22">
      <c r="A2878" s="22"/>
      <c r="B2878" s="1042"/>
      <c r="C2878" s="1042"/>
      <c r="D2878" s="1623" t="s">
        <v>1802</v>
      </c>
      <c r="E2878" s="2158" t="s">
        <v>1803</v>
      </c>
      <c r="F2878" s="1801" t="s">
        <v>1804</v>
      </c>
      <c r="G2878" s="1822">
        <v>1.0469999999999999</v>
      </c>
      <c r="H2878" s="1822"/>
      <c r="I2878" s="198"/>
      <c r="J2878" s="6"/>
      <c r="K2878" s="1307">
        <f>G2878*K2872</f>
        <v>1.0041148799999999</v>
      </c>
      <c r="L2878" s="1335">
        <f>K2878*$K$2842</f>
        <v>0</v>
      </c>
      <c r="M2878" s="1499">
        <v>18.28</v>
      </c>
      <c r="N2878" s="1701"/>
      <c r="O2878" s="1290">
        <f>(G2878*M2878)</f>
        <v>19.13916</v>
      </c>
      <c r="P2878" s="1332">
        <f>M2878*K2878</f>
        <v>18.3552200064</v>
      </c>
      <c r="Q2878" s="3391"/>
      <c r="R2878" s="3363"/>
      <c r="S2878" s="17"/>
      <c r="T2878" s="17"/>
      <c r="U2878" s="16"/>
      <c r="V2878" s="16"/>
    </row>
    <row r="2879" spans="1:22">
      <c r="A2879" s="22"/>
      <c r="B2879" s="1042"/>
      <c r="C2879" s="1042"/>
      <c r="D2879" s="1623"/>
      <c r="E2879" s="2158"/>
      <c r="F2879" s="1801"/>
      <c r="G2879" s="1822"/>
      <c r="H2879" s="1822"/>
      <c r="I2879" s="198"/>
      <c r="J2879" s="6"/>
      <c r="K2879" s="1307"/>
      <c r="L2879" s="1335"/>
      <c r="M2879" s="1499"/>
      <c r="N2879" s="1701"/>
      <c r="O2879" s="1290"/>
      <c r="P2879" s="1332"/>
      <c r="Q2879" s="3391"/>
      <c r="R2879" s="3363"/>
      <c r="S2879" s="17"/>
      <c r="T2879" s="17"/>
      <c r="U2879" s="16"/>
      <c r="V2879" s="16"/>
    </row>
    <row r="2880" spans="1:22">
      <c r="A2880" s="22"/>
      <c r="B2880" s="1042"/>
      <c r="C2880" s="1042"/>
      <c r="D2880" s="1623"/>
      <c r="E2880" s="2158"/>
      <c r="F2880" s="1801"/>
      <c r="G2880" s="1822"/>
      <c r="H2880" s="1822"/>
      <c r="I2880" s="198"/>
      <c r="J2880" s="6"/>
      <c r="K2880" s="1307"/>
      <c r="L2880" s="1335"/>
      <c r="M2880" s="1499"/>
      <c r="N2880" s="1701"/>
      <c r="O2880" s="1290"/>
      <c r="P2880" s="1332"/>
      <c r="Q2880" s="3391"/>
      <c r="R2880" s="3363"/>
      <c r="S2880" s="17"/>
      <c r="T2880" s="17"/>
      <c r="U2880" s="16"/>
      <c r="V2880" s="16"/>
    </row>
    <row r="2881" spans="1:22">
      <c r="A2881" s="22"/>
      <c r="B2881" s="1042"/>
      <c r="C2881" s="1042"/>
      <c r="D2881" s="1411"/>
      <c r="E2881" s="2123"/>
      <c r="F2881" s="1802" t="s">
        <v>3</v>
      </c>
      <c r="G2881" s="1376"/>
      <c r="H2881" s="1376"/>
      <c r="I2881" s="1382"/>
      <c r="J2881" s="1383"/>
      <c r="K2881" s="1373"/>
      <c r="L2881" s="1413"/>
      <c r="M2881" s="1505"/>
      <c r="N2881" s="1505"/>
      <c r="O2881" s="1376"/>
      <c r="P2881" s="1413"/>
      <c r="Q2881" s="3387"/>
      <c r="R2881" s="3363"/>
      <c r="S2881" s="17"/>
      <c r="T2881" s="17"/>
      <c r="U2881" s="16"/>
      <c r="V2881" s="16"/>
    </row>
    <row r="2882" spans="1:22">
      <c r="A2882" s="22"/>
      <c r="B2882" s="1042"/>
      <c r="C2882" s="1042"/>
      <c r="D2882" s="1827" t="s">
        <v>1686</v>
      </c>
      <c r="E2882" s="2173" t="s">
        <v>1687</v>
      </c>
      <c r="F2882" s="1827" t="s">
        <v>1688</v>
      </c>
      <c r="G2882" s="1828">
        <v>1.4650000000000001</v>
      </c>
      <c r="H2882" s="1521"/>
      <c r="I2882" s="198"/>
      <c r="J2882" s="6"/>
      <c r="K2882" s="1307">
        <f>G2882*$K$2382</f>
        <v>1.2956460000000001</v>
      </c>
      <c r="L2882" s="1335">
        <f>K2882*$K$2842</f>
        <v>0</v>
      </c>
      <c r="M2882" s="1499">
        <v>7.5</v>
      </c>
      <c r="N2882" s="1701"/>
      <c r="O2882" s="1290">
        <f>(G2882*M2882)</f>
        <v>10.987500000000001</v>
      </c>
      <c r="P2882" s="1332">
        <f>M2882*K2882</f>
        <v>9.7173449999999999</v>
      </c>
      <c r="Q2882" s="3391"/>
      <c r="R2882" s="3363"/>
      <c r="S2882" s="17"/>
      <c r="T2882" s="17"/>
      <c r="U2882" s="16"/>
      <c r="V2882" s="16"/>
    </row>
    <row r="2883" spans="1:22">
      <c r="A2883" s="22"/>
      <c r="B2883" s="1042"/>
      <c r="C2883" s="1042"/>
      <c r="D2883" s="1411"/>
      <c r="E2883" s="2123"/>
      <c r="F2883" s="1475"/>
      <c r="G2883" s="1376"/>
      <c r="H2883" s="1376"/>
      <c r="I2883" s="198"/>
      <c r="J2883" s="6"/>
      <c r="K2883" s="1307"/>
      <c r="L2883" s="1335"/>
      <c r="M2883" s="1499"/>
      <c r="N2883" s="1701"/>
      <c r="O2883" s="1290"/>
      <c r="P2883" s="1332"/>
      <c r="Q2883" s="3391"/>
      <c r="R2883" s="3363"/>
      <c r="S2883" s="17"/>
      <c r="T2883" s="17"/>
      <c r="U2883" s="16"/>
      <c r="V2883" s="16"/>
    </row>
    <row r="2884" spans="1:22">
      <c r="A2884" s="22"/>
      <c r="B2884" s="223"/>
      <c r="C2884" s="223"/>
      <c r="D2884" s="1808"/>
      <c r="E2884" s="2132"/>
      <c r="F2884" s="1804"/>
      <c r="G2884" s="1805"/>
      <c r="H2884" s="1805"/>
      <c r="I2884" s="197"/>
      <c r="J2884" s="1806"/>
      <c r="K2884" s="1307"/>
      <c r="L2884" s="1335"/>
      <c r="M2884" s="1701"/>
      <c r="N2884" s="1701"/>
      <c r="O2884" s="1290"/>
      <c r="P2884" s="1333"/>
      <c r="Q2884" s="3391"/>
      <c r="R2884" s="2337"/>
      <c r="S2884" s="17"/>
      <c r="T2884" s="17"/>
      <c r="U2884" s="16"/>
      <c r="V2884" s="16"/>
    </row>
    <row r="2885" spans="1:22">
      <c r="A2885" s="16" t="s">
        <v>3764</v>
      </c>
      <c r="B2885" s="4325" t="s">
        <v>1654</v>
      </c>
      <c r="C2885" s="3350"/>
      <c r="D2885" s="4327"/>
      <c r="E2885" s="4329" t="s">
        <v>1507</v>
      </c>
      <c r="F2885" s="4336" t="s">
        <v>1664</v>
      </c>
      <c r="G2885" s="4331" t="s">
        <v>1568</v>
      </c>
      <c r="H2885" s="4331" t="s">
        <v>1574</v>
      </c>
      <c r="I2885" s="1572" t="s">
        <v>1559</v>
      </c>
      <c r="J2885" s="1294" t="s">
        <v>1560</v>
      </c>
      <c r="K2885" s="1294" t="s">
        <v>1569</v>
      </c>
      <c r="L2885" s="4333" t="s">
        <v>3765</v>
      </c>
      <c r="M2885" s="4335" t="s">
        <v>1571</v>
      </c>
      <c r="N2885" s="4323" t="s">
        <v>1776</v>
      </c>
      <c r="O2885" s="3347" t="s">
        <v>1563</v>
      </c>
      <c r="P2885" s="1336" t="s">
        <v>1562</v>
      </c>
      <c r="Q2885" s="3389"/>
      <c r="R2885" s="1699" t="s">
        <v>1327</v>
      </c>
      <c r="S2885" s="17"/>
      <c r="T2885" s="17"/>
      <c r="U2885" s="16"/>
      <c r="V2885" s="16"/>
    </row>
    <row r="2886" spans="1:22">
      <c r="A2886" s="1971" t="s">
        <v>1967</v>
      </c>
      <c r="B2886" s="4326"/>
      <c r="C2886" s="3351"/>
      <c r="D2886" s="4328"/>
      <c r="E2886" s="4330"/>
      <c r="F2886" s="4336"/>
      <c r="G2886" s="4332"/>
      <c r="H2886" s="4332"/>
      <c r="I2886" s="4079">
        <v>57.78</v>
      </c>
      <c r="J2886" s="3815">
        <v>3.0000000000000001E-3</v>
      </c>
      <c r="K2886" s="1307">
        <f>I2886*J2886</f>
        <v>0.17333999999999999</v>
      </c>
      <c r="L2886" s="4334"/>
      <c r="M2886" s="4335"/>
      <c r="N2886" s="4324"/>
      <c r="O2886" s="1298">
        <f>SUM(O2888:O2898)</f>
        <v>4.9356000000000009</v>
      </c>
      <c r="P2886" s="1337">
        <f>O2886*K2886</f>
        <v>0.85553690400000015</v>
      </c>
      <c r="Q2886" s="3390"/>
      <c r="R2886" s="1721">
        <f>SUM(P2888:P2898)</f>
        <v>0.85553690400000015</v>
      </c>
      <c r="S2886" s="17"/>
      <c r="T2886" s="17"/>
      <c r="U2886" s="16"/>
      <c r="V2886" s="16"/>
    </row>
    <row r="2887" spans="1:22">
      <c r="A2887" s="22"/>
      <c r="B2887" s="1327"/>
      <c r="C2887" s="1327"/>
      <c r="D2887" s="1400"/>
      <c r="E2887" s="2121"/>
      <c r="F2887" s="1368" t="s">
        <v>1</v>
      </c>
      <c r="G2887" s="1417"/>
      <c r="H2887" s="1390"/>
      <c r="I2887" s="1554"/>
      <c r="J2887" s="1367"/>
      <c r="K2887" s="1367"/>
      <c r="L2887" s="1554"/>
      <c r="M2887" s="1369"/>
      <c r="N2887" s="1369"/>
      <c r="O2887" s="1369"/>
      <c r="P2887" s="1367"/>
      <c r="Q2887" s="3387"/>
      <c r="R2887" s="2337"/>
      <c r="S2887" s="17"/>
      <c r="T2887" s="17"/>
      <c r="U2887" s="16"/>
      <c r="V2887" s="16"/>
    </row>
    <row r="2888" spans="1:22">
      <c r="A2888" s="22"/>
      <c r="B2888" s="1042"/>
      <c r="C2888" s="1042"/>
      <c r="D2888" s="1400"/>
      <c r="E2888" s="1856"/>
      <c r="F2888" s="1421"/>
      <c r="G2888" s="1399"/>
      <c r="H2888" s="1399"/>
      <c r="I2888" s="1760"/>
      <c r="J2888" s="198"/>
      <c r="K2888" s="1307"/>
      <c r="L2888" s="1335"/>
      <c r="M2888" s="1499"/>
      <c r="N2888" s="1701"/>
      <c r="O2888" s="1290"/>
      <c r="P2888" s="1332"/>
      <c r="Q2888" s="3391"/>
      <c r="R2888" s="2337"/>
      <c r="S2888" s="17"/>
      <c r="T2888" s="17"/>
      <c r="U2888" s="16"/>
      <c r="V2888" s="16"/>
    </row>
    <row r="2889" spans="1:22">
      <c r="A2889" s="22"/>
      <c r="B2889" s="1042"/>
      <c r="C2889" s="1042"/>
      <c r="D2889" s="1400"/>
      <c r="E2889" s="1856"/>
      <c r="F2889" s="1421"/>
      <c r="G2889" s="1399"/>
      <c r="H2889" s="1399"/>
      <c r="I2889" s="1760"/>
      <c r="J2889" s="198"/>
      <c r="K2889" s="1307"/>
      <c r="L2889" s="1335"/>
      <c r="M2889" s="1499"/>
      <c r="N2889" s="1701"/>
      <c r="O2889" s="1290"/>
      <c r="P2889" s="1332"/>
      <c r="Q2889" s="3391"/>
      <c r="R2889" s="3363"/>
      <c r="S2889" s="17"/>
      <c r="T2889" s="17"/>
      <c r="U2889" s="16"/>
      <c r="V2889" s="16"/>
    </row>
    <row r="2890" spans="1:22">
      <c r="A2890" s="22"/>
      <c r="B2890" s="1042"/>
      <c r="C2890" s="1042"/>
      <c r="D2890" s="1400"/>
      <c r="E2890" s="1856"/>
      <c r="F2890" s="1421"/>
      <c r="G2890" s="1452"/>
      <c r="H2890" s="1399"/>
      <c r="I2890" s="197"/>
      <c r="J2890" s="198"/>
      <c r="K2890" s="1307"/>
      <c r="L2890" s="1335"/>
      <c r="M2890" s="1499"/>
      <c r="N2890" s="1701"/>
      <c r="O2890" s="1290"/>
      <c r="P2890" s="1332"/>
      <c r="Q2890" s="3391"/>
      <c r="R2890" s="3363"/>
      <c r="S2890" s="17"/>
      <c r="T2890" s="17"/>
      <c r="U2890" s="16"/>
      <c r="V2890" s="16"/>
    </row>
    <row r="2891" spans="1:22">
      <c r="A2891" s="22"/>
      <c r="B2891" s="1042"/>
      <c r="C2891" s="1042"/>
      <c r="D2891" s="1410"/>
      <c r="E2891" s="1858"/>
      <c r="F2891" s="1360" t="s">
        <v>2</v>
      </c>
      <c r="G2891" s="1360"/>
      <c r="H2891" s="1362"/>
      <c r="I2891" s="1380"/>
      <c r="J2891" s="1381"/>
      <c r="K2891" s="1359"/>
      <c r="L2891" s="1458"/>
      <c r="M2891" s="1502"/>
      <c r="N2891" s="1502"/>
      <c r="O2891" s="1362"/>
      <c r="P2891" s="1359"/>
      <c r="Q2891" s="3387"/>
      <c r="R2891" s="3363"/>
      <c r="S2891" s="17"/>
      <c r="T2891" s="17"/>
      <c r="U2891" s="16"/>
      <c r="V2891" s="16"/>
    </row>
    <row r="2892" spans="1:22">
      <c r="A2892" s="22"/>
      <c r="B2892" s="1042"/>
      <c r="C2892" s="1042"/>
      <c r="D2892" s="1473" t="s">
        <v>1067</v>
      </c>
      <c r="E2892" s="2148" t="s">
        <v>1508</v>
      </c>
      <c r="F2892" s="1473" t="s">
        <v>1512</v>
      </c>
      <c r="G2892" s="1365">
        <v>0.27</v>
      </c>
      <c r="H2892" s="1365"/>
      <c r="I2892" s="198"/>
      <c r="J2892" s="6"/>
      <c r="K2892" s="1307">
        <f>G2892*K2886</f>
        <v>4.6801800000000005E-2</v>
      </c>
      <c r="L2892" s="1335">
        <f>K2892*$K$2842</f>
        <v>0</v>
      </c>
      <c r="M2892" s="1499">
        <v>18.28</v>
      </c>
      <c r="N2892" s="1701"/>
      <c r="O2892" s="1290">
        <f>(G2892*M2892)</f>
        <v>4.9356000000000009</v>
      </c>
      <c r="P2892" s="1332">
        <f>M2892*K2892</f>
        <v>0.85553690400000015</v>
      </c>
      <c r="Q2892" s="3391"/>
      <c r="R2892" s="3363"/>
      <c r="S2892" s="17"/>
      <c r="T2892" s="17"/>
      <c r="U2892" s="16"/>
      <c r="V2892" s="16"/>
    </row>
    <row r="2893" spans="1:22">
      <c r="A2893" s="22"/>
      <c r="B2893" s="1042"/>
      <c r="C2893" s="1042"/>
      <c r="D2893" s="1623"/>
      <c r="E2893" s="2158"/>
      <c r="F2893" s="1801"/>
      <c r="G2893" s="1359"/>
      <c r="H2893" s="1803"/>
      <c r="I2893" s="198"/>
      <c r="J2893" s="6"/>
      <c r="K2893" s="1307"/>
      <c r="L2893" s="1335"/>
      <c r="M2893" s="1499"/>
      <c r="N2893" s="1701"/>
      <c r="O2893" s="1290"/>
      <c r="P2893" s="1332"/>
      <c r="Q2893" s="3391"/>
      <c r="R2893" s="3363"/>
      <c r="S2893" s="17"/>
      <c r="T2893" s="17"/>
      <c r="U2893" s="16"/>
      <c r="V2893" s="16"/>
    </row>
    <row r="2894" spans="1:22">
      <c r="A2894" s="22"/>
      <c r="B2894" s="1042"/>
      <c r="C2894" s="1042"/>
      <c r="D2894" s="1623"/>
      <c r="E2894" s="2158"/>
      <c r="F2894" s="1801"/>
      <c r="G2894" s="1359"/>
      <c r="H2894" s="1803"/>
      <c r="I2894" s="198"/>
      <c r="J2894" s="6"/>
      <c r="K2894" s="1307"/>
      <c r="L2894" s="1335"/>
      <c r="M2894" s="1499"/>
      <c r="N2894" s="1701"/>
      <c r="O2894" s="1290"/>
      <c r="P2894" s="1332"/>
      <c r="Q2894" s="3391"/>
      <c r="R2894" s="2337"/>
      <c r="S2894" s="17"/>
      <c r="T2894" s="17"/>
      <c r="U2894" s="16"/>
      <c r="V2894" s="16"/>
    </row>
    <row r="2895" spans="1:22">
      <c r="A2895" s="22"/>
      <c r="B2895" s="1042"/>
      <c r="C2895" s="1042"/>
      <c r="D2895" s="1411"/>
      <c r="E2895" s="2123"/>
      <c r="F2895" s="1802" t="s">
        <v>3</v>
      </c>
      <c r="G2895" s="1475"/>
      <c r="H2895" s="1505"/>
      <c r="I2895" s="1382"/>
      <c r="J2895" s="1383"/>
      <c r="K2895" s="1373"/>
      <c r="L2895" s="1413"/>
      <c r="M2895" s="1505"/>
      <c r="N2895" s="1505"/>
      <c r="O2895" s="1376"/>
      <c r="P2895" s="1413"/>
      <c r="Q2895" s="3387"/>
      <c r="R2895" s="2337"/>
      <c r="S2895" s="17"/>
      <c r="T2895" s="17"/>
      <c r="U2895" s="16"/>
      <c r="V2895" s="16"/>
    </row>
    <row r="2896" spans="1:22">
      <c r="A2896" s="22"/>
      <c r="B2896" s="1042"/>
      <c r="C2896" s="1042"/>
      <c r="D2896" s="1411"/>
      <c r="E2896" s="2123"/>
      <c r="F2896" s="1475"/>
      <c r="G2896" s="1475"/>
      <c r="H2896" s="1376"/>
      <c r="I2896" s="198"/>
      <c r="J2896" s="6"/>
      <c r="K2896" s="1307"/>
      <c r="L2896" s="1335"/>
      <c r="M2896" s="1499"/>
      <c r="N2896" s="1701"/>
      <c r="O2896" s="1290"/>
      <c r="P2896" s="1332"/>
      <c r="Q2896" s="3391"/>
      <c r="R2896" s="3363"/>
      <c r="S2896" s="17"/>
      <c r="T2896" s="17"/>
      <c r="U2896" s="16"/>
      <c r="V2896" s="16"/>
    </row>
    <row r="2897" spans="1:22">
      <c r="A2897" s="22"/>
      <c r="B2897" s="1042"/>
      <c r="C2897" s="1042"/>
      <c r="D2897" s="1411"/>
      <c r="E2897" s="2123"/>
      <c r="F2897" s="1475"/>
      <c r="G2897" s="1475"/>
      <c r="H2897" s="1376"/>
      <c r="I2897" s="198"/>
      <c r="J2897" s="6"/>
      <c r="K2897" s="1307"/>
      <c r="L2897" s="1335"/>
      <c r="M2897" s="1499"/>
      <c r="N2897" s="1701"/>
      <c r="O2897" s="1290"/>
      <c r="P2897" s="1332"/>
      <c r="Q2897" s="3391"/>
      <c r="R2897" s="3363"/>
      <c r="S2897" s="17"/>
      <c r="T2897" s="17"/>
      <c r="U2897" s="16"/>
      <c r="V2897" s="16"/>
    </row>
    <row r="2898" spans="1:22">
      <c r="A2898" s="22"/>
      <c r="B2898" s="1042"/>
      <c r="C2898" s="1042"/>
      <c r="D2898" s="1412"/>
      <c r="E2898" s="2124"/>
      <c r="F2898" s="1377"/>
      <c r="G2898" s="1377"/>
      <c r="H2898" s="1597"/>
      <c r="I2898" s="198"/>
      <c r="J2898" s="6"/>
      <c r="K2898" s="1306"/>
      <c r="L2898" s="1646"/>
      <c r="M2898" s="1302"/>
      <c r="N2898" s="1302"/>
      <c r="O2898" s="1291"/>
      <c r="P2898" s="1332"/>
      <c r="Q2898" s="3391"/>
      <c r="R2898" s="2337"/>
      <c r="S2898" s="17"/>
      <c r="T2898" s="17"/>
      <c r="U2898" s="16"/>
      <c r="V2898" s="16"/>
    </row>
    <row r="2899" spans="1:22">
      <c r="A2899" s="16" t="s">
        <v>3764</v>
      </c>
      <c r="B2899" s="4325" t="s">
        <v>3580</v>
      </c>
      <c r="C2899" s="3350"/>
      <c r="D2899" s="4327"/>
      <c r="E2899" s="4329" t="s">
        <v>1527</v>
      </c>
      <c r="F2899" s="4336" t="s">
        <v>3582</v>
      </c>
      <c r="G2899" s="4331" t="s">
        <v>1568</v>
      </c>
      <c r="H2899" s="4331" t="s">
        <v>1574</v>
      </c>
      <c r="I2899" s="1572" t="s">
        <v>1559</v>
      </c>
      <c r="J2899" s="1294" t="s">
        <v>1560</v>
      </c>
      <c r="K2899" s="1294" t="s">
        <v>1569</v>
      </c>
      <c r="L2899" s="4333" t="s">
        <v>3765</v>
      </c>
      <c r="M2899" s="4335" t="s">
        <v>1571</v>
      </c>
      <c r="N2899" s="4323" t="s">
        <v>1776</v>
      </c>
      <c r="O2899" s="3347" t="s">
        <v>1563</v>
      </c>
      <c r="P2899" s="1336" t="s">
        <v>1562</v>
      </c>
      <c r="Q2899" s="3389"/>
      <c r="R2899" s="1699" t="s">
        <v>1327</v>
      </c>
      <c r="S2899" s="17"/>
      <c r="T2899" s="17"/>
      <c r="U2899" s="16"/>
      <c r="V2899" s="16"/>
    </row>
    <row r="2900" spans="1:22">
      <c r="A2900" s="1971" t="s">
        <v>1967</v>
      </c>
      <c r="B2900" s="4326"/>
      <c r="C2900" s="3351"/>
      <c r="D2900" s="4328"/>
      <c r="E2900" s="4330"/>
      <c r="F2900" s="4336"/>
      <c r="G2900" s="4332"/>
      <c r="H2900" s="4332"/>
      <c r="I2900" s="4079">
        <v>108</v>
      </c>
      <c r="J2900" s="3815">
        <v>3.0000000000000001E-3</v>
      </c>
      <c r="K2900" s="1307">
        <f>I2900*J2900</f>
        <v>0.32400000000000001</v>
      </c>
      <c r="L2900" s="4334"/>
      <c r="M2900" s="4335"/>
      <c r="N2900" s="4324"/>
      <c r="O2900" s="1298">
        <f>SUM(O2902:O2912)</f>
        <v>0.58496000000000004</v>
      </c>
      <c r="P2900" s="1337">
        <f>O2900*K2900</f>
        <v>0.18952704000000001</v>
      </c>
      <c r="Q2900" s="3390"/>
      <c r="R2900" s="1721">
        <f>SUM(P2902:P2912)</f>
        <v>0.18952704000000001</v>
      </c>
      <c r="S2900" s="17"/>
      <c r="T2900" s="17"/>
      <c r="U2900" s="16"/>
      <c r="V2900" s="16"/>
    </row>
    <row r="2901" spans="1:22">
      <c r="A2901" s="22"/>
      <c r="B2901" s="1327"/>
      <c r="C2901" s="1327"/>
      <c r="D2901" s="1400"/>
      <c r="E2901" s="2121"/>
      <c r="F2901" s="1368" t="s">
        <v>1</v>
      </c>
      <c r="G2901" s="1417"/>
      <c r="H2901" s="1390"/>
      <c r="I2901" s="1554"/>
      <c r="J2901" s="1367"/>
      <c r="K2901" s="1367"/>
      <c r="L2901" s="1554"/>
      <c r="M2901" s="1369"/>
      <c r="N2901" s="1369"/>
      <c r="O2901" s="1369"/>
      <c r="P2901" s="1367"/>
      <c r="Q2901" s="3387"/>
      <c r="R2901" s="2337"/>
      <c r="S2901" s="17"/>
      <c r="T2901" s="17"/>
      <c r="U2901" s="16"/>
      <c r="V2901" s="16"/>
    </row>
    <row r="2902" spans="1:22">
      <c r="A2902" s="22"/>
      <c r="B2902" s="1042"/>
      <c r="C2902" s="1042"/>
      <c r="D2902" s="1400"/>
      <c r="E2902" s="1856"/>
      <c r="F2902" s="1421"/>
      <c r="G2902" s="1399"/>
      <c r="H2902" s="1399"/>
      <c r="I2902" s="1760"/>
      <c r="J2902" s="198"/>
      <c r="K2902" s="1307"/>
      <c r="L2902" s="1335"/>
      <c r="M2902" s="1499"/>
      <c r="N2902" s="1701"/>
      <c r="O2902" s="1290"/>
      <c r="P2902" s="1332"/>
      <c r="Q2902" s="3391"/>
      <c r="R2902" s="2337"/>
      <c r="S2902" s="17"/>
      <c r="T2902" s="17"/>
      <c r="U2902" s="16"/>
      <c r="V2902" s="16"/>
    </row>
    <row r="2903" spans="1:22" ht="18.5">
      <c r="A2903" s="3816" t="s">
        <v>3578</v>
      </c>
      <c r="B2903" s="2042"/>
      <c r="C2903" s="1042"/>
      <c r="D2903" s="1400"/>
      <c r="E2903" s="1856"/>
      <c r="F2903" s="1421"/>
      <c r="G2903" s="1399"/>
      <c r="H2903" s="1399"/>
      <c r="I2903" s="1760"/>
      <c r="J2903" s="198"/>
      <c r="K2903" s="1307"/>
      <c r="L2903" s="1335"/>
      <c r="M2903" s="1499"/>
      <c r="N2903" s="1701"/>
      <c r="O2903" s="1290"/>
      <c r="P2903" s="1332"/>
      <c r="Q2903" s="3391"/>
      <c r="R2903" s="3363"/>
      <c r="S2903" s="17"/>
      <c r="T2903" s="17"/>
      <c r="U2903" s="16"/>
      <c r="V2903" s="16"/>
    </row>
    <row r="2904" spans="1:22" ht="18.5">
      <c r="A2904" s="3816" t="s">
        <v>3581</v>
      </c>
      <c r="B2904" s="1042"/>
      <c r="C2904" s="1042"/>
      <c r="D2904" s="1400"/>
      <c r="E2904" s="1856"/>
      <c r="F2904" s="1421"/>
      <c r="G2904" s="1452"/>
      <c r="H2904" s="1399"/>
      <c r="I2904" s="197"/>
      <c r="J2904" s="198"/>
      <c r="K2904" s="1307"/>
      <c r="L2904" s="1335"/>
      <c r="M2904" s="1499"/>
      <c r="N2904" s="1701"/>
      <c r="O2904" s="1290"/>
      <c r="P2904" s="1332"/>
      <c r="Q2904" s="3391"/>
      <c r="R2904" s="3363"/>
      <c r="S2904" s="17"/>
      <c r="T2904" s="17"/>
      <c r="U2904" s="16"/>
      <c r="V2904" s="16"/>
    </row>
    <row r="2905" spans="1:22">
      <c r="A2905" s="22"/>
      <c r="B2905" s="1042"/>
      <c r="C2905" s="1042"/>
      <c r="D2905" s="1410"/>
      <c r="E2905" s="1858"/>
      <c r="F2905" s="1360" t="s">
        <v>2</v>
      </c>
      <c r="G2905" s="1360"/>
      <c r="H2905" s="1362"/>
      <c r="I2905" s="1380"/>
      <c r="J2905" s="1381"/>
      <c r="K2905" s="1359"/>
      <c r="L2905" s="1458"/>
      <c r="M2905" s="1502"/>
      <c r="N2905" s="1502"/>
      <c r="O2905" s="1362"/>
      <c r="P2905" s="1359"/>
      <c r="Q2905" s="3387"/>
      <c r="R2905" s="3363"/>
      <c r="S2905" s="17"/>
      <c r="T2905" s="17"/>
      <c r="U2905" s="16"/>
      <c r="V2905" s="16"/>
    </row>
    <row r="2906" spans="1:22">
      <c r="A2906" s="22"/>
      <c r="B2906" s="1042"/>
      <c r="C2906" s="1042"/>
      <c r="D2906" s="1473" t="s">
        <v>1067</v>
      </c>
      <c r="E2906" s="2148" t="s">
        <v>1508</v>
      </c>
      <c r="F2906" s="1473" t="s">
        <v>1512</v>
      </c>
      <c r="G2906" s="1365">
        <v>3.2000000000000001E-2</v>
      </c>
      <c r="H2906" s="1365"/>
      <c r="I2906" s="198"/>
      <c r="J2906" s="6"/>
      <c r="K2906" s="1307">
        <f>G2906*K2900</f>
        <v>1.0368E-2</v>
      </c>
      <c r="L2906" s="1335">
        <f>K2906*$K$2842</f>
        <v>0</v>
      </c>
      <c r="M2906" s="1499">
        <v>18.28</v>
      </c>
      <c r="N2906" s="1701"/>
      <c r="O2906" s="1290">
        <f>(G2906*M2906)</f>
        <v>0.58496000000000004</v>
      </c>
      <c r="P2906" s="1332">
        <f>M2906*K2906</f>
        <v>0.18952704000000001</v>
      </c>
      <c r="Q2906" s="3391"/>
      <c r="R2906" s="3363"/>
      <c r="S2906" s="17"/>
      <c r="T2906" s="17"/>
      <c r="U2906" s="16"/>
      <c r="V2906" s="16"/>
    </row>
    <row r="2907" spans="1:22">
      <c r="A2907" s="22"/>
      <c r="B2907" s="1042"/>
      <c r="C2907" s="1042"/>
      <c r="D2907" s="1623"/>
      <c r="E2907" s="2158"/>
      <c r="F2907" s="1801"/>
      <c r="G2907" s="1359"/>
      <c r="H2907" s="1803"/>
      <c r="I2907" s="198"/>
      <c r="J2907" s="6"/>
      <c r="K2907" s="1307"/>
      <c r="L2907" s="1335"/>
      <c r="M2907" s="1499"/>
      <c r="N2907" s="1701"/>
      <c r="O2907" s="1290"/>
      <c r="P2907" s="1332"/>
      <c r="Q2907" s="3391"/>
      <c r="R2907" s="3363"/>
      <c r="S2907" s="17"/>
      <c r="T2907" s="17"/>
      <c r="U2907" s="16"/>
      <c r="V2907" s="16"/>
    </row>
    <row r="2908" spans="1:22">
      <c r="A2908" s="22"/>
      <c r="B2908" s="1042"/>
      <c r="C2908" s="1042"/>
      <c r="D2908" s="1623"/>
      <c r="E2908" s="2158"/>
      <c r="F2908" s="1801"/>
      <c r="G2908" s="1359"/>
      <c r="H2908" s="1803"/>
      <c r="I2908" s="198"/>
      <c r="J2908" s="6"/>
      <c r="K2908" s="1307"/>
      <c r="L2908" s="1335"/>
      <c r="M2908" s="1499"/>
      <c r="N2908" s="1701"/>
      <c r="O2908" s="1290"/>
      <c r="P2908" s="1332"/>
      <c r="Q2908" s="3391"/>
      <c r="R2908" s="2337"/>
      <c r="S2908" s="17"/>
      <c r="T2908" s="17"/>
      <c r="U2908" s="16"/>
      <c r="V2908" s="16"/>
    </row>
    <row r="2909" spans="1:22">
      <c r="A2909" s="22"/>
      <c r="B2909" s="1042"/>
      <c r="C2909" s="1042"/>
      <c r="D2909" s="1411"/>
      <c r="E2909" s="2123"/>
      <c r="F2909" s="1802" t="s">
        <v>3</v>
      </c>
      <c r="G2909" s="1475"/>
      <c r="H2909" s="1505"/>
      <c r="I2909" s="1382"/>
      <c r="J2909" s="1383"/>
      <c r="K2909" s="1373"/>
      <c r="L2909" s="1413"/>
      <c r="M2909" s="1505"/>
      <c r="N2909" s="1505"/>
      <c r="O2909" s="1376"/>
      <c r="P2909" s="1413"/>
      <c r="Q2909" s="3387"/>
      <c r="R2909" s="2337"/>
      <c r="S2909" s="17"/>
      <c r="T2909" s="17"/>
      <c r="U2909" s="16"/>
      <c r="V2909" s="16"/>
    </row>
    <row r="2910" spans="1:22">
      <c r="A2910" s="22"/>
      <c r="B2910" s="1042"/>
      <c r="C2910" s="1042"/>
      <c r="D2910" s="1411"/>
      <c r="E2910" s="2123"/>
      <c r="F2910" s="1475"/>
      <c r="G2910" s="1475"/>
      <c r="H2910" s="1376"/>
      <c r="I2910" s="198"/>
      <c r="J2910" s="6"/>
      <c r="K2910" s="1307"/>
      <c r="L2910" s="1335"/>
      <c r="M2910" s="1499"/>
      <c r="N2910" s="1701"/>
      <c r="O2910" s="1290"/>
      <c r="P2910" s="1332"/>
      <c r="Q2910" s="3391"/>
      <c r="R2910" s="3363"/>
      <c r="S2910" s="17"/>
      <c r="T2910" s="17"/>
      <c r="U2910" s="16"/>
      <c r="V2910" s="16"/>
    </row>
    <row r="2911" spans="1:22">
      <c r="A2911" s="22"/>
      <c r="B2911" s="1042"/>
      <c r="C2911" s="1042"/>
      <c r="D2911" s="1412"/>
      <c r="E2911" s="2124"/>
      <c r="F2911" s="1377"/>
      <c r="G2911" s="1377"/>
      <c r="H2911" s="1597"/>
      <c r="I2911" s="198"/>
      <c r="J2911" s="6"/>
      <c r="K2911" s="1306"/>
      <c r="L2911" s="1646"/>
      <c r="M2911" s="1302"/>
      <c r="N2911" s="1302"/>
      <c r="O2911" s="1291"/>
      <c r="P2911" s="1332"/>
      <c r="Q2911" s="3391"/>
      <c r="R2911" s="2337"/>
      <c r="S2911" s="17"/>
      <c r="T2911" s="17"/>
      <c r="U2911" s="16"/>
      <c r="V2911" s="16"/>
    </row>
    <row r="2912" spans="1:22">
      <c r="A2912" s="22"/>
      <c r="B2912" s="223"/>
      <c r="C2912" s="223"/>
      <c r="D2912" s="1808"/>
      <c r="E2912" s="2132"/>
      <c r="F2912" s="1804"/>
      <c r="G2912" s="1804"/>
      <c r="H2912" s="1805"/>
      <c r="I2912" s="197"/>
      <c r="J2912" s="1806"/>
      <c r="K2912" s="1307"/>
      <c r="L2912" s="1335"/>
      <c r="M2912" s="1701"/>
      <c r="N2912" s="1701"/>
      <c r="O2912" s="1290"/>
      <c r="P2912" s="1333"/>
      <c r="Q2912" s="3391"/>
      <c r="R2912" s="3363"/>
      <c r="S2912" s="17"/>
      <c r="T2912" s="17"/>
      <c r="U2912" s="16"/>
      <c r="V2912" s="16"/>
    </row>
    <row r="2913" spans="1:22">
      <c r="A2913" s="16" t="s">
        <v>3764</v>
      </c>
      <c r="B2913" s="4325" t="s">
        <v>3822</v>
      </c>
      <c r="C2913" s="3350"/>
      <c r="D2913" s="4327"/>
      <c r="E2913" s="4329" t="s">
        <v>1507</v>
      </c>
      <c r="F2913" s="4515" t="s">
        <v>3823</v>
      </c>
      <c r="G2913" s="4516" t="s">
        <v>1568</v>
      </c>
      <c r="H2913" s="4516" t="s">
        <v>1574</v>
      </c>
      <c r="I2913" s="1572" t="s">
        <v>1559</v>
      </c>
      <c r="J2913" s="1294" t="s">
        <v>1560</v>
      </c>
      <c r="K2913" s="1294" t="s">
        <v>1569</v>
      </c>
      <c r="L2913" s="4333" t="s">
        <v>3765</v>
      </c>
      <c r="M2913" s="4323" t="s">
        <v>1571</v>
      </c>
      <c r="N2913" s="4323" t="s">
        <v>1776</v>
      </c>
      <c r="O2913" s="3347" t="s">
        <v>1563</v>
      </c>
      <c r="P2913" s="1336" t="s">
        <v>1562</v>
      </c>
      <c r="Q2913" s="3389"/>
      <c r="R2913" s="1699" t="s">
        <v>1327</v>
      </c>
      <c r="S2913" s="17"/>
      <c r="T2913" s="17"/>
      <c r="U2913" s="16"/>
      <c r="V2913" s="16"/>
    </row>
    <row r="2914" spans="1:22">
      <c r="A2914" s="1971" t="s">
        <v>1967</v>
      </c>
      <c r="B2914" s="4326"/>
      <c r="C2914" s="3351"/>
      <c r="D2914" s="4328"/>
      <c r="E2914" s="4330"/>
      <c r="F2914" s="4363"/>
      <c r="G2914" s="4332"/>
      <c r="H2914" s="4332"/>
      <c r="I2914" s="4079">
        <v>191.7</v>
      </c>
      <c r="J2914" s="3815">
        <v>3.0000000000000001E-3</v>
      </c>
      <c r="K2914" s="1307">
        <f>I2914*J2914</f>
        <v>0.57509999999999994</v>
      </c>
      <c r="L2914" s="4334"/>
      <c r="M2914" s="4324"/>
      <c r="N2914" s="4324"/>
      <c r="O2914" s="1298">
        <f>SUM(O2916:O2926)</f>
        <v>3.2904</v>
      </c>
      <c r="P2914" s="1337">
        <f>O2914*K2914</f>
        <v>1.8923090399999998</v>
      </c>
      <c r="Q2914" s="3390"/>
      <c r="R2914" s="1721">
        <f>SUM(P2916:P2926)</f>
        <v>1.8923090399999998</v>
      </c>
      <c r="S2914" s="17"/>
      <c r="T2914" s="17"/>
      <c r="U2914" s="16"/>
      <c r="V2914" s="16"/>
    </row>
    <row r="2915" spans="1:22">
      <c r="A2915" s="22"/>
      <c r="B2915" s="551"/>
      <c r="C2915" s="18"/>
      <c r="D2915" s="1400"/>
      <c r="E2915" s="2121"/>
      <c r="F2915" s="1368" t="s">
        <v>1</v>
      </c>
      <c r="G2915" s="1417"/>
      <c r="H2915" s="1390"/>
      <c r="I2915" s="1554"/>
      <c r="J2915" s="1367"/>
      <c r="K2915" s="1367"/>
      <c r="L2915" s="1554"/>
      <c r="M2915" s="1369"/>
      <c r="N2915" s="1369"/>
      <c r="O2915" s="1369"/>
      <c r="P2915" s="1367"/>
      <c r="Q2915" s="3387"/>
      <c r="R2915" s="3363"/>
      <c r="S2915" s="17"/>
      <c r="T2915" s="17"/>
      <c r="U2915" s="16"/>
      <c r="V2915" s="16"/>
    </row>
    <row r="2916" spans="1:22">
      <c r="A2916" s="22"/>
      <c r="B2916" s="553"/>
      <c r="C2916" s="1042"/>
      <c r="D2916" s="1400"/>
      <c r="E2916" s="1856"/>
      <c r="F2916" s="1421"/>
      <c r="G2916" s="1399"/>
      <c r="H2916" s="1399"/>
      <c r="I2916" s="1760"/>
      <c r="J2916" s="198"/>
      <c r="K2916" s="1307"/>
      <c r="L2916" s="1335"/>
      <c r="M2916" s="1499"/>
      <c r="N2916" s="1701"/>
      <c r="O2916" s="1290"/>
      <c r="P2916" s="1332"/>
      <c r="Q2916" s="3391"/>
      <c r="R2916" s="3363"/>
      <c r="S2916" s="17"/>
      <c r="T2916" s="17"/>
      <c r="U2916" s="16"/>
      <c r="V2916" s="16"/>
    </row>
    <row r="2917" spans="1:22">
      <c r="A2917" s="22"/>
      <c r="B2917" s="553"/>
      <c r="C2917" s="1042"/>
      <c r="D2917" s="1400"/>
      <c r="E2917" s="1856"/>
      <c r="F2917" s="1421"/>
      <c r="G2917" s="1399"/>
      <c r="H2917" s="1399"/>
      <c r="I2917" s="1760"/>
      <c r="J2917" s="198"/>
      <c r="K2917" s="1307"/>
      <c r="L2917" s="1335"/>
      <c r="M2917" s="1499"/>
      <c r="N2917" s="1701"/>
      <c r="O2917" s="1290"/>
      <c r="P2917" s="1332"/>
      <c r="Q2917" s="3391"/>
      <c r="R2917" s="3363"/>
      <c r="S2917" s="17"/>
      <c r="T2917" s="17"/>
      <c r="U2917" s="16"/>
      <c r="V2917" s="16"/>
    </row>
    <row r="2918" spans="1:22" ht="18.5">
      <c r="A2918" s="3816" t="s">
        <v>3578</v>
      </c>
      <c r="B2918" s="2042"/>
      <c r="C2918" s="1042"/>
      <c r="D2918" s="1400"/>
      <c r="E2918" s="1856"/>
      <c r="F2918" s="1421"/>
      <c r="G2918" s="1452"/>
      <c r="H2918" s="1399"/>
      <c r="I2918" s="197"/>
      <c r="J2918" s="198"/>
      <c r="K2918" s="1307"/>
      <c r="L2918" s="1335"/>
      <c r="M2918" s="1499"/>
      <c r="N2918" s="1701"/>
      <c r="O2918" s="1290"/>
      <c r="P2918" s="1332"/>
      <c r="Q2918" s="3391"/>
      <c r="R2918" s="3363"/>
      <c r="S2918" s="17"/>
      <c r="T2918" s="17"/>
      <c r="U2918" s="16"/>
      <c r="V2918" s="16"/>
    </row>
    <row r="2919" spans="1:22" ht="18.5">
      <c r="A2919" s="3816" t="s">
        <v>3581</v>
      </c>
      <c r="B2919" s="1042"/>
      <c r="C2919" s="1042"/>
      <c r="D2919" s="1410"/>
      <c r="E2919" s="1858"/>
      <c r="F2919" s="1360" t="s">
        <v>2</v>
      </c>
      <c r="G2919" s="1360"/>
      <c r="H2919" s="1362"/>
      <c r="I2919" s="1380"/>
      <c r="J2919" s="1381"/>
      <c r="K2919" s="1359"/>
      <c r="L2919" s="1458"/>
      <c r="M2919" s="1502"/>
      <c r="N2919" s="1502"/>
      <c r="O2919" s="1362"/>
      <c r="P2919" s="1359"/>
      <c r="Q2919" s="3387"/>
      <c r="R2919" s="3363"/>
      <c r="S2919" s="17"/>
      <c r="T2919" s="17"/>
      <c r="U2919" s="16"/>
      <c r="V2919" s="16"/>
    </row>
    <row r="2920" spans="1:22">
      <c r="A2920" s="22"/>
      <c r="B2920" s="553"/>
      <c r="C2920" s="1042"/>
      <c r="D2920" s="1364" t="s">
        <v>1067</v>
      </c>
      <c r="E2920" s="2148" t="s">
        <v>1508</v>
      </c>
      <c r="F2920" s="1473" t="s">
        <v>1512</v>
      </c>
      <c r="G2920" s="1365">
        <v>0.18</v>
      </c>
      <c r="H2920" s="1365"/>
      <c r="I2920" s="198"/>
      <c r="J2920" s="6"/>
      <c r="K2920" s="1307">
        <f>G2920*K2914</f>
        <v>0.10351799999999999</v>
      </c>
      <c r="L2920" s="1335">
        <f>K2920*$K$2842</f>
        <v>0</v>
      </c>
      <c r="M2920" s="1499">
        <v>18.28</v>
      </c>
      <c r="N2920" s="1701"/>
      <c r="O2920" s="1290">
        <f>(G2920*M2920)</f>
        <v>3.2904</v>
      </c>
      <c r="P2920" s="1332">
        <f>M2920*K2920</f>
        <v>1.8923090399999998</v>
      </c>
      <c r="Q2920" s="3391"/>
      <c r="R2920" s="3363"/>
      <c r="S2920" s="17"/>
      <c r="T2920" s="17"/>
      <c r="U2920" s="16"/>
      <c r="V2920" s="16"/>
    </row>
    <row r="2921" spans="1:22">
      <c r="A2921" s="22"/>
      <c r="B2921" s="553"/>
      <c r="C2921" s="1042"/>
      <c r="D2921" s="1623"/>
      <c r="E2921" s="2158"/>
      <c r="F2921" s="1801"/>
      <c r="G2921" s="1359"/>
      <c r="H2921" s="1803"/>
      <c r="I2921" s="198"/>
      <c r="J2921" s="6"/>
      <c r="K2921" s="1307"/>
      <c r="L2921" s="1335"/>
      <c r="M2921" s="1499"/>
      <c r="N2921" s="1701"/>
      <c r="O2921" s="1290"/>
      <c r="P2921" s="1332"/>
      <c r="Q2921" s="3391"/>
      <c r="R2921" s="3363"/>
      <c r="S2921" s="17"/>
      <c r="T2921" s="17"/>
      <c r="U2921" s="16"/>
      <c r="V2921" s="16"/>
    </row>
    <row r="2922" spans="1:22">
      <c r="A2922" s="22"/>
      <c r="B2922" s="553"/>
      <c r="C2922" s="1042"/>
      <c r="D2922" s="1623"/>
      <c r="E2922" s="2158"/>
      <c r="F2922" s="1801"/>
      <c r="G2922" s="1359"/>
      <c r="H2922" s="1803"/>
      <c r="I2922" s="198"/>
      <c r="J2922" s="6"/>
      <c r="K2922" s="1307"/>
      <c r="L2922" s="1335"/>
      <c r="M2922" s="1499"/>
      <c r="N2922" s="1701"/>
      <c r="O2922" s="1290"/>
      <c r="P2922" s="1332"/>
      <c r="Q2922" s="3391"/>
      <c r="R2922" s="3363"/>
      <c r="S2922" s="17"/>
      <c r="T2922" s="17"/>
      <c r="U2922" s="16"/>
      <c r="V2922" s="16"/>
    </row>
    <row r="2923" spans="1:22">
      <c r="A2923" s="22"/>
      <c r="B2923" s="553"/>
      <c r="C2923" s="1042"/>
      <c r="D2923" s="1411"/>
      <c r="E2923" s="2123"/>
      <c r="F2923" s="1802" t="s">
        <v>3</v>
      </c>
      <c r="G2923" s="1475"/>
      <c r="H2923" s="1505"/>
      <c r="I2923" s="1382"/>
      <c r="J2923" s="1383"/>
      <c r="K2923" s="1373"/>
      <c r="L2923" s="1413"/>
      <c r="M2923" s="1505"/>
      <c r="N2923" s="1505"/>
      <c r="O2923" s="1376"/>
      <c r="P2923" s="1413"/>
      <c r="Q2923" s="3387"/>
      <c r="R2923" s="3363"/>
      <c r="S2923" s="17"/>
      <c r="T2923" s="17"/>
      <c r="U2923" s="16"/>
      <c r="V2923" s="16"/>
    </row>
    <row r="2924" spans="1:22">
      <c r="A2924" s="22"/>
      <c r="B2924" s="553"/>
      <c r="C2924" s="1042"/>
      <c r="D2924" s="1411"/>
      <c r="E2924" s="2123"/>
      <c r="F2924" s="1802"/>
      <c r="G2924" s="1475"/>
      <c r="H2924" s="1505"/>
      <c r="I2924" s="1382"/>
      <c r="J2924" s="1383"/>
      <c r="K2924" s="1373"/>
      <c r="L2924" s="1413"/>
      <c r="M2924" s="1505"/>
      <c r="N2924" s="1505"/>
      <c r="O2924" s="1376"/>
      <c r="P2924" s="1413"/>
      <c r="Q2924" s="3387"/>
      <c r="R2924" s="3363"/>
      <c r="S2924" s="17"/>
      <c r="T2924" s="17"/>
      <c r="U2924" s="16"/>
      <c r="V2924" s="16"/>
    </row>
    <row r="2925" spans="1:22">
      <c r="A2925" s="22"/>
      <c r="B2925" s="553"/>
      <c r="C2925" s="1042"/>
      <c r="D2925" s="1412"/>
      <c r="E2925" s="2124"/>
      <c r="F2925" s="1377"/>
      <c r="G2925" s="1377"/>
      <c r="H2925" s="1597"/>
      <c r="I2925" s="198"/>
      <c r="J2925" s="6"/>
      <c r="K2925" s="1306"/>
      <c r="L2925" s="1646"/>
      <c r="M2925" s="1302"/>
      <c r="N2925" s="1302"/>
      <c r="O2925" s="1291"/>
      <c r="P2925" s="1332"/>
      <c r="Q2925" s="3391"/>
      <c r="R2925" s="2337"/>
      <c r="S2925" s="17"/>
      <c r="T2925" s="17"/>
      <c r="U2925" s="16"/>
      <c r="V2925" s="16"/>
    </row>
    <row r="2926" spans="1:22">
      <c r="A2926" s="22"/>
      <c r="B2926" s="554"/>
      <c r="C2926" s="223"/>
      <c r="D2926" s="1808"/>
      <c r="E2926" s="2132"/>
      <c r="F2926" s="1804"/>
      <c r="G2926" s="1804"/>
      <c r="H2926" s="1805"/>
      <c r="I2926" s="197"/>
      <c r="J2926" s="1806"/>
      <c r="K2926" s="1307"/>
      <c r="L2926" s="1335"/>
      <c r="M2926" s="1701"/>
      <c r="N2926" s="1701"/>
      <c r="O2926" s="1290"/>
      <c r="P2926" s="1333"/>
      <c r="Q2926" s="3391"/>
      <c r="R2926" s="3363"/>
      <c r="S2926" s="17"/>
      <c r="T2926" s="17"/>
      <c r="U2926" s="16"/>
      <c r="V2926" s="16"/>
    </row>
    <row r="2927" spans="1:22">
      <c r="A2927" s="16" t="s">
        <v>3764</v>
      </c>
      <c r="B2927" s="4325" t="s">
        <v>2792</v>
      </c>
      <c r="C2927" s="3350"/>
      <c r="D2927" s="4327"/>
      <c r="E2927" s="4329" t="s">
        <v>1507</v>
      </c>
      <c r="F2927" s="4336" t="s">
        <v>2793</v>
      </c>
      <c r="G2927" s="4331" t="s">
        <v>1568</v>
      </c>
      <c r="H2927" s="4331" t="s">
        <v>1574</v>
      </c>
      <c r="I2927" s="1572" t="s">
        <v>1559</v>
      </c>
      <c r="J2927" s="1294" t="s">
        <v>1560</v>
      </c>
      <c r="K2927" s="1294" t="s">
        <v>1569</v>
      </c>
      <c r="L2927" s="4333" t="s">
        <v>3765</v>
      </c>
      <c r="M2927" s="4335" t="s">
        <v>1571</v>
      </c>
      <c r="N2927" s="4323" t="s">
        <v>1776</v>
      </c>
      <c r="O2927" s="3347" t="s">
        <v>1563</v>
      </c>
      <c r="P2927" s="1336" t="s">
        <v>1562</v>
      </c>
      <c r="Q2927" s="3389"/>
      <c r="R2927" s="1699" t="s">
        <v>1327</v>
      </c>
      <c r="S2927" s="17"/>
      <c r="T2927" s="17"/>
      <c r="U2927" s="16"/>
      <c r="V2927" s="16"/>
    </row>
    <row r="2928" spans="1:22">
      <c r="A2928" s="1971" t="s">
        <v>1967</v>
      </c>
      <c r="B2928" s="4326"/>
      <c r="C2928" s="3351"/>
      <c r="D2928" s="4328"/>
      <c r="E2928" s="4330"/>
      <c r="F2928" s="4336"/>
      <c r="G2928" s="4332"/>
      <c r="H2928" s="4332"/>
      <c r="I2928" s="4079">
        <v>291.60000000000002</v>
      </c>
      <c r="J2928" s="3815">
        <v>3.0000000000000001E-3</v>
      </c>
      <c r="K2928" s="1307">
        <f>I2928*J2928</f>
        <v>0.87480000000000013</v>
      </c>
      <c r="L2928" s="4334"/>
      <c r="M2928" s="4335"/>
      <c r="N2928" s="4324"/>
      <c r="O2928" s="1298">
        <f>SUM(O2930:O2944)</f>
        <v>13.77628</v>
      </c>
      <c r="P2928" s="1337">
        <f>O2928*K2928</f>
        <v>12.051489744000001</v>
      </c>
      <c r="Q2928" s="3390"/>
      <c r="R2928" s="1721">
        <f>SUM(P2930:P2944)</f>
        <v>12.051489744000001</v>
      </c>
      <c r="S2928" s="17"/>
      <c r="T2928" s="17"/>
      <c r="U2928" s="16"/>
      <c r="V2928" s="16"/>
    </row>
    <row r="2929" spans="2:22">
      <c r="B2929" s="551"/>
      <c r="C2929" s="18"/>
      <c r="D2929" s="1400"/>
      <c r="E2929" s="2121"/>
      <c r="F2929" s="1368" t="s">
        <v>1</v>
      </c>
      <c r="G2929" s="1417"/>
      <c r="H2929" s="1390"/>
      <c r="I2929" s="1554"/>
      <c r="J2929" s="1367"/>
      <c r="K2929" s="1367"/>
      <c r="L2929" s="1554"/>
      <c r="M2929" s="1369"/>
      <c r="N2929" s="1369"/>
      <c r="O2929" s="1369"/>
      <c r="P2929" s="1367"/>
      <c r="Q2929" s="3387"/>
      <c r="R2929" s="3363"/>
      <c r="S2929" s="17"/>
      <c r="T2929" s="17"/>
      <c r="U2929" s="16"/>
      <c r="V2929" s="16"/>
    </row>
    <row r="2930" spans="2:22">
      <c r="B2930" s="553"/>
      <c r="C2930" s="1042"/>
      <c r="D2930" s="1400" t="s">
        <v>2794</v>
      </c>
      <c r="E2930" s="1856" t="s">
        <v>1504</v>
      </c>
      <c r="F2930" s="1421" t="s">
        <v>2795</v>
      </c>
      <c r="G2930" s="1399">
        <v>0.72</v>
      </c>
      <c r="H2930" s="1399"/>
      <c r="I2930" s="1760"/>
      <c r="J2930" s="198"/>
      <c r="K2930" s="1307">
        <f>G2930*K2928</f>
        <v>0.62985600000000008</v>
      </c>
      <c r="L2930" s="1335">
        <f t="shared" ref="L2930:L2933" si="213">K2930*$K$2842</f>
        <v>0</v>
      </c>
      <c r="M2930" s="1499">
        <v>7.1</v>
      </c>
      <c r="N2930" s="1701"/>
      <c r="O2930" s="1290">
        <f>(G2930*M2930)</f>
        <v>5.1119999999999992</v>
      </c>
      <c r="P2930" s="1332">
        <f>M2930*K2930</f>
        <v>4.4719776000000007</v>
      </c>
      <c r="Q2930" s="3391"/>
      <c r="R2930" s="3363"/>
      <c r="S2930" s="17"/>
      <c r="T2930" s="17"/>
      <c r="U2930" s="16"/>
      <c r="V2930" s="16"/>
    </row>
    <row r="2931" spans="2:22">
      <c r="B2931" s="553"/>
      <c r="C2931" s="1042"/>
      <c r="D2931" s="1400" t="s">
        <v>2796</v>
      </c>
      <c r="E2931" s="1856" t="s">
        <v>1517</v>
      </c>
      <c r="F2931" s="1421" t="s">
        <v>2797</v>
      </c>
      <c r="G2931" s="1399">
        <v>1.2E-2</v>
      </c>
      <c r="H2931" s="1399"/>
      <c r="I2931" s="1760"/>
      <c r="J2931" s="198"/>
      <c r="K2931" s="1307">
        <f>G2931*K2928</f>
        <v>1.0497600000000001E-2</v>
      </c>
      <c r="L2931" s="1335">
        <f t="shared" si="213"/>
        <v>0</v>
      </c>
      <c r="M2931" s="1499">
        <v>225.64</v>
      </c>
      <c r="N2931" s="1701"/>
      <c r="O2931" s="1290">
        <f>(G2931*M2931)</f>
        <v>2.7076799999999999</v>
      </c>
      <c r="P2931" s="1332">
        <f>M2931*K2931</f>
        <v>2.3686784640000003</v>
      </c>
      <c r="Q2931" s="3391"/>
      <c r="R2931" s="3363"/>
      <c r="S2931" s="17"/>
      <c r="T2931" s="17"/>
      <c r="U2931" s="16"/>
      <c r="V2931" s="16"/>
    </row>
    <row r="2932" spans="2:22">
      <c r="B2932" s="553"/>
      <c r="C2932" s="1042"/>
      <c r="D2932" s="1400" t="s">
        <v>1097</v>
      </c>
      <c r="E2932" s="1856" t="s">
        <v>1504</v>
      </c>
      <c r="F2932" s="1421" t="s">
        <v>1632</v>
      </c>
      <c r="G2932" s="1399">
        <v>1</v>
      </c>
      <c r="H2932" s="1399"/>
      <c r="I2932" s="1760"/>
      <c r="J2932" s="198"/>
      <c r="K2932" s="1307">
        <f>G2932*K2928</f>
        <v>0.87480000000000013</v>
      </c>
      <c r="L2932" s="1335">
        <f t="shared" si="213"/>
        <v>0</v>
      </c>
      <c r="M2932" s="1499">
        <v>0.55000000000000004</v>
      </c>
      <c r="N2932" s="1701"/>
      <c r="O2932" s="1290">
        <f>(G2932*M2932)</f>
        <v>0.55000000000000004</v>
      </c>
      <c r="P2932" s="1332">
        <f>M2932*K2932</f>
        <v>0.48114000000000012</v>
      </c>
      <c r="Q2932" s="3391"/>
      <c r="R2932" s="3363"/>
      <c r="S2932" s="17"/>
      <c r="T2932" s="17"/>
      <c r="U2932" s="16"/>
      <c r="V2932" s="16"/>
    </row>
    <row r="2933" spans="2:22">
      <c r="B2933" s="553"/>
      <c r="C2933" s="1042"/>
      <c r="D2933" s="1400" t="s">
        <v>1082</v>
      </c>
      <c r="E2933" s="1856" t="s">
        <v>1504</v>
      </c>
      <c r="F2933" s="1421" t="s">
        <v>1541</v>
      </c>
      <c r="G2933" s="1399">
        <v>1</v>
      </c>
      <c r="H2933" s="1399"/>
      <c r="I2933" s="1760"/>
      <c r="J2933" s="198"/>
      <c r="K2933" s="1307">
        <f>G2933*K2928</f>
        <v>0.87480000000000013</v>
      </c>
      <c r="L2933" s="1335">
        <f t="shared" si="213"/>
        <v>0</v>
      </c>
      <c r="M2933" s="1499">
        <v>0.3</v>
      </c>
      <c r="N2933" s="1701"/>
      <c r="O2933" s="1290">
        <f>(G2933*M2933)</f>
        <v>0.3</v>
      </c>
      <c r="P2933" s="1332">
        <f>M2933*K2933</f>
        <v>0.26244000000000001</v>
      </c>
      <c r="Q2933" s="3391"/>
      <c r="R2933" s="3363"/>
      <c r="S2933" s="17"/>
      <c r="T2933" s="17"/>
      <c r="U2933" s="16"/>
      <c r="V2933" s="16"/>
    </row>
    <row r="2934" spans="2:22">
      <c r="B2934" s="553"/>
      <c r="C2934" s="1042"/>
      <c r="D2934" s="1400"/>
      <c r="E2934" s="1856"/>
      <c r="F2934" s="1421"/>
      <c r="G2934" s="1399"/>
      <c r="H2934" s="1399"/>
      <c r="I2934" s="1760"/>
      <c r="J2934" s="198"/>
      <c r="K2934" s="1307"/>
      <c r="L2934" s="1335"/>
      <c r="M2934" s="1499"/>
      <c r="N2934" s="1701"/>
      <c r="O2934" s="1290"/>
      <c r="P2934" s="1332"/>
      <c r="Q2934" s="3391"/>
      <c r="R2934" s="3363"/>
      <c r="S2934" s="17"/>
      <c r="T2934" s="17"/>
      <c r="U2934" s="16"/>
      <c r="V2934" s="16"/>
    </row>
    <row r="2935" spans="2:22">
      <c r="B2935" s="553"/>
      <c r="C2935" s="1042"/>
      <c r="D2935" s="1400"/>
      <c r="E2935" s="1856"/>
      <c r="F2935" s="1421"/>
      <c r="G2935" s="1399"/>
      <c r="H2935" s="1399"/>
      <c r="I2935" s="1760"/>
      <c r="J2935" s="198"/>
      <c r="K2935" s="1307"/>
      <c r="L2935" s="1335"/>
      <c r="M2935" s="1499"/>
      <c r="N2935" s="1701"/>
      <c r="O2935" s="1290"/>
      <c r="P2935" s="1332"/>
      <c r="Q2935" s="3391"/>
      <c r="R2935" s="3363"/>
      <c r="S2935" s="17"/>
      <c r="T2935" s="17"/>
      <c r="U2935" s="16"/>
      <c r="V2935" s="16"/>
    </row>
    <row r="2936" spans="2:22">
      <c r="B2936" s="553"/>
      <c r="C2936" s="1042"/>
      <c r="D2936" s="1400"/>
      <c r="E2936" s="1856"/>
      <c r="F2936" s="1421"/>
      <c r="G2936" s="1452"/>
      <c r="H2936" s="1399"/>
      <c r="I2936" s="197"/>
      <c r="J2936" s="198"/>
      <c r="K2936" s="1307"/>
      <c r="L2936" s="1335"/>
      <c r="M2936" s="1499"/>
      <c r="N2936" s="1701"/>
      <c r="O2936" s="1290"/>
      <c r="P2936" s="1332"/>
      <c r="Q2936" s="3391"/>
      <c r="R2936" s="3363"/>
      <c r="S2936" s="17"/>
      <c r="T2936" s="17"/>
      <c r="U2936" s="16"/>
      <c r="V2936" s="16"/>
    </row>
    <row r="2937" spans="2:22">
      <c r="B2937" s="553"/>
      <c r="C2937" s="1042"/>
      <c r="D2937" s="1410"/>
      <c r="E2937" s="1858"/>
      <c r="F2937" s="1360" t="s">
        <v>2</v>
      </c>
      <c r="G2937" s="1360"/>
      <c r="H2937" s="1362"/>
      <c r="I2937" s="1380"/>
      <c r="J2937" s="1381"/>
      <c r="K2937" s="1359"/>
      <c r="L2937" s="1458"/>
      <c r="M2937" s="1502"/>
      <c r="N2937" s="1502"/>
      <c r="O2937" s="1362"/>
      <c r="P2937" s="1359"/>
      <c r="Q2937" s="3387"/>
      <c r="R2937" s="3363"/>
      <c r="S2937" s="17"/>
      <c r="T2937" s="17"/>
      <c r="U2937" s="16"/>
      <c r="V2937" s="16"/>
    </row>
    <row r="2938" spans="2:22">
      <c r="B2938" s="553"/>
      <c r="C2938" s="1042"/>
      <c r="D2938" s="1364" t="s">
        <v>1121</v>
      </c>
      <c r="E2938" s="2148" t="s">
        <v>1508</v>
      </c>
      <c r="F2938" s="1473" t="s">
        <v>1663</v>
      </c>
      <c r="G2938" s="1365">
        <v>0.18</v>
      </c>
      <c r="H2938" s="1365"/>
      <c r="I2938" s="198"/>
      <c r="J2938" s="6"/>
      <c r="K2938" s="1307">
        <f>G2938*K2928</f>
        <v>0.15746400000000002</v>
      </c>
      <c r="L2938" s="1335">
        <f t="shared" ref="L2938:L2939" si="214">K2938*$K$2842</f>
        <v>0</v>
      </c>
      <c r="M2938" s="1499">
        <v>19.23</v>
      </c>
      <c r="N2938" s="1701"/>
      <c r="O2938" s="1290">
        <f>(G2938*M2938)</f>
        <v>3.4613999999999998</v>
      </c>
      <c r="P2938" s="1332">
        <f>M2938*K2938</f>
        <v>3.0280327200000006</v>
      </c>
      <c r="Q2938" s="3391"/>
      <c r="R2938" s="3363"/>
      <c r="S2938" s="17"/>
      <c r="T2938" s="17"/>
      <c r="U2938" s="16"/>
      <c r="V2938" s="16"/>
    </row>
    <row r="2939" spans="2:22">
      <c r="B2939" s="553"/>
      <c r="C2939" s="1042"/>
      <c r="D2939" s="1623" t="s">
        <v>1067</v>
      </c>
      <c r="E2939" s="2158" t="s">
        <v>1508</v>
      </c>
      <c r="F2939" s="1801" t="s">
        <v>1512</v>
      </c>
      <c r="G2939" s="1359">
        <v>0.09</v>
      </c>
      <c r="H2939" s="1803"/>
      <c r="I2939" s="198"/>
      <c r="J2939" s="6"/>
      <c r="K2939" s="1307">
        <f>G2939*K2928</f>
        <v>7.873200000000001E-2</v>
      </c>
      <c r="L2939" s="1335">
        <f t="shared" si="214"/>
        <v>0</v>
      </c>
      <c r="M2939" s="1499">
        <v>18.28</v>
      </c>
      <c r="N2939" s="1701"/>
      <c r="O2939" s="1290">
        <f>(G2939*M2939)</f>
        <v>1.6452</v>
      </c>
      <c r="P2939" s="1332">
        <f>M2939*K2939</f>
        <v>1.4392209600000003</v>
      </c>
      <c r="Q2939" s="3391"/>
      <c r="R2939" s="3363"/>
      <c r="S2939" s="17"/>
      <c r="T2939" s="17"/>
      <c r="U2939" s="16"/>
      <c r="V2939" s="16"/>
    </row>
    <row r="2940" spans="2:22">
      <c r="B2940" s="553"/>
      <c r="C2940" s="1042"/>
      <c r="D2940" s="1623"/>
      <c r="E2940" s="2158"/>
      <c r="F2940" s="1801"/>
      <c r="G2940" s="1359"/>
      <c r="H2940" s="1803"/>
      <c r="I2940" s="198"/>
      <c r="J2940" s="6"/>
      <c r="K2940" s="1307"/>
      <c r="L2940" s="1335"/>
      <c r="M2940" s="1499"/>
      <c r="N2940" s="1701"/>
      <c r="O2940" s="1290"/>
      <c r="P2940" s="1332"/>
      <c r="Q2940" s="3391"/>
      <c r="R2940" s="3363"/>
      <c r="S2940" s="17"/>
      <c r="T2940" s="17"/>
      <c r="U2940" s="16"/>
      <c r="V2940" s="16"/>
    </row>
    <row r="2941" spans="2:22">
      <c r="B2941" s="553"/>
      <c r="C2941" s="1042"/>
      <c r="D2941" s="1411"/>
      <c r="E2941" s="2123"/>
      <c r="F2941" s="1802" t="s">
        <v>3</v>
      </c>
      <c r="G2941" s="1475"/>
      <c r="H2941" s="1505"/>
      <c r="I2941" s="1382"/>
      <c r="J2941" s="1383"/>
      <c r="K2941" s="1373"/>
      <c r="L2941" s="1413"/>
      <c r="M2941" s="1505"/>
      <c r="N2941" s="1505"/>
      <c r="O2941" s="1376"/>
      <c r="P2941" s="1413"/>
      <c r="Q2941" s="3387"/>
      <c r="R2941" s="3363"/>
      <c r="S2941" s="17"/>
      <c r="T2941" s="17"/>
      <c r="U2941" s="16"/>
      <c r="V2941" s="16"/>
    </row>
    <row r="2942" spans="2:22">
      <c r="B2942" s="553"/>
      <c r="C2942" s="1042"/>
      <c r="D2942" s="1411"/>
      <c r="E2942" s="2123"/>
      <c r="F2942" s="1475"/>
      <c r="G2942" s="1475"/>
      <c r="H2942" s="1376"/>
      <c r="I2942" s="198"/>
      <c r="J2942" s="6"/>
      <c r="K2942" s="1307"/>
      <c r="L2942" s="1335"/>
      <c r="M2942" s="1499"/>
      <c r="N2942" s="1701"/>
      <c r="O2942" s="1290"/>
      <c r="P2942" s="1332"/>
      <c r="Q2942" s="3391"/>
      <c r="R2942" s="3363"/>
      <c r="S2942" s="17"/>
      <c r="T2942" s="17"/>
      <c r="U2942" s="16"/>
      <c r="V2942" s="16"/>
    </row>
    <row r="2943" spans="2:22">
      <c r="B2943" s="553"/>
      <c r="C2943" s="1042"/>
      <c r="D2943" s="1412"/>
      <c r="E2943" s="2124"/>
      <c r="F2943" s="1377"/>
      <c r="G2943" s="1377"/>
      <c r="H2943" s="1597"/>
      <c r="I2943" s="198"/>
      <c r="J2943" s="6"/>
      <c r="K2943" s="1306"/>
      <c r="L2943" s="1646"/>
      <c r="M2943" s="1302"/>
      <c r="N2943" s="1302"/>
      <c r="O2943" s="1291"/>
      <c r="P2943" s="1332"/>
      <c r="Q2943" s="3391"/>
      <c r="R2943" s="2337"/>
      <c r="S2943" s="17"/>
      <c r="T2943" s="17"/>
      <c r="U2943" s="16"/>
      <c r="V2943" s="16"/>
    </row>
    <row r="2944" spans="2:22">
      <c r="B2944" s="554"/>
      <c r="C2944" s="223"/>
      <c r="D2944" s="1808"/>
      <c r="E2944" s="2132"/>
      <c r="F2944" s="1804"/>
      <c r="G2944" s="1804"/>
      <c r="H2944" s="1805"/>
      <c r="I2944" s="197"/>
      <c r="J2944" s="1806"/>
      <c r="K2944" s="1307"/>
      <c r="L2944" s="1335"/>
      <c r="M2944" s="1701"/>
      <c r="N2944" s="1701"/>
      <c r="O2944" s="1290"/>
      <c r="P2944" s="1333"/>
      <c r="Q2944" s="3391"/>
      <c r="R2944" s="3363"/>
      <c r="S2944" s="17"/>
      <c r="T2944" s="17"/>
      <c r="U2944" s="16"/>
      <c r="V2944" s="16"/>
    </row>
    <row r="2945" spans="1:22">
      <c r="A2945" s="16" t="s">
        <v>3764</v>
      </c>
      <c r="B2945" s="4325" t="s">
        <v>1815</v>
      </c>
      <c r="C2945" s="3350"/>
      <c r="D2945" s="4327"/>
      <c r="E2945" s="4329" t="s">
        <v>1527</v>
      </c>
      <c r="F2945" s="4336" t="s">
        <v>3824</v>
      </c>
      <c r="G2945" s="4331" t="s">
        <v>1568</v>
      </c>
      <c r="H2945" s="4331" t="s">
        <v>1574</v>
      </c>
      <c r="I2945" s="1572" t="s">
        <v>1559</v>
      </c>
      <c r="J2945" s="1294" t="s">
        <v>1560</v>
      </c>
      <c r="K2945" s="1294" t="s">
        <v>1569</v>
      </c>
      <c r="L2945" s="4333" t="s">
        <v>3765</v>
      </c>
      <c r="M2945" s="4335" t="s">
        <v>1571</v>
      </c>
      <c r="N2945" s="4323" t="s">
        <v>1776</v>
      </c>
      <c r="O2945" s="3347" t="s">
        <v>1563</v>
      </c>
      <c r="P2945" s="1336" t="s">
        <v>1562</v>
      </c>
      <c r="Q2945" s="3389"/>
      <c r="R2945" s="1699" t="s">
        <v>1327</v>
      </c>
      <c r="S2945" s="17"/>
      <c r="T2945" s="17"/>
      <c r="U2945" s="16"/>
      <c r="V2945" s="16"/>
    </row>
    <row r="2946" spans="1:22">
      <c r="A2946" s="1971" t="s">
        <v>1967</v>
      </c>
      <c r="B2946" s="4326"/>
      <c r="C2946" s="3351"/>
      <c r="D2946" s="4328"/>
      <c r="E2946" s="4330"/>
      <c r="F2946" s="4336"/>
      <c r="G2946" s="4332"/>
      <c r="H2946" s="4332"/>
      <c r="I2946" s="4079">
        <v>303.7</v>
      </c>
      <c r="J2946" s="3815">
        <v>3.0000000000000001E-3</v>
      </c>
      <c r="K2946" s="1307">
        <f>I2946*J2946</f>
        <v>0.91110000000000002</v>
      </c>
      <c r="L2946" s="4334"/>
      <c r="M2946" s="4335"/>
      <c r="N2946" s="4324"/>
      <c r="O2946" s="1298">
        <f>O2948+O2949+O2950+O2958+O2959+O2963</f>
        <v>54.830050300000003</v>
      </c>
      <c r="P2946" s="1337">
        <f>O2946*K2946</f>
        <v>49.955658828330002</v>
      </c>
      <c r="Q2946" s="3390"/>
      <c r="R2946" s="1721">
        <f>P2948+P2949+P2950+P2958+P2959+P2963</f>
        <v>49.955658828330002</v>
      </c>
      <c r="S2946" s="17"/>
      <c r="T2946" s="17"/>
      <c r="U2946" s="16"/>
      <c r="V2946" s="16"/>
    </row>
    <row r="2947" spans="1:22">
      <c r="A2947" s="22"/>
      <c r="B2947" s="551"/>
      <c r="C2947" s="18"/>
      <c r="D2947" s="1400"/>
      <c r="E2947" s="2121"/>
      <c r="F2947" s="1368" t="s">
        <v>1</v>
      </c>
      <c r="G2947" s="1417"/>
      <c r="H2947" s="1390"/>
      <c r="I2947" s="1554"/>
      <c r="J2947" s="1367"/>
      <c r="K2947" s="1367"/>
      <c r="L2947" s="1554"/>
      <c r="M2947" s="1369"/>
      <c r="N2947" s="1369"/>
      <c r="O2947" s="1369"/>
      <c r="P2947" s="1367"/>
      <c r="Q2947" s="3387"/>
      <c r="R2947" s="3363"/>
      <c r="S2947" s="17"/>
      <c r="T2947" s="17"/>
      <c r="U2947" s="16"/>
      <c r="V2947" s="16"/>
    </row>
    <row r="2948" spans="1:22">
      <c r="A2948" s="22"/>
      <c r="B2948" s="553"/>
      <c r="C2948" s="1042"/>
      <c r="D2948" s="1400" t="s">
        <v>1817</v>
      </c>
      <c r="E2948" s="1856" t="s">
        <v>1521</v>
      </c>
      <c r="F2948" s="1421" t="s">
        <v>1785</v>
      </c>
      <c r="G2948" s="1399">
        <v>1.2E-2</v>
      </c>
      <c r="H2948" s="1400"/>
      <c r="I2948" s="27"/>
      <c r="J2948" s="10"/>
      <c r="K2948" s="1307">
        <f>G2948*$K$2946</f>
        <v>1.0933200000000001E-2</v>
      </c>
      <c r="L2948" s="1335">
        <f t="shared" ref="L2948:L2949" si="215">K2948*$K$2842</f>
        <v>0</v>
      </c>
      <c r="M2948" s="1499">
        <v>236.83</v>
      </c>
      <c r="N2948" s="1701"/>
      <c r="O2948" s="1290">
        <f>(G2948*M2948)</f>
        <v>2.8419600000000003</v>
      </c>
      <c r="P2948" s="1332">
        <f>M2948*K2948</f>
        <v>2.5893097560000005</v>
      </c>
      <c r="Q2948" s="3391"/>
      <c r="R2948" s="3363"/>
      <c r="S2948" s="17"/>
      <c r="T2948" s="17"/>
      <c r="U2948" s="16"/>
      <c r="V2948" s="16"/>
    </row>
    <row r="2949" spans="1:22">
      <c r="A2949" s="22"/>
      <c r="B2949" s="553"/>
      <c r="C2949" s="1042"/>
      <c r="D2949" s="1400" t="s">
        <v>1786</v>
      </c>
      <c r="E2949" s="1856" t="s">
        <v>1787</v>
      </c>
      <c r="F2949" s="1421" t="s">
        <v>1788</v>
      </c>
      <c r="G2949" s="1399">
        <v>0.45</v>
      </c>
      <c r="H2949" s="1400"/>
      <c r="I2949" s="1760"/>
      <c r="J2949" s="198"/>
      <c r="K2949" s="1307">
        <f>G2949*$K$2946</f>
        <v>0.409995</v>
      </c>
      <c r="L2949" s="1335">
        <f t="shared" si="215"/>
        <v>0</v>
      </c>
      <c r="M2949" s="1499">
        <v>1.54</v>
      </c>
      <c r="N2949" s="1701"/>
      <c r="O2949" s="1290">
        <f>(G2949*M2949)</f>
        <v>0.69300000000000006</v>
      </c>
      <c r="P2949" s="1332">
        <f>M2949*K2949</f>
        <v>0.63139230000000002</v>
      </c>
      <c r="Q2949" s="3391"/>
      <c r="R2949" s="3363"/>
      <c r="S2949" s="17"/>
      <c r="T2949" s="17"/>
      <c r="U2949" s="16"/>
      <c r="V2949" s="16"/>
    </row>
    <row r="2950" spans="1:22">
      <c r="A2950" s="22"/>
      <c r="B2950" s="553"/>
      <c r="C2950" s="1356" t="s">
        <v>1790</v>
      </c>
      <c r="D2950" s="1311"/>
      <c r="E2950" s="2137" t="s">
        <v>1517</v>
      </c>
      <c r="F2950" s="1343" t="s">
        <v>1791</v>
      </c>
      <c r="G2950" s="1344"/>
      <c r="H2950" s="1344">
        <v>3.5000000000000003E-2</v>
      </c>
      <c r="I2950" s="1444"/>
      <c r="J2950" s="1388"/>
      <c r="K2950" s="1445"/>
      <c r="L2950" s="1457"/>
      <c r="M2950" s="1446"/>
      <c r="N2950" s="1447">
        <f>SUM(N2951:N2955)</f>
        <v>76.906580000000005</v>
      </c>
      <c r="O2950" s="1447">
        <f>SUM(O2951:O2955)</f>
        <v>2.6917303000000006</v>
      </c>
      <c r="P2950" s="1447">
        <f>SUM(P2951:P2955)</f>
        <v>2.4524354763300007</v>
      </c>
      <c r="Q2950" s="3391"/>
      <c r="R2950" s="3363"/>
      <c r="S2950" s="17"/>
      <c r="T2950" s="17"/>
      <c r="U2950" s="16"/>
      <c r="V2950" s="16"/>
    </row>
    <row r="2951" spans="1:22">
      <c r="A2951" s="22"/>
      <c r="B2951" s="553"/>
      <c r="C2951" s="1327"/>
      <c r="D2951" s="1756" t="s">
        <v>1069</v>
      </c>
      <c r="E2951" s="1852" t="s">
        <v>1517</v>
      </c>
      <c r="F2951" s="1784" t="s">
        <v>1578</v>
      </c>
      <c r="G2951" s="1399">
        <v>0.2</v>
      </c>
      <c r="H2951" s="1399">
        <f>G2951*$H$2950</f>
        <v>7.000000000000001E-3</v>
      </c>
      <c r="I2951" s="197"/>
      <c r="J2951" s="198"/>
      <c r="K2951" s="1307">
        <f>H2951*$K$2946</f>
        <v>6.3777000000000009E-3</v>
      </c>
      <c r="L2951" s="1335">
        <f t="shared" ref="L2951:L2955" si="216">K2951*$K$2842</f>
        <v>0</v>
      </c>
      <c r="M2951" s="1499">
        <v>0.55000000000000004</v>
      </c>
      <c r="N2951" s="1718">
        <f>G2951*M2951</f>
        <v>0.11000000000000001</v>
      </c>
      <c r="O2951" s="1719">
        <f>H2951*M2951</f>
        <v>3.850000000000001E-3</v>
      </c>
      <c r="P2951" s="1720">
        <f>M2951*K2951</f>
        <v>3.507735000000001E-3</v>
      </c>
      <c r="Q2951" s="3396"/>
      <c r="R2951" s="3363"/>
      <c r="S2951" s="17"/>
      <c r="T2951" s="17"/>
      <c r="U2951" s="16"/>
      <c r="V2951" s="16"/>
    </row>
    <row r="2952" spans="1:22">
      <c r="A2952" s="22"/>
      <c r="B2952" s="553"/>
      <c r="C2952" s="1320"/>
      <c r="D2952" s="1756" t="s">
        <v>1792</v>
      </c>
      <c r="E2952" s="1852" t="s">
        <v>1577</v>
      </c>
      <c r="F2952" s="1752" t="s">
        <v>1793</v>
      </c>
      <c r="G2952" s="1399">
        <v>0.25</v>
      </c>
      <c r="H2952" s="1399">
        <f t="shared" ref="H2952:H2955" si="217">G2952*$H$2950</f>
        <v>8.7500000000000008E-3</v>
      </c>
      <c r="I2952" s="197"/>
      <c r="J2952" s="198"/>
      <c r="K2952" s="1307">
        <f t="shared" ref="K2952:K2955" si="218">H2952*$K$2946</f>
        <v>7.9721250000000018E-3</v>
      </c>
      <c r="L2952" s="1335">
        <f t="shared" si="216"/>
        <v>0</v>
      </c>
      <c r="M2952" s="1499">
        <v>85.09</v>
      </c>
      <c r="N2952" s="1718">
        <f>G2952*M2952</f>
        <v>21.272500000000001</v>
      </c>
      <c r="O2952" s="1719">
        <f>H2952*M2952</f>
        <v>0.74453750000000007</v>
      </c>
      <c r="P2952" s="1720">
        <f>M2952*K2952</f>
        <v>0.67834811625000013</v>
      </c>
      <c r="Q2952" s="3396"/>
      <c r="R2952" s="3363"/>
      <c r="S2952" s="17"/>
      <c r="T2952" s="17"/>
      <c r="U2952" s="16"/>
      <c r="V2952" s="16"/>
    </row>
    <row r="2953" spans="1:22">
      <c r="A2953" s="22"/>
      <c r="B2953" s="553"/>
      <c r="C2953" s="1320"/>
      <c r="D2953" s="1756" t="s">
        <v>1394</v>
      </c>
      <c r="E2953" s="1852" t="s">
        <v>1577</v>
      </c>
      <c r="F2953" s="1752" t="s">
        <v>1579</v>
      </c>
      <c r="G2953" s="1399">
        <v>0.25</v>
      </c>
      <c r="H2953" s="1399">
        <f t="shared" si="217"/>
        <v>8.7500000000000008E-3</v>
      </c>
      <c r="I2953" s="197"/>
      <c r="J2953" s="198"/>
      <c r="K2953" s="1307">
        <f t="shared" si="218"/>
        <v>7.9721250000000018E-3</v>
      </c>
      <c r="L2953" s="1335">
        <f t="shared" si="216"/>
        <v>0</v>
      </c>
      <c r="M2953" s="1499">
        <v>92.54</v>
      </c>
      <c r="N2953" s="1718">
        <f>G2953*M2953</f>
        <v>23.135000000000002</v>
      </c>
      <c r="O2953" s="1719">
        <f>H2953*M2953</f>
        <v>0.80972500000000014</v>
      </c>
      <c r="P2953" s="1720">
        <f>M2953*K2953</f>
        <v>0.73774044750000023</v>
      </c>
      <c r="Q2953" s="3396"/>
      <c r="R2953" s="3363"/>
      <c r="S2953" s="17"/>
      <c r="T2953" s="17"/>
      <c r="U2953" s="16"/>
      <c r="V2953" s="16"/>
    </row>
    <row r="2954" spans="1:22">
      <c r="A2954" s="22"/>
      <c r="B2954" s="553"/>
      <c r="C2954" s="1320"/>
      <c r="D2954" s="1756" t="s">
        <v>1576</v>
      </c>
      <c r="E2954" s="1852" t="s">
        <v>1517</v>
      </c>
      <c r="F2954" s="1752" t="s">
        <v>1580</v>
      </c>
      <c r="G2954" s="1399">
        <v>1.5</v>
      </c>
      <c r="H2954" s="1399">
        <f t="shared" si="217"/>
        <v>5.2500000000000005E-2</v>
      </c>
      <c r="I2954" s="197"/>
      <c r="J2954" s="198"/>
      <c r="K2954" s="1307">
        <f t="shared" si="218"/>
        <v>4.7832750000000007E-2</v>
      </c>
      <c r="L2954" s="1335">
        <f t="shared" si="216"/>
        <v>0</v>
      </c>
      <c r="M2954" s="1499">
        <v>6.53</v>
      </c>
      <c r="N2954" s="1718">
        <f>G2954*M2954</f>
        <v>9.7949999999999999</v>
      </c>
      <c r="O2954" s="1719">
        <f>H2954*M2954</f>
        <v>0.34282500000000005</v>
      </c>
      <c r="P2954" s="1720">
        <f>M2954*K2954</f>
        <v>0.31234785750000005</v>
      </c>
      <c r="Q2954" s="3396"/>
      <c r="R2954" s="3363"/>
      <c r="S2954" s="17"/>
      <c r="T2954" s="17"/>
      <c r="U2954" s="16"/>
      <c r="V2954" s="16"/>
    </row>
    <row r="2955" spans="1:22">
      <c r="A2955" s="22"/>
      <c r="B2955" s="553"/>
      <c r="C2955" s="1320"/>
      <c r="D2955" s="1811" t="s">
        <v>1067</v>
      </c>
      <c r="E2955" s="2171" t="s">
        <v>1508</v>
      </c>
      <c r="F2955" s="1812" t="s">
        <v>1512</v>
      </c>
      <c r="G2955" s="1395">
        <v>1.236</v>
      </c>
      <c r="H2955" s="1395">
        <f t="shared" si="217"/>
        <v>4.3260000000000007E-2</v>
      </c>
      <c r="I2955" s="197"/>
      <c r="J2955" s="198"/>
      <c r="K2955" s="1307">
        <f t="shared" si="218"/>
        <v>3.9414186000000004E-2</v>
      </c>
      <c r="L2955" s="1335">
        <f t="shared" si="216"/>
        <v>0</v>
      </c>
      <c r="M2955" s="1499">
        <v>18.28</v>
      </c>
      <c r="N2955" s="1718">
        <f>G2955*M2955</f>
        <v>22.594080000000002</v>
      </c>
      <c r="O2955" s="1719">
        <f>H2955*M2955</f>
        <v>0.79079280000000018</v>
      </c>
      <c r="P2955" s="1720">
        <f>M2955*K2955</f>
        <v>0.72049132008000016</v>
      </c>
      <c r="Q2955" s="3396"/>
      <c r="R2955" s="3363"/>
      <c r="S2955" s="17"/>
      <c r="T2955" s="17"/>
      <c r="U2955" s="16"/>
      <c r="V2955" s="16"/>
    </row>
    <row r="2956" spans="1:22">
      <c r="A2956" s="22"/>
      <c r="B2956" s="553"/>
      <c r="C2956" s="1320"/>
      <c r="D2956" s="2257"/>
      <c r="E2956" s="2258"/>
      <c r="F2956" s="2257"/>
      <c r="G2956" s="1399"/>
      <c r="H2956" s="1399"/>
      <c r="I2956" s="197"/>
      <c r="J2956" s="198"/>
      <c r="K2956" s="1307"/>
      <c r="L2956" s="1335"/>
      <c r="M2956" s="1499"/>
      <c r="N2956" s="1724"/>
      <c r="O2956" s="1719"/>
      <c r="P2956" s="1720"/>
      <c r="Q2956" s="3396"/>
      <c r="R2956" s="3363"/>
      <c r="S2956" s="17"/>
      <c r="T2956" s="17"/>
      <c r="U2956" s="16"/>
      <c r="V2956" s="16"/>
    </row>
    <row r="2957" spans="1:22">
      <c r="A2957" s="22"/>
      <c r="B2957" s="553"/>
      <c r="C2957" s="1042"/>
      <c r="D2957" s="1410"/>
      <c r="E2957" s="1858"/>
      <c r="F2957" s="1360" t="s">
        <v>2</v>
      </c>
      <c r="G2957" s="1360"/>
      <c r="H2957" s="1362"/>
      <c r="I2957" s="1380"/>
      <c r="J2957" s="1381"/>
      <c r="K2957" s="1359"/>
      <c r="L2957" s="1458"/>
      <c r="M2957" s="1502"/>
      <c r="N2957" s="1502"/>
      <c r="O2957" s="1362"/>
      <c r="P2957" s="1359"/>
      <c r="Q2957" s="3387"/>
      <c r="R2957" s="3363"/>
      <c r="S2957" s="17"/>
      <c r="T2957" s="17"/>
      <c r="U2957" s="16"/>
      <c r="V2957" s="16"/>
    </row>
    <row r="2958" spans="1:22">
      <c r="A2958" s="22"/>
      <c r="B2958" s="553"/>
      <c r="C2958" s="1042"/>
      <c r="D2958" s="1655" t="s">
        <v>1806</v>
      </c>
      <c r="E2958" s="1857" t="s">
        <v>1508</v>
      </c>
      <c r="F2958" s="1403" t="s">
        <v>1818</v>
      </c>
      <c r="G2958" s="1365">
        <v>1.28</v>
      </c>
      <c r="H2958" s="1365"/>
      <c r="I2958" s="198"/>
      <c r="J2958" s="6"/>
      <c r="K2958" s="1307">
        <f t="shared" ref="K2958:K2959" si="219">G2958*$K$2946</f>
        <v>1.1662080000000001</v>
      </c>
      <c r="L2958" s="1335">
        <f t="shared" ref="L2958:L2959" si="220">K2958*$K$2842</f>
        <v>0</v>
      </c>
      <c r="M2958" s="1499">
        <v>19.23</v>
      </c>
      <c r="N2958" s="1701"/>
      <c r="O2958" s="1290">
        <f>(G2958*M2958)</f>
        <v>24.6144</v>
      </c>
      <c r="P2958" s="1332">
        <f>M2958*K2958</f>
        <v>22.426179840000003</v>
      </c>
      <c r="Q2958" s="3391"/>
      <c r="R2958" s="3363"/>
      <c r="S2958" s="17"/>
      <c r="T2958" s="17"/>
      <c r="U2958" s="16"/>
      <c r="V2958" s="16"/>
    </row>
    <row r="2959" spans="1:22">
      <c r="A2959" s="22"/>
      <c r="B2959" s="553"/>
      <c r="C2959" s="1042"/>
      <c r="D2959" s="1364" t="s">
        <v>1067</v>
      </c>
      <c r="E2959" s="2148" t="s">
        <v>1508</v>
      </c>
      <c r="F2959" s="1473" t="s">
        <v>1512</v>
      </c>
      <c r="G2959" s="1365">
        <v>0.58199999999999996</v>
      </c>
      <c r="H2959" s="1365"/>
      <c r="I2959" s="198"/>
      <c r="J2959" s="6"/>
      <c r="K2959" s="1307">
        <f t="shared" si="219"/>
        <v>0.53026019999999996</v>
      </c>
      <c r="L2959" s="1335">
        <f t="shared" si="220"/>
        <v>0</v>
      </c>
      <c r="M2959" s="1499">
        <v>18.28</v>
      </c>
      <c r="N2959" s="1701"/>
      <c r="O2959" s="1290">
        <f>(G2959*M2959)</f>
        <v>10.638959999999999</v>
      </c>
      <c r="P2959" s="1332">
        <f>M2959*K2959</f>
        <v>9.6931564560000005</v>
      </c>
      <c r="Q2959" s="3391"/>
      <c r="R2959" s="3363"/>
      <c r="S2959" s="17"/>
      <c r="T2959" s="17"/>
      <c r="U2959" s="16"/>
      <c r="V2959" s="16"/>
    </row>
    <row r="2960" spans="1:22">
      <c r="A2960" s="22"/>
      <c r="B2960" s="553"/>
      <c r="C2960" s="1042"/>
      <c r="D2960" s="1623"/>
      <c r="E2960" s="2158"/>
      <c r="F2960" s="1801"/>
      <c r="G2960" s="1359"/>
      <c r="H2960" s="1803"/>
      <c r="I2960" s="198"/>
      <c r="J2960" s="6"/>
      <c r="K2960" s="1307"/>
      <c r="L2960" s="1335"/>
      <c r="M2960" s="1499"/>
      <c r="N2960" s="1701"/>
      <c r="O2960" s="1290"/>
      <c r="P2960" s="1332"/>
      <c r="Q2960" s="3391"/>
      <c r="R2960" s="3363"/>
      <c r="S2960" s="17"/>
      <c r="T2960" s="17"/>
      <c r="U2960" s="16"/>
      <c r="V2960" s="16"/>
    </row>
    <row r="2961" spans="1:22">
      <c r="A2961" s="22"/>
      <c r="B2961" s="553"/>
      <c r="C2961" s="1042"/>
      <c r="D2961" s="1623"/>
      <c r="E2961" s="2158"/>
      <c r="F2961" s="1801"/>
      <c r="G2961" s="1359"/>
      <c r="H2961" s="1803"/>
      <c r="I2961" s="198"/>
      <c r="J2961" s="6"/>
      <c r="K2961" s="1307"/>
      <c r="L2961" s="1335"/>
      <c r="M2961" s="1499"/>
      <c r="N2961" s="1701"/>
      <c r="O2961" s="1290"/>
      <c r="P2961" s="1332"/>
      <c r="Q2961" s="3391"/>
      <c r="R2961" s="3363"/>
      <c r="S2961" s="17"/>
      <c r="T2961" s="17"/>
      <c r="U2961" s="16"/>
      <c r="V2961" s="16"/>
    </row>
    <row r="2962" spans="1:22">
      <c r="A2962" s="22"/>
      <c r="B2962" s="553"/>
      <c r="C2962" s="1042"/>
      <c r="D2962" s="1411"/>
      <c r="E2962" s="2123"/>
      <c r="F2962" s="1802" t="s">
        <v>3</v>
      </c>
      <c r="G2962" s="1475"/>
      <c r="H2962" s="1505"/>
      <c r="I2962" s="1382"/>
      <c r="J2962" s="1383"/>
      <c r="K2962" s="1373"/>
      <c r="L2962" s="1413"/>
      <c r="M2962" s="1505"/>
      <c r="N2962" s="1505"/>
      <c r="O2962" s="1376"/>
      <c r="P2962" s="1413"/>
      <c r="Q2962" s="3387"/>
      <c r="R2962" s="3363"/>
      <c r="S2962" s="17"/>
      <c r="T2962" s="17"/>
      <c r="U2962" s="16"/>
      <c r="V2962" s="16"/>
    </row>
    <row r="2963" spans="1:22">
      <c r="A2963" s="22"/>
      <c r="B2963" s="553"/>
      <c r="C2963" s="1042"/>
      <c r="D2963" s="1411" t="s">
        <v>1686</v>
      </c>
      <c r="E2963" s="2123" t="s">
        <v>1803</v>
      </c>
      <c r="F2963" s="1837" t="s">
        <v>1688</v>
      </c>
      <c r="G2963" s="1376">
        <v>1.78</v>
      </c>
      <c r="H2963" s="1376"/>
      <c r="I2963" s="198"/>
      <c r="J2963" s="6"/>
      <c r="K2963" s="1307">
        <f>G2963*$K$2946</f>
        <v>1.621758</v>
      </c>
      <c r="L2963" s="1335">
        <f>K2963*$K$2842</f>
        <v>0</v>
      </c>
      <c r="M2963" s="1499">
        <v>7.5</v>
      </c>
      <c r="N2963" s="1701"/>
      <c r="O2963" s="1290">
        <f>(G2963*M2963)</f>
        <v>13.35</v>
      </c>
      <c r="P2963" s="1332">
        <f>M2963*K2963</f>
        <v>12.163185</v>
      </c>
      <c r="Q2963" s="3391"/>
      <c r="R2963" s="3363"/>
      <c r="S2963" s="17"/>
      <c r="T2963" s="17"/>
      <c r="U2963" s="16"/>
      <c r="V2963" s="16"/>
    </row>
    <row r="2964" spans="1:22">
      <c r="A2964" s="22"/>
      <c r="B2964" s="553"/>
      <c r="C2964" s="1042"/>
      <c r="D2964" s="1411"/>
      <c r="E2964" s="2123"/>
      <c r="F2964" s="1475"/>
      <c r="G2964" s="1475"/>
      <c r="H2964" s="1376"/>
      <c r="I2964" s="198"/>
      <c r="J2964" s="6"/>
      <c r="K2964" s="1307"/>
      <c r="L2964" s="1335"/>
      <c r="M2964" s="1499"/>
      <c r="N2964" s="1701"/>
      <c r="O2964" s="1290"/>
      <c r="P2964" s="1332"/>
      <c r="Q2964" s="3391"/>
      <c r="R2964" s="3363"/>
      <c r="S2964" s="17"/>
      <c r="T2964" s="17"/>
      <c r="U2964" s="16"/>
      <c r="V2964" s="16"/>
    </row>
    <row r="2965" spans="1:22">
      <c r="A2965" s="22"/>
      <c r="B2965" s="554"/>
      <c r="C2965" s="223"/>
      <c r="D2965" s="1808"/>
      <c r="E2965" s="2132"/>
      <c r="F2965" s="1804"/>
      <c r="G2965" s="1804"/>
      <c r="H2965" s="1805"/>
      <c r="I2965" s="197"/>
      <c r="J2965" s="1806"/>
      <c r="K2965" s="1307"/>
      <c r="L2965" s="1335"/>
      <c r="M2965" s="1701"/>
      <c r="N2965" s="1701"/>
      <c r="O2965" s="1290"/>
      <c r="P2965" s="1333"/>
      <c r="Q2965" s="3391"/>
      <c r="R2965" s="3363"/>
      <c r="S2965" s="17"/>
      <c r="T2965" s="17"/>
      <c r="U2965" s="16"/>
      <c r="V2965" s="16"/>
    </row>
    <row r="2966" spans="1:22">
      <c r="A2966" s="16" t="s">
        <v>3764</v>
      </c>
      <c r="B2966" s="4325" t="s">
        <v>1819</v>
      </c>
      <c r="C2966" s="3350"/>
      <c r="D2966" s="4327"/>
      <c r="E2966" s="4329" t="s">
        <v>1527</v>
      </c>
      <c r="F2966" s="4336" t="s">
        <v>3825</v>
      </c>
      <c r="G2966" s="4331" t="s">
        <v>1568</v>
      </c>
      <c r="H2966" s="4331" t="s">
        <v>1574</v>
      </c>
      <c r="I2966" s="1572" t="s">
        <v>1559</v>
      </c>
      <c r="J2966" s="1294" t="s">
        <v>1560</v>
      </c>
      <c r="K2966" s="1294" t="s">
        <v>1569</v>
      </c>
      <c r="L2966" s="4333" t="s">
        <v>3765</v>
      </c>
      <c r="M2966" s="4335" t="s">
        <v>1571</v>
      </c>
      <c r="N2966" s="4323" t="s">
        <v>1776</v>
      </c>
      <c r="O2966" s="3347" t="s">
        <v>1563</v>
      </c>
      <c r="P2966" s="1336" t="s">
        <v>1562</v>
      </c>
      <c r="Q2966" s="3389"/>
      <c r="R2966" s="1699" t="s">
        <v>1327</v>
      </c>
      <c r="S2966" s="17"/>
      <c r="T2966" s="17"/>
      <c r="U2966" s="16"/>
      <c r="V2966" s="16"/>
    </row>
    <row r="2967" spans="1:22">
      <c r="A2967" s="1971" t="s">
        <v>1967</v>
      </c>
      <c r="B2967" s="4326"/>
      <c r="C2967" s="3351"/>
      <c r="D2967" s="4328"/>
      <c r="E2967" s="4330"/>
      <c r="F2967" s="4336"/>
      <c r="G2967" s="4332"/>
      <c r="H2967" s="4332"/>
      <c r="I2967" s="1345">
        <v>15.98</v>
      </c>
      <c r="J2967" s="3815">
        <v>3.0000000000000001E-3</v>
      </c>
      <c r="K2967" s="1307">
        <f>I2967*J2967</f>
        <v>4.7940000000000003E-2</v>
      </c>
      <c r="L2967" s="4334"/>
      <c r="M2967" s="4335"/>
      <c r="N2967" s="4324"/>
      <c r="O2967" s="1298">
        <f>O2969+O2970+O2971+O2972+O2979+O2980+O2984</f>
        <v>67.751446099999995</v>
      </c>
      <c r="P2967" s="1337">
        <f>O2967*K2967</f>
        <v>3.2480043260340001</v>
      </c>
      <c r="Q2967" s="3390"/>
      <c r="R2967" s="1721">
        <f>P2969+P2970+P2971+P2972+P2979+P2980+P2984</f>
        <v>3.2480043260340001</v>
      </c>
      <c r="S2967" s="17"/>
      <c r="T2967" s="17"/>
      <c r="U2967" s="16"/>
      <c r="V2967" s="16"/>
    </row>
    <row r="2968" spans="1:22">
      <c r="A2968" s="22"/>
      <c r="B2968" s="551"/>
      <c r="C2968" s="18"/>
      <c r="D2968" s="1400"/>
      <c r="E2968" s="2121"/>
      <c r="F2968" s="1368" t="s">
        <v>1</v>
      </c>
      <c r="G2968" s="1417"/>
      <c r="H2968" s="1390"/>
      <c r="I2968" s="1554"/>
      <c r="J2968" s="1367"/>
      <c r="K2968" s="1367"/>
      <c r="L2968" s="1554"/>
      <c r="M2968" s="1369"/>
      <c r="N2968" s="1369"/>
      <c r="O2968" s="1369"/>
      <c r="P2968" s="1367"/>
      <c r="Q2968" s="3387"/>
      <c r="R2968" s="3363"/>
      <c r="S2968" s="17"/>
      <c r="T2968" s="17"/>
      <c r="U2968" s="16"/>
      <c r="V2968" s="16"/>
    </row>
    <row r="2969" spans="1:22">
      <c r="A2969" s="22"/>
      <c r="B2969" s="553"/>
      <c r="C2969" s="1042"/>
      <c r="D2969" s="1400" t="s">
        <v>1075</v>
      </c>
      <c r="E2969" s="1856" t="s">
        <v>1357</v>
      </c>
      <c r="F2969" s="1421" t="s">
        <v>1822</v>
      </c>
      <c r="G2969" s="1399">
        <v>1.25</v>
      </c>
      <c r="H2969" s="1400"/>
      <c r="I2969" s="27"/>
      <c r="J2969" s="10"/>
      <c r="K2969" s="1307">
        <f>G2969*$K$2967</f>
        <v>5.9925000000000006E-2</v>
      </c>
      <c r="L2969" s="1335">
        <f t="shared" ref="L2969:L2971" si="221">K2969*$K$2842</f>
        <v>0</v>
      </c>
      <c r="M2969" s="1499">
        <v>0.81</v>
      </c>
      <c r="N2969" s="1701"/>
      <c r="O2969" s="1290">
        <f>(G2969*M2969)</f>
        <v>1.0125000000000002</v>
      </c>
      <c r="P2969" s="1332">
        <f>M2969*K2969</f>
        <v>4.8539250000000006E-2</v>
      </c>
      <c r="Q2969" s="3391"/>
      <c r="R2969" s="3363"/>
      <c r="S2969" s="17"/>
      <c r="T2969" s="17"/>
      <c r="U2969" s="16"/>
      <c r="V2969" s="16"/>
    </row>
    <row r="2970" spans="1:22">
      <c r="A2970" s="22"/>
      <c r="B2970" s="553"/>
      <c r="C2970" s="1042"/>
      <c r="D2970" s="1400" t="s">
        <v>1817</v>
      </c>
      <c r="E2970" s="1856" t="s">
        <v>1521</v>
      </c>
      <c r="F2970" s="1421" t="s">
        <v>1785</v>
      </c>
      <c r="G2970" s="1399">
        <v>1.2E-2</v>
      </c>
      <c r="H2970" s="1400"/>
      <c r="I2970" s="27"/>
      <c r="J2970" s="10"/>
      <c r="K2970" s="1307">
        <f t="shared" ref="K2970:K2971" si="222">G2970*$K$2967</f>
        <v>5.7528000000000006E-4</v>
      </c>
      <c r="L2970" s="1335">
        <f t="shared" si="221"/>
        <v>0</v>
      </c>
      <c r="M2970" s="1499">
        <v>236.83</v>
      </c>
      <c r="N2970" s="1701"/>
      <c r="O2970" s="1290">
        <f>(G2970*M2970)</f>
        <v>2.8419600000000003</v>
      </c>
      <c r="P2970" s="1332">
        <f>M2970*K2970</f>
        <v>0.13624356240000002</v>
      </c>
      <c r="Q2970" s="3391"/>
      <c r="R2970" s="3363"/>
      <c r="S2970" s="17"/>
      <c r="T2970" s="17"/>
      <c r="U2970" s="16"/>
      <c r="V2970" s="16"/>
    </row>
    <row r="2971" spans="1:22">
      <c r="A2971" s="22"/>
      <c r="B2971" s="553"/>
      <c r="C2971" s="1042"/>
      <c r="D2971" s="1400" t="s">
        <v>1786</v>
      </c>
      <c r="E2971" s="1856" t="s">
        <v>1787</v>
      </c>
      <c r="F2971" s="1421" t="s">
        <v>1788</v>
      </c>
      <c r="G2971" s="1399">
        <v>0.45</v>
      </c>
      <c r="H2971" s="1400"/>
      <c r="I2971" s="1760"/>
      <c r="J2971" s="198"/>
      <c r="K2971" s="1307">
        <f t="shared" si="222"/>
        <v>2.1573000000000002E-2</v>
      </c>
      <c r="L2971" s="1335">
        <f t="shared" si="221"/>
        <v>0</v>
      </c>
      <c r="M2971" s="1499">
        <v>1.54</v>
      </c>
      <c r="N2971" s="1701"/>
      <c r="O2971" s="1290">
        <f>(G2971*M2971)</f>
        <v>0.69300000000000006</v>
      </c>
      <c r="P2971" s="1332">
        <f>M2971*K2971</f>
        <v>3.3222420000000003E-2</v>
      </c>
      <c r="Q2971" s="3391"/>
      <c r="R2971" s="3363"/>
      <c r="S2971" s="17"/>
      <c r="T2971" s="17"/>
      <c r="U2971" s="16"/>
      <c r="V2971" s="16"/>
    </row>
    <row r="2972" spans="1:22">
      <c r="A2972" s="22"/>
      <c r="B2972" s="553"/>
      <c r="C2972" s="1356" t="s">
        <v>1790</v>
      </c>
      <c r="D2972" s="1311"/>
      <c r="E2972" s="2137" t="s">
        <v>1517</v>
      </c>
      <c r="F2972" s="1343" t="s">
        <v>1791</v>
      </c>
      <c r="G2972" s="1344"/>
      <c r="H2972" s="1344">
        <v>4.4999999999999998E-2</v>
      </c>
      <c r="I2972" s="1444"/>
      <c r="J2972" s="1388"/>
      <c r="K2972" s="1445"/>
      <c r="L2972" s="1457"/>
      <c r="M2972" s="1446"/>
      <c r="N2972" s="1447">
        <f>SUM(N2973:N2977)</f>
        <v>76.906580000000005</v>
      </c>
      <c r="O2972" s="1447">
        <f>SUM(O2973:O2977)</f>
        <v>3.4607960999999996</v>
      </c>
      <c r="P2972" s="1447">
        <f>SUM(P2973:P2977)</f>
        <v>0.16591056503400001</v>
      </c>
      <c r="Q2972" s="3391"/>
      <c r="R2972" s="3363"/>
      <c r="S2972" s="17"/>
      <c r="T2972" s="17"/>
      <c r="U2972" s="16"/>
      <c r="V2972" s="16"/>
    </row>
    <row r="2973" spans="1:22">
      <c r="A2973" s="22"/>
      <c r="B2973" s="553"/>
      <c r="C2973" s="1327"/>
      <c r="D2973" s="1756" t="s">
        <v>1069</v>
      </c>
      <c r="E2973" s="1852" t="s">
        <v>1517</v>
      </c>
      <c r="F2973" s="1784" t="s">
        <v>1578</v>
      </c>
      <c r="G2973" s="1399">
        <v>0.2</v>
      </c>
      <c r="H2973" s="1399">
        <f>G2973*$H$2972</f>
        <v>8.9999999999999993E-3</v>
      </c>
      <c r="I2973" s="197"/>
      <c r="J2973" s="198"/>
      <c r="K2973" s="1732">
        <f>H2973*$K$2967</f>
        <v>4.3145999999999999E-4</v>
      </c>
      <c r="L2973" s="1335">
        <f t="shared" ref="L2973:L2977" si="223">K2973*$K$2842</f>
        <v>0</v>
      </c>
      <c r="M2973" s="1499">
        <v>0.55000000000000004</v>
      </c>
      <c r="N2973" s="1718">
        <f>G2973*M2973</f>
        <v>0.11000000000000001</v>
      </c>
      <c r="O2973" s="1719">
        <f>H2973*M2973</f>
        <v>4.9500000000000004E-3</v>
      </c>
      <c r="P2973" s="1720">
        <f>M2973*K2973</f>
        <v>2.3730300000000001E-4</v>
      </c>
      <c r="Q2973" s="3396"/>
      <c r="R2973" s="3363"/>
      <c r="S2973" s="17"/>
      <c r="T2973" s="17"/>
      <c r="U2973" s="16"/>
      <c r="V2973" s="16"/>
    </row>
    <row r="2974" spans="1:22">
      <c r="A2974" s="22"/>
      <c r="B2974" s="553"/>
      <c r="C2974" s="1320"/>
      <c r="D2974" s="1756" t="s">
        <v>1792</v>
      </c>
      <c r="E2974" s="1852" t="s">
        <v>1577</v>
      </c>
      <c r="F2974" s="1752" t="s">
        <v>1793</v>
      </c>
      <c r="G2974" s="1399">
        <v>0.25</v>
      </c>
      <c r="H2974" s="1399">
        <f t="shared" ref="H2974:H2977" si="224">G2974*$H$2972</f>
        <v>1.125E-2</v>
      </c>
      <c r="I2974" s="197"/>
      <c r="J2974" s="198"/>
      <c r="K2974" s="1732">
        <f>H2974*$K$2967</f>
        <v>5.39325E-4</v>
      </c>
      <c r="L2974" s="1335">
        <f t="shared" si="223"/>
        <v>0</v>
      </c>
      <c r="M2974" s="1499">
        <v>85.09</v>
      </c>
      <c r="N2974" s="1718">
        <f>G2974*M2974</f>
        <v>21.272500000000001</v>
      </c>
      <c r="O2974" s="1719">
        <f>H2974*M2974</f>
        <v>0.95726250000000002</v>
      </c>
      <c r="P2974" s="1720">
        <f>M2974*K2974</f>
        <v>4.5891164250000005E-2</v>
      </c>
      <c r="Q2974" s="3396"/>
      <c r="R2974" s="3363"/>
      <c r="S2974" s="17"/>
      <c r="T2974" s="17"/>
      <c r="U2974" s="16"/>
      <c r="V2974" s="16"/>
    </row>
    <row r="2975" spans="1:22">
      <c r="A2975" s="22"/>
      <c r="B2975" s="553"/>
      <c r="C2975" s="1320"/>
      <c r="D2975" s="1756" t="s">
        <v>1394</v>
      </c>
      <c r="E2975" s="1852" t="s">
        <v>1577</v>
      </c>
      <c r="F2975" s="1752" t="s">
        <v>1579</v>
      </c>
      <c r="G2975" s="1399">
        <v>0.25</v>
      </c>
      <c r="H2975" s="1399">
        <f t="shared" si="224"/>
        <v>1.125E-2</v>
      </c>
      <c r="I2975" s="197"/>
      <c r="J2975" s="198"/>
      <c r="K2975" s="1732">
        <f t="shared" ref="K2975:K2977" si="225">H2975*$K$2967</f>
        <v>5.39325E-4</v>
      </c>
      <c r="L2975" s="1335">
        <f t="shared" si="223"/>
        <v>0</v>
      </c>
      <c r="M2975" s="1499">
        <v>92.54</v>
      </c>
      <c r="N2975" s="1718">
        <f>G2975*M2975</f>
        <v>23.135000000000002</v>
      </c>
      <c r="O2975" s="1719">
        <f>H2975*M2975</f>
        <v>1.041075</v>
      </c>
      <c r="P2975" s="1720">
        <f>M2975*K2975</f>
        <v>4.9909135500000007E-2</v>
      </c>
      <c r="Q2975" s="3396"/>
      <c r="R2975" s="3363"/>
      <c r="S2975" s="17"/>
      <c r="T2975" s="17"/>
      <c r="U2975" s="16"/>
      <c r="V2975" s="16"/>
    </row>
    <row r="2976" spans="1:22">
      <c r="A2976" s="22"/>
      <c r="B2976" s="553"/>
      <c r="C2976" s="1320"/>
      <c r="D2976" s="1756" t="s">
        <v>1576</v>
      </c>
      <c r="E2976" s="1852" t="s">
        <v>1517</v>
      </c>
      <c r="F2976" s="1752" t="s">
        <v>1580</v>
      </c>
      <c r="G2976" s="1399">
        <v>1.5</v>
      </c>
      <c r="H2976" s="1399">
        <f t="shared" si="224"/>
        <v>6.7500000000000004E-2</v>
      </c>
      <c r="I2976" s="197"/>
      <c r="J2976" s="198"/>
      <c r="K2976" s="1732">
        <f t="shared" si="225"/>
        <v>3.2359500000000005E-3</v>
      </c>
      <c r="L2976" s="1335">
        <f t="shared" si="223"/>
        <v>0</v>
      </c>
      <c r="M2976" s="1499">
        <v>6.53</v>
      </c>
      <c r="N2976" s="1718">
        <f>G2976*M2976</f>
        <v>9.7949999999999999</v>
      </c>
      <c r="O2976" s="1719">
        <f>H2976*M2976</f>
        <v>0.44077500000000003</v>
      </c>
      <c r="P2976" s="1720">
        <f>M2976*K2976</f>
        <v>2.1130753500000005E-2</v>
      </c>
      <c r="Q2976" s="3396"/>
      <c r="R2976" s="3363"/>
      <c r="S2976" s="17"/>
      <c r="T2976" s="17"/>
      <c r="U2976" s="16"/>
      <c r="V2976" s="16"/>
    </row>
    <row r="2977" spans="1:22">
      <c r="A2977" s="22"/>
      <c r="B2977" s="553"/>
      <c r="C2977" s="1320"/>
      <c r="D2977" s="1757" t="s">
        <v>1067</v>
      </c>
      <c r="E2977" s="1853" t="s">
        <v>1508</v>
      </c>
      <c r="F2977" s="1754" t="s">
        <v>1512</v>
      </c>
      <c r="G2977" s="1408">
        <v>1.236</v>
      </c>
      <c r="H2977" s="1408">
        <f t="shared" si="224"/>
        <v>5.5619999999999996E-2</v>
      </c>
      <c r="I2977" s="197"/>
      <c r="J2977" s="198"/>
      <c r="K2977" s="1732">
        <f t="shared" si="225"/>
        <v>2.6664228000000002E-3</v>
      </c>
      <c r="L2977" s="1335">
        <f t="shared" si="223"/>
        <v>0</v>
      </c>
      <c r="M2977" s="1499">
        <v>18.28</v>
      </c>
      <c r="N2977" s="1718">
        <f>G2977*M2977</f>
        <v>22.594080000000002</v>
      </c>
      <c r="O2977" s="1719">
        <f>H2977*M2977</f>
        <v>1.0167336</v>
      </c>
      <c r="P2977" s="1720">
        <f>M2977*K2977</f>
        <v>4.8742208784000006E-2</v>
      </c>
      <c r="Q2977" s="3396"/>
      <c r="R2977" s="3363"/>
      <c r="S2977" s="17"/>
      <c r="T2977" s="17"/>
      <c r="U2977" s="16"/>
      <c r="V2977" s="16"/>
    </row>
    <row r="2978" spans="1:22">
      <c r="A2978" s="22"/>
      <c r="B2978" s="553"/>
      <c r="C2978" s="1042"/>
      <c r="D2978" s="1410"/>
      <c r="E2978" s="1858"/>
      <c r="F2978" s="1360" t="s">
        <v>2</v>
      </c>
      <c r="G2978" s="1360"/>
      <c r="H2978" s="1362"/>
      <c r="I2978" s="1380"/>
      <c r="J2978" s="1381"/>
      <c r="K2978" s="1359"/>
      <c r="L2978" s="1458"/>
      <c r="M2978" s="1502"/>
      <c r="N2978" s="1502"/>
      <c r="O2978" s="1362"/>
      <c r="P2978" s="1359"/>
      <c r="Q2978" s="3387"/>
      <c r="R2978" s="3363"/>
      <c r="S2978" s="17"/>
      <c r="T2978" s="17"/>
      <c r="U2978" s="16"/>
      <c r="V2978" s="16"/>
    </row>
    <row r="2979" spans="1:22">
      <c r="A2979" s="22"/>
      <c r="B2979" s="553"/>
      <c r="C2979" s="1042"/>
      <c r="D2979" s="1655" t="s">
        <v>1806</v>
      </c>
      <c r="E2979" s="1857" t="s">
        <v>1508</v>
      </c>
      <c r="F2979" s="1403" t="s">
        <v>1818</v>
      </c>
      <c r="G2979" s="1365">
        <v>1.5129999999999999</v>
      </c>
      <c r="H2979" s="1365"/>
      <c r="I2979" s="198"/>
      <c r="J2979" s="6"/>
      <c r="K2979" s="1732">
        <f>G2979*$K$2967</f>
        <v>7.2533219999999995E-2</v>
      </c>
      <c r="L2979" s="1335">
        <f t="shared" ref="L2979:L2980" si="226">K2979*$K$2842</f>
        <v>0</v>
      </c>
      <c r="M2979" s="1499">
        <v>19.23</v>
      </c>
      <c r="N2979" s="1701"/>
      <c r="O2979" s="1290">
        <f>(G2979*M2979)</f>
        <v>29.094989999999999</v>
      </c>
      <c r="P2979" s="1332">
        <f>M2979*K2979</f>
        <v>1.3948138206</v>
      </c>
      <c r="Q2979" s="3391"/>
      <c r="R2979" s="3363"/>
      <c r="S2979" s="17"/>
      <c r="T2979" s="17"/>
      <c r="U2979" s="16"/>
      <c r="V2979" s="16"/>
    </row>
    <row r="2980" spans="1:22">
      <c r="A2980" s="22"/>
      <c r="B2980" s="553"/>
      <c r="C2980" s="1042"/>
      <c r="D2980" s="1364" t="s">
        <v>1067</v>
      </c>
      <c r="E2980" s="2148" t="s">
        <v>1508</v>
      </c>
      <c r="F2980" s="1473" t="s">
        <v>1512</v>
      </c>
      <c r="G2980" s="1365">
        <v>0.81499999999999995</v>
      </c>
      <c r="H2980" s="1365"/>
      <c r="I2980" s="198"/>
      <c r="J2980" s="6"/>
      <c r="K2980" s="1732">
        <f>G2980*$K$2967</f>
        <v>3.9071099999999997E-2</v>
      </c>
      <c r="L2980" s="1335">
        <f t="shared" si="226"/>
        <v>0</v>
      </c>
      <c r="M2980" s="1499">
        <v>18.28</v>
      </c>
      <c r="N2980" s="1701"/>
      <c r="O2980" s="1290">
        <f>(G2980*M2980)</f>
        <v>14.898199999999999</v>
      </c>
      <c r="P2980" s="1332">
        <f>M2980*K2980</f>
        <v>0.71421970800000001</v>
      </c>
      <c r="Q2980" s="3391"/>
      <c r="R2980" s="3363"/>
      <c r="S2980" s="17"/>
      <c r="T2980" s="17"/>
      <c r="U2980" s="16"/>
      <c r="V2980" s="16"/>
    </row>
    <row r="2981" spans="1:22">
      <c r="A2981" s="22"/>
      <c r="B2981" s="553"/>
      <c r="C2981" s="1042"/>
      <c r="D2981" s="1623"/>
      <c r="E2981" s="2158"/>
      <c r="F2981" s="1801"/>
      <c r="G2981" s="1359"/>
      <c r="H2981" s="1803"/>
      <c r="I2981" s="198"/>
      <c r="J2981" s="6"/>
      <c r="K2981" s="1307"/>
      <c r="L2981" s="1335"/>
      <c r="M2981" s="1499"/>
      <c r="N2981" s="1701"/>
      <c r="O2981" s="1290"/>
      <c r="P2981" s="1332"/>
      <c r="Q2981" s="3391"/>
      <c r="R2981" s="3363"/>
      <c r="S2981" s="17"/>
      <c r="T2981" s="17"/>
      <c r="U2981" s="16"/>
      <c r="V2981" s="16"/>
    </row>
    <row r="2982" spans="1:22">
      <c r="A2982" s="22"/>
      <c r="B2982" s="553"/>
      <c r="C2982" s="1042"/>
      <c r="D2982" s="1623"/>
      <c r="E2982" s="2158"/>
      <c r="F2982" s="1801"/>
      <c r="G2982" s="1359"/>
      <c r="H2982" s="1803"/>
      <c r="I2982" s="198"/>
      <c r="J2982" s="6"/>
      <c r="K2982" s="1307"/>
      <c r="L2982" s="1335"/>
      <c r="M2982" s="1499"/>
      <c r="N2982" s="1701"/>
      <c r="O2982" s="1290"/>
      <c r="P2982" s="1332"/>
      <c r="Q2982" s="3391"/>
      <c r="R2982" s="3363"/>
      <c r="S2982" s="17"/>
      <c r="T2982" s="17"/>
      <c r="U2982" s="16"/>
      <c r="V2982" s="16"/>
    </row>
    <row r="2983" spans="1:22">
      <c r="A2983" s="22"/>
      <c r="B2983" s="553"/>
      <c r="C2983" s="1042"/>
      <c r="D2983" s="1411"/>
      <c r="E2983" s="2123"/>
      <c r="F2983" s="1802" t="s">
        <v>3</v>
      </c>
      <c r="G2983" s="1475"/>
      <c r="H2983" s="1505"/>
      <c r="I2983" s="1382"/>
      <c r="J2983" s="1383"/>
      <c r="K2983" s="1373"/>
      <c r="L2983" s="1413"/>
      <c r="M2983" s="1505"/>
      <c r="N2983" s="1505"/>
      <c r="O2983" s="1376"/>
      <c r="P2983" s="1413"/>
      <c r="Q2983" s="3387"/>
      <c r="R2983" s="3363"/>
      <c r="S2983" s="17"/>
      <c r="T2983" s="17"/>
      <c r="U2983" s="16"/>
      <c r="V2983" s="16"/>
    </row>
    <row r="2984" spans="1:22">
      <c r="A2984" s="22"/>
      <c r="B2984" s="553"/>
      <c r="C2984" s="1042"/>
      <c r="D2984" s="1411" t="s">
        <v>1686</v>
      </c>
      <c r="E2984" s="2123" t="s">
        <v>1803</v>
      </c>
      <c r="F2984" s="1837" t="s">
        <v>1688</v>
      </c>
      <c r="G2984" s="1376">
        <v>2.1</v>
      </c>
      <c r="H2984" s="1376"/>
      <c r="I2984" s="198"/>
      <c r="J2984" s="6"/>
      <c r="K2984" s="1732">
        <f>G2984*$K$2967</f>
        <v>0.10067400000000001</v>
      </c>
      <c r="L2984" s="1335">
        <f>K2984*$K$2842</f>
        <v>0</v>
      </c>
      <c r="M2984" s="1499">
        <v>7.5</v>
      </c>
      <c r="N2984" s="1701"/>
      <c r="O2984" s="1290">
        <f>(G2984*M2984)</f>
        <v>15.75</v>
      </c>
      <c r="P2984" s="1332">
        <f>M2984*K2984</f>
        <v>0.75505500000000014</v>
      </c>
      <c r="Q2984" s="3391"/>
      <c r="R2984" s="3363"/>
      <c r="S2984" s="17"/>
      <c r="T2984" s="17"/>
      <c r="U2984" s="16"/>
      <c r="V2984" s="16"/>
    </row>
    <row r="2985" spans="1:22">
      <c r="A2985" s="22"/>
      <c r="B2985" s="553"/>
      <c r="C2985" s="1042"/>
      <c r="D2985" s="1411"/>
      <c r="E2985" s="2123"/>
      <c r="F2985" s="1475"/>
      <c r="G2985" s="1475"/>
      <c r="H2985" s="1376"/>
      <c r="I2985" s="198"/>
      <c r="J2985" s="6"/>
      <c r="K2985" s="1307"/>
      <c r="L2985" s="1335"/>
      <c r="M2985" s="1499"/>
      <c r="N2985" s="1701"/>
      <c r="O2985" s="1290"/>
      <c r="P2985" s="1332"/>
      <c r="Q2985" s="3391"/>
      <c r="R2985" s="3363"/>
      <c r="S2985" s="17"/>
      <c r="T2985" s="17"/>
      <c r="U2985" s="16"/>
      <c r="V2985" s="16"/>
    </row>
    <row r="2986" spans="1:22">
      <c r="A2986" s="22"/>
      <c r="B2986" s="554"/>
      <c r="C2986" s="223"/>
      <c r="D2986" s="1808"/>
      <c r="E2986" s="2132"/>
      <c r="F2986" s="1804"/>
      <c r="G2986" s="1804"/>
      <c r="H2986" s="1805"/>
      <c r="I2986" s="197"/>
      <c r="J2986" s="1806"/>
      <c r="K2986" s="1307"/>
      <c r="L2986" s="1335"/>
      <c r="M2986" s="1701"/>
      <c r="N2986" s="1701"/>
      <c r="O2986" s="1290"/>
      <c r="P2986" s="1333"/>
      <c r="Q2986" s="3391"/>
      <c r="R2986" s="3363"/>
      <c r="S2986" s="17"/>
      <c r="T2986" s="17"/>
      <c r="U2986" s="16"/>
      <c r="V2986" s="16"/>
    </row>
    <row r="2987" spans="1:22">
      <c r="A2987" s="16" t="s">
        <v>3764</v>
      </c>
      <c r="B2987" s="4325" t="s">
        <v>1736</v>
      </c>
      <c r="C2987" s="3350"/>
      <c r="D2987" s="4327"/>
      <c r="E2987" s="4329" t="s">
        <v>1527</v>
      </c>
      <c r="F2987" s="4336" t="s">
        <v>3826</v>
      </c>
      <c r="G2987" s="4331" t="s">
        <v>1568</v>
      </c>
      <c r="H2987" s="4331" t="s">
        <v>1574</v>
      </c>
      <c r="I2987" s="1572" t="s">
        <v>1559</v>
      </c>
      <c r="J2987" s="1294" t="s">
        <v>1560</v>
      </c>
      <c r="K2987" s="1294" t="s">
        <v>1561</v>
      </c>
      <c r="L2987" s="4333" t="s">
        <v>3765</v>
      </c>
      <c r="M2987" s="4335" t="s">
        <v>1571</v>
      </c>
      <c r="N2987" s="4323" t="s">
        <v>1776</v>
      </c>
      <c r="O2987" s="3347" t="s">
        <v>1563</v>
      </c>
      <c r="P2987" s="1336" t="s">
        <v>1562</v>
      </c>
      <c r="Q2987" s="3389"/>
      <c r="R2987" s="1699" t="s">
        <v>1327</v>
      </c>
      <c r="S2987" s="17"/>
      <c r="T2987" s="17"/>
      <c r="U2987" s="16"/>
      <c r="V2987" s="16"/>
    </row>
    <row r="2988" spans="1:22">
      <c r="A2988" s="1971" t="s">
        <v>1967</v>
      </c>
      <c r="B2988" s="4326"/>
      <c r="C2988" s="3351"/>
      <c r="D2988" s="4328"/>
      <c r="E2988" s="4330"/>
      <c r="F2988" s="4336"/>
      <c r="G2988" s="4332"/>
      <c r="H2988" s="4332"/>
      <c r="I2988" s="4079">
        <v>237.01</v>
      </c>
      <c r="J2988" s="3815">
        <v>3.0000000000000001E-3</v>
      </c>
      <c r="K2988" s="1307">
        <f>I2988*J2988</f>
        <v>0.71102999999999994</v>
      </c>
      <c r="L2988" s="4334"/>
      <c r="M2988" s="4335"/>
      <c r="N2988" s="4324"/>
      <c r="O2988" s="1298">
        <f>O2990+O2991+O2992+O2996+O3000+O3008</f>
        <v>29.094884700000001</v>
      </c>
      <c r="P2988" s="1337">
        <f>O2988*K2988</f>
        <v>20.687335868241</v>
      </c>
      <c r="Q2988" s="3390"/>
      <c r="R2988" s="1721">
        <f>P2990+P2991+P2992+P2996+P3000+P3008</f>
        <v>20.687335868241</v>
      </c>
      <c r="S2988" s="17"/>
      <c r="T2988" s="17"/>
      <c r="U2988" s="16"/>
      <c r="V2988" s="16"/>
    </row>
    <row r="2989" spans="1:22">
      <c r="A2989" s="1320"/>
      <c r="B2989" s="22"/>
      <c r="C2989" s="18"/>
      <c r="D2989" s="1400"/>
      <c r="E2989" s="2121"/>
      <c r="F2989" s="1368" t="s">
        <v>1</v>
      </c>
      <c r="G2989" s="1368"/>
      <c r="H2989" s="1369"/>
      <c r="I2989" s="1391"/>
      <c r="J2989" s="1369"/>
      <c r="K2989" s="1367"/>
      <c r="L2989" s="1554"/>
      <c r="M2989" s="1369"/>
      <c r="N2989" s="1369"/>
      <c r="O2989" s="1369"/>
      <c r="P2989" s="1367"/>
      <c r="Q2989" s="3387"/>
      <c r="R2989" s="2344"/>
      <c r="S2989" s="17"/>
      <c r="T2989" s="17"/>
      <c r="U2989" s="16"/>
      <c r="V2989" s="16"/>
    </row>
    <row r="2990" spans="1:22">
      <c r="A2990" s="1320"/>
      <c r="B2990" s="22"/>
      <c r="C2990" s="1042"/>
      <c r="D2990" s="1767" t="s">
        <v>1784</v>
      </c>
      <c r="E2990" s="1849" t="s">
        <v>1521</v>
      </c>
      <c r="F2990" s="1654" t="s">
        <v>1785</v>
      </c>
      <c r="G2990" s="1567">
        <v>1E-3</v>
      </c>
      <c r="H2990" s="1567"/>
      <c r="I2990" s="1286"/>
      <c r="J2990" s="198"/>
      <c r="K2990" s="1307">
        <f>G2990*$K$2988</f>
        <v>7.1102999999999997E-4</v>
      </c>
      <c r="L2990" s="1335">
        <f t="shared" ref="L2990:L2991" si="227">K2990*$K$2842</f>
        <v>0</v>
      </c>
      <c r="M2990" s="1499">
        <v>236.83</v>
      </c>
      <c r="N2990" s="1700"/>
      <c r="O2990" s="1290">
        <f>G2990*M2990</f>
        <v>0.23683000000000001</v>
      </c>
      <c r="P2990" s="1332">
        <f>M2990*K2990</f>
        <v>0.16839323489999999</v>
      </c>
      <c r="Q2990" s="3391"/>
      <c r="R2990" s="2337"/>
      <c r="S2990" s="17"/>
      <c r="T2990" s="17"/>
      <c r="U2990" s="16"/>
      <c r="V2990" s="16"/>
    </row>
    <row r="2991" spans="1:22">
      <c r="A2991" s="1320"/>
      <c r="B2991" s="22"/>
      <c r="C2991" s="1042"/>
      <c r="D2991" s="1769" t="s">
        <v>1786</v>
      </c>
      <c r="E2991" s="1850" t="s">
        <v>1787</v>
      </c>
      <c r="F2991" s="1770" t="s">
        <v>1788</v>
      </c>
      <c r="G2991" s="1771">
        <v>1.1000000000000001</v>
      </c>
      <c r="H2991" s="1771"/>
      <c r="I2991" s="1286"/>
      <c r="J2991" s="198"/>
      <c r="K2991" s="1307">
        <f>G2991*$K$2988</f>
        <v>0.78213299999999997</v>
      </c>
      <c r="L2991" s="1335">
        <f t="shared" si="227"/>
        <v>0</v>
      </c>
      <c r="M2991" s="1302">
        <v>1.53</v>
      </c>
      <c r="N2991" s="1700"/>
      <c r="O2991" s="1290">
        <f>G2991*M2991</f>
        <v>1.6830000000000003</v>
      </c>
      <c r="P2991" s="1332">
        <f>M2991*K2991</f>
        <v>1.1966634899999999</v>
      </c>
      <c r="Q2991" s="3391"/>
      <c r="R2991" s="2337"/>
      <c r="S2991" s="17"/>
      <c r="T2991" s="17"/>
      <c r="U2991" s="16"/>
      <c r="V2991" s="16"/>
    </row>
    <row r="2992" spans="1:22">
      <c r="A2992" s="1320"/>
      <c r="B2992" s="22"/>
      <c r="C2992" s="1356" t="s">
        <v>1128</v>
      </c>
      <c r="D2992" s="1585"/>
      <c r="E2992" s="1851" t="s">
        <v>1517</v>
      </c>
      <c r="F2992" s="1774" t="s">
        <v>1695</v>
      </c>
      <c r="G2992" s="1776"/>
      <c r="H2992" s="1776">
        <v>1.2E-2</v>
      </c>
      <c r="I2992" s="1388"/>
      <c r="J2992" s="1366"/>
      <c r="K2992" s="1510"/>
      <c r="L2992" s="1445"/>
      <c r="M2992" s="1447"/>
      <c r="N2992" s="1447">
        <f>SUM(N2993:N2995)</f>
        <v>104.27969999999999</v>
      </c>
      <c r="O2992" s="1447">
        <f>SUM(O2993:O2995)</f>
        <v>1.2513564000000001</v>
      </c>
      <c r="P2992" s="1446">
        <f>SUM(P2993:P2995)</f>
        <v>0.88975194109200006</v>
      </c>
      <c r="Q2992" s="3391"/>
      <c r="R2992" s="2337"/>
      <c r="S2992" s="17"/>
      <c r="T2992" s="17"/>
      <c r="U2992" s="16"/>
      <c r="V2992" s="16"/>
    </row>
    <row r="2993" spans="1:22">
      <c r="A2993" s="1320"/>
      <c r="B2993" s="22"/>
      <c r="C2993" s="1042"/>
      <c r="D2993" s="1752" t="s">
        <v>1779</v>
      </c>
      <c r="E2993" s="1852" t="s">
        <v>1577</v>
      </c>
      <c r="F2993" s="1752" t="s">
        <v>1780</v>
      </c>
      <c r="G2993" s="1775">
        <v>0.876</v>
      </c>
      <c r="H2993" s="1453">
        <f>$H$2992*G2993</f>
        <v>1.0512000000000001E-2</v>
      </c>
      <c r="I2993" s="197"/>
      <c r="J2993" s="198"/>
      <c r="K2993" s="1307">
        <f>H2993*$K$2988</f>
        <v>7.4743473599999995E-3</v>
      </c>
      <c r="L2993" s="1335">
        <f t="shared" ref="L2993:L2995" si="228">K2993*$K$2842</f>
        <v>0</v>
      </c>
      <c r="M2993" s="1759">
        <v>56.05</v>
      </c>
      <c r="N2993" s="1718">
        <f>G2993*M2993</f>
        <v>49.099799999999995</v>
      </c>
      <c r="O2993" s="1719">
        <f>H2993*M2993</f>
        <v>0.58919759999999999</v>
      </c>
      <c r="P2993" s="1720">
        <f>M2993*K2993</f>
        <v>0.41893716952799998</v>
      </c>
      <c r="Q2993" s="3396"/>
      <c r="R2993" s="2337"/>
      <c r="S2993" s="17"/>
      <c r="T2993" s="17"/>
      <c r="U2993" s="16"/>
      <c r="V2993" s="16"/>
    </row>
    <row r="2994" spans="1:22">
      <c r="A2994" s="1320"/>
      <c r="B2994" s="22"/>
      <c r="C2994" s="1042"/>
      <c r="D2994" s="1752" t="s">
        <v>1069</v>
      </c>
      <c r="E2994" s="1852" t="s">
        <v>1517</v>
      </c>
      <c r="F2994" s="1752" t="s">
        <v>1578</v>
      </c>
      <c r="G2994" s="1753">
        <v>0.61799999999999999</v>
      </c>
      <c r="H2994" s="1453">
        <f t="shared" ref="H2994:H2995" si="229">$H$2992*G2994</f>
        <v>7.4159999999999998E-3</v>
      </c>
      <c r="I2994" s="27"/>
      <c r="J2994" s="10"/>
      <c r="K2994" s="1307">
        <f t="shared" ref="K2994:K2995" si="230">H2994*$K$2988</f>
        <v>5.272998479999999E-3</v>
      </c>
      <c r="L2994" s="1335">
        <f t="shared" si="228"/>
        <v>0</v>
      </c>
      <c r="M2994" s="1759">
        <v>0.55000000000000004</v>
      </c>
      <c r="N2994" s="1718">
        <f>G2994*M2994</f>
        <v>0.33990000000000004</v>
      </c>
      <c r="O2994" s="1719">
        <f>H2994*M2994</f>
        <v>4.0788000000000005E-3</v>
      </c>
      <c r="P2994" s="1720">
        <f>M2994*K2994</f>
        <v>2.9001491639999996E-3</v>
      </c>
      <c r="Q2994" s="3396"/>
      <c r="R2994" s="2337"/>
      <c r="S2994" s="17"/>
      <c r="T2994" s="17"/>
      <c r="U2994" s="16"/>
      <c r="V2994" s="16"/>
    </row>
    <row r="2995" spans="1:22">
      <c r="A2995" s="1320"/>
      <c r="B2995" s="22"/>
      <c r="C2995" s="1042"/>
      <c r="D2995" s="1754" t="s">
        <v>1067</v>
      </c>
      <c r="E2995" s="1853" t="s">
        <v>1508</v>
      </c>
      <c r="F2995" s="1754" t="s">
        <v>1512</v>
      </c>
      <c r="G2995" s="1755">
        <v>3</v>
      </c>
      <c r="H2995" s="1454">
        <f t="shared" si="229"/>
        <v>3.6000000000000004E-2</v>
      </c>
      <c r="I2995" s="198"/>
      <c r="J2995" s="198"/>
      <c r="K2995" s="1307">
        <f t="shared" si="230"/>
        <v>2.5597080000000001E-2</v>
      </c>
      <c r="L2995" s="1335">
        <f t="shared" si="228"/>
        <v>0</v>
      </c>
      <c r="M2995" s="1759">
        <v>18.28</v>
      </c>
      <c r="N2995" s="1718">
        <f>G2995*M2995</f>
        <v>54.84</v>
      </c>
      <c r="O2995" s="1719">
        <f>H2995*M2995</f>
        <v>0.65808000000000011</v>
      </c>
      <c r="P2995" s="1720">
        <f>M2995*K2995</f>
        <v>0.46791462240000004</v>
      </c>
      <c r="Q2995" s="3396"/>
      <c r="R2995" s="2337"/>
      <c r="S2995" s="17"/>
      <c r="T2995" s="17"/>
      <c r="U2995" s="16"/>
      <c r="V2995" s="16"/>
    </row>
    <row r="2996" spans="1:22">
      <c r="A2996" s="1320"/>
      <c r="B2996" s="22"/>
      <c r="C2996" s="1356" t="s">
        <v>1152</v>
      </c>
      <c r="D2996" s="1311"/>
      <c r="E2996" s="1854" t="s">
        <v>1517</v>
      </c>
      <c r="F2996" s="1749" t="s">
        <v>1696</v>
      </c>
      <c r="G2996" s="1776"/>
      <c r="H2996" s="1688">
        <v>5.0000000000000001E-3</v>
      </c>
      <c r="I2996" s="1388"/>
      <c r="J2996" s="1388"/>
      <c r="K2996" s="1510"/>
      <c r="L2996" s="1445"/>
      <c r="M2996" s="1447"/>
      <c r="N2996" s="1447">
        <f>SUM(N2997:N2999)</f>
        <v>108.04650000000001</v>
      </c>
      <c r="O2996" s="1447">
        <f>SUM(O2997:O2999)</f>
        <v>0.54023250000000012</v>
      </c>
      <c r="P2996" s="1446">
        <f>SUM(P2997:P2999)</f>
        <v>0.38412151447499998</v>
      </c>
      <c r="Q2996" s="3391"/>
      <c r="R2996" s="2337"/>
      <c r="S2996" s="17"/>
      <c r="T2996" s="17"/>
      <c r="U2996" s="16"/>
      <c r="V2996" s="16"/>
    </row>
    <row r="2997" spans="1:22">
      <c r="A2997" s="1320"/>
      <c r="B2997" s="22"/>
      <c r="C2997" s="18"/>
      <c r="D2997" s="1756" t="s">
        <v>1781</v>
      </c>
      <c r="E2997" s="1852" t="s">
        <v>1577</v>
      </c>
      <c r="F2997" s="1752" t="s">
        <v>1782</v>
      </c>
      <c r="G2997" s="1753">
        <v>0.876</v>
      </c>
      <c r="H2997" s="1453">
        <f>$H$2996*G2997</f>
        <v>4.3800000000000002E-3</v>
      </c>
      <c r="I2997" s="198"/>
      <c r="J2997" s="198"/>
      <c r="K2997" s="1307">
        <f>H2997*$K$2988</f>
        <v>3.1143114E-3</v>
      </c>
      <c r="L2997" s="1335">
        <f t="shared" ref="L2997:L2999" si="231">K2997*$K$2842</f>
        <v>0</v>
      </c>
      <c r="M2997" s="1759">
        <v>60.35</v>
      </c>
      <c r="N2997" s="1718">
        <f>G2997*M2997</f>
        <v>52.866599999999998</v>
      </c>
      <c r="O2997" s="1719">
        <f>H2997*M2997</f>
        <v>0.26433300000000004</v>
      </c>
      <c r="P2997" s="1720">
        <f>M2997*K2997</f>
        <v>0.18794869299</v>
      </c>
      <c r="Q2997" s="3396"/>
      <c r="R2997" s="2337"/>
      <c r="S2997" s="17"/>
      <c r="T2997" s="17"/>
      <c r="U2997" s="16"/>
      <c r="V2997" s="16"/>
    </row>
    <row r="2998" spans="1:22">
      <c r="A2998" s="1320"/>
      <c r="B2998" s="22"/>
      <c r="C2998" s="1042"/>
      <c r="D2998" s="1756" t="s">
        <v>1069</v>
      </c>
      <c r="E2998" s="1852" t="s">
        <v>1517</v>
      </c>
      <c r="F2998" s="1752" t="s">
        <v>1578</v>
      </c>
      <c r="G2998" s="1753">
        <v>0.61799999999999999</v>
      </c>
      <c r="H2998" s="1453">
        <f t="shared" ref="H2998:H2999" si="232">$H$2996*G2998</f>
        <v>3.0899999999999999E-3</v>
      </c>
      <c r="I2998" s="197"/>
      <c r="J2998" s="198"/>
      <c r="K2998" s="1307">
        <f t="shared" ref="K2998:K2999" si="233">H2998*$K$2988</f>
        <v>2.1970826999999997E-3</v>
      </c>
      <c r="L2998" s="1335">
        <f t="shared" si="231"/>
        <v>0</v>
      </c>
      <c r="M2998" s="1759">
        <v>0.55000000000000004</v>
      </c>
      <c r="N2998" s="1718">
        <f>G2998*M2998</f>
        <v>0.33990000000000004</v>
      </c>
      <c r="O2998" s="1719">
        <f>H2998*M2998</f>
        <v>1.6995000000000001E-3</v>
      </c>
      <c r="P2998" s="1720">
        <f>M2998*K2998</f>
        <v>1.2083954849999999E-3</v>
      </c>
      <c r="Q2998" s="3396"/>
      <c r="R2998" s="2337"/>
      <c r="S2998" s="17"/>
      <c r="T2998" s="17"/>
      <c r="U2998" s="16"/>
      <c r="V2998" s="16"/>
    </row>
    <row r="2999" spans="1:22">
      <c r="A2999" s="1320"/>
      <c r="B2999" s="22"/>
      <c r="C2999" s="1042"/>
      <c r="D2999" s="1757" t="s">
        <v>1067</v>
      </c>
      <c r="E2999" s="1853" t="s">
        <v>1508</v>
      </c>
      <c r="F2999" s="1754" t="s">
        <v>1512</v>
      </c>
      <c r="G2999" s="1755">
        <v>3</v>
      </c>
      <c r="H2999" s="1454">
        <f t="shared" si="232"/>
        <v>1.4999999999999999E-2</v>
      </c>
      <c r="I2999" s="1289"/>
      <c r="J2999" s="198"/>
      <c r="K2999" s="1307">
        <f t="shared" si="233"/>
        <v>1.0665449999999998E-2</v>
      </c>
      <c r="L2999" s="1335">
        <f t="shared" si="231"/>
        <v>0</v>
      </c>
      <c r="M2999" s="1759">
        <v>18.28</v>
      </c>
      <c r="N2999" s="1718">
        <f>G2999*M2999</f>
        <v>54.84</v>
      </c>
      <c r="O2999" s="1719">
        <f>H2999*M2999</f>
        <v>0.2742</v>
      </c>
      <c r="P2999" s="1720">
        <f>M2999*K2999</f>
        <v>0.19496442599999997</v>
      </c>
      <c r="Q2999" s="3396"/>
      <c r="R2999" s="2338"/>
      <c r="S2999" s="17"/>
      <c r="T2999" s="17"/>
      <c r="U2999" s="16"/>
      <c r="V2999" s="16"/>
    </row>
    <row r="3000" spans="1:22">
      <c r="A3000" s="1320"/>
      <c r="B3000" s="22"/>
      <c r="C3000" s="1356" t="s">
        <v>1790</v>
      </c>
      <c r="D3000" s="1311"/>
      <c r="E3000" s="2137" t="s">
        <v>1517</v>
      </c>
      <c r="F3000" s="1319" t="s">
        <v>1791</v>
      </c>
      <c r="G3000" s="1776"/>
      <c r="H3000" s="1353">
        <v>0.01</v>
      </c>
      <c r="I3000" s="1444"/>
      <c r="J3000" s="1388"/>
      <c r="K3000" s="1445"/>
      <c r="L3000" s="1457"/>
      <c r="M3000" s="1446"/>
      <c r="N3000" s="1447">
        <f>SUM(N3001:N3005)</f>
        <v>76.906580000000005</v>
      </c>
      <c r="O3000" s="1447">
        <f>SUM(O3001:O3005)</f>
        <v>0.76906580000000013</v>
      </c>
      <c r="P3000" s="1447">
        <f>SUM(P3001:P3005)</f>
        <v>0.54682885577399998</v>
      </c>
      <c r="Q3000" s="3391"/>
      <c r="R3000" s="2338"/>
      <c r="S3000" s="17"/>
      <c r="T3000" s="17"/>
      <c r="U3000" s="16"/>
      <c r="V3000" s="16"/>
    </row>
    <row r="3001" spans="1:22">
      <c r="A3001" s="1320"/>
      <c r="B3001" s="22"/>
      <c r="C3001" s="1327"/>
      <c r="D3001" s="1752" t="s">
        <v>1069</v>
      </c>
      <c r="E3001" s="1852" t="s">
        <v>1517</v>
      </c>
      <c r="F3001" s="1752" t="s">
        <v>1578</v>
      </c>
      <c r="G3001" s="1753">
        <v>0.2</v>
      </c>
      <c r="H3001" s="1367">
        <f>$H$3000*G3001</f>
        <v>2E-3</v>
      </c>
      <c r="I3001" s="197"/>
      <c r="J3001" s="198"/>
      <c r="K3001" s="1307">
        <f>H3001*$K$2988</f>
        <v>1.4220599999999999E-3</v>
      </c>
      <c r="L3001" s="1335">
        <f t="shared" ref="L3001:L3005" si="234">K3001*$K$2842</f>
        <v>0</v>
      </c>
      <c r="M3001" s="1759">
        <v>0.55000000000000004</v>
      </c>
      <c r="N3001" s="1718">
        <f>G3001*M3001</f>
        <v>0.11000000000000001</v>
      </c>
      <c r="O3001" s="1719">
        <f>H3001*M3001</f>
        <v>1.1000000000000001E-3</v>
      </c>
      <c r="P3001" s="1720">
        <f>M3001*K3001</f>
        <v>7.8213300000000007E-4</v>
      </c>
      <c r="Q3001" s="3396"/>
      <c r="R3001" s="2338"/>
      <c r="S3001" s="17"/>
      <c r="T3001" s="17"/>
      <c r="U3001" s="16"/>
      <c r="V3001" s="16"/>
    </row>
    <row r="3002" spans="1:22">
      <c r="A3002" s="1320"/>
      <c r="B3002" s="22"/>
      <c r="C3002" s="1320"/>
      <c r="D3002" s="1752" t="s">
        <v>1792</v>
      </c>
      <c r="E3002" s="1852" t="s">
        <v>1577</v>
      </c>
      <c r="F3002" s="1752" t="s">
        <v>1793</v>
      </c>
      <c r="G3002" s="1753">
        <v>0.25</v>
      </c>
      <c r="H3002" s="1453">
        <f t="shared" ref="H3002:H3005" si="235">$H$3000*G3002</f>
        <v>2.5000000000000001E-3</v>
      </c>
      <c r="I3002" s="197"/>
      <c r="J3002" s="198"/>
      <c r="K3002" s="1307">
        <f t="shared" ref="K3002:K3005" si="236">H3002*$K$2988</f>
        <v>1.777575E-3</v>
      </c>
      <c r="L3002" s="1335">
        <f t="shared" si="234"/>
        <v>0</v>
      </c>
      <c r="M3002" s="1759">
        <v>85.09</v>
      </c>
      <c r="N3002" s="1718">
        <f>G3002*M3002</f>
        <v>21.272500000000001</v>
      </c>
      <c r="O3002" s="1719">
        <f>H3002*M3002</f>
        <v>0.21272500000000003</v>
      </c>
      <c r="P3002" s="1720">
        <f>M3002*K3002</f>
        <v>0.15125385675</v>
      </c>
      <c r="Q3002" s="3396"/>
      <c r="R3002" s="2338"/>
      <c r="S3002" s="17"/>
      <c r="T3002" s="17"/>
      <c r="U3002" s="16"/>
      <c r="V3002" s="16"/>
    </row>
    <row r="3003" spans="1:22">
      <c r="A3003" s="1320"/>
      <c r="B3003" s="22"/>
      <c r="C3003" s="1320"/>
      <c r="D3003" s="1752" t="s">
        <v>1394</v>
      </c>
      <c r="E3003" s="1852" t="s">
        <v>1577</v>
      </c>
      <c r="F3003" s="1752" t="s">
        <v>1579</v>
      </c>
      <c r="G3003" s="1753">
        <v>0.25</v>
      </c>
      <c r="H3003" s="1453">
        <f t="shared" si="235"/>
        <v>2.5000000000000001E-3</v>
      </c>
      <c r="I3003" s="197"/>
      <c r="J3003" s="198"/>
      <c r="K3003" s="1307">
        <f t="shared" si="236"/>
        <v>1.777575E-3</v>
      </c>
      <c r="L3003" s="1335">
        <f t="shared" si="234"/>
        <v>0</v>
      </c>
      <c r="M3003" s="1759">
        <v>92.54</v>
      </c>
      <c r="N3003" s="1718">
        <f>G3003*M3003</f>
        <v>23.135000000000002</v>
      </c>
      <c r="O3003" s="1719">
        <f>H3003*M3003</f>
        <v>0.23135000000000003</v>
      </c>
      <c r="P3003" s="1720">
        <f>M3003*K3003</f>
        <v>0.16449679050000002</v>
      </c>
      <c r="Q3003" s="3396"/>
      <c r="R3003" s="2343"/>
      <c r="S3003" s="17"/>
      <c r="T3003" s="17"/>
      <c r="U3003" s="16"/>
      <c r="V3003" s="16"/>
    </row>
    <row r="3004" spans="1:22">
      <c r="A3004" s="1320"/>
      <c r="B3004" s="22"/>
      <c r="C3004" s="1320"/>
      <c r="D3004" s="1752" t="s">
        <v>1576</v>
      </c>
      <c r="E3004" s="1852" t="s">
        <v>1517</v>
      </c>
      <c r="F3004" s="1752" t="s">
        <v>1580</v>
      </c>
      <c r="G3004" s="1753">
        <v>1.5</v>
      </c>
      <c r="H3004" s="1367">
        <f t="shared" si="235"/>
        <v>1.4999999999999999E-2</v>
      </c>
      <c r="I3004" s="197"/>
      <c r="J3004" s="198"/>
      <c r="K3004" s="1307">
        <f t="shared" si="236"/>
        <v>1.0665449999999998E-2</v>
      </c>
      <c r="L3004" s="1335">
        <f t="shared" si="234"/>
        <v>0</v>
      </c>
      <c r="M3004" s="1759">
        <v>6.53</v>
      </c>
      <c r="N3004" s="1718">
        <f>G3004*M3004</f>
        <v>9.7949999999999999</v>
      </c>
      <c r="O3004" s="1719">
        <f>H3004*M3004</f>
        <v>9.7949999999999995E-2</v>
      </c>
      <c r="P3004" s="1720">
        <f>M3004*K3004</f>
        <v>6.9645388499999988E-2</v>
      </c>
      <c r="Q3004" s="3396"/>
      <c r="R3004" s="2338"/>
      <c r="S3004" s="17"/>
      <c r="T3004" s="17"/>
      <c r="U3004" s="16"/>
      <c r="V3004" s="16"/>
    </row>
    <row r="3005" spans="1:22">
      <c r="A3005" s="1320"/>
      <c r="B3005" s="22"/>
      <c r="C3005" s="1320"/>
      <c r="D3005" s="1812" t="s">
        <v>1067</v>
      </c>
      <c r="E3005" s="2171" t="s">
        <v>1508</v>
      </c>
      <c r="F3005" s="1812" t="s">
        <v>1512</v>
      </c>
      <c r="G3005" s="1838">
        <v>1.236</v>
      </c>
      <c r="H3005" s="1454">
        <f t="shared" si="235"/>
        <v>1.2359999999999999E-2</v>
      </c>
      <c r="I3005" s="1289"/>
      <c r="J3005" s="1341"/>
      <c r="K3005" s="1307">
        <f t="shared" si="236"/>
        <v>8.788330799999999E-3</v>
      </c>
      <c r="L3005" s="1335">
        <f t="shared" si="234"/>
        <v>0</v>
      </c>
      <c r="M3005" s="1759">
        <v>18.28</v>
      </c>
      <c r="N3005" s="1718">
        <f>G3005*M3005</f>
        <v>22.594080000000002</v>
      </c>
      <c r="O3005" s="1719">
        <f>H3005*M3005</f>
        <v>0.2259408</v>
      </c>
      <c r="P3005" s="1720">
        <f>M3005*K3005</f>
        <v>0.16065068702399998</v>
      </c>
      <c r="Q3005" s="3396"/>
      <c r="R3005" s="2338"/>
      <c r="S3005" s="17"/>
      <c r="T3005" s="17"/>
      <c r="U3005" s="16"/>
      <c r="V3005" s="16"/>
    </row>
    <row r="3006" spans="1:22">
      <c r="A3006" s="1320"/>
      <c r="B3006" s="22"/>
      <c r="C3006" s="1320"/>
      <c r="D3006" s="2257"/>
      <c r="E3006" s="2258"/>
      <c r="F3006" s="2257"/>
      <c r="G3006" s="2259"/>
      <c r="H3006" s="1453"/>
      <c r="I3006" s="1289"/>
      <c r="J3006" s="1341"/>
      <c r="K3006" s="1307"/>
      <c r="L3006" s="1335"/>
      <c r="M3006" s="1759"/>
      <c r="N3006" s="1718"/>
      <c r="O3006" s="1719"/>
      <c r="P3006" s="1720"/>
      <c r="Q3006" s="3396"/>
      <c r="R3006" s="2338"/>
      <c r="S3006" s="17"/>
      <c r="T3006" s="17"/>
      <c r="U3006" s="16"/>
      <c r="V3006" s="16"/>
    </row>
    <row r="3007" spans="1:22">
      <c r="A3007" s="1320"/>
      <c r="B3007" s="22"/>
      <c r="C3007" s="1320"/>
      <c r="D3007" s="1779"/>
      <c r="E3007" s="2168"/>
      <c r="F3007" s="1360" t="s">
        <v>2</v>
      </c>
      <c r="G3007" s="1780"/>
      <c r="H3007" s="1359"/>
      <c r="I3007" s="1380"/>
      <c r="J3007" s="1381"/>
      <c r="K3007" s="1679"/>
      <c r="L3007" s="1680"/>
      <c r="M3007" s="1781"/>
      <c r="N3007" s="1782"/>
      <c r="O3007" s="1782"/>
      <c r="P3007" s="1783"/>
      <c r="Q3007" s="3396"/>
      <c r="R3007" s="2338"/>
      <c r="S3007" s="17"/>
      <c r="T3007" s="17"/>
      <c r="U3007" s="16"/>
      <c r="V3007" s="16"/>
    </row>
    <row r="3008" spans="1:22">
      <c r="A3008" s="1320"/>
      <c r="B3008" s="22"/>
      <c r="C3008" s="1320"/>
      <c r="D3008" s="1437" t="s">
        <v>1153</v>
      </c>
      <c r="E3008" s="2134" t="s">
        <v>1508</v>
      </c>
      <c r="F3008" s="1788" t="s">
        <v>1783</v>
      </c>
      <c r="G3008" s="1789">
        <v>1.28</v>
      </c>
      <c r="H3008" s="1789"/>
      <c r="I3008" s="197"/>
      <c r="J3008" s="198"/>
      <c r="K3008" s="1307">
        <f>G3008*$K$2988</f>
        <v>0.91011839999999999</v>
      </c>
      <c r="L3008" s="1335">
        <f>K3008*$K$2842</f>
        <v>0</v>
      </c>
      <c r="M3008" s="1759">
        <v>19.23</v>
      </c>
      <c r="N3008" s="1718"/>
      <c r="O3008" s="1719">
        <f>(G3008*M3008)</f>
        <v>24.6144</v>
      </c>
      <c r="P3008" s="1720">
        <f>M3008*K3008</f>
        <v>17.501576832000001</v>
      </c>
      <c r="Q3008" s="3396"/>
      <c r="R3008" s="2338"/>
      <c r="S3008" s="17"/>
      <c r="T3008" s="17"/>
      <c r="U3008" s="16"/>
      <c r="V3008" s="16"/>
    </row>
    <row r="3009" spans="1:22">
      <c r="A3009" s="1320"/>
      <c r="B3009" s="1320"/>
      <c r="C3009" s="595"/>
      <c r="D3009" s="1437"/>
      <c r="E3009" s="2134"/>
      <c r="F3009" s="1790"/>
      <c r="G3009" s="1790"/>
      <c r="H3009" s="1791"/>
      <c r="I3009" s="197"/>
      <c r="J3009" s="198"/>
      <c r="K3009" s="1307"/>
      <c r="L3009" s="1335"/>
      <c r="M3009" s="1787"/>
      <c r="N3009" s="1718"/>
      <c r="O3009" s="1719"/>
      <c r="P3009" s="1720"/>
      <c r="Q3009" s="3396"/>
      <c r="R3009" s="2338"/>
      <c r="S3009" s="17"/>
      <c r="T3009" s="17"/>
      <c r="U3009" s="16"/>
      <c r="V3009" s="16"/>
    </row>
    <row r="3010" spans="1:22">
      <c r="A3010" s="1320"/>
      <c r="B3010" s="1320"/>
      <c r="C3010" s="595"/>
      <c r="D3010" s="1437"/>
      <c r="E3010" s="2134"/>
      <c r="F3010" s="1790"/>
      <c r="G3010" s="1790"/>
      <c r="H3010" s="1791"/>
      <c r="I3010" s="197"/>
      <c r="J3010" s="198"/>
      <c r="K3010" s="1307"/>
      <c r="L3010" s="1335"/>
      <c r="M3010" s="1787"/>
      <c r="N3010" s="1718"/>
      <c r="O3010" s="1719"/>
      <c r="P3010" s="1720"/>
      <c r="Q3010" s="3396"/>
      <c r="R3010" s="2338"/>
      <c r="S3010" s="17"/>
      <c r="T3010" s="17"/>
      <c r="U3010" s="16"/>
      <c r="V3010" s="16"/>
    </row>
    <row r="3011" spans="1:22">
      <c r="A3011" s="1320"/>
      <c r="B3011" s="1042"/>
      <c r="C3011" s="88"/>
      <c r="D3011" s="1373"/>
      <c r="E3011" s="2123"/>
      <c r="F3011" s="1374" t="s">
        <v>3</v>
      </c>
      <c r="G3011" s="1374"/>
      <c r="H3011" s="1376"/>
      <c r="I3011" s="1382"/>
      <c r="J3011" s="1383"/>
      <c r="K3011" s="1373"/>
      <c r="L3011" s="1413"/>
      <c r="M3011" s="1376"/>
      <c r="N3011" s="1376"/>
      <c r="O3011" s="1376"/>
      <c r="P3011" s="1413"/>
      <c r="Q3011" s="3387"/>
      <c r="R3011" s="2343"/>
      <c r="S3011" s="17"/>
      <c r="T3011" s="17"/>
      <c r="U3011" s="16"/>
      <c r="V3011" s="16"/>
    </row>
    <row r="3012" spans="1:22">
      <c r="A3012" s="1320"/>
      <c r="B3012" s="22"/>
      <c r="C3012" s="1320"/>
      <c r="D3012" s="1373"/>
      <c r="E3012" s="2260"/>
      <c r="F3012" s="2261"/>
      <c r="G3012" s="2262"/>
      <c r="H3012" s="1597"/>
      <c r="I3012" s="197"/>
      <c r="J3012" s="198"/>
      <c r="K3012" s="1307"/>
      <c r="L3012" s="1335"/>
      <c r="M3012" s="1302"/>
      <c r="N3012" s="1718"/>
      <c r="O3012" s="1719"/>
      <c r="P3012" s="1720"/>
      <c r="Q3012" s="3396"/>
      <c r="R3012" s="2338"/>
      <c r="S3012" s="17"/>
      <c r="T3012" s="17"/>
      <c r="U3012" s="16"/>
      <c r="V3012" s="16"/>
    </row>
    <row r="3013" spans="1:22">
      <c r="A3013" s="1320"/>
      <c r="B3013" s="22"/>
      <c r="C3013" s="1320"/>
      <c r="D3013" s="1373"/>
      <c r="E3013" s="2260"/>
      <c r="F3013" s="2261"/>
      <c r="G3013" s="2262"/>
      <c r="H3013" s="1597"/>
      <c r="I3013" s="197"/>
      <c r="J3013" s="198"/>
      <c r="K3013" s="1307"/>
      <c r="L3013" s="1335"/>
      <c r="M3013" s="1302"/>
      <c r="N3013" s="1718"/>
      <c r="O3013" s="1719"/>
      <c r="P3013" s="1720"/>
      <c r="Q3013" s="3396"/>
      <c r="R3013" s="2338"/>
      <c r="S3013" s="17"/>
      <c r="T3013" s="17"/>
      <c r="U3013" s="16"/>
      <c r="V3013" s="16"/>
    </row>
    <row r="3014" spans="1:22">
      <c r="A3014" s="1320"/>
      <c r="B3014" s="22"/>
      <c r="C3014" s="1320"/>
      <c r="D3014" s="1373"/>
      <c r="E3014" s="2260"/>
      <c r="F3014" s="2261"/>
      <c r="G3014" s="2262"/>
      <c r="H3014" s="1597"/>
      <c r="I3014" s="197"/>
      <c r="J3014" s="198"/>
      <c r="K3014" s="1307"/>
      <c r="L3014" s="1335"/>
      <c r="M3014" s="1302"/>
      <c r="N3014" s="1718"/>
      <c r="O3014" s="1719"/>
      <c r="P3014" s="1720"/>
      <c r="Q3014" s="3396"/>
      <c r="R3014" s="2338"/>
      <c r="S3014" s="17"/>
      <c r="T3014" s="17"/>
      <c r="U3014" s="16"/>
      <c r="V3014" s="16"/>
    </row>
    <row r="3015" spans="1:22">
      <c r="A3015" s="16" t="s">
        <v>3764</v>
      </c>
      <c r="B3015" s="4325" t="s">
        <v>1737</v>
      </c>
      <c r="C3015" s="3350"/>
      <c r="D3015" s="4327"/>
      <c r="E3015" s="4329" t="s">
        <v>1527</v>
      </c>
      <c r="F3015" s="4461" t="s">
        <v>3827</v>
      </c>
      <c r="G3015" s="4331" t="s">
        <v>1568</v>
      </c>
      <c r="H3015" s="4331" t="s">
        <v>1574</v>
      </c>
      <c r="I3015" s="1572" t="s">
        <v>1559</v>
      </c>
      <c r="J3015" s="1294" t="s">
        <v>1560</v>
      </c>
      <c r="K3015" s="1294" t="s">
        <v>1561</v>
      </c>
      <c r="L3015" s="4333" t="s">
        <v>3765</v>
      </c>
      <c r="M3015" s="4323" t="s">
        <v>1571</v>
      </c>
      <c r="N3015" s="4323" t="s">
        <v>1776</v>
      </c>
      <c r="O3015" s="3347" t="s">
        <v>1563</v>
      </c>
      <c r="P3015" s="1336" t="s">
        <v>1562</v>
      </c>
      <c r="Q3015" s="3389"/>
      <c r="R3015" s="1839" t="s">
        <v>1327</v>
      </c>
      <c r="S3015" s="17"/>
      <c r="T3015" s="17"/>
      <c r="U3015" s="16"/>
      <c r="V3015" s="16"/>
    </row>
    <row r="3016" spans="1:22">
      <c r="A3016" s="2269" t="s">
        <v>1967</v>
      </c>
      <c r="B3016" s="4326"/>
      <c r="C3016" s="3351"/>
      <c r="D3016" s="4328"/>
      <c r="E3016" s="4330"/>
      <c r="F3016" s="4462"/>
      <c r="G3016" s="4332"/>
      <c r="H3016" s="4332"/>
      <c r="I3016" s="4079">
        <v>12.47</v>
      </c>
      <c r="J3016" s="3815">
        <v>3.0000000000000001E-3</v>
      </c>
      <c r="K3016" s="1307">
        <f>I3016*J3016</f>
        <v>3.7410000000000006E-2</v>
      </c>
      <c r="L3016" s="4334"/>
      <c r="M3016" s="4324"/>
      <c r="N3016" s="4324"/>
      <c r="O3016" s="1298">
        <f>O3018+O3019+O3020+O3021+O3025+O3029+O3037+O3038+O3039</f>
        <v>55.319563799999997</v>
      </c>
      <c r="P3016" s="1337">
        <f>K3016*O3016</f>
        <v>2.0695048817580002</v>
      </c>
      <c r="Q3016" s="3390"/>
      <c r="R3016" s="1840">
        <f>P3018+P3019+P3020+P3021+P3025+P3029+P3037+P3038+P3039</f>
        <v>2.0695048817580006</v>
      </c>
      <c r="S3016" s="17"/>
      <c r="T3016" s="17"/>
      <c r="U3016" s="16"/>
      <c r="V3016" s="16"/>
    </row>
    <row r="3017" spans="1:22">
      <c r="A3017" s="16"/>
      <c r="B3017" s="18"/>
      <c r="D3017" s="1449"/>
      <c r="E3017" s="2121"/>
      <c r="F3017" s="1368" t="s">
        <v>1</v>
      </c>
      <c r="G3017" s="1368"/>
      <c r="H3017" s="1369"/>
      <c r="I3017" s="1409"/>
      <c r="J3017" s="1391"/>
      <c r="K3017" s="1367"/>
      <c r="L3017" s="1554"/>
      <c r="M3017" s="1369"/>
      <c r="N3017" s="1369"/>
      <c r="O3017" s="1369"/>
      <c r="P3017" s="1367"/>
      <c r="Q3017" s="3387"/>
      <c r="R3017" s="2343"/>
      <c r="S3017" s="17"/>
      <c r="T3017" s="17"/>
      <c r="U3017" s="16"/>
      <c r="V3017" s="16"/>
    </row>
    <row r="3018" spans="1:22">
      <c r="A3018" s="16"/>
      <c r="B3018" s="1042"/>
      <c r="D3018" s="1450" t="s">
        <v>1075</v>
      </c>
      <c r="E3018" s="1856" t="s">
        <v>1357</v>
      </c>
      <c r="F3018" s="1397" t="s">
        <v>1532</v>
      </c>
      <c r="G3018" s="1372">
        <v>0.1</v>
      </c>
      <c r="H3018" s="1372"/>
      <c r="I3018" s="1286"/>
      <c r="J3018" s="198"/>
      <c r="K3018" s="1307">
        <f>G3018*$K$3016</f>
        <v>3.7410000000000008E-3</v>
      </c>
      <c r="L3018" s="1335">
        <f t="shared" ref="L3018:L3020" si="237">K3018*$K$2842</f>
        <v>0</v>
      </c>
      <c r="M3018" s="1302">
        <v>0.81</v>
      </c>
      <c r="N3018" s="1700"/>
      <c r="O3018" s="1290">
        <f>G3018*M3018</f>
        <v>8.1000000000000016E-2</v>
      </c>
      <c r="P3018" s="1739">
        <f>M3018*K3018</f>
        <v>3.0302100000000011E-3</v>
      </c>
      <c r="Q3018" s="3391"/>
      <c r="R3018" s="2343"/>
      <c r="S3018" s="17"/>
      <c r="T3018" s="17"/>
      <c r="U3018" s="16"/>
      <c r="V3018" s="16"/>
    </row>
    <row r="3019" spans="1:22">
      <c r="A3019" s="16"/>
      <c r="B3019" s="1042"/>
      <c r="D3019" s="1767" t="s">
        <v>1784</v>
      </c>
      <c r="E3019" s="1849" t="s">
        <v>1521</v>
      </c>
      <c r="F3019" s="1654" t="s">
        <v>1785</v>
      </c>
      <c r="G3019" s="1567">
        <v>1E-3</v>
      </c>
      <c r="H3019" s="1567"/>
      <c r="I3019" s="1286"/>
      <c r="J3019" s="198"/>
      <c r="K3019" s="1307">
        <f t="shared" ref="K3019:K3020" si="238">G3019*$K$3016</f>
        <v>3.7410000000000009E-5</v>
      </c>
      <c r="L3019" s="1335">
        <f t="shared" si="237"/>
        <v>0</v>
      </c>
      <c r="M3019" s="1499">
        <v>236.83</v>
      </c>
      <c r="N3019" s="1700"/>
      <c r="O3019" s="1290">
        <f>G3019*M3019</f>
        <v>0.23683000000000001</v>
      </c>
      <c r="P3019" s="1332">
        <f>M3019*K3019</f>
        <v>8.8598103000000032E-3</v>
      </c>
      <c r="Q3019" s="3391"/>
      <c r="R3019" s="2343"/>
      <c r="S3019" s="17"/>
      <c r="T3019" s="17"/>
      <c r="U3019" s="16"/>
      <c r="V3019" s="16"/>
    </row>
    <row r="3020" spans="1:22">
      <c r="A3020" s="16"/>
      <c r="B3020" s="1042"/>
      <c r="D3020" s="1769" t="s">
        <v>1786</v>
      </c>
      <c r="E3020" s="1850" t="s">
        <v>1787</v>
      </c>
      <c r="F3020" s="1770" t="s">
        <v>1788</v>
      </c>
      <c r="G3020" s="1771">
        <v>1.1000000000000001</v>
      </c>
      <c r="H3020" s="1771"/>
      <c r="I3020" s="1286"/>
      <c r="J3020" s="198"/>
      <c r="K3020" s="1307">
        <f t="shared" si="238"/>
        <v>4.1151000000000007E-2</v>
      </c>
      <c r="L3020" s="1335">
        <f t="shared" si="237"/>
        <v>0</v>
      </c>
      <c r="M3020" s="1302">
        <v>1.54</v>
      </c>
      <c r="N3020" s="1700"/>
      <c r="O3020" s="1290">
        <f>G3020*M3020</f>
        <v>1.6940000000000002</v>
      </c>
      <c r="P3020" s="1332">
        <f>M3020*K3020</f>
        <v>6.3372540000000019E-2</v>
      </c>
      <c r="Q3020" s="3391"/>
      <c r="R3020" s="2343"/>
      <c r="S3020" s="17"/>
      <c r="T3020" s="17"/>
      <c r="U3020" s="16"/>
      <c r="V3020" s="16"/>
    </row>
    <row r="3021" spans="1:22">
      <c r="A3021" s="16"/>
      <c r="B3021" s="1042"/>
      <c r="C3021" s="1356" t="s">
        <v>1128</v>
      </c>
      <c r="D3021" s="1585"/>
      <c r="E3021" s="1851" t="s">
        <v>1517</v>
      </c>
      <c r="F3021" s="1768" t="s">
        <v>1695</v>
      </c>
      <c r="G3021" s="1776"/>
      <c r="H3021" s="1776">
        <v>1.4999999999999999E-2</v>
      </c>
      <c r="I3021" s="1388"/>
      <c r="J3021" s="1366"/>
      <c r="K3021" s="1510"/>
      <c r="L3021" s="1445"/>
      <c r="M3021" s="1447"/>
      <c r="N3021" s="1447">
        <f>SUM(N3022:N3024)</f>
        <v>104.27969999999999</v>
      </c>
      <c r="O3021" s="1447">
        <f>SUM(O3022:O3024)</f>
        <v>1.5641954999999998</v>
      </c>
      <c r="P3021" s="1446">
        <f>SUM(P3022:P3024)</f>
        <v>5.8516553655000011E-2</v>
      </c>
      <c r="Q3021" s="3391"/>
      <c r="R3021" s="2343"/>
      <c r="S3021" s="17"/>
      <c r="T3021" s="17"/>
      <c r="U3021" s="16"/>
      <c r="V3021" s="16"/>
    </row>
    <row r="3022" spans="1:22">
      <c r="A3022" s="16"/>
      <c r="B3022" s="553"/>
      <c r="C3022" s="1042"/>
      <c r="D3022" s="1752" t="s">
        <v>1779</v>
      </c>
      <c r="E3022" s="1852" t="s">
        <v>1577</v>
      </c>
      <c r="F3022" s="1752" t="s">
        <v>1780</v>
      </c>
      <c r="G3022" s="1753">
        <v>0.876</v>
      </c>
      <c r="H3022" s="1453">
        <f>$H$3021*G3022</f>
        <v>1.3139999999999999E-2</v>
      </c>
      <c r="I3022" s="197"/>
      <c r="J3022" s="198"/>
      <c r="K3022" s="1307">
        <f>H3022*$K$3016</f>
        <v>4.9156740000000007E-4</v>
      </c>
      <c r="L3022" s="1335">
        <f t="shared" ref="L3022:L3024" si="239">K3022*$K$2842</f>
        <v>0</v>
      </c>
      <c r="M3022" s="1759">
        <v>56.05</v>
      </c>
      <c r="N3022" s="1718">
        <f>G3022*M3022</f>
        <v>49.099799999999995</v>
      </c>
      <c r="O3022" s="1719">
        <f>H3022*M3022</f>
        <v>0.73649699999999985</v>
      </c>
      <c r="P3022" s="1720">
        <f>M3022*K3022</f>
        <v>2.7552352770000003E-2</v>
      </c>
      <c r="Q3022" s="3396"/>
      <c r="R3022" s="2343"/>
      <c r="S3022" s="17"/>
      <c r="T3022" s="17"/>
      <c r="U3022" s="16"/>
      <c r="V3022" s="16"/>
    </row>
    <row r="3023" spans="1:22">
      <c r="A3023" s="16"/>
      <c r="B3023" s="553"/>
      <c r="C3023" s="1042"/>
      <c r="D3023" s="1752" t="s">
        <v>1069</v>
      </c>
      <c r="E3023" s="1852" t="s">
        <v>1517</v>
      </c>
      <c r="F3023" s="1752" t="s">
        <v>1578</v>
      </c>
      <c r="G3023" s="1753">
        <v>0.61799999999999999</v>
      </c>
      <c r="H3023" s="1453">
        <f t="shared" ref="H3023:H3024" si="240">$H$3021*G3023</f>
        <v>9.2699999999999987E-3</v>
      </c>
      <c r="I3023" s="27"/>
      <c r="J3023" s="10"/>
      <c r="K3023" s="1307">
        <f t="shared" ref="K3023:K3034" si="241">H3023*$K$3016</f>
        <v>3.467907E-4</v>
      </c>
      <c r="L3023" s="1335">
        <f t="shared" si="239"/>
        <v>0</v>
      </c>
      <c r="M3023" s="1759">
        <v>0.55000000000000004</v>
      </c>
      <c r="N3023" s="1718">
        <f>G3023*M3023</f>
        <v>0.33990000000000004</v>
      </c>
      <c r="O3023" s="1719">
        <f>H3023*M3023</f>
        <v>5.0984999999999997E-3</v>
      </c>
      <c r="P3023" s="1720">
        <f>M3023*K3023</f>
        <v>1.9073488500000001E-4</v>
      </c>
      <c r="Q3023" s="3396"/>
      <c r="R3023" s="2343"/>
      <c r="S3023" s="17"/>
      <c r="T3023" s="17"/>
      <c r="U3023" s="16"/>
      <c r="V3023" s="16"/>
    </row>
    <row r="3024" spans="1:22">
      <c r="A3024" s="16"/>
      <c r="B3024" s="553"/>
      <c r="C3024" s="1042"/>
      <c r="D3024" s="1754" t="s">
        <v>1067</v>
      </c>
      <c r="E3024" s="1853" t="s">
        <v>1508</v>
      </c>
      <c r="F3024" s="1754" t="s">
        <v>1512</v>
      </c>
      <c r="G3024" s="1755">
        <v>3</v>
      </c>
      <c r="H3024" s="1454">
        <f t="shared" si="240"/>
        <v>4.4999999999999998E-2</v>
      </c>
      <c r="I3024" s="198"/>
      <c r="J3024" s="198"/>
      <c r="K3024" s="1307">
        <f t="shared" si="241"/>
        <v>1.6834500000000002E-3</v>
      </c>
      <c r="L3024" s="1335">
        <f t="shared" si="239"/>
        <v>0</v>
      </c>
      <c r="M3024" s="1759">
        <v>18.28</v>
      </c>
      <c r="N3024" s="1718">
        <f>G3024*M3024</f>
        <v>54.84</v>
      </c>
      <c r="O3024" s="1719">
        <f>H3024*M3024</f>
        <v>0.8226</v>
      </c>
      <c r="P3024" s="1720">
        <f>M3024*K3024</f>
        <v>3.0773466000000006E-2</v>
      </c>
      <c r="Q3024" s="3396"/>
      <c r="R3024" s="2343"/>
      <c r="S3024" s="17"/>
      <c r="T3024" s="17"/>
      <c r="U3024" s="16"/>
      <c r="V3024" s="16"/>
    </row>
    <row r="3025" spans="1:22" s="16" customFormat="1">
      <c r="B3025" s="553"/>
      <c r="C3025" s="1356" t="s">
        <v>1152</v>
      </c>
      <c r="D3025" s="1311"/>
      <c r="E3025" s="1854" t="s">
        <v>1517</v>
      </c>
      <c r="F3025" s="1749" t="s">
        <v>1696</v>
      </c>
      <c r="G3025" s="1776"/>
      <c r="H3025" s="1688">
        <v>5.0000000000000001E-3</v>
      </c>
      <c r="I3025" s="1388"/>
      <c r="J3025" s="1388"/>
      <c r="K3025" s="1510"/>
      <c r="L3025" s="1445"/>
      <c r="M3025" s="1447"/>
      <c r="N3025" s="1447">
        <f>SUM(N3026:N3028)</f>
        <v>108.04650000000001</v>
      </c>
      <c r="O3025" s="1447">
        <f>SUM(O3026:O3028)</f>
        <v>0.54023250000000012</v>
      </c>
      <c r="P3025" s="1446">
        <f>SUM(P3026:P3028)</f>
        <v>2.0210097825000002E-2</v>
      </c>
      <c r="Q3025" s="3391"/>
      <c r="R3025" s="2343"/>
      <c r="S3025" s="17"/>
      <c r="T3025" s="17"/>
    </row>
    <row r="3026" spans="1:22">
      <c r="A3026" s="16"/>
      <c r="B3026" s="553"/>
      <c r="C3026" s="18"/>
      <c r="D3026" s="1756" t="s">
        <v>1781</v>
      </c>
      <c r="E3026" s="1852" t="s">
        <v>1577</v>
      </c>
      <c r="F3026" s="1752" t="s">
        <v>1782</v>
      </c>
      <c r="G3026" s="1753">
        <v>0.876</v>
      </c>
      <c r="H3026" s="1453">
        <f>$H$3025*G3026</f>
        <v>4.3800000000000002E-3</v>
      </c>
      <c r="I3026" s="198"/>
      <c r="J3026" s="198"/>
      <c r="K3026" s="1307">
        <f t="shared" si="241"/>
        <v>1.6385580000000002E-4</v>
      </c>
      <c r="L3026" s="1335">
        <f t="shared" ref="L3026:L3028" si="242">K3026*$K$2842</f>
        <v>0</v>
      </c>
      <c r="M3026" s="1759">
        <v>60.35</v>
      </c>
      <c r="N3026" s="1718">
        <f>G3026*M3026</f>
        <v>52.866599999999998</v>
      </c>
      <c r="O3026" s="1719">
        <f>H3026*M3026</f>
        <v>0.26433300000000004</v>
      </c>
      <c r="P3026" s="1720">
        <f>M3026*K3026</f>
        <v>9.8886975300000023E-3</v>
      </c>
      <c r="Q3026" s="3396"/>
      <c r="R3026" s="2343"/>
      <c r="S3026" s="105"/>
      <c r="T3026" s="105"/>
      <c r="U3026" s="16"/>
      <c r="V3026" s="16"/>
    </row>
    <row r="3027" spans="1:22">
      <c r="A3027" s="16"/>
      <c r="B3027" s="553"/>
      <c r="C3027" s="1042"/>
      <c r="D3027" s="1756" t="s">
        <v>1069</v>
      </c>
      <c r="E3027" s="1852" t="s">
        <v>1517</v>
      </c>
      <c r="F3027" s="1752" t="s">
        <v>1578</v>
      </c>
      <c r="G3027" s="1753">
        <v>0.61799999999999999</v>
      </c>
      <c r="H3027" s="1453">
        <f t="shared" ref="H3027:H3028" si="243">$H$3025*G3027</f>
        <v>3.0899999999999999E-3</v>
      </c>
      <c r="I3027" s="197"/>
      <c r="J3027" s="198"/>
      <c r="K3027" s="1307">
        <f t="shared" si="241"/>
        <v>1.1559690000000002E-4</v>
      </c>
      <c r="L3027" s="1335">
        <f t="shared" si="242"/>
        <v>0</v>
      </c>
      <c r="M3027" s="1759">
        <v>0.55000000000000004</v>
      </c>
      <c r="N3027" s="1718">
        <f>G3027*M3027</f>
        <v>0.33990000000000004</v>
      </c>
      <c r="O3027" s="1719">
        <f>H3027*M3027</f>
        <v>1.6995000000000001E-3</v>
      </c>
      <c r="P3027" s="1720">
        <f>M3027*K3027</f>
        <v>6.3578295000000021E-5</v>
      </c>
      <c r="Q3027" s="3396"/>
      <c r="R3027" s="2343"/>
      <c r="S3027" s="16"/>
      <c r="T3027" s="16"/>
      <c r="U3027" s="16"/>
      <c r="V3027" s="16"/>
    </row>
    <row r="3028" spans="1:22">
      <c r="A3028" s="16"/>
      <c r="B3028" s="553"/>
      <c r="C3028" s="1042"/>
      <c r="D3028" s="1811" t="s">
        <v>1067</v>
      </c>
      <c r="E3028" s="1853" t="s">
        <v>1508</v>
      </c>
      <c r="F3028" s="1754" t="s">
        <v>1512</v>
      </c>
      <c r="G3028" s="1755">
        <v>3</v>
      </c>
      <c r="H3028" s="1454">
        <f t="shared" si="243"/>
        <v>1.4999999999999999E-2</v>
      </c>
      <c r="I3028" s="1289"/>
      <c r="J3028" s="198"/>
      <c r="K3028" s="1307">
        <f t="shared" si="241"/>
        <v>5.6115000000000006E-4</v>
      </c>
      <c r="L3028" s="1335">
        <f t="shared" si="242"/>
        <v>0</v>
      </c>
      <c r="M3028" s="1759">
        <v>18.28</v>
      </c>
      <c r="N3028" s="1718">
        <f>G3028*M3028</f>
        <v>54.84</v>
      </c>
      <c r="O3028" s="1719">
        <f>H3028*M3028</f>
        <v>0.2742</v>
      </c>
      <c r="P3028" s="1720">
        <f>M3028*K3028</f>
        <v>1.0257822000000002E-2</v>
      </c>
      <c r="Q3028" s="3396"/>
      <c r="R3028" s="2343"/>
      <c r="S3028" s="16"/>
      <c r="T3028" s="16"/>
      <c r="U3028" s="16"/>
      <c r="V3028" s="16"/>
    </row>
    <row r="3029" spans="1:22">
      <c r="A3029" s="16"/>
      <c r="B3029" s="1042"/>
      <c r="C3029" s="1356" t="s">
        <v>1790</v>
      </c>
      <c r="D3029" s="1311"/>
      <c r="E3029" s="2137" t="s">
        <v>1517</v>
      </c>
      <c r="F3029" s="1343" t="s">
        <v>1791</v>
      </c>
      <c r="G3029" s="1776"/>
      <c r="H3029" s="1344">
        <v>0.01</v>
      </c>
      <c r="I3029" s="1444"/>
      <c r="J3029" s="1388"/>
      <c r="K3029" s="1445"/>
      <c r="L3029" s="1457"/>
      <c r="M3029" s="1446"/>
      <c r="N3029" s="1447">
        <f>SUM(N3030:N3034)</f>
        <v>76.906580000000005</v>
      </c>
      <c r="O3029" s="1447">
        <f>SUM(O3030:O3034)</f>
        <v>0.76906580000000013</v>
      </c>
      <c r="P3029" s="1447">
        <f>SUM(P3030:P3034)</f>
        <v>2.8770751578000006E-2</v>
      </c>
      <c r="Q3029" s="3391"/>
      <c r="R3029" s="2343"/>
      <c r="S3029" s="16"/>
      <c r="T3029" s="16"/>
      <c r="U3029" s="16"/>
      <c r="V3029" s="16"/>
    </row>
    <row r="3030" spans="1:22">
      <c r="A3030" s="16"/>
      <c r="B3030" s="1042"/>
      <c r="C3030" s="1327"/>
      <c r="D3030" s="1752" t="s">
        <v>1069</v>
      </c>
      <c r="E3030" s="1852" t="s">
        <v>1517</v>
      </c>
      <c r="F3030" s="1784" t="s">
        <v>1578</v>
      </c>
      <c r="G3030" s="1399">
        <v>0.2</v>
      </c>
      <c r="H3030" s="1453">
        <f>$H$3029*G3030</f>
        <v>2E-3</v>
      </c>
      <c r="I3030" s="197"/>
      <c r="J3030" s="198"/>
      <c r="K3030" s="1307">
        <f t="shared" si="241"/>
        <v>7.4820000000000019E-5</v>
      </c>
      <c r="L3030" s="1335">
        <f t="shared" ref="L3030:L3034" si="244">K3030*$K$2842</f>
        <v>0</v>
      </c>
      <c r="M3030" s="1499">
        <v>0.55000000000000004</v>
      </c>
      <c r="N3030" s="1718">
        <f>G3030*M3030</f>
        <v>0.11000000000000001</v>
      </c>
      <c r="O3030" s="1719">
        <f>H3030*M3030</f>
        <v>1.1000000000000001E-3</v>
      </c>
      <c r="P3030" s="1720">
        <f>M3030*K3030</f>
        <v>4.1151000000000013E-5</v>
      </c>
      <c r="Q3030" s="3396"/>
      <c r="R3030" s="2338"/>
      <c r="S3030" s="16"/>
      <c r="T3030" s="16"/>
      <c r="U3030" s="16"/>
      <c r="V3030" s="16"/>
    </row>
    <row r="3031" spans="1:22" ht="15" customHeight="1">
      <c r="A3031" s="16"/>
      <c r="B3031" s="1042"/>
      <c r="C3031" s="1320"/>
      <c r="D3031" s="1752" t="s">
        <v>1792</v>
      </c>
      <c r="E3031" s="1852" t="s">
        <v>1577</v>
      </c>
      <c r="F3031" s="1752" t="s">
        <v>1793</v>
      </c>
      <c r="G3031" s="1399">
        <v>0.25</v>
      </c>
      <c r="H3031" s="1453">
        <f t="shared" ref="H3031:H3034" si="245">$H$3029*G3031</f>
        <v>2.5000000000000001E-3</v>
      </c>
      <c r="I3031" s="197"/>
      <c r="J3031" s="198"/>
      <c r="K3031" s="1307">
        <f t="shared" si="241"/>
        <v>9.352500000000001E-5</v>
      </c>
      <c r="L3031" s="1335">
        <f t="shared" si="244"/>
        <v>0</v>
      </c>
      <c r="M3031" s="1499">
        <v>85.09</v>
      </c>
      <c r="N3031" s="1718">
        <f>G3031*M3031</f>
        <v>21.272500000000001</v>
      </c>
      <c r="O3031" s="1719">
        <f>H3031*M3031</f>
        <v>0.21272500000000003</v>
      </c>
      <c r="P3031" s="1720">
        <f>M3031*K3031</f>
        <v>7.9580422500000018E-3</v>
      </c>
      <c r="Q3031" s="3396"/>
      <c r="R3031" s="2338"/>
      <c r="S3031" s="16"/>
      <c r="T3031" s="16"/>
      <c r="U3031" s="16"/>
      <c r="V3031" s="16"/>
    </row>
    <row r="3032" spans="1:22">
      <c r="A3032" s="16"/>
      <c r="B3032" s="1042"/>
      <c r="C3032" s="1320"/>
      <c r="D3032" s="1752" t="s">
        <v>1394</v>
      </c>
      <c r="E3032" s="1852" t="s">
        <v>1577</v>
      </c>
      <c r="F3032" s="1752" t="s">
        <v>1579</v>
      </c>
      <c r="G3032" s="1399">
        <v>0.25</v>
      </c>
      <c r="H3032" s="1453">
        <f t="shared" si="245"/>
        <v>2.5000000000000001E-3</v>
      </c>
      <c r="I3032" s="197"/>
      <c r="J3032" s="198"/>
      <c r="K3032" s="1307">
        <f t="shared" si="241"/>
        <v>9.352500000000001E-5</v>
      </c>
      <c r="L3032" s="1335">
        <f t="shared" si="244"/>
        <v>0</v>
      </c>
      <c r="M3032" s="1499">
        <v>92.54</v>
      </c>
      <c r="N3032" s="1718">
        <f>G3032*M3032</f>
        <v>23.135000000000002</v>
      </c>
      <c r="O3032" s="1719">
        <f>H3032*M3032</f>
        <v>0.23135000000000003</v>
      </c>
      <c r="P3032" s="1720">
        <f>M3032*K3032</f>
        <v>8.6548035000000023E-3</v>
      </c>
      <c r="Q3032" s="3396"/>
      <c r="R3032" s="2338"/>
      <c r="S3032" s="16"/>
      <c r="T3032" s="16"/>
      <c r="U3032" s="16"/>
      <c r="V3032" s="16"/>
    </row>
    <row r="3033" spans="1:22">
      <c r="A3033" s="16"/>
      <c r="B3033" s="1042"/>
      <c r="C3033" s="1320"/>
      <c r="D3033" s="1752" t="s">
        <v>1576</v>
      </c>
      <c r="E3033" s="1852" t="s">
        <v>1517</v>
      </c>
      <c r="F3033" s="1752" t="s">
        <v>1580</v>
      </c>
      <c r="G3033" s="1399">
        <v>1.5</v>
      </c>
      <c r="H3033" s="1453">
        <f t="shared" si="245"/>
        <v>1.4999999999999999E-2</v>
      </c>
      <c r="I3033" s="197"/>
      <c r="J3033" s="198"/>
      <c r="K3033" s="1307">
        <f t="shared" si="241"/>
        <v>5.6115000000000006E-4</v>
      </c>
      <c r="L3033" s="1335">
        <f t="shared" si="244"/>
        <v>0</v>
      </c>
      <c r="M3033" s="1499">
        <v>6.53</v>
      </c>
      <c r="N3033" s="1718">
        <f>G3033*M3033</f>
        <v>9.7949999999999999</v>
      </c>
      <c r="O3033" s="1719">
        <f>H3033*M3033</f>
        <v>9.7949999999999995E-2</v>
      </c>
      <c r="P3033" s="1720">
        <f>M3033*K3033</f>
        <v>3.6643095000000007E-3</v>
      </c>
      <c r="Q3033" s="3396"/>
      <c r="R3033" s="2338"/>
      <c r="S3033" s="16"/>
      <c r="T3033" s="16"/>
      <c r="U3033" s="16"/>
      <c r="V3033" s="16"/>
    </row>
    <row r="3034" spans="1:22">
      <c r="A3034" s="16"/>
      <c r="B3034" s="1042"/>
      <c r="C3034" s="1320"/>
      <c r="D3034" s="1754" t="s">
        <v>1067</v>
      </c>
      <c r="E3034" s="1853" t="s">
        <v>1508</v>
      </c>
      <c r="F3034" s="1754" t="s">
        <v>1512</v>
      </c>
      <c r="G3034" s="1408">
        <v>1.236</v>
      </c>
      <c r="H3034" s="1454">
        <f t="shared" si="245"/>
        <v>1.2359999999999999E-2</v>
      </c>
      <c r="I3034" s="197"/>
      <c r="J3034" s="198"/>
      <c r="K3034" s="1307">
        <f t="shared" si="241"/>
        <v>4.6238760000000007E-4</v>
      </c>
      <c r="L3034" s="1335">
        <f t="shared" si="244"/>
        <v>0</v>
      </c>
      <c r="M3034" s="1499">
        <v>18.28</v>
      </c>
      <c r="N3034" s="1718">
        <f>G3034*M3034</f>
        <v>22.594080000000002</v>
      </c>
      <c r="O3034" s="1719">
        <f>H3034*M3034</f>
        <v>0.2259408</v>
      </c>
      <c r="P3034" s="1720">
        <f>M3034*K3034</f>
        <v>8.4524453280000016E-3</v>
      </c>
      <c r="Q3034" s="3396"/>
      <c r="R3034" s="2338"/>
      <c r="S3034" s="16"/>
      <c r="T3034" s="16"/>
      <c r="U3034" s="16"/>
      <c r="V3034" s="16"/>
    </row>
    <row r="3035" spans="1:22">
      <c r="A3035" s="16"/>
      <c r="B3035" s="1042"/>
      <c r="C3035" s="88"/>
      <c r="D3035" s="1752"/>
      <c r="E3035" s="1852"/>
      <c r="F3035" s="1752"/>
      <c r="G3035" s="1399"/>
      <c r="H3035" s="1399"/>
      <c r="I3035" s="197"/>
      <c r="J3035" s="198"/>
      <c r="K3035" s="1307"/>
      <c r="L3035" s="1335"/>
      <c r="M3035" s="1499"/>
      <c r="N3035" s="1718"/>
      <c r="O3035" s="1719"/>
      <c r="P3035" s="1720"/>
      <c r="Q3035" s="3396"/>
      <c r="R3035" s="2338"/>
      <c r="S3035" s="16"/>
      <c r="T3035" s="16"/>
      <c r="U3035" s="16"/>
      <c r="V3035" s="16"/>
    </row>
    <row r="3036" spans="1:22">
      <c r="A3036" s="16"/>
      <c r="B3036" s="1042"/>
      <c r="C3036" s="88"/>
      <c r="D3036" s="1359"/>
      <c r="E3036" s="1858"/>
      <c r="F3036" s="1360" t="s">
        <v>2</v>
      </c>
      <c r="G3036" s="1360"/>
      <c r="H3036" s="1362"/>
      <c r="I3036" s="1380"/>
      <c r="J3036" s="1381"/>
      <c r="K3036" s="1359"/>
      <c r="L3036" s="1458"/>
      <c r="M3036" s="1362"/>
      <c r="N3036" s="1362"/>
      <c r="O3036" s="1362"/>
      <c r="P3036" s="1458"/>
      <c r="Q3036" s="3387"/>
      <c r="R3036" s="2343"/>
      <c r="S3036" s="16"/>
      <c r="T3036" s="16"/>
      <c r="U3036" s="16"/>
      <c r="V3036" s="16"/>
    </row>
    <row r="3037" spans="1:22">
      <c r="A3037" s="16"/>
      <c r="B3037" s="1320"/>
      <c r="C3037" s="1042"/>
      <c r="D3037" s="1437" t="s">
        <v>1153</v>
      </c>
      <c r="E3037" s="2134" t="s">
        <v>1508</v>
      </c>
      <c r="F3037" s="1438" t="s">
        <v>1783</v>
      </c>
      <c r="G3037" s="1439">
        <v>1.5129999999999999</v>
      </c>
      <c r="H3037" s="1439"/>
      <c r="I3037" s="197"/>
      <c r="J3037" s="198"/>
      <c r="K3037" s="1307">
        <f t="shared" ref="K3037:K3039" si="246">G3037*$K$3016</f>
        <v>5.6601330000000005E-2</v>
      </c>
      <c r="L3037" s="1335">
        <f t="shared" ref="L3037:L3039" si="247">K3037*$K$2842</f>
        <v>0</v>
      </c>
      <c r="M3037" s="1499">
        <v>19.23</v>
      </c>
      <c r="N3037" s="1701"/>
      <c r="O3037" s="1290">
        <f>(G3037*M3037)</f>
        <v>29.094989999999999</v>
      </c>
      <c r="P3037" s="1332">
        <f>M3037*K3037</f>
        <v>1.0884435759000002</v>
      </c>
      <c r="Q3037" s="3391"/>
      <c r="R3037" s="3363"/>
      <c r="S3037" s="16"/>
      <c r="T3037" s="16"/>
      <c r="U3037" s="16"/>
      <c r="V3037" s="16"/>
    </row>
    <row r="3038" spans="1:22">
      <c r="A3038" s="16"/>
      <c r="B3038" s="1042"/>
      <c r="C3038" s="88"/>
      <c r="D3038" s="1363" t="s">
        <v>1067</v>
      </c>
      <c r="E3038" s="2125" t="s">
        <v>1508</v>
      </c>
      <c r="F3038" s="1364" t="s">
        <v>1512</v>
      </c>
      <c r="G3038" s="1365">
        <v>0.31</v>
      </c>
      <c r="H3038" s="1365"/>
      <c r="I3038" s="1286"/>
      <c r="J3038" s="198"/>
      <c r="K3038" s="1307">
        <f t="shared" si="246"/>
        <v>1.1597100000000003E-2</v>
      </c>
      <c r="L3038" s="1335">
        <f t="shared" si="247"/>
        <v>0</v>
      </c>
      <c r="M3038" s="1302">
        <v>18.28</v>
      </c>
      <c r="N3038" s="1302"/>
      <c r="O3038" s="1290">
        <f>(G3038*M3038)</f>
        <v>5.6668000000000003</v>
      </c>
      <c r="P3038" s="1332">
        <f>M3038*K3038</f>
        <v>0.21199498800000005</v>
      </c>
      <c r="Q3038" s="3391"/>
      <c r="R3038" s="2338"/>
      <c r="S3038" s="16"/>
      <c r="T3038" s="16"/>
      <c r="U3038" s="16"/>
      <c r="V3038" s="16"/>
    </row>
    <row r="3039" spans="1:22">
      <c r="A3039" s="16"/>
      <c r="B3039" s="1042"/>
      <c r="C3039" s="88"/>
      <c r="D3039" s="1430" t="s">
        <v>1077</v>
      </c>
      <c r="E3039" s="1857" t="s">
        <v>1508</v>
      </c>
      <c r="F3039" s="1394" t="s">
        <v>1539</v>
      </c>
      <c r="G3039" s="1362">
        <v>0.81499999999999995</v>
      </c>
      <c r="H3039" s="1362"/>
      <c r="I3039" s="197"/>
      <c r="J3039" s="198"/>
      <c r="K3039" s="1307">
        <f t="shared" si="246"/>
        <v>3.0489150000000003E-2</v>
      </c>
      <c r="L3039" s="1335">
        <f t="shared" si="247"/>
        <v>0</v>
      </c>
      <c r="M3039" s="1302">
        <v>19.23</v>
      </c>
      <c r="N3039" s="7"/>
      <c r="O3039" s="1290">
        <f>(G3039*M3039)</f>
        <v>15.67245</v>
      </c>
      <c r="P3039" s="1332">
        <f>M3039*K3039</f>
        <v>0.58630635450000013</v>
      </c>
      <c r="Q3039" s="3391"/>
      <c r="R3039" s="2338"/>
      <c r="S3039" s="16"/>
      <c r="T3039" s="16"/>
      <c r="U3039" s="16"/>
      <c r="V3039" s="16"/>
    </row>
    <row r="3040" spans="1:22">
      <c r="A3040" s="16"/>
      <c r="B3040" s="1042"/>
      <c r="C3040" s="88"/>
      <c r="D3040" s="1430"/>
      <c r="E3040" s="1857"/>
      <c r="F3040" s="1430"/>
      <c r="G3040" s="1502"/>
      <c r="H3040" s="1362"/>
      <c r="I3040" s="197"/>
      <c r="J3040" s="198"/>
      <c r="K3040" s="1307"/>
      <c r="L3040" s="1335"/>
      <c r="M3040" s="1302"/>
      <c r="N3040" s="7"/>
      <c r="O3040" s="1290"/>
      <c r="P3040" s="1332"/>
      <c r="Q3040" s="3391"/>
      <c r="R3040" s="2338"/>
      <c r="S3040" s="16"/>
      <c r="T3040" s="16"/>
      <c r="U3040" s="16"/>
      <c r="V3040" s="16"/>
    </row>
    <row r="3041" spans="1:22">
      <c r="A3041" s="16"/>
      <c r="B3041" s="1042"/>
      <c r="C3041" s="88"/>
      <c r="D3041" s="1373"/>
      <c r="E3041" s="2123"/>
      <c r="F3041" s="1374" t="s">
        <v>3</v>
      </c>
      <c r="G3041" s="1374"/>
      <c r="H3041" s="1376"/>
      <c r="I3041" s="1382"/>
      <c r="J3041" s="1383"/>
      <c r="K3041" s="1373"/>
      <c r="L3041" s="1413"/>
      <c r="M3041" s="1376"/>
      <c r="N3041" s="1376"/>
      <c r="O3041" s="1376"/>
      <c r="P3041" s="1413"/>
      <c r="Q3041" s="3387"/>
      <c r="R3041" s="2343"/>
      <c r="S3041" s="16"/>
      <c r="T3041" s="16"/>
      <c r="U3041" s="16"/>
      <c r="V3041" s="16"/>
    </row>
    <row r="3042" spans="1:22">
      <c r="A3042" s="16"/>
      <c r="B3042" s="1042"/>
      <c r="C3042" s="88"/>
      <c r="D3042" s="1440"/>
      <c r="E3042" s="2132"/>
      <c r="F3042" s="1441"/>
      <c r="G3042" s="1441"/>
      <c r="H3042" s="1442"/>
      <c r="I3042" s="197"/>
      <c r="J3042" s="198"/>
      <c r="K3042" s="1307"/>
      <c r="L3042" s="1335"/>
      <c r="M3042" s="1499"/>
      <c r="N3042" s="1701"/>
      <c r="O3042" s="1290"/>
      <c r="P3042" s="1332"/>
      <c r="Q3042" s="3391"/>
      <c r="R3042" s="2338"/>
      <c r="S3042" s="16"/>
      <c r="T3042" s="16"/>
      <c r="U3042" s="16"/>
      <c r="V3042" s="16"/>
    </row>
    <row r="3043" spans="1:22">
      <c r="A3043" s="16"/>
      <c r="B3043" s="1042"/>
      <c r="C3043" s="88"/>
      <c r="D3043" s="1440"/>
      <c r="E3043" s="2132"/>
      <c r="F3043" s="1441"/>
      <c r="G3043" s="1441"/>
      <c r="H3043" s="1442"/>
      <c r="I3043" s="197"/>
      <c r="J3043" s="198"/>
      <c r="K3043" s="1307"/>
      <c r="L3043" s="1335"/>
      <c r="M3043" s="1499"/>
      <c r="N3043" s="1701"/>
      <c r="O3043" s="1290"/>
      <c r="P3043" s="1332"/>
      <c r="Q3043" s="3391"/>
      <c r="R3043" s="2346">
        <v>42131</v>
      </c>
      <c r="S3043" s="16"/>
      <c r="T3043" s="16"/>
      <c r="U3043" s="16"/>
      <c r="V3043" s="16"/>
    </row>
    <row r="3044" spans="1:22">
      <c r="A3044" s="16"/>
      <c r="B3044" s="223"/>
      <c r="C3044" s="581"/>
      <c r="D3044" s="1440"/>
      <c r="E3044" s="2132"/>
      <c r="F3044" s="1441"/>
      <c r="G3044" s="1441"/>
      <c r="H3044" s="1442"/>
      <c r="I3044" s="197"/>
      <c r="J3044" s="198"/>
      <c r="K3044" s="1307"/>
      <c r="L3044" s="1335"/>
      <c r="M3044" s="1499"/>
      <c r="N3044" s="1701"/>
      <c r="O3044" s="1290"/>
      <c r="P3044" s="1332"/>
      <c r="Q3044" s="3391"/>
      <c r="R3044" s="2338"/>
      <c r="S3044" s="16"/>
      <c r="T3044" s="16"/>
      <c r="U3044" s="16"/>
      <c r="V3044" s="16"/>
    </row>
    <row r="3045" spans="1:22">
      <c r="A3045" s="16" t="s">
        <v>3764</v>
      </c>
      <c r="B3045" s="4325" t="s">
        <v>1823</v>
      </c>
      <c r="C3045" s="3350"/>
      <c r="D3045" s="4327"/>
      <c r="E3045" s="4329" t="s">
        <v>1527</v>
      </c>
      <c r="F3045" s="4461" t="s">
        <v>1824</v>
      </c>
      <c r="G3045" s="4331" t="s">
        <v>1568</v>
      </c>
      <c r="H3045" s="4331" t="s">
        <v>1574</v>
      </c>
      <c r="I3045" s="1572" t="s">
        <v>1559</v>
      </c>
      <c r="J3045" s="1294" t="s">
        <v>1560</v>
      </c>
      <c r="K3045" s="1294" t="s">
        <v>1561</v>
      </c>
      <c r="L3045" s="4333" t="s">
        <v>3765</v>
      </c>
      <c r="M3045" s="4323" t="s">
        <v>1571</v>
      </c>
      <c r="N3045" s="4323" t="s">
        <v>1776</v>
      </c>
      <c r="O3045" s="3347" t="s">
        <v>1563</v>
      </c>
      <c r="P3045" s="1336" t="s">
        <v>1562</v>
      </c>
      <c r="Q3045" s="3389"/>
      <c r="R3045" s="1839" t="s">
        <v>1327</v>
      </c>
      <c r="S3045" s="16"/>
      <c r="T3045" s="16"/>
      <c r="U3045" s="16"/>
      <c r="V3045" s="16"/>
    </row>
    <row r="3046" spans="1:22">
      <c r="A3046" s="1971" t="s">
        <v>1967</v>
      </c>
      <c r="B3046" s="4326"/>
      <c r="C3046" s="3351"/>
      <c r="D3046" s="4328"/>
      <c r="E3046" s="4330"/>
      <c r="F3046" s="4462"/>
      <c r="G3046" s="4332"/>
      <c r="H3046" s="4332"/>
      <c r="I3046" s="1345">
        <v>1</v>
      </c>
      <c r="J3046" s="3815">
        <v>3.0000000000000001E-3</v>
      </c>
      <c r="K3046" s="1307">
        <f>I3046*J3046</f>
        <v>3.0000000000000001E-3</v>
      </c>
      <c r="L3046" s="4334"/>
      <c r="M3046" s="4324"/>
      <c r="N3046" s="4324"/>
      <c r="O3046" s="1298">
        <f>O3048+O3049+O3050+O3054+O3058+O3066+O3067+O3068</f>
        <v>125.97102734000002</v>
      </c>
      <c r="P3046" s="1337">
        <f>K3046*O3046</f>
        <v>0.37791308202000007</v>
      </c>
      <c r="Q3046" s="3390"/>
      <c r="R3046" s="1840">
        <f>P3048+P3049+P3050+P3054+P3058+P3066+P3067+P3068</f>
        <v>0.37791308202000001</v>
      </c>
      <c r="S3046" s="16"/>
      <c r="T3046" s="16"/>
      <c r="U3046" s="16"/>
      <c r="V3046" s="16"/>
    </row>
    <row r="3047" spans="1:22">
      <c r="A3047" s="16"/>
      <c r="B3047" s="18"/>
      <c r="D3047" s="1449"/>
      <c r="E3047" s="2121"/>
      <c r="F3047" s="1368" t="s">
        <v>1</v>
      </c>
      <c r="G3047" s="1368"/>
      <c r="H3047" s="1369"/>
      <c r="I3047" s="1409"/>
      <c r="J3047" s="1391"/>
      <c r="K3047" s="1367"/>
      <c r="L3047" s="1554"/>
      <c r="M3047" s="1369"/>
      <c r="N3047" s="1369"/>
      <c r="O3047" s="1369"/>
      <c r="P3047" s="1367"/>
      <c r="Q3047" s="3387"/>
      <c r="R3047" s="2343"/>
      <c r="S3047" s="16"/>
      <c r="T3047" s="16"/>
      <c r="U3047" s="16"/>
      <c r="V3047" s="16"/>
    </row>
    <row r="3048" spans="1:22">
      <c r="A3048" s="16"/>
      <c r="B3048" s="1042"/>
      <c r="D3048" s="1767" t="s">
        <v>1752</v>
      </c>
      <c r="E3048" s="1849" t="s">
        <v>1521</v>
      </c>
      <c r="F3048" s="1654" t="s">
        <v>1825</v>
      </c>
      <c r="G3048" s="1567">
        <v>1.4E-2</v>
      </c>
      <c r="H3048" s="1567"/>
      <c r="I3048" s="1286"/>
      <c r="J3048" s="198"/>
      <c r="K3048" s="1722">
        <f>G3048*$K$3046</f>
        <v>4.2000000000000004E-5</v>
      </c>
      <c r="L3048" s="1335">
        <f t="shared" ref="L3048:L3049" si="248">K3048*$K$2842</f>
        <v>0</v>
      </c>
      <c r="M3048" s="1302">
        <v>66.989999999999995</v>
      </c>
      <c r="N3048" s="1700"/>
      <c r="O3048" s="1290">
        <f>G3048*M3048</f>
        <v>0.93785999999999992</v>
      </c>
      <c r="P3048" s="1739">
        <f>M3048*K3048</f>
        <v>2.81358E-3</v>
      </c>
      <c r="Q3048" s="3391"/>
      <c r="R3048" s="2343"/>
      <c r="S3048" s="16"/>
      <c r="T3048" s="16"/>
      <c r="U3048" s="16"/>
      <c r="V3048" s="16"/>
    </row>
    <row r="3049" spans="1:22">
      <c r="A3049" s="16"/>
      <c r="B3049" s="1042"/>
      <c r="D3049" s="1769" t="s">
        <v>1786</v>
      </c>
      <c r="E3049" s="1850" t="s">
        <v>1787</v>
      </c>
      <c r="F3049" s="1770" t="s">
        <v>1788</v>
      </c>
      <c r="G3049" s="1771">
        <v>1.1000000000000001</v>
      </c>
      <c r="H3049" s="1771"/>
      <c r="I3049" s="1286"/>
      <c r="J3049" s="198"/>
      <c r="K3049" s="1722">
        <f>G3049*$K$3046</f>
        <v>3.3000000000000004E-3</v>
      </c>
      <c r="L3049" s="1335">
        <f t="shared" si="248"/>
        <v>0</v>
      </c>
      <c r="M3049" s="1302">
        <v>1.54</v>
      </c>
      <c r="N3049" s="1700"/>
      <c r="O3049" s="1290">
        <f>G3049*M3049</f>
        <v>1.6940000000000002</v>
      </c>
      <c r="P3049" s="1739">
        <f>M3049*K3049</f>
        <v>5.0820000000000006E-3</v>
      </c>
      <c r="Q3049" s="3391"/>
      <c r="R3049" s="2343"/>
      <c r="S3049" s="16"/>
      <c r="T3049" s="16"/>
      <c r="U3049" s="16"/>
      <c r="V3049" s="16"/>
    </row>
    <row r="3050" spans="1:22">
      <c r="A3050" s="16"/>
      <c r="B3050" s="1042"/>
      <c r="C3050" s="1356" t="s">
        <v>1128</v>
      </c>
      <c r="D3050" s="1585"/>
      <c r="E3050" s="1851" t="s">
        <v>1517</v>
      </c>
      <c r="F3050" s="1768" t="s">
        <v>1695</v>
      </c>
      <c r="G3050" s="1776"/>
      <c r="H3050" s="1776">
        <v>5.0000000000000001E-3</v>
      </c>
      <c r="I3050" s="1388"/>
      <c r="J3050" s="1366"/>
      <c r="K3050" s="1841"/>
      <c r="L3050" s="1445"/>
      <c r="M3050" s="1447"/>
      <c r="N3050" s="1447">
        <f>SUM(N3051:N3053)</f>
        <v>104.27969999999999</v>
      </c>
      <c r="O3050" s="1447">
        <f>SUM(O3051:O3053)</f>
        <v>0.52139849999999999</v>
      </c>
      <c r="P3050" s="1741">
        <f>SUM(P3051:P3053)</f>
        <v>1.5641954999999999E-3</v>
      </c>
      <c r="Q3050" s="3391"/>
      <c r="R3050" s="2343"/>
      <c r="S3050" s="16"/>
      <c r="T3050" s="16"/>
      <c r="U3050" s="16"/>
      <c r="V3050" s="16"/>
    </row>
    <row r="3051" spans="1:22" ht="15" customHeight="1">
      <c r="A3051" s="16"/>
      <c r="B3051" s="553"/>
      <c r="C3051" s="1042"/>
      <c r="D3051" s="1752" t="s">
        <v>1779</v>
      </c>
      <c r="E3051" s="1852" t="s">
        <v>1577</v>
      </c>
      <c r="F3051" s="1752" t="s">
        <v>1780</v>
      </c>
      <c r="G3051" s="1753">
        <v>0.876</v>
      </c>
      <c r="H3051" s="1453">
        <f>$H$3050*G3051</f>
        <v>4.3800000000000002E-3</v>
      </c>
      <c r="I3051" s="197"/>
      <c r="J3051" s="198"/>
      <c r="K3051" s="1722">
        <f>H3051*$K$3046</f>
        <v>1.3140000000000001E-5</v>
      </c>
      <c r="L3051" s="1335">
        <f t="shared" ref="L3051:L3053" si="249">K3051*$K$2842</f>
        <v>0</v>
      </c>
      <c r="M3051" s="1759">
        <v>56.05</v>
      </c>
      <c r="N3051" s="1718">
        <f>G3051*M3051</f>
        <v>49.099799999999995</v>
      </c>
      <c r="O3051" s="1719">
        <f>H3051*M3051</f>
        <v>0.245499</v>
      </c>
      <c r="P3051" s="1731">
        <f>M3051*K3051</f>
        <v>7.3649700000000002E-4</v>
      </c>
      <c r="Q3051" s="3396"/>
      <c r="R3051" s="2343"/>
      <c r="S3051" s="17"/>
      <c r="T3051" s="17"/>
      <c r="U3051" s="16"/>
      <c r="V3051" s="16"/>
    </row>
    <row r="3052" spans="1:22">
      <c r="A3052" s="16"/>
      <c r="B3052" s="553"/>
      <c r="C3052" s="1042"/>
      <c r="D3052" s="1752" t="s">
        <v>1069</v>
      </c>
      <c r="E3052" s="1852" t="s">
        <v>1517</v>
      </c>
      <c r="F3052" s="1752" t="s">
        <v>1578</v>
      </c>
      <c r="G3052" s="1753">
        <v>0.61799999999999999</v>
      </c>
      <c r="H3052" s="1453">
        <f t="shared" ref="H3052:H3053" si="250">$H$3050*G3052</f>
        <v>3.0899999999999999E-3</v>
      </c>
      <c r="I3052" s="27"/>
      <c r="J3052" s="10"/>
      <c r="K3052" s="1722">
        <f t="shared" ref="K3052:K3063" si="251">H3052*$K$3046</f>
        <v>9.2699999999999993E-6</v>
      </c>
      <c r="L3052" s="1335">
        <f t="shared" si="249"/>
        <v>0</v>
      </c>
      <c r="M3052" s="1759">
        <v>0.55000000000000004</v>
      </c>
      <c r="N3052" s="1718">
        <f>G3052*M3052</f>
        <v>0.33990000000000004</v>
      </c>
      <c r="O3052" s="1719">
        <f>H3052*M3052</f>
        <v>1.6995000000000001E-3</v>
      </c>
      <c r="P3052" s="1843">
        <f>M3052*K3052</f>
        <v>5.0985000000000004E-6</v>
      </c>
      <c r="Q3052" s="3396"/>
      <c r="R3052" s="2343"/>
      <c r="S3052" s="105"/>
      <c r="T3052" s="105"/>
      <c r="U3052" s="16"/>
      <c r="V3052" s="16"/>
    </row>
    <row r="3053" spans="1:22">
      <c r="A3053" s="16"/>
      <c r="B3053" s="553"/>
      <c r="C3053" s="1042"/>
      <c r="D3053" s="1754" t="s">
        <v>1067</v>
      </c>
      <c r="E3053" s="1853" t="s">
        <v>1508</v>
      </c>
      <c r="F3053" s="1754" t="s">
        <v>1512</v>
      </c>
      <c r="G3053" s="1755">
        <v>3</v>
      </c>
      <c r="H3053" s="1454">
        <f t="shared" si="250"/>
        <v>1.4999999999999999E-2</v>
      </c>
      <c r="I3053" s="198"/>
      <c r="J3053" s="198"/>
      <c r="K3053" s="1722">
        <f t="shared" si="251"/>
        <v>4.4999999999999996E-5</v>
      </c>
      <c r="L3053" s="1335">
        <f t="shared" si="249"/>
        <v>0</v>
      </c>
      <c r="M3053" s="1759">
        <v>18.28</v>
      </c>
      <c r="N3053" s="1718">
        <f>G3053*M3053</f>
        <v>54.84</v>
      </c>
      <c r="O3053" s="1719">
        <f>H3053*M3053</f>
        <v>0.2742</v>
      </c>
      <c r="P3053" s="1727">
        <f>M3053*K3053</f>
        <v>8.2259999999999994E-4</v>
      </c>
      <c r="Q3053" s="3396"/>
      <c r="R3053" s="2343"/>
      <c r="S3053" s="16"/>
      <c r="T3053" s="16"/>
      <c r="U3053" s="16"/>
      <c r="V3053" s="16"/>
    </row>
    <row r="3054" spans="1:22">
      <c r="A3054" s="16"/>
      <c r="B3054" s="553"/>
      <c r="C3054" s="1356" t="s">
        <v>1152</v>
      </c>
      <c r="D3054" s="1311"/>
      <c r="E3054" s="1854" t="s">
        <v>1517</v>
      </c>
      <c r="F3054" s="1749" t="s">
        <v>1696</v>
      </c>
      <c r="G3054" s="1776"/>
      <c r="H3054" s="1688">
        <v>1E-3</v>
      </c>
      <c r="I3054" s="1388"/>
      <c r="J3054" s="1388"/>
      <c r="K3054" s="1841"/>
      <c r="L3054" s="1445"/>
      <c r="M3054" s="1447"/>
      <c r="N3054" s="1447">
        <f>SUM(N3055:N3057)</f>
        <v>108.04650000000001</v>
      </c>
      <c r="O3054" s="1447">
        <f>SUM(O3055:O3057)</f>
        <v>0.10804650000000002</v>
      </c>
      <c r="P3054" s="1844">
        <f>SUM(P3055:P3057)</f>
        <v>3.2413950000000004E-4</v>
      </c>
      <c r="Q3054" s="3391"/>
      <c r="R3054" s="2343"/>
      <c r="S3054" s="16"/>
      <c r="T3054" s="16"/>
      <c r="U3054" s="16"/>
      <c r="V3054" s="16"/>
    </row>
    <row r="3055" spans="1:22">
      <c r="A3055" s="16"/>
      <c r="B3055" s="553"/>
      <c r="C3055" s="18"/>
      <c r="D3055" s="1756" t="s">
        <v>1781</v>
      </c>
      <c r="E3055" s="1852" t="s">
        <v>1577</v>
      </c>
      <c r="F3055" s="1752" t="s">
        <v>1782</v>
      </c>
      <c r="G3055" s="1753">
        <v>0.876</v>
      </c>
      <c r="H3055" s="1453">
        <f>$H$3054*G3055</f>
        <v>8.7600000000000004E-4</v>
      </c>
      <c r="I3055" s="198"/>
      <c r="J3055" s="198"/>
      <c r="K3055" s="1722">
        <f t="shared" si="251"/>
        <v>2.6280000000000001E-6</v>
      </c>
      <c r="L3055" s="1335">
        <f t="shared" ref="L3055:L3057" si="252">K3055*$K$2842</f>
        <v>0</v>
      </c>
      <c r="M3055" s="1723">
        <v>60.35</v>
      </c>
      <c r="N3055" s="1718">
        <f>G3055*M3055</f>
        <v>52.866599999999998</v>
      </c>
      <c r="O3055" s="1719">
        <f>H3055*M3055</f>
        <v>5.2866600000000007E-2</v>
      </c>
      <c r="P3055" s="1731">
        <f>M3055*K3055</f>
        <v>1.5859980000000002E-4</v>
      </c>
      <c r="Q3055" s="3396"/>
      <c r="R3055" s="2343"/>
      <c r="S3055" s="16"/>
      <c r="T3055" s="16"/>
      <c r="U3055" s="16"/>
      <c r="V3055" s="16"/>
    </row>
    <row r="3056" spans="1:22">
      <c r="A3056" s="16"/>
      <c r="B3056" s="553"/>
      <c r="C3056" s="1042"/>
      <c r="D3056" s="1756" t="s">
        <v>1069</v>
      </c>
      <c r="E3056" s="1852" t="s">
        <v>1517</v>
      </c>
      <c r="F3056" s="1752" t="s">
        <v>1578</v>
      </c>
      <c r="G3056" s="1753">
        <v>0.61799999999999999</v>
      </c>
      <c r="H3056" s="1453">
        <f t="shared" ref="H3056:H3057" si="253">$H$3054*G3056</f>
        <v>6.1800000000000006E-4</v>
      </c>
      <c r="I3056" s="197"/>
      <c r="J3056" s="198"/>
      <c r="K3056" s="1722">
        <f t="shared" si="251"/>
        <v>1.8540000000000002E-6</v>
      </c>
      <c r="L3056" s="1335">
        <f t="shared" si="252"/>
        <v>0</v>
      </c>
      <c r="M3056" s="1723">
        <v>0.55000000000000004</v>
      </c>
      <c r="N3056" s="1718">
        <f>G3056*M3056</f>
        <v>0.33990000000000004</v>
      </c>
      <c r="O3056" s="1719">
        <f>H3056*M3056</f>
        <v>3.3990000000000008E-4</v>
      </c>
      <c r="P3056" s="1843">
        <f>M3056*K3056</f>
        <v>1.0197000000000002E-6</v>
      </c>
      <c r="Q3056" s="3396"/>
      <c r="R3056" s="2343"/>
      <c r="S3056" s="16"/>
      <c r="T3056" s="16"/>
      <c r="U3056" s="16"/>
      <c r="V3056" s="16"/>
    </row>
    <row r="3057" spans="1:22">
      <c r="A3057" s="16"/>
      <c r="B3057" s="553"/>
      <c r="C3057" s="1042"/>
      <c r="D3057" s="1811" t="s">
        <v>1067</v>
      </c>
      <c r="E3057" s="1853" t="s">
        <v>1508</v>
      </c>
      <c r="F3057" s="1754" t="s">
        <v>1512</v>
      </c>
      <c r="G3057" s="1755">
        <v>3</v>
      </c>
      <c r="H3057" s="1454">
        <f t="shared" si="253"/>
        <v>3.0000000000000001E-3</v>
      </c>
      <c r="I3057" s="1289"/>
      <c r="J3057" s="198"/>
      <c r="K3057" s="1722">
        <f t="shared" si="251"/>
        <v>9.0000000000000002E-6</v>
      </c>
      <c r="L3057" s="1335">
        <f t="shared" si="252"/>
        <v>0</v>
      </c>
      <c r="M3057" s="1723">
        <v>18.28</v>
      </c>
      <c r="N3057" s="1718">
        <f>G3057*M3057</f>
        <v>54.84</v>
      </c>
      <c r="O3057" s="1719">
        <f>H3057*M3057</f>
        <v>5.4840000000000007E-2</v>
      </c>
      <c r="P3057" s="1731">
        <f>M3057*K3057</f>
        <v>1.6452E-4</v>
      </c>
      <c r="Q3057" s="3396"/>
      <c r="R3057" s="2343"/>
      <c r="S3057" s="16"/>
      <c r="T3057" s="16"/>
      <c r="U3057" s="16"/>
      <c r="V3057" s="16"/>
    </row>
    <row r="3058" spans="1:22">
      <c r="A3058" s="16"/>
      <c r="B3058" s="1042"/>
      <c r="C3058" s="1658" t="s">
        <v>1122</v>
      </c>
      <c r="D3058" s="1311"/>
      <c r="E3058" s="1855" t="s">
        <v>1517</v>
      </c>
      <c r="F3058" s="1647" t="s">
        <v>1681</v>
      </c>
      <c r="G3058" s="1689"/>
      <c r="H3058" s="1689">
        <v>1.4E-2</v>
      </c>
      <c r="I3058" s="1444"/>
      <c r="J3058" s="1388"/>
      <c r="K3058" s="1841"/>
      <c r="L3058" s="1445"/>
      <c r="M3058" s="1500"/>
      <c r="N3058" s="1501">
        <f>SUM(N3059:N3063)</f>
        <v>51.667310000000001</v>
      </c>
      <c r="O3058" s="1501">
        <f>SUM(O3059:O3063)</f>
        <v>0.72334234000000008</v>
      </c>
      <c r="P3058" s="1845">
        <f>SUM(P3059:P3063)</f>
        <v>2.1700270200000005E-3</v>
      </c>
      <c r="Q3058" s="3391"/>
      <c r="R3058" s="2343"/>
      <c r="S3058" s="16"/>
      <c r="T3058" s="16"/>
      <c r="U3058" s="16"/>
      <c r="V3058" s="16"/>
    </row>
    <row r="3059" spans="1:22">
      <c r="A3059" s="16"/>
      <c r="B3059" s="1042"/>
      <c r="C3059" s="1042"/>
      <c r="D3059" s="1451" t="s">
        <v>1069</v>
      </c>
      <c r="E3059" s="1856" t="s">
        <v>1517</v>
      </c>
      <c r="F3059" s="1421" t="s">
        <v>1578</v>
      </c>
      <c r="G3059" s="1452">
        <v>0.26300000000000001</v>
      </c>
      <c r="H3059" s="1453">
        <f>$H$3058*G3059</f>
        <v>3.6820000000000004E-3</v>
      </c>
      <c r="I3059" s="197"/>
      <c r="J3059" s="198"/>
      <c r="K3059" s="1722">
        <f t="shared" si="251"/>
        <v>1.1046000000000001E-5</v>
      </c>
      <c r="L3059" s="1335">
        <f t="shared" ref="L3059:L3063" si="254">K3059*$K$2842</f>
        <v>0</v>
      </c>
      <c r="M3059" s="1723">
        <v>0.55000000000000004</v>
      </c>
      <c r="N3059" s="1724">
        <f>G3059*M3059</f>
        <v>0.14465000000000003</v>
      </c>
      <c r="O3059" s="1719">
        <f>H3059*M3059</f>
        <v>2.0251000000000002E-3</v>
      </c>
      <c r="P3059" s="1843">
        <f>K3059*M3059</f>
        <v>6.0753000000000009E-6</v>
      </c>
      <c r="Q3059" s="3396"/>
      <c r="R3059" s="2338"/>
      <c r="S3059" s="16"/>
      <c r="T3059" s="16"/>
      <c r="U3059" s="16"/>
      <c r="V3059" s="16"/>
    </row>
    <row r="3060" spans="1:22">
      <c r="A3060" s="16"/>
      <c r="B3060" s="1042"/>
      <c r="C3060" s="1320"/>
      <c r="D3060" s="1367" t="s">
        <v>1394</v>
      </c>
      <c r="E3060" s="1856" t="s">
        <v>1577</v>
      </c>
      <c r="F3060" s="1421" t="s">
        <v>1579</v>
      </c>
      <c r="G3060" s="1452">
        <v>0.25800000000000001</v>
      </c>
      <c r="H3060" s="1453">
        <f t="shared" ref="H3060:H3063" si="255">$H$3058*G3060</f>
        <v>3.6120000000000002E-3</v>
      </c>
      <c r="I3060" s="197"/>
      <c r="J3060" s="198"/>
      <c r="K3060" s="1722">
        <f t="shared" si="251"/>
        <v>1.0836000000000001E-5</v>
      </c>
      <c r="L3060" s="1335">
        <f t="shared" si="254"/>
        <v>0</v>
      </c>
      <c r="M3060" s="1723">
        <v>92.54</v>
      </c>
      <c r="N3060" s="1724">
        <f>G3060*M3060</f>
        <v>23.875320000000002</v>
      </c>
      <c r="O3060" s="1719">
        <f>H3060*M3060</f>
        <v>0.33425448000000002</v>
      </c>
      <c r="P3060" s="1731">
        <f>K3060*M3060</f>
        <v>1.0027634400000002E-3</v>
      </c>
      <c r="Q3060" s="3396"/>
      <c r="R3060" s="2338"/>
      <c r="S3060" s="16"/>
      <c r="T3060" s="16"/>
      <c r="U3060" s="16"/>
      <c r="V3060" s="16"/>
    </row>
    <row r="3061" spans="1:22">
      <c r="A3061" s="16"/>
      <c r="B3061" s="1042"/>
      <c r="C3061" s="1320"/>
      <c r="D3061" s="1603" t="s">
        <v>1682</v>
      </c>
      <c r="E3061" s="1856" t="s">
        <v>1683</v>
      </c>
      <c r="F3061" s="1421" t="s">
        <v>1684</v>
      </c>
      <c r="G3061" s="1452">
        <v>1.288</v>
      </c>
      <c r="H3061" s="1453">
        <f t="shared" si="255"/>
        <v>1.8031999999999999E-2</v>
      </c>
      <c r="I3061" s="197"/>
      <c r="J3061" s="198"/>
      <c r="K3061" s="1722">
        <f t="shared" si="251"/>
        <v>5.4095999999999998E-5</v>
      </c>
      <c r="L3061" s="1335">
        <f t="shared" si="254"/>
        <v>0</v>
      </c>
      <c r="M3061" s="1723">
        <v>1.26</v>
      </c>
      <c r="N3061" s="1724">
        <f>G3061*M3061</f>
        <v>1.6228800000000001</v>
      </c>
      <c r="O3061" s="1719">
        <f>H3061*M3061</f>
        <v>2.2720319999999999E-2</v>
      </c>
      <c r="P3061" s="1734">
        <f>K3061*M3061</f>
        <v>6.8160959999999997E-5</v>
      </c>
      <c r="Q3061" s="3396"/>
      <c r="R3061" s="2338"/>
      <c r="S3061" s="16"/>
      <c r="T3061" s="16"/>
      <c r="U3061" s="16"/>
      <c r="V3061" s="16"/>
    </row>
    <row r="3062" spans="1:22">
      <c r="A3062" s="16"/>
      <c r="B3062" s="1042"/>
      <c r="C3062" s="1320"/>
      <c r="D3062" s="1603" t="s">
        <v>1576</v>
      </c>
      <c r="E3062" s="1856" t="s">
        <v>1517</v>
      </c>
      <c r="F3062" s="1421" t="s">
        <v>1580</v>
      </c>
      <c r="G3062" s="1452">
        <v>1.1020000000000001</v>
      </c>
      <c r="H3062" s="1453">
        <f t="shared" si="255"/>
        <v>1.5428000000000001E-2</v>
      </c>
      <c r="I3062" s="197"/>
      <c r="J3062" s="198"/>
      <c r="K3062" s="1722">
        <f t="shared" si="251"/>
        <v>4.6284000000000006E-5</v>
      </c>
      <c r="L3062" s="1335">
        <f t="shared" si="254"/>
        <v>0</v>
      </c>
      <c r="M3062" s="1723">
        <v>6.53</v>
      </c>
      <c r="N3062" s="1724">
        <f>G3062*M3062</f>
        <v>7.196060000000001</v>
      </c>
      <c r="O3062" s="1719">
        <f>H3062*M3062</f>
        <v>0.10074484</v>
      </c>
      <c r="P3062" s="1731">
        <f>K3062*M3062</f>
        <v>3.0223452000000006E-4</v>
      </c>
      <c r="Q3062" s="3396"/>
      <c r="R3062" s="2338"/>
      <c r="S3062" s="16"/>
      <c r="T3062" s="16"/>
      <c r="U3062" s="16"/>
      <c r="V3062" s="16"/>
    </row>
    <row r="3063" spans="1:22">
      <c r="A3063" s="16"/>
      <c r="B3063" s="1042"/>
      <c r="C3063" s="1320"/>
      <c r="D3063" s="1443" t="s">
        <v>1067</v>
      </c>
      <c r="E3063" s="1857" t="s">
        <v>1508</v>
      </c>
      <c r="F3063" s="1430" t="s">
        <v>1512</v>
      </c>
      <c r="G3063" s="1431">
        <v>1.03</v>
      </c>
      <c r="H3063" s="1454">
        <f t="shared" si="255"/>
        <v>1.4420000000000001E-2</v>
      </c>
      <c r="I3063" s="197"/>
      <c r="J3063" s="198"/>
      <c r="K3063" s="1722">
        <f t="shared" si="251"/>
        <v>4.3260000000000003E-5</v>
      </c>
      <c r="L3063" s="1335">
        <f t="shared" si="254"/>
        <v>0</v>
      </c>
      <c r="M3063" s="1723">
        <v>18.28</v>
      </c>
      <c r="N3063" s="1724">
        <f>G3063*M3063</f>
        <v>18.828400000000002</v>
      </c>
      <c r="O3063" s="1719">
        <f>H3063*M3063</f>
        <v>0.26359760000000004</v>
      </c>
      <c r="P3063" s="1731">
        <f>K3063*M3063</f>
        <v>7.9079280000000007E-4</v>
      </c>
      <c r="Q3063" s="3396"/>
      <c r="R3063" s="2338"/>
      <c r="S3063" s="16"/>
      <c r="T3063" s="16"/>
      <c r="U3063" s="16"/>
      <c r="V3063" s="16"/>
    </row>
    <row r="3064" spans="1:22">
      <c r="A3064" s="16"/>
      <c r="B3064" s="1042"/>
      <c r="C3064" s="88"/>
      <c r="D3064" s="1752"/>
      <c r="E3064" s="1852"/>
      <c r="F3064" s="1752"/>
      <c r="G3064" s="1399"/>
      <c r="H3064" s="1399"/>
      <c r="I3064" s="197"/>
      <c r="J3064" s="198"/>
      <c r="K3064" s="1722"/>
      <c r="L3064" s="1335"/>
      <c r="M3064" s="1499"/>
      <c r="N3064" s="1718"/>
      <c r="O3064" s="1719"/>
      <c r="P3064" s="1731"/>
      <c r="Q3064" s="3396"/>
      <c r="R3064" s="2338"/>
      <c r="S3064" s="16"/>
      <c r="T3064" s="16"/>
      <c r="U3064" s="16"/>
      <c r="V3064" s="16"/>
    </row>
    <row r="3065" spans="1:22">
      <c r="A3065" s="16"/>
      <c r="B3065" s="1042"/>
      <c r="C3065" s="88"/>
      <c r="D3065" s="1359"/>
      <c r="E3065" s="1858"/>
      <c r="F3065" s="1360" t="s">
        <v>2</v>
      </c>
      <c r="G3065" s="1360"/>
      <c r="H3065" s="1362"/>
      <c r="I3065" s="1380"/>
      <c r="J3065" s="1381"/>
      <c r="K3065" s="1842"/>
      <c r="L3065" s="1458"/>
      <c r="M3065" s="1362"/>
      <c r="N3065" s="1362"/>
      <c r="O3065" s="1362"/>
      <c r="P3065" s="1458"/>
      <c r="Q3065" s="3387"/>
      <c r="R3065" s="2343"/>
      <c r="S3065" s="16"/>
      <c r="T3065" s="16"/>
      <c r="U3065" s="16"/>
      <c r="V3065" s="16"/>
    </row>
    <row r="3066" spans="1:22">
      <c r="A3066" s="16"/>
      <c r="B3066" s="1320"/>
      <c r="C3066" s="1042"/>
      <c r="D3066" s="1655" t="s">
        <v>1806</v>
      </c>
      <c r="E3066" s="1859" t="s">
        <v>1508</v>
      </c>
      <c r="F3066" s="1655" t="s">
        <v>1821</v>
      </c>
      <c r="G3066" s="1809">
        <v>2.3279999999999998</v>
      </c>
      <c r="H3066" s="1439"/>
      <c r="I3066" s="197"/>
      <c r="J3066" s="198"/>
      <c r="K3066" s="1722">
        <f t="shared" ref="K3066:K3068" si="256">G3066*$K$3046</f>
        <v>6.9839999999999998E-3</v>
      </c>
      <c r="L3066" s="1335">
        <f t="shared" ref="L3066:L3068" si="257">K3066*$K$2842</f>
        <v>0</v>
      </c>
      <c r="M3066" s="1499">
        <v>19.23</v>
      </c>
      <c r="N3066" s="1701"/>
      <c r="O3066" s="1290">
        <f>(G3066*M3066)</f>
        <v>44.767440000000001</v>
      </c>
      <c r="P3066" s="1739">
        <f>M3066*K3066</f>
        <v>0.13430232</v>
      </c>
      <c r="Q3066" s="3391"/>
      <c r="R3066" s="3363"/>
      <c r="S3066" s="16"/>
      <c r="T3066" s="16"/>
      <c r="U3066" s="16"/>
      <c r="V3066" s="16"/>
    </row>
    <row r="3067" spans="1:22">
      <c r="A3067" s="16"/>
      <c r="B3067" s="1042"/>
      <c r="C3067" s="88"/>
      <c r="D3067" s="1655" t="s">
        <v>1826</v>
      </c>
      <c r="E3067" s="1859" t="s">
        <v>1508</v>
      </c>
      <c r="F3067" s="1655" t="s">
        <v>1827</v>
      </c>
      <c r="G3067" s="1809">
        <v>2.91</v>
      </c>
      <c r="H3067" s="1365"/>
      <c r="I3067" s="1286"/>
      <c r="J3067" s="198"/>
      <c r="K3067" s="1722">
        <f t="shared" si="256"/>
        <v>8.7299999999999999E-3</v>
      </c>
      <c r="L3067" s="1335">
        <f t="shared" si="257"/>
        <v>0</v>
      </c>
      <c r="M3067" s="1302">
        <v>19.23</v>
      </c>
      <c r="N3067" s="1302"/>
      <c r="O3067" s="1290">
        <f>(G3067*M3067)</f>
        <v>55.959300000000006</v>
      </c>
      <c r="P3067" s="1739">
        <f>M3067*K3067</f>
        <v>0.1678779</v>
      </c>
      <c r="Q3067" s="3391"/>
      <c r="R3067" s="2338"/>
      <c r="S3067" s="16"/>
      <c r="T3067" s="16"/>
      <c r="U3067" s="16"/>
      <c r="V3067" s="16"/>
    </row>
    <row r="3068" spans="1:22">
      <c r="A3068" s="16"/>
      <c r="B3068" s="1042"/>
      <c r="C3068" s="88"/>
      <c r="D3068" s="2192" t="s">
        <v>1802</v>
      </c>
      <c r="E3068" s="2267" t="s">
        <v>1508</v>
      </c>
      <c r="F3068" s="2192" t="s">
        <v>1804</v>
      </c>
      <c r="G3068" s="1809">
        <v>1.163</v>
      </c>
      <c r="H3068" s="1362"/>
      <c r="I3068" s="197"/>
      <c r="J3068" s="198"/>
      <c r="K3068" s="1722">
        <f t="shared" si="256"/>
        <v>3.4890000000000003E-3</v>
      </c>
      <c r="L3068" s="1335">
        <f t="shared" si="257"/>
        <v>0</v>
      </c>
      <c r="M3068" s="1302">
        <v>18.28</v>
      </c>
      <c r="N3068" s="7"/>
      <c r="O3068" s="1290">
        <f>(G3068*M3068)</f>
        <v>21.259640000000001</v>
      </c>
      <c r="P3068" s="1739">
        <f>M3068*K3068</f>
        <v>6.3778920000000017E-2</v>
      </c>
      <c r="Q3068" s="3391"/>
      <c r="R3068" s="2338"/>
      <c r="S3068" s="16"/>
      <c r="T3068" s="16"/>
      <c r="U3068" s="16"/>
      <c r="V3068" s="16"/>
    </row>
    <row r="3069" spans="1:22">
      <c r="A3069" s="16"/>
      <c r="B3069" s="1042"/>
      <c r="C3069" s="88"/>
      <c r="D3069" s="1620"/>
      <c r="E3069" s="2157"/>
      <c r="F3069" s="1620"/>
      <c r="G3069" s="2266"/>
      <c r="H3069" s="1362"/>
      <c r="I3069" s="197"/>
      <c r="J3069" s="198"/>
      <c r="K3069" s="1722"/>
      <c r="L3069" s="1335"/>
      <c r="M3069" s="1302"/>
      <c r="N3069" s="7"/>
      <c r="O3069" s="1290"/>
      <c r="P3069" s="1739"/>
      <c r="Q3069" s="3391"/>
      <c r="R3069" s="2338"/>
      <c r="S3069" s="16"/>
      <c r="T3069" s="16"/>
      <c r="U3069" s="16"/>
      <c r="V3069" s="16"/>
    </row>
    <row r="3070" spans="1:22">
      <c r="A3070" s="16"/>
      <c r="B3070" s="1042"/>
      <c r="C3070" s="88"/>
      <c r="D3070" s="1373"/>
      <c r="E3070" s="2123"/>
      <c r="F3070" s="1374" t="s">
        <v>3</v>
      </c>
      <c r="G3070" s="1374"/>
      <c r="H3070" s="1376"/>
      <c r="I3070" s="1382"/>
      <c r="J3070" s="1383"/>
      <c r="K3070" s="1373"/>
      <c r="L3070" s="1413"/>
      <c r="M3070" s="1376"/>
      <c r="N3070" s="1376"/>
      <c r="O3070" s="1376"/>
      <c r="P3070" s="1413"/>
      <c r="Q3070" s="3387"/>
      <c r="R3070" s="2343"/>
      <c r="S3070" s="16"/>
      <c r="T3070" s="16"/>
      <c r="U3070" s="16"/>
      <c r="V3070" s="16"/>
    </row>
    <row r="3071" spans="1:22">
      <c r="A3071" s="16"/>
      <c r="B3071" s="1042"/>
      <c r="C3071" s="88"/>
      <c r="D3071" s="1440"/>
      <c r="E3071" s="2132"/>
      <c r="F3071" s="1441"/>
      <c r="G3071" s="1441"/>
      <c r="H3071" s="1442"/>
      <c r="I3071" s="197"/>
      <c r="J3071" s="198"/>
      <c r="K3071" s="1307"/>
      <c r="L3071" s="1335"/>
      <c r="M3071" s="1499"/>
      <c r="N3071" s="1701"/>
      <c r="O3071" s="1290"/>
      <c r="P3071" s="1332"/>
      <c r="Q3071" s="3391"/>
      <c r="R3071" s="2338"/>
      <c r="S3071" s="16"/>
      <c r="T3071" s="16"/>
      <c r="U3071" s="16"/>
      <c r="V3071" s="16"/>
    </row>
    <row r="3072" spans="1:22">
      <c r="A3072" s="16"/>
      <c r="B3072" s="1042"/>
      <c r="C3072" s="88"/>
      <c r="D3072" s="1440"/>
      <c r="E3072" s="2132"/>
      <c r="F3072" s="1441"/>
      <c r="G3072" s="1441"/>
      <c r="H3072" s="1442"/>
      <c r="I3072" s="197"/>
      <c r="J3072" s="198"/>
      <c r="K3072" s="1307"/>
      <c r="L3072" s="1335"/>
      <c r="M3072" s="1499"/>
      <c r="N3072" s="1701"/>
      <c r="O3072" s="1290"/>
      <c r="P3072" s="1332"/>
      <c r="Q3072" s="3391"/>
      <c r="R3072" s="2338"/>
      <c r="S3072" s="16"/>
      <c r="T3072" s="16"/>
      <c r="U3072" s="16"/>
      <c r="V3072" s="16"/>
    </row>
    <row r="3073" spans="1:22">
      <c r="A3073" s="16"/>
      <c r="B3073" s="223"/>
      <c r="C3073" s="581"/>
      <c r="D3073" s="1440"/>
      <c r="E3073" s="2132"/>
      <c r="F3073" s="1441"/>
      <c r="G3073" s="1441"/>
      <c r="H3073" s="1442"/>
      <c r="I3073" s="197"/>
      <c r="J3073" s="198"/>
      <c r="K3073" s="1307"/>
      <c r="L3073" s="1335"/>
      <c r="M3073" s="1499"/>
      <c r="N3073" s="1701"/>
      <c r="O3073" s="1290"/>
      <c r="P3073" s="1332"/>
      <c r="Q3073" s="3391"/>
      <c r="R3073" s="2338"/>
      <c r="S3073" s="16"/>
      <c r="T3073" s="16"/>
      <c r="U3073" s="16"/>
      <c r="V3073" s="16"/>
    </row>
    <row r="3074" spans="1:22">
      <c r="A3074" s="16" t="s">
        <v>3764</v>
      </c>
      <c r="B3074" s="4325" t="s">
        <v>1828</v>
      </c>
      <c r="C3074" s="3350"/>
      <c r="D3074" s="4327"/>
      <c r="E3074" s="4329" t="s">
        <v>1504</v>
      </c>
      <c r="F3074" s="4461" t="s">
        <v>1829</v>
      </c>
      <c r="G3074" s="4331" t="s">
        <v>1568</v>
      </c>
      <c r="H3074" s="4331" t="s">
        <v>1574</v>
      </c>
      <c r="I3074" s="1572" t="s">
        <v>1559</v>
      </c>
      <c r="J3074" s="1294" t="s">
        <v>1560</v>
      </c>
      <c r="K3074" s="1294" t="s">
        <v>1561</v>
      </c>
      <c r="L3074" s="4333" t="s">
        <v>3765</v>
      </c>
      <c r="M3074" s="4323" t="s">
        <v>1571</v>
      </c>
      <c r="N3074" s="4323" t="s">
        <v>1776</v>
      </c>
      <c r="O3074" s="3347" t="s">
        <v>1563</v>
      </c>
      <c r="P3074" s="1336" t="s">
        <v>1562</v>
      </c>
      <c r="Q3074" s="3389"/>
      <c r="R3074" s="1839" t="s">
        <v>1327</v>
      </c>
      <c r="S3074" s="16"/>
      <c r="T3074" s="16"/>
      <c r="U3074" s="16"/>
      <c r="V3074" s="16"/>
    </row>
    <row r="3075" spans="1:22">
      <c r="A3075" s="1971" t="s">
        <v>1967</v>
      </c>
      <c r="B3075" s="4326"/>
      <c r="C3075" s="3351"/>
      <c r="D3075" s="4328"/>
      <c r="E3075" s="4330"/>
      <c r="F3075" s="4462"/>
      <c r="G3075" s="4332"/>
      <c r="H3075" s="4332"/>
      <c r="I3075" s="1345">
        <v>2</v>
      </c>
      <c r="J3075" s="3815">
        <v>3.0000000000000001E-3</v>
      </c>
      <c r="K3075" s="1307">
        <f>I3075*J3075</f>
        <v>6.0000000000000001E-3</v>
      </c>
      <c r="L3075" s="4334"/>
      <c r="M3075" s="4324"/>
      <c r="N3075" s="4324"/>
      <c r="O3075" s="1298">
        <f>O3077+O3078+O3079+O3083+O3087+O3095+O3096+O3097</f>
        <v>34.756902779999997</v>
      </c>
      <c r="P3075" s="1337">
        <f>K3075*O3075</f>
        <v>0.20854141667999998</v>
      </c>
      <c r="Q3075" s="3390"/>
      <c r="R3075" s="1840">
        <f>P3077+P3078+P3079+P3083+P3087+P3095+P3096+P3097</f>
        <v>0.20854141668000001</v>
      </c>
      <c r="S3075" s="16"/>
      <c r="T3075" s="16"/>
      <c r="U3075" s="16"/>
      <c r="V3075" s="16"/>
    </row>
    <row r="3076" spans="1:22">
      <c r="A3076" s="16"/>
      <c r="B3076" s="18"/>
      <c r="D3076" s="1449"/>
      <c r="E3076" s="2121"/>
      <c r="F3076" s="1368" t="s">
        <v>1</v>
      </c>
      <c r="G3076" s="1368"/>
      <c r="H3076" s="1369"/>
      <c r="I3076" s="1409"/>
      <c r="J3076" s="1391"/>
      <c r="K3076" s="1367"/>
      <c r="L3076" s="1554"/>
      <c r="M3076" s="1369"/>
      <c r="N3076" s="1369"/>
      <c r="O3076" s="1369"/>
      <c r="P3076" s="1367"/>
      <c r="Q3076" s="3387"/>
      <c r="R3076" s="2343"/>
      <c r="S3076" s="17"/>
      <c r="T3076" s="17"/>
      <c r="U3076" s="16"/>
      <c r="V3076" s="16"/>
    </row>
    <row r="3077" spans="1:22">
      <c r="A3077" s="16"/>
      <c r="B3077" s="1042"/>
      <c r="D3077" s="1767" t="s">
        <v>1784</v>
      </c>
      <c r="E3077" s="1849" t="s">
        <v>1521</v>
      </c>
      <c r="F3077" s="1598" t="s">
        <v>1830</v>
      </c>
      <c r="G3077" s="1567">
        <v>5.0000000000000001E-3</v>
      </c>
      <c r="H3077" s="1567"/>
      <c r="I3077" s="1286"/>
      <c r="J3077" s="198"/>
      <c r="K3077" s="1722">
        <f>G3077*$K$3075</f>
        <v>3.0000000000000001E-5</v>
      </c>
      <c r="L3077" s="1335">
        <f t="shared" ref="L3077:L3078" si="258">K3077*$K$2842</f>
        <v>0</v>
      </c>
      <c r="M3077" s="1302">
        <v>236.83</v>
      </c>
      <c r="N3077" s="1700"/>
      <c r="O3077" s="1290">
        <f>G3077*M3077</f>
        <v>1.18415</v>
      </c>
      <c r="P3077" s="1739">
        <f>M3077*K3077</f>
        <v>7.1049000000000008E-3</v>
      </c>
      <c r="Q3077" s="3391"/>
      <c r="R3077" s="2343"/>
      <c r="S3077" s="105"/>
      <c r="T3077" s="105"/>
      <c r="U3077" s="16"/>
      <c r="V3077" s="16"/>
    </row>
    <row r="3078" spans="1:22">
      <c r="A3078" s="16"/>
      <c r="B3078" s="1042"/>
      <c r="D3078" s="1769" t="s">
        <v>1786</v>
      </c>
      <c r="E3078" s="1850" t="s">
        <v>1787</v>
      </c>
      <c r="F3078" s="1770" t="s">
        <v>1788</v>
      </c>
      <c r="G3078" s="1771">
        <v>0.05</v>
      </c>
      <c r="H3078" s="1771"/>
      <c r="I3078" s="1286"/>
      <c r="J3078" s="198"/>
      <c r="K3078" s="1722">
        <f>G3078*$K$3075</f>
        <v>3.0000000000000003E-4</v>
      </c>
      <c r="L3078" s="1335">
        <f t="shared" si="258"/>
        <v>0</v>
      </c>
      <c r="M3078" s="1302">
        <v>1.54</v>
      </c>
      <c r="N3078" s="1700"/>
      <c r="O3078" s="1290">
        <f>G3078*M3078</f>
        <v>7.7000000000000013E-2</v>
      </c>
      <c r="P3078" s="1739">
        <f>M3078*K3078</f>
        <v>4.6200000000000006E-4</v>
      </c>
      <c r="Q3078" s="3391"/>
      <c r="R3078" s="2343"/>
      <c r="S3078" s="16"/>
      <c r="T3078" s="16"/>
      <c r="U3078" s="16"/>
      <c r="V3078" s="16"/>
    </row>
    <row r="3079" spans="1:22">
      <c r="A3079" s="16"/>
      <c r="B3079" s="1042"/>
      <c r="C3079" s="1356" t="s">
        <v>1128</v>
      </c>
      <c r="D3079" s="1585"/>
      <c r="E3079" s="1851" t="s">
        <v>1517</v>
      </c>
      <c r="F3079" s="1768" t="s">
        <v>1695</v>
      </c>
      <c r="G3079" s="1776"/>
      <c r="H3079" s="1776">
        <v>1E-3</v>
      </c>
      <c r="I3079" s="1388"/>
      <c r="J3079" s="1366"/>
      <c r="K3079" s="1841"/>
      <c r="L3079" s="1445"/>
      <c r="M3079" s="1447"/>
      <c r="N3079" s="1447">
        <f>SUM(N3080:N3082)</f>
        <v>104.27969999999999</v>
      </c>
      <c r="O3079" s="1447">
        <f>SUM(O3080:O3082)</f>
        <v>0.1042797</v>
      </c>
      <c r="P3079" s="1844">
        <f>SUM(P3080:P3082)</f>
        <v>6.2567820000000002E-4</v>
      </c>
      <c r="Q3079" s="3391"/>
      <c r="R3079" s="2343"/>
      <c r="S3079" s="16"/>
      <c r="T3079" s="16"/>
      <c r="U3079" s="16"/>
      <c r="V3079" s="16"/>
    </row>
    <row r="3080" spans="1:22">
      <c r="A3080" s="16"/>
      <c r="B3080" s="553"/>
      <c r="C3080" s="1042"/>
      <c r="D3080" s="1752" t="s">
        <v>1779</v>
      </c>
      <c r="E3080" s="1852" t="s">
        <v>1577</v>
      </c>
      <c r="F3080" s="1752" t="s">
        <v>1780</v>
      </c>
      <c r="G3080" s="1753">
        <v>0.876</v>
      </c>
      <c r="H3080" s="1453">
        <f>$H$3079*G3080</f>
        <v>8.7600000000000004E-4</v>
      </c>
      <c r="I3080" s="197"/>
      <c r="J3080" s="198"/>
      <c r="K3080" s="1722">
        <f>H3080*$K$3075</f>
        <v>5.2560000000000002E-6</v>
      </c>
      <c r="L3080" s="1335">
        <f t="shared" ref="L3080:L3082" si="259">K3080*$K$2842</f>
        <v>0</v>
      </c>
      <c r="M3080" s="1759">
        <v>56.05</v>
      </c>
      <c r="N3080" s="1718">
        <f>G3080*M3080</f>
        <v>49.099799999999995</v>
      </c>
      <c r="O3080" s="1719">
        <f>H3080*M3080</f>
        <v>4.9099799999999999E-2</v>
      </c>
      <c r="P3080" s="1731">
        <f>M3080*K3080</f>
        <v>2.9459879999999998E-4</v>
      </c>
      <c r="Q3080" s="3396"/>
      <c r="R3080" s="2343"/>
      <c r="S3080" s="16"/>
      <c r="T3080" s="16"/>
      <c r="U3080" s="16"/>
      <c r="V3080" s="16"/>
    </row>
    <row r="3081" spans="1:22">
      <c r="A3081" s="16"/>
      <c r="B3081" s="553"/>
      <c r="C3081" s="1042"/>
      <c r="D3081" s="1752" t="s">
        <v>1069</v>
      </c>
      <c r="E3081" s="1852" t="s">
        <v>1517</v>
      </c>
      <c r="F3081" s="1752" t="s">
        <v>1578</v>
      </c>
      <c r="G3081" s="1753">
        <v>0.61799999999999999</v>
      </c>
      <c r="H3081" s="1453">
        <f t="shared" ref="H3081:H3082" si="260">$H$3079*G3081</f>
        <v>6.1800000000000006E-4</v>
      </c>
      <c r="I3081" s="27"/>
      <c r="J3081" s="10"/>
      <c r="K3081" s="1722">
        <f t="shared" ref="K3081:K3092" si="261">H3081*$K$3075</f>
        <v>3.7080000000000003E-6</v>
      </c>
      <c r="L3081" s="1335">
        <f t="shared" si="259"/>
        <v>0</v>
      </c>
      <c r="M3081" s="1759">
        <v>0.55000000000000004</v>
      </c>
      <c r="N3081" s="1718">
        <f>G3081*M3081</f>
        <v>0.33990000000000004</v>
      </c>
      <c r="O3081" s="1719">
        <f>H3081*M3081</f>
        <v>3.3990000000000008E-4</v>
      </c>
      <c r="P3081" s="1843">
        <f>M3081*K3081</f>
        <v>2.0394000000000003E-6</v>
      </c>
      <c r="Q3081" s="3396"/>
      <c r="R3081" s="2343"/>
      <c r="S3081" s="16"/>
      <c r="T3081" s="16"/>
      <c r="U3081" s="16"/>
      <c r="V3081" s="16"/>
    </row>
    <row r="3082" spans="1:22">
      <c r="A3082" s="16"/>
      <c r="B3082" s="553"/>
      <c r="C3082" s="1042"/>
      <c r="D3082" s="1754" t="s">
        <v>1067</v>
      </c>
      <c r="E3082" s="1853" t="s">
        <v>1508</v>
      </c>
      <c r="F3082" s="1754" t="s">
        <v>1512</v>
      </c>
      <c r="G3082" s="1755">
        <v>3</v>
      </c>
      <c r="H3082" s="1454">
        <f t="shared" si="260"/>
        <v>3.0000000000000001E-3</v>
      </c>
      <c r="I3082" s="198"/>
      <c r="J3082" s="198"/>
      <c r="K3082" s="1722">
        <f t="shared" si="261"/>
        <v>1.8E-5</v>
      </c>
      <c r="L3082" s="1335">
        <f t="shared" si="259"/>
        <v>0</v>
      </c>
      <c r="M3082" s="1759">
        <v>18.28</v>
      </c>
      <c r="N3082" s="1718">
        <f>G3082*M3082</f>
        <v>54.84</v>
      </c>
      <c r="O3082" s="1719">
        <f>H3082*M3082</f>
        <v>5.4840000000000007E-2</v>
      </c>
      <c r="P3082" s="1727">
        <f>M3082*K3082</f>
        <v>3.2904000000000001E-4</v>
      </c>
      <c r="Q3082" s="3396"/>
      <c r="R3082" s="2343"/>
      <c r="S3082" s="16"/>
      <c r="T3082" s="16"/>
      <c r="U3082" s="16"/>
      <c r="V3082" s="16"/>
    </row>
    <row r="3083" spans="1:22">
      <c r="A3083" s="16"/>
      <c r="B3083" s="553"/>
      <c r="C3083" s="1356" t="s">
        <v>1152</v>
      </c>
      <c r="D3083" s="1311"/>
      <c r="E3083" s="1854" t="s">
        <v>1517</v>
      </c>
      <c r="F3083" s="1749" t="s">
        <v>1696</v>
      </c>
      <c r="G3083" s="1776"/>
      <c r="H3083" s="1688">
        <v>1E-3</v>
      </c>
      <c r="I3083" s="1388"/>
      <c r="J3083" s="1388"/>
      <c r="K3083" s="1841"/>
      <c r="L3083" s="1445"/>
      <c r="M3083" s="1447"/>
      <c r="N3083" s="1447">
        <f>SUM(N3084:N3086)</f>
        <v>108.04650000000001</v>
      </c>
      <c r="O3083" s="1447">
        <f>SUM(O3084:O3086)</f>
        <v>0.10804650000000002</v>
      </c>
      <c r="P3083" s="1844">
        <f>SUM(P3084:P3086)</f>
        <v>6.4827900000000009E-4</v>
      </c>
      <c r="Q3083" s="3391"/>
      <c r="R3083" s="2343"/>
      <c r="S3083" s="16"/>
      <c r="T3083" s="16"/>
      <c r="U3083" s="16"/>
      <c r="V3083" s="16"/>
    </row>
    <row r="3084" spans="1:22">
      <c r="A3084" s="16"/>
      <c r="B3084" s="553"/>
      <c r="C3084" s="18"/>
      <c r="D3084" s="1756" t="s">
        <v>1781</v>
      </c>
      <c r="E3084" s="1852" t="s">
        <v>1577</v>
      </c>
      <c r="F3084" s="1752" t="s">
        <v>1782</v>
      </c>
      <c r="G3084" s="1753">
        <v>0.876</v>
      </c>
      <c r="H3084" s="1453">
        <f>$H$3083*G3084</f>
        <v>8.7600000000000004E-4</v>
      </c>
      <c r="I3084" s="198"/>
      <c r="J3084" s="198"/>
      <c r="K3084" s="1722">
        <f t="shared" si="261"/>
        <v>5.2560000000000002E-6</v>
      </c>
      <c r="L3084" s="1335">
        <f t="shared" ref="L3084:L3086" si="262">K3084*$K$2842</f>
        <v>0</v>
      </c>
      <c r="M3084" s="1723">
        <v>60.35</v>
      </c>
      <c r="N3084" s="1718">
        <f>G3084*M3084</f>
        <v>52.866599999999998</v>
      </c>
      <c r="O3084" s="1719">
        <f>H3084*M3084</f>
        <v>5.2866600000000007E-2</v>
      </c>
      <c r="P3084" s="1731">
        <f>M3084*K3084</f>
        <v>3.1719960000000004E-4</v>
      </c>
      <c r="Q3084" s="3396"/>
      <c r="R3084" s="2343"/>
      <c r="S3084" s="16"/>
      <c r="T3084" s="16"/>
      <c r="U3084" s="16"/>
      <c r="V3084" s="16"/>
    </row>
    <row r="3085" spans="1:22">
      <c r="A3085" s="16"/>
      <c r="B3085" s="553"/>
      <c r="C3085" s="1042"/>
      <c r="D3085" s="1756" t="s">
        <v>1069</v>
      </c>
      <c r="E3085" s="1852" t="s">
        <v>1517</v>
      </c>
      <c r="F3085" s="1752" t="s">
        <v>1578</v>
      </c>
      <c r="G3085" s="1753">
        <v>0.61799999999999999</v>
      </c>
      <c r="H3085" s="1453">
        <f t="shared" ref="H3085:H3086" si="263">$H$3083*G3085</f>
        <v>6.1800000000000006E-4</v>
      </c>
      <c r="I3085" s="197"/>
      <c r="J3085" s="198"/>
      <c r="K3085" s="1722">
        <f t="shared" si="261"/>
        <v>3.7080000000000003E-6</v>
      </c>
      <c r="L3085" s="1335">
        <f t="shared" si="262"/>
        <v>0</v>
      </c>
      <c r="M3085" s="1723">
        <v>0.55000000000000004</v>
      </c>
      <c r="N3085" s="1718">
        <f>G3085*M3085</f>
        <v>0.33990000000000004</v>
      </c>
      <c r="O3085" s="1719">
        <f>H3085*M3085</f>
        <v>3.3990000000000008E-4</v>
      </c>
      <c r="P3085" s="1843">
        <f>M3085*K3085</f>
        <v>2.0394000000000003E-6</v>
      </c>
      <c r="Q3085" s="3396"/>
      <c r="R3085" s="2343"/>
      <c r="S3085" s="16"/>
      <c r="T3085" s="16"/>
      <c r="U3085" s="16"/>
      <c r="V3085" s="16"/>
    </row>
    <row r="3086" spans="1:22">
      <c r="A3086" s="16"/>
      <c r="B3086" s="553"/>
      <c r="C3086" s="1042"/>
      <c r="D3086" s="1811" t="s">
        <v>1067</v>
      </c>
      <c r="E3086" s="1853" t="s">
        <v>1508</v>
      </c>
      <c r="F3086" s="1754" t="s">
        <v>1512</v>
      </c>
      <c r="G3086" s="1755">
        <v>3</v>
      </c>
      <c r="H3086" s="1454">
        <f t="shared" si="263"/>
        <v>3.0000000000000001E-3</v>
      </c>
      <c r="I3086" s="1289"/>
      <c r="J3086" s="198"/>
      <c r="K3086" s="1722">
        <f t="shared" si="261"/>
        <v>1.8E-5</v>
      </c>
      <c r="L3086" s="1335">
        <f t="shared" si="262"/>
        <v>0</v>
      </c>
      <c r="M3086" s="1723">
        <v>18.28</v>
      </c>
      <c r="N3086" s="1718">
        <f>G3086*M3086</f>
        <v>54.84</v>
      </c>
      <c r="O3086" s="1719">
        <f>H3086*M3086</f>
        <v>5.4840000000000007E-2</v>
      </c>
      <c r="P3086" s="1731">
        <f>M3086*K3086</f>
        <v>3.2904000000000001E-4</v>
      </c>
      <c r="Q3086" s="3396"/>
      <c r="R3086" s="2343"/>
      <c r="S3086" s="16"/>
      <c r="T3086" s="16"/>
      <c r="U3086" s="16"/>
      <c r="V3086" s="16"/>
    </row>
    <row r="3087" spans="1:22">
      <c r="A3087" s="16"/>
      <c r="B3087" s="1042"/>
      <c r="C3087" s="1356" t="s">
        <v>1790</v>
      </c>
      <c r="D3087" s="1311"/>
      <c r="E3087" s="2137" t="s">
        <v>1517</v>
      </c>
      <c r="F3087" s="1343" t="s">
        <v>1791</v>
      </c>
      <c r="G3087" s="1776"/>
      <c r="H3087" s="1344">
        <v>1E-3</v>
      </c>
      <c r="I3087" s="1444"/>
      <c r="J3087" s="1388"/>
      <c r="K3087" s="1445"/>
      <c r="L3087" s="1457"/>
      <c r="M3087" s="1446"/>
      <c r="N3087" s="1447">
        <f>SUM(N3088:N3092)</f>
        <v>76.906580000000005</v>
      </c>
      <c r="O3087" s="1447">
        <f>SUM(O3088:O3092)</f>
        <v>7.6906580000000002E-2</v>
      </c>
      <c r="P3087" s="2335">
        <f>SUM(P3088:P3092)</f>
        <v>4.6143948000000005E-4</v>
      </c>
      <c r="Q3087" s="3391"/>
      <c r="R3087" s="2343"/>
      <c r="S3087" s="16"/>
      <c r="T3087" s="16"/>
      <c r="U3087" s="16"/>
      <c r="V3087" s="16"/>
    </row>
    <row r="3088" spans="1:22">
      <c r="A3088" s="16"/>
      <c r="B3088" s="1042"/>
      <c r="C3088" s="1327"/>
      <c r="D3088" s="1752" t="s">
        <v>1069</v>
      </c>
      <c r="E3088" s="1852" t="s">
        <v>1517</v>
      </c>
      <c r="F3088" s="1784" t="s">
        <v>1578</v>
      </c>
      <c r="G3088" s="1399">
        <v>0.2</v>
      </c>
      <c r="H3088" s="1453">
        <f>$H$3087*G3088</f>
        <v>2.0000000000000001E-4</v>
      </c>
      <c r="I3088" s="197"/>
      <c r="J3088" s="198"/>
      <c r="K3088" s="1722">
        <f t="shared" si="261"/>
        <v>1.2000000000000002E-6</v>
      </c>
      <c r="L3088" s="1335">
        <f t="shared" ref="L3088:L3092" si="264">K3088*$K$2842</f>
        <v>0</v>
      </c>
      <c r="M3088" s="1499">
        <v>0.55000000000000004</v>
      </c>
      <c r="N3088" s="1718">
        <f>G3088*M3088</f>
        <v>0.11000000000000001</v>
      </c>
      <c r="O3088" s="1719">
        <f>H3088*M3088</f>
        <v>1.1000000000000002E-4</v>
      </c>
      <c r="P3088" s="2334">
        <f>M3088*K3088</f>
        <v>6.6000000000000014E-7</v>
      </c>
      <c r="Q3088" s="3396"/>
      <c r="R3088" s="2338"/>
      <c r="S3088" s="16"/>
      <c r="T3088" s="16"/>
      <c r="U3088" s="16"/>
      <c r="V3088" s="16"/>
    </row>
    <row r="3089" spans="1:22">
      <c r="A3089" s="16"/>
      <c r="B3089" s="1042"/>
      <c r="C3089" s="1320"/>
      <c r="D3089" s="1752" t="s">
        <v>1792</v>
      </c>
      <c r="E3089" s="1852" t="s">
        <v>1577</v>
      </c>
      <c r="F3089" s="1752" t="s">
        <v>1793</v>
      </c>
      <c r="G3089" s="1399">
        <v>0.25</v>
      </c>
      <c r="H3089" s="1453">
        <f t="shared" ref="H3089:H3092" si="265">$H$3087*G3089</f>
        <v>2.5000000000000001E-4</v>
      </c>
      <c r="I3089" s="197"/>
      <c r="J3089" s="198"/>
      <c r="K3089" s="1722">
        <f>H3089*$K$3075</f>
        <v>1.5E-6</v>
      </c>
      <c r="L3089" s="1335">
        <f t="shared" si="264"/>
        <v>0</v>
      </c>
      <c r="M3089" s="1499">
        <v>85.09</v>
      </c>
      <c r="N3089" s="1718">
        <f>G3089*M3089</f>
        <v>21.272500000000001</v>
      </c>
      <c r="O3089" s="1719">
        <f>H3089*M3089</f>
        <v>2.12725E-2</v>
      </c>
      <c r="P3089" s="1731">
        <f>M3089*K3089</f>
        <v>1.2763500000000002E-4</v>
      </c>
      <c r="Q3089" s="3396"/>
      <c r="R3089" s="2338"/>
      <c r="S3089" s="16"/>
      <c r="T3089" s="16"/>
      <c r="U3089" s="16"/>
      <c r="V3089" s="16"/>
    </row>
    <row r="3090" spans="1:22">
      <c r="A3090" s="16"/>
      <c r="B3090" s="1042"/>
      <c r="C3090" s="1320"/>
      <c r="D3090" s="1752" t="s">
        <v>1394</v>
      </c>
      <c r="E3090" s="1852" t="s">
        <v>1577</v>
      </c>
      <c r="F3090" s="1752" t="s">
        <v>1579</v>
      </c>
      <c r="G3090" s="1399">
        <v>0.25</v>
      </c>
      <c r="H3090" s="1453">
        <f t="shared" si="265"/>
        <v>2.5000000000000001E-4</v>
      </c>
      <c r="I3090" s="197"/>
      <c r="J3090" s="198"/>
      <c r="K3090" s="1722">
        <f t="shared" si="261"/>
        <v>1.5E-6</v>
      </c>
      <c r="L3090" s="1335">
        <f t="shared" si="264"/>
        <v>0</v>
      </c>
      <c r="M3090" s="1499">
        <v>92.54</v>
      </c>
      <c r="N3090" s="1718">
        <f>G3090*M3090</f>
        <v>23.135000000000002</v>
      </c>
      <c r="O3090" s="1719">
        <f>H3090*M3090</f>
        <v>2.3135000000000003E-2</v>
      </c>
      <c r="P3090" s="1731">
        <f>M3090*K3090</f>
        <v>1.3881000000000001E-4</v>
      </c>
      <c r="Q3090" s="3396"/>
      <c r="R3090" s="2338"/>
      <c r="S3090" s="16"/>
      <c r="T3090" s="16"/>
      <c r="U3090" s="16"/>
      <c r="V3090" s="16"/>
    </row>
    <row r="3091" spans="1:22">
      <c r="A3091" s="16"/>
      <c r="B3091" s="1042"/>
      <c r="C3091" s="1320"/>
      <c r="D3091" s="1752" t="s">
        <v>1576</v>
      </c>
      <c r="E3091" s="1852" t="s">
        <v>1517</v>
      </c>
      <c r="F3091" s="1752" t="s">
        <v>1580</v>
      </c>
      <c r="G3091" s="1399">
        <v>1.5</v>
      </c>
      <c r="H3091" s="1453">
        <f t="shared" si="265"/>
        <v>1.5E-3</v>
      </c>
      <c r="I3091" s="197"/>
      <c r="J3091" s="198"/>
      <c r="K3091" s="1722">
        <f t="shared" si="261"/>
        <v>9.0000000000000002E-6</v>
      </c>
      <c r="L3091" s="1335">
        <f t="shared" si="264"/>
        <v>0</v>
      </c>
      <c r="M3091" s="1499">
        <v>6.53</v>
      </c>
      <c r="N3091" s="1718">
        <f>G3091*M3091</f>
        <v>9.7949999999999999</v>
      </c>
      <c r="O3091" s="1719">
        <f>H3091*M3091</f>
        <v>9.7949999999999999E-3</v>
      </c>
      <c r="P3091" s="1734">
        <f>M3091*K3091</f>
        <v>5.8770000000000001E-5</v>
      </c>
      <c r="Q3091" s="3396"/>
      <c r="R3091" s="2338"/>
      <c r="S3091" s="16"/>
      <c r="T3091" s="16"/>
      <c r="U3091" s="16"/>
      <c r="V3091" s="16"/>
    </row>
    <row r="3092" spans="1:22">
      <c r="A3092" s="16"/>
      <c r="B3092" s="1042"/>
      <c r="C3092" s="1320"/>
      <c r="D3092" s="1754" t="s">
        <v>1067</v>
      </c>
      <c r="E3092" s="1853" t="s">
        <v>1508</v>
      </c>
      <c r="F3092" s="1754" t="s">
        <v>1512</v>
      </c>
      <c r="G3092" s="1408">
        <v>1.236</v>
      </c>
      <c r="H3092" s="1454">
        <f t="shared" si="265"/>
        <v>1.2360000000000001E-3</v>
      </c>
      <c r="I3092" s="197"/>
      <c r="J3092" s="198"/>
      <c r="K3092" s="1722">
        <f t="shared" si="261"/>
        <v>7.4160000000000007E-6</v>
      </c>
      <c r="L3092" s="1335">
        <f t="shared" si="264"/>
        <v>0</v>
      </c>
      <c r="M3092" s="1499">
        <v>18.28</v>
      </c>
      <c r="N3092" s="1718">
        <f>G3092*M3092</f>
        <v>22.594080000000002</v>
      </c>
      <c r="O3092" s="1719">
        <f>H3092*M3092</f>
        <v>2.2594080000000002E-2</v>
      </c>
      <c r="P3092" s="1731">
        <f>M3092*K3092</f>
        <v>1.3556448000000003E-4</v>
      </c>
      <c r="Q3092" s="3396"/>
      <c r="R3092" s="2338"/>
      <c r="S3092" s="16"/>
      <c r="T3092" s="16"/>
      <c r="U3092" s="16"/>
      <c r="V3092" s="16"/>
    </row>
    <row r="3093" spans="1:22" ht="15" customHeight="1">
      <c r="A3093" s="16"/>
      <c r="B3093" s="1042"/>
      <c r="C3093" s="88"/>
      <c r="D3093" s="1752"/>
      <c r="E3093" s="1852"/>
      <c r="F3093" s="1752"/>
      <c r="G3093" s="1399"/>
      <c r="H3093" s="1399"/>
      <c r="I3093" s="197" t="str">
        <f ca="1">IF(COUNT(H3093:O3093)=0,"",(SUM(H3093:O3093)/COUNT(H3093:O3093)))</f>
        <v/>
      </c>
      <c r="J3093" s="198"/>
      <c r="K3093" s="1722"/>
      <c r="L3093" s="1335"/>
      <c r="M3093" s="1499"/>
      <c r="N3093" s="1718"/>
      <c r="O3093" s="1719"/>
      <c r="P3093" s="1731"/>
      <c r="Q3093" s="3396"/>
      <c r="R3093" s="2338"/>
      <c r="S3093" s="16"/>
      <c r="T3093" s="16"/>
      <c r="U3093" s="16"/>
      <c r="V3093" s="16"/>
    </row>
    <row r="3094" spans="1:22">
      <c r="A3094" s="16"/>
      <c r="B3094" s="1042"/>
      <c r="C3094" s="88"/>
      <c r="D3094" s="1359"/>
      <c r="E3094" s="1858"/>
      <c r="F3094" s="1360" t="s">
        <v>2</v>
      </c>
      <c r="G3094" s="1360"/>
      <c r="H3094" s="1362"/>
      <c r="I3094" s="1380" t="str">
        <f ca="1">IF(COUNT(H3094:O3094)=0,"",(SUM(H3094:O3094)/COUNT(H3094:O3094)))</f>
        <v/>
      </c>
      <c r="J3094" s="1381"/>
      <c r="K3094" s="1842"/>
      <c r="L3094" s="1458"/>
      <c r="M3094" s="1362"/>
      <c r="N3094" s="1362"/>
      <c r="O3094" s="1362"/>
      <c r="P3094" s="1458"/>
      <c r="Q3094" s="3387"/>
      <c r="R3094" s="2343"/>
      <c r="S3094" s="16"/>
      <c r="T3094" s="16"/>
      <c r="U3094" s="16"/>
      <c r="V3094" s="16"/>
    </row>
    <row r="3095" spans="1:22">
      <c r="A3095" s="16"/>
      <c r="B3095" s="1320"/>
      <c r="C3095" s="1042"/>
      <c r="D3095" s="1655" t="s">
        <v>1806</v>
      </c>
      <c r="E3095" s="1859" t="s">
        <v>1508</v>
      </c>
      <c r="F3095" s="1655" t="s">
        <v>1821</v>
      </c>
      <c r="G3095" s="1809">
        <v>0.69799999999999995</v>
      </c>
      <c r="H3095" s="1439"/>
      <c r="I3095" s="197"/>
      <c r="J3095" s="198"/>
      <c r="K3095" s="1722">
        <f t="shared" ref="K3095:K3097" si="266">G3095*$K$3075</f>
        <v>4.1879999999999999E-3</v>
      </c>
      <c r="L3095" s="1335">
        <f t="shared" ref="L3095:L3097" si="267">K3095*$K$2842</f>
        <v>0</v>
      </c>
      <c r="M3095" s="1499">
        <v>19.23</v>
      </c>
      <c r="N3095" s="1701"/>
      <c r="O3095" s="1290">
        <f>(G3095*M3095)</f>
        <v>13.42254</v>
      </c>
      <c r="P3095" s="1739">
        <f>M3095*K3095</f>
        <v>8.0535239999999994E-2</v>
      </c>
      <c r="Q3095" s="3391"/>
      <c r="R3095" s="3363"/>
      <c r="S3095" s="16"/>
      <c r="T3095" s="16"/>
      <c r="U3095" s="16"/>
      <c r="V3095" s="16"/>
    </row>
    <row r="3096" spans="1:22">
      <c r="A3096" s="16"/>
      <c r="B3096" s="1042"/>
      <c r="C3096" s="88"/>
      <c r="D3096" s="1655" t="s">
        <v>1826</v>
      </c>
      <c r="E3096" s="1859" t="s">
        <v>1508</v>
      </c>
      <c r="F3096" s="1655" t="s">
        <v>1827</v>
      </c>
      <c r="G3096" s="1809">
        <v>0.69799999999999995</v>
      </c>
      <c r="H3096" s="1365"/>
      <c r="I3096" s="1286"/>
      <c r="J3096" s="198"/>
      <c r="K3096" s="1722">
        <f t="shared" si="266"/>
        <v>4.1879999999999999E-3</v>
      </c>
      <c r="L3096" s="1335">
        <f t="shared" si="267"/>
        <v>0</v>
      </c>
      <c r="M3096" s="1302">
        <v>19.23</v>
      </c>
      <c r="N3096" s="1302"/>
      <c r="O3096" s="1290">
        <f>(G3096*M3096)</f>
        <v>13.42254</v>
      </c>
      <c r="P3096" s="1739">
        <f>M3096*K3096</f>
        <v>8.0535239999999994E-2</v>
      </c>
      <c r="Q3096" s="3391"/>
      <c r="R3096" s="2338"/>
      <c r="S3096" s="16"/>
      <c r="T3096" s="16"/>
      <c r="U3096" s="16"/>
      <c r="V3096" s="16"/>
    </row>
    <row r="3097" spans="1:22">
      <c r="A3097" s="16"/>
      <c r="B3097" s="1042"/>
      <c r="C3097" s="88"/>
      <c r="D3097" s="2192" t="s">
        <v>1802</v>
      </c>
      <c r="E3097" s="2267" t="s">
        <v>1508</v>
      </c>
      <c r="F3097" s="2192" t="s">
        <v>1804</v>
      </c>
      <c r="G3097" s="2193">
        <v>0.34799999999999998</v>
      </c>
      <c r="H3097" s="1362"/>
      <c r="I3097" s="197"/>
      <c r="J3097" s="198"/>
      <c r="K3097" s="1722">
        <f t="shared" si="266"/>
        <v>2.088E-3</v>
      </c>
      <c r="L3097" s="1335">
        <f t="shared" si="267"/>
        <v>0</v>
      </c>
      <c r="M3097" s="1302">
        <v>18.28</v>
      </c>
      <c r="N3097" s="7"/>
      <c r="O3097" s="1290">
        <f>(G3097*M3097)</f>
        <v>6.36144</v>
      </c>
      <c r="P3097" s="1739">
        <f>M3097*K3097</f>
        <v>3.8168640000000004E-2</v>
      </c>
      <c r="Q3097" s="3391"/>
      <c r="R3097" s="2338"/>
      <c r="S3097" s="16"/>
      <c r="T3097" s="16"/>
      <c r="U3097" s="16"/>
      <c r="V3097" s="16"/>
    </row>
    <row r="3098" spans="1:22">
      <c r="A3098" s="16"/>
      <c r="B3098" s="1042"/>
      <c r="C3098" s="88"/>
      <c r="D3098" s="1620"/>
      <c r="E3098" s="2157"/>
      <c r="F3098" s="1620"/>
      <c r="G3098" s="1621"/>
      <c r="H3098" s="1362"/>
      <c r="I3098" s="197"/>
      <c r="J3098" s="198"/>
      <c r="K3098" s="1722"/>
      <c r="L3098" s="1335"/>
      <c r="M3098" s="1302"/>
      <c r="N3098" s="7"/>
      <c r="O3098" s="1290"/>
      <c r="P3098" s="1739"/>
      <c r="Q3098" s="3391"/>
      <c r="R3098" s="2338"/>
      <c r="S3098" s="16"/>
      <c r="T3098" s="16"/>
      <c r="U3098" s="16"/>
      <c r="V3098" s="16"/>
    </row>
    <row r="3099" spans="1:22">
      <c r="A3099" s="16"/>
      <c r="B3099" s="1042"/>
      <c r="C3099" s="88"/>
      <c r="D3099" s="1373"/>
      <c r="E3099" s="2123"/>
      <c r="F3099" s="1374" t="s">
        <v>3</v>
      </c>
      <c r="G3099" s="1374"/>
      <c r="H3099" s="1376"/>
      <c r="I3099" s="1382" t="str">
        <f t="shared" ref="I3099:I3102" ca="1" si="268">IF(COUNT(H3099:O3099)=0,"",(SUM(H3099:O3099)/COUNT(H3099:O3099)))</f>
        <v/>
      </c>
      <c r="J3099" s="1383"/>
      <c r="K3099" s="1373"/>
      <c r="L3099" s="1413"/>
      <c r="M3099" s="1376"/>
      <c r="N3099" s="1376"/>
      <c r="O3099" s="1376"/>
      <c r="P3099" s="1413"/>
      <c r="Q3099" s="3387"/>
      <c r="R3099" s="2343"/>
      <c r="S3099" s="16"/>
      <c r="T3099" s="16"/>
      <c r="U3099" s="16"/>
      <c r="V3099" s="16"/>
    </row>
    <row r="3100" spans="1:22">
      <c r="A3100" s="16"/>
      <c r="B3100" s="1042"/>
      <c r="C3100" s="88"/>
      <c r="D3100" s="1440"/>
      <c r="E3100" s="2132"/>
      <c r="F3100" s="1441"/>
      <c r="G3100" s="1441"/>
      <c r="H3100" s="1442"/>
      <c r="I3100" s="197" t="str">
        <f t="shared" ca="1" si="268"/>
        <v/>
      </c>
      <c r="J3100" s="198"/>
      <c r="K3100" s="1307"/>
      <c r="L3100" s="1335"/>
      <c r="M3100" s="1499"/>
      <c r="N3100" s="1701"/>
      <c r="O3100" s="1290"/>
      <c r="P3100" s="1332"/>
      <c r="Q3100" s="3391"/>
      <c r="R3100" s="2338"/>
      <c r="S3100" s="16"/>
      <c r="T3100" s="16"/>
      <c r="U3100" s="16"/>
      <c r="V3100" s="16"/>
    </row>
    <row r="3101" spans="1:22">
      <c r="A3101" s="16"/>
      <c r="B3101" s="1042"/>
      <c r="C3101" s="88"/>
      <c r="D3101" s="1440"/>
      <c r="E3101" s="2132"/>
      <c r="F3101" s="1441"/>
      <c r="G3101" s="1441"/>
      <c r="H3101" s="1442"/>
      <c r="I3101" s="197" t="str">
        <f t="shared" ca="1" si="268"/>
        <v/>
      </c>
      <c r="J3101" s="198"/>
      <c r="K3101" s="1307"/>
      <c r="L3101" s="1335"/>
      <c r="M3101" s="1499"/>
      <c r="N3101" s="1701"/>
      <c r="O3101" s="1290"/>
      <c r="P3101" s="1332"/>
      <c r="Q3101" s="3391"/>
      <c r="R3101" s="2338"/>
      <c r="S3101" s="105"/>
      <c r="T3101" s="105"/>
      <c r="U3101" s="16"/>
      <c r="V3101" s="16"/>
    </row>
    <row r="3102" spans="1:22">
      <c r="A3102" s="16"/>
      <c r="B3102" s="223"/>
      <c r="C3102" s="581"/>
      <c r="D3102" s="1440"/>
      <c r="E3102" s="2132"/>
      <c r="F3102" s="1441"/>
      <c r="G3102" s="1441"/>
      <c r="H3102" s="1442"/>
      <c r="I3102" s="197" t="str">
        <f t="shared" ca="1" si="268"/>
        <v/>
      </c>
      <c r="J3102" s="198"/>
      <c r="K3102" s="1307"/>
      <c r="L3102" s="1335"/>
      <c r="M3102" s="1499"/>
      <c r="N3102" s="1701"/>
      <c r="O3102" s="1290"/>
      <c r="P3102" s="1332"/>
      <c r="Q3102" s="3391"/>
      <c r="R3102" s="2338"/>
      <c r="S3102" s="16"/>
      <c r="T3102" s="16"/>
      <c r="U3102" s="16"/>
      <c r="V3102" s="16"/>
    </row>
    <row r="3103" spans="1:22">
      <c r="A3103" s="16" t="s">
        <v>3764</v>
      </c>
      <c r="B3103" s="4325" t="s">
        <v>1893</v>
      </c>
      <c r="C3103" s="3350"/>
      <c r="D3103" s="4327"/>
      <c r="E3103" s="4329" t="s">
        <v>1507</v>
      </c>
      <c r="F3103" s="4461" t="s">
        <v>1894</v>
      </c>
      <c r="G3103" s="4331" t="s">
        <v>1568</v>
      </c>
      <c r="H3103" s="4331" t="s">
        <v>1574</v>
      </c>
      <c r="I3103" s="1572" t="s">
        <v>1559</v>
      </c>
      <c r="J3103" s="1294" t="s">
        <v>1560</v>
      </c>
      <c r="K3103" s="1294" t="s">
        <v>1561</v>
      </c>
      <c r="L3103" s="4333" t="s">
        <v>3765</v>
      </c>
      <c r="M3103" s="4323" t="s">
        <v>1571</v>
      </c>
      <c r="N3103" s="4323" t="s">
        <v>1776</v>
      </c>
      <c r="O3103" s="3347" t="s">
        <v>1563</v>
      </c>
      <c r="P3103" s="1336" t="s">
        <v>1562</v>
      </c>
      <c r="Q3103" s="3389"/>
      <c r="R3103" s="1839" t="s">
        <v>1327</v>
      </c>
      <c r="S3103" s="16"/>
      <c r="T3103" s="16"/>
      <c r="U3103" s="16"/>
      <c r="V3103" s="16"/>
    </row>
    <row r="3104" spans="1:22">
      <c r="A3104" s="1971" t="s">
        <v>1967</v>
      </c>
      <c r="B3104" s="4326"/>
      <c r="C3104" s="3351"/>
      <c r="D3104" s="4328"/>
      <c r="E3104" s="4330"/>
      <c r="F3104" s="4462"/>
      <c r="G3104" s="4332"/>
      <c r="H3104" s="4332"/>
      <c r="I3104" s="4079">
        <v>319.68</v>
      </c>
      <c r="J3104" s="3815">
        <v>3.0000000000000001E-3</v>
      </c>
      <c r="K3104" s="1307">
        <f>I3104*J3104</f>
        <v>0.95904</v>
      </c>
      <c r="L3104" s="4334"/>
      <c r="M3104" s="4324"/>
      <c r="N3104" s="4324"/>
      <c r="O3104" s="1298">
        <f>O3106+O3107+O3111+O3112</f>
        <v>13.355</v>
      </c>
      <c r="P3104" s="1337">
        <f>K3104*O3104</f>
        <v>12.8079792</v>
      </c>
      <c r="Q3104" s="3390"/>
      <c r="R3104" s="1840">
        <f>P3106+P3107+P3111+P3112</f>
        <v>12.807979199999998</v>
      </c>
      <c r="S3104" s="16"/>
      <c r="T3104" s="16"/>
      <c r="U3104" s="16"/>
      <c r="V3104" s="16"/>
    </row>
    <row r="3105" spans="1:22">
      <c r="A3105" s="16"/>
      <c r="B3105" s="18"/>
      <c r="D3105" s="1449"/>
      <c r="E3105" s="2121"/>
      <c r="F3105" s="1368" t="s">
        <v>1</v>
      </c>
      <c r="G3105" s="1368"/>
      <c r="H3105" s="1369"/>
      <c r="I3105" s="1409"/>
      <c r="J3105" s="1391"/>
      <c r="K3105" s="1367"/>
      <c r="L3105" s="1554"/>
      <c r="M3105" s="1369"/>
      <c r="N3105" s="1369"/>
      <c r="O3105" s="1369"/>
      <c r="P3105" s="1367"/>
      <c r="Q3105" s="3387"/>
      <c r="R3105" s="2343"/>
      <c r="S3105" s="16"/>
      <c r="T3105" s="16"/>
      <c r="U3105" s="16"/>
      <c r="V3105" s="16"/>
    </row>
    <row r="3106" spans="1:22">
      <c r="A3106" s="16"/>
      <c r="B3106" s="1042"/>
      <c r="D3106" s="1767" t="s">
        <v>1082</v>
      </c>
      <c r="E3106" s="1849" t="s">
        <v>1504</v>
      </c>
      <c r="F3106" s="1598" t="s">
        <v>1541</v>
      </c>
      <c r="G3106" s="1567">
        <v>1</v>
      </c>
      <c r="H3106" s="1567"/>
      <c r="I3106" s="1286"/>
      <c r="J3106" s="198"/>
      <c r="K3106" s="1350">
        <f>G3106*$K$3104</f>
        <v>0.95904</v>
      </c>
      <c r="L3106" s="1335">
        <f t="shared" ref="L3106:L3107" si="269">K3106*$K$2842</f>
        <v>0</v>
      </c>
      <c r="M3106" s="1499">
        <v>0.3</v>
      </c>
      <c r="N3106" s="1700"/>
      <c r="O3106" s="1290">
        <f>G3106*M3106</f>
        <v>0.3</v>
      </c>
      <c r="P3106" s="1739">
        <f>M3106*K3106</f>
        <v>0.28771199999999997</v>
      </c>
      <c r="Q3106" s="3391"/>
      <c r="R3106" s="2343"/>
      <c r="S3106" s="16"/>
      <c r="T3106" s="16"/>
      <c r="U3106" s="16"/>
      <c r="V3106" s="16"/>
    </row>
    <row r="3107" spans="1:22">
      <c r="A3107" s="16"/>
      <c r="B3107" s="1042"/>
      <c r="D3107" s="1769" t="s">
        <v>1143</v>
      </c>
      <c r="E3107" s="1850" t="s">
        <v>1517</v>
      </c>
      <c r="F3107" s="1770" t="s">
        <v>1895</v>
      </c>
      <c r="G3107" s="1771">
        <v>0.06</v>
      </c>
      <c r="H3107" s="1771"/>
      <c r="I3107" s="1286"/>
      <c r="J3107" s="198"/>
      <c r="K3107" s="1350">
        <f>G3107*$K$3104</f>
        <v>5.75424E-2</v>
      </c>
      <c r="L3107" s="1335">
        <f t="shared" si="269"/>
        <v>0</v>
      </c>
      <c r="M3107" s="1302">
        <v>183.12</v>
      </c>
      <c r="N3107" s="1700"/>
      <c r="O3107" s="1290">
        <f>G3107*M3107</f>
        <v>10.9872</v>
      </c>
      <c r="P3107" s="1739">
        <f>M3107*K3107</f>
        <v>10.537164288</v>
      </c>
      <c r="Q3107" s="3391"/>
      <c r="R3107" s="2343"/>
      <c r="S3107" s="16"/>
      <c r="T3107" s="16"/>
      <c r="U3107" s="16"/>
      <c r="V3107" s="16"/>
    </row>
    <row r="3108" spans="1:22">
      <c r="A3108" s="16"/>
      <c r="B3108" s="1042"/>
      <c r="C3108" s="1320"/>
      <c r="D3108" s="1752"/>
      <c r="E3108" s="1852"/>
      <c r="F3108" s="1752"/>
      <c r="G3108" s="1399"/>
      <c r="H3108" s="1453"/>
      <c r="I3108" s="197"/>
      <c r="J3108" s="198"/>
      <c r="K3108" s="1350"/>
      <c r="L3108" s="1335"/>
      <c r="M3108" s="1499"/>
      <c r="N3108" s="1718"/>
      <c r="O3108" s="1719"/>
      <c r="P3108" s="1843"/>
      <c r="Q3108" s="3396"/>
      <c r="R3108" s="2338"/>
      <c r="S3108" s="16"/>
      <c r="T3108" s="16"/>
      <c r="U3108" s="16"/>
      <c r="V3108" s="16"/>
    </row>
    <row r="3109" spans="1:22">
      <c r="A3109" s="16"/>
      <c r="B3109" s="1042"/>
      <c r="C3109" s="88"/>
      <c r="D3109" s="1752"/>
      <c r="E3109" s="1852"/>
      <c r="F3109" s="1752"/>
      <c r="G3109" s="1399"/>
      <c r="H3109" s="1399"/>
      <c r="I3109" s="197" t="str">
        <f ca="1">IF(COUNT(H3109:O3109)=0,"",(SUM(H3109:O3109)/COUNT(H3109:O3109)))</f>
        <v/>
      </c>
      <c r="J3109" s="198"/>
      <c r="K3109" s="1350"/>
      <c r="L3109" s="1335"/>
      <c r="M3109" s="1499"/>
      <c r="N3109" s="1718"/>
      <c r="O3109" s="1719"/>
      <c r="P3109" s="1731"/>
      <c r="Q3109" s="3396"/>
      <c r="R3109" s="2338"/>
      <c r="S3109" s="16"/>
      <c r="T3109" s="16"/>
      <c r="U3109" s="16"/>
      <c r="V3109" s="16"/>
    </row>
    <row r="3110" spans="1:22">
      <c r="A3110" s="16"/>
      <c r="B3110" s="1042"/>
      <c r="C3110" s="88"/>
      <c r="D3110" s="1359"/>
      <c r="E3110" s="1858"/>
      <c r="F3110" s="1360" t="s">
        <v>2</v>
      </c>
      <c r="G3110" s="1360"/>
      <c r="H3110" s="1362"/>
      <c r="I3110" s="1380" t="str">
        <f ca="1">IF(COUNT(H3110:O3110)=0,"",(SUM(H3110:O3110)/COUNT(H3110:O3110)))</f>
        <v/>
      </c>
      <c r="J3110" s="1381"/>
      <c r="K3110" s="1458"/>
      <c r="L3110" s="1458"/>
      <c r="M3110" s="1362"/>
      <c r="N3110" s="1362"/>
      <c r="O3110" s="1362"/>
      <c r="P3110" s="1458"/>
      <c r="Q3110" s="3387"/>
      <c r="R3110" s="2343"/>
      <c r="S3110" s="16"/>
      <c r="T3110" s="16"/>
      <c r="U3110" s="16"/>
      <c r="V3110" s="16"/>
    </row>
    <row r="3111" spans="1:22">
      <c r="A3111" s="16"/>
      <c r="B3111" s="1320"/>
      <c r="C3111" s="1042"/>
      <c r="D3111" s="1655" t="s">
        <v>1896</v>
      </c>
      <c r="E3111" s="1859" t="s">
        <v>1508</v>
      </c>
      <c r="F3111" s="1655" t="s">
        <v>1897</v>
      </c>
      <c r="G3111" s="1809">
        <v>0.06</v>
      </c>
      <c r="H3111" s="1439"/>
      <c r="I3111" s="197"/>
      <c r="J3111" s="198"/>
      <c r="K3111" s="1350">
        <f>G3111*$K$3104</f>
        <v>5.75424E-2</v>
      </c>
      <c r="L3111" s="1335">
        <f t="shared" ref="L3111:L3112" si="270">K3111*$K$2842</f>
        <v>0</v>
      </c>
      <c r="M3111" s="1499">
        <v>19.23</v>
      </c>
      <c r="N3111" s="1701"/>
      <c r="O3111" s="1290">
        <f>(G3111*M3111)</f>
        <v>1.1537999999999999</v>
      </c>
      <c r="P3111" s="1739">
        <f>M3111*K3111</f>
        <v>1.1065403520000001</v>
      </c>
      <c r="Q3111" s="3391"/>
      <c r="R3111" s="3363"/>
      <c r="S3111" s="16"/>
      <c r="T3111" s="16"/>
      <c r="U3111" s="16"/>
      <c r="V3111" s="16"/>
    </row>
    <row r="3112" spans="1:22">
      <c r="A3112" s="16"/>
      <c r="B3112" s="1042"/>
      <c r="C3112" s="88"/>
      <c r="D3112" s="1655" t="s">
        <v>1802</v>
      </c>
      <c r="E3112" s="1859" t="s">
        <v>1508</v>
      </c>
      <c r="F3112" s="1655" t="s">
        <v>1804</v>
      </c>
      <c r="G3112" s="1809">
        <v>0.05</v>
      </c>
      <c r="H3112" s="1362"/>
      <c r="I3112" s="197">
        <f ca="1">IF(COUNT(G3112:L3112)=0,"",(SUM(G3112:L3112)/COUNT(G3112:L3112)))</f>
        <v>3.3004752604166666E-2</v>
      </c>
      <c r="J3112" s="198"/>
      <c r="K3112" s="1350">
        <f>G3112*$K$3104</f>
        <v>4.7952000000000002E-2</v>
      </c>
      <c r="L3112" s="1335">
        <f t="shared" si="270"/>
        <v>0</v>
      </c>
      <c r="M3112" s="1302">
        <v>18.28</v>
      </c>
      <c r="N3112" s="7"/>
      <c r="O3112" s="1290">
        <f>(G3112*M3112)</f>
        <v>0.91400000000000015</v>
      </c>
      <c r="P3112" s="1739">
        <f>M3112*K3112</f>
        <v>0.8765625600000001</v>
      </c>
      <c r="Q3112" s="3391"/>
      <c r="R3112" s="2338"/>
      <c r="S3112" s="17"/>
      <c r="T3112" s="17"/>
      <c r="U3112" s="16"/>
      <c r="V3112" s="16"/>
    </row>
    <row r="3113" spans="1:22">
      <c r="A3113" s="16"/>
      <c r="B3113" s="1042"/>
      <c r="C3113" s="88"/>
      <c r="D3113" s="1655"/>
      <c r="E3113" s="1859"/>
      <c r="F3113" s="1655"/>
      <c r="G3113" s="1809"/>
      <c r="H3113" s="1362"/>
      <c r="I3113" s="197"/>
      <c r="J3113" s="198"/>
      <c r="K3113" s="1350"/>
      <c r="L3113" s="1335"/>
      <c r="M3113" s="1302"/>
      <c r="N3113" s="7"/>
      <c r="O3113" s="1290"/>
      <c r="P3113" s="1739"/>
      <c r="Q3113" s="3391"/>
      <c r="R3113" s="2338"/>
      <c r="S3113" s="105"/>
      <c r="T3113" s="105"/>
      <c r="U3113" s="16"/>
      <c r="V3113" s="16"/>
    </row>
    <row r="3114" spans="1:22">
      <c r="A3114" s="16"/>
      <c r="B3114" s="1042"/>
      <c r="C3114" s="88"/>
      <c r="D3114" s="1373"/>
      <c r="E3114" s="2123"/>
      <c r="F3114" s="1374" t="s">
        <v>3</v>
      </c>
      <c r="G3114" s="1374"/>
      <c r="H3114" s="1376"/>
      <c r="I3114" s="1382" t="str">
        <f t="shared" ref="I3114" ca="1" si="271">IF(COUNT(H3114:O3114)=0,"",(SUM(H3114:O3114)/COUNT(H3114:O3114)))</f>
        <v/>
      </c>
      <c r="J3114" s="1383"/>
      <c r="K3114" s="1373"/>
      <c r="L3114" s="1413"/>
      <c r="M3114" s="1376"/>
      <c r="N3114" s="1376"/>
      <c r="O3114" s="1376"/>
      <c r="P3114" s="1413"/>
      <c r="Q3114" s="3387"/>
      <c r="R3114" s="2343"/>
      <c r="S3114" s="16"/>
      <c r="T3114" s="2336"/>
      <c r="U3114" s="16"/>
      <c r="V3114" s="16"/>
    </row>
    <row r="3115" spans="1:22">
      <c r="A3115" s="22"/>
      <c r="B3115" s="1042"/>
      <c r="C3115" s="1042"/>
      <c r="D3115" s="1411" t="s">
        <v>1686</v>
      </c>
      <c r="E3115" s="2123" t="s">
        <v>1803</v>
      </c>
      <c r="F3115" s="1475" t="s">
        <v>1688</v>
      </c>
      <c r="G3115" s="1376">
        <v>0.49</v>
      </c>
      <c r="H3115" s="1376"/>
      <c r="I3115" s="198"/>
      <c r="J3115" s="6"/>
      <c r="K3115" s="1350">
        <f>G3115*$K$3104</f>
        <v>0.4699296</v>
      </c>
      <c r="L3115" s="1335">
        <f>K3115*$K$2842</f>
        <v>0</v>
      </c>
      <c r="M3115" s="1499">
        <v>7.5</v>
      </c>
      <c r="N3115" s="1701"/>
      <c r="O3115" s="1290">
        <f>(G3115*M3115)</f>
        <v>3.6749999999999998</v>
      </c>
      <c r="P3115" s="1332">
        <f>M3115*K3115</f>
        <v>3.5244719999999998</v>
      </c>
      <c r="Q3115" s="3391"/>
      <c r="R3115" s="3363"/>
      <c r="S3115" s="16"/>
      <c r="T3115" s="16"/>
      <c r="U3115" s="16"/>
      <c r="V3115" s="16"/>
    </row>
    <row r="3116" spans="1:22">
      <c r="A3116" s="22"/>
      <c r="B3116" s="553"/>
      <c r="C3116" s="1042"/>
      <c r="D3116" s="1411"/>
      <c r="E3116" s="2123"/>
      <c r="F3116" s="1475"/>
      <c r="G3116" s="1475"/>
      <c r="H3116" s="1376"/>
      <c r="I3116" s="198"/>
      <c r="J3116" s="6"/>
      <c r="K3116" s="1307"/>
      <c r="L3116" s="1335"/>
      <c r="M3116" s="1499"/>
      <c r="N3116" s="1701"/>
      <c r="O3116" s="1290"/>
      <c r="P3116" s="1332"/>
      <c r="Q3116" s="3391"/>
      <c r="R3116" s="3363"/>
      <c r="S3116" s="16"/>
      <c r="T3116" s="16"/>
      <c r="U3116" s="16"/>
      <c r="V3116" s="16"/>
    </row>
    <row r="3117" spans="1:22">
      <c r="A3117" s="22"/>
      <c r="B3117" s="554"/>
      <c r="C3117" s="223"/>
      <c r="D3117" s="1808"/>
      <c r="E3117" s="2132"/>
      <c r="F3117" s="1804"/>
      <c r="G3117" s="1804"/>
      <c r="H3117" s="1805"/>
      <c r="I3117" s="197"/>
      <c r="J3117" s="1806"/>
      <c r="K3117" s="1307"/>
      <c r="L3117" s="1335"/>
      <c r="M3117" s="1701"/>
      <c r="N3117" s="1701"/>
      <c r="O3117" s="1290"/>
      <c r="P3117" s="1333"/>
      <c r="Q3117" s="3391"/>
      <c r="R3117" s="3363"/>
      <c r="S3117" s="16"/>
      <c r="T3117" s="16"/>
      <c r="U3117" s="16"/>
      <c r="V3117" s="16"/>
    </row>
    <row r="3118" spans="1:22" ht="15" customHeight="1">
      <c r="A3118" s="16" t="s">
        <v>3764</v>
      </c>
      <c r="B3118" s="4325" t="s">
        <v>2798</v>
      </c>
      <c r="C3118" s="3350"/>
      <c r="D3118" s="4327"/>
      <c r="E3118" s="4329" t="s">
        <v>1507</v>
      </c>
      <c r="F3118" s="4461" t="s">
        <v>1956</v>
      </c>
      <c r="G3118" s="4331" t="s">
        <v>1568</v>
      </c>
      <c r="H3118" s="4331" t="s">
        <v>1574</v>
      </c>
      <c r="I3118" s="1572" t="s">
        <v>1559</v>
      </c>
      <c r="J3118" s="1294" t="s">
        <v>1560</v>
      </c>
      <c r="K3118" s="1294" t="s">
        <v>1561</v>
      </c>
      <c r="L3118" s="4333" t="s">
        <v>3765</v>
      </c>
      <c r="M3118" s="4323" t="s">
        <v>1571</v>
      </c>
      <c r="N3118" s="4323" t="s">
        <v>1776</v>
      </c>
      <c r="O3118" s="3347" t="s">
        <v>1563</v>
      </c>
      <c r="P3118" s="1336" t="s">
        <v>1562</v>
      </c>
      <c r="Q3118" s="3389"/>
      <c r="R3118" s="1839" t="s">
        <v>1327</v>
      </c>
      <c r="S3118" s="16"/>
      <c r="T3118" s="16"/>
      <c r="U3118" s="16"/>
      <c r="V3118" s="16"/>
    </row>
    <row r="3119" spans="1:22">
      <c r="A3119" s="1971" t="s">
        <v>1967</v>
      </c>
      <c r="B3119" s="4326"/>
      <c r="C3119" s="3351"/>
      <c r="D3119" s="4328"/>
      <c r="E3119" s="4330"/>
      <c r="F3119" s="4462"/>
      <c r="G3119" s="4332"/>
      <c r="H3119" s="4332"/>
      <c r="I3119" s="4079">
        <v>319.68</v>
      </c>
      <c r="J3119" s="3815">
        <v>3.0000000000000001E-3</v>
      </c>
      <c r="K3119" s="1307">
        <f>I3119*J3119</f>
        <v>0.95904</v>
      </c>
      <c r="L3119" s="4334"/>
      <c r="M3119" s="4324"/>
      <c r="N3119" s="4324"/>
      <c r="O3119" s="1298">
        <f>SUM(O3121:O3135)</f>
        <v>80.167900000000003</v>
      </c>
      <c r="P3119" s="1337">
        <f>K3119*O3119</f>
        <v>76.884222816000005</v>
      </c>
      <c r="Q3119" s="3390"/>
      <c r="R3119" s="1840">
        <f>SUM(P3121:P3135)</f>
        <v>76.884222816000005</v>
      </c>
      <c r="S3119" s="16"/>
      <c r="T3119" s="16"/>
      <c r="U3119" s="16"/>
      <c r="V3119" s="16"/>
    </row>
    <row r="3120" spans="1:22">
      <c r="A3120" s="16"/>
      <c r="B3120" s="18"/>
      <c r="D3120" s="1449"/>
      <c r="E3120" s="2121"/>
      <c r="F3120" s="1368" t="s">
        <v>1</v>
      </c>
      <c r="G3120" s="1368"/>
      <c r="H3120" s="1369"/>
      <c r="I3120" s="1409"/>
      <c r="J3120" s="1391"/>
      <c r="K3120" s="1367"/>
      <c r="L3120" s="1554"/>
      <c r="M3120" s="1369"/>
      <c r="N3120" s="1369"/>
      <c r="O3120" s="1369"/>
      <c r="P3120" s="1367"/>
      <c r="Q3120" s="3387"/>
      <c r="R3120" s="2343"/>
      <c r="S3120" s="16"/>
      <c r="T3120" s="16"/>
      <c r="U3120" s="16"/>
      <c r="V3120" s="16"/>
    </row>
    <row r="3121" spans="1:22">
      <c r="A3121" s="16"/>
      <c r="B3121" s="553"/>
      <c r="C3121" s="1042"/>
      <c r="D3121" s="1974" t="s">
        <v>1963</v>
      </c>
      <c r="E3121" s="2154" t="s">
        <v>1504</v>
      </c>
      <c r="F3121" s="1598" t="s">
        <v>1964</v>
      </c>
      <c r="G3121" s="1612">
        <v>8.5</v>
      </c>
      <c r="H3121" s="1453"/>
      <c r="I3121" s="198"/>
      <c r="J3121" s="198"/>
      <c r="K3121" s="1350">
        <f>G3121*$K$3119</f>
        <v>8.15184</v>
      </c>
      <c r="L3121" s="1335">
        <f>K3121*$K$2842</f>
        <v>0</v>
      </c>
      <c r="M3121" s="1602">
        <v>2.5</v>
      </c>
      <c r="N3121" s="1718"/>
      <c r="O3121" s="1290">
        <f>G3121*M3121</f>
        <v>21.25</v>
      </c>
      <c r="P3121" s="1739">
        <f>M3121*K3121</f>
        <v>20.3796</v>
      </c>
      <c r="Q3121" s="3391"/>
      <c r="R3121" s="2343"/>
      <c r="S3121" s="16"/>
      <c r="T3121" s="16"/>
      <c r="U3121" s="16"/>
      <c r="V3121" s="16"/>
    </row>
    <row r="3122" spans="1:22" ht="15" customHeight="1">
      <c r="A3122" s="16"/>
      <c r="B3122" s="1042"/>
      <c r="D3122" s="1974" t="s">
        <v>1957</v>
      </c>
      <c r="E3122" s="2154" t="s">
        <v>1504</v>
      </c>
      <c r="F3122" s="1598" t="s">
        <v>1958</v>
      </c>
      <c r="G3122" s="1612">
        <v>2.12</v>
      </c>
      <c r="H3122" s="1567"/>
      <c r="I3122" s="1286"/>
      <c r="J3122" s="198"/>
      <c r="K3122" s="1350">
        <f>G3122*$K$3119</f>
        <v>2.0331648000000002</v>
      </c>
      <c r="L3122" s="1335">
        <f t="shared" ref="L3122:L3125" si="272">K3122*$K$2842</f>
        <v>0</v>
      </c>
      <c r="M3122" s="1602">
        <v>2.12</v>
      </c>
      <c r="N3122" s="1700"/>
      <c r="O3122" s="1290">
        <f>G3122*M3122</f>
        <v>4.4944000000000006</v>
      </c>
      <c r="P3122" s="1739">
        <f>M3122*K3122</f>
        <v>4.3103093760000011</v>
      </c>
      <c r="Q3122" s="3391"/>
      <c r="R3122" s="2343"/>
      <c r="S3122" s="16"/>
      <c r="T3122" s="16"/>
      <c r="U3122" s="16"/>
      <c r="V3122" s="16"/>
    </row>
    <row r="3123" spans="1:22">
      <c r="A3123" s="16"/>
      <c r="B3123" s="1042"/>
      <c r="D3123" s="1974" t="s">
        <v>1959</v>
      </c>
      <c r="E3123" s="2154" t="s">
        <v>1527</v>
      </c>
      <c r="F3123" s="1598" t="s">
        <v>1960</v>
      </c>
      <c r="G3123" s="1612">
        <v>0.42</v>
      </c>
      <c r="H3123" s="1771"/>
      <c r="I3123" s="1286"/>
      <c r="J3123" s="198"/>
      <c r="K3123" s="1350">
        <f>G3123*$K$3119</f>
        <v>0.40279680000000001</v>
      </c>
      <c r="L3123" s="1335">
        <f t="shared" si="272"/>
        <v>0</v>
      </c>
      <c r="M3123" s="1602">
        <v>4.32</v>
      </c>
      <c r="N3123" s="1700"/>
      <c r="O3123" s="1290">
        <f>G3123*M3123</f>
        <v>1.8144</v>
      </c>
      <c r="P3123" s="1739">
        <f>M3123*K3123</f>
        <v>1.7400821760000003</v>
      </c>
      <c r="Q3123" s="3391"/>
      <c r="R3123" s="2343"/>
      <c r="S3123" s="16"/>
      <c r="T3123" s="16"/>
      <c r="U3123" s="16"/>
      <c r="V3123" s="16"/>
    </row>
    <row r="3124" spans="1:22">
      <c r="A3124" s="16"/>
      <c r="B3124" s="553"/>
      <c r="C3124" s="1042"/>
      <c r="D3124" s="1974" t="s">
        <v>1961</v>
      </c>
      <c r="E3124" s="2154" t="s">
        <v>1527</v>
      </c>
      <c r="F3124" s="1598" t="s">
        <v>1962</v>
      </c>
      <c r="G3124" s="1612">
        <v>2.12</v>
      </c>
      <c r="H3124" s="1453"/>
      <c r="I3124" s="197"/>
      <c r="J3124" s="198"/>
      <c r="K3124" s="1350">
        <f>G3124*$K$3119</f>
        <v>2.0331648000000002</v>
      </c>
      <c r="L3124" s="1335">
        <f t="shared" si="272"/>
        <v>0</v>
      </c>
      <c r="M3124" s="1602">
        <v>6.78</v>
      </c>
      <c r="N3124" s="1718"/>
      <c r="O3124" s="1290">
        <f>G3124*M3124</f>
        <v>14.373600000000001</v>
      </c>
      <c r="P3124" s="1739">
        <f>M3124*K3124</f>
        <v>13.784857344000002</v>
      </c>
      <c r="Q3124" s="3391"/>
      <c r="R3124" s="2343"/>
      <c r="S3124" s="16"/>
      <c r="T3124" s="16"/>
      <c r="U3124" s="16"/>
      <c r="V3124" s="16"/>
    </row>
    <row r="3125" spans="1:22">
      <c r="A3125" s="16"/>
      <c r="B3125" s="553"/>
      <c r="C3125" s="1042"/>
      <c r="D3125" s="1974" t="s">
        <v>1097</v>
      </c>
      <c r="E3125" s="2154" t="s">
        <v>1504</v>
      </c>
      <c r="F3125" s="1598" t="s">
        <v>1632</v>
      </c>
      <c r="G3125" s="1612">
        <v>5</v>
      </c>
      <c r="H3125" s="1453"/>
      <c r="I3125" s="27"/>
      <c r="J3125" s="10"/>
      <c r="K3125" s="1350">
        <f>G3125*$K$3119</f>
        <v>4.7952000000000004</v>
      </c>
      <c r="L3125" s="1335">
        <f t="shared" si="272"/>
        <v>0</v>
      </c>
      <c r="M3125" s="1602">
        <v>0.55000000000000004</v>
      </c>
      <c r="N3125" s="1718"/>
      <c r="O3125" s="1290">
        <f>G3125*M3125</f>
        <v>2.75</v>
      </c>
      <c r="P3125" s="1739">
        <f>M3125*K3125</f>
        <v>2.6373600000000006</v>
      </c>
      <c r="Q3125" s="3391"/>
      <c r="R3125" s="2343"/>
      <c r="S3125" s="16"/>
      <c r="T3125" s="16"/>
      <c r="U3125" s="16"/>
      <c r="V3125" s="16"/>
    </row>
    <row r="3126" spans="1:22">
      <c r="A3126" s="16"/>
      <c r="B3126" s="1042"/>
      <c r="C3126" s="1320"/>
      <c r="D3126" s="1752"/>
      <c r="E3126" s="1852"/>
      <c r="F3126" s="1752"/>
      <c r="G3126" s="1399"/>
      <c r="H3126" s="1453"/>
      <c r="I3126" s="197"/>
      <c r="J3126" s="198"/>
      <c r="K3126" s="1350"/>
      <c r="L3126" s="1335"/>
      <c r="M3126" s="1499"/>
      <c r="N3126" s="1718"/>
      <c r="O3126" s="1719"/>
      <c r="P3126" s="1843"/>
      <c r="Q3126" s="3396"/>
      <c r="R3126" s="2338"/>
      <c r="S3126" s="16"/>
      <c r="T3126" s="16"/>
      <c r="U3126" s="16"/>
      <c r="V3126" s="16"/>
    </row>
    <row r="3127" spans="1:22">
      <c r="A3127" s="16"/>
      <c r="B3127" s="1042"/>
      <c r="C3127" s="88"/>
      <c r="D3127" s="1752"/>
      <c r="E3127" s="1852"/>
      <c r="F3127" s="1752"/>
      <c r="G3127" s="1399"/>
      <c r="H3127" s="1399"/>
      <c r="I3127" s="197"/>
      <c r="J3127" s="198"/>
      <c r="K3127" s="1350"/>
      <c r="L3127" s="1335"/>
      <c r="M3127" s="1499"/>
      <c r="N3127" s="1718"/>
      <c r="O3127" s="1719"/>
      <c r="P3127" s="1731"/>
      <c r="Q3127" s="3396"/>
      <c r="R3127" s="2338"/>
      <c r="S3127" s="16"/>
      <c r="T3127" s="16"/>
      <c r="U3127" s="16"/>
      <c r="V3127" s="16"/>
    </row>
    <row r="3128" spans="1:22">
      <c r="A3128" s="16"/>
      <c r="B3128" s="1042"/>
      <c r="C3128" s="88"/>
      <c r="D3128" s="1359"/>
      <c r="E3128" s="1858"/>
      <c r="F3128" s="1360" t="s">
        <v>2</v>
      </c>
      <c r="G3128" s="1360"/>
      <c r="H3128" s="1362"/>
      <c r="I3128" s="1380" t="str">
        <f ca="1">IF(COUNT(H3128:O3128)=0,"",(SUM(H3128:O3128)/COUNT(H3128:O3128)))</f>
        <v/>
      </c>
      <c r="J3128" s="1381"/>
      <c r="K3128" s="1458"/>
      <c r="L3128" s="1458"/>
      <c r="M3128" s="1362"/>
      <c r="N3128" s="1362"/>
      <c r="O3128" s="1362"/>
      <c r="P3128" s="1458"/>
      <c r="Q3128" s="3387"/>
      <c r="R3128" s="2343"/>
      <c r="S3128" s="16"/>
      <c r="T3128" s="16"/>
      <c r="U3128" s="16"/>
      <c r="V3128" s="16"/>
    </row>
    <row r="3129" spans="1:22">
      <c r="A3129" s="16"/>
      <c r="B3129" s="1320"/>
      <c r="C3129" s="1042"/>
      <c r="D3129" s="1655" t="s">
        <v>1806</v>
      </c>
      <c r="E3129" s="1859" t="s">
        <v>1508</v>
      </c>
      <c r="F3129" s="1655" t="s">
        <v>1663</v>
      </c>
      <c r="G3129" s="1809">
        <v>0.61499999999999999</v>
      </c>
      <c r="H3129" s="1439"/>
      <c r="I3129" s="197"/>
      <c r="J3129" s="198"/>
      <c r="K3129" s="1350">
        <f>G3129*$K$3119</f>
        <v>0.58980960000000004</v>
      </c>
      <c r="L3129" s="1335">
        <f t="shared" ref="L3129:L3130" si="273">K3129*$K$2842</f>
        <v>0</v>
      </c>
      <c r="M3129" s="1499">
        <v>19.23</v>
      </c>
      <c r="N3129" s="1701"/>
      <c r="O3129" s="1290">
        <f>(G3129*M3129)</f>
        <v>11.826449999999999</v>
      </c>
      <c r="P3129" s="1739">
        <f>M3129*K3129</f>
        <v>11.342038608000001</v>
      </c>
      <c r="Q3129" s="3391"/>
      <c r="R3129" s="3363"/>
      <c r="S3129" s="16"/>
      <c r="T3129" s="16"/>
      <c r="U3129" s="16"/>
      <c r="V3129" s="16"/>
    </row>
    <row r="3130" spans="1:22">
      <c r="A3130" s="16"/>
      <c r="B3130" s="1042"/>
      <c r="C3130" s="88"/>
      <c r="D3130" s="1655" t="s">
        <v>1965</v>
      </c>
      <c r="E3130" s="1859" t="s">
        <v>1508</v>
      </c>
      <c r="F3130" s="1655" t="s">
        <v>1966</v>
      </c>
      <c r="G3130" s="1809">
        <v>0.61499999999999999</v>
      </c>
      <c r="H3130" s="1362"/>
      <c r="I3130" s="197"/>
      <c r="J3130" s="198"/>
      <c r="K3130" s="1350">
        <f>G3130*$K$3119</f>
        <v>0.58980960000000004</v>
      </c>
      <c r="L3130" s="1335">
        <f t="shared" si="273"/>
        <v>0</v>
      </c>
      <c r="M3130" s="1302">
        <v>17.47</v>
      </c>
      <c r="N3130" s="7"/>
      <c r="O3130" s="1290">
        <f>(G3130*M3130)</f>
        <v>10.74405</v>
      </c>
      <c r="P3130" s="1739">
        <f>M3130*K3130</f>
        <v>10.303973711999999</v>
      </c>
      <c r="Q3130" s="3391"/>
      <c r="R3130" s="2338"/>
      <c r="S3130" s="16"/>
      <c r="T3130" s="16"/>
      <c r="U3130" s="16"/>
      <c r="V3130" s="16"/>
    </row>
    <row r="3131" spans="1:22">
      <c r="A3131" s="16"/>
      <c r="B3131" s="1042"/>
      <c r="C3131" s="88"/>
      <c r="D3131" s="1655"/>
      <c r="E3131" s="1859"/>
      <c r="F3131" s="1655"/>
      <c r="G3131" s="1809"/>
      <c r="H3131" s="1362"/>
      <c r="I3131" s="197"/>
      <c r="J3131" s="198"/>
      <c r="K3131" s="1350"/>
      <c r="L3131" s="1335"/>
      <c r="M3131" s="1302"/>
      <c r="N3131" s="7"/>
      <c r="O3131" s="1290"/>
      <c r="P3131" s="1739"/>
      <c r="Q3131" s="3391"/>
      <c r="R3131" s="2338"/>
      <c r="S3131" s="16"/>
      <c r="T3131" s="16"/>
      <c r="U3131" s="16"/>
      <c r="V3131" s="16"/>
    </row>
    <row r="3132" spans="1:22">
      <c r="A3132" s="16"/>
      <c r="B3132" s="1042"/>
      <c r="C3132" s="88"/>
      <c r="D3132" s="1373"/>
      <c r="E3132" s="2123"/>
      <c r="F3132" s="1374" t="s">
        <v>3</v>
      </c>
      <c r="G3132" s="1374"/>
      <c r="H3132" s="1376"/>
      <c r="I3132" s="1382" t="str">
        <f t="shared" ref="I3132" ca="1" si="274">IF(COUNT(H3132:O3132)=0,"",(SUM(H3132:O3132)/COUNT(H3132:O3132)))</f>
        <v/>
      </c>
      <c r="J3132" s="1383"/>
      <c r="K3132" s="1373"/>
      <c r="L3132" s="1413"/>
      <c r="M3132" s="1376"/>
      <c r="N3132" s="1376"/>
      <c r="O3132" s="1376"/>
      <c r="P3132" s="1413"/>
      <c r="Q3132" s="3387"/>
      <c r="R3132" s="2343"/>
      <c r="S3132" s="16"/>
      <c r="T3132" s="16"/>
      <c r="U3132" s="16"/>
      <c r="V3132" s="16"/>
    </row>
    <row r="3133" spans="1:22">
      <c r="A3133" s="22"/>
      <c r="B3133" s="1599"/>
      <c r="C3133" s="1320"/>
      <c r="D3133" s="1411" t="s">
        <v>1686</v>
      </c>
      <c r="E3133" s="2123" t="s">
        <v>1803</v>
      </c>
      <c r="F3133" s="1837" t="s">
        <v>1688</v>
      </c>
      <c r="G3133" s="1376">
        <v>1.722</v>
      </c>
      <c r="H3133" s="1376"/>
      <c r="I3133" s="198"/>
      <c r="J3133" s="6"/>
      <c r="K3133" s="1350">
        <f>G3133*$K$3119</f>
        <v>1.6514668800000001</v>
      </c>
      <c r="L3133" s="1335">
        <f>K3133*$K$2842</f>
        <v>0</v>
      </c>
      <c r="M3133" s="1499">
        <v>7.5</v>
      </c>
      <c r="N3133" s="1701"/>
      <c r="O3133" s="1290">
        <f>(G3133*M3133)</f>
        <v>12.914999999999999</v>
      </c>
      <c r="P3133" s="1332">
        <f>M3133*K3133</f>
        <v>12.3860016</v>
      </c>
      <c r="Q3133" s="3391"/>
      <c r="R3133" s="3363"/>
      <c r="S3133" s="16"/>
      <c r="T3133" s="16"/>
      <c r="U3133" s="16"/>
      <c r="V3133" s="16"/>
    </row>
    <row r="3134" spans="1:22">
      <c r="A3134" s="22"/>
      <c r="B3134" s="1599"/>
      <c r="C3134" s="1320"/>
      <c r="D3134" s="1411"/>
      <c r="E3134" s="2123"/>
      <c r="F3134" s="1475"/>
      <c r="G3134" s="1475"/>
      <c r="H3134" s="1376"/>
      <c r="I3134" s="198"/>
      <c r="J3134" s="6"/>
      <c r="K3134" s="1307"/>
      <c r="L3134" s="1335"/>
      <c r="M3134" s="1499"/>
      <c r="N3134" s="1701"/>
      <c r="O3134" s="1290"/>
      <c r="P3134" s="1332"/>
      <c r="Q3134" s="3391"/>
      <c r="R3134" s="3363"/>
      <c r="S3134" s="16"/>
      <c r="T3134" s="16"/>
      <c r="U3134" s="16"/>
      <c r="V3134" s="16"/>
    </row>
    <row r="3135" spans="1:22">
      <c r="A3135" s="22"/>
      <c r="B3135" s="554"/>
      <c r="C3135" s="223"/>
      <c r="D3135" s="1808"/>
      <c r="E3135" s="2132"/>
      <c r="F3135" s="1804"/>
      <c r="G3135" s="1804"/>
      <c r="H3135" s="1805"/>
      <c r="I3135" s="197"/>
      <c r="J3135" s="1806"/>
      <c r="K3135" s="1307"/>
      <c r="L3135" s="1335"/>
      <c r="M3135" s="1701"/>
      <c r="N3135" s="1701"/>
      <c r="O3135" s="1290"/>
      <c r="P3135" s="1333"/>
      <c r="Q3135" s="3391"/>
      <c r="R3135" s="3363"/>
      <c r="S3135" s="16"/>
      <c r="T3135" s="16"/>
      <c r="U3135" s="16"/>
      <c r="V3135" s="16"/>
    </row>
    <row r="3136" spans="1:22">
      <c r="A3136" s="16" t="s">
        <v>3764</v>
      </c>
      <c r="B3136" s="4325" t="s">
        <v>1659</v>
      </c>
      <c r="C3136" s="3350"/>
      <c r="D3136" s="4327"/>
      <c r="E3136" s="4329" t="s">
        <v>1507</v>
      </c>
      <c r="F3136" s="4338" t="s">
        <v>1685</v>
      </c>
      <c r="G3136" s="4331" t="s">
        <v>1568</v>
      </c>
      <c r="H3136" s="4331" t="s">
        <v>1574</v>
      </c>
      <c r="I3136" s="1572" t="s">
        <v>1559</v>
      </c>
      <c r="J3136" s="1294" t="s">
        <v>1560</v>
      </c>
      <c r="K3136" s="1294" t="s">
        <v>1561</v>
      </c>
      <c r="L3136" s="4333" t="s">
        <v>3765</v>
      </c>
      <c r="M3136" s="4335" t="s">
        <v>1571</v>
      </c>
      <c r="N3136" s="4323" t="s">
        <v>1776</v>
      </c>
      <c r="O3136" s="3347" t="s">
        <v>1563</v>
      </c>
      <c r="P3136" s="1336" t="s">
        <v>1562</v>
      </c>
      <c r="Q3136" s="3389"/>
      <c r="R3136" s="1699" t="s">
        <v>1327</v>
      </c>
      <c r="S3136" s="16"/>
      <c r="T3136" s="16"/>
      <c r="U3136" s="16"/>
      <c r="V3136" s="16"/>
    </row>
    <row r="3137" spans="1:22">
      <c r="A3137" s="1971" t="s">
        <v>1967</v>
      </c>
      <c r="B3137" s="4326"/>
      <c r="C3137" s="3351"/>
      <c r="D3137" s="4328"/>
      <c r="E3137" s="4330"/>
      <c r="F3137" s="4338"/>
      <c r="G3137" s="4332"/>
      <c r="H3137" s="4332"/>
      <c r="I3137" s="4079">
        <v>57.78</v>
      </c>
      <c r="J3137" s="3815">
        <v>3.0000000000000001E-3</v>
      </c>
      <c r="K3137" s="1307">
        <f>I3137*J3137</f>
        <v>0.17333999999999999</v>
      </c>
      <c r="L3137" s="4334"/>
      <c r="M3137" s="4335"/>
      <c r="N3137" s="4324"/>
      <c r="O3137" s="1298">
        <f>O3139+O3147</f>
        <v>13.241683030000001</v>
      </c>
      <c r="P3137" s="1337">
        <f>O3137*K3137</f>
        <v>2.2953133364201999</v>
      </c>
      <c r="Q3137" s="3390"/>
      <c r="R3137" s="1721">
        <f>P3139+P3147</f>
        <v>2.2953133364201999</v>
      </c>
      <c r="S3137" s="16"/>
      <c r="T3137" s="16"/>
      <c r="U3137" s="16"/>
      <c r="V3137" s="16"/>
    </row>
    <row r="3138" spans="1:22">
      <c r="A3138" s="16"/>
      <c r="B3138" s="18"/>
      <c r="D3138" s="1449"/>
      <c r="E3138" s="2121"/>
      <c r="F3138" s="1368" t="s">
        <v>1</v>
      </c>
      <c r="G3138" s="1368"/>
      <c r="H3138" s="1369"/>
      <c r="I3138" s="1409"/>
      <c r="J3138" s="1391"/>
      <c r="K3138" s="1367"/>
      <c r="L3138" s="1554"/>
      <c r="M3138" s="1369"/>
      <c r="N3138" s="1369"/>
      <c r="O3138" s="1369"/>
      <c r="P3138" s="1367"/>
      <c r="Q3138" s="3387"/>
      <c r="R3138" s="2337"/>
      <c r="S3138" s="16"/>
      <c r="T3138" s="16"/>
      <c r="U3138" s="16"/>
      <c r="V3138" s="16"/>
    </row>
    <row r="3139" spans="1:22">
      <c r="A3139" s="16"/>
      <c r="B3139" s="1042"/>
      <c r="C3139" s="1356" t="s">
        <v>1127</v>
      </c>
      <c r="D3139" s="1311"/>
      <c r="E3139" s="2137" t="s">
        <v>1517</v>
      </c>
      <c r="F3139" s="1319" t="s">
        <v>1519</v>
      </c>
      <c r="G3139" s="1353"/>
      <c r="H3139" s="1456">
        <v>2.1000000000000001E-2</v>
      </c>
      <c r="I3139" s="1444"/>
      <c r="J3139" s="1388"/>
      <c r="K3139" s="1445"/>
      <c r="L3139" s="1457"/>
      <c r="M3139" s="1447"/>
      <c r="N3139" s="1447">
        <f>SUM(N3140:N3143)</f>
        <v>50.044430000000006</v>
      </c>
      <c r="O3139" s="1447">
        <f>SUM(O3140:O3143)</f>
        <v>1.0509330300000002</v>
      </c>
      <c r="P3139" s="1446">
        <f>SUM(P3140:P3143)</f>
        <v>0.18216873142020001</v>
      </c>
      <c r="Q3139" s="3391"/>
      <c r="R3139" s="2337"/>
      <c r="S3139" s="16"/>
      <c r="T3139" s="16"/>
      <c r="U3139" s="16"/>
      <c r="V3139" s="16"/>
    </row>
    <row r="3140" spans="1:22">
      <c r="A3140" s="16"/>
      <c r="B3140" s="1042"/>
      <c r="C3140" s="1327"/>
      <c r="D3140" s="1400" t="s">
        <v>1069</v>
      </c>
      <c r="E3140" s="1856" t="s">
        <v>1517</v>
      </c>
      <c r="F3140" s="1397" t="s">
        <v>1578</v>
      </c>
      <c r="G3140" s="1416">
        <v>0.26300000000000001</v>
      </c>
      <c r="H3140" s="1399">
        <f>G3140*$H$3139</f>
        <v>5.523000000000001E-3</v>
      </c>
      <c r="I3140" s="197"/>
      <c r="J3140" s="198"/>
      <c r="K3140" s="1307">
        <f>H3140*$K$3137</f>
        <v>9.5735682000000011E-4</v>
      </c>
      <c r="L3140" s="1335">
        <f t="shared" ref="L3140:L3143" si="275">K3140*$K$2842</f>
        <v>0</v>
      </c>
      <c r="M3140" s="1302">
        <v>0.55000000000000004</v>
      </c>
      <c r="N3140" s="1718">
        <f>G3140*M3140</f>
        <v>0.14465000000000003</v>
      </c>
      <c r="O3140" s="1290">
        <f>H3140*M3140</f>
        <v>3.0376500000000007E-3</v>
      </c>
      <c r="P3140" s="1332">
        <f>M3140*K3140</f>
        <v>5.265462510000001E-4</v>
      </c>
      <c r="Q3140" s="3391"/>
      <c r="R3140" s="2337"/>
      <c r="S3140" s="16"/>
      <c r="T3140" s="16"/>
      <c r="U3140" s="16"/>
      <c r="V3140" s="16"/>
    </row>
    <row r="3141" spans="1:22">
      <c r="A3141" s="16"/>
      <c r="B3141" s="1042"/>
      <c r="C3141" s="1320"/>
      <c r="D3141" s="1400" t="s">
        <v>1394</v>
      </c>
      <c r="E3141" s="1856" t="s">
        <v>1577</v>
      </c>
      <c r="F3141" s="1397" t="s">
        <v>1579</v>
      </c>
      <c r="G3141" s="1416">
        <v>0.25800000000000001</v>
      </c>
      <c r="H3141" s="1399">
        <f t="shared" ref="H3141:H3143" si="276">G3141*$H$3139</f>
        <v>5.4180000000000001E-3</v>
      </c>
      <c r="I3141" s="197"/>
      <c r="J3141" s="198"/>
      <c r="K3141" s="1307">
        <f t="shared" ref="K3141:K3143" si="277">H3141*$K$3137</f>
        <v>9.3915611999999997E-4</v>
      </c>
      <c r="L3141" s="1335">
        <f t="shared" si="275"/>
        <v>0</v>
      </c>
      <c r="M3141" s="1302">
        <v>92.54</v>
      </c>
      <c r="N3141" s="1718">
        <f>G3141*M3141</f>
        <v>23.875320000000002</v>
      </c>
      <c r="O3141" s="1290">
        <f>H3141*M3141</f>
        <v>0.50138172000000003</v>
      </c>
      <c r="P3141" s="1332">
        <f>M3141*K3141</f>
        <v>8.6909507344800005E-2</v>
      </c>
      <c r="Q3141" s="3391"/>
      <c r="R3141" s="2337"/>
      <c r="S3141" s="16"/>
      <c r="T3141" s="16"/>
      <c r="U3141" s="16"/>
      <c r="V3141" s="16"/>
    </row>
    <row r="3142" spans="1:22">
      <c r="A3142" s="16"/>
      <c r="B3142" s="1042"/>
      <c r="C3142" s="1320"/>
      <c r="D3142" s="1400" t="s">
        <v>1576</v>
      </c>
      <c r="E3142" s="1856" t="s">
        <v>1517</v>
      </c>
      <c r="F3142" s="1397" t="s">
        <v>1580</v>
      </c>
      <c r="G3142" s="1416">
        <v>1.1020000000000001</v>
      </c>
      <c r="H3142" s="1399">
        <f t="shared" si="276"/>
        <v>2.3142000000000003E-2</v>
      </c>
      <c r="I3142" s="197"/>
      <c r="J3142" s="198"/>
      <c r="K3142" s="1307">
        <f t="shared" si="277"/>
        <v>4.0114342800000001E-3</v>
      </c>
      <c r="L3142" s="1335">
        <f t="shared" si="275"/>
        <v>0</v>
      </c>
      <c r="M3142" s="1302">
        <v>6.53</v>
      </c>
      <c r="N3142" s="1718">
        <f>G3142*M3142</f>
        <v>7.196060000000001</v>
      </c>
      <c r="O3142" s="1290">
        <f>H3142*M3142</f>
        <v>0.15111726000000003</v>
      </c>
      <c r="P3142" s="1332">
        <f>M3142*K3142</f>
        <v>2.6194665848400002E-2</v>
      </c>
      <c r="Q3142" s="3391"/>
      <c r="R3142" s="2337"/>
      <c r="S3142" s="16"/>
      <c r="T3142" s="16"/>
      <c r="U3142" s="16"/>
      <c r="V3142" s="16"/>
    </row>
    <row r="3143" spans="1:22">
      <c r="A3143" s="16"/>
      <c r="B3143" s="1042"/>
      <c r="C3143" s="1320"/>
      <c r="D3143" s="1404" t="s">
        <v>1067</v>
      </c>
      <c r="E3143" s="1857" t="s">
        <v>1508</v>
      </c>
      <c r="F3143" s="1406" t="s">
        <v>1512</v>
      </c>
      <c r="G3143" s="1407">
        <v>1.03</v>
      </c>
      <c r="H3143" s="1408">
        <f t="shared" si="276"/>
        <v>2.1630000000000003E-2</v>
      </c>
      <c r="I3143" s="197"/>
      <c r="J3143" s="198"/>
      <c r="K3143" s="1307">
        <f t="shared" si="277"/>
        <v>3.7493442000000004E-3</v>
      </c>
      <c r="L3143" s="1335">
        <f t="shared" si="275"/>
        <v>0</v>
      </c>
      <c r="M3143" s="1302">
        <v>18.28</v>
      </c>
      <c r="N3143" s="1718">
        <f>G3143*M3143</f>
        <v>18.828400000000002</v>
      </c>
      <c r="O3143" s="1290">
        <f>H3143*M3143</f>
        <v>0.39539640000000009</v>
      </c>
      <c r="P3143" s="1332">
        <f>M3143*K3143</f>
        <v>6.8538011976000013E-2</v>
      </c>
      <c r="Q3143" s="3391"/>
      <c r="R3143" s="2337"/>
      <c r="S3143" s="16"/>
      <c r="T3143" s="16"/>
      <c r="U3143" s="16"/>
      <c r="V3143" s="16"/>
    </row>
    <row r="3144" spans="1:22">
      <c r="A3144" s="16"/>
      <c r="B3144" s="1042"/>
      <c r="C3144" s="88"/>
      <c r="D3144" s="1400"/>
      <c r="E3144" s="1856"/>
      <c r="F3144" s="1397"/>
      <c r="G3144" s="1416"/>
      <c r="H3144" s="1399"/>
      <c r="I3144" s="197"/>
      <c r="J3144" s="198"/>
      <c r="K3144" s="1307"/>
      <c r="L3144" s="1335"/>
      <c r="M3144" s="1302"/>
      <c r="N3144" s="1718"/>
      <c r="O3144" s="1290"/>
      <c r="P3144" s="1332"/>
      <c r="Q3144" s="3391"/>
      <c r="R3144" s="2337"/>
      <c r="S3144" s="16"/>
      <c r="T3144" s="16"/>
      <c r="U3144" s="16"/>
      <c r="V3144" s="16"/>
    </row>
    <row r="3145" spans="1:22">
      <c r="A3145" s="16"/>
      <c r="B3145" s="1042"/>
      <c r="C3145" s="88"/>
      <c r="D3145" s="1400"/>
      <c r="E3145" s="1856"/>
      <c r="F3145" s="1397"/>
      <c r="G3145" s="1416"/>
      <c r="H3145" s="1399"/>
      <c r="I3145" s="197"/>
      <c r="J3145" s="198"/>
      <c r="K3145" s="1307" t="str">
        <f>IF(COUNT(#REF!)=0,"",IF(#REF!="","",(#REF!*#REF!)))</f>
        <v/>
      </c>
      <c r="L3145" s="1335"/>
      <c r="M3145" s="1302"/>
      <c r="N3145" s="1718"/>
      <c r="O3145" s="1290"/>
      <c r="P3145" s="1332"/>
      <c r="Q3145" s="3391"/>
      <c r="R3145" s="2337"/>
      <c r="S3145" s="16"/>
      <c r="T3145" s="16"/>
      <c r="U3145" s="16"/>
      <c r="V3145" s="16"/>
    </row>
    <row r="3146" spans="1:22">
      <c r="A3146" s="16"/>
      <c r="B3146" s="1042"/>
      <c r="C3146" s="88"/>
      <c r="D3146" s="1359"/>
      <c r="E3146" s="1858"/>
      <c r="F3146" s="1360" t="s">
        <v>2</v>
      </c>
      <c r="G3146" s="1360"/>
      <c r="H3146" s="1362"/>
      <c r="I3146" s="1380"/>
      <c r="J3146" s="1381"/>
      <c r="K3146" s="1359" t="str">
        <f>IF(COUNT(#REF!)=0,"",IF(#REF!="","",(#REF!*#REF!)))</f>
        <v/>
      </c>
      <c r="L3146" s="1458"/>
      <c r="M3146" s="1362"/>
      <c r="N3146" s="1362"/>
      <c r="O3146" s="1362"/>
      <c r="P3146" s="1458"/>
      <c r="Q3146" s="3387"/>
      <c r="R3146" s="2337"/>
      <c r="S3146" s="16"/>
      <c r="T3146" s="16"/>
      <c r="U3146" s="16"/>
      <c r="V3146" s="16"/>
    </row>
    <row r="3147" spans="1:22">
      <c r="A3147" s="16"/>
      <c r="B3147" s="1042"/>
      <c r="C3147" s="1652" t="s">
        <v>1755</v>
      </c>
      <c r="D3147" s="1461"/>
      <c r="E3147" s="2163" t="s">
        <v>1508</v>
      </c>
      <c r="F3147" s="1648" t="s">
        <v>1524</v>
      </c>
      <c r="G3147" s="1353"/>
      <c r="H3147" s="1456">
        <v>0.32500000000000001</v>
      </c>
      <c r="I3147" s="1444"/>
      <c r="J3147" s="1388"/>
      <c r="K3147" s="1445"/>
      <c r="L3147" s="1457"/>
      <c r="M3147" s="1447"/>
      <c r="N3147" s="1447">
        <f>SUM(N3148:N3149)</f>
        <v>37.510000000000005</v>
      </c>
      <c r="O3147" s="1447">
        <f>SUM(O3148:O3149)</f>
        <v>12.190750000000001</v>
      </c>
      <c r="P3147" s="1447">
        <f>SUM(P3148:P3149)</f>
        <v>2.113144605</v>
      </c>
      <c r="Q3147" s="3391"/>
      <c r="R3147" s="2337"/>
      <c r="S3147" s="16"/>
      <c r="T3147" s="16"/>
      <c r="U3147" s="16"/>
      <c r="V3147" s="16"/>
    </row>
    <row r="3148" spans="1:22">
      <c r="A3148" s="16"/>
      <c r="B3148" s="1042"/>
      <c r="C3148" s="88"/>
      <c r="D3148" s="1430" t="s">
        <v>1067</v>
      </c>
      <c r="E3148" s="1857" t="s">
        <v>1508</v>
      </c>
      <c r="F3148" s="1403" t="s">
        <v>5</v>
      </c>
      <c r="G3148" s="1431">
        <v>1</v>
      </c>
      <c r="H3148" s="1408">
        <f>G3148*$H$3147</f>
        <v>0.32500000000000001</v>
      </c>
      <c r="I3148" s="1286"/>
      <c r="J3148" s="198"/>
      <c r="K3148" s="1307">
        <f t="shared" ref="K3148:K3149" si="278">H3148*$K$3137</f>
        <v>5.6335499999999997E-2</v>
      </c>
      <c r="L3148" s="1335">
        <f t="shared" ref="L3148:L3149" si="279">K3148*$K$2842</f>
        <v>0</v>
      </c>
      <c r="M3148" s="1302">
        <v>18.28</v>
      </c>
      <c r="N3148" s="1718">
        <f>G3148*M3148</f>
        <v>18.28</v>
      </c>
      <c r="O3148" s="1290">
        <f>H3148*M3148</f>
        <v>5.9410000000000007</v>
      </c>
      <c r="P3148" s="1332">
        <f>M3148*K3148</f>
        <v>1.02981294</v>
      </c>
      <c r="Q3148" s="3391"/>
      <c r="R3148" s="2337"/>
      <c r="S3148" s="16"/>
      <c r="T3148" s="16"/>
      <c r="U3148" s="16"/>
      <c r="V3148" s="16"/>
    </row>
    <row r="3149" spans="1:22">
      <c r="A3149" s="16"/>
      <c r="B3149" s="1042"/>
      <c r="C3149" s="88"/>
      <c r="D3149" s="1430" t="s">
        <v>1077</v>
      </c>
      <c r="E3149" s="1857" t="s">
        <v>1508</v>
      </c>
      <c r="F3149" s="1403" t="s">
        <v>37</v>
      </c>
      <c r="G3149" s="1431">
        <v>1</v>
      </c>
      <c r="H3149" s="1408">
        <f>G3149*$H$3147</f>
        <v>0.32500000000000001</v>
      </c>
      <c r="I3149" s="197"/>
      <c r="J3149" s="198"/>
      <c r="K3149" s="1307">
        <f t="shared" si="278"/>
        <v>5.6335499999999997E-2</v>
      </c>
      <c r="L3149" s="1335">
        <f t="shared" si="279"/>
        <v>0</v>
      </c>
      <c r="M3149" s="1302">
        <v>19.23</v>
      </c>
      <c r="N3149" s="1718">
        <f>G3149*M3149</f>
        <v>19.23</v>
      </c>
      <c r="O3149" s="1290">
        <f>H3149*M3149</f>
        <v>6.2497500000000006</v>
      </c>
      <c r="P3149" s="1332">
        <f>M3149*K3149</f>
        <v>1.083331665</v>
      </c>
      <c r="Q3149" s="3391"/>
      <c r="R3149" s="2337"/>
      <c r="S3149" s="16"/>
      <c r="T3149" s="16"/>
      <c r="U3149" s="16"/>
      <c r="V3149" s="16"/>
    </row>
    <row r="3150" spans="1:22">
      <c r="A3150" s="16"/>
      <c r="B3150" s="1042"/>
      <c r="C3150" s="88"/>
      <c r="D3150" s="1430"/>
      <c r="E3150" s="1857"/>
      <c r="F3150" s="1766"/>
      <c r="G3150" s="1943"/>
      <c r="H3150" s="1408"/>
      <c r="I3150" s="197"/>
      <c r="J3150" s="198"/>
      <c r="K3150" s="1307"/>
      <c r="L3150" s="1335"/>
      <c r="M3150" s="1302"/>
      <c r="N3150" s="1718"/>
      <c r="O3150" s="1290"/>
      <c r="P3150" s="1332"/>
      <c r="Q3150" s="3391"/>
      <c r="R3150" s="2337"/>
      <c r="S3150" s="16"/>
      <c r="T3150" s="16"/>
      <c r="U3150" s="16"/>
      <c r="V3150" s="16"/>
    </row>
    <row r="3151" spans="1:22">
      <c r="A3151" s="16"/>
      <c r="B3151" s="1042"/>
      <c r="C3151" s="88"/>
      <c r="D3151" s="1373"/>
      <c r="E3151" s="2123"/>
      <c r="F3151" s="1374" t="s">
        <v>3</v>
      </c>
      <c r="G3151" s="1374"/>
      <c r="H3151" s="1376"/>
      <c r="I3151" s="1382"/>
      <c r="J3151" s="1383"/>
      <c r="K3151" s="1373"/>
      <c r="L3151" s="1413"/>
      <c r="M3151" s="1376"/>
      <c r="N3151" s="1376"/>
      <c r="O3151" s="1376"/>
      <c r="P3151" s="1413"/>
      <c r="Q3151" s="3387"/>
      <c r="R3151" s="2337"/>
      <c r="S3151" s="16"/>
      <c r="T3151" s="16"/>
      <c r="U3151" s="16"/>
      <c r="V3151" s="16"/>
    </row>
    <row r="3152" spans="1:22">
      <c r="A3152" s="16"/>
      <c r="B3152" s="1042"/>
      <c r="C3152" s="88"/>
      <c r="D3152" s="1440"/>
      <c r="E3152" s="2132"/>
      <c r="F3152" s="1441"/>
      <c r="G3152" s="1441"/>
      <c r="H3152" s="1442"/>
      <c r="I3152" s="197"/>
      <c r="J3152" s="198"/>
      <c r="K3152" s="1307"/>
      <c r="L3152" s="1335"/>
      <c r="M3152" s="1499"/>
      <c r="N3152" s="1701"/>
      <c r="O3152" s="1290"/>
      <c r="P3152" s="1332"/>
      <c r="Q3152" s="3391"/>
      <c r="R3152" s="2337"/>
      <c r="S3152" s="16"/>
      <c r="T3152" s="16"/>
      <c r="U3152" s="16"/>
      <c r="V3152" s="16"/>
    </row>
    <row r="3153" spans="1:22">
      <c r="A3153" s="16"/>
      <c r="B3153" s="1042"/>
      <c r="C3153" s="88"/>
      <c r="D3153" s="1440"/>
      <c r="E3153" s="2132"/>
      <c r="F3153" s="1441"/>
      <c r="G3153" s="1441"/>
      <c r="H3153" s="1442"/>
      <c r="I3153" s="197"/>
      <c r="J3153" s="198"/>
      <c r="K3153" s="1307"/>
      <c r="L3153" s="1335"/>
      <c r="M3153" s="1499"/>
      <c r="N3153" s="1701"/>
      <c r="O3153" s="1290"/>
      <c r="P3153" s="1332"/>
      <c r="Q3153" s="3391"/>
      <c r="R3153" s="2337"/>
      <c r="S3153" s="105"/>
      <c r="T3153" s="16"/>
      <c r="U3153" s="16"/>
      <c r="V3153" s="16"/>
    </row>
    <row r="3154" spans="1:22">
      <c r="A3154" s="16"/>
      <c r="B3154" s="223"/>
      <c r="C3154" s="581"/>
      <c r="D3154" s="1440"/>
      <c r="E3154" s="2132"/>
      <c r="F3154" s="1441"/>
      <c r="G3154" s="1441"/>
      <c r="H3154" s="1442"/>
      <c r="I3154" s="197"/>
      <c r="J3154" s="198"/>
      <c r="K3154" s="1307"/>
      <c r="L3154" s="1335"/>
      <c r="M3154" s="1499"/>
      <c r="N3154" s="1701"/>
      <c r="O3154" s="1290"/>
      <c r="P3154" s="1332"/>
      <c r="Q3154" s="3391"/>
      <c r="R3154" s="2337"/>
      <c r="S3154" s="16"/>
      <c r="T3154" s="16"/>
      <c r="U3154" s="16"/>
      <c r="V3154" s="16"/>
    </row>
    <row r="3155" spans="1:22">
      <c r="A3155" s="16" t="s">
        <v>3764</v>
      </c>
      <c r="B3155" s="4325" t="s">
        <v>1660</v>
      </c>
      <c r="C3155" s="3350"/>
      <c r="D3155" s="4327"/>
      <c r="E3155" s="4329" t="s">
        <v>1507</v>
      </c>
      <c r="F3155" s="4372" t="s">
        <v>1689</v>
      </c>
      <c r="G3155" s="4331" t="s">
        <v>1568</v>
      </c>
      <c r="H3155" s="4331" t="s">
        <v>1574</v>
      </c>
      <c r="I3155" s="1572" t="s">
        <v>1559</v>
      </c>
      <c r="J3155" s="1294" t="s">
        <v>1560</v>
      </c>
      <c r="K3155" s="1294" t="s">
        <v>1561</v>
      </c>
      <c r="L3155" s="4333" t="s">
        <v>3765</v>
      </c>
      <c r="M3155" s="4323" t="s">
        <v>1571</v>
      </c>
      <c r="N3155" s="4323" t="s">
        <v>1776</v>
      </c>
      <c r="O3155" s="3347" t="s">
        <v>1563</v>
      </c>
      <c r="P3155" s="1336" t="s">
        <v>1562</v>
      </c>
      <c r="Q3155" s="3389"/>
      <c r="R3155" s="1699" t="s">
        <v>1327</v>
      </c>
      <c r="S3155" s="105"/>
      <c r="T3155" s="16"/>
      <c r="U3155" s="16"/>
      <c r="V3155" s="16"/>
    </row>
    <row r="3156" spans="1:22">
      <c r="A3156" s="1971" t="s">
        <v>1967</v>
      </c>
      <c r="B3156" s="4326"/>
      <c r="C3156" s="3351"/>
      <c r="D3156" s="4328"/>
      <c r="E3156" s="4330"/>
      <c r="F3156" s="4363"/>
      <c r="G3156" s="4332"/>
      <c r="H3156" s="4332"/>
      <c r="I3156" s="4079">
        <v>57.78</v>
      </c>
      <c r="J3156" s="3815">
        <v>3.0000000000000001E-3</v>
      </c>
      <c r="K3156" s="1307">
        <f>I3156*J3156</f>
        <v>0.17333999999999999</v>
      </c>
      <c r="L3156" s="4334"/>
      <c r="M3156" s="4324"/>
      <c r="N3156" s="4324"/>
      <c r="O3156" s="1298">
        <f>SUM(O3158:O3170)</f>
        <v>19.719749999999998</v>
      </c>
      <c r="P3156" s="1337">
        <f>O3156*K3156</f>
        <v>3.4182214649999993</v>
      </c>
      <c r="Q3156" s="3390"/>
      <c r="R3156" s="1721">
        <f>SUM(P3158:P3171)</f>
        <v>3.4182214650000002</v>
      </c>
      <c r="S3156" s="16"/>
      <c r="T3156" s="16"/>
      <c r="U3156" s="16"/>
      <c r="V3156" s="16"/>
    </row>
    <row r="3157" spans="1:22">
      <c r="A3157" s="16"/>
      <c r="B3157" s="1327"/>
      <c r="C3157" s="1327"/>
      <c r="D3157" s="1400"/>
      <c r="E3157" s="2121"/>
      <c r="F3157" s="1368" t="s">
        <v>1</v>
      </c>
      <c r="G3157" s="1417"/>
      <c r="H3157" s="1390"/>
      <c r="I3157" s="1554"/>
      <c r="J3157" s="1367"/>
      <c r="K3157" s="1367"/>
      <c r="L3157" s="1554"/>
      <c r="M3157" s="1369"/>
      <c r="N3157" s="1369"/>
      <c r="O3157" s="1369"/>
      <c r="P3157" s="1367"/>
      <c r="Q3157" s="3387"/>
      <c r="R3157" s="2337"/>
      <c r="S3157" s="16"/>
      <c r="T3157" s="16"/>
      <c r="U3157" s="16"/>
      <c r="V3157" s="16"/>
    </row>
    <row r="3158" spans="1:22">
      <c r="A3158" s="16"/>
      <c r="B3158" s="1320"/>
      <c r="C3158" s="1042"/>
      <c r="D3158" s="1615" t="s">
        <v>1145</v>
      </c>
      <c r="E3158" s="2126" t="s">
        <v>1577</v>
      </c>
      <c r="F3158" s="1598" t="s">
        <v>1690</v>
      </c>
      <c r="G3158" s="1372">
        <v>1E-3</v>
      </c>
      <c r="H3158" s="1372"/>
      <c r="I3158" s="198"/>
      <c r="J3158" s="6"/>
      <c r="K3158" s="1307">
        <f>G3158*$K$3156</f>
        <v>1.7333999999999999E-4</v>
      </c>
      <c r="L3158" s="1335">
        <f t="shared" ref="L3158:L3161" si="280">K3158*$K$2842</f>
        <v>0</v>
      </c>
      <c r="M3158" s="1499">
        <v>246.4</v>
      </c>
      <c r="N3158" s="1701"/>
      <c r="O3158" s="1291">
        <f>G3158*M3158</f>
        <v>0.24640000000000001</v>
      </c>
      <c r="P3158" s="1332">
        <f>M3158*K3158</f>
        <v>4.2710975999999998E-2</v>
      </c>
      <c r="Q3158" s="3391"/>
      <c r="R3158" s="2337"/>
      <c r="S3158" s="16"/>
      <c r="T3158" s="16"/>
      <c r="U3158" s="16"/>
      <c r="V3158" s="16"/>
    </row>
    <row r="3159" spans="1:22" ht="18.5">
      <c r="A3159" s="3816" t="s">
        <v>3578</v>
      </c>
      <c r="B3159" s="2042"/>
      <c r="C3159" s="1042"/>
      <c r="D3159" s="1598" t="s">
        <v>1147</v>
      </c>
      <c r="E3159" s="2154" t="s">
        <v>1357</v>
      </c>
      <c r="F3159" s="1598" t="s">
        <v>1691</v>
      </c>
      <c r="G3159" s="1372">
        <v>1</v>
      </c>
      <c r="H3159" s="1372"/>
      <c r="I3159" s="197"/>
      <c r="J3159" s="198"/>
      <c r="K3159" s="1307">
        <f t="shared" ref="K3159:K3161" si="281">G3159*$K$3156</f>
        <v>0.17333999999999999</v>
      </c>
      <c r="L3159" s="1335">
        <f t="shared" si="280"/>
        <v>0</v>
      </c>
      <c r="M3159" s="1499">
        <v>0.22</v>
      </c>
      <c r="N3159" s="1701"/>
      <c r="O3159" s="1291">
        <f>G3159*M3159</f>
        <v>0.22</v>
      </c>
      <c r="P3159" s="1332">
        <f>M3159*K3159</f>
        <v>3.8134799999999996E-2</v>
      </c>
      <c r="Q3159" s="3391"/>
      <c r="R3159" s="2337"/>
      <c r="S3159" s="16"/>
      <c r="T3159" s="16"/>
      <c r="U3159" s="16"/>
      <c r="V3159" s="16"/>
    </row>
    <row r="3160" spans="1:22" ht="18.5">
      <c r="A3160" s="3816" t="s">
        <v>3581</v>
      </c>
      <c r="B3160" s="1042"/>
      <c r="C3160" s="1042"/>
      <c r="D3160" s="1598" t="s">
        <v>1692</v>
      </c>
      <c r="E3160" s="2154" t="s">
        <v>1504</v>
      </c>
      <c r="F3160" s="1598" t="s">
        <v>1693</v>
      </c>
      <c r="G3160" s="1399">
        <v>47.17</v>
      </c>
      <c r="H3160" s="1399"/>
      <c r="I3160" s="27"/>
      <c r="J3160" s="10"/>
      <c r="K3160" s="1307">
        <f t="shared" si="281"/>
        <v>8.1764478</v>
      </c>
      <c r="L3160" s="1335">
        <f t="shared" si="280"/>
        <v>0</v>
      </c>
      <c r="M3160" s="1499">
        <v>0.17</v>
      </c>
      <c r="N3160" s="1701"/>
      <c r="O3160" s="1291">
        <f>G3160*M3160</f>
        <v>8.0189000000000004</v>
      </c>
      <c r="P3160" s="1332">
        <f>M3160*K3160</f>
        <v>1.389996126</v>
      </c>
      <c r="Q3160" s="3391"/>
      <c r="R3160" s="2337"/>
      <c r="S3160" s="16"/>
      <c r="T3160" s="16"/>
      <c r="U3160" s="16"/>
      <c r="V3160" s="16"/>
    </row>
    <row r="3161" spans="1:22">
      <c r="A3161" s="16"/>
      <c r="B3161" s="1320"/>
      <c r="C3161" s="1042"/>
      <c r="D3161" s="1598" t="s">
        <v>1097</v>
      </c>
      <c r="E3161" s="1856" t="s">
        <v>1504</v>
      </c>
      <c r="F3161" s="1598" t="s">
        <v>1632</v>
      </c>
      <c r="G3161" s="1399">
        <v>1</v>
      </c>
      <c r="H3161" s="1399"/>
      <c r="I3161" s="198"/>
      <c r="J3161" s="198"/>
      <c r="K3161" s="1307">
        <f t="shared" si="281"/>
        <v>0.17333999999999999</v>
      </c>
      <c r="L3161" s="1335">
        <f t="shared" si="280"/>
        <v>0</v>
      </c>
      <c r="M3161" s="1499">
        <v>0.55000000000000004</v>
      </c>
      <c r="N3161" s="1701"/>
      <c r="O3161" s="1291">
        <f>G3161*M3161</f>
        <v>0.55000000000000004</v>
      </c>
      <c r="P3161" s="1332">
        <f>M3161*K3161</f>
        <v>9.5337000000000005E-2</v>
      </c>
      <c r="Q3161" s="3391"/>
      <c r="S3161" s="16"/>
      <c r="T3161" s="16"/>
      <c r="U3161" s="16"/>
      <c r="V3161" s="16"/>
    </row>
    <row r="3162" spans="1:22">
      <c r="A3162" s="16"/>
      <c r="B3162" s="1320"/>
      <c r="C3162" s="1042"/>
      <c r="D3162" s="1400"/>
      <c r="E3162" s="1856"/>
      <c r="F3162" s="1397"/>
      <c r="G3162" s="1401"/>
      <c r="H3162" s="1399"/>
      <c r="I3162" s="198"/>
      <c r="J3162" s="198"/>
      <c r="K3162" s="1307"/>
      <c r="L3162" s="1335"/>
      <c r="M3162" s="1499"/>
      <c r="N3162" s="1701"/>
      <c r="O3162" s="1290"/>
      <c r="P3162" s="1332"/>
      <c r="Q3162" s="3391"/>
      <c r="S3162" s="16"/>
      <c r="T3162" s="16"/>
      <c r="U3162" s="16"/>
      <c r="V3162" s="16"/>
    </row>
    <row r="3163" spans="1:22">
      <c r="A3163" s="16"/>
      <c r="B3163" s="1320"/>
      <c r="C3163" s="1042"/>
      <c r="D3163" s="1400"/>
      <c r="E3163" s="1856"/>
      <c r="F3163" s="1397"/>
      <c r="G3163" s="1416"/>
      <c r="H3163" s="1399"/>
      <c r="I3163" s="1289"/>
      <c r="J3163" s="198"/>
      <c r="K3163" s="1307"/>
      <c r="L3163" s="1335"/>
      <c r="M3163" s="1499"/>
      <c r="N3163" s="1701"/>
      <c r="O3163" s="1290"/>
      <c r="P3163" s="1332"/>
      <c r="Q3163" s="3391"/>
      <c r="R3163" s="2337"/>
      <c r="S3163" s="16"/>
      <c r="T3163" s="16"/>
      <c r="U3163" s="16"/>
      <c r="V3163" s="16"/>
    </row>
    <row r="3164" spans="1:22">
      <c r="A3164" s="16"/>
      <c r="B3164" s="1320"/>
      <c r="C3164" s="1320"/>
      <c r="D3164" s="1410"/>
      <c r="E3164" s="1858"/>
      <c r="F3164" s="1360" t="s">
        <v>2</v>
      </c>
      <c r="G3164" s="1360"/>
      <c r="H3164" s="1362"/>
      <c r="I3164" s="1380"/>
      <c r="J3164" s="1381"/>
      <c r="K3164" s="1359"/>
      <c r="L3164" s="1458"/>
      <c r="M3164" s="1502"/>
      <c r="N3164" s="1502"/>
      <c r="O3164" s="1362"/>
      <c r="P3164" s="1359"/>
      <c r="Q3164" s="3387"/>
      <c r="R3164" s="2337"/>
      <c r="S3164" s="16"/>
      <c r="T3164" s="16"/>
      <c r="U3164" s="16"/>
      <c r="V3164" s="16"/>
    </row>
    <row r="3165" spans="1:22">
      <c r="A3165" s="16"/>
      <c r="B3165" s="1320"/>
      <c r="C3165" s="1042"/>
      <c r="D3165" s="1410" t="s">
        <v>1088</v>
      </c>
      <c r="E3165" s="1858" t="s">
        <v>1508</v>
      </c>
      <c r="F3165" s="1655" t="s">
        <v>1694</v>
      </c>
      <c r="G3165" s="1405">
        <v>0.375</v>
      </c>
      <c r="H3165" s="1405"/>
      <c r="I3165" s="1826"/>
      <c r="J3165" s="6"/>
      <c r="K3165" s="1307">
        <f t="shared" ref="K3165:K3166" si="282">G3165*$K$3156</f>
        <v>6.5002499999999991E-2</v>
      </c>
      <c r="L3165" s="1335">
        <f t="shared" ref="L3165:L3166" si="283">K3165*$K$2842</f>
        <v>0</v>
      </c>
      <c r="M3165" s="1302">
        <v>19.23</v>
      </c>
      <c r="N3165" s="1701"/>
      <c r="O3165" s="1291">
        <f>G3165*M3165</f>
        <v>7.2112499999999997</v>
      </c>
      <c r="P3165" s="1332">
        <f>M3165*K3165</f>
        <v>1.2499980749999999</v>
      </c>
      <c r="Q3165" s="3391"/>
      <c r="R3165" s="2337"/>
      <c r="S3165" s="16"/>
      <c r="T3165" s="16"/>
      <c r="U3165" s="16"/>
      <c r="V3165" s="16"/>
    </row>
    <row r="3166" spans="1:22">
      <c r="A3166" s="16"/>
      <c r="B3166" s="1320"/>
      <c r="C3166" s="1042"/>
      <c r="D3166" s="1410" t="s">
        <v>1067</v>
      </c>
      <c r="E3166" s="1858" t="s">
        <v>1508</v>
      </c>
      <c r="F3166" s="1655" t="s">
        <v>1512</v>
      </c>
      <c r="G3166" s="1359">
        <v>0.19</v>
      </c>
      <c r="H3166" s="1359"/>
      <c r="I3166" s="12"/>
      <c r="J3166" s="6"/>
      <c r="K3166" s="1307">
        <f t="shared" si="282"/>
        <v>3.2934600000000001E-2</v>
      </c>
      <c r="L3166" s="1335">
        <f t="shared" si="283"/>
        <v>0</v>
      </c>
      <c r="M3166" s="1302">
        <v>18.28</v>
      </c>
      <c r="N3166" s="1499"/>
      <c r="O3166" s="1291">
        <f>G3166*M3166</f>
        <v>3.4732000000000003</v>
      </c>
      <c r="P3166" s="1332">
        <f>M3166*K3166</f>
        <v>0.6020444880000001</v>
      </c>
      <c r="Q3166" s="3391"/>
      <c r="R3166" s="2337"/>
      <c r="S3166" s="16"/>
      <c r="T3166" s="16"/>
      <c r="U3166" s="16"/>
      <c r="V3166" s="16"/>
    </row>
    <row r="3167" spans="1:22">
      <c r="A3167" s="16"/>
      <c r="B3167" s="1320"/>
      <c r="C3167" s="1042"/>
      <c r="D3167" s="1402"/>
      <c r="E3167" s="1857"/>
      <c r="F3167" s="1403"/>
      <c r="G3167" s="1362"/>
      <c r="H3167" s="1359"/>
      <c r="I3167" s="198"/>
      <c r="J3167" s="6"/>
      <c r="K3167" s="1307"/>
      <c r="L3167" s="1335"/>
      <c r="M3167" s="1499"/>
      <c r="N3167" s="1701"/>
      <c r="O3167" s="1290"/>
      <c r="P3167" s="1332"/>
      <c r="Q3167" s="3391"/>
      <c r="R3167" s="2337"/>
      <c r="S3167" s="16"/>
      <c r="T3167" s="16"/>
      <c r="U3167" s="16"/>
      <c r="V3167" s="16"/>
    </row>
    <row r="3168" spans="1:22">
      <c r="A3168" s="16"/>
      <c r="B3168" s="1320"/>
      <c r="C3168" s="1042"/>
      <c r="D3168" s="1411"/>
      <c r="E3168" s="2123"/>
      <c r="F3168" s="1374" t="s">
        <v>3</v>
      </c>
      <c r="G3168" s="1374"/>
      <c r="H3168" s="1376"/>
      <c r="I3168" s="1382"/>
      <c r="J3168" s="1383"/>
      <c r="K3168" s="1373"/>
      <c r="L3168" s="1413"/>
      <c r="M3168" s="1505"/>
      <c r="N3168" s="1505"/>
      <c r="O3168" s="1376"/>
      <c r="P3168" s="1413"/>
      <c r="Q3168" s="3387"/>
      <c r="R3168" s="2337"/>
      <c r="S3168" s="16"/>
      <c r="T3168" s="16"/>
      <c r="U3168" s="16"/>
      <c r="V3168" s="16"/>
    </row>
    <row r="3169" spans="1:22">
      <c r="A3169" s="16"/>
      <c r="B3169" s="1320"/>
      <c r="C3169" s="1042"/>
      <c r="D3169" s="1412"/>
      <c r="E3169" s="2124"/>
      <c r="F3169" s="1378"/>
      <c r="G3169" s="1378"/>
      <c r="H3169" s="1379"/>
      <c r="I3169" s="198"/>
      <c r="J3169" s="6"/>
      <c r="K3169" s="1307"/>
      <c r="L3169" s="1335"/>
      <c r="M3169" s="1499"/>
      <c r="N3169" s="1701"/>
      <c r="O3169" s="1290"/>
      <c r="P3169" s="1332"/>
      <c r="Q3169" s="3391"/>
      <c r="R3169" s="2337"/>
      <c r="S3169" s="16"/>
      <c r="T3169" s="16"/>
      <c r="U3169" s="16"/>
      <c r="V3169" s="16"/>
    </row>
    <row r="3170" spans="1:22">
      <c r="A3170" s="16"/>
      <c r="B3170" s="1320"/>
      <c r="C3170" s="1042"/>
      <c r="D3170" s="1440"/>
      <c r="E3170" s="2132"/>
      <c r="F3170" s="1441"/>
      <c r="G3170" s="1441"/>
      <c r="H3170" s="1442"/>
      <c r="I3170" s="197"/>
      <c r="J3170" s="198"/>
      <c r="K3170" s="1307"/>
      <c r="L3170" s="1335"/>
      <c r="M3170" s="1499"/>
      <c r="N3170" s="1701"/>
      <c r="O3170" s="1290"/>
      <c r="P3170" s="1332"/>
      <c r="Q3170" s="3391"/>
      <c r="R3170" s="2337"/>
      <c r="S3170" s="16"/>
      <c r="T3170" s="16"/>
      <c r="U3170" s="16"/>
      <c r="V3170" s="16"/>
    </row>
    <row r="3171" spans="1:22">
      <c r="A3171" s="16"/>
      <c r="B3171" s="225"/>
      <c r="C3171" s="223"/>
      <c r="D3171" s="1440"/>
      <c r="E3171" s="2132"/>
      <c r="F3171" s="1441"/>
      <c r="G3171" s="1441"/>
      <c r="H3171" s="1442"/>
      <c r="I3171" s="197"/>
      <c r="J3171" s="198"/>
      <c r="K3171" s="1307"/>
      <c r="L3171" s="1335"/>
      <c r="M3171" s="1499"/>
      <c r="N3171" s="1701"/>
      <c r="O3171" s="1290"/>
      <c r="P3171" s="1332"/>
      <c r="Q3171" s="3391"/>
      <c r="R3171" s="2337"/>
      <c r="S3171" s="16"/>
      <c r="T3171" s="16"/>
      <c r="U3171" s="16"/>
      <c r="V3171" s="16"/>
    </row>
    <row r="3172" spans="1:22">
      <c r="A3172" s="16" t="s">
        <v>3764</v>
      </c>
      <c r="B3172" s="4325" t="s">
        <v>1911</v>
      </c>
      <c r="C3172" s="3350"/>
      <c r="D3172" s="4327"/>
      <c r="E3172" s="4329" t="s">
        <v>1527</v>
      </c>
      <c r="F3172" s="4336" t="s">
        <v>1756</v>
      </c>
      <c r="G3172" s="4331" t="s">
        <v>1568</v>
      </c>
      <c r="H3172" s="4331" t="s">
        <v>1574</v>
      </c>
      <c r="I3172" s="1572" t="s">
        <v>1559</v>
      </c>
      <c r="J3172" s="1294" t="s">
        <v>1560</v>
      </c>
      <c r="K3172" s="1294" t="s">
        <v>1561</v>
      </c>
      <c r="L3172" s="4333" t="s">
        <v>3765</v>
      </c>
      <c r="M3172" s="4335" t="s">
        <v>1571</v>
      </c>
      <c r="N3172" s="4323" t="s">
        <v>1776</v>
      </c>
      <c r="O3172" s="3347" t="s">
        <v>1563</v>
      </c>
      <c r="P3172" s="1336" t="s">
        <v>1562</v>
      </c>
      <c r="Q3172" s="3389"/>
      <c r="R3172" s="1839" t="s">
        <v>1327</v>
      </c>
      <c r="S3172" s="16"/>
      <c r="T3172" s="16"/>
      <c r="U3172" s="16"/>
      <c r="V3172" s="16"/>
    </row>
    <row r="3173" spans="1:22">
      <c r="A3173" s="1971" t="s">
        <v>1967</v>
      </c>
      <c r="B3173" s="4326"/>
      <c r="C3173" s="3351"/>
      <c r="D3173" s="4328"/>
      <c r="E3173" s="4389"/>
      <c r="F3173" s="4336"/>
      <c r="G3173" s="4332"/>
      <c r="H3173" s="4332"/>
      <c r="I3173" s="4079">
        <v>108</v>
      </c>
      <c r="J3173" s="3815">
        <v>3.0000000000000001E-3</v>
      </c>
      <c r="K3173" s="1307">
        <f>I3173*J3173</f>
        <v>0.32400000000000001</v>
      </c>
      <c r="L3173" s="4334"/>
      <c r="M3173" s="4335"/>
      <c r="N3173" s="4324"/>
      <c r="O3173" s="1298">
        <f>O3175+O3176+O3181+O3187+O3188</f>
        <v>3.3504364099999999</v>
      </c>
      <c r="P3173" s="1337">
        <f>O3173*K3173</f>
        <v>1.0855413968400001</v>
      </c>
      <c r="Q3173" s="3390"/>
      <c r="R3173" s="1840">
        <f>P3175+P3176+P3181+P3187+P3188</f>
        <v>1.0855413968400001</v>
      </c>
      <c r="S3173" s="16"/>
      <c r="T3173" s="16"/>
      <c r="U3173" s="16"/>
      <c r="V3173" s="16"/>
    </row>
    <row r="3174" spans="1:22">
      <c r="A3174" s="16"/>
      <c r="B3174" s="1327"/>
      <c r="C3174" s="1327"/>
      <c r="D3174" s="1400"/>
      <c r="E3174" s="2121"/>
      <c r="F3174" s="1368" t="s">
        <v>1</v>
      </c>
      <c r="G3174" s="1417"/>
      <c r="H3174" s="1390"/>
      <c r="I3174" s="1554"/>
      <c r="J3174" s="1367"/>
      <c r="K3174" s="1367"/>
      <c r="L3174" s="1554"/>
      <c r="M3174" s="1369"/>
      <c r="N3174" s="1369"/>
      <c r="O3174" s="1369"/>
      <c r="P3174" s="1367"/>
      <c r="Q3174" s="3387"/>
      <c r="R3174" s="2337"/>
      <c r="S3174" s="16"/>
      <c r="T3174" s="16"/>
      <c r="U3174" s="16"/>
      <c r="V3174" s="16"/>
    </row>
    <row r="3175" spans="1:22">
      <c r="A3175" s="16"/>
      <c r="B3175" s="1320"/>
      <c r="C3175" s="1042"/>
      <c r="D3175" s="1598" t="s">
        <v>1757</v>
      </c>
      <c r="E3175" s="1852" t="s">
        <v>1504</v>
      </c>
      <c r="F3175" s="1598" t="s">
        <v>1758</v>
      </c>
      <c r="G3175" s="1753">
        <v>5.3</v>
      </c>
      <c r="H3175" s="1453"/>
      <c r="I3175" s="197"/>
      <c r="J3175" s="198"/>
      <c r="K3175" s="1307">
        <f>G3175*$K$3173</f>
        <v>1.7172000000000001</v>
      </c>
      <c r="L3175" s="1335">
        <f>K3175*$K$2842</f>
        <v>0</v>
      </c>
      <c r="M3175" s="1499">
        <v>0.11</v>
      </c>
      <c r="N3175" s="1718"/>
      <c r="O3175" s="1719">
        <f>G3175*M3175</f>
        <v>0.58299999999999996</v>
      </c>
      <c r="P3175" s="1720">
        <f>M3175*K3175</f>
        <v>0.188892</v>
      </c>
      <c r="Q3175" s="3396"/>
      <c r="R3175" s="2337"/>
      <c r="S3175" s="16"/>
      <c r="T3175" s="16"/>
      <c r="U3175" s="16"/>
      <c r="V3175" s="16"/>
    </row>
    <row r="3176" spans="1:22">
      <c r="A3176" s="16"/>
      <c r="B3176" s="1042"/>
      <c r="C3176" s="1356" t="s">
        <v>1127</v>
      </c>
      <c r="D3176" s="1311"/>
      <c r="E3176" s="2137" t="s">
        <v>1517</v>
      </c>
      <c r="F3176" s="1319" t="s">
        <v>1519</v>
      </c>
      <c r="G3176" s="1353"/>
      <c r="H3176" s="1456">
        <v>2E-3</v>
      </c>
      <c r="I3176" s="1444"/>
      <c r="J3176" s="1388"/>
      <c r="K3176" s="1445"/>
      <c r="L3176" s="1457"/>
      <c r="M3176" s="1447"/>
      <c r="N3176" s="1447">
        <f>SUM(N3177:N3180)</f>
        <v>50.044430000000006</v>
      </c>
      <c r="O3176" s="1447">
        <f>SUM(O3177:O3180)</f>
        <v>0.10008886000000002</v>
      </c>
      <c r="P3176" s="1446">
        <f>SUM(P3177:P3180)</f>
        <v>3.242879064000001E-2</v>
      </c>
      <c r="Q3176" s="3391"/>
      <c r="R3176" s="2337"/>
      <c r="S3176" s="16"/>
      <c r="T3176" s="16"/>
      <c r="U3176" s="16"/>
      <c r="V3176" s="16"/>
    </row>
    <row r="3177" spans="1:22">
      <c r="A3177" s="16"/>
      <c r="B3177" s="1042"/>
      <c r="C3177" s="1327"/>
      <c r="D3177" s="1400" t="s">
        <v>1069</v>
      </c>
      <c r="E3177" s="1856" t="s">
        <v>1517</v>
      </c>
      <c r="F3177" s="1397" t="s">
        <v>1578</v>
      </c>
      <c r="G3177" s="1416">
        <v>0.26300000000000001</v>
      </c>
      <c r="H3177" s="1399">
        <f>G3177*$H$3176</f>
        <v>5.2599999999999999E-4</v>
      </c>
      <c r="I3177" s="197"/>
      <c r="J3177" s="198"/>
      <c r="K3177" s="1732">
        <f>H3177*$K$3173</f>
        <v>1.7042399999999999E-4</v>
      </c>
      <c r="L3177" s="1335">
        <f t="shared" ref="L3177:L3180" si="284">K3177*$K$2842</f>
        <v>0</v>
      </c>
      <c r="M3177" s="1302">
        <v>0.55000000000000004</v>
      </c>
      <c r="N3177" s="1718">
        <f>G3177*M3177</f>
        <v>0.14465000000000003</v>
      </c>
      <c r="O3177" s="1290">
        <f>H3177*M3177</f>
        <v>2.8930000000000004E-4</v>
      </c>
      <c r="P3177" s="1332">
        <f>M3177*K3177</f>
        <v>9.3733200000000006E-5</v>
      </c>
      <c r="Q3177" s="3391"/>
      <c r="R3177" s="2337"/>
      <c r="S3177" s="16"/>
      <c r="T3177" s="16"/>
      <c r="U3177" s="16"/>
      <c r="V3177" s="16"/>
    </row>
    <row r="3178" spans="1:22">
      <c r="A3178" s="16"/>
      <c r="B3178" s="1042"/>
      <c r="C3178" s="1320"/>
      <c r="D3178" s="1400" t="s">
        <v>1394</v>
      </c>
      <c r="E3178" s="1856" t="s">
        <v>1577</v>
      </c>
      <c r="F3178" s="1397" t="s">
        <v>1579</v>
      </c>
      <c r="G3178" s="1416">
        <v>0.25800000000000001</v>
      </c>
      <c r="H3178" s="1399">
        <f t="shared" ref="H3178:H3180" si="285">G3178*$H$3176</f>
        <v>5.1600000000000007E-4</v>
      </c>
      <c r="I3178" s="197"/>
      <c r="J3178" s="198"/>
      <c r="K3178" s="1732">
        <f t="shared" ref="K3178:K3180" si="286">H3178*$K$3173</f>
        <v>1.6718400000000002E-4</v>
      </c>
      <c r="L3178" s="1335">
        <f t="shared" si="284"/>
        <v>0</v>
      </c>
      <c r="M3178" s="1302">
        <v>92.54</v>
      </c>
      <c r="N3178" s="1718">
        <f>G3178*M3178</f>
        <v>23.875320000000002</v>
      </c>
      <c r="O3178" s="1290">
        <f>H3178*M3178</f>
        <v>4.7750640000000011E-2</v>
      </c>
      <c r="P3178" s="1332">
        <f>M3178*K3178</f>
        <v>1.5471207360000003E-2</v>
      </c>
      <c r="Q3178" s="3391"/>
      <c r="R3178" s="2337"/>
      <c r="S3178" s="16"/>
      <c r="T3178" s="16"/>
      <c r="U3178" s="16"/>
      <c r="V3178" s="16"/>
    </row>
    <row r="3179" spans="1:22">
      <c r="A3179" s="16"/>
      <c r="B3179" s="1042"/>
      <c r="C3179" s="1320"/>
      <c r="D3179" s="1400" t="s">
        <v>1576</v>
      </c>
      <c r="E3179" s="1856" t="s">
        <v>1517</v>
      </c>
      <c r="F3179" s="1397" t="s">
        <v>1580</v>
      </c>
      <c r="G3179" s="1416">
        <v>1.1020000000000001</v>
      </c>
      <c r="H3179" s="1399">
        <f t="shared" si="285"/>
        <v>2.2040000000000002E-3</v>
      </c>
      <c r="I3179" s="197"/>
      <c r="J3179" s="198"/>
      <c r="K3179" s="1732">
        <f t="shared" si="286"/>
        <v>7.1409600000000011E-4</v>
      </c>
      <c r="L3179" s="1335">
        <f t="shared" si="284"/>
        <v>0</v>
      </c>
      <c r="M3179" s="1302">
        <v>6.53</v>
      </c>
      <c r="N3179" s="1718">
        <f>G3179*M3179</f>
        <v>7.196060000000001</v>
      </c>
      <c r="O3179" s="1290">
        <f>H3179*M3179</f>
        <v>1.4392120000000001E-2</v>
      </c>
      <c r="P3179" s="1332">
        <f>M3179*K3179</f>
        <v>4.6630468800000005E-3</v>
      </c>
      <c r="Q3179" s="3391"/>
      <c r="R3179" s="2337"/>
      <c r="S3179" s="16"/>
      <c r="T3179" s="16"/>
      <c r="U3179" s="16"/>
      <c r="V3179" s="16"/>
    </row>
    <row r="3180" spans="1:22">
      <c r="A3180" s="16"/>
      <c r="B3180" s="1042"/>
      <c r="C3180" s="1320"/>
      <c r="D3180" s="1404" t="s">
        <v>1067</v>
      </c>
      <c r="E3180" s="1857" t="s">
        <v>1508</v>
      </c>
      <c r="F3180" s="1406" t="s">
        <v>1512</v>
      </c>
      <c r="G3180" s="1407">
        <v>1.03</v>
      </c>
      <c r="H3180" s="1408">
        <f t="shared" si="285"/>
        <v>2.0600000000000002E-3</v>
      </c>
      <c r="I3180" s="197"/>
      <c r="J3180" s="198"/>
      <c r="K3180" s="1732">
        <f t="shared" si="286"/>
        <v>6.6744000000000005E-4</v>
      </c>
      <c r="L3180" s="1335">
        <f t="shared" si="284"/>
        <v>0</v>
      </c>
      <c r="M3180" s="1302">
        <v>18.28</v>
      </c>
      <c r="N3180" s="1718">
        <f>G3180*M3180</f>
        <v>18.828400000000002</v>
      </c>
      <c r="O3180" s="1290">
        <f>H3180*M3180</f>
        <v>3.7656800000000004E-2</v>
      </c>
      <c r="P3180" s="1332">
        <f>M3180*K3180</f>
        <v>1.2200803200000002E-2</v>
      </c>
      <c r="Q3180" s="3391"/>
      <c r="R3180" s="2337"/>
      <c r="S3180" s="16"/>
      <c r="T3180" s="16"/>
      <c r="U3180" s="16"/>
      <c r="V3180" s="16"/>
    </row>
    <row r="3181" spans="1:22">
      <c r="A3181" s="16"/>
      <c r="B3181" s="1320"/>
      <c r="C3181" s="1658" t="s">
        <v>1155</v>
      </c>
      <c r="D3181" s="1311"/>
      <c r="E3181" s="1855" t="s">
        <v>1517</v>
      </c>
      <c r="F3181" s="1647" t="s">
        <v>1544</v>
      </c>
      <c r="G3181" s="1830" t="s">
        <v>1551</v>
      </c>
      <c r="H3181" s="1830">
        <v>1E-3</v>
      </c>
      <c r="I3181" s="1444"/>
      <c r="J3181" s="1388"/>
      <c r="K3181" s="1953"/>
      <c r="L3181" s="1445"/>
      <c r="M3181" s="1447"/>
      <c r="N3181" s="1447">
        <f>SUM(N3182:N3184)</f>
        <v>114.04755</v>
      </c>
      <c r="O3181" s="1447">
        <f>SUM(O3182:O3184)</f>
        <v>0.11404755000000003</v>
      </c>
      <c r="P3181" s="1446">
        <f>SUM(P3182:P3184)</f>
        <v>3.6951406200000002E-2</v>
      </c>
      <c r="Q3181" s="3391"/>
      <c r="R3181" s="1296"/>
      <c r="S3181" s="16"/>
      <c r="T3181" s="16"/>
      <c r="U3181" s="16"/>
      <c r="V3181" s="16"/>
    </row>
    <row r="3182" spans="1:22">
      <c r="A3182" s="16"/>
      <c r="B3182" s="1320"/>
      <c r="C3182" s="1042"/>
      <c r="D3182" s="1451" t="s">
        <v>1069</v>
      </c>
      <c r="E3182" s="1856" t="s">
        <v>1517</v>
      </c>
      <c r="F3182" s="1421" t="s">
        <v>1578</v>
      </c>
      <c r="G3182" s="1452">
        <v>0.89100000000000001</v>
      </c>
      <c r="H3182" s="1453">
        <f>$H$3181*G3182</f>
        <v>8.9100000000000008E-4</v>
      </c>
      <c r="I3182" s="1286"/>
      <c r="J3182" s="198"/>
      <c r="K3182" s="1732">
        <f>H3182*$K$3173</f>
        <v>2.8868400000000004E-4</v>
      </c>
      <c r="L3182" s="1335">
        <f t="shared" ref="L3182:L3184" si="287">K3182*$K$2842</f>
        <v>0</v>
      </c>
      <c r="M3182" s="1717">
        <v>0.55000000000000004</v>
      </c>
      <c r="N3182" s="1718">
        <f>G3182*M3182</f>
        <v>0.49005000000000004</v>
      </c>
      <c r="O3182" s="1719">
        <f>H3182*M3182</f>
        <v>4.9005000000000012E-4</v>
      </c>
      <c r="P3182" s="1720">
        <f>M3182*K3182</f>
        <v>1.5877620000000003E-4</v>
      </c>
      <c r="Q3182" s="3396"/>
      <c r="R3182" s="1296"/>
      <c r="S3182" s="16"/>
      <c r="T3182" s="16"/>
      <c r="U3182" s="16"/>
      <c r="V3182" s="16"/>
    </row>
    <row r="3183" spans="1:22">
      <c r="A3183" s="16"/>
      <c r="B3183" s="1320"/>
      <c r="C3183" s="1042"/>
      <c r="D3183" s="1367" t="s">
        <v>1394</v>
      </c>
      <c r="E3183" s="1856" t="s">
        <v>1577</v>
      </c>
      <c r="F3183" s="1421" t="s">
        <v>1579</v>
      </c>
      <c r="G3183" s="1452">
        <v>0.51500000000000001</v>
      </c>
      <c r="H3183" s="1453">
        <f t="shared" ref="H3183:H3184" si="288">$H$3181*G3183</f>
        <v>5.1500000000000005E-4</v>
      </c>
      <c r="I3183" s="1286"/>
      <c r="J3183" s="198"/>
      <c r="K3183" s="1732">
        <f t="shared" ref="K3183:K3184" si="289">H3183*$K$3173</f>
        <v>1.6686000000000001E-4</v>
      </c>
      <c r="L3183" s="1335">
        <f t="shared" si="287"/>
        <v>0</v>
      </c>
      <c r="M3183" s="1717">
        <v>92.54</v>
      </c>
      <c r="N3183" s="1718">
        <f>G3183*M3183</f>
        <v>47.658100000000005</v>
      </c>
      <c r="O3183" s="1719">
        <f>H3183*M3183</f>
        <v>4.7658100000000009E-2</v>
      </c>
      <c r="P3183" s="1720">
        <f>M3183*K3183</f>
        <v>1.5441224400000002E-2</v>
      </c>
      <c r="Q3183" s="3396"/>
      <c r="R3183" s="1296"/>
      <c r="S3183" s="16"/>
      <c r="T3183" s="16"/>
      <c r="U3183" s="16"/>
      <c r="V3183" s="16"/>
    </row>
    <row r="3184" spans="1:22">
      <c r="A3184" s="16"/>
      <c r="B3184" s="1320"/>
      <c r="C3184" s="1042"/>
      <c r="D3184" s="1359" t="s">
        <v>1067</v>
      </c>
      <c r="E3184" s="1857" t="s">
        <v>1508</v>
      </c>
      <c r="F3184" s="1430" t="s">
        <v>1512</v>
      </c>
      <c r="G3184" s="1431">
        <v>3.605</v>
      </c>
      <c r="H3184" s="1454">
        <f t="shared" si="288"/>
        <v>3.6050000000000001E-3</v>
      </c>
      <c r="I3184" s="1286"/>
      <c r="J3184" s="198"/>
      <c r="K3184" s="1732">
        <f t="shared" si="289"/>
        <v>1.1680200000000001E-3</v>
      </c>
      <c r="L3184" s="1335">
        <f t="shared" si="287"/>
        <v>0</v>
      </c>
      <c r="M3184" s="1717">
        <v>18.28</v>
      </c>
      <c r="N3184" s="1718">
        <f>G3184*M3184</f>
        <v>65.8994</v>
      </c>
      <c r="O3184" s="1719">
        <f>H3184*M3184</f>
        <v>6.5899400000000011E-2</v>
      </c>
      <c r="P3184" s="1720">
        <f>M3184*K3184</f>
        <v>2.1351405600000001E-2</v>
      </c>
      <c r="Q3184" s="3396"/>
      <c r="R3184" s="1296"/>
      <c r="S3184" s="16"/>
      <c r="T3184" s="16"/>
      <c r="U3184" s="16"/>
      <c r="V3184" s="16"/>
    </row>
    <row r="3185" spans="1:22">
      <c r="A3185" s="16"/>
      <c r="B3185" s="1320"/>
      <c r="C3185" s="1042"/>
      <c r="D3185" s="1404"/>
      <c r="E3185" s="1857"/>
      <c r="F3185" s="1406"/>
      <c r="G3185" s="1407"/>
      <c r="H3185" s="1408"/>
      <c r="I3185" s="1289"/>
      <c r="J3185" s="198"/>
      <c r="K3185" s="1307"/>
      <c r="L3185" s="1335"/>
      <c r="M3185" s="1499"/>
      <c r="N3185" s="1701"/>
      <c r="O3185" s="1290"/>
      <c r="P3185" s="1332"/>
      <c r="Q3185" s="3391"/>
      <c r="R3185" s="2337"/>
      <c r="S3185" s="16"/>
      <c r="T3185" s="16"/>
      <c r="U3185" s="16"/>
      <c r="V3185" s="16"/>
    </row>
    <row r="3186" spans="1:22">
      <c r="A3186" s="16"/>
      <c r="B3186" s="1320"/>
      <c r="C3186" s="1320"/>
      <c r="D3186" s="1410"/>
      <c r="E3186" s="1858"/>
      <c r="F3186" s="1360" t="s">
        <v>2</v>
      </c>
      <c r="G3186" s="1360"/>
      <c r="H3186" s="1362"/>
      <c r="I3186" s="1380"/>
      <c r="J3186" s="1381"/>
      <c r="K3186" s="1359"/>
      <c r="L3186" s="1458"/>
      <c r="M3186" s="1502"/>
      <c r="N3186" s="1502"/>
      <c r="O3186" s="1362"/>
      <c r="P3186" s="1359"/>
      <c r="Q3186" s="3387"/>
      <c r="R3186" s="2337"/>
      <c r="S3186" s="16"/>
      <c r="T3186" s="16"/>
      <c r="U3186" s="16"/>
      <c r="V3186" s="16"/>
    </row>
    <row r="3187" spans="1:22">
      <c r="A3187" s="16"/>
      <c r="B3187" s="1320"/>
      <c r="C3187" s="1042"/>
      <c r="D3187" s="1410" t="s">
        <v>1067</v>
      </c>
      <c r="E3187" s="1858" t="s">
        <v>1508</v>
      </c>
      <c r="F3187" s="1655" t="s">
        <v>1512</v>
      </c>
      <c r="G3187" s="1359">
        <v>4.4999999999999998E-2</v>
      </c>
      <c r="H3187" s="1359"/>
      <c r="I3187" s="12"/>
      <c r="J3187" s="6"/>
      <c r="K3187" s="1307">
        <f>G3187*$K$3173</f>
        <v>1.4579999999999999E-2</v>
      </c>
      <c r="L3187" s="1335">
        <f t="shared" ref="L3187:L3188" si="290">K3187*$K$2842</f>
        <v>0</v>
      </c>
      <c r="M3187" s="1302">
        <v>18.28</v>
      </c>
      <c r="N3187" s="1499"/>
      <c r="O3187" s="1291">
        <f>G3187*M3187</f>
        <v>0.8226</v>
      </c>
      <c r="P3187" s="1332">
        <f>M3187*K3187</f>
        <v>0.26652239999999999</v>
      </c>
      <c r="Q3187" s="3391"/>
      <c r="R3187" s="2337"/>
      <c r="S3187" s="16"/>
      <c r="T3187" s="16"/>
      <c r="U3187" s="16"/>
      <c r="V3187" s="16"/>
    </row>
    <row r="3188" spans="1:22">
      <c r="A3188" s="16"/>
      <c r="B3188" s="1320"/>
      <c r="C3188" s="1042"/>
      <c r="D3188" s="1410" t="s">
        <v>1134</v>
      </c>
      <c r="E3188" s="1858" t="s">
        <v>1508</v>
      </c>
      <c r="F3188" s="1655" t="s">
        <v>1547</v>
      </c>
      <c r="G3188" s="1405">
        <v>0.09</v>
      </c>
      <c r="H3188" s="1405"/>
      <c r="I3188" s="1826"/>
      <c r="J3188" s="6"/>
      <c r="K3188" s="1307">
        <f>G3188*$K$3173</f>
        <v>2.9159999999999998E-2</v>
      </c>
      <c r="L3188" s="1335">
        <f t="shared" si="290"/>
        <v>0</v>
      </c>
      <c r="M3188" s="1302">
        <v>19.23</v>
      </c>
      <c r="N3188" s="1701"/>
      <c r="O3188" s="1291">
        <f>G3188*M3188</f>
        <v>1.7306999999999999</v>
      </c>
      <c r="P3188" s="1332">
        <f>M3188*K3188</f>
        <v>0.56074679999999999</v>
      </c>
      <c r="Q3188" s="3391"/>
      <c r="R3188" s="2337"/>
      <c r="S3188" s="16"/>
      <c r="T3188" s="16"/>
      <c r="U3188" s="16"/>
      <c r="V3188" s="16"/>
    </row>
    <row r="3189" spans="1:22">
      <c r="A3189" s="16"/>
      <c r="B3189" s="1320"/>
      <c r="C3189" s="1042"/>
      <c r="D3189" s="1402"/>
      <c r="E3189" s="1857"/>
      <c r="F3189" s="1403"/>
      <c r="G3189" s="1362"/>
      <c r="H3189" s="1359"/>
      <c r="I3189" s="198"/>
      <c r="J3189" s="6"/>
      <c r="K3189" s="1307"/>
      <c r="L3189" s="1335"/>
      <c r="M3189" s="1499"/>
      <c r="N3189" s="1701"/>
      <c r="O3189" s="1290"/>
      <c r="P3189" s="1332"/>
      <c r="Q3189" s="3391"/>
      <c r="R3189" s="2337"/>
      <c r="S3189" s="16"/>
      <c r="T3189" s="16"/>
      <c r="U3189" s="16"/>
      <c r="V3189" s="16"/>
    </row>
    <row r="3190" spans="1:22">
      <c r="A3190" s="16"/>
      <c r="B3190" s="1320"/>
      <c r="C3190" s="1042"/>
      <c r="D3190" s="1411"/>
      <c r="E3190" s="2123"/>
      <c r="F3190" s="1374" t="s">
        <v>3</v>
      </c>
      <c r="G3190" s="1374"/>
      <c r="H3190" s="1376"/>
      <c r="I3190" s="1382"/>
      <c r="J3190" s="1383"/>
      <c r="K3190" s="1373"/>
      <c r="L3190" s="1413"/>
      <c r="M3190" s="1505"/>
      <c r="N3190" s="1505"/>
      <c r="O3190" s="1376"/>
      <c r="P3190" s="1413"/>
      <c r="Q3190" s="3387"/>
      <c r="R3190" s="2337"/>
      <c r="S3190" s="16"/>
      <c r="T3190" s="16"/>
      <c r="U3190" s="16"/>
      <c r="V3190" s="16"/>
    </row>
    <row r="3191" spans="1:22">
      <c r="A3191" s="16"/>
      <c r="B3191" s="1320"/>
      <c r="C3191" s="1042"/>
      <c r="D3191" s="1412"/>
      <c r="E3191" s="2124"/>
      <c r="F3191" s="1378"/>
      <c r="G3191" s="1378"/>
      <c r="H3191" s="1379"/>
      <c r="I3191" s="198"/>
      <c r="J3191" s="6"/>
      <c r="K3191" s="1307"/>
      <c r="L3191" s="1335"/>
      <c r="M3191" s="1499"/>
      <c r="N3191" s="1701"/>
      <c r="O3191" s="1290"/>
      <c r="P3191" s="1332"/>
      <c r="Q3191" s="3391"/>
      <c r="R3191" s="2337"/>
      <c r="S3191" s="16"/>
      <c r="T3191" s="16"/>
      <c r="U3191" s="16"/>
      <c r="V3191" s="16"/>
    </row>
    <row r="3192" spans="1:22">
      <c r="A3192" s="16"/>
      <c r="B3192" s="1320"/>
      <c r="C3192" s="1042"/>
      <c r="D3192" s="1440"/>
      <c r="E3192" s="2132"/>
      <c r="F3192" s="1441"/>
      <c r="G3192" s="1441"/>
      <c r="H3192" s="1442"/>
      <c r="I3192" s="197"/>
      <c r="J3192" s="198"/>
      <c r="K3192" s="1307"/>
      <c r="L3192" s="1335"/>
      <c r="M3192" s="1499"/>
      <c r="N3192" s="1701"/>
      <c r="O3192" s="1290"/>
      <c r="P3192" s="1332"/>
      <c r="Q3192" s="3391"/>
      <c r="R3192" s="2337"/>
      <c r="S3192" s="16"/>
      <c r="T3192" s="16"/>
      <c r="U3192" s="16"/>
      <c r="V3192" s="16"/>
    </row>
    <row r="3193" spans="1:22">
      <c r="A3193" s="16"/>
      <c r="B3193" s="225"/>
      <c r="C3193" s="223"/>
      <c r="D3193" s="1440"/>
      <c r="E3193" s="2132"/>
      <c r="F3193" s="1441"/>
      <c r="G3193" s="1441"/>
      <c r="H3193" s="1442"/>
      <c r="I3193" s="197"/>
      <c r="J3193" s="198"/>
      <c r="K3193" s="1307"/>
      <c r="L3193" s="1335"/>
      <c r="M3193" s="1499"/>
      <c r="N3193" s="1701"/>
      <c r="O3193" s="1290"/>
      <c r="P3193" s="1332"/>
      <c r="Q3193" s="3391"/>
      <c r="R3193" s="2337"/>
      <c r="S3193" s="16"/>
      <c r="T3193" s="16"/>
      <c r="U3193" s="16"/>
      <c r="V3193" s="16"/>
    </row>
    <row r="3194" spans="1:22">
      <c r="A3194" s="16" t="s">
        <v>3764</v>
      </c>
      <c r="B3194" s="4325" t="s">
        <v>1738</v>
      </c>
      <c r="C3194" s="3350"/>
      <c r="D3194" s="4327"/>
      <c r="E3194" s="4329" t="s">
        <v>1507</v>
      </c>
      <c r="F3194" s="4336" t="s">
        <v>1714</v>
      </c>
      <c r="G3194" s="4331" t="s">
        <v>1568</v>
      </c>
      <c r="H3194" s="4331" t="s">
        <v>1574</v>
      </c>
      <c r="I3194" s="1572" t="s">
        <v>1559</v>
      </c>
      <c r="J3194" s="1294" t="s">
        <v>1560</v>
      </c>
      <c r="K3194" s="1294" t="s">
        <v>1561</v>
      </c>
      <c r="L3194" s="4333" t="s">
        <v>3765</v>
      </c>
      <c r="M3194" s="4335" t="s">
        <v>1571</v>
      </c>
      <c r="N3194" s="4323" t="s">
        <v>1776</v>
      </c>
      <c r="O3194" s="3347" t="s">
        <v>1563</v>
      </c>
      <c r="P3194" s="1336" t="s">
        <v>1562</v>
      </c>
      <c r="Q3194" s="3389"/>
      <c r="R3194" s="1839" t="s">
        <v>1327</v>
      </c>
      <c r="S3194" s="16"/>
      <c r="T3194" s="16"/>
      <c r="U3194" s="16"/>
      <c r="V3194" s="16"/>
    </row>
    <row r="3195" spans="1:22">
      <c r="A3195" s="1971" t="s">
        <v>1967</v>
      </c>
      <c r="B3195" s="4326"/>
      <c r="C3195" s="3351"/>
      <c r="D3195" s="4328"/>
      <c r="E3195" s="4389"/>
      <c r="F3195" s="4336"/>
      <c r="G3195" s="4332"/>
      <c r="H3195" s="4332"/>
      <c r="I3195" s="4079">
        <v>220.92</v>
      </c>
      <c r="J3195" s="3815">
        <v>3.0000000000000001E-3</v>
      </c>
      <c r="K3195" s="1307">
        <f>I3195*J3195</f>
        <v>0.66276000000000002</v>
      </c>
      <c r="L3195" s="4334"/>
      <c r="M3195" s="4335"/>
      <c r="N3195" s="4324"/>
      <c r="O3195" s="1298">
        <f>O3197+O3201+O3207</f>
        <v>7.8734280000000005</v>
      </c>
      <c r="P3195" s="1337">
        <f>O3195*K3195</f>
        <v>5.2181931412800004</v>
      </c>
      <c r="Q3195" s="3390"/>
      <c r="R3195" s="1840">
        <f>P3197+P3201+P3207</f>
        <v>5.2181931412800004</v>
      </c>
      <c r="S3195" s="16"/>
      <c r="T3195" s="16"/>
      <c r="U3195" s="16"/>
      <c r="V3195" s="16"/>
    </row>
    <row r="3196" spans="1:22">
      <c r="A3196" s="16"/>
      <c r="B3196" s="1327"/>
      <c r="C3196" s="1327"/>
      <c r="D3196" s="1400"/>
      <c r="E3196" s="2121"/>
      <c r="F3196" s="1368" t="s">
        <v>1</v>
      </c>
      <c r="G3196" s="1417"/>
      <c r="H3196" s="1390"/>
      <c r="I3196" s="1554"/>
      <c r="J3196" s="1367"/>
      <c r="K3196" s="1367"/>
      <c r="L3196" s="1554"/>
      <c r="M3196" s="1369"/>
      <c r="N3196" s="1369"/>
      <c r="O3196" s="1369"/>
      <c r="P3196" s="1367"/>
      <c r="Q3196" s="3387"/>
      <c r="R3196" s="2337"/>
      <c r="S3196" s="16"/>
      <c r="T3196" s="16"/>
      <c r="U3196" s="16"/>
      <c r="V3196" s="16"/>
    </row>
    <row r="3197" spans="1:22">
      <c r="A3197" s="16"/>
      <c r="B3197" s="1320"/>
      <c r="C3197" s="1356" t="s">
        <v>1128</v>
      </c>
      <c r="D3197" s="1311"/>
      <c r="E3197" s="2169" t="s">
        <v>1517</v>
      </c>
      <c r="F3197" s="1749" t="s">
        <v>1695</v>
      </c>
      <c r="G3197" s="1758"/>
      <c r="H3197" s="1331">
        <v>1.4999999999999999E-2</v>
      </c>
      <c r="I3197" s="1388"/>
      <c r="J3197" s="1366"/>
      <c r="K3197" s="1510"/>
      <c r="L3197" s="1445"/>
      <c r="M3197" s="1447"/>
      <c r="N3197" s="1447">
        <f>SUM(N3198:N3200)</f>
        <v>104.27969999999999</v>
      </c>
      <c r="O3197" s="1447">
        <f>SUM(O3198:O3200)</f>
        <v>1.5641954999999998</v>
      </c>
      <c r="P3197" s="1446">
        <f>SUM(P3198:P3200)</f>
        <v>1.03668620958</v>
      </c>
      <c r="Q3197" s="3391"/>
      <c r="R3197" s="2337"/>
      <c r="S3197" s="16"/>
      <c r="T3197" s="16"/>
      <c r="U3197" s="16"/>
      <c r="V3197" s="16"/>
    </row>
    <row r="3198" spans="1:22">
      <c r="A3198" s="16"/>
      <c r="B3198" s="1320"/>
      <c r="C3198" s="1042"/>
      <c r="D3198" s="1752" t="s">
        <v>1779</v>
      </c>
      <c r="E3198" s="1852" t="s">
        <v>1577</v>
      </c>
      <c r="F3198" s="1752" t="s">
        <v>1780</v>
      </c>
      <c r="G3198" s="1753">
        <v>0.876</v>
      </c>
      <c r="H3198" s="1453">
        <f>G3198*$H$3197</f>
        <v>1.3139999999999999E-2</v>
      </c>
      <c r="I3198" s="197"/>
      <c r="J3198" s="198"/>
      <c r="K3198" s="1307">
        <f>H3198*$K$3195</f>
        <v>8.7086663999999987E-3</v>
      </c>
      <c r="L3198" s="1335">
        <f t="shared" ref="L3198:L3200" si="291">K3198*$K$2842</f>
        <v>0</v>
      </c>
      <c r="M3198" s="1499">
        <v>56.05</v>
      </c>
      <c r="N3198" s="1718">
        <f>G3198*M3198</f>
        <v>49.099799999999995</v>
      </c>
      <c r="O3198" s="1719">
        <f>H3198*M3198</f>
        <v>0.73649699999999985</v>
      </c>
      <c r="P3198" s="1720">
        <f>M3198*K3198</f>
        <v>0.48812075171999991</v>
      </c>
      <c r="Q3198" s="3396"/>
      <c r="R3198" s="2337"/>
      <c r="S3198" s="17"/>
      <c r="T3198" s="16"/>
      <c r="U3198" s="16"/>
      <c r="V3198" s="16"/>
    </row>
    <row r="3199" spans="1:22">
      <c r="A3199" s="16"/>
      <c r="B3199" s="1320"/>
      <c r="C3199" s="1042"/>
      <c r="D3199" s="1752" t="s">
        <v>1069</v>
      </c>
      <c r="E3199" s="1852" t="s">
        <v>1517</v>
      </c>
      <c r="F3199" s="1752" t="s">
        <v>1578</v>
      </c>
      <c r="G3199" s="1753">
        <v>0.61799999999999999</v>
      </c>
      <c r="H3199" s="1453">
        <f t="shared" ref="H3199:H3200" si="292">G3199*$H$3197</f>
        <v>9.2699999999999987E-3</v>
      </c>
      <c r="I3199" s="27"/>
      <c r="J3199" s="10"/>
      <c r="K3199" s="1307">
        <f>H3199*$K$3195</f>
        <v>6.1437851999999989E-3</v>
      </c>
      <c r="L3199" s="1335">
        <f t="shared" si="291"/>
        <v>0</v>
      </c>
      <c r="M3199" s="1499">
        <v>0.55000000000000004</v>
      </c>
      <c r="N3199" s="1718">
        <f>G3199*M3199</f>
        <v>0.33990000000000004</v>
      </c>
      <c r="O3199" s="1719">
        <f>H3199*M3199</f>
        <v>5.0984999999999997E-3</v>
      </c>
      <c r="P3199" s="1720">
        <f>M3199*K3199</f>
        <v>3.3790818599999995E-3</v>
      </c>
      <c r="Q3199" s="3396"/>
      <c r="R3199" s="2337"/>
      <c r="S3199" s="105"/>
      <c r="T3199" s="16"/>
      <c r="U3199" s="16"/>
      <c r="V3199" s="16"/>
    </row>
    <row r="3200" spans="1:22">
      <c r="A3200" s="16"/>
      <c r="B3200" s="1320"/>
      <c r="C3200" s="1042"/>
      <c r="D3200" s="1754" t="s">
        <v>1067</v>
      </c>
      <c r="E3200" s="1853" t="s">
        <v>1508</v>
      </c>
      <c r="F3200" s="1754" t="s">
        <v>1512</v>
      </c>
      <c r="G3200" s="1755">
        <v>3</v>
      </c>
      <c r="H3200" s="1454">
        <f t="shared" si="292"/>
        <v>4.4999999999999998E-2</v>
      </c>
      <c r="I3200" s="198"/>
      <c r="J3200" s="198"/>
      <c r="K3200" s="1307">
        <f>H3200*$K$3195</f>
        <v>2.9824199999999999E-2</v>
      </c>
      <c r="L3200" s="1335">
        <f t="shared" si="291"/>
        <v>0</v>
      </c>
      <c r="M3200" s="1499">
        <v>18.28</v>
      </c>
      <c r="N3200" s="1718">
        <f>G3200*M3200</f>
        <v>54.84</v>
      </c>
      <c r="O3200" s="1719">
        <f>H3200*M3200</f>
        <v>0.8226</v>
      </c>
      <c r="P3200" s="1720">
        <f>M3200*K3200</f>
        <v>0.54518637599999997</v>
      </c>
      <c r="Q3200" s="3396"/>
      <c r="S3200" s="16"/>
      <c r="T3200" s="16"/>
      <c r="U3200" s="16"/>
      <c r="V3200" s="16"/>
    </row>
    <row r="3201" spans="1:22">
      <c r="A3201" s="16"/>
      <c r="B3201" s="1320"/>
      <c r="C3201" s="1356" t="s">
        <v>1152</v>
      </c>
      <c r="D3201" s="1311"/>
      <c r="E3201" s="1854" t="s">
        <v>1517</v>
      </c>
      <c r="F3201" s="1749" t="s">
        <v>1696</v>
      </c>
      <c r="G3201" s="1688"/>
      <c r="H3201" s="1366">
        <v>5.0000000000000001E-3</v>
      </c>
      <c r="I3201" s="1388"/>
      <c r="J3201" s="1388"/>
      <c r="K3201" s="1510"/>
      <c r="L3201" s="1445"/>
      <c r="M3201" s="1447"/>
      <c r="N3201" s="1447">
        <f>SUM(N3202:N3204)</f>
        <v>108.04650000000001</v>
      </c>
      <c r="O3201" s="1447">
        <f>SUM(O3202:O3204)</f>
        <v>0.54023250000000012</v>
      </c>
      <c r="P3201" s="1446">
        <f>SUM(P3202:P3204)</f>
        <v>0.35804449169999997</v>
      </c>
      <c r="Q3201" s="3391"/>
      <c r="S3201" s="16"/>
      <c r="T3201" s="16"/>
      <c r="U3201" s="16"/>
      <c r="V3201" s="16"/>
    </row>
    <row r="3202" spans="1:22">
      <c r="A3202" s="16"/>
      <c r="B3202" s="1320"/>
      <c r="C3202" s="18"/>
      <c r="D3202" s="1756" t="s">
        <v>1781</v>
      </c>
      <c r="E3202" s="1852" t="s">
        <v>1577</v>
      </c>
      <c r="F3202" s="1752" t="s">
        <v>1782</v>
      </c>
      <c r="G3202" s="1753">
        <v>0.876</v>
      </c>
      <c r="H3202" s="1453">
        <f>G3202*$H$3201</f>
        <v>4.3800000000000002E-3</v>
      </c>
      <c r="I3202" s="198"/>
      <c r="J3202" s="198"/>
      <c r="K3202" s="1307">
        <f>H3202*$K$3195</f>
        <v>2.9028888E-3</v>
      </c>
      <c r="L3202" s="1335">
        <f t="shared" ref="L3202:L3204" si="293">K3202*$K$2842</f>
        <v>0</v>
      </c>
      <c r="M3202" s="1499">
        <v>60.35</v>
      </c>
      <c r="N3202" s="1718">
        <f>G3202*M3202</f>
        <v>52.866599999999998</v>
      </c>
      <c r="O3202" s="1719">
        <f>H3202*M3202</f>
        <v>0.26433300000000004</v>
      </c>
      <c r="P3202" s="1720">
        <f>M3202*K3202</f>
        <v>0.17518933908000001</v>
      </c>
      <c r="Q3202" s="3396"/>
      <c r="R3202" s="2337"/>
      <c r="S3202" s="16"/>
      <c r="T3202" s="16"/>
      <c r="U3202" s="16"/>
      <c r="V3202" s="16"/>
    </row>
    <row r="3203" spans="1:22">
      <c r="A3203" s="16"/>
      <c r="B3203" s="1320"/>
      <c r="C3203" s="1042"/>
      <c r="D3203" s="1756" t="s">
        <v>1069</v>
      </c>
      <c r="E3203" s="1852" t="s">
        <v>1517</v>
      </c>
      <c r="F3203" s="1752" t="s">
        <v>1578</v>
      </c>
      <c r="G3203" s="1753">
        <v>0.61799999999999999</v>
      </c>
      <c r="H3203" s="1453">
        <f t="shared" ref="H3203:H3204" si="294">G3203*$H$3201</f>
        <v>3.0899999999999999E-3</v>
      </c>
      <c r="I3203" s="197"/>
      <c r="J3203" s="198"/>
      <c r="K3203" s="1307">
        <f>H3203*$K$3195</f>
        <v>2.0479283999999998E-3</v>
      </c>
      <c r="L3203" s="1335">
        <f t="shared" si="293"/>
        <v>0</v>
      </c>
      <c r="M3203" s="1499">
        <v>0.55000000000000004</v>
      </c>
      <c r="N3203" s="1718">
        <f>G3203*M3203</f>
        <v>0.33990000000000004</v>
      </c>
      <c r="O3203" s="1719">
        <f>H3203*M3203</f>
        <v>1.6995000000000001E-3</v>
      </c>
      <c r="P3203" s="1720">
        <f>M3203*K3203</f>
        <v>1.12636062E-3</v>
      </c>
      <c r="Q3203" s="3396"/>
      <c r="R3203" s="2337"/>
      <c r="S3203" s="16"/>
      <c r="T3203" s="16"/>
      <c r="U3203" s="16"/>
      <c r="V3203" s="16"/>
    </row>
    <row r="3204" spans="1:22">
      <c r="A3204" s="16"/>
      <c r="B3204" s="1320"/>
      <c r="C3204" s="1042"/>
      <c r="D3204" s="1757" t="s">
        <v>1067</v>
      </c>
      <c r="E3204" s="1853" t="s">
        <v>1508</v>
      </c>
      <c r="F3204" s="1754" t="s">
        <v>1512</v>
      </c>
      <c r="G3204" s="1755">
        <v>3</v>
      </c>
      <c r="H3204" s="1454">
        <f t="shared" si="294"/>
        <v>1.4999999999999999E-2</v>
      </c>
      <c r="I3204" s="1289"/>
      <c r="J3204" s="198"/>
      <c r="K3204" s="1307">
        <f>H3204*$K$3195</f>
        <v>9.9413999999999995E-3</v>
      </c>
      <c r="L3204" s="1335">
        <f t="shared" si="293"/>
        <v>0</v>
      </c>
      <c r="M3204" s="1499">
        <v>18.28</v>
      </c>
      <c r="N3204" s="1718">
        <f>G3204*M3204</f>
        <v>54.84</v>
      </c>
      <c r="O3204" s="1719">
        <f>H3204*M3204</f>
        <v>0.2742</v>
      </c>
      <c r="P3204" s="1720">
        <f>M3204*K3204</f>
        <v>0.181728792</v>
      </c>
      <c r="Q3204" s="3396"/>
      <c r="R3204" s="2337"/>
      <c r="S3204" s="16"/>
      <c r="T3204" s="16"/>
      <c r="U3204" s="16"/>
      <c r="V3204" s="16"/>
    </row>
    <row r="3205" spans="1:22">
      <c r="A3205" s="16"/>
      <c r="B3205" s="1320"/>
      <c r="C3205" s="1042"/>
      <c r="D3205" s="1400"/>
      <c r="E3205" s="1856"/>
      <c r="F3205" s="1397"/>
      <c r="G3205" s="1416"/>
      <c r="H3205" s="1399"/>
      <c r="I3205" s="1289"/>
      <c r="J3205" s="198"/>
      <c r="K3205" s="1307"/>
      <c r="L3205" s="1335"/>
      <c r="M3205" s="1499"/>
      <c r="N3205" s="1701"/>
      <c r="O3205" s="1290"/>
      <c r="P3205" s="1332"/>
      <c r="Q3205" s="3391"/>
      <c r="R3205" s="2337"/>
      <c r="S3205" s="16"/>
      <c r="T3205" s="16"/>
      <c r="U3205" s="16"/>
      <c r="V3205" s="16"/>
    </row>
    <row r="3206" spans="1:22">
      <c r="A3206" s="16"/>
      <c r="B3206" s="1320"/>
      <c r="C3206" s="1320"/>
      <c r="D3206" s="1410"/>
      <c r="E3206" s="1858"/>
      <c r="F3206" s="1360" t="s">
        <v>2</v>
      </c>
      <c r="G3206" s="1360"/>
      <c r="H3206" s="1362"/>
      <c r="I3206" s="1380"/>
      <c r="J3206" s="1381"/>
      <c r="K3206" s="1359"/>
      <c r="L3206" s="1458"/>
      <c r="M3206" s="1502"/>
      <c r="N3206" s="1502"/>
      <c r="O3206" s="1362"/>
      <c r="P3206" s="1359"/>
      <c r="Q3206" s="3387"/>
      <c r="R3206" s="2337"/>
      <c r="S3206" s="16"/>
      <c r="T3206" s="16"/>
      <c r="U3206" s="16"/>
      <c r="V3206" s="16"/>
    </row>
    <row r="3207" spans="1:22">
      <c r="A3207" s="16"/>
      <c r="B3207" s="1320"/>
      <c r="C3207" s="1042"/>
      <c r="D3207" s="1437" t="s">
        <v>1153</v>
      </c>
      <c r="E3207" s="2134" t="s">
        <v>1508</v>
      </c>
      <c r="F3207" s="1438" t="s">
        <v>1783</v>
      </c>
      <c r="G3207" s="1439">
        <v>0.3</v>
      </c>
      <c r="H3207" s="1439"/>
      <c r="I3207" s="197"/>
      <c r="J3207" s="198"/>
      <c r="K3207" s="1307">
        <f>G3207*$K$3195</f>
        <v>0.198828</v>
      </c>
      <c r="L3207" s="1335">
        <f>K3207*$K$2842</f>
        <v>0</v>
      </c>
      <c r="M3207" s="1499">
        <v>19.23</v>
      </c>
      <c r="N3207" s="1701"/>
      <c r="O3207" s="1290">
        <f>(G3207*M3207)</f>
        <v>5.7690000000000001</v>
      </c>
      <c r="P3207" s="1332">
        <f>M3207*K3207</f>
        <v>3.8234624400000001</v>
      </c>
      <c r="Q3207" s="3391"/>
      <c r="R3207" s="2337"/>
      <c r="S3207" s="16"/>
      <c r="T3207" s="16"/>
      <c r="U3207" s="16"/>
      <c r="V3207" s="16"/>
    </row>
    <row r="3208" spans="1:22">
      <c r="A3208" s="16"/>
      <c r="B3208" s="1320"/>
      <c r="C3208" s="1042"/>
      <c r="D3208" s="1402"/>
      <c r="E3208" s="1857"/>
      <c r="F3208" s="1645"/>
      <c r="G3208" s="1362"/>
      <c r="H3208" s="1359"/>
      <c r="I3208" s="198"/>
      <c r="J3208" s="6"/>
      <c r="K3208" s="1306"/>
      <c r="L3208" s="1646"/>
      <c r="M3208" s="1499"/>
      <c r="N3208" s="1499"/>
      <c r="O3208" s="1291"/>
      <c r="P3208" s="1332"/>
      <c r="Q3208" s="3391"/>
      <c r="R3208" s="2337"/>
      <c r="S3208" s="16"/>
      <c r="T3208" s="16"/>
      <c r="U3208" s="16"/>
      <c r="V3208" s="16"/>
    </row>
    <row r="3209" spans="1:22">
      <c r="A3209" s="16"/>
      <c r="B3209" s="1320"/>
      <c r="C3209" s="1042"/>
      <c r="D3209" s="1402"/>
      <c r="E3209" s="1857"/>
      <c r="F3209" s="1403"/>
      <c r="G3209" s="1362"/>
      <c r="H3209" s="1359"/>
      <c r="I3209" s="198"/>
      <c r="J3209" s="6"/>
      <c r="K3209" s="1307"/>
      <c r="L3209" s="1335"/>
      <c r="M3209" s="1499"/>
      <c r="N3209" s="1701"/>
      <c r="O3209" s="1290"/>
      <c r="P3209" s="1332"/>
      <c r="Q3209" s="3391"/>
      <c r="R3209" s="2337"/>
      <c r="S3209" s="16"/>
      <c r="T3209" s="16"/>
      <c r="U3209" s="16"/>
      <c r="V3209" s="16"/>
    </row>
    <row r="3210" spans="1:22">
      <c r="A3210" s="16"/>
      <c r="B3210" s="1320"/>
      <c r="C3210" s="1042"/>
      <c r="D3210" s="1411"/>
      <c r="E3210" s="2123"/>
      <c r="F3210" s="1374" t="s">
        <v>3</v>
      </c>
      <c r="G3210" s="1374"/>
      <c r="H3210" s="1376"/>
      <c r="I3210" s="1382"/>
      <c r="J3210" s="1383"/>
      <c r="K3210" s="1373"/>
      <c r="L3210" s="1413"/>
      <c r="M3210" s="1505"/>
      <c r="N3210" s="1505"/>
      <c r="O3210" s="1376"/>
      <c r="P3210" s="1413"/>
      <c r="Q3210" s="3387"/>
      <c r="R3210" s="2337"/>
      <c r="S3210" s="16"/>
      <c r="T3210" s="16"/>
      <c r="U3210" s="16"/>
      <c r="V3210" s="16"/>
    </row>
    <row r="3211" spans="1:22">
      <c r="A3211" s="16"/>
      <c r="B3211" s="1320"/>
      <c r="C3211" s="1042"/>
      <c r="D3211" s="1412"/>
      <c r="E3211" s="2124"/>
      <c r="F3211" s="1378"/>
      <c r="G3211" s="1378"/>
      <c r="H3211" s="1379"/>
      <c r="I3211" s="198"/>
      <c r="J3211" s="6"/>
      <c r="K3211" s="1307"/>
      <c r="L3211" s="1335"/>
      <c r="M3211" s="1499"/>
      <c r="N3211" s="1701"/>
      <c r="O3211" s="1290"/>
      <c r="P3211" s="1332"/>
      <c r="Q3211" s="3391"/>
      <c r="R3211" s="2337"/>
      <c r="S3211" s="16"/>
      <c r="T3211" s="16"/>
      <c r="U3211" s="16"/>
      <c r="V3211" s="16"/>
    </row>
    <row r="3212" spans="1:22">
      <c r="A3212" s="16"/>
      <c r="B3212" s="1320"/>
      <c r="C3212" s="1042"/>
      <c r="D3212" s="1440"/>
      <c r="E3212" s="2132"/>
      <c r="F3212" s="1441"/>
      <c r="G3212" s="1441"/>
      <c r="H3212" s="1442"/>
      <c r="I3212" s="197"/>
      <c r="J3212" s="198"/>
      <c r="K3212" s="1307"/>
      <c r="L3212" s="1335"/>
      <c r="M3212" s="1499"/>
      <c r="N3212" s="1701"/>
      <c r="O3212" s="1290"/>
      <c r="P3212" s="1332"/>
      <c r="Q3212" s="3391"/>
      <c r="R3212" s="2337"/>
      <c r="S3212" s="16"/>
      <c r="T3212" s="16"/>
      <c r="U3212" s="16"/>
      <c r="V3212" s="16"/>
    </row>
    <row r="3213" spans="1:22">
      <c r="A3213" s="16"/>
      <c r="B3213" s="225"/>
      <c r="C3213" s="223"/>
      <c r="D3213" s="1440"/>
      <c r="E3213" s="2132"/>
      <c r="F3213" s="1441"/>
      <c r="G3213" s="1441"/>
      <c r="H3213" s="1442"/>
      <c r="I3213" s="197"/>
      <c r="J3213" s="198"/>
      <c r="K3213" s="1307"/>
      <c r="L3213" s="1335"/>
      <c r="M3213" s="1499"/>
      <c r="N3213" s="1701"/>
      <c r="O3213" s="1290"/>
      <c r="P3213" s="1332"/>
      <c r="Q3213" s="3391"/>
      <c r="R3213" s="2337"/>
      <c r="S3213" s="16"/>
      <c r="T3213" s="16"/>
      <c r="U3213" s="16"/>
      <c r="V3213" s="16"/>
    </row>
    <row r="3214" spans="1:22">
      <c r="A3214" s="16" t="s">
        <v>3764</v>
      </c>
      <c r="B3214" s="4325" t="s">
        <v>1912</v>
      </c>
      <c r="C3214" s="3350"/>
      <c r="D3214" s="4327"/>
      <c r="E3214" s="4329" t="s">
        <v>1527</v>
      </c>
      <c r="F3214" s="4336" t="s">
        <v>1913</v>
      </c>
      <c r="G3214" s="4331" t="s">
        <v>1568</v>
      </c>
      <c r="H3214" s="4331" t="s">
        <v>1574</v>
      </c>
      <c r="I3214" s="1572" t="s">
        <v>1559</v>
      </c>
      <c r="J3214" s="1294" t="s">
        <v>1560</v>
      </c>
      <c r="K3214" s="1294" t="s">
        <v>1561</v>
      </c>
      <c r="L3214" s="4333" t="s">
        <v>3765</v>
      </c>
      <c r="M3214" s="4335" t="s">
        <v>1571</v>
      </c>
      <c r="N3214" s="4323" t="s">
        <v>1776</v>
      </c>
      <c r="O3214" s="3347" t="s">
        <v>1563</v>
      </c>
      <c r="P3214" s="1336" t="s">
        <v>1562</v>
      </c>
      <c r="Q3214" s="3389"/>
      <c r="R3214" s="1839" t="s">
        <v>1327</v>
      </c>
      <c r="S3214" s="16"/>
      <c r="T3214" s="16"/>
      <c r="U3214" s="16"/>
      <c r="V3214" s="16"/>
    </row>
    <row r="3215" spans="1:22">
      <c r="A3215" s="1971" t="s">
        <v>1967</v>
      </c>
      <c r="B3215" s="4326"/>
      <c r="C3215" s="3351"/>
      <c r="D3215" s="4328"/>
      <c r="E3215" s="4389"/>
      <c r="F3215" s="4336"/>
      <c r="G3215" s="4332"/>
      <c r="H3215" s="4332"/>
      <c r="I3215" s="4079">
        <v>31.2</v>
      </c>
      <c r="J3215" s="3815">
        <v>3.0000000000000001E-3</v>
      </c>
      <c r="K3215" s="1307">
        <f>I3215*J3215</f>
        <v>9.3600000000000003E-2</v>
      </c>
      <c r="L3215" s="4334"/>
      <c r="M3215" s="4335"/>
      <c r="N3215" s="4324"/>
      <c r="O3215" s="1298">
        <f>O3217+O3218+O3219+O3225+O3232</f>
        <v>24.525619910000003</v>
      </c>
      <c r="P3215" s="1337">
        <f>O3215*K3215</f>
        <v>2.2955980235760003</v>
      </c>
      <c r="Q3215" s="3390"/>
      <c r="R3215" s="1840">
        <f>P3217+P3218+P3219+P3225+P3232</f>
        <v>2.2955980235760007</v>
      </c>
      <c r="S3215" s="16"/>
      <c r="T3215" s="16"/>
      <c r="U3215" s="16"/>
      <c r="V3215" s="16"/>
    </row>
    <row r="3216" spans="1:22">
      <c r="A3216" s="16"/>
      <c r="B3216" s="1628"/>
      <c r="C3216" s="1327"/>
      <c r="D3216" s="1400"/>
      <c r="E3216" s="2121"/>
      <c r="F3216" s="1368" t="s">
        <v>1</v>
      </c>
      <c r="G3216" s="1417"/>
      <c r="H3216" s="1390"/>
      <c r="I3216" s="1554"/>
      <c r="J3216" s="1367"/>
      <c r="K3216" s="1367"/>
      <c r="L3216" s="1554"/>
      <c r="M3216" s="1369"/>
      <c r="N3216" s="1369"/>
      <c r="O3216" s="1369"/>
      <c r="P3216" s="1367"/>
      <c r="Q3216" s="3387"/>
      <c r="R3216" s="2337"/>
      <c r="S3216" s="16"/>
      <c r="T3216" s="16"/>
      <c r="U3216" s="16"/>
      <c r="V3216" s="16"/>
    </row>
    <row r="3217" spans="1:22" ht="18.5">
      <c r="A3217" s="3816" t="s">
        <v>3578</v>
      </c>
      <c r="B3217" s="2042"/>
      <c r="C3217" s="1042"/>
      <c r="D3217" s="1598" t="s">
        <v>1175</v>
      </c>
      <c r="E3217" s="1852" t="s">
        <v>1527</v>
      </c>
      <c r="F3217" s="1752" t="s">
        <v>1914</v>
      </c>
      <c r="G3217" s="1753">
        <v>0.4</v>
      </c>
      <c r="H3217" s="1453"/>
      <c r="I3217" s="197"/>
      <c r="J3217" s="198"/>
      <c r="K3217" s="1307">
        <f>G3217*$K$3215</f>
        <v>3.7440000000000001E-2</v>
      </c>
      <c r="L3217" s="1335">
        <f t="shared" ref="L3217:L3218" si="295">K3217*$K$2842</f>
        <v>0</v>
      </c>
      <c r="M3217" s="1499">
        <v>1.3</v>
      </c>
      <c r="N3217" s="1718"/>
      <c r="O3217" s="1719">
        <f>G3217*M3217</f>
        <v>0.52</v>
      </c>
      <c r="P3217" s="1720">
        <f>M3217*K3217</f>
        <v>4.8672E-2</v>
      </c>
      <c r="Q3217" s="3396"/>
      <c r="R3217" s="2337"/>
      <c r="S3217" s="16"/>
      <c r="T3217" s="16"/>
      <c r="U3217" s="16"/>
      <c r="V3217" s="16"/>
    </row>
    <row r="3218" spans="1:22" ht="18.5">
      <c r="A3218" s="3816" t="s">
        <v>3581</v>
      </c>
      <c r="B3218" s="1042"/>
      <c r="C3218" s="1042"/>
      <c r="D3218" s="1598" t="s">
        <v>1915</v>
      </c>
      <c r="E3218" s="1852" t="s">
        <v>1527</v>
      </c>
      <c r="F3218" s="1752" t="s">
        <v>1916</v>
      </c>
      <c r="G3218" s="1753">
        <v>1.06</v>
      </c>
      <c r="H3218" s="1453"/>
      <c r="I3218" s="27"/>
      <c r="J3218" s="10"/>
      <c r="K3218" s="1307">
        <f>G3218*$K$3215</f>
        <v>9.9216000000000013E-2</v>
      </c>
      <c r="L3218" s="1335">
        <f t="shared" si="295"/>
        <v>0</v>
      </c>
      <c r="M3218" s="1499">
        <v>11.3</v>
      </c>
      <c r="N3218" s="1718"/>
      <c r="O3218" s="1719">
        <f>G3218*M3218</f>
        <v>11.978000000000002</v>
      </c>
      <c r="P3218" s="1720">
        <f>M3218*K3218</f>
        <v>1.1211408000000003</v>
      </c>
      <c r="Q3218" s="3396"/>
      <c r="R3218" s="2337"/>
      <c r="S3218" s="16"/>
      <c r="T3218" s="16"/>
      <c r="U3218" s="16"/>
      <c r="V3218" s="16"/>
    </row>
    <row r="3219" spans="1:22">
      <c r="A3219" s="16"/>
      <c r="B3219" s="1320"/>
      <c r="C3219" s="1356" t="s">
        <v>1119</v>
      </c>
      <c r="D3219" s="1311"/>
      <c r="E3219" s="1854" t="s">
        <v>1517</v>
      </c>
      <c r="F3219" s="1749" t="s">
        <v>1917</v>
      </c>
      <c r="G3219" s="1688"/>
      <c r="H3219" s="1366">
        <v>7.0000000000000001E-3</v>
      </c>
      <c r="I3219" s="1388"/>
      <c r="J3219" s="1388"/>
      <c r="K3219" s="1510"/>
      <c r="L3219" s="1445"/>
      <c r="M3219" s="1447"/>
      <c r="N3219" s="1447">
        <f>SUM(N3220:N3224)</f>
        <v>83.047780000000003</v>
      </c>
      <c r="O3219" s="1447">
        <f>SUM(O3220:O3224)</f>
        <v>0.58133446000000011</v>
      </c>
      <c r="P3219" s="1446">
        <f>SUM(P3220:P3224)</f>
        <v>5.4412905456000006E-2</v>
      </c>
      <c r="Q3219" s="3391"/>
      <c r="S3219" s="16"/>
      <c r="T3219" s="16"/>
      <c r="U3219" s="16"/>
      <c r="V3219" s="16"/>
    </row>
    <row r="3220" spans="1:22">
      <c r="A3220" s="16"/>
      <c r="B3220" s="1320"/>
      <c r="C3220" s="18"/>
      <c r="D3220" s="1752" t="s">
        <v>1069</v>
      </c>
      <c r="E3220" s="1852" t="s">
        <v>1517</v>
      </c>
      <c r="F3220" s="1752" t="s">
        <v>1578</v>
      </c>
      <c r="G3220" s="1941">
        <v>0.2</v>
      </c>
      <c r="H3220" s="1453">
        <f>G3220*$H$3219</f>
        <v>1.4000000000000002E-3</v>
      </c>
      <c r="I3220" s="198"/>
      <c r="J3220" s="198"/>
      <c r="K3220" s="1307">
        <f>H3220*$K$3215</f>
        <v>1.3104000000000002E-4</v>
      </c>
      <c r="L3220" s="1335">
        <f t="shared" ref="L3220:L3224" si="296">K3220*$K$2842</f>
        <v>0</v>
      </c>
      <c r="M3220" s="1499">
        <v>0.55000000000000004</v>
      </c>
      <c r="N3220" s="1718">
        <f>G3220*M3220</f>
        <v>0.11000000000000001</v>
      </c>
      <c r="O3220" s="1719">
        <f>H3220*M3220</f>
        <v>7.7000000000000018E-4</v>
      </c>
      <c r="P3220" s="1720">
        <f>M3220*K3220</f>
        <v>7.2072000000000011E-5</v>
      </c>
      <c r="Q3220" s="3396"/>
      <c r="R3220" s="2337"/>
      <c r="S3220" s="16"/>
      <c r="T3220" s="16"/>
      <c r="U3220" s="16"/>
      <c r="V3220" s="16"/>
    </row>
    <row r="3221" spans="1:22">
      <c r="A3221" s="16"/>
      <c r="B3221" s="1320"/>
      <c r="C3221" s="1042"/>
      <c r="D3221" s="1752" t="s">
        <v>1792</v>
      </c>
      <c r="E3221" s="1852" t="s">
        <v>1577</v>
      </c>
      <c r="F3221" s="1752" t="s">
        <v>1793</v>
      </c>
      <c r="G3221" s="1941">
        <v>0.19</v>
      </c>
      <c r="H3221" s="1453">
        <f t="shared" ref="H3221:H3223" si="297">G3221*$H$3219</f>
        <v>1.33E-3</v>
      </c>
      <c r="I3221" s="197"/>
      <c r="J3221" s="198"/>
      <c r="K3221" s="1307">
        <f t="shared" ref="K3221:K3228" si="298">H3221*$K$3215</f>
        <v>1.2448800000000002E-4</v>
      </c>
      <c r="L3221" s="1335">
        <f t="shared" si="296"/>
        <v>0</v>
      </c>
      <c r="M3221" s="1499">
        <v>85.09</v>
      </c>
      <c r="N3221" s="1718">
        <f>G3221*M3221</f>
        <v>16.167100000000001</v>
      </c>
      <c r="O3221" s="1719">
        <f>H3221*M3221</f>
        <v>0.11316970000000001</v>
      </c>
      <c r="P3221" s="1720">
        <f>M3221*K3221</f>
        <v>1.0592683920000002E-2</v>
      </c>
      <c r="Q3221" s="3396"/>
      <c r="R3221" s="2337"/>
      <c r="S3221" s="1639"/>
      <c r="T3221" s="16"/>
      <c r="U3221" s="16"/>
      <c r="V3221" s="16"/>
    </row>
    <row r="3222" spans="1:22">
      <c r="A3222" s="16"/>
      <c r="B3222" s="1320"/>
      <c r="C3222" s="1042"/>
      <c r="D3222" s="1752" t="s">
        <v>1394</v>
      </c>
      <c r="E3222" s="1852" t="s">
        <v>1577</v>
      </c>
      <c r="F3222" s="1752" t="s">
        <v>1579</v>
      </c>
      <c r="G3222" s="1941">
        <v>0.38</v>
      </c>
      <c r="H3222" s="1453">
        <f t="shared" si="297"/>
        <v>2.66E-3</v>
      </c>
      <c r="I3222" s="1289"/>
      <c r="J3222" s="198"/>
      <c r="K3222" s="1307">
        <f t="shared" si="298"/>
        <v>2.4897600000000004E-4</v>
      </c>
      <c r="L3222" s="1335">
        <f t="shared" si="296"/>
        <v>0</v>
      </c>
      <c r="M3222" s="1499">
        <v>92.54</v>
      </c>
      <c r="N3222" s="1718">
        <f>G3222*M3222</f>
        <v>35.165200000000006</v>
      </c>
      <c r="O3222" s="1719">
        <f>H3222*M3222</f>
        <v>0.24615640000000003</v>
      </c>
      <c r="P3222" s="1720">
        <f>M3222*K3222</f>
        <v>2.3040239040000004E-2</v>
      </c>
      <c r="Q3222" s="3396"/>
      <c r="R3222" s="2337"/>
      <c r="S3222" s="16"/>
      <c r="T3222" s="16"/>
      <c r="U3222" s="16"/>
      <c r="V3222" s="16"/>
    </row>
    <row r="3223" spans="1:22">
      <c r="A3223" s="16"/>
      <c r="B3223" s="1320"/>
      <c r="C3223" s="1042"/>
      <c r="D3223" s="1752" t="s">
        <v>1576</v>
      </c>
      <c r="E3223" s="1852" t="s">
        <v>1517</v>
      </c>
      <c r="F3223" s="1752" t="s">
        <v>1580</v>
      </c>
      <c r="G3223" s="1941">
        <v>1.38</v>
      </c>
      <c r="H3223" s="1453">
        <f t="shared" si="297"/>
        <v>9.6600000000000002E-3</v>
      </c>
      <c r="I3223" s="1289"/>
      <c r="J3223" s="198"/>
      <c r="K3223" s="1307">
        <f t="shared" si="298"/>
        <v>9.0417600000000002E-4</v>
      </c>
      <c r="L3223" s="1335">
        <f t="shared" si="296"/>
        <v>0</v>
      </c>
      <c r="M3223" s="1499">
        <v>6.53</v>
      </c>
      <c r="N3223" s="1718">
        <f>G3223*M3223</f>
        <v>9.0114000000000001</v>
      </c>
      <c r="O3223" s="1719">
        <f>H3223*M3223</f>
        <v>6.3079800000000005E-2</v>
      </c>
      <c r="P3223" s="1720">
        <f>M3223*K3223</f>
        <v>5.9042692800000008E-3</v>
      </c>
      <c r="Q3223" s="3396"/>
      <c r="R3223" s="2337"/>
      <c r="S3223" s="16"/>
      <c r="T3223" s="16"/>
      <c r="U3223" s="16"/>
      <c r="V3223" s="16"/>
    </row>
    <row r="3224" spans="1:22">
      <c r="A3224" s="16"/>
      <c r="B3224" s="1320"/>
      <c r="C3224" s="1042"/>
      <c r="D3224" s="1754" t="s">
        <v>1067</v>
      </c>
      <c r="E3224" s="1853" t="s">
        <v>1508</v>
      </c>
      <c r="F3224" s="1754" t="s">
        <v>1512</v>
      </c>
      <c r="G3224" s="1942">
        <v>1.236</v>
      </c>
      <c r="H3224" s="1454">
        <f>G3224*$H$3219</f>
        <v>8.652E-3</v>
      </c>
      <c r="I3224" s="1289"/>
      <c r="J3224" s="198"/>
      <c r="K3224" s="1307">
        <f t="shared" si="298"/>
        <v>8.0982720000000001E-4</v>
      </c>
      <c r="L3224" s="1335">
        <f t="shared" si="296"/>
        <v>0</v>
      </c>
      <c r="M3224" s="1499">
        <v>18.28</v>
      </c>
      <c r="N3224" s="1718">
        <f>G3224*M3224</f>
        <v>22.594080000000002</v>
      </c>
      <c r="O3224" s="1719">
        <f>H3224*M3224</f>
        <v>0.15815856</v>
      </c>
      <c r="P3224" s="1720">
        <f>M3224*K3224</f>
        <v>1.4803641216000002E-2</v>
      </c>
      <c r="Q3224" s="3396"/>
      <c r="R3224" s="2337"/>
      <c r="S3224" s="16"/>
      <c r="T3224" s="16"/>
      <c r="U3224" s="16"/>
      <c r="V3224" s="16"/>
    </row>
    <row r="3225" spans="1:22">
      <c r="A3225" s="16"/>
      <c r="B3225" s="1320"/>
      <c r="C3225" s="1356" t="s">
        <v>1918</v>
      </c>
      <c r="D3225" s="1311"/>
      <c r="E3225" s="1854" t="s">
        <v>1517</v>
      </c>
      <c r="F3225" s="1749" t="s">
        <v>1919</v>
      </c>
      <c r="G3225" s="1688"/>
      <c r="H3225" s="1366">
        <v>1E-3</v>
      </c>
      <c r="I3225" s="1388"/>
      <c r="J3225" s="1388"/>
      <c r="K3225" s="1510"/>
      <c r="L3225" s="1445"/>
      <c r="M3225" s="1447"/>
      <c r="N3225" s="1447">
        <f>SUM(N3226:N3228)</f>
        <v>193.28545</v>
      </c>
      <c r="O3225" s="1447">
        <f>SUM(O3226:O3228)</f>
        <v>0.19328545000000003</v>
      </c>
      <c r="P3225" s="1446">
        <f>SUM(P3226:P3228)</f>
        <v>1.8091518120000004E-2</v>
      </c>
      <c r="Q3225" s="3391"/>
      <c r="S3225" s="16"/>
      <c r="T3225" s="16"/>
      <c r="U3225" s="16"/>
      <c r="V3225" s="16"/>
    </row>
    <row r="3226" spans="1:22">
      <c r="A3226" s="16"/>
      <c r="B3226" s="1320"/>
      <c r="C3226" s="1042"/>
      <c r="D3226" s="1752" t="s">
        <v>1069</v>
      </c>
      <c r="E3226" s="1852" t="s">
        <v>1517</v>
      </c>
      <c r="F3226" s="1752" t="s">
        <v>1578</v>
      </c>
      <c r="G3226" s="1941">
        <v>0.89100000000000001</v>
      </c>
      <c r="H3226" s="1453">
        <f>G3226*$H$3225</f>
        <v>8.9100000000000008E-4</v>
      </c>
      <c r="I3226" s="1289"/>
      <c r="J3226" s="198"/>
      <c r="K3226" s="1307">
        <f t="shared" si="298"/>
        <v>8.3397600000000016E-5</v>
      </c>
      <c r="L3226" s="1335">
        <f t="shared" ref="L3226:L3228" si="299">K3226*$K$2842</f>
        <v>0</v>
      </c>
      <c r="M3226" s="1499">
        <v>0.55000000000000004</v>
      </c>
      <c r="N3226" s="1718">
        <f>G3226*M3226</f>
        <v>0.49005000000000004</v>
      </c>
      <c r="O3226" s="1740">
        <f>H3226*M3226</f>
        <v>4.9005000000000012E-4</v>
      </c>
      <c r="P3226" s="1731">
        <f>M3226*K3226</f>
        <v>4.5868680000000016E-5</v>
      </c>
      <c r="Q3226" s="3396"/>
      <c r="R3226" s="2337"/>
      <c r="S3226" s="16"/>
      <c r="T3226" s="16"/>
      <c r="U3226" s="16"/>
      <c r="V3226" s="16"/>
    </row>
    <row r="3227" spans="1:22">
      <c r="A3227" s="16"/>
      <c r="B3227" s="1320"/>
      <c r="C3227" s="1042"/>
      <c r="D3227" s="1752" t="s">
        <v>1145</v>
      </c>
      <c r="E3227" s="1852" t="s">
        <v>1577</v>
      </c>
      <c r="F3227" s="1752" t="s">
        <v>1690</v>
      </c>
      <c r="G3227" s="1941">
        <v>0.51500000000000001</v>
      </c>
      <c r="H3227" s="1453">
        <f t="shared" ref="H3227:H3228" si="300">G3227*$H$3225</f>
        <v>5.1500000000000005E-4</v>
      </c>
      <c r="I3227" s="1289"/>
      <c r="J3227" s="198"/>
      <c r="K3227" s="1307">
        <f>H3227*$K$3215</f>
        <v>4.8204000000000008E-5</v>
      </c>
      <c r="L3227" s="1335">
        <f t="shared" si="299"/>
        <v>0</v>
      </c>
      <c r="M3227" s="1499">
        <v>246.4</v>
      </c>
      <c r="N3227" s="1718">
        <f>G3227*M3227</f>
        <v>126.896</v>
      </c>
      <c r="O3227" s="1719">
        <f>H3227*M3227</f>
        <v>0.12689600000000001</v>
      </c>
      <c r="P3227" s="1720">
        <f>M3227*K3227</f>
        <v>1.1877465600000003E-2</v>
      </c>
      <c r="Q3227" s="3396"/>
      <c r="R3227" s="2337"/>
      <c r="S3227" s="16"/>
      <c r="T3227" s="16"/>
      <c r="U3227" s="16"/>
      <c r="V3227" s="16"/>
    </row>
    <row r="3228" spans="1:22">
      <c r="A3228" s="16"/>
      <c r="B3228" s="1320"/>
      <c r="C3228" s="1042"/>
      <c r="D3228" s="1754" t="s">
        <v>1067</v>
      </c>
      <c r="E3228" s="1853" t="s">
        <v>1508</v>
      </c>
      <c r="F3228" s="1754" t="s">
        <v>1512</v>
      </c>
      <c r="G3228" s="1942">
        <v>3.605</v>
      </c>
      <c r="H3228" s="1454">
        <f t="shared" si="300"/>
        <v>3.6050000000000001E-3</v>
      </c>
      <c r="I3228" s="1289"/>
      <c r="J3228" s="198"/>
      <c r="K3228" s="1307">
        <f t="shared" si="298"/>
        <v>3.3742800000000002E-4</v>
      </c>
      <c r="L3228" s="1335">
        <f t="shared" si="299"/>
        <v>0</v>
      </c>
      <c r="M3228" s="1499">
        <v>18.28</v>
      </c>
      <c r="N3228" s="1718">
        <f>G3228*M3228</f>
        <v>65.8994</v>
      </c>
      <c r="O3228" s="1719">
        <f>H3228*M3228</f>
        <v>6.5899400000000011E-2</v>
      </c>
      <c r="P3228" s="1720">
        <f>M3228*K3228</f>
        <v>6.1681838400000008E-3</v>
      </c>
      <c r="Q3228" s="3396"/>
      <c r="R3228" s="2337"/>
      <c r="S3228" s="16"/>
      <c r="T3228" s="16"/>
      <c r="U3228" s="16"/>
      <c r="V3228" s="16"/>
    </row>
    <row r="3229" spans="1:22">
      <c r="A3229" s="16"/>
      <c r="B3229" s="1320"/>
      <c r="C3229" s="1042"/>
      <c r="D3229" s="1752"/>
      <c r="E3229" s="1852"/>
      <c r="F3229" s="1752"/>
      <c r="G3229" s="1941"/>
      <c r="H3229" s="1453"/>
      <c r="I3229" s="1289"/>
      <c r="J3229" s="198"/>
      <c r="K3229" s="1307"/>
      <c r="L3229" s="1335"/>
      <c r="M3229" s="1723"/>
      <c r="N3229" s="1718"/>
      <c r="O3229" s="1719"/>
      <c r="P3229" s="1720"/>
      <c r="Q3229" s="3396"/>
      <c r="R3229" s="2337"/>
      <c r="S3229" s="16"/>
      <c r="T3229" s="16"/>
      <c r="U3229" s="16"/>
      <c r="V3229" s="16"/>
    </row>
    <row r="3230" spans="1:22">
      <c r="A3230" s="16"/>
      <c r="B3230" s="1320"/>
      <c r="C3230" s="1042"/>
      <c r="D3230" s="1752"/>
      <c r="E3230" s="1852"/>
      <c r="F3230" s="1752"/>
      <c r="G3230" s="1941"/>
      <c r="H3230" s="1453"/>
      <c r="I3230" s="1289"/>
      <c r="J3230" s="198"/>
      <c r="K3230" s="1307"/>
      <c r="L3230" s="1335"/>
      <c r="M3230" s="1723"/>
      <c r="N3230" s="1718"/>
      <c r="O3230" s="1719"/>
      <c r="P3230" s="1720"/>
      <c r="Q3230" s="3396"/>
      <c r="R3230" s="2337"/>
      <c r="S3230" s="16"/>
      <c r="T3230" s="16"/>
      <c r="U3230" s="16"/>
      <c r="V3230" s="16"/>
    </row>
    <row r="3231" spans="1:22">
      <c r="A3231" s="16"/>
      <c r="B3231" s="1320"/>
      <c r="C3231" s="1320"/>
      <c r="D3231" s="1410"/>
      <c r="E3231" s="1858"/>
      <c r="F3231" s="1360" t="s">
        <v>2</v>
      </c>
      <c r="G3231" s="1360"/>
      <c r="H3231" s="1362"/>
      <c r="I3231" s="1380"/>
      <c r="J3231" s="1381"/>
      <c r="K3231" s="1359"/>
      <c r="L3231" s="1458"/>
      <c r="M3231" s="1502"/>
      <c r="N3231" s="1502"/>
      <c r="O3231" s="1362"/>
      <c r="P3231" s="1359"/>
      <c r="Q3231" s="3387"/>
      <c r="R3231" s="2337"/>
      <c r="S3231" s="16"/>
      <c r="T3231" s="16"/>
      <c r="U3231" s="16"/>
      <c r="V3231" s="16"/>
    </row>
    <row r="3232" spans="1:22">
      <c r="A3232" s="16"/>
      <c r="B3232" s="1042"/>
      <c r="C3232" s="1356" t="s">
        <v>1755</v>
      </c>
      <c r="D3232" s="1311"/>
      <c r="E3232" s="2163" t="s">
        <v>1508</v>
      </c>
      <c r="F3232" s="1648" t="s">
        <v>1524</v>
      </c>
      <c r="G3232" s="1353"/>
      <c r="H3232" s="1954">
        <v>0.3</v>
      </c>
      <c r="I3232" s="1444"/>
      <c r="J3232" s="1388"/>
      <c r="K3232" s="1445"/>
      <c r="L3232" s="1457"/>
      <c r="M3232" s="1447"/>
      <c r="N3232" s="1447">
        <f>SUM(N3233:N3234)</f>
        <v>37.510000000000005</v>
      </c>
      <c r="O3232" s="1447">
        <f>SUM(O3233:O3234)</f>
        <v>11.253</v>
      </c>
      <c r="P3232" s="1447">
        <f>SUM(P3233:P3234)</f>
        <v>1.0532808</v>
      </c>
      <c r="Q3232" s="3391"/>
      <c r="R3232" s="2337"/>
      <c r="S3232" s="16"/>
      <c r="T3232" s="16"/>
      <c r="U3232" s="16"/>
      <c r="V3232" s="16"/>
    </row>
    <row r="3233" spans="1:22">
      <c r="A3233" s="16"/>
      <c r="B3233" s="1042"/>
      <c r="C3233" s="88"/>
      <c r="D3233" s="1430" t="s">
        <v>1067</v>
      </c>
      <c r="E3233" s="1857" t="s">
        <v>1508</v>
      </c>
      <c r="F3233" s="1403" t="s">
        <v>5</v>
      </c>
      <c r="G3233" s="1431">
        <v>1</v>
      </c>
      <c r="H3233" s="1408">
        <f>G3233*$H$3232</f>
        <v>0.3</v>
      </c>
      <c r="I3233" s="1286"/>
      <c r="J3233" s="198"/>
      <c r="K3233" s="1307">
        <f>H3233*$K$3215</f>
        <v>2.8080000000000001E-2</v>
      </c>
      <c r="L3233" s="1335">
        <f t="shared" ref="L3233:L3234" si="301">K3233*$K$2842</f>
        <v>0</v>
      </c>
      <c r="M3233" s="1302">
        <v>18.28</v>
      </c>
      <c r="N3233" s="1718">
        <f>G3233*M3233</f>
        <v>18.28</v>
      </c>
      <c r="O3233" s="1290">
        <f>H3233*M3233</f>
        <v>5.484</v>
      </c>
      <c r="P3233" s="1332">
        <f>M3233*K3233</f>
        <v>0.51330240000000005</v>
      </c>
      <c r="Q3233" s="3391"/>
      <c r="R3233" s="2337"/>
      <c r="S3233" s="16"/>
      <c r="T3233" s="16"/>
      <c r="U3233" s="16"/>
      <c r="V3233" s="16"/>
    </row>
    <row r="3234" spans="1:22">
      <c r="A3234" s="16"/>
      <c r="B3234" s="1042"/>
      <c r="C3234" s="88"/>
      <c r="D3234" s="1430" t="s">
        <v>1077</v>
      </c>
      <c r="E3234" s="1857" t="s">
        <v>1508</v>
      </c>
      <c r="F3234" s="1403" t="s">
        <v>37</v>
      </c>
      <c r="G3234" s="1431">
        <v>1</v>
      </c>
      <c r="H3234" s="1408">
        <f>G3234*$H$3232</f>
        <v>0.3</v>
      </c>
      <c r="I3234" s="197"/>
      <c r="J3234" s="198"/>
      <c r="K3234" s="1307">
        <f>H3234*$K$3215</f>
        <v>2.8080000000000001E-2</v>
      </c>
      <c r="L3234" s="1335">
        <f t="shared" si="301"/>
        <v>0</v>
      </c>
      <c r="M3234" s="1302">
        <v>19.23</v>
      </c>
      <c r="N3234" s="1718">
        <f>G3234*M3234</f>
        <v>19.23</v>
      </c>
      <c r="O3234" s="1290">
        <f>H3234*M3234</f>
        <v>5.7690000000000001</v>
      </c>
      <c r="P3234" s="1332">
        <f>M3234*K3234</f>
        <v>0.53997840000000008</v>
      </c>
      <c r="Q3234" s="3391"/>
      <c r="R3234" s="2337"/>
      <c r="S3234" s="16"/>
      <c r="T3234" s="16"/>
      <c r="U3234" s="16"/>
      <c r="V3234" s="16"/>
    </row>
    <row r="3235" spans="1:22">
      <c r="A3235" s="16"/>
      <c r="B3235" s="1320"/>
      <c r="C3235" s="1042"/>
      <c r="D3235" s="1402"/>
      <c r="E3235" s="1857"/>
      <c r="F3235" s="1645"/>
      <c r="G3235" s="1362"/>
      <c r="H3235" s="1359"/>
      <c r="I3235" s="198"/>
      <c r="J3235" s="6"/>
      <c r="K3235" s="1307"/>
      <c r="L3235" s="1646"/>
      <c r="M3235" s="1499"/>
      <c r="N3235" s="1499"/>
      <c r="O3235" s="1291"/>
      <c r="P3235" s="1332"/>
      <c r="Q3235" s="3391"/>
      <c r="R3235" s="2337"/>
      <c r="S3235" s="16"/>
      <c r="T3235" s="16"/>
      <c r="U3235" s="16"/>
      <c r="V3235" s="16"/>
    </row>
    <row r="3236" spans="1:22">
      <c r="A3236" s="16"/>
      <c r="B3236" s="1320"/>
      <c r="C3236" s="1042"/>
      <c r="D3236" s="1402"/>
      <c r="E3236" s="1857"/>
      <c r="F3236" s="1403"/>
      <c r="G3236" s="1362"/>
      <c r="H3236" s="1359"/>
      <c r="I3236" s="198"/>
      <c r="J3236" s="6"/>
      <c r="K3236" s="1307"/>
      <c r="L3236" s="1335"/>
      <c r="M3236" s="1499"/>
      <c r="N3236" s="1701"/>
      <c r="O3236" s="1290"/>
      <c r="P3236" s="1332"/>
      <c r="Q3236" s="3391"/>
      <c r="R3236" s="2337"/>
      <c r="S3236" s="16"/>
      <c r="T3236" s="16"/>
      <c r="U3236" s="16"/>
      <c r="V3236" s="16"/>
    </row>
    <row r="3237" spans="1:22">
      <c r="A3237" s="16"/>
      <c r="B3237" s="1320"/>
      <c r="C3237" s="1042"/>
      <c r="D3237" s="1411"/>
      <c r="E3237" s="2123"/>
      <c r="F3237" s="1374" t="s">
        <v>3</v>
      </c>
      <c r="G3237" s="1374"/>
      <c r="H3237" s="1376"/>
      <c r="I3237" s="1382"/>
      <c r="J3237" s="1383"/>
      <c r="K3237" s="1373"/>
      <c r="L3237" s="1413"/>
      <c r="M3237" s="1505"/>
      <c r="N3237" s="1505"/>
      <c r="O3237" s="1376"/>
      <c r="P3237" s="1413"/>
      <c r="Q3237" s="3387"/>
      <c r="R3237" s="2337"/>
      <c r="S3237" s="16"/>
      <c r="T3237" s="16"/>
      <c r="U3237" s="16"/>
      <c r="V3237" s="16"/>
    </row>
    <row r="3238" spans="1:22">
      <c r="A3238" s="16"/>
      <c r="B3238" s="1320"/>
      <c r="C3238" s="1042"/>
      <c r="D3238" s="1412"/>
      <c r="E3238" s="2124"/>
      <c r="F3238" s="1378"/>
      <c r="G3238" s="1378"/>
      <c r="H3238" s="1379"/>
      <c r="I3238" s="198"/>
      <c r="J3238" s="6"/>
      <c r="K3238" s="1307"/>
      <c r="L3238" s="1335"/>
      <c r="M3238" s="1499"/>
      <c r="N3238" s="1701"/>
      <c r="O3238" s="1290"/>
      <c r="P3238" s="1332"/>
      <c r="Q3238" s="3391"/>
      <c r="R3238" s="2337"/>
      <c r="S3238" s="16"/>
      <c r="T3238" s="16"/>
      <c r="U3238" s="16"/>
      <c r="V3238" s="16"/>
    </row>
    <row r="3239" spans="1:22">
      <c r="A3239" s="16"/>
      <c r="B3239" s="1320"/>
      <c r="C3239" s="1042"/>
      <c r="D3239" s="1440"/>
      <c r="E3239" s="2132"/>
      <c r="F3239" s="1441"/>
      <c r="G3239" s="1441"/>
      <c r="H3239" s="1442"/>
      <c r="I3239" s="197"/>
      <c r="J3239" s="198"/>
      <c r="K3239" s="1307"/>
      <c r="L3239" s="1335"/>
      <c r="M3239" s="1499"/>
      <c r="N3239" s="1701"/>
      <c r="O3239" s="1290"/>
      <c r="P3239" s="1332"/>
      <c r="Q3239" s="3391"/>
      <c r="R3239" s="2337"/>
      <c r="S3239" s="16"/>
      <c r="T3239" s="16"/>
      <c r="U3239" s="16"/>
      <c r="V3239" s="16"/>
    </row>
    <row r="3240" spans="1:22">
      <c r="A3240" s="16"/>
      <c r="B3240" s="1320"/>
      <c r="C3240" s="1042"/>
      <c r="D3240" s="1440"/>
      <c r="E3240" s="2132"/>
      <c r="F3240" s="1441"/>
      <c r="G3240" s="1441"/>
      <c r="H3240" s="1442"/>
      <c r="I3240" s="197"/>
      <c r="J3240" s="198"/>
      <c r="K3240" s="1307"/>
      <c r="L3240" s="1335"/>
      <c r="M3240" s="1499"/>
      <c r="N3240" s="1701"/>
      <c r="O3240" s="1290"/>
      <c r="P3240" s="1332"/>
      <c r="Q3240" s="3391"/>
      <c r="R3240" s="2337"/>
      <c r="S3240" s="16"/>
      <c r="T3240" s="16"/>
      <c r="U3240" s="16"/>
      <c r="V3240" s="16"/>
    </row>
    <row r="3241" spans="1:22">
      <c r="A3241" s="16" t="s">
        <v>3764</v>
      </c>
      <c r="B3241" s="4325" t="s">
        <v>1920</v>
      </c>
      <c r="C3241" s="3350"/>
      <c r="D3241" s="4327"/>
      <c r="E3241" s="4329" t="s">
        <v>1527</v>
      </c>
      <c r="F3241" s="4336" t="s">
        <v>1921</v>
      </c>
      <c r="G3241" s="4331" t="s">
        <v>1568</v>
      </c>
      <c r="H3241" s="4331" t="s">
        <v>1574</v>
      </c>
      <c r="I3241" s="1572" t="s">
        <v>1559</v>
      </c>
      <c r="J3241" s="1294" t="s">
        <v>1560</v>
      </c>
      <c r="K3241" s="1294" t="s">
        <v>1561</v>
      </c>
      <c r="L3241" s="4333" t="s">
        <v>3765</v>
      </c>
      <c r="M3241" s="4335" t="s">
        <v>1571</v>
      </c>
      <c r="N3241" s="4323" t="s">
        <v>1776</v>
      </c>
      <c r="O3241" s="3347" t="s">
        <v>1563</v>
      </c>
      <c r="P3241" s="1336" t="s">
        <v>1562</v>
      </c>
      <c r="Q3241" s="3389"/>
      <c r="R3241" s="1839" t="s">
        <v>1327</v>
      </c>
      <c r="S3241" s="16"/>
      <c r="T3241" s="16"/>
      <c r="U3241" s="16"/>
      <c r="V3241" s="16"/>
    </row>
    <row r="3242" spans="1:22">
      <c r="A3242" s="1971" t="s">
        <v>1967</v>
      </c>
      <c r="B3242" s="4326"/>
      <c r="C3242" s="3351"/>
      <c r="D3242" s="4328"/>
      <c r="E3242" s="4389"/>
      <c r="F3242" s="4336"/>
      <c r="G3242" s="4332"/>
      <c r="H3242" s="4332"/>
      <c r="I3242" s="4079">
        <v>27</v>
      </c>
      <c r="J3242" s="3815">
        <v>3.0000000000000001E-3</v>
      </c>
      <c r="K3242" s="1307">
        <f>I3242*J3242</f>
        <v>8.1000000000000003E-2</v>
      </c>
      <c r="L3242" s="4334"/>
      <c r="M3242" s="4335"/>
      <c r="N3242" s="4324"/>
      <c r="O3242" s="1298">
        <f>O3244+O3245+O3251+O3258</f>
        <v>27.836043959999998</v>
      </c>
      <c r="P3242" s="1337">
        <f>O3242*K3242</f>
        <v>2.2547195607599999</v>
      </c>
      <c r="Q3242" s="3390"/>
      <c r="R3242" s="1840">
        <f>P3244+P3245+P3251+P3258</f>
        <v>2.2547195607599999</v>
      </c>
      <c r="S3242" s="16"/>
      <c r="T3242" s="16"/>
      <c r="U3242" s="16"/>
      <c r="V3242" s="16"/>
    </row>
    <row r="3243" spans="1:22">
      <c r="A3243" s="16"/>
      <c r="B3243" s="1327"/>
      <c r="C3243" s="1327"/>
      <c r="D3243" s="1400"/>
      <c r="E3243" s="2121"/>
      <c r="F3243" s="1368" t="s">
        <v>1</v>
      </c>
      <c r="G3243" s="1417"/>
      <c r="H3243" s="1390"/>
      <c r="I3243" s="1554"/>
      <c r="J3243" s="1367"/>
      <c r="K3243" s="1367"/>
      <c r="L3243" s="1554"/>
      <c r="M3243" s="1369"/>
      <c r="N3243" s="1369"/>
      <c r="O3243" s="1369"/>
      <c r="P3243" s="1367"/>
      <c r="Q3243" s="3387"/>
      <c r="R3243" s="2337"/>
      <c r="S3243" s="16"/>
      <c r="T3243" s="16"/>
      <c r="U3243" s="16"/>
      <c r="V3243" s="16"/>
    </row>
    <row r="3244" spans="1:22" ht="18.5">
      <c r="A3244" s="3816" t="s">
        <v>3578</v>
      </c>
      <c r="B3244" s="2042"/>
      <c r="C3244" s="1042"/>
      <c r="D3244" s="1598" t="s">
        <v>1922</v>
      </c>
      <c r="E3244" s="2154" t="s">
        <v>1527</v>
      </c>
      <c r="F3244" s="1598" t="s">
        <v>1923</v>
      </c>
      <c r="G3244" s="1612">
        <v>1.1020000000000001</v>
      </c>
      <c r="H3244" s="1453"/>
      <c r="I3244" s="197"/>
      <c r="J3244" s="198"/>
      <c r="K3244" s="1307">
        <f>G3244*$K$3242</f>
        <v>8.9262000000000008E-2</v>
      </c>
      <c r="L3244" s="1335">
        <f>K3244*$K$2842</f>
        <v>0</v>
      </c>
      <c r="M3244" s="1499">
        <v>11.2</v>
      </c>
      <c r="N3244" s="1718"/>
      <c r="O3244" s="1719">
        <f>G3244*M3244</f>
        <v>12.3424</v>
      </c>
      <c r="P3244" s="1720">
        <f>M3244*K3244</f>
        <v>0.99973440000000002</v>
      </c>
      <c r="Q3244" s="3396"/>
      <c r="R3244" s="2337"/>
      <c r="S3244" s="16"/>
      <c r="T3244" s="16"/>
      <c r="U3244" s="16"/>
      <c r="V3244" s="16"/>
    </row>
    <row r="3245" spans="1:22" ht="18.5">
      <c r="A3245" s="3816" t="s">
        <v>3581</v>
      </c>
      <c r="B3245" s="1320"/>
      <c r="C3245" s="1356" t="s">
        <v>1119</v>
      </c>
      <c r="D3245" s="1311"/>
      <c r="E3245" s="1854" t="s">
        <v>1517</v>
      </c>
      <c r="F3245" s="1749" t="s">
        <v>1917</v>
      </c>
      <c r="G3245" s="1688"/>
      <c r="H3245" s="1366">
        <v>1.2E-2</v>
      </c>
      <c r="I3245" s="1388"/>
      <c r="J3245" s="1388"/>
      <c r="K3245" s="1510"/>
      <c r="L3245" s="1445"/>
      <c r="M3245" s="1447"/>
      <c r="N3245" s="1447">
        <f>SUM(N3246:N3250)</f>
        <v>83.047780000000003</v>
      </c>
      <c r="O3245" s="1447">
        <f>SUM(O3246:O3250)</f>
        <v>0.99657335999999996</v>
      </c>
      <c r="P3245" s="1446">
        <f>SUM(P3246:P3250)</f>
        <v>8.0722442160000005E-2</v>
      </c>
      <c r="Q3245" s="3391"/>
      <c r="S3245" s="16"/>
      <c r="T3245" s="16"/>
      <c r="U3245" s="16"/>
      <c r="V3245" s="16"/>
    </row>
    <row r="3246" spans="1:22">
      <c r="A3246" s="16"/>
      <c r="B3246" s="1320"/>
      <c r="C3246" s="18"/>
      <c r="D3246" s="1752" t="s">
        <v>1069</v>
      </c>
      <c r="E3246" s="1852" t="s">
        <v>1517</v>
      </c>
      <c r="F3246" s="1752" t="s">
        <v>1578</v>
      </c>
      <c r="G3246" s="1941">
        <v>0.2</v>
      </c>
      <c r="H3246" s="1453">
        <f>G3246*$H$3245</f>
        <v>2.4000000000000002E-3</v>
      </c>
      <c r="I3246" s="198"/>
      <c r="J3246" s="198"/>
      <c r="K3246" s="1732">
        <f>H3246*$K$3242</f>
        <v>1.9440000000000004E-4</v>
      </c>
      <c r="L3246" s="1335">
        <f t="shared" ref="L3246:L3250" si="302">K3246*$K$2842</f>
        <v>0</v>
      </c>
      <c r="M3246" s="1499">
        <v>0.55000000000000004</v>
      </c>
      <c r="N3246" s="1718">
        <f>G3246*M3246</f>
        <v>0.11000000000000001</v>
      </c>
      <c r="O3246" s="1719">
        <f>H3246*M3246</f>
        <v>1.3200000000000002E-3</v>
      </c>
      <c r="P3246" s="1720">
        <f>M3246*K3246</f>
        <v>1.0692000000000003E-4</v>
      </c>
      <c r="Q3246" s="3396"/>
      <c r="R3246" s="2337"/>
      <c r="S3246" s="16"/>
      <c r="T3246" s="16"/>
      <c r="U3246" s="16"/>
      <c r="V3246" s="16"/>
    </row>
    <row r="3247" spans="1:22">
      <c r="A3247" s="16"/>
      <c r="B3247" s="1320"/>
      <c r="C3247" s="1042"/>
      <c r="D3247" s="1752" t="s">
        <v>1792</v>
      </c>
      <c r="E3247" s="1852" t="s">
        <v>1577</v>
      </c>
      <c r="F3247" s="1752" t="s">
        <v>1793</v>
      </c>
      <c r="G3247" s="1941">
        <v>0.19</v>
      </c>
      <c r="H3247" s="1453">
        <f t="shared" ref="H3247:H3250" si="303">G3247*$H$3245</f>
        <v>2.2799999999999999E-3</v>
      </c>
      <c r="I3247" s="197"/>
      <c r="J3247" s="198"/>
      <c r="K3247" s="1732">
        <f t="shared" ref="K3247:K3254" si="304">H3247*$K$3242</f>
        <v>1.8468E-4</v>
      </c>
      <c r="L3247" s="1335">
        <f t="shared" si="302"/>
        <v>0</v>
      </c>
      <c r="M3247" s="1499">
        <v>85.09</v>
      </c>
      <c r="N3247" s="1718">
        <f>G3247*M3247</f>
        <v>16.167100000000001</v>
      </c>
      <c r="O3247" s="1719">
        <f>H3247*M3247</f>
        <v>0.19400519999999999</v>
      </c>
      <c r="P3247" s="1720">
        <f>M3247*K3247</f>
        <v>1.5714421200000002E-2</v>
      </c>
      <c r="Q3247" s="3396"/>
      <c r="R3247" s="2337"/>
      <c r="S3247" s="16"/>
      <c r="T3247" s="16"/>
      <c r="U3247" s="16"/>
      <c r="V3247" s="16"/>
    </row>
    <row r="3248" spans="1:22">
      <c r="A3248" s="16"/>
      <c r="B3248" s="1320"/>
      <c r="C3248" s="1042"/>
      <c r="D3248" s="1752" t="s">
        <v>1394</v>
      </c>
      <c r="E3248" s="1852" t="s">
        <v>1577</v>
      </c>
      <c r="F3248" s="1752" t="s">
        <v>1579</v>
      </c>
      <c r="G3248" s="1941">
        <v>0.38</v>
      </c>
      <c r="H3248" s="1453">
        <f t="shared" si="303"/>
        <v>4.5599999999999998E-3</v>
      </c>
      <c r="I3248" s="1289"/>
      <c r="J3248" s="198"/>
      <c r="K3248" s="1732">
        <f t="shared" si="304"/>
        <v>3.6936E-4</v>
      </c>
      <c r="L3248" s="1335">
        <f t="shared" si="302"/>
        <v>0</v>
      </c>
      <c r="M3248" s="1499">
        <v>92.54</v>
      </c>
      <c r="N3248" s="1718">
        <f>G3248*M3248</f>
        <v>35.165200000000006</v>
      </c>
      <c r="O3248" s="1719">
        <f>H3248*M3248</f>
        <v>0.42198240000000004</v>
      </c>
      <c r="P3248" s="1720">
        <f>M3248*K3248</f>
        <v>3.4180574400000004E-2</v>
      </c>
      <c r="Q3248" s="3396"/>
      <c r="R3248" s="2337"/>
      <c r="S3248" s="16"/>
      <c r="T3248" s="16"/>
      <c r="U3248" s="16"/>
      <c r="V3248" s="16"/>
    </row>
    <row r="3249" spans="1:22">
      <c r="A3249" s="16"/>
      <c r="B3249" s="1320"/>
      <c r="C3249" s="1042"/>
      <c r="D3249" s="1752" t="s">
        <v>1576</v>
      </c>
      <c r="E3249" s="1852" t="s">
        <v>1517</v>
      </c>
      <c r="F3249" s="1752" t="s">
        <v>1580</v>
      </c>
      <c r="G3249" s="1941">
        <v>1.38</v>
      </c>
      <c r="H3249" s="1453">
        <f t="shared" si="303"/>
        <v>1.6559999999999998E-2</v>
      </c>
      <c r="I3249" s="1289"/>
      <c r="J3249" s="198"/>
      <c r="K3249" s="1732">
        <f t="shared" si="304"/>
        <v>1.34136E-3</v>
      </c>
      <c r="L3249" s="1335">
        <f t="shared" si="302"/>
        <v>0</v>
      </c>
      <c r="M3249" s="1499">
        <v>6.53</v>
      </c>
      <c r="N3249" s="1718">
        <f>G3249*M3249</f>
        <v>9.0114000000000001</v>
      </c>
      <c r="O3249" s="1719">
        <f>H3249*M3249</f>
        <v>0.10813679999999999</v>
      </c>
      <c r="P3249" s="1720">
        <f>M3249*K3249</f>
        <v>8.759080800000001E-3</v>
      </c>
      <c r="Q3249" s="3396"/>
      <c r="R3249" s="2337"/>
      <c r="S3249" s="16"/>
      <c r="T3249" s="16"/>
      <c r="U3249" s="16"/>
      <c r="V3249" s="16"/>
    </row>
    <row r="3250" spans="1:22">
      <c r="A3250" s="16"/>
      <c r="B3250" s="1320"/>
      <c r="C3250" s="1042"/>
      <c r="D3250" s="1754" t="s">
        <v>1067</v>
      </c>
      <c r="E3250" s="1853" t="s">
        <v>1508</v>
      </c>
      <c r="F3250" s="1754" t="s">
        <v>1512</v>
      </c>
      <c r="G3250" s="1942">
        <v>1.236</v>
      </c>
      <c r="H3250" s="1454">
        <f t="shared" si="303"/>
        <v>1.4832E-2</v>
      </c>
      <c r="I3250" s="1289"/>
      <c r="J3250" s="198"/>
      <c r="K3250" s="1732">
        <f t="shared" si="304"/>
        <v>1.2013919999999999E-3</v>
      </c>
      <c r="L3250" s="1335">
        <f t="shared" si="302"/>
        <v>0</v>
      </c>
      <c r="M3250" s="1499">
        <v>18.28</v>
      </c>
      <c r="N3250" s="1718">
        <f>G3250*M3250</f>
        <v>22.594080000000002</v>
      </c>
      <c r="O3250" s="1719">
        <f>H3250*M3250</f>
        <v>0.27112896000000003</v>
      </c>
      <c r="P3250" s="1720">
        <f>M3250*K3250</f>
        <v>2.196144576E-2</v>
      </c>
      <c r="Q3250" s="3396"/>
      <c r="R3250" s="2337"/>
      <c r="S3250" s="16"/>
      <c r="T3250" s="16"/>
      <c r="U3250" s="16"/>
      <c r="V3250" s="16"/>
    </row>
    <row r="3251" spans="1:22">
      <c r="A3251" s="16"/>
      <c r="B3251" s="1320"/>
      <c r="C3251" s="1658" t="s">
        <v>1155</v>
      </c>
      <c r="D3251" s="1311"/>
      <c r="E3251" s="1855" t="s">
        <v>1517</v>
      </c>
      <c r="F3251" s="1647" t="s">
        <v>1544</v>
      </c>
      <c r="G3251" s="1830" t="s">
        <v>1551</v>
      </c>
      <c r="H3251" s="1830">
        <v>1E-3</v>
      </c>
      <c r="I3251" s="1444"/>
      <c r="J3251" s="1388"/>
      <c r="K3251" s="1732">
        <f t="shared" si="304"/>
        <v>8.1000000000000004E-5</v>
      </c>
      <c r="L3251" s="1445"/>
      <c r="M3251" s="1447"/>
      <c r="N3251" s="1447">
        <f>SUM(N3252:N3254)</f>
        <v>114.04755</v>
      </c>
      <c r="O3251" s="1447">
        <f>SUM(O3252:O3254)</f>
        <v>1.3685706000000002</v>
      </c>
      <c r="P3251" s="1446">
        <f>SUM(P3252:P3254)</f>
        <v>0.11085421860000001</v>
      </c>
      <c r="Q3251" s="3391"/>
      <c r="R3251" s="1296"/>
      <c r="S3251" s="16"/>
      <c r="T3251" s="16"/>
      <c r="U3251" s="16"/>
      <c r="V3251" s="16"/>
    </row>
    <row r="3252" spans="1:22">
      <c r="A3252" s="16"/>
      <c r="B3252" s="1320"/>
      <c r="C3252" s="1042"/>
      <c r="D3252" s="1451" t="s">
        <v>1069</v>
      </c>
      <c r="E3252" s="1856" t="s">
        <v>1517</v>
      </c>
      <c r="F3252" s="1421" t="s">
        <v>1578</v>
      </c>
      <c r="G3252" s="1452">
        <v>0.89100000000000001</v>
      </c>
      <c r="H3252" s="1453">
        <f>$H$3245*G3252</f>
        <v>1.0692E-2</v>
      </c>
      <c r="I3252" s="1286"/>
      <c r="J3252" s="198"/>
      <c r="K3252" s="1732">
        <f t="shared" si="304"/>
        <v>8.6605200000000008E-4</v>
      </c>
      <c r="L3252" s="1335">
        <f t="shared" ref="L3252:L3254" si="305">K3252*$K$2842</f>
        <v>0</v>
      </c>
      <c r="M3252" s="1717">
        <v>0.55000000000000004</v>
      </c>
      <c r="N3252" s="1718">
        <f>G3252*M3252</f>
        <v>0.49005000000000004</v>
      </c>
      <c r="O3252" s="1719">
        <f>H3252*M3252</f>
        <v>5.8806000000000006E-3</v>
      </c>
      <c r="P3252" s="1731">
        <f>M3252*K3252</f>
        <v>4.7632860000000008E-4</v>
      </c>
      <c r="Q3252" s="3396"/>
      <c r="R3252" s="1296"/>
      <c r="S3252" s="16"/>
      <c r="T3252" s="16"/>
      <c r="U3252" s="16"/>
      <c r="V3252" s="16"/>
    </row>
    <row r="3253" spans="1:22">
      <c r="A3253" s="16"/>
      <c r="B3253" s="1320"/>
      <c r="C3253" s="1042"/>
      <c r="D3253" s="1367" t="s">
        <v>1394</v>
      </c>
      <c r="E3253" s="1856" t="s">
        <v>1577</v>
      </c>
      <c r="F3253" s="1421" t="s">
        <v>1579</v>
      </c>
      <c r="G3253" s="1452">
        <v>0.51500000000000001</v>
      </c>
      <c r="H3253" s="1453">
        <f t="shared" ref="H3253:H3254" si="306">$H$3245*G3253</f>
        <v>6.1800000000000006E-3</v>
      </c>
      <c r="I3253" s="1286"/>
      <c r="J3253" s="198"/>
      <c r="K3253" s="1732">
        <f t="shared" si="304"/>
        <v>5.0058000000000004E-4</v>
      </c>
      <c r="L3253" s="1335">
        <f t="shared" si="305"/>
        <v>0</v>
      </c>
      <c r="M3253" s="1717">
        <v>92.54</v>
      </c>
      <c r="N3253" s="1718">
        <f>G3253*M3253</f>
        <v>47.658100000000005</v>
      </c>
      <c r="O3253" s="1719">
        <f>H3253*M3253</f>
        <v>0.57189720000000011</v>
      </c>
      <c r="P3253" s="1720">
        <f>M3253*K3253</f>
        <v>4.6323673200000005E-2</v>
      </c>
      <c r="Q3253" s="3396"/>
      <c r="R3253" s="1296"/>
      <c r="S3253" s="16"/>
      <c r="T3253" s="16"/>
      <c r="U3253" s="16"/>
      <c r="V3253" s="16"/>
    </row>
    <row r="3254" spans="1:22">
      <c r="A3254" s="16"/>
      <c r="B3254" s="1320"/>
      <c r="C3254" s="1042"/>
      <c r="D3254" s="1359" t="s">
        <v>1067</v>
      </c>
      <c r="E3254" s="1857" t="s">
        <v>1508</v>
      </c>
      <c r="F3254" s="1430" t="s">
        <v>1512</v>
      </c>
      <c r="G3254" s="1431">
        <v>3.605</v>
      </c>
      <c r="H3254" s="1454">
        <f t="shared" si="306"/>
        <v>4.326E-2</v>
      </c>
      <c r="I3254" s="1286"/>
      <c r="J3254" s="198"/>
      <c r="K3254" s="1732">
        <f t="shared" si="304"/>
        <v>3.5040600000000002E-3</v>
      </c>
      <c r="L3254" s="1335">
        <f t="shared" si="305"/>
        <v>0</v>
      </c>
      <c r="M3254" s="1717">
        <v>18.28</v>
      </c>
      <c r="N3254" s="1718">
        <f>G3254*M3254</f>
        <v>65.8994</v>
      </c>
      <c r="O3254" s="1719">
        <f>H3254*M3254</f>
        <v>0.79079280000000007</v>
      </c>
      <c r="P3254" s="1720">
        <f>M3254*K3254</f>
        <v>6.4054216800000008E-2</v>
      </c>
      <c r="Q3254" s="3396"/>
      <c r="R3254" s="1296"/>
      <c r="S3254" s="16"/>
      <c r="T3254" s="16"/>
      <c r="U3254" s="16"/>
      <c r="V3254" s="16"/>
    </row>
    <row r="3255" spans="1:22">
      <c r="A3255" s="16"/>
      <c r="B3255" s="1320"/>
      <c r="C3255" s="1042"/>
      <c r="D3255" s="1752"/>
      <c r="E3255" s="1852"/>
      <c r="F3255" s="1752"/>
      <c r="G3255" s="1941"/>
      <c r="H3255" s="1453"/>
      <c r="I3255" s="1289"/>
      <c r="J3255" s="198"/>
      <c r="K3255" s="1307"/>
      <c r="L3255" s="1335"/>
      <c r="M3255" s="1723"/>
      <c r="N3255" s="1718"/>
      <c r="O3255" s="1719"/>
      <c r="P3255" s="1720"/>
      <c r="Q3255" s="3396"/>
      <c r="R3255" s="2337"/>
      <c r="S3255" s="16"/>
      <c r="T3255" s="16"/>
      <c r="U3255" s="16"/>
      <c r="V3255" s="16"/>
    </row>
    <row r="3256" spans="1:22">
      <c r="A3256" s="16"/>
      <c r="B3256" s="1320"/>
      <c r="C3256" s="1042"/>
      <c r="D3256" s="1752"/>
      <c r="E3256" s="1852"/>
      <c r="F3256" s="1752"/>
      <c r="G3256" s="1941"/>
      <c r="H3256" s="1453"/>
      <c r="I3256" s="1289"/>
      <c r="J3256" s="198"/>
      <c r="K3256" s="1307"/>
      <c r="L3256" s="1335"/>
      <c r="M3256" s="1723"/>
      <c r="N3256" s="1718"/>
      <c r="O3256" s="1719"/>
      <c r="P3256" s="1720"/>
      <c r="Q3256" s="3396"/>
      <c r="R3256" s="2337"/>
      <c r="S3256" s="16"/>
      <c r="T3256" s="16"/>
      <c r="U3256" s="16"/>
      <c r="V3256" s="16"/>
    </row>
    <row r="3257" spans="1:22">
      <c r="A3257" s="16"/>
      <c r="B3257" s="1320"/>
      <c r="C3257" s="1320"/>
      <c r="D3257" s="1410"/>
      <c r="E3257" s="1858"/>
      <c r="F3257" s="1360" t="s">
        <v>2</v>
      </c>
      <c r="G3257" s="1360"/>
      <c r="H3257" s="1362"/>
      <c r="I3257" s="1380"/>
      <c r="J3257" s="1381"/>
      <c r="K3257" s="1359"/>
      <c r="L3257" s="1458"/>
      <c r="M3257" s="1502"/>
      <c r="N3257" s="1502"/>
      <c r="O3257" s="1362"/>
      <c r="P3257" s="1359"/>
      <c r="Q3257" s="3387"/>
      <c r="R3257" s="2337"/>
      <c r="S3257" s="16"/>
      <c r="T3257" s="16"/>
      <c r="U3257" s="16"/>
      <c r="V3257" s="16"/>
    </row>
    <row r="3258" spans="1:22">
      <c r="A3258" s="16"/>
      <c r="B3258" s="1042"/>
      <c r="C3258" s="1356" t="s">
        <v>1755</v>
      </c>
      <c r="D3258" s="1311"/>
      <c r="E3258" s="2163" t="s">
        <v>1508</v>
      </c>
      <c r="F3258" s="1648" t="s">
        <v>1524</v>
      </c>
      <c r="G3258" s="1353"/>
      <c r="H3258" s="1954">
        <v>0.35</v>
      </c>
      <c r="I3258" s="1444"/>
      <c r="J3258" s="1388"/>
      <c r="K3258" s="1445"/>
      <c r="L3258" s="1457"/>
      <c r="M3258" s="1447"/>
      <c r="N3258" s="1447">
        <f>SUM(N3259:N3260)</f>
        <v>37.510000000000005</v>
      </c>
      <c r="O3258" s="1447">
        <f>SUM(O3259:O3260)</f>
        <v>13.128499999999999</v>
      </c>
      <c r="P3258" s="1447">
        <f>SUM(P3259:P3260)</f>
        <v>1.0634085</v>
      </c>
      <c r="Q3258" s="3391"/>
      <c r="R3258" s="2337"/>
      <c r="S3258" s="16"/>
      <c r="T3258" s="16"/>
      <c r="U3258" s="16"/>
      <c r="V3258" s="16"/>
    </row>
    <row r="3259" spans="1:22">
      <c r="A3259" s="16"/>
      <c r="B3259" s="1042"/>
      <c r="C3259" s="88"/>
      <c r="D3259" s="1430" t="s">
        <v>1067</v>
      </c>
      <c r="E3259" s="1857" t="s">
        <v>1508</v>
      </c>
      <c r="F3259" s="1403" t="s">
        <v>5</v>
      </c>
      <c r="G3259" s="1431">
        <v>1</v>
      </c>
      <c r="H3259" s="1408">
        <f>G3259*$H$3258</f>
        <v>0.35</v>
      </c>
      <c r="I3259" s="1286"/>
      <c r="J3259" s="198"/>
      <c r="K3259" s="1732">
        <f t="shared" ref="K3259:K3260" si="307">H3259*$K$3242</f>
        <v>2.835E-2</v>
      </c>
      <c r="L3259" s="1335">
        <f t="shared" ref="L3259:L3260" si="308">K3259*$K$2842</f>
        <v>0</v>
      </c>
      <c r="M3259" s="1302">
        <v>18.28</v>
      </c>
      <c r="N3259" s="1718">
        <f>G3259*M3259</f>
        <v>18.28</v>
      </c>
      <c r="O3259" s="1290">
        <f>H3259*M3259</f>
        <v>6.3979999999999997</v>
      </c>
      <c r="P3259" s="1332">
        <f>M3259*K3259</f>
        <v>0.51823800000000009</v>
      </c>
      <c r="Q3259" s="3391"/>
      <c r="R3259" s="2337"/>
      <c r="S3259" s="16"/>
      <c r="T3259" s="16"/>
      <c r="U3259" s="16"/>
      <c r="V3259" s="16"/>
    </row>
    <row r="3260" spans="1:22">
      <c r="A3260" s="16"/>
      <c r="B3260" s="1042"/>
      <c r="C3260" s="88"/>
      <c r="D3260" s="1430" t="s">
        <v>1077</v>
      </c>
      <c r="E3260" s="1857" t="s">
        <v>1508</v>
      </c>
      <c r="F3260" s="1403" t="s">
        <v>37</v>
      </c>
      <c r="G3260" s="1431">
        <v>1</v>
      </c>
      <c r="H3260" s="1408">
        <f>G3260*$H$3258</f>
        <v>0.35</v>
      </c>
      <c r="I3260" s="197"/>
      <c r="J3260" s="198"/>
      <c r="K3260" s="1732">
        <f t="shared" si="307"/>
        <v>2.835E-2</v>
      </c>
      <c r="L3260" s="1335">
        <f t="shared" si="308"/>
        <v>0</v>
      </c>
      <c r="M3260" s="1302">
        <v>19.23</v>
      </c>
      <c r="N3260" s="1718">
        <f>G3260*M3260</f>
        <v>19.23</v>
      </c>
      <c r="O3260" s="1290">
        <f>H3260*M3260</f>
        <v>6.7305000000000001</v>
      </c>
      <c r="P3260" s="1332">
        <f>M3260*K3260</f>
        <v>0.5451705</v>
      </c>
      <c r="Q3260" s="3391"/>
      <c r="R3260" s="2337"/>
      <c r="S3260" s="16"/>
      <c r="T3260" s="16"/>
      <c r="U3260" s="16"/>
      <c r="V3260" s="16"/>
    </row>
    <row r="3261" spans="1:22">
      <c r="A3261" s="16"/>
      <c r="B3261" s="1320"/>
      <c r="C3261" s="1042"/>
      <c r="D3261" s="1402"/>
      <c r="E3261" s="1857"/>
      <c r="F3261" s="1645"/>
      <c r="G3261" s="1362"/>
      <c r="H3261" s="1359"/>
      <c r="I3261" s="198"/>
      <c r="J3261" s="6"/>
      <c r="K3261" s="1307"/>
      <c r="L3261" s="1646"/>
      <c r="M3261" s="1499"/>
      <c r="N3261" s="1499"/>
      <c r="O3261" s="1291"/>
      <c r="P3261" s="1332"/>
      <c r="Q3261" s="3391"/>
      <c r="R3261" s="2337"/>
      <c r="S3261" s="16"/>
      <c r="T3261" s="16"/>
      <c r="U3261" s="16"/>
      <c r="V3261" s="16"/>
    </row>
    <row r="3262" spans="1:22">
      <c r="A3262" s="16"/>
      <c r="B3262" s="1320"/>
      <c r="C3262" s="1042"/>
      <c r="D3262" s="1402"/>
      <c r="E3262" s="1857"/>
      <c r="F3262" s="1403"/>
      <c r="G3262" s="1362"/>
      <c r="H3262" s="1359"/>
      <c r="I3262" s="198"/>
      <c r="J3262" s="6"/>
      <c r="K3262" s="1307"/>
      <c r="L3262" s="1335"/>
      <c r="M3262" s="1499"/>
      <c r="N3262" s="1701"/>
      <c r="O3262" s="1290"/>
      <c r="P3262" s="1332"/>
      <c r="Q3262" s="3391"/>
      <c r="R3262" s="2337"/>
      <c r="S3262" s="16"/>
      <c r="T3262" s="16"/>
      <c r="U3262" s="16"/>
      <c r="V3262" s="16"/>
    </row>
    <row r="3263" spans="1:22">
      <c r="A3263" s="16"/>
      <c r="B3263" s="1320"/>
      <c r="C3263" s="1042"/>
      <c r="D3263" s="1411"/>
      <c r="E3263" s="2123"/>
      <c r="F3263" s="1374" t="s">
        <v>3</v>
      </c>
      <c r="G3263" s="1374"/>
      <c r="H3263" s="1376"/>
      <c r="I3263" s="1382"/>
      <c r="J3263" s="1383"/>
      <c r="K3263" s="1373"/>
      <c r="L3263" s="1413"/>
      <c r="M3263" s="1505"/>
      <c r="N3263" s="1505"/>
      <c r="O3263" s="1376"/>
      <c r="P3263" s="1413"/>
      <c r="Q3263" s="3387"/>
      <c r="R3263" s="2337"/>
      <c r="S3263" s="16"/>
      <c r="T3263" s="16"/>
      <c r="U3263" s="16"/>
      <c r="V3263" s="16"/>
    </row>
    <row r="3264" spans="1:22">
      <c r="A3264" s="16"/>
      <c r="B3264" s="1320"/>
      <c r="C3264" s="1042"/>
      <c r="D3264" s="1412"/>
      <c r="E3264" s="2124"/>
      <c r="F3264" s="1378"/>
      <c r="G3264" s="1378"/>
      <c r="H3264" s="1379"/>
      <c r="I3264" s="198"/>
      <c r="J3264" s="6"/>
      <c r="K3264" s="1307"/>
      <c r="L3264" s="1335"/>
      <c r="M3264" s="1499"/>
      <c r="N3264" s="1701"/>
      <c r="O3264" s="1290"/>
      <c r="P3264" s="1332"/>
      <c r="Q3264" s="3391"/>
      <c r="R3264" s="2337"/>
      <c r="S3264" s="16"/>
      <c r="T3264" s="16"/>
      <c r="U3264" s="16"/>
      <c r="V3264" s="16"/>
    </row>
    <row r="3265" spans="1:22">
      <c r="A3265" s="16"/>
      <c r="B3265" s="1320"/>
      <c r="C3265" s="1042"/>
      <c r="D3265" s="1440"/>
      <c r="E3265" s="2132"/>
      <c r="F3265" s="1441"/>
      <c r="G3265" s="1441"/>
      <c r="H3265" s="1442"/>
      <c r="I3265" s="197"/>
      <c r="J3265" s="198"/>
      <c r="K3265" s="1307"/>
      <c r="L3265" s="1335"/>
      <c r="M3265" s="1499"/>
      <c r="N3265" s="1701"/>
      <c r="O3265" s="1290"/>
      <c r="P3265" s="1332"/>
      <c r="Q3265" s="3391"/>
      <c r="R3265" s="2337"/>
      <c r="S3265" s="16"/>
      <c r="T3265" s="16"/>
      <c r="U3265" s="16"/>
      <c r="V3265" s="16"/>
    </row>
    <row r="3266" spans="1:22">
      <c r="A3266" s="16"/>
      <c r="B3266" s="1320"/>
      <c r="C3266" s="1042"/>
      <c r="D3266" s="1440"/>
      <c r="E3266" s="2132"/>
      <c r="F3266" s="1441"/>
      <c r="G3266" s="1441"/>
      <c r="H3266" s="1442"/>
      <c r="I3266" s="197"/>
      <c r="J3266" s="198"/>
      <c r="K3266" s="1307"/>
      <c r="L3266" s="1335"/>
      <c r="M3266" s="1499"/>
      <c r="N3266" s="1701"/>
      <c r="O3266" s="1290"/>
      <c r="P3266" s="1332"/>
      <c r="Q3266" s="3391"/>
      <c r="R3266" s="2337"/>
      <c r="S3266" s="16"/>
      <c r="T3266" s="16"/>
      <c r="U3266" s="16"/>
      <c r="V3266" s="16"/>
    </row>
    <row r="3267" spans="1:22">
      <c r="A3267" s="16" t="s">
        <v>3764</v>
      </c>
      <c r="B3267" s="4325" t="s">
        <v>1661</v>
      </c>
      <c r="C3267" s="3350"/>
      <c r="D3267" s="4327"/>
      <c r="E3267" s="4329" t="s">
        <v>1507</v>
      </c>
      <c r="F3267" s="4336" t="s">
        <v>1706</v>
      </c>
      <c r="G3267" s="4331" t="s">
        <v>1568</v>
      </c>
      <c r="H3267" s="4331" t="s">
        <v>1574</v>
      </c>
      <c r="I3267" s="1572" t="s">
        <v>1559</v>
      </c>
      <c r="J3267" s="1294" t="s">
        <v>1560</v>
      </c>
      <c r="K3267" s="1294" t="s">
        <v>1561</v>
      </c>
      <c r="L3267" s="4333" t="s">
        <v>3765</v>
      </c>
      <c r="M3267" s="4335" t="s">
        <v>1571</v>
      </c>
      <c r="N3267" s="4323" t="s">
        <v>1776</v>
      </c>
      <c r="O3267" s="3347" t="s">
        <v>1563</v>
      </c>
      <c r="P3267" s="1336" t="s">
        <v>1562</v>
      </c>
      <c r="Q3267" s="3389"/>
      <c r="R3267" s="1699" t="s">
        <v>1327</v>
      </c>
      <c r="S3267" s="16"/>
      <c r="T3267" s="16"/>
      <c r="U3267" s="16"/>
      <c r="V3267" s="16"/>
    </row>
    <row r="3268" spans="1:22">
      <c r="A3268" s="1971" t="s">
        <v>1967</v>
      </c>
      <c r="B3268" s="4326"/>
      <c r="C3268" s="3351"/>
      <c r="D3268" s="4328"/>
      <c r="E3268" s="4389"/>
      <c r="F3268" s="4336"/>
      <c r="G3268" s="4332"/>
      <c r="H3268" s="4332"/>
      <c r="I3268" s="4079">
        <v>191.7</v>
      </c>
      <c r="J3268" s="3815">
        <v>3.0000000000000001E-3</v>
      </c>
      <c r="K3268" s="1307">
        <f>I3268*J3268</f>
        <v>0.57509999999999994</v>
      </c>
      <c r="L3268" s="4334"/>
      <c r="M3268" s="4335"/>
      <c r="N3268" s="4324"/>
      <c r="O3268" s="1298">
        <f>SUM(O3270:O3281)</f>
        <v>8.9870400000000004</v>
      </c>
      <c r="P3268" s="1337">
        <f>O3268*K3268</f>
        <v>5.1684467039999999</v>
      </c>
      <c r="Q3268" s="3390"/>
      <c r="R3268" s="1721">
        <f>SUM(P3270:P3282)</f>
        <v>5.1684467039999991</v>
      </c>
      <c r="S3268" s="16"/>
      <c r="T3268" s="16"/>
      <c r="U3268" s="16"/>
      <c r="V3268" s="16"/>
    </row>
    <row r="3269" spans="1:22">
      <c r="A3269" s="16"/>
      <c r="B3269" s="1327"/>
      <c r="C3269" s="1327"/>
      <c r="D3269" s="1400"/>
      <c r="E3269" s="2121"/>
      <c r="F3269" s="1368" t="s">
        <v>1</v>
      </c>
      <c r="G3269" s="1417"/>
      <c r="H3269" s="1390"/>
      <c r="I3269" s="1554"/>
      <c r="J3269" s="1367"/>
      <c r="K3269" s="1367"/>
      <c r="L3269" s="1554"/>
      <c r="M3269" s="1369"/>
      <c r="N3269" s="1369"/>
      <c r="O3269" s="1369"/>
      <c r="P3269" s="1367"/>
      <c r="Q3269" s="3387"/>
      <c r="R3269" s="2337"/>
      <c r="S3269" s="16"/>
      <c r="T3269" s="16"/>
      <c r="U3269" s="16"/>
      <c r="V3269" s="16"/>
    </row>
    <row r="3270" spans="1:22">
      <c r="A3270" s="16"/>
      <c r="B3270" s="1320"/>
      <c r="C3270" s="1042"/>
      <c r="D3270" s="1761" t="s">
        <v>1698</v>
      </c>
      <c r="E3270" s="2170" t="s">
        <v>1357</v>
      </c>
      <c r="F3270" s="1761" t="s">
        <v>1699</v>
      </c>
      <c r="G3270" s="1762">
        <v>0.45</v>
      </c>
      <c r="H3270" s="1762"/>
      <c r="I3270" s="27"/>
      <c r="J3270" s="6"/>
      <c r="K3270" s="1307">
        <f>G3270*$K$3268</f>
        <v>0.258795</v>
      </c>
      <c r="L3270" s="1335">
        <f t="shared" ref="L3270:L3272" si="309">K3270*$K$2842</f>
        <v>0</v>
      </c>
      <c r="M3270" s="1499">
        <v>1.7</v>
      </c>
      <c r="N3270" s="1701"/>
      <c r="O3270" s="1290">
        <f>(G3270*M3270)</f>
        <v>0.76500000000000001</v>
      </c>
      <c r="P3270" s="1332">
        <f>M3270*K3270</f>
        <v>0.4399515</v>
      </c>
      <c r="Q3270" s="3391"/>
      <c r="R3270" s="2337"/>
      <c r="S3270" s="16"/>
      <c r="T3270" s="16"/>
      <c r="U3270" s="16"/>
      <c r="V3270" s="16"/>
    </row>
    <row r="3271" spans="1:22">
      <c r="A3271" s="16"/>
      <c r="B3271" s="1320"/>
      <c r="C3271" s="1042"/>
      <c r="D3271" s="1761" t="s">
        <v>1214</v>
      </c>
      <c r="E3271" s="2170" t="s">
        <v>1357</v>
      </c>
      <c r="F3271" s="1761" t="s">
        <v>1700</v>
      </c>
      <c r="G3271" s="1762">
        <v>0.35</v>
      </c>
      <c r="H3271" s="1762"/>
      <c r="I3271" s="27"/>
      <c r="J3271" s="198"/>
      <c r="K3271" s="1307">
        <f t="shared" ref="K3271:K3272" si="310">G3271*$K$3268</f>
        <v>0.20128499999999996</v>
      </c>
      <c r="L3271" s="1335">
        <f t="shared" si="309"/>
        <v>0</v>
      </c>
      <c r="M3271" s="1499">
        <v>4.2</v>
      </c>
      <c r="N3271" s="1701"/>
      <c r="O3271" s="1290">
        <f>(G3271*M3271)</f>
        <v>1.47</v>
      </c>
      <c r="P3271" s="1332">
        <f>M3271*K3271</f>
        <v>0.84539699999999984</v>
      </c>
      <c r="Q3271" s="3391"/>
      <c r="R3271" s="2337"/>
      <c r="S3271" s="16"/>
      <c r="T3271" s="16"/>
      <c r="U3271" s="16"/>
      <c r="V3271" s="16"/>
    </row>
    <row r="3272" spans="1:22">
      <c r="A3272" s="16"/>
      <c r="B3272" s="1320"/>
      <c r="C3272" s="1042"/>
      <c r="D3272" s="1761" t="s">
        <v>1701</v>
      </c>
      <c r="E3272" s="2170" t="s">
        <v>1504</v>
      </c>
      <c r="F3272" s="1761" t="s">
        <v>1541</v>
      </c>
      <c r="G3272" s="1762">
        <v>0.2</v>
      </c>
      <c r="H3272" s="1762"/>
      <c r="I3272" s="27"/>
      <c r="J3272" s="10"/>
      <c r="K3272" s="1307">
        <f t="shared" si="310"/>
        <v>0.11502</v>
      </c>
      <c r="L3272" s="1335">
        <f t="shared" si="309"/>
        <v>0</v>
      </c>
      <c r="M3272" s="1499">
        <v>0.3</v>
      </c>
      <c r="N3272" s="1701"/>
      <c r="O3272" s="1290">
        <f>(G3272*M3272)</f>
        <v>0.06</v>
      </c>
      <c r="P3272" s="1332">
        <f>M3272*K3272</f>
        <v>3.4505999999999995E-2</v>
      </c>
      <c r="Q3272" s="3391"/>
      <c r="R3272" s="2337"/>
      <c r="S3272" s="16"/>
      <c r="T3272" s="16"/>
      <c r="U3272" s="16"/>
      <c r="V3272" s="16"/>
    </row>
    <row r="3273" spans="1:22">
      <c r="A3273" s="16"/>
      <c r="B3273" s="1320"/>
      <c r="C3273" s="1042"/>
      <c r="D3273" s="1367"/>
      <c r="E3273" s="1856"/>
      <c r="F3273" s="1421"/>
      <c r="G3273" s="1399"/>
      <c r="H3273" s="1399"/>
      <c r="I3273" s="1289"/>
      <c r="J3273" s="198"/>
      <c r="K3273" s="1307"/>
      <c r="L3273" s="1335"/>
      <c r="M3273" s="1499"/>
      <c r="N3273" s="1701"/>
      <c r="O3273" s="1290"/>
      <c r="P3273" s="1332"/>
      <c r="Q3273" s="3391"/>
      <c r="R3273" s="2337"/>
      <c r="S3273" s="16"/>
      <c r="T3273" s="16"/>
      <c r="U3273" s="16"/>
      <c r="V3273" s="16"/>
    </row>
    <row r="3274" spans="1:22">
      <c r="A3274" s="16"/>
      <c r="B3274" s="1320"/>
      <c r="C3274" s="1042"/>
      <c r="D3274" s="1367"/>
      <c r="E3274" s="1856"/>
      <c r="F3274" s="1421"/>
      <c r="G3274" s="1399"/>
      <c r="H3274" s="1399"/>
      <c r="I3274" s="1289"/>
      <c r="J3274" s="198"/>
      <c r="K3274" s="1307"/>
      <c r="L3274" s="1335"/>
      <c r="M3274" s="1499"/>
      <c r="N3274" s="1701"/>
      <c r="O3274" s="1290"/>
      <c r="P3274" s="1332"/>
      <c r="Q3274" s="3391"/>
      <c r="R3274" s="2337"/>
      <c r="S3274" s="16"/>
      <c r="T3274" s="16"/>
      <c r="U3274" s="16"/>
      <c r="V3274" s="16"/>
    </row>
    <row r="3275" spans="1:22">
      <c r="A3275" s="16"/>
      <c r="B3275" s="1320"/>
      <c r="C3275" s="1320"/>
      <c r="D3275" s="1410"/>
      <c r="E3275" s="1858"/>
      <c r="F3275" s="1360" t="s">
        <v>2</v>
      </c>
      <c r="G3275" s="1362"/>
      <c r="H3275" s="1362"/>
      <c r="I3275" s="1380"/>
      <c r="J3275" s="1381"/>
      <c r="K3275" s="1359"/>
      <c r="L3275" s="1458"/>
      <c r="M3275" s="1502"/>
      <c r="N3275" s="1502"/>
      <c r="O3275" s="1362"/>
      <c r="P3275" s="1359"/>
      <c r="Q3275" s="3387"/>
      <c r="R3275" s="2337"/>
      <c r="S3275" s="16"/>
      <c r="T3275" s="16"/>
      <c r="U3275" s="16"/>
      <c r="V3275" s="16"/>
    </row>
    <row r="3276" spans="1:22">
      <c r="A3276" s="16"/>
      <c r="B3276" s="1320"/>
      <c r="C3276" s="1042"/>
      <c r="D3276" s="1624" t="s">
        <v>1702</v>
      </c>
      <c r="E3276" s="2158" t="s">
        <v>1508</v>
      </c>
      <c r="F3276" s="1624" t="s">
        <v>1703</v>
      </c>
      <c r="G3276" s="1625">
        <v>0.34799999999999998</v>
      </c>
      <c r="H3276" s="1625"/>
      <c r="I3276" s="198"/>
      <c r="J3276" s="6"/>
      <c r="K3276" s="1307">
        <f t="shared" ref="K3276" si="311">G3276*$K$3268</f>
        <v>0.20013479999999997</v>
      </c>
      <c r="L3276" s="1335">
        <f>K3276*$K$2842</f>
        <v>0</v>
      </c>
      <c r="M3276" s="1499">
        <v>19.23</v>
      </c>
      <c r="N3276" s="1701"/>
      <c r="O3276" s="1290">
        <f>(G3276*M3276)</f>
        <v>6.6920399999999995</v>
      </c>
      <c r="P3276" s="1332">
        <f>M3276*K3276</f>
        <v>3.8485922039999996</v>
      </c>
      <c r="Q3276" s="3391"/>
      <c r="R3276" s="2337"/>
      <c r="S3276" s="16"/>
      <c r="T3276" s="16"/>
      <c r="U3276" s="16"/>
      <c r="V3276" s="16"/>
    </row>
    <row r="3277" spans="1:22">
      <c r="A3277" s="16"/>
      <c r="B3277" s="1320"/>
      <c r="C3277" s="1042"/>
      <c r="D3277" s="1402"/>
      <c r="E3277" s="1857"/>
      <c r="F3277" s="1645"/>
      <c r="G3277" s="1362"/>
      <c r="H3277" s="1359"/>
      <c r="I3277" s="198"/>
      <c r="J3277" s="6"/>
      <c r="K3277" s="1306"/>
      <c r="L3277" s="1646"/>
      <c r="M3277" s="1499"/>
      <c r="N3277" s="1499"/>
      <c r="O3277" s="1291"/>
      <c r="P3277" s="1332"/>
      <c r="Q3277" s="3391"/>
      <c r="R3277" s="2337"/>
      <c r="S3277" s="16"/>
      <c r="T3277" s="16"/>
      <c r="U3277" s="16"/>
      <c r="V3277" s="16"/>
    </row>
    <row r="3278" spans="1:22">
      <c r="A3278" s="16"/>
      <c r="B3278" s="1320"/>
      <c r="C3278" s="1042"/>
      <c r="D3278" s="1402"/>
      <c r="E3278" s="1857"/>
      <c r="F3278" s="1403"/>
      <c r="G3278" s="1362"/>
      <c r="H3278" s="1359"/>
      <c r="I3278" s="198"/>
      <c r="J3278" s="6"/>
      <c r="K3278" s="1307"/>
      <c r="L3278" s="1335"/>
      <c r="M3278" s="1499"/>
      <c r="N3278" s="1701"/>
      <c r="O3278" s="1290"/>
      <c r="P3278" s="1332"/>
      <c r="Q3278" s="3391"/>
      <c r="R3278" s="2337"/>
      <c r="S3278" s="16"/>
      <c r="T3278" s="16"/>
      <c r="U3278" s="16"/>
      <c r="V3278" s="16"/>
    </row>
    <row r="3279" spans="1:22">
      <c r="A3279" s="16"/>
      <c r="B3279" s="1320"/>
      <c r="C3279" s="1042"/>
      <c r="D3279" s="1411"/>
      <c r="E3279" s="2123"/>
      <c r="F3279" s="1374" t="s">
        <v>3</v>
      </c>
      <c r="G3279" s="1374"/>
      <c r="H3279" s="1376"/>
      <c r="I3279" s="1382"/>
      <c r="J3279" s="1383"/>
      <c r="K3279" s="1373"/>
      <c r="L3279" s="1413"/>
      <c r="M3279" s="1505"/>
      <c r="N3279" s="1505"/>
      <c r="O3279" s="1376"/>
      <c r="P3279" s="1413"/>
      <c r="Q3279" s="3387"/>
      <c r="R3279" s="2337"/>
      <c r="S3279" s="16"/>
      <c r="T3279" s="16"/>
      <c r="U3279" s="16"/>
      <c r="V3279" s="16"/>
    </row>
    <row r="3280" spans="1:22">
      <c r="A3280" s="16"/>
      <c r="B3280" s="1320"/>
      <c r="C3280" s="1042"/>
      <c r="D3280" s="1440"/>
      <c r="E3280" s="2132"/>
      <c r="F3280" s="1441"/>
      <c r="G3280" s="1441"/>
      <c r="H3280" s="1442"/>
      <c r="I3280" s="197"/>
      <c r="J3280" s="198"/>
      <c r="K3280" s="1307"/>
      <c r="L3280" s="1335"/>
      <c r="M3280" s="1499"/>
      <c r="N3280" s="1701"/>
      <c r="O3280" s="1290"/>
      <c r="P3280" s="1332"/>
      <c r="Q3280" s="3391"/>
      <c r="R3280" s="2337"/>
      <c r="S3280" s="16"/>
      <c r="T3280" s="16"/>
      <c r="U3280" s="16"/>
      <c r="V3280" s="16"/>
    </row>
    <row r="3281" spans="1:22">
      <c r="A3281" s="16"/>
      <c r="B3281" s="1320"/>
      <c r="C3281" s="1042"/>
      <c r="D3281" s="1440"/>
      <c r="E3281" s="2132"/>
      <c r="F3281" s="1441"/>
      <c r="G3281" s="1441"/>
      <c r="H3281" s="1442"/>
      <c r="I3281" s="197"/>
      <c r="J3281" s="198"/>
      <c r="K3281" s="1307"/>
      <c r="L3281" s="1335"/>
      <c r="M3281" s="1499"/>
      <c r="N3281" s="1701"/>
      <c r="O3281" s="1290"/>
      <c r="P3281" s="1332"/>
      <c r="Q3281" s="3391"/>
      <c r="R3281" s="2337"/>
      <c r="S3281" s="16"/>
      <c r="T3281" s="16"/>
      <c r="U3281" s="16"/>
      <c r="V3281" s="16"/>
    </row>
    <row r="3282" spans="1:22">
      <c r="A3282" s="16"/>
      <c r="B3282" s="225"/>
      <c r="C3282" s="223"/>
      <c r="D3282" s="1440"/>
      <c r="E3282" s="2132"/>
      <c r="F3282" s="1955"/>
      <c r="G3282" s="1955"/>
      <c r="H3282" s="1956"/>
      <c r="I3282" s="197"/>
      <c r="J3282" s="198"/>
      <c r="K3282" s="1307"/>
      <c r="L3282" s="1335"/>
      <c r="M3282" s="1499"/>
      <c r="N3282" s="1701"/>
      <c r="O3282" s="1290"/>
      <c r="P3282" s="1332"/>
      <c r="Q3282" s="3391"/>
      <c r="R3282" s="2337"/>
      <c r="S3282" s="17"/>
      <c r="T3282" s="17"/>
      <c r="U3282" s="16"/>
      <c r="V3282" s="16"/>
    </row>
    <row r="3283" spans="1:22" s="22" customFormat="1">
      <c r="A3283" s="16"/>
      <c r="B3283" s="16"/>
      <c r="C3283" s="16"/>
      <c r="D3283" s="1795"/>
      <c r="E3283" s="2179"/>
      <c r="F3283" s="1795"/>
      <c r="G3283" s="1795"/>
      <c r="H3283" s="1797"/>
      <c r="I3283" s="1561"/>
      <c r="J3283" s="1561"/>
      <c r="K3283" s="1639"/>
      <c r="L3283" s="1640"/>
      <c r="M3283" s="1292"/>
      <c r="N3283" s="1292"/>
      <c r="O3283" s="1292"/>
      <c r="P3283" s="1292"/>
      <c r="Q3283" s="3391"/>
      <c r="R3283" s="2337"/>
      <c r="S3283" s="17"/>
      <c r="T3283" s="17"/>
      <c r="U3283" s="16"/>
      <c r="V3283" s="16"/>
    </row>
    <row r="3284" spans="1:22">
      <c r="A3284" s="4393" t="s">
        <v>162</v>
      </c>
      <c r="B3284" s="4394"/>
      <c r="C3284" s="4394"/>
      <c r="D3284" s="4395"/>
      <c r="E3284" s="4396" t="s">
        <v>1549</v>
      </c>
      <c r="F3284" s="4397" t="s">
        <v>1550</v>
      </c>
      <c r="G3284" s="4399" t="s">
        <v>1566</v>
      </c>
      <c r="H3284" s="4400"/>
      <c r="I3284" s="4400"/>
      <c r="J3284" s="4400"/>
      <c r="K3284" s="4400"/>
      <c r="L3284" s="4401"/>
      <c r="M3284" s="4405" t="s">
        <v>1567</v>
      </c>
      <c r="N3284" s="4405"/>
      <c r="O3284" s="4405"/>
      <c r="P3284" s="4405"/>
      <c r="Q3284" s="3395"/>
      <c r="R3284" s="3795"/>
      <c r="S3284" s="17"/>
      <c r="T3284" s="17"/>
      <c r="U3284" s="16"/>
      <c r="V3284" s="16"/>
    </row>
    <row r="3285" spans="1:22">
      <c r="A3285" s="1324" t="s">
        <v>3766</v>
      </c>
      <c r="B3285" s="1325" t="s">
        <v>1513</v>
      </c>
      <c r="C3285" s="1326" t="s">
        <v>1573</v>
      </c>
      <c r="D3285" s="1323" t="s">
        <v>1514</v>
      </c>
      <c r="E3285" s="4396"/>
      <c r="F3285" s="4398"/>
      <c r="G3285" s="4402"/>
      <c r="H3285" s="4403"/>
      <c r="I3285" s="4403"/>
      <c r="J3285" s="4403"/>
      <c r="K3285" s="4403"/>
      <c r="L3285" s="4404"/>
      <c r="M3285" s="4405"/>
      <c r="N3285" s="4405"/>
      <c r="O3285" s="4405"/>
      <c r="P3285" s="4405"/>
      <c r="Q3285" s="3395"/>
      <c r="R3285" s="2337"/>
      <c r="S3285" s="17"/>
      <c r="T3285" s="17"/>
      <c r="U3285" s="16"/>
      <c r="V3285" s="16"/>
    </row>
    <row r="3286" spans="1:22" ht="29">
      <c r="A3286" s="4374" t="s">
        <v>3574</v>
      </c>
      <c r="B3286" s="4375"/>
      <c r="C3286" s="4375"/>
      <c r="D3286" s="4376"/>
      <c r="E3286" s="4380" t="s">
        <v>1507</v>
      </c>
      <c r="F3286" s="4382" t="s">
        <v>3576</v>
      </c>
      <c r="G3286" s="4493" t="s">
        <v>294</v>
      </c>
      <c r="H3286" s="4493"/>
      <c r="I3286" s="1665" t="s">
        <v>1565</v>
      </c>
      <c r="J3286" s="3790" t="s">
        <v>1575</v>
      </c>
      <c r="K3286" s="4493" t="s">
        <v>289</v>
      </c>
      <c r="L3286" s="4493"/>
      <c r="M3286" s="4408" t="s">
        <v>3349</v>
      </c>
      <c r="N3286" s="4408"/>
      <c r="O3286" s="4408"/>
      <c r="P3286" s="4408"/>
      <c r="Q3286" s="3394" t="s">
        <v>3938</v>
      </c>
      <c r="R3286" s="2337"/>
      <c r="S3286" s="4089" t="s">
        <v>3575</v>
      </c>
      <c r="T3286" s="17"/>
      <c r="U3286" s="16"/>
      <c r="V3286" s="16"/>
    </row>
    <row r="3287" spans="1:22" ht="26">
      <c r="A3287" s="4377"/>
      <c r="B3287" s="4378"/>
      <c r="C3287" s="4378"/>
      <c r="D3287" s="4379"/>
      <c r="E3287" s="4381"/>
      <c r="F3287" s="4383"/>
      <c r="G3287" s="4451">
        <f>IF('Seleccion proyecto HEREVEA02'!G31="Reparación grietas (&gt;60% superf. fach.). Rehab.energ. ext. Fach. Ventilada, aisl. lana oveja",'Seleccion proyecto HEREVEA02'!E29,0)</f>
        <v>0</v>
      </c>
      <c r="H3287" s="4452"/>
      <c r="I3287" s="4078">
        <f>IF('Seleccion proyecto HEREVEA02'!H31=0,0,IF('Seleccion proyecto HEREVEA02'!H31="1 a 60",0,IF('Seleccion proyecto HEREVEA02'!H31="61 a 100",1)))</f>
        <v>0</v>
      </c>
      <c r="J3287" s="1351">
        <f>'Seleccion proyecto HEREVEA02'!L8</f>
        <v>11100.968999999999</v>
      </c>
      <c r="K3287" s="4358">
        <f>G3287*I3287*J3287</f>
        <v>0</v>
      </c>
      <c r="L3287" s="4359"/>
      <c r="M3287" s="4360">
        <f>P3289+P3303+P3317+P3331+P3345+P3359+P3373+P3391+P3412+P3433+P3461+P3491+P3520+P3549+P3564+P3582+P3601+P3618+P3640+P3660+P3687+P3713</f>
        <v>229.03442785333922</v>
      </c>
      <c r="N3287" s="4517"/>
      <c r="O3287" s="4517"/>
      <c r="P3287" s="4518"/>
      <c r="Q3287" s="3388">
        <f>M3287*K3287</f>
        <v>0</v>
      </c>
      <c r="R3287" s="2345" t="s">
        <v>2799</v>
      </c>
      <c r="S3287" s="17"/>
      <c r="T3287" s="17"/>
      <c r="U3287" s="16"/>
      <c r="V3287" s="16"/>
    </row>
    <row r="3288" spans="1:22" ht="15" customHeight="1">
      <c r="A3288" s="19" t="s">
        <v>3764</v>
      </c>
      <c r="B3288" s="4514" t="s">
        <v>1888</v>
      </c>
      <c r="C3288" s="4076"/>
      <c r="D3288" s="4368"/>
      <c r="E3288" s="4389" t="s">
        <v>1527</v>
      </c>
      <c r="F3288" s="4363" t="s">
        <v>1889</v>
      </c>
      <c r="G3288" s="4364" t="s">
        <v>1568</v>
      </c>
      <c r="H3288" s="4364" t="s">
        <v>1574</v>
      </c>
      <c r="I3288" s="1835" t="s">
        <v>1559</v>
      </c>
      <c r="J3288" s="1836" t="s">
        <v>1560</v>
      </c>
      <c r="K3288" s="1836" t="s">
        <v>1569</v>
      </c>
      <c r="L3288" s="4365" t="s">
        <v>3765</v>
      </c>
      <c r="M3288" s="4324" t="s">
        <v>1571</v>
      </c>
      <c r="N3288" s="4366" t="s">
        <v>1776</v>
      </c>
      <c r="O3288" s="4072" t="s">
        <v>1563</v>
      </c>
      <c r="P3288" s="4077" t="s">
        <v>1562</v>
      </c>
      <c r="Q3288" s="3389"/>
      <c r="R3288" s="1699" t="s">
        <v>1327</v>
      </c>
      <c r="S3288" s="17"/>
      <c r="T3288" s="17"/>
      <c r="U3288" s="16"/>
      <c r="V3288" s="16"/>
    </row>
    <row r="3289" spans="1:22">
      <c r="A3289" s="1660" t="s">
        <v>3574</v>
      </c>
      <c r="B3289" s="4369"/>
      <c r="C3289" s="4075"/>
      <c r="D3289" s="4328"/>
      <c r="E3289" s="4330"/>
      <c r="F3289" s="4336"/>
      <c r="G3289" s="4332"/>
      <c r="H3289" s="4332"/>
      <c r="I3289" s="3814">
        <v>31.2</v>
      </c>
      <c r="J3289" s="3815">
        <v>3.0000000000000001E-3</v>
      </c>
      <c r="K3289" s="1307">
        <f>I3289*J3289</f>
        <v>9.3600000000000003E-2</v>
      </c>
      <c r="L3289" s="4334"/>
      <c r="M3289" s="4335"/>
      <c r="N3289" s="4324"/>
      <c r="O3289" s="1298">
        <f>SUM(O3291:O3301)</f>
        <v>2.1936</v>
      </c>
      <c r="P3289" s="1337">
        <f>O3289*K3289</f>
        <v>0.20532096</v>
      </c>
      <c r="Q3289" s="3390"/>
      <c r="R3289" s="1721">
        <f>SUM(P3291:P3301)</f>
        <v>0.20532096000000002</v>
      </c>
      <c r="S3289" s="17"/>
      <c r="T3289" s="17"/>
      <c r="U3289" s="16"/>
      <c r="V3289" s="16"/>
    </row>
    <row r="3290" spans="1:22">
      <c r="B3290" s="1327"/>
      <c r="C3290" s="1327"/>
      <c r="D3290" s="1400"/>
      <c r="E3290" s="2121"/>
      <c r="F3290" s="1368" t="s">
        <v>1</v>
      </c>
      <c r="G3290" s="1390"/>
      <c r="H3290" s="1390"/>
      <c r="I3290" s="1554"/>
      <c r="J3290" s="1367"/>
      <c r="K3290" s="1367"/>
      <c r="L3290" s="1554"/>
      <c r="M3290" s="1369"/>
      <c r="N3290" s="1369"/>
      <c r="O3290" s="1369"/>
      <c r="P3290" s="1367"/>
      <c r="Q3290" s="3387"/>
      <c r="R3290" s="3795"/>
      <c r="S3290" s="17"/>
      <c r="T3290" s="17"/>
      <c r="U3290" s="16"/>
      <c r="V3290" s="16"/>
    </row>
    <row r="3291" spans="1:22">
      <c r="B3291" s="1042"/>
      <c r="C3291" s="1042"/>
      <c r="D3291" s="1400"/>
      <c r="E3291" s="1856"/>
      <c r="F3291" s="1421"/>
      <c r="G3291" s="1399"/>
      <c r="H3291" s="1399"/>
      <c r="I3291" s="1760"/>
      <c r="J3291" s="198"/>
      <c r="K3291" s="1307"/>
      <c r="L3291" s="1335"/>
      <c r="M3291" s="1499"/>
      <c r="N3291" s="1701"/>
      <c r="O3291" s="1290"/>
      <c r="P3291" s="1332"/>
      <c r="Q3291" s="3391"/>
      <c r="R3291" s="3795"/>
      <c r="S3291" s="17"/>
      <c r="T3291" s="17"/>
      <c r="U3291" s="16"/>
      <c r="V3291" s="16"/>
    </row>
    <row r="3292" spans="1:22">
      <c r="B3292" s="1042"/>
      <c r="C3292" s="1042"/>
      <c r="D3292" s="1400"/>
      <c r="E3292" s="1856"/>
      <c r="F3292" s="1421"/>
      <c r="G3292" s="1399"/>
      <c r="H3292" s="1399"/>
      <c r="I3292" s="1760"/>
      <c r="J3292" s="198"/>
      <c r="K3292" s="1307"/>
      <c r="L3292" s="1335"/>
      <c r="M3292" s="1499"/>
      <c r="N3292" s="1701"/>
      <c r="O3292" s="1290"/>
      <c r="P3292" s="1332"/>
      <c r="Q3292" s="3391"/>
      <c r="R3292" s="2337"/>
      <c r="S3292" s="17"/>
      <c r="T3292" s="17"/>
      <c r="U3292" s="16"/>
      <c r="V3292" s="16"/>
    </row>
    <row r="3293" spans="1:22">
      <c r="B3293" s="1042"/>
      <c r="C3293" s="1042"/>
      <c r="D3293" s="1400"/>
      <c r="E3293" s="1856"/>
      <c r="F3293" s="1421"/>
      <c r="G3293" s="1399"/>
      <c r="H3293" s="1399"/>
      <c r="I3293" s="197"/>
      <c r="J3293" s="198"/>
      <c r="K3293" s="1307"/>
      <c r="L3293" s="1335"/>
      <c r="M3293" s="1499"/>
      <c r="N3293" s="1701"/>
      <c r="O3293" s="1290"/>
      <c r="P3293" s="1332"/>
      <c r="Q3293" s="3391"/>
      <c r="R3293" s="3795"/>
      <c r="S3293" s="17"/>
      <c r="T3293" s="17"/>
      <c r="U3293" s="16"/>
      <c r="V3293" s="16"/>
    </row>
    <row r="3294" spans="1:22">
      <c r="B3294" s="1042"/>
      <c r="C3294" s="1042"/>
      <c r="D3294" s="1410"/>
      <c r="E3294" s="1858"/>
      <c r="F3294" s="1360" t="s">
        <v>2</v>
      </c>
      <c r="G3294" s="1362"/>
      <c r="H3294" s="1362"/>
      <c r="I3294" s="1380"/>
      <c r="J3294" s="1381"/>
      <c r="K3294" s="1359"/>
      <c r="L3294" s="1458"/>
      <c r="M3294" s="1502"/>
      <c r="N3294" s="1502"/>
      <c r="O3294" s="1362"/>
      <c r="P3294" s="1359"/>
      <c r="Q3294" s="3387"/>
      <c r="R3294" s="3795"/>
      <c r="S3294" s="17"/>
      <c r="T3294" s="17"/>
      <c r="U3294" s="16"/>
      <c r="V3294" s="16"/>
    </row>
    <row r="3295" spans="1:22">
      <c r="B3295" s="1042"/>
      <c r="C3295" s="1042"/>
      <c r="D3295" s="1623" t="s">
        <v>1802</v>
      </c>
      <c r="E3295" s="2158" t="s">
        <v>1803</v>
      </c>
      <c r="F3295" s="1801" t="s">
        <v>1804</v>
      </c>
      <c r="G3295" s="1822">
        <v>0.12</v>
      </c>
      <c r="H3295" s="1822"/>
      <c r="I3295" s="198"/>
      <c r="J3295" s="6"/>
      <c r="K3295" s="1307">
        <f>G3295*K3289</f>
        <v>1.1232000000000001E-2</v>
      </c>
      <c r="L3295" s="1335">
        <f>K3295*$K$2842</f>
        <v>0</v>
      </c>
      <c r="M3295" s="1499">
        <v>18.28</v>
      </c>
      <c r="N3295" s="1701"/>
      <c r="O3295" s="1290">
        <f>(G3295*M3295)</f>
        <v>2.1936</v>
      </c>
      <c r="P3295" s="1332">
        <f>M3295*K3295</f>
        <v>0.20532096000000002</v>
      </c>
      <c r="Q3295" s="3391"/>
      <c r="R3295" s="3795"/>
      <c r="S3295" s="17"/>
      <c r="T3295" s="17"/>
      <c r="U3295" s="16"/>
      <c r="V3295" s="16"/>
    </row>
    <row r="3296" spans="1:22">
      <c r="A3296" s="22"/>
      <c r="B3296" s="1042"/>
      <c r="C3296" s="1042"/>
      <c r="D3296" s="1623"/>
      <c r="E3296" s="2158"/>
      <c r="F3296" s="1801"/>
      <c r="G3296" s="1822"/>
      <c r="H3296" s="1822"/>
      <c r="I3296" s="198"/>
      <c r="J3296" s="6"/>
      <c r="K3296" s="1307"/>
      <c r="L3296" s="1335"/>
      <c r="M3296" s="1499"/>
      <c r="N3296" s="1701"/>
      <c r="O3296" s="1290"/>
      <c r="P3296" s="1332"/>
      <c r="Q3296" s="3391"/>
      <c r="R3296" s="3795"/>
      <c r="S3296" s="17"/>
      <c r="T3296" s="17"/>
      <c r="U3296" s="16"/>
      <c r="V3296" s="16"/>
    </row>
    <row r="3297" spans="1:22">
      <c r="A3297" s="22"/>
      <c r="B3297" s="1042"/>
      <c r="C3297" s="1042"/>
      <c r="D3297" s="1623"/>
      <c r="E3297" s="2158"/>
      <c r="F3297" s="1801"/>
      <c r="G3297" s="1822"/>
      <c r="H3297" s="1822"/>
      <c r="I3297" s="198"/>
      <c r="J3297" s="6"/>
      <c r="K3297" s="1307"/>
      <c r="L3297" s="1335"/>
      <c r="M3297" s="1499"/>
      <c r="N3297" s="1701"/>
      <c r="O3297" s="1290"/>
      <c r="P3297" s="1332"/>
      <c r="Q3297" s="3391"/>
      <c r="R3297" s="3795"/>
      <c r="S3297" s="17"/>
      <c r="T3297" s="17"/>
      <c r="U3297" s="16"/>
      <c r="V3297" s="16"/>
    </row>
    <row r="3298" spans="1:22">
      <c r="A3298" s="22"/>
      <c r="B3298" s="1042"/>
      <c r="C3298" s="1042"/>
      <c r="D3298" s="1411"/>
      <c r="E3298" s="2123"/>
      <c r="F3298" s="1802" t="s">
        <v>3</v>
      </c>
      <c r="G3298" s="1376"/>
      <c r="H3298" s="1376"/>
      <c r="I3298" s="1382"/>
      <c r="J3298" s="1383"/>
      <c r="K3298" s="1373"/>
      <c r="L3298" s="1413"/>
      <c r="M3298" s="1505"/>
      <c r="N3298" s="1505"/>
      <c r="O3298" s="1376"/>
      <c r="P3298" s="1413"/>
      <c r="Q3298" s="3387"/>
      <c r="R3298" s="3795"/>
      <c r="S3298" s="17"/>
      <c r="T3298" s="17"/>
      <c r="U3298" s="16"/>
      <c r="V3298" s="16"/>
    </row>
    <row r="3299" spans="1:22">
      <c r="A3299" s="22"/>
      <c r="B3299" s="1042"/>
      <c r="C3299" s="1042"/>
      <c r="D3299" s="1411"/>
      <c r="E3299" s="2123"/>
      <c r="F3299" s="1475"/>
      <c r="G3299" s="1376"/>
      <c r="H3299" s="1376"/>
      <c r="I3299" s="198"/>
      <c r="J3299" s="6"/>
      <c r="K3299" s="1307"/>
      <c r="L3299" s="1335"/>
      <c r="M3299" s="1499"/>
      <c r="N3299" s="1701"/>
      <c r="O3299" s="1290"/>
      <c r="P3299" s="1332"/>
      <c r="Q3299" s="3391"/>
      <c r="R3299" s="3795"/>
      <c r="S3299" s="17"/>
      <c r="T3299" s="17"/>
      <c r="U3299" s="16"/>
      <c r="V3299" s="16"/>
    </row>
    <row r="3300" spans="1:22">
      <c r="A3300" s="22"/>
      <c r="B3300" s="1042"/>
      <c r="C3300" s="1042"/>
      <c r="D3300" s="1412"/>
      <c r="E3300" s="2124"/>
      <c r="F3300" s="1377"/>
      <c r="G3300" s="1597"/>
      <c r="H3300" s="1597"/>
      <c r="I3300" s="198"/>
      <c r="J3300" s="6"/>
      <c r="K3300" s="1306"/>
      <c r="L3300" s="1646"/>
      <c r="M3300" s="1302"/>
      <c r="N3300" s="1302"/>
      <c r="O3300" s="1291"/>
      <c r="P3300" s="1332"/>
      <c r="Q3300" s="3391"/>
      <c r="R3300" s="3795"/>
      <c r="S3300" s="17"/>
      <c r="T3300" s="17"/>
      <c r="U3300" s="16"/>
      <c r="V3300" s="16"/>
    </row>
    <row r="3301" spans="1:22">
      <c r="A3301" s="22"/>
      <c r="B3301" s="1042"/>
      <c r="C3301" s="1042"/>
      <c r="D3301" s="1808"/>
      <c r="E3301" s="2132"/>
      <c r="F3301" s="1804"/>
      <c r="G3301" s="1805"/>
      <c r="H3301" s="1805"/>
      <c r="I3301" s="197"/>
      <c r="J3301" s="1806"/>
      <c r="K3301" s="1307"/>
      <c r="L3301" s="1335"/>
      <c r="M3301" s="1701"/>
      <c r="N3301" s="1701"/>
      <c r="O3301" s="1290"/>
      <c r="P3301" s="1333"/>
      <c r="Q3301" s="3391"/>
      <c r="R3301" s="2337"/>
      <c r="S3301" s="17"/>
      <c r="T3301" s="17"/>
      <c r="U3301" s="16"/>
      <c r="V3301" s="16"/>
    </row>
    <row r="3302" spans="1:22" ht="15" customHeight="1">
      <c r="A3302" s="16" t="s">
        <v>3764</v>
      </c>
      <c r="B3302" s="4325" t="s">
        <v>1890</v>
      </c>
      <c r="C3302" s="4074"/>
      <c r="D3302" s="4327"/>
      <c r="E3302" s="4389" t="s">
        <v>1527</v>
      </c>
      <c r="F3302" s="4363" t="s">
        <v>1891</v>
      </c>
      <c r="G3302" s="4364" t="s">
        <v>1568</v>
      </c>
      <c r="H3302" s="4364" t="s">
        <v>1574</v>
      </c>
      <c r="I3302" s="1835" t="s">
        <v>1559</v>
      </c>
      <c r="J3302" s="1836" t="s">
        <v>1560</v>
      </c>
      <c r="K3302" s="1836" t="s">
        <v>1569</v>
      </c>
      <c r="L3302" s="4365" t="s">
        <v>3765</v>
      </c>
      <c r="M3302" s="4324" t="s">
        <v>1571</v>
      </c>
      <c r="N3302" s="4366" t="s">
        <v>1776</v>
      </c>
      <c r="O3302" s="4072" t="s">
        <v>1563</v>
      </c>
      <c r="P3302" s="4077" t="s">
        <v>1562</v>
      </c>
      <c r="Q3302" s="3389"/>
      <c r="R3302" s="1699" t="s">
        <v>1327</v>
      </c>
      <c r="S3302" s="17"/>
      <c r="T3302" s="17"/>
      <c r="U3302" s="16"/>
      <c r="V3302" s="16"/>
    </row>
    <row r="3303" spans="1:22">
      <c r="A3303" s="1971" t="s">
        <v>3574</v>
      </c>
      <c r="B3303" s="4326"/>
      <c r="C3303" s="4075"/>
      <c r="D3303" s="4328"/>
      <c r="E3303" s="4330"/>
      <c r="F3303" s="4336"/>
      <c r="G3303" s="4332"/>
      <c r="H3303" s="4332"/>
      <c r="I3303" s="3814">
        <v>27</v>
      </c>
      <c r="J3303" s="3815">
        <v>3.0000000000000001E-3</v>
      </c>
      <c r="K3303" s="1307">
        <f>I3303*J3303</f>
        <v>8.1000000000000003E-2</v>
      </c>
      <c r="L3303" s="4334"/>
      <c r="M3303" s="4335"/>
      <c r="N3303" s="4324"/>
      <c r="O3303" s="1298">
        <f>SUM(O3305:O3315)</f>
        <v>2.1936</v>
      </c>
      <c r="P3303" s="1337">
        <f>O3303*K3303</f>
        <v>0.1776816</v>
      </c>
      <c r="Q3303" s="3390"/>
      <c r="R3303" s="1721">
        <f>SUM(P3305:P3315)</f>
        <v>0.1776816</v>
      </c>
      <c r="S3303" s="17"/>
      <c r="T3303" s="17"/>
      <c r="U3303" s="16"/>
      <c r="V3303" s="16"/>
    </row>
    <row r="3304" spans="1:22">
      <c r="A3304" s="22"/>
      <c r="B3304" s="1327"/>
      <c r="C3304" s="1327"/>
      <c r="D3304" s="1400"/>
      <c r="E3304" s="2121"/>
      <c r="F3304" s="1368" t="s">
        <v>1</v>
      </c>
      <c r="G3304" s="1390"/>
      <c r="H3304" s="1390"/>
      <c r="I3304" s="1554"/>
      <c r="J3304" s="1367"/>
      <c r="K3304" s="1367"/>
      <c r="L3304" s="1554"/>
      <c r="M3304" s="1369"/>
      <c r="N3304" s="1369"/>
      <c r="O3304" s="1369"/>
      <c r="P3304" s="1367"/>
      <c r="Q3304" s="3387"/>
      <c r="R3304" s="3795"/>
      <c r="S3304" s="17"/>
      <c r="T3304" s="17"/>
      <c r="U3304" s="16"/>
      <c r="V3304" s="16"/>
    </row>
    <row r="3305" spans="1:22">
      <c r="A3305" s="22"/>
      <c r="B3305" s="1042"/>
      <c r="C3305" s="1042"/>
      <c r="D3305" s="1400"/>
      <c r="E3305" s="1856"/>
      <c r="F3305" s="1421"/>
      <c r="G3305" s="1399"/>
      <c r="H3305" s="1399"/>
      <c r="I3305" s="1760"/>
      <c r="J3305" s="198"/>
      <c r="K3305" s="1307"/>
      <c r="L3305" s="1335"/>
      <c r="M3305" s="1499"/>
      <c r="N3305" s="1701"/>
      <c r="O3305" s="1290"/>
      <c r="P3305" s="1332"/>
      <c r="Q3305" s="3391"/>
      <c r="R3305" s="3795"/>
      <c r="S3305" s="17"/>
      <c r="T3305" s="17"/>
      <c r="U3305" s="16"/>
      <c r="V3305" s="16"/>
    </row>
    <row r="3306" spans="1:22">
      <c r="A3306" s="22"/>
      <c r="B3306" s="1042"/>
      <c r="C3306" s="1042"/>
      <c r="D3306" s="1400"/>
      <c r="E3306" s="1856"/>
      <c r="F3306" s="1421"/>
      <c r="G3306" s="1399"/>
      <c r="H3306" s="1399"/>
      <c r="I3306" s="1760"/>
      <c r="J3306" s="198"/>
      <c r="K3306" s="1307"/>
      <c r="L3306" s="1335"/>
      <c r="M3306" s="1499"/>
      <c r="N3306" s="1701"/>
      <c r="O3306" s="1290"/>
      <c r="P3306" s="1332"/>
      <c r="Q3306" s="3391"/>
      <c r="R3306" s="2337"/>
      <c r="S3306" s="17"/>
      <c r="T3306" s="17"/>
      <c r="U3306" s="16"/>
      <c r="V3306" s="16"/>
    </row>
    <row r="3307" spans="1:22">
      <c r="A3307" s="22"/>
      <c r="B3307" s="1042"/>
      <c r="C3307" s="1042"/>
      <c r="D3307" s="1400"/>
      <c r="E3307" s="1856"/>
      <c r="F3307" s="1421"/>
      <c r="G3307" s="1399"/>
      <c r="H3307" s="1399"/>
      <c r="I3307" s="197"/>
      <c r="J3307" s="198"/>
      <c r="K3307" s="1307"/>
      <c r="L3307" s="1335"/>
      <c r="M3307" s="1499"/>
      <c r="N3307" s="1701"/>
      <c r="O3307" s="1290"/>
      <c r="P3307" s="1332"/>
      <c r="Q3307" s="3391"/>
      <c r="R3307" s="3795"/>
      <c r="S3307" s="17"/>
      <c r="T3307" s="17"/>
      <c r="U3307" s="16"/>
      <c r="V3307" s="16"/>
    </row>
    <row r="3308" spans="1:22">
      <c r="A3308" s="22"/>
      <c r="B3308" s="1042"/>
      <c r="C3308" s="1042"/>
      <c r="D3308" s="1410"/>
      <c r="E3308" s="1858"/>
      <c r="F3308" s="1360" t="s">
        <v>2</v>
      </c>
      <c r="G3308" s="1362"/>
      <c r="H3308" s="1362"/>
      <c r="I3308" s="1380"/>
      <c r="J3308" s="1381"/>
      <c r="K3308" s="1359"/>
      <c r="L3308" s="1458"/>
      <c r="M3308" s="1502"/>
      <c r="N3308" s="1502"/>
      <c r="O3308" s="1362"/>
      <c r="P3308" s="1359"/>
      <c r="Q3308" s="3387"/>
      <c r="R3308" s="3795"/>
      <c r="S3308" s="17"/>
      <c r="T3308" s="17"/>
      <c r="U3308" s="16"/>
      <c r="V3308" s="16"/>
    </row>
    <row r="3309" spans="1:22">
      <c r="A3309" s="22"/>
      <c r="B3309" s="1042"/>
      <c r="C3309" s="1042"/>
      <c r="D3309" s="1623" t="s">
        <v>1802</v>
      </c>
      <c r="E3309" s="2158" t="s">
        <v>1803</v>
      </c>
      <c r="F3309" s="1801" t="s">
        <v>1804</v>
      </c>
      <c r="G3309" s="1822">
        <v>0.12</v>
      </c>
      <c r="H3309" s="1822"/>
      <c r="I3309" s="198"/>
      <c r="J3309" s="6"/>
      <c r="K3309" s="1307">
        <f>G3309*K3303</f>
        <v>9.7199999999999995E-3</v>
      </c>
      <c r="L3309" s="1335">
        <f>K3309*$K$2842</f>
        <v>0</v>
      </c>
      <c r="M3309" s="1499">
        <v>18.28</v>
      </c>
      <c r="N3309" s="1701"/>
      <c r="O3309" s="1290">
        <f>(G3309*M3309)</f>
        <v>2.1936</v>
      </c>
      <c r="P3309" s="1332">
        <f>M3309*K3309</f>
        <v>0.1776816</v>
      </c>
      <c r="Q3309" s="3391"/>
      <c r="R3309" s="3795"/>
      <c r="S3309" s="17"/>
      <c r="T3309" s="17"/>
      <c r="U3309" s="16"/>
      <c r="V3309" s="16"/>
    </row>
    <row r="3310" spans="1:22">
      <c r="A3310" s="22"/>
      <c r="B3310" s="1042"/>
      <c r="C3310" s="1042"/>
      <c r="D3310" s="1623"/>
      <c r="E3310" s="2158"/>
      <c r="F3310" s="1801"/>
      <c r="G3310" s="1822"/>
      <c r="H3310" s="1822"/>
      <c r="I3310" s="198"/>
      <c r="J3310" s="6"/>
      <c r="K3310" s="1307"/>
      <c r="L3310" s="1335"/>
      <c r="M3310" s="1499"/>
      <c r="N3310" s="1701"/>
      <c r="O3310" s="1290"/>
      <c r="P3310" s="1332"/>
      <c r="Q3310" s="3391"/>
      <c r="R3310" s="3795"/>
      <c r="S3310" s="17"/>
      <c r="T3310" s="17"/>
      <c r="U3310" s="16"/>
      <c r="V3310" s="16"/>
    </row>
    <row r="3311" spans="1:22">
      <c r="A3311" s="22"/>
      <c r="B3311" s="1042"/>
      <c r="C3311" s="1042"/>
      <c r="D3311" s="1623"/>
      <c r="E3311" s="2158"/>
      <c r="F3311" s="1801"/>
      <c r="G3311" s="1822"/>
      <c r="H3311" s="1822"/>
      <c r="I3311" s="198"/>
      <c r="J3311" s="6"/>
      <c r="K3311" s="1307"/>
      <c r="L3311" s="1335"/>
      <c r="M3311" s="1499"/>
      <c r="N3311" s="1701"/>
      <c r="O3311" s="1290"/>
      <c r="P3311" s="1332"/>
      <c r="Q3311" s="3391"/>
      <c r="R3311" s="3795"/>
      <c r="S3311" s="17"/>
      <c r="T3311" s="17"/>
      <c r="U3311" s="16"/>
      <c r="V3311" s="16"/>
    </row>
    <row r="3312" spans="1:22">
      <c r="A3312" s="22"/>
      <c r="B3312" s="1042"/>
      <c r="C3312" s="1042"/>
      <c r="D3312" s="1411"/>
      <c r="E3312" s="2123"/>
      <c r="F3312" s="1802" t="s">
        <v>3</v>
      </c>
      <c r="G3312" s="1376"/>
      <c r="H3312" s="1376"/>
      <c r="I3312" s="1382"/>
      <c r="J3312" s="1383"/>
      <c r="K3312" s="1373"/>
      <c r="L3312" s="1413"/>
      <c r="M3312" s="1505"/>
      <c r="N3312" s="1505"/>
      <c r="O3312" s="1376"/>
      <c r="P3312" s="1413"/>
      <c r="Q3312" s="3387"/>
      <c r="R3312" s="3795"/>
      <c r="S3312" s="17"/>
      <c r="T3312" s="17"/>
      <c r="U3312" s="16"/>
      <c r="V3312" s="16"/>
    </row>
    <row r="3313" spans="1:22">
      <c r="A3313" s="22"/>
      <c r="B3313" s="1042"/>
      <c r="C3313" s="1042"/>
      <c r="D3313" s="1411"/>
      <c r="E3313" s="2123"/>
      <c r="F3313" s="1475"/>
      <c r="G3313" s="1376"/>
      <c r="H3313" s="1376"/>
      <c r="I3313" s="198"/>
      <c r="J3313" s="6"/>
      <c r="K3313" s="1307"/>
      <c r="L3313" s="1335"/>
      <c r="M3313" s="1499"/>
      <c r="N3313" s="1701"/>
      <c r="O3313" s="1290"/>
      <c r="P3313" s="1332"/>
      <c r="Q3313" s="3391"/>
      <c r="R3313" s="3795"/>
      <c r="S3313" s="17"/>
      <c r="T3313" s="17"/>
      <c r="U3313" s="16"/>
      <c r="V3313" s="16"/>
    </row>
    <row r="3314" spans="1:22">
      <c r="A3314" s="22"/>
      <c r="B3314" s="1042"/>
      <c r="C3314" s="1042"/>
      <c r="D3314" s="1412"/>
      <c r="E3314" s="2124"/>
      <c r="F3314" s="1377"/>
      <c r="G3314" s="1597"/>
      <c r="H3314" s="1597"/>
      <c r="I3314" s="198"/>
      <c r="J3314" s="6"/>
      <c r="K3314" s="1306"/>
      <c r="L3314" s="1646"/>
      <c r="M3314" s="1302"/>
      <c r="N3314" s="1302"/>
      <c r="O3314" s="1291"/>
      <c r="P3314" s="1332"/>
      <c r="Q3314" s="3391"/>
      <c r="R3314" s="3795"/>
      <c r="S3314" s="17"/>
      <c r="T3314" s="17"/>
      <c r="U3314" s="16"/>
      <c r="V3314" s="16"/>
    </row>
    <row r="3315" spans="1:22">
      <c r="A3315" s="22"/>
      <c r="B3315" s="223"/>
      <c r="C3315" s="223"/>
      <c r="D3315" s="1808"/>
      <c r="E3315" s="2132"/>
      <c r="F3315" s="1804"/>
      <c r="G3315" s="1805"/>
      <c r="H3315" s="1805"/>
      <c r="I3315" s="197"/>
      <c r="J3315" s="1806"/>
      <c r="K3315" s="1307"/>
      <c r="L3315" s="1335"/>
      <c r="M3315" s="1701"/>
      <c r="N3315" s="1701"/>
      <c r="O3315" s="1290"/>
      <c r="P3315" s="1333"/>
      <c r="Q3315" s="3391"/>
      <c r="R3315" s="2337"/>
      <c r="S3315" s="17"/>
      <c r="T3315" s="17"/>
      <c r="U3315" s="16"/>
      <c r="V3315" s="16"/>
    </row>
    <row r="3316" spans="1:22" ht="15" customHeight="1">
      <c r="A3316" s="16" t="s">
        <v>3764</v>
      </c>
      <c r="B3316" s="4325" t="s">
        <v>1800</v>
      </c>
      <c r="C3316" s="4074"/>
      <c r="D3316" s="4327"/>
      <c r="E3316" s="4389" t="s">
        <v>1507</v>
      </c>
      <c r="F3316" s="4363" t="s">
        <v>1801</v>
      </c>
      <c r="G3316" s="4364" t="s">
        <v>1568</v>
      </c>
      <c r="H3316" s="4364" t="s">
        <v>1574</v>
      </c>
      <c r="I3316" s="1835" t="s">
        <v>1559</v>
      </c>
      <c r="J3316" s="1836" t="s">
        <v>1560</v>
      </c>
      <c r="K3316" s="1836" t="s">
        <v>1569</v>
      </c>
      <c r="L3316" s="4365" t="s">
        <v>3765</v>
      </c>
      <c r="M3316" s="4324" t="s">
        <v>1571</v>
      </c>
      <c r="N3316" s="4366" t="s">
        <v>1776</v>
      </c>
      <c r="O3316" s="4072" t="s">
        <v>1563</v>
      </c>
      <c r="P3316" s="4077" t="s">
        <v>1562</v>
      </c>
      <c r="Q3316" s="3389"/>
      <c r="R3316" s="1699" t="s">
        <v>1327</v>
      </c>
      <c r="S3316" s="17"/>
      <c r="T3316" s="17"/>
      <c r="U3316" s="16"/>
      <c r="V3316" s="16"/>
    </row>
    <row r="3317" spans="1:22">
      <c r="A3317" s="1971" t="s">
        <v>3574</v>
      </c>
      <c r="B3317" s="4326"/>
      <c r="C3317" s="4075"/>
      <c r="D3317" s="4328"/>
      <c r="E3317" s="4330"/>
      <c r="F3317" s="4336"/>
      <c r="G3317" s="4332"/>
      <c r="H3317" s="4332"/>
      <c r="I3317" s="4079">
        <v>319.68</v>
      </c>
      <c r="J3317" s="3815">
        <v>3.0000000000000001E-3</v>
      </c>
      <c r="K3317" s="1307">
        <f>I3317*J3317</f>
        <v>0.95904</v>
      </c>
      <c r="L3317" s="4334"/>
      <c r="M3317" s="4335"/>
      <c r="N3317" s="4324"/>
      <c r="O3317" s="1298">
        <f>SUM(O3319:O3329)</f>
        <v>30.126660000000001</v>
      </c>
      <c r="P3317" s="1337">
        <f>O3317*K3317</f>
        <v>28.892672006400002</v>
      </c>
      <c r="Q3317" s="3390"/>
      <c r="R3317" s="1721">
        <f>SUM(P3319:P3329)</f>
        <v>28.072565006399998</v>
      </c>
      <c r="S3317" s="17"/>
      <c r="T3317" s="17"/>
      <c r="U3317" s="16"/>
      <c r="V3317" s="16"/>
    </row>
    <row r="3318" spans="1:22">
      <c r="A3318" s="22"/>
      <c r="B3318" s="1327"/>
      <c r="C3318" s="1327"/>
      <c r="D3318" s="1400"/>
      <c r="E3318" s="2121"/>
      <c r="F3318" s="1368" t="s">
        <v>1</v>
      </c>
      <c r="G3318" s="1390"/>
      <c r="H3318" s="1390"/>
      <c r="I3318" s="1554"/>
      <c r="J3318" s="1367"/>
      <c r="K3318" s="1367"/>
      <c r="L3318" s="1554"/>
      <c r="M3318" s="1369"/>
      <c r="N3318" s="1369"/>
      <c r="O3318" s="1369"/>
      <c r="P3318" s="1367"/>
      <c r="Q3318" s="3387"/>
      <c r="R3318" s="3795"/>
      <c r="S3318" s="17"/>
      <c r="T3318" s="17"/>
      <c r="U3318" s="16"/>
      <c r="V3318" s="16"/>
    </row>
    <row r="3319" spans="1:22">
      <c r="A3319" s="22"/>
      <c r="B3319" s="1042"/>
      <c r="C3319" s="1042"/>
      <c r="D3319" s="1400"/>
      <c r="E3319" s="1856"/>
      <c r="F3319" s="1421"/>
      <c r="G3319" s="1399"/>
      <c r="H3319" s="1399"/>
      <c r="I3319" s="1760"/>
      <c r="J3319" s="198"/>
      <c r="K3319" s="1307"/>
      <c r="L3319" s="1335"/>
      <c r="M3319" s="1499"/>
      <c r="N3319" s="1701"/>
      <c r="O3319" s="1290"/>
      <c r="P3319" s="1332"/>
      <c r="Q3319" s="3391"/>
      <c r="R3319" s="3795"/>
      <c r="S3319" s="17"/>
      <c r="T3319" s="17"/>
      <c r="U3319" s="16"/>
      <c r="V3319" s="16"/>
    </row>
    <row r="3320" spans="1:22">
      <c r="A3320" s="22"/>
      <c r="B3320" s="1042"/>
      <c r="C3320" s="1042"/>
      <c r="D3320" s="1400"/>
      <c r="E3320" s="1856"/>
      <c r="F3320" s="1421"/>
      <c r="G3320" s="1399"/>
      <c r="H3320" s="1399"/>
      <c r="I3320" s="1760"/>
      <c r="J3320" s="198"/>
      <c r="K3320" s="1307"/>
      <c r="L3320" s="1335"/>
      <c r="M3320" s="1499"/>
      <c r="N3320" s="1701"/>
      <c r="O3320" s="1290"/>
      <c r="P3320" s="1332"/>
      <c r="Q3320" s="3391"/>
      <c r="R3320" s="2337"/>
      <c r="S3320" s="17"/>
      <c r="T3320" s="17"/>
      <c r="U3320" s="16"/>
      <c r="V3320" s="16"/>
    </row>
    <row r="3321" spans="1:22">
      <c r="A3321" s="22"/>
      <c r="B3321" s="1042"/>
      <c r="C3321" s="1042"/>
      <c r="D3321" s="1400"/>
      <c r="E3321" s="1856"/>
      <c r="F3321" s="1421"/>
      <c r="G3321" s="1399"/>
      <c r="H3321" s="1399"/>
      <c r="I3321" s="197"/>
      <c r="J3321" s="198"/>
      <c r="K3321" s="1307"/>
      <c r="L3321" s="1335"/>
      <c r="M3321" s="1499"/>
      <c r="N3321" s="1701"/>
      <c r="O3321" s="1290"/>
      <c r="P3321" s="1332"/>
      <c r="Q3321" s="3391"/>
      <c r="R3321" s="3795"/>
      <c r="S3321" s="17"/>
      <c r="T3321" s="17"/>
      <c r="U3321" s="16"/>
      <c r="V3321" s="16"/>
    </row>
    <row r="3322" spans="1:22">
      <c r="A3322" s="22"/>
      <c r="B3322" s="1042"/>
      <c r="C3322" s="1042"/>
      <c r="D3322" s="1410"/>
      <c r="E3322" s="1858"/>
      <c r="F3322" s="1360" t="s">
        <v>2</v>
      </c>
      <c r="G3322" s="1362"/>
      <c r="H3322" s="1362"/>
      <c r="I3322" s="1380"/>
      <c r="J3322" s="1381"/>
      <c r="K3322" s="1359"/>
      <c r="L3322" s="1458"/>
      <c r="M3322" s="1502"/>
      <c r="N3322" s="1502"/>
      <c r="O3322" s="1362"/>
      <c r="P3322" s="1359"/>
      <c r="Q3322" s="3387"/>
      <c r="R3322" s="3795"/>
      <c r="S3322" s="17"/>
      <c r="T3322" s="17"/>
      <c r="U3322" s="16"/>
      <c r="V3322" s="16"/>
    </row>
    <row r="3323" spans="1:22">
      <c r="A3323" s="22"/>
      <c r="B3323" s="1042"/>
      <c r="C3323" s="1042"/>
      <c r="D3323" s="1623" t="s">
        <v>1802</v>
      </c>
      <c r="E3323" s="2158" t="s">
        <v>1803</v>
      </c>
      <c r="F3323" s="1801" t="s">
        <v>1804</v>
      </c>
      <c r="G3323" s="1822">
        <v>1.0469999999999999</v>
      </c>
      <c r="H3323" s="1822"/>
      <c r="I3323" s="198"/>
      <c r="J3323" s="6"/>
      <c r="K3323" s="1307">
        <f>G3323*K3317</f>
        <v>1.0041148799999999</v>
      </c>
      <c r="L3323" s="1335">
        <f>K3323*$K$2842</f>
        <v>0</v>
      </c>
      <c r="M3323" s="1499">
        <v>18.28</v>
      </c>
      <c r="N3323" s="1701"/>
      <c r="O3323" s="1290">
        <f>(G3323*M3323)</f>
        <v>19.13916</v>
      </c>
      <c r="P3323" s="1332">
        <f>M3323*K3323</f>
        <v>18.3552200064</v>
      </c>
      <c r="Q3323" s="3391"/>
      <c r="R3323" s="3795"/>
      <c r="S3323" s="17"/>
      <c r="T3323" s="17"/>
      <c r="U3323" s="16"/>
      <c r="V3323" s="16"/>
    </row>
    <row r="3324" spans="1:22">
      <c r="A3324" s="22"/>
      <c r="B3324" s="1042"/>
      <c r="C3324" s="1042"/>
      <c r="D3324" s="1623"/>
      <c r="E3324" s="2158"/>
      <c r="F3324" s="1801"/>
      <c r="G3324" s="1822"/>
      <c r="H3324" s="1822"/>
      <c r="I3324" s="198"/>
      <c r="J3324" s="6"/>
      <c r="K3324" s="1307"/>
      <c r="L3324" s="1335"/>
      <c r="M3324" s="1499"/>
      <c r="N3324" s="1701"/>
      <c r="O3324" s="1290"/>
      <c r="P3324" s="1332"/>
      <c r="Q3324" s="3391"/>
      <c r="R3324" s="3795"/>
      <c r="S3324" s="17"/>
      <c r="T3324" s="17"/>
      <c r="U3324" s="16"/>
      <c r="V3324" s="16"/>
    </row>
    <row r="3325" spans="1:22">
      <c r="A3325" s="22"/>
      <c r="B3325" s="1042"/>
      <c r="C3325" s="1042"/>
      <c r="D3325" s="1623"/>
      <c r="E3325" s="2158"/>
      <c r="F3325" s="1801"/>
      <c r="G3325" s="1822"/>
      <c r="H3325" s="1822"/>
      <c r="I3325" s="198"/>
      <c r="J3325" s="6"/>
      <c r="K3325" s="1307"/>
      <c r="L3325" s="1335"/>
      <c r="M3325" s="1499"/>
      <c r="N3325" s="1701"/>
      <c r="O3325" s="1290"/>
      <c r="P3325" s="1332"/>
      <c r="Q3325" s="3391"/>
      <c r="R3325" s="3795"/>
      <c r="S3325" s="17"/>
      <c r="T3325" s="17"/>
      <c r="U3325" s="16"/>
      <c r="V3325" s="16"/>
    </row>
    <row r="3326" spans="1:22">
      <c r="A3326" s="22"/>
      <c r="B3326" s="1042"/>
      <c r="C3326" s="1042"/>
      <c r="D3326" s="1411"/>
      <c r="E3326" s="2123"/>
      <c r="F3326" s="1802" t="s">
        <v>3</v>
      </c>
      <c r="G3326" s="1376"/>
      <c r="H3326" s="1376"/>
      <c r="I3326" s="1382"/>
      <c r="J3326" s="1383"/>
      <c r="K3326" s="1373"/>
      <c r="L3326" s="1413"/>
      <c r="M3326" s="1505"/>
      <c r="N3326" s="1505"/>
      <c r="O3326" s="1376"/>
      <c r="P3326" s="1413"/>
      <c r="Q3326" s="3387"/>
      <c r="R3326" s="3795"/>
      <c r="S3326" s="17"/>
      <c r="T3326" s="17"/>
      <c r="U3326" s="16"/>
      <c r="V3326" s="16"/>
    </row>
    <row r="3327" spans="1:22">
      <c r="A3327" s="22"/>
      <c r="B3327" s="1042"/>
      <c r="C3327" s="1042"/>
      <c r="D3327" s="1827" t="s">
        <v>1686</v>
      </c>
      <c r="E3327" s="2173" t="s">
        <v>1687</v>
      </c>
      <c r="F3327" s="1827" t="s">
        <v>1688</v>
      </c>
      <c r="G3327" s="1828">
        <v>1.4650000000000001</v>
      </c>
      <c r="H3327" s="1521"/>
      <c r="I3327" s="198"/>
      <c r="J3327" s="6"/>
      <c r="K3327" s="1307">
        <f>G3327*$K$2382</f>
        <v>1.2956460000000001</v>
      </c>
      <c r="L3327" s="1335">
        <f>K3327*$K$2842</f>
        <v>0</v>
      </c>
      <c r="M3327" s="1499">
        <v>7.5</v>
      </c>
      <c r="N3327" s="1701"/>
      <c r="O3327" s="1290">
        <f>(G3327*M3327)</f>
        <v>10.987500000000001</v>
      </c>
      <c r="P3327" s="1332">
        <f>M3327*K3327</f>
        <v>9.7173449999999999</v>
      </c>
      <c r="Q3327" s="3391"/>
      <c r="R3327" s="3795"/>
      <c r="S3327" s="17"/>
      <c r="T3327" s="17"/>
      <c r="U3327" s="16"/>
      <c r="V3327" s="16"/>
    </row>
    <row r="3328" spans="1:22" s="19" customFormat="1">
      <c r="A3328" s="16"/>
      <c r="B3328" s="1042"/>
      <c r="C3328" s="1042"/>
      <c r="D3328" s="1411"/>
      <c r="E3328" s="2123"/>
      <c r="F3328" s="1475"/>
      <c r="G3328" s="1376"/>
      <c r="H3328" s="1376"/>
      <c r="I3328" s="198"/>
      <c r="J3328" s="6"/>
      <c r="K3328" s="1307"/>
      <c r="L3328" s="1335"/>
      <c r="M3328" s="1499"/>
      <c r="N3328" s="1701"/>
      <c r="O3328" s="1290"/>
      <c r="P3328" s="1332"/>
      <c r="Q3328" s="3391"/>
      <c r="R3328" s="4059"/>
      <c r="S3328" s="17"/>
      <c r="T3328" s="17"/>
      <c r="U3328" s="16"/>
      <c r="V3328" s="16"/>
    </row>
    <row r="3329" spans="1:22">
      <c r="A3329" s="22"/>
      <c r="B3329" s="223"/>
      <c r="C3329" s="223"/>
      <c r="D3329" s="1808"/>
      <c r="E3329" s="2132"/>
      <c r="F3329" s="1804"/>
      <c r="G3329" s="1805"/>
      <c r="H3329" s="1805"/>
      <c r="I3329" s="197"/>
      <c r="J3329" s="1806"/>
      <c r="K3329" s="1307"/>
      <c r="L3329" s="1335"/>
      <c r="M3329" s="1701"/>
      <c r="N3329" s="1701"/>
      <c r="O3329" s="1290"/>
      <c r="P3329" s="1333"/>
      <c r="Q3329" s="3391"/>
      <c r="R3329" s="2337"/>
      <c r="S3329" s="17"/>
      <c r="T3329" s="17"/>
      <c r="U3329" s="16"/>
      <c r="V3329" s="16"/>
    </row>
    <row r="3330" spans="1:22" ht="15" customHeight="1">
      <c r="A3330" s="16" t="s">
        <v>3764</v>
      </c>
      <c r="B3330" s="4325" t="s">
        <v>1654</v>
      </c>
      <c r="C3330" s="4074"/>
      <c r="D3330" s="4327"/>
      <c r="E3330" s="4329" t="s">
        <v>1507</v>
      </c>
      <c r="F3330" s="4336" t="s">
        <v>1664</v>
      </c>
      <c r="G3330" s="4331" t="s">
        <v>1568</v>
      </c>
      <c r="H3330" s="4331" t="s">
        <v>1574</v>
      </c>
      <c r="I3330" s="1572" t="s">
        <v>1559</v>
      </c>
      <c r="J3330" s="1294" t="s">
        <v>1560</v>
      </c>
      <c r="K3330" s="1294" t="s">
        <v>1569</v>
      </c>
      <c r="L3330" s="4333" t="s">
        <v>3765</v>
      </c>
      <c r="M3330" s="4335" t="s">
        <v>1571</v>
      </c>
      <c r="N3330" s="4323" t="s">
        <v>1776</v>
      </c>
      <c r="O3330" s="4073" t="s">
        <v>1563</v>
      </c>
      <c r="P3330" s="1336" t="s">
        <v>1562</v>
      </c>
      <c r="Q3330" s="3389"/>
      <c r="R3330" s="1699" t="s">
        <v>1327</v>
      </c>
      <c r="S3330" s="17"/>
      <c r="T3330" s="17"/>
      <c r="U3330" s="16"/>
      <c r="V3330" s="16"/>
    </row>
    <row r="3331" spans="1:22">
      <c r="A3331" s="1971" t="s">
        <v>3574</v>
      </c>
      <c r="B3331" s="4326"/>
      <c r="C3331" s="4075"/>
      <c r="D3331" s="4328"/>
      <c r="E3331" s="4330"/>
      <c r="F3331" s="4336"/>
      <c r="G3331" s="4332"/>
      <c r="H3331" s="4332"/>
      <c r="I3331" s="4079">
        <v>57.78</v>
      </c>
      <c r="J3331" s="3815">
        <v>3.0000000000000001E-3</v>
      </c>
      <c r="K3331" s="1307">
        <f>I3331*J3331</f>
        <v>0.17333999999999999</v>
      </c>
      <c r="L3331" s="4334"/>
      <c r="M3331" s="4335"/>
      <c r="N3331" s="4324"/>
      <c r="O3331" s="1298">
        <f>SUM(O3333:O3343)</f>
        <v>4.9356000000000009</v>
      </c>
      <c r="P3331" s="1337">
        <f>O3331*K3331</f>
        <v>0.85553690400000015</v>
      </c>
      <c r="Q3331" s="3390"/>
      <c r="R3331" s="1721">
        <f>SUM(P3333:P3343)</f>
        <v>0.85553690400000015</v>
      </c>
      <c r="S3331" s="17"/>
      <c r="T3331" s="17"/>
      <c r="U3331" s="16"/>
      <c r="V3331" s="16"/>
    </row>
    <row r="3332" spans="1:22">
      <c r="A3332" s="22"/>
      <c r="B3332" s="1327"/>
      <c r="C3332" s="1327"/>
      <c r="D3332" s="1400"/>
      <c r="E3332" s="2121"/>
      <c r="F3332" s="1368" t="s">
        <v>1</v>
      </c>
      <c r="G3332" s="1417"/>
      <c r="H3332" s="1390"/>
      <c r="I3332" s="1554"/>
      <c r="J3332" s="1367"/>
      <c r="K3332" s="1367"/>
      <c r="L3332" s="1554"/>
      <c r="M3332" s="1369"/>
      <c r="N3332" s="1369"/>
      <c r="O3332" s="1369"/>
      <c r="P3332" s="1367"/>
      <c r="Q3332" s="3387"/>
      <c r="R3332" s="2337"/>
      <c r="S3332" s="17"/>
      <c r="T3332" s="17"/>
      <c r="U3332" s="16"/>
      <c r="V3332" s="16"/>
    </row>
    <row r="3333" spans="1:22">
      <c r="A3333" s="22"/>
      <c r="B3333" s="1042"/>
      <c r="C3333" s="1042"/>
      <c r="D3333" s="1400"/>
      <c r="E3333" s="1856"/>
      <c r="F3333" s="1421"/>
      <c r="G3333" s="1399"/>
      <c r="H3333" s="1399"/>
      <c r="I3333" s="1760"/>
      <c r="J3333" s="198"/>
      <c r="K3333" s="1307"/>
      <c r="L3333" s="1335"/>
      <c r="M3333" s="1499"/>
      <c r="N3333" s="1701"/>
      <c r="O3333" s="1290"/>
      <c r="P3333" s="1332"/>
      <c r="Q3333" s="3391"/>
      <c r="R3333" s="2337"/>
      <c r="S3333" s="17"/>
      <c r="T3333" s="17"/>
      <c r="U3333" s="16"/>
      <c r="V3333" s="16"/>
    </row>
    <row r="3334" spans="1:22">
      <c r="A3334" s="22"/>
      <c r="B3334" s="1042"/>
      <c r="C3334" s="1042"/>
      <c r="D3334" s="1400"/>
      <c r="E3334" s="1856"/>
      <c r="F3334" s="1421"/>
      <c r="G3334" s="1399"/>
      <c r="H3334" s="1399"/>
      <c r="I3334" s="1760"/>
      <c r="J3334" s="198"/>
      <c r="K3334" s="1307"/>
      <c r="L3334" s="1335"/>
      <c r="M3334" s="1499"/>
      <c r="N3334" s="1701"/>
      <c r="O3334" s="1290"/>
      <c r="P3334" s="1332"/>
      <c r="Q3334" s="3391"/>
      <c r="R3334" s="3795"/>
      <c r="S3334" s="17"/>
      <c r="T3334" s="17"/>
      <c r="U3334" s="16"/>
      <c r="V3334" s="16"/>
    </row>
    <row r="3335" spans="1:22">
      <c r="A3335" s="22"/>
      <c r="B3335" s="1042"/>
      <c r="C3335" s="1042"/>
      <c r="D3335" s="1400"/>
      <c r="E3335" s="1856"/>
      <c r="F3335" s="1421"/>
      <c r="G3335" s="1452"/>
      <c r="H3335" s="1399"/>
      <c r="I3335" s="197"/>
      <c r="J3335" s="198"/>
      <c r="K3335" s="1307"/>
      <c r="L3335" s="1335"/>
      <c r="M3335" s="1499"/>
      <c r="N3335" s="1701"/>
      <c r="O3335" s="1290"/>
      <c r="P3335" s="1332"/>
      <c r="Q3335" s="3391"/>
      <c r="R3335" s="3795"/>
      <c r="S3335" s="17"/>
      <c r="T3335" s="17"/>
      <c r="U3335" s="16"/>
      <c r="V3335" s="16"/>
    </row>
    <row r="3336" spans="1:22">
      <c r="A3336" s="22"/>
      <c r="B3336" s="1042"/>
      <c r="C3336" s="1042"/>
      <c r="D3336" s="1410"/>
      <c r="E3336" s="1858"/>
      <c r="F3336" s="1360" t="s">
        <v>2</v>
      </c>
      <c r="G3336" s="1360"/>
      <c r="H3336" s="1362"/>
      <c r="I3336" s="1380"/>
      <c r="J3336" s="1381"/>
      <c r="K3336" s="1359"/>
      <c r="L3336" s="1458"/>
      <c r="M3336" s="1502"/>
      <c r="N3336" s="1502"/>
      <c r="O3336" s="1362"/>
      <c r="P3336" s="1359"/>
      <c r="Q3336" s="3387"/>
      <c r="R3336" s="3795"/>
      <c r="S3336" s="17"/>
      <c r="T3336" s="17"/>
      <c r="U3336" s="16"/>
      <c r="V3336" s="16"/>
    </row>
    <row r="3337" spans="1:22">
      <c r="A3337" s="22"/>
      <c r="B3337" s="1042"/>
      <c r="C3337" s="1042"/>
      <c r="D3337" s="1473" t="s">
        <v>1067</v>
      </c>
      <c r="E3337" s="2148" t="s">
        <v>1508</v>
      </c>
      <c r="F3337" s="1473" t="s">
        <v>1512</v>
      </c>
      <c r="G3337" s="1365">
        <v>0.27</v>
      </c>
      <c r="H3337" s="1365"/>
      <c r="I3337" s="198"/>
      <c r="J3337" s="6"/>
      <c r="K3337" s="1307">
        <f>G3337*K3331</f>
        <v>4.6801800000000005E-2</v>
      </c>
      <c r="L3337" s="1335">
        <f>K3337*$K$2842</f>
        <v>0</v>
      </c>
      <c r="M3337" s="1499">
        <v>18.28</v>
      </c>
      <c r="N3337" s="1701"/>
      <c r="O3337" s="1290">
        <f>(G3337*M3337)</f>
        <v>4.9356000000000009</v>
      </c>
      <c r="P3337" s="1332">
        <f>M3337*K3337</f>
        <v>0.85553690400000015</v>
      </c>
      <c r="Q3337" s="3391"/>
      <c r="R3337" s="3795"/>
      <c r="S3337" s="17"/>
      <c r="T3337" s="17"/>
      <c r="U3337" s="16"/>
      <c r="V3337" s="16"/>
    </row>
    <row r="3338" spans="1:22">
      <c r="A3338" s="22"/>
      <c r="B3338" s="1042"/>
      <c r="C3338" s="1042"/>
      <c r="D3338" s="1623"/>
      <c r="E3338" s="2158"/>
      <c r="F3338" s="1801"/>
      <c r="G3338" s="1359"/>
      <c r="H3338" s="1803"/>
      <c r="I3338" s="198"/>
      <c r="J3338" s="6"/>
      <c r="K3338" s="1307"/>
      <c r="L3338" s="1335"/>
      <c r="M3338" s="1499"/>
      <c r="N3338" s="1701"/>
      <c r="O3338" s="1290"/>
      <c r="P3338" s="1332"/>
      <c r="Q3338" s="3391"/>
      <c r="R3338" s="3795"/>
      <c r="S3338" s="17"/>
      <c r="T3338" s="17"/>
      <c r="U3338" s="16"/>
      <c r="V3338" s="16"/>
    </row>
    <row r="3339" spans="1:22">
      <c r="A3339" s="22"/>
      <c r="B3339" s="1042"/>
      <c r="C3339" s="1042"/>
      <c r="D3339" s="1623"/>
      <c r="E3339" s="2158"/>
      <c r="F3339" s="1801"/>
      <c r="G3339" s="1359"/>
      <c r="H3339" s="1803"/>
      <c r="I3339" s="198"/>
      <c r="J3339" s="6"/>
      <c r="K3339" s="1307"/>
      <c r="L3339" s="1335"/>
      <c r="M3339" s="1499"/>
      <c r="N3339" s="1701"/>
      <c r="O3339" s="1290"/>
      <c r="P3339" s="1332"/>
      <c r="Q3339" s="3391"/>
      <c r="R3339" s="2337"/>
      <c r="S3339" s="17"/>
      <c r="T3339" s="17"/>
      <c r="U3339" s="16"/>
      <c r="V3339" s="16"/>
    </row>
    <row r="3340" spans="1:22">
      <c r="A3340" s="22"/>
      <c r="B3340" s="1042"/>
      <c r="C3340" s="1042"/>
      <c r="D3340" s="1411"/>
      <c r="E3340" s="2123"/>
      <c r="F3340" s="1802" t="s">
        <v>3</v>
      </c>
      <c r="G3340" s="1475"/>
      <c r="H3340" s="1505"/>
      <c r="I3340" s="1382"/>
      <c r="J3340" s="1383"/>
      <c r="K3340" s="1373"/>
      <c r="L3340" s="1413"/>
      <c r="M3340" s="1505"/>
      <c r="N3340" s="1505"/>
      <c r="O3340" s="1376"/>
      <c r="P3340" s="1413"/>
      <c r="Q3340" s="3387"/>
      <c r="R3340" s="2337"/>
      <c r="S3340" s="17"/>
      <c r="T3340" s="17"/>
      <c r="U3340" s="16"/>
      <c r="V3340" s="16"/>
    </row>
    <row r="3341" spans="1:22">
      <c r="A3341" s="22"/>
      <c r="B3341" s="1042"/>
      <c r="C3341" s="1042"/>
      <c r="D3341" s="1411"/>
      <c r="E3341" s="2123"/>
      <c r="F3341" s="1475"/>
      <c r="G3341" s="1475"/>
      <c r="H3341" s="1376"/>
      <c r="I3341" s="198"/>
      <c r="J3341" s="6"/>
      <c r="K3341" s="1307"/>
      <c r="L3341" s="1335"/>
      <c r="M3341" s="1499"/>
      <c r="N3341" s="1701"/>
      <c r="O3341" s="1290"/>
      <c r="P3341" s="1332"/>
      <c r="Q3341" s="3391"/>
      <c r="R3341" s="3795"/>
      <c r="S3341" s="17"/>
      <c r="T3341" s="17"/>
      <c r="U3341" s="16"/>
      <c r="V3341" s="16"/>
    </row>
    <row r="3342" spans="1:22">
      <c r="A3342" s="22"/>
      <c r="B3342" s="1042"/>
      <c r="C3342" s="1042"/>
      <c r="D3342" s="1411"/>
      <c r="E3342" s="2123"/>
      <c r="F3342" s="1475"/>
      <c r="G3342" s="1475"/>
      <c r="H3342" s="1376"/>
      <c r="I3342" s="198"/>
      <c r="J3342" s="6"/>
      <c r="K3342" s="1307"/>
      <c r="L3342" s="1335"/>
      <c r="M3342" s="1499"/>
      <c r="N3342" s="1701"/>
      <c r="O3342" s="1290"/>
      <c r="P3342" s="1332"/>
      <c r="Q3342" s="3391"/>
      <c r="R3342" s="3795"/>
      <c r="S3342" s="17"/>
      <c r="T3342" s="17"/>
      <c r="U3342" s="16"/>
      <c r="V3342" s="16"/>
    </row>
    <row r="3343" spans="1:22">
      <c r="A3343" s="22"/>
      <c r="B3343" s="1042"/>
      <c r="C3343" s="1042"/>
      <c r="D3343" s="1412"/>
      <c r="E3343" s="2124"/>
      <c r="F3343" s="1377"/>
      <c r="G3343" s="1377"/>
      <c r="H3343" s="1597"/>
      <c r="I3343" s="198"/>
      <c r="J3343" s="6"/>
      <c r="K3343" s="1306"/>
      <c r="L3343" s="1646"/>
      <c r="M3343" s="1302"/>
      <c r="N3343" s="1302"/>
      <c r="O3343" s="1291"/>
      <c r="P3343" s="1332"/>
      <c r="Q3343" s="3391"/>
      <c r="R3343" s="2337"/>
      <c r="S3343" s="17"/>
      <c r="T3343" s="17"/>
      <c r="U3343" s="16"/>
      <c r="V3343" s="16"/>
    </row>
    <row r="3344" spans="1:22" ht="15" customHeight="1">
      <c r="A3344" s="16" t="s">
        <v>3764</v>
      </c>
      <c r="B3344" s="4325" t="s">
        <v>3580</v>
      </c>
      <c r="C3344" s="4074"/>
      <c r="D3344" s="4327"/>
      <c r="E3344" s="4329" t="s">
        <v>1527</v>
      </c>
      <c r="F3344" s="4336" t="s">
        <v>3582</v>
      </c>
      <c r="G3344" s="4331" t="s">
        <v>1568</v>
      </c>
      <c r="H3344" s="4331" t="s">
        <v>1574</v>
      </c>
      <c r="I3344" s="1572" t="s">
        <v>1559</v>
      </c>
      <c r="J3344" s="1294" t="s">
        <v>1560</v>
      </c>
      <c r="K3344" s="1294" t="s">
        <v>1569</v>
      </c>
      <c r="L3344" s="4333" t="s">
        <v>3765</v>
      </c>
      <c r="M3344" s="4335" t="s">
        <v>1571</v>
      </c>
      <c r="N3344" s="4323" t="s">
        <v>1776</v>
      </c>
      <c r="O3344" s="4073" t="s">
        <v>1563</v>
      </c>
      <c r="P3344" s="1336" t="s">
        <v>1562</v>
      </c>
      <c r="Q3344" s="3389"/>
      <c r="R3344" s="1699" t="s">
        <v>1327</v>
      </c>
      <c r="S3344" s="17"/>
      <c r="T3344" s="17"/>
      <c r="U3344" s="16"/>
      <c r="V3344" s="16"/>
    </row>
    <row r="3345" spans="1:22">
      <c r="A3345" s="1971" t="s">
        <v>3574</v>
      </c>
      <c r="B3345" s="4326"/>
      <c r="C3345" s="4075"/>
      <c r="D3345" s="4328"/>
      <c r="E3345" s="4330"/>
      <c r="F3345" s="4336"/>
      <c r="G3345" s="4332"/>
      <c r="H3345" s="4332"/>
      <c r="I3345" s="4079">
        <v>108</v>
      </c>
      <c r="J3345" s="3815">
        <v>3.0000000000000001E-3</v>
      </c>
      <c r="K3345" s="1307">
        <f>I3345*J3345</f>
        <v>0.32400000000000001</v>
      </c>
      <c r="L3345" s="4334"/>
      <c r="M3345" s="4335"/>
      <c r="N3345" s="4324"/>
      <c r="O3345" s="1298">
        <f>SUM(O3347:O3357)</f>
        <v>0.58496000000000004</v>
      </c>
      <c r="P3345" s="1337">
        <f>O3345*K3345</f>
        <v>0.18952704000000001</v>
      </c>
      <c r="Q3345" s="3390"/>
      <c r="R3345" s="1721">
        <f>SUM(P3347:P3357)</f>
        <v>0.18952704000000001</v>
      </c>
      <c r="S3345" s="17"/>
      <c r="T3345" s="17"/>
      <c r="U3345" s="16"/>
      <c r="V3345" s="16"/>
    </row>
    <row r="3346" spans="1:22">
      <c r="A3346" s="22"/>
      <c r="B3346" s="1327"/>
      <c r="C3346" s="1327"/>
      <c r="D3346" s="1400"/>
      <c r="E3346" s="2121"/>
      <c r="F3346" s="1368" t="s">
        <v>1</v>
      </c>
      <c r="G3346" s="1417"/>
      <c r="H3346" s="1390"/>
      <c r="I3346" s="1554"/>
      <c r="J3346" s="1367"/>
      <c r="K3346" s="1367"/>
      <c r="L3346" s="1554"/>
      <c r="M3346" s="1369"/>
      <c r="N3346" s="1369"/>
      <c r="O3346" s="1369"/>
      <c r="P3346" s="1367"/>
      <c r="Q3346" s="3387"/>
      <c r="R3346" s="2337"/>
      <c r="S3346" s="17"/>
      <c r="T3346" s="17"/>
      <c r="U3346" s="16"/>
      <c r="V3346" s="16"/>
    </row>
    <row r="3347" spans="1:22">
      <c r="A3347" s="22"/>
      <c r="B3347" s="1042"/>
      <c r="C3347" s="1042"/>
      <c r="D3347" s="1400"/>
      <c r="E3347" s="1856"/>
      <c r="F3347" s="1421"/>
      <c r="G3347" s="1399"/>
      <c r="H3347" s="1399"/>
      <c r="I3347" s="1760"/>
      <c r="J3347" s="198"/>
      <c r="K3347" s="1307"/>
      <c r="L3347" s="1335"/>
      <c r="M3347" s="1499"/>
      <c r="N3347" s="1701"/>
      <c r="O3347" s="1290"/>
      <c r="P3347" s="1332"/>
      <c r="Q3347" s="3391"/>
      <c r="R3347" s="2337"/>
      <c r="S3347" s="17"/>
      <c r="T3347" s="17"/>
      <c r="U3347" s="16"/>
      <c r="V3347" s="16"/>
    </row>
    <row r="3348" spans="1:22">
      <c r="A3348" s="22"/>
      <c r="B3348" s="1320"/>
      <c r="C3348" s="1042"/>
      <c r="D3348" s="1400"/>
      <c r="E3348" s="1856"/>
      <c r="F3348" s="1421"/>
      <c r="G3348" s="1399"/>
      <c r="H3348" s="1399"/>
      <c r="I3348" s="1760"/>
      <c r="J3348" s="198"/>
      <c r="K3348" s="1307"/>
      <c r="L3348" s="1335"/>
      <c r="M3348" s="1499"/>
      <c r="N3348" s="1701"/>
      <c r="O3348" s="1290"/>
      <c r="P3348" s="1332"/>
      <c r="Q3348" s="3391"/>
      <c r="R3348" s="3795"/>
      <c r="S3348" s="17"/>
      <c r="T3348" s="17"/>
      <c r="U3348" s="16"/>
      <c r="V3348" s="16"/>
    </row>
    <row r="3349" spans="1:22">
      <c r="A3349" s="22"/>
      <c r="B3349" s="1042"/>
      <c r="C3349" s="1042"/>
      <c r="D3349" s="1400"/>
      <c r="E3349" s="1856"/>
      <c r="F3349" s="1421"/>
      <c r="G3349" s="1452"/>
      <c r="H3349" s="1399"/>
      <c r="I3349" s="197"/>
      <c r="J3349" s="198"/>
      <c r="K3349" s="1307"/>
      <c r="L3349" s="1335"/>
      <c r="M3349" s="1499"/>
      <c r="N3349" s="1701"/>
      <c r="O3349" s="1290"/>
      <c r="P3349" s="1332"/>
      <c r="Q3349" s="3391"/>
      <c r="R3349" s="3795"/>
      <c r="S3349" s="17"/>
      <c r="T3349" s="17"/>
      <c r="U3349" s="16"/>
      <c r="V3349" s="16"/>
    </row>
    <row r="3350" spans="1:22">
      <c r="A3350" s="22"/>
      <c r="B3350" s="1042"/>
      <c r="C3350" s="1042"/>
      <c r="D3350" s="1410"/>
      <c r="E3350" s="1858"/>
      <c r="F3350" s="1360" t="s">
        <v>2</v>
      </c>
      <c r="G3350" s="1360"/>
      <c r="H3350" s="1362"/>
      <c r="I3350" s="1380"/>
      <c r="J3350" s="1381"/>
      <c r="K3350" s="1359"/>
      <c r="L3350" s="1458"/>
      <c r="M3350" s="1502"/>
      <c r="N3350" s="1502"/>
      <c r="O3350" s="1362"/>
      <c r="P3350" s="1359"/>
      <c r="Q3350" s="3387"/>
      <c r="R3350" s="3795"/>
      <c r="S3350" s="17"/>
      <c r="T3350" s="17"/>
      <c r="U3350" s="16"/>
      <c r="V3350" s="16"/>
    </row>
    <row r="3351" spans="1:22">
      <c r="A3351" s="22"/>
      <c r="B3351" s="1042"/>
      <c r="C3351" s="1042"/>
      <c r="D3351" s="1473" t="s">
        <v>1067</v>
      </c>
      <c r="E3351" s="2148" t="s">
        <v>1508</v>
      </c>
      <c r="F3351" s="1473" t="s">
        <v>1512</v>
      </c>
      <c r="G3351" s="1365">
        <v>3.2000000000000001E-2</v>
      </c>
      <c r="H3351" s="1365"/>
      <c r="I3351" s="198"/>
      <c r="J3351" s="6"/>
      <c r="K3351" s="1307">
        <f>G3351*K3345</f>
        <v>1.0368E-2</v>
      </c>
      <c r="L3351" s="1335">
        <f>K3351*$K$2842</f>
        <v>0</v>
      </c>
      <c r="M3351" s="1499">
        <v>18.28</v>
      </c>
      <c r="N3351" s="1701"/>
      <c r="O3351" s="1290">
        <f>(G3351*M3351)</f>
        <v>0.58496000000000004</v>
      </c>
      <c r="P3351" s="1332">
        <f>M3351*K3351</f>
        <v>0.18952704000000001</v>
      </c>
      <c r="Q3351" s="3391"/>
      <c r="R3351" s="3795"/>
      <c r="S3351" s="17"/>
      <c r="T3351" s="17"/>
      <c r="U3351" s="16"/>
      <c r="V3351" s="16"/>
    </row>
    <row r="3352" spans="1:22">
      <c r="A3352" s="22"/>
      <c r="B3352" s="1042"/>
      <c r="C3352" s="1042"/>
      <c r="D3352" s="1623"/>
      <c r="E3352" s="2158"/>
      <c r="F3352" s="1801"/>
      <c r="G3352" s="1359"/>
      <c r="H3352" s="1803"/>
      <c r="I3352" s="198"/>
      <c r="J3352" s="6"/>
      <c r="K3352" s="1307"/>
      <c r="L3352" s="1335"/>
      <c r="M3352" s="1499"/>
      <c r="N3352" s="1701"/>
      <c r="O3352" s="1290"/>
      <c r="P3352" s="1332"/>
      <c r="Q3352" s="3391"/>
      <c r="R3352" s="3795"/>
      <c r="S3352" s="17"/>
      <c r="T3352" s="17"/>
      <c r="U3352" s="16"/>
      <c r="V3352" s="16"/>
    </row>
    <row r="3353" spans="1:22">
      <c r="A3353" s="22"/>
      <c r="B3353" s="1042"/>
      <c r="C3353" s="1042"/>
      <c r="D3353" s="1623"/>
      <c r="E3353" s="2158"/>
      <c r="F3353" s="1801"/>
      <c r="G3353" s="1359"/>
      <c r="H3353" s="1803"/>
      <c r="I3353" s="198"/>
      <c r="J3353" s="6"/>
      <c r="K3353" s="1307"/>
      <c r="L3353" s="1335"/>
      <c r="M3353" s="1499"/>
      <c r="N3353" s="1701"/>
      <c r="O3353" s="1290"/>
      <c r="P3353" s="1332"/>
      <c r="Q3353" s="3391"/>
      <c r="R3353" s="2337"/>
      <c r="S3353" s="17"/>
      <c r="T3353" s="17"/>
      <c r="U3353" s="16"/>
      <c r="V3353" s="16"/>
    </row>
    <row r="3354" spans="1:22">
      <c r="A3354" s="22"/>
      <c r="B3354" s="1042"/>
      <c r="C3354" s="1042"/>
      <c r="D3354" s="1411"/>
      <c r="E3354" s="2123"/>
      <c r="F3354" s="1802" t="s">
        <v>3</v>
      </c>
      <c r="G3354" s="1475"/>
      <c r="H3354" s="1505"/>
      <c r="I3354" s="1382"/>
      <c r="J3354" s="1383"/>
      <c r="K3354" s="1373"/>
      <c r="L3354" s="1413"/>
      <c r="M3354" s="1505"/>
      <c r="N3354" s="1505"/>
      <c r="O3354" s="1376"/>
      <c r="P3354" s="1413"/>
      <c r="Q3354" s="3387"/>
      <c r="R3354" s="2337"/>
      <c r="S3354" s="17"/>
      <c r="T3354" s="17"/>
      <c r="U3354" s="16"/>
      <c r="V3354" s="16"/>
    </row>
    <row r="3355" spans="1:22">
      <c r="A3355" s="22"/>
      <c r="B3355" s="1042"/>
      <c r="C3355" s="1042"/>
      <c r="D3355" s="1411"/>
      <c r="E3355" s="2123"/>
      <c r="F3355" s="1475"/>
      <c r="G3355" s="1475"/>
      <c r="H3355" s="1376"/>
      <c r="I3355" s="198"/>
      <c r="J3355" s="6"/>
      <c r="K3355" s="1307"/>
      <c r="L3355" s="1335"/>
      <c r="M3355" s="1499"/>
      <c r="N3355" s="1701"/>
      <c r="O3355" s="1290"/>
      <c r="P3355" s="1332"/>
      <c r="Q3355" s="3391"/>
      <c r="R3355" s="3795"/>
      <c r="S3355" s="17"/>
      <c r="T3355" s="17"/>
      <c r="U3355" s="16"/>
      <c r="V3355" s="16"/>
    </row>
    <row r="3356" spans="1:22">
      <c r="A3356" s="22"/>
      <c r="B3356" s="1042"/>
      <c r="C3356" s="1042"/>
      <c r="D3356" s="1412"/>
      <c r="E3356" s="2124"/>
      <c r="F3356" s="1377"/>
      <c r="G3356" s="1377"/>
      <c r="H3356" s="1597"/>
      <c r="I3356" s="198"/>
      <c r="J3356" s="6"/>
      <c r="K3356" s="1306"/>
      <c r="L3356" s="1646"/>
      <c r="M3356" s="1302"/>
      <c r="N3356" s="1302"/>
      <c r="O3356" s="1291"/>
      <c r="P3356" s="1332"/>
      <c r="Q3356" s="3391"/>
      <c r="R3356" s="2337"/>
      <c r="S3356" s="17"/>
      <c r="T3356" s="17"/>
      <c r="U3356" s="16"/>
      <c r="V3356" s="16"/>
    </row>
    <row r="3357" spans="1:22">
      <c r="A3357" s="22"/>
      <c r="B3357" s="223"/>
      <c r="C3357" s="223"/>
      <c r="D3357" s="1808"/>
      <c r="E3357" s="2132"/>
      <c r="F3357" s="1804"/>
      <c r="G3357" s="1804"/>
      <c r="H3357" s="1805"/>
      <c r="I3357" s="197"/>
      <c r="J3357" s="1806"/>
      <c r="K3357" s="1307"/>
      <c r="L3357" s="1335"/>
      <c r="M3357" s="1701"/>
      <c r="N3357" s="1701"/>
      <c r="O3357" s="1290"/>
      <c r="P3357" s="1333"/>
      <c r="Q3357" s="3391"/>
      <c r="R3357" s="3795"/>
      <c r="S3357" s="17"/>
      <c r="T3357" s="17"/>
      <c r="U3357" s="16"/>
      <c r="V3357" s="16"/>
    </row>
    <row r="3358" spans="1:22" ht="15" customHeight="1">
      <c r="A3358" s="16" t="s">
        <v>3764</v>
      </c>
      <c r="B3358" s="4325" t="s">
        <v>3822</v>
      </c>
      <c r="C3358" s="4074"/>
      <c r="D3358" s="4327"/>
      <c r="E3358" s="4329" t="s">
        <v>1507</v>
      </c>
      <c r="F3358" s="4515" t="s">
        <v>3823</v>
      </c>
      <c r="G3358" s="4516" t="s">
        <v>1568</v>
      </c>
      <c r="H3358" s="4516" t="s">
        <v>1574</v>
      </c>
      <c r="I3358" s="1572" t="s">
        <v>1559</v>
      </c>
      <c r="J3358" s="1294" t="s">
        <v>1560</v>
      </c>
      <c r="K3358" s="1294" t="s">
        <v>1569</v>
      </c>
      <c r="L3358" s="4333" t="s">
        <v>3765</v>
      </c>
      <c r="M3358" s="4323" t="s">
        <v>1571</v>
      </c>
      <c r="N3358" s="4323" t="s">
        <v>1776</v>
      </c>
      <c r="O3358" s="4073" t="s">
        <v>1563</v>
      </c>
      <c r="P3358" s="1336" t="s">
        <v>1562</v>
      </c>
      <c r="Q3358" s="3389"/>
      <c r="R3358" s="1699" t="s">
        <v>1327</v>
      </c>
      <c r="S3358" s="17"/>
      <c r="T3358" s="17"/>
      <c r="U3358" s="16"/>
      <c r="V3358" s="16"/>
    </row>
    <row r="3359" spans="1:22">
      <c r="A3359" s="1971" t="s">
        <v>3574</v>
      </c>
      <c r="B3359" s="4326"/>
      <c r="C3359" s="4075"/>
      <c r="D3359" s="4328"/>
      <c r="E3359" s="4330"/>
      <c r="F3359" s="4363"/>
      <c r="G3359" s="4332"/>
      <c r="H3359" s="4332"/>
      <c r="I3359" s="4079">
        <v>191.7</v>
      </c>
      <c r="J3359" s="3815">
        <v>3.0000000000000001E-3</v>
      </c>
      <c r="K3359" s="1307">
        <f>I3359*J3359</f>
        <v>0.57509999999999994</v>
      </c>
      <c r="L3359" s="4334"/>
      <c r="M3359" s="4324"/>
      <c r="N3359" s="4324"/>
      <c r="O3359" s="1298">
        <f>SUM(O3361:O3371)</f>
        <v>3.2904</v>
      </c>
      <c r="P3359" s="1337">
        <f>O3359*K3359</f>
        <v>1.8923090399999998</v>
      </c>
      <c r="Q3359" s="3390"/>
      <c r="R3359" s="1721">
        <f>SUM(P3361:P3371)</f>
        <v>1.8923090399999998</v>
      </c>
      <c r="S3359" s="17"/>
      <c r="T3359" s="17"/>
      <c r="U3359" s="16"/>
      <c r="V3359" s="16"/>
    </row>
    <row r="3360" spans="1:22">
      <c r="A3360" s="22"/>
      <c r="B3360" s="551"/>
      <c r="C3360" s="18"/>
      <c r="D3360" s="1400"/>
      <c r="E3360" s="2121"/>
      <c r="F3360" s="1368" t="s">
        <v>1</v>
      </c>
      <c r="G3360" s="1417"/>
      <c r="H3360" s="1390"/>
      <c r="I3360" s="1554"/>
      <c r="J3360" s="1367"/>
      <c r="K3360" s="1367"/>
      <c r="L3360" s="1554"/>
      <c r="M3360" s="1369"/>
      <c r="N3360" s="1369"/>
      <c r="O3360" s="1369"/>
      <c r="P3360" s="1367"/>
      <c r="Q3360" s="3387"/>
      <c r="R3360" s="3795"/>
      <c r="S3360" s="17"/>
      <c r="T3360" s="17"/>
      <c r="U3360" s="16"/>
      <c r="V3360" s="16"/>
    </row>
    <row r="3361" spans="1:22">
      <c r="A3361" s="22"/>
      <c r="B3361" s="553"/>
      <c r="C3361" s="1042"/>
      <c r="D3361" s="1400"/>
      <c r="E3361" s="1856"/>
      <c r="F3361" s="1421"/>
      <c r="G3361" s="1399"/>
      <c r="H3361" s="1399"/>
      <c r="I3361" s="1760"/>
      <c r="J3361" s="198"/>
      <c r="K3361" s="1307"/>
      <c r="L3361" s="1335"/>
      <c r="M3361" s="1499"/>
      <c r="N3361" s="1701"/>
      <c r="O3361" s="1290"/>
      <c r="P3361" s="1332"/>
      <c r="Q3361" s="3391"/>
      <c r="R3361" s="3795"/>
      <c r="S3361" s="17"/>
      <c r="T3361" s="17"/>
      <c r="U3361" s="16"/>
      <c r="V3361" s="16"/>
    </row>
    <row r="3362" spans="1:22">
      <c r="A3362" s="22"/>
      <c r="B3362" s="553"/>
      <c r="C3362" s="1042"/>
      <c r="D3362" s="1400"/>
      <c r="E3362" s="1856"/>
      <c r="F3362" s="1421"/>
      <c r="G3362" s="1399"/>
      <c r="H3362" s="1399"/>
      <c r="I3362" s="1760"/>
      <c r="J3362" s="198"/>
      <c r="K3362" s="1307"/>
      <c r="L3362" s="1335"/>
      <c r="M3362" s="1499"/>
      <c r="N3362" s="1701"/>
      <c r="O3362" s="1290"/>
      <c r="P3362" s="1332"/>
      <c r="Q3362" s="3391"/>
      <c r="R3362" s="3795"/>
      <c r="S3362" s="17"/>
      <c r="T3362" s="17"/>
      <c r="U3362" s="16"/>
      <c r="V3362" s="16"/>
    </row>
    <row r="3363" spans="1:22">
      <c r="A3363" s="22"/>
      <c r="B3363" s="1320"/>
      <c r="C3363" s="1042"/>
      <c r="D3363" s="1400"/>
      <c r="E3363" s="1856"/>
      <c r="F3363" s="1421"/>
      <c r="G3363" s="1452"/>
      <c r="H3363" s="1399"/>
      <c r="I3363" s="197"/>
      <c r="J3363" s="198"/>
      <c r="K3363" s="1307"/>
      <c r="L3363" s="1335"/>
      <c r="M3363" s="1499"/>
      <c r="N3363" s="1701"/>
      <c r="O3363" s="1290"/>
      <c r="P3363" s="1332"/>
      <c r="Q3363" s="3391"/>
      <c r="R3363" s="3795"/>
      <c r="S3363" s="17"/>
      <c r="T3363" s="17"/>
      <c r="U3363" s="16"/>
      <c r="V3363" s="16"/>
    </row>
    <row r="3364" spans="1:22">
      <c r="A3364" s="22"/>
      <c r="B3364" s="1042"/>
      <c r="C3364" s="1042"/>
      <c r="D3364" s="1410"/>
      <c r="E3364" s="1858"/>
      <c r="F3364" s="1360" t="s">
        <v>2</v>
      </c>
      <c r="G3364" s="1360"/>
      <c r="H3364" s="1362"/>
      <c r="I3364" s="1380"/>
      <c r="J3364" s="1381"/>
      <c r="K3364" s="1359"/>
      <c r="L3364" s="1458"/>
      <c r="M3364" s="1502"/>
      <c r="N3364" s="1502"/>
      <c r="O3364" s="1362"/>
      <c r="P3364" s="1359"/>
      <c r="Q3364" s="3387"/>
      <c r="R3364" s="3795"/>
      <c r="S3364" s="17"/>
      <c r="T3364" s="17"/>
      <c r="U3364" s="16"/>
      <c r="V3364" s="16"/>
    </row>
    <row r="3365" spans="1:22">
      <c r="A3365" s="22"/>
      <c r="B3365" s="553"/>
      <c r="C3365" s="1042"/>
      <c r="D3365" s="1364" t="s">
        <v>1067</v>
      </c>
      <c r="E3365" s="2148" t="s">
        <v>1508</v>
      </c>
      <c r="F3365" s="1473" t="s">
        <v>1512</v>
      </c>
      <c r="G3365" s="1365">
        <v>0.18</v>
      </c>
      <c r="H3365" s="1365"/>
      <c r="I3365" s="198"/>
      <c r="J3365" s="6"/>
      <c r="K3365" s="1307">
        <f>G3365*K3359</f>
        <v>0.10351799999999999</v>
      </c>
      <c r="L3365" s="1335">
        <f>K3365*$K$2842</f>
        <v>0</v>
      </c>
      <c r="M3365" s="1499">
        <v>18.28</v>
      </c>
      <c r="N3365" s="1701"/>
      <c r="O3365" s="1290">
        <f>(G3365*M3365)</f>
        <v>3.2904</v>
      </c>
      <c r="P3365" s="1332">
        <f>M3365*K3365</f>
        <v>1.8923090399999998</v>
      </c>
      <c r="Q3365" s="3391"/>
      <c r="R3365" s="3795"/>
      <c r="S3365" s="17"/>
      <c r="T3365" s="17"/>
      <c r="U3365" s="16"/>
      <c r="V3365" s="16"/>
    </row>
    <row r="3366" spans="1:22">
      <c r="A3366" s="22"/>
      <c r="B3366" s="553"/>
      <c r="C3366" s="1042"/>
      <c r="D3366" s="1623"/>
      <c r="E3366" s="2158"/>
      <c r="F3366" s="1801"/>
      <c r="G3366" s="1359"/>
      <c r="H3366" s="1803"/>
      <c r="I3366" s="198"/>
      <c r="J3366" s="6"/>
      <c r="K3366" s="1307"/>
      <c r="L3366" s="1335"/>
      <c r="M3366" s="1499"/>
      <c r="N3366" s="1701"/>
      <c r="O3366" s="1290"/>
      <c r="P3366" s="1332"/>
      <c r="Q3366" s="3391"/>
      <c r="R3366" s="3795"/>
      <c r="S3366" s="17"/>
      <c r="T3366" s="17"/>
      <c r="U3366" s="16"/>
      <c r="V3366" s="16"/>
    </row>
    <row r="3367" spans="1:22">
      <c r="A3367" s="22"/>
      <c r="B3367" s="553"/>
      <c r="C3367" s="1042"/>
      <c r="D3367" s="1623"/>
      <c r="E3367" s="2158"/>
      <c r="F3367" s="1801"/>
      <c r="G3367" s="1359"/>
      <c r="H3367" s="1803"/>
      <c r="I3367" s="198"/>
      <c r="J3367" s="6"/>
      <c r="K3367" s="1307"/>
      <c r="L3367" s="1335"/>
      <c r="M3367" s="1499"/>
      <c r="N3367" s="1701"/>
      <c r="O3367" s="1290"/>
      <c r="P3367" s="1332"/>
      <c r="Q3367" s="3391"/>
      <c r="R3367" s="3795"/>
      <c r="S3367" s="17"/>
      <c r="T3367" s="17"/>
      <c r="U3367" s="16"/>
      <c r="V3367" s="16"/>
    </row>
    <row r="3368" spans="1:22">
      <c r="A3368" s="22"/>
      <c r="B3368" s="553"/>
      <c r="C3368" s="1042"/>
      <c r="D3368" s="1411"/>
      <c r="E3368" s="2123"/>
      <c r="F3368" s="1802" t="s">
        <v>3</v>
      </c>
      <c r="G3368" s="1475"/>
      <c r="H3368" s="1505"/>
      <c r="I3368" s="1382"/>
      <c r="J3368" s="1383"/>
      <c r="K3368" s="1373"/>
      <c r="L3368" s="1413"/>
      <c r="M3368" s="1505"/>
      <c r="N3368" s="1505"/>
      <c r="O3368" s="1376"/>
      <c r="P3368" s="1413"/>
      <c r="Q3368" s="3387"/>
      <c r="R3368" s="3795"/>
      <c r="S3368" s="17"/>
      <c r="T3368" s="17"/>
      <c r="U3368" s="16"/>
      <c r="V3368" s="16"/>
    </row>
    <row r="3369" spans="1:22">
      <c r="A3369" s="22"/>
      <c r="B3369" s="553"/>
      <c r="C3369" s="1042"/>
      <c r="D3369" s="1411"/>
      <c r="E3369" s="2123"/>
      <c r="F3369" s="1802"/>
      <c r="G3369" s="1475"/>
      <c r="H3369" s="1505"/>
      <c r="I3369" s="1382"/>
      <c r="J3369" s="1383"/>
      <c r="K3369" s="1373"/>
      <c r="L3369" s="1413"/>
      <c r="M3369" s="1505"/>
      <c r="N3369" s="1505"/>
      <c r="O3369" s="1376"/>
      <c r="P3369" s="1413"/>
      <c r="Q3369" s="3387"/>
      <c r="R3369" s="3795"/>
      <c r="S3369" s="17"/>
      <c r="T3369" s="17"/>
      <c r="U3369" s="16"/>
      <c r="V3369" s="16"/>
    </row>
    <row r="3370" spans="1:22">
      <c r="A3370" s="22"/>
      <c r="B3370" s="553"/>
      <c r="C3370" s="1042"/>
      <c r="D3370" s="1412"/>
      <c r="E3370" s="2124"/>
      <c r="F3370" s="1377"/>
      <c r="G3370" s="1377"/>
      <c r="H3370" s="1597"/>
      <c r="I3370" s="198"/>
      <c r="J3370" s="6"/>
      <c r="K3370" s="1306"/>
      <c r="L3370" s="1646"/>
      <c r="M3370" s="1302"/>
      <c r="N3370" s="1302"/>
      <c r="O3370" s="1291"/>
      <c r="P3370" s="1332"/>
      <c r="Q3370" s="3391"/>
      <c r="R3370" s="2337"/>
      <c r="S3370" s="17"/>
      <c r="T3370" s="17"/>
      <c r="U3370" s="16"/>
      <c r="V3370" s="16"/>
    </row>
    <row r="3371" spans="1:22">
      <c r="A3371" s="22"/>
      <c r="B3371" s="554"/>
      <c r="C3371" s="223"/>
      <c r="D3371" s="1808"/>
      <c r="E3371" s="2132"/>
      <c r="F3371" s="1804"/>
      <c r="G3371" s="1804"/>
      <c r="H3371" s="1805"/>
      <c r="I3371" s="197"/>
      <c r="J3371" s="1806"/>
      <c r="K3371" s="1307"/>
      <c r="L3371" s="1335"/>
      <c r="M3371" s="1701"/>
      <c r="N3371" s="1701"/>
      <c r="O3371" s="1290"/>
      <c r="P3371" s="1333"/>
      <c r="Q3371" s="3391"/>
      <c r="R3371" s="3795"/>
      <c r="S3371" s="17"/>
      <c r="T3371" s="17"/>
      <c r="U3371" s="16"/>
      <c r="V3371" s="16"/>
    </row>
    <row r="3372" spans="1:22" ht="15" customHeight="1">
      <c r="A3372" s="16" t="s">
        <v>3764</v>
      </c>
      <c r="B3372" s="4325" t="s">
        <v>2792</v>
      </c>
      <c r="C3372" s="4074"/>
      <c r="D3372" s="4327"/>
      <c r="E3372" s="4329" t="s">
        <v>1507</v>
      </c>
      <c r="F3372" s="4336" t="s">
        <v>2793</v>
      </c>
      <c r="G3372" s="4331" t="s">
        <v>1568</v>
      </c>
      <c r="H3372" s="4331" t="s">
        <v>1574</v>
      </c>
      <c r="I3372" s="1572" t="s">
        <v>1559</v>
      </c>
      <c r="J3372" s="1294" t="s">
        <v>1560</v>
      </c>
      <c r="K3372" s="1294" t="s">
        <v>1569</v>
      </c>
      <c r="L3372" s="4333" t="s">
        <v>3765</v>
      </c>
      <c r="M3372" s="4335" t="s">
        <v>1571</v>
      </c>
      <c r="N3372" s="4323" t="s">
        <v>1776</v>
      </c>
      <c r="O3372" s="4073" t="s">
        <v>1563</v>
      </c>
      <c r="P3372" s="1336" t="s">
        <v>1562</v>
      </c>
      <c r="Q3372" s="3389"/>
      <c r="R3372" s="1699" t="s">
        <v>1327</v>
      </c>
      <c r="S3372" s="17"/>
      <c r="T3372" s="17"/>
      <c r="U3372" s="16"/>
      <c r="V3372" s="16"/>
    </row>
    <row r="3373" spans="1:22">
      <c r="A3373" s="1971" t="s">
        <v>3574</v>
      </c>
      <c r="B3373" s="4326"/>
      <c r="C3373" s="4075"/>
      <c r="D3373" s="4328"/>
      <c r="E3373" s="4330"/>
      <c r="F3373" s="4336"/>
      <c r="G3373" s="4332"/>
      <c r="H3373" s="4332"/>
      <c r="I3373" s="4079">
        <v>291.60000000000002</v>
      </c>
      <c r="J3373" s="3815">
        <v>3.0000000000000001E-3</v>
      </c>
      <c r="K3373" s="1307">
        <f>I3373*J3373</f>
        <v>0.87480000000000013</v>
      </c>
      <c r="L3373" s="4334"/>
      <c r="M3373" s="4335"/>
      <c r="N3373" s="4324"/>
      <c r="O3373" s="1298">
        <f>SUM(O3375:O3389)</f>
        <v>13.77628</v>
      </c>
      <c r="P3373" s="1337">
        <f>O3373*K3373</f>
        <v>12.051489744000001</v>
      </c>
      <c r="Q3373" s="3390"/>
      <c r="R3373" s="1721">
        <f>SUM(P3375:P3389)</f>
        <v>12.051489744000001</v>
      </c>
      <c r="S3373" s="17"/>
      <c r="T3373" s="17"/>
      <c r="U3373" s="16"/>
      <c r="V3373" s="16"/>
    </row>
    <row r="3374" spans="1:22">
      <c r="B3374" s="551"/>
      <c r="C3374" s="18"/>
      <c r="D3374" s="1400"/>
      <c r="E3374" s="2121"/>
      <c r="F3374" s="1368" t="s">
        <v>1</v>
      </c>
      <c r="G3374" s="1417"/>
      <c r="H3374" s="1390"/>
      <c r="I3374" s="1554"/>
      <c r="J3374" s="1367"/>
      <c r="K3374" s="1367"/>
      <c r="L3374" s="1554"/>
      <c r="M3374" s="1369"/>
      <c r="N3374" s="1369"/>
      <c r="O3374" s="1369"/>
      <c r="P3374" s="1367"/>
      <c r="Q3374" s="3387"/>
      <c r="R3374" s="3795"/>
      <c r="S3374" s="17"/>
      <c r="T3374" s="17"/>
      <c r="U3374" s="16"/>
      <c r="V3374" s="16"/>
    </row>
    <row r="3375" spans="1:22">
      <c r="B3375" s="553"/>
      <c r="C3375" s="1042"/>
      <c r="D3375" s="1400" t="s">
        <v>2794</v>
      </c>
      <c r="E3375" s="1856" t="s">
        <v>1504</v>
      </c>
      <c r="F3375" s="1421" t="s">
        <v>2795</v>
      </c>
      <c r="G3375" s="1399">
        <v>0.72</v>
      </c>
      <c r="H3375" s="1399"/>
      <c r="I3375" s="1760"/>
      <c r="J3375" s="198"/>
      <c r="K3375" s="1307">
        <f>G3375*K3373</f>
        <v>0.62985600000000008</v>
      </c>
      <c r="L3375" s="1335">
        <f t="shared" ref="L3375:L3378" si="312">K3375*$K$2842</f>
        <v>0</v>
      </c>
      <c r="M3375" s="1499">
        <v>7.1</v>
      </c>
      <c r="N3375" s="1701"/>
      <c r="O3375" s="1290">
        <f>(G3375*M3375)</f>
        <v>5.1119999999999992</v>
      </c>
      <c r="P3375" s="1332">
        <f>M3375*K3375</f>
        <v>4.4719776000000007</v>
      </c>
      <c r="Q3375" s="3391"/>
      <c r="R3375" s="3795"/>
      <c r="S3375" s="17"/>
      <c r="T3375" s="17"/>
      <c r="U3375" s="16"/>
      <c r="V3375" s="16"/>
    </row>
    <row r="3376" spans="1:22">
      <c r="B3376" s="553"/>
      <c r="C3376" s="1042"/>
      <c r="D3376" s="1400" t="s">
        <v>2796</v>
      </c>
      <c r="E3376" s="1856" t="s">
        <v>1517</v>
      </c>
      <c r="F3376" s="1421" t="s">
        <v>2797</v>
      </c>
      <c r="G3376" s="1399">
        <v>1.2E-2</v>
      </c>
      <c r="H3376" s="1399"/>
      <c r="I3376" s="1760"/>
      <c r="J3376" s="198"/>
      <c r="K3376" s="1307">
        <f>G3376*K3373</f>
        <v>1.0497600000000001E-2</v>
      </c>
      <c r="L3376" s="1335">
        <f t="shared" si="312"/>
        <v>0</v>
      </c>
      <c r="M3376" s="1499">
        <v>225.64</v>
      </c>
      <c r="N3376" s="1701"/>
      <c r="O3376" s="1290">
        <f>(G3376*M3376)</f>
        <v>2.7076799999999999</v>
      </c>
      <c r="P3376" s="1332">
        <f>M3376*K3376</f>
        <v>2.3686784640000003</v>
      </c>
      <c r="Q3376" s="3391"/>
      <c r="R3376" s="3795"/>
      <c r="S3376" s="17"/>
      <c r="T3376" s="17"/>
      <c r="U3376" s="16"/>
      <c r="V3376" s="16"/>
    </row>
    <row r="3377" spans="1:22">
      <c r="B3377" s="553"/>
      <c r="C3377" s="1042"/>
      <c r="D3377" s="1400" t="s">
        <v>1097</v>
      </c>
      <c r="E3377" s="1856" t="s">
        <v>1504</v>
      </c>
      <c r="F3377" s="1421" t="s">
        <v>1632</v>
      </c>
      <c r="G3377" s="1399">
        <v>1</v>
      </c>
      <c r="H3377" s="1399"/>
      <c r="I3377" s="1760"/>
      <c r="J3377" s="198"/>
      <c r="K3377" s="1307">
        <f>G3377*K3373</f>
        <v>0.87480000000000013</v>
      </c>
      <c r="L3377" s="1335">
        <f t="shared" si="312"/>
        <v>0</v>
      </c>
      <c r="M3377" s="1499">
        <v>0.55000000000000004</v>
      </c>
      <c r="N3377" s="1701"/>
      <c r="O3377" s="1290">
        <f>(G3377*M3377)</f>
        <v>0.55000000000000004</v>
      </c>
      <c r="P3377" s="1332">
        <f>M3377*K3377</f>
        <v>0.48114000000000012</v>
      </c>
      <c r="Q3377" s="3391"/>
      <c r="R3377" s="3795"/>
      <c r="S3377" s="17"/>
      <c r="T3377" s="17"/>
      <c r="U3377" s="16"/>
      <c r="V3377" s="16"/>
    </row>
    <row r="3378" spans="1:22">
      <c r="B3378" s="553"/>
      <c r="C3378" s="1042"/>
      <c r="D3378" s="1400" t="s">
        <v>1082</v>
      </c>
      <c r="E3378" s="1856" t="s">
        <v>1504</v>
      </c>
      <c r="F3378" s="1421" t="s">
        <v>1541</v>
      </c>
      <c r="G3378" s="1399">
        <v>1</v>
      </c>
      <c r="H3378" s="1399"/>
      <c r="I3378" s="1760"/>
      <c r="J3378" s="198"/>
      <c r="K3378" s="1307">
        <f>G3378*K3373</f>
        <v>0.87480000000000013</v>
      </c>
      <c r="L3378" s="1335">
        <f t="shared" si="312"/>
        <v>0</v>
      </c>
      <c r="M3378" s="1499">
        <v>0.3</v>
      </c>
      <c r="N3378" s="1701"/>
      <c r="O3378" s="1290">
        <f>(G3378*M3378)</f>
        <v>0.3</v>
      </c>
      <c r="P3378" s="1332">
        <f>M3378*K3378</f>
        <v>0.26244000000000001</v>
      </c>
      <c r="Q3378" s="3391"/>
      <c r="R3378" s="3795"/>
      <c r="S3378" s="17"/>
      <c r="T3378" s="17"/>
      <c r="U3378" s="16"/>
      <c r="V3378" s="16"/>
    </row>
    <row r="3379" spans="1:22">
      <c r="B3379" s="553"/>
      <c r="C3379" s="1042"/>
      <c r="D3379" s="1400"/>
      <c r="E3379" s="1856"/>
      <c r="F3379" s="1421"/>
      <c r="G3379" s="1399"/>
      <c r="H3379" s="1399"/>
      <c r="I3379" s="1760"/>
      <c r="J3379" s="198"/>
      <c r="K3379" s="1307"/>
      <c r="L3379" s="1335"/>
      <c r="M3379" s="1499"/>
      <c r="N3379" s="1701"/>
      <c r="O3379" s="1290"/>
      <c r="P3379" s="1332"/>
      <c r="Q3379" s="3391"/>
      <c r="R3379" s="3795"/>
      <c r="S3379" s="17"/>
      <c r="T3379" s="17"/>
      <c r="U3379" s="16"/>
      <c r="V3379" s="16"/>
    </row>
    <row r="3380" spans="1:22">
      <c r="B3380" s="553"/>
      <c r="C3380" s="1042"/>
      <c r="D3380" s="1400"/>
      <c r="E3380" s="1856"/>
      <c r="F3380" s="1421"/>
      <c r="G3380" s="1399"/>
      <c r="H3380" s="1399"/>
      <c r="I3380" s="1760"/>
      <c r="J3380" s="198"/>
      <c r="K3380" s="1307"/>
      <c r="L3380" s="1335"/>
      <c r="M3380" s="1499"/>
      <c r="N3380" s="1701"/>
      <c r="O3380" s="1290"/>
      <c r="P3380" s="1332"/>
      <c r="Q3380" s="3391"/>
      <c r="R3380" s="3795"/>
      <c r="S3380" s="17"/>
      <c r="T3380" s="17"/>
      <c r="U3380" s="16"/>
      <c r="V3380" s="16"/>
    </row>
    <row r="3381" spans="1:22">
      <c r="B3381" s="553"/>
      <c r="C3381" s="1042"/>
      <c r="D3381" s="1400"/>
      <c r="E3381" s="1856"/>
      <c r="F3381" s="1421"/>
      <c r="G3381" s="1452"/>
      <c r="H3381" s="1399"/>
      <c r="I3381" s="197"/>
      <c r="J3381" s="198"/>
      <c r="K3381" s="1307"/>
      <c r="L3381" s="1335"/>
      <c r="M3381" s="1499"/>
      <c r="N3381" s="1701"/>
      <c r="O3381" s="1290"/>
      <c r="P3381" s="1332"/>
      <c r="Q3381" s="3391"/>
      <c r="R3381" s="3795"/>
      <c r="S3381" s="17"/>
      <c r="T3381" s="17"/>
      <c r="U3381" s="16"/>
      <c r="V3381" s="16"/>
    </row>
    <row r="3382" spans="1:22">
      <c r="B3382" s="553"/>
      <c r="C3382" s="1042"/>
      <c r="D3382" s="1410"/>
      <c r="E3382" s="1858"/>
      <c r="F3382" s="1360" t="s">
        <v>2</v>
      </c>
      <c r="G3382" s="1360"/>
      <c r="H3382" s="1362"/>
      <c r="I3382" s="1380"/>
      <c r="J3382" s="1381"/>
      <c r="K3382" s="1359"/>
      <c r="L3382" s="1458"/>
      <c r="M3382" s="1502"/>
      <c r="N3382" s="1502"/>
      <c r="O3382" s="1362"/>
      <c r="P3382" s="1359"/>
      <c r="Q3382" s="3387"/>
      <c r="R3382" s="3795"/>
      <c r="S3382" s="17"/>
      <c r="T3382" s="17"/>
      <c r="U3382" s="16"/>
      <c r="V3382" s="16"/>
    </row>
    <row r="3383" spans="1:22">
      <c r="B3383" s="553"/>
      <c r="C3383" s="1042"/>
      <c r="D3383" s="1364" t="s">
        <v>1121</v>
      </c>
      <c r="E3383" s="2148" t="s">
        <v>1508</v>
      </c>
      <c r="F3383" s="1473" t="s">
        <v>1663</v>
      </c>
      <c r="G3383" s="1365">
        <v>0.18</v>
      </c>
      <c r="H3383" s="1365"/>
      <c r="I3383" s="198"/>
      <c r="J3383" s="6"/>
      <c r="K3383" s="1307">
        <f>G3383*K3373</f>
        <v>0.15746400000000002</v>
      </c>
      <c r="L3383" s="1335">
        <f t="shared" ref="L3383:L3384" si="313">K3383*$K$2842</f>
        <v>0</v>
      </c>
      <c r="M3383" s="1499">
        <v>19.23</v>
      </c>
      <c r="N3383" s="1701"/>
      <c r="O3383" s="1290">
        <f>(G3383*M3383)</f>
        <v>3.4613999999999998</v>
      </c>
      <c r="P3383" s="1332">
        <f>M3383*K3383</f>
        <v>3.0280327200000006</v>
      </c>
      <c r="Q3383" s="3391"/>
      <c r="R3383" s="3795"/>
      <c r="S3383" s="17"/>
      <c r="T3383" s="17"/>
      <c r="U3383" s="16"/>
      <c r="V3383" s="16"/>
    </row>
    <row r="3384" spans="1:22">
      <c r="B3384" s="553"/>
      <c r="C3384" s="1042"/>
      <c r="D3384" s="1623" t="s">
        <v>1067</v>
      </c>
      <c r="E3384" s="2158" t="s">
        <v>1508</v>
      </c>
      <c r="F3384" s="1801" t="s">
        <v>1512</v>
      </c>
      <c r="G3384" s="1359">
        <v>0.09</v>
      </c>
      <c r="H3384" s="1803"/>
      <c r="I3384" s="198"/>
      <c r="J3384" s="6"/>
      <c r="K3384" s="1307">
        <f>G3384*K3373</f>
        <v>7.873200000000001E-2</v>
      </c>
      <c r="L3384" s="1335">
        <f t="shared" si="313"/>
        <v>0</v>
      </c>
      <c r="M3384" s="1499">
        <v>18.28</v>
      </c>
      <c r="N3384" s="1701"/>
      <c r="O3384" s="1290">
        <f>(G3384*M3384)</f>
        <v>1.6452</v>
      </c>
      <c r="P3384" s="1332">
        <f>M3384*K3384</f>
        <v>1.4392209600000003</v>
      </c>
      <c r="Q3384" s="3391"/>
      <c r="R3384" s="3795"/>
      <c r="S3384" s="17"/>
      <c r="T3384" s="17"/>
      <c r="U3384" s="16"/>
      <c r="V3384" s="16"/>
    </row>
    <row r="3385" spans="1:22">
      <c r="B3385" s="553"/>
      <c r="C3385" s="1042"/>
      <c r="D3385" s="1623"/>
      <c r="E3385" s="2158"/>
      <c r="F3385" s="1801"/>
      <c r="G3385" s="1359"/>
      <c r="H3385" s="1803"/>
      <c r="I3385" s="198"/>
      <c r="J3385" s="6"/>
      <c r="K3385" s="1307"/>
      <c r="L3385" s="1335"/>
      <c r="M3385" s="1499"/>
      <c r="N3385" s="1701"/>
      <c r="O3385" s="1290"/>
      <c r="P3385" s="1332"/>
      <c r="Q3385" s="3391"/>
      <c r="R3385" s="3795"/>
      <c r="S3385" s="17"/>
      <c r="T3385" s="17"/>
      <c r="U3385" s="16"/>
      <c r="V3385" s="16"/>
    </row>
    <row r="3386" spans="1:22">
      <c r="B3386" s="553"/>
      <c r="C3386" s="1042"/>
      <c r="D3386" s="1411"/>
      <c r="E3386" s="2123"/>
      <c r="F3386" s="1802" t="s">
        <v>3</v>
      </c>
      <c r="G3386" s="1475"/>
      <c r="H3386" s="1505"/>
      <c r="I3386" s="1382"/>
      <c r="J3386" s="1383"/>
      <c r="K3386" s="1373"/>
      <c r="L3386" s="1413"/>
      <c r="M3386" s="1505"/>
      <c r="N3386" s="1505"/>
      <c r="O3386" s="1376"/>
      <c r="P3386" s="1413"/>
      <c r="Q3386" s="3387"/>
      <c r="R3386" s="3795"/>
      <c r="S3386" s="17"/>
      <c r="T3386" s="17"/>
      <c r="U3386" s="16"/>
      <c r="V3386" s="16"/>
    </row>
    <row r="3387" spans="1:22">
      <c r="B3387" s="553"/>
      <c r="C3387" s="1042"/>
      <c r="D3387" s="1411"/>
      <c r="E3387" s="2123"/>
      <c r="F3387" s="1475"/>
      <c r="G3387" s="1475"/>
      <c r="H3387" s="1376"/>
      <c r="I3387" s="198"/>
      <c r="J3387" s="6"/>
      <c r="K3387" s="1307"/>
      <c r="L3387" s="1335"/>
      <c r="M3387" s="1499"/>
      <c r="N3387" s="1701"/>
      <c r="O3387" s="1290"/>
      <c r="P3387" s="1332"/>
      <c r="Q3387" s="3391"/>
      <c r="R3387" s="3795"/>
      <c r="S3387" s="17"/>
      <c r="T3387" s="17"/>
      <c r="U3387" s="16"/>
      <c r="V3387" s="16"/>
    </row>
    <row r="3388" spans="1:22">
      <c r="B3388" s="553"/>
      <c r="C3388" s="1042"/>
      <c r="D3388" s="1412"/>
      <c r="E3388" s="2124"/>
      <c r="F3388" s="1377"/>
      <c r="G3388" s="1377"/>
      <c r="H3388" s="1597"/>
      <c r="I3388" s="198"/>
      <c r="J3388" s="6"/>
      <c r="K3388" s="1306"/>
      <c r="L3388" s="1646"/>
      <c r="M3388" s="1302"/>
      <c r="N3388" s="1302"/>
      <c r="O3388" s="1291"/>
      <c r="P3388" s="1332"/>
      <c r="Q3388" s="3391"/>
      <c r="R3388" s="2337"/>
      <c r="S3388" s="17"/>
      <c r="T3388" s="17"/>
      <c r="U3388" s="16"/>
      <c r="V3388" s="16"/>
    </row>
    <row r="3389" spans="1:22">
      <c r="B3389" s="554"/>
      <c r="C3389" s="223"/>
      <c r="D3389" s="1808"/>
      <c r="E3389" s="2132"/>
      <c r="F3389" s="1804"/>
      <c r="G3389" s="1804"/>
      <c r="H3389" s="1805"/>
      <c r="I3389" s="197"/>
      <c r="J3389" s="1806"/>
      <c r="K3389" s="1307"/>
      <c r="L3389" s="1335"/>
      <c r="M3389" s="1701"/>
      <c r="N3389" s="1701"/>
      <c r="O3389" s="1290"/>
      <c r="P3389" s="1333"/>
      <c r="Q3389" s="3391"/>
      <c r="R3389" s="3795"/>
      <c r="S3389" s="17"/>
      <c r="T3389" s="17"/>
      <c r="U3389" s="16"/>
      <c r="V3389" s="16"/>
    </row>
    <row r="3390" spans="1:22" ht="15" customHeight="1">
      <c r="A3390" s="16" t="s">
        <v>3764</v>
      </c>
      <c r="B3390" s="4325" t="s">
        <v>1815</v>
      </c>
      <c r="C3390" s="4074"/>
      <c r="D3390" s="4327"/>
      <c r="E3390" s="4329" t="s">
        <v>1527</v>
      </c>
      <c r="F3390" s="4336" t="s">
        <v>3824</v>
      </c>
      <c r="G3390" s="4331" t="s">
        <v>1568</v>
      </c>
      <c r="H3390" s="4331" t="s">
        <v>1574</v>
      </c>
      <c r="I3390" s="1572" t="s">
        <v>1559</v>
      </c>
      <c r="J3390" s="1294" t="s">
        <v>1560</v>
      </c>
      <c r="K3390" s="1294" t="s">
        <v>1569</v>
      </c>
      <c r="L3390" s="4333" t="s">
        <v>3765</v>
      </c>
      <c r="M3390" s="4335" t="s">
        <v>1571</v>
      </c>
      <c r="N3390" s="4323" t="s">
        <v>1776</v>
      </c>
      <c r="O3390" s="4073" t="s">
        <v>1563</v>
      </c>
      <c r="P3390" s="1336" t="s">
        <v>1562</v>
      </c>
      <c r="Q3390" s="3389"/>
      <c r="R3390" s="1699" t="s">
        <v>1327</v>
      </c>
      <c r="S3390" s="17"/>
      <c r="T3390" s="17"/>
      <c r="U3390" s="16"/>
      <c r="V3390" s="16"/>
    </row>
    <row r="3391" spans="1:22">
      <c r="A3391" s="1971" t="s">
        <v>3574</v>
      </c>
      <c r="B3391" s="4326"/>
      <c r="C3391" s="4075"/>
      <c r="D3391" s="4328"/>
      <c r="E3391" s="4330"/>
      <c r="F3391" s="4336"/>
      <c r="G3391" s="4332"/>
      <c r="H3391" s="4332"/>
      <c r="I3391" s="4079">
        <v>303.7</v>
      </c>
      <c r="J3391" s="3815">
        <v>3.0000000000000001E-3</v>
      </c>
      <c r="K3391" s="1307">
        <f>I3391*J3391</f>
        <v>0.91110000000000002</v>
      </c>
      <c r="L3391" s="4334"/>
      <c r="M3391" s="4335"/>
      <c r="N3391" s="4324"/>
      <c r="O3391" s="1298">
        <f>O3393+O3394+O3395+O3403+O3404+O3408</f>
        <v>54.830050300000003</v>
      </c>
      <c r="P3391" s="1337">
        <f>O3391*K3391</f>
        <v>49.955658828330002</v>
      </c>
      <c r="Q3391" s="3390"/>
      <c r="R3391" s="1721">
        <f>P3393+P3394+P3395+P3403+P3404+P3408</f>
        <v>49.955658828330002</v>
      </c>
      <c r="S3391" s="17"/>
      <c r="T3391" s="17"/>
      <c r="U3391" s="16"/>
      <c r="V3391" s="16"/>
    </row>
    <row r="3392" spans="1:22">
      <c r="A3392" s="22"/>
      <c r="B3392" s="551"/>
      <c r="C3392" s="18"/>
      <c r="D3392" s="1400"/>
      <c r="E3392" s="2121"/>
      <c r="F3392" s="1368" t="s">
        <v>1</v>
      </c>
      <c r="G3392" s="1417"/>
      <c r="H3392" s="1390"/>
      <c r="I3392" s="1554"/>
      <c r="J3392" s="1367"/>
      <c r="K3392" s="1367"/>
      <c r="L3392" s="1554"/>
      <c r="M3392" s="1369"/>
      <c r="N3392" s="1369"/>
      <c r="O3392" s="1369"/>
      <c r="P3392" s="1367"/>
      <c r="Q3392" s="3387"/>
      <c r="R3392" s="3795"/>
      <c r="S3392" s="17"/>
      <c r="T3392" s="17"/>
      <c r="U3392" s="16"/>
      <c r="V3392" s="16"/>
    </row>
    <row r="3393" spans="1:22">
      <c r="A3393" s="22"/>
      <c r="B3393" s="553"/>
      <c r="C3393" s="1042"/>
      <c r="D3393" s="1400" t="s">
        <v>1817</v>
      </c>
      <c r="E3393" s="1856" t="s">
        <v>1521</v>
      </c>
      <c r="F3393" s="1421" t="s">
        <v>1785</v>
      </c>
      <c r="G3393" s="1399">
        <v>1.2E-2</v>
      </c>
      <c r="H3393" s="1400"/>
      <c r="I3393" s="27"/>
      <c r="J3393" s="10"/>
      <c r="K3393" s="1307">
        <f>G3393*$K$2946</f>
        <v>1.0933200000000001E-2</v>
      </c>
      <c r="L3393" s="1335">
        <f t="shared" ref="L3393:L3394" si="314">K3393*$K$2842</f>
        <v>0</v>
      </c>
      <c r="M3393" s="1499">
        <v>236.83</v>
      </c>
      <c r="N3393" s="1701"/>
      <c r="O3393" s="1290">
        <f>(G3393*M3393)</f>
        <v>2.8419600000000003</v>
      </c>
      <c r="P3393" s="1332">
        <f>M3393*K3393</f>
        <v>2.5893097560000005</v>
      </c>
      <c r="Q3393" s="3391"/>
      <c r="R3393" s="3795"/>
      <c r="S3393" s="17"/>
      <c r="T3393" s="17"/>
      <c r="U3393" s="16"/>
      <c r="V3393" s="16"/>
    </row>
    <row r="3394" spans="1:22">
      <c r="A3394" s="22"/>
      <c r="B3394" s="553"/>
      <c r="C3394" s="1042"/>
      <c r="D3394" s="1400" t="s">
        <v>1786</v>
      </c>
      <c r="E3394" s="1856" t="s">
        <v>1787</v>
      </c>
      <c r="F3394" s="1421" t="s">
        <v>1788</v>
      </c>
      <c r="G3394" s="1399">
        <v>0.45</v>
      </c>
      <c r="H3394" s="1400"/>
      <c r="I3394" s="1760"/>
      <c r="J3394" s="198"/>
      <c r="K3394" s="1307">
        <f>G3394*$K$2946</f>
        <v>0.409995</v>
      </c>
      <c r="L3394" s="1335">
        <f t="shared" si="314"/>
        <v>0</v>
      </c>
      <c r="M3394" s="1499">
        <v>1.54</v>
      </c>
      <c r="N3394" s="1701"/>
      <c r="O3394" s="1290">
        <f>(G3394*M3394)</f>
        <v>0.69300000000000006</v>
      </c>
      <c r="P3394" s="1332">
        <f>M3394*K3394</f>
        <v>0.63139230000000002</v>
      </c>
      <c r="Q3394" s="3391"/>
      <c r="R3394" s="3795"/>
      <c r="S3394" s="17"/>
      <c r="T3394" s="17"/>
      <c r="U3394" s="16"/>
      <c r="V3394" s="16"/>
    </row>
    <row r="3395" spans="1:22">
      <c r="A3395" s="22"/>
      <c r="B3395" s="553"/>
      <c r="C3395" s="1356" t="s">
        <v>1790</v>
      </c>
      <c r="D3395" s="1311"/>
      <c r="E3395" s="2137" t="s">
        <v>1517</v>
      </c>
      <c r="F3395" s="1343" t="s">
        <v>1791</v>
      </c>
      <c r="G3395" s="1344"/>
      <c r="H3395" s="1344">
        <v>3.5000000000000003E-2</v>
      </c>
      <c r="I3395" s="1444"/>
      <c r="J3395" s="1388"/>
      <c r="K3395" s="1445"/>
      <c r="L3395" s="1457"/>
      <c r="M3395" s="1446"/>
      <c r="N3395" s="1447">
        <f>SUM(N3396:N3400)</f>
        <v>76.906580000000005</v>
      </c>
      <c r="O3395" s="1447">
        <f>SUM(O3396:O3400)</f>
        <v>2.6917303000000006</v>
      </c>
      <c r="P3395" s="1447">
        <f>SUM(P3396:P3400)</f>
        <v>2.4524354763300007</v>
      </c>
      <c r="Q3395" s="3391"/>
      <c r="R3395" s="3795"/>
      <c r="S3395" s="17"/>
      <c r="T3395" s="17"/>
      <c r="U3395" s="16"/>
      <c r="V3395" s="16"/>
    </row>
    <row r="3396" spans="1:22">
      <c r="A3396" s="22"/>
      <c r="B3396" s="553"/>
      <c r="C3396" s="1327"/>
      <c r="D3396" s="1756" t="s">
        <v>1069</v>
      </c>
      <c r="E3396" s="1852" t="s">
        <v>1517</v>
      </c>
      <c r="F3396" s="1784" t="s">
        <v>1578</v>
      </c>
      <c r="G3396" s="1399">
        <v>0.2</v>
      </c>
      <c r="H3396" s="1399">
        <f>G3396*$H$2950</f>
        <v>7.000000000000001E-3</v>
      </c>
      <c r="I3396" s="197"/>
      <c r="J3396" s="198"/>
      <c r="K3396" s="1307">
        <f>H3396*$K$2946</f>
        <v>6.3777000000000009E-3</v>
      </c>
      <c r="L3396" s="1335">
        <f t="shared" ref="L3396:L3400" si="315">K3396*$K$2842</f>
        <v>0</v>
      </c>
      <c r="M3396" s="1499">
        <v>0.55000000000000004</v>
      </c>
      <c r="N3396" s="1718">
        <f>G3396*M3396</f>
        <v>0.11000000000000001</v>
      </c>
      <c r="O3396" s="1719">
        <f>H3396*M3396</f>
        <v>3.850000000000001E-3</v>
      </c>
      <c r="P3396" s="1720">
        <f>M3396*K3396</f>
        <v>3.507735000000001E-3</v>
      </c>
      <c r="Q3396" s="3396"/>
      <c r="R3396" s="3795"/>
      <c r="S3396" s="17"/>
      <c r="T3396" s="17"/>
      <c r="U3396" s="16"/>
      <c r="V3396" s="16"/>
    </row>
    <row r="3397" spans="1:22">
      <c r="A3397" s="22"/>
      <c r="B3397" s="553"/>
      <c r="C3397" s="1320"/>
      <c r="D3397" s="1756" t="s">
        <v>1792</v>
      </c>
      <c r="E3397" s="1852" t="s">
        <v>1577</v>
      </c>
      <c r="F3397" s="1752" t="s">
        <v>1793</v>
      </c>
      <c r="G3397" s="1399">
        <v>0.25</v>
      </c>
      <c r="H3397" s="1399">
        <f t="shared" ref="H3397:H3400" si="316">G3397*$H$2950</f>
        <v>8.7500000000000008E-3</v>
      </c>
      <c r="I3397" s="197"/>
      <c r="J3397" s="198"/>
      <c r="K3397" s="1307">
        <f t="shared" ref="K3397:K3400" si="317">H3397*$K$2946</f>
        <v>7.9721250000000018E-3</v>
      </c>
      <c r="L3397" s="1335">
        <f t="shared" si="315"/>
        <v>0</v>
      </c>
      <c r="M3397" s="1499">
        <v>85.09</v>
      </c>
      <c r="N3397" s="1718">
        <f>G3397*M3397</f>
        <v>21.272500000000001</v>
      </c>
      <c r="O3397" s="1719">
        <f>H3397*M3397</f>
        <v>0.74453750000000007</v>
      </c>
      <c r="P3397" s="1720">
        <f>M3397*K3397</f>
        <v>0.67834811625000013</v>
      </c>
      <c r="Q3397" s="3396"/>
      <c r="R3397" s="3795"/>
      <c r="S3397" s="17"/>
      <c r="T3397" s="17"/>
      <c r="U3397" s="16"/>
      <c r="V3397" s="16"/>
    </row>
    <row r="3398" spans="1:22">
      <c r="A3398" s="22"/>
      <c r="B3398" s="553"/>
      <c r="C3398" s="1320"/>
      <c r="D3398" s="1756" t="s">
        <v>1394</v>
      </c>
      <c r="E3398" s="1852" t="s">
        <v>1577</v>
      </c>
      <c r="F3398" s="1752" t="s">
        <v>1579</v>
      </c>
      <c r="G3398" s="1399">
        <v>0.25</v>
      </c>
      <c r="H3398" s="1399">
        <f t="shared" si="316"/>
        <v>8.7500000000000008E-3</v>
      </c>
      <c r="I3398" s="197"/>
      <c r="J3398" s="198"/>
      <c r="K3398" s="1307">
        <f t="shared" si="317"/>
        <v>7.9721250000000018E-3</v>
      </c>
      <c r="L3398" s="1335">
        <f t="shared" si="315"/>
        <v>0</v>
      </c>
      <c r="M3398" s="1499">
        <v>92.54</v>
      </c>
      <c r="N3398" s="1718">
        <f>G3398*M3398</f>
        <v>23.135000000000002</v>
      </c>
      <c r="O3398" s="1719">
        <f>H3398*M3398</f>
        <v>0.80972500000000014</v>
      </c>
      <c r="P3398" s="1720">
        <f>M3398*K3398</f>
        <v>0.73774044750000023</v>
      </c>
      <c r="Q3398" s="3396"/>
      <c r="R3398" s="3795"/>
      <c r="S3398" s="17"/>
      <c r="T3398" s="17"/>
      <c r="U3398" s="16"/>
      <c r="V3398" s="16"/>
    </row>
    <row r="3399" spans="1:22">
      <c r="A3399" s="22"/>
      <c r="B3399" s="553"/>
      <c r="C3399" s="1320"/>
      <c r="D3399" s="1756" t="s">
        <v>1576</v>
      </c>
      <c r="E3399" s="1852" t="s">
        <v>1517</v>
      </c>
      <c r="F3399" s="1752" t="s">
        <v>1580</v>
      </c>
      <c r="G3399" s="1399">
        <v>1.5</v>
      </c>
      <c r="H3399" s="1399">
        <f t="shared" si="316"/>
        <v>5.2500000000000005E-2</v>
      </c>
      <c r="I3399" s="197"/>
      <c r="J3399" s="198"/>
      <c r="K3399" s="1307">
        <f t="shared" si="317"/>
        <v>4.7832750000000007E-2</v>
      </c>
      <c r="L3399" s="1335">
        <f t="shared" si="315"/>
        <v>0</v>
      </c>
      <c r="M3399" s="1499">
        <v>6.53</v>
      </c>
      <c r="N3399" s="1718">
        <f>G3399*M3399</f>
        <v>9.7949999999999999</v>
      </c>
      <c r="O3399" s="1719">
        <f>H3399*M3399</f>
        <v>0.34282500000000005</v>
      </c>
      <c r="P3399" s="1720">
        <f>M3399*K3399</f>
        <v>0.31234785750000005</v>
      </c>
      <c r="Q3399" s="3396"/>
      <c r="R3399" s="3795"/>
      <c r="S3399" s="17"/>
      <c r="T3399" s="17"/>
      <c r="U3399" s="16"/>
      <c r="V3399" s="16"/>
    </row>
    <row r="3400" spans="1:22">
      <c r="A3400" s="22"/>
      <c r="B3400" s="553"/>
      <c r="C3400" s="1320"/>
      <c r="D3400" s="1811" t="s">
        <v>1067</v>
      </c>
      <c r="E3400" s="2171" t="s">
        <v>1508</v>
      </c>
      <c r="F3400" s="1812" t="s">
        <v>1512</v>
      </c>
      <c r="G3400" s="1395">
        <v>1.236</v>
      </c>
      <c r="H3400" s="1395">
        <f t="shared" si="316"/>
        <v>4.3260000000000007E-2</v>
      </c>
      <c r="I3400" s="197"/>
      <c r="J3400" s="198"/>
      <c r="K3400" s="1307">
        <f t="shared" si="317"/>
        <v>3.9414186000000004E-2</v>
      </c>
      <c r="L3400" s="1335">
        <f t="shared" si="315"/>
        <v>0</v>
      </c>
      <c r="M3400" s="1499">
        <v>18.28</v>
      </c>
      <c r="N3400" s="1718">
        <f>G3400*M3400</f>
        <v>22.594080000000002</v>
      </c>
      <c r="O3400" s="1719">
        <f>H3400*M3400</f>
        <v>0.79079280000000018</v>
      </c>
      <c r="P3400" s="1720">
        <f>M3400*K3400</f>
        <v>0.72049132008000016</v>
      </c>
      <c r="Q3400" s="3396"/>
      <c r="R3400" s="3795"/>
      <c r="S3400" s="17"/>
      <c r="T3400" s="17"/>
      <c r="U3400" s="16"/>
      <c r="V3400" s="16"/>
    </row>
    <row r="3401" spans="1:22">
      <c r="A3401" s="22"/>
      <c r="B3401" s="553"/>
      <c r="C3401" s="1320"/>
      <c r="D3401" s="2257"/>
      <c r="E3401" s="2258"/>
      <c r="F3401" s="2257"/>
      <c r="G3401" s="1399"/>
      <c r="H3401" s="1399"/>
      <c r="I3401" s="197"/>
      <c r="J3401" s="198"/>
      <c r="K3401" s="1307"/>
      <c r="L3401" s="1335"/>
      <c r="M3401" s="1499"/>
      <c r="N3401" s="1724"/>
      <c r="O3401" s="1719"/>
      <c r="P3401" s="1720"/>
      <c r="Q3401" s="3396"/>
      <c r="R3401" s="3795"/>
      <c r="S3401" s="17"/>
      <c r="T3401" s="17"/>
      <c r="U3401" s="16"/>
      <c r="V3401" s="16"/>
    </row>
    <row r="3402" spans="1:22">
      <c r="A3402" s="22"/>
      <c r="B3402" s="553"/>
      <c r="C3402" s="1042"/>
      <c r="D3402" s="1410"/>
      <c r="E3402" s="1858"/>
      <c r="F3402" s="1360" t="s">
        <v>2</v>
      </c>
      <c r="G3402" s="1360"/>
      <c r="H3402" s="1362"/>
      <c r="I3402" s="1380"/>
      <c r="J3402" s="1381"/>
      <c r="K3402" s="1359"/>
      <c r="L3402" s="1458"/>
      <c r="M3402" s="1502"/>
      <c r="N3402" s="1502"/>
      <c r="O3402" s="1362"/>
      <c r="P3402" s="1359"/>
      <c r="Q3402" s="3387"/>
      <c r="R3402" s="3795"/>
      <c r="S3402" s="17"/>
      <c r="T3402" s="17"/>
      <c r="U3402" s="16"/>
      <c r="V3402" s="16"/>
    </row>
    <row r="3403" spans="1:22">
      <c r="A3403" s="22"/>
      <c r="B3403" s="553"/>
      <c r="C3403" s="1042"/>
      <c r="D3403" s="1655" t="s">
        <v>1806</v>
      </c>
      <c r="E3403" s="1857" t="s">
        <v>1508</v>
      </c>
      <c r="F3403" s="1403" t="s">
        <v>1818</v>
      </c>
      <c r="G3403" s="1365">
        <v>1.28</v>
      </c>
      <c r="H3403" s="1365"/>
      <c r="I3403" s="198"/>
      <c r="J3403" s="6"/>
      <c r="K3403" s="1307">
        <f t="shared" ref="K3403:K3404" si="318">G3403*$K$2946</f>
        <v>1.1662080000000001</v>
      </c>
      <c r="L3403" s="1335">
        <f t="shared" ref="L3403:L3404" si="319">K3403*$K$2842</f>
        <v>0</v>
      </c>
      <c r="M3403" s="1499">
        <v>19.23</v>
      </c>
      <c r="N3403" s="1701"/>
      <c r="O3403" s="1290">
        <f>(G3403*M3403)</f>
        <v>24.6144</v>
      </c>
      <c r="P3403" s="1332">
        <f>M3403*K3403</f>
        <v>22.426179840000003</v>
      </c>
      <c r="Q3403" s="3391"/>
      <c r="R3403" s="3795"/>
      <c r="S3403" s="17"/>
      <c r="T3403" s="17"/>
      <c r="U3403" s="16"/>
      <c r="V3403" s="16"/>
    </row>
    <row r="3404" spans="1:22">
      <c r="A3404" s="22"/>
      <c r="B3404" s="553"/>
      <c r="C3404" s="1042"/>
      <c r="D3404" s="1364" t="s">
        <v>1067</v>
      </c>
      <c r="E3404" s="2148" t="s">
        <v>1508</v>
      </c>
      <c r="F3404" s="1473" t="s">
        <v>1512</v>
      </c>
      <c r="G3404" s="1365">
        <v>0.58199999999999996</v>
      </c>
      <c r="H3404" s="1365"/>
      <c r="I3404" s="198"/>
      <c r="J3404" s="6"/>
      <c r="K3404" s="1307">
        <f t="shared" si="318"/>
        <v>0.53026019999999996</v>
      </c>
      <c r="L3404" s="1335">
        <f t="shared" si="319"/>
        <v>0</v>
      </c>
      <c r="M3404" s="1499">
        <v>18.28</v>
      </c>
      <c r="N3404" s="1701"/>
      <c r="O3404" s="1290">
        <f>(G3404*M3404)</f>
        <v>10.638959999999999</v>
      </c>
      <c r="P3404" s="1332">
        <f>M3404*K3404</f>
        <v>9.6931564560000005</v>
      </c>
      <c r="Q3404" s="3391"/>
      <c r="R3404" s="3795"/>
      <c r="S3404" s="17"/>
      <c r="T3404" s="17"/>
      <c r="U3404" s="16"/>
      <c r="V3404" s="16"/>
    </row>
    <row r="3405" spans="1:22">
      <c r="A3405" s="22"/>
      <c r="B3405" s="553"/>
      <c r="C3405" s="1042"/>
      <c r="D3405" s="1623"/>
      <c r="E3405" s="2158"/>
      <c r="F3405" s="1801"/>
      <c r="G3405" s="1359"/>
      <c r="H3405" s="1803"/>
      <c r="I3405" s="198"/>
      <c r="J3405" s="6"/>
      <c r="K3405" s="1307"/>
      <c r="L3405" s="1335"/>
      <c r="M3405" s="1499"/>
      <c r="N3405" s="1701"/>
      <c r="O3405" s="1290"/>
      <c r="P3405" s="1332"/>
      <c r="Q3405" s="3391"/>
      <c r="R3405" s="3795"/>
      <c r="S3405" s="17"/>
      <c r="T3405" s="17"/>
      <c r="U3405" s="16"/>
      <c r="V3405" s="16"/>
    </row>
    <row r="3406" spans="1:22">
      <c r="A3406" s="22"/>
      <c r="B3406" s="553"/>
      <c r="C3406" s="1042"/>
      <c r="D3406" s="1623"/>
      <c r="E3406" s="2158"/>
      <c r="F3406" s="1801"/>
      <c r="G3406" s="1359"/>
      <c r="H3406" s="1803"/>
      <c r="I3406" s="198"/>
      <c r="J3406" s="6"/>
      <c r="K3406" s="1307"/>
      <c r="L3406" s="1335"/>
      <c r="M3406" s="1499"/>
      <c r="N3406" s="1701"/>
      <c r="O3406" s="1290"/>
      <c r="P3406" s="1332"/>
      <c r="Q3406" s="3391"/>
      <c r="R3406" s="3795"/>
      <c r="S3406" s="17"/>
      <c r="T3406" s="17"/>
      <c r="U3406" s="16"/>
      <c r="V3406" s="16"/>
    </row>
    <row r="3407" spans="1:22">
      <c r="A3407" s="22"/>
      <c r="B3407" s="553"/>
      <c r="C3407" s="1042"/>
      <c r="D3407" s="1411"/>
      <c r="E3407" s="2123"/>
      <c r="F3407" s="1802" t="s">
        <v>3</v>
      </c>
      <c r="G3407" s="1475"/>
      <c r="H3407" s="1505"/>
      <c r="I3407" s="1382"/>
      <c r="J3407" s="1383"/>
      <c r="K3407" s="1373"/>
      <c r="L3407" s="1413"/>
      <c r="M3407" s="1505"/>
      <c r="N3407" s="1505"/>
      <c r="O3407" s="1376"/>
      <c r="P3407" s="1413"/>
      <c r="Q3407" s="3387"/>
      <c r="R3407" s="3795"/>
      <c r="S3407" s="17"/>
      <c r="T3407" s="17"/>
      <c r="U3407" s="16"/>
      <c r="V3407" s="16"/>
    </row>
    <row r="3408" spans="1:22">
      <c r="A3408" s="22"/>
      <c r="B3408" s="553"/>
      <c r="C3408" s="1042"/>
      <c r="D3408" s="1411" t="s">
        <v>1686</v>
      </c>
      <c r="E3408" s="2123" t="s">
        <v>1803</v>
      </c>
      <c r="F3408" s="1837" t="s">
        <v>1688</v>
      </c>
      <c r="G3408" s="1376">
        <v>1.78</v>
      </c>
      <c r="H3408" s="1376"/>
      <c r="I3408" s="198"/>
      <c r="J3408" s="6"/>
      <c r="K3408" s="1307">
        <f>G3408*$K$2946</f>
        <v>1.621758</v>
      </c>
      <c r="L3408" s="1335">
        <f>K3408*$K$2842</f>
        <v>0</v>
      </c>
      <c r="M3408" s="1499">
        <v>7.5</v>
      </c>
      <c r="N3408" s="1701"/>
      <c r="O3408" s="1290">
        <f>(G3408*M3408)</f>
        <v>13.35</v>
      </c>
      <c r="P3408" s="1332">
        <f>M3408*K3408</f>
        <v>12.163185</v>
      </c>
      <c r="Q3408" s="3391"/>
      <c r="R3408" s="3795"/>
      <c r="S3408" s="17"/>
      <c r="T3408" s="17"/>
      <c r="U3408" s="16"/>
      <c r="V3408" s="16"/>
    </row>
    <row r="3409" spans="1:22">
      <c r="A3409" s="22"/>
      <c r="B3409" s="553"/>
      <c r="C3409" s="1042"/>
      <c r="D3409" s="1411"/>
      <c r="E3409" s="2123"/>
      <c r="F3409" s="1475"/>
      <c r="G3409" s="1475"/>
      <c r="H3409" s="1376"/>
      <c r="I3409" s="198"/>
      <c r="J3409" s="6"/>
      <c r="K3409" s="1307"/>
      <c r="L3409" s="1335"/>
      <c r="M3409" s="1499"/>
      <c r="N3409" s="1701"/>
      <c r="O3409" s="1290"/>
      <c r="P3409" s="1332"/>
      <c r="Q3409" s="3391"/>
      <c r="R3409" s="3795"/>
      <c r="S3409" s="17"/>
      <c r="T3409" s="17"/>
      <c r="U3409" s="16"/>
      <c r="V3409" s="16"/>
    </row>
    <row r="3410" spans="1:22">
      <c r="A3410" s="22"/>
      <c r="B3410" s="554"/>
      <c r="C3410" s="223"/>
      <c r="D3410" s="1808"/>
      <c r="E3410" s="2132"/>
      <c r="F3410" s="1804"/>
      <c r="G3410" s="1804"/>
      <c r="H3410" s="1805"/>
      <c r="I3410" s="197"/>
      <c r="J3410" s="1806"/>
      <c r="K3410" s="1307"/>
      <c r="L3410" s="1335"/>
      <c r="M3410" s="1701"/>
      <c r="N3410" s="1701"/>
      <c r="O3410" s="1290"/>
      <c r="P3410" s="1333"/>
      <c r="Q3410" s="3391"/>
      <c r="R3410" s="3795"/>
      <c r="S3410" s="17"/>
      <c r="T3410" s="17"/>
      <c r="U3410" s="16"/>
      <c r="V3410" s="16"/>
    </row>
    <row r="3411" spans="1:22" ht="15" customHeight="1">
      <c r="A3411" s="16" t="s">
        <v>3764</v>
      </c>
      <c r="B3411" s="4325" t="s">
        <v>1819</v>
      </c>
      <c r="C3411" s="4074"/>
      <c r="D3411" s="4327"/>
      <c r="E3411" s="4329" t="s">
        <v>1527</v>
      </c>
      <c r="F3411" s="4336" t="s">
        <v>3825</v>
      </c>
      <c r="G3411" s="4331" t="s">
        <v>1568</v>
      </c>
      <c r="H3411" s="4331" t="s">
        <v>1574</v>
      </c>
      <c r="I3411" s="1572" t="s">
        <v>1559</v>
      </c>
      <c r="J3411" s="1294" t="s">
        <v>1560</v>
      </c>
      <c r="K3411" s="1294" t="s">
        <v>1569</v>
      </c>
      <c r="L3411" s="4333" t="s">
        <v>3765</v>
      </c>
      <c r="M3411" s="4335" t="s">
        <v>1571</v>
      </c>
      <c r="N3411" s="4323" t="s">
        <v>1776</v>
      </c>
      <c r="O3411" s="4073" t="s">
        <v>1563</v>
      </c>
      <c r="P3411" s="1336" t="s">
        <v>1562</v>
      </c>
      <c r="Q3411" s="3389"/>
      <c r="R3411" s="1699" t="s">
        <v>1327</v>
      </c>
      <c r="S3411" s="17"/>
      <c r="T3411" s="17"/>
      <c r="U3411" s="16"/>
      <c r="V3411" s="16"/>
    </row>
    <row r="3412" spans="1:22">
      <c r="A3412" s="1971" t="s">
        <v>3574</v>
      </c>
      <c r="B3412" s="4326"/>
      <c r="C3412" s="4075"/>
      <c r="D3412" s="4328"/>
      <c r="E3412" s="4330"/>
      <c r="F3412" s="4336"/>
      <c r="G3412" s="4332"/>
      <c r="H3412" s="4332"/>
      <c r="I3412" s="1345">
        <v>15.98</v>
      </c>
      <c r="J3412" s="3815">
        <v>3.0000000000000001E-3</v>
      </c>
      <c r="K3412" s="1307">
        <f>I3412*J3412</f>
        <v>4.7940000000000003E-2</v>
      </c>
      <c r="L3412" s="4334"/>
      <c r="M3412" s="4335"/>
      <c r="N3412" s="4324"/>
      <c r="O3412" s="1298">
        <f>O3414+O3415+O3416+O3417+O3424+O3425+O3429</f>
        <v>67.751446099999995</v>
      </c>
      <c r="P3412" s="1337">
        <f>O3412*K3412</f>
        <v>3.2480043260340001</v>
      </c>
      <c r="Q3412" s="3390"/>
      <c r="R3412" s="1721">
        <f>P3414+P3415+P3416+P3417+P3424+P3425+P3429</f>
        <v>3.2480043260340001</v>
      </c>
      <c r="S3412" s="17"/>
      <c r="T3412" s="17"/>
      <c r="U3412" s="16"/>
      <c r="V3412" s="16"/>
    </row>
    <row r="3413" spans="1:22">
      <c r="A3413" s="22"/>
      <c r="B3413" s="551"/>
      <c r="C3413" s="18"/>
      <c r="D3413" s="1400"/>
      <c r="E3413" s="2121"/>
      <c r="F3413" s="1368" t="s">
        <v>1</v>
      </c>
      <c r="G3413" s="1417"/>
      <c r="H3413" s="1390"/>
      <c r="I3413" s="1554"/>
      <c r="J3413" s="1367"/>
      <c r="K3413" s="1367"/>
      <c r="L3413" s="1554"/>
      <c r="M3413" s="1369"/>
      <c r="N3413" s="1369"/>
      <c r="O3413" s="1369"/>
      <c r="P3413" s="1367"/>
      <c r="Q3413" s="3387"/>
      <c r="R3413" s="3795"/>
      <c r="S3413" s="17"/>
      <c r="T3413" s="17"/>
      <c r="U3413" s="16"/>
      <c r="V3413" s="16"/>
    </row>
    <row r="3414" spans="1:22">
      <c r="A3414" s="22"/>
      <c r="B3414" s="553"/>
      <c r="C3414" s="1042"/>
      <c r="D3414" s="1400" t="s">
        <v>1075</v>
      </c>
      <c r="E3414" s="1856" t="s">
        <v>1357</v>
      </c>
      <c r="F3414" s="1421" t="s">
        <v>1822</v>
      </c>
      <c r="G3414" s="1399">
        <v>1.25</v>
      </c>
      <c r="H3414" s="1400"/>
      <c r="I3414" s="27"/>
      <c r="J3414" s="10"/>
      <c r="K3414" s="1307">
        <f>G3414*$K$2967</f>
        <v>5.9925000000000006E-2</v>
      </c>
      <c r="L3414" s="1335">
        <f t="shared" ref="L3414:L3416" si="320">K3414*$K$2842</f>
        <v>0</v>
      </c>
      <c r="M3414" s="1499">
        <v>0.81</v>
      </c>
      <c r="N3414" s="1701"/>
      <c r="O3414" s="1290">
        <f>(G3414*M3414)</f>
        <v>1.0125000000000002</v>
      </c>
      <c r="P3414" s="1332">
        <f>M3414*K3414</f>
        <v>4.8539250000000006E-2</v>
      </c>
      <c r="Q3414" s="3391"/>
      <c r="R3414" s="3795"/>
      <c r="S3414" s="17"/>
      <c r="T3414" s="17"/>
      <c r="U3414" s="16"/>
      <c r="V3414" s="16"/>
    </row>
    <row r="3415" spans="1:22">
      <c r="A3415" s="22"/>
      <c r="B3415" s="553"/>
      <c r="C3415" s="1042"/>
      <c r="D3415" s="1400" t="s">
        <v>1817</v>
      </c>
      <c r="E3415" s="1856" t="s">
        <v>1521</v>
      </c>
      <c r="F3415" s="1421" t="s">
        <v>1785</v>
      </c>
      <c r="G3415" s="1399">
        <v>1.2E-2</v>
      </c>
      <c r="H3415" s="1400"/>
      <c r="I3415" s="27"/>
      <c r="J3415" s="10"/>
      <c r="K3415" s="1307">
        <f t="shared" ref="K3415:K3416" si="321">G3415*$K$2967</f>
        <v>5.7528000000000006E-4</v>
      </c>
      <c r="L3415" s="1335">
        <f t="shared" si="320"/>
        <v>0</v>
      </c>
      <c r="M3415" s="1499">
        <v>236.83</v>
      </c>
      <c r="N3415" s="1701"/>
      <c r="O3415" s="1290">
        <f>(G3415*M3415)</f>
        <v>2.8419600000000003</v>
      </c>
      <c r="P3415" s="1332">
        <f>M3415*K3415</f>
        <v>0.13624356240000002</v>
      </c>
      <c r="Q3415" s="3391"/>
      <c r="R3415" s="3795"/>
      <c r="S3415" s="17"/>
      <c r="T3415" s="17"/>
      <c r="U3415" s="16"/>
      <c r="V3415" s="16"/>
    </row>
    <row r="3416" spans="1:22">
      <c r="A3416" s="22"/>
      <c r="B3416" s="553"/>
      <c r="C3416" s="1042"/>
      <c r="D3416" s="1400" t="s">
        <v>1786</v>
      </c>
      <c r="E3416" s="1856" t="s">
        <v>1787</v>
      </c>
      <c r="F3416" s="1421" t="s">
        <v>1788</v>
      </c>
      <c r="G3416" s="1399">
        <v>0.45</v>
      </c>
      <c r="H3416" s="1400"/>
      <c r="I3416" s="1760"/>
      <c r="J3416" s="198"/>
      <c r="K3416" s="1307">
        <f t="shared" si="321"/>
        <v>2.1573000000000002E-2</v>
      </c>
      <c r="L3416" s="1335">
        <f t="shared" si="320"/>
        <v>0</v>
      </c>
      <c r="M3416" s="1499">
        <v>1.54</v>
      </c>
      <c r="N3416" s="1701"/>
      <c r="O3416" s="1290">
        <f>(G3416*M3416)</f>
        <v>0.69300000000000006</v>
      </c>
      <c r="P3416" s="1332">
        <f>M3416*K3416</f>
        <v>3.3222420000000003E-2</v>
      </c>
      <c r="Q3416" s="3391"/>
      <c r="R3416" s="3795"/>
      <c r="S3416" s="17"/>
      <c r="T3416" s="17"/>
      <c r="U3416" s="16"/>
      <c r="V3416" s="16"/>
    </row>
    <row r="3417" spans="1:22">
      <c r="A3417" s="22"/>
      <c r="B3417" s="553"/>
      <c r="C3417" s="1356" t="s">
        <v>1790</v>
      </c>
      <c r="D3417" s="1311"/>
      <c r="E3417" s="2137" t="s">
        <v>1517</v>
      </c>
      <c r="F3417" s="1343" t="s">
        <v>1791</v>
      </c>
      <c r="G3417" s="1344"/>
      <c r="H3417" s="1344">
        <v>4.4999999999999998E-2</v>
      </c>
      <c r="I3417" s="1444"/>
      <c r="J3417" s="1388"/>
      <c r="K3417" s="1445"/>
      <c r="L3417" s="1457"/>
      <c r="M3417" s="1446"/>
      <c r="N3417" s="1447">
        <f>SUM(N3418:N3422)</f>
        <v>76.906580000000005</v>
      </c>
      <c r="O3417" s="1447">
        <f>SUM(O3418:O3422)</f>
        <v>3.4607960999999996</v>
      </c>
      <c r="P3417" s="1447">
        <f>SUM(P3418:P3422)</f>
        <v>0.16591056503400001</v>
      </c>
      <c r="Q3417" s="3391"/>
      <c r="R3417" s="3795"/>
      <c r="S3417" s="17"/>
      <c r="T3417" s="17"/>
      <c r="U3417" s="16"/>
      <c r="V3417" s="16"/>
    </row>
    <row r="3418" spans="1:22">
      <c r="A3418" s="22"/>
      <c r="B3418" s="553"/>
      <c r="C3418" s="1327"/>
      <c r="D3418" s="1756" t="s">
        <v>1069</v>
      </c>
      <c r="E3418" s="1852" t="s">
        <v>1517</v>
      </c>
      <c r="F3418" s="1784" t="s">
        <v>1578</v>
      </c>
      <c r="G3418" s="1399">
        <v>0.2</v>
      </c>
      <c r="H3418" s="1399">
        <f>G3418*$H$2972</f>
        <v>8.9999999999999993E-3</v>
      </c>
      <c r="I3418" s="197"/>
      <c r="J3418" s="198"/>
      <c r="K3418" s="1732">
        <f>H3418*$K$2967</f>
        <v>4.3145999999999999E-4</v>
      </c>
      <c r="L3418" s="1335">
        <f t="shared" ref="L3418:L3422" si="322">K3418*$K$2842</f>
        <v>0</v>
      </c>
      <c r="M3418" s="1499">
        <v>0.55000000000000004</v>
      </c>
      <c r="N3418" s="1718">
        <f>G3418*M3418</f>
        <v>0.11000000000000001</v>
      </c>
      <c r="O3418" s="1719">
        <f>H3418*M3418</f>
        <v>4.9500000000000004E-3</v>
      </c>
      <c r="P3418" s="1720">
        <f>M3418*K3418</f>
        <v>2.3730300000000001E-4</v>
      </c>
      <c r="Q3418" s="3396"/>
      <c r="R3418" s="3795"/>
      <c r="S3418" s="17"/>
      <c r="T3418" s="17"/>
      <c r="U3418" s="16"/>
      <c r="V3418" s="16"/>
    </row>
    <row r="3419" spans="1:22">
      <c r="A3419" s="22"/>
      <c r="B3419" s="553"/>
      <c r="C3419" s="1320"/>
      <c r="D3419" s="1756" t="s">
        <v>1792</v>
      </c>
      <c r="E3419" s="1852" t="s">
        <v>1577</v>
      </c>
      <c r="F3419" s="1752" t="s">
        <v>1793</v>
      </c>
      <c r="G3419" s="1399">
        <v>0.25</v>
      </c>
      <c r="H3419" s="1399">
        <f t="shared" ref="H3419:H3422" si="323">G3419*$H$2972</f>
        <v>1.125E-2</v>
      </c>
      <c r="I3419" s="197"/>
      <c r="J3419" s="198"/>
      <c r="K3419" s="1732">
        <f>H3419*$K$2967</f>
        <v>5.39325E-4</v>
      </c>
      <c r="L3419" s="1335">
        <f t="shared" si="322"/>
        <v>0</v>
      </c>
      <c r="M3419" s="1499">
        <v>85.09</v>
      </c>
      <c r="N3419" s="1718">
        <f>G3419*M3419</f>
        <v>21.272500000000001</v>
      </c>
      <c r="O3419" s="1719">
        <f>H3419*M3419</f>
        <v>0.95726250000000002</v>
      </c>
      <c r="P3419" s="1720">
        <f>M3419*K3419</f>
        <v>4.5891164250000005E-2</v>
      </c>
      <c r="Q3419" s="3396"/>
      <c r="R3419" s="3795"/>
      <c r="S3419" s="17"/>
      <c r="T3419" s="17"/>
      <c r="U3419" s="16"/>
      <c r="V3419" s="16"/>
    </row>
    <row r="3420" spans="1:22">
      <c r="A3420" s="22"/>
      <c r="B3420" s="553"/>
      <c r="C3420" s="1320"/>
      <c r="D3420" s="1756" t="s">
        <v>1394</v>
      </c>
      <c r="E3420" s="1852" t="s">
        <v>1577</v>
      </c>
      <c r="F3420" s="1752" t="s">
        <v>1579</v>
      </c>
      <c r="G3420" s="1399">
        <v>0.25</v>
      </c>
      <c r="H3420" s="1399">
        <f t="shared" si="323"/>
        <v>1.125E-2</v>
      </c>
      <c r="I3420" s="197"/>
      <c r="J3420" s="198"/>
      <c r="K3420" s="1732">
        <f t="shared" ref="K3420:K3422" si="324">H3420*$K$2967</f>
        <v>5.39325E-4</v>
      </c>
      <c r="L3420" s="1335">
        <f t="shared" si="322"/>
        <v>0</v>
      </c>
      <c r="M3420" s="1499">
        <v>92.54</v>
      </c>
      <c r="N3420" s="1718">
        <f>G3420*M3420</f>
        <v>23.135000000000002</v>
      </c>
      <c r="O3420" s="1719">
        <f>H3420*M3420</f>
        <v>1.041075</v>
      </c>
      <c r="P3420" s="1720">
        <f>M3420*K3420</f>
        <v>4.9909135500000007E-2</v>
      </c>
      <c r="Q3420" s="3396"/>
      <c r="R3420" s="3795"/>
      <c r="S3420" s="17"/>
      <c r="T3420" s="17"/>
      <c r="U3420" s="16"/>
      <c r="V3420" s="16"/>
    </row>
    <row r="3421" spans="1:22">
      <c r="A3421" s="22"/>
      <c r="B3421" s="553"/>
      <c r="C3421" s="1320"/>
      <c r="D3421" s="1756" t="s">
        <v>1576</v>
      </c>
      <c r="E3421" s="1852" t="s">
        <v>1517</v>
      </c>
      <c r="F3421" s="1752" t="s">
        <v>1580</v>
      </c>
      <c r="G3421" s="1399">
        <v>1.5</v>
      </c>
      <c r="H3421" s="1399">
        <f t="shared" si="323"/>
        <v>6.7500000000000004E-2</v>
      </c>
      <c r="I3421" s="197"/>
      <c r="J3421" s="198"/>
      <c r="K3421" s="1732">
        <f t="shared" si="324"/>
        <v>3.2359500000000005E-3</v>
      </c>
      <c r="L3421" s="1335">
        <f t="shared" si="322"/>
        <v>0</v>
      </c>
      <c r="M3421" s="1499">
        <v>6.53</v>
      </c>
      <c r="N3421" s="1718">
        <f>G3421*M3421</f>
        <v>9.7949999999999999</v>
      </c>
      <c r="O3421" s="1719">
        <f>H3421*M3421</f>
        <v>0.44077500000000003</v>
      </c>
      <c r="P3421" s="1720">
        <f>M3421*K3421</f>
        <v>2.1130753500000005E-2</v>
      </c>
      <c r="Q3421" s="3396"/>
      <c r="R3421" s="3795"/>
      <c r="S3421" s="17"/>
      <c r="T3421" s="17"/>
      <c r="U3421" s="16"/>
      <c r="V3421" s="16"/>
    </row>
    <row r="3422" spans="1:22">
      <c r="A3422" s="22"/>
      <c r="B3422" s="553"/>
      <c r="C3422" s="1320"/>
      <c r="D3422" s="1757" t="s">
        <v>1067</v>
      </c>
      <c r="E3422" s="1853" t="s">
        <v>1508</v>
      </c>
      <c r="F3422" s="1754" t="s">
        <v>1512</v>
      </c>
      <c r="G3422" s="1408">
        <v>1.236</v>
      </c>
      <c r="H3422" s="1408">
        <f t="shared" si="323"/>
        <v>5.5619999999999996E-2</v>
      </c>
      <c r="I3422" s="197"/>
      <c r="J3422" s="198"/>
      <c r="K3422" s="1732">
        <f t="shared" si="324"/>
        <v>2.6664228000000002E-3</v>
      </c>
      <c r="L3422" s="1335">
        <f t="shared" si="322"/>
        <v>0</v>
      </c>
      <c r="M3422" s="1499">
        <v>18.28</v>
      </c>
      <c r="N3422" s="1718">
        <f>G3422*M3422</f>
        <v>22.594080000000002</v>
      </c>
      <c r="O3422" s="1719">
        <f>H3422*M3422</f>
        <v>1.0167336</v>
      </c>
      <c r="P3422" s="1720">
        <f>M3422*K3422</f>
        <v>4.8742208784000006E-2</v>
      </c>
      <c r="Q3422" s="3396"/>
      <c r="R3422" s="3795"/>
      <c r="S3422" s="17"/>
      <c r="T3422" s="17"/>
      <c r="U3422" s="16"/>
      <c r="V3422" s="16"/>
    </row>
    <row r="3423" spans="1:22">
      <c r="A3423" s="22"/>
      <c r="B3423" s="553"/>
      <c r="C3423" s="1042"/>
      <c r="D3423" s="1410"/>
      <c r="E3423" s="1858"/>
      <c r="F3423" s="1360" t="s">
        <v>2</v>
      </c>
      <c r="G3423" s="1360"/>
      <c r="H3423" s="1362"/>
      <c r="I3423" s="1380"/>
      <c r="J3423" s="1381"/>
      <c r="K3423" s="1359"/>
      <c r="L3423" s="1458"/>
      <c r="M3423" s="1502"/>
      <c r="N3423" s="1502"/>
      <c r="O3423" s="1362"/>
      <c r="P3423" s="1359"/>
      <c r="Q3423" s="3387"/>
      <c r="R3423" s="3795"/>
      <c r="S3423" s="17"/>
      <c r="T3423" s="17"/>
      <c r="U3423" s="16"/>
      <c r="V3423" s="16"/>
    </row>
    <row r="3424" spans="1:22">
      <c r="A3424" s="22"/>
      <c r="B3424" s="553"/>
      <c r="C3424" s="1042"/>
      <c r="D3424" s="1655" t="s">
        <v>1806</v>
      </c>
      <c r="E3424" s="1857" t="s">
        <v>1508</v>
      </c>
      <c r="F3424" s="1403" t="s">
        <v>1818</v>
      </c>
      <c r="G3424" s="1365">
        <v>1.5129999999999999</v>
      </c>
      <c r="H3424" s="1365"/>
      <c r="I3424" s="198"/>
      <c r="J3424" s="6"/>
      <c r="K3424" s="1732">
        <f>G3424*$K$2967</f>
        <v>7.2533219999999995E-2</v>
      </c>
      <c r="L3424" s="1335">
        <f t="shared" ref="L3424:L3425" si="325">K3424*$K$2842</f>
        <v>0</v>
      </c>
      <c r="M3424" s="1499">
        <v>19.23</v>
      </c>
      <c r="N3424" s="1701"/>
      <c r="O3424" s="1290">
        <f>(G3424*M3424)</f>
        <v>29.094989999999999</v>
      </c>
      <c r="P3424" s="1332">
        <f>M3424*K3424</f>
        <v>1.3948138206</v>
      </c>
      <c r="Q3424" s="3391"/>
      <c r="R3424" s="3795"/>
      <c r="S3424" s="17"/>
      <c r="T3424" s="17"/>
      <c r="U3424" s="16"/>
      <c r="V3424" s="16"/>
    </row>
    <row r="3425" spans="1:22">
      <c r="A3425" s="22"/>
      <c r="B3425" s="553"/>
      <c r="C3425" s="1042"/>
      <c r="D3425" s="1364" t="s">
        <v>1067</v>
      </c>
      <c r="E3425" s="2148" t="s">
        <v>1508</v>
      </c>
      <c r="F3425" s="1473" t="s">
        <v>1512</v>
      </c>
      <c r="G3425" s="1365">
        <v>0.81499999999999995</v>
      </c>
      <c r="H3425" s="1365"/>
      <c r="I3425" s="198"/>
      <c r="J3425" s="6"/>
      <c r="K3425" s="1732">
        <f>G3425*$K$2967</f>
        <v>3.9071099999999997E-2</v>
      </c>
      <c r="L3425" s="1335">
        <f t="shared" si="325"/>
        <v>0</v>
      </c>
      <c r="M3425" s="1499">
        <v>18.28</v>
      </c>
      <c r="N3425" s="1701"/>
      <c r="O3425" s="1290">
        <f>(G3425*M3425)</f>
        <v>14.898199999999999</v>
      </c>
      <c r="P3425" s="1332">
        <f>M3425*K3425</f>
        <v>0.71421970800000001</v>
      </c>
      <c r="Q3425" s="3391"/>
      <c r="R3425" s="3795"/>
      <c r="S3425" s="17"/>
      <c r="T3425" s="17"/>
      <c r="U3425" s="16"/>
      <c r="V3425" s="16"/>
    </row>
    <row r="3426" spans="1:22">
      <c r="A3426" s="22"/>
      <c r="B3426" s="553"/>
      <c r="C3426" s="1042"/>
      <c r="D3426" s="1623"/>
      <c r="E3426" s="2158"/>
      <c r="F3426" s="1801"/>
      <c r="G3426" s="1359"/>
      <c r="H3426" s="1803"/>
      <c r="I3426" s="198"/>
      <c r="J3426" s="6"/>
      <c r="K3426" s="1307"/>
      <c r="L3426" s="1335"/>
      <c r="M3426" s="1499"/>
      <c r="N3426" s="1701"/>
      <c r="O3426" s="1290"/>
      <c r="P3426" s="1332"/>
      <c r="Q3426" s="3391"/>
      <c r="R3426" s="3795"/>
      <c r="S3426" s="17"/>
      <c r="T3426" s="17"/>
      <c r="U3426" s="16"/>
      <c r="V3426" s="16"/>
    </row>
    <row r="3427" spans="1:22">
      <c r="A3427" s="22"/>
      <c r="B3427" s="553"/>
      <c r="C3427" s="1042"/>
      <c r="D3427" s="1623"/>
      <c r="E3427" s="2158"/>
      <c r="F3427" s="1801"/>
      <c r="G3427" s="1359"/>
      <c r="H3427" s="1803"/>
      <c r="I3427" s="198"/>
      <c r="J3427" s="6"/>
      <c r="K3427" s="1307"/>
      <c r="L3427" s="1335"/>
      <c r="M3427" s="1499"/>
      <c r="N3427" s="1701"/>
      <c r="O3427" s="1290"/>
      <c r="P3427" s="1332"/>
      <c r="Q3427" s="3391"/>
      <c r="R3427" s="3795"/>
      <c r="S3427" s="17"/>
      <c r="T3427" s="17"/>
      <c r="U3427" s="16"/>
      <c r="V3427" s="16"/>
    </row>
    <row r="3428" spans="1:22">
      <c r="A3428" s="22"/>
      <c r="B3428" s="553"/>
      <c r="C3428" s="1042"/>
      <c r="D3428" s="1411"/>
      <c r="E3428" s="2123"/>
      <c r="F3428" s="1802" t="s">
        <v>3</v>
      </c>
      <c r="G3428" s="1475"/>
      <c r="H3428" s="1505"/>
      <c r="I3428" s="1382"/>
      <c r="J3428" s="1383"/>
      <c r="K3428" s="1373"/>
      <c r="L3428" s="1413"/>
      <c r="M3428" s="1505"/>
      <c r="N3428" s="1505"/>
      <c r="O3428" s="1376"/>
      <c r="P3428" s="1413"/>
      <c r="Q3428" s="3387"/>
      <c r="R3428" s="3795"/>
      <c r="S3428" s="17"/>
      <c r="T3428" s="17"/>
      <c r="U3428" s="16"/>
      <c r="V3428" s="16"/>
    </row>
    <row r="3429" spans="1:22">
      <c r="A3429" s="22"/>
      <c r="B3429" s="553"/>
      <c r="C3429" s="1042"/>
      <c r="D3429" s="1411" t="s">
        <v>1686</v>
      </c>
      <c r="E3429" s="2123" t="s">
        <v>1803</v>
      </c>
      <c r="F3429" s="1837" t="s">
        <v>1688</v>
      </c>
      <c r="G3429" s="1376">
        <v>2.1</v>
      </c>
      <c r="H3429" s="1376"/>
      <c r="I3429" s="198"/>
      <c r="J3429" s="6"/>
      <c r="K3429" s="1732">
        <f>G3429*$K$2967</f>
        <v>0.10067400000000001</v>
      </c>
      <c r="L3429" s="1335">
        <f>K3429*$K$2842</f>
        <v>0</v>
      </c>
      <c r="M3429" s="1499">
        <v>7.5</v>
      </c>
      <c r="N3429" s="1701"/>
      <c r="O3429" s="1290">
        <f>(G3429*M3429)</f>
        <v>15.75</v>
      </c>
      <c r="P3429" s="1332">
        <f>M3429*K3429</f>
        <v>0.75505500000000014</v>
      </c>
      <c r="Q3429" s="3391"/>
      <c r="R3429" s="3795"/>
      <c r="S3429" s="17"/>
      <c r="T3429" s="17"/>
      <c r="U3429" s="16"/>
      <c r="V3429" s="16"/>
    </row>
    <row r="3430" spans="1:22">
      <c r="A3430" s="22"/>
      <c r="B3430" s="553"/>
      <c r="C3430" s="1042"/>
      <c r="D3430" s="1411"/>
      <c r="E3430" s="2123"/>
      <c r="F3430" s="1475"/>
      <c r="G3430" s="1475"/>
      <c r="H3430" s="1376"/>
      <c r="I3430" s="198"/>
      <c r="J3430" s="6"/>
      <c r="K3430" s="1307"/>
      <c r="L3430" s="1335"/>
      <c r="M3430" s="1499"/>
      <c r="N3430" s="1701"/>
      <c r="O3430" s="1290"/>
      <c r="P3430" s="1332"/>
      <c r="Q3430" s="3391"/>
      <c r="R3430" s="3795"/>
      <c r="S3430" s="17"/>
      <c r="T3430" s="17"/>
      <c r="U3430" s="16"/>
      <c r="V3430" s="16"/>
    </row>
    <row r="3431" spans="1:22">
      <c r="A3431" s="22"/>
      <c r="B3431" s="554"/>
      <c r="C3431" s="223"/>
      <c r="D3431" s="1808"/>
      <c r="E3431" s="2132"/>
      <c r="F3431" s="1804"/>
      <c r="G3431" s="1804"/>
      <c r="H3431" s="1805"/>
      <c r="I3431" s="197"/>
      <c r="J3431" s="1806"/>
      <c r="K3431" s="1307"/>
      <c r="L3431" s="1335"/>
      <c r="M3431" s="1701"/>
      <c r="N3431" s="1701"/>
      <c r="O3431" s="1290"/>
      <c r="P3431" s="1333"/>
      <c r="Q3431" s="3391"/>
      <c r="R3431" s="3795"/>
      <c r="S3431" s="17"/>
      <c r="T3431" s="17"/>
      <c r="U3431" s="16"/>
      <c r="V3431" s="16"/>
    </row>
    <row r="3432" spans="1:22" ht="15" customHeight="1">
      <c r="A3432" s="16" t="s">
        <v>3764</v>
      </c>
      <c r="B3432" s="4325" t="s">
        <v>1736</v>
      </c>
      <c r="C3432" s="4074"/>
      <c r="D3432" s="4327"/>
      <c r="E3432" s="4329" t="s">
        <v>1527</v>
      </c>
      <c r="F3432" s="4336" t="s">
        <v>3826</v>
      </c>
      <c r="G3432" s="4331" t="s">
        <v>1568</v>
      </c>
      <c r="H3432" s="4331" t="s">
        <v>1574</v>
      </c>
      <c r="I3432" s="1572" t="s">
        <v>1559</v>
      </c>
      <c r="J3432" s="1294" t="s">
        <v>1560</v>
      </c>
      <c r="K3432" s="1294" t="s">
        <v>1561</v>
      </c>
      <c r="L3432" s="4333" t="s">
        <v>3765</v>
      </c>
      <c r="M3432" s="4335" t="s">
        <v>1571</v>
      </c>
      <c r="N3432" s="4323" t="s">
        <v>1776</v>
      </c>
      <c r="O3432" s="4073" t="s">
        <v>1563</v>
      </c>
      <c r="P3432" s="1336" t="s">
        <v>1562</v>
      </c>
      <c r="Q3432" s="3389"/>
      <c r="R3432" s="1699" t="s">
        <v>1327</v>
      </c>
      <c r="S3432" s="17"/>
      <c r="T3432" s="17"/>
      <c r="U3432" s="16"/>
      <c r="V3432" s="16"/>
    </row>
    <row r="3433" spans="1:22">
      <c r="A3433" s="1971" t="s">
        <v>3574</v>
      </c>
      <c r="B3433" s="4326"/>
      <c r="C3433" s="4075"/>
      <c r="D3433" s="4328"/>
      <c r="E3433" s="4330"/>
      <c r="F3433" s="4336"/>
      <c r="G3433" s="4332"/>
      <c r="H3433" s="4332"/>
      <c r="I3433" s="4079">
        <v>237.01</v>
      </c>
      <c r="J3433" s="3815">
        <v>3.0000000000000001E-3</v>
      </c>
      <c r="K3433" s="1307">
        <f>I3433*J3433</f>
        <v>0.71102999999999994</v>
      </c>
      <c r="L3433" s="4334"/>
      <c r="M3433" s="4335"/>
      <c r="N3433" s="4324"/>
      <c r="O3433" s="1298">
        <f>O3435+O3436+O3437+O3441+O3445+O3453</f>
        <v>29.094884700000001</v>
      </c>
      <c r="P3433" s="1337">
        <f>O3433*K3433</f>
        <v>20.687335868241</v>
      </c>
      <c r="Q3433" s="3390"/>
      <c r="R3433" s="1721">
        <f>P3435+P3436+P3437+P3441+P3445+P3453</f>
        <v>20.687335868241</v>
      </c>
      <c r="S3433" s="17"/>
      <c r="T3433" s="17"/>
      <c r="U3433" s="16"/>
      <c r="V3433" s="16"/>
    </row>
    <row r="3434" spans="1:22">
      <c r="A3434" s="1320"/>
      <c r="B3434" s="22"/>
      <c r="C3434" s="18"/>
      <c r="D3434" s="1400"/>
      <c r="E3434" s="2121"/>
      <c r="F3434" s="1368" t="s">
        <v>1</v>
      </c>
      <c r="G3434" s="1368"/>
      <c r="H3434" s="1369"/>
      <c r="I3434" s="1391"/>
      <c r="J3434" s="1369"/>
      <c r="K3434" s="1367"/>
      <c r="L3434" s="1554"/>
      <c r="M3434" s="1369"/>
      <c r="N3434" s="1369"/>
      <c r="O3434" s="1369"/>
      <c r="P3434" s="1367"/>
      <c r="Q3434" s="3387"/>
      <c r="R3434" s="2344"/>
      <c r="S3434" s="17"/>
      <c r="T3434" s="17"/>
      <c r="U3434" s="16"/>
      <c r="V3434" s="16"/>
    </row>
    <row r="3435" spans="1:22">
      <c r="A3435" s="1320"/>
      <c r="B3435" s="22"/>
      <c r="C3435" s="1042"/>
      <c r="D3435" s="1767" t="s">
        <v>1784</v>
      </c>
      <c r="E3435" s="1849" t="s">
        <v>1521</v>
      </c>
      <c r="F3435" s="1654" t="s">
        <v>1785</v>
      </c>
      <c r="G3435" s="1567">
        <v>1E-3</v>
      </c>
      <c r="H3435" s="1567"/>
      <c r="I3435" s="1286"/>
      <c r="J3435" s="198"/>
      <c r="K3435" s="1307">
        <f>G3435*$K$2988</f>
        <v>7.1102999999999997E-4</v>
      </c>
      <c r="L3435" s="1335">
        <f t="shared" ref="L3435:L3436" si="326">K3435*$K$2842</f>
        <v>0</v>
      </c>
      <c r="M3435" s="1499">
        <v>236.83</v>
      </c>
      <c r="N3435" s="1700"/>
      <c r="O3435" s="1290">
        <f>G3435*M3435</f>
        <v>0.23683000000000001</v>
      </c>
      <c r="P3435" s="1332">
        <f>M3435*K3435</f>
        <v>0.16839323489999999</v>
      </c>
      <c r="Q3435" s="3391"/>
      <c r="R3435" s="2337"/>
      <c r="S3435" s="17"/>
      <c r="T3435" s="17"/>
      <c r="U3435" s="16"/>
      <c r="V3435" s="16"/>
    </row>
    <row r="3436" spans="1:22">
      <c r="A3436" s="1320"/>
      <c r="B3436" s="22"/>
      <c r="C3436" s="1042"/>
      <c r="D3436" s="1769" t="s">
        <v>1786</v>
      </c>
      <c r="E3436" s="1850" t="s">
        <v>1787</v>
      </c>
      <c r="F3436" s="1770" t="s">
        <v>1788</v>
      </c>
      <c r="G3436" s="1771">
        <v>1.1000000000000001</v>
      </c>
      <c r="H3436" s="1771"/>
      <c r="I3436" s="1286"/>
      <c r="J3436" s="198"/>
      <c r="K3436" s="1307">
        <f>G3436*$K$2988</f>
        <v>0.78213299999999997</v>
      </c>
      <c r="L3436" s="1335">
        <f t="shared" si="326"/>
        <v>0</v>
      </c>
      <c r="M3436" s="1302">
        <v>1.53</v>
      </c>
      <c r="N3436" s="1700"/>
      <c r="O3436" s="1290">
        <f>G3436*M3436</f>
        <v>1.6830000000000003</v>
      </c>
      <c r="P3436" s="1332">
        <f>M3436*K3436</f>
        <v>1.1966634899999999</v>
      </c>
      <c r="Q3436" s="3391"/>
      <c r="R3436" s="2337"/>
      <c r="S3436" s="17"/>
      <c r="T3436" s="17"/>
      <c r="U3436" s="16"/>
      <c r="V3436" s="16"/>
    </row>
    <row r="3437" spans="1:22">
      <c r="A3437" s="1320"/>
      <c r="B3437" s="22"/>
      <c r="C3437" s="1356" t="s">
        <v>1128</v>
      </c>
      <c r="D3437" s="1585"/>
      <c r="E3437" s="1851" t="s">
        <v>1517</v>
      </c>
      <c r="F3437" s="1774" t="s">
        <v>1695</v>
      </c>
      <c r="G3437" s="1776"/>
      <c r="H3437" s="1776">
        <v>1.2E-2</v>
      </c>
      <c r="I3437" s="1388"/>
      <c r="J3437" s="1366"/>
      <c r="K3437" s="1510"/>
      <c r="L3437" s="1445"/>
      <c r="M3437" s="1447"/>
      <c r="N3437" s="1447">
        <f>SUM(N3438:N3440)</f>
        <v>104.27969999999999</v>
      </c>
      <c r="O3437" s="1447">
        <f>SUM(O3438:O3440)</f>
        <v>1.2513564000000001</v>
      </c>
      <c r="P3437" s="1446">
        <f>SUM(P3438:P3440)</f>
        <v>0.88975194109200006</v>
      </c>
      <c r="Q3437" s="3391"/>
      <c r="R3437" s="2337"/>
      <c r="S3437" s="17"/>
      <c r="T3437" s="17"/>
      <c r="U3437" s="16"/>
      <c r="V3437" s="16"/>
    </row>
    <row r="3438" spans="1:22">
      <c r="A3438" s="1320"/>
      <c r="B3438" s="22"/>
      <c r="C3438" s="1042"/>
      <c r="D3438" s="1752" t="s">
        <v>1779</v>
      </c>
      <c r="E3438" s="1852" t="s">
        <v>1577</v>
      </c>
      <c r="F3438" s="1752" t="s">
        <v>1780</v>
      </c>
      <c r="G3438" s="1775">
        <v>0.876</v>
      </c>
      <c r="H3438" s="1453">
        <f>$H$2992*G3438</f>
        <v>1.0512000000000001E-2</v>
      </c>
      <c r="I3438" s="197"/>
      <c r="J3438" s="198"/>
      <c r="K3438" s="1307">
        <f>H3438*$K$2988</f>
        <v>7.4743473599999995E-3</v>
      </c>
      <c r="L3438" s="1335">
        <f t="shared" ref="L3438:L3440" si="327">K3438*$K$2842</f>
        <v>0</v>
      </c>
      <c r="M3438" s="1759">
        <v>56.05</v>
      </c>
      <c r="N3438" s="1718">
        <f>G3438*M3438</f>
        <v>49.099799999999995</v>
      </c>
      <c r="O3438" s="1719">
        <f>H3438*M3438</f>
        <v>0.58919759999999999</v>
      </c>
      <c r="P3438" s="1720">
        <f>M3438*K3438</f>
        <v>0.41893716952799998</v>
      </c>
      <c r="Q3438" s="3396"/>
      <c r="R3438" s="2337"/>
      <c r="S3438" s="17"/>
      <c r="T3438" s="17"/>
      <c r="U3438" s="16"/>
      <c r="V3438" s="16"/>
    </row>
    <row r="3439" spans="1:22">
      <c r="A3439" s="1320"/>
      <c r="B3439" s="22"/>
      <c r="C3439" s="1042"/>
      <c r="D3439" s="1752" t="s">
        <v>1069</v>
      </c>
      <c r="E3439" s="1852" t="s">
        <v>1517</v>
      </c>
      <c r="F3439" s="1752" t="s">
        <v>1578</v>
      </c>
      <c r="G3439" s="1753">
        <v>0.61799999999999999</v>
      </c>
      <c r="H3439" s="1453">
        <f t="shared" ref="H3439:H3440" si="328">$H$2992*G3439</f>
        <v>7.4159999999999998E-3</v>
      </c>
      <c r="I3439" s="27"/>
      <c r="J3439" s="10"/>
      <c r="K3439" s="1307">
        <f t="shared" ref="K3439:K3440" si="329">H3439*$K$2988</f>
        <v>5.272998479999999E-3</v>
      </c>
      <c r="L3439" s="1335">
        <f t="shared" si="327"/>
        <v>0</v>
      </c>
      <c r="M3439" s="1759">
        <v>0.55000000000000004</v>
      </c>
      <c r="N3439" s="1718">
        <f>G3439*M3439</f>
        <v>0.33990000000000004</v>
      </c>
      <c r="O3439" s="1719">
        <f>H3439*M3439</f>
        <v>4.0788000000000005E-3</v>
      </c>
      <c r="P3439" s="1720">
        <f>M3439*K3439</f>
        <v>2.9001491639999996E-3</v>
      </c>
      <c r="Q3439" s="3396"/>
      <c r="R3439" s="2337"/>
      <c r="S3439" s="17"/>
      <c r="T3439" s="17"/>
      <c r="U3439" s="16"/>
      <c r="V3439" s="16"/>
    </row>
    <row r="3440" spans="1:22">
      <c r="A3440" s="1320"/>
      <c r="B3440" s="22"/>
      <c r="C3440" s="1042"/>
      <c r="D3440" s="1754" t="s">
        <v>1067</v>
      </c>
      <c r="E3440" s="1853" t="s">
        <v>1508</v>
      </c>
      <c r="F3440" s="1754" t="s">
        <v>1512</v>
      </c>
      <c r="G3440" s="1755">
        <v>3</v>
      </c>
      <c r="H3440" s="1454">
        <f t="shared" si="328"/>
        <v>3.6000000000000004E-2</v>
      </c>
      <c r="I3440" s="198"/>
      <c r="J3440" s="198"/>
      <c r="K3440" s="1307">
        <f t="shared" si="329"/>
        <v>2.5597080000000001E-2</v>
      </c>
      <c r="L3440" s="1335">
        <f t="shared" si="327"/>
        <v>0</v>
      </c>
      <c r="M3440" s="1759">
        <v>18.28</v>
      </c>
      <c r="N3440" s="1718">
        <f>G3440*M3440</f>
        <v>54.84</v>
      </c>
      <c r="O3440" s="1719">
        <f>H3440*M3440</f>
        <v>0.65808000000000011</v>
      </c>
      <c r="P3440" s="1720">
        <f>M3440*K3440</f>
        <v>0.46791462240000004</v>
      </c>
      <c r="Q3440" s="3396"/>
      <c r="R3440" s="2337"/>
      <c r="S3440" s="17"/>
      <c r="T3440" s="17"/>
      <c r="U3440" s="16"/>
      <c r="V3440" s="16"/>
    </row>
    <row r="3441" spans="1:22">
      <c r="A3441" s="1320"/>
      <c r="B3441" s="22"/>
      <c r="C3441" s="1356" t="s">
        <v>1152</v>
      </c>
      <c r="D3441" s="1311"/>
      <c r="E3441" s="1854" t="s">
        <v>1517</v>
      </c>
      <c r="F3441" s="1749" t="s">
        <v>1696</v>
      </c>
      <c r="G3441" s="1776"/>
      <c r="H3441" s="1688">
        <v>5.0000000000000001E-3</v>
      </c>
      <c r="I3441" s="1388"/>
      <c r="J3441" s="1388"/>
      <c r="K3441" s="1510"/>
      <c r="L3441" s="1445"/>
      <c r="M3441" s="1447"/>
      <c r="N3441" s="1447">
        <f>SUM(N3442:N3444)</f>
        <v>108.04650000000001</v>
      </c>
      <c r="O3441" s="1447">
        <f>SUM(O3442:O3444)</f>
        <v>0.54023250000000012</v>
      </c>
      <c r="P3441" s="1446">
        <f>SUM(P3442:P3444)</f>
        <v>0.38412151447499998</v>
      </c>
      <c r="Q3441" s="3391"/>
      <c r="R3441" s="2337"/>
      <c r="S3441" s="17"/>
      <c r="T3441" s="17"/>
      <c r="U3441" s="16"/>
      <c r="V3441" s="16"/>
    </row>
    <row r="3442" spans="1:22">
      <c r="A3442" s="1320"/>
      <c r="B3442" s="22"/>
      <c r="C3442" s="18"/>
      <c r="D3442" s="1756" t="s">
        <v>1781</v>
      </c>
      <c r="E3442" s="1852" t="s">
        <v>1577</v>
      </c>
      <c r="F3442" s="1752" t="s">
        <v>1782</v>
      </c>
      <c r="G3442" s="1753">
        <v>0.876</v>
      </c>
      <c r="H3442" s="1453">
        <f>$H$2996*G3442</f>
        <v>4.3800000000000002E-3</v>
      </c>
      <c r="I3442" s="198"/>
      <c r="J3442" s="198"/>
      <c r="K3442" s="1307">
        <f>H3442*$K$2988</f>
        <v>3.1143114E-3</v>
      </c>
      <c r="L3442" s="1335">
        <f t="shared" ref="L3442:L3444" si="330">K3442*$K$2842</f>
        <v>0</v>
      </c>
      <c r="M3442" s="1759">
        <v>60.35</v>
      </c>
      <c r="N3442" s="1718">
        <f>G3442*M3442</f>
        <v>52.866599999999998</v>
      </c>
      <c r="O3442" s="1719">
        <f>H3442*M3442</f>
        <v>0.26433300000000004</v>
      </c>
      <c r="P3442" s="1720">
        <f>M3442*K3442</f>
        <v>0.18794869299</v>
      </c>
      <c r="Q3442" s="3396"/>
      <c r="R3442" s="2337"/>
      <c r="S3442" s="17"/>
      <c r="T3442" s="17"/>
      <c r="U3442" s="16"/>
      <c r="V3442" s="16"/>
    </row>
    <row r="3443" spans="1:22">
      <c r="A3443" s="1320"/>
      <c r="B3443" s="22"/>
      <c r="C3443" s="1042"/>
      <c r="D3443" s="1756" t="s">
        <v>1069</v>
      </c>
      <c r="E3443" s="1852" t="s">
        <v>1517</v>
      </c>
      <c r="F3443" s="1752" t="s">
        <v>1578</v>
      </c>
      <c r="G3443" s="1753">
        <v>0.61799999999999999</v>
      </c>
      <c r="H3443" s="1453">
        <f t="shared" ref="H3443:H3444" si="331">$H$2996*G3443</f>
        <v>3.0899999999999999E-3</v>
      </c>
      <c r="I3443" s="197"/>
      <c r="J3443" s="198"/>
      <c r="K3443" s="1307">
        <f t="shared" ref="K3443:K3444" si="332">H3443*$K$2988</f>
        <v>2.1970826999999997E-3</v>
      </c>
      <c r="L3443" s="1335">
        <f t="shared" si="330"/>
        <v>0</v>
      </c>
      <c r="M3443" s="1759">
        <v>0.55000000000000004</v>
      </c>
      <c r="N3443" s="1718">
        <f>G3443*M3443</f>
        <v>0.33990000000000004</v>
      </c>
      <c r="O3443" s="1719">
        <f>H3443*M3443</f>
        <v>1.6995000000000001E-3</v>
      </c>
      <c r="P3443" s="1720">
        <f>M3443*K3443</f>
        <v>1.2083954849999999E-3</v>
      </c>
      <c r="Q3443" s="3396"/>
      <c r="R3443" s="2337"/>
      <c r="S3443" s="17"/>
      <c r="T3443" s="17"/>
      <c r="U3443" s="16"/>
      <c r="V3443" s="16"/>
    </row>
    <row r="3444" spans="1:22">
      <c r="A3444" s="1320"/>
      <c r="B3444" s="22"/>
      <c r="C3444" s="1042"/>
      <c r="D3444" s="1757" t="s">
        <v>1067</v>
      </c>
      <c r="E3444" s="1853" t="s">
        <v>1508</v>
      </c>
      <c r="F3444" s="1754" t="s">
        <v>1512</v>
      </c>
      <c r="G3444" s="1755">
        <v>3</v>
      </c>
      <c r="H3444" s="1454">
        <f t="shared" si="331"/>
        <v>1.4999999999999999E-2</v>
      </c>
      <c r="I3444" s="1289"/>
      <c r="J3444" s="198"/>
      <c r="K3444" s="1307">
        <f t="shared" si="332"/>
        <v>1.0665449999999998E-2</v>
      </c>
      <c r="L3444" s="1335">
        <f t="shared" si="330"/>
        <v>0</v>
      </c>
      <c r="M3444" s="1759">
        <v>18.28</v>
      </c>
      <c r="N3444" s="1718">
        <f>G3444*M3444</f>
        <v>54.84</v>
      </c>
      <c r="O3444" s="1719">
        <f>H3444*M3444</f>
        <v>0.2742</v>
      </c>
      <c r="P3444" s="1720">
        <f>M3444*K3444</f>
        <v>0.19496442599999997</v>
      </c>
      <c r="Q3444" s="3396"/>
      <c r="R3444" s="2338"/>
      <c r="S3444" s="17"/>
      <c r="T3444" s="17"/>
      <c r="U3444" s="16"/>
      <c r="V3444" s="16"/>
    </row>
    <row r="3445" spans="1:22">
      <c r="A3445" s="1320"/>
      <c r="B3445" s="22"/>
      <c r="C3445" s="1356" t="s">
        <v>1790</v>
      </c>
      <c r="D3445" s="1311"/>
      <c r="E3445" s="2137" t="s">
        <v>1517</v>
      </c>
      <c r="F3445" s="1319" t="s">
        <v>1791</v>
      </c>
      <c r="G3445" s="1776"/>
      <c r="H3445" s="1353">
        <v>0.01</v>
      </c>
      <c r="I3445" s="1444"/>
      <c r="J3445" s="1388"/>
      <c r="K3445" s="1445"/>
      <c r="L3445" s="1457"/>
      <c r="M3445" s="1446"/>
      <c r="N3445" s="1447">
        <f>SUM(N3446:N3450)</f>
        <v>76.906580000000005</v>
      </c>
      <c r="O3445" s="1447">
        <f>SUM(O3446:O3450)</f>
        <v>0.76906580000000013</v>
      </c>
      <c r="P3445" s="1447">
        <f>SUM(P3446:P3450)</f>
        <v>0.54682885577399998</v>
      </c>
      <c r="Q3445" s="3391"/>
      <c r="R3445" s="2338"/>
      <c r="S3445" s="17"/>
      <c r="T3445" s="17"/>
      <c r="U3445" s="16"/>
      <c r="V3445" s="16"/>
    </row>
    <row r="3446" spans="1:22">
      <c r="A3446" s="1320"/>
      <c r="B3446" s="22"/>
      <c r="C3446" s="1327"/>
      <c r="D3446" s="1752" t="s">
        <v>1069</v>
      </c>
      <c r="E3446" s="1852" t="s">
        <v>1517</v>
      </c>
      <c r="F3446" s="1752" t="s">
        <v>1578</v>
      </c>
      <c r="G3446" s="1753">
        <v>0.2</v>
      </c>
      <c r="H3446" s="1367">
        <f>$H$3000*G3446</f>
        <v>2E-3</v>
      </c>
      <c r="I3446" s="197"/>
      <c r="J3446" s="198"/>
      <c r="K3446" s="1307">
        <f>H3446*$K$2988</f>
        <v>1.4220599999999999E-3</v>
      </c>
      <c r="L3446" s="1335">
        <f t="shared" ref="L3446:L3450" si="333">K3446*$K$2842</f>
        <v>0</v>
      </c>
      <c r="M3446" s="1759">
        <v>0.55000000000000004</v>
      </c>
      <c r="N3446" s="1718">
        <f>G3446*M3446</f>
        <v>0.11000000000000001</v>
      </c>
      <c r="O3446" s="1719">
        <f>H3446*M3446</f>
        <v>1.1000000000000001E-3</v>
      </c>
      <c r="P3446" s="1720">
        <f>M3446*K3446</f>
        <v>7.8213300000000007E-4</v>
      </c>
      <c r="Q3446" s="3396"/>
      <c r="R3446" s="2338"/>
      <c r="S3446" s="17"/>
      <c r="T3446" s="17"/>
      <c r="U3446" s="16"/>
      <c r="V3446" s="16"/>
    </row>
    <row r="3447" spans="1:22">
      <c r="A3447" s="1320"/>
      <c r="B3447" s="22"/>
      <c r="C3447" s="1320"/>
      <c r="D3447" s="1752" t="s">
        <v>1792</v>
      </c>
      <c r="E3447" s="1852" t="s">
        <v>1577</v>
      </c>
      <c r="F3447" s="1752" t="s">
        <v>1793</v>
      </c>
      <c r="G3447" s="1753">
        <v>0.25</v>
      </c>
      <c r="H3447" s="1453">
        <f t="shared" ref="H3447:H3450" si="334">$H$3000*G3447</f>
        <v>2.5000000000000001E-3</v>
      </c>
      <c r="I3447" s="197"/>
      <c r="J3447" s="198"/>
      <c r="K3447" s="1307">
        <f t="shared" ref="K3447:K3450" si="335">H3447*$K$2988</f>
        <v>1.777575E-3</v>
      </c>
      <c r="L3447" s="1335">
        <f t="shared" si="333"/>
        <v>0</v>
      </c>
      <c r="M3447" s="1759">
        <v>85.09</v>
      </c>
      <c r="N3447" s="1718">
        <f>G3447*M3447</f>
        <v>21.272500000000001</v>
      </c>
      <c r="O3447" s="1719">
        <f>H3447*M3447</f>
        <v>0.21272500000000003</v>
      </c>
      <c r="P3447" s="1720">
        <f>M3447*K3447</f>
        <v>0.15125385675</v>
      </c>
      <c r="Q3447" s="3396"/>
      <c r="R3447" s="2338"/>
      <c r="S3447" s="17"/>
      <c r="T3447" s="17"/>
      <c r="U3447" s="16"/>
      <c r="V3447" s="16"/>
    </row>
    <row r="3448" spans="1:22">
      <c r="A3448" s="1320"/>
      <c r="B3448" s="22"/>
      <c r="C3448" s="1320"/>
      <c r="D3448" s="1752" t="s">
        <v>1394</v>
      </c>
      <c r="E3448" s="1852" t="s">
        <v>1577</v>
      </c>
      <c r="F3448" s="1752" t="s">
        <v>1579</v>
      </c>
      <c r="G3448" s="1753">
        <v>0.25</v>
      </c>
      <c r="H3448" s="1453">
        <f t="shared" si="334"/>
        <v>2.5000000000000001E-3</v>
      </c>
      <c r="I3448" s="197"/>
      <c r="J3448" s="198"/>
      <c r="K3448" s="1307">
        <f t="shared" si="335"/>
        <v>1.777575E-3</v>
      </c>
      <c r="L3448" s="1335">
        <f t="shared" si="333"/>
        <v>0</v>
      </c>
      <c r="M3448" s="1759">
        <v>92.54</v>
      </c>
      <c r="N3448" s="1718">
        <f>G3448*M3448</f>
        <v>23.135000000000002</v>
      </c>
      <c r="O3448" s="1719">
        <f>H3448*M3448</f>
        <v>0.23135000000000003</v>
      </c>
      <c r="P3448" s="1720">
        <f>M3448*K3448</f>
        <v>0.16449679050000002</v>
      </c>
      <c r="Q3448" s="3396"/>
      <c r="R3448" s="2343"/>
      <c r="S3448" s="17"/>
      <c r="T3448" s="17"/>
      <c r="U3448" s="16"/>
      <c r="V3448" s="16"/>
    </row>
    <row r="3449" spans="1:22">
      <c r="A3449" s="1320"/>
      <c r="B3449" s="22"/>
      <c r="C3449" s="1320"/>
      <c r="D3449" s="1752" t="s">
        <v>1576</v>
      </c>
      <c r="E3449" s="1852" t="s">
        <v>1517</v>
      </c>
      <c r="F3449" s="1752" t="s">
        <v>1580</v>
      </c>
      <c r="G3449" s="1753">
        <v>1.5</v>
      </c>
      <c r="H3449" s="1367">
        <f t="shared" si="334"/>
        <v>1.4999999999999999E-2</v>
      </c>
      <c r="I3449" s="197"/>
      <c r="J3449" s="198"/>
      <c r="K3449" s="1307">
        <f t="shared" si="335"/>
        <v>1.0665449999999998E-2</v>
      </c>
      <c r="L3449" s="1335">
        <f t="shared" si="333"/>
        <v>0</v>
      </c>
      <c r="M3449" s="1759">
        <v>6.53</v>
      </c>
      <c r="N3449" s="1718">
        <f>G3449*M3449</f>
        <v>9.7949999999999999</v>
      </c>
      <c r="O3449" s="1719">
        <f>H3449*M3449</f>
        <v>9.7949999999999995E-2</v>
      </c>
      <c r="P3449" s="1720">
        <f>M3449*K3449</f>
        <v>6.9645388499999988E-2</v>
      </c>
      <c r="Q3449" s="3396"/>
      <c r="R3449" s="2338"/>
      <c r="S3449" s="17"/>
      <c r="T3449" s="17"/>
      <c r="U3449" s="16"/>
      <c r="V3449" s="16"/>
    </row>
    <row r="3450" spans="1:22">
      <c r="A3450" s="1320"/>
      <c r="B3450" s="22"/>
      <c r="C3450" s="1320"/>
      <c r="D3450" s="1812" t="s">
        <v>1067</v>
      </c>
      <c r="E3450" s="2171" t="s">
        <v>1508</v>
      </c>
      <c r="F3450" s="1812" t="s">
        <v>1512</v>
      </c>
      <c r="G3450" s="1838">
        <v>1.236</v>
      </c>
      <c r="H3450" s="1454">
        <f t="shared" si="334"/>
        <v>1.2359999999999999E-2</v>
      </c>
      <c r="I3450" s="1289">
        <f ca="1">IF(COUNT(I3450:O3450)=0,"",(SUM(I3450:O3450)/COUNT(I3450:O3450)))</f>
        <v>8.2217793811748141</v>
      </c>
      <c r="J3450" s="1341"/>
      <c r="K3450" s="1307">
        <f t="shared" si="335"/>
        <v>8.788330799999999E-3</v>
      </c>
      <c r="L3450" s="1335">
        <f t="shared" si="333"/>
        <v>0</v>
      </c>
      <c r="M3450" s="1759">
        <v>18.28</v>
      </c>
      <c r="N3450" s="1718">
        <f>G3450*M3450</f>
        <v>22.594080000000002</v>
      </c>
      <c r="O3450" s="1719">
        <f>H3450*M3450</f>
        <v>0.2259408</v>
      </c>
      <c r="P3450" s="1720">
        <f>M3450*K3450</f>
        <v>0.16065068702399998</v>
      </c>
      <c r="Q3450" s="3396"/>
      <c r="R3450" s="2338"/>
      <c r="S3450" s="17"/>
      <c r="T3450" s="17"/>
      <c r="U3450" s="16"/>
      <c r="V3450" s="16"/>
    </row>
    <row r="3451" spans="1:22">
      <c r="A3451" s="1320"/>
      <c r="B3451" s="22"/>
      <c r="C3451" s="1320"/>
      <c r="D3451" s="2257"/>
      <c r="E3451" s="2258"/>
      <c r="F3451" s="2257"/>
      <c r="G3451" s="2259"/>
      <c r="H3451" s="1453"/>
      <c r="I3451" s="1289"/>
      <c r="J3451" s="1341"/>
      <c r="K3451" s="1307"/>
      <c r="L3451" s="1335"/>
      <c r="M3451" s="1759"/>
      <c r="N3451" s="1718"/>
      <c r="O3451" s="1719"/>
      <c r="P3451" s="1720"/>
      <c r="Q3451" s="3396"/>
      <c r="R3451" s="2338"/>
      <c r="S3451" s="17"/>
      <c r="T3451" s="17"/>
      <c r="U3451" s="16"/>
      <c r="V3451" s="16"/>
    </row>
    <row r="3452" spans="1:22">
      <c r="A3452" s="1320"/>
      <c r="B3452" s="22"/>
      <c r="C3452" s="1320"/>
      <c r="D3452" s="1779"/>
      <c r="E3452" s="2168"/>
      <c r="F3452" s="1360" t="s">
        <v>2</v>
      </c>
      <c r="G3452" s="1780"/>
      <c r="H3452" s="1359"/>
      <c r="I3452" s="1380"/>
      <c r="J3452" s="1381"/>
      <c r="K3452" s="1679"/>
      <c r="L3452" s="1680"/>
      <c r="M3452" s="1781"/>
      <c r="N3452" s="1782"/>
      <c r="O3452" s="1782"/>
      <c r="P3452" s="1783"/>
      <c r="Q3452" s="3396"/>
      <c r="R3452" s="2338"/>
      <c r="S3452" s="17"/>
      <c r="T3452" s="17"/>
      <c r="U3452" s="16"/>
      <c r="V3452" s="16"/>
    </row>
    <row r="3453" spans="1:22">
      <c r="A3453" s="1320"/>
      <c r="B3453" s="22"/>
      <c r="C3453" s="1320"/>
      <c r="D3453" s="1437" t="s">
        <v>1153</v>
      </c>
      <c r="E3453" s="2134" t="s">
        <v>1508</v>
      </c>
      <c r="F3453" s="1788" t="s">
        <v>1783</v>
      </c>
      <c r="G3453" s="1789">
        <v>1.28</v>
      </c>
      <c r="H3453" s="1789"/>
      <c r="I3453" s="197"/>
      <c r="J3453" s="198"/>
      <c r="K3453" s="1307">
        <f>G3453*$K$2988</f>
        <v>0.91011839999999999</v>
      </c>
      <c r="L3453" s="1335">
        <f>K3453*$K$2842</f>
        <v>0</v>
      </c>
      <c r="M3453" s="1759">
        <v>19.23</v>
      </c>
      <c r="N3453" s="1718"/>
      <c r="O3453" s="1719">
        <f>(G3453*M3453)</f>
        <v>24.6144</v>
      </c>
      <c r="P3453" s="1720">
        <f>M3453*K3453</f>
        <v>17.501576832000001</v>
      </c>
      <c r="Q3453" s="3396"/>
      <c r="R3453" s="2338"/>
      <c r="S3453" s="17"/>
      <c r="T3453" s="17"/>
      <c r="U3453" s="16"/>
      <c r="V3453" s="16"/>
    </row>
    <row r="3454" spans="1:22">
      <c r="A3454" s="1320"/>
      <c r="B3454" s="1320"/>
      <c r="C3454" s="595"/>
      <c r="D3454" s="1437"/>
      <c r="E3454" s="2134"/>
      <c r="F3454" s="1790"/>
      <c r="G3454" s="1790"/>
      <c r="H3454" s="1791"/>
      <c r="I3454" s="197"/>
      <c r="J3454" s="198"/>
      <c r="K3454" s="1307"/>
      <c r="L3454" s="1335"/>
      <c r="M3454" s="1787"/>
      <c r="N3454" s="1718"/>
      <c r="O3454" s="1719"/>
      <c r="P3454" s="1720"/>
      <c r="Q3454" s="3396"/>
      <c r="R3454" s="2338"/>
      <c r="S3454" s="17"/>
      <c r="T3454" s="17"/>
      <c r="U3454" s="16"/>
      <c r="V3454" s="16"/>
    </row>
    <row r="3455" spans="1:22">
      <c r="A3455" s="1320"/>
      <c r="B3455" s="1320"/>
      <c r="C3455" s="595"/>
      <c r="D3455" s="1437"/>
      <c r="E3455" s="2134"/>
      <c r="F3455" s="1790"/>
      <c r="G3455" s="1790"/>
      <c r="H3455" s="1791"/>
      <c r="I3455" s="197"/>
      <c r="J3455" s="198"/>
      <c r="K3455" s="1307"/>
      <c r="L3455" s="1335"/>
      <c r="M3455" s="1787"/>
      <c r="N3455" s="1718"/>
      <c r="O3455" s="1719"/>
      <c r="P3455" s="1720"/>
      <c r="Q3455" s="3396"/>
      <c r="R3455" s="2338"/>
      <c r="S3455" s="17"/>
      <c r="T3455" s="17"/>
      <c r="U3455" s="16"/>
      <c r="V3455" s="16"/>
    </row>
    <row r="3456" spans="1:22">
      <c r="A3456" s="1320"/>
      <c r="B3456" s="1042"/>
      <c r="C3456" s="88"/>
      <c r="D3456" s="1373"/>
      <c r="E3456" s="2123"/>
      <c r="F3456" s="1374" t="s">
        <v>3</v>
      </c>
      <c r="G3456" s="1374"/>
      <c r="H3456" s="1376"/>
      <c r="I3456" s="1382" t="str">
        <f t="shared" ref="I3456" ca="1" si="336">IF(COUNT(H3456:O3456)=0,"",(SUM(H3456:O3456)/COUNT(H3456:O3456)))</f>
        <v/>
      </c>
      <c r="J3456" s="1383"/>
      <c r="K3456" s="1373"/>
      <c r="L3456" s="1413"/>
      <c r="M3456" s="1376"/>
      <c r="N3456" s="1376"/>
      <c r="O3456" s="1376"/>
      <c r="P3456" s="1413"/>
      <c r="Q3456" s="3387"/>
      <c r="R3456" s="2343"/>
      <c r="S3456" s="17"/>
      <c r="T3456" s="17"/>
      <c r="U3456" s="16"/>
      <c r="V3456" s="16"/>
    </row>
    <row r="3457" spans="1:22">
      <c r="A3457" s="1320"/>
      <c r="B3457" s="22"/>
      <c r="C3457" s="1320"/>
      <c r="D3457" s="1373"/>
      <c r="E3457" s="2260"/>
      <c r="F3457" s="2261"/>
      <c r="G3457" s="2262"/>
      <c r="H3457" s="1597"/>
      <c r="I3457" s="197"/>
      <c r="J3457" s="198"/>
      <c r="K3457" s="1307"/>
      <c r="L3457" s="1335"/>
      <c r="M3457" s="1302"/>
      <c r="N3457" s="1718"/>
      <c r="O3457" s="1719"/>
      <c r="P3457" s="1720"/>
      <c r="Q3457" s="3396"/>
      <c r="R3457" s="2338"/>
      <c r="S3457" s="17"/>
      <c r="T3457" s="17"/>
      <c r="U3457" s="16"/>
      <c r="V3457" s="16"/>
    </row>
    <row r="3458" spans="1:22">
      <c r="A3458" s="1320"/>
      <c r="B3458" s="22"/>
      <c r="C3458" s="1320"/>
      <c r="D3458" s="1373"/>
      <c r="E3458" s="2260"/>
      <c r="F3458" s="2261"/>
      <c r="G3458" s="2262"/>
      <c r="H3458" s="1597"/>
      <c r="I3458" s="197"/>
      <c r="J3458" s="198"/>
      <c r="K3458" s="1307"/>
      <c r="L3458" s="1335"/>
      <c r="M3458" s="1302"/>
      <c r="N3458" s="1718"/>
      <c r="O3458" s="1719"/>
      <c r="P3458" s="1720"/>
      <c r="Q3458" s="3396"/>
      <c r="R3458" s="2338"/>
      <c r="S3458" s="17"/>
      <c r="T3458" s="17"/>
      <c r="U3458" s="16"/>
      <c r="V3458" s="16"/>
    </row>
    <row r="3459" spans="1:22">
      <c r="A3459" s="1320"/>
      <c r="B3459" s="22"/>
      <c r="C3459" s="1320"/>
      <c r="D3459" s="1373"/>
      <c r="E3459" s="2260"/>
      <c r="F3459" s="2261"/>
      <c r="G3459" s="2262"/>
      <c r="H3459" s="1597"/>
      <c r="I3459" s="197"/>
      <c r="J3459" s="198"/>
      <c r="K3459" s="1307"/>
      <c r="L3459" s="1335"/>
      <c r="M3459" s="1302"/>
      <c r="N3459" s="1718"/>
      <c r="O3459" s="1719"/>
      <c r="P3459" s="1720"/>
      <c r="Q3459" s="3396"/>
      <c r="R3459" s="2338"/>
      <c r="S3459" s="17"/>
      <c r="T3459" s="17"/>
      <c r="U3459" s="16"/>
      <c r="V3459" s="16"/>
    </row>
    <row r="3460" spans="1:22" ht="15" customHeight="1">
      <c r="A3460" s="16" t="s">
        <v>3764</v>
      </c>
      <c r="B3460" s="4325" t="s">
        <v>1737</v>
      </c>
      <c r="C3460" s="4074"/>
      <c r="D3460" s="4327"/>
      <c r="E3460" s="4329" t="s">
        <v>1527</v>
      </c>
      <c r="F3460" s="4461" t="s">
        <v>3827</v>
      </c>
      <c r="G3460" s="4331" t="s">
        <v>1568</v>
      </c>
      <c r="H3460" s="4331" t="s">
        <v>1574</v>
      </c>
      <c r="I3460" s="1572" t="s">
        <v>1559</v>
      </c>
      <c r="J3460" s="1294" t="s">
        <v>1560</v>
      </c>
      <c r="K3460" s="1294" t="s">
        <v>1561</v>
      </c>
      <c r="L3460" s="4333" t="s">
        <v>3765</v>
      </c>
      <c r="M3460" s="4323" t="s">
        <v>1571</v>
      </c>
      <c r="N3460" s="4323" t="s">
        <v>1776</v>
      </c>
      <c r="O3460" s="4073" t="s">
        <v>1563</v>
      </c>
      <c r="P3460" s="1336" t="s">
        <v>1562</v>
      </c>
      <c r="Q3460" s="3389"/>
      <c r="R3460" s="1839" t="s">
        <v>1327</v>
      </c>
      <c r="S3460" s="17"/>
      <c r="T3460" s="17"/>
      <c r="U3460" s="16"/>
      <c r="V3460" s="16"/>
    </row>
    <row r="3461" spans="1:22">
      <c r="A3461" s="2269" t="s">
        <v>3574</v>
      </c>
      <c r="B3461" s="4326"/>
      <c r="C3461" s="4075"/>
      <c r="D3461" s="4328"/>
      <c r="E3461" s="4330"/>
      <c r="F3461" s="4462"/>
      <c r="G3461" s="4332"/>
      <c r="H3461" s="4332"/>
      <c r="I3461" s="4079">
        <v>12.47</v>
      </c>
      <c r="J3461" s="3815">
        <v>3.0000000000000001E-3</v>
      </c>
      <c r="K3461" s="1307">
        <f>I3461*J3461</f>
        <v>3.7410000000000006E-2</v>
      </c>
      <c r="L3461" s="4334"/>
      <c r="M3461" s="4324"/>
      <c r="N3461" s="4324"/>
      <c r="O3461" s="1298">
        <f>O3463+O3464+O3465+O3466+O3470+O3474+O3482+O3483+O3484</f>
        <v>55.319563799999997</v>
      </c>
      <c r="P3461" s="1337">
        <f>K3461*O3461</f>
        <v>2.0695048817580002</v>
      </c>
      <c r="Q3461" s="3390"/>
      <c r="R3461" s="1840">
        <f>P3463+P3464+P3465+P3466+P3470+P3474+P3482+P3483+P3484</f>
        <v>2.0695048817580006</v>
      </c>
      <c r="S3461" s="17"/>
      <c r="T3461" s="17"/>
      <c r="U3461" s="16"/>
      <c r="V3461" s="16"/>
    </row>
    <row r="3462" spans="1:22">
      <c r="A3462" s="16"/>
      <c r="B3462" s="18"/>
      <c r="D3462" s="1449"/>
      <c r="E3462" s="2121"/>
      <c r="F3462" s="1368" t="s">
        <v>1</v>
      </c>
      <c r="G3462" s="1368"/>
      <c r="H3462" s="1369"/>
      <c r="I3462" s="1409"/>
      <c r="J3462" s="1391"/>
      <c r="K3462" s="1367"/>
      <c r="L3462" s="1554"/>
      <c r="M3462" s="1369"/>
      <c r="N3462" s="1369"/>
      <c r="O3462" s="1369"/>
      <c r="P3462" s="1367"/>
      <c r="Q3462" s="3387"/>
      <c r="R3462" s="2343"/>
      <c r="S3462" s="17"/>
      <c r="T3462" s="17"/>
      <c r="U3462" s="16"/>
      <c r="V3462" s="16"/>
    </row>
    <row r="3463" spans="1:22">
      <c r="A3463" s="16"/>
      <c r="B3463" s="1042"/>
      <c r="D3463" s="1450" t="s">
        <v>1075</v>
      </c>
      <c r="E3463" s="1856" t="s">
        <v>1357</v>
      </c>
      <c r="F3463" s="1397" t="s">
        <v>1532</v>
      </c>
      <c r="G3463" s="1372">
        <v>0.1</v>
      </c>
      <c r="H3463" s="1372"/>
      <c r="I3463" s="1286"/>
      <c r="J3463" s="198"/>
      <c r="K3463" s="1307">
        <f>G3463*$K$3016</f>
        <v>3.7410000000000008E-3</v>
      </c>
      <c r="L3463" s="1335">
        <f t="shared" ref="L3463:L3465" si="337">K3463*$K$2842</f>
        <v>0</v>
      </c>
      <c r="M3463" s="1302">
        <v>0.81</v>
      </c>
      <c r="N3463" s="1700"/>
      <c r="O3463" s="1290">
        <f>G3463*M3463</f>
        <v>8.1000000000000016E-2</v>
      </c>
      <c r="P3463" s="1739">
        <f>M3463*K3463</f>
        <v>3.0302100000000011E-3</v>
      </c>
      <c r="Q3463" s="3391"/>
      <c r="R3463" s="2343"/>
      <c r="S3463" s="17"/>
      <c r="T3463" s="17"/>
      <c r="U3463" s="16"/>
      <c r="V3463" s="16"/>
    </row>
    <row r="3464" spans="1:22">
      <c r="A3464" s="16"/>
      <c r="B3464" s="1042"/>
      <c r="D3464" s="1767" t="s">
        <v>1784</v>
      </c>
      <c r="E3464" s="1849" t="s">
        <v>1521</v>
      </c>
      <c r="F3464" s="1654" t="s">
        <v>1785</v>
      </c>
      <c r="G3464" s="1567">
        <v>1E-3</v>
      </c>
      <c r="H3464" s="1567"/>
      <c r="I3464" s="1286"/>
      <c r="J3464" s="198"/>
      <c r="K3464" s="1307">
        <f t="shared" ref="K3464:K3465" si="338">G3464*$K$3016</f>
        <v>3.7410000000000009E-5</v>
      </c>
      <c r="L3464" s="1335">
        <f t="shared" si="337"/>
        <v>0</v>
      </c>
      <c r="M3464" s="1499">
        <v>236.83</v>
      </c>
      <c r="N3464" s="1700"/>
      <c r="O3464" s="1290">
        <f>G3464*M3464</f>
        <v>0.23683000000000001</v>
      </c>
      <c r="P3464" s="1332">
        <f>M3464*K3464</f>
        <v>8.8598103000000032E-3</v>
      </c>
      <c r="Q3464" s="3391"/>
      <c r="R3464" s="2343"/>
      <c r="S3464" s="17"/>
      <c r="T3464" s="17"/>
      <c r="U3464" s="16"/>
      <c r="V3464" s="16"/>
    </row>
    <row r="3465" spans="1:22">
      <c r="A3465" s="16"/>
      <c r="B3465" s="1042"/>
      <c r="D3465" s="1769" t="s">
        <v>1786</v>
      </c>
      <c r="E3465" s="1850" t="s">
        <v>1787</v>
      </c>
      <c r="F3465" s="1770" t="s">
        <v>1788</v>
      </c>
      <c r="G3465" s="1771">
        <v>1.1000000000000001</v>
      </c>
      <c r="H3465" s="1771"/>
      <c r="I3465" s="1286"/>
      <c r="J3465" s="198"/>
      <c r="K3465" s="1307">
        <f t="shared" si="338"/>
        <v>4.1151000000000007E-2</v>
      </c>
      <c r="L3465" s="1335">
        <f t="shared" si="337"/>
        <v>0</v>
      </c>
      <c r="M3465" s="1302">
        <v>1.54</v>
      </c>
      <c r="N3465" s="1700"/>
      <c r="O3465" s="1290">
        <f>G3465*M3465</f>
        <v>1.6940000000000002</v>
      </c>
      <c r="P3465" s="1332">
        <f>M3465*K3465</f>
        <v>6.3372540000000019E-2</v>
      </c>
      <c r="Q3465" s="3391"/>
      <c r="R3465" s="2343"/>
      <c r="S3465" s="17"/>
      <c r="T3465" s="17"/>
      <c r="U3465" s="16"/>
      <c r="V3465" s="16"/>
    </row>
    <row r="3466" spans="1:22">
      <c r="A3466" s="16"/>
      <c r="B3466" s="1042"/>
      <c r="C3466" s="1356" t="s">
        <v>1128</v>
      </c>
      <c r="D3466" s="1585"/>
      <c r="E3466" s="1851" t="s">
        <v>1517</v>
      </c>
      <c r="F3466" s="1768" t="s">
        <v>1695</v>
      </c>
      <c r="G3466" s="1776"/>
      <c r="H3466" s="1776">
        <v>1.4999999999999999E-2</v>
      </c>
      <c r="I3466" s="1388"/>
      <c r="J3466" s="1366"/>
      <c r="K3466" s="1510"/>
      <c r="L3466" s="1445"/>
      <c r="M3466" s="1447"/>
      <c r="N3466" s="1447">
        <f>SUM(N3467:N3469)</f>
        <v>104.27969999999999</v>
      </c>
      <c r="O3466" s="1447">
        <f>SUM(O3467:O3469)</f>
        <v>1.5641954999999998</v>
      </c>
      <c r="P3466" s="1446">
        <f>SUM(P3467:P3469)</f>
        <v>5.8516553655000011E-2</v>
      </c>
      <c r="Q3466" s="3391"/>
      <c r="R3466" s="2343"/>
      <c r="S3466" s="17"/>
      <c r="T3466" s="17"/>
      <c r="U3466" s="16"/>
      <c r="V3466" s="16"/>
    </row>
    <row r="3467" spans="1:22">
      <c r="A3467" s="16"/>
      <c r="B3467" s="553"/>
      <c r="C3467" s="1042"/>
      <c r="D3467" s="1752" t="s">
        <v>1779</v>
      </c>
      <c r="E3467" s="1852" t="s">
        <v>1577</v>
      </c>
      <c r="F3467" s="1752" t="s">
        <v>1780</v>
      </c>
      <c r="G3467" s="1753">
        <v>0.876</v>
      </c>
      <c r="H3467" s="1453">
        <f>$H$3021*G3467</f>
        <v>1.3139999999999999E-2</v>
      </c>
      <c r="I3467" s="197"/>
      <c r="J3467" s="198"/>
      <c r="K3467" s="1307">
        <f>H3467*$K$3016</f>
        <v>4.9156740000000007E-4</v>
      </c>
      <c r="L3467" s="1335">
        <f t="shared" ref="L3467:L3469" si="339">K3467*$K$2842</f>
        <v>0</v>
      </c>
      <c r="M3467" s="1759">
        <v>56.05</v>
      </c>
      <c r="N3467" s="1718">
        <f>G3467*M3467</f>
        <v>49.099799999999995</v>
      </c>
      <c r="O3467" s="1719">
        <f>H3467*M3467</f>
        <v>0.73649699999999985</v>
      </c>
      <c r="P3467" s="1720">
        <f>M3467*K3467</f>
        <v>2.7552352770000003E-2</v>
      </c>
      <c r="Q3467" s="3396"/>
      <c r="R3467" s="2343"/>
      <c r="S3467" s="17"/>
      <c r="T3467" s="17"/>
      <c r="U3467" s="16"/>
      <c r="V3467" s="16"/>
    </row>
    <row r="3468" spans="1:22">
      <c r="A3468" s="16"/>
      <c r="B3468" s="553"/>
      <c r="C3468" s="1042"/>
      <c r="D3468" s="1752" t="s">
        <v>1069</v>
      </c>
      <c r="E3468" s="1852" t="s">
        <v>1517</v>
      </c>
      <c r="F3468" s="1752" t="s">
        <v>1578</v>
      </c>
      <c r="G3468" s="1753">
        <v>0.61799999999999999</v>
      </c>
      <c r="H3468" s="1453">
        <f t="shared" ref="H3468:H3469" si="340">$H$3021*G3468</f>
        <v>9.2699999999999987E-3</v>
      </c>
      <c r="I3468" s="27"/>
      <c r="J3468" s="10"/>
      <c r="K3468" s="1307">
        <f t="shared" ref="K3468:K3469" si="341">H3468*$K$3016</f>
        <v>3.467907E-4</v>
      </c>
      <c r="L3468" s="1335">
        <f t="shared" si="339"/>
        <v>0</v>
      </c>
      <c r="M3468" s="1759">
        <v>0.55000000000000004</v>
      </c>
      <c r="N3468" s="1718">
        <f>G3468*M3468</f>
        <v>0.33990000000000004</v>
      </c>
      <c r="O3468" s="1719">
        <f>H3468*M3468</f>
        <v>5.0984999999999997E-3</v>
      </c>
      <c r="P3468" s="1720">
        <f>M3468*K3468</f>
        <v>1.9073488500000001E-4</v>
      </c>
      <c r="Q3468" s="3396"/>
      <c r="R3468" s="2343"/>
      <c r="S3468" s="17"/>
      <c r="T3468" s="17"/>
      <c r="U3468" s="16"/>
      <c r="V3468" s="16"/>
    </row>
    <row r="3469" spans="1:22">
      <c r="A3469" s="16"/>
      <c r="B3469" s="553"/>
      <c r="C3469" s="1042"/>
      <c r="D3469" s="1754" t="s">
        <v>1067</v>
      </c>
      <c r="E3469" s="1853" t="s">
        <v>1508</v>
      </c>
      <c r="F3469" s="1754" t="s">
        <v>1512</v>
      </c>
      <c r="G3469" s="1755">
        <v>3</v>
      </c>
      <c r="H3469" s="1454">
        <f t="shared" si="340"/>
        <v>4.4999999999999998E-2</v>
      </c>
      <c r="I3469" s="198"/>
      <c r="J3469" s="198"/>
      <c r="K3469" s="1307">
        <f t="shared" si="341"/>
        <v>1.6834500000000002E-3</v>
      </c>
      <c r="L3469" s="1335">
        <f t="shared" si="339"/>
        <v>0</v>
      </c>
      <c r="M3469" s="1759">
        <v>18.28</v>
      </c>
      <c r="N3469" s="1718">
        <f>G3469*M3469</f>
        <v>54.84</v>
      </c>
      <c r="O3469" s="1719">
        <f>H3469*M3469</f>
        <v>0.8226</v>
      </c>
      <c r="P3469" s="1720">
        <f>M3469*K3469</f>
        <v>3.0773466000000006E-2</v>
      </c>
      <c r="Q3469" s="3396"/>
      <c r="R3469" s="2343"/>
      <c r="S3469" s="17"/>
      <c r="T3469" s="17"/>
      <c r="U3469" s="16"/>
      <c r="V3469" s="16"/>
    </row>
    <row r="3470" spans="1:22" s="16" customFormat="1">
      <c r="B3470" s="553"/>
      <c r="C3470" s="1356" t="s">
        <v>1152</v>
      </c>
      <c r="D3470" s="1311"/>
      <c r="E3470" s="1854" t="s">
        <v>1517</v>
      </c>
      <c r="F3470" s="1749" t="s">
        <v>1696</v>
      </c>
      <c r="G3470" s="1776"/>
      <c r="H3470" s="1688">
        <v>5.0000000000000001E-3</v>
      </c>
      <c r="I3470" s="1388"/>
      <c r="J3470" s="1388"/>
      <c r="K3470" s="1510"/>
      <c r="L3470" s="1445"/>
      <c r="M3470" s="1447"/>
      <c r="N3470" s="1447">
        <f>SUM(N3471:N3473)</f>
        <v>108.04650000000001</v>
      </c>
      <c r="O3470" s="1447">
        <f>SUM(O3471:O3473)</f>
        <v>0.54023250000000012</v>
      </c>
      <c r="P3470" s="1446">
        <f>SUM(P3471:P3473)</f>
        <v>2.0210097825000002E-2</v>
      </c>
      <c r="Q3470" s="3391"/>
      <c r="R3470" s="2343"/>
      <c r="S3470" s="17"/>
      <c r="T3470" s="17"/>
    </row>
    <row r="3471" spans="1:22">
      <c r="A3471" s="16"/>
      <c r="B3471" s="553"/>
      <c r="C3471" s="18"/>
      <c r="D3471" s="1756" t="s">
        <v>1781</v>
      </c>
      <c r="E3471" s="1852" t="s">
        <v>1577</v>
      </c>
      <c r="F3471" s="1752" t="s">
        <v>1782</v>
      </c>
      <c r="G3471" s="1753">
        <v>0.876</v>
      </c>
      <c r="H3471" s="1453">
        <f>$H$3025*G3471</f>
        <v>4.3800000000000002E-3</v>
      </c>
      <c r="I3471" s="198"/>
      <c r="J3471" s="198"/>
      <c r="K3471" s="1307">
        <f t="shared" ref="K3471:K3473" si="342">H3471*$K$3016</f>
        <v>1.6385580000000002E-4</v>
      </c>
      <c r="L3471" s="1335">
        <f t="shared" ref="L3471:L3473" si="343">K3471*$K$2842</f>
        <v>0</v>
      </c>
      <c r="M3471" s="1759">
        <v>60.35</v>
      </c>
      <c r="N3471" s="1718">
        <f>G3471*M3471</f>
        <v>52.866599999999998</v>
      </c>
      <c r="O3471" s="1719">
        <f>H3471*M3471</f>
        <v>0.26433300000000004</v>
      </c>
      <c r="P3471" s="1720">
        <f>M3471*K3471</f>
        <v>9.8886975300000023E-3</v>
      </c>
      <c r="Q3471" s="3396"/>
      <c r="R3471" s="2343"/>
      <c r="S3471" s="105"/>
      <c r="T3471" s="105"/>
      <c r="U3471" s="16"/>
      <c r="V3471" s="16"/>
    </row>
    <row r="3472" spans="1:22">
      <c r="A3472" s="16"/>
      <c r="B3472" s="553"/>
      <c r="C3472" s="1042"/>
      <c r="D3472" s="1756" t="s">
        <v>1069</v>
      </c>
      <c r="E3472" s="1852" t="s">
        <v>1517</v>
      </c>
      <c r="F3472" s="1752" t="s">
        <v>1578</v>
      </c>
      <c r="G3472" s="1753">
        <v>0.61799999999999999</v>
      </c>
      <c r="H3472" s="1453">
        <f t="shared" ref="H3472:H3473" si="344">$H$3025*G3472</f>
        <v>3.0899999999999999E-3</v>
      </c>
      <c r="I3472" s="197"/>
      <c r="J3472" s="198"/>
      <c r="K3472" s="1307">
        <f t="shared" si="342"/>
        <v>1.1559690000000002E-4</v>
      </c>
      <c r="L3472" s="1335">
        <f t="shared" si="343"/>
        <v>0</v>
      </c>
      <c r="M3472" s="1759">
        <v>0.55000000000000004</v>
      </c>
      <c r="N3472" s="1718">
        <f>G3472*M3472</f>
        <v>0.33990000000000004</v>
      </c>
      <c r="O3472" s="1719">
        <f>H3472*M3472</f>
        <v>1.6995000000000001E-3</v>
      </c>
      <c r="P3472" s="1720">
        <f>M3472*K3472</f>
        <v>6.3578295000000021E-5</v>
      </c>
      <c r="Q3472" s="3396"/>
      <c r="R3472" s="2343"/>
      <c r="S3472" s="16"/>
      <c r="T3472" s="16"/>
      <c r="U3472" s="16"/>
      <c r="V3472" s="16"/>
    </row>
    <row r="3473" spans="1:22">
      <c r="A3473" s="16"/>
      <c r="B3473" s="553"/>
      <c r="C3473" s="1042"/>
      <c r="D3473" s="1811" t="s">
        <v>1067</v>
      </c>
      <c r="E3473" s="1853" t="s">
        <v>1508</v>
      </c>
      <c r="F3473" s="1754" t="s">
        <v>1512</v>
      </c>
      <c r="G3473" s="1755">
        <v>3</v>
      </c>
      <c r="H3473" s="1454">
        <f t="shared" si="344"/>
        <v>1.4999999999999999E-2</v>
      </c>
      <c r="I3473" s="1289"/>
      <c r="J3473" s="198"/>
      <c r="K3473" s="1307">
        <f t="shared" si="342"/>
        <v>5.6115000000000006E-4</v>
      </c>
      <c r="L3473" s="1335">
        <f t="shared" si="343"/>
        <v>0</v>
      </c>
      <c r="M3473" s="1759">
        <v>18.28</v>
      </c>
      <c r="N3473" s="1718">
        <f>G3473*M3473</f>
        <v>54.84</v>
      </c>
      <c r="O3473" s="1719">
        <f>H3473*M3473</f>
        <v>0.2742</v>
      </c>
      <c r="P3473" s="1720">
        <f>M3473*K3473</f>
        <v>1.0257822000000002E-2</v>
      </c>
      <c r="Q3473" s="3396"/>
      <c r="R3473" s="2343"/>
      <c r="S3473" s="16"/>
      <c r="T3473" s="16"/>
      <c r="U3473" s="16"/>
      <c r="V3473" s="16"/>
    </row>
    <row r="3474" spans="1:22">
      <c r="A3474" s="16"/>
      <c r="B3474" s="1042"/>
      <c r="C3474" s="1356" t="s">
        <v>1790</v>
      </c>
      <c r="D3474" s="1311"/>
      <c r="E3474" s="2137" t="s">
        <v>1517</v>
      </c>
      <c r="F3474" s="1343" t="s">
        <v>1791</v>
      </c>
      <c r="G3474" s="1776"/>
      <c r="H3474" s="1344">
        <v>0.01</v>
      </c>
      <c r="I3474" s="1444"/>
      <c r="J3474" s="1388"/>
      <c r="K3474" s="1445"/>
      <c r="L3474" s="1457"/>
      <c r="M3474" s="1446"/>
      <c r="N3474" s="1447">
        <f>SUM(N3475:N3479)</f>
        <v>76.906580000000005</v>
      </c>
      <c r="O3474" s="1447">
        <f>SUM(O3475:O3479)</f>
        <v>0.76906580000000013</v>
      </c>
      <c r="P3474" s="1447">
        <f>SUM(P3475:P3479)</f>
        <v>2.8770751578000006E-2</v>
      </c>
      <c r="Q3474" s="3391"/>
      <c r="R3474" s="2343"/>
      <c r="S3474" s="16"/>
      <c r="T3474" s="16"/>
      <c r="U3474" s="16"/>
      <c r="V3474" s="16"/>
    </row>
    <row r="3475" spans="1:22">
      <c r="A3475" s="16"/>
      <c r="B3475" s="1042"/>
      <c r="C3475" s="1327"/>
      <c r="D3475" s="1752" t="s">
        <v>1069</v>
      </c>
      <c r="E3475" s="1852" t="s">
        <v>1517</v>
      </c>
      <c r="F3475" s="1784" t="s">
        <v>1578</v>
      </c>
      <c r="G3475" s="1399">
        <v>0.2</v>
      </c>
      <c r="H3475" s="1453">
        <f>$H$3029*G3475</f>
        <v>2E-3</v>
      </c>
      <c r="I3475" s="197"/>
      <c r="J3475" s="198"/>
      <c r="K3475" s="1307">
        <f t="shared" ref="K3475:K3479" si="345">H3475*$K$3016</f>
        <v>7.4820000000000019E-5</v>
      </c>
      <c r="L3475" s="1335">
        <f t="shared" ref="L3475:L3479" si="346">K3475*$K$2842</f>
        <v>0</v>
      </c>
      <c r="M3475" s="1499">
        <v>0.55000000000000004</v>
      </c>
      <c r="N3475" s="1718">
        <f>G3475*M3475</f>
        <v>0.11000000000000001</v>
      </c>
      <c r="O3475" s="1719">
        <f>H3475*M3475</f>
        <v>1.1000000000000001E-3</v>
      </c>
      <c r="P3475" s="1720">
        <f>M3475*K3475</f>
        <v>4.1151000000000013E-5</v>
      </c>
      <c r="Q3475" s="3396"/>
      <c r="R3475" s="2338"/>
      <c r="S3475" s="16"/>
      <c r="T3475" s="16"/>
      <c r="U3475" s="16"/>
      <c r="V3475" s="16"/>
    </row>
    <row r="3476" spans="1:22" ht="15" customHeight="1">
      <c r="A3476" s="16"/>
      <c r="B3476" s="1042"/>
      <c r="C3476" s="1320"/>
      <c r="D3476" s="1752" t="s">
        <v>1792</v>
      </c>
      <c r="E3476" s="1852" t="s">
        <v>1577</v>
      </c>
      <c r="F3476" s="1752" t="s">
        <v>1793</v>
      </c>
      <c r="G3476" s="1399">
        <v>0.25</v>
      </c>
      <c r="H3476" s="1453">
        <f t="shared" ref="H3476:H3479" si="347">$H$3029*G3476</f>
        <v>2.5000000000000001E-3</v>
      </c>
      <c r="I3476" s="197"/>
      <c r="J3476" s="198"/>
      <c r="K3476" s="1307">
        <f t="shared" si="345"/>
        <v>9.352500000000001E-5</v>
      </c>
      <c r="L3476" s="1335">
        <f t="shared" si="346"/>
        <v>0</v>
      </c>
      <c r="M3476" s="1499">
        <v>85.09</v>
      </c>
      <c r="N3476" s="1718">
        <f>G3476*M3476</f>
        <v>21.272500000000001</v>
      </c>
      <c r="O3476" s="1719">
        <f>H3476*M3476</f>
        <v>0.21272500000000003</v>
      </c>
      <c r="P3476" s="1720">
        <f>M3476*K3476</f>
        <v>7.9580422500000018E-3</v>
      </c>
      <c r="Q3476" s="3396"/>
      <c r="R3476" s="2338"/>
      <c r="S3476" s="16"/>
      <c r="T3476" s="16"/>
      <c r="U3476" s="16"/>
      <c r="V3476" s="16"/>
    </row>
    <row r="3477" spans="1:22">
      <c r="A3477" s="16"/>
      <c r="B3477" s="1042"/>
      <c r="C3477" s="1320"/>
      <c r="D3477" s="1752" t="s">
        <v>1394</v>
      </c>
      <c r="E3477" s="1852" t="s">
        <v>1577</v>
      </c>
      <c r="F3477" s="1752" t="s">
        <v>1579</v>
      </c>
      <c r="G3477" s="1399">
        <v>0.25</v>
      </c>
      <c r="H3477" s="1453">
        <f t="shared" si="347"/>
        <v>2.5000000000000001E-3</v>
      </c>
      <c r="I3477" s="197"/>
      <c r="J3477" s="198"/>
      <c r="K3477" s="1307">
        <f t="shared" si="345"/>
        <v>9.352500000000001E-5</v>
      </c>
      <c r="L3477" s="1335">
        <f t="shared" si="346"/>
        <v>0</v>
      </c>
      <c r="M3477" s="1499">
        <v>92.54</v>
      </c>
      <c r="N3477" s="1718">
        <f>G3477*M3477</f>
        <v>23.135000000000002</v>
      </c>
      <c r="O3477" s="1719">
        <f>H3477*M3477</f>
        <v>0.23135000000000003</v>
      </c>
      <c r="P3477" s="1720">
        <f>M3477*K3477</f>
        <v>8.6548035000000023E-3</v>
      </c>
      <c r="Q3477" s="3396"/>
      <c r="R3477" s="2338"/>
      <c r="S3477" s="16"/>
      <c r="T3477" s="16"/>
      <c r="U3477" s="16"/>
      <c r="V3477" s="16"/>
    </row>
    <row r="3478" spans="1:22">
      <c r="A3478" s="16"/>
      <c r="B3478" s="1042"/>
      <c r="C3478" s="1320"/>
      <c r="D3478" s="1752" t="s">
        <v>1576</v>
      </c>
      <c r="E3478" s="1852" t="s">
        <v>1517</v>
      </c>
      <c r="F3478" s="1752" t="s">
        <v>1580</v>
      </c>
      <c r="G3478" s="1399">
        <v>1.5</v>
      </c>
      <c r="H3478" s="1453">
        <f t="shared" si="347"/>
        <v>1.4999999999999999E-2</v>
      </c>
      <c r="I3478" s="197"/>
      <c r="J3478" s="198"/>
      <c r="K3478" s="1307">
        <f t="shared" si="345"/>
        <v>5.6115000000000006E-4</v>
      </c>
      <c r="L3478" s="1335">
        <f t="shared" si="346"/>
        <v>0</v>
      </c>
      <c r="M3478" s="1499">
        <v>6.53</v>
      </c>
      <c r="N3478" s="1718">
        <f>G3478*M3478</f>
        <v>9.7949999999999999</v>
      </c>
      <c r="O3478" s="1719">
        <f>H3478*M3478</f>
        <v>9.7949999999999995E-2</v>
      </c>
      <c r="P3478" s="1720">
        <f>M3478*K3478</f>
        <v>3.6643095000000007E-3</v>
      </c>
      <c r="Q3478" s="3396"/>
      <c r="R3478" s="2338"/>
      <c r="S3478" s="16"/>
      <c r="T3478" s="16"/>
      <c r="U3478" s="16"/>
      <c r="V3478" s="16"/>
    </row>
    <row r="3479" spans="1:22">
      <c r="A3479" s="16"/>
      <c r="B3479" s="1042"/>
      <c r="C3479" s="1320"/>
      <c r="D3479" s="1754" t="s">
        <v>1067</v>
      </c>
      <c r="E3479" s="1853" t="s">
        <v>1508</v>
      </c>
      <c r="F3479" s="1754" t="s">
        <v>1512</v>
      </c>
      <c r="G3479" s="1408">
        <v>1.236</v>
      </c>
      <c r="H3479" s="1454">
        <f t="shared" si="347"/>
        <v>1.2359999999999999E-2</v>
      </c>
      <c r="I3479" s="197"/>
      <c r="J3479" s="198"/>
      <c r="K3479" s="1307">
        <f t="shared" si="345"/>
        <v>4.6238760000000007E-4</v>
      </c>
      <c r="L3479" s="1335">
        <f t="shared" si="346"/>
        <v>0</v>
      </c>
      <c r="M3479" s="1499">
        <v>18.28</v>
      </c>
      <c r="N3479" s="1718">
        <f>G3479*M3479</f>
        <v>22.594080000000002</v>
      </c>
      <c r="O3479" s="1719">
        <f>H3479*M3479</f>
        <v>0.2259408</v>
      </c>
      <c r="P3479" s="1720">
        <f>M3479*K3479</f>
        <v>8.4524453280000016E-3</v>
      </c>
      <c r="Q3479" s="3396"/>
      <c r="R3479" s="2338"/>
      <c r="S3479" s="16"/>
      <c r="T3479" s="16"/>
      <c r="U3479" s="16"/>
      <c r="V3479" s="16"/>
    </row>
    <row r="3480" spans="1:22">
      <c r="A3480" s="16"/>
      <c r="B3480" s="1042"/>
      <c r="C3480" s="88"/>
      <c r="D3480" s="1752"/>
      <c r="E3480" s="1852"/>
      <c r="F3480" s="1752"/>
      <c r="G3480" s="1399"/>
      <c r="H3480" s="1399"/>
      <c r="I3480" s="197" t="str">
        <f ca="1">IF(COUNT(H3480:O3480)=0,"",(SUM(H3480:O3480)/COUNT(H3480:O3480)))</f>
        <v/>
      </c>
      <c r="J3480" s="198"/>
      <c r="K3480" s="1307"/>
      <c r="L3480" s="1335"/>
      <c r="M3480" s="1499"/>
      <c r="N3480" s="1718"/>
      <c r="O3480" s="1719"/>
      <c r="P3480" s="1720"/>
      <c r="Q3480" s="3396"/>
      <c r="R3480" s="2338"/>
      <c r="S3480" s="16"/>
      <c r="T3480" s="16"/>
      <c r="U3480" s="16"/>
      <c r="V3480" s="16"/>
    </row>
    <row r="3481" spans="1:22">
      <c r="A3481" s="16"/>
      <c r="B3481" s="1042"/>
      <c r="C3481" s="88"/>
      <c r="D3481" s="1359"/>
      <c r="E3481" s="1858"/>
      <c r="F3481" s="1360" t="s">
        <v>2</v>
      </c>
      <c r="G3481" s="1360"/>
      <c r="H3481" s="1362"/>
      <c r="I3481" s="1380" t="str">
        <f ca="1">IF(COUNT(H3481:O3481)=0,"",(SUM(H3481:O3481)/COUNT(H3481:O3481)))</f>
        <v/>
      </c>
      <c r="J3481" s="1381"/>
      <c r="K3481" s="1359"/>
      <c r="L3481" s="1458"/>
      <c r="M3481" s="1362"/>
      <c r="N3481" s="1362"/>
      <c r="O3481" s="1362"/>
      <c r="P3481" s="1458"/>
      <c r="Q3481" s="3387"/>
      <c r="R3481" s="2343"/>
      <c r="S3481" s="16"/>
      <c r="T3481" s="16"/>
      <c r="U3481" s="16"/>
      <c r="V3481" s="16"/>
    </row>
    <row r="3482" spans="1:22">
      <c r="A3482" s="16"/>
      <c r="B3482" s="1320"/>
      <c r="C3482" s="1042"/>
      <c r="D3482" s="1437" t="s">
        <v>1153</v>
      </c>
      <c r="E3482" s="2134" t="s">
        <v>1508</v>
      </c>
      <c r="F3482" s="1438" t="s">
        <v>1783</v>
      </c>
      <c r="G3482" s="1439">
        <v>1.5129999999999999</v>
      </c>
      <c r="H3482" s="1439"/>
      <c r="I3482" s="197"/>
      <c r="J3482" s="198"/>
      <c r="K3482" s="1307">
        <f t="shared" ref="K3482:K3484" si="348">G3482*$K$3016</f>
        <v>5.6601330000000005E-2</v>
      </c>
      <c r="L3482" s="1335">
        <f t="shared" ref="L3482:L3484" si="349">K3482*$K$2842</f>
        <v>0</v>
      </c>
      <c r="M3482" s="1499">
        <v>19.23</v>
      </c>
      <c r="N3482" s="1701"/>
      <c r="O3482" s="1290">
        <f>(G3482*M3482)</f>
        <v>29.094989999999999</v>
      </c>
      <c r="P3482" s="1332">
        <f>M3482*K3482</f>
        <v>1.0884435759000002</v>
      </c>
      <c r="Q3482" s="3391"/>
      <c r="R3482" s="3795"/>
      <c r="S3482" s="16"/>
      <c r="T3482" s="16"/>
      <c r="U3482" s="16"/>
      <c r="V3482" s="16"/>
    </row>
    <row r="3483" spans="1:22">
      <c r="A3483" s="16"/>
      <c r="B3483" s="1042"/>
      <c r="C3483" s="88"/>
      <c r="D3483" s="1363" t="s">
        <v>1067</v>
      </c>
      <c r="E3483" s="2125" t="s">
        <v>1508</v>
      </c>
      <c r="F3483" s="1364" t="s">
        <v>1512</v>
      </c>
      <c r="G3483" s="1365">
        <v>0.31</v>
      </c>
      <c r="H3483" s="1365"/>
      <c r="I3483" s="1286"/>
      <c r="J3483" s="198"/>
      <c r="K3483" s="1307">
        <f t="shared" si="348"/>
        <v>1.1597100000000003E-2</v>
      </c>
      <c r="L3483" s="1335">
        <f t="shared" si="349"/>
        <v>0</v>
      </c>
      <c r="M3483" s="1302">
        <v>18.28</v>
      </c>
      <c r="N3483" s="1302"/>
      <c r="O3483" s="1290">
        <f>(G3483*M3483)</f>
        <v>5.6668000000000003</v>
      </c>
      <c r="P3483" s="1332">
        <f>M3483*K3483</f>
        <v>0.21199498800000005</v>
      </c>
      <c r="Q3483" s="3391"/>
      <c r="R3483" s="2338"/>
      <c r="S3483" s="16"/>
      <c r="T3483" s="16"/>
      <c r="U3483" s="16"/>
      <c r="V3483" s="16"/>
    </row>
    <row r="3484" spans="1:22">
      <c r="A3484" s="16"/>
      <c r="B3484" s="1042"/>
      <c r="C3484" s="88"/>
      <c r="D3484" s="1430" t="s">
        <v>1077</v>
      </c>
      <c r="E3484" s="1857" t="s">
        <v>1508</v>
      </c>
      <c r="F3484" s="1394" t="s">
        <v>1539</v>
      </c>
      <c r="G3484" s="1362">
        <v>0.81499999999999995</v>
      </c>
      <c r="H3484" s="1362"/>
      <c r="I3484" s="197">
        <f ca="1">IF(COUNT(G3484:L3484)=0,"",(SUM(G3484:L3484)/COUNT(G3484:L3484)))</f>
        <v>0.28204840833333328</v>
      </c>
      <c r="J3484" s="198"/>
      <c r="K3484" s="1307">
        <f t="shared" si="348"/>
        <v>3.0489150000000003E-2</v>
      </c>
      <c r="L3484" s="1335">
        <f t="shared" si="349"/>
        <v>0</v>
      </c>
      <c r="M3484" s="1302">
        <v>19.23</v>
      </c>
      <c r="N3484" s="7"/>
      <c r="O3484" s="1290">
        <f>(G3484*M3484)</f>
        <v>15.67245</v>
      </c>
      <c r="P3484" s="1332">
        <f>M3484*K3484</f>
        <v>0.58630635450000013</v>
      </c>
      <c r="Q3484" s="3391"/>
      <c r="R3484" s="2338"/>
      <c r="S3484" s="16"/>
      <c r="T3484" s="16"/>
      <c r="U3484" s="16"/>
      <c r="V3484" s="16"/>
    </row>
    <row r="3485" spans="1:22">
      <c r="A3485" s="16"/>
      <c r="B3485" s="1042"/>
      <c r="C3485" s="88"/>
      <c r="D3485" s="1430"/>
      <c r="E3485" s="1857"/>
      <c r="F3485" s="1430"/>
      <c r="G3485" s="1502"/>
      <c r="H3485" s="1362"/>
      <c r="I3485" s="197"/>
      <c r="J3485" s="198"/>
      <c r="K3485" s="1307"/>
      <c r="L3485" s="1335"/>
      <c r="M3485" s="1302"/>
      <c r="N3485" s="7"/>
      <c r="O3485" s="1290"/>
      <c r="P3485" s="1332"/>
      <c r="Q3485" s="3391"/>
      <c r="R3485" s="2338"/>
      <c r="S3485" s="16"/>
      <c r="T3485" s="16"/>
      <c r="U3485" s="16"/>
      <c r="V3485" s="16"/>
    </row>
    <row r="3486" spans="1:22">
      <c r="A3486" s="16"/>
      <c r="B3486" s="1042"/>
      <c r="C3486" s="88"/>
      <c r="D3486" s="1373"/>
      <c r="E3486" s="2123"/>
      <c r="F3486" s="1374" t="s">
        <v>3</v>
      </c>
      <c r="G3486" s="1374"/>
      <c r="H3486" s="1376"/>
      <c r="I3486" s="1382" t="str">
        <f t="shared" ref="I3486:I3489" ca="1" si="350">IF(COUNT(H3486:O3486)=0,"",(SUM(H3486:O3486)/COUNT(H3486:O3486)))</f>
        <v/>
      </c>
      <c r="J3486" s="1383"/>
      <c r="K3486" s="1373"/>
      <c r="L3486" s="1413"/>
      <c r="M3486" s="1376"/>
      <c r="N3486" s="1376"/>
      <c r="O3486" s="1376"/>
      <c r="P3486" s="1413"/>
      <c r="Q3486" s="3387"/>
      <c r="R3486" s="2343"/>
      <c r="S3486" s="16"/>
      <c r="T3486" s="16"/>
      <c r="U3486" s="16"/>
      <c r="V3486" s="16"/>
    </row>
    <row r="3487" spans="1:22">
      <c r="A3487" s="16"/>
      <c r="B3487" s="1042"/>
      <c r="C3487" s="88"/>
      <c r="D3487" s="1440"/>
      <c r="E3487" s="2132"/>
      <c r="F3487" s="1441"/>
      <c r="G3487" s="1441"/>
      <c r="H3487" s="1442"/>
      <c r="I3487" s="197" t="str">
        <f t="shared" ca="1" si="350"/>
        <v/>
      </c>
      <c r="J3487" s="198"/>
      <c r="K3487" s="1307"/>
      <c r="L3487" s="1335"/>
      <c r="M3487" s="1499"/>
      <c r="N3487" s="1701"/>
      <c r="O3487" s="1290"/>
      <c r="P3487" s="1332"/>
      <c r="Q3487" s="3391"/>
      <c r="R3487" s="2338"/>
      <c r="S3487" s="16"/>
      <c r="T3487" s="16"/>
      <c r="U3487" s="16"/>
      <c r="V3487" s="16"/>
    </row>
    <row r="3488" spans="1:22">
      <c r="A3488" s="16"/>
      <c r="B3488" s="1042"/>
      <c r="C3488" s="88"/>
      <c r="D3488" s="1440"/>
      <c r="E3488" s="2132"/>
      <c r="F3488" s="1441"/>
      <c r="G3488" s="1441"/>
      <c r="H3488" s="1442"/>
      <c r="I3488" s="197" t="str">
        <f t="shared" ca="1" si="350"/>
        <v/>
      </c>
      <c r="J3488" s="198"/>
      <c r="K3488" s="1307"/>
      <c r="L3488" s="1335"/>
      <c r="M3488" s="1499"/>
      <c r="N3488" s="1701"/>
      <c r="O3488" s="1290"/>
      <c r="P3488" s="1332"/>
      <c r="Q3488" s="3391"/>
      <c r="R3488" s="2346">
        <v>42131</v>
      </c>
      <c r="S3488" s="16"/>
      <c r="T3488" s="16"/>
      <c r="U3488" s="16"/>
      <c r="V3488" s="16"/>
    </row>
    <row r="3489" spans="1:22">
      <c r="A3489" s="16"/>
      <c r="B3489" s="223"/>
      <c r="C3489" s="581"/>
      <c r="D3489" s="1440"/>
      <c r="E3489" s="2132"/>
      <c r="F3489" s="1441"/>
      <c r="G3489" s="1441"/>
      <c r="H3489" s="1442"/>
      <c r="I3489" s="197" t="str">
        <f t="shared" ca="1" si="350"/>
        <v/>
      </c>
      <c r="J3489" s="198"/>
      <c r="K3489" s="1307"/>
      <c r="L3489" s="1335"/>
      <c r="M3489" s="1499"/>
      <c r="N3489" s="1701"/>
      <c r="O3489" s="1290"/>
      <c r="P3489" s="1332"/>
      <c r="Q3489" s="3391"/>
      <c r="R3489" s="2338"/>
      <c r="S3489" s="16"/>
      <c r="T3489" s="16"/>
      <c r="U3489" s="16"/>
      <c r="V3489" s="16"/>
    </row>
    <row r="3490" spans="1:22" ht="15" customHeight="1">
      <c r="A3490" s="16" t="s">
        <v>3764</v>
      </c>
      <c r="B3490" s="4325" t="s">
        <v>1823</v>
      </c>
      <c r="C3490" s="4074"/>
      <c r="D3490" s="4327"/>
      <c r="E3490" s="4329" t="s">
        <v>1527</v>
      </c>
      <c r="F3490" s="4461" t="s">
        <v>1824</v>
      </c>
      <c r="G3490" s="4331" t="s">
        <v>1568</v>
      </c>
      <c r="H3490" s="4331" t="s">
        <v>1574</v>
      </c>
      <c r="I3490" s="1572" t="s">
        <v>1559</v>
      </c>
      <c r="J3490" s="1294" t="s">
        <v>1560</v>
      </c>
      <c r="K3490" s="1294" t="s">
        <v>1561</v>
      </c>
      <c r="L3490" s="4333" t="s">
        <v>3765</v>
      </c>
      <c r="M3490" s="4323" t="s">
        <v>1571</v>
      </c>
      <c r="N3490" s="4323" t="s">
        <v>1776</v>
      </c>
      <c r="O3490" s="4073" t="s">
        <v>1563</v>
      </c>
      <c r="P3490" s="1336" t="s">
        <v>1562</v>
      </c>
      <c r="Q3490" s="3389"/>
      <c r="R3490" s="1839" t="s">
        <v>1327</v>
      </c>
      <c r="S3490" s="16"/>
      <c r="T3490" s="16"/>
      <c r="U3490" s="16"/>
      <c r="V3490" s="16"/>
    </row>
    <row r="3491" spans="1:22">
      <c r="A3491" s="1971" t="s">
        <v>3574</v>
      </c>
      <c r="B3491" s="4326"/>
      <c r="C3491" s="4075"/>
      <c r="D3491" s="4328"/>
      <c r="E3491" s="4330"/>
      <c r="F3491" s="4462"/>
      <c r="G3491" s="4332"/>
      <c r="H3491" s="4332"/>
      <c r="I3491" s="1345">
        <v>1</v>
      </c>
      <c r="J3491" s="3815">
        <v>3.0000000000000001E-3</v>
      </c>
      <c r="K3491" s="1307">
        <f>I3491*J3491</f>
        <v>3.0000000000000001E-3</v>
      </c>
      <c r="L3491" s="4334"/>
      <c r="M3491" s="4324"/>
      <c r="N3491" s="4324"/>
      <c r="O3491" s="1298">
        <f>O3493+O3494+O3495+O3499+O3503+O3511+O3512+O3513</f>
        <v>125.97102734000002</v>
      </c>
      <c r="P3491" s="1337">
        <f>K3491*O3491</f>
        <v>0.37791308202000007</v>
      </c>
      <c r="Q3491" s="3390"/>
      <c r="R3491" s="1840">
        <f>P3493+P3494+P3495+P3499+P3503+P3511+P3512+P3513</f>
        <v>0.37791308202000001</v>
      </c>
      <c r="S3491" s="16"/>
      <c r="T3491" s="16"/>
      <c r="U3491" s="16"/>
      <c r="V3491" s="16"/>
    </row>
    <row r="3492" spans="1:22">
      <c r="A3492" s="16"/>
      <c r="B3492" s="18"/>
      <c r="D3492" s="1449"/>
      <c r="E3492" s="2121"/>
      <c r="F3492" s="1368" t="s">
        <v>1</v>
      </c>
      <c r="G3492" s="1368"/>
      <c r="H3492" s="1369"/>
      <c r="I3492" s="1409"/>
      <c r="J3492" s="1391"/>
      <c r="K3492" s="1367"/>
      <c r="L3492" s="1554"/>
      <c r="M3492" s="1369"/>
      <c r="N3492" s="1369"/>
      <c r="O3492" s="1369"/>
      <c r="P3492" s="1367"/>
      <c r="Q3492" s="3387"/>
      <c r="R3492" s="2343"/>
      <c r="S3492" s="16"/>
      <c r="T3492" s="16"/>
      <c r="U3492" s="16"/>
      <c r="V3492" s="16"/>
    </row>
    <row r="3493" spans="1:22">
      <c r="A3493" s="16"/>
      <c r="B3493" s="1042"/>
      <c r="D3493" s="1767" t="s">
        <v>1752</v>
      </c>
      <c r="E3493" s="1849" t="s">
        <v>1521</v>
      </c>
      <c r="F3493" s="1654" t="s">
        <v>1825</v>
      </c>
      <c r="G3493" s="1567">
        <v>1.4E-2</v>
      </c>
      <c r="H3493" s="1567"/>
      <c r="I3493" s="1286"/>
      <c r="J3493" s="198"/>
      <c r="K3493" s="1722">
        <f>G3493*$K$3046</f>
        <v>4.2000000000000004E-5</v>
      </c>
      <c r="L3493" s="1335">
        <f t="shared" ref="L3493:L3494" si="351">K3493*$K$2842</f>
        <v>0</v>
      </c>
      <c r="M3493" s="1302">
        <v>66.989999999999995</v>
      </c>
      <c r="N3493" s="1700"/>
      <c r="O3493" s="1290">
        <f>G3493*M3493</f>
        <v>0.93785999999999992</v>
      </c>
      <c r="P3493" s="1739">
        <f>M3493*K3493</f>
        <v>2.81358E-3</v>
      </c>
      <c r="Q3493" s="3391"/>
      <c r="R3493" s="2343"/>
      <c r="S3493" s="16"/>
      <c r="T3493" s="16"/>
      <c r="U3493" s="16"/>
      <c r="V3493" s="16"/>
    </row>
    <row r="3494" spans="1:22">
      <c r="A3494" s="16"/>
      <c r="B3494" s="1042"/>
      <c r="D3494" s="1769" t="s">
        <v>1786</v>
      </c>
      <c r="E3494" s="1850" t="s">
        <v>1787</v>
      </c>
      <c r="F3494" s="1770" t="s">
        <v>1788</v>
      </c>
      <c r="G3494" s="1771">
        <v>1.1000000000000001</v>
      </c>
      <c r="H3494" s="1771"/>
      <c r="I3494" s="1286"/>
      <c r="J3494" s="198"/>
      <c r="K3494" s="1722">
        <f>G3494*$K$3046</f>
        <v>3.3000000000000004E-3</v>
      </c>
      <c r="L3494" s="1335">
        <f t="shared" si="351"/>
        <v>0</v>
      </c>
      <c r="M3494" s="1302">
        <v>1.54</v>
      </c>
      <c r="N3494" s="1700"/>
      <c r="O3494" s="1290">
        <f>G3494*M3494</f>
        <v>1.6940000000000002</v>
      </c>
      <c r="P3494" s="1739">
        <f>M3494*K3494</f>
        <v>5.0820000000000006E-3</v>
      </c>
      <c r="Q3494" s="3391"/>
      <c r="R3494" s="2343"/>
      <c r="S3494" s="16"/>
      <c r="T3494" s="16"/>
      <c r="U3494" s="16"/>
      <c r="V3494" s="16"/>
    </row>
    <row r="3495" spans="1:22">
      <c r="A3495" s="16"/>
      <c r="B3495" s="1042"/>
      <c r="C3495" s="1356" t="s">
        <v>1128</v>
      </c>
      <c r="D3495" s="1585"/>
      <c r="E3495" s="1851" t="s">
        <v>1517</v>
      </c>
      <c r="F3495" s="1768" t="s">
        <v>1695</v>
      </c>
      <c r="G3495" s="1776"/>
      <c r="H3495" s="1776">
        <v>5.0000000000000001E-3</v>
      </c>
      <c r="I3495" s="1388"/>
      <c r="J3495" s="1366"/>
      <c r="K3495" s="1841"/>
      <c r="L3495" s="1445"/>
      <c r="M3495" s="1447"/>
      <c r="N3495" s="1447">
        <f>SUM(N3496:N3498)</f>
        <v>104.27969999999999</v>
      </c>
      <c r="O3495" s="1447">
        <f>SUM(O3496:O3498)</f>
        <v>0.52139849999999999</v>
      </c>
      <c r="P3495" s="1741">
        <f>SUM(P3496:P3498)</f>
        <v>1.5641954999999999E-3</v>
      </c>
      <c r="Q3495" s="3391"/>
      <c r="R3495" s="2343"/>
      <c r="S3495" s="16"/>
      <c r="T3495" s="16"/>
      <c r="U3495" s="16"/>
      <c r="V3495" s="16"/>
    </row>
    <row r="3496" spans="1:22" ht="15" customHeight="1">
      <c r="A3496" s="16"/>
      <c r="B3496" s="553"/>
      <c r="C3496" s="1042"/>
      <c r="D3496" s="1752" t="s">
        <v>1779</v>
      </c>
      <c r="E3496" s="1852" t="s">
        <v>1577</v>
      </c>
      <c r="F3496" s="1752" t="s">
        <v>1780</v>
      </c>
      <c r="G3496" s="1753">
        <v>0.876</v>
      </c>
      <c r="H3496" s="1453">
        <f>$H$3050*G3496</f>
        <v>4.3800000000000002E-3</v>
      </c>
      <c r="I3496" s="197"/>
      <c r="J3496" s="198"/>
      <c r="K3496" s="1722">
        <f>H3496*$K$3046</f>
        <v>1.3140000000000001E-5</v>
      </c>
      <c r="L3496" s="1335">
        <f t="shared" ref="L3496:L3498" si="352">K3496*$K$2842</f>
        <v>0</v>
      </c>
      <c r="M3496" s="1759">
        <v>56.05</v>
      </c>
      <c r="N3496" s="1718">
        <f>G3496*M3496</f>
        <v>49.099799999999995</v>
      </c>
      <c r="O3496" s="1719">
        <f>H3496*M3496</f>
        <v>0.245499</v>
      </c>
      <c r="P3496" s="1731">
        <f>M3496*K3496</f>
        <v>7.3649700000000002E-4</v>
      </c>
      <c r="Q3496" s="3396"/>
      <c r="R3496" s="2343"/>
      <c r="S3496" s="17"/>
      <c r="T3496" s="17"/>
      <c r="U3496" s="16"/>
      <c r="V3496" s="16"/>
    </row>
    <row r="3497" spans="1:22">
      <c r="A3497" s="16"/>
      <c r="B3497" s="553"/>
      <c r="C3497" s="1042"/>
      <c r="D3497" s="1752" t="s">
        <v>1069</v>
      </c>
      <c r="E3497" s="1852" t="s">
        <v>1517</v>
      </c>
      <c r="F3497" s="1752" t="s">
        <v>1578</v>
      </c>
      <c r="G3497" s="1753">
        <v>0.61799999999999999</v>
      </c>
      <c r="H3497" s="1453">
        <f t="shared" ref="H3497:H3498" si="353">$H$3050*G3497</f>
        <v>3.0899999999999999E-3</v>
      </c>
      <c r="I3497" s="27"/>
      <c r="J3497" s="10"/>
      <c r="K3497" s="1722">
        <f t="shared" ref="K3497:K3498" si="354">H3497*$K$3046</f>
        <v>9.2699999999999993E-6</v>
      </c>
      <c r="L3497" s="1335">
        <f t="shared" si="352"/>
        <v>0</v>
      </c>
      <c r="M3497" s="1759">
        <v>0.55000000000000004</v>
      </c>
      <c r="N3497" s="1718">
        <f>G3497*M3497</f>
        <v>0.33990000000000004</v>
      </c>
      <c r="O3497" s="1719">
        <f>H3497*M3497</f>
        <v>1.6995000000000001E-3</v>
      </c>
      <c r="P3497" s="1843">
        <f>M3497*K3497</f>
        <v>5.0985000000000004E-6</v>
      </c>
      <c r="Q3497" s="3396"/>
      <c r="R3497" s="2343"/>
      <c r="S3497" s="105"/>
      <c r="T3497" s="105"/>
      <c r="U3497" s="16"/>
      <c r="V3497" s="16"/>
    </row>
    <row r="3498" spans="1:22">
      <c r="A3498" s="16"/>
      <c r="B3498" s="553"/>
      <c r="C3498" s="1042"/>
      <c r="D3498" s="1754" t="s">
        <v>1067</v>
      </c>
      <c r="E3498" s="1853" t="s">
        <v>1508</v>
      </c>
      <c r="F3498" s="1754" t="s">
        <v>1512</v>
      </c>
      <c r="G3498" s="1755">
        <v>3</v>
      </c>
      <c r="H3498" s="1454">
        <f t="shared" si="353"/>
        <v>1.4999999999999999E-2</v>
      </c>
      <c r="I3498" s="198"/>
      <c r="J3498" s="198"/>
      <c r="K3498" s="1722">
        <f t="shared" si="354"/>
        <v>4.4999999999999996E-5</v>
      </c>
      <c r="L3498" s="1335">
        <f t="shared" si="352"/>
        <v>0</v>
      </c>
      <c r="M3498" s="1759">
        <v>18.28</v>
      </c>
      <c r="N3498" s="1718">
        <f>G3498*M3498</f>
        <v>54.84</v>
      </c>
      <c r="O3498" s="1719">
        <f>H3498*M3498</f>
        <v>0.2742</v>
      </c>
      <c r="P3498" s="1727">
        <f>M3498*K3498</f>
        <v>8.2259999999999994E-4</v>
      </c>
      <c r="Q3498" s="3396"/>
      <c r="R3498" s="2343"/>
      <c r="S3498" s="16"/>
      <c r="T3498" s="16"/>
      <c r="U3498" s="16"/>
      <c r="V3498" s="16"/>
    </row>
    <row r="3499" spans="1:22">
      <c r="A3499" s="16"/>
      <c r="B3499" s="553"/>
      <c r="C3499" s="1356" t="s">
        <v>1152</v>
      </c>
      <c r="D3499" s="1311"/>
      <c r="E3499" s="1854" t="s">
        <v>1517</v>
      </c>
      <c r="F3499" s="1749" t="s">
        <v>1696</v>
      </c>
      <c r="G3499" s="1776"/>
      <c r="H3499" s="1688">
        <v>1E-3</v>
      </c>
      <c r="I3499" s="1388"/>
      <c r="J3499" s="1388"/>
      <c r="K3499" s="1841"/>
      <c r="L3499" s="1445"/>
      <c r="M3499" s="1447"/>
      <c r="N3499" s="1447">
        <f>SUM(N3500:N3502)</f>
        <v>108.04650000000001</v>
      </c>
      <c r="O3499" s="1447">
        <f>SUM(O3500:O3502)</f>
        <v>0.10804650000000002</v>
      </c>
      <c r="P3499" s="1844">
        <f>SUM(P3500:P3502)</f>
        <v>3.2413950000000004E-4</v>
      </c>
      <c r="Q3499" s="3391"/>
      <c r="R3499" s="2343"/>
      <c r="S3499" s="16"/>
      <c r="T3499" s="16"/>
      <c r="U3499" s="16"/>
      <c r="V3499" s="16"/>
    </row>
    <row r="3500" spans="1:22">
      <c r="A3500" s="16"/>
      <c r="B3500" s="553"/>
      <c r="C3500" s="18"/>
      <c r="D3500" s="1756" t="s">
        <v>1781</v>
      </c>
      <c r="E3500" s="1852" t="s">
        <v>1577</v>
      </c>
      <c r="F3500" s="1752" t="s">
        <v>1782</v>
      </c>
      <c r="G3500" s="1753">
        <v>0.876</v>
      </c>
      <c r="H3500" s="1453">
        <f>$H$3054*G3500</f>
        <v>8.7600000000000004E-4</v>
      </c>
      <c r="I3500" s="198"/>
      <c r="J3500" s="198"/>
      <c r="K3500" s="1722">
        <f t="shared" ref="K3500:K3502" si="355">H3500*$K$3046</f>
        <v>2.6280000000000001E-6</v>
      </c>
      <c r="L3500" s="1335">
        <f t="shared" ref="L3500:L3502" si="356">K3500*$K$2842</f>
        <v>0</v>
      </c>
      <c r="M3500" s="1723">
        <v>60.35</v>
      </c>
      <c r="N3500" s="1718">
        <f>G3500*M3500</f>
        <v>52.866599999999998</v>
      </c>
      <c r="O3500" s="1719">
        <f>H3500*M3500</f>
        <v>5.2866600000000007E-2</v>
      </c>
      <c r="P3500" s="1731">
        <f>M3500*K3500</f>
        <v>1.5859980000000002E-4</v>
      </c>
      <c r="Q3500" s="3396"/>
      <c r="R3500" s="2343"/>
      <c r="S3500" s="16"/>
      <c r="T3500" s="16"/>
      <c r="U3500" s="16"/>
      <c r="V3500" s="16"/>
    </row>
    <row r="3501" spans="1:22">
      <c r="A3501" s="16"/>
      <c r="B3501" s="553"/>
      <c r="C3501" s="1042"/>
      <c r="D3501" s="1756" t="s">
        <v>1069</v>
      </c>
      <c r="E3501" s="1852" t="s">
        <v>1517</v>
      </c>
      <c r="F3501" s="1752" t="s">
        <v>1578</v>
      </c>
      <c r="G3501" s="1753">
        <v>0.61799999999999999</v>
      </c>
      <c r="H3501" s="1453">
        <f t="shared" ref="H3501:H3502" si="357">$H$3054*G3501</f>
        <v>6.1800000000000006E-4</v>
      </c>
      <c r="I3501" s="197"/>
      <c r="J3501" s="198"/>
      <c r="K3501" s="1722">
        <f t="shared" si="355"/>
        <v>1.8540000000000002E-6</v>
      </c>
      <c r="L3501" s="1335">
        <f t="shared" si="356"/>
        <v>0</v>
      </c>
      <c r="M3501" s="1723">
        <v>0.55000000000000004</v>
      </c>
      <c r="N3501" s="1718">
        <f>G3501*M3501</f>
        <v>0.33990000000000004</v>
      </c>
      <c r="O3501" s="1719">
        <f>H3501*M3501</f>
        <v>3.3990000000000008E-4</v>
      </c>
      <c r="P3501" s="1843">
        <f>M3501*K3501</f>
        <v>1.0197000000000002E-6</v>
      </c>
      <c r="Q3501" s="3396"/>
      <c r="R3501" s="2343"/>
      <c r="S3501" s="16"/>
      <c r="T3501" s="16"/>
      <c r="U3501" s="16"/>
      <c r="V3501" s="16"/>
    </row>
    <row r="3502" spans="1:22">
      <c r="A3502" s="16"/>
      <c r="B3502" s="553"/>
      <c r="C3502" s="1042"/>
      <c r="D3502" s="1811" t="s">
        <v>1067</v>
      </c>
      <c r="E3502" s="1853" t="s">
        <v>1508</v>
      </c>
      <c r="F3502" s="1754" t="s">
        <v>1512</v>
      </c>
      <c r="G3502" s="1755">
        <v>3</v>
      </c>
      <c r="H3502" s="1454">
        <f t="shared" si="357"/>
        <v>3.0000000000000001E-3</v>
      </c>
      <c r="I3502" s="1289"/>
      <c r="J3502" s="198"/>
      <c r="K3502" s="1722">
        <f t="shared" si="355"/>
        <v>9.0000000000000002E-6</v>
      </c>
      <c r="L3502" s="1335">
        <f t="shared" si="356"/>
        <v>0</v>
      </c>
      <c r="M3502" s="1723">
        <v>18.28</v>
      </c>
      <c r="N3502" s="1718">
        <f>G3502*M3502</f>
        <v>54.84</v>
      </c>
      <c r="O3502" s="1719">
        <f>H3502*M3502</f>
        <v>5.4840000000000007E-2</v>
      </c>
      <c r="P3502" s="1731">
        <f>M3502*K3502</f>
        <v>1.6452E-4</v>
      </c>
      <c r="Q3502" s="3396"/>
      <c r="R3502" s="2343"/>
      <c r="S3502" s="16"/>
      <c r="T3502" s="16"/>
      <c r="U3502" s="16"/>
      <c r="V3502" s="16"/>
    </row>
    <row r="3503" spans="1:22">
      <c r="A3503" s="16"/>
      <c r="B3503" s="1042"/>
      <c r="C3503" s="1658" t="s">
        <v>1122</v>
      </c>
      <c r="D3503" s="1311"/>
      <c r="E3503" s="1855" t="s">
        <v>1517</v>
      </c>
      <c r="F3503" s="1647" t="s">
        <v>1681</v>
      </c>
      <c r="G3503" s="1689"/>
      <c r="H3503" s="1689">
        <v>1.4E-2</v>
      </c>
      <c r="I3503" s="1444"/>
      <c r="J3503" s="1388"/>
      <c r="K3503" s="1841"/>
      <c r="L3503" s="1445"/>
      <c r="M3503" s="1500"/>
      <c r="N3503" s="1501">
        <f>SUM(N3504:N3508)</f>
        <v>51.667310000000001</v>
      </c>
      <c r="O3503" s="1501">
        <f>SUM(O3504:O3508)</f>
        <v>0.72334234000000008</v>
      </c>
      <c r="P3503" s="1845">
        <f>SUM(P3504:P3508)</f>
        <v>2.1700270200000005E-3</v>
      </c>
      <c r="Q3503" s="3391"/>
      <c r="R3503" s="2343"/>
      <c r="S3503" s="16"/>
      <c r="T3503" s="16"/>
      <c r="U3503" s="16"/>
      <c r="V3503" s="16"/>
    </row>
    <row r="3504" spans="1:22">
      <c r="A3504" s="16"/>
      <c r="B3504" s="1042"/>
      <c r="C3504" s="1042"/>
      <c r="D3504" s="1451" t="s">
        <v>1069</v>
      </c>
      <c r="E3504" s="1856" t="s">
        <v>1517</v>
      </c>
      <c r="F3504" s="1421" t="s">
        <v>1578</v>
      </c>
      <c r="G3504" s="1452">
        <v>0.26300000000000001</v>
      </c>
      <c r="H3504" s="1453">
        <f>$H$3058*G3504</f>
        <v>3.6820000000000004E-3</v>
      </c>
      <c r="I3504" s="197"/>
      <c r="J3504" s="198"/>
      <c r="K3504" s="1722">
        <f t="shared" ref="K3504:K3508" si="358">H3504*$K$3046</f>
        <v>1.1046000000000001E-5</v>
      </c>
      <c r="L3504" s="1335">
        <f t="shared" ref="L3504:L3508" si="359">K3504*$K$2842</f>
        <v>0</v>
      </c>
      <c r="M3504" s="1723">
        <v>0.55000000000000004</v>
      </c>
      <c r="N3504" s="1724">
        <f>G3504*M3504</f>
        <v>0.14465000000000003</v>
      </c>
      <c r="O3504" s="1719">
        <f>H3504*M3504</f>
        <v>2.0251000000000002E-3</v>
      </c>
      <c r="P3504" s="1843">
        <f>K3504*M3504</f>
        <v>6.0753000000000009E-6</v>
      </c>
      <c r="Q3504" s="3396"/>
      <c r="R3504" s="2338"/>
      <c r="S3504" s="16"/>
      <c r="T3504" s="16"/>
      <c r="U3504" s="16"/>
      <c r="V3504" s="16"/>
    </row>
    <row r="3505" spans="1:22">
      <c r="A3505" s="16"/>
      <c r="B3505" s="1042"/>
      <c r="C3505" s="1320"/>
      <c r="D3505" s="1367" t="s">
        <v>1394</v>
      </c>
      <c r="E3505" s="1856" t="s">
        <v>1577</v>
      </c>
      <c r="F3505" s="1421" t="s">
        <v>1579</v>
      </c>
      <c r="G3505" s="1452">
        <v>0.25800000000000001</v>
      </c>
      <c r="H3505" s="1453">
        <f t="shared" ref="H3505:H3508" si="360">$H$3058*G3505</f>
        <v>3.6120000000000002E-3</v>
      </c>
      <c r="I3505" s="197"/>
      <c r="J3505" s="198"/>
      <c r="K3505" s="1722">
        <f t="shared" si="358"/>
        <v>1.0836000000000001E-5</v>
      </c>
      <c r="L3505" s="1335">
        <f t="shared" si="359"/>
        <v>0</v>
      </c>
      <c r="M3505" s="1723">
        <v>92.54</v>
      </c>
      <c r="N3505" s="1724">
        <f>G3505*M3505</f>
        <v>23.875320000000002</v>
      </c>
      <c r="O3505" s="1719">
        <f>H3505*M3505</f>
        <v>0.33425448000000002</v>
      </c>
      <c r="P3505" s="1731">
        <f>K3505*M3505</f>
        <v>1.0027634400000002E-3</v>
      </c>
      <c r="Q3505" s="3396"/>
      <c r="R3505" s="2338"/>
      <c r="S3505" s="16"/>
      <c r="T3505" s="16"/>
      <c r="U3505" s="16"/>
      <c r="V3505" s="16"/>
    </row>
    <row r="3506" spans="1:22">
      <c r="A3506" s="16"/>
      <c r="B3506" s="1042"/>
      <c r="C3506" s="1320"/>
      <c r="D3506" s="1603" t="s">
        <v>1682</v>
      </c>
      <c r="E3506" s="1856" t="s">
        <v>1683</v>
      </c>
      <c r="F3506" s="1421" t="s">
        <v>1684</v>
      </c>
      <c r="G3506" s="1452">
        <v>1.288</v>
      </c>
      <c r="H3506" s="1453">
        <f t="shared" si="360"/>
        <v>1.8031999999999999E-2</v>
      </c>
      <c r="I3506" s="197"/>
      <c r="J3506" s="198"/>
      <c r="K3506" s="1722">
        <f t="shared" si="358"/>
        <v>5.4095999999999998E-5</v>
      </c>
      <c r="L3506" s="1335">
        <f t="shared" si="359"/>
        <v>0</v>
      </c>
      <c r="M3506" s="1723">
        <v>1.26</v>
      </c>
      <c r="N3506" s="1724">
        <f>G3506*M3506</f>
        <v>1.6228800000000001</v>
      </c>
      <c r="O3506" s="1719">
        <f>H3506*M3506</f>
        <v>2.2720319999999999E-2</v>
      </c>
      <c r="P3506" s="1734">
        <f>K3506*M3506</f>
        <v>6.8160959999999997E-5</v>
      </c>
      <c r="Q3506" s="3396"/>
      <c r="R3506" s="2338"/>
      <c r="S3506" s="16"/>
      <c r="T3506" s="16"/>
      <c r="U3506" s="16"/>
      <c r="V3506" s="16"/>
    </row>
    <row r="3507" spans="1:22">
      <c r="A3507" s="16"/>
      <c r="B3507" s="1042"/>
      <c r="C3507" s="1320"/>
      <c r="D3507" s="1603" t="s">
        <v>1576</v>
      </c>
      <c r="E3507" s="1856" t="s">
        <v>1517</v>
      </c>
      <c r="F3507" s="1421" t="s">
        <v>1580</v>
      </c>
      <c r="G3507" s="1452">
        <v>1.1020000000000001</v>
      </c>
      <c r="H3507" s="1453">
        <f t="shared" si="360"/>
        <v>1.5428000000000001E-2</v>
      </c>
      <c r="I3507" s="197"/>
      <c r="J3507" s="198"/>
      <c r="K3507" s="1722">
        <f t="shared" si="358"/>
        <v>4.6284000000000006E-5</v>
      </c>
      <c r="L3507" s="1335">
        <f t="shared" si="359"/>
        <v>0</v>
      </c>
      <c r="M3507" s="1723">
        <v>6.53</v>
      </c>
      <c r="N3507" s="1724">
        <f>G3507*M3507</f>
        <v>7.196060000000001</v>
      </c>
      <c r="O3507" s="1719">
        <f>H3507*M3507</f>
        <v>0.10074484</v>
      </c>
      <c r="P3507" s="1731">
        <f>K3507*M3507</f>
        <v>3.0223452000000006E-4</v>
      </c>
      <c r="Q3507" s="3396"/>
      <c r="R3507" s="2338"/>
      <c r="S3507" s="16"/>
      <c r="T3507" s="16"/>
      <c r="U3507" s="16"/>
      <c r="V3507" s="16"/>
    </row>
    <row r="3508" spans="1:22">
      <c r="A3508" s="16"/>
      <c r="B3508" s="1042"/>
      <c r="C3508" s="1320"/>
      <c r="D3508" s="1443" t="s">
        <v>1067</v>
      </c>
      <c r="E3508" s="1857" t="s">
        <v>1508</v>
      </c>
      <c r="F3508" s="1430" t="s">
        <v>1512</v>
      </c>
      <c r="G3508" s="1431">
        <v>1.03</v>
      </c>
      <c r="H3508" s="1454">
        <f t="shared" si="360"/>
        <v>1.4420000000000001E-2</v>
      </c>
      <c r="I3508" s="197"/>
      <c r="J3508" s="198"/>
      <c r="K3508" s="1722">
        <f t="shared" si="358"/>
        <v>4.3260000000000003E-5</v>
      </c>
      <c r="L3508" s="1335">
        <f t="shared" si="359"/>
        <v>0</v>
      </c>
      <c r="M3508" s="1723">
        <v>18.28</v>
      </c>
      <c r="N3508" s="1724">
        <f>G3508*M3508</f>
        <v>18.828400000000002</v>
      </c>
      <c r="O3508" s="1719">
        <f>H3508*M3508</f>
        <v>0.26359760000000004</v>
      </c>
      <c r="P3508" s="1731">
        <f>K3508*M3508</f>
        <v>7.9079280000000007E-4</v>
      </c>
      <c r="Q3508" s="3396"/>
      <c r="R3508" s="2338"/>
      <c r="S3508" s="16"/>
      <c r="T3508" s="16"/>
      <c r="U3508" s="16"/>
      <c r="V3508" s="16"/>
    </row>
    <row r="3509" spans="1:22">
      <c r="A3509" s="16"/>
      <c r="B3509" s="1042"/>
      <c r="C3509" s="88"/>
      <c r="D3509" s="1752"/>
      <c r="E3509" s="1852"/>
      <c r="F3509" s="1752"/>
      <c r="G3509" s="1399"/>
      <c r="H3509" s="1399"/>
      <c r="I3509" s="197" t="str">
        <f ca="1">IF(COUNT(H3509:O3509)=0,"",(SUM(H3509:O3509)/COUNT(H3509:O3509)))</f>
        <v/>
      </c>
      <c r="J3509" s="198"/>
      <c r="K3509" s="1722"/>
      <c r="L3509" s="1335"/>
      <c r="M3509" s="1499"/>
      <c r="N3509" s="1718"/>
      <c r="O3509" s="1719"/>
      <c r="P3509" s="1731"/>
      <c r="Q3509" s="3396"/>
      <c r="R3509" s="2338"/>
      <c r="S3509" s="16"/>
      <c r="T3509" s="16"/>
      <c r="U3509" s="16"/>
      <c r="V3509" s="16"/>
    </row>
    <row r="3510" spans="1:22">
      <c r="A3510" s="16"/>
      <c r="B3510" s="1042"/>
      <c r="C3510" s="88"/>
      <c r="D3510" s="1359"/>
      <c r="E3510" s="1858"/>
      <c r="F3510" s="1360" t="s">
        <v>2</v>
      </c>
      <c r="G3510" s="1360"/>
      <c r="H3510" s="1362"/>
      <c r="I3510" s="1380" t="str">
        <f ca="1">IF(COUNT(H3510:O3510)=0,"",(SUM(H3510:O3510)/COUNT(H3510:O3510)))</f>
        <v/>
      </c>
      <c r="J3510" s="1381"/>
      <c r="K3510" s="1842"/>
      <c r="L3510" s="1458"/>
      <c r="M3510" s="1362"/>
      <c r="N3510" s="1362"/>
      <c r="O3510" s="1362"/>
      <c r="P3510" s="1458"/>
      <c r="Q3510" s="3387"/>
      <c r="R3510" s="2343"/>
      <c r="S3510" s="16"/>
      <c r="T3510" s="16"/>
      <c r="U3510" s="16"/>
      <c r="V3510" s="16"/>
    </row>
    <row r="3511" spans="1:22">
      <c r="A3511" s="16"/>
      <c r="B3511" s="1320"/>
      <c r="C3511" s="1042"/>
      <c r="D3511" s="1655" t="s">
        <v>1806</v>
      </c>
      <c r="E3511" s="1859" t="s">
        <v>1508</v>
      </c>
      <c r="F3511" s="1655" t="s">
        <v>1821</v>
      </c>
      <c r="G3511" s="1809">
        <v>2.3279999999999998</v>
      </c>
      <c r="H3511" s="1439"/>
      <c r="I3511" s="197"/>
      <c r="J3511" s="198"/>
      <c r="K3511" s="1722">
        <f t="shared" ref="K3511:K3513" si="361">G3511*$K$3046</f>
        <v>6.9839999999999998E-3</v>
      </c>
      <c r="L3511" s="1335">
        <f t="shared" ref="L3511:L3513" si="362">K3511*$K$2842</f>
        <v>0</v>
      </c>
      <c r="M3511" s="1499">
        <v>19.23</v>
      </c>
      <c r="N3511" s="1701"/>
      <c r="O3511" s="1290">
        <f>(G3511*M3511)</f>
        <v>44.767440000000001</v>
      </c>
      <c r="P3511" s="1739">
        <f>M3511*K3511</f>
        <v>0.13430232</v>
      </c>
      <c r="Q3511" s="3391"/>
      <c r="R3511" s="3795"/>
      <c r="S3511" s="16"/>
      <c r="T3511" s="16"/>
      <c r="U3511" s="16"/>
      <c r="V3511" s="16"/>
    </row>
    <row r="3512" spans="1:22">
      <c r="A3512" s="16"/>
      <c r="B3512" s="1042"/>
      <c r="C3512" s="88"/>
      <c r="D3512" s="1655" t="s">
        <v>1826</v>
      </c>
      <c r="E3512" s="1859" t="s">
        <v>1508</v>
      </c>
      <c r="F3512" s="1655" t="s">
        <v>1827</v>
      </c>
      <c r="G3512" s="1809">
        <v>2.91</v>
      </c>
      <c r="H3512" s="1365"/>
      <c r="I3512" s="1286"/>
      <c r="J3512" s="198"/>
      <c r="K3512" s="1722">
        <f t="shared" si="361"/>
        <v>8.7299999999999999E-3</v>
      </c>
      <c r="L3512" s="1335">
        <f t="shared" si="362"/>
        <v>0</v>
      </c>
      <c r="M3512" s="1302">
        <v>19.23</v>
      </c>
      <c r="N3512" s="1302"/>
      <c r="O3512" s="1290">
        <f>(G3512*M3512)</f>
        <v>55.959300000000006</v>
      </c>
      <c r="P3512" s="1739">
        <f>M3512*K3512</f>
        <v>0.1678779</v>
      </c>
      <c r="Q3512" s="3391"/>
      <c r="R3512" s="2338"/>
      <c r="S3512" s="16"/>
      <c r="T3512" s="16"/>
      <c r="U3512" s="16"/>
      <c r="V3512" s="16"/>
    </row>
    <row r="3513" spans="1:22">
      <c r="A3513" s="16"/>
      <c r="B3513" s="1042"/>
      <c r="C3513" s="88"/>
      <c r="D3513" s="2192" t="s">
        <v>1802</v>
      </c>
      <c r="E3513" s="2267" t="s">
        <v>1508</v>
      </c>
      <c r="F3513" s="2192" t="s">
        <v>1804</v>
      </c>
      <c r="G3513" s="1809">
        <v>1.163</v>
      </c>
      <c r="H3513" s="1362"/>
      <c r="I3513" s="197">
        <f ca="1">IF(COUNT(G3513:L3513)=0,"",(SUM(G3513:L3513)/COUNT(G3513:L3513)))</f>
        <v>0.38882815234375001</v>
      </c>
      <c r="J3513" s="198"/>
      <c r="K3513" s="1722">
        <f t="shared" si="361"/>
        <v>3.4890000000000003E-3</v>
      </c>
      <c r="L3513" s="1335">
        <f t="shared" si="362"/>
        <v>0</v>
      </c>
      <c r="M3513" s="1302">
        <v>18.28</v>
      </c>
      <c r="N3513" s="7"/>
      <c r="O3513" s="1290">
        <f>(G3513*M3513)</f>
        <v>21.259640000000001</v>
      </c>
      <c r="P3513" s="1739">
        <f>M3513*K3513</f>
        <v>6.3778920000000017E-2</v>
      </c>
      <c r="Q3513" s="3391"/>
      <c r="R3513" s="2338"/>
      <c r="S3513" s="16"/>
      <c r="T3513" s="16"/>
      <c r="U3513" s="16"/>
      <c r="V3513" s="16"/>
    </row>
    <row r="3514" spans="1:22">
      <c r="A3514" s="16"/>
      <c r="B3514" s="1042"/>
      <c r="C3514" s="88"/>
      <c r="D3514" s="1620"/>
      <c r="E3514" s="2157"/>
      <c r="F3514" s="1620"/>
      <c r="G3514" s="2266"/>
      <c r="H3514" s="1362"/>
      <c r="I3514" s="197"/>
      <c r="J3514" s="198"/>
      <c r="K3514" s="1722"/>
      <c r="L3514" s="1335"/>
      <c r="M3514" s="1302"/>
      <c r="N3514" s="7"/>
      <c r="O3514" s="1290"/>
      <c r="P3514" s="1739"/>
      <c r="Q3514" s="3391"/>
      <c r="R3514" s="2338"/>
      <c r="S3514" s="16"/>
      <c r="T3514" s="16"/>
      <c r="U3514" s="16"/>
      <c r="V3514" s="16"/>
    </row>
    <row r="3515" spans="1:22">
      <c r="A3515" s="16"/>
      <c r="B3515" s="1042"/>
      <c r="C3515" s="88"/>
      <c r="D3515" s="1373"/>
      <c r="E3515" s="2123"/>
      <c r="F3515" s="1374" t="s">
        <v>3</v>
      </c>
      <c r="G3515" s="1374"/>
      <c r="H3515" s="1376"/>
      <c r="I3515" s="1382" t="str">
        <f t="shared" ref="I3515:I3518" ca="1" si="363">IF(COUNT(H3515:O3515)=0,"",(SUM(H3515:O3515)/COUNT(H3515:O3515)))</f>
        <v/>
      </c>
      <c r="J3515" s="1383"/>
      <c r="K3515" s="1373"/>
      <c r="L3515" s="1413"/>
      <c r="M3515" s="1376"/>
      <c r="N3515" s="1376"/>
      <c r="O3515" s="1376"/>
      <c r="P3515" s="1413"/>
      <c r="Q3515" s="3387"/>
      <c r="R3515" s="2343"/>
      <c r="S3515" s="16"/>
      <c r="T3515" s="16"/>
      <c r="U3515" s="16"/>
      <c r="V3515" s="16"/>
    </row>
    <row r="3516" spans="1:22">
      <c r="A3516" s="16"/>
      <c r="B3516" s="1042"/>
      <c r="C3516" s="88"/>
      <c r="D3516" s="1440"/>
      <c r="E3516" s="2132"/>
      <c r="F3516" s="1441"/>
      <c r="G3516" s="1441"/>
      <c r="H3516" s="1442"/>
      <c r="I3516" s="197" t="str">
        <f t="shared" ca="1" si="363"/>
        <v/>
      </c>
      <c r="J3516" s="198"/>
      <c r="K3516" s="1307"/>
      <c r="L3516" s="1335"/>
      <c r="M3516" s="1499"/>
      <c r="N3516" s="1701"/>
      <c r="O3516" s="1290"/>
      <c r="P3516" s="1332"/>
      <c r="Q3516" s="3391"/>
      <c r="R3516" s="2338"/>
      <c r="S3516" s="16"/>
      <c r="T3516" s="16"/>
      <c r="U3516" s="16"/>
      <c r="V3516" s="16"/>
    </row>
    <row r="3517" spans="1:22">
      <c r="A3517" s="16"/>
      <c r="B3517" s="1042"/>
      <c r="C3517" s="88"/>
      <c r="D3517" s="1440"/>
      <c r="E3517" s="2132"/>
      <c r="F3517" s="1441"/>
      <c r="G3517" s="1441"/>
      <c r="H3517" s="1442"/>
      <c r="I3517" s="197" t="str">
        <f t="shared" ca="1" si="363"/>
        <v/>
      </c>
      <c r="J3517" s="198"/>
      <c r="K3517" s="1307"/>
      <c r="L3517" s="1335"/>
      <c r="M3517" s="1499"/>
      <c r="N3517" s="1701"/>
      <c r="O3517" s="1290"/>
      <c r="P3517" s="1332"/>
      <c r="Q3517" s="3391"/>
      <c r="R3517" s="2338"/>
      <c r="S3517" s="16"/>
      <c r="T3517" s="16"/>
      <c r="U3517" s="16"/>
      <c r="V3517" s="16"/>
    </row>
    <row r="3518" spans="1:22">
      <c r="A3518" s="16"/>
      <c r="B3518" s="223"/>
      <c r="C3518" s="581"/>
      <c r="D3518" s="1440"/>
      <c r="E3518" s="2132"/>
      <c r="F3518" s="1441"/>
      <c r="G3518" s="1441"/>
      <c r="H3518" s="1442"/>
      <c r="I3518" s="197" t="str">
        <f t="shared" ca="1" si="363"/>
        <v/>
      </c>
      <c r="J3518" s="198"/>
      <c r="K3518" s="1307"/>
      <c r="L3518" s="1335"/>
      <c r="M3518" s="1499"/>
      <c r="N3518" s="1701"/>
      <c r="O3518" s="1290"/>
      <c r="P3518" s="1332"/>
      <c r="Q3518" s="3391"/>
      <c r="R3518" s="2338"/>
      <c r="S3518" s="16"/>
      <c r="T3518" s="16"/>
      <c r="U3518" s="16"/>
      <c r="V3518" s="16"/>
    </row>
    <row r="3519" spans="1:22" ht="15" customHeight="1">
      <c r="A3519" s="16" t="s">
        <v>3764</v>
      </c>
      <c r="B3519" s="4325" t="s">
        <v>1828</v>
      </c>
      <c r="C3519" s="4074"/>
      <c r="D3519" s="4327"/>
      <c r="E3519" s="4329" t="s">
        <v>1504</v>
      </c>
      <c r="F3519" s="4461" t="s">
        <v>1829</v>
      </c>
      <c r="G3519" s="4331" t="s">
        <v>1568</v>
      </c>
      <c r="H3519" s="4331" t="s">
        <v>1574</v>
      </c>
      <c r="I3519" s="1572" t="s">
        <v>1559</v>
      </c>
      <c r="J3519" s="1294" t="s">
        <v>1560</v>
      </c>
      <c r="K3519" s="1294" t="s">
        <v>1561</v>
      </c>
      <c r="L3519" s="4333" t="s">
        <v>3765</v>
      </c>
      <c r="M3519" s="4323" t="s">
        <v>1571</v>
      </c>
      <c r="N3519" s="4323" t="s">
        <v>1776</v>
      </c>
      <c r="O3519" s="4073" t="s">
        <v>1563</v>
      </c>
      <c r="P3519" s="1336" t="s">
        <v>1562</v>
      </c>
      <c r="Q3519" s="3389"/>
      <c r="R3519" s="1839" t="s">
        <v>1327</v>
      </c>
      <c r="S3519" s="16"/>
      <c r="T3519" s="16"/>
      <c r="U3519" s="16"/>
      <c r="V3519" s="16"/>
    </row>
    <row r="3520" spans="1:22">
      <c r="A3520" s="1971" t="s">
        <v>3574</v>
      </c>
      <c r="B3520" s="4326"/>
      <c r="C3520" s="4075"/>
      <c r="D3520" s="4328"/>
      <c r="E3520" s="4330"/>
      <c r="F3520" s="4462"/>
      <c r="G3520" s="4332"/>
      <c r="H3520" s="4332"/>
      <c r="I3520" s="1345">
        <v>2</v>
      </c>
      <c r="J3520" s="3815">
        <v>3.0000000000000001E-3</v>
      </c>
      <c r="K3520" s="1307">
        <f>I3520*J3520</f>
        <v>6.0000000000000001E-3</v>
      </c>
      <c r="L3520" s="4334"/>
      <c r="M3520" s="4324"/>
      <c r="N3520" s="4324"/>
      <c r="O3520" s="1298">
        <f>O3522+O3523+O3524+O3528+O3532+O3540+O3541+O3542</f>
        <v>34.756902779999997</v>
      </c>
      <c r="P3520" s="1337">
        <f>K3520*O3520</f>
        <v>0.20854141667999998</v>
      </c>
      <c r="Q3520" s="3390"/>
      <c r="R3520" s="1840">
        <f>P3522+P3523+P3524+P3528+P3532+P3540+P3541+P3542</f>
        <v>0.20854141668000001</v>
      </c>
      <c r="S3520" s="16"/>
      <c r="T3520" s="16"/>
      <c r="U3520" s="16"/>
      <c r="V3520" s="16"/>
    </row>
    <row r="3521" spans="1:22">
      <c r="A3521" s="16"/>
      <c r="B3521" s="18"/>
      <c r="D3521" s="1449"/>
      <c r="E3521" s="2121"/>
      <c r="F3521" s="1368" t="s">
        <v>1</v>
      </c>
      <c r="G3521" s="1368"/>
      <c r="H3521" s="1369"/>
      <c r="I3521" s="1409"/>
      <c r="J3521" s="1391"/>
      <c r="K3521" s="1367"/>
      <c r="L3521" s="1554"/>
      <c r="M3521" s="1369"/>
      <c r="N3521" s="1369"/>
      <c r="O3521" s="1369"/>
      <c r="P3521" s="1367"/>
      <c r="Q3521" s="3387"/>
      <c r="R3521" s="2343"/>
      <c r="S3521" s="17"/>
      <c r="T3521" s="17"/>
      <c r="U3521" s="16"/>
      <c r="V3521" s="16"/>
    </row>
    <row r="3522" spans="1:22">
      <c r="A3522" s="16"/>
      <c r="B3522" s="1042"/>
      <c r="D3522" s="1767" t="s">
        <v>1784</v>
      </c>
      <c r="E3522" s="1849" t="s">
        <v>1521</v>
      </c>
      <c r="F3522" s="1598" t="s">
        <v>1830</v>
      </c>
      <c r="G3522" s="1567">
        <v>5.0000000000000001E-3</v>
      </c>
      <c r="H3522" s="1567"/>
      <c r="I3522" s="1286"/>
      <c r="J3522" s="198"/>
      <c r="K3522" s="1722">
        <f>G3522*$K$3075</f>
        <v>3.0000000000000001E-5</v>
      </c>
      <c r="L3522" s="1335">
        <f t="shared" ref="L3522:L3523" si="364">K3522*$K$2842</f>
        <v>0</v>
      </c>
      <c r="M3522" s="1302">
        <v>236.83</v>
      </c>
      <c r="N3522" s="1700"/>
      <c r="O3522" s="1290">
        <f>G3522*M3522</f>
        <v>1.18415</v>
      </c>
      <c r="P3522" s="1739">
        <f>M3522*K3522</f>
        <v>7.1049000000000008E-3</v>
      </c>
      <c r="Q3522" s="3391"/>
      <c r="R3522" s="2343"/>
      <c r="S3522" s="105"/>
      <c r="T3522" s="105"/>
      <c r="U3522" s="16"/>
      <c r="V3522" s="16"/>
    </row>
    <row r="3523" spans="1:22">
      <c r="A3523" s="16"/>
      <c r="B3523" s="1042"/>
      <c r="D3523" s="1769" t="s">
        <v>1786</v>
      </c>
      <c r="E3523" s="1850" t="s">
        <v>1787</v>
      </c>
      <c r="F3523" s="1770" t="s">
        <v>1788</v>
      </c>
      <c r="G3523" s="1771">
        <v>0.05</v>
      </c>
      <c r="H3523" s="1771"/>
      <c r="I3523" s="1286"/>
      <c r="J3523" s="198"/>
      <c r="K3523" s="1722">
        <f>G3523*$K$3075</f>
        <v>3.0000000000000003E-4</v>
      </c>
      <c r="L3523" s="1335">
        <f t="shared" si="364"/>
        <v>0</v>
      </c>
      <c r="M3523" s="1302">
        <v>1.54</v>
      </c>
      <c r="N3523" s="1700"/>
      <c r="O3523" s="1290">
        <f>G3523*M3523</f>
        <v>7.7000000000000013E-2</v>
      </c>
      <c r="P3523" s="1739">
        <f>M3523*K3523</f>
        <v>4.6200000000000006E-4</v>
      </c>
      <c r="Q3523" s="3391"/>
      <c r="R3523" s="2343"/>
      <c r="S3523" s="16"/>
      <c r="T3523" s="16"/>
      <c r="U3523" s="16"/>
      <c r="V3523" s="16"/>
    </row>
    <row r="3524" spans="1:22">
      <c r="A3524" s="16"/>
      <c r="B3524" s="1042"/>
      <c r="C3524" s="1356" t="s">
        <v>1128</v>
      </c>
      <c r="D3524" s="1585"/>
      <c r="E3524" s="1851" t="s">
        <v>1517</v>
      </c>
      <c r="F3524" s="1768" t="s">
        <v>1695</v>
      </c>
      <c r="G3524" s="1776"/>
      <c r="H3524" s="1776">
        <v>1E-3</v>
      </c>
      <c r="I3524" s="1388"/>
      <c r="J3524" s="1366"/>
      <c r="K3524" s="1841"/>
      <c r="L3524" s="1445"/>
      <c r="M3524" s="1447"/>
      <c r="N3524" s="1447">
        <f>SUM(N3525:N3527)</f>
        <v>104.27969999999999</v>
      </c>
      <c r="O3524" s="1447">
        <f>SUM(O3525:O3527)</f>
        <v>0.1042797</v>
      </c>
      <c r="P3524" s="1844">
        <f>SUM(P3525:P3527)</f>
        <v>6.2567820000000002E-4</v>
      </c>
      <c r="Q3524" s="3391"/>
      <c r="R3524" s="2343"/>
      <c r="S3524" s="16"/>
      <c r="T3524" s="16"/>
      <c r="U3524" s="16"/>
      <c r="V3524" s="16"/>
    </row>
    <row r="3525" spans="1:22">
      <c r="A3525" s="16"/>
      <c r="B3525" s="553"/>
      <c r="C3525" s="1042"/>
      <c r="D3525" s="1752" t="s">
        <v>1779</v>
      </c>
      <c r="E3525" s="1852" t="s">
        <v>1577</v>
      </c>
      <c r="F3525" s="1752" t="s">
        <v>1780</v>
      </c>
      <c r="G3525" s="1753">
        <v>0.876</v>
      </c>
      <c r="H3525" s="1453">
        <f>$H$3079*G3525</f>
        <v>8.7600000000000004E-4</v>
      </c>
      <c r="I3525" s="197"/>
      <c r="J3525" s="198"/>
      <c r="K3525" s="1722">
        <f>H3525*$K$3075</f>
        <v>5.2560000000000002E-6</v>
      </c>
      <c r="L3525" s="1335">
        <f t="shared" ref="L3525:L3527" si="365">K3525*$K$2842</f>
        <v>0</v>
      </c>
      <c r="M3525" s="1759">
        <v>56.05</v>
      </c>
      <c r="N3525" s="1718">
        <f>G3525*M3525</f>
        <v>49.099799999999995</v>
      </c>
      <c r="O3525" s="1719">
        <f>H3525*M3525</f>
        <v>4.9099799999999999E-2</v>
      </c>
      <c r="P3525" s="1731">
        <f>M3525*K3525</f>
        <v>2.9459879999999998E-4</v>
      </c>
      <c r="Q3525" s="3396"/>
      <c r="R3525" s="2343"/>
      <c r="S3525" s="16"/>
      <c r="T3525" s="16"/>
      <c r="U3525" s="16"/>
      <c r="V3525" s="16"/>
    </row>
    <row r="3526" spans="1:22">
      <c r="A3526" s="16"/>
      <c r="B3526" s="553"/>
      <c r="C3526" s="1042"/>
      <c r="D3526" s="1752" t="s">
        <v>1069</v>
      </c>
      <c r="E3526" s="1852" t="s">
        <v>1517</v>
      </c>
      <c r="F3526" s="1752" t="s">
        <v>1578</v>
      </c>
      <c r="G3526" s="1753">
        <v>0.61799999999999999</v>
      </c>
      <c r="H3526" s="1453">
        <f t="shared" ref="H3526:H3527" si="366">$H$3079*G3526</f>
        <v>6.1800000000000006E-4</v>
      </c>
      <c r="I3526" s="27"/>
      <c r="J3526" s="10"/>
      <c r="K3526" s="1722">
        <f t="shared" ref="K3526:K3527" si="367">H3526*$K$3075</f>
        <v>3.7080000000000003E-6</v>
      </c>
      <c r="L3526" s="1335">
        <f t="shared" si="365"/>
        <v>0</v>
      </c>
      <c r="M3526" s="1759">
        <v>0.55000000000000004</v>
      </c>
      <c r="N3526" s="1718">
        <f>G3526*M3526</f>
        <v>0.33990000000000004</v>
      </c>
      <c r="O3526" s="1719">
        <f>H3526*M3526</f>
        <v>3.3990000000000008E-4</v>
      </c>
      <c r="P3526" s="1843">
        <f>M3526*K3526</f>
        <v>2.0394000000000003E-6</v>
      </c>
      <c r="Q3526" s="3396"/>
      <c r="R3526" s="2343"/>
      <c r="S3526" s="16"/>
      <c r="T3526" s="16"/>
      <c r="U3526" s="16"/>
      <c r="V3526" s="16"/>
    </row>
    <row r="3527" spans="1:22">
      <c r="A3527" s="16"/>
      <c r="B3527" s="553"/>
      <c r="C3527" s="1042"/>
      <c r="D3527" s="1754" t="s">
        <v>1067</v>
      </c>
      <c r="E3527" s="1853" t="s">
        <v>1508</v>
      </c>
      <c r="F3527" s="1754" t="s">
        <v>1512</v>
      </c>
      <c r="G3527" s="1755">
        <v>3</v>
      </c>
      <c r="H3527" s="1454">
        <f t="shared" si="366"/>
        <v>3.0000000000000001E-3</v>
      </c>
      <c r="I3527" s="198"/>
      <c r="J3527" s="198"/>
      <c r="K3527" s="1722">
        <f t="shared" si="367"/>
        <v>1.8E-5</v>
      </c>
      <c r="L3527" s="1335">
        <f t="shared" si="365"/>
        <v>0</v>
      </c>
      <c r="M3527" s="1759">
        <v>18.28</v>
      </c>
      <c r="N3527" s="1718">
        <f>G3527*M3527</f>
        <v>54.84</v>
      </c>
      <c r="O3527" s="1719">
        <f>H3527*M3527</f>
        <v>5.4840000000000007E-2</v>
      </c>
      <c r="P3527" s="1727">
        <f>M3527*K3527</f>
        <v>3.2904000000000001E-4</v>
      </c>
      <c r="Q3527" s="3396"/>
      <c r="R3527" s="2343"/>
      <c r="S3527" s="16"/>
      <c r="T3527" s="16"/>
      <c r="U3527" s="16"/>
      <c r="V3527" s="16"/>
    </row>
    <row r="3528" spans="1:22">
      <c r="A3528" s="16"/>
      <c r="B3528" s="553"/>
      <c r="C3528" s="1356" t="s">
        <v>1152</v>
      </c>
      <c r="D3528" s="1311"/>
      <c r="E3528" s="1854" t="s">
        <v>1517</v>
      </c>
      <c r="F3528" s="1749" t="s">
        <v>1696</v>
      </c>
      <c r="G3528" s="1776"/>
      <c r="H3528" s="1688">
        <v>1E-3</v>
      </c>
      <c r="I3528" s="1388"/>
      <c r="J3528" s="1388"/>
      <c r="K3528" s="1841"/>
      <c r="L3528" s="1445"/>
      <c r="M3528" s="1447"/>
      <c r="N3528" s="1447">
        <f>SUM(N3529:N3531)</f>
        <v>108.04650000000001</v>
      </c>
      <c r="O3528" s="1447">
        <f>SUM(O3529:O3531)</f>
        <v>0.10804650000000002</v>
      </c>
      <c r="P3528" s="1844">
        <f>SUM(P3529:P3531)</f>
        <v>6.4827900000000009E-4</v>
      </c>
      <c r="Q3528" s="3391"/>
      <c r="R3528" s="2343"/>
      <c r="S3528" s="16"/>
      <c r="T3528" s="16"/>
      <c r="U3528" s="16"/>
      <c r="V3528" s="16"/>
    </row>
    <row r="3529" spans="1:22">
      <c r="A3529" s="16"/>
      <c r="B3529" s="553"/>
      <c r="C3529" s="18"/>
      <c r="D3529" s="1756" t="s">
        <v>1781</v>
      </c>
      <c r="E3529" s="1852" t="s">
        <v>1577</v>
      </c>
      <c r="F3529" s="1752" t="s">
        <v>1782</v>
      </c>
      <c r="G3529" s="1753">
        <v>0.876</v>
      </c>
      <c r="H3529" s="1453">
        <f>$H$3083*G3529</f>
        <v>8.7600000000000004E-4</v>
      </c>
      <c r="I3529" s="198"/>
      <c r="J3529" s="198"/>
      <c r="K3529" s="1722">
        <f t="shared" ref="K3529:K3531" si="368">H3529*$K$3075</f>
        <v>5.2560000000000002E-6</v>
      </c>
      <c r="L3529" s="1335">
        <f t="shared" ref="L3529:L3531" si="369">K3529*$K$2842</f>
        <v>0</v>
      </c>
      <c r="M3529" s="1723">
        <v>60.35</v>
      </c>
      <c r="N3529" s="1718">
        <f>G3529*M3529</f>
        <v>52.866599999999998</v>
      </c>
      <c r="O3529" s="1719">
        <f>H3529*M3529</f>
        <v>5.2866600000000007E-2</v>
      </c>
      <c r="P3529" s="1731">
        <f>M3529*K3529</f>
        <v>3.1719960000000004E-4</v>
      </c>
      <c r="Q3529" s="3396"/>
      <c r="R3529" s="2343"/>
      <c r="S3529" s="16"/>
      <c r="T3529" s="16"/>
      <c r="U3529" s="16"/>
      <c r="V3529" s="16"/>
    </row>
    <row r="3530" spans="1:22">
      <c r="A3530" s="16"/>
      <c r="B3530" s="553"/>
      <c r="C3530" s="1042"/>
      <c r="D3530" s="1756" t="s">
        <v>1069</v>
      </c>
      <c r="E3530" s="1852" t="s">
        <v>1517</v>
      </c>
      <c r="F3530" s="1752" t="s">
        <v>1578</v>
      </c>
      <c r="G3530" s="1753">
        <v>0.61799999999999999</v>
      </c>
      <c r="H3530" s="1453">
        <f t="shared" ref="H3530:H3531" si="370">$H$3083*G3530</f>
        <v>6.1800000000000006E-4</v>
      </c>
      <c r="I3530" s="197"/>
      <c r="J3530" s="198"/>
      <c r="K3530" s="1722">
        <f t="shared" si="368"/>
        <v>3.7080000000000003E-6</v>
      </c>
      <c r="L3530" s="1335">
        <f t="shared" si="369"/>
        <v>0</v>
      </c>
      <c r="M3530" s="1723">
        <v>0.55000000000000004</v>
      </c>
      <c r="N3530" s="1718">
        <f>G3530*M3530</f>
        <v>0.33990000000000004</v>
      </c>
      <c r="O3530" s="1719">
        <f>H3530*M3530</f>
        <v>3.3990000000000008E-4</v>
      </c>
      <c r="P3530" s="1843">
        <f>M3530*K3530</f>
        <v>2.0394000000000003E-6</v>
      </c>
      <c r="Q3530" s="3396"/>
      <c r="R3530" s="2343"/>
      <c r="S3530" s="16"/>
      <c r="T3530" s="16"/>
      <c r="U3530" s="16"/>
      <c r="V3530" s="16"/>
    </row>
    <row r="3531" spans="1:22">
      <c r="A3531" s="16"/>
      <c r="B3531" s="553"/>
      <c r="C3531" s="1042"/>
      <c r="D3531" s="1811" t="s">
        <v>1067</v>
      </c>
      <c r="E3531" s="1853" t="s">
        <v>1508</v>
      </c>
      <c r="F3531" s="1754" t="s">
        <v>1512</v>
      </c>
      <c r="G3531" s="1755">
        <v>3</v>
      </c>
      <c r="H3531" s="1454">
        <f t="shared" si="370"/>
        <v>3.0000000000000001E-3</v>
      </c>
      <c r="I3531" s="1289"/>
      <c r="J3531" s="198"/>
      <c r="K3531" s="1722">
        <f t="shared" si="368"/>
        <v>1.8E-5</v>
      </c>
      <c r="L3531" s="1335">
        <f t="shared" si="369"/>
        <v>0</v>
      </c>
      <c r="M3531" s="1723">
        <v>18.28</v>
      </c>
      <c r="N3531" s="1718">
        <f>G3531*M3531</f>
        <v>54.84</v>
      </c>
      <c r="O3531" s="1719">
        <f>H3531*M3531</f>
        <v>5.4840000000000007E-2</v>
      </c>
      <c r="P3531" s="1731">
        <f>M3531*K3531</f>
        <v>3.2904000000000001E-4</v>
      </c>
      <c r="Q3531" s="3396"/>
      <c r="R3531" s="2343"/>
      <c r="S3531" s="16"/>
      <c r="T3531" s="16"/>
      <c r="U3531" s="16"/>
      <c r="V3531" s="16"/>
    </row>
    <row r="3532" spans="1:22">
      <c r="A3532" s="16"/>
      <c r="B3532" s="1042"/>
      <c r="C3532" s="1356" t="s">
        <v>1790</v>
      </c>
      <c r="D3532" s="1311"/>
      <c r="E3532" s="2137" t="s">
        <v>1517</v>
      </c>
      <c r="F3532" s="1343" t="s">
        <v>1791</v>
      </c>
      <c r="G3532" s="1776"/>
      <c r="H3532" s="1344">
        <v>1E-3</v>
      </c>
      <c r="I3532" s="1444"/>
      <c r="J3532" s="1388"/>
      <c r="K3532" s="1445"/>
      <c r="L3532" s="1457"/>
      <c r="M3532" s="1446"/>
      <c r="N3532" s="1447">
        <f>SUM(N3533:N3537)</f>
        <v>76.906580000000005</v>
      </c>
      <c r="O3532" s="1447">
        <f>SUM(O3533:O3537)</f>
        <v>7.6906580000000002E-2</v>
      </c>
      <c r="P3532" s="2335">
        <f>SUM(P3533:P3537)</f>
        <v>4.6143948000000005E-4</v>
      </c>
      <c r="Q3532" s="3391"/>
      <c r="R3532" s="2343"/>
      <c r="S3532" s="16"/>
      <c r="T3532" s="16"/>
      <c r="U3532" s="16"/>
      <c r="V3532" s="16"/>
    </row>
    <row r="3533" spans="1:22">
      <c r="A3533" s="16"/>
      <c r="B3533" s="1042"/>
      <c r="C3533" s="1327"/>
      <c r="D3533" s="1752" t="s">
        <v>1069</v>
      </c>
      <c r="E3533" s="1852" t="s">
        <v>1517</v>
      </c>
      <c r="F3533" s="1784" t="s">
        <v>1578</v>
      </c>
      <c r="G3533" s="1399">
        <v>0.2</v>
      </c>
      <c r="H3533" s="1453">
        <f>$H$3087*G3533</f>
        <v>2.0000000000000001E-4</v>
      </c>
      <c r="I3533" s="197"/>
      <c r="J3533" s="198"/>
      <c r="K3533" s="1722">
        <f t="shared" ref="K3533" si="371">H3533*$K$3075</f>
        <v>1.2000000000000002E-6</v>
      </c>
      <c r="L3533" s="1335">
        <f t="shared" ref="L3533:L3537" si="372">K3533*$K$2842</f>
        <v>0</v>
      </c>
      <c r="M3533" s="1499">
        <v>0.55000000000000004</v>
      </c>
      <c r="N3533" s="1718">
        <f>G3533*M3533</f>
        <v>0.11000000000000001</v>
      </c>
      <c r="O3533" s="1719">
        <f>H3533*M3533</f>
        <v>1.1000000000000002E-4</v>
      </c>
      <c r="P3533" s="2334">
        <f>M3533*K3533</f>
        <v>6.6000000000000014E-7</v>
      </c>
      <c r="Q3533" s="3396"/>
      <c r="R3533" s="2338"/>
      <c r="S3533" s="16"/>
      <c r="T3533" s="16"/>
      <c r="U3533" s="16"/>
      <c r="V3533" s="16"/>
    </row>
    <row r="3534" spans="1:22">
      <c r="A3534" s="16"/>
      <c r="B3534" s="1042"/>
      <c r="C3534" s="1320"/>
      <c r="D3534" s="1752" t="s">
        <v>1792</v>
      </c>
      <c r="E3534" s="1852" t="s">
        <v>1577</v>
      </c>
      <c r="F3534" s="1752" t="s">
        <v>1793</v>
      </c>
      <c r="G3534" s="1399">
        <v>0.25</v>
      </c>
      <c r="H3534" s="1453">
        <f t="shared" ref="H3534:H3537" si="373">$H$3087*G3534</f>
        <v>2.5000000000000001E-4</v>
      </c>
      <c r="I3534" s="197"/>
      <c r="J3534" s="198"/>
      <c r="K3534" s="1722">
        <f>H3534*$K$3075</f>
        <v>1.5E-6</v>
      </c>
      <c r="L3534" s="1335">
        <f t="shared" si="372"/>
        <v>0</v>
      </c>
      <c r="M3534" s="1499">
        <v>85.09</v>
      </c>
      <c r="N3534" s="1718">
        <f>G3534*M3534</f>
        <v>21.272500000000001</v>
      </c>
      <c r="O3534" s="1719">
        <f>H3534*M3534</f>
        <v>2.12725E-2</v>
      </c>
      <c r="P3534" s="1731">
        <f>M3534*K3534</f>
        <v>1.2763500000000002E-4</v>
      </c>
      <c r="Q3534" s="3396"/>
      <c r="R3534" s="2338"/>
      <c r="S3534" s="16"/>
      <c r="T3534" s="16"/>
      <c r="U3534" s="16"/>
      <c r="V3534" s="16"/>
    </row>
    <row r="3535" spans="1:22">
      <c r="A3535" s="16"/>
      <c r="B3535" s="1042"/>
      <c r="C3535" s="1320"/>
      <c r="D3535" s="1752" t="s">
        <v>1394</v>
      </c>
      <c r="E3535" s="1852" t="s">
        <v>1577</v>
      </c>
      <c r="F3535" s="1752" t="s">
        <v>1579</v>
      </c>
      <c r="G3535" s="1399">
        <v>0.25</v>
      </c>
      <c r="H3535" s="1453">
        <f t="shared" si="373"/>
        <v>2.5000000000000001E-4</v>
      </c>
      <c r="I3535" s="197"/>
      <c r="J3535" s="198"/>
      <c r="K3535" s="1722">
        <f t="shared" ref="K3535:K3537" si="374">H3535*$K$3075</f>
        <v>1.5E-6</v>
      </c>
      <c r="L3535" s="1335">
        <f t="shared" si="372"/>
        <v>0</v>
      </c>
      <c r="M3535" s="1499">
        <v>92.54</v>
      </c>
      <c r="N3535" s="1718">
        <f>G3535*M3535</f>
        <v>23.135000000000002</v>
      </c>
      <c r="O3535" s="1719">
        <f>H3535*M3535</f>
        <v>2.3135000000000003E-2</v>
      </c>
      <c r="P3535" s="1731">
        <f>M3535*K3535</f>
        <v>1.3881000000000001E-4</v>
      </c>
      <c r="Q3535" s="3396"/>
      <c r="R3535" s="2338"/>
      <c r="S3535" s="16"/>
      <c r="T3535" s="16"/>
      <c r="U3535" s="16"/>
      <c r="V3535" s="16"/>
    </row>
    <row r="3536" spans="1:22">
      <c r="A3536" s="16"/>
      <c r="B3536" s="1042"/>
      <c r="C3536" s="1320"/>
      <c r="D3536" s="1752" t="s">
        <v>1576</v>
      </c>
      <c r="E3536" s="1852" t="s">
        <v>1517</v>
      </c>
      <c r="F3536" s="1752" t="s">
        <v>1580</v>
      </c>
      <c r="G3536" s="1399">
        <v>1.5</v>
      </c>
      <c r="H3536" s="1453">
        <f t="shared" si="373"/>
        <v>1.5E-3</v>
      </c>
      <c r="I3536" s="197"/>
      <c r="J3536" s="198"/>
      <c r="K3536" s="1722">
        <f t="shared" si="374"/>
        <v>9.0000000000000002E-6</v>
      </c>
      <c r="L3536" s="1335">
        <f t="shared" si="372"/>
        <v>0</v>
      </c>
      <c r="M3536" s="1499">
        <v>6.53</v>
      </c>
      <c r="N3536" s="1718">
        <f>G3536*M3536</f>
        <v>9.7949999999999999</v>
      </c>
      <c r="O3536" s="1719">
        <f>H3536*M3536</f>
        <v>9.7949999999999999E-3</v>
      </c>
      <c r="P3536" s="1734">
        <f>M3536*K3536</f>
        <v>5.8770000000000001E-5</v>
      </c>
      <c r="Q3536" s="3396"/>
      <c r="R3536" s="2338"/>
      <c r="S3536" s="16"/>
      <c r="T3536" s="16"/>
      <c r="U3536" s="16"/>
      <c r="V3536" s="16"/>
    </row>
    <row r="3537" spans="1:22">
      <c r="A3537" s="16"/>
      <c r="B3537" s="1042"/>
      <c r="C3537" s="1320"/>
      <c r="D3537" s="1754" t="s">
        <v>1067</v>
      </c>
      <c r="E3537" s="1853" t="s">
        <v>1508</v>
      </c>
      <c r="F3537" s="1754" t="s">
        <v>1512</v>
      </c>
      <c r="G3537" s="1408">
        <v>1.236</v>
      </c>
      <c r="H3537" s="1454">
        <f t="shared" si="373"/>
        <v>1.2360000000000001E-3</v>
      </c>
      <c r="I3537" s="197"/>
      <c r="J3537" s="198"/>
      <c r="K3537" s="1722">
        <f t="shared" si="374"/>
        <v>7.4160000000000007E-6</v>
      </c>
      <c r="L3537" s="1335">
        <f t="shared" si="372"/>
        <v>0</v>
      </c>
      <c r="M3537" s="1499">
        <v>18.28</v>
      </c>
      <c r="N3537" s="1718">
        <f>G3537*M3537</f>
        <v>22.594080000000002</v>
      </c>
      <c r="O3537" s="1719">
        <f>H3537*M3537</f>
        <v>2.2594080000000002E-2</v>
      </c>
      <c r="P3537" s="1731">
        <f>M3537*K3537</f>
        <v>1.3556448000000003E-4</v>
      </c>
      <c r="Q3537" s="3396"/>
      <c r="R3537" s="2338"/>
      <c r="S3537" s="16"/>
      <c r="T3537" s="16"/>
      <c r="U3537" s="16"/>
      <c r="V3537" s="16"/>
    </row>
    <row r="3538" spans="1:22" ht="15" customHeight="1">
      <c r="A3538" s="16"/>
      <c r="B3538" s="1042"/>
      <c r="C3538" s="88"/>
      <c r="D3538" s="1752"/>
      <c r="E3538" s="1852"/>
      <c r="F3538" s="1752"/>
      <c r="G3538" s="1399"/>
      <c r="H3538" s="1399"/>
      <c r="I3538" s="197" t="str">
        <f ca="1">IF(COUNT(H3538:O3538)=0,"",(SUM(H3538:O3538)/COUNT(H3538:O3538)))</f>
        <v/>
      </c>
      <c r="J3538" s="198"/>
      <c r="K3538" s="1722"/>
      <c r="L3538" s="1335"/>
      <c r="M3538" s="1499"/>
      <c r="N3538" s="1718"/>
      <c r="O3538" s="1719"/>
      <c r="P3538" s="1731"/>
      <c r="Q3538" s="3396"/>
      <c r="R3538" s="2338"/>
      <c r="S3538" s="16"/>
      <c r="T3538" s="16"/>
      <c r="U3538" s="16"/>
      <c r="V3538" s="16"/>
    </row>
    <row r="3539" spans="1:22">
      <c r="A3539" s="16"/>
      <c r="B3539" s="1042"/>
      <c r="C3539" s="88"/>
      <c r="D3539" s="1359"/>
      <c r="E3539" s="1858"/>
      <c r="F3539" s="1360" t="s">
        <v>2</v>
      </c>
      <c r="G3539" s="1360"/>
      <c r="H3539" s="1362"/>
      <c r="I3539" s="1380" t="str">
        <f ca="1">IF(COUNT(H3539:O3539)=0,"",(SUM(H3539:O3539)/COUNT(H3539:O3539)))</f>
        <v/>
      </c>
      <c r="J3539" s="1381"/>
      <c r="K3539" s="1842"/>
      <c r="L3539" s="1458"/>
      <c r="M3539" s="1362"/>
      <c r="N3539" s="1362"/>
      <c r="O3539" s="1362"/>
      <c r="P3539" s="1458"/>
      <c r="Q3539" s="3387"/>
      <c r="R3539" s="2343"/>
      <c r="S3539" s="16"/>
      <c r="T3539" s="16"/>
      <c r="U3539" s="16"/>
      <c r="V3539" s="16"/>
    </row>
    <row r="3540" spans="1:22">
      <c r="A3540" s="16"/>
      <c r="B3540" s="1320"/>
      <c r="C3540" s="1042"/>
      <c r="D3540" s="1655" t="s">
        <v>1806</v>
      </c>
      <c r="E3540" s="1859" t="s">
        <v>1508</v>
      </c>
      <c r="F3540" s="1655" t="s">
        <v>1821</v>
      </c>
      <c r="G3540" s="1809">
        <v>0.69799999999999995</v>
      </c>
      <c r="H3540" s="1439"/>
      <c r="I3540" s="197"/>
      <c r="J3540" s="198"/>
      <c r="K3540" s="1722">
        <f t="shared" ref="K3540:K3542" si="375">G3540*$K$3075</f>
        <v>4.1879999999999999E-3</v>
      </c>
      <c r="L3540" s="1335">
        <f t="shared" ref="L3540:L3542" si="376">K3540*$K$2842</f>
        <v>0</v>
      </c>
      <c r="M3540" s="1499">
        <v>19.23</v>
      </c>
      <c r="N3540" s="1701"/>
      <c r="O3540" s="1290">
        <f>(G3540*M3540)</f>
        <v>13.42254</v>
      </c>
      <c r="P3540" s="1739">
        <f>M3540*K3540</f>
        <v>8.0535239999999994E-2</v>
      </c>
      <c r="Q3540" s="3391"/>
      <c r="R3540" s="3795"/>
      <c r="S3540" s="16"/>
      <c r="T3540" s="16"/>
      <c r="U3540" s="16"/>
      <c r="V3540" s="16"/>
    </row>
    <row r="3541" spans="1:22">
      <c r="A3541" s="16"/>
      <c r="B3541" s="1042"/>
      <c r="C3541" s="88"/>
      <c r="D3541" s="1655" t="s">
        <v>1826</v>
      </c>
      <c r="E3541" s="1859" t="s">
        <v>1508</v>
      </c>
      <c r="F3541" s="1655" t="s">
        <v>1827</v>
      </c>
      <c r="G3541" s="1809">
        <v>0.69799999999999995</v>
      </c>
      <c r="H3541" s="1365"/>
      <c r="I3541" s="1286"/>
      <c r="J3541" s="198"/>
      <c r="K3541" s="1722">
        <f t="shared" si="375"/>
        <v>4.1879999999999999E-3</v>
      </c>
      <c r="L3541" s="1335">
        <f t="shared" si="376"/>
        <v>0</v>
      </c>
      <c r="M3541" s="1302">
        <v>19.23</v>
      </c>
      <c r="N3541" s="1302"/>
      <c r="O3541" s="1290">
        <f>(G3541*M3541)</f>
        <v>13.42254</v>
      </c>
      <c r="P3541" s="1739">
        <f>M3541*K3541</f>
        <v>8.0535239999999994E-2</v>
      </c>
      <c r="Q3541" s="3391"/>
      <c r="R3541" s="2338"/>
      <c r="S3541" s="16"/>
      <c r="T3541" s="16"/>
      <c r="U3541" s="16"/>
      <c r="V3541" s="16"/>
    </row>
    <row r="3542" spans="1:22">
      <c r="A3542" s="16"/>
      <c r="B3542" s="1042"/>
      <c r="C3542" s="88"/>
      <c r="D3542" s="2192" t="s">
        <v>1802</v>
      </c>
      <c r="E3542" s="2267" t="s">
        <v>1508</v>
      </c>
      <c r="F3542" s="2192" t="s">
        <v>1804</v>
      </c>
      <c r="G3542" s="2193">
        <v>0.34799999999999998</v>
      </c>
      <c r="H3542" s="1362"/>
      <c r="I3542" s="197"/>
      <c r="J3542" s="198"/>
      <c r="K3542" s="1722">
        <f t="shared" si="375"/>
        <v>2.088E-3</v>
      </c>
      <c r="L3542" s="1335">
        <f t="shared" si="376"/>
        <v>0</v>
      </c>
      <c r="M3542" s="1302">
        <v>18.28</v>
      </c>
      <c r="N3542" s="7"/>
      <c r="O3542" s="1290">
        <f>(G3542*M3542)</f>
        <v>6.36144</v>
      </c>
      <c r="P3542" s="1739">
        <f>M3542*K3542</f>
        <v>3.8168640000000004E-2</v>
      </c>
      <c r="Q3542" s="3391"/>
      <c r="R3542" s="2338"/>
      <c r="S3542" s="16"/>
      <c r="T3542" s="16"/>
      <c r="U3542" s="16"/>
      <c r="V3542" s="16"/>
    </row>
    <row r="3543" spans="1:22">
      <c r="A3543" s="16"/>
      <c r="B3543" s="1042"/>
      <c r="C3543" s="88"/>
      <c r="D3543" s="1620"/>
      <c r="E3543" s="2157"/>
      <c r="F3543" s="1620"/>
      <c r="G3543" s="1621"/>
      <c r="H3543" s="1362"/>
      <c r="I3543" s="197"/>
      <c r="J3543" s="198"/>
      <c r="K3543" s="1722"/>
      <c r="L3543" s="1335"/>
      <c r="M3543" s="1302"/>
      <c r="N3543" s="7"/>
      <c r="O3543" s="1290"/>
      <c r="P3543" s="1739"/>
      <c r="Q3543" s="3391"/>
      <c r="R3543" s="2338"/>
      <c r="S3543" s="16"/>
      <c r="T3543" s="16"/>
      <c r="U3543" s="16"/>
      <c r="V3543" s="16"/>
    </row>
    <row r="3544" spans="1:22">
      <c r="A3544" s="16"/>
      <c r="B3544" s="1042"/>
      <c r="C3544" s="88"/>
      <c r="D3544" s="1373"/>
      <c r="E3544" s="2123"/>
      <c r="F3544" s="1374" t="s">
        <v>3</v>
      </c>
      <c r="G3544" s="1374"/>
      <c r="H3544" s="1376"/>
      <c r="I3544" s="1382" t="str">
        <f t="shared" ref="I3544:I3547" ca="1" si="377">IF(COUNT(H3544:O3544)=0,"",(SUM(H3544:O3544)/COUNT(H3544:O3544)))</f>
        <v/>
      </c>
      <c r="J3544" s="1383"/>
      <c r="K3544" s="1373"/>
      <c r="L3544" s="1413"/>
      <c r="M3544" s="1376"/>
      <c r="N3544" s="1376"/>
      <c r="O3544" s="1376"/>
      <c r="P3544" s="1413"/>
      <c r="Q3544" s="3387"/>
      <c r="R3544" s="2343"/>
      <c r="S3544" s="16"/>
      <c r="T3544" s="16"/>
      <c r="U3544" s="16"/>
      <c r="V3544" s="16"/>
    </row>
    <row r="3545" spans="1:22">
      <c r="A3545" s="16"/>
      <c r="B3545" s="1042"/>
      <c r="C3545" s="88"/>
      <c r="D3545" s="1440"/>
      <c r="E3545" s="2132"/>
      <c r="F3545" s="1441"/>
      <c r="G3545" s="1441"/>
      <c r="H3545" s="1442"/>
      <c r="I3545" s="197" t="str">
        <f t="shared" ca="1" si="377"/>
        <v/>
      </c>
      <c r="J3545" s="198"/>
      <c r="K3545" s="1307"/>
      <c r="L3545" s="1335"/>
      <c r="M3545" s="1499"/>
      <c r="N3545" s="1701"/>
      <c r="O3545" s="1290"/>
      <c r="P3545" s="1332"/>
      <c r="Q3545" s="3391"/>
      <c r="R3545" s="2338"/>
      <c r="S3545" s="16"/>
      <c r="T3545" s="16"/>
      <c r="U3545" s="16"/>
      <c r="V3545" s="16"/>
    </row>
    <row r="3546" spans="1:22">
      <c r="A3546" s="16"/>
      <c r="B3546" s="1042"/>
      <c r="C3546" s="88"/>
      <c r="D3546" s="1440"/>
      <c r="E3546" s="2132"/>
      <c r="F3546" s="1441"/>
      <c r="G3546" s="1441"/>
      <c r="H3546" s="1442"/>
      <c r="I3546" s="197" t="str">
        <f t="shared" ca="1" si="377"/>
        <v/>
      </c>
      <c r="J3546" s="198"/>
      <c r="K3546" s="1307"/>
      <c r="L3546" s="1335"/>
      <c r="M3546" s="1499"/>
      <c r="N3546" s="1701"/>
      <c r="O3546" s="1290"/>
      <c r="P3546" s="1332"/>
      <c r="Q3546" s="3391"/>
      <c r="R3546" s="2338"/>
      <c r="S3546" s="105"/>
      <c r="T3546" s="105"/>
      <c r="U3546" s="16"/>
      <c r="V3546" s="16"/>
    </row>
    <row r="3547" spans="1:22">
      <c r="A3547" s="16"/>
      <c r="B3547" s="223"/>
      <c r="C3547" s="581"/>
      <c r="D3547" s="1440"/>
      <c r="E3547" s="2132"/>
      <c r="F3547" s="1441"/>
      <c r="G3547" s="1441"/>
      <c r="H3547" s="1442"/>
      <c r="I3547" s="197" t="str">
        <f t="shared" ca="1" si="377"/>
        <v/>
      </c>
      <c r="J3547" s="198"/>
      <c r="K3547" s="1307"/>
      <c r="L3547" s="1335"/>
      <c r="M3547" s="1499"/>
      <c r="N3547" s="1701"/>
      <c r="O3547" s="1290"/>
      <c r="P3547" s="1332"/>
      <c r="Q3547" s="3391"/>
      <c r="R3547" s="2338"/>
      <c r="S3547" s="16"/>
      <c r="T3547" s="16"/>
      <c r="U3547" s="16"/>
      <c r="V3547" s="16"/>
    </row>
    <row r="3548" spans="1:22" ht="15" customHeight="1">
      <c r="A3548" s="16" t="s">
        <v>3764</v>
      </c>
      <c r="B3548" s="4325" t="s">
        <v>3829</v>
      </c>
      <c r="C3548" s="4074"/>
      <c r="D3548" s="4327"/>
      <c r="E3548" s="4329" t="s">
        <v>1507</v>
      </c>
      <c r="F3548" s="4461" t="s">
        <v>3830</v>
      </c>
      <c r="G3548" s="4331" t="s">
        <v>1568</v>
      </c>
      <c r="H3548" s="4331" t="s">
        <v>1574</v>
      </c>
      <c r="I3548" s="1572" t="s">
        <v>1559</v>
      </c>
      <c r="J3548" s="1294" t="s">
        <v>1560</v>
      </c>
      <c r="K3548" s="1294" t="s">
        <v>1561</v>
      </c>
      <c r="L3548" s="4333" t="s">
        <v>3765</v>
      </c>
      <c r="M3548" s="4323" t="s">
        <v>1571</v>
      </c>
      <c r="N3548" s="4323" t="s">
        <v>1776</v>
      </c>
      <c r="O3548" s="4073" t="s">
        <v>1563</v>
      </c>
      <c r="P3548" s="1336" t="s">
        <v>1562</v>
      </c>
      <c r="Q3548" s="3389"/>
      <c r="R3548" s="1839" t="s">
        <v>1327</v>
      </c>
      <c r="S3548" s="16"/>
      <c r="T3548" s="16"/>
      <c r="U3548" s="16"/>
      <c r="V3548" s="16"/>
    </row>
    <row r="3549" spans="1:22">
      <c r="A3549" s="1971" t="s">
        <v>3574</v>
      </c>
      <c r="B3549" s="4326"/>
      <c r="C3549" s="4075"/>
      <c r="D3549" s="4328"/>
      <c r="E3549" s="4330"/>
      <c r="F3549" s="4462"/>
      <c r="G3549" s="4332"/>
      <c r="H3549" s="4332"/>
      <c r="I3549" s="4079">
        <v>319.68</v>
      </c>
      <c r="J3549" s="3815">
        <v>3.0000000000000001E-3</v>
      </c>
      <c r="K3549" s="1307">
        <f>I3549*J3549</f>
        <v>0.95904</v>
      </c>
      <c r="L3549" s="4334"/>
      <c r="M3549" s="4324"/>
      <c r="N3549" s="4324"/>
      <c r="O3549" s="1298">
        <f>O3552+O3551+O3556+O3557</f>
        <v>10.0128</v>
      </c>
      <c r="P3549" s="1337">
        <f>K3549*O3549</f>
        <v>9.6026757119999999</v>
      </c>
      <c r="Q3549" s="3390"/>
      <c r="R3549" s="1840">
        <f>P3552+P3551+P3556+P3557</f>
        <v>9.6026757120000017</v>
      </c>
      <c r="S3549" s="16"/>
      <c r="T3549" s="16"/>
      <c r="U3549" s="16"/>
      <c r="V3549" s="16"/>
    </row>
    <row r="3550" spans="1:22">
      <c r="A3550" s="16"/>
      <c r="B3550" s="18"/>
      <c r="D3550" s="1449"/>
      <c r="E3550" s="2121"/>
      <c r="F3550" s="1368" t="s">
        <v>1</v>
      </c>
      <c r="G3550" s="1368"/>
      <c r="H3550" s="1369"/>
      <c r="I3550" s="1409"/>
      <c r="J3550" s="1391"/>
      <c r="K3550" s="1367"/>
      <c r="L3550" s="1554"/>
      <c r="M3550" s="1369"/>
      <c r="N3550" s="1369"/>
      <c r="O3550" s="1369"/>
      <c r="P3550" s="1367"/>
      <c r="Q3550" s="3387"/>
      <c r="R3550" s="2343"/>
      <c r="S3550" s="16"/>
      <c r="T3550" s="16"/>
      <c r="U3550" s="16"/>
      <c r="V3550" s="16"/>
    </row>
    <row r="3551" spans="1:22">
      <c r="A3551" s="16" t="s">
        <v>3640</v>
      </c>
      <c r="B3551" s="1042"/>
      <c r="D3551" s="1769" t="s">
        <v>3831</v>
      </c>
      <c r="E3551" s="1850" t="s">
        <v>1507</v>
      </c>
      <c r="F3551" s="1770" t="s">
        <v>3832</v>
      </c>
      <c r="G3551" s="1771">
        <v>1.1000000000000001</v>
      </c>
      <c r="H3551" s="1771"/>
      <c r="I3551" s="1286"/>
      <c r="J3551" s="198"/>
      <c r="K3551" s="1350">
        <f>G3551*$K$3104</f>
        <v>1.0549440000000001</v>
      </c>
      <c r="L3551" s="1335">
        <f>K3551*$K$2842</f>
        <v>0</v>
      </c>
      <c r="M3551" s="1302">
        <v>6.95</v>
      </c>
      <c r="N3551" s="1700"/>
      <c r="O3551" s="1290">
        <f>G3551*M3551</f>
        <v>7.6450000000000005</v>
      </c>
      <c r="P3551" s="1739">
        <f>M3551*K3551</f>
        <v>7.3318608000000012</v>
      </c>
      <c r="Q3551" s="3391"/>
      <c r="R3551" s="2343"/>
      <c r="S3551" s="16"/>
      <c r="T3551" s="16"/>
      <c r="U3551" s="16"/>
      <c r="V3551" s="16"/>
    </row>
    <row r="3552" spans="1:22">
      <c r="A3552" s="16"/>
      <c r="B3552" s="1042"/>
      <c r="D3552" s="1767" t="s">
        <v>1082</v>
      </c>
      <c r="E3552" s="1849" t="s">
        <v>1504</v>
      </c>
      <c r="F3552" s="1598" t="s">
        <v>1541</v>
      </c>
      <c r="G3552" s="1567">
        <v>1</v>
      </c>
      <c r="H3552" s="1567"/>
      <c r="I3552" s="1286"/>
      <c r="J3552" s="198"/>
      <c r="K3552" s="1350">
        <f>G3552*$K$3104</f>
        <v>0.95904</v>
      </c>
      <c r="L3552" s="1335">
        <f>K3552*$K$2842</f>
        <v>0</v>
      </c>
      <c r="M3552" s="1499">
        <v>0.3</v>
      </c>
      <c r="N3552" s="1700"/>
      <c r="O3552" s="1290">
        <f>G3552*M3552</f>
        <v>0.3</v>
      </c>
      <c r="P3552" s="1739">
        <f>M3552*K3552</f>
        <v>0.28771199999999997</v>
      </c>
      <c r="Q3552" s="3391"/>
      <c r="R3552" s="2343"/>
      <c r="S3552" s="16"/>
      <c r="T3552" s="16"/>
      <c r="U3552" s="16"/>
      <c r="V3552" s="16"/>
    </row>
    <row r="3553" spans="1:22">
      <c r="A3553" s="16"/>
      <c r="B3553" s="1042"/>
      <c r="C3553" s="1320"/>
      <c r="D3553" s="1769"/>
      <c r="E3553" s="1850"/>
      <c r="F3553" s="1770"/>
      <c r="G3553" s="1771"/>
      <c r="H3553" s="1771"/>
      <c r="I3553" s="1286"/>
      <c r="J3553" s="198"/>
      <c r="K3553" s="1350"/>
      <c r="L3553" s="1335"/>
      <c r="M3553" s="1302"/>
      <c r="N3553" s="1700"/>
      <c r="O3553" s="1290"/>
      <c r="P3553" s="1739"/>
      <c r="Q3553" s="3396"/>
      <c r="R3553" s="2338"/>
      <c r="S3553" s="16"/>
      <c r="T3553" s="16"/>
      <c r="U3553" s="16"/>
      <c r="V3553" s="16"/>
    </row>
    <row r="3554" spans="1:22">
      <c r="A3554" s="16"/>
      <c r="B3554" s="1042"/>
      <c r="C3554" s="88"/>
      <c r="D3554" s="1767"/>
      <c r="E3554" s="1849"/>
      <c r="F3554" s="1598"/>
      <c r="G3554" s="1567"/>
      <c r="H3554" s="1567"/>
      <c r="I3554" s="1286" t="str">
        <f ca="1">IF(COUNT(H3554:O3554)=0,"",(SUM(H3554:O3554)/COUNT(H3554:O3554)))</f>
        <v/>
      </c>
      <c r="J3554" s="198"/>
      <c r="K3554" s="1350"/>
      <c r="L3554" s="1335"/>
      <c r="M3554" s="1499"/>
      <c r="N3554" s="1700"/>
      <c r="O3554" s="1290"/>
      <c r="P3554" s="1739"/>
      <c r="Q3554" s="3396"/>
      <c r="R3554" s="2338"/>
      <c r="S3554" s="16"/>
      <c r="T3554" s="16"/>
      <c r="U3554" s="16"/>
      <c r="V3554" s="16"/>
    </row>
    <row r="3555" spans="1:22">
      <c r="A3555" s="16"/>
      <c r="B3555" s="1042"/>
      <c r="C3555" s="88"/>
      <c r="D3555" s="1359"/>
      <c r="E3555" s="1858"/>
      <c r="F3555" s="1360" t="s">
        <v>2</v>
      </c>
      <c r="G3555" s="1360"/>
      <c r="H3555" s="1362"/>
      <c r="I3555" s="1380" t="str">
        <f ca="1">IF(COUNT(H3555:O3555)=0,"",(SUM(H3555:O3555)/COUNT(H3555:O3555)))</f>
        <v/>
      </c>
      <c r="J3555" s="1381"/>
      <c r="K3555" s="1458"/>
      <c r="L3555" s="1458"/>
      <c r="M3555" s="1362"/>
      <c r="N3555" s="1362"/>
      <c r="O3555" s="1362"/>
      <c r="P3555" s="1458"/>
      <c r="Q3555" s="3387"/>
      <c r="R3555" s="2343"/>
      <c r="S3555" s="16"/>
      <c r="T3555" s="16"/>
      <c r="U3555" s="16"/>
      <c r="V3555" s="16"/>
    </row>
    <row r="3556" spans="1:22">
      <c r="A3556" s="16"/>
      <c r="B3556" s="1320"/>
      <c r="C3556" s="1042"/>
      <c r="D3556" s="1655" t="s">
        <v>1896</v>
      </c>
      <c r="E3556" s="1859" t="s">
        <v>1508</v>
      </c>
      <c r="F3556" s="1655" t="s">
        <v>1897</v>
      </c>
      <c r="G3556" s="1809">
        <v>0.06</v>
      </c>
      <c r="H3556" s="1439"/>
      <c r="I3556" s="197"/>
      <c r="J3556" s="198"/>
      <c r="K3556" s="1350">
        <f>G3556*$K$3104</f>
        <v>5.75424E-2</v>
      </c>
      <c r="L3556" s="1335">
        <f t="shared" ref="L3556:L3557" si="378">K3556*$K$2842</f>
        <v>0</v>
      </c>
      <c r="M3556" s="1499">
        <v>19.23</v>
      </c>
      <c r="N3556" s="1701"/>
      <c r="O3556" s="1290">
        <f>(G3556*M3556)</f>
        <v>1.1537999999999999</v>
      </c>
      <c r="P3556" s="1739">
        <f>M3556*K3556</f>
        <v>1.1065403520000001</v>
      </c>
      <c r="Q3556" s="3391"/>
      <c r="R3556" s="3795"/>
      <c r="S3556" s="16"/>
      <c r="T3556" s="16"/>
      <c r="U3556" s="16"/>
      <c r="V3556" s="16"/>
    </row>
    <row r="3557" spans="1:22">
      <c r="A3557" s="16"/>
      <c r="B3557" s="1042"/>
      <c r="C3557" s="88"/>
      <c r="D3557" s="1655" t="s">
        <v>1802</v>
      </c>
      <c r="E3557" s="1859" t="s">
        <v>1508</v>
      </c>
      <c r="F3557" s="1655" t="s">
        <v>1804</v>
      </c>
      <c r="G3557" s="1809">
        <v>0.05</v>
      </c>
      <c r="H3557" s="1362"/>
      <c r="I3557" s="197"/>
      <c r="J3557" s="198"/>
      <c r="K3557" s="1350">
        <f>G3557*$K$3104</f>
        <v>4.7952000000000002E-2</v>
      </c>
      <c r="L3557" s="1335">
        <f t="shared" si="378"/>
        <v>0</v>
      </c>
      <c r="M3557" s="1302">
        <v>18.28</v>
      </c>
      <c r="N3557" s="7"/>
      <c r="O3557" s="1290">
        <f>(G3557*M3557)</f>
        <v>0.91400000000000015</v>
      </c>
      <c r="P3557" s="1739">
        <f>M3557*K3557</f>
        <v>0.8765625600000001</v>
      </c>
      <c r="Q3557" s="3391"/>
      <c r="R3557" s="2338"/>
      <c r="S3557" s="17"/>
      <c r="T3557" s="17"/>
      <c r="U3557" s="16"/>
      <c r="V3557" s="16"/>
    </row>
    <row r="3558" spans="1:22">
      <c r="A3558" s="16"/>
      <c r="B3558" s="1042"/>
      <c r="C3558" s="88"/>
      <c r="D3558" s="1655"/>
      <c r="E3558" s="1859"/>
      <c r="F3558" s="1655"/>
      <c r="G3558" s="1809"/>
      <c r="H3558" s="1362"/>
      <c r="I3558" s="197"/>
      <c r="J3558" s="198"/>
      <c r="K3558" s="1350"/>
      <c r="L3558" s="1335"/>
      <c r="M3558" s="1302"/>
      <c r="N3558" s="7"/>
      <c r="O3558" s="1290"/>
      <c r="P3558" s="1739"/>
      <c r="Q3558" s="3391"/>
      <c r="R3558" s="2338"/>
      <c r="S3558" s="105"/>
      <c r="T3558" s="105"/>
      <c r="U3558" s="16"/>
      <c r="V3558" s="16"/>
    </row>
    <row r="3559" spans="1:22">
      <c r="A3559" s="16"/>
      <c r="B3559" s="1042"/>
      <c r="C3559" s="88"/>
      <c r="D3559" s="1373"/>
      <c r="E3559" s="2123"/>
      <c r="F3559" s="1374" t="s">
        <v>3</v>
      </c>
      <c r="G3559" s="1374"/>
      <c r="H3559" s="1376"/>
      <c r="I3559" s="1382" t="str">
        <f t="shared" ref="I3559" ca="1" si="379">IF(COUNT(H3559:O3559)=0,"",(SUM(H3559:O3559)/COUNT(H3559:O3559)))</f>
        <v/>
      </c>
      <c r="J3559" s="1383"/>
      <c r="K3559" s="1373"/>
      <c r="L3559" s="1413"/>
      <c r="M3559" s="1376"/>
      <c r="N3559" s="1376"/>
      <c r="O3559" s="1376"/>
      <c r="P3559" s="1413"/>
      <c r="Q3559" s="3387"/>
      <c r="R3559" s="2343"/>
      <c r="S3559" s="16"/>
      <c r="T3559" s="2336"/>
      <c r="U3559" s="16"/>
      <c r="V3559" s="16"/>
    </row>
    <row r="3560" spans="1:22">
      <c r="A3560" s="22"/>
      <c r="B3560" s="1042"/>
      <c r="C3560" s="1042"/>
      <c r="D3560" s="1411"/>
      <c r="E3560" s="2123"/>
      <c r="F3560" s="1475"/>
      <c r="G3560" s="1376"/>
      <c r="H3560" s="1376"/>
      <c r="I3560" s="198"/>
      <c r="J3560" s="6"/>
      <c r="K3560" s="1350"/>
      <c r="L3560" s="1335"/>
      <c r="M3560" s="1499"/>
      <c r="N3560" s="1701"/>
      <c r="O3560" s="1290"/>
      <c r="P3560" s="1332"/>
      <c r="Q3560" s="3391"/>
      <c r="R3560" s="3795"/>
      <c r="S3560" s="16"/>
      <c r="T3560" s="16"/>
      <c r="U3560" s="16"/>
      <c r="V3560" s="16"/>
    </row>
    <row r="3561" spans="1:22">
      <c r="A3561" s="22"/>
      <c r="B3561" s="553"/>
      <c r="C3561" s="1042"/>
      <c r="D3561" s="1411"/>
      <c r="E3561" s="2123"/>
      <c r="F3561" s="1475"/>
      <c r="G3561" s="1475"/>
      <c r="H3561" s="1376"/>
      <c r="I3561" s="198"/>
      <c r="J3561" s="6"/>
      <c r="K3561" s="1307"/>
      <c r="L3561" s="1335"/>
      <c r="M3561" s="1499"/>
      <c r="N3561" s="1701"/>
      <c r="O3561" s="1290"/>
      <c r="P3561" s="1332"/>
      <c r="Q3561" s="3391"/>
      <c r="R3561" s="3795"/>
      <c r="S3561" s="16"/>
      <c r="T3561" s="16"/>
      <c r="U3561" s="16"/>
      <c r="V3561" s="16"/>
    </row>
    <row r="3562" spans="1:22">
      <c r="A3562" s="22"/>
      <c r="B3562" s="554"/>
      <c r="C3562" s="223"/>
      <c r="D3562" s="1808"/>
      <c r="E3562" s="2132"/>
      <c r="F3562" s="1804"/>
      <c r="G3562" s="1804"/>
      <c r="H3562" s="1805"/>
      <c r="I3562" s="197"/>
      <c r="J3562" s="1806"/>
      <c r="K3562" s="1307"/>
      <c r="L3562" s="1335"/>
      <c r="M3562" s="1701"/>
      <c r="N3562" s="1701"/>
      <c r="O3562" s="1290"/>
      <c r="P3562" s="1333"/>
      <c r="Q3562" s="3391"/>
      <c r="R3562" s="3795"/>
      <c r="S3562" s="16"/>
      <c r="T3562" s="16"/>
      <c r="U3562" s="16"/>
      <c r="V3562" s="16"/>
    </row>
    <row r="3563" spans="1:22" ht="15" customHeight="1">
      <c r="A3563" s="16" t="s">
        <v>3764</v>
      </c>
      <c r="B3563" s="4325" t="s">
        <v>2798</v>
      </c>
      <c r="C3563" s="4074"/>
      <c r="D3563" s="4327"/>
      <c r="E3563" s="4329" t="s">
        <v>1507</v>
      </c>
      <c r="F3563" s="4461" t="s">
        <v>1956</v>
      </c>
      <c r="G3563" s="4331" t="s">
        <v>1568</v>
      </c>
      <c r="H3563" s="4331" t="s">
        <v>1574</v>
      </c>
      <c r="I3563" s="1572" t="s">
        <v>1559</v>
      </c>
      <c r="J3563" s="1294" t="s">
        <v>1560</v>
      </c>
      <c r="K3563" s="1294" t="s">
        <v>1561</v>
      </c>
      <c r="L3563" s="4333" t="s">
        <v>3765</v>
      </c>
      <c r="M3563" s="4323" t="s">
        <v>1571</v>
      </c>
      <c r="N3563" s="4323" t="s">
        <v>1776</v>
      </c>
      <c r="O3563" s="4073" t="s">
        <v>1563</v>
      </c>
      <c r="P3563" s="1336" t="s">
        <v>1562</v>
      </c>
      <c r="Q3563" s="3389"/>
      <c r="R3563" s="1839" t="s">
        <v>1327</v>
      </c>
      <c r="S3563" s="16"/>
      <c r="T3563" s="16"/>
      <c r="U3563" s="16"/>
      <c r="V3563" s="16"/>
    </row>
    <row r="3564" spans="1:22">
      <c r="A3564" s="1971" t="s">
        <v>3574</v>
      </c>
      <c r="B3564" s="4326"/>
      <c r="C3564" s="4075"/>
      <c r="D3564" s="4328"/>
      <c r="E3564" s="4330"/>
      <c r="F3564" s="4462"/>
      <c r="G3564" s="4332"/>
      <c r="H3564" s="4332"/>
      <c r="I3564" s="4079">
        <v>319.68</v>
      </c>
      <c r="J3564" s="3815">
        <v>3.0000000000000001E-3</v>
      </c>
      <c r="K3564" s="1307">
        <f>I3564*J3564</f>
        <v>0.95904</v>
      </c>
      <c r="L3564" s="4334"/>
      <c r="M3564" s="4324"/>
      <c r="N3564" s="4324"/>
      <c r="O3564" s="1298">
        <f>SUM(O3566:O3580)</f>
        <v>80.167900000000003</v>
      </c>
      <c r="P3564" s="1337">
        <f>K3564*O3564</f>
        <v>76.884222816000005</v>
      </c>
      <c r="Q3564" s="3390"/>
      <c r="R3564" s="1840">
        <f>SUM(P3566:P3580)</f>
        <v>76.884222816000005</v>
      </c>
      <c r="S3564" s="16"/>
      <c r="T3564" s="16"/>
      <c r="U3564" s="16"/>
      <c r="V3564" s="16"/>
    </row>
    <row r="3565" spans="1:22">
      <c r="A3565" s="16"/>
      <c r="B3565" s="18"/>
      <c r="D3565" s="1449"/>
      <c r="E3565" s="2121"/>
      <c r="F3565" s="1368" t="s">
        <v>1</v>
      </c>
      <c r="G3565" s="1368"/>
      <c r="H3565" s="1369"/>
      <c r="I3565" s="1409"/>
      <c r="J3565" s="1391"/>
      <c r="K3565" s="1367"/>
      <c r="L3565" s="1554"/>
      <c r="M3565" s="1369"/>
      <c r="N3565" s="1369"/>
      <c r="O3565" s="1369"/>
      <c r="P3565" s="1367"/>
      <c r="Q3565" s="3387"/>
      <c r="R3565" s="2343"/>
      <c r="S3565" s="16"/>
      <c r="T3565" s="16"/>
      <c r="U3565" s="16"/>
      <c r="V3565" s="16"/>
    </row>
    <row r="3566" spans="1:22">
      <c r="A3566" s="16"/>
      <c r="B3566" s="553"/>
      <c r="C3566" s="1042"/>
      <c r="D3566" s="1974" t="s">
        <v>1963</v>
      </c>
      <c r="E3566" s="2154" t="s">
        <v>1504</v>
      </c>
      <c r="F3566" s="1598" t="s">
        <v>1964</v>
      </c>
      <c r="G3566" s="1612">
        <v>8.5</v>
      </c>
      <c r="H3566" s="1453"/>
      <c r="I3566" s="198"/>
      <c r="J3566" s="198"/>
      <c r="K3566" s="1350">
        <f>G3566*$K$3119</f>
        <v>8.15184</v>
      </c>
      <c r="L3566" s="1335">
        <f>K3566*$K$2842</f>
        <v>0</v>
      </c>
      <c r="M3566" s="1602">
        <v>2.5</v>
      </c>
      <c r="N3566" s="1718"/>
      <c r="O3566" s="1290">
        <f>G3566*M3566</f>
        <v>21.25</v>
      </c>
      <c r="P3566" s="1739">
        <f>M3566*K3566</f>
        <v>20.3796</v>
      </c>
      <c r="Q3566" s="3391"/>
      <c r="R3566" s="2343"/>
      <c r="S3566" s="16"/>
      <c r="T3566" s="16"/>
      <c r="U3566" s="16"/>
      <c r="V3566" s="16"/>
    </row>
    <row r="3567" spans="1:22" ht="15" customHeight="1">
      <c r="A3567" s="16"/>
      <c r="B3567" s="1042"/>
      <c r="D3567" s="1974" t="s">
        <v>1957</v>
      </c>
      <c r="E3567" s="2154" t="s">
        <v>1504</v>
      </c>
      <c r="F3567" s="1598" t="s">
        <v>1958</v>
      </c>
      <c r="G3567" s="1612">
        <v>2.12</v>
      </c>
      <c r="H3567" s="1567"/>
      <c r="I3567" s="1286"/>
      <c r="J3567" s="198"/>
      <c r="K3567" s="1350">
        <f>G3567*$K$3119</f>
        <v>2.0331648000000002</v>
      </c>
      <c r="L3567" s="1335">
        <f t="shared" ref="L3567:L3570" si="380">K3567*$K$2842</f>
        <v>0</v>
      </c>
      <c r="M3567" s="1602">
        <v>2.12</v>
      </c>
      <c r="N3567" s="1700"/>
      <c r="O3567" s="1290">
        <f>G3567*M3567</f>
        <v>4.4944000000000006</v>
      </c>
      <c r="P3567" s="1739">
        <f>M3567*K3567</f>
        <v>4.3103093760000011</v>
      </c>
      <c r="Q3567" s="3391"/>
      <c r="R3567" s="2343"/>
      <c r="S3567" s="16"/>
      <c r="T3567" s="16"/>
      <c r="U3567" s="16"/>
      <c r="V3567" s="16"/>
    </row>
    <row r="3568" spans="1:22">
      <c r="A3568" s="16"/>
      <c r="B3568" s="1042"/>
      <c r="D3568" s="1974" t="s">
        <v>1959</v>
      </c>
      <c r="E3568" s="2154" t="s">
        <v>1527</v>
      </c>
      <c r="F3568" s="1598" t="s">
        <v>1960</v>
      </c>
      <c r="G3568" s="1612">
        <v>0.42</v>
      </c>
      <c r="H3568" s="1771"/>
      <c r="I3568" s="1286"/>
      <c r="J3568" s="198"/>
      <c r="K3568" s="1350">
        <f>G3568*$K$3119</f>
        <v>0.40279680000000001</v>
      </c>
      <c r="L3568" s="1335">
        <f t="shared" si="380"/>
        <v>0</v>
      </c>
      <c r="M3568" s="1602">
        <v>4.32</v>
      </c>
      <c r="N3568" s="1700"/>
      <c r="O3568" s="1290">
        <f>G3568*M3568</f>
        <v>1.8144</v>
      </c>
      <c r="P3568" s="1739">
        <f>M3568*K3568</f>
        <v>1.7400821760000003</v>
      </c>
      <c r="Q3568" s="3391"/>
      <c r="R3568" s="2343"/>
      <c r="S3568" s="16"/>
      <c r="T3568" s="16"/>
      <c r="U3568" s="16"/>
      <c r="V3568" s="16"/>
    </row>
    <row r="3569" spans="1:22">
      <c r="A3569" s="16"/>
      <c r="B3569" s="553"/>
      <c r="C3569" s="1042"/>
      <c r="D3569" s="1974" t="s">
        <v>1961</v>
      </c>
      <c r="E3569" s="2154" t="s">
        <v>1527</v>
      </c>
      <c r="F3569" s="1598" t="s">
        <v>1962</v>
      </c>
      <c r="G3569" s="1612">
        <v>2.12</v>
      </c>
      <c r="H3569" s="1453"/>
      <c r="I3569" s="197"/>
      <c r="J3569" s="198"/>
      <c r="K3569" s="1350">
        <f>G3569*$K$3119</f>
        <v>2.0331648000000002</v>
      </c>
      <c r="L3569" s="1335">
        <f t="shared" si="380"/>
        <v>0</v>
      </c>
      <c r="M3569" s="1602">
        <v>6.78</v>
      </c>
      <c r="N3569" s="1718"/>
      <c r="O3569" s="1290">
        <f>G3569*M3569</f>
        <v>14.373600000000001</v>
      </c>
      <c r="P3569" s="1739">
        <f>M3569*K3569</f>
        <v>13.784857344000002</v>
      </c>
      <c r="Q3569" s="3391"/>
      <c r="R3569" s="2343"/>
      <c r="S3569" s="16"/>
      <c r="T3569" s="16"/>
      <c r="U3569" s="16"/>
      <c r="V3569" s="16"/>
    </row>
    <row r="3570" spans="1:22">
      <c r="A3570" s="16"/>
      <c r="B3570" s="553"/>
      <c r="C3570" s="1042"/>
      <c r="D3570" s="1974" t="s">
        <v>1097</v>
      </c>
      <c r="E3570" s="2154" t="s">
        <v>1504</v>
      </c>
      <c r="F3570" s="1598" t="s">
        <v>1632</v>
      </c>
      <c r="G3570" s="1612">
        <v>5</v>
      </c>
      <c r="H3570" s="1453"/>
      <c r="I3570" s="27"/>
      <c r="J3570" s="10"/>
      <c r="K3570" s="1350">
        <f>G3570*$K$3119</f>
        <v>4.7952000000000004</v>
      </c>
      <c r="L3570" s="1335">
        <f t="shared" si="380"/>
        <v>0</v>
      </c>
      <c r="M3570" s="1602">
        <v>0.55000000000000004</v>
      </c>
      <c r="N3570" s="1718"/>
      <c r="O3570" s="1290">
        <f>G3570*M3570</f>
        <v>2.75</v>
      </c>
      <c r="P3570" s="1739">
        <f>M3570*K3570</f>
        <v>2.6373600000000006</v>
      </c>
      <c r="Q3570" s="3391"/>
      <c r="R3570" s="2343"/>
      <c r="S3570" s="16"/>
      <c r="T3570" s="16"/>
      <c r="U3570" s="16"/>
      <c r="V3570" s="16"/>
    </row>
    <row r="3571" spans="1:22">
      <c r="A3571" s="16"/>
      <c r="B3571" s="1042"/>
      <c r="C3571" s="1320"/>
      <c r="D3571" s="1752"/>
      <c r="E3571" s="1852"/>
      <c r="F3571" s="1752"/>
      <c r="G3571" s="1399"/>
      <c r="H3571" s="1453"/>
      <c r="I3571" s="197"/>
      <c r="J3571" s="198"/>
      <c r="K3571" s="1350"/>
      <c r="L3571" s="1335"/>
      <c r="M3571" s="1499"/>
      <c r="N3571" s="1718"/>
      <c r="O3571" s="1719"/>
      <c r="P3571" s="1843"/>
      <c r="Q3571" s="3396"/>
      <c r="R3571" s="2338"/>
      <c r="S3571" s="16"/>
      <c r="T3571" s="16"/>
      <c r="U3571" s="16"/>
      <c r="V3571" s="16"/>
    </row>
    <row r="3572" spans="1:22">
      <c r="A3572" s="16"/>
      <c r="B3572" s="1042"/>
      <c r="C3572" s="88"/>
      <c r="D3572" s="1752"/>
      <c r="E3572" s="1852"/>
      <c r="F3572" s="1752"/>
      <c r="G3572" s="1399"/>
      <c r="H3572" s="1399"/>
      <c r="I3572" s="197"/>
      <c r="J3572" s="198"/>
      <c r="K3572" s="1350"/>
      <c r="L3572" s="1335"/>
      <c r="M3572" s="1499"/>
      <c r="N3572" s="1718"/>
      <c r="O3572" s="1719"/>
      <c r="P3572" s="1731"/>
      <c r="Q3572" s="3396"/>
      <c r="R3572" s="2338"/>
      <c r="S3572" s="16"/>
      <c r="T3572" s="16"/>
      <c r="U3572" s="16"/>
      <c r="V3572" s="16"/>
    </row>
    <row r="3573" spans="1:22">
      <c r="A3573" s="16"/>
      <c r="B3573" s="1042"/>
      <c r="C3573" s="88"/>
      <c r="D3573" s="1359"/>
      <c r="E3573" s="1858"/>
      <c r="F3573" s="1360" t="s">
        <v>2</v>
      </c>
      <c r="G3573" s="1360"/>
      <c r="H3573" s="1362"/>
      <c r="I3573" s="1380" t="str">
        <f ca="1">IF(COUNT(H3573:O3573)=0,"",(SUM(H3573:O3573)/COUNT(H3573:O3573)))</f>
        <v/>
      </c>
      <c r="J3573" s="1381"/>
      <c r="K3573" s="1458"/>
      <c r="L3573" s="1458"/>
      <c r="M3573" s="1362"/>
      <c r="N3573" s="1362"/>
      <c r="O3573" s="1362"/>
      <c r="P3573" s="1458"/>
      <c r="Q3573" s="3387"/>
      <c r="R3573" s="2343"/>
      <c r="S3573" s="16"/>
      <c r="T3573" s="16"/>
      <c r="U3573" s="16"/>
      <c r="V3573" s="16"/>
    </row>
    <row r="3574" spans="1:22">
      <c r="A3574" s="16"/>
      <c r="B3574" s="1320"/>
      <c r="C3574" s="1042"/>
      <c r="D3574" s="1655" t="s">
        <v>1806</v>
      </c>
      <c r="E3574" s="1859" t="s">
        <v>1508</v>
      </c>
      <c r="F3574" s="1655" t="s">
        <v>1663</v>
      </c>
      <c r="G3574" s="1809">
        <v>0.61499999999999999</v>
      </c>
      <c r="H3574" s="1439"/>
      <c r="I3574" s="197"/>
      <c r="J3574" s="198"/>
      <c r="K3574" s="1350">
        <f>G3574*$K$3119</f>
        <v>0.58980960000000004</v>
      </c>
      <c r="L3574" s="1335">
        <f t="shared" ref="L3574:L3575" si="381">K3574*$K$2842</f>
        <v>0</v>
      </c>
      <c r="M3574" s="1499">
        <v>19.23</v>
      </c>
      <c r="N3574" s="1701"/>
      <c r="O3574" s="1290">
        <f>(G3574*M3574)</f>
        <v>11.826449999999999</v>
      </c>
      <c r="P3574" s="1739">
        <f>M3574*K3574</f>
        <v>11.342038608000001</v>
      </c>
      <c r="Q3574" s="3391"/>
      <c r="R3574" s="3795"/>
      <c r="S3574" s="16"/>
      <c r="T3574" s="16"/>
      <c r="U3574" s="16"/>
      <c r="V3574" s="16"/>
    </row>
    <row r="3575" spans="1:22">
      <c r="A3575" s="16"/>
      <c r="B3575" s="1042"/>
      <c r="C3575" s="88"/>
      <c r="D3575" s="1655" t="s">
        <v>1965</v>
      </c>
      <c r="E3575" s="1859" t="s">
        <v>1508</v>
      </c>
      <c r="F3575" s="1655" t="s">
        <v>1966</v>
      </c>
      <c r="G3575" s="1809">
        <v>0.61499999999999999</v>
      </c>
      <c r="H3575" s="1362"/>
      <c r="I3575" s="197"/>
      <c r="J3575" s="198"/>
      <c r="K3575" s="1350">
        <f>G3575*$K$3119</f>
        <v>0.58980960000000004</v>
      </c>
      <c r="L3575" s="1335">
        <f t="shared" si="381"/>
        <v>0</v>
      </c>
      <c r="M3575" s="1302">
        <v>17.47</v>
      </c>
      <c r="N3575" s="7"/>
      <c r="O3575" s="1290">
        <f>(G3575*M3575)</f>
        <v>10.74405</v>
      </c>
      <c r="P3575" s="1739">
        <f>M3575*K3575</f>
        <v>10.303973711999999</v>
      </c>
      <c r="Q3575" s="3391"/>
      <c r="R3575" s="2338"/>
      <c r="S3575" s="16"/>
      <c r="T3575" s="16"/>
      <c r="U3575" s="16"/>
      <c r="V3575" s="16"/>
    </row>
    <row r="3576" spans="1:22">
      <c r="A3576" s="16"/>
      <c r="B3576" s="1042"/>
      <c r="C3576" s="88"/>
      <c r="D3576" s="1655"/>
      <c r="E3576" s="1859"/>
      <c r="F3576" s="1655"/>
      <c r="G3576" s="1809"/>
      <c r="H3576" s="1362"/>
      <c r="I3576" s="197"/>
      <c r="J3576" s="198"/>
      <c r="K3576" s="1350"/>
      <c r="L3576" s="1335"/>
      <c r="M3576" s="1302"/>
      <c r="N3576" s="7"/>
      <c r="O3576" s="1290"/>
      <c r="P3576" s="1739"/>
      <c r="Q3576" s="3391"/>
      <c r="R3576" s="2338"/>
      <c r="S3576" s="16"/>
      <c r="T3576" s="16"/>
      <c r="U3576" s="16"/>
      <c r="V3576" s="16"/>
    </row>
    <row r="3577" spans="1:22">
      <c r="A3577" s="16"/>
      <c r="B3577" s="1042"/>
      <c r="C3577" s="88"/>
      <c r="D3577" s="1373"/>
      <c r="E3577" s="2123"/>
      <c r="F3577" s="1374" t="s">
        <v>3</v>
      </c>
      <c r="G3577" s="1374"/>
      <c r="H3577" s="1376"/>
      <c r="I3577" s="1382" t="str">
        <f t="shared" ref="I3577" ca="1" si="382">IF(COUNT(H3577:O3577)=0,"",(SUM(H3577:O3577)/COUNT(H3577:O3577)))</f>
        <v/>
      </c>
      <c r="J3577" s="1383"/>
      <c r="K3577" s="1373"/>
      <c r="L3577" s="1413"/>
      <c r="M3577" s="1376"/>
      <c r="N3577" s="1376"/>
      <c r="O3577" s="1376"/>
      <c r="P3577" s="1413"/>
      <c r="Q3577" s="3387"/>
      <c r="R3577" s="2343"/>
      <c r="S3577" s="16"/>
      <c r="T3577" s="16"/>
      <c r="U3577" s="16"/>
      <c r="V3577" s="16"/>
    </row>
    <row r="3578" spans="1:22">
      <c r="A3578" s="22"/>
      <c r="B3578" s="1599"/>
      <c r="C3578" s="1320"/>
      <c r="D3578" s="1411" t="s">
        <v>1686</v>
      </c>
      <c r="E3578" s="2123" t="s">
        <v>1803</v>
      </c>
      <c r="F3578" s="1837" t="s">
        <v>1688</v>
      </c>
      <c r="G3578" s="1376">
        <v>1.722</v>
      </c>
      <c r="H3578" s="1376"/>
      <c r="I3578" s="198"/>
      <c r="J3578" s="6"/>
      <c r="K3578" s="1350">
        <f>G3578*$K$3119</f>
        <v>1.6514668800000001</v>
      </c>
      <c r="L3578" s="1335">
        <f>K3578*$K$2842</f>
        <v>0</v>
      </c>
      <c r="M3578" s="1499">
        <v>7.5</v>
      </c>
      <c r="N3578" s="1701"/>
      <c r="O3578" s="1290">
        <f>(G3578*M3578)</f>
        <v>12.914999999999999</v>
      </c>
      <c r="P3578" s="1332">
        <f>M3578*K3578</f>
        <v>12.3860016</v>
      </c>
      <c r="Q3578" s="3391"/>
      <c r="R3578" s="3795"/>
      <c r="S3578" s="16"/>
      <c r="T3578" s="16"/>
      <c r="U3578" s="16"/>
      <c r="V3578" s="16"/>
    </row>
    <row r="3579" spans="1:22">
      <c r="A3579" s="22"/>
      <c r="B3579" s="1599"/>
      <c r="C3579" s="1320"/>
      <c r="D3579" s="1411"/>
      <c r="E3579" s="2123"/>
      <c r="F3579" s="1475"/>
      <c r="G3579" s="1475"/>
      <c r="H3579" s="1376"/>
      <c r="I3579" s="198"/>
      <c r="J3579" s="6"/>
      <c r="K3579" s="1307"/>
      <c r="L3579" s="1335"/>
      <c r="M3579" s="1499"/>
      <c r="N3579" s="1701"/>
      <c r="O3579" s="1290"/>
      <c r="P3579" s="1332"/>
      <c r="Q3579" s="3391"/>
      <c r="R3579" s="3795"/>
      <c r="S3579" s="16"/>
      <c r="T3579" s="16"/>
      <c r="U3579" s="16"/>
      <c r="V3579" s="16"/>
    </row>
    <row r="3580" spans="1:22">
      <c r="A3580" s="22"/>
      <c r="B3580" s="554"/>
      <c r="C3580" s="223"/>
      <c r="D3580" s="1808"/>
      <c r="E3580" s="2132"/>
      <c r="F3580" s="1804"/>
      <c r="G3580" s="1804"/>
      <c r="H3580" s="1805"/>
      <c r="I3580" s="197"/>
      <c r="J3580" s="1806"/>
      <c r="K3580" s="1307"/>
      <c r="L3580" s="1335"/>
      <c r="M3580" s="1701"/>
      <c r="N3580" s="1701"/>
      <c r="O3580" s="1290"/>
      <c r="P3580" s="1333"/>
      <c r="Q3580" s="3391"/>
      <c r="R3580" s="3795"/>
      <c r="S3580" s="16"/>
      <c r="T3580" s="16"/>
      <c r="U3580" s="16"/>
      <c r="V3580" s="16"/>
    </row>
    <row r="3581" spans="1:22" ht="15" customHeight="1">
      <c r="A3581" s="16" t="s">
        <v>3764</v>
      </c>
      <c r="B3581" s="4325" t="s">
        <v>1659</v>
      </c>
      <c r="C3581" s="4074"/>
      <c r="D3581" s="4327"/>
      <c r="E3581" s="4329" t="s">
        <v>1507</v>
      </c>
      <c r="F3581" s="4338" t="s">
        <v>1685</v>
      </c>
      <c r="G3581" s="4331" t="s">
        <v>1568</v>
      </c>
      <c r="H3581" s="4331" t="s">
        <v>1574</v>
      </c>
      <c r="I3581" s="1572" t="s">
        <v>1559</v>
      </c>
      <c r="J3581" s="1294" t="s">
        <v>1560</v>
      </c>
      <c r="K3581" s="1294" t="s">
        <v>1561</v>
      </c>
      <c r="L3581" s="4333" t="s">
        <v>3765</v>
      </c>
      <c r="M3581" s="4335" t="s">
        <v>1571</v>
      </c>
      <c r="N3581" s="4323" t="s">
        <v>1776</v>
      </c>
      <c r="O3581" s="4073" t="s">
        <v>1563</v>
      </c>
      <c r="P3581" s="1336" t="s">
        <v>1562</v>
      </c>
      <c r="Q3581" s="3389"/>
      <c r="R3581" s="1699" t="s">
        <v>1327</v>
      </c>
      <c r="S3581" s="16"/>
      <c r="T3581" s="16"/>
      <c r="U3581" s="16"/>
      <c r="V3581" s="16"/>
    </row>
    <row r="3582" spans="1:22">
      <c r="A3582" s="1971" t="s">
        <v>3574</v>
      </c>
      <c r="B3582" s="4326"/>
      <c r="C3582" s="4075"/>
      <c r="D3582" s="4328"/>
      <c r="E3582" s="4330"/>
      <c r="F3582" s="4338"/>
      <c r="G3582" s="4332"/>
      <c r="H3582" s="4332"/>
      <c r="I3582" s="4079">
        <v>57.78</v>
      </c>
      <c r="J3582" s="3815">
        <v>3.0000000000000001E-3</v>
      </c>
      <c r="K3582" s="1307">
        <f>I3582*J3582</f>
        <v>0.17333999999999999</v>
      </c>
      <c r="L3582" s="4334"/>
      <c r="M3582" s="4335"/>
      <c r="N3582" s="4324"/>
      <c r="O3582" s="1298">
        <f>O3584+O3592</f>
        <v>13.241683030000001</v>
      </c>
      <c r="P3582" s="1337">
        <f>O3582*K3582</f>
        <v>2.2953133364201999</v>
      </c>
      <c r="Q3582" s="3390"/>
      <c r="R3582" s="1721">
        <f>P3584+P3592</f>
        <v>2.2953133364201999</v>
      </c>
      <c r="S3582" s="16"/>
      <c r="T3582" s="16"/>
      <c r="U3582" s="16"/>
      <c r="V3582" s="16"/>
    </row>
    <row r="3583" spans="1:22">
      <c r="A3583" s="16"/>
      <c r="B3583" s="18"/>
      <c r="D3583" s="1449"/>
      <c r="E3583" s="2121"/>
      <c r="F3583" s="1368" t="s">
        <v>1</v>
      </c>
      <c r="G3583" s="1368"/>
      <c r="H3583" s="1369"/>
      <c r="I3583" s="1409"/>
      <c r="J3583" s="1391"/>
      <c r="K3583" s="1367"/>
      <c r="L3583" s="1554"/>
      <c r="M3583" s="1369"/>
      <c r="N3583" s="1369"/>
      <c r="O3583" s="1369"/>
      <c r="P3583" s="1367"/>
      <c r="Q3583" s="3387"/>
      <c r="R3583" s="2337"/>
      <c r="S3583" s="16"/>
      <c r="T3583" s="16"/>
      <c r="U3583" s="16"/>
      <c r="V3583" s="16"/>
    </row>
    <row r="3584" spans="1:22">
      <c r="A3584" s="16"/>
      <c r="B3584" s="1042"/>
      <c r="C3584" s="1356" t="s">
        <v>1127</v>
      </c>
      <c r="D3584" s="1311"/>
      <c r="E3584" s="2137" t="s">
        <v>1517</v>
      </c>
      <c r="F3584" s="1319" t="s">
        <v>1519</v>
      </c>
      <c r="G3584" s="1353"/>
      <c r="H3584" s="1456">
        <v>2.1000000000000001E-2</v>
      </c>
      <c r="I3584" s="1444"/>
      <c r="J3584" s="1388"/>
      <c r="K3584" s="1445"/>
      <c r="L3584" s="1457"/>
      <c r="M3584" s="1447"/>
      <c r="N3584" s="1447">
        <f>SUM(N3585:N3588)</f>
        <v>50.044430000000006</v>
      </c>
      <c r="O3584" s="1447">
        <f>SUM(O3585:O3588)</f>
        <v>1.0509330300000002</v>
      </c>
      <c r="P3584" s="1446">
        <f>SUM(P3585:P3588)</f>
        <v>0.18216873142020001</v>
      </c>
      <c r="Q3584" s="3391"/>
      <c r="R3584" s="2337"/>
      <c r="S3584" s="16"/>
      <c r="T3584" s="16"/>
      <c r="U3584" s="16"/>
      <c r="V3584" s="16"/>
    </row>
    <row r="3585" spans="1:22">
      <c r="A3585" s="16"/>
      <c r="B3585" s="1042"/>
      <c r="C3585" s="1327"/>
      <c r="D3585" s="1400" t="s">
        <v>1069</v>
      </c>
      <c r="E3585" s="1856" t="s">
        <v>1517</v>
      </c>
      <c r="F3585" s="1397" t="s">
        <v>1578</v>
      </c>
      <c r="G3585" s="1416">
        <v>0.26300000000000001</v>
      </c>
      <c r="H3585" s="1399">
        <f>G3585*$H$3139</f>
        <v>5.523000000000001E-3</v>
      </c>
      <c r="I3585" s="197"/>
      <c r="J3585" s="198"/>
      <c r="K3585" s="1307">
        <f>H3585*$K$3137</f>
        <v>9.5735682000000011E-4</v>
      </c>
      <c r="L3585" s="1335">
        <f t="shared" ref="L3585:L3588" si="383">K3585*$K$2842</f>
        <v>0</v>
      </c>
      <c r="M3585" s="1302">
        <v>0.55000000000000004</v>
      </c>
      <c r="N3585" s="1718">
        <f>G3585*M3585</f>
        <v>0.14465000000000003</v>
      </c>
      <c r="O3585" s="1290">
        <f>H3585*M3585</f>
        <v>3.0376500000000007E-3</v>
      </c>
      <c r="P3585" s="1332">
        <f>M3585*K3585</f>
        <v>5.265462510000001E-4</v>
      </c>
      <c r="Q3585" s="3391"/>
      <c r="R3585" s="2337"/>
      <c r="S3585" s="16"/>
      <c r="T3585" s="16"/>
      <c r="U3585" s="16"/>
      <c r="V3585" s="16"/>
    </row>
    <row r="3586" spans="1:22">
      <c r="A3586" s="16"/>
      <c r="B3586" s="1042"/>
      <c r="C3586" s="1320"/>
      <c r="D3586" s="1400" t="s">
        <v>1394</v>
      </c>
      <c r="E3586" s="1856" t="s">
        <v>1577</v>
      </c>
      <c r="F3586" s="1397" t="s">
        <v>1579</v>
      </c>
      <c r="G3586" s="1416">
        <v>0.25800000000000001</v>
      </c>
      <c r="H3586" s="1399">
        <f t="shared" ref="H3586:H3588" si="384">G3586*$H$3139</f>
        <v>5.4180000000000001E-3</v>
      </c>
      <c r="I3586" s="197"/>
      <c r="J3586" s="198"/>
      <c r="K3586" s="1307">
        <f t="shared" ref="K3586:K3588" si="385">H3586*$K$3137</f>
        <v>9.3915611999999997E-4</v>
      </c>
      <c r="L3586" s="1335">
        <f t="shared" si="383"/>
        <v>0</v>
      </c>
      <c r="M3586" s="1302">
        <v>92.54</v>
      </c>
      <c r="N3586" s="1718">
        <f>G3586*M3586</f>
        <v>23.875320000000002</v>
      </c>
      <c r="O3586" s="1290">
        <f>H3586*M3586</f>
        <v>0.50138172000000003</v>
      </c>
      <c r="P3586" s="1332">
        <f>M3586*K3586</f>
        <v>8.6909507344800005E-2</v>
      </c>
      <c r="Q3586" s="3391"/>
      <c r="R3586" s="2337"/>
      <c r="S3586" s="16"/>
      <c r="T3586" s="16"/>
      <c r="U3586" s="16"/>
      <c r="V3586" s="16"/>
    </row>
    <row r="3587" spans="1:22">
      <c r="A3587" s="16"/>
      <c r="B3587" s="1042"/>
      <c r="C3587" s="1320"/>
      <c r="D3587" s="1400" t="s">
        <v>1576</v>
      </c>
      <c r="E3587" s="1856" t="s">
        <v>1517</v>
      </c>
      <c r="F3587" s="1397" t="s">
        <v>1580</v>
      </c>
      <c r="G3587" s="1416">
        <v>1.1020000000000001</v>
      </c>
      <c r="H3587" s="1399">
        <f t="shared" si="384"/>
        <v>2.3142000000000003E-2</v>
      </c>
      <c r="I3587" s="197"/>
      <c r="J3587" s="198"/>
      <c r="K3587" s="1307">
        <f t="shared" si="385"/>
        <v>4.0114342800000001E-3</v>
      </c>
      <c r="L3587" s="1335">
        <f t="shared" si="383"/>
        <v>0</v>
      </c>
      <c r="M3587" s="1302">
        <v>6.53</v>
      </c>
      <c r="N3587" s="1718">
        <f>G3587*M3587</f>
        <v>7.196060000000001</v>
      </c>
      <c r="O3587" s="1290">
        <f>H3587*M3587</f>
        <v>0.15111726000000003</v>
      </c>
      <c r="P3587" s="1332">
        <f>M3587*K3587</f>
        <v>2.6194665848400002E-2</v>
      </c>
      <c r="Q3587" s="3391"/>
      <c r="R3587" s="2337"/>
      <c r="S3587" s="16"/>
      <c r="T3587" s="16"/>
      <c r="U3587" s="16"/>
      <c r="V3587" s="16"/>
    </row>
    <row r="3588" spans="1:22">
      <c r="A3588" s="16"/>
      <c r="B3588" s="1042"/>
      <c r="C3588" s="1320"/>
      <c r="D3588" s="1404" t="s">
        <v>1067</v>
      </c>
      <c r="E3588" s="1857" t="s">
        <v>1508</v>
      </c>
      <c r="F3588" s="1406" t="s">
        <v>1512</v>
      </c>
      <c r="G3588" s="1407">
        <v>1.03</v>
      </c>
      <c r="H3588" s="1408">
        <f t="shared" si="384"/>
        <v>2.1630000000000003E-2</v>
      </c>
      <c r="I3588" s="197"/>
      <c r="J3588" s="198"/>
      <c r="K3588" s="1307">
        <f t="shared" si="385"/>
        <v>3.7493442000000004E-3</v>
      </c>
      <c r="L3588" s="1335">
        <f t="shared" si="383"/>
        <v>0</v>
      </c>
      <c r="M3588" s="1302">
        <v>18.28</v>
      </c>
      <c r="N3588" s="1718">
        <f>G3588*M3588</f>
        <v>18.828400000000002</v>
      </c>
      <c r="O3588" s="1290">
        <f>H3588*M3588</f>
        <v>0.39539640000000009</v>
      </c>
      <c r="P3588" s="1332">
        <f>M3588*K3588</f>
        <v>6.8538011976000013E-2</v>
      </c>
      <c r="Q3588" s="3391"/>
      <c r="R3588" s="2337"/>
      <c r="S3588" s="16"/>
      <c r="T3588" s="16"/>
      <c r="U3588" s="16"/>
      <c r="V3588" s="16"/>
    </row>
    <row r="3589" spans="1:22">
      <c r="A3589" s="16"/>
      <c r="B3589" s="1042"/>
      <c r="C3589" s="88"/>
      <c r="D3589" s="1400"/>
      <c r="E3589" s="1856"/>
      <c r="F3589" s="1397"/>
      <c r="G3589" s="1416"/>
      <c r="H3589" s="1399"/>
      <c r="I3589" s="197"/>
      <c r="J3589" s="198"/>
      <c r="K3589" s="1307"/>
      <c r="L3589" s="1335"/>
      <c r="M3589" s="1302"/>
      <c r="N3589" s="1718"/>
      <c r="O3589" s="1290"/>
      <c r="P3589" s="1332"/>
      <c r="Q3589" s="3391"/>
      <c r="R3589" s="2337"/>
      <c r="S3589" s="16"/>
      <c r="T3589" s="16"/>
      <c r="U3589" s="16"/>
      <c r="V3589" s="16"/>
    </row>
    <row r="3590" spans="1:22">
      <c r="A3590" s="16"/>
      <c r="B3590" s="1042"/>
      <c r="C3590" s="88"/>
      <c r="D3590" s="1400"/>
      <c r="E3590" s="1856"/>
      <c r="F3590" s="1397"/>
      <c r="G3590" s="1416"/>
      <c r="H3590" s="1399"/>
      <c r="I3590" s="197" t="str">
        <f ca="1">IF(COUNT(H3590:O3590)=0,"",(SUM(H3590:O3590)/COUNT(H3590:O3590)))</f>
        <v/>
      </c>
      <c r="J3590" s="198"/>
      <c r="K3590" s="1307" t="str">
        <f>IF(COUNT(#REF!)=0,"",IF(#REF!="","",(#REF!*#REF!)))</f>
        <v/>
      </c>
      <c r="L3590" s="1335"/>
      <c r="M3590" s="1302"/>
      <c r="N3590" s="1718"/>
      <c r="O3590" s="1290"/>
      <c r="P3590" s="1332"/>
      <c r="Q3590" s="3391"/>
      <c r="R3590" s="2337"/>
      <c r="S3590" s="16"/>
      <c r="T3590" s="16"/>
      <c r="U3590" s="16"/>
      <c r="V3590" s="16"/>
    </row>
    <row r="3591" spans="1:22">
      <c r="A3591" s="16"/>
      <c r="B3591" s="1042"/>
      <c r="C3591" s="88"/>
      <c r="D3591" s="1359"/>
      <c r="E3591" s="1858"/>
      <c r="F3591" s="1360" t="s">
        <v>2</v>
      </c>
      <c r="G3591" s="1360"/>
      <c r="H3591" s="1362"/>
      <c r="I3591" s="1380" t="str">
        <f ca="1">IF(COUNT(H3591:O3591)=0,"",(SUM(H3591:O3591)/COUNT(H3591:O3591)))</f>
        <v/>
      </c>
      <c r="J3591" s="1381"/>
      <c r="K3591" s="1359" t="str">
        <f>IF(COUNT(#REF!)=0,"",IF(#REF!="","",(#REF!*#REF!)))</f>
        <v/>
      </c>
      <c r="L3591" s="1458"/>
      <c r="M3591" s="1362"/>
      <c r="N3591" s="1362"/>
      <c r="O3591" s="1362"/>
      <c r="P3591" s="1458"/>
      <c r="Q3591" s="3387"/>
      <c r="R3591" s="2337"/>
      <c r="S3591" s="16"/>
      <c r="T3591" s="16"/>
      <c r="U3591" s="16"/>
      <c r="V3591" s="16"/>
    </row>
    <row r="3592" spans="1:22">
      <c r="A3592" s="16"/>
      <c r="B3592" s="1042"/>
      <c r="C3592" s="1652" t="s">
        <v>1755</v>
      </c>
      <c r="D3592" s="1461"/>
      <c r="E3592" s="2163" t="s">
        <v>1508</v>
      </c>
      <c r="F3592" s="1648" t="s">
        <v>1524</v>
      </c>
      <c r="G3592" s="1353"/>
      <c r="H3592" s="1456">
        <v>0.32500000000000001</v>
      </c>
      <c r="I3592" s="1444"/>
      <c r="J3592" s="1388"/>
      <c r="K3592" s="1445"/>
      <c r="L3592" s="1457"/>
      <c r="M3592" s="1447"/>
      <c r="N3592" s="1447">
        <f>SUM(N3593:N3594)</f>
        <v>37.510000000000005</v>
      </c>
      <c r="O3592" s="1447">
        <f>SUM(O3593:O3594)</f>
        <v>12.190750000000001</v>
      </c>
      <c r="P3592" s="1447">
        <f>SUM(P3593:P3594)</f>
        <v>2.113144605</v>
      </c>
      <c r="Q3592" s="3391"/>
      <c r="R3592" s="2337"/>
      <c r="S3592" s="16"/>
      <c r="T3592" s="16"/>
      <c r="U3592" s="16"/>
      <c r="V3592" s="16"/>
    </row>
    <row r="3593" spans="1:22">
      <c r="A3593" s="16"/>
      <c r="B3593" s="1042"/>
      <c r="C3593" s="88"/>
      <c r="D3593" s="1430" t="s">
        <v>1067</v>
      </c>
      <c r="E3593" s="1857" t="s">
        <v>1508</v>
      </c>
      <c r="F3593" s="1403" t="s">
        <v>5</v>
      </c>
      <c r="G3593" s="1431">
        <v>1</v>
      </c>
      <c r="H3593" s="1408">
        <f>G3593*$H$3147</f>
        <v>0.32500000000000001</v>
      </c>
      <c r="I3593" s="1286"/>
      <c r="J3593" s="198"/>
      <c r="K3593" s="1307">
        <f t="shared" ref="K3593:K3594" si="386">H3593*$K$3137</f>
        <v>5.6335499999999997E-2</v>
      </c>
      <c r="L3593" s="1335">
        <f t="shared" ref="L3593:L3594" si="387">K3593*$K$2842</f>
        <v>0</v>
      </c>
      <c r="M3593" s="1302">
        <v>18.28</v>
      </c>
      <c r="N3593" s="1718">
        <f>G3593*M3593</f>
        <v>18.28</v>
      </c>
      <c r="O3593" s="1290">
        <f>H3593*M3593</f>
        <v>5.9410000000000007</v>
      </c>
      <c r="P3593" s="1332">
        <f>M3593*K3593</f>
        <v>1.02981294</v>
      </c>
      <c r="Q3593" s="3391"/>
      <c r="R3593" s="2337"/>
      <c r="S3593" s="16"/>
      <c r="T3593" s="16"/>
      <c r="U3593" s="16"/>
      <c r="V3593" s="16"/>
    </row>
    <row r="3594" spans="1:22">
      <c r="A3594" s="16"/>
      <c r="B3594" s="1042"/>
      <c r="C3594" s="88"/>
      <c r="D3594" s="1430" t="s">
        <v>1077</v>
      </c>
      <c r="E3594" s="1857" t="s">
        <v>1508</v>
      </c>
      <c r="F3594" s="1403" t="s">
        <v>37</v>
      </c>
      <c r="G3594" s="1431">
        <v>1</v>
      </c>
      <c r="H3594" s="1408">
        <f>G3594*$H$3147</f>
        <v>0.32500000000000001</v>
      </c>
      <c r="I3594" s="197">
        <f ca="1">IF(COUNT(H3594:L3594)=0,"",(SUM(H3594:L3594)/COUNT(H3594:L3594)))</f>
        <v>0.12722700520833333</v>
      </c>
      <c r="J3594" s="198"/>
      <c r="K3594" s="1307">
        <f t="shared" si="386"/>
        <v>5.6335499999999997E-2</v>
      </c>
      <c r="L3594" s="1335">
        <f t="shared" si="387"/>
        <v>0</v>
      </c>
      <c r="M3594" s="1302">
        <v>19.23</v>
      </c>
      <c r="N3594" s="1718">
        <f>G3594*M3594</f>
        <v>19.23</v>
      </c>
      <c r="O3594" s="1290">
        <f>H3594*M3594</f>
        <v>6.2497500000000006</v>
      </c>
      <c r="P3594" s="1332">
        <f>M3594*K3594</f>
        <v>1.083331665</v>
      </c>
      <c r="Q3594" s="3391"/>
      <c r="R3594" s="2337"/>
      <c r="S3594" s="16"/>
      <c r="T3594" s="16"/>
      <c r="U3594" s="16"/>
      <c r="V3594" s="16"/>
    </row>
    <row r="3595" spans="1:22">
      <c r="A3595" s="16"/>
      <c r="B3595" s="1042"/>
      <c r="C3595" s="88"/>
      <c r="D3595" s="1430"/>
      <c r="E3595" s="1857"/>
      <c r="F3595" s="1766"/>
      <c r="G3595" s="1943"/>
      <c r="H3595" s="1408"/>
      <c r="I3595" s="197"/>
      <c r="J3595" s="198"/>
      <c r="K3595" s="1307"/>
      <c r="L3595" s="1335"/>
      <c r="M3595" s="1302"/>
      <c r="N3595" s="1718"/>
      <c r="O3595" s="1290"/>
      <c r="P3595" s="1332"/>
      <c r="Q3595" s="3391"/>
      <c r="R3595" s="2337"/>
      <c r="S3595" s="16"/>
      <c r="T3595" s="16"/>
      <c r="U3595" s="16"/>
      <c r="V3595" s="16"/>
    </row>
    <row r="3596" spans="1:22">
      <c r="A3596" s="16"/>
      <c r="B3596" s="1042"/>
      <c r="C3596" s="88"/>
      <c r="D3596" s="1373"/>
      <c r="E3596" s="2123"/>
      <c r="F3596" s="1374" t="s">
        <v>3</v>
      </c>
      <c r="G3596" s="1374"/>
      <c r="H3596" s="1376"/>
      <c r="I3596" s="1382" t="str">
        <f t="shared" ref="I3596:I3599" ca="1" si="388">IF(COUNT(H3596:O3596)=0,"",(SUM(H3596:O3596)/COUNT(H3596:O3596)))</f>
        <v/>
      </c>
      <c r="J3596" s="1383"/>
      <c r="K3596" s="1373"/>
      <c r="L3596" s="1413"/>
      <c r="M3596" s="1376"/>
      <c r="N3596" s="1376"/>
      <c r="O3596" s="1376"/>
      <c r="P3596" s="1413"/>
      <c r="Q3596" s="3387"/>
      <c r="R3596" s="2337"/>
      <c r="S3596" s="16"/>
      <c r="T3596" s="16"/>
      <c r="U3596" s="16"/>
      <c r="V3596" s="16"/>
    </row>
    <row r="3597" spans="1:22">
      <c r="A3597" s="16"/>
      <c r="B3597" s="1042"/>
      <c r="C3597" s="88"/>
      <c r="D3597" s="1440"/>
      <c r="E3597" s="2132"/>
      <c r="F3597" s="1441"/>
      <c r="G3597" s="1441"/>
      <c r="H3597" s="1442"/>
      <c r="I3597" s="197" t="str">
        <f t="shared" ca="1" si="388"/>
        <v/>
      </c>
      <c r="J3597" s="198"/>
      <c r="K3597" s="1307"/>
      <c r="L3597" s="1335"/>
      <c r="M3597" s="1499"/>
      <c r="N3597" s="1701"/>
      <c r="O3597" s="1290"/>
      <c r="P3597" s="1332"/>
      <c r="Q3597" s="3391"/>
      <c r="R3597" s="2337"/>
      <c r="S3597" s="16"/>
      <c r="T3597" s="16"/>
      <c r="U3597" s="16"/>
      <c r="V3597" s="16"/>
    </row>
    <row r="3598" spans="1:22">
      <c r="A3598" s="16"/>
      <c r="B3598" s="1042"/>
      <c r="C3598" s="88"/>
      <c r="D3598" s="1440"/>
      <c r="E3598" s="2132"/>
      <c r="F3598" s="1441"/>
      <c r="G3598" s="1441"/>
      <c r="H3598" s="1442"/>
      <c r="I3598" s="197" t="str">
        <f t="shared" ca="1" si="388"/>
        <v/>
      </c>
      <c r="J3598" s="198"/>
      <c r="K3598" s="1307"/>
      <c r="L3598" s="1335"/>
      <c r="M3598" s="1499"/>
      <c r="N3598" s="1701"/>
      <c r="O3598" s="1290"/>
      <c r="P3598" s="1332"/>
      <c r="Q3598" s="3391"/>
      <c r="R3598" s="2337"/>
      <c r="S3598" s="105"/>
      <c r="T3598" s="16"/>
      <c r="U3598" s="16"/>
      <c r="V3598" s="16"/>
    </row>
    <row r="3599" spans="1:22">
      <c r="A3599" s="16"/>
      <c r="B3599" s="223"/>
      <c r="C3599" s="581"/>
      <c r="D3599" s="1440"/>
      <c r="E3599" s="2132"/>
      <c r="F3599" s="1441"/>
      <c r="G3599" s="1441"/>
      <c r="H3599" s="1442"/>
      <c r="I3599" s="197" t="str">
        <f t="shared" ca="1" si="388"/>
        <v/>
      </c>
      <c r="J3599" s="198"/>
      <c r="K3599" s="1307"/>
      <c r="L3599" s="1335"/>
      <c r="M3599" s="1499"/>
      <c r="N3599" s="1701"/>
      <c r="O3599" s="1290"/>
      <c r="P3599" s="1332"/>
      <c r="Q3599" s="3391"/>
      <c r="R3599" s="2337"/>
      <c r="S3599" s="16"/>
      <c r="T3599" s="16"/>
      <c r="U3599" s="16"/>
      <c r="V3599" s="16"/>
    </row>
    <row r="3600" spans="1:22" ht="15" customHeight="1">
      <c r="A3600" s="16" t="s">
        <v>3764</v>
      </c>
      <c r="B3600" s="4325" t="s">
        <v>1660</v>
      </c>
      <c r="C3600" s="4074"/>
      <c r="D3600" s="4327"/>
      <c r="E3600" s="4329" t="s">
        <v>1507</v>
      </c>
      <c r="F3600" s="4372" t="s">
        <v>1689</v>
      </c>
      <c r="G3600" s="4331" t="s">
        <v>1568</v>
      </c>
      <c r="H3600" s="4331" t="s">
        <v>1574</v>
      </c>
      <c r="I3600" s="1572" t="s">
        <v>1559</v>
      </c>
      <c r="J3600" s="1294" t="s">
        <v>1560</v>
      </c>
      <c r="K3600" s="1294" t="s">
        <v>1561</v>
      </c>
      <c r="L3600" s="4333" t="s">
        <v>3765</v>
      </c>
      <c r="M3600" s="4323" t="s">
        <v>1571</v>
      </c>
      <c r="N3600" s="4323" t="s">
        <v>1776</v>
      </c>
      <c r="O3600" s="4073" t="s">
        <v>1563</v>
      </c>
      <c r="P3600" s="1336" t="s">
        <v>1562</v>
      </c>
      <c r="Q3600" s="3389"/>
      <c r="R3600" s="1699" t="s">
        <v>1327</v>
      </c>
      <c r="S3600" s="105"/>
      <c r="T3600" s="16"/>
      <c r="U3600" s="16"/>
      <c r="V3600" s="16"/>
    </row>
    <row r="3601" spans="1:22">
      <c r="A3601" s="1971" t="s">
        <v>3574</v>
      </c>
      <c r="B3601" s="4326"/>
      <c r="C3601" s="4075"/>
      <c r="D3601" s="4328"/>
      <c r="E3601" s="4330"/>
      <c r="F3601" s="4363"/>
      <c r="G3601" s="4332"/>
      <c r="H3601" s="4332"/>
      <c r="I3601" s="4079">
        <v>57.78</v>
      </c>
      <c r="J3601" s="3815">
        <v>3.0000000000000001E-3</v>
      </c>
      <c r="K3601" s="1307">
        <f>I3601*J3601</f>
        <v>0.17333999999999999</v>
      </c>
      <c r="L3601" s="4334"/>
      <c r="M3601" s="4324"/>
      <c r="N3601" s="4324"/>
      <c r="O3601" s="1298">
        <f>SUM(O3603:O3615)</f>
        <v>19.719749999999998</v>
      </c>
      <c r="P3601" s="1337">
        <f>O3601*K3601</f>
        <v>3.4182214649999993</v>
      </c>
      <c r="Q3601" s="3390"/>
      <c r="R3601" s="1721">
        <f>SUM(P3603:P3616)</f>
        <v>3.4182214650000002</v>
      </c>
      <c r="S3601" s="16"/>
      <c r="T3601" s="16"/>
      <c r="U3601" s="16"/>
      <c r="V3601" s="16"/>
    </row>
    <row r="3602" spans="1:22">
      <c r="A3602" s="16"/>
      <c r="B3602" s="1327"/>
      <c r="C3602" s="1327"/>
      <c r="D3602" s="1400"/>
      <c r="E3602" s="2121"/>
      <c r="F3602" s="1368" t="s">
        <v>1</v>
      </c>
      <c r="G3602" s="1417"/>
      <c r="H3602" s="1390"/>
      <c r="I3602" s="1554"/>
      <c r="J3602" s="1367"/>
      <c r="K3602" s="1367"/>
      <c r="L3602" s="1554"/>
      <c r="M3602" s="1369"/>
      <c r="N3602" s="1369"/>
      <c r="O3602" s="1369"/>
      <c r="P3602" s="1367"/>
      <c r="Q3602" s="3387"/>
      <c r="R3602" s="2337"/>
      <c r="S3602" s="16"/>
      <c r="T3602" s="16"/>
      <c r="U3602" s="16"/>
      <c r="V3602" s="16"/>
    </row>
    <row r="3603" spans="1:22">
      <c r="A3603" s="16"/>
      <c r="B3603" s="1320"/>
      <c r="C3603" s="1042"/>
      <c r="D3603" s="1615" t="s">
        <v>1145</v>
      </c>
      <c r="E3603" s="2126" t="s">
        <v>1577</v>
      </c>
      <c r="F3603" s="1598" t="s">
        <v>1690</v>
      </c>
      <c r="G3603" s="1372">
        <v>1E-3</v>
      </c>
      <c r="H3603" s="1372"/>
      <c r="I3603" s="198"/>
      <c r="J3603" s="6"/>
      <c r="K3603" s="1307">
        <f>G3603*$K$3156</f>
        <v>1.7333999999999999E-4</v>
      </c>
      <c r="L3603" s="1335">
        <f t="shared" ref="L3603:L3606" si="389">K3603*$K$2842</f>
        <v>0</v>
      </c>
      <c r="M3603" s="1499">
        <v>246.4</v>
      </c>
      <c r="N3603" s="1701"/>
      <c r="O3603" s="1291">
        <f>G3603*M3603</f>
        <v>0.24640000000000001</v>
      </c>
      <c r="P3603" s="1332">
        <f>M3603*K3603</f>
        <v>4.2710975999999998E-2</v>
      </c>
      <c r="Q3603" s="3391"/>
      <c r="R3603" s="2337"/>
      <c r="S3603" s="16"/>
      <c r="T3603" s="16"/>
      <c r="U3603" s="16"/>
      <c r="V3603" s="16"/>
    </row>
    <row r="3604" spans="1:22">
      <c r="A3604" s="16"/>
      <c r="B3604" s="1320"/>
      <c r="C3604" s="1042"/>
      <c r="D3604" s="1598" t="s">
        <v>1147</v>
      </c>
      <c r="E3604" s="2154" t="s">
        <v>1357</v>
      </c>
      <c r="F3604" s="1598" t="s">
        <v>1691</v>
      </c>
      <c r="G3604" s="1372">
        <v>1</v>
      </c>
      <c r="H3604" s="1372"/>
      <c r="I3604" s="197"/>
      <c r="J3604" s="198"/>
      <c r="K3604" s="1307">
        <f t="shared" ref="K3604:K3606" si="390">G3604*$K$3156</f>
        <v>0.17333999999999999</v>
      </c>
      <c r="L3604" s="1335">
        <f t="shared" si="389"/>
        <v>0</v>
      </c>
      <c r="M3604" s="1499">
        <v>0.22</v>
      </c>
      <c r="N3604" s="1701"/>
      <c r="O3604" s="1291">
        <f>G3604*M3604</f>
        <v>0.22</v>
      </c>
      <c r="P3604" s="1332">
        <f>M3604*K3604</f>
        <v>3.8134799999999996E-2</v>
      </c>
      <c r="Q3604" s="3391"/>
      <c r="R3604" s="2337"/>
      <c r="S3604" s="16"/>
      <c r="T3604" s="16"/>
      <c r="U3604" s="16"/>
      <c r="V3604" s="16"/>
    </row>
    <row r="3605" spans="1:22">
      <c r="A3605" s="16"/>
      <c r="B3605" s="1042"/>
      <c r="C3605" s="1042"/>
      <c r="D3605" s="1598" t="s">
        <v>1692</v>
      </c>
      <c r="E3605" s="2154" t="s">
        <v>1504</v>
      </c>
      <c r="F3605" s="1598" t="s">
        <v>1693</v>
      </c>
      <c r="G3605" s="1399">
        <v>47.17</v>
      </c>
      <c r="H3605" s="1399"/>
      <c r="I3605" s="27"/>
      <c r="J3605" s="10"/>
      <c r="K3605" s="1307">
        <f t="shared" si="390"/>
        <v>8.1764478</v>
      </c>
      <c r="L3605" s="1335">
        <f t="shared" si="389"/>
        <v>0</v>
      </c>
      <c r="M3605" s="1499">
        <v>0.17</v>
      </c>
      <c r="N3605" s="1701"/>
      <c r="O3605" s="1291">
        <f>G3605*M3605</f>
        <v>8.0189000000000004</v>
      </c>
      <c r="P3605" s="1332">
        <f>M3605*K3605</f>
        <v>1.389996126</v>
      </c>
      <c r="Q3605" s="3391"/>
      <c r="R3605" s="2337"/>
      <c r="S3605" s="16"/>
      <c r="T3605" s="16"/>
      <c r="U3605" s="16"/>
      <c r="V3605" s="16"/>
    </row>
    <row r="3606" spans="1:22">
      <c r="A3606" s="16"/>
      <c r="B3606" s="1320"/>
      <c r="C3606" s="1042"/>
      <c r="D3606" s="1598" t="s">
        <v>1097</v>
      </c>
      <c r="E3606" s="1856" t="s">
        <v>1504</v>
      </c>
      <c r="F3606" s="1598" t="s">
        <v>1632</v>
      </c>
      <c r="G3606" s="1399">
        <v>1</v>
      </c>
      <c r="H3606" s="1399"/>
      <c r="I3606" s="198"/>
      <c r="J3606" s="198"/>
      <c r="K3606" s="1307">
        <f t="shared" si="390"/>
        <v>0.17333999999999999</v>
      </c>
      <c r="L3606" s="1335">
        <f t="shared" si="389"/>
        <v>0</v>
      </c>
      <c r="M3606" s="1499">
        <v>0.55000000000000004</v>
      </c>
      <c r="N3606" s="1701"/>
      <c r="O3606" s="1291">
        <f>G3606*M3606</f>
        <v>0.55000000000000004</v>
      </c>
      <c r="P3606" s="1332">
        <f>M3606*K3606</f>
        <v>9.5337000000000005E-2</v>
      </c>
      <c r="Q3606" s="3391"/>
      <c r="S3606" s="16"/>
      <c r="T3606" s="16"/>
      <c r="U3606" s="16"/>
      <c r="V3606" s="16"/>
    </row>
    <row r="3607" spans="1:22">
      <c r="A3607" s="16"/>
      <c r="B3607" s="1320"/>
      <c r="C3607" s="1042"/>
      <c r="D3607" s="1400"/>
      <c r="E3607" s="1856"/>
      <c r="F3607" s="1397"/>
      <c r="G3607" s="1401"/>
      <c r="H3607" s="1399"/>
      <c r="I3607" s="198"/>
      <c r="J3607" s="198"/>
      <c r="K3607" s="1307"/>
      <c r="L3607" s="1335"/>
      <c r="M3607" s="1499"/>
      <c r="N3607" s="1701"/>
      <c r="O3607" s="1290"/>
      <c r="P3607" s="1332"/>
      <c r="Q3607" s="3391"/>
      <c r="S3607" s="16"/>
      <c r="T3607" s="16"/>
      <c r="U3607" s="16"/>
      <c r="V3607" s="16"/>
    </row>
    <row r="3608" spans="1:22">
      <c r="A3608" s="16"/>
      <c r="B3608" s="1320"/>
      <c r="C3608" s="1042"/>
      <c r="D3608" s="1400"/>
      <c r="E3608" s="1856"/>
      <c r="F3608" s="1397"/>
      <c r="G3608" s="1416"/>
      <c r="H3608" s="1399"/>
      <c r="I3608" s="1289"/>
      <c r="J3608" s="198"/>
      <c r="K3608" s="1307"/>
      <c r="L3608" s="1335"/>
      <c r="M3608" s="1499"/>
      <c r="N3608" s="1701"/>
      <c r="O3608" s="1290"/>
      <c r="P3608" s="1332"/>
      <c r="Q3608" s="3391"/>
      <c r="R3608" s="2337"/>
      <c r="S3608" s="16"/>
      <c r="T3608" s="16"/>
      <c r="U3608" s="16"/>
      <c r="V3608" s="16"/>
    </row>
    <row r="3609" spans="1:22">
      <c r="A3609" s="16"/>
      <c r="B3609" s="1320"/>
      <c r="C3609" s="1320"/>
      <c r="D3609" s="1410"/>
      <c r="E3609" s="1858"/>
      <c r="F3609" s="1360" t="s">
        <v>2</v>
      </c>
      <c r="G3609" s="1360"/>
      <c r="H3609" s="1362"/>
      <c r="I3609" s="1380"/>
      <c r="J3609" s="1381"/>
      <c r="K3609" s="1359"/>
      <c r="L3609" s="1458"/>
      <c r="M3609" s="1502"/>
      <c r="N3609" s="1502"/>
      <c r="O3609" s="1362"/>
      <c r="P3609" s="1359"/>
      <c r="Q3609" s="3387"/>
      <c r="R3609" s="2337"/>
      <c r="S3609" s="16"/>
      <c r="T3609" s="16"/>
      <c r="U3609" s="16"/>
      <c r="V3609" s="16"/>
    </row>
    <row r="3610" spans="1:22">
      <c r="A3610" s="16"/>
      <c r="B3610" s="1320"/>
      <c r="C3610" s="1042"/>
      <c r="D3610" s="1410" t="s">
        <v>1088</v>
      </c>
      <c r="E3610" s="1858" t="s">
        <v>1508</v>
      </c>
      <c r="F3610" s="1655" t="s">
        <v>1694</v>
      </c>
      <c r="G3610" s="1405">
        <v>0.375</v>
      </c>
      <c r="H3610" s="1405"/>
      <c r="I3610" s="1826"/>
      <c r="J3610" s="6"/>
      <c r="K3610" s="1307">
        <f t="shared" ref="K3610:K3611" si="391">G3610*$K$3156</f>
        <v>6.5002499999999991E-2</v>
      </c>
      <c r="L3610" s="1335">
        <f t="shared" ref="L3610:L3611" si="392">K3610*$K$2842</f>
        <v>0</v>
      </c>
      <c r="M3610" s="1302">
        <v>19.23</v>
      </c>
      <c r="N3610" s="1701"/>
      <c r="O3610" s="1291">
        <f>G3610*M3610</f>
        <v>7.2112499999999997</v>
      </c>
      <c r="P3610" s="1332">
        <f>M3610*K3610</f>
        <v>1.2499980749999999</v>
      </c>
      <c r="Q3610" s="3391"/>
      <c r="R3610" s="2337"/>
      <c r="S3610" s="16"/>
      <c r="T3610" s="16"/>
      <c r="U3610" s="16"/>
      <c r="V3610" s="16"/>
    </row>
    <row r="3611" spans="1:22">
      <c r="A3611" s="16"/>
      <c r="B3611" s="1320"/>
      <c r="C3611" s="1042"/>
      <c r="D3611" s="1410" t="s">
        <v>1067</v>
      </c>
      <c r="E3611" s="1858" t="s">
        <v>1508</v>
      </c>
      <c r="F3611" s="1655" t="s">
        <v>1512</v>
      </c>
      <c r="G3611" s="1359">
        <v>0.19</v>
      </c>
      <c r="H3611" s="1359"/>
      <c r="I3611" s="12"/>
      <c r="J3611" s="6"/>
      <c r="K3611" s="1307">
        <f t="shared" si="391"/>
        <v>3.2934600000000001E-2</v>
      </c>
      <c r="L3611" s="1335">
        <f t="shared" si="392"/>
        <v>0</v>
      </c>
      <c r="M3611" s="1302">
        <v>18.28</v>
      </c>
      <c r="N3611" s="1499"/>
      <c r="O3611" s="1291">
        <f>G3611*M3611</f>
        <v>3.4732000000000003</v>
      </c>
      <c r="P3611" s="1332">
        <f>M3611*K3611</f>
        <v>0.6020444880000001</v>
      </c>
      <c r="Q3611" s="3391"/>
      <c r="R3611" s="2337"/>
      <c r="S3611" s="16"/>
      <c r="T3611" s="16"/>
      <c r="U3611" s="16"/>
      <c r="V3611" s="16"/>
    </row>
    <row r="3612" spans="1:22">
      <c r="A3612" s="16"/>
      <c r="B3612" s="1320"/>
      <c r="C3612" s="1042"/>
      <c r="D3612" s="1402"/>
      <c r="E3612" s="1857"/>
      <c r="F3612" s="1403"/>
      <c r="G3612" s="1362"/>
      <c r="H3612" s="1359"/>
      <c r="I3612" s="198"/>
      <c r="J3612" s="6"/>
      <c r="K3612" s="1307"/>
      <c r="L3612" s="1335"/>
      <c r="M3612" s="1499"/>
      <c r="N3612" s="1701"/>
      <c r="O3612" s="1290"/>
      <c r="P3612" s="1332"/>
      <c r="Q3612" s="3391"/>
      <c r="R3612" s="2337"/>
      <c r="S3612" s="16"/>
      <c r="T3612" s="16"/>
      <c r="U3612" s="16"/>
      <c r="V3612" s="16"/>
    </row>
    <row r="3613" spans="1:22">
      <c r="A3613" s="16"/>
      <c r="B3613" s="1320"/>
      <c r="C3613" s="1042"/>
      <c r="D3613" s="1411"/>
      <c r="E3613" s="2123"/>
      <c r="F3613" s="1374" t="s">
        <v>3</v>
      </c>
      <c r="G3613" s="1374"/>
      <c r="H3613" s="1376"/>
      <c r="I3613" s="1382"/>
      <c r="J3613" s="1383"/>
      <c r="K3613" s="1373"/>
      <c r="L3613" s="1413"/>
      <c r="M3613" s="1505"/>
      <c r="N3613" s="1505"/>
      <c r="O3613" s="1376"/>
      <c r="P3613" s="1413"/>
      <c r="Q3613" s="3387"/>
      <c r="R3613" s="2337"/>
      <c r="S3613" s="16"/>
      <c r="T3613" s="16"/>
      <c r="U3613" s="16"/>
      <c r="V3613" s="16"/>
    </row>
    <row r="3614" spans="1:22">
      <c r="A3614" s="16"/>
      <c r="B3614" s="1320"/>
      <c r="C3614" s="1042"/>
      <c r="D3614" s="1412"/>
      <c r="E3614" s="2124"/>
      <c r="F3614" s="1378"/>
      <c r="G3614" s="1378"/>
      <c r="H3614" s="1379"/>
      <c r="I3614" s="198"/>
      <c r="J3614" s="6"/>
      <c r="K3614" s="1307"/>
      <c r="L3614" s="1335"/>
      <c r="M3614" s="1499"/>
      <c r="N3614" s="1701"/>
      <c r="O3614" s="1290"/>
      <c r="P3614" s="1332"/>
      <c r="Q3614" s="3391"/>
      <c r="R3614" s="2337"/>
      <c r="S3614" s="16"/>
      <c r="T3614" s="16"/>
      <c r="U3614" s="16"/>
      <c r="V3614" s="16"/>
    </row>
    <row r="3615" spans="1:22">
      <c r="A3615" s="16"/>
      <c r="B3615" s="1320"/>
      <c r="C3615" s="1042"/>
      <c r="D3615" s="1440"/>
      <c r="E3615" s="2132"/>
      <c r="F3615" s="1441"/>
      <c r="G3615" s="1441"/>
      <c r="H3615" s="1442"/>
      <c r="I3615" s="197"/>
      <c r="J3615" s="198"/>
      <c r="K3615" s="1307"/>
      <c r="L3615" s="1335"/>
      <c r="M3615" s="1499"/>
      <c r="N3615" s="1701"/>
      <c r="O3615" s="1290"/>
      <c r="P3615" s="1332"/>
      <c r="Q3615" s="3391"/>
      <c r="R3615" s="2337"/>
      <c r="S3615" s="16"/>
      <c r="T3615" s="16"/>
      <c r="U3615" s="16"/>
      <c r="V3615" s="16"/>
    </row>
    <row r="3616" spans="1:22">
      <c r="A3616" s="16"/>
      <c r="B3616" s="225"/>
      <c r="C3616" s="223"/>
      <c r="D3616" s="1440"/>
      <c r="E3616" s="2132"/>
      <c r="F3616" s="1441"/>
      <c r="G3616" s="1441"/>
      <c r="H3616" s="1442"/>
      <c r="I3616" s="197"/>
      <c r="J3616" s="198"/>
      <c r="K3616" s="1307"/>
      <c r="L3616" s="1335"/>
      <c r="M3616" s="1499"/>
      <c r="N3616" s="1701"/>
      <c r="O3616" s="1290"/>
      <c r="P3616" s="1332"/>
      <c r="Q3616" s="3391"/>
      <c r="R3616" s="2337"/>
      <c r="S3616" s="16"/>
      <c r="T3616" s="16"/>
      <c r="U3616" s="16"/>
      <c r="V3616" s="16"/>
    </row>
    <row r="3617" spans="1:22" ht="15" customHeight="1">
      <c r="A3617" s="16" t="s">
        <v>3764</v>
      </c>
      <c r="B3617" s="4325" t="s">
        <v>1911</v>
      </c>
      <c r="C3617" s="4074"/>
      <c r="D3617" s="4327"/>
      <c r="E3617" s="4329" t="s">
        <v>1527</v>
      </c>
      <c r="F3617" s="4336" t="s">
        <v>1756</v>
      </c>
      <c r="G3617" s="4331" t="s">
        <v>1568</v>
      </c>
      <c r="H3617" s="4331" t="s">
        <v>1574</v>
      </c>
      <c r="I3617" s="1572" t="s">
        <v>1559</v>
      </c>
      <c r="J3617" s="1294" t="s">
        <v>1560</v>
      </c>
      <c r="K3617" s="1294" t="s">
        <v>1561</v>
      </c>
      <c r="L3617" s="4333" t="s">
        <v>3765</v>
      </c>
      <c r="M3617" s="4335" t="s">
        <v>1571</v>
      </c>
      <c r="N3617" s="4323" t="s">
        <v>1776</v>
      </c>
      <c r="O3617" s="4073" t="s">
        <v>1563</v>
      </c>
      <c r="P3617" s="1336" t="s">
        <v>1562</v>
      </c>
      <c r="Q3617" s="3389"/>
      <c r="R3617" s="1839" t="s">
        <v>1327</v>
      </c>
      <c r="S3617" s="16"/>
      <c r="T3617" s="16"/>
      <c r="U3617" s="16"/>
      <c r="V3617" s="16"/>
    </row>
    <row r="3618" spans="1:22">
      <c r="A3618" s="1971" t="s">
        <v>3574</v>
      </c>
      <c r="B3618" s="4326"/>
      <c r="C3618" s="4075"/>
      <c r="D3618" s="4328"/>
      <c r="E3618" s="4389"/>
      <c r="F3618" s="4336"/>
      <c r="G3618" s="4332"/>
      <c r="H3618" s="4332"/>
      <c r="I3618" s="4079">
        <v>108</v>
      </c>
      <c r="J3618" s="3815">
        <v>3.0000000000000001E-3</v>
      </c>
      <c r="K3618" s="1307">
        <f>I3618*J3618</f>
        <v>0.32400000000000001</v>
      </c>
      <c r="L3618" s="4334"/>
      <c r="M3618" s="4335"/>
      <c r="N3618" s="4324"/>
      <c r="O3618" s="1298">
        <f>O3620+O3621+O3626+O3632+O3633</f>
        <v>3.3504364099999999</v>
      </c>
      <c r="P3618" s="1337">
        <f>O3618*K3618</f>
        <v>1.0855413968400001</v>
      </c>
      <c r="Q3618" s="3390"/>
      <c r="R3618" s="1840">
        <f>P3620+P3621+P3626+P3632+P3633</f>
        <v>1.0855413968400001</v>
      </c>
      <c r="S3618" s="16"/>
      <c r="T3618" s="16"/>
      <c r="U3618" s="16"/>
      <c r="V3618" s="16"/>
    </row>
    <row r="3619" spans="1:22">
      <c r="A3619" s="16"/>
      <c r="B3619" s="1327"/>
      <c r="C3619" s="1327"/>
      <c r="D3619" s="1400"/>
      <c r="E3619" s="2121"/>
      <c r="F3619" s="1368" t="s">
        <v>1</v>
      </c>
      <c r="G3619" s="1417"/>
      <c r="H3619" s="1390"/>
      <c r="I3619" s="1554"/>
      <c r="J3619" s="1367"/>
      <c r="K3619" s="1367"/>
      <c r="L3619" s="1554"/>
      <c r="M3619" s="1369"/>
      <c r="N3619" s="1369"/>
      <c r="O3619" s="1369"/>
      <c r="P3619" s="1367"/>
      <c r="Q3619" s="3387"/>
      <c r="R3619" s="2337"/>
      <c r="S3619" s="16"/>
      <c r="T3619" s="16"/>
      <c r="U3619" s="16"/>
      <c r="V3619" s="16"/>
    </row>
    <row r="3620" spans="1:22">
      <c r="A3620" s="16"/>
      <c r="B3620" s="1320"/>
      <c r="C3620" s="1042"/>
      <c r="D3620" s="1598" t="s">
        <v>1757</v>
      </c>
      <c r="E3620" s="1852" t="s">
        <v>1504</v>
      </c>
      <c r="F3620" s="1598" t="s">
        <v>1758</v>
      </c>
      <c r="G3620" s="1753">
        <v>5.3</v>
      </c>
      <c r="H3620" s="1453"/>
      <c r="I3620" s="197"/>
      <c r="J3620" s="198"/>
      <c r="K3620" s="1307">
        <f>G3620*$K$3173</f>
        <v>1.7172000000000001</v>
      </c>
      <c r="L3620" s="1335">
        <f>K3620*$K$2842</f>
        <v>0</v>
      </c>
      <c r="M3620" s="1499">
        <v>0.11</v>
      </c>
      <c r="N3620" s="1718"/>
      <c r="O3620" s="1719">
        <f>G3620*M3620</f>
        <v>0.58299999999999996</v>
      </c>
      <c r="P3620" s="1720">
        <f>M3620*K3620</f>
        <v>0.188892</v>
      </c>
      <c r="Q3620" s="3396"/>
      <c r="R3620" s="2337"/>
      <c r="S3620" s="16"/>
      <c r="T3620" s="16"/>
      <c r="U3620" s="16"/>
      <c r="V3620" s="16"/>
    </row>
    <row r="3621" spans="1:22">
      <c r="A3621" s="16"/>
      <c r="B3621" s="1042"/>
      <c r="C3621" s="1356" t="s">
        <v>1127</v>
      </c>
      <c r="D3621" s="1311"/>
      <c r="E3621" s="2137" t="s">
        <v>1517</v>
      </c>
      <c r="F3621" s="1319" t="s">
        <v>1519</v>
      </c>
      <c r="G3621" s="1353"/>
      <c r="H3621" s="1456">
        <v>2E-3</v>
      </c>
      <c r="I3621" s="1444"/>
      <c r="J3621" s="1388"/>
      <c r="K3621" s="1445"/>
      <c r="L3621" s="1457"/>
      <c r="M3621" s="1447"/>
      <c r="N3621" s="1447">
        <f>SUM(N3622:N3625)</f>
        <v>50.044430000000006</v>
      </c>
      <c r="O3621" s="1447">
        <f>SUM(O3622:O3625)</f>
        <v>0.10008886000000002</v>
      </c>
      <c r="P3621" s="1446">
        <f>SUM(P3622:P3625)</f>
        <v>3.242879064000001E-2</v>
      </c>
      <c r="Q3621" s="3391"/>
      <c r="R3621" s="2337"/>
      <c r="S3621" s="16"/>
      <c r="T3621" s="16"/>
      <c r="U3621" s="16"/>
      <c r="V3621" s="16"/>
    </row>
    <row r="3622" spans="1:22">
      <c r="A3622" s="16"/>
      <c r="B3622" s="1042"/>
      <c r="C3622" s="1327"/>
      <c r="D3622" s="1400" t="s">
        <v>1069</v>
      </c>
      <c r="E3622" s="1856" t="s">
        <v>1517</v>
      </c>
      <c r="F3622" s="1397" t="s">
        <v>1578</v>
      </c>
      <c r="G3622" s="1416">
        <v>0.26300000000000001</v>
      </c>
      <c r="H3622" s="1399">
        <f>G3622*$H$3176</f>
        <v>5.2599999999999999E-4</v>
      </c>
      <c r="I3622" s="197"/>
      <c r="J3622" s="198"/>
      <c r="K3622" s="1732">
        <f>H3622*$K$3173</f>
        <v>1.7042399999999999E-4</v>
      </c>
      <c r="L3622" s="1335">
        <f t="shared" ref="L3622:L3625" si="393">K3622*$K$2842</f>
        <v>0</v>
      </c>
      <c r="M3622" s="1302">
        <v>0.55000000000000004</v>
      </c>
      <c r="N3622" s="1718">
        <f>G3622*M3622</f>
        <v>0.14465000000000003</v>
      </c>
      <c r="O3622" s="1290">
        <f>H3622*M3622</f>
        <v>2.8930000000000004E-4</v>
      </c>
      <c r="P3622" s="1332">
        <f>M3622*K3622</f>
        <v>9.3733200000000006E-5</v>
      </c>
      <c r="Q3622" s="3391"/>
      <c r="R3622" s="2337"/>
      <c r="S3622" s="16"/>
      <c r="T3622" s="16"/>
      <c r="U3622" s="16"/>
      <c r="V3622" s="16"/>
    </row>
    <row r="3623" spans="1:22">
      <c r="A3623" s="16"/>
      <c r="B3623" s="1042"/>
      <c r="C3623" s="1320"/>
      <c r="D3623" s="1400" t="s">
        <v>1394</v>
      </c>
      <c r="E3623" s="1856" t="s">
        <v>1577</v>
      </c>
      <c r="F3623" s="1397" t="s">
        <v>1579</v>
      </c>
      <c r="G3623" s="1416">
        <v>0.25800000000000001</v>
      </c>
      <c r="H3623" s="1399">
        <f t="shared" ref="H3623:H3625" si="394">G3623*$H$3176</f>
        <v>5.1600000000000007E-4</v>
      </c>
      <c r="I3623" s="197"/>
      <c r="J3623" s="198"/>
      <c r="K3623" s="1732">
        <f t="shared" ref="K3623:K3625" si="395">H3623*$K$3173</f>
        <v>1.6718400000000002E-4</v>
      </c>
      <c r="L3623" s="1335">
        <f t="shared" si="393"/>
        <v>0</v>
      </c>
      <c r="M3623" s="1302">
        <v>92.54</v>
      </c>
      <c r="N3623" s="1718">
        <f>G3623*M3623</f>
        <v>23.875320000000002</v>
      </c>
      <c r="O3623" s="1290">
        <f>H3623*M3623</f>
        <v>4.7750640000000011E-2</v>
      </c>
      <c r="P3623" s="1332">
        <f>M3623*K3623</f>
        <v>1.5471207360000003E-2</v>
      </c>
      <c r="Q3623" s="3391"/>
      <c r="R3623" s="2337"/>
      <c r="S3623" s="16"/>
      <c r="T3623" s="16"/>
      <c r="U3623" s="16"/>
      <c r="V3623" s="16"/>
    </row>
    <row r="3624" spans="1:22">
      <c r="A3624" s="16"/>
      <c r="B3624" s="1042"/>
      <c r="C3624" s="1320"/>
      <c r="D3624" s="1400" t="s">
        <v>1576</v>
      </c>
      <c r="E3624" s="1856" t="s">
        <v>1517</v>
      </c>
      <c r="F3624" s="1397" t="s">
        <v>1580</v>
      </c>
      <c r="G3624" s="1416">
        <v>1.1020000000000001</v>
      </c>
      <c r="H3624" s="1399">
        <f t="shared" si="394"/>
        <v>2.2040000000000002E-3</v>
      </c>
      <c r="I3624" s="197"/>
      <c r="J3624" s="198"/>
      <c r="K3624" s="1732">
        <f t="shared" si="395"/>
        <v>7.1409600000000011E-4</v>
      </c>
      <c r="L3624" s="1335">
        <f t="shared" si="393"/>
        <v>0</v>
      </c>
      <c r="M3624" s="1302">
        <v>6.53</v>
      </c>
      <c r="N3624" s="1718">
        <f>G3624*M3624</f>
        <v>7.196060000000001</v>
      </c>
      <c r="O3624" s="1290">
        <f>H3624*M3624</f>
        <v>1.4392120000000001E-2</v>
      </c>
      <c r="P3624" s="1332">
        <f>M3624*K3624</f>
        <v>4.6630468800000005E-3</v>
      </c>
      <c r="Q3624" s="3391"/>
      <c r="R3624" s="2337"/>
      <c r="S3624" s="16"/>
      <c r="T3624" s="16"/>
      <c r="U3624" s="16"/>
      <c r="V3624" s="16"/>
    </row>
    <row r="3625" spans="1:22">
      <c r="A3625" s="16"/>
      <c r="B3625" s="1042"/>
      <c r="C3625" s="1320"/>
      <c r="D3625" s="1404" t="s">
        <v>1067</v>
      </c>
      <c r="E3625" s="1857" t="s">
        <v>1508</v>
      </c>
      <c r="F3625" s="1406" t="s">
        <v>1512</v>
      </c>
      <c r="G3625" s="1407">
        <v>1.03</v>
      </c>
      <c r="H3625" s="1408">
        <f t="shared" si="394"/>
        <v>2.0600000000000002E-3</v>
      </c>
      <c r="I3625" s="197"/>
      <c r="J3625" s="198"/>
      <c r="K3625" s="1732">
        <f t="shared" si="395"/>
        <v>6.6744000000000005E-4</v>
      </c>
      <c r="L3625" s="1335">
        <f t="shared" si="393"/>
        <v>0</v>
      </c>
      <c r="M3625" s="1302">
        <v>18.28</v>
      </c>
      <c r="N3625" s="1718">
        <f>G3625*M3625</f>
        <v>18.828400000000002</v>
      </c>
      <c r="O3625" s="1290">
        <f>H3625*M3625</f>
        <v>3.7656800000000004E-2</v>
      </c>
      <c r="P3625" s="1332">
        <f>M3625*K3625</f>
        <v>1.2200803200000002E-2</v>
      </c>
      <c r="Q3625" s="3391"/>
      <c r="R3625" s="2337"/>
      <c r="S3625" s="16"/>
      <c r="T3625" s="16"/>
      <c r="U3625" s="16"/>
      <c r="V3625" s="16"/>
    </row>
    <row r="3626" spans="1:22">
      <c r="A3626" s="16"/>
      <c r="B3626" s="1320"/>
      <c r="C3626" s="1658" t="s">
        <v>1155</v>
      </c>
      <c r="D3626" s="1311"/>
      <c r="E3626" s="1855" t="s">
        <v>1517</v>
      </c>
      <c r="F3626" s="1647" t="s">
        <v>1544</v>
      </c>
      <c r="G3626" s="1830" t="s">
        <v>1551</v>
      </c>
      <c r="H3626" s="1830">
        <v>1E-3</v>
      </c>
      <c r="I3626" s="1444"/>
      <c r="J3626" s="1388"/>
      <c r="K3626" s="1953"/>
      <c r="L3626" s="1445"/>
      <c r="M3626" s="1447"/>
      <c r="N3626" s="1447">
        <f>SUM(N3627:N3629)</f>
        <v>114.04755</v>
      </c>
      <c r="O3626" s="1447">
        <f>SUM(O3627:O3629)</f>
        <v>0.11404755000000003</v>
      </c>
      <c r="P3626" s="1446">
        <f>SUM(P3627:P3629)</f>
        <v>3.6951406200000002E-2</v>
      </c>
      <c r="Q3626" s="3391"/>
      <c r="R3626" s="1296"/>
      <c r="S3626" s="16"/>
      <c r="T3626" s="16"/>
      <c r="U3626" s="16"/>
      <c r="V3626" s="16"/>
    </row>
    <row r="3627" spans="1:22">
      <c r="A3627" s="16"/>
      <c r="B3627" s="1320"/>
      <c r="C3627" s="1042"/>
      <c r="D3627" s="1451" t="s">
        <v>1069</v>
      </c>
      <c r="E3627" s="1856" t="s">
        <v>1517</v>
      </c>
      <c r="F3627" s="1421" t="s">
        <v>1578</v>
      </c>
      <c r="G3627" s="1452">
        <v>0.89100000000000001</v>
      </c>
      <c r="H3627" s="1453">
        <f>$H$3181*G3627</f>
        <v>8.9100000000000008E-4</v>
      </c>
      <c r="I3627" s="1286"/>
      <c r="J3627" s="198"/>
      <c r="K3627" s="1732">
        <f>H3627*$K$3173</f>
        <v>2.8868400000000004E-4</v>
      </c>
      <c r="L3627" s="1335">
        <f t="shared" ref="L3627:L3629" si="396">K3627*$K$2842</f>
        <v>0</v>
      </c>
      <c r="M3627" s="1717">
        <v>0.55000000000000004</v>
      </c>
      <c r="N3627" s="1718">
        <f>G3627*M3627</f>
        <v>0.49005000000000004</v>
      </c>
      <c r="O3627" s="1719">
        <f>H3627*M3627</f>
        <v>4.9005000000000012E-4</v>
      </c>
      <c r="P3627" s="1720">
        <f>M3627*K3627</f>
        <v>1.5877620000000003E-4</v>
      </c>
      <c r="Q3627" s="3396"/>
      <c r="R3627" s="1296"/>
      <c r="S3627" s="16"/>
      <c r="T3627" s="16"/>
      <c r="U3627" s="16"/>
      <c r="V3627" s="16"/>
    </row>
    <row r="3628" spans="1:22">
      <c r="A3628" s="16"/>
      <c r="B3628" s="1320"/>
      <c r="C3628" s="1042"/>
      <c r="D3628" s="1367" t="s">
        <v>1394</v>
      </c>
      <c r="E3628" s="1856" t="s">
        <v>1577</v>
      </c>
      <c r="F3628" s="1421" t="s">
        <v>1579</v>
      </c>
      <c r="G3628" s="1452">
        <v>0.51500000000000001</v>
      </c>
      <c r="H3628" s="1453">
        <f t="shared" ref="H3628:H3629" si="397">$H$3181*G3628</f>
        <v>5.1500000000000005E-4</v>
      </c>
      <c r="I3628" s="1286"/>
      <c r="J3628" s="198"/>
      <c r="K3628" s="1732">
        <f t="shared" ref="K3628:K3629" si="398">H3628*$K$3173</f>
        <v>1.6686000000000001E-4</v>
      </c>
      <c r="L3628" s="1335">
        <f t="shared" si="396"/>
        <v>0</v>
      </c>
      <c r="M3628" s="1717">
        <v>92.54</v>
      </c>
      <c r="N3628" s="1718">
        <f>G3628*M3628</f>
        <v>47.658100000000005</v>
      </c>
      <c r="O3628" s="1719">
        <f>H3628*M3628</f>
        <v>4.7658100000000009E-2</v>
      </c>
      <c r="P3628" s="1720">
        <f>M3628*K3628</f>
        <v>1.5441224400000002E-2</v>
      </c>
      <c r="Q3628" s="3396"/>
      <c r="R3628" s="1296"/>
      <c r="S3628" s="16"/>
      <c r="T3628" s="16"/>
      <c r="U3628" s="16"/>
      <c r="V3628" s="16"/>
    </row>
    <row r="3629" spans="1:22">
      <c r="A3629" s="16"/>
      <c r="B3629" s="1320"/>
      <c r="C3629" s="1042"/>
      <c r="D3629" s="1359" t="s">
        <v>1067</v>
      </c>
      <c r="E3629" s="1857" t="s">
        <v>1508</v>
      </c>
      <c r="F3629" s="1430" t="s">
        <v>1512</v>
      </c>
      <c r="G3629" s="1431">
        <v>3.605</v>
      </c>
      <c r="H3629" s="1454">
        <f t="shared" si="397"/>
        <v>3.6050000000000001E-3</v>
      </c>
      <c r="I3629" s="1286"/>
      <c r="J3629" s="198"/>
      <c r="K3629" s="1732">
        <f t="shared" si="398"/>
        <v>1.1680200000000001E-3</v>
      </c>
      <c r="L3629" s="1335">
        <f t="shared" si="396"/>
        <v>0</v>
      </c>
      <c r="M3629" s="1717">
        <v>18.28</v>
      </c>
      <c r="N3629" s="1718">
        <f>G3629*M3629</f>
        <v>65.8994</v>
      </c>
      <c r="O3629" s="1719">
        <f>H3629*M3629</f>
        <v>6.5899400000000011E-2</v>
      </c>
      <c r="P3629" s="1720">
        <f>M3629*K3629</f>
        <v>2.1351405600000001E-2</v>
      </c>
      <c r="Q3629" s="3396"/>
      <c r="R3629" s="1296"/>
      <c r="S3629" s="16"/>
      <c r="T3629" s="16"/>
      <c r="U3629" s="16"/>
      <c r="V3629" s="16"/>
    </row>
    <row r="3630" spans="1:22">
      <c r="A3630" s="16"/>
      <c r="B3630" s="1320"/>
      <c r="C3630" s="1042"/>
      <c r="D3630" s="1404"/>
      <c r="E3630" s="1857"/>
      <c r="F3630" s="1406"/>
      <c r="G3630" s="1407"/>
      <c r="H3630" s="1408"/>
      <c r="I3630" s="1289"/>
      <c r="J3630" s="198"/>
      <c r="K3630" s="1307"/>
      <c r="L3630" s="1335"/>
      <c r="M3630" s="1499"/>
      <c r="N3630" s="1701"/>
      <c r="O3630" s="1290"/>
      <c r="P3630" s="1332"/>
      <c r="Q3630" s="3391"/>
      <c r="R3630" s="2337"/>
      <c r="S3630" s="16"/>
      <c r="T3630" s="16"/>
      <c r="U3630" s="16"/>
      <c r="V3630" s="16"/>
    </row>
    <row r="3631" spans="1:22">
      <c r="A3631" s="16"/>
      <c r="B3631" s="1320"/>
      <c r="C3631" s="1320"/>
      <c r="D3631" s="1410"/>
      <c r="E3631" s="1858"/>
      <c r="F3631" s="1360" t="s">
        <v>2</v>
      </c>
      <c r="G3631" s="1360"/>
      <c r="H3631" s="1362"/>
      <c r="I3631" s="1380"/>
      <c r="J3631" s="1381"/>
      <c r="K3631" s="1359"/>
      <c r="L3631" s="1458"/>
      <c r="M3631" s="1502"/>
      <c r="N3631" s="1502"/>
      <c r="O3631" s="1362"/>
      <c r="P3631" s="1359"/>
      <c r="Q3631" s="3387"/>
      <c r="R3631" s="2337"/>
      <c r="S3631" s="16"/>
      <c r="T3631" s="16"/>
      <c r="U3631" s="16"/>
      <c r="V3631" s="16"/>
    </row>
    <row r="3632" spans="1:22">
      <c r="A3632" s="16"/>
      <c r="B3632" s="1320"/>
      <c r="C3632" s="1042"/>
      <c r="D3632" s="1410" t="s">
        <v>1067</v>
      </c>
      <c r="E3632" s="1858" t="s">
        <v>1508</v>
      </c>
      <c r="F3632" s="1655" t="s">
        <v>1512</v>
      </c>
      <c r="G3632" s="1359">
        <v>4.4999999999999998E-2</v>
      </c>
      <c r="H3632" s="1359"/>
      <c r="I3632" s="12"/>
      <c r="J3632" s="6"/>
      <c r="K3632" s="1307">
        <f>G3632*$K$3173</f>
        <v>1.4579999999999999E-2</v>
      </c>
      <c r="L3632" s="1335">
        <f t="shared" ref="L3632:L3633" si="399">K3632*$K$2842</f>
        <v>0</v>
      </c>
      <c r="M3632" s="1302">
        <v>18.28</v>
      </c>
      <c r="N3632" s="1499"/>
      <c r="O3632" s="1291">
        <f>G3632*M3632</f>
        <v>0.8226</v>
      </c>
      <c r="P3632" s="1332">
        <f>M3632*K3632</f>
        <v>0.26652239999999999</v>
      </c>
      <c r="Q3632" s="3391"/>
      <c r="R3632" s="2337"/>
      <c r="S3632" s="16"/>
      <c r="T3632" s="16"/>
      <c r="U3632" s="16"/>
      <c r="V3632" s="16"/>
    </row>
    <row r="3633" spans="1:22">
      <c r="A3633" s="16"/>
      <c r="B3633" s="1320"/>
      <c r="C3633" s="1042"/>
      <c r="D3633" s="1410" t="s">
        <v>1134</v>
      </c>
      <c r="E3633" s="1858" t="s">
        <v>1508</v>
      </c>
      <c r="F3633" s="1655" t="s">
        <v>1547</v>
      </c>
      <c r="G3633" s="1405">
        <v>0.09</v>
      </c>
      <c r="H3633" s="1405"/>
      <c r="I3633" s="1826"/>
      <c r="J3633" s="6"/>
      <c r="K3633" s="1307">
        <f>G3633*$K$3173</f>
        <v>2.9159999999999998E-2</v>
      </c>
      <c r="L3633" s="1335">
        <f t="shared" si="399"/>
        <v>0</v>
      </c>
      <c r="M3633" s="1302">
        <v>19.23</v>
      </c>
      <c r="N3633" s="1701"/>
      <c r="O3633" s="1291">
        <f>G3633*M3633</f>
        <v>1.7306999999999999</v>
      </c>
      <c r="P3633" s="1332">
        <f>M3633*K3633</f>
        <v>0.56074679999999999</v>
      </c>
      <c r="Q3633" s="3391"/>
      <c r="R3633" s="2337"/>
      <c r="S3633" s="16"/>
      <c r="T3633" s="16"/>
      <c r="U3633" s="16"/>
      <c r="V3633" s="16"/>
    </row>
    <row r="3634" spans="1:22">
      <c r="A3634" s="16"/>
      <c r="B3634" s="1320"/>
      <c r="C3634" s="1042"/>
      <c r="D3634" s="1402"/>
      <c r="E3634" s="1857"/>
      <c r="F3634" s="1403"/>
      <c r="G3634" s="1362"/>
      <c r="H3634" s="1359"/>
      <c r="I3634" s="198"/>
      <c r="J3634" s="6"/>
      <c r="K3634" s="1307"/>
      <c r="L3634" s="1335"/>
      <c r="M3634" s="1499"/>
      <c r="N3634" s="1701"/>
      <c r="O3634" s="1290"/>
      <c r="P3634" s="1332"/>
      <c r="Q3634" s="3391"/>
      <c r="R3634" s="2337"/>
      <c r="S3634" s="16"/>
      <c r="T3634" s="16"/>
      <c r="U3634" s="16"/>
      <c r="V3634" s="16"/>
    </row>
    <row r="3635" spans="1:22">
      <c r="A3635" s="16"/>
      <c r="B3635" s="1320"/>
      <c r="C3635" s="1042"/>
      <c r="D3635" s="1411"/>
      <c r="E3635" s="2123"/>
      <c r="F3635" s="1374" t="s">
        <v>3</v>
      </c>
      <c r="G3635" s="1374"/>
      <c r="H3635" s="1376"/>
      <c r="I3635" s="1382"/>
      <c r="J3635" s="1383"/>
      <c r="K3635" s="1373"/>
      <c r="L3635" s="1413"/>
      <c r="M3635" s="1505"/>
      <c r="N3635" s="1505"/>
      <c r="O3635" s="1376"/>
      <c r="P3635" s="1413"/>
      <c r="Q3635" s="3387"/>
      <c r="R3635" s="2337"/>
      <c r="S3635" s="16"/>
      <c r="T3635" s="16"/>
      <c r="U3635" s="16"/>
      <c r="V3635" s="16"/>
    </row>
    <row r="3636" spans="1:22">
      <c r="A3636" s="16"/>
      <c r="B3636" s="1320"/>
      <c r="C3636" s="1042"/>
      <c r="D3636" s="1412"/>
      <c r="E3636" s="2124"/>
      <c r="F3636" s="1378"/>
      <c r="G3636" s="1378"/>
      <c r="H3636" s="1379"/>
      <c r="I3636" s="198"/>
      <c r="J3636" s="6"/>
      <c r="K3636" s="1307"/>
      <c r="L3636" s="1335"/>
      <c r="M3636" s="1499"/>
      <c r="N3636" s="1701"/>
      <c r="O3636" s="1290"/>
      <c r="P3636" s="1332"/>
      <c r="Q3636" s="3391"/>
      <c r="R3636" s="2337"/>
      <c r="S3636" s="16"/>
      <c r="T3636" s="16"/>
      <c r="U3636" s="16"/>
      <c r="V3636" s="16"/>
    </row>
    <row r="3637" spans="1:22">
      <c r="A3637" s="16"/>
      <c r="B3637" s="1320"/>
      <c r="C3637" s="1042"/>
      <c r="D3637" s="1440"/>
      <c r="E3637" s="2132"/>
      <c r="F3637" s="1441"/>
      <c r="G3637" s="1441"/>
      <c r="H3637" s="1442"/>
      <c r="I3637" s="197"/>
      <c r="J3637" s="198"/>
      <c r="K3637" s="1307"/>
      <c r="L3637" s="1335"/>
      <c r="M3637" s="1499"/>
      <c r="N3637" s="1701"/>
      <c r="O3637" s="1290"/>
      <c r="P3637" s="1332"/>
      <c r="Q3637" s="3391"/>
      <c r="R3637" s="2337"/>
      <c r="S3637" s="16"/>
      <c r="T3637" s="16"/>
      <c r="U3637" s="16"/>
      <c r="V3637" s="16"/>
    </row>
    <row r="3638" spans="1:22">
      <c r="A3638" s="16"/>
      <c r="B3638" s="225"/>
      <c r="C3638" s="223"/>
      <c r="D3638" s="1440"/>
      <c r="E3638" s="2132"/>
      <c r="F3638" s="1441"/>
      <c r="G3638" s="1441"/>
      <c r="H3638" s="1442"/>
      <c r="I3638" s="197"/>
      <c r="J3638" s="198"/>
      <c r="K3638" s="1307"/>
      <c r="L3638" s="1335"/>
      <c r="M3638" s="1499"/>
      <c r="N3638" s="1701"/>
      <c r="O3638" s="1290"/>
      <c r="P3638" s="1332"/>
      <c r="Q3638" s="3391"/>
      <c r="R3638" s="2337"/>
      <c r="S3638" s="16"/>
      <c r="T3638" s="16"/>
      <c r="U3638" s="16"/>
      <c r="V3638" s="16"/>
    </row>
    <row r="3639" spans="1:22" ht="15" customHeight="1">
      <c r="A3639" s="16" t="s">
        <v>3764</v>
      </c>
      <c r="B3639" s="4325" t="s">
        <v>1738</v>
      </c>
      <c r="C3639" s="4074"/>
      <c r="D3639" s="4327"/>
      <c r="E3639" s="4329" t="s">
        <v>1507</v>
      </c>
      <c r="F3639" s="4336" t="s">
        <v>1714</v>
      </c>
      <c r="G3639" s="4331" t="s">
        <v>1568</v>
      </c>
      <c r="H3639" s="4331" t="s">
        <v>1574</v>
      </c>
      <c r="I3639" s="1572" t="s">
        <v>1559</v>
      </c>
      <c r="J3639" s="1294" t="s">
        <v>1560</v>
      </c>
      <c r="K3639" s="1294" t="s">
        <v>1561</v>
      </c>
      <c r="L3639" s="4333" t="s">
        <v>3765</v>
      </c>
      <c r="M3639" s="4335" t="s">
        <v>1571</v>
      </c>
      <c r="N3639" s="4323" t="s">
        <v>1776</v>
      </c>
      <c r="O3639" s="4073" t="s">
        <v>1563</v>
      </c>
      <c r="P3639" s="1336" t="s">
        <v>1562</v>
      </c>
      <c r="Q3639" s="3389"/>
      <c r="R3639" s="1839" t="s">
        <v>1327</v>
      </c>
      <c r="S3639" s="16"/>
      <c r="T3639" s="16"/>
      <c r="U3639" s="16"/>
      <c r="V3639" s="16"/>
    </row>
    <row r="3640" spans="1:22">
      <c r="A3640" s="1971" t="s">
        <v>3574</v>
      </c>
      <c r="B3640" s="4326"/>
      <c r="C3640" s="4075"/>
      <c r="D3640" s="4328"/>
      <c r="E3640" s="4389"/>
      <c r="F3640" s="4336"/>
      <c r="G3640" s="4332"/>
      <c r="H3640" s="4332"/>
      <c r="I3640" s="4079">
        <v>220.92</v>
      </c>
      <c r="J3640" s="3815">
        <v>3.0000000000000001E-3</v>
      </c>
      <c r="K3640" s="1307">
        <f>I3640*J3640</f>
        <v>0.66276000000000002</v>
      </c>
      <c r="L3640" s="4334"/>
      <c r="M3640" s="4335"/>
      <c r="N3640" s="4324"/>
      <c r="O3640" s="1298">
        <f>O3642+O3646+O3652</f>
        <v>7.8734280000000005</v>
      </c>
      <c r="P3640" s="1337">
        <f>O3640*K3640</f>
        <v>5.2181931412800004</v>
      </c>
      <c r="Q3640" s="3390"/>
      <c r="R3640" s="1840">
        <f>P3642+P3646+P3652</f>
        <v>5.2181931412800004</v>
      </c>
      <c r="S3640" s="16"/>
      <c r="T3640" s="16"/>
      <c r="U3640" s="16"/>
      <c r="V3640" s="16"/>
    </row>
    <row r="3641" spans="1:22">
      <c r="A3641" s="16"/>
      <c r="B3641" s="1327"/>
      <c r="C3641" s="1327"/>
      <c r="D3641" s="1400"/>
      <c r="E3641" s="2121"/>
      <c r="F3641" s="1368" t="s">
        <v>1</v>
      </c>
      <c r="G3641" s="1417"/>
      <c r="H3641" s="1390"/>
      <c r="I3641" s="1554"/>
      <c r="J3641" s="1367"/>
      <c r="K3641" s="1367"/>
      <c r="L3641" s="1554"/>
      <c r="M3641" s="1369"/>
      <c r="N3641" s="1369"/>
      <c r="O3641" s="1369"/>
      <c r="P3641" s="1367"/>
      <c r="Q3641" s="3387"/>
      <c r="R3641" s="2337"/>
      <c r="S3641" s="16"/>
      <c r="T3641" s="16"/>
      <c r="U3641" s="16"/>
      <c r="V3641" s="16"/>
    </row>
    <row r="3642" spans="1:22">
      <c r="A3642" s="16"/>
      <c r="B3642" s="1320"/>
      <c r="C3642" s="1356" t="s">
        <v>1128</v>
      </c>
      <c r="D3642" s="1311"/>
      <c r="E3642" s="2169" t="s">
        <v>1517</v>
      </c>
      <c r="F3642" s="1749" t="s">
        <v>1695</v>
      </c>
      <c r="G3642" s="1758"/>
      <c r="H3642" s="1331">
        <v>1.4999999999999999E-2</v>
      </c>
      <c r="I3642" s="1388"/>
      <c r="J3642" s="1366"/>
      <c r="K3642" s="1510"/>
      <c r="L3642" s="1445"/>
      <c r="M3642" s="1447"/>
      <c r="N3642" s="1447">
        <f>SUM(N3643:N3645)</f>
        <v>104.27969999999999</v>
      </c>
      <c r="O3642" s="1447">
        <f>SUM(O3643:O3645)</f>
        <v>1.5641954999999998</v>
      </c>
      <c r="P3642" s="1446">
        <f>SUM(P3643:P3645)</f>
        <v>1.03668620958</v>
      </c>
      <c r="Q3642" s="3391"/>
      <c r="R3642" s="2337"/>
      <c r="S3642" s="16"/>
      <c r="T3642" s="16"/>
      <c r="U3642" s="16"/>
      <c r="V3642" s="16"/>
    </row>
    <row r="3643" spans="1:22">
      <c r="A3643" s="16"/>
      <c r="B3643" s="1320"/>
      <c r="C3643" s="1042"/>
      <c r="D3643" s="1752" t="s">
        <v>1779</v>
      </c>
      <c r="E3643" s="1852" t="s">
        <v>1577</v>
      </c>
      <c r="F3643" s="1752" t="s">
        <v>1780</v>
      </c>
      <c r="G3643" s="1753">
        <v>0.876</v>
      </c>
      <c r="H3643" s="1453">
        <f>G3643*$H$3197</f>
        <v>1.3139999999999999E-2</v>
      </c>
      <c r="I3643" s="197"/>
      <c r="J3643" s="198"/>
      <c r="K3643" s="1307">
        <f>H3643*$K$3195</f>
        <v>8.7086663999999987E-3</v>
      </c>
      <c r="L3643" s="1335">
        <f t="shared" ref="L3643:L3645" si="400">K3643*$K$2842</f>
        <v>0</v>
      </c>
      <c r="M3643" s="1499">
        <v>56.05</v>
      </c>
      <c r="N3643" s="1718">
        <f>G3643*M3643</f>
        <v>49.099799999999995</v>
      </c>
      <c r="O3643" s="1719">
        <f>H3643*M3643</f>
        <v>0.73649699999999985</v>
      </c>
      <c r="P3643" s="1720">
        <f>M3643*K3643</f>
        <v>0.48812075171999991</v>
      </c>
      <c r="Q3643" s="3396"/>
      <c r="R3643" s="2337"/>
      <c r="S3643" s="17"/>
      <c r="T3643" s="16"/>
      <c r="U3643" s="16"/>
      <c r="V3643" s="16"/>
    </row>
    <row r="3644" spans="1:22">
      <c r="A3644" s="16"/>
      <c r="B3644" s="1320"/>
      <c r="C3644" s="1042"/>
      <c r="D3644" s="1752" t="s">
        <v>1069</v>
      </c>
      <c r="E3644" s="1852" t="s">
        <v>1517</v>
      </c>
      <c r="F3644" s="1752" t="s">
        <v>1578</v>
      </c>
      <c r="G3644" s="1753">
        <v>0.61799999999999999</v>
      </c>
      <c r="H3644" s="1453">
        <f t="shared" ref="H3644:H3645" si="401">G3644*$H$3197</f>
        <v>9.2699999999999987E-3</v>
      </c>
      <c r="I3644" s="27"/>
      <c r="J3644" s="10"/>
      <c r="K3644" s="1307">
        <f>H3644*$K$3195</f>
        <v>6.1437851999999989E-3</v>
      </c>
      <c r="L3644" s="1335">
        <f t="shared" si="400"/>
        <v>0</v>
      </c>
      <c r="M3644" s="1499">
        <v>0.55000000000000004</v>
      </c>
      <c r="N3644" s="1718">
        <f>G3644*M3644</f>
        <v>0.33990000000000004</v>
      </c>
      <c r="O3644" s="1719">
        <f>H3644*M3644</f>
        <v>5.0984999999999997E-3</v>
      </c>
      <c r="P3644" s="1720">
        <f>M3644*K3644</f>
        <v>3.3790818599999995E-3</v>
      </c>
      <c r="Q3644" s="3396"/>
      <c r="R3644" s="2337"/>
      <c r="S3644" s="105"/>
      <c r="T3644" s="16"/>
      <c r="U3644" s="16"/>
      <c r="V3644" s="16"/>
    </row>
    <row r="3645" spans="1:22">
      <c r="A3645" s="16"/>
      <c r="B3645" s="1320"/>
      <c r="C3645" s="1042"/>
      <c r="D3645" s="1754" t="s">
        <v>1067</v>
      </c>
      <c r="E3645" s="1853" t="s">
        <v>1508</v>
      </c>
      <c r="F3645" s="1754" t="s">
        <v>1512</v>
      </c>
      <c r="G3645" s="1755">
        <v>3</v>
      </c>
      <c r="H3645" s="1454">
        <f t="shared" si="401"/>
        <v>4.4999999999999998E-2</v>
      </c>
      <c r="I3645" s="198"/>
      <c r="J3645" s="198"/>
      <c r="K3645" s="1307">
        <f>H3645*$K$3195</f>
        <v>2.9824199999999999E-2</v>
      </c>
      <c r="L3645" s="1335">
        <f t="shared" si="400"/>
        <v>0</v>
      </c>
      <c r="M3645" s="1499">
        <v>18.28</v>
      </c>
      <c r="N3645" s="1718">
        <f>G3645*M3645</f>
        <v>54.84</v>
      </c>
      <c r="O3645" s="1719">
        <f>H3645*M3645</f>
        <v>0.8226</v>
      </c>
      <c r="P3645" s="1720">
        <f>M3645*K3645</f>
        <v>0.54518637599999997</v>
      </c>
      <c r="Q3645" s="3396"/>
      <c r="S3645" s="16"/>
      <c r="T3645" s="16"/>
      <c r="U3645" s="16"/>
      <c r="V3645" s="16"/>
    </row>
    <row r="3646" spans="1:22">
      <c r="A3646" s="16"/>
      <c r="B3646" s="1320"/>
      <c r="C3646" s="1356" t="s">
        <v>1152</v>
      </c>
      <c r="D3646" s="1311"/>
      <c r="E3646" s="1854" t="s">
        <v>1517</v>
      </c>
      <c r="F3646" s="1749" t="s">
        <v>1696</v>
      </c>
      <c r="G3646" s="1688"/>
      <c r="H3646" s="1366">
        <v>5.0000000000000001E-3</v>
      </c>
      <c r="I3646" s="1388"/>
      <c r="J3646" s="1388"/>
      <c r="K3646" s="1510"/>
      <c r="L3646" s="1445"/>
      <c r="M3646" s="1447"/>
      <c r="N3646" s="1447">
        <f>SUM(N3647:N3649)</f>
        <v>108.04650000000001</v>
      </c>
      <c r="O3646" s="1447">
        <f>SUM(O3647:O3649)</f>
        <v>0.54023250000000012</v>
      </c>
      <c r="P3646" s="1446">
        <f>SUM(P3647:P3649)</f>
        <v>0.35804449169999997</v>
      </c>
      <c r="Q3646" s="3391"/>
      <c r="S3646" s="16"/>
      <c r="T3646" s="16"/>
      <c r="U3646" s="16"/>
      <c r="V3646" s="16"/>
    </row>
    <row r="3647" spans="1:22">
      <c r="A3647" s="16"/>
      <c r="B3647" s="1320"/>
      <c r="C3647" s="18"/>
      <c r="D3647" s="1756" t="s">
        <v>1781</v>
      </c>
      <c r="E3647" s="1852" t="s">
        <v>1577</v>
      </c>
      <c r="F3647" s="1752" t="s">
        <v>1782</v>
      </c>
      <c r="G3647" s="1753">
        <v>0.876</v>
      </c>
      <c r="H3647" s="1453">
        <f>G3647*$H$3201</f>
        <v>4.3800000000000002E-3</v>
      </c>
      <c r="I3647" s="198"/>
      <c r="J3647" s="198"/>
      <c r="K3647" s="1307">
        <f>H3647*$K$3195</f>
        <v>2.9028888E-3</v>
      </c>
      <c r="L3647" s="1335">
        <f t="shared" ref="L3647:L3649" si="402">K3647*$K$2842</f>
        <v>0</v>
      </c>
      <c r="M3647" s="1499">
        <v>60.35</v>
      </c>
      <c r="N3647" s="1718">
        <f>G3647*M3647</f>
        <v>52.866599999999998</v>
      </c>
      <c r="O3647" s="1719">
        <f>H3647*M3647</f>
        <v>0.26433300000000004</v>
      </c>
      <c r="P3647" s="1720">
        <f>M3647*K3647</f>
        <v>0.17518933908000001</v>
      </c>
      <c r="Q3647" s="3396"/>
      <c r="R3647" s="2337"/>
      <c r="S3647" s="16"/>
      <c r="T3647" s="16"/>
      <c r="U3647" s="16"/>
      <c r="V3647" s="16"/>
    </row>
    <row r="3648" spans="1:22">
      <c r="A3648" s="16"/>
      <c r="B3648" s="1320"/>
      <c r="C3648" s="1042"/>
      <c r="D3648" s="1756" t="s">
        <v>1069</v>
      </c>
      <c r="E3648" s="1852" t="s">
        <v>1517</v>
      </c>
      <c r="F3648" s="1752" t="s">
        <v>1578</v>
      </c>
      <c r="G3648" s="1753">
        <v>0.61799999999999999</v>
      </c>
      <c r="H3648" s="1453">
        <f t="shared" ref="H3648:H3649" si="403">G3648*$H$3201</f>
        <v>3.0899999999999999E-3</v>
      </c>
      <c r="I3648" s="197"/>
      <c r="J3648" s="198"/>
      <c r="K3648" s="1307">
        <f>H3648*$K$3195</f>
        <v>2.0479283999999998E-3</v>
      </c>
      <c r="L3648" s="1335">
        <f t="shared" si="402"/>
        <v>0</v>
      </c>
      <c r="M3648" s="1499">
        <v>0.55000000000000004</v>
      </c>
      <c r="N3648" s="1718">
        <f>G3648*M3648</f>
        <v>0.33990000000000004</v>
      </c>
      <c r="O3648" s="1719">
        <f>H3648*M3648</f>
        <v>1.6995000000000001E-3</v>
      </c>
      <c r="P3648" s="1720">
        <f>M3648*K3648</f>
        <v>1.12636062E-3</v>
      </c>
      <c r="Q3648" s="3396"/>
      <c r="R3648" s="2337"/>
      <c r="S3648" s="16"/>
      <c r="T3648" s="16"/>
      <c r="U3648" s="16"/>
      <c r="V3648" s="16"/>
    </row>
    <row r="3649" spans="1:22">
      <c r="A3649" s="16"/>
      <c r="B3649" s="1320"/>
      <c r="C3649" s="1042"/>
      <c r="D3649" s="1757" t="s">
        <v>1067</v>
      </c>
      <c r="E3649" s="1853" t="s">
        <v>1508</v>
      </c>
      <c r="F3649" s="1754" t="s">
        <v>1512</v>
      </c>
      <c r="G3649" s="1755">
        <v>3</v>
      </c>
      <c r="H3649" s="1454">
        <f t="shared" si="403"/>
        <v>1.4999999999999999E-2</v>
      </c>
      <c r="I3649" s="1289"/>
      <c r="J3649" s="198"/>
      <c r="K3649" s="1307">
        <f>H3649*$K$3195</f>
        <v>9.9413999999999995E-3</v>
      </c>
      <c r="L3649" s="1335">
        <f t="shared" si="402"/>
        <v>0</v>
      </c>
      <c r="M3649" s="1499">
        <v>18.28</v>
      </c>
      <c r="N3649" s="1718">
        <f>G3649*M3649</f>
        <v>54.84</v>
      </c>
      <c r="O3649" s="1719">
        <f>H3649*M3649</f>
        <v>0.2742</v>
      </c>
      <c r="P3649" s="1720">
        <f>M3649*K3649</f>
        <v>0.181728792</v>
      </c>
      <c r="Q3649" s="3396"/>
      <c r="R3649" s="2337"/>
      <c r="S3649" s="16"/>
      <c r="T3649" s="16"/>
      <c r="U3649" s="16"/>
      <c r="V3649" s="16"/>
    </row>
    <row r="3650" spans="1:22">
      <c r="A3650" s="16"/>
      <c r="B3650" s="1320"/>
      <c r="C3650" s="1042"/>
      <c r="D3650" s="1400"/>
      <c r="E3650" s="1856"/>
      <c r="F3650" s="1397"/>
      <c r="G3650" s="1416"/>
      <c r="H3650" s="1399"/>
      <c r="I3650" s="1289"/>
      <c r="J3650" s="198"/>
      <c r="K3650" s="1307"/>
      <c r="L3650" s="1335"/>
      <c r="M3650" s="1499"/>
      <c r="N3650" s="1701"/>
      <c r="O3650" s="1290"/>
      <c r="P3650" s="1332"/>
      <c r="Q3650" s="3391"/>
      <c r="R3650" s="2337"/>
      <c r="S3650" s="16"/>
      <c r="T3650" s="16"/>
      <c r="U3650" s="16"/>
      <c r="V3650" s="16"/>
    </row>
    <row r="3651" spans="1:22">
      <c r="A3651" s="16"/>
      <c r="B3651" s="1320"/>
      <c r="C3651" s="1320"/>
      <c r="D3651" s="1410"/>
      <c r="E3651" s="1858"/>
      <c r="F3651" s="1360" t="s">
        <v>2</v>
      </c>
      <c r="G3651" s="1360"/>
      <c r="H3651" s="1362"/>
      <c r="I3651" s="1380"/>
      <c r="J3651" s="1381"/>
      <c r="K3651" s="1359"/>
      <c r="L3651" s="1458"/>
      <c r="M3651" s="1502"/>
      <c r="N3651" s="1502"/>
      <c r="O3651" s="1362"/>
      <c r="P3651" s="1359"/>
      <c r="Q3651" s="3387"/>
      <c r="R3651" s="2337"/>
      <c r="S3651" s="16"/>
      <c r="T3651" s="16"/>
      <c r="U3651" s="16"/>
      <c r="V3651" s="16"/>
    </row>
    <row r="3652" spans="1:22">
      <c r="A3652" s="16"/>
      <c r="B3652" s="1320"/>
      <c r="C3652" s="1042"/>
      <c r="D3652" s="1437" t="s">
        <v>1153</v>
      </c>
      <c r="E3652" s="2134" t="s">
        <v>1508</v>
      </c>
      <c r="F3652" s="1438" t="s">
        <v>1783</v>
      </c>
      <c r="G3652" s="1439">
        <v>0.3</v>
      </c>
      <c r="H3652" s="1439"/>
      <c r="I3652" s="197"/>
      <c r="J3652" s="198"/>
      <c r="K3652" s="1307">
        <f>G3652*$K$3195</f>
        <v>0.198828</v>
      </c>
      <c r="L3652" s="1335">
        <f>K3652*$K$2842</f>
        <v>0</v>
      </c>
      <c r="M3652" s="1499">
        <v>19.23</v>
      </c>
      <c r="N3652" s="1701"/>
      <c r="O3652" s="1290">
        <f>(G3652*M3652)</f>
        <v>5.7690000000000001</v>
      </c>
      <c r="P3652" s="1332">
        <f>M3652*K3652</f>
        <v>3.8234624400000001</v>
      </c>
      <c r="Q3652" s="3391"/>
      <c r="R3652" s="2337"/>
      <c r="S3652" s="16"/>
      <c r="T3652" s="16"/>
      <c r="U3652" s="16"/>
      <c r="V3652" s="16"/>
    </row>
    <row r="3653" spans="1:22">
      <c r="A3653" s="16"/>
      <c r="B3653" s="1320"/>
      <c r="C3653" s="1042"/>
      <c r="D3653" s="1402"/>
      <c r="E3653" s="1857"/>
      <c r="F3653" s="1645"/>
      <c r="G3653" s="1362"/>
      <c r="H3653" s="1359"/>
      <c r="I3653" s="198"/>
      <c r="J3653" s="6"/>
      <c r="K3653" s="1306"/>
      <c r="L3653" s="1646"/>
      <c r="M3653" s="1499"/>
      <c r="N3653" s="1499"/>
      <c r="O3653" s="1291"/>
      <c r="P3653" s="1332"/>
      <c r="Q3653" s="3391"/>
      <c r="R3653" s="2337"/>
      <c r="S3653" s="16"/>
      <c r="T3653" s="16"/>
      <c r="U3653" s="16"/>
      <c r="V3653" s="16"/>
    </row>
    <row r="3654" spans="1:22">
      <c r="A3654" s="16"/>
      <c r="B3654" s="1320"/>
      <c r="C3654" s="1042"/>
      <c r="D3654" s="1402"/>
      <c r="E3654" s="1857"/>
      <c r="F3654" s="1403"/>
      <c r="G3654" s="1362"/>
      <c r="H3654" s="1359"/>
      <c r="I3654" s="198"/>
      <c r="J3654" s="6"/>
      <c r="K3654" s="1307"/>
      <c r="L3654" s="1335"/>
      <c r="M3654" s="1499"/>
      <c r="N3654" s="1701"/>
      <c r="O3654" s="1290"/>
      <c r="P3654" s="1332"/>
      <c r="Q3654" s="3391"/>
      <c r="R3654" s="2337"/>
      <c r="S3654" s="16"/>
      <c r="T3654" s="16"/>
      <c r="U3654" s="16"/>
      <c r="V3654" s="16"/>
    </row>
    <row r="3655" spans="1:22">
      <c r="A3655" s="16"/>
      <c r="B3655" s="1320"/>
      <c r="C3655" s="1042"/>
      <c r="D3655" s="1411"/>
      <c r="E3655" s="2123"/>
      <c r="F3655" s="1374" t="s">
        <v>3</v>
      </c>
      <c r="G3655" s="1374"/>
      <c r="H3655" s="1376"/>
      <c r="I3655" s="1382"/>
      <c r="J3655" s="1383"/>
      <c r="K3655" s="1373"/>
      <c r="L3655" s="1413"/>
      <c r="M3655" s="1505"/>
      <c r="N3655" s="1505"/>
      <c r="O3655" s="1376"/>
      <c r="P3655" s="1413"/>
      <c r="Q3655" s="3387"/>
      <c r="R3655" s="2337"/>
      <c r="S3655" s="16"/>
      <c r="T3655" s="16"/>
      <c r="U3655" s="16"/>
      <c r="V3655" s="16"/>
    </row>
    <row r="3656" spans="1:22">
      <c r="A3656" s="16"/>
      <c r="B3656" s="1320"/>
      <c r="C3656" s="1042"/>
      <c r="D3656" s="1412"/>
      <c r="E3656" s="2124"/>
      <c r="F3656" s="1378"/>
      <c r="G3656" s="1378"/>
      <c r="H3656" s="1379"/>
      <c r="I3656" s="198"/>
      <c r="J3656" s="6"/>
      <c r="K3656" s="1307"/>
      <c r="L3656" s="1335"/>
      <c r="M3656" s="1499"/>
      <c r="N3656" s="1701"/>
      <c r="O3656" s="1290"/>
      <c r="P3656" s="1332"/>
      <c r="Q3656" s="3391"/>
      <c r="R3656" s="2337"/>
      <c r="S3656" s="16"/>
      <c r="T3656" s="16"/>
      <c r="U3656" s="16"/>
      <c r="V3656" s="16"/>
    </row>
    <row r="3657" spans="1:22">
      <c r="A3657" s="16"/>
      <c r="B3657" s="1320"/>
      <c r="C3657" s="1042"/>
      <c r="D3657" s="1440"/>
      <c r="E3657" s="2132"/>
      <c r="F3657" s="1441"/>
      <c r="G3657" s="1441"/>
      <c r="H3657" s="1442"/>
      <c r="I3657" s="197"/>
      <c r="J3657" s="198"/>
      <c r="K3657" s="1307"/>
      <c r="L3657" s="1335"/>
      <c r="M3657" s="1499"/>
      <c r="N3657" s="1701"/>
      <c r="O3657" s="1290"/>
      <c r="P3657" s="1332"/>
      <c r="Q3657" s="3391"/>
      <c r="R3657" s="2337"/>
      <c r="S3657" s="16"/>
      <c r="T3657" s="16"/>
      <c r="U3657" s="16"/>
      <c r="V3657" s="16"/>
    </row>
    <row r="3658" spans="1:22">
      <c r="A3658" s="16"/>
      <c r="B3658" s="225"/>
      <c r="C3658" s="223"/>
      <c r="D3658" s="1440"/>
      <c r="E3658" s="2132"/>
      <c r="F3658" s="1441"/>
      <c r="G3658" s="1441"/>
      <c r="H3658" s="1442"/>
      <c r="I3658" s="197"/>
      <c r="J3658" s="198"/>
      <c r="K3658" s="1307"/>
      <c r="L3658" s="1335"/>
      <c r="M3658" s="1499"/>
      <c r="N3658" s="1701"/>
      <c r="O3658" s="1290"/>
      <c r="P3658" s="1332"/>
      <c r="Q3658" s="3391"/>
      <c r="R3658" s="2337"/>
      <c r="S3658" s="16"/>
      <c r="T3658" s="16"/>
      <c r="U3658" s="16"/>
      <c r="V3658" s="16"/>
    </row>
    <row r="3659" spans="1:22" ht="15" customHeight="1">
      <c r="A3659" s="16" t="s">
        <v>3764</v>
      </c>
      <c r="B3659" s="4325" t="s">
        <v>1912</v>
      </c>
      <c r="C3659" s="4074"/>
      <c r="D3659" s="4327"/>
      <c r="E3659" s="4329" t="s">
        <v>1527</v>
      </c>
      <c r="F3659" s="4336" t="s">
        <v>1913</v>
      </c>
      <c r="G3659" s="4331" t="s">
        <v>1568</v>
      </c>
      <c r="H3659" s="4331" t="s">
        <v>1574</v>
      </c>
      <c r="I3659" s="1572" t="s">
        <v>1559</v>
      </c>
      <c r="J3659" s="1294" t="s">
        <v>1560</v>
      </c>
      <c r="K3659" s="1294" t="s">
        <v>1561</v>
      </c>
      <c r="L3659" s="4333" t="s">
        <v>3765</v>
      </c>
      <c r="M3659" s="4335" t="s">
        <v>1571</v>
      </c>
      <c r="N3659" s="4323" t="s">
        <v>1776</v>
      </c>
      <c r="O3659" s="4073" t="s">
        <v>1563</v>
      </c>
      <c r="P3659" s="1336" t="s">
        <v>1562</v>
      </c>
      <c r="Q3659" s="3389"/>
      <c r="R3659" s="1839" t="s">
        <v>1327</v>
      </c>
      <c r="S3659" s="16"/>
      <c r="T3659" s="16"/>
      <c r="U3659" s="16"/>
      <c r="V3659" s="16"/>
    </row>
    <row r="3660" spans="1:22">
      <c r="A3660" s="1971" t="s">
        <v>3574</v>
      </c>
      <c r="B3660" s="4326"/>
      <c r="C3660" s="4075"/>
      <c r="D3660" s="4328"/>
      <c r="E3660" s="4389"/>
      <c r="F3660" s="4336"/>
      <c r="G3660" s="4332"/>
      <c r="H3660" s="4332"/>
      <c r="I3660" s="4079">
        <v>31.2</v>
      </c>
      <c r="J3660" s="3815">
        <v>3.0000000000000001E-3</v>
      </c>
      <c r="K3660" s="1307">
        <f>I3660*J3660</f>
        <v>9.3600000000000003E-2</v>
      </c>
      <c r="L3660" s="4334"/>
      <c r="M3660" s="4335"/>
      <c r="N3660" s="4324"/>
      <c r="O3660" s="1298">
        <f>O3662+O3663+O3664+O3670+O3677</f>
        <v>24.525619910000003</v>
      </c>
      <c r="P3660" s="1337">
        <f>O3660*K3660</f>
        <v>2.2955980235760003</v>
      </c>
      <c r="Q3660" s="3390"/>
      <c r="R3660" s="1840">
        <f>P3662+P3663+P3664+P3670+P3677</f>
        <v>2.2955980235760007</v>
      </c>
      <c r="S3660" s="16"/>
      <c r="T3660" s="16"/>
      <c r="U3660" s="16"/>
      <c r="V3660" s="16"/>
    </row>
    <row r="3661" spans="1:22">
      <c r="A3661" s="16"/>
      <c r="B3661" s="1628"/>
      <c r="C3661" s="1327"/>
      <c r="D3661" s="1400"/>
      <c r="E3661" s="2121"/>
      <c r="F3661" s="1368" t="s">
        <v>1</v>
      </c>
      <c r="G3661" s="1417"/>
      <c r="H3661" s="1390"/>
      <c r="I3661" s="1554"/>
      <c r="J3661" s="1367"/>
      <c r="K3661" s="1367"/>
      <c r="L3661" s="1554"/>
      <c r="M3661" s="1369"/>
      <c r="N3661" s="1369"/>
      <c r="O3661" s="1369"/>
      <c r="P3661" s="1367"/>
      <c r="Q3661" s="3387"/>
      <c r="R3661" s="2337"/>
      <c r="S3661" s="16"/>
      <c r="T3661" s="16"/>
      <c r="U3661" s="16"/>
      <c r="V3661" s="16"/>
    </row>
    <row r="3662" spans="1:22">
      <c r="A3662" s="16"/>
      <c r="B3662" s="2042"/>
      <c r="C3662" s="1042"/>
      <c r="D3662" s="1598" t="s">
        <v>1175</v>
      </c>
      <c r="E3662" s="1852" t="s">
        <v>1527</v>
      </c>
      <c r="F3662" s="1752" t="s">
        <v>1914</v>
      </c>
      <c r="G3662" s="1753">
        <v>0.4</v>
      </c>
      <c r="H3662" s="1453"/>
      <c r="I3662" s="197"/>
      <c r="J3662" s="198"/>
      <c r="K3662" s="1307">
        <f>G3662*$K$3215</f>
        <v>3.7440000000000001E-2</v>
      </c>
      <c r="L3662" s="1335">
        <f t="shared" ref="L3662:L3663" si="404">K3662*$K$2842</f>
        <v>0</v>
      </c>
      <c r="M3662" s="1499">
        <v>1.3</v>
      </c>
      <c r="N3662" s="1718"/>
      <c r="O3662" s="1719">
        <f>G3662*M3662</f>
        <v>0.52</v>
      </c>
      <c r="P3662" s="1720">
        <f>M3662*K3662</f>
        <v>4.8672E-2</v>
      </c>
      <c r="Q3662" s="3396"/>
      <c r="R3662" s="2337"/>
      <c r="S3662" s="16"/>
      <c r="T3662" s="16"/>
      <c r="U3662" s="16"/>
      <c r="V3662" s="16"/>
    </row>
    <row r="3663" spans="1:22">
      <c r="A3663" s="16"/>
      <c r="B3663" s="1042"/>
      <c r="C3663" s="1042"/>
      <c r="D3663" s="1598" t="s">
        <v>1915</v>
      </c>
      <c r="E3663" s="1852" t="s">
        <v>1527</v>
      </c>
      <c r="F3663" s="1752" t="s">
        <v>1916</v>
      </c>
      <c r="G3663" s="1753">
        <v>1.06</v>
      </c>
      <c r="H3663" s="1453"/>
      <c r="I3663" s="27"/>
      <c r="J3663" s="10"/>
      <c r="K3663" s="1307">
        <f>G3663*$K$3215</f>
        <v>9.9216000000000013E-2</v>
      </c>
      <c r="L3663" s="1335">
        <f t="shared" si="404"/>
        <v>0</v>
      </c>
      <c r="M3663" s="1499">
        <v>11.3</v>
      </c>
      <c r="N3663" s="1718"/>
      <c r="O3663" s="1719">
        <f>G3663*M3663</f>
        <v>11.978000000000002</v>
      </c>
      <c r="P3663" s="1720">
        <f>M3663*K3663</f>
        <v>1.1211408000000003</v>
      </c>
      <c r="Q3663" s="3396"/>
      <c r="R3663" s="2337"/>
      <c r="S3663" s="16"/>
      <c r="T3663" s="16"/>
      <c r="U3663" s="16"/>
      <c r="V3663" s="16"/>
    </row>
    <row r="3664" spans="1:22">
      <c r="A3664" s="16"/>
      <c r="B3664" s="1320"/>
      <c r="C3664" s="1356" t="s">
        <v>1119</v>
      </c>
      <c r="D3664" s="1311"/>
      <c r="E3664" s="1854" t="s">
        <v>1517</v>
      </c>
      <c r="F3664" s="1749" t="s">
        <v>1917</v>
      </c>
      <c r="G3664" s="1688"/>
      <c r="H3664" s="1366">
        <v>7.0000000000000001E-3</v>
      </c>
      <c r="I3664" s="1388"/>
      <c r="J3664" s="1388"/>
      <c r="K3664" s="1510"/>
      <c r="L3664" s="1445"/>
      <c r="M3664" s="1447"/>
      <c r="N3664" s="1447">
        <f>SUM(N3665:N3669)</f>
        <v>83.047780000000003</v>
      </c>
      <c r="O3664" s="1447">
        <f>SUM(O3665:O3669)</f>
        <v>0.58133446000000011</v>
      </c>
      <c r="P3664" s="1446">
        <f>SUM(P3665:P3669)</f>
        <v>5.4412905456000006E-2</v>
      </c>
      <c r="Q3664" s="3391"/>
      <c r="S3664" s="16"/>
      <c r="T3664" s="16"/>
      <c r="U3664" s="16"/>
      <c r="V3664" s="16"/>
    </row>
    <row r="3665" spans="1:22">
      <c r="A3665" s="16"/>
      <c r="B3665" s="1320"/>
      <c r="C3665" s="18"/>
      <c r="D3665" s="1752" t="s">
        <v>1069</v>
      </c>
      <c r="E3665" s="1852" t="s">
        <v>1517</v>
      </c>
      <c r="F3665" s="1752" t="s">
        <v>1578</v>
      </c>
      <c r="G3665" s="1941">
        <v>0.2</v>
      </c>
      <c r="H3665" s="1453">
        <f>G3665*$H$3219</f>
        <v>1.4000000000000002E-3</v>
      </c>
      <c r="I3665" s="198"/>
      <c r="J3665" s="198"/>
      <c r="K3665" s="1307">
        <f>H3665*$K$3215</f>
        <v>1.3104000000000002E-4</v>
      </c>
      <c r="L3665" s="1335">
        <f t="shared" ref="L3665:L3669" si="405">K3665*$K$2842</f>
        <v>0</v>
      </c>
      <c r="M3665" s="1499">
        <v>0.55000000000000004</v>
      </c>
      <c r="N3665" s="1718">
        <f>G3665*M3665</f>
        <v>0.11000000000000001</v>
      </c>
      <c r="O3665" s="1719">
        <f>H3665*M3665</f>
        <v>7.7000000000000018E-4</v>
      </c>
      <c r="P3665" s="1720">
        <f>M3665*K3665</f>
        <v>7.2072000000000011E-5</v>
      </c>
      <c r="Q3665" s="3396"/>
      <c r="R3665" s="2337"/>
      <c r="S3665" s="16"/>
      <c r="T3665" s="16"/>
      <c r="U3665" s="16"/>
      <c r="V3665" s="16"/>
    </row>
    <row r="3666" spans="1:22">
      <c r="A3666" s="16"/>
      <c r="B3666" s="1320"/>
      <c r="C3666" s="1042"/>
      <c r="D3666" s="1752" t="s">
        <v>1792</v>
      </c>
      <c r="E3666" s="1852" t="s">
        <v>1577</v>
      </c>
      <c r="F3666" s="1752" t="s">
        <v>1793</v>
      </c>
      <c r="G3666" s="1941">
        <v>0.19</v>
      </c>
      <c r="H3666" s="1453">
        <f t="shared" ref="H3666:H3668" si="406">G3666*$H$3219</f>
        <v>1.33E-3</v>
      </c>
      <c r="I3666" s="197"/>
      <c r="J3666" s="198"/>
      <c r="K3666" s="1307">
        <f t="shared" ref="K3666:K3669" si="407">H3666*$K$3215</f>
        <v>1.2448800000000002E-4</v>
      </c>
      <c r="L3666" s="1335">
        <f t="shared" si="405"/>
        <v>0</v>
      </c>
      <c r="M3666" s="1499">
        <v>85.09</v>
      </c>
      <c r="N3666" s="1718">
        <f>G3666*M3666</f>
        <v>16.167100000000001</v>
      </c>
      <c r="O3666" s="1719">
        <f>H3666*M3666</f>
        <v>0.11316970000000001</v>
      </c>
      <c r="P3666" s="1720">
        <f>M3666*K3666</f>
        <v>1.0592683920000002E-2</v>
      </c>
      <c r="Q3666" s="3396"/>
      <c r="R3666" s="2337"/>
      <c r="S3666" s="1639"/>
      <c r="T3666" s="16"/>
      <c r="U3666" s="16"/>
      <c r="V3666" s="16"/>
    </row>
    <row r="3667" spans="1:22">
      <c r="A3667" s="16"/>
      <c r="B3667" s="1320"/>
      <c r="C3667" s="1042"/>
      <c r="D3667" s="1752" t="s">
        <v>1394</v>
      </c>
      <c r="E3667" s="1852" t="s">
        <v>1577</v>
      </c>
      <c r="F3667" s="1752" t="s">
        <v>1579</v>
      </c>
      <c r="G3667" s="1941">
        <v>0.38</v>
      </c>
      <c r="H3667" s="1453">
        <f t="shared" si="406"/>
        <v>2.66E-3</v>
      </c>
      <c r="I3667" s="1289"/>
      <c r="J3667" s="198"/>
      <c r="K3667" s="1307">
        <f t="shared" si="407"/>
        <v>2.4897600000000004E-4</v>
      </c>
      <c r="L3667" s="1335">
        <f t="shared" si="405"/>
        <v>0</v>
      </c>
      <c r="M3667" s="1499">
        <v>92.54</v>
      </c>
      <c r="N3667" s="1718">
        <f>G3667*M3667</f>
        <v>35.165200000000006</v>
      </c>
      <c r="O3667" s="1719">
        <f>H3667*M3667</f>
        <v>0.24615640000000003</v>
      </c>
      <c r="P3667" s="1720">
        <f>M3667*K3667</f>
        <v>2.3040239040000004E-2</v>
      </c>
      <c r="Q3667" s="3396"/>
      <c r="R3667" s="2337"/>
      <c r="S3667" s="16"/>
      <c r="T3667" s="16"/>
      <c r="U3667" s="16"/>
      <c r="V3667" s="16"/>
    </row>
    <row r="3668" spans="1:22">
      <c r="A3668" s="16"/>
      <c r="B3668" s="1320"/>
      <c r="C3668" s="1042"/>
      <c r="D3668" s="1752" t="s">
        <v>1576</v>
      </c>
      <c r="E3668" s="1852" t="s">
        <v>1517</v>
      </c>
      <c r="F3668" s="1752" t="s">
        <v>1580</v>
      </c>
      <c r="G3668" s="1941">
        <v>1.38</v>
      </c>
      <c r="H3668" s="1453">
        <f t="shared" si="406"/>
        <v>9.6600000000000002E-3</v>
      </c>
      <c r="I3668" s="1289"/>
      <c r="J3668" s="198"/>
      <c r="K3668" s="1307">
        <f t="shared" si="407"/>
        <v>9.0417600000000002E-4</v>
      </c>
      <c r="L3668" s="1335">
        <f t="shared" si="405"/>
        <v>0</v>
      </c>
      <c r="M3668" s="1499">
        <v>6.53</v>
      </c>
      <c r="N3668" s="1718">
        <f>G3668*M3668</f>
        <v>9.0114000000000001</v>
      </c>
      <c r="O3668" s="1719">
        <f>H3668*M3668</f>
        <v>6.3079800000000005E-2</v>
      </c>
      <c r="P3668" s="1720">
        <f>M3668*K3668</f>
        <v>5.9042692800000008E-3</v>
      </c>
      <c r="Q3668" s="3396"/>
      <c r="R3668" s="2337"/>
      <c r="S3668" s="16"/>
      <c r="T3668" s="16"/>
      <c r="U3668" s="16"/>
      <c r="V3668" s="16"/>
    </row>
    <row r="3669" spans="1:22">
      <c r="A3669" s="16"/>
      <c r="B3669" s="1320"/>
      <c r="C3669" s="1042"/>
      <c r="D3669" s="1754" t="s">
        <v>1067</v>
      </c>
      <c r="E3669" s="1853" t="s">
        <v>1508</v>
      </c>
      <c r="F3669" s="1754" t="s">
        <v>1512</v>
      </c>
      <c r="G3669" s="1942">
        <v>1.236</v>
      </c>
      <c r="H3669" s="1454">
        <f>G3669*$H$3219</f>
        <v>8.652E-3</v>
      </c>
      <c r="I3669" s="1289"/>
      <c r="J3669" s="198"/>
      <c r="K3669" s="1307">
        <f t="shared" si="407"/>
        <v>8.0982720000000001E-4</v>
      </c>
      <c r="L3669" s="1335">
        <f t="shared" si="405"/>
        <v>0</v>
      </c>
      <c r="M3669" s="1499">
        <v>18.28</v>
      </c>
      <c r="N3669" s="1718">
        <f>G3669*M3669</f>
        <v>22.594080000000002</v>
      </c>
      <c r="O3669" s="1719">
        <f>H3669*M3669</f>
        <v>0.15815856</v>
      </c>
      <c r="P3669" s="1720">
        <f>M3669*K3669</f>
        <v>1.4803641216000002E-2</v>
      </c>
      <c r="Q3669" s="3396"/>
      <c r="R3669" s="2337"/>
      <c r="S3669" s="16"/>
      <c r="T3669" s="16"/>
      <c r="U3669" s="16"/>
      <c r="V3669" s="16"/>
    </row>
    <row r="3670" spans="1:22">
      <c r="A3670" s="16"/>
      <c r="B3670" s="1320"/>
      <c r="C3670" s="1356" t="s">
        <v>1918</v>
      </c>
      <c r="D3670" s="1311"/>
      <c r="E3670" s="1854" t="s">
        <v>1517</v>
      </c>
      <c r="F3670" s="1749" t="s">
        <v>1919</v>
      </c>
      <c r="G3670" s="1688"/>
      <c r="H3670" s="1366">
        <v>1E-3</v>
      </c>
      <c r="I3670" s="1388"/>
      <c r="J3670" s="1388"/>
      <c r="K3670" s="1510"/>
      <c r="L3670" s="1445"/>
      <c r="M3670" s="1447"/>
      <c r="N3670" s="1447">
        <f>SUM(N3671:N3673)</f>
        <v>193.28545</v>
      </c>
      <c r="O3670" s="1447">
        <f>SUM(O3671:O3673)</f>
        <v>0.19328545000000003</v>
      </c>
      <c r="P3670" s="1446">
        <f>SUM(P3671:P3673)</f>
        <v>1.8091518120000004E-2</v>
      </c>
      <c r="Q3670" s="3391"/>
      <c r="S3670" s="16"/>
      <c r="T3670" s="16"/>
      <c r="U3670" s="16"/>
      <c r="V3670" s="16"/>
    </row>
    <row r="3671" spans="1:22">
      <c r="A3671" s="16"/>
      <c r="B3671" s="1320"/>
      <c r="C3671" s="1042"/>
      <c r="D3671" s="1752" t="s">
        <v>1069</v>
      </c>
      <c r="E3671" s="1852" t="s">
        <v>1517</v>
      </c>
      <c r="F3671" s="1752" t="s">
        <v>1578</v>
      </c>
      <c r="G3671" s="1941">
        <v>0.89100000000000001</v>
      </c>
      <c r="H3671" s="1453">
        <f>G3671*$H$3225</f>
        <v>8.9100000000000008E-4</v>
      </c>
      <c r="I3671" s="1289"/>
      <c r="J3671" s="198"/>
      <c r="K3671" s="1307">
        <f t="shared" ref="K3671" si="408">H3671*$K$3215</f>
        <v>8.3397600000000016E-5</v>
      </c>
      <c r="L3671" s="1335">
        <f t="shared" ref="L3671:L3673" si="409">K3671*$K$2842</f>
        <v>0</v>
      </c>
      <c r="M3671" s="1499">
        <v>0.55000000000000004</v>
      </c>
      <c r="N3671" s="1718">
        <f>G3671*M3671</f>
        <v>0.49005000000000004</v>
      </c>
      <c r="O3671" s="1740">
        <f>H3671*M3671</f>
        <v>4.9005000000000012E-4</v>
      </c>
      <c r="P3671" s="1731">
        <f>M3671*K3671</f>
        <v>4.5868680000000016E-5</v>
      </c>
      <c r="Q3671" s="3396"/>
      <c r="R3671" s="2337"/>
      <c r="S3671" s="16"/>
      <c r="T3671" s="16"/>
      <c r="U3671" s="16"/>
      <c r="V3671" s="16"/>
    </row>
    <row r="3672" spans="1:22">
      <c r="A3672" s="16"/>
      <c r="B3672" s="1320"/>
      <c r="C3672" s="1042"/>
      <c r="D3672" s="1752" t="s">
        <v>1145</v>
      </c>
      <c r="E3672" s="1852" t="s">
        <v>1577</v>
      </c>
      <c r="F3672" s="1752" t="s">
        <v>1690</v>
      </c>
      <c r="G3672" s="1941">
        <v>0.51500000000000001</v>
      </c>
      <c r="H3672" s="1453">
        <f t="shared" ref="H3672:H3673" si="410">G3672*$H$3225</f>
        <v>5.1500000000000005E-4</v>
      </c>
      <c r="I3672" s="1289"/>
      <c r="J3672" s="198"/>
      <c r="K3672" s="1307">
        <f>H3672*$K$3215</f>
        <v>4.8204000000000008E-5</v>
      </c>
      <c r="L3672" s="1335">
        <f t="shared" si="409"/>
        <v>0</v>
      </c>
      <c r="M3672" s="1499">
        <v>246.4</v>
      </c>
      <c r="N3672" s="1718">
        <f>G3672*M3672</f>
        <v>126.896</v>
      </c>
      <c r="O3672" s="1719">
        <f>H3672*M3672</f>
        <v>0.12689600000000001</v>
      </c>
      <c r="P3672" s="1720">
        <f>M3672*K3672</f>
        <v>1.1877465600000003E-2</v>
      </c>
      <c r="Q3672" s="3396"/>
      <c r="R3672" s="2337"/>
      <c r="S3672" s="16"/>
      <c r="T3672" s="16"/>
      <c r="U3672" s="16"/>
      <c r="V3672" s="16"/>
    </row>
    <row r="3673" spans="1:22">
      <c r="A3673" s="16"/>
      <c r="B3673" s="1320"/>
      <c r="C3673" s="1042"/>
      <c r="D3673" s="1754" t="s">
        <v>1067</v>
      </c>
      <c r="E3673" s="1853" t="s">
        <v>1508</v>
      </c>
      <c r="F3673" s="1754" t="s">
        <v>1512</v>
      </c>
      <c r="G3673" s="1942">
        <v>3.605</v>
      </c>
      <c r="H3673" s="1454">
        <f t="shared" si="410"/>
        <v>3.6050000000000001E-3</v>
      </c>
      <c r="I3673" s="1289"/>
      <c r="J3673" s="198"/>
      <c r="K3673" s="1307">
        <f t="shared" ref="K3673" si="411">H3673*$K$3215</f>
        <v>3.3742800000000002E-4</v>
      </c>
      <c r="L3673" s="1335">
        <f t="shared" si="409"/>
        <v>0</v>
      </c>
      <c r="M3673" s="1499">
        <v>18.28</v>
      </c>
      <c r="N3673" s="1718">
        <f>G3673*M3673</f>
        <v>65.8994</v>
      </c>
      <c r="O3673" s="1719">
        <f>H3673*M3673</f>
        <v>6.5899400000000011E-2</v>
      </c>
      <c r="P3673" s="1720">
        <f>M3673*K3673</f>
        <v>6.1681838400000008E-3</v>
      </c>
      <c r="Q3673" s="3396"/>
      <c r="R3673" s="2337"/>
      <c r="S3673" s="16"/>
      <c r="T3673" s="16"/>
      <c r="U3673" s="16"/>
      <c r="V3673" s="16"/>
    </row>
    <row r="3674" spans="1:22">
      <c r="A3674" s="16"/>
      <c r="B3674" s="1320"/>
      <c r="C3674" s="1042"/>
      <c r="D3674" s="1752"/>
      <c r="E3674" s="1852"/>
      <c r="F3674" s="1752"/>
      <c r="G3674" s="1941"/>
      <c r="H3674" s="1453"/>
      <c r="I3674" s="1289"/>
      <c r="J3674" s="198"/>
      <c r="K3674" s="1307"/>
      <c r="L3674" s="1335"/>
      <c r="M3674" s="1723"/>
      <c r="N3674" s="1718"/>
      <c r="O3674" s="1719"/>
      <c r="P3674" s="1720"/>
      <c r="Q3674" s="3396"/>
      <c r="R3674" s="2337"/>
      <c r="S3674" s="16"/>
      <c r="T3674" s="16"/>
      <c r="U3674" s="16"/>
      <c r="V3674" s="16"/>
    </row>
    <row r="3675" spans="1:22">
      <c r="A3675" s="16"/>
      <c r="B3675" s="1320"/>
      <c r="C3675" s="1042"/>
      <c r="D3675" s="1752"/>
      <c r="E3675" s="1852"/>
      <c r="F3675" s="1752"/>
      <c r="G3675" s="1941"/>
      <c r="H3675" s="1453"/>
      <c r="I3675" s="1289"/>
      <c r="J3675" s="198"/>
      <c r="K3675" s="1307"/>
      <c r="L3675" s="1335"/>
      <c r="M3675" s="1723"/>
      <c r="N3675" s="1718"/>
      <c r="O3675" s="1719"/>
      <c r="P3675" s="1720"/>
      <c r="Q3675" s="3396"/>
      <c r="R3675" s="2337"/>
      <c r="S3675" s="16"/>
      <c r="T3675" s="16"/>
      <c r="U3675" s="16"/>
      <c r="V3675" s="16"/>
    </row>
    <row r="3676" spans="1:22">
      <c r="A3676" s="16"/>
      <c r="B3676" s="1320"/>
      <c r="C3676" s="1320"/>
      <c r="D3676" s="1410"/>
      <c r="E3676" s="1858"/>
      <c r="F3676" s="1360" t="s">
        <v>2</v>
      </c>
      <c r="G3676" s="1360"/>
      <c r="H3676" s="1362"/>
      <c r="I3676" s="1380"/>
      <c r="J3676" s="1381"/>
      <c r="K3676" s="1359"/>
      <c r="L3676" s="1458"/>
      <c r="M3676" s="1502"/>
      <c r="N3676" s="1502"/>
      <c r="O3676" s="1362"/>
      <c r="P3676" s="1359"/>
      <c r="Q3676" s="3387"/>
      <c r="R3676" s="2337"/>
      <c r="S3676" s="16"/>
      <c r="T3676" s="16"/>
      <c r="U3676" s="16"/>
      <c r="V3676" s="16"/>
    </row>
    <row r="3677" spans="1:22">
      <c r="A3677" s="16"/>
      <c r="B3677" s="1042"/>
      <c r="C3677" s="1356" t="s">
        <v>1755</v>
      </c>
      <c r="D3677" s="1311"/>
      <c r="E3677" s="2163" t="s">
        <v>1508</v>
      </c>
      <c r="F3677" s="1648" t="s">
        <v>1524</v>
      </c>
      <c r="G3677" s="1353"/>
      <c r="H3677" s="1954">
        <v>0.3</v>
      </c>
      <c r="I3677" s="1444"/>
      <c r="J3677" s="1388"/>
      <c r="K3677" s="1445"/>
      <c r="L3677" s="1457"/>
      <c r="M3677" s="1447"/>
      <c r="N3677" s="1447">
        <f>SUM(N3678:N3679)</f>
        <v>37.510000000000005</v>
      </c>
      <c r="O3677" s="1447">
        <f>SUM(O3678:O3679)</f>
        <v>11.253</v>
      </c>
      <c r="P3677" s="1447">
        <f>SUM(P3678:P3679)</f>
        <v>1.0532808</v>
      </c>
      <c r="Q3677" s="3391"/>
      <c r="R3677" s="2337"/>
      <c r="S3677" s="16"/>
      <c r="T3677" s="16"/>
      <c r="U3677" s="16"/>
      <c r="V3677" s="16"/>
    </row>
    <row r="3678" spans="1:22">
      <c r="A3678" s="16"/>
      <c r="B3678" s="1042"/>
      <c r="C3678" s="88"/>
      <c r="D3678" s="1430" t="s">
        <v>1067</v>
      </c>
      <c r="E3678" s="1857" t="s">
        <v>1508</v>
      </c>
      <c r="F3678" s="1403" t="s">
        <v>5</v>
      </c>
      <c r="G3678" s="1431">
        <v>1</v>
      </c>
      <c r="H3678" s="1408">
        <f>G3678*$H$3232</f>
        <v>0.3</v>
      </c>
      <c r="I3678" s="1286"/>
      <c r="J3678" s="198"/>
      <c r="K3678" s="1307">
        <f>H3678*$K$3215</f>
        <v>2.8080000000000001E-2</v>
      </c>
      <c r="L3678" s="1335">
        <f t="shared" ref="L3678:L3679" si="412">K3678*$K$2842</f>
        <v>0</v>
      </c>
      <c r="M3678" s="1302">
        <v>18.28</v>
      </c>
      <c r="N3678" s="1718">
        <f>G3678*M3678</f>
        <v>18.28</v>
      </c>
      <c r="O3678" s="1290">
        <f>H3678*M3678</f>
        <v>5.484</v>
      </c>
      <c r="P3678" s="1332">
        <f>M3678*K3678</f>
        <v>0.51330240000000005</v>
      </c>
      <c r="Q3678" s="3391"/>
      <c r="R3678" s="2337"/>
      <c r="S3678" s="16"/>
      <c r="T3678" s="16"/>
      <c r="U3678" s="16"/>
      <c r="V3678" s="16"/>
    </row>
    <row r="3679" spans="1:22">
      <c r="A3679" s="16"/>
      <c r="B3679" s="1042"/>
      <c r="C3679" s="88"/>
      <c r="D3679" s="1430" t="s">
        <v>1077</v>
      </c>
      <c r="E3679" s="1857" t="s">
        <v>1508</v>
      </c>
      <c r="F3679" s="1403" t="s">
        <v>37</v>
      </c>
      <c r="G3679" s="1431">
        <v>1</v>
      </c>
      <c r="H3679" s="1408">
        <f>G3679*$H$3232</f>
        <v>0.3</v>
      </c>
      <c r="I3679" s="197"/>
      <c r="J3679" s="198"/>
      <c r="K3679" s="1307">
        <f>H3679*$K$3215</f>
        <v>2.8080000000000001E-2</v>
      </c>
      <c r="L3679" s="1335">
        <f t="shared" si="412"/>
        <v>0</v>
      </c>
      <c r="M3679" s="1302">
        <v>19.23</v>
      </c>
      <c r="N3679" s="1718">
        <f>G3679*M3679</f>
        <v>19.23</v>
      </c>
      <c r="O3679" s="1290">
        <f>H3679*M3679</f>
        <v>5.7690000000000001</v>
      </c>
      <c r="P3679" s="1332">
        <f>M3679*K3679</f>
        <v>0.53997840000000008</v>
      </c>
      <c r="Q3679" s="3391"/>
      <c r="R3679" s="2337"/>
      <c r="S3679" s="16"/>
      <c r="T3679" s="16"/>
      <c r="U3679" s="16"/>
      <c r="V3679" s="16"/>
    </row>
    <row r="3680" spans="1:22">
      <c r="A3680" s="16"/>
      <c r="B3680" s="1320"/>
      <c r="C3680" s="1042"/>
      <c r="D3680" s="1402"/>
      <c r="E3680" s="1857"/>
      <c r="F3680" s="1645"/>
      <c r="G3680" s="1362"/>
      <c r="H3680" s="1359"/>
      <c r="I3680" s="198"/>
      <c r="J3680" s="6"/>
      <c r="K3680" s="1307"/>
      <c r="L3680" s="1646"/>
      <c r="M3680" s="1499"/>
      <c r="N3680" s="1499"/>
      <c r="O3680" s="1291"/>
      <c r="P3680" s="1332"/>
      <c r="Q3680" s="3391"/>
      <c r="R3680" s="2337"/>
      <c r="S3680" s="16"/>
      <c r="T3680" s="16"/>
      <c r="U3680" s="16"/>
      <c r="V3680" s="16"/>
    </row>
    <row r="3681" spans="1:22">
      <c r="A3681" s="16"/>
      <c r="B3681" s="1320"/>
      <c r="C3681" s="1042"/>
      <c r="D3681" s="1402"/>
      <c r="E3681" s="1857"/>
      <c r="F3681" s="1403"/>
      <c r="G3681" s="1362"/>
      <c r="H3681" s="1359"/>
      <c r="I3681" s="198"/>
      <c r="J3681" s="6"/>
      <c r="K3681" s="1307"/>
      <c r="L3681" s="1335"/>
      <c r="M3681" s="1499"/>
      <c r="N3681" s="1701"/>
      <c r="O3681" s="1290"/>
      <c r="P3681" s="1332"/>
      <c r="Q3681" s="3391"/>
      <c r="R3681" s="2337"/>
      <c r="S3681" s="16"/>
      <c r="T3681" s="16"/>
      <c r="U3681" s="16"/>
      <c r="V3681" s="16"/>
    </row>
    <row r="3682" spans="1:22">
      <c r="A3682" s="16"/>
      <c r="B3682" s="1320"/>
      <c r="C3682" s="1042"/>
      <c r="D3682" s="1411"/>
      <c r="E3682" s="2123"/>
      <c r="F3682" s="1374" t="s">
        <v>3</v>
      </c>
      <c r="G3682" s="1374"/>
      <c r="H3682" s="1376"/>
      <c r="I3682" s="1382"/>
      <c r="J3682" s="1383"/>
      <c r="K3682" s="1373"/>
      <c r="L3682" s="1413"/>
      <c r="M3682" s="1505"/>
      <c r="N3682" s="1505"/>
      <c r="O3682" s="1376"/>
      <c r="P3682" s="1413"/>
      <c r="Q3682" s="3387"/>
      <c r="R3682" s="2337"/>
      <c r="S3682" s="16"/>
      <c r="T3682" s="16"/>
      <c r="U3682" s="16"/>
      <c r="V3682" s="16"/>
    </row>
    <row r="3683" spans="1:22">
      <c r="A3683" s="16"/>
      <c r="B3683" s="1320"/>
      <c r="C3683" s="1042"/>
      <c r="D3683" s="1412"/>
      <c r="E3683" s="2124"/>
      <c r="F3683" s="1378"/>
      <c r="G3683" s="1378"/>
      <c r="H3683" s="1379"/>
      <c r="I3683" s="198"/>
      <c r="J3683" s="6"/>
      <c r="K3683" s="1307"/>
      <c r="L3683" s="1335"/>
      <c r="M3683" s="1499"/>
      <c r="N3683" s="1701"/>
      <c r="O3683" s="1290"/>
      <c r="P3683" s="1332"/>
      <c r="Q3683" s="3391"/>
      <c r="R3683" s="2337"/>
      <c r="S3683" s="16"/>
      <c r="T3683" s="16"/>
      <c r="U3683" s="16"/>
      <c r="V3683" s="16"/>
    </row>
    <row r="3684" spans="1:22">
      <c r="A3684" s="16"/>
      <c r="B3684" s="1320"/>
      <c r="C3684" s="1042"/>
      <c r="D3684" s="1440"/>
      <c r="E3684" s="2132"/>
      <c r="F3684" s="1441"/>
      <c r="G3684" s="1441"/>
      <c r="H3684" s="1442"/>
      <c r="I3684" s="197"/>
      <c r="J3684" s="198"/>
      <c r="K3684" s="1307"/>
      <c r="L3684" s="1335"/>
      <c r="M3684" s="1499"/>
      <c r="N3684" s="1701"/>
      <c r="O3684" s="1290"/>
      <c r="P3684" s="1332"/>
      <c r="Q3684" s="3391"/>
      <c r="R3684" s="2337"/>
      <c r="S3684" s="16"/>
      <c r="T3684" s="16"/>
      <c r="U3684" s="16"/>
      <c r="V3684" s="16"/>
    </row>
    <row r="3685" spans="1:22">
      <c r="A3685" s="16"/>
      <c r="B3685" s="1320"/>
      <c r="C3685" s="1042"/>
      <c r="D3685" s="1440"/>
      <c r="E3685" s="2132"/>
      <c r="F3685" s="1441"/>
      <c r="G3685" s="1441"/>
      <c r="H3685" s="1442"/>
      <c r="I3685" s="197"/>
      <c r="J3685" s="198"/>
      <c r="K3685" s="1307"/>
      <c r="L3685" s="1335"/>
      <c r="M3685" s="1499"/>
      <c r="N3685" s="1701"/>
      <c r="O3685" s="1290"/>
      <c r="P3685" s="1332"/>
      <c r="Q3685" s="3391"/>
      <c r="R3685" s="2337"/>
      <c r="S3685" s="16"/>
      <c r="T3685" s="16"/>
      <c r="U3685" s="16"/>
      <c r="V3685" s="16"/>
    </row>
    <row r="3686" spans="1:22" ht="15" customHeight="1">
      <c r="A3686" s="16" t="s">
        <v>3764</v>
      </c>
      <c r="B3686" s="4325" t="s">
        <v>1920</v>
      </c>
      <c r="C3686" s="4074"/>
      <c r="D3686" s="4327"/>
      <c r="E3686" s="4329" t="s">
        <v>1527</v>
      </c>
      <c r="F3686" s="4336" t="s">
        <v>1921</v>
      </c>
      <c r="G3686" s="4331" t="s">
        <v>1568</v>
      </c>
      <c r="H3686" s="4331" t="s">
        <v>1574</v>
      </c>
      <c r="I3686" s="1572" t="s">
        <v>1559</v>
      </c>
      <c r="J3686" s="1294" t="s">
        <v>1560</v>
      </c>
      <c r="K3686" s="1294" t="s">
        <v>1561</v>
      </c>
      <c r="L3686" s="4333" t="s">
        <v>3765</v>
      </c>
      <c r="M3686" s="4335" t="s">
        <v>1571</v>
      </c>
      <c r="N3686" s="4323" t="s">
        <v>1776</v>
      </c>
      <c r="O3686" s="4073" t="s">
        <v>1563</v>
      </c>
      <c r="P3686" s="1336" t="s">
        <v>1562</v>
      </c>
      <c r="Q3686" s="3389"/>
      <c r="R3686" s="1839" t="s">
        <v>1327</v>
      </c>
      <c r="S3686" s="16"/>
      <c r="T3686" s="16"/>
      <c r="U3686" s="16"/>
      <c r="V3686" s="16"/>
    </row>
    <row r="3687" spans="1:22">
      <c r="A3687" s="1971" t="s">
        <v>3574</v>
      </c>
      <c r="B3687" s="4326"/>
      <c r="C3687" s="4075"/>
      <c r="D3687" s="4328"/>
      <c r="E3687" s="4389"/>
      <c r="F3687" s="4336"/>
      <c r="G3687" s="4332"/>
      <c r="H3687" s="4332"/>
      <c r="I3687" s="4079">
        <v>27</v>
      </c>
      <c r="J3687" s="3815">
        <v>3.0000000000000001E-3</v>
      </c>
      <c r="K3687" s="1307">
        <f>I3687*J3687</f>
        <v>8.1000000000000003E-2</v>
      </c>
      <c r="L3687" s="4334"/>
      <c r="M3687" s="4335"/>
      <c r="N3687" s="4324"/>
      <c r="O3687" s="1298">
        <f>O3689+O3690+O3696+O3703</f>
        <v>27.836043959999998</v>
      </c>
      <c r="P3687" s="1337">
        <f>O3687*K3687</f>
        <v>2.2547195607599999</v>
      </c>
      <c r="Q3687" s="3390"/>
      <c r="R3687" s="1840">
        <f>P3689+P3690+P3696+P3703</f>
        <v>2.2547195607599999</v>
      </c>
      <c r="S3687" s="16"/>
      <c r="T3687" s="16"/>
      <c r="U3687" s="16"/>
      <c r="V3687" s="16"/>
    </row>
    <row r="3688" spans="1:22">
      <c r="A3688" s="16"/>
      <c r="B3688" s="1327"/>
      <c r="C3688" s="1327"/>
      <c r="D3688" s="1400"/>
      <c r="E3688" s="2121"/>
      <c r="F3688" s="1368" t="s">
        <v>1</v>
      </c>
      <c r="G3688" s="1417"/>
      <c r="H3688" s="1390"/>
      <c r="I3688" s="1554"/>
      <c r="J3688" s="1367"/>
      <c r="K3688" s="1367"/>
      <c r="L3688" s="1554"/>
      <c r="M3688" s="1369"/>
      <c r="N3688" s="1369"/>
      <c r="O3688" s="1369"/>
      <c r="P3688" s="1367"/>
      <c r="Q3688" s="3387"/>
      <c r="R3688" s="2337"/>
      <c r="S3688" s="16"/>
      <c r="T3688" s="16"/>
      <c r="U3688" s="16"/>
      <c r="V3688" s="16"/>
    </row>
    <row r="3689" spans="1:22">
      <c r="A3689" s="16"/>
      <c r="B3689" s="2042"/>
      <c r="C3689" s="1042"/>
      <c r="D3689" s="1598" t="s">
        <v>1922</v>
      </c>
      <c r="E3689" s="2154" t="s">
        <v>1527</v>
      </c>
      <c r="F3689" s="1598" t="s">
        <v>1923</v>
      </c>
      <c r="G3689" s="1612">
        <v>1.1020000000000001</v>
      </c>
      <c r="H3689" s="1453"/>
      <c r="I3689" s="197"/>
      <c r="J3689" s="198"/>
      <c r="K3689" s="1307">
        <f>G3689*$K$3242</f>
        <v>8.9262000000000008E-2</v>
      </c>
      <c r="L3689" s="1335">
        <f>K3689*$K$2842</f>
        <v>0</v>
      </c>
      <c r="M3689" s="1499">
        <v>11.2</v>
      </c>
      <c r="N3689" s="1718"/>
      <c r="O3689" s="1719">
        <f>G3689*M3689</f>
        <v>12.3424</v>
      </c>
      <c r="P3689" s="1720">
        <f>M3689*K3689</f>
        <v>0.99973440000000002</v>
      </c>
      <c r="Q3689" s="3396"/>
      <c r="R3689" s="2337"/>
      <c r="S3689" s="16"/>
      <c r="T3689" s="16"/>
      <c r="U3689" s="16"/>
      <c r="V3689" s="16"/>
    </row>
    <row r="3690" spans="1:22">
      <c r="A3690" s="16"/>
      <c r="B3690" s="1320"/>
      <c r="C3690" s="1356" t="s">
        <v>1119</v>
      </c>
      <c r="D3690" s="1311"/>
      <c r="E3690" s="1854" t="s">
        <v>1517</v>
      </c>
      <c r="F3690" s="1749" t="s">
        <v>1917</v>
      </c>
      <c r="G3690" s="1688"/>
      <c r="H3690" s="1366">
        <v>1.2E-2</v>
      </c>
      <c r="I3690" s="1388"/>
      <c r="J3690" s="1388"/>
      <c r="K3690" s="1510"/>
      <c r="L3690" s="1445"/>
      <c r="M3690" s="1447"/>
      <c r="N3690" s="1447">
        <f>SUM(N3691:N3695)</f>
        <v>83.047780000000003</v>
      </c>
      <c r="O3690" s="1447">
        <f>SUM(O3691:O3695)</f>
        <v>0.99657335999999996</v>
      </c>
      <c r="P3690" s="1446">
        <f>SUM(P3691:P3695)</f>
        <v>8.0722442160000005E-2</v>
      </c>
      <c r="Q3690" s="3391"/>
      <c r="S3690" s="16"/>
      <c r="T3690" s="16"/>
      <c r="U3690" s="16"/>
      <c r="V3690" s="16"/>
    </row>
    <row r="3691" spans="1:22">
      <c r="A3691" s="16"/>
      <c r="B3691" s="1320"/>
      <c r="C3691" s="18"/>
      <c r="D3691" s="1752" t="s">
        <v>1069</v>
      </c>
      <c r="E3691" s="1852" t="s">
        <v>1517</v>
      </c>
      <c r="F3691" s="1752" t="s">
        <v>1578</v>
      </c>
      <c r="G3691" s="1941">
        <v>0.2</v>
      </c>
      <c r="H3691" s="1453">
        <f>G3691*$H$3245</f>
        <v>2.4000000000000002E-3</v>
      </c>
      <c r="I3691" s="198"/>
      <c r="J3691" s="198"/>
      <c r="K3691" s="1732">
        <f>H3691*$K$3242</f>
        <v>1.9440000000000004E-4</v>
      </c>
      <c r="L3691" s="1335">
        <f t="shared" ref="L3691:L3695" si="413">K3691*$K$2842</f>
        <v>0</v>
      </c>
      <c r="M3691" s="1499">
        <v>0.55000000000000004</v>
      </c>
      <c r="N3691" s="1718">
        <f>G3691*M3691</f>
        <v>0.11000000000000001</v>
      </c>
      <c r="O3691" s="1719">
        <f>H3691*M3691</f>
        <v>1.3200000000000002E-3</v>
      </c>
      <c r="P3691" s="1720">
        <f>M3691*K3691</f>
        <v>1.0692000000000003E-4</v>
      </c>
      <c r="Q3691" s="3396"/>
      <c r="R3691" s="2337"/>
      <c r="S3691" s="16"/>
      <c r="T3691" s="16"/>
      <c r="U3691" s="16"/>
      <c r="V3691" s="16"/>
    </row>
    <row r="3692" spans="1:22">
      <c r="A3692" s="16"/>
      <c r="B3692" s="1320"/>
      <c r="C3692" s="1042"/>
      <c r="D3692" s="1752" t="s">
        <v>1792</v>
      </c>
      <c r="E3692" s="1852" t="s">
        <v>1577</v>
      </c>
      <c r="F3692" s="1752" t="s">
        <v>1793</v>
      </c>
      <c r="G3692" s="1941">
        <v>0.19</v>
      </c>
      <c r="H3692" s="1453">
        <f t="shared" ref="H3692:H3695" si="414">G3692*$H$3245</f>
        <v>2.2799999999999999E-3</v>
      </c>
      <c r="I3692" s="197"/>
      <c r="J3692" s="198"/>
      <c r="K3692" s="1732">
        <f t="shared" ref="K3692:K3699" si="415">H3692*$K$3242</f>
        <v>1.8468E-4</v>
      </c>
      <c r="L3692" s="1335">
        <f t="shared" si="413"/>
        <v>0</v>
      </c>
      <c r="M3692" s="1499">
        <v>85.09</v>
      </c>
      <c r="N3692" s="1718">
        <f>G3692*M3692</f>
        <v>16.167100000000001</v>
      </c>
      <c r="O3692" s="1719">
        <f>H3692*M3692</f>
        <v>0.19400519999999999</v>
      </c>
      <c r="P3692" s="1720">
        <f>M3692*K3692</f>
        <v>1.5714421200000002E-2</v>
      </c>
      <c r="Q3692" s="3396"/>
      <c r="R3692" s="2337"/>
      <c r="S3692" s="16"/>
      <c r="T3692" s="16"/>
      <c r="U3692" s="16"/>
      <c r="V3692" s="16"/>
    </row>
    <row r="3693" spans="1:22">
      <c r="A3693" s="16"/>
      <c r="B3693" s="1320"/>
      <c r="C3693" s="1042"/>
      <c r="D3693" s="1752" t="s">
        <v>1394</v>
      </c>
      <c r="E3693" s="1852" t="s">
        <v>1577</v>
      </c>
      <c r="F3693" s="1752" t="s">
        <v>1579</v>
      </c>
      <c r="G3693" s="1941">
        <v>0.38</v>
      </c>
      <c r="H3693" s="1453">
        <f t="shared" si="414"/>
        <v>4.5599999999999998E-3</v>
      </c>
      <c r="I3693" s="1289"/>
      <c r="J3693" s="198"/>
      <c r="K3693" s="1732">
        <f t="shared" si="415"/>
        <v>3.6936E-4</v>
      </c>
      <c r="L3693" s="1335">
        <f t="shared" si="413"/>
        <v>0</v>
      </c>
      <c r="M3693" s="1499">
        <v>92.54</v>
      </c>
      <c r="N3693" s="1718">
        <f>G3693*M3693</f>
        <v>35.165200000000006</v>
      </c>
      <c r="O3693" s="1719">
        <f>H3693*M3693</f>
        <v>0.42198240000000004</v>
      </c>
      <c r="P3693" s="1720">
        <f>M3693*K3693</f>
        <v>3.4180574400000004E-2</v>
      </c>
      <c r="Q3693" s="3396"/>
      <c r="R3693" s="2337"/>
      <c r="S3693" s="16"/>
      <c r="T3693" s="16"/>
      <c r="U3693" s="16"/>
      <c r="V3693" s="16"/>
    </row>
    <row r="3694" spans="1:22">
      <c r="A3694" s="16"/>
      <c r="B3694" s="1320"/>
      <c r="C3694" s="1042"/>
      <c r="D3694" s="1752" t="s">
        <v>1576</v>
      </c>
      <c r="E3694" s="1852" t="s">
        <v>1517</v>
      </c>
      <c r="F3694" s="1752" t="s">
        <v>1580</v>
      </c>
      <c r="G3694" s="1941">
        <v>1.38</v>
      </c>
      <c r="H3694" s="1453">
        <f t="shared" si="414"/>
        <v>1.6559999999999998E-2</v>
      </c>
      <c r="I3694" s="1289"/>
      <c r="J3694" s="198"/>
      <c r="K3694" s="1732">
        <f t="shared" si="415"/>
        <v>1.34136E-3</v>
      </c>
      <c r="L3694" s="1335">
        <f t="shared" si="413"/>
        <v>0</v>
      </c>
      <c r="M3694" s="1499">
        <v>6.53</v>
      </c>
      <c r="N3694" s="1718">
        <f>G3694*M3694</f>
        <v>9.0114000000000001</v>
      </c>
      <c r="O3694" s="1719">
        <f>H3694*M3694</f>
        <v>0.10813679999999999</v>
      </c>
      <c r="P3694" s="1720">
        <f>M3694*K3694</f>
        <v>8.759080800000001E-3</v>
      </c>
      <c r="Q3694" s="3396"/>
      <c r="R3694" s="2337"/>
      <c r="S3694" s="16"/>
      <c r="T3694" s="16"/>
      <c r="U3694" s="16"/>
      <c r="V3694" s="16"/>
    </row>
    <row r="3695" spans="1:22">
      <c r="A3695" s="16"/>
      <c r="B3695" s="1320"/>
      <c r="C3695" s="1042"/>
      <c r="D3695" s="1754" t="s">
        <v>1067</v>
      </c>
      <c r="E3695" s="1853" t="s">
        <v>1508</v>
      </c>
      <c r="F3695" s="1754" t="s">
        <v>1512</v>
      </c>
      <c r="G3695" s="1942">
        <v>1.236</v>
      </c>
      <c r="H3695" s="1454">
        <f t="shared" si="414"/>
        <v>1.4832E-2</v>
      </c>
      <c r="I3695" s="1289"/>
      <c r="J3695" s="198"/>
      <c r="K3695" s="1732">
        <f t="shared" si="415"/>
        <v>1.2013919999999999E-3</v>
      </c>
      <c r="L3695" s="1335">
        <f t="shared" si="413"/>
        <v>0</v>
      </c>
      <c r="M3695" s="1499">
        <v>18.28</v>
      </c>
      <c r="N3695" s="1718">
        <f>G3695*M3695</f>
        <v>22.594080000000002</v>
      </c>
      <c r="O3695" s="1719">
        <f>H3695*M3695</f>
        <v>0.27112896000000003</v>
      </c>
      <c r="P3695" s="1720">
        <f>M3695*K3695</f>
        <v>2.196144576E-2</v>
      </c>
      <c r="Q3695" s="3396"/>
      <c r="R3695" s="2337"/>
      <c r="S3695" s="16"/>
      <c r="T3695" s="16"/>
      <c r="U3695" s="16"/>
      <c r="V3695" s="16"/>
    </row>
    <row r="3696" spans="1:22">
      <c r="A3696" s="16"/>
      <c r="B3696" s="1320"/>
      <c r="C3696" s="1658" t="s">
        <v>1155</v>
      </c>
      <c r="D3696" s="1311"/>
      <c r="E3696" s="1855" t="s">
        <v>1517</v>
      </c>
      <c r="F3696" s="1647" t="s">
        <v>1544</v>
      </c>
      <c r="G3696" s="1830" t="s">
        <v>1551</v>
      </c>
      <c r="H3696" s="1830">
        <v>1E-3</v>
      </c>
      <c r="I3696" s="1444"/>
      <c r="J3696" s="1388"/>
      <c r="K3696" s="1732">
        <f t="shared" si="415"/>
        <v>8.1000000000000004E-5</v>
      </c>
      <c r="L3696" s="1445"/>
      <c r="M3696" s="1447"/>
      <c r="N3696" s="1447">
        <f>SUM(N3697:N3699)</f>
        <v>114.04755</v>
      </c>
      <c r="O3696" s="1447">
        <f>SUM(O3697:O3699)</f>
        <v>1.3685706000000002</v>
      </c>
      <c r="P3696" s="1446">
        <f>SUM(P3697:P3699)</f>
        <v>0.11085421860000001</v>
      </c>
      <c r="Q3696" s="3391"/>
      <c r="R3696" s="1296"/>
      <c r="S3696" s="16"/>
      <c r="T3696" s="16"/>
      <c r="U3696" s="16"/>
      <c r="V3696" s="16"/>
    </row>
    <row r="3697" spans="1:22">
      <c r="A3697" s="16"/>
      <c r="B3697" s="1320"/>
      <c r="C3697" s="1042"/>
      <c r="D3697" s="1451" t="s">
        <v>1069</v>
      </c>
      <c r="E3697" s="1856" t="s">
        <v>1517</v>
      </c>
      <c r="F3697" s="1421" t="s">
        <v>1578</v>
      </c>
      <c r="G3697" s="1452">
        <v>0.89100000000000001</v>
      </c>
      <c r="H3697" s="1453">
        <f>$H$3245*G3697</f>
        <v>1.0692E-2</v>
      </c>
      <c r="I3697" s="1286"/>
      <c r="J3697" s="198"/>
      <c r="K3697" s="1732">
        <f t="shared" si="415"/>
        <v>8.6605200000000008E-4</v>
      </c>
      <c r="L3697" s="1335">
        <f t="shared" ref="L3697:L3699" si="416">K3697*$K$2842</f>
        <v>0</v>
      </c>
      <c r="M3697" s="1717">
        <v>0.55000000000000004</v>
      </c>
      <c r="N3697" s="1718">
        <f>G3697*M3697</f>
        <v>0.49005000000000004</v>
      </c>
      <c r="O3697" s="1719">
        <f>H3697*M3697</f>
        <v>5.8806000000000006E-3</v>
      </c>
      <c r="P3697" s="1731">
        <f>M3697*K3697</f>
        <v>4.7632860000000008E-4</v>
      </c>
      <c r="Q3697" s="3396"/>
      <c r="R3697" s="1296"/>
      <c r="S3697" s="16"/>
      <c r="T3697" s="16"/>
      <c r="U3697" s="16"/>
      <c r="V3697" s="16"/>
    </row>
    <row r="3698" spans="1:22">
      <c r="A3698" s="16"/>
      <c r="B3698" s="1320"/>
      <c r="C3698" s="1042"/>
      <c r="D3698" s="1367" t="s">
        <v>1394</v>
      </c>
      <c r="E3698" s="1856" t="s">
        <v>1577</v>
      </c>
      <c r="F3698" s="1421" t="s">
        <v>1579</v>
      </c>
      <c r="G3698" s="1452">
        <v>0.51500000000000001</v>
      </c>
      <c r="H3698" s="1453">
        <f t="shared" ref="H3698:H3699" si="417">$H$3245*G3698</f>
        <v>6.1800000000000006E-3</v>
      </c>
      <c r="I3698" s="1286"/>
      <c r="J3698" s="198"/>
      <c r="K3698" s="1732">
        <f t="shared" si="415"/>
        <v>5.0058000000000004E-4</v>
      </c>
      <c r="L3698" s="1335">
        <f t="shared" si="416"/>
        <v>0</v>
      </c>
      <c r="M3698" s="1717">
        <v>92.54</v>
      </c>
      <c r="N3698" s="1718">
        <f>G3698*M3698</f>
        <v>47.658100000000005</v>
      </c>
      <c r="O3698" s="1719">
        <f>H3698*M3698</f>
        <v>0.57189720000000011</v>
      </c>
      <c r="P3698" s="1720">
        <f>M3698*K3698</f>
        <v>4.6323673200000005E-2</v>
      </c>
      <c r="Q3698" s="3396"/>
      <c r="R3698" s="1296"/>
      <c r="S3698" s="16"/>
      <c r="T3698" s="16"/>
      <c r="U3698" s="16"/>
      <c r="V3698" s="16"/>
    </row>
    <row r="3699" spans="1:22">
      <c r="A3699" s="16"/>
      <c r="B3699" s="1320"/>
      <c r="C3699" s="1042"/>
      <c r="D3699" s="1359" t="s">
        <v>1067</v>
      </c>
      <c r="E3699" s="1857" t="s">
        <v>1508</v>
      </c>
      <c r="F3699" s="1430" t="s">
        <v>1512</v>
      </c>
      <c r="G3699" s="1431">
        <v>3.605</v>
      </c>
      <c r="H3699" s="1454">
        <f t="shared" si="417"/>
        <v>4.326E-2</v>
      </c>
      <c r="I3699" s="1286"/>
      <c r="J3699" s="198"/>
      <c r="K3699" s="1732">
        <f t="shared" si="415"/>
        <v>3.5040600000000002E-3</v>
      </c>
      <c r="L3699" s="1335">
        <f t="shared" si="416"/>
        <v>0</v>
      </c>
      <c r="M3699" s="1717">
        <v>18.28</v>
      </c>
      <c r="N3699" s="1718">
        <f>G3699*M3699</f>
        <v>65.8994</v>
      </c>
      <c r="O3699" s="1719">
        <f>H3699*M3699</f>
        <v>0.79079280000000007</v>
      </c>
      <c r="P3699" s="1720">
        <f>M3699*K3699</f>
        <v>6.4054216800000008E-2</v>
      </c>
      <c r="Q3699" s="3396"/>
      <c r="R3699" s="1296"/>
      <c r="S3699" s="16"/>
      <c r="T3699" s="16"/>
      <c r="U3699" s="16"/>
      <c r="V3699" s="16"/>
    </row>
    <row r="3700" spans="1:22">
      <c r="A3700" s="16"/>
      <c r="B3700" s="1320"/>
      <c r="C3700" s="1042"/>
      <c r="D3700" s="1752"/>
      <c r="E3700" s="1852"/>
      <c r="F3700" s="1752"/>
      <c r="G3700" s="1941"/>
      <c r="H3700" s="1453"/>
      <c r="I3700" s="1289"/>
      <c r="J3700" s="198"/>
      <c r="K3700" s="1307"/>
      <c r="L3700" s="1335"/>
      <c r="M3700" s="1723"/>
      <c r="N3700" s="1718"/>
      <c r="O3700" s="1719"/>
      <c r="P3700" s="1720"/>
      <c r="Q3700" s="3396"/>
      <c r="R3700" s="2337"/>
      <c r="S3700" s="16"/>
      <c r="T3700" s="16"/>
      <c r="U3700" s="16"/>
      <c r="V3700" s="16"/>
    </row>
    <row r="3701" spans="1:22">
      <c r="A3701" s="16"/>
      <c r="B3701" s="1320"/>
      <c r="C3701" s="1042"/>
      <c r="D3701" s="1752"/>
      <c r="E3701" s="1852"/>
      <c r="F3701" s="1752"/>
      <c r="G3701" s="1941"/>
      <c r="H3701" s="1453"/>
      <c r="I3701" s="1289"/>
      <c r="J3701" s="198"/>
      <c r="K3701" s="1307"/>
      <c r="L3701" s="1335"/>
      <c r="M3701" s="1723"/>
      <c r="N3701" s="1718"/>
      <c r="O3701" s="1719"/>
      <c r="P3701" s="1720"/>
      <c r="Q3701" s="3396"/>
      <c r="R3701" s="2337"/>
      <c r="S3701" s="16"/>
      <c r="T3701" s="16"/>
      <c r="U3701" s="16"/>
      <c r="V3701" s="16"/>
    </row>
    <row r="3702" spans="1:22">
      <c r="A3702" s="16"/>
      <c r="B3702" s="1320"/>
      <c r="C3702" s="1320"/>
      <c r="D3702" s="1410"/>
      <c r="E3702" s="1858"/>
      <c r="F3702" s="1360" t="s">
        <v>2</v>
      </c>
      <c r="G3702" s="1360"/>
      <c r="H3702" s="1362"/>
      <c r="I3702" s="1380"/>
      <c r="J3702" s="1381"/>
      <c r="K3702" s="1359"/>
      <c r="L3702" s="1458"/>
      <c r="M3702" s="1502"/>
      <c r="N3702" s="1502"/>
      <c r="O3702" s="1362"/>
      <c r="P3702" s="1359"/>
      <c r="Q3702" s="3387"/>
      <c r="R3702" s="2337"/>
      <c r="S3702" s="16"/>
      <c r="T3702" s="16"/>
      <c r="U3702" s="16"/>
      <c r="V3702" s="16"/>
    </row>
    <row r="3703" spans="1:22">
      <c r="A3703" s="16"/>
      <c r="B3703" s="1042"/>
      <c r="C3703" s="1356" t="s">
        <v>1755</v>
      </c>
      <c r="D3703" s="1311"/>
      <c r="E3703" s="2163" t="s">
        <v>1508</v>
      </c>
      <c r="F3703" s="1648" t="s">
        <v>1524</v>
      </c>
      <c r="G3703" s="1353"/>
      <c r="H3703" s="1954">
        <v>0.35</v>
      </c>
      <c r="I3703" s="1444"/>
      <c r="J3703" s="1388"/>
      <c r="K3703" s="1445"/>
      <c r="L3703" s="1457"/>
      <c r="M3703" s="1447"/>
      <c r="N3703" s="1447">
        <f>SUM(N3704:N3705)</f>
        <v>37.510000000000005</v>
      </c>
      <c r="O3703" s="1447">
        <f>SUM(O3704:O3705)</f>
        <v>13.128499999999999</v>
      </c>
      <c r="P3703" s="1447">
        <f>SUM(P3704:P3705)</f>
        <v>1.0634085</v>
      </c>
      <c r="Q3703" s="3391"/>
      <c r="R3703" s="2337"/>
      <c r="S3703" s="16"/>
      <c r="T3703" s="16"/>
      <c r="U3703" s="16"/>
      <c r="V3703" s="16"/>
    </row>
    <row r="3704" spans="1:22">
      <c r="A3704" s="16"/>
      <c r="B3704" s="1042"/>
      <c r="C3704" s="88"/>
      <c r="D3704" s="1430" t="s">
        <v>1067</v>
      </c>
      <c r="E3704" s="1857" t="s">
        <v>1508</v>
      </c>
      <c r="F3704" s="1403" t="s">
        <v>5</v>
      </c>
      <c r="G3704" s="1431">
        <v>1</v>
      </c>
      <c r="H3704" s="1408">
        <f>G3704*$H$3258</f>
        <v>0.35</v>
      </c>
      <c r="I3704" s="1286"/>
      <c r="J3704" s="198"/>
      <c r="K3704" s="1732">
        <f t="shared" ref="K3704:K3705" si="418">H3704*$K$3242</f>
        <v>2.835E-2</v>
      </c>
      <c r="L3704" s="1335">
        <f t="shared" ref="L3704:L3705" si="419">K3704*$K$2842</f>
        <v>0</v>
      </c>
      <c r="M3704" s="1302">
        <v>18.28</v>
      </c>
      <c r="N3704" s="1718">
        <f>G3704*M3704</f>
        <v>18.28</v>
      </c>
      <c r="O3704" s="1290">
        <f>H3704*M3704</f>
        <v>6.3979999999999997</v>
      </c>
      <c r="P3704" s="1332">
        <f>M3704*K3704</f>
        <v>0.51823800000000009</v>
      </c>
      <c r="Q3704" s="3391"/>
      <c r="R3704" s="2337"/>
      <c r="S3704" s="16"/>
      <c r="T3704" s="16"/>
      <c r="U3704" s="16"/>
      <c r="V3704" s="16"/>
    </row>
    <row r="3705" spans="1:22">
      <c r="A3705" s="16"/>
      <c r="B3705" s="1042"/>
      <c r="C3705" s="88"/>
      <c r="D3705" s="1430" t="s">
        <v>1077</v>
      </c>
      <c r="E3705" s="1857" t="s">
        <v>1508</v>
      </c>
      <c r="F3705" s="1403" t="s">
        <v>37</v>
      </c>
      <c r="G3705" s="1431">
        <v>1</v>
      </c>
      <c r="H3705" s="1408">
        <f>G3705*$H$3258</f>
        <v>0.35</v>
      </c>
      <c r="I3705" s="197"/>
      <c r="J3705" s="198"/>
      <c r="K3705" s="1732">
        <f t="shared" si="418"/>
        <v>2.835E-2</v>
      </c>
      <c r="L3705" s="1335">
        <f t="shared" si="419"/>
        <v>0</v>
      </c>
      <c r="M3705" s="1302">
        <v>19.23</v>
      </c>
      <c r="N3705" s="1718">
        <f>G3705*M3705</f>
        <v>19.23</v>
      </c>
      <c r="O3705" s="1290">
        <f>H3705*M3705</f>
        <v>6.7305000000000001</v>
      </c>
      <c r="P3705" s="1332">
        <f>M3705*K3705</f>
        <v>0.5451705</v>
      </c>
      <c r="Q3705" s="3391"/>
      <c r="R3705" s="2337"/>
      <c r="S3705" s="16"/>
      <c r="T3705" s="16"/>
      <c r="U3705" s="16"/>
      <c r="V3705" s="16"/>
    </row>
    <row r="3706" spans="1:22">
      <c r="A3706" s="16"/>
      <c r="B3706" s="1320"/>
      <c r="C3706" s="1042"/>
      <c r="D3706" s="1402"/>
      <c r="E3706" s="1857"/>
      <c r="F3706" s="1645"/>
      <c r="G3706" s="1362"/>
      <c r="H3706" s="1359"/>
      <c r="I3706" s="198"/>
      <c r="J3706" s="6"/>
      <c r="K3706" s="1307"/>
      <c r="L3706" s="1646"/>
      <c r="M3706" s="1499"/>
      <c r="N3706" s="1499"/>
      <c r="O3706" s="1291"/>
      <c r="P3706" s="1332"/>
      <c r="Q3706" s="3391"/>
      <c r="R3706" s="2337"/>
      <c r="S3706" s="16"/>
      <c r="T3706" s="16"/>
      <c r="U3706" s="16"/>
      <c r="V3706" s="16"/>
    </row>
    <row r="3707" spans="1:22">
      <c r="A3707" s="16"/>
      <c r="B3707" s="1320"/>
      <c r="C3707" s="1042"/>
      <c r="D3707" s="1402"/>
      <c r="E3707" s="1857"/>
      <c r="F3707" s="1403"/>
      <c r="G3707" s="1362"/>
      <c r="H3707" s="1359"/>
      <c r="I3707" s="198"/>
      <c r="J3707" s="6"/>
      <c r="K3707" s="1307"/>
      <c r="L3707" s="1335"/>
      <c r="M3707" s="1499"/>
      <c r="N3707" s="1701"/>
      <c r="O3707" s="1290"/>
      <c r="P3707" s="1332"/>
      <c r="Q3707" s="3391"/>
      <c r="R3707" s="2337"/>
      <c r="S3707" s="16"/>
      <c r="T3707" s="16"/>
      <c r="U3707" s="16"/>
      <c r="V3707" s="16"/>
    </row>
    <row r="3708" spans="1:22">
      <c r="A3708" s="16"/>
      <c r="B3708" s="1320"/>
      <c r="C3708" s="1042"/>
      <c r="D3708" s="1411"/>
      <c r="E3708" s="2123"/>
      <c r="F3708" s="1374" t="s">
        <v>3</v>
      </c>
      <c r="G3708" s="1374"/>
      <c r="H3708" s="1376"/>
      <c r="I3708" s="1382"/>
      <c r="J3708" s="1383"/>
      <c r="K3708" s="1373"/>
      <c r="L3708" s="1413"/>
      <c r="M3708" s="1505"/>
      <c r="N3708" s="1505"/>
      <c r="O3708" s="1376"/>
      <c r="P3708" s="1413"/>
      <c r="Q3708" s="3387"/>
      <c r="R3708" s="2337"/>
      <c r="S3708" s="16"/>
      <c r="T3708" s="16"/>
      <c r="U3708" s="16"/>
      <c r="V3708" s="16"/>
    </row>
    <row r="3709" spans="1:22">
      <c r="A3709" s="16"/>
      <c r="B3709" s="1320"/>
      <c r="C3709" s="1042"/>
      <c r="D3709" s="1412"/>
      <c r="E3709" s="2124"/>
      <c r="F3709" s="1378"/>
      <c r="G3709" s="1378"/>
      <c r="H3709" s="1379"/>
      <c r="I3709" s="198"/>
      <c r="J3709" s="6"/>
      <c r="K3709" s="1307"/>
      <c r="L3709" s="1335"/>
      <c r="M3709" s="1499"/>
      <c r="N3709" s="1701"/>
      <c r="O3709" s="1290"/>
      <c r="P3709" s="1332"/>
      <c r="Q3709" s="3391"/>
      <c r="R3709" s="2337"/>
      <c r="S3709" s="16"/>
      <c r="T3709" s="16"/>
      <c r="U3709" s="16"/>
      <c r="V3709" s="16"/>
    </row>
    <row r="3710" spans="1:22">
      <c r="A3710" s="16"/>
      <c r="B3710" s="1320"/>
      <c r="C3710" s="1042"/>
      <c r="D3710" s="1440"/>
      <c r="E3710" s="2132"/>
      <c r="F3710" s="1441"/>
      <c r="G3710" s="1441"/>
      <c r="H3710" s="1442"/>
      <c r="I3710" s="197"/>
      <c r="J3710" s="198"/>
      <c r="K3710" s="1307"/>
      <c r="L3710" s="1335"/>
      <c r="M3710" s="1499"/>
      <c r="N3710" s="1701"/>
      <c r="O3710" s="1290"/>
      <c r="P3710" s="1332"/>
      <c r="Q3710" s="3391"/>
      <c r="R3710" s="2337"/>
      <c r="S3710" s="16"/>
      <c r="T3710" s="16"/>
      <c r="U3710" s="16"/>
      <c r="V3710" s="16"/>
    </row>
    <row r="3711" spans="1:22">
      <c r="A3711" s="16"/>
      <c r="B3711" s="1320"/>
      <c r="C3711" s="1042"/>
      <c r="D3711" s="1440"/>
      <c r="E3711" s="2132"/>
      <c r="F3711" s="1441"/>
      <c r="G3711" s="1441"/>
      <c r="H3711" s="1442"/>
      <c r="I3711" s="197"/>
      <c r="J3711" s="198"/>
      <c r="K3711" s="1307"/>
      <c r="L3711" s="1335"/>
      <c r="M3711" s="1499"/>
      <c r="N3711" s="1701"/>
      <c r="O3711" s="1290"/>
      <c r="P3711" s="1332"/>
      <c r="Q3711" s="3391"/>
      <c r="R3711" s="2337"/>
      <c r="S3711" s="16"/>
      <c r="T3711" s="16"/>
      <c r="U3711" s="16"/>
      <c r="V3711" s="16"/>
    </row>
    <row r="3712" spans="1:22" ht="15" customHeight="1">
      <c r="A3712" s="16" t="s">
        <v>3764</v>
      </c>
      <c r="B3712" s="4325" t="s">
        <v>1661</v>
      </c>
      <c r="C3712" s="4074"/>
      <c r="D3712" s="4327"/>
      <c r="E3712" s="4329" t="s">
        <v>1507</v>
      </c>
      <c r="F3712" s="4336" t="s">
        <v>1706</v>
      </c>
      <c r="G3712" s="4331" t="s">
        <v>1568</v>
      </c>
      <c r="H3712" s="4331" t="s">
        <v>1574</v>
      </c>
      <c r="I3712" s="1572" t="s">
        <v>1559</v>
      </c>
      <c r="J3712" s="1294" t="s">
        <v>1560</v>
      </c>
      <c r="K3712" s="1294" t="s">
        <v>1561</v>
      </c>
      <c r="L3712" s="4333" t="s">
        <v>3765</v>
      </c>
      <c r="M3712" s="4335" t="s">
        <v>1571</v>
      </c>
      <c r="N3712" s="4323" t="s">
        <v>1776</v>
      </c>
      <c r="O3712" s="4073" t="s">
        <v>1563</v>
      </c>
      <c r="P3712" s="1336" t="s">
        <v>1562</v>
      </c>
      <c r="Q3712" s="3389"/>
      <c r="R3712" s="1699" t="s">
        <v>1327</v>
      </c>
      <c r="S3712" s="16"/>
      <c r="T3712" s="16"/>
      <c r="U3712" s="16"/>
      <c r="V3712" s="16"/>
    </row>
    <row r="3713" spans="1:22">
      <c r="A3713" s="1971" t="s">
        <v>3574</v>
      </c>
      <c r="B3713" s="4326"/>
      <c r="C3713" s="4075"/>
      <c r="D3713" s="4328"/>
      <c r="E3713" s="4389"/>
      <c r="F3713" s="4336"/>
      <c r="G3713" s="4332"/>
      <c r="H3713" s="4332"/>
      <c r="I3713" s="4079">
        <v>191.7</v>
      </c>
      <c r="J3713" s="3815">
        <v>3.0000000000000001E-3</v>
      </c>
      <c r="K3713" s="1307">
        <f>I3713*J3713</f>
        <v>0.57509999999999994</v>
      </c>
      <c r="L3713" s="4334"/>
      <c r="M3713" s="4335"/>
      <c r="N3713" s="4324"/>
      <c r="O3713" s="1298">
        <f>SUM(O3715:O3726)</f>
        <v>8.9870400000000004</v>
      </c>
      <c r="P3713" s="1337">
        <f>O3713*K3713</f>
        <v>5.1684467039999999</v>
      </c>
      <c r="Q3713" s="3390"/>
      <c r="R3713" s="1721">
        <f>SUM(P3715:P3727)</f>
        <v>5.1684467039999991</v>
      </c>
      <c r="S3713" s="16"/>
      <c r="T3713" s="16"/>
      <c r="U3713" s="16"/>
      <c r="V3713" s="16"/>
    </row>
    <row r="3714" spans="1:22">
      <c r="A3714" s="16"/>
      <c r="B3714" s="1327"/>
      <c r="C3714" s="1327"/>
      <c r="D3714" s="1400"/>
      <c r="E3714" s="2121"/>
      <c r="F3714" s="1368" t="s">
        <v>1</v>
      </c>
      <c r="G3714" s="1417"/>
      <c r="H3714" s="1390"/>
      <c r="I3714" s="1554"/>
      <c r="J3714" s="1367"/>
      <c r="K3714" s="1367"/>
      <c r="L3714" s="1554"/>
      <c r="M3714" s="1369"/>
      <c r="N3714" s="1369"/>
      <c r="O3714" s="1369"/>
      <c r="P3714" s="1367"/>
      <c r="Q3714" s="3387"/>
      <c r="R3714" s="2337"/>
      <c r="S3714" s="16"/>
      <c r="T3714" s="16"/>
      <c r="U3714" s="16"/>
      <c r="V3714" s="16"/>
    </row>
    <row r="3715" spans="1:22">
      <c r="A3715" s="16"/>
      <c r="B3715" s="1320"/>
      <c r="C3715" s="1042"/>
      <c r="D3715" s="1761" t="s">
        <v>1698</v>
      </c>
      <c r="E3715" s="2170" t="s">
        <v>1357</v>
      </c>
      <c r="F3715" s="1761" t="s">
        <v>1699</v>
      </c>
      <c r="G3715" s="1762">
        <v>0.45</v>
      </c>
      <c r="H3715" s="1762"/>
      <c r="I3715" s="27"/>
      <c r="J3715" s="6"/>
      <c r="K3715" s="1307">
        <f>G3715*$K$3268</f>
        <v>0.258795</v>
      </c>
      <c r="L3715" s="1335">
        <f t="shared" ref="L3715:L3717" si="420">K3715*$K$2842</f>
        <v>0</v>
      </c>
      <c r="M3715" s="1499">
        <v>1.7</v>
      </c>
      <c r="N3715" s="1701"/>
      <c r="O3715" s="1290">
        <f>(G3715*M3715)</f>
        <v>0.76500000000000001</v>
      </c>
      <c r="P3715" s="1332">
        <f>M3715*K3715</f>
        <v>0.4399515</v>
      </c>
      <c r="Q3715" s="3391"/>
      <c r="R3715" s="2337"/>
      <c r="S3715" s="16"/>
      <c r="T3715" s="16"/>
      <c r="U3715" s="16"/>
      <c r="V3715" s="16"/>
    </row>
    <row r="3716" spans="1:22">
      <c r="A3716" s="16"/>
      <c r="B3716" s="1320"/>
      <c r="C3716" s="1042"/>
      <c r="D3716" s="1761" t="s">
        <v>1214</v>
      </c>
      <c r="E3716" s="2170" t="s">
        <v>1357</v>
      </c>
      <c r="F3716" s="1761" t="s">
        <v>1700</v>
      </c>
      <c r="G3716" s="1762">
        <v>0.35</v>
      </c>
      <c r="H3716" s="1762"/>
      <c r="I3716" s="27"/>
      <c r="J3716" s="198"/>
      <c r="K3716" s="1307">
        <f t="shared" ref="K3716:K3717" si="421">G3716*$K$3268</f>
        <v>0.20128499999999996</v>
      </c>
      <c r="L3716" s="1335">
        <f t="shared" si="420"/>
        <v>0</v>
      </c>
      <c r="M3716" s="1499">
        <v>4.2</v>
      </c>
      <c r="N3716" s="1701"/>
      <c r="O3716" s="1290">
        <f>(G3716*M3716)</f>
        <v>1.47</v>
      </c>
      <c r="P3716" s="1332">
        <f>M3716*K3716</f>
        <v>0.84539699999999984</v>
      </c>
      <c r="Q3716" s="3391"/>
      <c r="R3716" s="2337"/>
      <c r="S3716" s="16"/>
      <c r="T3716" s="16"/>
      <c r="U3716" s="16"/>
      <c r="V3716" s="16"/>
    </row>
    <row r="3717" spans="1:22">
      <c r="A3717" s="16"/>
      <c r="B3717" s="1320"/>
      <c r="C3717" s="1042"/>
      <c r="D3717" s="1761" t="s">
        <v>1701</v>
      </c>
      <c r="E3717" s="2170" t="s">
        <v>1504</v>
      </c>
      <c r="F3717" s="1761" t="s">
        <v>1541</v>
      </c>
      <c r="G3717" s="1762">
        <v>0.2</v>
      </c>
      <c r="H3717" s="1762"/>
      <c r="I3717" s="27"/>
      <c r="J3717" s="10"/>
      <c r="K3717" s="1307">
        <f t="shared" si="421"/>
        <v>0.11502</v>
      </c>
      <c r="L3717" s="1335">
        <f t="shared" si="420"/>
        <v>0</v>
      </c>
      <c r="M3717" s="1499">
        <v>0.3</v>
      </c>
      <c r="N3717" s="1701"/>
      <c r="O3717" s="1290">
        <f>(G3717*M3717)</f>
        <v>0.06</v>
      </c>
      <c r="P3717" s="1332">
        <f>M3717*K3717</f>
        <v>3.4505999999999995E-2</v>
      </c>
      <c r="Q3717" s="3391"/>
      <c r="R3717" s="2337"/>
      <c r="S3717" s="16"/>
      <c r="T3717" s="16"/>
      <c r="U3717" s="16"/>
      <c r="V3717" s="16"/>
    </row>
    <row r="3718" spans="1:22">
      <c r="A3718" s="16"/>
      <c r="B3718" s="1320"/>
      <c r="C3718" s="1042"/>
      <c r="D3718" s="1367"/>
      <c r="E3718" s="1856"/>
      <c r="F3718" s="1421"/>
      <c r="G3718" s="1399"/>
      <c r="H3718" s="1399"/>
      <c r="I3718" s="1289"/>
      <c r="J3718" s="198"/>
      <c r="K3718" s="1307"/>
      <c r="L3718" s="1335"/>
      <c r="M3718" s="1499"/>
      <c r="N3718" s="1701"/>
      <c r="O3718" s="1290"/>
      <c r="P3718" s="1332"/>
      <c r="Q3718" s="3391"/>
      <c r="R3718" s="2337"/>
      <c r="S3718" s="16"/>
      <c r="T3718" s="16"/>
      <c r="U3718" s="16"/>
      <c r="V3718" s="16"/>
    </row>
    <row r="3719" spans="1:22">
      <c r="A3719" s="16"/>
      <c r="B3719" s="1320"/>
      <c r="C3719" s="1042"/>
      <c r="D3719" s="1367"/>
      <c r="E3719" s="1856"/>
      <c r="F3719" s="1421"/>
      <c r="G3719" s="1399"/>
      <c r="H3719" s="1399"/>
      <c r="I3719" s="1289"/>
      <c r="J3719" s="198"/>
      <c r="K3719" s="1307"/>
      <c r="L3719" s="1335"/>
      <c r="M3719" s="1499"/>
      <c r="N3719" s="1701"/>
      <c r="O3719" s="1290"/>
      <c r="P3719" s="1332"/>
      <c r="Q3719" s="3391"/>
      <c r="R3719" s="2337"/>
      <c r="S3719" s="16"/>
      <c r="T3719" s="16"/>
      <c r="U3719" s="16"/>
      <c r="V3719" s="16"/>
    </row>
    <row r="3720" spans="1:22">
      <c r="A3720" s="16"/>
      <c r="B3720" s="1320"/>
      <c r="C3720" s="1320"/>
      <c r="D3720" s="1410"/>
      <c r="E3720" s="1858"/>
      <c r="F3720" s="1360" t="s">
        <v>2</v>
      </c>
      <c r="G3720" s="1362"/>
      <c r="H3720" s="1362"/>
      <c r="I3720" s="1380"/>
      <c r="J3720" s="1381"/>
      <c r="K3720" s="1359"/>
      <c r="L3720" s="1458"/>
      <c r="M3720" s="1502"/>
      <c r="N3720" s="1502"/>
      <c r="O3720" s="1362"/>
      <c r="P3720" s="1359"/>
      <c r="Q3720" s="3387"/>
      <c r="R3720" s="2337"/>
      <c r="S3720" s="16"/>
      <c r="T3720" s="16"/>
      <c r="U3720" s="16"/>
      <c r="V3720" s="16"/>
    </row>
    <row r="3721" spans="1:22">
      <c r="A3721" s="16"/>
      <c r="B3721" s="1320"/>
      <c r="C3721" s="1042"/>
      <c r="D3721" s="1624" t="s">
        <v>1702</v>
      </c>
      <c r="E3721" s="2158" t="s">
        <v>1508</v>
      </c>
      <c r="F3721" s="1624" t="s">
        <v>1703</v>
      </c>
      <c r="G3721" s="1625">
        <v>0.34799999999999998</v>
      </c>
      <c r="H3721" s="1625"/>
      <c r="I3721" s="198"/>
      <c r="J3721" s="6"/>
      <c r="K3721" s="1307">
        <f t="shared" ref="K3721" si="422">G3721*$K$3268</f>
        <v>0.20013479999999997</v>
      </c>
      <c r="L3721" s="1335">
        <f>K3721*$K$2842</f>
        <v>0</v>
      </c>
      <c r="M3721" s="1499">
        <v>19.23</v>
      </c>
      <c r="N3721" s="1701"/>
      <c r="O3721" s="1290">
        <f>(G3721*M3721)</f>
        <v>6.6920399999999995</v>
      </c>
      <c r="P3721" s="1332">
        <f>M3721*K3721</f>
        <v>3.8485922039999996</v>
      </c>
      <c r="Q3721" s="3391"/>
      <c r="R3721" s="2337"/>
      <c r="S3721" s="16"/>
      <c r="T3721" s="16"/>
      <c r="U3721" s="16"/>
      <c r="V3721" s="16"/>
    </row>
    <row r="3722" spans="1:22">
      <c r="A3722" s="16"/>
      <c r="B3722" s="1320"/>
      <c r="C3722" s="1042"/>
      <c r="D3722" s="1402"/>
      <c r="E3722" s="1857"/>
      <c r="F3722" s="1645"/>
      <c r="G3722" s="1362"/>
      <c r="H3722" s="1359"/>
      <c r="I3722" s="198"/>
      <c r="J3722" s="6"/>
      <c r="K3722" s="1306"/>
      <c r="L3722" s="1646"/>
      <c r="M3722" s="1499"/>
      <c r="N3722" s="1499"/>
      <c r="O3722" s="1291"/>
      <c r="P3722" s="1332"/>
      <c r="Q3722" s="3391"/>
      <c r="R3722" s="2337"/>
      <c r="S3722" s="16"/>
      <c r="T3722" s="16"/>
      <c r="U3722" s="16"/>
      <c r="V3722" s="16"/>
    </row>
    <row r="3723" spans="1:22">
      <c r="A3723" s="16"/>
      <c r="B3723" s="1320"/>
      <c r="C3723" s="1042"/>
      <c r="D3723" s="1402"/>
      <c r="E3723" s="1857"/>
      <c r="F3723" s="1403"/>
      <c r="G3723" s="1362"/>
      <c r="H3723" s="1359"/>
      <c r="I3723" s="198"/>
      <c r="J3723" s="6"/>
      <c r="K3723" s="1307"/>
      <c r="L3723" s="1335"/>
      <c r="M3723" s="1499"/>
      <c r="N3723" s="1701"/>
      <c r="O3723" s="1290"/>
      <c r="P3723" s="1332"/>
      <c r="Q3723" s="3391"/>
      <c r="R3723" s="2337"/>
      <c r="S3723" s="16"/>
      <c r="T3723" s="16"/>
      <c r="U3723" s="16"/>
      <c r="V3723" s="16"/>
    </row>
    <row r="3724" spans="1:22">
      <c r="A3724" s="16"/>
      <c r="B3724" s="1320"/>
      <c r="C3724" s="1042"/>
      <c r="D3724" s="1411"/>
      <c r="E3724" s="2123"/>
      <c r="F3724" s="1374" t="s">
        <v>3</v>
      </c>
      <c r="G3724" s="1374"/>
      <c r="H3724" s="1376"/>
      <c r="I3724" s="1382"/>
      <c r="J3724" s="1383"/>
      <c r="K3724" s="1373"/>
      <c r="L3724" s="1413"/>
      <c r="M3724" s="1505"/>
      <c r="N3724" s="1505"/>
      <c r="O3724" s="1376"/>
      <c r="P3724" s="1413"/>
      <c r="Q3724" s="3387"/>
      <c r="R3724" s="2337"/>
      <c r="S3724" s="16"/>
      <c r="T3724" s="16"/>
      <c r="U3724" s="16"/>
      <c r="V3724" s="16"/>
    </row>
    <row r="3725" spans="1:22">
      <c r="A3725" s="16"/>
      <c r="B3725" s="1320"/>
      <c r="C3725" s="1042"/>
      <c r="D3725" s="1440"/>
      <c r="E3725" s="2132"/>
      <c r="F3725" s="1441"/>
      <c r="G3725" s="1441"/>
      <c r="H3725" s="1442"/>
      <c r="I3725" s="197"/>
      <c r="J3725" s="198"/>
      <c r="K3725" s="1307"/>
      <c r="L3725" s="1335"/>
      <c r="M3725" s="1499"/>
      <c r="N3725" s="1701"/>
      <c r="O3725" s="1290"/>
      <c r="P3725" s="1332"/>
      <c r="Q3725" s="3391"/>
      <c r="R3725" s="2337"/>
      <c r="S3725" s="16"/>
      <c r="T3725" s="16"/>
      <c r="U3725" s="16"/>
      <c r="V3725" s="16"/>
    </row>
    <row r="3726" spans="1:22">
      <c r="A3726" s="16"/>
      <c r="B3726" s="1320"/>
      <c r="C3726" s="1042"/>
      <c r="D3726" s="1440"/>
      <c r="E3726" s="2132"/>
      <c r="F3726" s="1441"/>
      <c r="G3726" s="1441"/>
      <c r="H3726" s="1442"/>
      <c r="I3726" s="197"/>
      <c r="J3726" s="198"/>
      <c r="K3726" s="1307"/>
      <c r="L3726" s="1335"/>
      <c r="M3726" s="1499"/>
      <c r="N3726" s="1701"/>
      <c r="O3726" s="1290"/>
      <c r="P3726" s="1332"/>
      <c r="Q3726" s="3391"/>
      <c r="R3726" s="2337"/>
      <c r="S3726" s="16"/>
      <c r="T3726" s="16"/>
      <c r="U3726" s="16"/>
      <c r="V3726" s="16"/>
    </row>
    <row r="3727" spans="1:22">
      <c r="A3727" s="16"/>
      <c r="B3727" s="225"/>
      <c r="C3727" s="223"/>
      <c r="D3727" s="1440"/>
      <c r="E3727" s="2132"/>
      <c r="F3727" s="1955"/>
      <c r="G3727" s="1955"/>
      <c r="H3727" s="1956"/>
      <c r="I3727" s="197"/>
      <c r="J3727" s="198"/>
      <c r="K3727" s="1307"/>
      <c r="L3727" s="1335"/>
      <c r="M3727" s="1499"/>
      <c r="N3727" s="1701"/>
      <c r="O3727" s="1290"/>
      <c r="P3727" s="1332"/>
      <c r="Q3727" s="3391"/>
      <c r="R3727" s="2337"/>
      <c r="S3727" s="17"/>
      <c r="T3727" s="17"/>
      <c r="U3727" s="16"/>
      <c r="V3727" s="16"/>
    </row>
    <row r="3728" spans="1:22">
      <c r="A3728" s="16"/>
      <c r="B3728" s="16"/>
      <c r="C3728" s="19"/>
      <c r="D3728" s="1950"/>
      <c r="E3728" s="3810"/>
      <c r="F3728" s="1950"/>
      <c r="G3728" s="1950"/>
      <c r="H3728" s="1951"/>
      <c r="I3728" s="630"/>
      <c r="J3728" s="630"/>
      <c r="K3728" s="3811"/>
      <c r="L3728" s="3812"/>
      <c r="M3728" s="1972"/>
      <c r="N3728" s="1972"/>
      <c r="O3728" s="1973"/>
      <c r="P3728" s="3813"/>
      <c r="Q3728" s="3391"/>
      <c r="R3728" s="2337"/>
      <c r="S3728" s="17"/>
      <c r="T3728" s="17"/>
      <c r="U3728" s="16"/>
      <c r="V3728" s="16"/>
    </row>
    <row r="3729" spans="1:22">
      <c r="A3729" s="16"/>
      <c r="B3729" s="16"/>
      <c r="C3729" s="19"/>
      <c r="D3729" s="1950"/>
      <c r="E3729" s="3810"/>
      <c r="F3729" s="1950"/>
      <c r="G3729" s="1950"/>
      <c r="H3729" s="1951"/>
      <c r="I3729" s="630"/>
      <c r="J3729" s="630"/>
      <c r="K3729" s="3811"/>
      <c r="L3729" s="3812"/>
      <c r="M3729" s="1972"/>
      <c r="N3729" s="1972"/>
      <c r="O3729" s="1973"/>
      <c r="P3729" s="3813"/>
      <c r="Q3729" s="3391"/>
      <c r="R3729" s="2337"/>
      <c r="S3729" s="17"/>
      <c r="T3729" s="17"/>
      <c r="U3729" s="16"/>
      <c r="V3729" s="16"/>
    </row>
    <row r="3730" spans="1:22" s="22" customFormat="1" ht="28.5">
      <c r="A3730" s="16"/>
      <c r="B3730" s="16"/>
      <c r="C3730" s="16"/>
      <c r="D3730" s="1795"/>
      <c r="E3730" s="2179"/>
      <c r="F3730" s="1795"/>
      <c r="G3730" s="1795"/>
      <c r="H3730" s="1797"/>
      <c r="I3730" s="1561"/>
      <c r="J3730" s="1561"/>
      <c r="K3730" s="1639"/>
      <c r="L3730" s="2400" t="s">
        <v>2856</v>
      </c>
      <c r="M3730" s="1292"/>
      <c r="N3730" s="1292"/>
      <c r="O3730" s="1292"/>
      <c r="P3730" s="1292"/>
      <c r="Q3730" s="3391"/>
      <c r="R3730" s="3363"/>
      <c r="S3730" s="16"/>
      <c r="T3730" s="16"/>
      <c r="U3730" s="16"/>
      <c r="V3730" s="16"/>
    </row>
    <row r="3731" spans="1:22">
      <c r="A3731" s="4393" t="s">
        <v>162</v>
      </c>
      <c r="B3731" s="4394"/>
      <c r="C3731" s="4394"/>
      <c r="D3731" s="4395"/>
      <c r="E3731" s="4396" t="s">
        <v>1549</v>
      </c>
      <c r="F3731" s="4397" t="s">
        <v>1550</v>
      </c>
      <c r="G3731" s="4399" t="s">
        <v>1566</v>
      </c>
      <c r="H3731" s="4400"/>
      <c r="I3731" s="4400"/>
      <c r="J3731" s="4400"/>
      <c r="K3731" s="4400"/>
      <c r="L3731" s="4401"/>
      <c r="M3731" s="4405" t="s">
        <v>1567</v>
      </c>
      <c r="N3731" s="4405"/>
      <c r="O3731" s="4405"/>
      <c r="P3731" s="4405"/>
      <c r="Q3731" s="3395"/>
      <c r="R3731" s="3363"/>
      <c r="S3731" s="16"/>
      <c r="T3731" s="16"/>
      <c r="U3731" s="16"/>
      <c r="V3731" s="16"/>
    </row>
    <row r="3732" spans="1:22" ht="15" thickBot="1">
      <c r="A3732" s="1975" t="s">
        <v>3766</v>
      </c>
      <c r="B3732" s="1294" t="s">
        <v>1513</v>
      </c>
      <c r="C3732" s="1976" t="s">
        <v>1573</v>
      </c>
      <c r="D3732" s="1977" t="s">
        <v>1514</v>
      </c>
      <c r="E3732" s="4396"/>
      <c r="F3732" s="4397"/>
      <c r="G3732" s="4402"/>
      <c r="H3732" s="4403"/>
      <c r="I3732" s="4403"/>
      <c r="J3732" s="4403"/>
      <c r="K3732" s="4403"/>
      <c r="L3732" s="4404"/>
      <c r="M3732" s="4405"/>
      <c r="N3732" s="4405"/>
      <c r="O3732" s="4405"/>
      <c r="P3732" s="4405"/>
      <c r="Q3732" s="3395"/>
      <c r="R3732" s="2337"/>
      <c r="S3732" s="16"/>
      <c r="T3732" s="16"/>
      <c r="U3732" s="16"/>
      <c r="V3732" s="16"/>
    </row>
    <row r="3733" spans="1:22" ht="40.5" customHeight="1">
      <c r="A3733" s="4374" t="s">
        <v>1927</v>
      </c>
      <c r="B3733" s="4375"/>
      <c r="C3733" s="4375"/>
      <c r="D3733" s="4376"/>
      <c r="E3733" s="4380" t="s">
        <v>1507</v>
      </c>
      <c r="F3733" s="4382" t="s">
        <v>1926</v>
      </c>
      <c r="G3733" s="4493" t="s">
        <v>294</v>
      </c>
      <c r="H3733" s="4493"/>
      <c r="I3733" s="1665" t="s">
        <v>1565</v>
      </c>
      <c r="J3733" s="3348" t="s">
        <v>1575</v>
      </c>
      <c r="K3733" s="4493" t="s">
        <v>289</v>
      </c>
      <c r="L3733" s="4493"/>
      <c r="M3733" s="4408" t="s">
        <v>3349</v>
      </c>
      <c r="N3733" s="4408"/>
      <c r="O3733" s="4408"/>
      <c r="P3733" s="4409"/>
      <c r="Q3733" s="4244" t="s">
        <v>3939</v>
      </c>
      <c r="R3733" s="2337"/>
      <c r="S3733" s="16"/>
      <c r="T3733" s="16"/>
      <c r="U3733" s="16"/>
      <c r="V3733" s="16"/>
    </row>
    <row r="3734" spans="1:22" ht="16" thickBot="1">
      <c r="A3734" s="4377"/>
      <c r="B3734" s="4378"/>
      <c r="C3734" s="4378"/>
      <c r="D3734" s="4379"/>
      <c r="E3734" s="4381"/>
      <c r="F3734" s="4383"/>
      <c r="G3734" s="4451">
        <f>IF('Seleccion proyecto HEREVEA02'!G32="Reparación humedades capilaridad",'Seleccion proyecto HEREVEA02'!E29,0)</f>
        <v>0</v>
      </c>
      <c r="H3734" s="4452"/>
      <c r="I3734" s="3353">
        <f>IF('Seleccion proyecto HEREVEA02'!H31=0,0,IF('Seleccion proyecto HEREVEA02'!H31="1 a 30",0.3,IF('Seleccion proyecto HEREVEA02'!H31="31 a 60",0.6,IF('Seleccion proyecto HEREVEA02'!H31="61 a 100",1))))</f>
        <v>0</v>
      </c>
      <c r="J3734" s="1351">
        <f>'Seleccion proyecto HEREVEA02'!L8</f>
        <v>11100.968999999999</v>
      </c>
      <c r="K3734" s="4358">
        <f>G3734*I3734*J3734</f>
        <v>0</v>
      </c>
      <c r="L3734" s="4359"/>
      <c r="M3734" s="4360">
        <f>P3736+P3750+P3764+P3782+P3797+P3812+P3828+P3843</f>
        <v>342.31695280000002</v>
      </c>
      <c r="N3734" s="4361"/>
      <c r="O3734" s="4361"/>
      <c r="P3734" s="4362"/>
      <c r="Q3734" s="4245">
        <f>M3734*K3734</f>
        <v>0</v>
      </c>
      <c r="R3734" s="2337"/>
      <c r="S3734" s="16"/>
      <c r="T3734" s="16"/>
      <c r="U3734" s="16"/>
      <c r="V3734" s="16"/>
    </row>
    <row r="3735" spans="1:22">
      <c r="A3735" s="19" t="s">
        <v>3764</v>
      </c>
      <c r="B3735" s="4514" t="s">
        <v>1800</v>
      </c>
      <c r="C3735" s="3354"/>
      <c r="D3735" s="4368"/>
      <c r="E3735" s="4389" t="s">
        <v>1507</v>
      </c>
      <c r="F3735" s="4363" t="s">
        <v>1801</v>
      </c>
      <c r="G3735" s="4364" t="s">
        <v>1568</v>
      </c>
      <c r="H3735" s="4364" t="s">
        <v>1574</v>
      </c>
      <c r="I3735" s="1835" t="s">
        <v>1559</v>
      </c>
      <c r="J3735" s="1836" t="s">
        <v>1560</v>
      </c>
      <c r="K3735" s="1836" t="s">
        <v>1569</v>
      </c>
      <c r="L3735" s="4365" t="s">
        <v>3765</v>
      </c>
      <c r="M3735" s="4324" t="s">
        <v>1571</v>
      </c>
      <c r="N3735" s="4366" t="s">
        <v>1776</v>
      </c>
      <c r="O3735" s="3343" t="s">
        <v>1563</v>
      </c>
      <c r="P3735" s="3349" t="s">
        <v>1562</v>
      </c>
      <c r="Q3735" s="3389"/>
      <c r="R3735" s="1699" t="s">
        <v>1327</v>
      </c>
      <c r="S3735" s="16"/>
      <c r="T3735" s="16"/>
      <c r="U3735" s="16"/>
      <c r="V3735" s="16"/>
    </row>
    <row r="3736" spans="1:22">
      <c r="A3736" s="1660" t="s">
        <v>1927</v>
      </c>
      <c r="B3736" s="4369"/>
      <c r="C3736" s="3351"/>
      <c r="D3736" s="4328"/>
      <c r="E3736" s="4330"/>
      <c r="F3736" s="4336"/>
      <c r="G3736" s="4332"/>
      <c r="H3736" s="4332"/>
      <c r="I3736" s="1345">
        <v>1</v>
      </c>
      <c r="J3736" s="1307">
        <v>1</v>
      </c>
      <c r="K3736" s="1307">
        <f>I3736*J3736</f>
        <v>1</v>
      </c>
      <c r="L3736" s="4334"/>
      <c r="M3736" s="4335"/>
      <c r="N3736" s="4324"/>
      <c r="O3736" s="1298">
        <f>SUM(O3738:O3748)</f>
        <v>30.126660000000001</v>
      </c>
      <c r="P3736" s="1337">
        <f>O3736*K3736</f>
        <v>30.126660000000001</v>
      </c>
      <c r="Q3736" s="3390"/>
      <c r="R3736" s="1721">
        <f>P3746+P3742</f>
        <v>30.126660000000001</v>
      </c>
      <c r="S3736" s="16"/>
      <c r="T3736" s="16"/>
      <c r="U3736" s="16"/>
      <c r="V3736" s="16"/>
    </row>
    <row r="3737" spans="1:22">
      <c r="B3737" s="1327"/>
      <c r="C3737" s="1327"/>
      <c r="D3737" s="1400"/>
      <c r="E3737" s="2121"/>
      <c r="F3737" s="1368" t="s">
        <v>1</v>
      </c>
      <c r="G3737" s="1390"/>
      <c r="H3737" s="1390"/>
      <c r="I3737" s="1554"/>
      <c r="J3737" s="1367"/>
      <c r="K3737" s="1367"/>
      <c r="L3737" s="1554"/>
      <c r="M3737" s="1369"/>
      <c r="N3737" s="1369"/>
      <c r="O3737" s="1369"/>
      <c r="P3737" s="1367"/>
      <c r="Q3737" s="3387"/>
      <c r="R3737" s="3363"/>
      <c r="S3737" s="16"/>
      <c r="T3737" s="16"/>
      <c r="U3737" s="16"/>
      <c r="V3737" s="16"/>
    </row>
    <row r="3738" spans="1:22">
      <c r="B3738" s="1042"/>
      <c r="C3738" s="1042"/>
      <c r="D3738" s="1400"/>
      <c r="E3738" s="1856"/>
      <c r="F3738" s="1421"/>
      <c r="G3738" s="1399"/>
      <c r="H3738" s="1399"/>
      <c r="I3738" s="1760"/>
      <c r="J3738" s="198"/>
      <c r="K3738" s="1307"/>
      <c r="L3738" s="1335"/>
      <c r="M3738" s="1499"/>
      <c r="N3738" s="1701"/>
      <c r="O3738" s="1290"/>
      <c r="P3738" s="1332"/>
      <c r="Q3738" s="3391"/>
      <c r="R3738" s="3363"/>
      <c r="S3738" s="16"/>
      <c r="T3738" s="16"/>
      <c r="U3738" s="16"/>
      <c r="V3738" s="16"/>
    </row>
    <row r="3739" spans="1:22">
      <c r="B3739" s="1042"/>
      <c r="C3739" s="1042"/>
      <c r="D3739" s="1400"/>
      <c r="E3739" s="1856"/>
      <c r="F3739" s="1421"/>
      <c r="G3739" s="1399"/>
      <c r="H3739" s="1399"/>
      <c r="I3739" s="1760"/>
      <c r="J3739" s="198"/>
      <c r="K3739" s="1307"/>
      <c r="L3739" s="1335"/>
      <c r="M3739" s="1499"/>
      <c r="N3739" s="1701"/>
      <c r="O3739" s="1290"/>
      <c r="P3739" s="1332"/>
      <c r="Q3739" s="3391"/>
      <c r="R3739" s="2337"/>
      <c r="S3739" s="16"/>
      <c r="T3739" s="16"/>
      <c r="U3739" s="16"/>
      <c r="V3739" s="16"/>
    </row>
    <row r="3740" spans="1:22">
      <c r="B3740" s="1042"/>
      <c r="C3740" s="1042"/>
      <c r="D3740" s="1400"/>
      <c r="E3740" s="1856"/>
      <c r="F3740" s="1421"/>
      <c r="G3740" s="1399"/>
      <c r="H3740" s="1399"/>
      <c r="I3740" s="197"/>
      <c r="J3740" s="198"/>
      <c r="K3740" s="1307"/>
      <c r="L3740" s="1335"/>
      <c r="M3740" s="1499"/>
      <c r="N3740" s="1701"/>
      <c r="O3740" s="1290"/>
      <c r="P3740" s="1332"/>
      <c r="Q3740" s="3391"/>
      <c r="R3740" s="3363"/>
      <c r="S3740" s="16"/>
      <c r="T3740" s="16"/>
      <c r="U3740" s="16"/>
      <c r="V3740" s="16"/>
    </row>
    <row r="3741" spans="1:22">
      <c r="B3741" s="1042"/>
      <c r="C3741" s="1042"/>
      <c r="D3741" s="1410"/>
      <c r="E3741" s="1858"/>
      <c r="F3741" s="1360" t="s">
        <v>2</v>
      </c>
      <c r="G3741" s="1362"/>
      <c r="H3741" s="1362"/>
      <c r="I3741" s="1380"/>
      <c r="J3741" s="1381"/>
      <c r="K3741" s="1359"/>
      <c r="L3741" s="1458"/>
      <c r="M3741" s="1502"/>
      <c r="N3741" s="1502"/>
      <c r="O3741" s="1362"/>
      <c r="P3741" s="1359"/>
      <c r="Q3741" s="3387"/>
      <c r="R3741" s="3363"/>
      <c r="S3741" s="16"/>
      <c r="T3741" s="16"/>
      <c r="U3741" s="16"/>
      <c r="V3741" s="16"/>
    </row>
    <row r="3742" spans="1:22">
      <c r="B3742" s="1042"/>
      <c r="C3742" s="1042"/>
      <c r="D3742" s="1623" t="s">
        <v>1802</v>
      </c>
      <c r="E3742" s="2158" t="s">
        <v>1803</v>
      </c>
      <c r="F3742" s="1801" t="s">
        <v>1804</v>
      </c>
      <c r="G3742" s="1822">
        <v>1.0469999999999999</v>
      </c>
      <c r="H3742" s="1822"/>
      <c r="I3742" s="198"/>
      <c r="J3742" s="6"/>
      <c r="K3742" s="1307">
        <f>G3742*K3736</f>
        <v>1.0469999999999999</v>
      </c>
      <c r="L3742" s="1335">
        <f>$K$3734*K3742</f>
        <v>0</v>
      </c>
      <c r="M3742" s="1499">
        <v>18.28</v>
      </c>
      <c r="N3742" s="1701"/>
      <c r="O3742" s="1290">
        <f>(G3742*M3742)</f>
        <v>19.13916</v>
      </c>
      <c r="P3742" s="1332">
        <f>M3742*K3742</f>
        <v>19.13916</v>
      </c>
      <c r="Q3742" s="3391"/>
      <c r="R3742" s="3363"/>
      <c r="S3742" s="16"/>
      <c r="T3742" s="16"/>
      <c r="U3742" s="16"/>
      <c r="V3742" s="16"/>
    </row>
    <row r="3743" spans="1:22">
      <c r="B3743" s="1042"/>
      <c r="C3743" s="1042"/>
      <c r="D3743" s="1623"/>
      <c r="E3743" s="2158"/>
      <c r="F3743" s="1801"/>
      <c r="G3743" s="1822"/>
      <c r="H3743" s="1822"/>
      <c r="I3743" s="198"/>
      <c r="J3743" s="6"/>
      <c r="K3743" s="1307"/>
      <c r="L3743" s="1335"/>
      <c r="M3743" s="1499"/>
      <c r="N3743" s="1701"/>
      <c r="O3743" s="1290"/>
      <c r="P3743" s="1332"/>
      <c r="Q3743" s="3391"/>
      <c r="R3743" s="3363"/>
      <c r="S3743" s="105"/>
      <c r="T3743" s="105"/>
      <c r="U3743" s="16"/>
      <c r="V3743" s="16"/>
    </row>
    <row r="3744" spans="1:22">
      <c r="B3744" s="1042"/>
      <c r="C3744" s="1042"/>
      <c r="D3744" s="1623"/>
      <c r="E3744" s="2158"/>
      <c r="F3744" s="1801"/>
      <c r="G3744" s="1822"/>
      <c r="H3744" s="1822"/>
      <c r="I3744" s="198"/>
      <c r="J3744" s="6"/>
      <c r="K3744" s="1307"/>
      <c r="L3744" s="1335"/>
      <c r="M3744" s="1499"/>
      <c r="N3744" s="1701"/>
      <c r="O3744" s="1290"/>
      <c r="P3744" s="1332"/>
      <c r="Q3744" s="3391"/>
      <c r="R3744" s="3363"/>
      <c r="S3744" s="16"/>
      <c r="T3744" s="16"/>
      <c r="U3744" s="16"/>
      <c r="V3744" s="16"/>
    </row>
    <row r="3745" spans="1:22">
      <c r="B3745" s="1042"/>
      <c r="C3745" s="1042"/>
      <c r="D3745" s="1411"/>
      <c r="E3745" s="2123"/>
      <c r="F3745" s="1802" t="s">
        <v>3</v>
      </c>
      <c r="G3745" s="1376"/>
      <c r="H3745" s="1376"/>
      <c r="I3745" s="1382"/>
      <c r="J3745" s="1383"/>
      <c r="K3745" s="1373"/>
      <c r="L3745" s="1413"/>
      <c r="M3745" s="1505"/>
      <c r="N3745" s="1505"/>
      <c r="O3745" s="1376"/>
      <c r="P3745" s="1413"/>
      <c r="Q3745" s="3387"/>
      <c r="R3745" s="3363"/>
      <c r="S3745" s="16"/>
      <c r="T3745" s="16"/>
      <c r="U3745" s="16"/>
      <c r="V3745" s="16"/>
    </row>
    <row r="3746" spans="1:22" s="485" customFormat="1">
      <c r="B3746" s="1660"/>
      <c r="C3746" s="2390"/>
      <c r="D3746" s="2391" t="s">
        <v>1686</v>
      </c>
      <c r="E3746" s="2392" t="s">
        <v>1803</v>
      </c>
      <c r="F3746" s="1837" t="s">
        <v>1688</v>
      </c>
      <c r="G3746" s="2393">
        <v>1.4650000000000001</v>
      </c>
      <c r="H3746" s="2393"/>
      <c r="I3746" s="2394"/>
      <c r="J3746" s="2395"/>
      <c r="K3746" s="1307">
        <f>G3746*K3736</f>
        <v>1.4650000000000001</v>
      </c>
      <c r="L3746" s="1335">
        <f>K3746*$K$3734</f>
        <v>0</v>
      </c>
      <c r="M3746" s="2396">
        <v>7.5</v>
      </c>
      <c r="N3746" s="1724"/>
      <c r="O3746" s="1719">
        <f>(G3746*M3746)</f>
        <v>10.987500000000001</v>
      </c>
      <c r="P3746" s="1720">
        <f>M3746*K3746</f>
        <v>10.987500000000001</v>
      </c>
      <c r="Q3746" s="3396"/>
      <c r="R3746" s="2397"/>
      <c r="S3746" s="484"/>
      <c r="T3746" s="484"/>
      <c r="U3746" s="484"/>
      <c r="V3746" s="484"/>
    </row>
    <row r="3747" spans="1:22">
      <c r="B3747" s="1042"/>
      <c r="C3747" s="1042"/>
      <c r="D3747" s="1411"/>
      <c r="E3747" s="2123"/>
      <c r="F3747" s="1475"/>
      <c r="G3747" s="1376"/>
      <c r="H3747" s="1376"/>
      <c r="I3747" s="198"/>
      <c r="J3747" s="6"/>
      <c r="K3747" s="1307"/>
      <c r="L3747" s="1335"/>
      <c r="M3747" s="1499"/>
      <c r="N3747" s="1701"/>
      <c r="O3747" s="1290"/>
      <c r="P3747" s="1332"/>
      <c r="Q3747" s="3391"/>
      <c r="R3747" s="3363"/>
      <c r="S3747" s="16"/>
      <c r="T3747" s="16"/>
      <c r="U3747" s="16"/>
      <c r="V3747" s="16"/>
    </row>
    <row r="3748" spans="1:22">
      <c r="B3748" s="223"/>
      <c r="C3748" s="223"/>
      <c r="D3748" s="1808"/>
      <c r="E3748" s="2132"/>
      <c r="F3748" s="1804"/>
      <c r="G3748" s="1805"/>
      <c r="H3748" s="1805"/>
      <c r="I3748" s="197"/>
      <c r="J3748" s="1806"/>
      <c r="K3748" s="1307"/>
      <c r="L3748" s="1335"/>
      <c r="M3748" s="1701"/>
      <c r="N3748" s="1701"/>
      <c r="O3748" s="1290"/>
      <c r="P3748" s="1333"/>
      <c r="Q3748" s="3391"/>
      <c r="R3748" s="2337"/>
      <c r="S3748" s="16"/>
      <c r="T3748" s="16"/>
      <c r="U3748" s="16"/>
      <c r="V3748" s="16"/>
    </row>
    <row r="3749" spans="1:22">
      <c r="A3749" s="19" t="s">
        <v>3764</v>
      </c>
      <c r="B3749" s="4325" t="s">
        <v>1735</v>
      </c>
      <c r="C3749" s="3350"/>
      <c r="D3749" s="4327"/>
      <c r="E3749" s="4329" t="s">
        <v>1507</v>
      </c>
      <c r="F3749" s="4336" t="s">
        <v>1771</v>
      </c>
      <c r="G3749" s="4331" t="s">
        <v>1568</v>
      </c>
      <c r="H3749" s="4331" t="s">
        <v>1574</v>
      </c>
      <c r="I3749" s="1572" t="s">
        <v>1559</v>
      </c>
      <c r="J3749" s="1294" t="s">
        <v>1560</v>
      </c>
      <c r="K3749" s="1294" t="s">
        <v>1569</v>
      </c>
      <c r="L3749" s="4333" t="s">
        <v>3765</v>
      </c>
      <c r="M3749" s="4335" t="s">
        <v>1571</v>
      </c>
      <c r="N3749" s="4323" t="s">
        <v>1776</v>
      </c>
      <c r="O3749" s="3347" t="s">
        <v>1563</v>
      </c>
      <c r="P3749" s="1336" t="s">
        <v>1562</v>
      </c>
      <c r="Q3749" s="3389"/>
      <c r="R3749" s="1699" t="s">
        <v>1327</v>
      </c>
      <c r="S3749" s="16"/>
      <c r="T3749" s="16"/>
      <c r="U3749" s="16"/>
      <c r="V3749" s="16"/>
    </row>
    <row r="3750" spans="1:22">
      <c r="A3750" s="1660" t="s">
        <v>1927</v>
      </c>
      <c r="B3750" s="4326"/>
      <c r="C3750" s="3351"/>
      <c r="D3750" s="4328"/>
      <c r="E3750" s="4330"/>
      <c r="F3750" s="4336"/>
      <c r="G3750" s="4332"/>
      <c r="H3750" s="4332"/>
      <c r="I3750" s="1345">
        <v>1</v>
      </c>
      <c r="J3750" s="1307">
        <v>1</v>
      </c>
      <c r="K3750" s="1307">
        <f>I3750*J3750</f>
        <v>1</v>
      </c>
      <c r="L3750" s="4334"/>
      <c r="M3750" s="4335"/>
      <c r="N3750" s="4324"/>
      <c r="O3750" s="1298">
        <f>SUM(O3752:O3762)</f>
        <v>8.6829999999999998</v>
      </c>
      <c r="P3750" s="1337">
        <f>O3750*K3750</f>
        <v>8.6829999999999998</v>
      </c>
      <c r="Q3750" s="3390"/>
      <c r="R3750" s="1721">
        <f>SUM(P3752:P3762)</f>
        <v>8.6829999999999998</v>
      </c>
      <c r="S3750" s="16"/>
      <c r="T3750" s="16"/>
      <c r="U3750" s="16"/>
      <c r="V3750" s="16"/>
    </row>
    <row r="3751" spans="1:22">
      <c r="B3751" s="551"/>
      <c r="C3751" s="18"/>
      <c r="D3751" s="1400"/>
      <c r="E3751" s="2121"/>
      <c r="F3751" s="1368" t="s">
        <v>1</v>
      </c>
      <c r="G3751" s="1417"/>
      <c r="H3751" s="1390"/>
      <c r="I3751" s="1554"/>
      <c r="J3751" s="1367"/>
      <c r="K3751" s="1367"/>
      <c r="L3751" s="1554"/>
      <c r="M3751" s="1369"/>
      <c r="N3751" s="1369"/>
      <c r="O3751" s="1369"/>
      <c r="P3751" s="1367"/>
      <c r="Q3751" s="3387"/>
      <c r="R3751" s="3363"/>
      <c r="S3751" s="16"/>
      <c r="T3751" s="16"/>
      <c r="U3751" s="16"/>
      <c r="V3751" s="16"/>
    </row>
    <row r="3752" spans="1:22">
      <c r="B3752" s="553"/>
      <c r="C3752" s="1042"/>
      <c r="D3752" s="1400"/>
      <c r="E3752" s="1856"/>
      <c r="F3752" s="1421"/>
      <c r="G3752" s="1399"/>
      <c r="H3752" s="1399"/>
      <c r="I3752" s="1760"/>
      <c r="J3752" s="198"/>
      <c r="K3752" s="1307"/>
      <c r="L3752" s="1335"/>
      <c r="M3752" s="1499"/>
      <c r="N3752" s="1701"/>
      <c r="O3752" s="1290"/>
      <c r="P3752" s="1332"/>
      <c r="Q3752" s="3391"/>
      <c r="R3752" s="3363"/>
      <c r="S3752" s="16"/>
      <c r="T3752" s="16"/>
      <c r="U3752" s="16"/>
      <c r="V3752" s="16"/>
    </row>
    <row r="3753" spans="1:22">
      <c r="B3753" s="553"/>
      <c r="C3753" s="1042"/>
      <c r="D3753" s="1400"/>
      <c r="E3753" s="1856"/>
      <c r="F3753" s="1421"/>
      <c r="G3753" s="1399"/>
      <c r="H3753" s="1399"/>
      <c r="I3753" s="1760"/>
      <c r="J3753" s="198"/>
      <c r="K3753" s="1307"/>
      <c r="L3753" s="1335"/>
      <c r="M3753" s="1499"/>
      <c r="N3753" s="1701"/>
      <c r="O3753" s="1290"/>
      <c r="P3753" s="1332"/>
      <c r="Q3753" s="3391"/>
      <c r="R3753" s="3363"/>
      <c r="S3753" s="16"/>
      <c r="T3753" s="16"/>
      <c r="U3753" s="16"/>
      <c r="V3753" s="16"/>
    </row>
    <row r="3754" spans="1:22">
      <c r="B3754" s="553"/>
      <c r="C3754" s="1042"/>
      <c r="D3754" s="1400"/>
      <c r="E3754" s="1856"/>
      <c r="F3754" s="1421"/>
      <c r="G3754" s="1452"/>
      <c r="H3754" s="1399"/>
      <c r="I3754" s="197"/>
      <c r="J3754" s="198"/>
      <c r="K3754" s="1307"/>
      <c r="L3754" s="1335"/>
      <c r="M3754" s="1499"/>
      <c r="N3754" s="1701"/>
      <c r="O3754" s="1290"/>
      <c r="P3754" s="1332"/>
      <c r="Q3754" s="3391"/>
      <c r="R3754" s="3363"/>
      <c r="S3754" s="16"/>
      <c r="T3754" s="16"/>
      <c r="U3754" s="16"/>
      <c r="V3754" s="16"/>
    </row>
    <row r="3755" spans="1:22">
      <c r="B3755" s="553"/>
      <c r="C3755" s="1042"/>
      <c r="D3755" s="1410"/>
      <c r="E3755" s="1858"/>
      <c r="F3755" s="1360" t="s">
        <v>2</v>
      </c>
      <c r="G3755" s="1360"/>
      <c r="H3755" s="1362"/>
      <c r="I3755" s="1380"/>
      <c r="J3755" s="1381"/>
      <c r="K3755" s="1359"/>
      <c r="L3755" s="1458"/>
      <c r="M3755" s="1502"/>
      <c r="N3755" s="1502"/>
      <c r="O3755" s="1362"/>
      <c r="P3755" s="1359"/>
      <c r="Q3755" s="3387"/>
      <c r="R3755" s="3363"/>
      <c r="S3755" s="16"/>
      <c r="T3755" s="16"/>
      <c r="U3755" s="16"/>
      <c r="V3755" s="16"/>
    </row>
    <row r="3756" spans="1:22">
      <c r="B3756" s="553"/>
      <c r="C3756" s="1042"/>
      <c r="D3756" s="1364" t="s">
        <v>1067</v>
      </c>
      <c r="E3756" s="2148" t="s">
        <v>1508</v>
      </c>
      <c r="F3756" s="1473" t="s">
        <v>1512</v>
      </c>
      <c r="G3756" s="1365">
        <v>0.47499999999999998</v>
      </c>
      <c r="H3756" s="1365"/>
      <c r="I3756" s="198"/>
      <c r="J3756" s="6"/>
      <c r="K3756" s="1307">
        <f>G3756*K3750</f>
        <v>0.47499999999999998</v>
      </c>
      <c r="L3756" s="1335">
        <f>K3756*$K$3734</f>
        <v>0</v>
      </c>
      <c r="M3756" s="1499">
        <v>18.28</v>
      </c>
      <c r="N3756" s="1701"/>
      <c r="O3756" s="1290">
        <f>(G3756*M3756)</f>
        <v>8.6829999999999998</v>
      </c>
      <c r="P3756" s="1332">
        <f>M3756*K3756</f>
        <v>8.6829999999999998</v>
      </c>
      <c r="Q3756" s="3391"/>
      <c r="R3756" s="3363"/>
      <c r="S3756" s="16"/>
      <c r="T3756" s="16"/>
      <c r="U3756" s="16"/>
      <c r="V3756" s="16"/>
    </row>
    <row r="3757" spans="1:22">
      <c r="B3757" s="553"/>
      <c r="C3757" s="1042"/>
      <c r="D3757" s="1623"/>
      <c r="E3757" s="2158"/>
      <c r="F3757" s="1801"/>
      <c r="G3757" s="1359"/>
      <c r="H3757" s="1803"/>
      <c r="I3757" s="198"/>
      <c r="J3757" s="6"/>
      <c r="K3757" s="1307"/>
      <c r="L3757" s="1335"/>
      <c r="M3757" s="1499"/>
      <c r="N3757" s="1701"/>
      <c r="O3757" s="1290"/>
      <c r="P3757" s="1332"/>
      <c r="Q3757" s="3391"/>
      <c r="R3757" s="3363"/>
      <c r="S3757" s="16"/>
      <c r="T3757" s="16"/>
      <c r="U3757" s="16"/>
      <c r="V3757" s="16"/>
    </row>
    <row r="3758" spans="1:22">
      <c r="B3758" s="553"/>
      <c r="C3758" s="1042"/>
      <c r="D3758" s="1623"/>
      <c r="E3758" s="2158"/>
      <c r="F3758" s="1801"/>
      <c r="G3758" s="1359"/>
      <c r="H3758" s="1803"/>
      <c r="I3758" s="198"/>
      <c r="J3758" s="6"/>
      <c r="K3758" s="1307"/>
      <c r="L3758" s="1335"/>
      <c r="M3758" s="1499"/>
      <c r="N3758" s="1701"/>
      <c r="O3758" s="1290"/>
      <c r="P3758" s="1332"/>
      <c r="Q3758" s="3391"/>
      <c r="R3758" s="3363"/>
      <c r="S3758" s="16"/>
      <c r="T3758" s="16"/>
      <c r="U3758" s="16"/>
      <c r="V3758" s="16"/>
    </row>
    <row r="3759" spans="1:22">
      <c r="B3759" s="553"/>
      <c r="C3759" s="1042"/>
      <c r="D3759" s="1411"/>
      <c r="E3759" s="2123"/>
      <c r="F3759" s="1802" t="s">
        <v>3</v>
      </c>
      <c r="G3759" s="1475"/>
      <c r="H3759" s="1505"/>
      <c r="I3759" s="1382"/>
      <c r="J3759" s="1383"/>
      <c r="K3759" s="1373"/>
      <c r="L3759" s="1413"/>
      <c r="M3759" s="1505"/>
      <c r="N3759" s="1505"/>
      <c r="O3759" s="1376"/>
      <c r="P3759" s="1413"/>
      <c r="Q3759" s="3387"/>
      <c r="R3759" s="3363"/>
      <c r="S3759" s="16"/>
      <c r="T3759" s="16"/>
      <c r="U3759" s="16"/>
      <c r="V3759" s="16"/>
    </row>
    <row r="3760" spans="1:22">
      <c r="B3760" s="553"/>
      <c r="C3760" s="1042"/>
      <c r="D3760" s="1411"/>
      <c r="E3760" s="2123"/>
      <c r="F3760" s="1475"/>
      <c r="G3760" s="1475"/>
      <c r="H3760" s="1376"/>
      <c r="I3760" s="198"/>
      <c r="J3760" s="6"/>
      <c r="K3760" s="1307"/>
      <c r="L3760" s="1335"/>
      <c r="M3760" s="1499"/>
      <c r="N3760" s="1701"/>
      <c r="O3760" s="1290"/>
      <c r="P3760" s="1332"/>
      <c r="Q3760" s="3391"/>
      <c r="R3760" s="3363"/>
      <c r="S3760" s="16"/>
      <c r="T3760" s="16"/>
      <c r="U3760" s="16"/>
      <c r="V3760" s="16"/>
    </row>
    <row r="3761" spans="1:22">
      <c r="B3761" s="553"/>
      <c r="C3761" s="1042"/>
      <c r="D3761" s="1412"/>
      <c r="E3761" s="2124"/>
      <c r="F3761" s="1377"/>
      <c r="G3761" s="1377"/>
      <c r="H3761" s="1597"/>
      <c r="I3761" s="198"/>
      <c r="J3761" s="6"/>
      <c r="K3761" s="1306"/>
      <c r="L3761" s="1646"/>
      <c r="M3761" s="1302"/>
      <c r="N3761" s="1302"/>
      <c r="O3761" s="1291"/>
      <c r="P3761" s="1332"/>
      <c r="Q3761" s="3391"/>
      <c r="R3761" s="2337"/>
      <c r="S3761" s="17"/>
      <c r="T3761" s="17"/>
      <c r="U3761" s="16"/>
      <c r="V3761" s="16"/>
    </row>
    <row r="3762" spans="1:22">
      <c r="B3762" s="554"/>
      <c r="C3762" s="223"/>
      <c r="D3762" s="1808"/>
      <c r="E3762" s="2132"/>
      <c r="F3762" s="1804"/>
      <c r="G3762" s="1804"/>
      <c r="H3762" s="1805"/>
      <c r="I3762" s="197"/>
      <c r="J3762" s="1806"/>
      <c r="K3762" s="1307"/>
      <c r="L3762" s="1335"/>
      <c r="M3762" s="1701"/>
      <c r="N3762" s="1701"/>
      <c r="O3762" s="1290"/>
      <c r="P3762" s="1333"/>
      <c r="Q3762" s="3391"/>
      <c r="R3762" s="3363"/>
      <c r="S3762" s="105"/>
      <c r="T3762" s="105"/>
      <c r="U3762" s="16"/>
      <c r="V3762" s="16"/>
    </row>
    <row r="3763" spans="1:22">
      <c r="A3763" s="19" t="s">
        <v>3764</v>
      </c>
      <c r="B3763" s="4325" t="s">
        <v>1928</v>
      </c>
      <c r="C3763" s="3350"/>
      <c r="D3763" s="4327"/>
      <c r="E3763" s="4329" t="s">
        <v>1507</v>
      </c>
      <c r="F3763" s="4336" t="s">
        <v>1953</v>
      </c>
      <c r="G3763" s="4331" t="s">
        <v>1568</v>
      </c>
      <c r="H3763" s="4331" t="s">
        <v>1574</v>
      </c>
      <c r="I3763" s="1572" t="s">
        <v>1559</v>
      </c>
      <c r="J3763" s="1294" t="s">
        <v>1560</v>
      </c>
      <c r="K3763" s="1294" t="s">
        <v>1569</v>
      </c>
      <c r="L3763" s="4333" t="s">
        <v>3765</v>
      </c>
      <c r="M3763" s="4335" t="s">
        <v>1571</v>
      </c>
      <c r="N3763" s="4323" t="s">
        <v>1776</v>
      </c>
      <c r="O3763" s="3347" t="s">
        <v>1563</v>
      </c>
      <c r="P3763" s="1336" t="s">
        <v>1562</v>
      </c>
      <c r="Q3763" s="3389"/>
      <c r="R3763" s="1699" t="s">
        <v>1327</v>
      </c>
      <c r="S3763" s="16"/>
      <c r="T3763" s="16"/>
      <c r="U3763" s="16"/>
      <c r="V3763" s="16"/>
    </row>
    <row r="3764" spans="1:22">
      <c r="A3764" s="1660" t="s">
        <v>1927</v>
      </c>
      <c r="B3764" s="4326"/>
      <c r="C3764" s="3351"/>
      <c r="D3764" s="4328"/>
      <c r="E3764" s="4330"/>
      <c r="F3764" s="4336"/>
      <c r="G3764" s="4332"/>
      <c r="H3764" s="4332"/>
      <c r="I3764" s="1345">
        <v>1</v>
      </c>
      <c r="J3764" s="1307">
        <v>1</v>
      </c>
      <c r="K3764" s="1307">
        <f>I3764*J3764</f>
        <v>1</v>
      </c>
      <c r="L3764" s="4334"/>
      <c r="M3764" s="4335"/>
      <c r="N3764" s="4324"/>
      <c r="O3764" s="1298">
        <f>SUM(O3766:O3780)</f>
        <v>138.82400000000001</v>
      </c>
      <c r="P3764" s="1337">
        <f>O3764*K3764</f>
        <v>138.82400000000001</v>
      </c>
      <c r="Q3764" s="3390"/>
      <c r="R3764" s="1721">
        <f>SUM(P3766:P3780)</f>
        <v>138.82400000000001</v>
      </c>
      <c r="S3764" s="16"/>
      <c r="T3764" s="16"/>
      <c r="U3764" s="16"/>
      <c r="V3764" s="16"/>
    </row>
    <row r="3765" spans="1:22">
      <c r="A3765" s="22"/>
      <c r="B3765" s="551"/>
      <c r="C3765" s="18"/>
      <c r="D3765" s="1400"/>
      <c r="E3765" s="2121"/>
      <c r="F3765" s="1368" t="s">
        <v>1</v>
      </c>
      <c r="G3765" s="1417"/>
      <c r="H3765" s="1390"/>
      <c r="I3765" s="1554"/>
      <c r="J3765" s="1367"/>
      <c r="K3765" s="1367"/>
      <c r="L3765" s="1554"/>
      <c r="M3765" s="1369"/>
      <c r="N3765" s="1369"/>
      <c r="O3765" s="1369"/>
      <c r="P3765" s="1367"/>
      <c r="Q3765" s="3387"/>
      <c r="R3765" s="3363"/>
      <c r="S3765" s="16"/>
      <c r="T3765" s="16"/>
      <c r="U3765" s="16"/>
      <c r="V3765" s="16"/>
    </row>
    <row r="3766" spans="1:22">
      <c r="A3766" s="22"/>
      <c r="B3766" s="553"/>
      <c r="C3766" s="1042"/>
      <c r="D3766" s="1668" t="s">
        <v>1082</v>
      </c>
      <c r="E3766" s="2166" t="s">
        <v>1504</v>
      </c>
      <c r="F3766" s="1668" t="s">
        <v>1541</v>
      </c>
      <c r="G3766" s="1958">
        <v>3.6</v>
      </c>
      <c r="H3766" s="1762"/>
      <c r="I3766" s="27"/>
      <c r="J3766" s="10"/>
      <c r="K3766" s="1307">
        <f>G3766*$K$3764</f>
        <v>3.6</v>
      </c>
      <c r="L3766" s="1335">
        <f>K3766*$K$3734</f>
        <v>0</v>
      </c>
      <c r="M3766" s="1499">
        <v>0.3</v>
      </c>
      <c r="N3766" s="1701"/>
      <c r="O3766" s="1290">
        <f>(G3766*M3766)</f>
        <v>1.08</v>
      </c>
      <c r="P3766" s="1332">
        <f>M3766*K3766</f>
        <v>1.08</v>
      </c>
      <c r="Q3766" s="3391"/>
      <c r="R3766" s="3363"/>
      <c r="S3766" s="16"/>
      <c r="T3766" s="16"/>
      <c r="U3766" s="16"/>
      <c r="V3766" s="16"/>
    </row>
    <row r="3767" spans="1:22">
      <c r="A3767" s="22"/>
      <c r="B3767" s="553"/>
      <c r="C3767" s="1042"/>
      <c r="D3767" s="1668" t="s">
        <v>1929</v>
      </c>
      <c r="E3767" s="2166" t="s">
        <v>1504</v>
      </c>
      <c r="F3767" s="1668" t="s">
        <v>1930</v>
      </c>
      <c r="G3767" s="1958">
        <v>4</v>
      </c>
      <c r="H3767" s="1399"/>
      <c r="I3767" s="1760"/>
      <c r="J3767" s="198"/>
      <c r="K3767" s="1307">
        <f t="shared" ref="K3767:K3770" si="423">G3767*$K$3764</f>
        <v>4</v>
      </c>
      <c r="L3767" s="1335">
        <f>K3767*$K$3734</f>
        <v>0</v>
      </c>
      <c r="M3767" s="1499">
        <v>1.2</v>
      </c>
      <c r="N3767" s="1701"/>
      <c r="O3767" s="1290">
        <f>(G3767*M3767)</f>
        <v>4.8</v>
      </c>
      <c r="P3767" s="1332">
        <f>M3767*K3767</f>
        <v>4.8</v>
      </c>
      <c r="Q3767" s="3391"/>
      <c r="R3767" s="3363"/>
      <c r="S3767" s="16"/>
      <c r="T3767" s="16"/>
      <c r="U3767" s="16"/>
      <c r="V3767" s="16"/>
    </row>
    <row r="3768" spans="1:22">
      <c r="A3768" s="22"/>
      <c r="B3768" s="553"/>
      <c r="C3768" s="1042"/>
      <c r="D3768" s="1668" t="s">
        <v>1931</v>
      </c>
      <c r="E3768" s="2166" t="s">
        <v>1504</v>
      </c>
      <c r="F3768" s="1668" t="s">
        <v>1932</v>
      </c>
      <c r="G3768" s="1958">
        <v>0.3</v>
      </c>
      <c r="H3768" s="1399"/>
      <c r="I3768" s="1760"/>
      <c r="J3768" s="198"/>
      <c r="K3768" s="1307">
        <f t="shared" si="423"/>
        <v>0.3</v>
      </c>
      <c r="L3768" s="1335">
        <f>K3768*$K$3734</f>
        <v>0</v>
      </c>
      <c r="M3768" s="1499">
        <v>20.03</v>
      </c>
      <c r="N3768" s="1701"/>
      <c r="O3768" s="1290">
        <f>(G3768*M3768)</f>
        <v>6.0090000000000003</v>
      </c>
      <c r="P3768" s="1332">
        <f>M3768*K3768</f>
        <v>6.0090000000000003</v>
      </c>
      <c r="Q3768" s="3391"/>
      <c r="R3768" s="3363"/>
      <c r="S3768" s="16"/>
      <c r="T3768" s="16"/>
      <c r="U3768" s="16"/>
      <c r="V3768" s="16"/>
    </row>
    <row r="3769" spans="1:22">
      <c r="A3769" s="22"/>
      <c r="B3769" s="553"/>
      <c r="C3769" s="1042"/>
      <c r="D3769" s="1668" t="s">
        <v>1933</v>
      </c>
      <c r="E3769" s="2166" t="s">
        <v>1683</v>
      </c>
      <c r="F3769" s="1668" t="s">
        <v>1934</v>
      </c>
      <c r="G3769" s="1958">
        <v>6</v>
      </c>
      <c r="H3769" s="1399"/>
      <c r="I3769" s="1760"/>
      <c r="J3769" s="198"/>
      <c r="K3769" s="1307">
        <f t="shared" si="423"/>
        <v>6</v>
      </c>
      <c r="L3769" s="1335">
        <f>K3769*$K$3734</f>
        <v>0</v>
      </c>
      <c r="M3769" s="1499">
        <v>14.36</v>
      </c>
      <c r="N3769" s="1701"/>
      <c r="O3769" s="1290">
        <f>(G3769*M3769)</f>
        <v>86.16</v>
      </c>
      <c r="P3769" s="1332">
        <f>M3769*K3769</f>
        <v>86.16</v>
      </c>
      <c r="Q3769" s="3391"/>
      <c r="R3769" s="3363"/>
      <c r="S3769" s="16"/>
      <c r="T3769" s="16"/>
      <c r="U3769" s="16"/>
      <c r="V3769" s="16"/>
    </row>
    <row r="3770" spans="1:22">
      <c r="A3770" s="22"/>
      <c r="B3770" s="553"/>
      <c r="C3770" s="1042"/>
      <c r="D3770" s="1668" t="s">
        <v>1935</v>
      </c>
      <c r="E3770" s="2166" t="s">
        <v>1357</v>
      </c>
      <c r="F3770" s="1668" t="s">
        <v>1936</v>
      </c>
      <c r="G3770" s="1958">
        <v>3</v>
      </c>
      <c r="H3770" s="1399"/>
      <c r="I3770" s="1760"/>
      <c r="J3770" s="198"/>
      <c r="K3770" s="1307">
        <f t="shared" si="423"/>
        <v>3</v>
      </c>
      <c r="L3770" s="1335">
        <f t="shared" ref="L3770" si="424">K3770*$K$3734</f>
        <v>0</v>
      </c>
      <c r="M3770" s="1499">
        <v>7.34</v>
      </c>
      <c r="N3770" s="1701"/>
      <c r="O3770" s="1290">
        <f>(G3770*M3770)</f>
        <v>22.02</v>
      </c>
      <c r="P3770" s="1332">
        <f>M3770*K3770</f>
        <v>22.02</v>
      </c>
      <c r="Q3770" s="3391"/>
      <c r="R3770" s="3363"/>
      <c r="S3770" s="16"/>
      <c r="T3770" s="16"/>
      <c r="U3770" s="16"/>
      <c r="V3770" s="16"/>
    </row>
    <row r="3771" spans="1:22">
      <c r="A3771" s="22"/>
      <c r="B3771" s="553"/>
      <c r="C3771" s="1042"/>
      <c r="D3771" s="1400"/>
      <c r="E3771" s="1856"/>
      <c r="F3771" s="1421"/>
      <c r="G3771" s="1452"/>
      <c r="H3771" s="1399"/>
      <c r="I3771" s="197"/>
      <c r="J3771" s="198"/>
      <c r="K3771" s="1307"/>
      <c r="L3771" s="1335"/>
      <c r="M3771" s="1499"/>
      <c r="N3771" s="1701"/>
      <c r="O3771" s="1290"/>
      <c r="P3771" s="1332"/>
      <c r="Q3771" s="3391"/>
      <c r="R3771" s="3363"/>
      <c r="S3771" s="16"/>
      <c r="T3771" s="16"/>
      <c r="U3771" s="16"/>
      <c r="V3771" s="16"/>
    </row>
    <row r="3772" spans="1:22">
      <c r="A3772" s="22"/>
      <c r="B3772" s="553"/>
      <c r="C3772" s="1042"/>
      <c r="D3772" s="1410"/>
      <c r="E3772" s="1858"/>
      <c r="F3772" s="1360" t="s">
        <v>2</v>
      </c>
      <c r="G3772" s="1360"/>
      <c r="H3772" s="1362"/>
      <c r="I3772" s="1380"/>
      <c r="J3772" s="1381"/>
      <c r="K3772" s="1359"/>
      <c r="L3772" s="1458"/>
      <c r="M3772" s="1502"/>
      <c r="N3772" s="1502"/>
      <c r="O3772" s="1362"/>
      <c r="P3772" s="1359"/>
      <c r="Q3772" s="3387"/>
      <c r="R3772" s="3363"/>
      <c r="S3772" s="16"/>
      <c r="T3772" s="16"/>
      <c r="U3772" s="16"/>
      <c r="V3772" s="16"/>
    </row>
    <row r="3773" spans="1:22">
      <c r="A3773" s="22"/>
      <c r="B3773" s="553"/>
      <c r="C3773" s="1042"/>
      <c r="D3773" s="1624" t="s">
        <v>1067</v>
      </c>
      <c r="E3773" s="2158" t="s">
        <v>1508</v>
      </c>
      <c r="F3773" s="1624" t="s">
        <v>1512</v>
      </c>
      <c r="G3773" s="1625">
        <v>0.5</v>
      </c>
      <c r="H3773" s="1365"/>
      <c r="I3773" s="198"/>
      <c r="J3773" s="6"/>
      <c r="K3773" s="1307">
        <f>G3773*K3764</f>
        <v>0.5</v>
      </c>
      <c r="L3773" s="1335">
        <f t="shared" ref="L3773:L3774" si="425">K3773*$K$3734</f>
        <v>0</v>
      </c>
      <c r="M3773" s="1499">
        <v>18.28</v>
      </c>
      <c r="N3773" s="1701"/>
      <c r="O3773" s="1290">
        <f>(G3773*M3773)</f>
        <v>9.14</v>
      </c>
      <c r="P3773" s="1332">
        <f>M3773*K3773</f>
        <v>9.14</v>
      </c>
      <c r="Q3773" s="3391"/>
      <c r="R3773" s="3363"/>
      <c r="S3773" s="16"/>
      <c r="T3773" s="16"/>
      <c r="U3773" s="16"/>
      <c r="V3773" s="16"/>
    </row>
    <row r="3774" spans="1:22">
      <c r="A3774" s="22"/>
      <c r="B3774" s="553"/>
      <c r="C3774" s="1042"/>
      <c r="D3774" s="1624" t="s">
        <v>1133</v>
      </c>
      <c r="E3774" s="2158" t="s">
        <v>1508</v>
      </c>
      <c r="F3774" s="1624" t="s">
        <v>1955</v>
      </c>
      <c r="G3774" s="1625">
        <v>0.5</v>
      </c>
      <c r="H3774" s="1803"/>
      <c r="I3774" s="198"/>
      <c r="J3774" s="6"/>
      <c r="K3774" s="1307">
        <f>G3774*K3764</f>
        <v>0.5</v>
      </c>
      <c r="L3774" s="1335">
        <f t="shared" si="425"/>
        <v>0</v>
      </c>
      <c r="M3774" s="1499">
        <v>19.23</v>
      </c>
      <c r="N3774" s="1701"/>
      <c r="O3774" s="1290">
        <f>(G3774*M3774)</f>
        <v>9.6150000000000002</v>
      </c>
      <c r="P3774" s="1332">
        <f>M3774*K3774</f>
        <v>9.6150000000000002</v>
      </c>
      <c r="Q3774" s="3391"/>
      <c r="R3774" s="3363"/>
      <c r="S3774" s="16"/>
      <c r="T3774" s="16"/>
      <c r="U3774" s="16"/>
      <c r="V3774" s="16"/>
    </row>
    <row r="3775" spans="1:22">
      <c r="A3775" s="22"/>
      <c r="B3775" s="553"/>
      <c r="C3775" s="1042"/>
      <c r="D3775" s="1623"/>
      <c r="E3775" s="2158"/>
      <c r="F3775" s="1801"/>
      <c r="G3775" s="1359"/>
      <c r="H3775" s="1803"/>
      <c r="I3775" s="198"/>
      <c r="J3775" s="6"/>
      <c r="K3775" s="1307"/>
      <c r="L3775" s="1335"/>
      <c r="M3775" s="1499"/>
      <c r="N3775" s="1701"/>
      <c r="O3775" s="1290"/>
      <c r="P3775" s="1332"/>
      <c r="Q3775" s="3391"/>
      <c r="R3775" s="3363"/>
      <c r="S3775" s="16"/>
      <c r="T3775" s="16"/>
      <c r="U3775" s="16"/>
      <c r="V3775" s="16"/>
    </row>
    <row r="3776" spans="1:22">
      <c r="A3776" s="22"/>
      <c r="B3776" s="553"/>
      <c r="C3776" s="1042"/>
      <c r="D3776" s="1623"/>
      <c r="E3776" s="2158"/>
      <c r="F3776" s="1801"/>
      <c r="G3776" s="1359"/>
      <c r="H3776" s="1803"/>
      <c r="I3776" s="198"/>
      <c r="J3776" s="6"/>
      <c r="K3776" s="1307"/>
      <c r="L3776" s="1335"/>
      <c r="M3776" s="1499"/>
      <c r="N3776" s="1701"/>
      <c r="O3776" s="1290"/>
      <c r="P3776" s="1332"/>
      <c r="Q3776" s="3391"/>
      <c r="R3776" s="3363"/>
      <c r="S3776" s="16"/>
      <c r="T3776" s="16"/>
      <c r="U3776" s="16"/>
      <c r="V3776" s="16"/>
    </row>
    <row r="3777" spans="1:22">
      <c r="A3777" s="22"/>
      <c r="B3777" s="553"/>
      <c r="C3777" s="1042"/>
      <c r="D3777" s="1411"/>
      <c r="E3777" s="2123"/>
      <c r="F3777" s="1802" t="s">
        <v>3</v>
      </c>
      <c r="G3777" s="1475"/>
      <c r="H3777" s="1505"/>
      <c r="I3777" s="1382"/>
      <c r="J3777" s="1383"/>
      <c r="K3777" s="1373"/>
      <c r="L3777" s="1413"/>
      <c r="M3777" s="1505"/>
      <c r="N3777" s="1505"/>
      <c r="O3777" s="1376"/>
      <c r="P3777" s="1413"/>
      <c r="Q3777" s="3387"/>
      <c r="R3777" s="3363"/>
      <c r="S3777" s="16"/>
      <c r="T3777" s="16"/>
      <c r="U3777" s="16"/>
      <c r="V3777" s="16"/>
    </row>
    <row r="3778" spans="1:22">
      <c r="A3778" s="22"/>
      <c r="B3778" s="553"/>
      <c r="C3778" s="1042"/>
      <c r="D3778" s="1411"/>
      <c r="E3778" s="2123"/>
      <c r="F3778" s="1475"/>
      <c r="G3778" s="1475"/>
      <c r="H3778" s="1376"/>
      <c r="I3778" s="198"/>
      <c r="J3778" s="6"/>
      <c r="K3778" s="1307"/>
      <c r="L3778" s="1335"/>
      <c r="M3778" s="1499"/>
      <c r="N3778" s="1701"/>
      <c r="O3778" s="1290"/>
      <c r="P3778" s="1332"/>
      <c r="Q3778" s="3391"/>
      <c r="R3778" s="3363"/>
      <c r="S3778" s="16"/>
      <c r="T3778" s="16"/>
      <c r="U3778" s="16"/>
      <c r="V3778" s="16"/>
    </row>
    <row r="3779" spans="1:22">
      <c r="A3779" s="22"/>
      <c r="B3779" s="553"/>
      <c r="C3779" s="1042"/>
      <c r="D3779" s="1412"/>
      <c r="E3779" s="2124"/>
      <c r="F3779" s="1377"/>
      <c r="G3779" s="1377"/>
      <c r="H3779" s="1597"/>
      <c r="I3779" s="198"/>
      <c r="J3779" s="6"/>
      <c r="K3779" s="1306"/>
      <c r="L3779" s="1646"/>
      <c r="M3779" s="1302"/>
      <c r="N3779" s="1302"/>
      <c r="O3779" s="1291"/>
      <c r="P3779" s="1332"/>
      <c r="Q3779" s="3391"/>
      <c r="R3779" s="2337"/>
      <c r="S3779" s="17"/>
      <c r="T3779" s="17"/>
      <c r="U3779" s="16"/>
      <c r="V3779" s="16"/>
    </row>
    <row r="3780" spans="1:22">
      <c r="A3780" s="22"/>
      <c r="B3780" s="554"/>
      <c r="C3780" s="223"/>
      <c r="D3780" s="1808"/>
      <c r="E3780" s="2132"/>
      <c r="F3780" s="1804"/>
      <c r="G3780" s="1804"/>
      <c r="H3780" s="1805"/>
      <c r="I3780" s="197"/>
      <c r="J3780" s="1806"/>
      <c r="K3780" s="1307"/>
      <c r="L3780" s="1335"/>
      <c r="M3780" s="1701"/>
      <c r="N3780" s="1701"/>
      <c r="O3780" s="1290"/>
      <c r="P3780" s="1333"/>
      <c r="Q3780" s="3391"/>
      <c r="R3780" s="3363"/>
      <c r="S3780" s="105"/>
      <c r="T3780" s="105"/>
      <c r="U3780" s="16"/>
      <c r="V3780" s="16"/>
    </row>
    <row r="3781" spans="1:22">
      <c r="A3781" s="16" t="s">
        <v>3764</v>
      </c>
      <c r="B3781" s="4325" t="s">
        <v>1939</v>
      </c>
      <c r="C3781" s="3350"/>
      <c r="D3781" s="4327"/>
      <c r="E3781" s="4329" t="s">
        <v>1507</v>
      </c>
      <c r="F3781" s="4336" t="s">
        <v>1954</v>
      </c>
      <c r="G3781" s="4331" t="s">
        <v>1568</v>
      </c>
      <c r="H3781" s="4331" t="s">
        <v>1574</v>
      </c>
      <c r="I3781" s="1572" t="s">
        <v>1559</v>
      </c>
      <c r="J3781" s="1294" t="s">
        <v>1560</v>
      </c>
      <c r="K3781" s="1294" t="s">
        <v>1569</v>
      </c>
      <c r="L3781" s="4333" t="s">
        <v>3765</v>
      </c>
      <c r="M3781" s="4335" t="s">
        <v>1571</v>
      </c>
      <c r="N3781" s="4323" t="s">
        <v>1776</v>
      </c>
      <c r="O3781" s="3347" t="s">
        <v>1563</v>
      </c>
      <c r="P3781" s="1336" t="s">
        <v>1562</v>
      </c>
      <c r="Q3781" s="3389"/>
      <c r="R3781" s="1699" t="s">
        <v>1327</v>
      </c>
      <c r="S3781" s="105"/>
      <c r="T3781" s="105"/>
      <c r="U3781" s="16"/>
      <c r="V3781" s="16"/>
    </row>
    <row r="3782" spans="1:22">
      <c r="A3782" s="1660" t="s">
        <v>1927</v>
      </c>
      <c r="B3782" s="4326"/>
      <c r="C3782" s="3351"/>
      <c r="D3782" s="4328"/>
      <c r="E3782" s="4330"/>
      <c r="F3782" s="4336"/>
      <c r="G3782" s="4332"/>
      <c r="H3782" s="4332"/>
      <c r="I3782" s="1345">
        <v>39.6</v>
      </c>
      <c r="J3782" s="1307">
        <v>3.4000000000000002E-2</v>
      </c>
      <c r="K3782" s="1307">
        <f>I3782*J3782</f>
        <v>1.3464</v>
      </c>
      <c r="L3782" s="4334"/>
      <c r="M3782" s="4335"/>
      <c r="N3782" s="4324"/>
      <c r="O3782" s="1298">
        <f>SUM(O3784:O3795)</f>
        <v>34.888500000000001</v>
      </c>
      <c r="P3782" s="1337">
        <f>O3782*K3782</f>
        <v>46.973876400000002</v>
      </c>
      <c r="Q3782" s="3390"/>
      <c r="R3782" s="1721">
        <f>SUM(P3784:P3795)</f>
        <v>46.973876400000009</v>
      </c>
      <c r="S3782" s="105"/>
      <c r="T3782" s="105"/>
      <c r="U3782" s="16"/>
      <c r="V3782" s="16"/>
    </row>
    <row r="3783" spans="1:22">
      <c r="A3783" s="22"/>
      <c r="B3783" s="551"/>
      <c r="C3783" s="18"/>
      <c r="D3783" s="1400"/>
      <c r="E3783" s="2121"/>
      <c r="F3783" s="1368" t="s">
        <v>1</v>
      </c>
      <c r="G3783" s="1417"/>
      <c r="H3783" s="1390"/>
      <c r="I3783" s="1554"/>
      <c r="J3783" s="1367"/>
      <c r="K3783" s="1367"/>
      <c r="L3783" s="1554"/>
      <c r="M3783" s="1369"/>
      <c r="N3783" s="1369"/>
      <c r="O3783" s="1369"/>
      <c r="P3783" s="1367"/>
      <c r="Q3783" s="3387"/>
      <c r="R3783" s="3363"/>
      <c r="S3783" s="105"/>
      <c r="T3783" s="105"/>
      <c r="U3783" s="16"/>
      <c r="V3783" s="16"/>
    </row>
    <row r="3784" spans="1:22">
      <c r="A3784" s="22"/>
      <c r="B3784" s="553"/>
      <c r="C3784" s="1042"/>
      <c r="D3784" s="1400" t="s">
        <v>1940</v>
      </c>
      <c r="E3784" s="1856" t="s">
        <v>1357</v>
      </c>
      <c r="F3784" s="1421" t="s">
        <v>1941</v>
      </c>
      <c r="G3784" s="1399">
        <v>32</v>
      </c>
      <c r="H3784" s="1400"/>
      <c r="I3784" s="27"/>
      <c r="J3784" s="10"/>
      <c r="K3784" s="1307">
        <f>G3784*$K$3925</f>
        <v>43.084800000000001</v>
      </c>
      <c r="L3784" s="1335">
        <f>K3784*$K$3734</f>
        <v>0</v>
      </c>
      <c r="M3784" s="1499">
        <v>0.68</v>
      </c>
      <c r="N3784" s="1701"/>
      <c r="O3784" s="1290">
        <f>(G3784*M3784)</f>
        <v>21.76</v>
      </c>
      <c r="P3784" s="1332">
        <f>M3784*K3784</f>
        <v>29.297664000000005</v>
      </c>
      <c r="Q3784" s="3391"/>
      <c r="R3784" s="3363"/>
      <c r="S3784" s="105"/>
      <c r="T3784" s="105"/>
      <c r="U3784" s="16"/>
      <c r="V3784" s="16"/>
    </row>
    <row r="3785" spans="1:22">
      <c r="A3785" s="22"/>
      <c r="B3785" s="553"/>
      <c r="C3785" s="1320"/>
      <c r="D3785" s="1756"/>
      <c r="E3785" s="1852"/>
      <c r="F3785" s="1752"/>
      <c r="G3785" s="1399"/>
      <c r="H3785" s="1399"/>
      <c r="I3785" s="197"/>
      <c r="J3785" s="198"/>
      <c r="K3785" s="1732"/>
      <c r="L3785" s="1335"/>
      <c r="M3785" s="1499"/>
      <c r="N3785" s="1718"/>
      <c r="O3785" s="1719"/>
      <c r="P3785" s="1720"/>
      <c r="Q3785" s="3396"/>
      <c r="R3785" s="3363"/>
      <c r="S3785" s="105"/>
      <c r="T3785" s="105"/>
      <c r="U3785" s="16"/>
      <c r="V3785" s="16"/>
    </row>
    <row r="3786" spans="1:22">
      <c r="A3786" s="22"/>
      <c r="B3786" s="553"/>
      <c r="C3786" s="1320"/>
      <c r="D3786" s="1756"/>
      <c r="E3786" s="1852"/>
      <c r="F3786" s="1752"/>
      <c r="G3786" s="1399"/>
      <c r="H3786" s="1399"/>
      <c r="I3786" s="197"/>
      <c r="J3786" s="198"/>
      <c r="K3786" s="1732"/>
      <c r="L3786" s="1335"/>
      <c r="M3786" s="1499"/>
      <c r="N3786" s="1718"/>
      <c r="O3786" s="1719"/>
      <c r="P3786" s="1720"/>
      <c r="Q3786" s="3396"/>
      <c r="R3786" s="3363"/>
      <c r="S3786" s="105"/>
      <c r="T3786" s="105"/>
      <c r="U3786" s="16"/>
      <c r="V3786" s="16"/>
    </row>
    <row r="3787" spans="1:22">
      <c r="A3787" s="22"/>
      <c r="B3787" s="553"/>
      <c r="C3787" s="1042"/>
      <c r="D3787" s="1410"/>
      <c r="E3787" s="1858"/>
      <c r="F3787" s="1360" t="s">
        <v>2</v>
      </c>
      <c r="G3787" s="1360"/>
      <c r="H3787" s="1362"/>
      <c r="I3787" s="1380"/>
      <c r="J3787" s="1381"/>
      <c r="K3787" s="1359"/>
      <c r="L3787" s="1458"/>
      <c r="M3787" s="1502"/>
      <c r="N3787" s="1502"/>
      <c r="O3787" s="1362"/>
      <c r="P3787" s="1359"/>
      <c r="Q3787" s="3387"/>
      <c r="R3787" s="3363"/>
      <c r="S3787" s="105"/>
      <c r="T3787" s="105"/>
      <c r="U3787" s="16"/>
      <c r="V3787" s="16"/>
    </row>
    <row r="3788" spans="1:22">
      <c r="A3788" s="22"/>
      <c r="B3788" s="553"/>
      <c r="C3788" s="1042"/>
      <c r="D3788" s="1655" t="s">
        <v>1937</v>
      </c>
      <c r="E3788" s="1857" t="s">
        <v>1508</v>
      </c>
      <c r="F3788" s="1403" t="s">
        <v>1938</v>
      </c>
      <c r="G3788" s="1365">
        <v>0.35</v>
      </c>
      <c r="H3788" s="1365"/>
      <c r="I3788" s="198"/>
      <c r="J3788" s="6"/>
      <c r="K3788" s="1307">
        <f>G3788*$K$3925</f>
        <v>0.47123999999999999</v>
      </c>
      <c r="L3788" s="1335">
        <f t="shared" ref="L3788:L3789" si="426">K3788*$K$3734</f>
        <v>0</v>
      </c>
      <c r="M3788" s="1499">
        <v>19.23</v>
      </c>
      <c r="N3788" s="1701"/>
      <c r="O3788" s="1290">
        <f>(G3788*M3788)</f>
        <v>6.7305000000000001</v>
      </c>
      <c r="P3788" s="1332">
        <f>M3788*K3788</f>
        <v>9.0619452000000003</v>
      </c>
      <c r="Q3788" s="3391"/>
      <c r="R3788" s="3363"/>
      <c r="S3788" s="105"/>
      <c r="T3788" s="105"/>
      <c r="U3788" s="16"/>
      <c r="V3788" s="16"/>
    </row>
    <row r="3789" spans="1:22">
      <c r="A3789" s="22"/>
      <c r="B3789" s="553"/>
      <c r="C3789" s="1042"/>
      <c r="D3789" s="1364" t="s">
        <v>1067</v>
      </c>
      <c r="E3789" s="2148" t="s">
        <v>1508</v>
      </c>
      <c r="F3789" s="1473" t="s">
        <v>1512</v>
      </c>
      <c r="G3789" s="1365">
        <v>0.35</v>
      </c>
      <c r="H3789" s="1365"/>
      <c r="I3789" s="198"/>
      <c r="J3789" s="6"/>
      <c r="K3789" s="1307">
        <f>G3789*$K$3925</f>
        <v>0.47123999999999999</v>
      </c>
      <c r="L3789" s="1335">
        <f t="shared" si="426"/>
        <v>0</v>
      </c>
      <c r="M3789" s="1499">
        <v>18.28</v>
      </c>
      <c r="N3789" s="1701"/>
      <c r="O3789" s="1290">
        <f>(G3789*M3789)</f>
        <v>6.3979999999999997</v>
      </c>
      <c r="P3789" s="1332">
        <f>M3789*K3789</f>
        <v>8.6142672000000005</v>
      </c>
      <c r="Q3789" s="3391"/>
      <c r="R3789" s="3363"/>
      <c r="S3789" s="105"/>
      <c r="T3789" s="105"/>
      <c r="U3789" s="16"/>
      <c r="V3789" s="16"/>
    </row>
    <row r="3790" spans="1:22">
      <c r="A3790" s="22"/>
      <c r="B3790" s="553"/>
      <c r="C3790" s="1042"/>
      <c r="D3790" s="1623"/>
      <c r="E3790" s="2158"/>
      <c r="F3790" s="1801"/>
      <c r="G3790" s="1359"/>
      <c r="H3790" s="1803"/>
      <c r="I3790" s="198"/>
      <c r="J3790" s="6"/>
      <c r="K3790" s="1307"/>
      <c r="L3790" s="1335"/>
      <c r="M3790" s="1499"/>
      <c r="N3790" s="1701"/>
      <c r="O3790" s="1290"/>
      <c r="P3790" s="1332"/>
      <c r="Q3790" s="3391"/>
      <c r="R3790" s="3363"/>
      <c r="S3790" s="105"/>
      <c r="T3790" s="105"/>
      <c r="U3790" s="16"/>
      <c r="V3790" s="16"/>
    </row>
    <row r="3791" spans="1:22">
      <c r="A3791" s="22"/>
      <c r="B3791" s="553"/>
      <c r="C3791" s="1042"/>
      <c r="D3791" s="1623"/>
      <c r="E3791" s="2158"/>
      <c r="F3791" s="1801"/>
      <c r="G3791" s="1359"/>
      <c r="H3791" s="1803"/>
      <c r="I3791" s="198"/>
      <c r="J3791" s="6"/>
      <c r="K3791" s="1307"/>
      <c r="L3791" s="1335"/>
      <c r="M3791" s="1499"/>
      <c r="N3791" s="1701"/>
      <c r="O3791" s="1290"/>
      <c r="P3791" s="1332"/>
      <c r="Q3791" s="3391"/>
      <c r="R3791" s="3363"/>
      <c r="S3791" s="105"/>
      <c r="T3791" s="105"/>
      <c r="U3791" s="16"/>
      <c r="V3791" s="16"/>
    </row>
    <row r="3792" spans="1:22">
      <c r="A3792" s="22"/>
      <c r="B3792" s="553"/>
      <c r="C3792" s="1042"/>
      <c r="D3792" s="1411"/>
      <c r="E3792" s="2123"/>
      <c r="F3792" s="1802" t="s">
        <v>3</v>
      </c>
      <c r="G3792" s="1475"/>
      <c r="H3792" s="1505"/>
      <c r="I3792" s="1382"/>
      <c r="J3792" s="1383"/>
      <c r="K3792" s="1373"/>
      <c r="L3792" s="1413"/>
      <c r="M3792" s="1505"/>
      <c r="N3792" s="1505"/>
      <c r="O3792" s="1376"/>
      <c r="P3792" s="1413"/>
      <c r="Q3792" s="3387"/>
      <c r="R3792" s="3363"/>
      <c r="S3792" s="105"/>
      <c r="T3792" s="105"/>
      <c r="U3792" s="16"/>
      <c r="V3792" s="16"/>
    </row>
    <row r="3793" spans="1:22">
      <c r="A3793" s="22"/>
      <c r="B3793" s="1042"/>
      <c r="C3793" s="1042"/>
      <c r="D3793" s="1411"/>
      <c r="E3793" s="2123"/>
      <c r="F3793" s="1475"/>
      <c r="G3793" s="1376"/>
      <c r="H3793" s="1376"/>
      <c r="I3793" s="198"/>
      <c r="J3793" s="6"/>
      <c r="K3793" s="1307"/>
      <c r="L3793" s="1335"/>
      <c r="M3793" s="1499"/>
      <c r="N3793" s="1701"/>
      <c r="O3793" s="1290"/>
      <c r="P3793" s="1332"/>
      <c r="Q3793" s="3391"/>
      <c r="R3793" s="3363"/>
      <c r="S3793" s="105"/>
      <c r="T3793" s="105"/>
      <c r="U3793" s="16"/>
      <c r="V3793" s="16"/>
    </row>
    <row r="3794" spans="1:22">
      <c r="A3794" s="22"/>
      <c r="B3794" s="553"/>
      <c r="C3794" s="1042"/>
      <c r="D3794" s="1411"/>
      <c r="E3794" s="2123"/>
      <c r="F3794" s="1475"/>
      <c r="G3794" s="1475"/>
      <c r="H3794" s="1376"/>
      <c r="I3794" s="198"/>
      <c r="J3794" s="6"/>
      <c r="K3794" s="1307"/>
      <c r="L3794" s="1335"/>
      <c r="M3794" s="1499"/>
      <c r="N3794" s="1701"/>
      <c r="O3794" s="1290"/>
      <c r="P3794" s="1332"/>
      <c r="Q3794" s="3391"/>
      <c r="R3794" s="3363"/>
      <c r="S3794" s="105"/>
      <c r="T3794" s="105"/>
      <c r="U3794" s="16"/>
      <c r="V3794" s="16"/>
    </row>
    <row r="3795" spans="1:22">
      <c r="A3795" s="22"/>
      <c r="B3795" s="554"/>
      <c r="C3795" s="223"/>
      <c r="D3795" s="1808"/>
      <c r="E3795" s="2132"/>
      <c r="F3795" s="1804"/>
      <c r="G3795" s="1804"/>
      <c r="H3795" s="1805"/>
      <c r="I3795" s="197"/>
      <c r="J3795" s="1806"/>
      <c r="K3795" s="1307"/>
      <c r="L3795" s="1335"/>
      <c r="M3795" s="1701"/>
      <c r="N3795" s="1701"/>
      <c r="O3795" s="1290"/>
      <c r="P3795" s="1333"/>
      <c r="Q3795" s="3391"/>
      <c r="R3795" s="3363"/>
      <c r="S3795" s="16"/>
      <c r="T3795" s="16"/>
      <c r="U3795" s="16"/>
      <c r="V3795" s="16"/>
    </row>
    <row r="3796" spans="1:22">
      <c r="A3796" s="19" t="s">
        <v>3764</v>
      </c>
      <c r="B3796" s="4325" t="s">
        <v>1942</v>
      </c>
      <c r="C3796" s="3350"/>
      <c r="D3796" s="4327"/>
      <c r="E3796" s="4329" t="s">
        <v>1507</v>
      </c>
      <c r="F3796" s="4336" t="s">
        <v>1943</v>
      </c>
      <c r="G3796" s="4331" t="s">
        <v>1568</v>
      </c>
      <c r="H3796" s="4331" t="s">
        <v>1574</v>
      </c>
      <c r="I3796" s="1572" t="s">
        <v>1559</v>
      </c>
      <c r="J3796" s="1294" t="s">
        <v>1560</v>
      </c>
      <c r="K3796" s="1294" t="s">
        <v>1569</v>
      </c>
      <c r="L3796" s="4333" t="s">
        <v>3765</v>
      </c>
      <c r="M3796" s="4335" t="s">
        <v>1571</v>
      </c>
      <c r="N3796" s="4323" t="s">
        <v>1776</v>
      </c>
      <c r="O3796" s="3347" t="s">
        <v>1563</v>
      </c>
      <c r="P3796" s="1336" t="s">
        <v>1562</v>
      </c>
      <c r="Q3796" s="3389"/>
      <c r="R3796" s="1699" t="s">
        <v>1327</v>
      </c>
      <c r="S3796" s="105"/>
      <c r="T3796" s="105"/>
      <c r="U3796" s="16"/>
      <c r="V3796" s="16"/>
    </row>
    <row r="3797" spans="1:22">
      <c r="A3797" s="1660" t="s">
        <v>1927</v>
      </c>
      <c r="B3797" s="4326"/>
      <c r="C3797" s="3351"/>
      <c r="D3797" s="4328"/>
      <c r="E3797" s="4330"/>
      <c r="F3797" s="4336"/>
      <c r="G3797" s="4332"/>
      <c r="H3797" s="4332"/>
      <c r="I3797" s="1345">
        <v>39.6</v>
      </c>
      <c r="J3797" s="1307">
        <v>3.4000000000000002E-2</v>
      </c>
      <c r="K3797" s="1307">
        <f>I3797*J3797</f>
        <v>1.3464</v>
      </c>
      <c r="L3797" s="4334"/>
      <c r="M3797" s="4335"/>
      <c r="N3797" s="4324"/>
      <c r="O3797" s="1298">
        <f>SUM(O3799:O3810)</f>
        <v>38.563499999999998</v>
      </c>
      <c r="P3797" s="1337">
        <f>O3797*K3797</f>
        <v>51.921896400000001</v>
      </c>
      <c r="Q3797" s="3390"/>
      <c r="R3797" s="1721">
        <f>SUM(P3799:P3810)</f>
        <v>51.921896400000008</v>
      </c>
      <c r="S3797" s="105"/>
      <c r="T3797" s="105"/>
      <c r="U3797" s="16"/>
      <c r="V3797" s="16"/>
    </row>
    <row r="3798" spans="1:22">
      <c r="A3798" s="22"/>
      <c r="B3798" s="551"/>
      <c r="C3798" s="18"/>
      <c r="D3798" s="1400"/>
      <c r="E3798" s="2121"/>
      <c r="F3798" s="1368" t="s">
        <v>1</v>
      </c>
      <c r="G3798" s="1417"/>
      <c r="H3798" s="1390"/>
      <c r="I3798" s="1554"/>
      <c r="J3798" s="1367"/>
      <c r="K3798" s="1367"/>
      <c r="L3798" s="1554"/>
      <c r="M3798" s="1369"/>
      <c r="N3798" s="1369"/>
      <c r="O3798" s="1369"/>
      <c r="P3798" s="1367"/>
      <c r="Q3798" s="3387"/>
      <c r="R3798" s="3363"/>
      <c r="S3798" s="105"/>
      <c r="T3798" s="105"/>
      <c r="U3798" s="16"/>
      <c r="V3798" s="16"/>
    </row>
    <row r="3799" spans="1:22">
      <c r="A3799" s="22"/>
      <c r="B3799" s="553"/>
      <c r="C3799" s="1042"/>
      <c r="D3799" s="1400" t="s">
        <v>1940</v>
      </c>
      <c r="E3799" s="1856" t="s">
        <v>1357</v>
      </c>
      <c r="F3799" s="1421" t="s">
        <v>1941</v>
      </c>
      <c r="G3799" s="1399">
        <v>32</v>
      </c>
      <c r="H3799" s="1400"/>
      <c r="I3799" s="27"/>
      <c r="J3799" s="10"/>
      <c r="K3799" s="1307">
        <f>G3799*$K$3925</f>
        <v>43.084800000000001</v>
      </c>
      <c r="L3799" s="1335">
        <f>K3799*$K$3734</f>
        <v>0</v>
      </c>
      <c r="M3799" s="1499">
        <v>0.68</v>
      </c>
      <c r="N3799" s="1701"/>
      <c r="O3799" s="1290">
        <f>(G3799*M3799)</f>
        <v>21.76</v>
      </c>
      <c r="P3799" s="1332">
        <f>M3799*K3799</f>
        <v>29.297664000000005</v>
      </c>
      <c r="Q3799" s="3391"/>
      <c r="R3799" s="3363"/>
      <c r="S3799" s="105"/>
      <c r="T3799" s="105"/>
      <c r="U3799" s="16"/>
      <c r="V3799" s="16"/>
    </row>
    <row r="3800" spans="1:22">
      <c r="A3800" s="22"/>
      <c r="B3800" s="553"/>
      <c r="C3800" s="1320"/>
      <c r="D3800" s="1756"/>
      <c r="E3800" s="1852"/>
      <c r="F3800" s="1752"/>
      <c r="G3800" s="1399"/>
      <c r="H3800" s="1399"/>
      <c r="I3800" s="197"/>
      <c r="J3800" s="198"/>
      <c r="K3800" s="1732"/>
      <c r="L3800" s="1335"/>
      <c r="M3800" s="1499"/>
      <c r="N3800" s="1718"/>
      <c r="O3800" s="1719"/>
      <c r="P3800" s="1720"/>
      <c r="Q3800" s="3396"/>
      <c r="R3800" s="3363"/>
      <c r="S3800" s="105"/>
      <c r="T3800" s="105"/>
      <c r="U3800" s="16"/>
      <c r="V3800" s="16"/>
    </row>
    <row r="3801" spans="1:22">
      <c r="A3801" s="22"/>
      <c r="B3801" s="553"/>
      <c r="C3801" s="1320"/>
      <c r="D3801" s="1756"/>
      <c r="E3801" s="1852"/>
      <c r="F3801" s="1752"/>
      <c r="G3801" s="1399"/>
      <c r="H3801" s="1399"/>
      <c r="I3801" s="197"/>
      <c r="J3801" s="198"/>
      <c r="K3801" s="1732"/>
      <c r="L3801" s="1335"/>
      <c r="M3801" s="1499"/>
      <c r="N3801" s="1718"/>
      <c r="O3801" s="1719"/>
      <c r="P3801" s="1720"/>
      <c r="Q3801" s="3396"/>
      <c r="R3801" s="3363"/>
      <c r="S3801" s="105"/>
      <c r="T3801" s="105"/>
      <c r="U3801" s="16"/>
      <c r="V3801" s="16"/>
    </row>
    <row r="3802" spans="1:22">
      <c r="A3802" s="22"/>
      <c r="B3802" s="553"/>
      <c r="C3802" s="1042"/>
      <c r="D3802" s="1410"/>
      <c r="E3802" s="1858"/>
      <c r="F3802" s="1360" t="s">
        <v>2</v>
      </c>
      <c r="G3802" s="1360"/>
      <c r="H3802" s="1362"/>
      <c r="I3802" s="1380"/>
      <c r="J3802" s="1381"/>
      <c r="K3802" s="1359"/>
      <c r="L3802" s="1458"/>
      <c r="M3802" s="1502"/>
      <c r="N3802" s="1502"/>
      <c r="O3802" s="1362"/>
      <c r="P3802" s="1359"/>
      <c r="Q3802" s="3387"/>
      <c r="R3802" s="3363"/>
      <c r="S3802" s="105"/>
      <c r="T3802" s="105"/>
      <c r="U3802" s="16"/>
      <c r="V3802" s="16"/>
    </row>
    <row r="3803" spans="1:22">
      <c r="A3803" s="22"/>
      <c r="B3803" s="553"/>
      <c r="C3803" s="1042"/>
      <c r="D3803" s="1655" t="s">
        <v>1937</v>
      </c>
      <c r="E3803" s="1857" t="s">
        <v>1508</v>
      </c>
      <c r="F3803" s="1403" t="s">
        <v>1938</v>
      </c>
      <c r="G3803" s="1365">
        <v>0.35</v>
      </c>
      <c r="H3803" s="1365"/>
      <c r="I3803" s="198"/>
      <c r="J3803" s="6"/>
      <c r="K3803" s="1307">
        <f>G3803*$K$3925</f>
        <v>0.47123999999999999</v>
      </c>
      <c r="L3803" s="1335">
        <f t="shared" ref="L3803:L3804" si="427">K3803*$K$3734</f>
        <v>0</v>
      </c>
      <c r="M3803" s="1499">
        <v>19.23</v>
      </c>
      <c r="N3803" s="1701"/>
      <c r="O3803" s="1290">
        <f>(G3803*M3803)</f>
        <v>6.7305000000000001</v>
      </c>
      <c r="P3803" s="1332">
        <f>M3803*K3803</f>
        <v>9.0619452000000003</v>
      </c>
      <c r="Q3803" s="3391"/>
      <c r="R3803" s="3363"/>
      <c r="S3803" s="105"/>
      <c r="T3803" s="105"/>
      <c r="U3803" s="16"/>
      <c r="V3803" s="16"/>
    </row>
    <row r="3804" spans="1:22">
      <c r="A3804" s="22"/>
      <c r="B3804" s="553"/>
      <c r="C3804" s="1042"/>
      <c r="D3804" s="1364" t="s">
        <v>1067</v>
      </c>
      <c r="E3804" s="2148" t="s">
        <v>1508</v>
      </c>
      <c r="F3804" s="1473" t="s">
        <v>1512</v>
      </c>
      <c r="G3804" s="1365">
        <v>0.35</v>
      </c>
      <c r="H3804" s="1365"/>
      <c r="I3804" s="198"/>
      <c r="J3804" s="6"/>
      <c r="K3804" s="1307">
        <f>G3804*$K$3925</f>
        <v>0.47123999999999999</v>
      </c>
      <c r="L3804" s="1335">
        <f t="shared" si="427"/>
        <v>0</v>
      </c>
      <c r="M3804" s="1499">
        <v>18.28</v>
      </c>
      <c r="N3804" s="1701"/>
      <c r="O3804" s="1290">
        <f>(G3804*M3804)</f>
        <v>6.3979999999999997</v>
      </c>
      <c r="P3804" s="1332">
        <f>M3804*K3804</f>
        <v>8.6142672000000005</v>
      </c>
      <c r="Q3804" s="3391"/>
      <c r="R3804" s="3363"/>
      <c r="S3804" s="105"/>
      <c r="T3804" s="105"/>
      <c r="U3804" s="16"/>
      <c r="V3804" s="16"/>
    </row>
    <row r="3805" spans="1:22">
      <c r="A3805" s="22"/>
      <c r="B3805" s="553"/>
      <c r="C3805" s="1042"/>
      <c r="D3805" s="1623"/>
      <c r="E3805" s="2158"/>
      <c r="F3805" s="1801"/>
      <c r="G3805" s="1359"/>
      <c r="H3805" s="1803"/>
      <c r="I3805" s="198"/>
      <c r="J3805" s="6"/>
      <c r="K3805" s="1307"/>
      <c r="L3805" s="1335"/>
      <c r="M3805" s="1499"/>
      <c r="N3805" s="1701"/>
      <c r="O3805" s="1290"/>
      <c r="P3805" s="1332"/>
      <c r="Q3805" s="3391"/>
      <c r="R3805" s="3363"/>
      <c r="S3805" s="105"/>
      <c r="T3805" s="105"/>
      <c r="U3805" s="16"/>
      <c r="V3805" s="16"/>
    </row>
    <row r="3806" spans="1:22">
      <c r="A3806" s="22"/>
      <c r="B3806" s="553"/>
      <c r="C3806" s="1042"/>
      <c r="D3806" s="1623"/>
      <c r="E3806" s="2158"/>
      <c r="F3806" s="1801"/>
      <c r="G3806" s="1359"/>
      <c r="H3806" s="1803"/>
      <c r="I3806" s="198"/>
      <c r="J3806" s="6"/>
      <c r="K3806" s="1307"/>
      <c r="L3806" s="1335"/>
      <c r="M3806" s="1499"/>
      <c r="N3806" s="1701"/>
      <c r="O3806" s="1290"/>
      <c r="P3806" s="1332"/>
      <c r="Q3806" s="3391"/>
      <c r="R3806" s="3363"/>
      <c r="S3806" s="105"/>
      <c r="T3806" s="105"/>
      <c r="U3806" s="16"/>
      <c r="V3806" s="16"/>
    </row>
    <row r="3807" spans="1:22">
      <c r="A3807" s="22"/>
      <c r="B3807" s="553"/>
      <c r="C3807" s="1042"/>
      <c r="D3807" s="1411"/>
      <c r="E3807" s="2123"/>
      <c r="F3807" s="1802" t="s">
        <v>3</v>
      </c>
      <c r="G3807" s="1475"/>
      <c r="H3807" s="1505"/>
      <c r="I3807" s="1382"/>
      <c r="J3807" s="1383"/>
      <c r="K3807" s="1373"/>
      <c r="L3807" s="1413"/>
      <c r="M3807" s="1505"/>
      <c r="N3807" s="1505"/>
      <c r="O3807" s="1376"/>
      <c r="P3807" s="1413"/>
      <c r="Q3807" s="3387"/>
      <c r="R3807" s="3363"/>
      <c r="S3807" s="105"/>
      <c r="T3807" s="105"/>
      <c r="U3807" s="16"/>
      <c r="V3807" s="16"/>
    </row>
    <row r="3808" spans="1:22">
      <c r="A3808" s="22"/>
      <c r="B3808" s="1042"/>
      <c r="C3808" s="1042"/>
      <c r="D3808" s="1411" t="s">
        <v>1686</v>
      </c>
      <c r="E3808" s="2123" t="s">
        <v>1803</v>
      </c>
      <c r="F3808" s="1837" t="s">
        <v>1688</v>
      </c>
      <c r="G3808" s="1376">
        <v>0.49</v>
      </c>
      <c r="H3808" s="1376"/>
      <c r="I3808" s="198"/>
      <c r="J3808" s="6"/>
      <c r="K3808" s="1307">
        <f>G3808*$K$3925</f>
        <v>0.65973599999999999</v>
      </c>
      <c r="L3808" s="1335">
        <f>K3808*$K$3734</f>
        <v>0</v>
      </c>
      <c r="M3808" s="1499">
        <v>7.5</v>
      </c>
      <c r="N3808" s="1701"/>
      <c r="O3808" s="1290">
        <f>(G3808*M3808)</f>
        <v>3.6749999999999998</v>
      </c>
      <c r="P3808" s="1332">
        <f>M3808*K3808</f>
        <v>4.9480199999999996</v>
      </c>
      <c r="Q3808" s="3391"/>
      <c r="R3808" s="3363"/>
      <c r="S3808" s="105"/>
      <c r="T3808" s="105"/>
      <c r="U3808" s="16"/>
      <c r="V3808" s="16"/>
    </row>
    <row r="3809" spans="1:22">
      <c r="A3809" s="22"/>
      <c r="B3809" s="553"/>
      <c r="C3809" s="1042"/>
      <c r="D3809" s="1411"/>
      <c r="E3809" s="2123"/>
      <c r="F3809" s="1475"/>
      <c r="G3809" s="1475"/>
      <c r="H3809" s="1376"/>
      <c r="I3809" s="198"/>
      <c r="J3809" s="6"/>
      <c r="K3809" s="1307"/>
      <c r="L3809" s="1335"/>
      <c r="M3809" s="1499"/>
      <c r="N3809" s="1701"/>
      <c r="O3809" s="1290"/>
      <c r="P3809" s="1332"/>
      <c r="Q3809" s="3391"/>
      <c r="R3809" s="3363"/>
      <c r="S3809" s="105"/>
      <c r="T3809" s="105"/>
      <c r="U3809" s="16"/>
      <c r="V3809" s="16"/>
    </row>
    <row r="3810" spans="1:22">
      <c r="A3810" s="22"/>
      <c r="B3810" s="554"/>
      <c r="C3810" s="223"/>
      <c r="D3810" s="1808"/>
      <c r="E3810" s="2132"/>
      <c r="F3810" s="1804"/>
      <c r="G3810" s="1804"/>
      <c r="H3810" s="1805"/>
      <c r="I3810" s="197"/>
      <c r="J3810" s="1806"/>
      <c r="K3810" s="1307"/>
      <c r="L3810" s="1335"/>
      <c r="M3810" s="1701"/>
      <c r="N3810" s="1701"/>
      <c r="O3810" s="1290"/>
      <c r="P3810" s="1333"/>
      <c r="Q3810" s="3391"/>
      <c r="R3810" s="3363"/>
      <c r="S3810" s="16"/>
      <c r="T3810" s="16"/>
      <c r="U3810" s="16"/>
      <c r="V3810" s="16"/>
    </row>
    <row r="3811" spans="1:22" ht="15" customHeight="1">
      <c r="A3811" s="19" t="s">
        <v>3764</v>
      </c>
      <c r="B3811" s="4325" t="s">
        <v>1905</v>
      </c>
      <c r="C3811" s="3350"/>
      <c r="D3811" s="4327"/>
      <c r="E3811" s="4329" t="s">
        <v>1507</v>
      </c>
      <c r="F3811" s="4338" t="s">
        <v>1906</v>
      </c>
      <c r="G3811" s="4331" t="s">
        <v>1568</v>
      </c>
      <c r="H3811" s="4331" t="s">
        <v>1574</v>
      </c>
      <c r="I3811" s="1572" t="s">
        <v>1559</v>
      </c>
      <c r="J3811" s="1294" t="s">
        <v>1560</v>
      </c>
      <c r="K3811" s="1294" t="s">
        <v>1561</v>
      </c>
      <c r="L3811" s="4333" t="s">
        <v>3765</v>
      </c>
      <c r="M3811" s="4335" t="s">
        <v>1571</v>
      </c>
      <c r="N3811" s="4323" t="s">
        <v>1776</v>
      </c>
      <c r="O3811" s="3347" t="s">
        <v>1563</v>
      </c>
      <c r="P3811" s="1336" t="s">
        <v>1562</v>
      </c>
      <c r="Q3811" s="3389"/>
      <c r="R3811" s="1699" t="s">
        <v>1327</v>
      </c>
      <c r="S3811" s="16"/>
      <c r="T3811" s="16"/>
      <c r="U3811" s="16"/>
      <c r="V3811" s="16"/>
    </row>
    <row r="3812" spans="1:22">
      <c r="A3812" s="1660" t="s">
        <v>1927</v>
      </c>
      <c r="B3812" s="4326"/>
      <c r="C3812" s="3354"/>
      <c r="D3812" s="4328"/>
      <c r="E3812" s="4330"/>
      <c r="F3812" s="4338"/>
      <c r="G3812" s="4332"/>
      <c r="H3812" s="4332"/>
      <c r="I3812" s="1345">
        <v>1</v>
      </c>
      <c r="J3812" s="1307">
        <v>1</v>
      </c>
      <c r="K3812" s="1307">
        <f>I3812*J3812</f>
        <v>1</v>
      </c>
      <c r="L3812" s="4334"/>
      <c r="M3812" s="4335"/>
      <c r="N3812" s="4324"/>
      <c r="O3812" s="1298">
        <f>O3814+O3815+O3816+O3820+O3824</f>
        <v>32.071000000000005</v>
      </c>
      <c r="P3812" s="1337">
        <f>O3812*K3812</f>
        <v>32.071000000000005</v>
      </c>
      <c r="Q3812" s="3390"/>
      <c r="R3812" s="1721">
        <f>P3814+P3815+P3816+P3820+P3824</f>
        <v>32.071000000000005</v>
      </c>
      <c r="S3812" s="16"/>
      <c r="T3812" s="16"/>
      <c r="U3812" s="16"/>
      <c r="V3812" s="16"/>
    </row>
    <row r="3813" spans="1:22">
      <c r="A3813" s="16"/>
      <c r="B3813" s="1949"/>
      <c r="C3813" s="1327"/>
      <c r="D3813" s="1463"/>
      <c r="E3813" s="2121"/>
      <c r="F3813" s="1368" t="s">
        <v>1</v>
      </c>
      <c r="G3813" s="1368"/>
      <c r="H3813" s="1369"/>
      <c r="I3813" s="1409"/>
      <c r="J3813" s="1391"/>
      <c r="K3813" s="1367"/>
      <c r="L3813" s="1554"/>
      <c r="M3813" s="1369"/>
      <c r="N3813" s="1369"/>
      <c r="O3813" s="1369"/>
      <c r="P3813" s="1367"/>
      <c r="Q3813" s="3387"/>
      <c r="R3813" s="2337"/>
      <c r="S3813" s="16"/>
      <c r="T3813" s="16"/>
      <c r="U3813" s="16"/>
      <c r="V3813" s="16"/>
    </row>
    <row r="3814" spans="1:22">
      <c r="A3814" s="16"/>
      <c r="B3814" s="1320"/>
      <c r="C3814" s="1320"/>
      <c r="D3814" s="1598" t="s">
        <v>1907</v>
      </c>
      <c r="E3814" s="1852" t="s">
        <v>1357</v>
      </c>
      <c r="F3814" s="1752" t="s">
        <v>1908</v>
      </c>
      <c r="G3814" s="1941">
        <v>16</v>
      </c>
      <c r="H3814" s="1399"/>
      <c r="I3814" s="198"/>
      <c r="J3814" s="198"/>
      <c r="K3814" s="1307">
        <f>G3814*$K$3812</f>
        <v>16</v>
      </c>
      <c r="L3814" s="1335">
        <f t="shared" ref="L3814:L3816" si="428">K3814*$K$3734</f>
        <v>0</v>
      </c>
      <c r="M3814" s="1302">
        <v>0.41</v>
      </c>
      <c r="N3814" s="1718"/>
      <c r="O3814" s="1290">
        <f>(G3814*M3814)</f>
        <v>6.56</v>
      </c>
      <c r="P3814" s="1739">
        <f>M3814*K3814</f>
        <v>6.56</v>
      </c>
      <c r="Q3814" s="3391"/>
      <c r="R3814" s="2337"/>
      <c r="S3814" s="16"/>
      <c r="T3814" s="16"/>
      <c r="U3814" s="16"/>
      <c r="V3814" s="16"/>
    </row>
    <row r="3815" spans="1:22">
      <c r="A3815" s="16"/>
      <c r="B3815" s="1320"/>
      <c r="C3815" s="1320"/>
      <c r="D3815" s="1598" t="s">
        <v>1909</v>
      </c>
      <c r="E3815" s="1852" t="s">
        <v>1357</v>
      </c>
      <c r="F3815" s="1598" t="s">
        <v>1910</v>
      </c>
      <c r="G3815" s="1941">
        <v>11</v>
      </c>
      <c r="H3815" s="1399"/>
      <c r="I3815" s="198"/>
      <c r="J3815" s="198"/>
      <c r="K3815" s="1307">
        <f t="shared" ref="K3815:K3816" si="429">G3815*$K$3812</f>
        <v>11</v>
      </c>
      <c r="L3815" s="1335">
        <f t="shared" si="428"/>
        <v>0</v>
      </c>
      <c r="M3815" s="1302">
        <v>0.4</v>
      </c>
      <c r="N3815" s="1718"/>
      <c r="O3815" s="1290">
        <f>(G3815*M3815)</f>
        <v>4.4000000000000004</v>
      </c>
      <c r="P3815" s="1739">
        <f>M3815*K3815</f>
        <v>4.4000000000000004</v>
      </c>
      <c r="Q3815" s="3391"/>
      <c r="R3815" s="2337"/>
      <c r="S3815" s="16"/>
      <c r="T3815" s="16"/>
      <c r="U3815" s="16"/>
      <c r="V3815" s="16"/>
    </row>
    <row r="3816" spans="1:22">
      <c r="A3816" s="16"/>
      <c r="B3816" s="1320"/>
      <c r="C3816" s="16"/>
      <c r="D3816" s="1752" t="s">
        <v>1082</v>
      </c>
      <c r="E3816" s="1852" t="s">
        <v>1504</v>
      </c>
      <c r="F3816" s="1752" t="s">
        <v>1541</v>
      </c>
      <c r="G3816" s="1941">
        <v>1</v>
      </c>
      <c r="H3816" s="1399"/>
      <c r="I3816" s="1341"/>
      <c r="J3816" s="8"/>
      <c r="K3816" s="1307">
        <f t="shared" si="429"/>
        <v>1</v>
      </c>
      <c r="L3816" s="1335">
        <f t="shared" si="428"/>
        <v>0</v>
      </c>
      <c r="M3816" s="1302">
        <v>0.3</v>
      </c>
      <c r="N3816" s="1718"/>
      <c r="O3816" s="1290">
        <f>(G3816*M3816)</f>
        <v>0.3</v>
      </c>
      <c r="P3816" s="1739">
        <f>M3816*K3816</f>
        <v>0.3</v>
      </c>
      <c r="Q3816" s="3391"/>
      <c r="R3816" s="2337"/>
      <c r="S3816" s="16"/>
      <c r="T3816" s="16"/>
      <c r="U3816" s="16"/>
      <c r="V3816" s="16"/>
    </row>
    <row r="3817" spans="1:22">
      <c r="A3817" s="16"/>
      <c r="B3817" s="1320"/>
      <c r="C3817" s="1320"/>
      <c r="D3817" s="1900"/>
      <c r="E3817" s="2130"/>
      <c r="F3817" s="1900"/>
      <c r="G3817" s="1901"/>
      <c r="H3817" s="1399"/>
      <c r="I3817" s="197"/>
      <c r="J3817" s="198"/>
      <c r="K3817" s="1307"/>
      <c r="L3817" s="1335"/>
      <c r="M3817" s="1499"/>
      <c r="N3817" s="1718"/>
      <c r="O3817" s="1719"/>
      <c r="P3817" s="1720"/>
      <c r="Q3817" s="3396"/>
      <c r="R3817" s="2337"/>
      <c r="S3817" s="16"/>
      <c r="T3817" s="16"/>
      <c r="U3817" s="16"/>
      <c r="V3817" s="16"/>
    </row>
    <row r="3818" spans="1:22">
      <c r="A3818" s="16"/>
      <c r="B3818" s="1320"/>
      <c r="C3818" s="595"/>
      <c r="D3818" s="1756"/>
      <c r="E3818" s="1852"/>
      <c r="F3818" s="1752"/>
      <c r="G3818" s="1399"/>
      <c r="H3818" s="1399"/>
      <c r="I3818" s="197" t="str">
        <f ca="1">IF(COUNT(H3818:O3818)=0,"",(SUM(H3818:O3818)/COUNT(H3818:O3818)))</f>
        <v/>
      </c>
      <c r="J3818" s="198"/>
      <c r="K3818" s="1307" t="str">
        <f>IF(COUNT(#REF!)=0,"",IF(#REF!="","",(#REF!*#REF!)))</f>
        <v/>
      </c>
      <c r="L3818" s="1335"/>
      <c r="M3818" s="1499"/>
      <c r="N3818" s="1718"/>
      <c r="O3818" s="1719"/>
      <c r="P3818" s="1720"/>
      <c r="Q3818" s="3396"/>
      <c r="R3818" s="2337"/>
      <c r="S3818" s="16"/>
      <c r="T3818" s="16"/>
      <c r="U3818" s="16"/>
      <c r="V3818" s="16"/>
    </row>
    <row r="3819" spans="1:22">
      <c r="A3819" s="16"/>
      <c r="B3819" s="1042"/>
      <c r="C3819" s="88"/>
      <c r="D3819" s="1443"/>
      <c r="E3819" s="1858"/>
      <c r="F3819" s="1360" t="s">
        <v>2</v>
      </c>
      <c r="G3819" s="1360"/>
      <c r="H3819" s="1362"/>
      <c r="I3819" s="1380" t="str">
        <f ca="1">IF(COUNT(H3819:O3819)=0,"",(SUM(H3819:O3819)/COUNT(H3819:O3819)))</f>
        <v/>
      </c>
      <c r="J3819" s="1381"/>
      <c r="K3819" s="1359" t="str">
        <f>IF(COUNT(#REF!)=0,"",IF(#REF!="","",(#REF!*#REF!)))</f>
        <v/>
      </c>
      <c r="L3819" s="1458"/>
      <c r="M3819" s="1362"/>
      <c r="N3819" s="1362"/>
      <c r="O3819" s="1362"/>
      <c r="P3819" s="1458"/>
      <c r="Q3819" s="3387"/>
      <c r="R3819" s="2337"/>
      <c r="S3819" s="16"/>
      <c r="T3819" s="16"/>
      <c r="U3819" s="16"/>
      <c r="V3819" s="16"/>
    </row>
    <row r="3820" spans="1:22">
      <c r="A3820" s="16"/>
      <c r="B3820" s="1042"/>
      <c r="C3820" s="88"/>
      <c r="D3820" s="1430" t="s">
        <v>1077</v>
      </c>
      <c r="E3820" s="1857" t="s">
        <v>1508</v>
      </c>
      <c r="F3820" s="1403" t="s">
        <v>37</v>
      </c>
      <c r="G3820" s="1431">
        <v>0.7</v>
      </c>
      <c r="H3820" s="1937"/>
      <c r="I3820" s="197">
        <f ca="1">IF(COUNT(H3820:L3820)=0,"",(SUM(H3820:L3820)/COUNT(H3820:L3820)))</f>
        <v>443.25739683096918</v>
      </c>
      <c r="J3820" s="198"/>
      <c r="K3820" s="1307">
        <f t="shared" ref="K3820" si="430">G3820*$K$3812</f>
        <v>0.7</v>
      </c>
      <c r="L3820" s="1335">
        <f>K3820*$K$3734</f>
        <v>0</v>
      </c>
      <c r="M3820" s="1302">
        <v>19.23</v>
      </c>
      <c r="N3820" s="1718"/>
      <c r="O3820" s="1290">
        <f>(G3820*M3820)</f>
        <v>13.461</v>
      </c>
      <c r="P3820" s="1739">
        <f>M3820*K3820</f>
        <v>13.461</v>
      </c>
      <c r="Q3820" s="3391"/>
      <c r="R3820" s="2337"/>
      <c r="S3820" s="16"/>
      <c r="T3820" s="16"/>
      <c r="U3820" s="16"/>
      <c r="V3820" s="16"/>
    </row>
    <row r="3821" spans="1:22">
      <c r="A3821" s="16"/>
      <c r="B3821" s="1042"/>
      <c r="C3821" s="88"/>
      <c r="D3821" s="1430"/>
      <c r="E3821" s="1857"/>
      <c r="F3821" s="1403"/>
      <c r="G3821" s="1431"/>
      <c r="H3821" s="1937"/>
      <c r="I3821" s="197"/>
      <c r="J3821" s="198"/>
      <c r="K3821" s="1307"/>
      <c r="L3821" s="1335"/>
      <c r="M3821" s="1302"/>
      <c r="N3821" s="1718"/>
      <c r="O3821" s="1719"/>
      <c r="P3821" s="1720"/>
      <c r="Q3821" s="3396"/>
      <c r="R3821" s="2337"/>
      <c r="S3821" s="17"/>
      <c r="T3821" s="17"/>
      <c r="U3821" s="16"/>
      <c r="V3821" s="16"/>
    </row>
    <row r="3822" spans="1:22">
      <c r="A3822" s="16"/>
      <c r="B3822" s="1042"/>
      <c r="C3822" s="88"/>
      <c r="D3822" s="1430"/>
      <c r="E3822" s="1857"/>
      <c r="F3822" s="1766"/>
      <c r="G3822" s="1943"/>
      <c r="H3822" s="1937"/>
      <c r="I3822" s="197"/>
      <c r="J3822" s="198"/>
      <c r="K3822" s="1307"/>
      <c r="L3822" s="1335"/>
      <c r="M3822" s="1302"/>
      <c r="N3822" s="1718"/>
      <c r="O3822" s="1290"/>
      <c r="P3822" s="1332"/>
      <c r="Q3822" s="3391"/>
      <c r="R3822" s="2337"/>
      <c r="S3822" s="105"/>
      <c r="T3822" s="105"/>
      <c r="U3822" s="16"/>
      <c r="V3822" s="16"/>
    </row>
    <row r="3823" spans="1:22">
      <c r="A3823" s="16"/>
      <c r="B3823" s="1042"/>
      <c r="C3823" s="88"/>
      <c r="D3823" s="1373"/>
      <c r="E3823" s="2123"/>
      <c r="F3823" s="1374" t="s">
        <v>3</v>
      </c>
      <c r="G3823" s="1374"/>
      <c r="H3823" s="1376"/>
      <c r="I3823" s="1382" t="str">
        <f t="shared" ref="I3823:I3826" ca="1" si="431">IF(COUNT(H3823:O3823)=0,"",(SUM(H3823:O3823)/COUNT(H3823:O3823)))</f>
        <v/>
      </c>
      <c r="J3823" s="1383"/>
      <c r="K3823" s="1373"/>
      <c r="L3823" s="1413"/>
      <c r="M3823" s="1376"/>
      <c r="N3823" s="1376"/>
      <c r="O3823" s="1376"/>
      <c r="P3823" s="1413"/>
      <c r="Q3823" s="3387"/>
      <c r="R3823" s="2337"/>
      <c r="S3823" s="16"/>
      <c r="T3823" s="16"/>
      <c r="U3823" s="16"/>
      <c r="V3823" s="16"/>
    </row>
    <row r="3824" spans="1:22">
      <c r="A3824" s="16"/>
      <c r="B3824" s="1042"/>
      <c r="C3824" s="88"/>
      <c r="D3824" s="1373" t="s">
        <v>1686</v>
      </c>
      <c r="E3824" s="2123" t="s">
        <v>1687</v>
      </c>
      <c r="F3824" s="1373" t="s">
        <v>1688</v>
      </c>
      <c r="G3824" s="1670">
        <v>0.98</v>
      </c>
      <c r="H3824" s="1939"/>
      <c r="I3824" s="197">
        <f t="shared" ca="1" si="431"/>
        <v>314.00827125393243</v>
      </c>
      <c r="J3824" s="198"/>
      <c r="K3824" s="1307">
        <f t="shared" ref="K3824" si="432">G3824*$K$3812</f>
        <v>0.98</v>
      </c>
      <c r="L3824" s="1335">
        <f>K3824*$K$3734</f>
        <v>0</v>
      </c>
      <c r="M3824" s="1302">
        <v>7.5</v>
      </c>
      <c r="N3824" s="1718"/>
      <c r="O3824" s="1290">
        <f>G3824*M3824</f>
        <v>7.35</v>
      </c>
      <c r="P3824" s="1332">
        <f>M3824*K3824</f>
        <v>7.35</v>
      </c>
      <c r="Q3824" s="3391"/>
      <c r="R3824" s="2337"/>
      <c r="S3824" s="16"/>
      <c r="T3824" s="16"/>
      <c r="U3824" s="16"/>
      <c r="V3824" s="16"/>
    </row>
    <row r="3825" spans="1:22">
      <c r="A3825" s="16"/>
      <c r="B3825" s="1042"/>
      <c r="C3825" s="88"/>
      <c r="D3825" s="1940"/>
      <c r="E3825" s="2177"/>
      <c r="F3825" s="1804"/>
      <c r="G3825" s="1804"/>
      <c r="H3825" s="1442"/>
      <c r="I3825" s="197" t="str">
        <f t="shared" ca="1" si="431"/>
        <v/>
      </c>
      <c r="J3825" s="198"/>
      <c r="K3825" s="1307"/>
      <c r="L3825" s="1335"/>
      <c r="M3825" s="1499"/>
      <c r="N3825" s="1701"/>
      <c r="O3825" s="1290"/>
      <c r="P3825" s="1332"/>
      <c r="Q3825" s="3391"/>
      <c r="R3825" s="2337"/>
      <c r="S3825" s="16"/>
      <c r="T3825" s="16"/>
      <c r="U3825" s="16"/>
      <c r="V3825" s="16"/>
    </row>
    <row r="3826" spans="1:22">
      <c r="A3826" s="16"/>
      <c r="B3826" s="223"/>
      <c r="C3826" s="581"/>
      <c r="D3826" s="1440"/>
      <c r="E3826" s="2132"/>
      <c r="F3826" s="1441"/>
      <c r="G3826" s="1441"/>
      <c r="H3826" s="1442"/>
      <c r="I3826" s="197" t="str">
        <f t="shared" ca="1" si="431"/>
        <v/>
      </c>
      <c r="J3826" s="198"/>
      <c r="K3826" s="1307"/>
      <c r="L3826" s="1335"/>
      <c r="M3826" s="1499"/>
      <c r="N3826" s="1701"/>
      <c r="O3826" s="1290"/>
      <c r="P3826" s="1332"/>
      <c r="Q3826" s="3391"/>
      <c r="R3826" s="2337"/>
      <c r="S3826" s="16"/>
      <c r="T3826" s="16"/>
      <c r="U3826" s="16"/>
      <c r="V3826" s="16"/>
    </row>
    <row r="3827" spans="1:22">
      <c r="A3827" s="19" t="s">
        <v>3764</v>
      </c>
      <c r="B3827" s="4325" t="s">
        <v>1810</v>
      </c>
      <c r="C3827" s="3350"/>
      <c r="D3827" s="4327"/>
      <c r="E3827" s="4329" t="s">
        <v>1507</v>
      </c>
      <c r="F3827" s="4372" t="s">
        <v>1811</v>
      </c>
      <c r="G3827" s="4331" t="s">
        <v>1568</v>
      </c>
      <c r="H3827" s="4331" t="s">
        <v>1574</v>
      </c>
      <c r="I3827" s="1572" t="s">
        <v>1559</v>
      </c>
      <c r="J3827" s="1294" t="s">
        <v>1560</v>
      </c>
      <c r="K3827" s="1294" t="s">
        <v>1561</v>
      </c>
      <c r="L3827" s="4333" t="s">
        <v>3765</v>
      </c>
      <c r="M3827" s="4323" t="s">
        <v>1571</v>
      </c>
      <c r="N3827" s="4323" t="s">
        <v>1776</v>
      </c>
      <c r="O3827" s="3347" t="s">
        <v>1563</v>
      </c>
      <c r="P3827" s="1336" t="s">
        <v>1562</v>
      </c>
      <c r="Q3827" s="3389"/>
      <c r="R3827" s="1699" t="s">
        <v>1327</v>
      </c>
      <c r="S3827" s="16"/>
      <c r="T3827" s="16"/>
      <c r="U3827" s="16"/>
      <c r="V3827" s="16"/>
    </row>
    <row r="3828" spans="1:22">
      <c r="A3828" s="1660" t="s">
        <v>1927</v>
      </c>
      <c r="B3828" s="4326"/>
      <c r="C3828" s="3351"/>
      <c r="D3828" s="4328"/>
      <c r="E3828" s="4330"/>
      <c r="F3828" s="4363"/>
      <c r="G3828" s="4332"/>
      <c r="H3828" s="4332"/>
      <c r="I3828" s="1345">
        <v>1</v>
      </c>
      <c r="J3828" s="1307">
        <v>1</v>
      </c>
      <c r="K3828" s="1307">
        <f>I3828*J3828</f>
        <v>1</v>
      </c>
      <c r="L3828" s="4334"/>
      <c r="M3828" s="4324"/>
      <c r="N3828" s="4324"/>
      <c r="O3828" s="1298">
        <f>SUM(O3830:O3840)</f>
        <v>24.729479999999999</v>
      </c>
      <c r="P3828" s="1337">
        <f>O3828*K3828</f>
        <v>24.729479999999999</v>
      </c>
      <c r="Q3828" s="3390"/>
      <c r="R3828" s="1721">
        <f>SUM(P3830:P3841)</f>
        <v>24.729479999999999</v>
      </c>
      <c r="S3828" s="16"/>
      <c r="T3828" s="16"/>
      <c r="U3828" s="16"/>
      <c r="V3828" s="16"/>
    </row>
    <row r="3829" spans="1:22">
      <c r="A3829" s="16"/>
      <c r="B3829" s="1327"/>
      <c r="C3829" s="1327"/>
      <c r="D3829" s="1400"/>
      <c r="E3829" s="2121"/>
      <c r="F3829" s="1368" t="s">
        <v>1</v>
      </c>
      <c r="G3829" s="1417"/>
      <c r="H3829" s="1390"/>
      <c r="I3829" s="1554"/>
      <c r="J3829" s="1367"/>
      <c r="K3829" s="1367"/>
      <c r="L3829" s="1554"/>
      <c r="M3829" s="1369"/>
      <c r="N3829" s="1369"/>
      <c r="O3829" s="1369"/>
      <c r="P3829" s="1367"/>
      <c r="Q3829" s="3387"/>
      <c r="R3829" s="2337"/>
      <c r="S3829" s="16"/>
      <c r="T3829" s="16"/>
      <c r="U3829" s="16"/>
      <c r="V3829" s="16"/>
    </row>
    <row r="3830" spans="1:22">
      <c r="A3830" s="16"/>
      <c r="B3830" s="1320"/>
      <c r="C3830" s="1042"/>
      <c r="D3830" s="1761" t="s">
        <v>1812</v>
      </c>
      <c r="E3830" s="2170" t="s">
        <v>1357</v>
      </c>
      <c r="F3830" s="1761" t="s">
        <v>1813</v>
      </c>
      <c r="G3830" s="1762">
        <v>0.9</v>
      </c>
      <c r="H3830" s="1762"/>
      <c r="I3830" s="27"/>
      <c r="J3830" s="10"/>
      <c r="K3830" s="1307">
        <f>G3830*$K$3828</f>
        <v>0.9</v>
      </c>
      <c r="L3830" s="1335">
        <f t="shared" ref="L3830:L3831" si="433">K3830*$K$3734</f>
        <v>0</v>
      </c>
      <c r="M3830" s="1499">
        <v>1.71</v>
      </c>
      <c r="N3830" s="1701"/>
      <c r="O3830" s="1290">
        <f>(G3830*M3830)</f>
        <v>1.5389999999999999</v>
      </c>
      <c r="P3830" s="1332">
        <f>M3830*K3830</f>
        <v>1.5389999999999999</v>
      </c>
      <c r="Q3830" s="3391"/>
      <c r="R3830" s="2337"/>
      <c r="S3830" s="16"/>
      <c r="T3830" s="16"/>
      <c r="U3830" s="16"/>
      <c r="V3830" s="16"/>
    </row>
    <row r="3831" spans="1:22">
      <c r="A3831" s="16"/>
      <c r="B3831" s="1320"/>
      <c r="C3831" s="1042"/>
      <c r="D3831" s="1761" t="s">
        <v>1701</v>
      </c>
      <c r="E3831" s="2170" t="s">
        <v>1504</v>
      </c>
      <c r="F3831" s="1761" t="s">
        <v>1541</v>
      </c>
      <c r="G3831" s="1762">
        <v>0.4</v>
      </c>
      <c r="H3831" s="1762"/>
      <c r="I3831" s="27"/>
      <c r="J3831" s="10"/>
      <c r="K3831" s="1307">
        <f>G3831*$K$3828</f>
        <v>0.4</v>
      </c>
      <c r="L3831" s="1335">
        <f t="shared" si="433"/>
        <v>0</v>
      </c>
      <c r="M3831" s="1499">
        <v>0.3</v>
      </c>
      <c r="N3831" s="1701"/>
      <c r="O3831" s="1290">
        <f>(G3831*M3831)</f>
        <v>0.12</v>
      </c>
      <c r="P3831" s="1332">
        <f>M3831*K3831</f>
        <v>0.12</v>
      </c>
      <c r="Q3831" s="3391"/>
      <c r="R3831" s="2337"/>
      <c r="S3831" s="16"/>
      <c r="T3831" s="16"/>
      <c r="U3831" s="16"/>
      <c r="V3831" s="16"/>
    </row>
    <row r="3832" spans="1:22">
      <c r="A3832" s="16"/>
      <c r="B3832" s="1320"/>
      <c r="C3832" s="1042"/>
      <c r="D3832" s="1367"/>
      <c r="E3832" s="1856"/>
      <c r="F3832" s="1421"/>
      <c r="G3832" s="1399"/>
      <c r="H3832" s="1399"/>
      <c r="I3832" s="1289"/>
      <c r="J3832" s="198"/>
      <c r="K3832" s="1307"/>
      <c r="L3832" s="1335"/>
      <c r="M3832" s="1499"/>
      <c r="N3832" s="1701"/>
      <c r="O3832" s="1290"/>
      <c r="P3832" s="1332"/>
      <c r="Q3832" s="3391"/>
      <c r="R3832" s="2337"/>
      <c r="S3832" s="16"/>
      <c r="T3832" s="16"/>
      <c r="U3832" s="16"/>
      <c r="V3832" s="16"/>
    </row>
    <row r="3833" spans="1:22">
      <c r="A3833" s="16"/>
      <c r="B3833" s="1320"/>
      <c r="C3833" s="1042"/>
      <c r="D3833" s="1367"/>
      <c r="E3833" s="1856"/>
      <c r="F3833" s="1421"/>
      <c r="G3833" s="1399"/>
      <c r="H3833" s="1399"/>
      <c r="I3833" s="1289"/>
      <c r="J3833" s="198"/>
      <c r="K3833" s="1307"/>
      <c r="L3833" s="1335"/>
      <c r="M3833" s="1499"/>
      <c r="N3833" s="1701"/>
      <c r="O3833" s="1290"/>
      <c r="P3833" s="1332"/>
      <c r="Q3833" s="3391"/>
      <c r="R3833" s="2337"/>
      <c r="S3833" s="16"/>
      <c r="T3833" s="16"/>
      <c r="U3833" s="16"/>
      <c r="V3833" s="16"/>
    </row>
    <row r="3834" spans="1:22">
      <c r="A3834" s="16"/>
      <c r="B3834" s="1320"/>
      <c r="C3834" s="1320"/>
      <c r="D3834" s="1410"/>
      <c r="E3834" s="1858"/>
      <c r="F3834" s="1360" t="s">
        <v>2</v>
      </c>
      <c r="G3834" s="1362"/>
      <c r="H3834" s="1362"/>
      <c r="I3834" s="1380"/>
      <c r="J3834" s="1381"/>
      <c r="K3834" s="1359"/>
      <c r="L3834" s="1458"/>
      <c r="M3834" s="1502"/>
      <c r="N3834" s="1502"/>
      <c r="O3834" s="1362"/>
      <c r="P3834" s="1359"/>
      <c r="Q3834" s="3387"/>
      <c r="R3834" s="2337"/>
      <c r="S3834" s="16"/>
      <c r="T3834" s="16"/>
      <c r="U3834" s="16"/>
      <c r="V3834" s="16"/>
    </row>
    <row r="3835" spans="1:22">
      <c r="A3835" s="16"/>
      <c r="B3835" s="1320"/>
      <c r="C3835" s="1042"/>
      <c r="D3835" s="1624" t="s">
        <v>1702</v>
      </c>
      <c r="E3835" s="2158" t="s">
        <v>1508</v>
      </c>
      <c r="F3835" s="1624" t="s">
        <v>1703</v>
      </c>
      <c r="G3835" s="1625">
        <v>0.77600000000000002</v>
      </c>
      <c r="H3835" s="1625"/>
      <c r="I3835" s="198"/>
      <c r="J3835" s="6"/>
      <c r="K3835" s="1307">
        <f>G3835*$K$3828</f>
        <v>0.77600000000000002</v>
      </c>
      <c r="L3835" s="1335">
        <f>K3835*$K$3734</f>
        <v>0</v>
      </c>
      <c r="M3835" s="1499">
        <v>19.23</v>
      </c>
      <c r="N3835" s="1701"/>
      <c r="O3835" s="1290">
        <f>(G3835*M3835)</f>
        <v>14.92248</v>
      </c>
      <c r="P3835" s="1332">
        <f>M3835*K3835</f>
        <v>14.92248</v>
      </c>
      <c r="Q3835" s="3391"/>
      <c r="R3835" s="2337"/>
      <c r="S3835" s="16"/>
      <c r="T3835" s="16"/>
      <c r="U3835" s="16"/>
      <c r="V3835" s="16"/>
    </row>
    <row r="3836" spans="1:22">
      <c r="A3836" s="16"/>
      <c r="B3836" s="1320"/>
      <c r="C3836" s="1042"/>
      <c r="D3836" s="1402"/>
      <c r="E3836" s="1857"/>
      <c r="F3836" s="1645"/>
      <c r="G3836" s="1362"/>
      <c r="H3836" s="1359"/>
      <c r="I3836" s="198"/>
      <c r="J3836" s="6"/>
      <c r="K3836" s="1306"/>
      <c r="L3836" s="1646"/>
      <c r="M3836" s="1499"/>
      <c r="N3836" s="1499"/>
      <c r="O3836" s="1291"/>
      <c r="P3836" s="1332"/>
      <c r="Q3836" s="3391"/>
      <c r="R3836" s="2337"/>
      <c r="S3836" s="16"/>
      <c r="T3836" s="16"/>
      <c r="U3836" s="16"/>
      <c r="V3836" s="16"/>
    </row>
    <row r="3837" spans="1:22">
      <c r="A3837" s="16"/>
      <c r="B3837" s="1320"/>
      <c r="C3837" s="1042"/>
      <c r="D3837" s="1402"/>
      <c r="E3837" s="1857"/>
      <c r="F3837" s="1403"/>
      <c r="G3837" s="1362"/>
      <c r="H3837" s="1359"/>
      <c r="I3837" s="198"/>
      <c r="J3837" s="6"/>
      <c r="K3837" s="1307"/>
      <c r="L3837" s="1335"/>
      <c r="M3837" s="1499"/>
      <c r="N3837" s="1701"/>
      <c r="O3837" s="1290"/>
      <c r="P3837" s="1332"/>
      <c r="Q3837" s="3391"/>
      <c r="R3837" s="2337"/>
      <c r="S3837" s="16"/>
      <c r="T3837" s="16"/>
      <c r="U3837" s="16"/>
      <c r="V3837" s="16"/>
    </row>
    <row r="3838" spans="1:22">
      <c r="A3838" s="16"/>
      <c r="B3838" s="1320"/>
      <c r="C3838" s="1042"/>
      <c r="D3838" s="1411"/>
      <c r="E3838" s="2123"/>
      <c r="F3838" s="1374" t="s">
        <v>3</v>
      </c>
      <c r="G3838" s="1374"/>
      <c r="H3838" s="1376"/>
      <c r="I3838" s="1382"/>
      <c r="J3838" s="1383"/>
      <c r="K3838" s="1373"/>
      <c r="L3838" s="1413"/>
      <c r="M3838" s="1505"/>
      <c r="N3838" s="1505"/>
      <c r="O3838" s="1376"/>
      <c r="P3838" s="1413"/>
      <c r="Q3838" s="3387"/>
      <c r="R3838" s="1699"/>
      <c r="S3838" s="16"/>
      <c r="T3838" s="16"/>
      <c r="U3838" s="16"/>
      <c r="V3838" s="16"/>
    </row>
    <row r="3839" spans="1:22">
      <c r="A3839" s="16"/>
      <c r="B3839" s="1320"/>
      <c r="C3839" s="1042"/>
      <c r="D3839" s="1827" t="s">
        <v>1686</v>
      </c>
      <c r="E3839" s="2173" t="s">
        <v>1687</v>
      </c>
      <c r="F3839" s="1827" t="s">
        <v>1688</v>
      </c>
      <c r="G3839" s="1828">
        <v>1.0864</v>
      </c>
      <c r="H3839" s="1521"/>
      <c r="I3839" s="198"/>
      <c r="J3839" s="6"/>
      <c r="K3839" s="1307">
        <f>G3839*$K$3828</f>
        <v>1.0864</v>
      </c>
      <c r="L3839" s="1335">
        <f>K3839*$K$3734</f>
        <v>0</v>
      </c>
      <c r="M3839" s="1499">
        <v>7.5</v>
      </c>
      <c r="N3839" s="1701"/>
      <c r="O3839" s="1290">
        <f>(G3839*M3839)</f>
        <v>8.1479999999999997</v>
      </c>
      <c r="P3839" s="1332">
        <f>M3839*K3839</f>
        <v>8.1479999999999997</v>
      </c>
      <c r="Q3839" s="3391"/>
      <c r="R3839" s="2337"/>
      <c r="S3839" s="16"/>
      <c r="T3839" s="16"/>
      <c r="U3839" s="16"/>
      <c r="V3839" s="16"/>
    </row>
    <row r="3840" spans="1:22">
      <c r="A3840" s="16"/>
      <c r="B3840" s="1320"/>
      <c r="C3840" s="1042"/>
      <c r="D3840" s="1440"/>
      <c r="E3840" s="2132"/>
      <c r="F3840" s="1441"/>
      <c r="G3840" s="1441"/>
      <c r="H3840" s="1442"/>
      <c r="I3840" s="197"/>
      <c r="J3840" s="198"/>
      <c r="K3840" s="1307"/>
      <c r="L3840" s="1335"/>
      <c r="M3840" s="1499"/>
      <c r="N3840" s="1701"/>
      <c r="O3840" s="1290"/>
      <c r="P3840" s="1332"/>
      <c r="Q3840" s="3391"/>
      <c r="R3840" s="2337"/>
      <c r="S3840" s="16"/>
      <c r="T3840" s="16"/>
      <c r="U3840" s="16"/>
      <c r="V3840" s="16"/>
    </row>
    <row r="3841" spans="1:22">
      <c r="A3841" s="16"/>
      <c r="B3841" s="225"/>
      <c r="C3841" s="223"/>
      <c r="D3841" s="1440"/>
      <c r="E3841" s="2132"/>
      <c r="F3841" s="1441"/>
      <c r="G3841" s="1441"/>
      <c r="H3841" s="1442"/>
      <c r="I3841" s="197"/>
      <c r="J3841" s="198"/>
      <c r="K3841" s="1307"/>
      <c r="L3841" s="1335"/>
      <c r="M3841" s="1499"/>
      <c r="N3841" s="1701"/>
      <c r="O3841" s="1290"/>
      <c r="P3841" s="1332"/>
      <c r="Q3841" s="3391"/>
      <c r="R3841" s="2337"/>
      <c r="S3841" s="16"/>
      <c r="T3841" s="16"/>
      <c r="U3841" s="16"/>
      <c r="V3841" s="16"/>
    </row>
    <row r="3842" spans="1:22">
      <c r="A3842" s="19" t="s">
        <v>3764</v>
      </c>
      <c r="B3842" s="4325" t="s">
        <v>1661</v>
      </c>
      <c r="C3842" s="3350"/>
      <c r="D3842" s="4327"/>
      <c r="E3842" s="4329" t="s">
        <v>1507</v>
      </c>
      <c r="F3842" s="4336" t="s">
        <v>1706</v>
      </c>
      <c r="G3842" s="4331" t="s">
        <v>1568</v>
      </c>
      <c r="H3842" s="4331" t="s">
        <v>1574</v>
      </c>
      <c r="I3842" s="1572" t="s">
        <v>1559</v>
      </c>
      <c r="J3842" s="1294" t="s">
        <v>1560</v>
      </c>
      <c r="K3842" s="1294" t="s">
        <v>1561</v>
      </c>
      <c r="L3842" s="4333" t="s">
        <v>3765</v>
      </c>
      <c r="M3842" s="4335" t="s">
        <v>1571</v>
      </c>
      <c r="N3842" s="4323" t="s">
        <v>1776</v>
      </c>
      <c r="O3842" s="3347" t="s">
        <v>1563</v>
      </c>
      <c r="P3842" s="1336" t="s">
        <v>1562</v>
      </c>
      <c r="Q3842" s="3389"/>
      <c r="R3842" s="1699" t="s">
        <v>1327</v>
      </c>
      <c r="S3842" s="16"/>
      <c r="T3842" s="16"/>
      <c r="U3842" s="16"/>
      <c r="V3842" s="16"/>
    </row>
    <row r="3843" spans="1:22">
      <c r="A3843" s="1660" t="s">
        <v>1927</v>
      </c>
      <c r="B3843" s="4326"/>
      <c r="C3843" s="3351"/>
      <c r="D3843" s="4328"/>
      <c r="E3843" s="4389"/>
      <c r="F3843" s="4336"/>
      <c r="G3843" s="4332"/>
      <c r="H3843" s="4332"/>
      <c r="I3843" s="1345">
        <v>1</v>
      </c>
      <c r="J3843" s="1307">
        <v>1</v>
      </c>
      <c r="K3843" s="1307">
        <f>I3843*J3843</f>
        <v>1</v>
      </c>
      <c r="L3843" s="4334"/>
      <c r="M3843" s="4335"/>
      <c r="N3843" s="4324"/>
      <c r="O3843" s="1298">
        <f>SUM(O3845:O3855)</f>
        <v>8.9870400000000004</v>
      </c>
      <c r="P3843" s="1337">
        <f>O3843*K3843</f>
        <v>8.9870400000000004</v>
      </c>
      <c r="Q3843" s="3390"/>
      <c r="R3843" s="1721">
        <f>SUM(P3845:P3856)</f>
        <v>8.9870400000000004</v>
      </c>
      <c r="S3843" s="16"/>
      <c r="T3843" s="16"/>
      <c r="U3843" s="16"/>
      <c r="V3843" s="16"/>
    </row>
    <row r="3844" spans="1:22">
      <c r="A3844" s="16"/>
      <c r="B3844" s="1327"/>
      <c r="C3844" s="1327"/>
      <c r="D3844" s="1400"/>
      <c r="E3844" s="2121"/>
      <c r="F3844" s="1368" t="s">
        <v>1</v>
      </c>
      <c r="G3844" s="1417"/>
      <c r="H3844" s="1390"/>
      <c r="I3844" s="1554"/>
      <c r="J3844" s="1367"/>
      <c r="K3844" s="1367"/>
      <c r="L3844" s="1554"/>
      <c r="M3844" s="1369"/>
      <c r="N3844" s="1369"/>
      <c r="O3844" s="1369"/>
      <c r="P3844" s="1367"/>
      <c r="Q3844" s="3387"/>
      <c r="R3844" s="2337"/>
      <c r="S3844" s="16"/>
      <c r="T3844" s="16"/>
      <c r="U3844" s="16"/>
      <c r="V3844" s="16"/>
    </row>
    <row r="3845" spans="1:22">
      <c r="A3845" s="16"/>
      <c r="B3845" s="1320"/>
      <c r="C3845" s="1042"/>
      <c r="D3845" s="1761" t="s">
        <v>1698</v>
      </c>
      <c r="E3845" s="2170" t="s">
        <v>1357</v>
      </c>
      <c r="F3845" s="1761" t="s">
        <v>1699</v>
      </c>
      <c r="G3845" s="1762">
        <v>0.45</v>
      </c>
      <c r="H3845" s="1762"/>
      <c r="I3845" s="27"/>
      <c r="J3845" s="6"/>
      <c r="K3845" s="1307">
        <f>G3845*$K$3843</f>
        <v>0.45</v>
      </c>
      <c r="L3845" s="1335">
        <f t="shared" ref="L3845:L3847" si="434">K3845*$K$3734</f>
        <v>0</v>
      </c>
      <c r="M3845" s="1499">
        <v>1.7</v>
      </c>
      <c r="N3845" s="1701"/>
      <c r="O3845" s="1290">
        <f>(G3845*M3845)</f>
        <v>0.76500000000000001</v>
      </c>
      <c r="P3845" s="1332">
        <f>M3845*K3845</f>
        <v>0.76500000000000001</v>
      </c>
      <c r="Q3845" s="3391"/>
      <c r="R3845" s="2337"/>
      <c r="S3845" s="16"/>
      <c r="T3845" s="16"/>
      <c r="U3845" s="16"/>
      <c r="V3845" s="16"/>
    </row>
    <row r="3846" spans="1:22">
      <c r="A3846" s="16"/>
      <c r="B3846" s="1320"/>
      <c r="C3846" s="1042"/>
      <c r="D3846" s="1761" t="s">
        <v>1214</v>
      </c>
      <c r="E3846" s="2170" t="s">
        <v>1357</v>
      </c>
      <c r="F3846" s="1761" t="s">
        <v>1700</v>
      </c>
      <c r="G3846" s="1762">
        <v>0.35</v>
      </c>
      <c r="H3846" s="1762"/>
      <c r="I3846" s="27"/>
      <c r="J3846" s="198"/>
      <c r="K3846" s="1307">
        <f t="shared" ref="K3846:K3847" si="435">G3846*$K$3843</f>
        <v>0.35</v>
      </c>
      <c r="L3846" s="1335">
        <f t="shared" si="434"/>
        <v>0</v>
      </c>
      <c r="M3846" s="1499">
        <v>4.2</v>
      </c>
      <c r="N3846" s="1701"/>
      <c r="O3846" s="1290">
        <f>(G3846*M3846)</f>
        <v>1.47</v>
      </c>
      <c r="P3846" s="1332">
        <f>M3846*K3846</f>
        <v>1.47</v>
      </c>
      <c r="Q3846" s="3391"/>
      <c r="R3846" s="2337"/>
      <c r="S3846" s="16"/>
      <c r="T3846" s="16"/>
      <c r="U3846" s="16"/>
      <c r="V3846" s="16"/>
    </row>
    <row r="3847" spans="1:22">
      <c r="A3847" s="16"/>
      <c r="B3847" s="1320"/>
      <c r="C3847" s="1042"/>
      <c r="D3847" s="1761" t="s">
        <v>1701</v>
      </c>
      <c r="E3847" s="2170" t="s">
        <v>1504</v>
      </c>
      <c r="F3847" s="1761" t="s">
        <v>1541</v>
      </c>
      <c r="G3847" s="1762">
        <v>0.2</v>
      </c>
      <c r="H3847" s="1762"/>
      <c r="I3847" s="27"/>
      <c r="J3847" s="10"/>
      <c r="K3847" s="1307">
        <f t="shared" si="435"/>
        <v>0.2</v>
      </c>
      <c r="L3847" s="1335">
        <f t="shared" si="434"/>
        <v>0</v>
      </c>
      <c r="M3847" s="1499">
        <v>0.3</v>
      </c>
      <c r="N3847" s="1701"/>
      <c r="O3847" s="1290">
        <f>(G3847*M3847)</f>
        <v>0.06</v>
      </c>
      <c r="P3847" s="1332">
        <f>M3847*K3847</f>
        <v>0.06</v>
      </c>
      <c r="Q3847" s="3391"/>
      <c r="R3847" s="2337"/>
      <c r="S3847" s="16"/>
      <c r="T3847" s="16"/>
      <c r="U3847" s="16"/>
      <c r="V3847" s="16"/>
    </row>
    <row r="3848" spans="1:22">
      <c r="A3848" s="22"/>
      <c r="B3848" s="1320"/>
      <c r="C3848" s="1042"/>
      <c r="D3848" s="1367"/>
      <c r="E3848" s="1856"/>
      <c r="F3848" s="1421"/>
      <c r="G3848" s="1399"/>
      <c r="H3848" s="1399"/>
      <c r="I3848" s="1760"/>
      <c r="J3848" s="198"/>
      <c r="K3848" s="1307"/>
      <c r="L3848" s="1335"/>
      <c r="M3848" s="1499"/>
      <c r="N3848" s="1701"/>
      <c r="O3848" s="1290"/>
      <c r="P3848" s="1332"/>
      <c r="Q3848" s="3391"/>
      <c r="S3848" s="16"/>
      <c r="T3848" s="16"/>
      <c r="U3848" s="16"/>
      <c r="V3848" s="16"/>
    </row>
    <row r="3849" spans="1:22">
      <c r="A3849" s="16"/>
      <c r="B3849" s="1320"/>
      <c r="C3849" s="1042"/>
      <c r="D3849" s="1367"/>
      <c r="E3849" s="1856"/>
      <c r="F3849" s="1421"/>
      <c r="G3849" s="1399"/>
      <c r="H3849" s="1399"/>
      <c r="I3849" s="1289"/>
      <c r="J3849" s="198"/>
      <c r="K3849" s="1307"/>
      <c r="L3849" s="1335"/>
      <c r="M3849" s="1499"/>
      <c r="N3849" s="1701"/>
      <c r="O3849" s="1290"/>
      <c r="P3849" s="1332"/>
      <c r="Q3849" s="3391"/>
      <c r="R3849" s="2337"/>
      <c r="S3849" s="16"/>
      <c r="T3849" s="16"/>
      <c r="U3849" s="16"/>
      <c r="V3849" s="16"/>
    </row>
    <row r="3850" spans="1:22">
      <c r="A3850" s="16"/>
      <c r="B3850" s="1320"/>
      <c r="C3850" s="1320"/>
      <c r="D3850" s="1410"/>
      <c r="E3850" s="1858"/>
      <c r="F3850" s="1360" t="s">
        <v>2</v>
      </c>
      <c r="G3850" s="1362"/>
      <c r="H3850" s="1362"/>
      <c r="I3850" s="1380"/>
      <c r="J3850" s="1381"/>
      <c r="K3850" s="1359"/>
      <c r="L3850" s="1458"/>
      <c r="M3850" s="1502"/>
      <c r="N3850" s="1502"/>
      <c r="O3850" s="1362"/>
      <c r="P3850" s="1359"/>
      <c r="Q3850" s="3387"/>
      <c r="R3850" s="2337"/>
      <c r="S3850" s="17"/>
      <c r="T3850" s="17"/>
      <c r="U3850" s="16"/>
      <c r="V3850" s="16"/>
    </row>
    <row r="3851" spans="1:22">
      <c r="A3851" s="16"/>
      <c r="B3851" s="1320"/>
      <c r="C3851" s="1042"/>
      <c r="D3851" s="1624" t="s">
        <v>1702</v>
      </c>
      <c r="E3851" s="2158" t="s">
        <v>1508</v>
      </c>
      <c r="F3851" s="1624" t="s">
        <v>1703</v>
      </c>
      <c r="G3851" s="1625">
        <v>0.34799999999999998</v>
      </c>
      <c r="H3851" s="1625"/>
      <c r="I3851" s="198"/>
      <c r="J3851" s="6"/>
      <c r="K3851" s="1307">
        <f t="shared" ref="K3851" si="436">G3851*$K$3843</f>
        <v>0.34799999999999998</v>
      </c>
      <c r="L3851" s="1335">
        <f>K3851*$K$3734</f>
        <v>0</v>
      </c>
      <c r="M3851" s="1499">
        <v>19.23</v>
      </c>
      <c r="N3851" s="1701"/>
      <c r="O3851" s="1290">
        <f>(G3851*M3851)</f>
        <v>6.6920399999999995</v>
      </c>
      <c r="P3851" s="1332">
        <f>M3851*K3851</f>
        <v>6.6920399999999995</v>
      </c>
      <c r="Q3851" s="3391"/>
      <c r="R3851" s="2337"/>
      <c r="S3851" s="105"/>
      <c r="T3851" s="105"/>
      <c r="U3851" s="16"/>
      <c r="V3851" s="16"/>
    </row>
    <row r="3852" spans="1:22">
      <c r="A3852" s="16"/>
      <c r="B3852" s="1320"/>
      <c r="C3852" s="1042"/>
      <c r="D3852" s="1402"/>
      <c r="E3852" s="1857"/>
      <c r="F3852" s="1645"/>
      <c r="G3852" s="1362"/>
      <c r="H3852" s="1359"/>
      <c r="I3852" s="198"/>
      <c r="J3852" s="6"/>
      <c r="K3852" s="1306"/>
      <c r="L3852" s="1646"/>
      <c r="M3852" s="1499"/>
      <c r="N3852" s="1499"/>
      <c r="O3852" s="1291"/>
      <c r="P3852" s="1332"/>
      <c r="Q3852" s="3391"/>
      <c r="R3852" s="2337"/>
      <c r="S3852" s="16"/>
      <c r="T3852" s="16"/>
      <c r="U3852" s="16"/>
      <c r="V3852" s="16"/>
    </row>
    <row r="3853" spans="1:22">
      <c r="A3853" s="16"/>
      <c r="B3853" s="1320"/>
      <c r="C3853" s="1042"/>
      <c r="D3853" s="1411"/>
      <c r="E3853" s="2123"/>
      <c r="F3853" s="1374" t="s">
        <v>3</v>
      </c>
      <c r="G3853" s="1374"/>
      <c r="H3853" s="1376"/>
      <c r="I3853" s="1382"/>
      <c r="J3853" s="1383"/>
      <c r="K3853" s="1373"/>
      <c r="L3853" s="1413"/>
      <c r="M3853" s="1505"/>
      <c r="N3853" s="1505"/>
      <c r="O3853" s="1376"/>
      <c r="P3853" s="1413"/>
      <c r="Q3853" s="3387"/>
      <c r="R3853" s="2337"/>
      <c r="S3853" s="16"/>
      <c r="T3853" s="16"/>
      <c r="U3853" s="16"/>
      <c r="V3853" s="16"/>
    </row>
    <row r="3854" spans="1:22">
      <c r="A3854" s="16"/>
      <c r="B3854" s="1320"/>
      <c r="C3854" s="1042"/>
      <c r="D3854" s="1412"/>
      <c r="E3854" s="2124"/>
      <c r="F3854" s="1378"/>
      <c r="G3854" s="1378"/>
      <c r="H3854" s="1379"/>
      <c r="I3854" s="198"/>
      <c r="J3854" s="6"/>
      <c r="K3854" s="1307"/>
      <c r="L3854" s="1335"/>
      <c r="M3854" s="1499"/>
      <c r="N3854" s="1701"/>
      <c r="O3854" s="1290"/>
      <c r="P3854" s="1332"/>
      <c r="Q3854" s="3391"/>
      <c r="R3854" s="2337"/>
      <c r="S3854" s="16"/>
      <c r="T3854" s="16"/>
      <c r="U3854" s="16"/>
      <c r="V3854" s="16"/>
    </row>
    <row r="3855" spans="1:22">
      <c r="A3855" s="16"/>
      <c r="B3855" s="1320"/>
      <c r="C3855" s="1042"/>
      <c r="D3855" s="1440"/>
      <c r="E3855" s="2132"/>
      <c r="F3855" s="1441"/>
      <c r="G3855" s="1441"/>
      <c r="H3855" s="1442"/>
      <c r="I3855" s="197"/>
      <c r="J3855" s="198"/>
      <c r="K3855" s="1307"/>
      <c r="L3855" s="1335"/>
      <c r="M3855" s="1499"/>
      <c r="N3855" s="1701"/>
      <c r="O3855" s="1290"/>
      <c r="P3855" s="1332"/>
      <c r="Q3855" s="3391"/>
      <c r="R3855" s="2337"/>
      <c r="S3855" s="16"/>
      <c r="T3855" s="16"/>
      <c r="U3855" s="16"/>
      <c r="V3855" s="16"/>
    </row>
    <row r="3856" spans="1:22">
      <c r="A3856" s="16"/>
      <c r="B3856" s="225"/>
      <c r="C3856" s="223"/>
      <c r="D3856" s="1440"/>
      <c r="E3856" s="2132"/>
      <c r="F3856" s="1955"/>
      <c r="G3856" s="1955"/>
      <c r="H3856" s="1956"/>
      <c r="I3856" s="197"/>
      <c r="J3856" s="198"/>
      <c r="K3856" s="1307"/>
      <c r="L3856" s="1335"/>
      <c r="M3856" s="1499"/>
      <c r="N3856" s="1701"/>
      <c r="O3856" s="1290"/>
      <c r="P3856" s="1332"/>
      <c r="Q3856" s="3391"/>
      <c r="R3856" s="2337"/>
      <c r="S3856" s="16"/>
      <c r="T3856" s="16"/>
      <c r="U3856" s="16"/>
      <c r="V3856" s="16"/>
    </row>
    <row r="3857" spans="1:22" s="22" customFormat="1">
      <c r="A3857" s="16"/>
      <c r="B3857" s="16"/>
      <c r="C3857" s="16"/>
      <c r="D3857" s="1795"/>
      <c r="E3857" s="2179"/>
      <c r="F3857" s="1795"/>
      <c r="G3857" s="1959"/>
      <c r="H3857" s="1960"/>
      <c r="I3857" s="1961"/>
      <c r="J3857" s="1962"/>
      <c r="K3857" s="1963"/>
      <c r="L3857" s="1964"/>
      <c r="M3857" s="1965"/>
      <c r="N3857" s="1966"/>
      <c r="O3857" s="1966"/>
      <c r="P3857" s="1504"/>
      <c r="Q3857" s="3391"/>
      <c r="R3857" s="2337"/>
      <c r="S3857" s="16"/>
      <c r="T3857" s="16"/>
      <c r="U3857" s="16"/>
      <c r="V3857" s="16"/>
    </row>
    <row r="3858" spans="1:22">
      <c r="A3858" s="16"/>
      <c r="B3858" s="16"/>
      <c r="C3858" s="16"/>
      <c r="D3858" s="16"/>
      <c r="E3858" s="2174"/>
      <c r="F3858" s="1462"/>
      <c r="G3858" s="1831" t="s">
        <v>1944</v>
      </c>
      <c r="H3858" s="1832"/>
      <c r="I3858" s="1833"/>
      <c r="J3858" s="1832"/>
      <c r="K3858" s="1832"/>
      <c r="L3858" s="1833"/>
      <c r="M3858" s="1832"/>
      <c r="N3858" s="1832"/>
      <c r="O3858" s="1832"/>
      <c r="P3858" s="1834"/>
      <c r="Q3858" s="3386"/>
      <c r="R3858" s="3363"/>
      <c r="S3858" s="16"/>
      <c r="T3858" s="16"/>
      <c r="U3858" s="16"/>
      <c r="V3858" s="16"/>
    </row>
    <row r="3859" spans="1:22" s="16" customFormat="1" ht="28.5">
      <c r="A3859" s="1596"/>
      <c r="B3859" s="1596"/>
      <c r="C3859" s="1596"/>
      <c r="D3859" s="1596"/>
      <c r="E3859" s="2314"/>
      <c r="F3859" s="2315"/>
      <c r="G3859" s="1583"/>
      <c r="H3859" s="1296"/>
      <c r="I3859" s="1558"/>
      <c r="J3859" s="1296"/>
      <c r="K3859" s="1296"/>
      <c r="L3859" s="2400" t="s">
        <v>2856</v>
      </c>
      <c r="M3859" s="2316"/>
      <c r="N3859" s="2316"/>
      <c r="O3859" s="2316"/>
      <c r="P3859" s="2316"/>
      <c r="Q3859" s="3386"/>
      <c r="R3859" s="3363"/>
    </row>
    <row r="3860" spans="1:22">
      <c r="A3860" s="4402" t="s">
        <v>162</v>
      </c>
      <c r="B3860" s="4403"/>
      <c r="C3860" s="4403"/>
      <c r="D3860" s="4404"/>
      <c r="E3860" s="4429" t="s">
        <v>1549</v>
      </c>
      <c r="F3860" s="4430" t="s">
        <v>1550</v>
      </c>
      <c r="G3860" s="4399" t="s">
        <v>1566</v>
      </c>
      <c r="H3860" s="4400"/>
      <c r="I3860" s="4400"/>
      <c r="J3860" s="4400"/>
      <c r="K3860" s="4400"/>
      <c r="L3860" s="4401"/>
      <c r="M3860" s="4513" t="s">
        <v>1567</v>
      </c>
      <c r="N3860" s="4513"/>
      <c r="O3860" s="4513"/>
      <c r="P3860" s="4513"/>
      <c r="Q3860" s="3395"/>
      <c r="R3860" s="3363"/>
      <c r="S3860" s="16"/>
      <c r="T3860" s="16"/>
      <c r="U3860" s="16"/>
      <c r="V3860" s="16"/>
    </row>
    <row r="3861" spans="1:22" ht="15" thickBot="1">
      <c r="A3861" s="1324" t="s">
        <v>3766</v>
      </c>
      <c r="B3861" s="1325" t="s">
        <v>1513</v>
      </c>
      <c r="C3861" s="1326" t="s">
        <v>1573</v>
      </c>
      <c r="D3861" s="1323" t="s">
        <v>1514</v>
      </c>
      <c r="E3861" s="4396"/>
      <c r="F3861" s="4398"/>
      <c r="G3861" s="4402"/>
      <c r="H3861" s="4403"/>
      <c r="I3861" s="4403"/>
      <c r="J3861" s="4403"/>
      <c r="K3861" s="4403"/>
      <c r="L3861" s="4404"/>
      <c r="M3861" s="4405"/>
      <c r="N3861" s="4405"/>
      <c r="O3861" s="4405"/>
      <c r="P3861" s="4405"/>
      <c r="Q3861" s="3395"/>
      <c r="R3861" s="2337"/>
      <c r="S3861" s="16"/>
      <c r="T3861" s="16"/>
      <c r="U3861" s="16"/>
      <c r="V3861" s="16"/>
    </row>
    <row r="3862" spans="1:22" ht="33.75" customHeight="1">
      <c r="A3862" s="4374" t="s">
        <v>1946</v>
      </c>
      <c r="B3862" s="4375"/>
      <c r="C3862" s="4375"/>
      <c r="D3862" s="4376"/>
      <c r="E3862" s="4380" t="s">
        <v>1507</v>
      </c>
      <c r="F3862" s="4382" t="s">
        <v>1945</v>
      </c>
      <c r="G3862" s="4493" t="s">
        <v>294</v>
      </c>
      <c r="H3862" s="4493"/>
      <c r="I3862" s="1665" t="s">
        <v>1565</v>
      </c>
      <c r="J3862" s="3348" t="s">
        <v>1575</v>
      </c>
      <c r="K3862" s="4493" t="s">
        <v>289</v>
      </c>
      <c r="L3862" s="4493"/>
      <c r="M3862" s="4408" t="s">
        <v>3349</v>
      </c>
      <c r="N3862" s="4408"/>
      <c r="O3862" s="4408"/>
      <c r="P3862" s="4409"/>
      <c r="Q3862" s="4244" t="s">
        <v>3940</v>
      </c>
      <c r="R3862" s="2337"/>
      <c r="S3862" s="16"/>
      <c r="T3862" s="16"/>
      <c r="U3862" s="16"/>
      <c r="V3862" s="16"/>
    </row>
    <row r="3863" spans="1:22" ht="16" thickBot="1">
      <c r="A3863" s="4377"/>
      <c r="B3863" s="4378"/>
      <c r="C3863" s="4378"/>
      <c r="D3863" s="4379"/>
      <c r="E3863" s="4381"/>
      <c r="F3863" s="4383"/>
      <c r="G3863" s="4451">
        <f>IF('Seleccion proyecto HEREVEA02'!G33="Reparación humedades filtraciones encuentro de forjado con cerramiento",'Seleccion proyecto HEREVEA02'!E29,0)</f>
        <v>0</v>
      </c>
      <c r="H3863" s="4452"/>
      <c r="I3863" s="3353">
        <f>IF('Seleccion proyecto HEREVEA02'!H33=0,0,IF('Seleccion proyecto HEREVEA02'!H33="1 a 30",0.3,IF('Seleccion proyecto HEREVEA02'!H33="31 a 60",0.6,IF('Seleccion proyecto HEREVEA02'!H33="61 a 100",1))))</f>
        <v>0</v>
      </c>
      <c r="J3863" s="1351">
        <f>'Seleccion proyecto HEREVEA02'!L8</f>
        <v>11100.968999999999</v>
      </c>
      <c r="K3863" s="4358">
        <f>G3863*I3863*J3863</f>
        <v>0</v>
      </c>
      <c r="L3863" s="4359"/>
      <c r="M3863" s="4360">
        <f>P3865+P3879+P3893+P3909+P3925+P3940+P3956+P3976+P3991</f>
        <v>206.70074396400003</v>
      </c>
      <c r="N3863" s="4361"/>
      <c r="O3863" s="4361"/>
      <c r="P3863" s="4362"/>
      <c r="Q3863" s="4245">
        <f>M3863*K3863</f>
        <v>0</v>
      </c>
      <c r="R3863" s="2337"/>
      <c r="S3863" s="16"/>
      <c r="T3863" s="16"/>
      <c r="U3863" s="16"/>
      <c r="V3863" s="16"/>
    </row>
    <row r="3864" spans="1:22">
      <c r="A3864" s="19" t="s">
        <v>3764</v>
      </c>
      <c r="B3864" s="4325" t="s">
        <v>1800</v>
      </c>
      <c r="C3864" s="3354"/>
      <c r="D3864" s="4368"/>
      <c r="E3864" s="4389" t="s">
        <v>1507</v>
      </c>
      <c r="F3864" s="4363" t="s">
        <v>1801</v>
      </c>
      <c r="G3864" s="4364" t="s">
        <v>1568</v>
      </c>
      <c r="H3864" s="4364" t="s">
        <v>1574</v>
      </c>
      <c r="I3864" s="1835" t="s">
        <v>1559</v>
      </c>
      <c r="J3864" s="1836" t="s">
        <v>1560</v>
      </c>
      <c r="K3864" s="1836" t="s">
        <v>1569</v>
      </c>
      <c r="L3864" s="4365" t="s">
        <v>3765</v>
      </c>
      <c r="M3864" s="4324" t="s">
        <v>1571</v>
      </c>
      <c r="N3864" s="4366" t="s">
        <v>1776</v>
      </c>
      <c r="O3864" s="3343" t="s">
        <v>1563</v>
      </c>
      <c r="P3864" s="3349" t="s">
        <v>1562</v>
      </c>
      <c r="Q3864" s="3389"/>
      <c r="R3864" s="1699" t="s">
        <v>1327</v>
      </c>
      <c r="S3864" s="16"/>
      <c r="T3864" s="16"/>
      <c r="U3864" s="16"/>
      <c r="V3864" s="16"/>
    </row>
    <row r="3865" spans="1:22">
      <c r="A3865" s="1807" t="s">
        <v>1946</v>
      </c>
      <c r="B3865" s="4326"/>
      <c r="C3865" s="3351"/>
      <c r="D3865" s="4328"/>
      <c r="E3865" s="4330"/>
      <c r="F3865" s="4336"/>
      <c r="G3865" s="4332"/>
      <c r="H3865" s="4332"/>
      <c r="I3865" s="1345">
        <v>39.6</v>
      </c>
      <c r="J3865" s="1307">
        <v>3.4000000000000002E-2</v>
      </c>
      <c r="K3865" s="1307">
        <f>I3865*J3865</f>
        <v>1.3464</v>
      </c>
      <c r="L3865" s="4334"/>
      <c r="M3865" s="4335"/>
      <c r="N3865" s="4324"/>
      <c r="O3865" s="1298">
        <f>SUM(O3867:O3877)</f>
        <v>30.126660000000001</v>
      </c>
      <c r="P3865" s="1337">
        <f>O3865*K3865</f>
        <v>40.562535024000006</v>
      </c>
      <c r="Q3865" s="3390"/>
      <c r="R3865" s="1721">
        <f>P3875+P3871</f>
        <v>40.562535023999999</v>
      </c>
      <c r="S3865" s="16"/>
      <c r="T3865" s="16"/>
      <c r="U3865" s="16"/>
      <c r="V3865" s="16"/>
    </row>
    <row r="3866" spans="1:22">
      <c r="B3866" s="1327"/>
      <c r="C3866" s="1327"/>
      <c r="D3866" s="1400"/>
      <c r="E3866" s="2121"/>
      <c r="F3866" s="1368" t="s">
        <v>1</v>
      </c>
      <c r="G3866" s="1390"/>
      <c r="H3866" s="1390"/>
      <c r="I3866" s="1554"/>
      <c r="J3866" s="1367"/>
      <c r="K3866" s="1367"/>
      <c r="L3866" s="1554"/>
      <c r="M3866" s="1369"/>
      <c r="N3866" s="1369"/>
      <c r="O3866" s="1369"/>
      <c r="P3866" s="1367"/>
      <c r="Q3866" s="3387"/>
      <c r="R3866" s="3363"/>
      <c r="S3866" s="16"/>
      <c r="T3866" s="16"/>
      <c r="U3866" s="16"/>
      <c r="V3866" s="16"/>
    </row>
    <row r="3867" spans="1:22">
      <c r="B3867" s="1042"/>
      <c r="C3867" s="1042"/>
      <c r="D3867" s="1400"/>
      <c r="E3867" s="1856"/>
      <c r="F3867" s="1421"/>
      <c r="G3867" s="1399"/>
      <c r="H3867" s="1399"/>
      <c r="I3867" s="1760"/>
      <c r="J3867" s="198"/>
      <c r="K3867" s="1307"/>
      <c r="L3867" s="1335"/>
      <c r="M3867" s="1499"/>
      <c r="N3867" s="1701"/>
      <c r="O3867" s="1290"/>
      <c r="P3867" s="1332"/>
      <c r="Q3867" s="3391"/>
      <c r="R3867" s="3363"/>
      <c r="S3867" s="16"/>
      <c r="T3867" s="16"/>
      <c r="U3867" s="16"/>
      <c r="V3867" s="16"/>
    </row>
    <row r="3868" spans="1:22">
      <c r="B3868" s="1042"/>
      <c r="C3868" s="1042"/>
      <c r="D3868" s="1400"/>
      <c r="E3868" s="1856"/>
      <c r="F3868" s="1421"/>
      <c r="G3868" s="1399"/>
      <c r="H3868" s="1399"/>
      <c r="I3868" s="1760"/>
      <c r="J3868" s="198"/>
      <c r="K3868" s="1307"/>
      <c r="L3868" s="1335"/>
      <c r="M3868" s="1499"/>
      <c r="N3868" s="1701"/>
      <c r="O3868" s="1290"/>
      <c r="P3868" s="1332"/>
      <c r="Q3868" s="3391"/>
      <c r="R3868" s="2337"/>
      <c r="S3868" s="16"/>
      <c r="T3868" s="16"/>
      <c r="U3868" s="16"/>
      <c r="V3868" s="16"/>
    </row>
    <row r="3869" spans="1:22">
      <c r="B3869" s="1042"/>
      <c r="C3869" s="1042"/>
      <c r="D3869" s="1400"/>
      <c r="E3869" s="1856"/>
      <c r="F3869" s="1421"/>
      <c r="G3869" s="1399"/>
      <c r="H3869" s="1399"/>
      <c r="I3869" s="197"/>
      <c r="J3869" s="198"/>
      <c r="K3869" s="1307"/>
      <c r="L3869" s="1335"/>
      <c r="M3869" s="1499"/>
      <c r="N3869" s="1701"/>
      <c r="O3869" s="1290"/>
      <c r="P3869" s="1332"/>
      <c r="Q3869" s="3391"/>
      <c r="R3869" s="3363"/>
      <c r="S3869" s="16"/>
      <c r="T3869" s="16"/>
      <c r="U3869" s="16"/>
      <c r="V3869" s="16"/>
    </row>
    <row r="3870" spans="1:22">
      <c r="B3870" s="1042"/>
      <c r="C3870" s="1042"/>
      <c r="D3870" s="1410"/>
      <c r="E3870" s="1858"/>
      <c r="F3870" s="1360" t="s">
        <v>2</v>
      </c>
      <c r="G3870" s="1362"/>
      <c r="H3870" s="1362"/>
      <c r="I3870" s="1380"/>
      <c r="J3870" s="1381"/>
      <c r="K3870" s="1359"/>
      <c r="L3870" s="1458"/>
      <c r="M3870" s="1502"/>
      <c r="N3870" s="1502"/>
      <c r="O3870" s="1362"/>
      <c r="P3870" s="1359"/>
      <c r="Q3870" s="3387"/>
      <c r="R3870" s="3363"/>
      <c r="S3870" s="16"/>
      <c r="T3870" s="16"/>
      <c r="U3870" s="16"/>
      <c r="V3870" s="16"/>
    </row>
    <row r="3871" spans="1:22">
      <c r="B3871" s="1042"/>
      <c r="C3871" s="1042"/>
      <c r="D3871" s="1623" t="s">
        <v>1802</v>
      </c>
      <c r="E3871" s="2158" t="s">
        <v>1803</v>
      </c>
      <c r="F3871" s="1801" t="s">
        <v>1804</v>
      </c>
      <c r="G3871" s="1822">
        <v>1.0469999999999999</v>
      </c>
      <c r="H3871" s="1822"/>
      <c r="I3871" s="198"/>
      <c r="J3871" s="6"/>
      <c r="K3871" s="1307">
        <f>G3871*K3865</f>
        <v>1.4096807999999998</v>
      </c>
      <c r="L3871" s="1335">
        <f>$K$3863*K3871</f>
        <v>0</v>
      </c>
      <c r="M3871" s="1499">
        <v>18.28</v>
      </c>
      <c r="N3871" s="1701"/>
      <c r="O3871" s="1290">
        <f>(G3871*M3871)</f>
        <v>19.13916</v>
      </c>
      <c r="P3871" s="1332">
        <f>M3871*K3871</f>
        <v>25.768965024</v>
      </c>
      <c r="Q3871" s="3391"/>
      <c r="R3871" s="3363"/>
      <c r="S3871" s="16"/>
      <c r="T3871" s="16"/>
      <c r="U3871" s="16"/>
      <c r="V3871" s="16"/>
    </row>
    <row r="3872" spans="1:22">
      <c r="B3872" s="1042"/>
      <c r="C3872" s="1042"/>
      <c r="D3872" s="1623"/>
      <c r="E3872" s="2158"/>
      <c r="F3872" s="1801"/>
      <c r="G3872" s="1822"/>
      <c r="H3872" s="1822"/>
      <c r="I3872" s="198"/>
      <c r="J3872" s="6"/>
      <c r="K3872" s="1307"/>
      <c r="L3872" s="1335"/>
      <c r="M3872" s="1499"/>
      <c r="N3872" s="1701"/>
      <c r="O3872" s="1290"/>
      <c r="P3872" s="1332"/>
      <c r="Q3872" s="3391"/>
      <c r="R3872" s="3363"/>
      <c r="S3872" s="16"/>
      <c r="T3872" s="16"/>
      <c r="U3872" s="16"/>
      <c r="V3872" s="16"/>
    </row>
    <row r="3873" spans="1:22">
      <c r="B3873" s="1042"/>
      <c r="C3873" s="1042"/>
      <c r="D3873" s="1623"/>
      <c r="E3873" s="2158"/>
      <c r="F3873" s="1801"/>
      <c r="G3873" s="1822"/>
      <c r="H3873" s="1822"/>
      <c r="I3873" s="198"/>
      <c r="J3873" s="6"/>
      <c r="K3873" s="1307"/>
      <c r="L3873" s="1335"/>
      <c r="M3873" s="1499"/>
      <c r="N3873" s="1701"/>
      <c r="O3873" s="1290"/>
      <c r="P3873" s="1332"/>
      <c r="Q3873" s="3391"/>
      <c r="R3873" s="3363"/>
      <c r="S3873" s="16"/>
      <c r="T3873" s="16"/>
      <c r="U3873" s="16"/>
      <c r="V3873" s="16"/>
    </row>
    <row r="3874" spans="1:22">
      <c r="B3874" s="1042"/>
      <c r="C3874" s="1042"/>
      <c r="D3874" s="1411"/>
      <c r="E3874" s="2123"/>
      <c r="F3874" s="1802" t="s">
        <v>3</v>
      </c>
      <c r="G3874" s="1376"/>
      <c r="H3874" s="1376"/>
      <c r="I3874" s="1382"/>
      <c r="J3874" s="1383"/>
      <c r="K3874" s="1373"/>
      <c r="L3874" s="1413"/>
      <c r="M3874" s="1505"/>
      <c r="N3874" s="1505"/>
      <c r="O3874" s="1376"/>
      <c r="P3874" s="1413"/>
      <c r="Q3874" s="3387"/>
      <c r="R3874" s="3363"/>
      <c r="S3874" s="16"/>
      <c r="T3874" s="16"/>
      <c r="U3874" s="16"/>
      <c r="V3874" s="16"/>
    </row>
    <row r="3875" spans="1:22">
      <c r="B3875" s="1042"/>
      <c r="C3875" s="1042"/>
      <c r="D3875" s="1411" t="s">
        <v>1686</v>
      </c>
      <c r="E3875" s="2123" t="s">
        <v>1803</v>
      </c>
      <c r="F3875" s="1475" t="s">
        <v>1688</v>
      </c>
      <c r="G3875" s="1376">
        <v>1.4650000000000001</v>
      </c>
      <c r="H3875" s="1376"/>
      <c r="I3875" s="198"/>
      <c r="J3875" s="6"/>
      <c r="K3875" s="1307">
        <f>G3875*K3865</f>
        <v>1.9724760000000001</v>
      </c>
      <c r="L3875" s="1335">
        <f>$K$3863*K3875</f>
        <v>0</v>
      </c>
      <c r="M3875" s="1499">
        <v>7.5</v>
      </c>
      <c r="N3875" s="1701"/>
      <c r="O3875" s="1290">
        <f>(G3875*M3875)</f>
        <v>10.987500000000001</v>
      </c>
      <c r="P3875" s="1332">
        <f>M3875*K3875</f>
        <v>14.793570000000001</v>
      </c>
      <c r="Q3875" s="3391"/>
      <c r="R3875" s="3363"/>
      <c r="S3875" s="16"/>
      <c r="T3875" s="16"/>
      <c r="U3875" s="16"/>
      <c r="V3875" s="16"/>
    </row>
    <row r="3876" spans="1:22">
      <c r="B3876" s="1042"/>
      <c r="C3876" s="1042"/>
      <c r="D3876" s="1411"/>
      <c r="E3876" s="2123"/>
      <c r="F3876" s="1475"/>
      <c r="G3876" s="1376"/>
      <c r="H3876" s="1376"/>
      <c r="I3876" s="198"/>
      <c r="J3876" s="6"/>
      <c r="K3876" s="1307"/>
      <c r="L3876" s="1335"/>
      <c r="M3876" s="1499"/>
      <c r="N3876" s="1701"/>
      <c r="O3876" s="1290"/>
      <c r="P3876" s="1332"/>
      <c r="Q3876" s="3391"/>
      <c r="R3876" s="3363"/>
      <c r="S3876" s="16"/>
      <c r="T3876" s="16"/>
      <c r="U3876" s="16"/>
      <c r="V3876" s="16"/>
    </row>
    <row r="3877" spans="1:22">
      <c r="B3877" s="223"/>
      <c r="C3877" s="223"/>
      <c r="D3877" s="1808"/>
      <c r="E3877" s="2132"/>
      <c r="F3877" s="1804"/>
      <c r="G3877" s="1805"/>
      <c r="H3877" s="1805"/>
      <c r="I3877" s="197"/>
      <c r="J3877" s="1806"/>
      <c r="K3877" s="1307"/>
      <c r="L3877" s="1335"/>
      <c r="M3877" s="1701"/>
      <c r="N3877" s="1701"/>
      <c r="O3877" s="1290"/>
      <c r="P3877" s="1333"/>
      <c r="Q3877" s="3391"/>
      <c r="R3877" s="2337"/>
      <c r="S3877" s="16"/>
      <c r="T3877" s="16"/>
      <c r="U3877" s="16"/>
      <c r="V3877" s="16"/>
    </row>
    <row r="3878" spans="1:22">
      <c r="A3878" s="19" t="s">
        <v>3764</v>
      </c>
      <c r="B3878" s="4325" t="s">
        <v>1735</v>
      </c>
      <c r="C3878" s="3350"/>
      <c r="D3878" s="4327"/>
      <c r="E3878" s="4329" t="s">
        <v>1507</v>
      </c>
      <c r="F3878" s="4336" t="s">
        <v>1771</v>
      </c>
      <c r="G3878" s="4331" t="s">
        <v>1568</v>
      </c>
      <c r="H3878" s="4331" t="s">
        <v>1574</v>
      </c>
      <c r="I3878" s="1572" t="s">
        <v>1559</v>
      </c>
      <c r="J3878" s="1294" t="s">
        <v>1560</v>
      </c>
      <c r="K3878" s="1294" t="s">
        <v>1569</v>
      </c>
      <c r="L3878" s="4333" t="s">
        <v>3765</v>
      </c>
      <c r="M3878" s="4335" t="s">
        <v>1571</v>
      </c>
      <c r="N3878" s="4323" t="s">
        <v>1776</v>
      </c>
      <c r="O3878" s="3347" t="s">
        <v>1563</v>
      </c>
      <c r="P3878" s="1336" t="s">
        <v>1562</v>
      </c>
      <c r="Q3878" s="3389"/>
      <c r="R3878" s="1699" t="s">
        <v>1327</v>
      </c>
      <c r="S3878" s="16"/>
      <c r="T3878" s="16"/>
      <c r="U3878" s="16"/>
      <c r="V3878" s="16"/>
    </row>
    <row r="3879" spans="1:22">
      <c r="A3879" s="1660" t="s">
        <v>1946</v>
      </c>
      <c r="B3879" s="4326"/>
      <c r="C3879" s="3351"/>
      <c r="D3879" s="4328"/>
      <c r="E3879" s="4330"/>
      <c r="F3879" s="4336"/>
      <c r="G3879" s="4332"/>
      <c r="H3879" s="4332"/>
      <c r="I3879" s="1345">
        <v>16.5</v>
      </c>
      <c r="J3879" s="1307">
        <v>3.4000000000000002E-2</v>
      </c>
      <c r="K3879" s="1307">
        <f>I3879*J3879</f>
        <v>0.56100000000000005</v>
      </c>
      <c r="L3879" s="4334"/>
      <c r="M3879" s="4335"/>
      <c r="N3879" s="4324"/>
      <c r="O3879" s="1298">
        <f>SUM(O3881:O3891)</f>
        <v>8.6829999999999998</v>
      </c>
      <c r="P3879" s="1337">
        <f>O3879*K3879</f>
        <v>4.8711630000000001</v>
      </c>
      <c r="Q3879" s="3390"/>
      <c r="R3879" s="1721">
        <f>SUM(P3881:P3891)</f>
        <v>4.871163000000001</v>
      </c>
      <c r="S3879" s="16"/>
      <c r="T3879" s="16"/>
      <c r="U3879" s="16"/>
      <c r="V3879" s="16"/>
    </row>
    <row r="3880" spans="1:22">
      <c r="B3880" s="551"/>
      <c r="C3880" s="18"/>
      <c r="D3880" s="1400"/>
      <c r="E3880" s="2121"/>
      <c r="F3880" s="1368" t="s">
        <v>1</v>
      </c>
      <c r="G3880" s="1417"/>
      <c r="H3880" s="1390"/>
      <c r="I3880" s="1554"/>
      <c r="J3880" s="1367"/>
      <c r="K3880" s="1367"/>
      <c r="L3880" s="1554"/>
      <c r="M3880" s="1369"/>
      <c r="N3880" s="1369"/>
      <c r="O3880" s="1369"/>
      <c r="P3880" s="1367"/>
      <c r="Q3880" s="3387"/>
      <c r="R3880" s="3363"/>
      <c r="S3880" s="16"/>
      <c r="T3880" s="16"/>
      <c r="U3880" s="16"/>
      <c r="V3880" s="16"/>
    </row>
    <row r="3881" spans="1:22">
      <c r="B3881" s="553"/>
      <c r="C3881" s="1042"/>
      <c r="D3881" s="1400"/>
      <c r="E3881" s="1856"/>
      <c r="F3881" s="1421"/>
      <c r="G3881" s="1399"/>
      <c r="H3881" s="1399"/>
      <c r="I3881" s="1760"/>
      <c r="J3881" s="198"/>
      <c r="K3881" s="1307"/>
      <c r="L3881" s="1335"/>
      <c r="M3881" s="1499"/>
      <c r="N3881" s="1701"/>
      <c r="O3881" s="1290"/>
      <c r="P3881" s="1332"/>
      <c r="Q3881" s="3391"/>
      <c r="R3881" s="3363"/>
      <c r="S3881" s="16"/>
      <c r="T3881" s="16"/>
      <c r="U3881" s="16"/>
      <c r="V3881" s="16"/>
    </row>
    <row r="3882" spans="1:22">
      <c r="B3882" s="553"/>
      <c r="C3882" s="1042"/>
      <c r="D3882" s="1400"/>
      <c r="E3882" s="1856"/>
      <c r="F3882" s="1421"/>
      <c r="G3882" s="1399"/>
      <c r="H3882" s="1399"/>
      <c r="I3882" s="1760"/>
      <c r="J3882" s="198"/>
      <c r="K3882" s="1307"/>
      <c r="L3882" s="1335"/>
      <c r="M3882" s="1499"/>
      <c r="N3882" s="1701"/>
      <c r="O3882" s="1290"/>
      <c r="P3882" s="1332"/>
      <c r="Q3882" s="3391"/>
      <c r="R3882" s="3363"/>
      <c r="S3882" s="16"/>
      <c r="T3882" s="16"/>
      <c r="U3882" s="16"/>
      <c r="V3882" s="16"/>
    </row>
    <row r="3883" spans="1:22">
      <c r="B3883" s="553"/>
      <c r="C3883" s="1042"/>
      <c r="D3883" s="1400"/>
      <c r="E3883" s="1856"/>
      <c r="F3883" s="1421"/>
      <c r="G3883" s="1452"/>
      <c r="H3883" s="1399"/>
      <c r="I3883" s="197"/>
      <c r="J3883" s="198"/>
      <c r="K3883" s="1307"/>
      <c r="L3883" s="1335"/>
      <c r="M3883" s="1499"/>
      <c r="N3883" s="1701"/>
      <c r="O3883" s="1290"/>
      <c r="P3883" s="1332"/>
      <c r="Q3883" s="3391"/>
      <c r="R3883" s="3363"/>
      <c r="S3883" s="16"/>
      <c r="T3883" s="16"/>
      <c r="U3883" s="16"/>
      <c r="V3883" s="16"/>
    </row>
    <row r="3884" spans="1:22">
      <c r="B3884" s="553"/>
      <c r="C3884" s="1042"/>
      <c r="D3884" s="1410"/>
      <c r="E3884" s="1858"/>
      <c r="F3884" s="1360" t="s">
        <v>2</v>
      </c>
      <c r="G3884" s="1360"/>
      <c r="H3884" s="1362"/>
      <c r="I3884" s="1380"/>
      <c r="J3884" s="1381"/>
      <c r="K3884" s="1359"/>
      <c r="L3884" s="1458"/>
      <c r="M3884" s="1502"/>
      <c r="N3884" s="1502"/>
      <c r="O3884" s="1362"/>
      <c r="P3884" s="1359"/>
      <c r="Q3884" s="3387"/>
      <c r="R3884" s="3363"/>
      <c r="S3884" s="16"/>
      <c r="T3884" s="16"/>
      <c r="U3884" s="16"/>
      <c r="V3884" s="16"/>
    </row>
    <row r="3885" spans="1:22">
      <c r="B3885" s="553"/>
      <c r="C3885" s="1042"/>
      <c r="D3885" s="1364" t="s">
        <v>1067</v>
      </c>
      <c r="E3885" s="2148" t="s">
        <v>1508</v>
      </c>
      <c r="F3885" s="1473" t="s">
        <v>1512</v>
      </c>
      <c r="G3885" s="1365">
        <v>0.47499999999999998</v>
      </c>
      <c r="H3885" s="1365"/>
      <c r="I3885" s="198"/>
      <c r="J3885" s="6"/>
      <c r="K3885" s="1307">
        <f>G3885*K3879</f>
        <v>0.26647500000000002</v>
      </c>
      <c r="L3885" s="1335">
        <f>$K$3863*K3885</f>
        <v>0</v>
      </c>
      <c r="M3885" s="1499">
        <v>18.28</v>
      </c>
      <c r="N3885" s="1701"/>
      <c r="O3885" s="1290">
        <f>(G3885*M3885)</f>
        <v>8.6829999999999998</v>
      </c>
      <c r="P3885" s="1332">
        <f>M3885*K3885</f>
        <v>4.871163000000001</v>
      </c>
      <c r="Q3885" s="3391"/>
      <c r="R3885" s="3363"/>
      <c r="S3885" s="16"/>
      <c r="T3885" s="16"/>
      <c r="U3885" s="16"/>
      <c r="V3885" s="16"/>
    </row>
    <row r="3886" spans="1:22">
      <c r="B3886" s="553"/>
      <c r="C3886" s="1042"/>
      <c r="D3886" s="1623"/>
      <c r="E3886" s="2158"/>
      <c r="F3886" s="1801"/>
      <c r="G3886" s="1359"/>
      <c r="H3886" s="1803"/>
      <c r="I3886" s="198"/>
      <c r="J3886" s="6"/>
      <c r="K3886" s="1307"/>
      <c r="L3886" s="1335"/>
      <c r="M3886" s="1499"/>
      <c r="N3886" s="1701"/>
      <c r="O3886" s="1290"/>
      <c r="P3886" s="1332"/>
      <c r="Q3886" s="3391"/>
      <c r="R3886" s="3363"/>
      <c r="S3886" s="16"/>
      <c r="T3886" s="16"/>
      <c r="U3886" s="16"/>
      <c r="V3886" s="16"/>
    </row>
    <row r="3887" spans="1:22">
      <c r="B3887" s="553"/>
      <c r="C3887" s="1042"/>
      <c r="D3887" s="1623"/>
      <c r="E3887" s="2158"/>
      <c r="F3887" s="1801"/>
      <c r="G3887" s="1359"/>
      <c r="H3887" s="1803"/>
      <c r="I3887" s="198"/>
      <c r="J3887" s="6"/>
      <c r="K3887" s="1307"/>
      <c r="L3887" s="1335"/>
      <c r="M3887" s="1499"/>
      <c r="N3887" s="1701"/>
      <c r="O3887" s="1290"/>
      <c r="P3887" s="1332"/>
      <c r="Q3887" s="3391"/>
      <c r="R3887" s="3363"/>
      <c r="S3887" s="16"/>
      <c r="T3887" s="16"/>
      <c r="U3887" s="16"/>
      <c r="V3887" s="16"/>
    </row>
    <row r="3888" spans="1:22">
      <c r="B3888" s="553"/>
      <c r="C3888" s="1042"/>
      <c r="D3888" s="1411"/>
      <c r="E3888" s="2123"/>
      <c r="F3888" s="1802" t="s">
        <v>3</v>
      </c>
      <c r="G3888" s="1475"/>
      <c r="H3888" s="1505"/>
      <c r="I3888" s="1382"/>
      <c r="J3888" s="1383"/>
      <c r="K3888" s="1373"/>
      <c r="L3888" s="1413"/>
      <c r="M3888" s="1505"/>
      <c r="N3888" s="1505"/>
      <c r="O3888" s="1376"/>
      <c r="P3888" s="1413"/>
      <c r="Q3888" s="3387"/>
      <c r="R3888" s="3363"/>
      <c r="S3888" s="16"/>
      <c r="T3888" s="16"/>
      <c r="U3888" s="16"/>
      <c r="V3888" s="16"/>
    </row>
    <row r="3889" spans="1:22">
      <c r="B3889" s="553"/>
      <c r="C3889" s="1042"/>
      <c r="D3889" s="1411"/>
      <c r="E3889" s="2123"/>
      <c r="F3889" s="1475"/>
      <c r="G3889" s="1475"/>
      <c r="H3889" s="1376"/>
      <c r="I3889" s="198"/>
      <c r="J3889" s="6"/>
      <c r="K3889" s="1307"/>
      <c r="L3889" s="1335"/>
      <c r="M3889" s="1499"/>
      <c r="N3889" s="1701"/>
      <c r="O3889" s="1290"/>
      <c r="P3889" s="1332"/>
      <c r="Q3889" s="3391"/>
      <c r="R3889" s="3363"/>
      <c r="S3889" s="16"/>
      <c r="T3889" s="16"/>
      <c r="U3889" s="16"/>
      <c r="V3889" s="16"/>
    </row>
    <row r="3890" spans="1:22">
      <c r="B3890" s="553"/>
      <c r="C3890" s="1042"/>
      <c r="D3890" s="1412"/>
      <c r="E3890" s="2124"/>
      <c r="F3890" s="1377"/>
      <c r="G3890" s="1377"/>
      <c r="H3890" s="1597"/>
      <c r="I3890" s="198"/>
      <c r="J3890" s="6"/>
      <c r="K3890" s="1306"/>
      <c r="L3890" s="1646"/>
      <c r="M3890" s="1302"/>
      <c r="N3890" s="1302"/>
      <c r="O3890" s="1291"/>
      <c r="P3890" s="1332"/>
      <c r="Q3890" s="3391"/>
      <c r="R3890" s="2337"/>
      <c r="S3890" s="17"/>
      <c r="T3890" s="17"/>
      <c r="U3890" s="16"/>
      <c r="V3890" s="16"/>
    </row>
    <row r="3891" spans="1:22">
      <c r="B3891" s="554"/>
      <c r="C3891" s="223"/>
      <c r="D3891" s="1808"/>
      <c r="E3891" s="2132"/>
      <c r="F3891" s="1804"/>
      <c r="G3891" s="1804"/>
      <c r="H3891" s="1805"/>
      <c r="I3891" s="197"/>
      <c r="J3891" s="1806"/>
      <c r="K3891" s="1307"/>
      <c r="L3891" s="1335"/>
      <c r="M3891" s="1701"/>
      <c r="N3891" s="1701"/>
      <c r="O3891" s="1290"/>
      <c r="P3891" s="1333"/>
      <c r="Q3891" s="3391"/>
      <c r="R3891" s="3363"/>
      <c r="S3891" s="105"/>
      <c r="T3891" s="105"/>
      <c r="U3891" s="16"/>
      <c r="V3891" s="16"/>
    </row>
    <row r="3892" spans="1:22">
      <c r="A3892" s="19" t="s">
        <v>3764</v>
      </c>
      <c r="B3892" s="4325" t="s">
        <v>1947</v>
      </c>
      <c r="C3892" s="3350"/>
      <c r="D3892" s="4327"/>
      <c r="E3892" s="4329" t="s">
        <v>1507</v>
      </c>
      <c r="F3892" s="4336" t="s">
        <v>1948</v>
      </c>
      <c r="G3892" s="4331" t="s">
        <v>1568</v>
      </c>
      <c r="H3892" s="4331" t="s">
        <v>1574</v>
      </c>
      <c r="I3892" s="1572" t="s">
        <v>1559</v>
      </c>
      <c r="J3892" s="1294" t="s">
        <v>1560</v>
      </c>
      <c r="K3892" s="1294" t="s">
        <v>1569</v>
      </c>
      <c r="L3892" s="4333" t="s">
        <v>3765</v>
      </c>
      <c r="M3892" s="4335" t="s">
        <v>1571</v>
      </c>
      <c r="N3892" s="4323" t="s">
        <v>1776</v>
      </c>
      <c r="O3892" s="3347" t="s">
        <v>1563</v>
      </c>
      <c r="P3892" s="1336" t="s">
        <v>1562</v>
      </c>
      <c r="Q3892" s="3389"/>
      <c r="R3892" s="1699" t="s">
        <v>1327</v>
      </c>
      <c r="S3892" s="16"/>
      <c r="T3892" s="16"/>
      <c r="U3892" s="16"/>
      <c r="V3892" s="16"/>
    </row>
    <row r="3893" spans="1:22">
      <c r="A3893" s="1660" t="s">
        <v>1946</v>
      </c>
      <c r="B3893" s="4326"/>
      <c r="C3893" s="3351"/>
      <c r="D3893" s="4328"/>
      <c r="E3893" s="4330"/>
      <c r="F3893" s="4336"/>
      <c r="G3893" s="4332"/>
      <c r="H3893" s="4332"/>
      <c r="I3893" s="1345">
        <v>19.8</v>
      </c>
      <c r="J3893" s="1307">
        <v>3.4000000000000002E-2</v>
      </c>
      <c r="K3893" s="1307">
        <f>I3893*J3893</f>
        <v>0.67320000000000002</v>
      </c>
      <c r="L3893" s="4334"/>
      <c r="M3893" s="4335"/>
      <c r="N3893" s="4324"/>
      <c r="O3893" s="1298">
        <f>SUM(O3895:O3907)</f>
        <v>18.71735</v>
      </c>
      <c r="P3893" s="1337">
        <f>O3893*K3893</f>
        <v>12.600520019999999</v>
      </c>
      <c r="Q3893" s="3390"/>
      <c r="R3893" s="1721">
        <f>SUM(P3895:P3907)</f>
        <v>12.600520019999998</v>
      </c>
      <c r="S3893" s="16"/>
      <c r="T3893" s="16"/>
      <c r="U3893" s="16"/>
      <c r="V3893" s="16"/>
    </row>
    <row r="3894" spans="1:22">
      <c r="A3894" s="22"/>
      <c r="B3894" s="551"/>
      <c r="C3894" s="18"/>
      <c r="D3894" s="1400"/>
      <c r="E3894" s="2121"/>
      <c r="F3894" s="1368" t="s">
        <v>1</v>
      </c>
      <c r="G3894" s="1417"/>
      <c r="H3894" s="1390"/>
      <c r="I3894" s="1554"/>
      <c r="J3894" s="1367"/>
      <c r="K3894" s="1367"/>
      <c r="L3894" s="1554"/>
      <c r="M3894" s="1369"/>
      <c r="N3894" s="1369"/>
      <c r="O3894" s="1369"/>
      <c r="P3894" s="1367"/>
      <c r="Q3894" s="3387"/>
      <c r="R3894" s="3363"/>
      <c r="S3894" s="16"/>
      <c r="T3894" s="16"/>
      <c r="U3894" s="16"/>
      <c r="V3894" s="16"/>
    </row>
    <row r="3895" spans="1:22">
      <c r="A3895" s="22"/>
      <c r="B3895" s="553"/>
      <c r="C3895" s="1320"/>
      <c r="D3895" s="1668"/>
      <c r="E3895" s="2166"/>
      <c r="F3895" s="1668"/>
      <c r="G3895" s="1958"/>
      <c r="H3895" s="1399"/>
      <c r="I3895" s="197"/>
      <c r="J3895" s="198"/>
      <c r="K3895" s="1307"/>
      <c r="L3895" s="1335"/>
      <c r="M3895" s="1957"/>
      <c r="N3895" s="1718"/>
      <c r="O3895" s="1290"/>
      <c r="P3895" s="1332"/>
      <c r="Q3895" s="3391"/>
      <c r="R3895" s="3363"/>
      <c r="S3895" s="16"/>
      <c r="T3895" s="16"/>
      <c r="U3895" s="16"/>
      <c r="V3895" s="16"/>
    </row>
    <row r="3896" spans="1:22">
      <c r="A3896" s="22"/>
      <c r="B3896" s="553"/>
      <c r="C3896" s="1320"/>
      <c r="D3896" s="1756"/>
      <c r="E3896" s="1852"/>
      <c r="F3896" s="1752"/>
      <c r="G3896" s="1399"/>
      <c r="H3896" s="1399"/>
      <c r="I3896" s="197"/>
      <c r="J3896" s="198"/>
      <c r="K3896" s="1307"/>
      <c r="L3896" s="1335"/>
      <c r="M3896" s="1499"/>
      <c r="N3896" s="1718"/>
      <c r="O3896" s="1719"/>
      <c r="P3896" s="1970"/>
      <c r="Q3896" s="3400"/>
      <c r="R3896" s="2347"/>
      <c r="S3896" s="16"/>
      <c r="T3896" s="16"/>
      <c r="U3896" s="16"/>
      <c r="V3896" s="16"/>
    </row>
    <row r="3897" spans="1:22">
      <c r="A3897" s="22"/>
      <c r="B3897" s="553"/>
      <c r="C3897" s="1320"/>
      <c r="D3897" s="1756"/>
      <c r="E3897" s="1852"/>
      <c r="F3897" s="1752"/>
      <c r="G3897" s="1399"/>
      <c r="H3897" s="1399"/>
      <c r="I3897" s="197"/>
      <c r="J3897" s="198"/>
      <c r="K3897" s="1307"/>
      <c r="L3897" s="1335"/>
      <c r="M3897" s="1499"/>
      <c r="N3897" s="1718"/>
      <c r="O3897" s="1719"/>
      <c r="P3897" s="1720"/>
      <c r="Q3897" s="3396"/>
      <c r="R3897" s="3363"/>
      <c r="S3897" s="16"/>
      <c r="T3897" s="16"/>
      <c r="U3897" s="16"/>
      <c r="V3897" s="16"/>
    </row>
    <row r="3898" spans="1:22">
      <c r="A3898" s="22"/>
      <c r="B3898" s="553"/>
      <c r="C3898" s="1042"/>
      <c r="D3898" s="1410"/>
      <c r="E3898" s="1858"/>
      <c r="F3898" s="1360" t="s">
        <v>2</v>
      </c>
      <c r="G3898" s="1360"/>
      <c r="H3898" s="1362"/>
      <c r="I3898" s="1380"/>
      <c r="J3898" s="1381"/>
      <c r="K3898" s="1359"/>
      <c r="L3898" s="1458"/>
      <c r="M3898" s="1502"/>
      <c r="N3898" s="1502"/>
      <c r="O3898" s="1362"/>
      <c r="P3898" s="1359"/>
      <c r="Q3898" s="3387"/>
      <c r="R3898" s="3363"/>
      <c r="S3898" s="16"/>
      <c r="T3898" s="16"/>
      <c r="U3898" s="16"/>
      <c r="V3898" s="16"/>
    </row>
    <row r="3899" spans="1:22">
      <c r="A3899" s="22"/>
      <c r="B3899" s="553"/>
      <c r="C3899" s="1042"/>
      <c r="D3899" s="1655" t="s">
        <v>1806</v>
      </c>
      <c r="E3899" s="1857" t="s">
        <v>1508</v>
      </c>
      <c r="F3899" s="1403" t="s">
        <v>1818</v>
      </c>
      <c r="G3899" s="1365">
        <v>0.215</v>
      </c>
      <c r="H3899" s="1365"/>
      <c r="I3899" s="198"/>
      <c r="J3899" s="6"/>
      <c r="K3899" s="1307">
        <f>G3899*$K$3893</f>
        <v>0.14473800000000001</v>
      </c>
      <c r="L3899" s="1335">
        <f t="shared" ref="L3899:L3900" si="437">$K$3863*K3899</f>
        <v>0</v>
      </c>
      <c r="M3899" s="1499">
        <v>19.23</v>
      </c>
      <c r="N3899" s="1701"/>
      <c r="O3899" s="1290">
        <f>(G3899*M3899)</f>
        <v>4.1344500000000002</v>
      </c>
      <c r="P3899" s="1332">
        <f>M3899*K3899</f>
        <v>2.7833117400000003</v>
      </c>
      <c r="Q3899" s="3391"/>
      <c r="R3899" s="3363"/>
      <c r="S3899" s="16"/>
      <c r="T3899" s="16"/>
      <c r="U3899" s="16"/>
      <c r="V3899" s="16"/>
    </row>
    <row r="3900" spans="1:22">
      <c r="A3900" s="22"/>
      <c r="B3900" s="553"/>
      <c r="C3900" s="1042"/>
      <c r="D3900" s="1364" t="s">
        <v>1067</v>
      </c>
      <c r="E3900" s="2148" t="s">
        <v>1508</v>
      </c>
      <c r="F3900" s="1473" t="s">
        <v>1512</v>
      </c>
      <c r="G3900" s="1365">
        <v>0.43</v>
      </c>
      <c r="H3900" s="1365"/>
      <c r="I3900" s="198"/>
      <c r="J3900" s="6"/>
      <c r="K3900" s="1307">
        <f>G3900*$K$3893</f>
        <v>0.28947600000000001</v>
      </c>
      <c r="L3900" s="1335">
        <f t="shared" si="437"/>
        <v>0</v>
      </c>
      <c r="M3900" s="1499">
        <v>18.28</v>
      </c>
      <c r="N3900" s="1701"/>
      <c r="O3900" s="1290">
        <f>(G3900*M3900)</f>
        <v>7.8604000000000003</v>
      </c>
      <c r="P3900" s="1332">
        <f>M3900*K3900</f>
        <v>5.2916212800000002</v>
      </c>
      <c r="Q3900" s="3391"/>
      <c r="R3900" s="3363"/>
      <c r="S3900" s="16"/>
      <c r="T3900" s="16"/>
      <c r="U3900" s="16"/>
      <c r="V3900" s="16"/>
    </row>
    <row r="3901" spans="1:22">
      <c r="A3901" s="22"/>
      <c r="B3901" s="553"/>
      <c r="C3901" s="1042"/>
      <c r="D3901" s="1623"/>
      <c r="E3901" s="2158"/>
      <c r="F3901" s="1801"/>
      <c r="G3901" s="1359"/>
      <c r="H3901" s="1803"/>
      <c r="I3901" s="198"/>
      <c r="J3901" s="6"/>
      <c r="K3901" s="1307"/>
      <c r="L3901" s="1335"/>
      <c r="M3901" s="1499"/>
      <c r="N3901" s="1701"/>
      <c r="O3901" s="1290"/>
      <c r="P3901" s="1332"/>
      <c r="Q3901" s="3391"/>
      <c r="R3901" s="3363"/>
      <c r="S3901" s="16"/>
      <c r="T3901" s="16"/>
      <c r="U3901" s="16"/>
      <c r="V3901" s="16"/>
    </row>
    <row r="3902" spans="1:22">
      <c r="A3902" s="22"/>
      <c r="B3902" s="553"/>
      <c r="C3902" s="1042"/>
      <c r="D3902" s="1623"/>
      <c r="E3902" s="2158"/>
      <c r="F3902" s="1801"/>
      <c r="G3902" s="1359"/>
      <c r="H3902" s="1803"/>
      <c r="I3902" s="198"/>
      <c r="J3902" s="6"/>
      <c r="K3902" s="1307"/>
      <c r="L3902" s="1335"/>
      <c r="M3902" s="1499"/>
      <c r="N3902" s="1701"/>
      <c r="O3902" s="1290"/>
      <c r="P3902" s="1332"/>
      <c r="Q3902" s="3391"/>
      <c r="R3902" s="3363"/>
      <c r="S3902" s="16"/>
      <c r="T3902" s="16"/>
      <c r="U3902" s="16"/>
      <c r="V3902" s="16"/>
    </row>
    <row r="3903" spans="1:22">
      <c r="A3903" s="22"/>
      <c r="B3903" s="553"/>
      <c r="C3903" s="1042"/>
      <c r="D3903" s="1411"/>
      <c r="E3903" s="2123"/>
      <c r="F3903" s="1802" t="s">
        <v>3</v>
      </c>
      <c r="G3903" s="1475"/>
      <c r="H3903" s="1505"/>
      <c r="I3903" s="1382"/>
      <c r="J3903" s="1383"/>
      <c r="K3903" s="1373"/>
      <c r="L3903" s="1413"/>
      <c r="M3903" s="1505"/>
      <c r="N3903" s="1505"/>
      <c r="O3903" s="1376"/>
      <c r="P3903" s="1413"/>
      <c r="Q3903" s="3387"/>
      <c r="R3903" s="3363"/>
      <c r="S3903" s="16"/>
      <c r="T3903" s="16"/>
      <c r="U3903" s="16"/>
      <c r="V3903" s="16"/>
    </row>
    <row r="3904" spans="1:22">
      <c r="A3904" s="22"/>
      <c r="B3904" s="1042"/>
      <c r="C3904" s="1042"/>
      <c r="D3904" s="1411" t="s">
        <v>1080</v>
      </c>
      <c r="E3904" s="2123" t="s">
        <v>1803</v>
      </c>
      <c r="F3904" s="1837" t="s">
        <v>1511</v>
      </c>
      <c r="G3904" s="1376">
        <v>0.35</v>
      </c>
      <c r="H3904" s="1376"/>
      <c r="I3904" s="198"/>
      <c r="J3904" s="6"/>
      <c r="K3904" s="1307">
        <f>G3904*$K$3893</f>
        <v>0.23562</v>
      </c>
      <c r="L3904" s="1335">
        <f t="shared" ref="L3904:L3905" si="438">$K$3863*K3904</f>
        <v>0</v>
      </c>
      <c r="M3904" s="1499">
        <v>6.35</v>
      </c>
      <c r="N3904" s="1701"/>
      <c r="O3904" s="1290">
        <f>(G3904*M3904)</f>
        <v>2.2224999999999997</v>
      </c>
      <c r="P3904" s="1332">
        <f>M3904*K3904</f>
        <v>1.4961869999999999</v>
      </c>
      <c r="Q3904" s="3391"/>
      <c r="R3904" s="3363"/>
      <c r="S3904" s="16"/>
      <c r="T3904" s="16"/>
      <c r="U3904" s="16"/>
      <c r="V3904" s="16"/>
    </row>
    <row r="3905" spans="1:22">
      <c r="A3905" s="22"/>
      <c r="B3905" s="1042"/>
      <c r="C3905" s="1042"/>
      <c r="D3905" s="1411" t="s">
        <v>1686</v>
      </c>
      <c r="E3905" s="2123" t="s">
        <v>1803</v>
      </c>
      <c r="F3905" s="1837" t="s">
        <v>1688</v>
      </c>
      <c r="G3905" s="1376">
        <v>0.6</v>
      </c>
      <c r="H3905" s="1376"/>
      <c r="I3905" s="198"/>
      <c r="J3905" s="6"/>
      <c r="K3905" s="1307">
        <f>G3905*$K$3893</f>
        <v>0.40392</v>
      </c>
      <c r="L3905" s="1335">
        <f t="shared" si="438"/>
        <v>0</v>
      </c>
      <c r="M3905" s="1499">
        <v>7.5</v>
      </c>
      <c r="N3905" s="1701"/>
      <c r="O3905" s="1290">
        <f>(G3905*M3905)</f>
        <v>4.5</v>
      </c>
      <c r="P3905" s="1332">
        <f>M3905*K3905</f>
        <v>3.0293999999999999</v>
      </c>
      <c r="Q3905" s="3391"/>
      <c r="R3905" s="3363"/>
      <c r="S3905" s="16"/>
      <c r="T3905" s="16"/>
      <c r="U3905" s="16"/>
      <c r="V3905" s="16"/>
    </row>
    <row r="3906" spans="1:22">
      <c r="A3906" s="22"/>
      <c r="B3906" s="553"/>
      <c r="C3906" s="1042"/>
      <c r="D3906" s="1412"/>
      <c r="E3906" s="2124"/>
      <c r="F3906" s="1377"/>
      <c r="G3906" s="1377"/>
      <c r="H3906" s="1597"/>
      <c r="I3906" s="198"/>
      <c r="J3906" s="6"/>
      <c r="K3906" s="1306"/>
      <c r="L3906" s="1646"/>
      <c r="M3906" s="1302"/>
      <c r="N3906" s="1302"/>
      <c r="O3906" s="1291"/>
      <c r="P3906" s="1332"/>
      <c r="Q3906" s="3391"/>
      <c r="R3906" s="2337"/>
      <c r="S3906" s="16"/>
      <c r="T3906" s="16"/>
      <c r="U3906" s="16"/>
      <c r="V3906" s="16"/>
    </row>
    <row r="3907" spans="1:22">
      <c r="A3907" s="22"/>
      <c r="B3907" s="554"/>
      <c r="C3907" s="223"/>
      <c r="D3907" s="1808"/>
      <c r="E3907" s="2132"/>
      <c r="F3907" s="1804"/>
      <c r="G3907" s="1804"/>
      <c r="H3907" s="1805"/>
      <c r="I3907" s="197"/>
      <c r="J3907" s="1806"/>
      <c r="K3907" s="1307"/>
      <c r="L3907" s="1335"/>
      <c r="M3907" s="1701"/>
      <c r="N3907" s="1701"/>
      <c r="O3907" s="1290"/>
      <c r="P3907" s="1333"/>
      <c r="Q3907" s="3391"/>
      <c r="R3907" s="3363"/>
      <c r="S3907" s="16"/>
      <c r="T3907" s="16"/>
      <c r="U3907" s="16"/>
      <c r="V3907" s="16"/>
    </row>
    <row r="3908" spans="1:22" ht="15" customHeight="1">
      <c r="A3908" s="19" t="s">
        <v>3764</v>
      </c>
      <c r="B3908" s="4325" t="s">
        <v>1949</v>
      </c>
      <c r="C3908" s="3350"/>
      <c r="D3908" s="4327"/>
      <c r="E3908" s="4329" t="s">
        <v>1507</v>
      </c>
      <c r="F3908" s="4336" t="s">
        <v>1950</v>
      </c>
      <c r="G3908" s="4331" t="s">
        <v>1568</v>
      </c>
      <c r="H3908" s="4331" t="s">
        <v>1574</v>
      </c>
      <c r="I3908" s="1572" t="s">
        <v>1559</v>
      </c>
      <c r="J3908" s="1294" t="s">
        <v>1560</v>
      </c>
      <c r="K3908" s="1294" t="s">
        <v>1569</v>
      </c>
      <c r="L3908" s="4333" t="s">
        <v>3765</v>
      </c>
      <c r="M3908" s="4335" t="s">
        <v>1571</v>
      </c>
      <c r="N3908" s="4323" t="s">
        <v>1776</v>
      </c>
      <c r="O3908" s="3347" t="s">
        <v>1563</v>
      </c>
      <c r="P3908" s="1336" t="s">
        <v>1562</v>
      </c>
      <c r="Q3908" s="3389"/>
      <c r="R3908" s="1699" t="s">
        <v>1327</v>
      </c>
      <c r="S3908" s="16"/>
      <c r="T3908" s="16"/>
      <c r="U3908" s="16"/>
      <c r="V3908" s="16"/>
    </row>
    <row r="3909" spans="1:22">
      <c r="A3909" s="1660" t="s">
        <v>1946</v>
      </c>
      <c r="B3909" s="4326"/>
      <c r="C3909" s="3351"/>
      <c r="D3909" s="4328"/>
      <c r="E3909" s="4330"/>
      <c r="F3909" s="4336"/>
      <c r="G3909" s="4332"/>
      <c r="H3909" s="4332"/>
      <c r="I3909" s="1345">
        <v>9.9</v>
      </c>
      <c r="J3909" s="1307">
        <v>3.4000000000000002E-2</v>
      </c>
      <c r="K3909" s="1307">
        <f>I3909*J3909</f>
        <v>0.33660000000000001</v>
      </c>
      <c r="L3909" s="4334"/>
      <c r="M3909" s="4335"/>
      <c r="N3909" s="4324"/>
      <c r="O3909" s="1298">
        <f>SUM(O3911:O3923)</f>
        <v>32.1145</v>
      </c>
      <c r="P3909" s="1337">
        <f>O3909*K3909</f>
        <v>10.809740700000001</v>
      </c>
      <c r="Q3909" s="3390"/>
      <c r="R3909" s="1721">
        <f>SUM(P3911:P3923)</f>
        <v>10.809740700000001</v>
      </c>
      <c r="S3909" s="16"/>
      <c r="T3909" s="16"/>
      <c r="U3909" s="16"/>
      <c r="V3909" s="16"/>
    </row>
    <row r="3910" spans="1:22">
      <c r="A3910" s="22"/>
      <c r="B3910" s="551"/>
      <c r="C3910" s="18"/>
      <c r="D3910" s="1400"/>
      <c r="E3910" s="2121"/>
      <c r="F3910" s="1368" t="s">
        <v>1</v>
      </c>
      <c r="G3910" s="1417"/>
      <c r="H3910" s="1390"/>
      <c r="I3910" s="1554"/>
      <c r="J3910" s="1367"/>
      <c r="K3910" s="1367"/>
      <c r="L3910" s="1554"/>
      <c r="M3910" s="1369"/>
      <c r="N3910" s="1369"/>
      <c r="O3910" s="1369"/>
      <c r="P3910" s="1367"/>
      <c r="Q3910" s="3387"/>
      <c r="R3910" s="3363"/>
      <c r="S3910" s="17"/>
      <c r="T3910" s="17"/>
      <c r="U3910" s="16"/>
      <c r="V3910" s="16"/>
    </row>
    <row r="3911" spans="1:22">
      <c r="A3911" s="22"/>
      <c r="B3911" s="553"/>
      <c r="C3911" s="1320"/>
      <c r="D3911" s="1668"/>
      <c r="E3911" s="2166"/>
      <c r="F3911" s="1668"/>
      <c r="G3911" s="1958"/>
      <c r="H3911" s="1399"/>
      <c r="I3911" s="197"/>
      <c r="J3911" s="198"/>
      <c r="K3911" s="1307"/>
      <c r="L3911" s="1335"/>
      <c r="M3911" s="1957"/>
      <c r="N3911" s="1718"/>
      <c r="O3911" s="1290"/>
      <c r="P3911" s="1332"/>
      <c r="Q3911" s="3391"/>
      <c r="R3911" s="3363"/>
      <c r="S3911" s="16"/>
      <c r="T3911" s="16"/>
      <c r="U3911" s="16"/>
      <c r="V3911" s="16"/>
    </row>
    <row r="3912" spans="1:22">
      <c r="A3912" s="22"/>
      <c r="B3912" s="553"/>
      <c r="C3912" s="1320"/>
      <c r="D3912" s="1756"/>
      <c r="E3912" s="1852"/>
      <c r="F3912" s="1752"/>
      <c r="G3912" s="1399"/>
      <c r="H3912" s="1399"/>
      <c r="I3912" s="197"/>
      <c r="J3912" s="198"/>
      <c r="K3912" s="1307"/>
      <c r="L3912" s="1335"/>
      <c r="M3912" s="1499"/>
      <c r="N3912" s="1718"/>
      <c r="O3912" s="1719"/>
      <c r="P3912" s="1970"/>
      <c r="Q3912" s="3400"/>
      <c r="R3912" s="2347"/>
      <c r="S3912" s="16"/>
      <c r="T3912" s="16"/>
      <c r="U3912" s="16"/>
      <c r="V3912" s="16"/>
    </row>
    <row r="3913" spans="1:22">
      <c r="A3913" s="22"/>
      <c r="B3913" s="553"/>
      <c r="C3913" s="1320"/>
      <c r="D3913" s="1756"/>
      <c r="E3913" s="1852"/>
      <c r="F3913" s="1752"/>
      <c r="G3913" s="1399"/>
      <c r="H3913" s="1399"/>
      <c r="I3913" s="197"/>
      <c r="J3913" s="198"/>
      <c r="K3913" s="1307"/>
      <c r="L3913" s="1335"/>
      <c r="M3913" s="1499"/>
      <c r="N3913" s="1718"/>
      <c r="O3913" s="1719"/>
      <c r="P3913" s="1720"/>
      <c r="Q3913" s="3396"/>
      <c r="R3913" s="3363"/>
      <c r="S3913" s="16"/>
      <c r="T3913" s="16"/>
      <c r="U3913" s="16"/>
      <c r="V3913" s="16"/>
    </row>
    <row r="3914" spans="1:22">
      <c r="A3914" s="22"/>
      <c r="B3914" s="553"/>
      <c r="C3914" s="1042"/>
      <c r="D3914" s="1410"/>
      <c r="E3914" s="1858"/>
      <c r="F3914" s="1360" t="s">
        <v>2</v>
      </c>
      <c r="G3914" s="1360"/>
      <c r="H3914" s="1362"/>
      <c r="I3914" s="1380"/>
      <c r="J3914" s="1381"/>
      <c r="K3914" s="1359"/>
      <c r="L3914" s="1458"/>
      <c r="M3914" s="1502"/>
      <c r="N3914" s="1502"/>
      <c r="O3914" s="1362"/>
      <c r="P3914" s="1359"/>
      <c r="Q3914" s="3387"/>
      <c r="R3914" s="3363"/>
      <c r="S3914" s="16"/>
      <c r="T3914" s="16"/>
      <c r="U3914" s="16"/>
      <c r="V3914" s="16"/>
    </row>
    <row r="3915" spans="1:22">
      <c r="A3915" s="22"/>
      <c r="B3915" s="553"/>
      <c r="C3915" s="1042"/>
      <c r="D3915" s="1655" t="s">
        <v>1806</v>
      </c>
      <c r="E3915" s="1857" t="s">
        <v>1508</v>
      </c>
      <c r="F3915" s="1403" t="s">
        <v>1818</v>
      </c>
      <c r="G3915" s="1365">
        <v>0.5</v>
      </c>
      <c r="H3915" s="1365"/>
      <c r="I3915" s="198"/>
      <c r="J3915" s="6"/>
      <c r="K3915" s="1307">
        <f>G3915*$K$3909</f>
        <v>0.16830000000000001</v>
      </c>
      <c r="L3915" s="1335">
        <f t="shared" ref="L3915:L3916" si="439">$K$3863*K3915</f>
        <v>0</v>
      </c>
      <c r="M3915" s="1499">
        <v>19.23</v>
      </c>
      <c r="N3915" s="1701"/>
      <c r="O3915" s="1290">
        <f>(G3915*M3915)</f>
        <v>9.6150000000000002</v>
      </c>
      <c r="P3915" s="1332">
        <f>M3915*K3915</f>
        <v>3.2364090000000001</v>
      </c>
      <c r="Q3915" s="3391"/>
      <c r="R3915" s="3363"/>
      <c r="S3915" s="16"/>
      <c r="T3915" s="16"/>
      <c r="U3915" s="16"/>
      <c r="V3915" s="16"/>
    </row>
    <row r="3916" spans="1:22">
      <c r="A3916" s="22"/>
      <c r="B3916" s="553"/>
      <c r="C3916" s="1042"/>
      <c r="D3916" s="1364" t="s">
        <v>1067</v>
      </c>
      <c r="E3916" s="2148" t="s">
        <v>1508</v>
      </c>
      <c r="F3916" s="1473" t="s">
        <v>1512</v>
      </c>
      <c r="G3916" s="1365">
        <v>0.65</v>
      </c>
      <c r="H3916" s="1365"/>
      <c r="I3916" s="198"/>
      <c r="J3916" s="6"/>
      <c r="K3916" s="1307">
        <f>G3916*$K$3909</f>
        <v>0.21879000000000001</v>
      </c>
      <c r="L3916" s="1335">
        <f t="shared" si="439"/>
        <v>0</v>
      </c>
      <c r="M3916" s="1499">
        <v>18.28</v>
      </c>
      <c r="N3916" s="1701"/>
      <c r="O3916" s="1290">
        <f>(G3916*M3916)</f>
        <v>11.882000000000001</v>
      </c>
      <c r="P3916" s="1332">
        <f>M3916*K3916</f>
        <v>3.9994812000000004</v>
      </c>
      <c r="Q3916" s="3391"/>
      <c r="R3916" s="3363"/>
      <c r="S3916" s="16"/>
      <c r="T3916" s="16"/>
      <c r="U3916" s="16"/>
      <c r="V3916" s="16"/>
    </row>
    <row r="3917" spans="1:22">
      <c r="A3917" s="22"/>
      <c r="B3917" s="553"/>
      <c r="C3917" s="1042"/>
      <c r="D3917" s="1623"/>
      <c r="E3917" s="2158"/>
      <c r="F3917" s="1801"/>
      <c r="G3917" s="1359"/>
      <c r="H3917" s="1803"/>
      <c r="I3917" s="198"/>
      <c r="J3917" s="6"/>
      <c r="K3917" s="1307"/>
      <c r="L3917" s="1335"/>
      <c r="M3917" s="1499"/>
      <c r="N3917" s="1701"/>
      <c r="O3917" s="1290"/>
      <c r="P3917" s="1332"/>
      <c r="Q3917" s="3391"/>
      <c r="R3917" s="3363"/>
      <c r="S3917" s="16"/>
      <c r="T3917" s="16"/>
      <c r="U3917" s="16"/>
      <c r="V3917" s="16"/>
    </row>
    <row r="3918" spans="1:22">
      <c r="A3918" s="22"/>
      <c r="B3918" s="553"/>
      <c r="C3918" s="1042"/>
      <c r="D3918" s="1623"/>
      <c r="E3918" s="2158"/>
      <c r="F3918" s="1801"/>
      <c r="G3918" s="1359"/>
      <c r="H3918" s="1803"/>
      <c r="I3918" s="198"/>
      <c r="J3918" s="6"/>
      <c r="K3918" s="1307"/>
      <c r="L3918" s="1335"/>
      <c r="M3918" s="1499"/>
      <c r="N3918" s="1701"/>
      <c r="O3918" s="1290"/>
      <c r="P3918" s="1332"/>
      <c r="Q3918" s="3391"/>
      <c r="R3918" s="3363"/>
      <c r="S3918" s="16"/>
      <c r="T3918" s="16"/>
      <c r="U3918" s="16"/>
      <c r="V3918" s="16"/>
    </row>
    <row r="3919" spans="1:22">
      <c r="A3919" s="22"/>
      <c r="B3919" s="553"/>
      <c r="C3919" s="1042"/>
      <c r="D3919" s="1411"/>
      <c r="E3919" s="2123"/>
      <c r="F3919" s="1802" t="s">
        <v>3</v>
      </c>
      <c r="G3919" s="1475"/>
      <c r="H3919" s="1505"/>
      <c r="I3919" s="1382"/>
      <c r="J3919" s="1383"/>
      <c r="K3919" s="1373"/>
      <c r="L3919" s="1413"/>
      <c r="M3919" s="1505"/>
      <c r="N3919" s="1505"/>
      <c r="O3919" s="1376"/>
      <c r="P3919" s="1413"/>
      <c r="Q3919" s="3387"/>
      <c r="R3919" s="3363"/>
      <c r="S3919" s="16"/>
      <c r="T3919" s="16"/>
      <c r="U3919" s="16"/>
      <c r="V3919" s="16"/>
    </row>
    <row r="3920" spans="1:22">
      <c r="A3920" s="22"/>
      <c r="B3920" s="1042"/>
      <c r="C3920" s="1042"/>
      <c r="D3920" s="1411" t="s">
        <v>1080</v>
      </c>
      <c r="E3920" s="2123" t="s">
        <v>1803</v>
      </c>
      <c r="F3920" s="1837" t="s">
        <v>1511</v>
      </c>
      <c r="G3920" s="1376">
        <v>0.55000000000000004</v>
      </c>
      <c r="H3920" s="1376"/>
      <c r="I3920" s="198"/>
      <c r="J3920" s="6"/>
      <c r="K3920" s="1307">
        <f>G3920*$K$3909</f>
        <v>0.18513000000000002</v>
      </c>
      <c r="L3920" s="1335">
        <f t="shared" ref="L3920:L3921" si="440">$K$3863*K3920</f>
        <v>0</v>
      </c>
      <c r="M3920" s="1499">
        <v>6.35</v>
      </c>
      <c r="N3920" s="1701"/>
      <c r="O3920" s="1290">
        <f>(G3920*M3920)</f>
        <v>3.4925000000000002</v>
      </c>
      <c r="P3920" s="1332">
        <f>M3920*K3920</f>
        <v>1.1755755000000001</v>
      </c>
      <c r="Q3920" s="3391"/>
      <c r="R3920" s="3363"/>
      <c r="S3920" s="16"/>
      <c r="T3920" s="16"/>
      <c r="U3920" s="16"/>
      <c r="V3920" s="16"/>
    </row>
    <row r="3921" spans="1:22">
      <c r="A3921" s="22"/>
      <c r="B3921" s="1042"/>
      <c r="C3921" s="1042"/>
      <c r="D3921" s="1411" t="s">
        <v>1686</v>
      </c>
      <c r="E3921" s="2123" t="s">
        <v>1803</v>
      </c>
      <c r="F3921" s="1837" t="s">
        <v>1688</v>
      </c>
      <c r="G3921" s="1376">
        <v>0.95</v>
      </c>
      <c r="H3921" s="1376"/>
      <c r="I3921" s="198"/>
      <c r="J3921" s="6"/>
      <c r="K3921" s="1307">
        <f>G3921*$K$3909</f>
        <v>0.31977</v>
      </c>
      <c r="L3921" s="1335">
        <f t="shared" si="440"/>
        <v>0</v>
      </c>
      <c r="M3921" s="1499">
        <v>7.5</v>
      </c>
      <c r="N3921" s="1701"/>
      <c r="O3921" s="1290">
        <f>(G3921*M3921)</f>
        <v>7.125</v>
      </c>
      <c r="P3921" s="1332">
        <f>M3921*K3921</f>
        <v>2.3982749999999999</v>
      </c>
      <c r="Q3921" s="3391"/>
      <c r="R3921" s="3363"/>
      <c r="S3921" s="16"/>
      <c r="T3921" s="16"/>
      <c r="U3921" s="16"/>
      <c r="V3921" s="16"/>
    </row>
    <row r="3922" spans="1:22">
      <c r="A3922" s="22"/>
      <c r="B3922" s="553"/>
      <c r="C3922" s="1042"/>
      <c r="D3922" s="1412"/>
      <c r="E3922" s="2124"/>
      <c r="F3922" s="1377"/>
      <c r="G3922" s="1377"/>
      <c r="H3922" s="1597"/>
      <c r="I3922" s="198"/>
      <c r="J3922" s="6"/>
      <c r="K3922" s="1306"/>
      <c r="L3922" s="1646"/>
      <c r="M3922" s="1302"/>
      <c r="N3922" s="1302"/>
      <c r="O3922" s="1291"/>
      <c r="P3922" s="1332"/>
      <c r="Q3922" s="3391"/>
      <c r="R3922" s="2337"/>
      <c r="S3922" s="16"/>
      <c r="T3922" s="16"/>
      <c r="U3922" s="16"/>
      <c r="V3922" s="16"/>
    </row>
    <row r="3923" spans="1:22">
      <c r="A3923" s="22"/>
      <c r="B3923" s="554"/>
      <c r="C3923" s="223"/>
      <c r="D3923" s="1808"/>
      <c r="E3923" s="2132"/>
      <c r="F3923" s="1804"/>
      <c r="G3923" s="1804"/>
      <c r="H3923" s="1805"/>
      <c r="I3923" s="197"/>
      <c r="J3923" s="1806"/>
      <c r="K3923" s="1307"/>
      <c r="L3923" s="1335"/>
      <c r="M3923" s="1701"/>
      <c r="N3923" s="1701"/>
      <c r="O3923" s="1290"/>
      <c r="P3923" s="1333"/>
      <c r="Q3923" s="3391"/>
      <c r="R3923" s="3363"/>
      <c r="S3923" s="16"/>
      <c r="T3923" s="16"/>
      <c r="U3923" s="16"/>
      <c r="V3923" s="16"/>
    </row>
    <row r="3924" spans="1:22">
      <c r="A3924" s="19" t="s">
        <v>3764</v>
      </c>
      <c r="B3924" s="4325" t="s">
        <v>1942</v>
      </c>
      <c r="C3924" s="3350"/>
      <c r="D3924" s="4327"/>
      <c r="E3924" s="4329" t="s">
        <v>1507</v>
      </c>
      <c r="F3924" s="4336" t="s">
        <v>1943</v>
      </c>
      <c r="G3924" s="4331" t="s">
        <v>1568</v>
      </c>
      <c r="H3924" s="4331" t="s">
        <v>1574</v>
      </c>
      <c r="I3924" s="1572" t="s">
        <v>1559</v>
      </c>
      <c r="J3924" s="1294" t="s">
        <v>1560</v>
      </c>
      <c r="K3924" s="1294" t="s">
        <v>1569</v>
      </c>
      <c r="L3924" s="4333" t="s">
        <v>3765</v>
      </c>
      <c r="M3924" s="4335" t="s">
        <v>1571</v>
      </c>
      <c r="N3924" s="4323" t="s">
        <v>1776</v>
      </c>
      <c r="O3924" s="3347" t="s">
        <v>1563</v>
      </c>
      <c r="P3924" s="1336" t="s">
        <v>1562</v>
      </c>
      <c r="Q3924" s="3389"/>
      <c r="R3924" s="1699" t="s">
        <v>1327</v>
      </c>
      <c r="S3924" s="16"/>
      <c r="T3924" s="16"/>
      <c r="U3924" s="16"/>
      <c r="V3924" s="16"/>
    </row>
    <row r="3925" spans="1:22">
      <c r="A3925" s="1660" t="s">
        <v>1946</v>
      </c>
      <c r="B3925" s="4326"/>
      <c r="C3925" s="3351"/>
      <c r="D3925" s="4328"/>
      <c r="E3925" s="4330"/>
      <c r="F3925" s="4336"/>
      <c r="G3925" s="4332"/>
      <c r="H3925" s="4332"/>
      <c r="I3925" s="1345">
        <v>39.6</v>
      </c>
      <c r="J3925" s="1307">
        <v>3.4000000000000002E-2</v>
      </c>
      <c r="K3925" s="1307">
        <f>I3925*J3925</f>
        <v>1.3464</v>
      </c>
      <c r="L3925" s="4334"/>
      <c r="M3925" s="4335"/>
      <c r="N3925" s="4324"/>
      <c r="O3925" s="1298">
        <f>SUM(O3927:O3938)</f>
        <v>38.563499999999998</v>
      </c>
      <c r="P3925" s="1337">
        <f>O3925*K3925</f>
        <v>51.921896400000001</v>
      </c>
      <c r="Q3925" s="3390"/>
      <c r="R3925" s="1721">
        <f>SUM(P3927:P3938)</f>
        <v>51.921896400000008</v>
      </c>
      <c r="S3925" s="16"/>
      <c r="T3925" s="16"/>
      <c r="U3925" s="16"/>
      <c r="V3925" s="16"/>
    </row>
    <row r="3926" spans="1:22">
      <c r="A3926" s="22"/>
      <c r="B3926" s="551"/>
      <c r="C3926" s="18"/>
      <c r="D3926" s="1400"/>
      <c r="E3926" s="2121"/>
      <c r="F3926" s="1368" t="s">
        <v>1</v>
      </c>
      <c r="G3926" s="1417"/>
      <c r="H3926" s="1390"/>
      <c r="I3926" s="1554"/>
      <c r="J3926" s="1367"/>
      <c r="K3926" s="1367"/>
      <c r="L3926" s="1554"/>
      <c r="M3926" s="1369"/>
      <c r="N3926" s="1369"/>
      <c r="O3926" s="1369"/>
      <c r="P3926" s="1367"/>
      <c r="Q3926" s="3387"/>
      <c r="R3926" s="3363"/>
      <c r="S3926" s="16"/>
      <c r="T3926" s="16"/>
      <c r="U3926" s="16"/>
      <c r="V3926" s="16"/>
    </row>
    <row r="3927" spans="1:22">
      <c r="A3927" s="22"/>
      <c r="B3927" s="553"/>
      <c r="C3927" s="1042"/>
      <c r="D3927" s="1400" t="s">
        <v>1940</v>
      </c>
      <c r="E3927" s="1856" t="s">
        <v>1357</v>
      </c>
      <c r="F3927" s="1421" t="s">
        <v>1941</v>
      </c>
      <c r="G3927" s="1399">
        <v>32</v>
      </c>
      <c r="H3927" s="1400"/>
      <c r="I3927" s="27"/>
      <c r="J3927" s="10"/>
      <c r="K3927" s="1307">
        <f>G3927*$K$3925</f>
        <v>43.084800000000001</v>
      </c>
      <c r="L3927" s="1335">
        <f>$K$3863*K3927</f>
        <v>0</v>
      </c>
      <c r="M3927" s="1499">
        <v>0.68</v>
      </c>
      <c r="N3927" s="1701"/>
      <c r="O3927" s="1290">
        <f>(G3927*M3927)</f>
        <v>21.76</v>
      </c>
      <c r="P3927" s="1332">
        <f>M3927*K3927</f>
        <v>29.297664000000005</v>
      </c>
      <c r="Q3927" s="3391"/>
      <c r="R3927" s="3363"/>
      <c r="S3927" s="16"/>
      <c r="T3927" s="16"/>
      <c r="U3927" s="16"/>
      <c r="V3927" s="16"/>
    </row>
    <row r="3928" spans="1:22">
      <c r="A3928" s="22"/>
      <c r="B3928" s="553"/>
      <c r="C3928" s="1320"/>
      <c r="D3928" s="1756"/>
      <c r="E3928" s="1852"/>
      <c r="F3928" s="1752"/>
      <c r="G3928" s="1399"/>
      <c r="H3928" s="1399"/>
      <c r="I3928" s="197"/>
      <c r="J3928" s="198"/>
      <c r="K3928" s="1732"/>
      <c r="L3928" s="1335"/>
      <c r="M3928" s="1499"/>
      <c r="N3928" s="1718"/>
      <c r="O3928" s="1719"/>
      <c r="P3928" s="1720"/>
      <c r="Q3928" s="3396"/>
      <c r="R3928" s="3363"/>
      <c r="S3928" s="16"/>
      <c r="T3928" s="16"/>
      <c r="U3928" s="16"/>
      <c r="V3928" s="16"/>
    </row>
    <row r="3929" spans="1:22">
      <c r="A3929" s="22"/>
      <c r="B3929" s="553"/>
      <c r="C3929" s="1320"/>
      <c r="D3929" s="1756"/>
      <c r="E3929" s="1852"/>
      <c r="F3929" s="1752"/>
      <c r="G3929" s="1399"/>
      <c r="H3929" s="1399"/>
      <c r="I3929" s="197"/>
      <c r="J3929" s="198"/>
      <c r="K3929" s="1732"/>
      <c r="L3929" s="1335"/>
      <c r="M3929" s="1499"/>
      <c r="N3929" s="1718"/>
      <c r="O3929" s="1719"/>
      <c r="P3929" s="1720"/>
      <c r="Q3929" s="3396"/>
      <c r="R3929" s="3363"/>
      <c r="S3929" s="16"/>
      <c r="T3929" s="16"/>
      <c r="U3929" s="16"/>
      <c r="V3929" s="16"/>
    </row>
    <row r="3930" spans="1:22">
      <c r="A3930" s="22"/>
      <c r="B3930" s="553"/>
      <c r="C3930" s="1042"/>
      <c r="D3930" s="1410"/>
      <c r="E3930" s="1858"/>
      <c r="F3930" s="1360" t="s">
        <v>2</v>
      </c>
      <c r="G3930" s="1360"/>
      <c r="H3930" s="1362"/>
      <c r="I3930" s="1380"/>
      <c r="J3930" s="1381"/>
      <c r="K3930" s="1359"/>
      <c r="L3930" s="1458"/>
      <c r="M3930" s="1502"/>
      <c r="N3930" s="1502"/>
      <c r="O3930" s="1362"/>
      <c r="P3930" s="1359"/>
      <c r="Q3930" s="3387"/>
      <c r="R3930" s="3363"/>
      <c r="S3930" s="16"/>
      <c r="T3930" s="16"/>
      <c r="U3930" s="16"/>
      <c r="V3930" s="16"/>
    </row>
    <row r="3931" spans="1:22">
      <c r="A3931" s="22"/>
      <c r="B3931" s="553"/>
      <c r="C3931" s="1042"/>
      <c r="D3931" s="1655" t="s">
        <v>1937</v>
      </c>
      <c r="E3931" s="1857" t="s">
        <v>1508</v>
      </c>
      <c r="F3931" s="1403" t="s">
        <v>1938</v>
      </c>
      <c r="G3931" s="1365">
        <v>0.35</v>
      </c>
      <c r="H3931" s="1365"/>
      <c r="I3931" s="198"/>
      <c r="J3931" s="6"/>
      <c r="K3931" s="1307">
        <f t="shared" ref="K3931:K3932" si="441">G3931*$K$3925</f>
        <v>0.47123999999999999</v>
      </c>
      <c r="L3931" s="1335">
        <f t="shared" ref="L3931:L3932" si="442">$K$3863*K3931</f>
        <v>0</v>
      </c>
      <c r="M3931" s="1499">
        <v>19.23</v>
      </c>
      <c r="N3931" s="1701"/>
      <c r="O3931" s="1290">
        <f>(G3931*M3931)</f>
        <v>6.7305000000000001</v>
      </c>
      <c r="P3931" s="1332">
        <f>M3931*K3931</f>
        <v>9.0619452000000003</v>
      </c>
      <c r="Q3931" s="3391"/>
      <c r="R3931" s="3363"/>
      <c r="S3931" s="16"/>
      <c r="T3931" s="16"/>
      <c r="U3931" s="16"/>
      <c r="V3931" s="16"/>
    </row>
    <row r="3932" spans="1:22">
      <c r="A3932" s="22"/>
      <c r="B3932" s="553"/>
      <c r="C3932" s="1042"/>
      <c r="D3932" s="1364" t="s">
        <v>1067</v>
      </c>
      <c r="E3932" s="2148" t="s">
        <v>1508</v>
      </c>
      <c r="F3932" s="1473" t="s">
        <v>1512</v>
      </c>
      <c r="G3932" s="1365">
        <v>0.35</v>
      </c>
      <c r="H3932" s="1365"/>
      <c r="I3932" s="198"/>
      <c r="J3932" s="6"/>
      <c r="K3932" s="1307">
        <f t="shared" si="441"/>
        <v>0.47123999999999999</v>
      </c>
      <c r="L3932" s="1335">
        <f t="shared" si="442"/>
        <v>0</v>
      </c>
      <c r="M3932" s="1499">
        <v>18.28</v>
      </c>
      <c r="N3932" s="1701"/>
      <c r="O3932" s="1290">
        <f>(G3932*M3932)</f>
        <v>6.3979999999999997</v>
      </c>
      <c r="P3932" s="1332">
        <f>M3932*K3932</f>
        <v>8.6142672000000005</v>
      </c>
      <c r="Q3932" s="3391"/>
      <c r="R3932" s="3363"/>
      <c r="S3932" s="16"/>
      <c r="T3932" s="16"/>
      <c r="U3932" s="16"/>
      <c r="V3932" s="16"/>
    </row>
    <row r="3933" spans="1:22">
      <c r="A3933" s="22"/>
      <c r="B3933" s="553"/>
      <c r="C3933" s="1042"/>
      <c r="D3933" s="1623"/>
      <c r="E3933" s="2158"/>
      <c r="F3933" s="1801"/>
      <c r="G3933" s="1359"/>
      <c r="H3933" s="1803"/>
      <c r="I3933" s="198"/>
      <c r="J3933" s="6"/>
      <c r="K3933" s="1307"/>
      <c r="L3933" s="1335"/>
      <c r="M3933" s="1499"/>
      <c r="N3933" s="1701"/>
      <c r="O3933" s="1290"/>
      <c r="P3933" s="1332"/>
      <c r="Q3933" s="3391"/>
      <c r="R3933" s="3363"/>
      <c r="S3933" s="16"/>
      <c r="T3933" s="16"/>
      <c r="U3933" s="16"/>
      <c r="V3933" s="16"/>
    </row>
    <row r="3934" spans="1:22">
      <c r="A3934" s="22"/>
      <c r="B3934" s="553"/>
      <c r="C3934" s="1042"/>
      <c r="D3934" s="1623"/>
      <c r="E3934" s="2158"/>
      <c r="F3934" s="1801"/>
      <c r="G3934" s="1359"/>
      <c r="H3934" s="1803"/>
      <c r="I3934" s="198"/>
      <c r="J3934" s="6"/>
      <c r="K3934" s="1307"/>
      <c r="L3934" s="1335"/>
      <c r="M3934" s="1499"/>
      <c r="N3934" s="1701"/>
      <c r="O3934" s="1290"/>
      <c r="P3934" s="1332"/>
      <c r="Q3934" s="3391"/>
      <c r="R3934" s="3363"/>
      <c r="S3934" s="16"/>
      <c r="T3934" s="16"/>
      <c r="U3934" s="16"/>
      <c r="V3934" s="16"/>
    </row>
    <row r="3935" spans="1:22">
      <c r="A3935" s="22"/>
      <c r="B3935" s="553"/>
      <c r="C3935" s="1042"/>
      <c r="D3935" s="1411"/>
      <c r="E3935" s="2123"/>
      <c r="F3935" s="1802" t="s">
        <v>3</v>
      </c>
      <c r="G3935" s="1475"/>
      <c r="H3935" s="1505"/>
      <c r="I3935" s="1382"/>
      <c r="J3935" s="1383"/>
      <c r="K3935" s="1373"/>
      <c r="L3935" s="1413"/>
      <c r="M3935" s="1505"/>
      <c r="N3935" s="1505"/>
      <c r="O3935" s="1376"/>
      <c r="P3935" s="1413"/>
      <c r="Q3935" s="3387"/>
      <c r="R3935" s="3363"/>
      <c r="S3935" s="16"/>
      <c r="T3935" s="16"/>
      <c r="U3935" s="16"/>
      <c r="V3935" s="16"/>
    </row>
    <row r="3936" spans="1:22">
      <c r="A3936" s="22"/>
      <c r="B3936" s="1042"/>
      <c r="C3936" s="1042"/>
      <c r="D3936" s="1411" t="s">
        <v>1686</v>
      </c>
      <c r="E3936" s="2123" t="s">
        <v>1803</v>
      </c>
      <c r="F3936" s="1475" t="s">
        <v>1688</v>
      </c>
      <c r="G3936" s="1376">
        <v>0.49</v>
      </c>
      <c r="H3936" s="1376"/>
      <c r="I3936" s="198"/>
      <c r="J3936" s="6"/>
      <c r="K3936" s="1307">
        <f>G3936*$K$3925</f>
        <v>0.65973599999999999</v>
      </c>
      <c r="L3936" s="1335">
        <f>$K$3863*K3936</f>
        <v>0</v>
      </c>
      <c r="M3936" s="1499">
        <v>7.5</v>
      </c>
      <c r="N3936" s="1701"/>
      <c r="O3936" s="1290">
        <f>(G3936*M3936)</f>
        <v>3.6749999999999998</v>
      </c>
      <c r="P3936" s="1332">
        <f>M3936*K3936</f>
        <v>4.9480199999999996</v>
      </c>
      <c r="Q3936" s="3391"/>
      <c r="R3936" s="3363"/>
      <c r="S3936" s="16"/>
      <c r="T3936" s="16"/>
      <c r="U3936" s="16"/>
      <c r="V3936" s="16"/>
    </row>
    <row r="3937" spans="1:22">
      <c r="A3937" s="22"/>
      <c r="B3937" s="553"/>
      <c r="C3937" s="1042"/>
      <c r="D3937" s="1412"/>
      <c r="E3937" s="2124"/>
      <c r="F3937" s="1377"/>
      <c r="G3937" s="1377"/>
      <c r="H3937" s="1597"/>
      <c r="I3937" s="198"/>
      <c r="J3937" s="6"/>
      <c r="K3937" s="1306"/>
      <c r="L3937" s="1646"/>
      <c r="M3937" s="1302"/>
      <c r="N3937" s="1302"/>
      <c r="O3937" s="1291"/>
      <c r="P3937" s="1332"/>
      <c r="Q3937" s="3391"/>
      <c r="R3937" s="2337"/>
      <c r="S3937" s="16"/>
      <c r="T3937" s="16"/>
      <c r="U3937" s="16"/>
      <c r="V3937" s="16"/>
    </row>
    <row r="3938" spans="1:22">
      <c r="A3938" s="22"/>
      <c r="B3938" s="554"/>
      <c r="C3938" s="223"/>
      <c r="D3938" s="1808"/>
      <c r="E3938" s="2132"/>
      <c r="F3938" s="1804"/>
      <c r="G3938" s="1804"/>
      <c r="H3938" s="1805"/>
      <c r="I3938" s="197"/>
      <c r="J3938" s="1806"/>
      <c r="K3938" s="1307"/>
      <c r="L3938" s="1335"/>
      <c r="M3938" s="1701"/>
      <c r="N3938" s="1701"/>
      <c r="O3938" s="1290"/>
      <c r="P3938" s="1333"/>
      <c r="Q3938" s="3391"/>
      <c r="R3938" s="3363"/>
      <c r="S3938" s="16"/>
      <c r="T3938" s="16"/>
      <c r="U3938" s="16"/>
      <c r="V3938" s="16"/>
    </row>
    <row r="3939" spans="1:22">
      <c r="A3939" s="19" t="s">
        <v>3764</v>
      </c>
      <c r="B3939" s="4325" t="s">
        <v>1905</v>
      </c>
      <c r="C3939" s="3350"/>
      <c r="D3939" s="4327"/>
      <c r="E3939" s="4329" t="s">
        <v>1507</v>
      </c>
      <c r="F3939" s="4338" t="s">
        <v>1906</v>
      </c>
      <c r="G3939" s="4331" t="s">
        <v>1568</v>
      </c>
      <c r="H3939" s="4331" t="s">
        <v>1574</v>
      </c>
      <c r="I3939" s="1572" t="s">
        <v>1559</v>
      </c>
      <c r="J3939" s="1294" t="s">
        <v>1560</v>
      </c>
      <c r="K3939" s="1294" t="s">
        <v>1561</v>
      </c>
      <c r="L3939" s="4333" t="s">
        <v>3765</v>
      </c>
      <c r="M3939" s="4335" t="s">
        <v>1571</v>
      </c>
      <c r="N3939" s="4323" t="s">
        <v>1776</v>
      </c>
      <c r="O3939" s="3347" t="s">
        <v>1563</v>
      </c>
      <c r="P3939" s="1336" t="s">
        <v>1562</v>
      </c>
      <c r="Q3939" s="3389"/>
      <c r="R3939" s="1699" t="s">
        <v>1327</v>
      </c>
      <c r="S3939" s="16"/>
      <c r="T3939" s="16"/>
      <c r="U3939" s="16"/>
      <c r="V3939" s="16"/>
    </row>
    <row r="3940" spans="1:22">
      <c r="A3940" s="1660" t="s">
        <v>1946</v>
      </c>
      <c r="B3940" s="4326"/>
      <c r="C3940" s="3354"/>
      <c r="D3940" s="4328"/>
      <c r="E3940" s="4330"/>
      <c r="F3940" s="4338"/>
      <c r="G3940" s="4332"/>
      <c r="H3940" s="4332"/>
      <c r="I3940" s="1345">
        <v>39.6</v>
      </c>
      <c r="J3940" s="1307">
        <v>3.4000000000000002E-2</v>
      </c>
      <c r="K3940" s="1307">
        <f>I3940*J3940</f>
        <v>1.3464</v>
      </c>
      <c r="L3940" s="4334"/>
      <c r="M3940" s="4335"/>
      <c r="N3940" s="4324"/>
      <c r="O3940" s="1298">
        <f>O3942+O3943+O3944+O3948+O3952</f>
        <v>32.071000000000005</v>
      </c>
      <c r="P3940" s="1337">
        <f>O3940*K3940</f>
        <v>43.180394400000012</v>
      </c>
      <c r="Q3940" s="3390"/>
      <c r="R3940" s="1721">
        <f>P3942+P3943+P3944+P3948+P3952</f>
        <v>43.180394399999997</v>
      </c>
      <c r="S3940" s="16"/>
      <c r="T3940" s="16"/>
      <c r="U3940" s="16"/>
      <c r="V3940" s="16"/>
    </row>
    <row r="3941" spans="1:22">
      <c r="A3941" s="16"/>
      <c r="B3941" s="1949"/>
      <c r="C3941" s="1327"/>
      <c r="D3941" s="1463"/>
      <c r="E3941" s="2121"/>
      <c r="F3941" s="1368" t="s">
        <v>1</v>
      </c>
      <c r="G3941" s="1368"/>
      <c r="H3941" s="1369"/>
      <c r="I3941" s="1409"/>
      <c r="J3941" s="1391"/>
      <c r="K3941" s="1367"/>
      <c r="L3941" s="1554"/>
      <c r="M3941" s="1369"/>
      <c r="N3941" s="1369"/>
      <c r="O3941" s="1369"/>
      <c r="P3941" s="1367"/>
      <c r="Q3941" s="3387"/>
      <c r="R3941" s="2337"/>
      <c r="S3941" s="16"/>
      <c r="T3941" s="16"/>
      <c r="U3941" s="16"/>
      <c r="V3941" s="16"/>
    </row>
    <row r="3942" spans="1:22">
      <c r="A3942" s="16"/>
      <c r="B3942" s="1320"/>
      <c r="C3942" s="1320"/>
      <c r="D3942" s="1598" t="s">
        <v>1907</v>
      </c>
      <c r="E3942" s="1852" t="s">
        <v>1357</v>
      </c>
      <c r="F3942" s="1752" t="s">
        <v>1908</v>
      </c>
      <c r="G3942" s="1941">
        <v>16</v>
      </c>
      <c r="H3942" s="1399"/>
      <c r="I3942" s="198"/>
      <c r="J3942" s="198"/>
      <c r="K3942" s="1307">
        <f>G3942*$K$3940</f>
        <v>21.542400000000001</v>
      </c>
      <c r="L3942" s="1335">
        <f t="shared" ref="L3942:L3944" si="443">$K$3863*K3942</f>
        <v>0</v>
      </c>
      <c r="M3942" s="1302">
        <v>0.41</v>
      </c>
      <c r="N3942" s="1718"/>
      <c r="O3942" s="1290">
        <f>(G3942*M3942)</f>
        <v>6.56</v>
      </c>
      <c r="P3942" s="1332">
        <f>M3942*K3942</f>
        <v>8.8323839999999993</v>
      </c>
      <c r="Q3942" s="3391"/>
      <c r="R3942" s="2337"/>
      <c r="S3942" s="16"/>
      <c r="T3942" s="16"/>
      <c r="U3942" s="16"/>
      <c r="V3942" s="16"/>
    </row>
    <row r="3943" spans="1:22">
      <c r="A3943" s="16"/>
      <c r="B3943" s="1320"/>
      <c r="C3943" s="1320"/>
      <c r="D3943" s="1598" t="s">
        <v>1909</v>
      </c>
      <c r="E3943" s="1852" t="s">
        <v>1357</v>
      </c>
      <c r="F3943" s="1598" t="s">
        <v>1910</v>
      </c>
      <c r="G3943" s="1941">
        <v>11</v>
      </c>
      <c r="H3943" s="1399"/>
      <c r="I3943" s="198"/>
      <c r="J3943" s="198"/>
      <c r="K3943" s="1307">
        <f t="shared" ref="K3943:K3944" si="444">G3943*$K$3940</f>
        <v>14.810400000000001</v>
      </c>
      <c r="L3943" s="1335">
        <f t="shared" si="443"/>
        <v>0</v>
      </c>
      <c r="M3943" s="1302">
        <v>0.4</v>
      </c>
      <c r="N3943" s="1718"/>
      <c r="O3943" s="1290">
        <f>(G3943*M3943)</f>
        <v>4.4000000000000004</v>
      </c>
      <c r="P3943" s="1332">
        <f>M3943*K3943</f>
        <v>5.9241600000000005</v>
      </c>
      <c r="Q3943" s="3391"/>
      <c r="R3943" s="2337"/>
      <c r="S3943" s="16"/>
      <c r="T3943" s="16"/>
      <c r="U3943" s="16"/>
      <c r="V3943" s="16"/>
    </row>
    <row r="3944" spans="1:22">
      <c r="A3944" s="16"/>
      <c r="B3944" s="1320"/>
      <c r="C3944" s="16"/>
      <c r="D3944" s="1752" t="s">
        <v>1082</v>
      </c>
      <c r="E3944" s="1852" t="s">
        <v>1504</v>
      </c>
      <c r="F3944" s="1752" t="s">
        <v>1541</v>
      </c>
      <c r="G3944" s="1941">
        <v>1</v>
      </c>
      <c r="H3944" s="1399"/>
      <c r="I3944" s="1341"/>
      <c r="J3944" s="8"/>
      <c r="K3944" s="1307">
        <f t="shared" si="444"/>
        <v>1.3464</v>
      </c>
      <c r="L3944" s="1335">
        <f t="shared" si="443"/>
        <v>0</v>
      </c>
      <c r="M3944" s="1302">
        <v>0.3</v>
      </c>
      <c r="N3944" s="1718"/>
      <c r="O3944" s="1290">
        <f>(G3944*M3944)</f>
        <v>0.3</v>
      </c>
      <c r="P3944" s="1332">
        <f>M3944*K3944</f>
        <v>0.40392</v>
      </c>
      <c r="Q3944" s="3391"/>
      <c r="R3944" s="2337"/>
      <c r="S3944" s="16"/>
      <c r="T3944" s="16"/>
      <c r="U3944" s="16"/>
      <c r="V3944" s="16"/>
    </row>
    <row r="3945" spans="1:22">
      <c r="A3945" s="16"/>
      <c r="B3945" s="1320"/>
      <c r="C3945" s="1320"/>
      <c r="D3945" s="1900"/>
      <c r="E3945" s="2130"/>
      <c r="F3945" s="1900"/>
      <c r="G3945" s="1901"/>
      <c r="H3945" s="1399"/>
      <c r="I3945" s="197"/>
      <c r="J3945" s="198"/>
      <c r="K3945" s="1307"/>
      <c r="L3945" s="1335"/>
      <c r="M3945" s="1499"/>
      <c r="N3945" s="1718"/>
      <c r="O3945" s="1719"/>
      <c r="P3945" s="1720"/>
      <c r="Q3945" s="3396"/>
      <c r="R3945" s="2337"/>
      <c r="S3945" s="16"/>
      <c r="T3945" s="16"/>
      <c r="U3945" s="16"/>
      <c r="V3945" s="16"/>
    </row>
    <row r="3946" spans="1:22">
      <c r="A3946" s="16"/>
      <c r="B3946" s="1320"/>
      <c r="C3946" s="595"/>
      <c r="D3946" s="1756"/>
      <c r="E3946" s="1852"/>
      <c r="F3946" s="1752"/>
      <c r="G3946" s="1399"/>
      <c r="H3946" s="1399"/>
      <c r="I3946" s="197" t="str">
        <f ca="1">IF(COUNT(H3946:O3946)=0,"",(SUM(H3946:O3946)/COUNT(H3946:O3946)))</f>
        <v/>
      </c>
      <c r="J3946" s="198"/>
      <c r="K3946" s="1307" t="str">
        <f>IF(COUNT(#REF!)=0,"",IF(#REF!="","",(#REF!*#REF!)))</f>
        <v/>
      </c>
      <c r="L3946" s="1335"/>
      <c r="M3946" s="1499"/>
      <c r="N3946" s="1718"/>
      <c r="O3946" s="1719"/>
      <c r="P3946" s="1720"/>
      <c r="Q3946" s="3396"/>
      <c r="R3946" s="2337"/>
      <c r="S3946" s="16"/>
      <c r="T3946" s="16"/>
      <c r="U3946" s="16"/>
      <c r="V3946" s="16"/>
    </row>
    <row r="3947" spans="1:22">
      <c r="A3947" s="16"/>
      <c r="B3947" s="1042"/>
      <c r="C3947" s="88"/>
      <c r="D3947" s="1443"/>
      <c r="E3947" s="1858"/>
      <c r="F3947" s="1360" t="s">
        <v>2</v>
      </c>
      <c r="G3947" s="1360"/>
      <c r="H3947" s="1362"/>
      <c r="I3947" s="1380" t="str">
        <f ca="1">IF(COUNT(H3947:O3947)=0,"",(SUM(H3947:O3947)/COUNT(H3947:O3947)))</f>
        <v/>
      </c>
      <c r="J3947" s="1381"/>
      <c r="K3947" s="1359" t="str">
        <f>IF(COUNT(#REF!)=0,"",IF(#REF!="","",(#REF!*#REF!)))</f>
        <v/>
      </c>
      <c r="L3947" s="1458"/>
      <c r="M3947" s="1362"/>
      <c r="N3947" s="1362"/>
      <c r="O3947" s="1362"/>
      <c r="P3947" s="1458"/>
      <c r="Q3947" s="3387"/>
      <c r="R3947" s="2337"/>
      <c r="S3947" s="16"/>
      <c r="T3947" s="16"/>
      <c r="U3947" s="16"/>
      <c r="V3947" s="16"/>
    </row>
    <row r="3948" spans="1:22">
      <c r="A3948" s="16"/>
      <c r="B3948" s="1042"/>
      <c r="C3948" s="88"/>
      <c r="D3948" s="1430" t="s">
        <v>1077</v>
      </c>
      <c r="E3948" s="1857" t="s">
        <v>1508</v>
      </c>
      <c r="F3948" s="1403" t="s">
        <v>37</v>
      </c>
      <c r="G3948" s="1431">
        <v>0.7</v>
      </c>
      <c r="H3948" s="1937"/>
      <c r="I3948" s="197">
        <f ca="1">IF(COUNT(H3948:L3948)=0,"",(SUM(H3948:L3948)/COUNT(H3948:L3948)))</f>
        <v>596.83179748015925</v>
      </c>
      <c r="J3948" s="198"/>
      <c r="K3948" s="1307">
        <f>G3948*$K$3940</f>
        <v>0.94247999999999998</v>
      </c>
      <c r="L3948" s="1335">
        <f>$K$3863*K3948</f>
        <v>0</v>
      </c>
      <c r="M3948" s="1302">
        <v>19.23</v>
      </c>
      <c r="N3948" s="1718"/>
      <c r="O3948" s="1290">
        <f>(G3948*M3948)</f>
        <v>13.461</v>
      </c>
      <c r="P3948" s="1332">
        <f>M3948*K3948</f>
        <v>18.123890400000001</v>
      </c>
      <c r="Q3948" s="3391"/>
      <c r="R3948" s="2337"/>
      <c r="S3948" s="16"/>
      <c r="T3948" s="16"/>
      <c r="U3948" s="16"/>
      <c r="V3948" s="16"/>
    </row>
    <row r="3949" spans="1:22">
      <c r="A3949" s="16"/>
      <c r="B3949" s="1042"/>
      <c r="C3949" s="88"/>
      <c r="D3949" s="1430"/>
      <c r="E3949" s="1857"/>
      <c r="F3949" s="1403"/>
      <c r="G3949" s="1431"/>
      <c r="H3949" s="1937"/>
      <c r="I3949" s="197"/>
      <c r="J3949" s="198"/>
      <c r="K3949" s="1307"/>
      <c r="L3949" s="1335"/>
      <c r="M3949" s="1302"/>
      <c r="N3949" s="1718"/>
      <c r="O3949" s="1719"/>
      <c r="P3949" s="1720"/>
      <c r="Q3949" s="3396"/>
      <c r="R3949" s="2337"/>
      <c r="S3949" s="16"/>
      <c r="T3949" s="16"/>
      <c r="U3949" s="16"/>
      <c r="V3949" s="16"/>
    </row>
    <row r="3950" spans="1:22">
      <c r="A3950" s="16"/>
      <c r="B3950" s="1042"/>
      <c r="C3950" s="88"/>
      <c r="D3950" s="1430"/>
      <c r="E3950" s="1857"/>
      <c r="F3950" s="1766"/>
      <c r="G3950" s="1943"/>
      <c r="H3950" s="1937"/>
      <c r="I3950" s="197"/>
      <c r="J3950" s="198"/>
      <c r="K3950" s="1307"/>
      <c r="L3950" s="1335"/>
      <c r="M3950" s="1302"/>
      <c r="N3950" s="1718"/>
      <c r="O3950" s="1290"/>
      <c r="P3950" s="1332"/>
      <c r="Q3950" s="3391"/>
      <c r="R3950" s="2337"/>
      <c r="S3950" s="16"/>
      <c r="T3950" s="16"/>
      <c r="U3950" s="16"/>
      <c r="V3950" s="16"/>
    </row>
    <row r="3951" spans="1:22">
      <c r="A3951" s="16"/>
      <c r="B3951" s="1042"/>
      <c r="C3951" s="88"/>
      <c r="D3951" s="1373"/>
      <c r="E3951" s="2123"/>
      <c r="F3951" s="1374" t="s">
        <v>3</v>
      </c>
      <c r="G3951" s="1374"/>
      <c r="H3951" s="1376"/>
      <c r="I3951" s="1382" t="str">
        <f t="shared" ref="I3951:I3954" ca="1" si="445">IF(COUNT(H3951:O3951)=0,"",(SUM(H3951:O3951)/COUNT(H3951:O3951)))</f>
        <v/>
      </c>
      <c r="J3951" s="1383"/>
      <c r="K3951" s="1373"/>
      <c r="L3951" s="1413"/>
      <c r="M3951" s="1376"/>
      <c r="N3951" s="1376"/>
      <c r="O3951" s="1376"/>
      <c r="P3951" s="1413"/>
      <c r="Q3951" s="3387"/>
      <c r="R3951" s="2337"/>
      <c r="S3951" s="16"/>
      <c r="T3951" s="16"/>
      <c r="U3951" s="16"/>
      <c r="V3951" s="16"/>
    </row>
    <row r="3952" spans="1:22">
      <c r="A3952" s="16"/>
      <c r="B3952" s="1042"/>
      <c r="C3952" s="88"/>
      <c r="D3952" s="1373" t="s">
        <v>1686</v>
      </c>
      <c r="E3952" s="2123" t="s">
        <v>1687</v>
      </c>
      <c r="F3952" s="1373" t="s">
        <v>1688</v>
      </c>
      <c r="G3952" s="1670">
        <v>0.98</v>
      </c>
      <c r="H3952" s="1939"/>
      <c r="I3952" s="197">
        <f t="shared" ca="1" si="445"/>
        <v>421.49493975600865</v>
      </c>
      <c r="J3952" s="198"/>
      <c r="K3952" s="1307">
        <f>G3952*$K$3940</f>
        <v>1.319472</v>
      </c>
      <c r="L3952" s="1335">
        <f>$K$3863*K3952</f>
        <v>0</v>
      </c>
      <c r="M3952" s="1302">
        <v>7.5</v>
      </c>
      <c r="N3952" s="1718"/>
      <c r="O3952" s="1290">
        <f>G3952*M3952</f>
        <v>7.35</v>
      </c>
      <c r="P3952" s="1332">
        <f>M3952*K3952</f>
        <v>9.8960399999999993</v>
      </c>
      <c r="Q3952" s="3391"/>
      <c r="R3952" s="2337"/>
      <c r="S3952" s="16"/>
      <c r="T3952" s="16"/>
      <c r="U3952" s="16"/>
      <c r="V3952" s="16"/>
    </row>
    <row r="3953" spans="1:22">
      <c r="A3953" s="16"/>
      <c r="B3953" s="1042"/>
      <c r="C3953" s="88"/>
      <c r="D3953" s="1940"/>
      <c r="E3953" s="2177"/>
      <c r="F3953" s="1804"/>
      <c r="G3953" s="1804"/>
      <c r="H3953" s="1442"/>
      <c r="I3953" s="197" t="str">
        <f t="shared" ca="1" si="445"/>
        <v/>
      </c>
      <c r="J3953" s="198"/>
      <c r="K3953" s="1307"/>
      <c r="L3953" s="1335"/>
      <c r="M3953" s="1499"/>
      <c r="N3953" s="1701"/>
      <c r="O3953" s="1290"/>
      <c r="P3953" s="1332"/>
      <c r="Q3953" s="3391"/>
      <c r="R3953" s="2337"/>
      <c r="S3953" s="16"/>
      <c r="T3953" s="16"/>
      <c r="U3953" s="16"/>
      <c r="V3953" s="16"/>
    </row>
    <row r="3954" spans="1:22">
      <c r="A3954" s="16"/>
      <c r="B3954" s="223"/>
      <c r="C3954" s="581"/>
      <c r="D3954" s="1440"/>
      <c r="E3954" s="2132"/>
      <c r="F3954" s="1441"/>
      <c r="G3954" s="1441"/>
      <c r="H3954" s="1442"/>
      <c r="I3954" s="197" t="str">
        <f t="shared" ca="1" si="445"/>
        <v/>
      </c>
      <c r="J3954" s="198"/>
      <c r="K3954" s="1307"/>
      <c r="L3954" s="1335"/>
      <c r="M3954" s="1499"/>
      <c r="N3954" s="1701"/>
      <c r="O3954" s="1290"/>
      <c r="P3954" s="1332"/>
      <c r="Q3954" s="3391"/>
      <c r="R3954" s="2337"/>
      <c r="S3954" s="16"/>
      <c r="T3954" s="16"/>
      <c r="U3954" s="16"/>
      <c r="V3954" s="16"/>
    </row>
    <row r="3955" spans="1:22">
      <c r="A3955" s="19" t="s">
        <v>3764</v>
      </c>
      <c r="B3955" s="4325" t="s">
        <v>1738</v>
      </c>
      <c r="C3955" s="3350"/>
      <c r="D3955" s="4327"/>
      <c r="E3955" s="4329" t="s">
        <v>1507</v>
      </c>
      <c r="F3955" s="4336" t="s">
        <v>1714</v>
      </c>
      <c r="G3955" s="4331" t="s">
        <v>1568</v>
      </c>
      <c r="H3955" s="4331" t="s">
        <v>1574</v>
      </c>
      <c r="I3955" s="1572" t="s">
        <v>1559</v>
      </c>
      <c r="J3955" s="1294" t="s">
        <v>1560</v>
      </c>
      <c r="K3955" s="1294" t="s">
        <v>1561</v>
      </c>
      <c r="L3955" s="4333" t="s">
        <v>3765</v>
      </c>
      <c r="M3955" s="4335" t="s">
        <v>1571</v>
      </c>
      <c r="N3955" s="4323" t="s">
        <v>1776</v>
      </c>
      <c r="O3955" s="3347" t="s">
        <v>1563</v>
      </c>
      <c r="P3955" s="1336" t="s">
        <v>1562</v>
      </c>
      <c r="Q3955" s="3389"/>
      <c r="R3955" s="1839" t="s">
        <v>1327</v>
      </c>
      <c r="S3955" s="16"/>
      <c r="T3955" s="16"/>
      <c r="U3955" s="16"/>
      <c r="V3955" s="16"/>
    </row>
    <row r="3956" spans="1:22">
      <c r="A3956" s="1660" t="s">
        <v>1946</v>
      </c>
      <c r="B3956" s="4326"/>
      <c r="C3956" s="3351"/>
      <c r="D3956" s="4328"/>
      <c r="E3956" s="4389"/>
      <c r="F3956" s="4336"/>
      <c r="G3956" s="4332"/>
      <c r="H3956" s="4332"/>
      <c r="I3956" s="1345">
        <v>16.5</v>
      </c>
      <c r="J3956" s="1307">
        <v>3.4000000000000002E-2</v>
      </c>
      <c r="K3956" s="1307">
        <f>I3956*J3956</f>
        <v>0.56100000000000005</v>
      </c>
      <c r="L3956" s="4334"/>
      <c r="M3956" s="4335"/>
      <c r="N3956" s="4324"/>
      <c r="O3956" s="1298">
        <f>O3958+O3962+O3968</f>
        <v>7.8734280000000005</v>
      </c>
      <c r="P3956" s="1337">
        <f>O3956*K3956</f>
        <v>4.4169931080000007</v>
      </c>
      <c r="Q3956" s="3390"/>
      <c r="R3956" s="1840">
        <f>P3958+P3962+P3968</f>
        <v>4.4169931079999998</v>
      </c>
      <c r="S3956" s="16"/>
      <c r="T3956" s="16"/>
      <c r="U3956" s="16"/>
      <c r="V3956" s="16"/>
    </row>
    <row r="3957" spans="1:22">
      <c r="A3957" s="16"/>
      <c r="B3957" s="1327"/>
      <c r="C3957" s="1327"/>
      <c r="D3957" s="1400"/>
      <c r="E3957" s="2121"/>
      <c r="F3957" s="1368" t="s">
        <v>1</v>
      </c>
      <c r="G3957" s="1417"/>
      <c r="H3957" s="1390"/>
      <c r="I3957" s="1554"/>
      <c r="J3957" s="1367"/>
      <c r="K3957" s="1367"/>
      <c r="L3957" s="1554"/>
      <c r="M3957" s="1369"/>
      <c r="N3957" s="1369"/>
      <c r="O3957" s="1369"/>
      <c r="P3957" s="1367"/>
      <c r="Q3957" s="3387"/>
      <c r="R3957" s="2337"/>
      <c r="S3957" s="16"/>
      <c r="T3957" s="16"/>
      <c r="U3957" s="16"/>
      <c r="V3957" s="16"/>
    </row>
    <row r="3958" spans="1:22">
      <c r="A3958" s="16"/>
      <c r="B3958" s="1320"/>
      <c r="C3958" s="1356" t="s">
        <v>1128</v>
      </c>
      <c r="D3958" s="1311"/>
      <c r="E3958" s="2169" t="s">
        <v>1517</v>
      </c>
      <c r="F3958" s="1749" t="s">
        <v>1695</v>
      </c>
      <c r="G3958" s="1758"/>
      <c r="H3958" s="1331">
        <v>1.4999999999999999E-2</v>
      </c>
      <c r="I3958" s="1388"/>
      <c r="J3958" s="1366"/>
      <c r="K3958" s="1510"/>
      <c r="L3958" s="1445"/>
      <c r="M3958" s="1447"/>
      <c r="N3958" s="1447">
        <f>SUM(N3959:N3961)</f>
        <v>104.27969999999999</v>
      </c>
      <c r="O3958" s="1447">
        <f>SUM(O3959:O3961)</f>
        <v>1.5641954999999998</v>
      </c>
      <c r="P3958" s="1446">
        <f>SUM(P3959:P3961)</f>
        <v>0.87751367549999992</v>
      </c>
      <c r="Q3958" s="3391"/>
      <c r="R3958" s="2337"/>
      <c r="S3958" s="16"/>
      <c r="T3958" s="16"/>
      <c r="U3958" s="16"/>
      <c r="V3958" s="16"/>
    </row>
    <row r="3959" spans="1:22">
      <c r="A3959" s="16"/>
      <c r="B3959" s="1320"/>
      <c r="C3959" s="1042"/>
      <c r="D3959" s="1752" t="s">
        <v>1779</v>
      </c>
      <c r="E3959" s="1852" t="s">
        <v>1577</v>
      </c>
      <c r="F3959" s="1752" t="s">
        <v>1780</v>
      </c>
      <c r="G3959" s="1753">
        <v>0.876</v>
      </c>
      <c r="H3959" s="1453">
        <f>G3959*$H$2738</f>
        <v>1.3139999999999999E-2</v>
      </c>
      <c r="I3959" s="197"/>
      <c r="J3959" s="198"/>
      <c r="K3959" s="1307">
        <f>H3959*$K$3956</f>
        <v>7.3715400000000002E-3</v>
      </c>
      <c r="L3959" s="1335">
        <f>$K$3863*K3959</f>
        <v>0</v>
      </c>
      <c r="M3959" s="1499">
        <v>56.05</v>
      </c>
      <c r="N3959" s="1718">
        <f>G3959*M3959</f>
        <v>49.099799999999995</v>
      </c>
      <c r="O3959" s="1719">
        <f>H3959*M3959</f>
        <v>0.73649699999999985</v>
      </c>
      <c r="P3959" s="1720">
        <f>M3959*K3959</f>
        <v>0.41317481699999997</v>
      </c>
      <c r="Q3959" s="3396"/>
      <c r="R3959" s="2337"/>
      <c r="S3959" s="16"/>
      <c r="T3959" s="16"/>
      <c r="U3959" s="16"/>
      <c r="V3959" s="16"/>
    </row>
    <row r="3960" spans="1:22">
      <c r="A3960" s="16"/>
      <c r="B3960" s="1320"/>
      <c r="C3960" s="1042"/>
      <c r="D3960" s="1752" t="s">
        <v>1069</v>
      </c>
      <c r="E3960" s="1852" t="s">
        <v>1517</v>
      </c>
      <c r="F3960" s="1752" t="s">
        <v>1578</v>
      </c>
      <c r="G3960" s="1753">
        <v>0.61799999999999999</v>
      </c>
      <c r="H3960" s="1453">
        <f>G3960*$H$2738</f>
        <v>9.2699999999999987E-3</v>
      </c>
      <c r="I3960" s="27"/>
      <c r="J3960" s="10"/>
      <c r="K3960" s="1307">
        <f t="shared" ref="K3960:K3961" si="446">H3960*$K$3956</f>
        <v>5.2004699999999996E-3</v>
      </c>
      <c r="L3960" s="1335">
        <f t="shared" ref="L3960:L3965" si="447">$K$3863*K3960</f>
        <v>0</v>
      </c>
      <c r="M3960" s="1499">
        <v>0.55000000000000004</v>
      </c>
      <c r="N3960" s="1718">
        <f>G3960*M3960</f>
        <v>0.33990000000000004</v>
      </c>
      <c r="O3960" s="1719">
        <f>H3960*M3960</f>
        <v>5.0984999999999997E-3</v>
      </c>
      <c r="P3960" s="1720">
        <f>M3960*K3960</f>
        <v>2.8602584999999998E-3</v>
      </c>
      <c r="Q3960" s="3396"/>
      <c r="R3960" s="2337"/>
      <c r="S3960" s="16"/>
      <c r="T3960" s="16"/>
      <c r="U3960" s="16"/>
      <c r="V3960" s="16"/>
    </row>
    <row r="3961" spans="1:22">
      <c r="A3961" s="16"/>
      <c r="B3961" s="1320"/>
      <c r="C3961" s="1042"/>
      <c r="D3961" s="1754" t="s">
        <v>1067</v>
      </c>
      <c r="E3961" s="1853" t="s">
        <v>1508</v>
      </c>
      <c r="F3961" s="1754" t="s">
        <v>1512</v>
      </c>
      <c r="G3961" s="1755">
        <v>3</v>
      </c>
      <c r="H3961" s="1454">
        <f>G3961*$H$2738</f>
        <v>4.4999999999999998E-2</v>
      </c>
      <c r="I3961" s="198"/>
      <c r="J3961" s="198"/>
      <c r="K3961" s="1307">
        <f t="shared" si="446"/>
        <v>2.5245E-2</v>
      </c>
      <c r="L3961" s="1335">
        <f t="shared" si="447"/>
        <v>0</v>
      </c>
      <c r="M3961" s="1499">
        <v>18.28</v>
      </c>
      <c r="N3961" s="1718">
        <f>G3961*M3961</f>
        <v>54.84</v>
      </c>
      <c r="O3961" s="1719">
        <f>H3961*M3961</f>
        <v>0.8226</v>
      </c>
      <c r="P3961" s="1720">
        <f>M3961*K3961</f>
        <v>0.46147860000000002</v>
      </c>
      <c r="Q3961" s="3396"/>
      <c r="S3961" s="16"/>
      <c r="T3961" s="16"/>
      <c r="U3961" s="16"/>
      <c r="V3961" s="16"/>
    </row>
    <row r="3962" spans="1:22">
      <c r="A3962" s="16"/>
      <c r="B3962" s="1320"/>
      <c r="C3962" s="1356" t="s">
        <v>1152</v>
      </c>
      <c r="D3962" s="1311"/>
      <c r="E3962" s="1854" t="s">
        <v>1517</v>
      </c>
      <c r="F3962" s="1749" t="s">
        <v>1696</v>
      </c>
      <c r="G3962" s="1688"/>
      <c r="H3962" s="1366">
        <v>5.0000000000000001E-3</v>
      </c>
      <c r="I3962" s="1388"/>
      <c r="J3962" s="1388"/>
      <c r="K3962" s="1510"/>
      <c r="L3962" s="1445"/>
      <c r="M3962" s="1447"/>
      <c r="N3962" s="1447">
        <f>SUM(N3963:N3965)</f>
        <v>108.04650000000001</v>
      </c>
      <c r="O3962" s="1447">
        <f>SUM(O3963:O3965)</f>
        <v>0.54023250000000012</v>
      </c>
      <c r="P3962" s="1446">
        <f>SUM(P3963:P3965)</f>
        <v>0.30307043250000004</v>
      </c>
      <c r="Q3962" s="3391"/>
      <c r="S3962" s="16"/>
      <c r="T3962" s="16"/>
      <c r="U3962" s="16"/>
      <c r="V3962" s="16"/>
    </row>
    <row r="3963" spans="1:22">
      <c r="A3963" s="16"/>
      <c r="B3963" s="1320"/>
      <c r="C3963" s="18"/>
      <c r="D3963" s="1756" t="s">
        <v>1781</v>
      </c>
      <c r="E3963" s="1852" t="s">
        <v>1577</v>
      </c>
      <c r="F3963" s="1752" t="s">
        <v>1782</v>
      </c>
      <c r="G3963" s="1753">
        <v>0.876</v>
      </c>
      <c r="H3963" s="1453">
        <f>G3963*$H$2742</f>
        <v>4.3800000000000002E-3</v>
      </c>
      <c r="I3963" s="198"/>
      <c r="J3963" s="198"/>
      <c r="K3963" s="1307">
        <f t="shared" ref="K3963:K3965" si="448">H3963*$K$3956</f>
        <v>2.4571800000000002E-3</v>
      </c>
      <c r="L3963" s="1335">
        <f t="shared" si="447"/>
        <v>0</v>
      </c>
      <c r="M3963" s="1499">
        <v>60.35</v>
      </c>
      <c r="N3963" s="1718">
        <f>G3963*M3963</f>
        <v>52.866599999999998</v>
      </c>
      <c r="O3963" s="1719">
        <f>H3963*M3963</f>
        <v>0.26433300000000004</v>
      </c>
      <c r="P3963" s="1720">
        <f>M3963*K3963</f>
        <v>0.14829081300000002</v>
      </c>
      <c r="Q3963" s="3396"/>
      <c r="R3963" s="2337"/>
      <c r="S3963" s="16"/>
      <c r="T3963" s="16"/>
      <c r="U3963" s="16"/>
      <c r="V3963" s="16"/>
    </row>
    <row r="3964" spans="1:22">
      <c r="A3964" s="16"/>
      <c r="B3964" s="1320"/>
      <c r="C3964" s="1042"/>
      <c r="D3964" s="1756" t="s">
        <v>1069</v>
      </c>
      <c r="E3964" s="1852" t="s">
        <v>1517</v>
      </c>
      <c r="F3964" s="1752" t="s">
        <v>1578</v>
      </c>
      <c r="G3964" s="1753">
        <v>0.61799999999999999</v>
      </c>
      <c r="H3964" s="1453">
        <f>G3964*$H$2742</f>
        <v>3.0899999999999999E-3</v>
      </c>
      <c r="I3964" s="197"/>
      <c r="J3964" s="198"/>
      <c r="K3964" s="1307">
        <f t="shared" si="448"/>
        <v>1.7334900000000001E-3</v>
      </c>
      <c r="L3964" s="1335">
        <f t="shared" si="447"/>
        <v>0</v>
      </c>
      <c r="M3964" s="1499">
        <v>0.55000000000000004</v>
      </c>
      <c r="N3964" s="1718">
        <f>G3964*M3964</f>
        <v>0.33990000000000004</v>
      </c>
      <c r="O3964" s="1719">
        <f>H3964*M3964</f>
        <v>1.6995000000000001E-3</v>
      </c>
      <c r="P3964" s="1720">
        <f>M3964*K3964</f>
        <v>9.5341950000000012E-4</v>
      </c>
      <c r="Q3964" s="3396"/>
      <c r="R3964" s="2337"/>
      <c r="S3964" s="16"/>
      <c r="T3964" s="16"/>
      <c r="U3964" s="16"/>
      <c r="V3964" s="16"/>
    </row>
    <row r="3965" spans="1:22">
      <c r="A3965" s="16"/>
      <c r="B3965" s="1320"/>
      <c r="C3965" s="1042"/>
      <c r="D3965" s="1757" t="s">
        <v>1067</v>
      </c>
      <c r="E3965" s="1853" t="s">
        <v>1508</v>
      </c>
      <c r="F3965" s="1754" t="s">
        <v>1512</v>
      </c>
      <c r="G3965" s="1755">
        <v>3</v>
      </c>
      <c r="H3965" s="1454">
        <f>G3965*$H$2742</f>
        <v>1.4999999999999999E-2</v>
      </c>
      <c r="I3965" s="1289"/>
      <c r="J3965" s="198"/>
      <c r="K3965" s="1307">
        <f t="shared" si="448"/>
        <v>8.4150000000000006E-3</v>
      </c>
      <c r="L3965" s="1335">
        <f t="shared" si="447"/>
        <v>0</v>
      </c>
      <c r="M3965" s="1499">
        <v>18.28</v>
      </c>
      <c r="N3965" s="1718">
        <f>G3965*M3965</f>
        <v>54.84</v>
      </c>
      <c r="O3965" s="1719">
        <f>H3965*M3965</f>
        <v>0.2742</v>
      </c>
      <c r="P3965" s="1720">
        <f>M3965*K3965</f>
        <v>0.15382620000000002</v>
      </c>
      <c r="Q3965" s="3396"/>
      <c r="R3965" s="2337"/>
      <c r="S3965" s="16"/>
      <c r="T3965" s="16"/>
      <c r="U3965" s="16"/>
      <c r="V3965" s="16"/>
    </row>
    <row r="3966" spans="1:22">
      <c r="A3966" s="16"/>
      <c r="B3966" s="1320"/>
      <c r="C3966" s="1042"/>
      <c r="D3966" s="1404"/>
      <c r="E3966" s="1857"/>
      <c r="F3966" s="1406"/>
      <c r="G3966" s="1407"/>
      <c r="H3966" s="1408"/>
      <c r="I3966" s="1289"/>
      <c r="J3966" s="198"/>
      <c r="K3966" s="1307"/>
      <c r="L3966" s="1335"/>
      <c r="M3966" s="1499"/>
      <c r="N3966" s="1701"/>
      <c r="O3966" s="1290"/>
      <c r="P3966" s="1332"/>
      <c r="Q3966" s="3391"/>
      <c r="R3966" s="2337"/>
      <c r="S3966" s="16"/>
      <c r="T3966" s="16"/>
      <c r="U3966" s="16"/>
      <c r="V3966" s="16"/>
    </row>
    <row r="3967" spans="1:22">
      <c r="A3967" s="16"/>
      <c r="B3967" s="1320"/>
      <c r="C3967" s="1320"/>
      <c r="D3967" s="1410"/>
      <c r="E3967" s="1858"/>
      <c r="F3967" s="1360" t="s">
        <v>2</v>
      </c>
      <c r="G3967" s="1360"/>
      <c r="H3967" s="1362"/>
      <c r="I3967" s="1380"/>
      <c r="J3967" s="1381"/>
      <c r="K3967" s="1359"/>
      <c r="L3967" s="1458"/>
      <c r="M3967" s="1502"/>
      <c r="N3967" s="1502"/>
      <c r="O3967" s="1362"/>
      <c r="P3967" s="1359"/>
      <c r="Q3967" s="3387"/>
      <c r="R3967" s="2337"/>
      <c r="S3967" s="16"/>
      <c r="T3967" s="16"/>
      <c r="U3967" s="16"/>
      <c r="V3967" s="16"/>
    </row>
    <row r="3968" spans="1:22">
      <c r="A3968" s="16"/>
      <c r="B3968" s="1320"/>
      <c r="C3968" s="1042"/>
      <c r="D3968" s="1437" t="s">
        <v>1153</v>
      </c>
      <c r="E3968" s="2134" t="s">
        <v>1508</v>
      </c>
      <c r="F3968" s="1438" t="s">
        <v>1783</v>
      </c>
      <c r="G3968" s="1439">
        <v>0.3</v>
      </c>
      <c r="H3968" s="1439"/>
      <c r="I3968" s="197"/>
      <c r="J3968" s="198"/>
      <c r="K3968" s="1307">
        <f>G3968*$K$3956</f>
        <v>0.16830000000000001</v>
      </c>
      <c r="L3968" s="1335">
        <f t="shared" ref="L3968" si="449">$K$3863*K3968</f>
        <v>0</v>
      </c>
      <c r="M3968" s="1499">
        <v>19.23</v>
      </c>
      <c r="N3968" s="1701"/>
      <c r="O3968" s="1290">
        <f>(G3968*M3968)</f>
        <v>5.7690000000000001</v>
      </c>
      <c r="P3968" s="1332">
        <f>M3968*K3968</f>
        <v>3.2364090000000001</v>
      </c>
      <c r="Q3968" s="3391"/>
      <c r="R3968" s="2337"/>
      <c r="S3968" s="16"/>
      <c r="T3968" s="16"/>
      <c r="U3968" s="16"/>
      <c r="V3968" s="16"/>
    </row>
    <row r="3969" spans="1:22">
      <c r="A3969" s="16"/>
      <c r="B3969" s="1320"/>
      <c r="C3969" s="1042"/>
      <c r="D3969" s="1402"/>
      <c r="E3969" s="1857"/>
      <c r="F3969" s="1645"/>
      <c r="G3969" s="1362"/>
      <c r="H3969" s="1359"/>
      <c r="I3969" s="198"/>
      <c r="J3969" s="6"/>
      <c r="K3969" s="1306"/>
      <c r="L3969" s="1646"/>
      <c r="M3969" s="1499"/>
      <c r="N3969" s="1499"/>
      <c r="O3969" s="1291"/>
      <c r="P3969" s="1332"/>
      <c r="Q3969" s="3391"/>
      <c r="R3969" s="2337"/>
      <c r="S3969" s="16"/>
      <c r="T3969" s="16"/>
      <c r="U3969" s="16"/>
      <c r="V3969" s="16"/>
    </row>
    <row r="3970" spans="1:22">
      <c r="A3970" s="16"/>
      <c r="B3970" s="1320"/>
      <c r="C3970" s="1042"/>
      <c r="D3970" s="1402"/>
      <c r="E3970" s="1857"/>
      <c r="F3970" s="1403"/>
      <c r="G3970" s="1362"/>
      <c r="H3970" s="1359"/>
      <c r="I3970" s="198"/>
      <c r="J3970" s="6"/>
      <c r="K3970" s="1307"/>
      <c r="L3970" s="1335"/>
      <c r="M3970" s="1499"/>
      <c r="N3970" s="1701"/>
      <c r="O3970" s="1290"/>
      <c r="P3970" s="1332"/>
      <c r="Q3970" s="3391"/>
      <c r="R3970" s="2337"/>
      <c r="S3970" s="16"/>
      <c r="T3970" s="16"/>
      <c r="U3970" s="16"/>
      <c r="V3970" s="16"/>
    </row>
    <row r="3971" spans="1:22">
      <c r="A3971" s="16"/>
      <c r="B3971" s="1320"/>
      <c r="C3971" s="1042"/>
      <c r="D3971" s="1411"/>
      <c r="E3971" s="2123"/>
      <c r="F3971" s="1374" t="s">
        <v>3</v>
      </c>
      <c r="G3971" s="1374"/>
      <c r="H3971" s="1376"/>
      <c r="I3971" s="1382"/>
      <c r="J3971" s="1383"/>
      <c r="K3971" s="1373"/>
      <c r="L3971" s="1413"/>
      <c r="M3971" s="1505"/>
      <c r="N3971" s="1505"/>
      <c r="O3971" s="1376"/>
      <c r="P3971" s="1413"/>
      <c r="Q3971" s="3387"/>
      <c r="R3971" s="2337"/>
      <c r="S3971" s="16"/>
      <c r="T3971" s="16"/>
      <c r="U3971" s="16"/>
      <c r="V3971" s="16"/>
    </row>
    <row r="3972" spans="1:22">
      <c r="A3972" s="16"/>
      <c r="B3972" s="1320"/>
      <c r="C3972" s="1042"/>
      <c r="D3972" s="1440"/>
      <c r="E3972" s="2132"/>
      <c r="F3972" s="1441"/>
      <c r="G3972" s="1441"/>
      <c r="H3972" s="1442"/>
      <c r="I3972" s="197"/>
      <c r="J3972" s="198"/>
      <c r="K3972" s="1307"/>
      <c r="L3972" s="1335"/>
      <c r="M3972" s="1499"/>
      <c r="N3972" s="1701"/>
      <c r="O3972" s="1290"/>
      <c r="P3972" s="1332"/>
      <c r="Q3972" s="3391"/>
      <c r="R3972" s="2337"/>
      <c r="S3972" s="16"/>
      <c r="T3972" s="16"/>
      <c r="U3972" s="16"/>
      <c r="V3972" s="16"/>
    </row>
    <row r="3973" spans="1:22">
      <c r="A3973" s="16"/>
      <c r="B3973" s="1320"/>
      <c r="C3973" s="1042"/>
      <c r="D3973" s="1440"/>
      <c r="E3973" s="2132"/>
      <c r="F3973" s="1441"/>
      <c r="G3973" s="1441"/>
      <c r="H3973" s="1442"/>
      <c r="I3973" s="197"/>
      <c r="J3973" s="198"/>
      <c r="K3973" s="1307"/>
      <c r="L3973" s="1335"/>
      <c r="M3973" s="1499"/>
      <c r="N3973" s="1701"/>
      <c r="O3973" s="1290"/>
      <c r="P3973" s="1332"/>
      <c r="Q3973" s="3391"/>
      <c r="R3973" s="2337"/>
      <c r="S3973" s="16"/>
      <c r="T3973" s="16"/>
      <c r="U3973" s="16"/>
      <c r="V3973" s="16"/>
    </row>
    <row r="3974" spans="1:22" ht="15" customHeight="1">
      <c r="A3974" s="16"/>
      <c r="B3974" s="225"/>
      <c r="C3974" s="223"/>
      <c r="D3974" s="1440"/>
      <c r="E3974" s="2132"/>
      <c r="F3974" s="1441"/>
      <c r="G3974" s="1441"/>
      <c r="H3974" s="1442"/>
      <c r="I3974" s="197"/>
      <c r="J3974" s="198"/>
      <c r="K3974" s="1307"/>
      <c r="L3974" s="1335"/>
      <c r="M3974" s="1499"/>
      <c r="N3974" s="1701"/>
      <c r="O3974" s="1290"/>
      <c r="P3974" s="1332"/>
      <c r="Q3974" s="3391"/>
      <c r="R3974" s="2337"/>
      <c r="S3974" s="16"/>
      <c r="T3974" s="16"/>
      <c r="U3974" s="16"/>
      <c r="V3974" s="16"/>
    </row>
    <row r="3975" spans="1:22">
      <c r="A3975" s="19" t="s">
        <v>3764</v>
      </c>
      <c r="B3975" s="4325" t="s">
        <v>1810</v>
      </c>
      <c r="C3975" s="3350"/>
      <c r="D3975" s="4327"/>
      <c r="E3975" s="4329" t="s">
        <v>1507</v>
      </c>
      <c r="F3975" s="4372" t="s">
        <v>1811</v>
      </c>
      <c r="G3975" s="4331" t="s">
        <v>1568</v>
      </c>
      <c r="H3975" s="4331" t="s">
        <v>1574</v>
      </c>
      <c r="I3975" s="1572" t="s">
        <v>1559</v>
      </c>
      <c r="J3975" s="1294" t="s">
        <v>1560</v>
      </c>
      <c r="K3975" s="1294" t="s">
        <v>1561</v>
      </c>
      <c r="L3975" s="4333" t="s">
        <v>3765</v>
      </c>
      <c r="M3975" s="4323" t="s">
        <v>1571</v>
      </c>
      <c r="N3975" s="4323" t="s">
        <v>1776</v>
      </c>
      <c r="O3975" s="3347" t="s">
        <v>1563</v>
      </c>
      <c r="P3975" s="1336" t="s">
        <v>1562</v>
      </c>
      <c r="Q3975" s="3389"/>
      <c r="R3975" s="1699" t="s">
        <v>1327</v>
      </c>
      <c r="S3975" s="16"/>
      <c r="T3975" s="16"/>
      <c r="U3975" s="16"/>
      <c r="V3975" s="16"/>
    </row>
    <row r="3976" spans="1:22" ht="15" customHeight="1">
      <c r="A3976" s="1660" t="s">
        <v>1946</v>
      </c>
      <c r="B3976" s="4326"/>
      <c r="C3976" s="3351"/>
      <c r="D3976" s="4328"/>
      <c r="E3976" s="4330"/>
      <c r="F3976" s="4363"/>
      <c r="G3976" s="4332"/>
      <c r="H3976" s="4332"/>
      <c r="I3976" s="1345">
        <v>39.6</v>
      </c>
      <c r="J3976" s="1307">
        <v>3.4000000000000002E-2</v>
      </c>
      <c r="K3976" s="1307">
        <f>I3976*J3976</f>
        <v>1.3464</v>
      </c>
      <c r="L3976" s="4334"/>
      <c r="M3976" s="4324"/>
      <c r="N3976" s="4324"/>
      <c r="O3976" s="1298">
        <f>SUM(O3978:O3988)</f>
        <v>24.729479999999999</v>
      </c>
      <c r="P3976" s="1337">
        <f>O3976*K3976</f>
        <v>33.295771871999996</v>
      </c>
      <c r="Q3976" s="3390"/>
      <c r="R3976" s="1721">
        <f>SUM(P3978:P3989)</f>
        <v>33.295771872000003</v>
      </c>
      <c r="S3976" s="16"/>
      <c r="T3976" s="16"/>
      <c r="U3976" s="16"/>
      <c r="V3976" s="16"/>
    </row>
    <row r="3977" spans="1:22" ht="15" customHeight="1">
      <c r="A3977" s="16"/>
      <c r="B3977" s="1327"/>
      <c r="C3977" s="1327"/>
      <c r="D3977" s="1400"/>
      <c r="E3977" s="2121"/>
      <c r="F3977" s="1368" t="s">
        <v>1</v>
      </c>
      <c r="G3977" s="1417"/>
      <c r="H3977" s="1390"/>
      <c r="I3977" s="1554"/>
      <c r="J3977" s="1367"/>
      <c r="K3977" s="1367"/>
      <c r="L3977" s="1554"/>
      <c r="M3977" s="1369"/>
      <c r="N3977" s="1369"/>
      <c r="O3977" s="1369"/>
      <c r="P3977" s="1367"/>
      <c r="Q3977" s="3387"/>
      <c r="R3977" s="2337"/>
      <c r="S3977" s="16"/>
      <c r="T3977" s="16"/>
      <c r="U3977" s="16"/>
      <c r="V3977" s="16"/>
    </row>
    <row r="3978" spans="1:22" ht="15" customHeight="1">
      <c r="A3978" s="16"/>
      <c r="B3978" s="1320"/>
      <c r="C3978" s="1042"/>
      <c r="D3978" s="1761" t="s">
        <v>1812</v>
      </c>
      <c r="E3978" s="2170" t="s">
        <v>1357</v>
      </c>
      <c r="F3978" s="1761" t="s">
        <v>1813</v>
      </c>
      <c r="G3978" s="1762">
        <v>0.9</v>
      </c>
      <c r="H3978" s="1762"/>
      <c r="I3978" s="27"/>
      <c r="J3978" s="10"/>
      <c r="K3978" s="1307">
        <f>G3978*$K$3976</f>
        <v>1.2117600000000002</v>
      </c>
      <c r="L3978" s="1335">
        <f t="shared" ref="L3978:L3979" si="450">$K$3863*K3978</f>
        <v>0</v>
      </c>
      <c r="M3978" s="1499">
        <v>1.71</v>
      </c>
      <c r="N3978" s="1701"/>
      <c r="O3978" s="1290">
        <f>(G3978*M3978)</f>
        <v>1.5389999999999999</v>
      </c>
      <c r="P3978" s="1332">
        <f>M3978*K3978</f>
        <v>2.0721096000000001</v>
      </c>
      <c r="Q3978" s="3391"/>
      <c r="R3978" s="2337"/>
      <c r="S3978" s="16"/>
      <c r="T3978" s="16"/>
      <c r="U3978" s="16"/>
      <c r="V3978" s="16"/>
    </row>
    <row r="3979" spans="1:22" ht="15" customHeight="1">
      <c r="A3979" s="16"/>
      <c r="B3979" s="1320"/>
      <c r="C3979" s="1042"/>
      <c r="D3979" s="1761" t="s">
        <v>1701</v>
      </c>
      <c r="E3979" s="2170" t="s">
        <v>1504</v>
      </c>
      <c r="F3979" s="1761" t="s">
        <v>1541</v>
      </c>
      <c r="G3979" s="1762">
        <v>0.4</v>
      </c>
      <c r="H3979" s="1762"/>
      <c r="I3979" s="27"/>
      <c r="J3979" s="10"/>
      <c r="K3979" s="1307">
        <f>G3979*$K$3976</f>
        <v>0.53856000000000004</v>
      </c>
      <c r="L3979" s="1335">
        <f t="shared" si="450"/>
        <v>0</v>
      </c>
      <c r="M3979" s="1499">
        <v>0.3</v>
      </c>
      <c r="N3979" s="1701"/>
      <c r="O3979" s="1290">
        <f>(G3979*M3979)</f>
        <v>0.12</v>
      </c>
      <c r="P3979" s="1332">
        <f>M3979*K3979</f>
        <v>0.16156800000000002</v>
      </c>
      <c r="Q3979" s="3391"/>
      <c r="R3979" s="2337"/>
      <c r="S3979" s="16"/>
      <c r="T3979" s="16"/>
      <c r="U3979" s="16"/>
      <c r="V3979" s="16"/>
    </row>
    <row r="3980" spans="1:22" ht="15" customHeight="1">
      <c r="A3980" s="16"/>
      <c r="B3980" s="1320"/>
      <c r="C3980" s="1042"/>
      <c r="D3980" s="1367"/>
      <c r="E3980" s="1856"/>
      <c r="F3980" s="1421"/>
      <c r="G3980" s="1399"/>
      <c r="H3980" s="1399"/>
      <c r="I3980" s="1289"/>
      <c r="J3980" s="198"/>
      <c r="K3980" s="1307"/>
      <c r="L3980" s="1335"/>
      <c r="M3980" s="1499"/>
      <c r="N3980" s="1701"/>
      <c r="O3980" s="1290"/>
      <c r="P3980" s="1332"/>
      <c r="Q3980" s="3391"/>
      <c r="R3980" s="2337"/>
      <c r="S3980" s="16"/>
      <c r="T3980" s="16"/>
      <c r="U3980" s="16"/>
      <c r="V3980" s="16"/>
    </row>
    <row r="3981" spans="1:22" ht="15" customHeight="1">
      <c r="A3981" s="16"/>
      <c r="B3981" s="1320"/>
      <c r="C3981" s="1042"/>
      <c r="D3981" s="1367"/>
      <c r="E3981" s="1856"/>
      <c r="F3981" s="1421"/>
      <c r="G3981" s="1399"/>
      <c r="H3981" s="1399"/>
      <c r="I3981" s="1289"/>
      <c r="J3981" s="198"/>
      <c r="K3981" s="1307"/>
      <c r="L3981" s="1335"/>
      <c r="M3981" s="1499"/>
      <c r="N3981" s="1701"/>
      <c r="O3981" s="1290"/>
      <c r="P3981" s="1332"/>
      <c r="Q3981" s="3391"/>
      <c r="R3981" s="2337"/>
      <c r="S3981" s="16"/>
      <c r="T3981" s="16"/>
      <c r="U3981" s="16"/>
      <c r="V3981" s="16"/>
    </row>
    <row r="3982" spans="1:22" ht="15" customHeight="1">
      <c r="A3982" s="16"/>
      <c r="B3982" s="1320"/>
      <c r="C3982" s="1320"/>
      <c r="D3982" s="1410"/>
      <c r="E3982" s="1858"/>
      <c r="F3982" s="1360" t="s">
        <v>2</v>
      </c>
      <c r="G3982" s="1362"/>
      <c r="H3982" s="1362"/>
      <c r="I3982" s="1380"/>
      <c r="J3982" s="1381"/>
      <c r="K3982" s="1359"/>
      <c r="L3982" s="1458"/>
      <c r="M3982" s="1502"/>
      <c r="N3982" s="1502"/>
      <c r="O3982" s="1362"/>
      <c r="P3982" s="1359"/>
      <c r="Q3982" s="3387"/>
      <c r="R3982" s="2337"/>
      <c r="S3982" s="16"/>
      <c r="T3982" s="16"/>
      <c r="U3982" s="16"/>
      <c r="V3982" s="16"/>
    </row>
    <row r="3983" spans="1:22" ht="15" customHeight="1">
      <c r="A3983" s="16"/>
      <c r="B3983" s="1320"/>
      <c r="C3983" s="1042"/>
      <c r="D3983" s="1624" t="s">
        <v>1702</v>
      </c>
      <c r="E3983" s="2158" t="s">
        <v>1508</v>
      </c>
      <c r="F3983" s="1624" t="s">
        <v>1703</v>
      </c>
      <c r="G3983" s="1625">
        <v>0.77600000000000002</v>
      </c>
      <c r="H3983" s="1625"/>
      <c r="I3983" s="198"/>
      <c r="J3983" s="6"/>
      <c r="K3983" s="1307">
        <f>G3983*$K$3976</f>
        <v>1.0448064000000001</v>
      </c>
      <c r="L3983" s="1335">
        <f t="shared" ref="L3983" si="451">$K$3863*K3983</f>
        <v>0</v>
      </c>
      <c r="M3983" s="1499">
        <v>19.23</v>
      </c>
      <c r="N3983" s="1701"/>
      <c r="O3983" s="1290">
        <f>(G3983*M3983)</f>
        <v>14.92248</v>
      </c>
      <c r="P3983" s="1332">
        <f>M3983*K3983</f>
        <v>20.091627072000001</v>
      </c>
      <c r="Q3983" s="3391"/>
      <c r="R3983" s="2337"/>
      <c r="S3983" s="17"/>
      <c r="T3983" s="17"/>
      <c r="U3983" s="16"/>
      <c r="V3983" s="16"/>
    </row>
    <row r="3984" spans="1:22" ht="15" customHeight="1">
      <c r="A3984" s="16"/>
      <c r="B3984" s="1320"/>
      <c r="C3984" s="1042"/>
      <c r="D3984" s="1402"/>
      <c r="E3984" s="1857"/>
      <c r="F3984" s="1645"/>
      <c r="G3984" s="1362"/>
      <c r="H3984" s="1359"/>
      <c r="I3984" s="198"/>
      <c r="J3984" s="6"/>
      <c r="K3984" s="1306"/>
      <c r="L3984" s="1646"/>
      <c r="M3984" s="1499"/>
      <c r="N3984" s="1499"/>
      <c r="O3984" s="1291"/>
      <c r="P3984" s="1332"/>
      <c r="Q3984" s="3391"/>
      <c r="R3984" s="2337"/>
      <c r="S3984" s="105"/>
      <c r="T3984" s="105"/>
      <c r="U3984" s="16"/>
      <c r="V3984" s="16"/>
    </row>
    <row r="3985" spans="1:22">
      <c r="A3985" s="16"/>
      <c r="B3985" s="1320"/>
      <c r="C3985" s="1042"/>
      <c r="D3985" s="1402"/>
      <c r="E3985" s="1857"/>
      <c r="F3985" s="1403"/>
      <c r="G3985" s="1362"/>
      <c r="H3985" s="1359"/>
      <c r="I3985" s="198"/>
      <c r="J3985" s="6"/>
      <c r="K3985" s="1307"/>
      <c r="L3985" s="1335"/>
      <c r="M3985" s="1499"/>
      <c r="N3985" s="1701"/>
      <c r="O3985" s="1290"/>
      <c r="P3985" s="1332"/>
      <c r="Q3985" s="3391"/>
      <c r="R3985" s="2337"/>
      <c r="S3985" s="16"/>
      <c r="T3985" s="16"/>
      <c r="U3985" s="16"/>
      <c r="V3985" s="16"/>
    </row>
    <row r="3986" spans="1:22">
      <c r="A3986" s="16"/>
      <c r="B3986" s="1320"/>
      <c r="C3986" s="1042"/>
      <c r="D3986" s="1411"/>
      <c r="E3986" s="2123"/>
      <c r="F3986" s="1374" t="s">
        <v>3</v>
      </c>
      <c r="G3986" s="1374"/>
      <c r="H3986" s="1376"/>
      <c r="I3986" s="1382"/>
      <c r="J3986" s="1383"/>
      <c r="K3986" s="1373"/>
      <c r="L3986" s="1413"/>
      <c r="M3986" s="1505"/>
      <c r="N3986" s="1505"/>
      <c r="O3986" s="1376"/>
      <c r="P3986" s="1413"/>
      <c r="Q3986" s="3387"/>
      <c r="R3986" s="1699"/>
      <c r="S3986" s="16"/>
      <c r="T3986" s="16"/>
      <c r="U3986" s="16"/>
      <c r="V3986" s="16"/>
    </row>
    <row r="3987" spans="1:22">
      <c r="A3987" s="16"/>
      <c r="B3987" s="1320"/>
      <c r="C3987" s="1042"/>
      <c r="D3987" s="1827" t="s">
        <v>1686</v>
      </c>
      <c r="E3987" s="2173" t="s">
        <v>1687</v>
      </c>
      <c r="F3987" s="1827" t="s">
        <v>1688</v>
      </c>
      <c r="G3987" s="1828">
        <v>1.0864</v>
      </c>
      <c r="H3987" s="1521"/>
      <c r="I3987" s="198"/>
      <c r="J3987" s="6"/>
      <c r="K3987" s="1307">
        <f>G3987*$K$3976</f>
        <v>1.4627289600000002</v>
      </c>
      <c r="L3987" s="1335">
        <f t="shared" ref="L3987" si="452">$K$3863*K3987</f>
        <v>0</v>
      </c>
      <c r="M3987" s="1499">
        <v>7.5</v>
      </c>
      <c r="N3987" s="1701"/>
      <c r="O3987" s="1290">
        <f>(G3987*M3987)</f>
        <v>8.1479999999999997</v>
      </c>
      <c r="P3987" s="1332">
        <f>M3987*K3987</f>
        <v>10.970467200000002</v>
      </c>
      <c r="Q3987" s="3391"/>
      <c r="R3987" s="2337"/>
      <c r="S3987" s="16"/>
      <c r="T3987" s="16"/>
      <c r="U3987" s="16"/>
      <c r="V3987" s="16"/>
    </row>
    <row r="3988" spans="1:22">
      <c r="A3988" s="16"/>
      <c r="B3988" s="1320"/>
      <c r="C3988" s="1042"/>
      <c r="D3988" s="1440"/>
      <c r="E3988" s="2132"/>
      <c r="F3988" s="1441"/>
      <c r="G3988" s="1441"/>
      <c r="H3988" s="1442"/>
      <c r="I3988" s="197"/>
      <c r="J3988" s="198"/>
      <c r="K3988" s="1307"/>
      <c r="L3988" s="1335"/>
      <c r="M3988" s="1499"/>
      <c r="N3988" s="1701"/>
      <c r="O3988" s="1290"/>
      <c r="P3988" s="1332"/>
      <c r="Q3988" s="3391"/>
      <c r="R3988" s="2337"/>
      <c r="S3988" s="16"/>
      <c r="T3988" s="16"/>
      <c r="U3988" s="16"/>
      <c r="V3988" s="16"/>
    </row>
    <row r="3989" spans="1:22">
      <c r="A3989" s="16"/>
      <c r="B3989" s="225"/>
      <c r="C3989" s="223"/>
      <c r="D3989" s="1440"/>
      <c r="E3989" s="2132"/>
      <c r="F3989" s="1441"/>
      <c r="G3989" s="1441"/>
      <c r="H3989" s="1442"/>
      <c r="I3989" s="197"/>
      <c r="J3989" s="198"/>
      <c r="K3989" s="1307"/>
      <c r="L3989" s="1335"/>
      <c r="M3989" s="1499"/>
      <c r="N3989" s="1701"/>
      <c r="O3989" s="1290"/>
      <c r="P3989" s="1332"/>
      <c r="Q3989" s="3391"/>
      <c r="R3989" s="2337"/>
      <c r="S3989" s="16"/>
      <c r="T3989" s="16"/>
      <c r="U3989" s="16"/>
      <c r="V3989" s="16"/>
    </row>
    <row r="3990" spans="1:22">
      <c r="A3990" s="16" t="s">
        <v>3764</v>
      </c>
      <c r="B3990" s="4325" t="s">
        <v>1661</v>
      </c>
      <c r="C3990" s="3350"/>
      <c r="D3990" s="4327"/>
      <c r="E3990" s="4329" t="s">
        <v>1507</v>
      </c>
      <c r="F3990" s="4336" t="s">
        <v>1706</v>
      </c>
      <c r="G3990" s="4331" t="s">
        <v>1568</v>
      </c>
      <c r="H3990" s="4331" t="s">
        <v>1574</v>
      </c>
      <c r="I3990" s="1572" t="s">
        <v>1559</v>
      </c>
      <c r="J3990" s="1294" t="s">
        <v>1560</v>
      </c>
      <c r="K3990" s="1294" t="s">
        <v>1561</v>
      </c>
      <c r="L3990" s="4333" t="s">
        <v>3765</v>
      </c>
      <c r="M3990" s="4335" t="s">
        <v>1571</v>
      </c>
      <c r="N3990" s="4323" t="s">
        <v>1776</v>
      </c>
      <c r="O3990" s="3347" t="s">
        <v>1563</v>
      </c>
      <c r="P3990" s="1336" t="s">
        <v>1562</v>
      </c>
      <c r="Q3990" s="3389"/>
      <c r="R3990" s="1699" t="s">
        <v>1327</v>
      </c>
      <c r="S3990" s="16"/>
      <c r="T3990" s="16"/>
      <c r="U3990" s="16"/>
      <c r="V3990" s="16"/>
    </row>
    <row r="3991" spans="1:22">
      <c r="A3991" s="1971" t="s">
        <v>1946</v>
      </c>
      <c r="B3991" s="4326"/>
      <c r="C3991" s="3351"/>
      <c r="D3991" s="4328"/>
      <c r="E3991" s="4389"/>
      <c r="F3991" s="4336"/>
      <c r="G3991" s="4332"/>
      <c r="H3991" s="4332"/>
      <c r="I3991" s="1345">
        <v>16.5</v>
      </c>
      <c r="J3991" s="1307">
        <v>3.4000000000000002E-2</v>
      </c>
      <c r="K3991" s="1307">
        <f>I3991*J3991</f>
        <v>0.56100000000000005</v>
      </c>
      <c r="L3991" s="4334"/>
      <c r="M3991" s="4335"/>
      <c r="N3991" s="4324"/>
      <c r="O3991" s="1298">
        <f>SUM(O3993:O4004)</f>
        <v>8.9870400000000004</v>
      </c>
      <c r="P3991" s="1337">
        <f>O3991*K3991</f>
        <v>5.041729440000001</v>
      </c>
      <c r="Q3991" s="3390"/>
      <c r="R3991" s="1721">
        <f>SUM(P3993:P4005)</f>
        <v>5.0417294400000001</v>
      </c>
      <c r="S3991" s="16"/>
      <c r="T3991" s="16"/>
      <c r="U3991" s="16"/>
      <c r="V3991" s="16"/>
    </row>
    <row r="3992" spans="1:22">
      <c r="A3992" s="16"/>
      <c r="B3992" s="1327"/>
      <c r="C3992" s="1327"/>
      <c r="D3992" s="1400"/>
      <c r="E3992" s="2121"/>
      <c r="F3992" s="1368" t="s">
        <v>1</v>
      </c>
      <c r="G3992" s="1417"/>
      <c r="H3992" s="1390"/>
      <c r="I3992" s="1554"/>
      <c r="J3992" s="1367"/>
      <c r="K3992" s="1367"/>
      <c r="L3992" s="1554"/>
      <c r="M3992" s="1369"/>
      <c r="N3992" s="1369"/>
      <c r="O3992" s="1369"/>
      <c r="P3992" s="1367"/>
      <c r="Q3992" s="3387"/>
      <c r="R3992" s="2337"/>
      <c r="S3992" s="16"/>
      <c r="T3992" s="16"/>
      <c r="U3992" s="16"/>
      <c r="V3992" s="16"/>
    </row>
    <row r="3993" spans="1:22">
      <c r="A3993" s="16"/>
      <c r="B3993" s="1320"/>
      <c r="C3993" s="1042"/>
      <c r="D3993" s="1761" t="s">
        <v>1698</v>
      </c>
      <c r="E3993" s="2170" t="s">
        <v>1357</v>
      </c>
      <c r="F3993" s="1761" t="s">
        <v>1699</v>
      </c>
      <c r="G3993" s="1762">
        <v>0.45</v>
      </c>
      <c r="H3993" s="1762"/>
      <c r="I3993" s="27"/>
      <c r="J3993" s="6"/>
      <c r="K3993" s="1307">
        <f>G3993*$K$3991</f>
        <v>0.25245000000000001</v>
      </c>
      <c r="L3993" s="1335">
        <f t="shared" ref="L3993:L3995" si="453">$K$3863*K3993</f>
        <v>0</v>
      </c>
      <c r="M3993" s="1499">
        <v>1.7</v>
      </c>
      <c r="N3993" s="1701"/>
      <c r="O3993" s="1290">
        <f>(G3993*M3993)</f>
        <v>0.76500000000000001</v>
      </c>
      <c r="P3993" s="1332">
        <f>M3993*K3993</f>
        <v>0.42916500000000002</v>
      </c>
      <c r="Q3993" s="3391"/>
      <c r="R3993" s="2337"/>
      <c r="S3993" s="16"/>
      <c r="T3993" s="16"/>
      <c r="U3993" s="16"/>
      <c r="V3993" s="16"/>
    </row>
    <row r="3994" spans="1:22">
      <c r="A3994" s="16"/>
      <c r="B3994" s="1320"/>
      <c r="C3994" s="1042"/>
      <c r="D3994" s="1761" t="s">
        <v>1214</v>
      </c>
      <c r="E3994" s="2170" t="s">
        <v>1357</v>
      </c>
      <c r="F3994" s="1761" t="s">
        <v>1700</v>
      </c>
      <c r="G3994" s="1762">
        <v>0.35</v>
      </c>
      <c r="H3994" s="1762"/>
      <c r="I3994" s="27"/>
      <c r="J3994" s="198"/>
      <c r="K3994" s="1307">
        <f t="shared" ref="K3994:K3995" si="454">G3994*$K$3991</f>
        <v>0.19635</v>
      </c>
      <c r="L3994" s="1335">
        <f t="shared" si="453"/>
        <v>0</v>
      </c>
      <c r="M3994" s="1499">
        <v>4.2</v>
      </c>
      <c r="N3994" s="1701"/>
      <c r="O3994" s="1290">
        <f>(G3994*M3994)</f>
        <v>1.47</v>
      </c>
      <c r="P3994" s="1332">
        <f>M3994*K3994</f>
        <v>0.82467000000000001</v>
      </c>
      <c r="Q3994" s="3391"/>
      <c r="R3994" s="2337"/>
      <c r="S3994" s="16"/>
      <c r="T3994" s="16"/>
      <c r="U3994" s="16"/>
      <c r="V3994" s="16"/>
    </row>
    <row r="3995" spans="1:22">
      <c r="A3995" s="16"/>
      <c r="B3995" s="1320"/>
      <c r="C3995" s="1042"/>
      <c r="D3995" s="1761" t="s">
        <v>1701</v>
      </c>
      <c r="E3995" s="2170" t="s">
        <v>1504</v>
      </c>
      <c r="F3995" s="1761" t="s">
        <v>1541</v>
      </c>
      <c r="G3995" s="1762">
        <v>0.2</v>
      </c>
      <c r="H3995" s="1762"/>
      <c r="I3995" s="27"/>
      <c r="J3995" s="10"/>
      <c r="K3995" s="1307">
        <f t="shared" si="454"/>
        <v>0.11220000000000002</v>
      </c>
      <c r="L3995" s="1335">
        <f t="shared" si="453"/>
        <v>0</v>
      </c>
      <c r="M3995" s="1499">
        <v>0.3</v>
      </c>
      <c r="N3995" s="1701"/>
      <c r="O3995" s="1290">
        <f>(G3995*M3995)</f>
        <v>0.06</v>
      </c>
      <c r="P3995" s="1332">
        <f>M3995*K3995</f>
        <v>3.3660000000000002E-2</v>
      </c>
      <c r="Q3995" s="3391"/>
      <c r="R3995" s="2337"/>
      <c r="S3995" s="16"/>
      <c r="T3995" s="16"/>
      <c r="U3995" s="16"/>
      <c r="V3995" s="16"/>
    </row>
    <row r="3996" spans="1:22">
      <c r="A3996" s="16"/>
      <c r="B3996" s="1320"/>
      <c r="C3996" s="1042"/>
      <c r="D3996" s="1367"/>
      <c r="E3996" s="1856"/>
      <c r="F3996" s="1421"/>
      <c r="G3996" s="1399"/>
      <c r="H3996" s="1399"/>
      <c r="I3996" s="1289"/>
      <c r="J3996" s="198"/>
      <c r="K3996" s="1307"/>
      <c r="L3996" s="1335"/>
      <c r="M3996" s="1499"/>
      <c r="N3996" s="1701"/>
      <c r="O3996" s="1290"/>
      <c r="P3996" s="1332"/>
      <c r="Q3996" s="3391"/>
      <c r="R3996" s="2337"/>
      <c r="S3996" s="16"/>
      <c r="T3996" s="16"/>
      <c r="U3996" s="16"/>
      <c r="V3996" s="16"/>
    </row>
    <row r="3997" spans="1:22">
      <c r="A3997" s="16"/>
      <c r="B3997" s="1320"/>
      <c r="C3997" s="1042"/>
      <c r="D3997" s="1367"/>
      <c r="E3997" s="1856"/>
      <c r="F3997" s="1421"/>
      <c r="G3997" s="1399"/>
      <c r="H3997" s="1399"/>
      <c r="I3997" s="1289"/>
      <c r="J3997" s="198"/>
      <c r="K3997" s="1307"/>
      <c r="L3997" s="1335"/>
      <c r="M3997" s="1499"/>
      <c r="N3997" s="1701"/>
      <c r="O3997" s="1290"/>
      <c r="P3997" s="1332"/>
      <c r="Q3997" s="3391"/>
      <c r="R3997" s="2337"/>
      <c r="S3997" s="16"/>
      <c r="T3997" s="16"/>
      <c r="U3997" s="16"/>
      <c r="V3997" s="16"/>
    </row>
    <row r="3998" spans="1:22">
      <c r="A3998" s="16"/>
      <c r="B3998" s="1320"/>
      <c r="C3998" s="1320"/>
      <c r="D3998" s="1410"/>
      <c r="E3998" s="1858"/>
      <c r="F3998" s="1360" t="s">
        <v>2</v>
      </c>
      <c r="G3998" s="1362"/>
      <c r="H3998" s="1362"/>
      <c r="I3998" s="1380"/>
      <c r="J3998" s="1381"/>
      <c r="K3998" s="1359"/>
      <c r="L3998" s="1458"/>
      <c r="M3998" s="1502"/>
      <c r="N3998" s="1502"/>
      <c r="O3998" s="1362"/>
      <c r="P3998" s="1359"/>
      <c r="Q3998" s="3387"/>
      <c r="R3998" s="2337"/>
      <c r="S3998" s="16"/>
      <c r="T3998" s="16"/>
      <c r="U3998" s="16"/>
      <c r="V3998" s="16"/>
    </row>
    <row r="3999" spans="1:22">
      <c r="A3999" s="16"/>
      <c r="B3999" s="1320"/>
      <c r="C3999" s="1042"/>
      <c r="D3999" s="1624" t="s">
        <v>1702</v>
      </c>
      <c r="E3999" s="2158" t="s">
        <v>1508</v>
      </c>
      <c r="F3999" s="1624" t="s">
        <v>1703</v>
      </c>
      <c r="G3999" s="1625">
        <v>0.34799999999999998</v>
      </c>
      <c r="H3999" s="1625"/>
      <c r="I3999" s="198"/>
      <c r="J3999" s="6"/>
      <c r="K3999" s="1307">
        <f t="shared" ref="K3999" si="455">G3999*$K$3991</f>
        <v>0.19522800000000001</v>
      </c>
      <c r="L3999" s="1335">
        <f t="shared" ref="L3999" si="456">$K$3863*K3999</f>
        <v>0</v>
      </c>
      <c r="M3999" s="1499">
        <v>19.23</v>
      </c>
      <c r="N3999" s="1701"/>
      <c r="O3999" s="1290">
        <f>(G3999*M3999)</f>
        <v>6.6920399999999995</v>
      </c>
      <c r="P3999" s="1332">
        <f>M3999*K3999</f>
        <v>3.7542344400000003</v>
      </c>
      <c r="Q3999" s="3391"/>
      <c r="R3999" s="2337"/>
      <c r="S3999" s="16"/>
      <c r="T3999" s="16"/>
      <c r="U3999" s="16"/>
      <c r="V3999" s="16"/>
    </row>
    <row r="4000" spans="1:22">
      <c r="A4000" s="16"/>
      <c r="B4000" s="1320"/>
      <c r="C4000" s="1042"/>
      <c r="D4000" s="1402"/>
      <c r="E4000" s="1857"/>
      <c r="F4000" s="1645"/>
      <c r="G4000" s="1362"/>
      <c r="H4000" s="1359"/>
      <c r="I4000" s="198"/>
      <c r="J4000" s="6"/>
      <c r="K4000" s="1306"/>
      <c r="L4000" s="1646"/>
      <c r="M4000" s="1499"/>
      <c r="N4000" s="1499"/>
      <c r="O4000" s="1291"/>
      <c r="P4000" s="1332"/>
      <c r="Q4000" s="3391"/>
      <c r="R4000" s="2337"/>
      <c r="S4000" s="16"/>
      <c r="T4000" s="16"/>
      <c r="U4000" s="16"/>
      <c r="V4000" s="16"/>
    </row>
    <row r="4001" spans="1:27">
      <c r="A4001" s="16"/>
      <c r="B4001" s="1320"/>
      <c r="C4001" s="1042"/>
      <c r="D4001" s="1402"/>
      <c r="E4001" s="1857"/>
      <c r="F4001" s="1403"/>
      <c r="G4001" s="1362"/>
      <c r="H4001" s="1359"/>
      <c r="I4001" s="198"/>
      <c r="J4001" s="6"/>
      <c r="K4001" s="1307"/>
      <c r="L4001" s="1335"/>
      <c r="M4001" s="1499"/>
      <c r="N4001" s="1701"/>
      <c r="O4001" s="1290"/>
      <c r="P4001" s="1332"/>
      <c r="Q4001" s="3391"/>
      <c r="R4001" s="2337"/>
      <c r="S4001" s="16"/>
      <c r="T4001" s="16"/>
      <c r="U4001" s="16"/>
      <c r="V4001" s="16"/>
    </row>
    <row r="4002" spans="1:27">
      <c r="A4002" s="16"/>
      <c r="B4002" s="1320"/>
      <c r="C4002" s="1042"/>
      <c r="D4002" s="1411"/>
      <c r="E4002" s="2123"/>
      <c r="F4002" s="1374" t="s">
        <v>3</v>
      </c>
      <c r="G4002" s="1374"/>
      <c r="H4002" s="1376"/>
      <c r="I4002" s="1382"/>
      <c r="J4002" s="1383"/>
      <c r="K4002" s="1373"/>
      <c r="L4002" s="1413"/>
      <c r="M4002" s="1505"/>
      <c r="N4002" s="1505"/>
      <c r="O4002" s="1376"/>
      <c r="P4002" s="1413"/>
      <c r="Q4002" s="3387"/>
      <c r="R4002" s="2337"/>
      <c r="S4002" s="16"/>
      <c r="T4002" s="16"/>
      <c r="U4002" s="16"/>
      <c r="V4002" s="16"/>
    </row>
    <row r="4003" spans="1:27">
      <c r="A4003" s="16"/>
      <c r="B4003" s="1320"/>
      <c r="C4003" s="1042"/>
      <c r="D4003" s="1412"/>
      <c r="E4003" s="2124"/>
      <c r="F4003" s="1378"/>
      <c r="G4003" s="1378"/>
      <c r="H4003" s="1379"/>
      <c r="I4003" s="198"/>
      <c r="J4003" s="6"/>
      <c r="K4003" s="1307"/>
      <c r="L4003" s="1335"/>
      <c r="M4003" s="1499"/>
      <c r="N4003" s="1701"/>
      <c r="O4003" s="1290"/>
      <c r="P4003" s="1332"/>
      <c r="Q4003" s="3391"/>
      <c r="R4003" s="2337"/>
      <c r="S4003" s="16"/>
      <c r="T4003" s="16"/>
      <c r="U4003" s="16"/>
      <c r="V4003" s="16"/>
    </row>
    <row r="4004" spans="1:27">
      <c r="A4004" s="16"/>
      <c r="B4004" s="1320"/>
      <c r="C4004" s="1042"/>
      <c r="D4004" s="1440"/>
      <c r="E4004" s="2132"/>
      <c r="F4004" s="1441"/>
      <c r="G4004" s="1441"/>
      <c r="H4004" s="1442"/>
      <c r="I4004" s="197"/>
      <c r="J4004" s="198"/>
      <c r="K4004" s="1307"/>
      <c r="L4004" s="1335"/>
      <c r="M4004" s="1499"/>
      <c r="N4004" s="1701"/>
      <c r="O4004" s="1290"/>
      <c r="P4004" s="1332"/>
      <c r="Q4004" s="3391"/>
      <c r="R4004" s="2337"/>
      <c r="S4004" s="105"/>
      <c r="T4004" s="105"/>
      <c r="U4004" s="16"/>
      <c r="V4004" s="16"/>
    </row>
    <row r="4005" spans="1:27">
      <c r="A4005" s="16"/>
      <c r="B4005" s="225"/>
      <c r="C4005" s="223"/>
      <c r="D4005" s="1440"/>
      <c r="E4005" s="2132"/>
      <c r="F4005" s="1955"/>
      <c r="G4005" s="1955"/>
      <c r="H4005" s="1956"/>
      <c r="I4005" s="197"/>
      <c r="J4005" s="198"/>
      <c r="K4005" s="1307"/>
      <c r="L4005" s="1335"/>
      <c r="M4005" s="1499"/>
      <c r="N4005" s="1701"/>
      <c r="O4005" s="1290"/>
      <c r="P4005" s="1332"/>
      <c r="Q4005" s="3391"/>
      <c r="R4005" s="2337"/>
      <c r="S4005" s="16"/>
      <c r="T4005" s="16"/>
      <c r="U4005" s="16"/>
      <c r="V4005" s="16"/>
    </row>
    <row r="4006" spans="1:27" s="22" customFormat="1">
      <c r="A4006" s="16"/>
      <c r="B4006" s="16"/>
      <c r="C4006" s="16"/>
      <c r="D4006" s="1795"/>
      <c r="E4006" s="2179"/>
      <c r="F4006" s="1795"/>
      <c r="G4006" s="1795"/>
      <c r="H4006" s="1797"/>
      <c r="I4006" s="1561"/>
      <c r="J4006" s="1561"/>
      <c r="K4006" s="1639"/>
      <c r="L4006" s="1640"/>
      <c r="M4006" s="1292"/>
      <c r="N4006" s="1292"/>
      <c r="O4006" s="1292"/>
      <c r="P4006" s="1292"/>
      <c r="Q4006" s="3391"/>
      <c r="R4006" s="2337"/>
      <c r="S4006" s="16"/>
      <c r="T4006" s="16"/>
      <c r="U4006" s="16"/>
      <c r="V4006" s="16"/>
    </row>
    <row r="4007" spans="1:27" s="2327" customFormat="1" ht="25.5" customHeight="1">
      <c r="A4007" s="4455" t="s">
        <v>1968</v>
      </c>
      <c r="B4007" s="4456"/>
      <c r="C4007" s="4456"/>
      <c r="D4007" s="4456"/>
      <c r="E4007" s="2320" t="s">
        <v>1507</v>
      </c>
      <c r="F4007" s="2321" t="s">
        <v>1969</v>
      </c>
      <c r="G4007" s="2322"/>
      <c r="H4007" s="2322"/>
      <c r="I4007" s="2323"/>
      <c r="J4007" s="2322"/>
      <c r="K4007" s="2322"/>
      <c r="L4007" s="2323"/>
      <c r="M4007" s="2322"/>
      <c r="N4007" s="2322"/>
      <c r="O4007" s="2322"/>
      <c r="P4007" s="2324"/>
      <c r="Q4007" s="3392"/>
      <c r="R4007" s="2325"/>
      <c r="S4007" s="2326"/>
      <c r="T4007" s="2326"/>
      <c r="U4007" s="2326"/>
      <c r="V4007" s="2326"/>
    </row>
    <row r="4008" spans="1:27" s="22" customFormat="1">
      <c r="A4008" s="1304"/>
      <c r="B4008" s="1304"/>
      <c r="C4008" s="1304"/>
      <c r="D4008" s="1304"/>
      <c r="E4008" s="1304"/>
      <c r="F4008" s="1583"/>
      <c r="G4008" s="2312"/>
      <c r="H4008" s="2312"/>
      <c r="I4008" s="2317"/>
      <c r="J4008" s="2312"/>
      <c r="K4008" s="2312"/>
      <c r="L4008" s="2317"/>
      <c r="M4008" s="2312"/>
      <c r="N4008" s="2312"/>
      <c r="O4008" s="2312"/>
      <c r="P4008" s="2313"/>
      <c r="Q4008" s="3386"/>
      <c r="R4008" s="1296"/>
      <c r="S4008" s="16"/>
      <c r="T4008" s="16"/>
      <c r="U4008" s="16"/>
      <c r="V4008" s="16"/>
    </row>
    <row r="4009" spans="1:27" ht="18.5">
      <c r="A4009" s="1304"/>
      <c r="B4009" s="1304"/>
      <c r="C4009" s="1304"/>
      <c r="D4009" s="1304"/>
      <c r="E4009" s="1304"/>
      <c r="G4009" s="2328" t="s">
        <v>1439</v>
      </c>
      <c r="H4009" s="1832"/>
      <c r="I4009" s="1833"/>
      <c r="J4009" s="1832"/>
      <c r="K4009" s="1832"/>
      <c r="L4009" s="1833"/>
      <c r="M4009" s="1832"/>
      <c r="N4009" s="1832"/>
      <c r="O4009" s="1832"/>
      <c r="P4009" s="1834"/>
      <c r="Q4009" s="3386"/>
      <c r="R4009" s="1296"/>
      <c r="S4009" s="16"/>
      <c r="T4009" s="16"/>
      <c r="U4009" s="16"/>
      <c r="V4009" s="16"/>
    </row>
    <row r="4010" spans="1:27" ht="28.5">
      <c r="A4010" s="16"/>
      <c r="L4010" s="2400" t="s">
        <v>2856</v>
      </c>
      <c r="R4010" s="2337"/>
      <c r="S4010" s="16"/>
      <c r="T4010" s="16"/>
      <c r="U4010" s="16"/>
      <c r="V4010" s="16"/>
    </row>
    <row r="4011" spans="1:27">
      <c r="A4011" s="4393" t="s">
        <v>162</v>
      </c>
      <c r="B4011" s="4394"/>
      <c r="C4011" s="4394"/>
      <c r="D4011" s="4395"/>
      <c r="E4011" s="4396" t="s">
        <v>1549</v>
      </c>
      <c r="F4011" s="4397" t="s">
        <v>1550</v>
      </c>
      <c r="G4011" s="4399" t="s">
        <v>1566</v>
      </c>
      <c r="H4011" s="4400"/>
      <c r="I4011" s="4400"/>
      <c r="J4011" s="4400"/>
      <c r="K4011" s="4400"/>
      <c r="L4011" s="4401"/>
      <c r="M4011" s="4405" t="s">
        <v>1567</v>
      </c>
      <c r="N4011" s="4405"/>
      <c r="O4011" s="4405"/>
      <c r="P4011" s="4405"/>
      <c r="Q4011" s="3395"/>
      <c r="R4011" s="2337"/>
      <c r="S4011" s="16"/>
      <c r="T4011" s="16"/>
      <c r="U4011" s="16"/>
      <c r="V4011" s="16"/>
    </row>
    <row r="4012" spans="1:27" ht="15" thickBot="1">
      <c r="A4012" s="1324" t="s">
        <v>3766</v>
      </c>
      <c r="B4012" s="1325" t="s">
        <v>1513</v>
      </c>
      <c r="C4012" s="1326" t="s">
        <v>1573</v>
      </c>
      <c r="D4012" s="1323" t="s">
        <v>1514</v>
      </c>
      <c r="E4012" s="4396"/>
      <c r="F4012" s="4398"/>
      <c r="G4012" s="4402"/>
      <c r="H4012" s="4403"/>
      <c r="I4012" s="4403"/>
      <c r="J4012" s="4403"/>
      <c r="K4012" s="4403"/>
      <c r="L4012" s="4404"/>
      <c r="M4012" s="4405"/>
      <c r="N4012" s="4405"/>
      <c r="O4012" s="4405"/>
      <c r="P4012" s="4405"/>
      <c r="Q4012" s="3395"/>
      <c r="R4012" s="2337"/>
      <c r="S4012" s="16"/>
      <c r="T4012" s="1978" t="s">
        <v>1654</v>
      </c>
      <c r="U4012" s="1978" t="s">
        <v>1507</v>
      </c>
      <c r="V4012" s="1978" t="s">
        <v>1664</v>
      </c>
      <c r="W4012">
        <v>16.750800000000002</v>
      </c>
      <c r="X4012">
        <v>8.9999999999999993E-3</v>
      </c>
      <c r="Y4012">
        <v>0.151</v>
      </c>
      <c r="Z4012">
        <v>11.48</v>
      </c>
      <c r="AA4012">
        <v>1.73</v>
      </c>
    </row>
    <row r="4013" spans="1:27">
      <c r="A4013" s="4508" t="s">
        <v>1972</v>
      </c>
      <c r="B4013" s="4508"/>
      <c r="C4013" s="4508"/>
      <c r="D4013" s="4508"/>
      <c r="E4013" s="4408" t="s">
        <v>1507</v>
      </c>
      <c r="F4013" s="4509" t="s">
        <v>2787</v>
      </c>
      <c r="G4013" s="4493" t="s">
        <v>294</v>
      </c>
      <c r="H4013" s="4493"/>
      <c r="I4013" s="1665" t="s">
        <v>1565</v>
      </c>
      <c r="J4013" s="3348" t="s">
        <v>1575</v>
      </c>
      <c r="K4013" s="4493" t="s">
        <v>289</v>
      </c>
      <c r="L4013" s="4493"/>
      <c r="M4013" s="4408" t="s">
        <v>3349</v>
      </c>
      <c r="N4013" s="4408"/>
      <c r="O4013" s="4408"/>
      <c r="P4013" s="4409"/>
      <c r="Q4013" s="4244" t="s">
        <v>3941</v>
      </c>
      <c r="R4013" s="2337"/>
      <c r="S4013" s="16"/>
      <c r="T4013" s="1978" t="s">
        <v>1735</v>
      </c>
      <c r="U4013" s="1978" t="s">
        <v>1507</v>
      </c>
      <c r="V4013" s="1978" t="s">
        <v>1771</v>
      </c>
      <c r="W4013">
        <v>90.700236000000004</v>
      </c>
      <c r="X4013">
        <v>8.9999999999999993E-3</v>
      </c>
      <c r="Y4013">
        <v>0.81599999999999995</v>
      </c>
      <c r="Z4013">
        <v>8.68</v>
      </c>
      <c r="AA4013">
        <v>7.08</v>
      </c>
    </row>
    <row r="4014" spans="1:27" ht="16" thickBot="1">
      <c r="A4014" s="4508"/>
      <c r="B4014" s="4508"/>
      <c r="C4014" s="4508"/>
      <c r="D4014" s="4508"/>
      <c r="E4014" s="4408"/>
      <c r="F4014" s="4509"/>
      <c r="G4014" s="4510">
        <f>IF('Seleccion proyecto HEREVEA02'!G35="Reparación de fisuras",'Seleccion proyecto HEREVEA02'!E34,0)</f>
        <v>0</v>
      </c>
      <c r="H4014" s="4510"/>
      <c r="I4014" s="3353">
        <f>IF('Seleccion proyecto HEREVEA02'!H35=0,0,IF('Seleccion proyecto HEREVEA02'!H35="1 a 30",0.3,IF('Seleccion proyecto HEREVEA02'!H35="31 a 60",0.6,IF('Seleccion proyecto HEREVEA02'!H35="61 a 100",1))))</f>
        <v>0</v>
      </c>
      <c r="J4014" s="1351">
        <f>'Seleccion proyecto HEREVEA02'!L8</f>
        <v>11100.968999999999</v>
      </c>
      <c r="K4014" s="4511">
        <f>G4014*I4014*J4014</f>
        <v>0</v>
      </c>
      <c r="L4014" s="4511"/>
      <c r="M4014" s="4512">
        <f>P4016+P4030+P4044+P4065+P4084+P4101+P4121</f>
        <v>65.071747808609899</v>
      </c>
      <c r="N4014" s="4512"/>
      <c r="O4014" s="4512"/>
      <c r="P4014" s="4423"/>
      <c r="Q4014" s="4245">
        <f>M4014*K4014</f>
        <v>0</v>
      </c>
      <c r="R4014" s="2337"/>
      <c r="S4014" s="16"/>
      <c r="T4014" s="1978" t="s">
        <v>1970</v>
      </c>
      <c r="U4014" s="1978" t="s">
        <v>1971</v>
      </c>
      <c r="V4014" s="1978" t="s">
        <v>1774</v>
      </c>
      <c r="W4014">
        <v>107.451036</v>
      </c>
      <c r="X4014">
        <v>8.9999999999999993E-3</v>
      </c>
      <c r="Y4014">
        <v>0.96699999999999997</v>
      </c>
      <c r="Z4014">
        <v>23.4</v>
      </c>
      <c r="AA4014">
        <v>22.63</v>
      </c>
    </row>
    <row r="4015" spans="1:27" ht="15" customHeight="1">
      <c r="A4015" s="19" t="s">
        <v>3764</v>
      </c>
      <c r="B4015" s="4325" t="s">
        <v>1654</v>
      </c>
      <c r="C4015" s="3350"/>
      <c r="D4015" s="4327"/>
      <c r="E4015" s="4329" t="s">
        <v>1507</v>
      </c>
      <c r="F4015" s="4336" t="s">
        <v>1664</v>
      </c>
      <c r="G4015" s="4331" t="s">
        <v>1568</v>
      </c>
      <c r="H4015" s="4331" t="s">
        <v>1574</v>
      </c>
      <c r="I4015" s="1572" t="s">
        <v>1559</v>
      </c>
      <c r="J4015" s="1294" t="s">
        <v>1560</v>
      </c>
      <c r="K4015" s="1294" t="s">
        <v>1569</v>
      </c>
      <c r="L4015" s="4333" t="s">
        <v>3765</v>
      </c>
      <c r="M4015" s="4335" t="s">
        <v>1571</v>
      </c>
      <c r="N4015" s="4323" t="s">
        <v>1776</v>
      </c>
      <c r="O4015" s="3347" t="s">
        <v>1563</v>
      </c>
      <c r="P4015" s="1336" t="s">
        <v>1562</v>
      </c>
      <c r="Q4015" s="3389"/>
      <c r="R4015" s="1699" t="s">
        <v>1327</v>
      </c>
      <c r="S4015" s="16"/>
      <c r="T4015" s="16"/>
      <c r="U4015" s="16" t="s">
        <v>1507</v>
      </c>
      <c r="V4015" s="16" t="s">
        <v>1685</v>
      </c>
      <c r="W4015">
        <v>16.750800000000002</v>
      </c>
      <c r="X4015">
        <v>8.9999999999999993E-3</v>
      </c>
      <c r="Y4015">
        <v>0.151</v>
      </c>
      <c r="Z4015">
        <v>13.24</v>
      </c>
      <c r="AA4015">
        <v>2</v>
      </c>
    </row>
    <row r="4016" spans="1:27">
      <c r="A4016" s="1807" t="s">
        <v>1972</v>
      </c>
      <c r="B4016" s="4326"/>
      <c r="C4016" s="3351"/>
      <c r="D4016" s="4328"/>
      <c r="E4016" s="4330"/>
      <c r="F4016" s="4336"/>
      <c r="G4016" s="4332"/>
      <c r="H4016" s="4332"/>
      <c r="I4016" s="1345">
        <v>16.750800000000002</v>
      </c>
      <c r="J4016" s="1307">
        <v>8.9999999999999993E-3</v>
      </c>
      <c r="K4016" s="1307">
        <f>I4016*J4016</f>
        <v>0.15075720000000001</v>
      </c>
      <c r="L4016" s="4334"/>
      <c r="M4016" s="4335"/>
      <c r="N4016" s="4324"/>
      <c r="O4016" s="1298">
        <f>SUM(O4018:O4028)</f>
        <v>11.479840000000001</v>
      </c>
      <c r="P4016" s="1337">
        <f>O4016*K4016</f>
        <v>1.7306685348480002</v>
      </c>
      <c r="Q4016" s="3390"/>
      <c r="R4016" s="1721">
        <f>SUM(P4018:P4028)</f>
        <v>1.7306685348480002</v>
      </c>
      <c r="S4016" s="16"/>
      <c r="T4016" s="16"/>
      <c r="U4016" s="16" t="s">
        <v>1507</v>
      </c>
      <c r="V4016" s="16" t="s">
        <v>1689</v>
      </c>
      <c r="W4016">
        <v>16.750800000000002</v>
      </c>
      <c r="X4016">
        <v>8.9999999999999993E-3</v>
      </c>
      <c r="Y4016">
        <v>0.151</v>
      </c>
      <c r="Z4016">
        <v>19.72</v>
      </c>
      <c r="AA4016">
        <v>2.98</v>
      </c>
    </row>
    <row r="4017" spans="1:27">
      <c r="A4017" s="22"/>
      <c r="B4017" s="1327"/>
      <c r="C4017" s="1327"/>
      <c r="D4017" s="1400"/>
      <c r="E4017" s="2121"/>
      <c r="F4017" s="1368" t="s">
        <v>1</v>
      </c>
      <c r="G4017" s="1417"/>
      <c r="H4017" s="1390"/>
      <c r="I4017" s="1554"/>
      <c r="J4017" s="1367"/>
      <c r="K4017" s="1367"/>
      <c r="L4017" s="1554"/>
      <c r="M4017" s="1369"/>
      <c r="N4017" s="1369"/>
      <c r="O4017" s="1369"/>
      <c r="P4017" s="1367"/>
      <c r="Q4017" s="3387"/>
      <c r="R4017" s="2337"/>
      <c r="S4017" s="16"/>
      <c r="T4017" s="16"/>
      <c r="U4017" s="16" t="s">
        <v>1507</v>
      </c>
      <c r="V4017" s="16" t="s">
        <v>1714</v>
      </c>
      <c r="W4017">
        <v>90.700236000000004</v>
      </c>
      <c r="X4017">
        <v>8.9999999999999993E-3</v>
      </c>
      <c r="Y4017">
        <v>0.81599999999999995</v>
      </c>
      <c r="Z4017">
        <v>7.8699999999999992</v>
      </c>
      <c r="AA4017">
        <v>6.42</v>
      </c>
    </row>
    <row r="4018" spans="1:27">
      <c r="A4018" s="22"/>
      <c r="B4018" s="1042"/>
      <c r="C4018" s="1042"/>
      <c r="D4018" s="1400"/>
      <c r="E4018" s="1856"/>
      <c r="F4018" s="1421"/>
      <c r="G4018" s="1399"/>
      <c r="H4018" s="1399"/>
      <c r="I4018" s="1760"/>
      <c r="J4018" s="198"/>
      <c r="K4018" s="1307"/>
      <c r="L4018" s="1335"/>
      <c r="M4018" s="1499"/>
      <c r="N4018" s="1701"/>
      <c r="O4018" s="1290"/>
      <c r="P4018" s="1332"/>
      <c r="Q4018" s="3391"/>
      <c r="R4018" s="2337"/>
      <c r="S4018" s="16"/>
      <c r="T4018" s="16"/>
      <c r="U4018" s="16"/>
      <c r="V4018" s="16"/>
    </row>
    <row r="4019" spans="1:27">
      <c r="A4019" s="22"/>
      <c r="B4019" s="1042"/>
      <c r="C4019" s="1042"/>
      <c r="D4019" s="1400"/>
      <c r="E4019" s="1856"/>
      <c r="F4019" s="1421"/>
      <c r="G4019" s="1399"/>
      <c r="H4019" s="1399"/>
      <c r="I4019" s="1760"/>
      <c r="J4019" s="198"/>
      <c r="K4019" s="1307"/>
      <c r="L4019" s="1335"/>
      <c r="M4019" s="1499"/>
      <c r="N4019" s="1701"/>
      <c r="O4019" s="1290"/>
      <c r="P4019" s="1332"/>
      <c r="Q4019" s="3391"/>
      <c r="R4019" s="3363"/>
      <c r="S4019" s="16"/>
      <c r="T4019" s="16"/>
      <c r="U4019" s="16"/>
      <c r="V4019" s="16"/>
    </row>
    <row r="4020" spans="1:27">
      <c r="A4020" s="22"/>
      <c r="B4020" s="1042"/>
      <c r="C4020" s="1042"/>
      <c r="D4020" s="1400"/>
      <c r="E4020" s="1856"/>
      <c r="F4020" s="1421"/>
      <c r="G4020" s="1452"/>
      <c r="H4020" s="1399"/>
      <c r="I4020" s="197"/>
      <c r="J4020" s="198"/>
      <c r="K4020" s="1307"/>
      <c r="L4020" s="1335"/>
      <c r="M4020" s="1499"/>
      <c r="N4020" s="1701"/>
      <c r="O4020" s="1290"/>
      <c r="P4020" s="1332"/>
      <c r="Q4020" s="3391"/>
      <c r="R4020" s="3363"/>
      <c r="S4020" s="16"/>
      <c r="T4020" s="16"/>
      <c r="U4020" s="16"/>
      <c r="V4020" s="16"/>
    </row>
    <row r="4021" spans="1:27">
      <c r="A4021" s="22"/>
      <c r="B4021" s="1042"/>
      <c r="C4021" s="1042"/>
      <c r="D4021" s="1410"/>
      <c r="E4021" s="1858"/>
      <c r="F4021" s="1360" t="s">
        <v>2</v>
      </c>
      <c r="G4021" s="1360"/>
      <c r="H4021" s="1362"/>
      <c r="I4021" s="1380"/>
      <c r="J4021" s="1381"/>
      <c r="K4021" s="1359"/>
      <c r="L4021" s="1458"/>
      <c r="M4021" s="1502"/>
      <c r="N4021" s="1502"/>
      <c r="O4021" s="1362"/>
      <c r="P4021" s="1359"/>
      <c r="Q4021" s="3387"/>
      <c r="R4021" s="3363"/>
      <c r="S4021" s="16"/>
      <c r="T4021" s="16"/>
      <c r="U4021" s="16"/>
      <c r="V4021" s="16"/>
    </row>
    <row r="4022" spans="1:27">
      <c r="A4022" s="22"/>
      <c r="B4022" s="1042"/>
      <c r="C4022" s="1042"/>
      <c r="D4022" s="1473" t="s">
        <v>1067</v>
      </c>
      <c r="E4022" s="2148" t="s">
        <v>1508</v>
      </c>
      <c r="F4022" s="1473" t="s">
        <v>1512</v>
      </c>
      <c r="G4022" s="1365">
        <v>0.628</v>
      </c>
      <c r="H4022" s="1365"/>
      <c r="I4022" s="198"/>
      <c r="J4022" s="6"/>
      <c r="K4022" s="1307">
        <f>G4022*K4016</f>
        <v>9.4675521600000007E-2</v>
      </c>
      <c r="L4022" s="1335">
        <f>K4022*$K$4014</f>
        <v>0</v>
      </c>
      <c r="M4022" s="1499">
        <v>18.28</v>
      </c>
      <c r="N4022" s="1701"/>
      <c r="O4022" s="1290">
        <f>(G4022*M4022)</f>
        <v>11.479840000000001</v>
      </c>
      <c r="P4022" s="1332">
        <f>M4022*K4022</f>
        <v>1.7306685348480002</v>
      </c>
      <c r="Q4022" s="3391"/>
      <c r="R4022" s="3363"/>
      <c r="S4022" s="16"/>
      <c r="T4022" s="16"/>
      <c r="U4022" s="16"/>
      <c r="V4022" s="16"/>
    </row>
    <row r="4023" spans="1:27">
      <c r="A4023" s="22"/>
      <c r="B4023" s="1042"/>
      <c r="C4023" s="1042"/>
      <c r="D4023" s="1623"/>
      <c r="E4023" s="2158"/>
      <c r="F4023" s="1801"/>
      <c r="G4023" s="1359"/>
      <c r="H4023" s="1803"/>
      <c r="I4023" s="198"/>
      <c r="J4023" s="6"/>
      <c r="K4023" s="1307"/>
      <c r="L4023" s="1335"/>
      <c r="M4023" s="1499"/>
      <c r="N4023" s="1701"/>
      <c r="O4023" s="1290"/>
      <c r="P4023" s="1332"/>
      <c r="Q4023" s="3391"/>
      <c r="R4023" s="3363"/>
      <c r="S4023" s="16"/>
      <c r="T4023" s="16"/>
      <c r="U4023" s="16"/>
      <c r="V4023" s="16"/>
    </row>
    <row r="4024" spans="1:27">
      <c r="A4024" s="22"/>
      <c r="B4024" s="1042"/>
      <c r="C4024" s="1042"/>
      <c r="D4024" s="1623"/>
      <c r="E4024" s="2158"/>
      <c r="F4024" s="1801"/>
      <c r="G4024" s="1359"/>
      <c r="H4024" s="1803"/>
      <c r="I4024" s="198"/>
      <c r="J4024" s="6"/>
      <c r="K4024" s="1307"/>
      <c r="L4024" s="1335"/>
      <c r="M4024" s="1499"/>
      <c r="N4024" s="1701"/>
      <c r="O4024" s="1290"/>
      <c r="P4024" s="1332"/>
      <c r="Q4024" s="3391"/>
      <c r="R4024" s="2337"/>
      <c r="S4024" s="16"/>
      <c r="T4024" s="16"/>
      <c r="U4024" s="16"/>
      <c r="V4024" s="16"/>
    </row>
    <row r="4025" spans="1:27">
      <c r="A4025" s="22"/>
      <c r="B4025" s="1042"/>
      <c r="C4025" s="1042"/>
      <c r="D4025" s="1411"/>
      <c r="E4025" s="2123"/>
      <c r="F4025" s="1802" t="s">
        <v>3</v>
      </c>
      <c r="G4025" s="1475"/>
      <c r="H4025" s="1505"/>
      <c r="I4025" s="1382"/>
      <c r="J4025" s="1383"/>
      <c r="K4025" s="1373"/>
      <c r="L4025" s="1413"/>
      <c r="M4025" s="1505"/>
      <c r="N4025" s="1505"/>
      <c r="O4025" s="1376"/>
      <c r="P4025" s="1413"/>
      <c r="Q4025" s="3387"/>
      <c r="R4025" s="2337"/>
      <c r="S4025" s="16"/>
      <c r="T4025" s="16"/>
      <c r="U4025" s="16"/>
      <c r="V4025" s="16"/>
    </row>
    <row r="4026" spans="1:27">
      <c r="A4026" s="22"/>
      <c r="B4026" s="1042"/>
      <c r="C4026" s="1042"/>
      <c r="D4026" s="1411"/>
      <c r="E4026" s="2123"/>
      <c r="F4026" s="1475"/>
      <c r="G4026" s="1475"/>
      <c r="H4026" s="1376"/>
      <c r="I4026" s="198"/>
      <c r="J4026" s="6"/>
      <c r="K4026" s="1307"/>
      <c r="L4026" s="1335"/>
      <c r="M4026" s="1499"/>
      <c r="N4026" s="1701"/>
      <c r="O4026" s="1290"/>
      <c r="P4026" s="1332"/>
      <c r="Q4026" s="3391"/>
      <c r="R4026" s="3363"/>
      <c r="S4026" s="16"/>
      <c r="T4026" s="16"/>
      <c r="U4026" s="16"/>
      <c r="V4026" s="16"/>
    </row>
    <row r="4027" spans="1:27">
      <c r="A4027" s="22"/>
      <c r="B4027" s="1042"/>
      <c r="C4027" s="1042"/>
      <c r="D4027" s="1411"/>
      <c r="E4027" s="2123"/>
      <c r="F4027" s="1475"/>
      <c r="G4027" s="1475"/>
      <c r="H4027" s="1376"/>
      <c r="I4027" s="198"/>
      <c r="J4027" s="6"/>
      <c r="K4027" s="1307"/>
      <c r="L4027" s="1335"/>
      <c r="M4027" s="1499"/>
      <c r="N4027" s="1701"/>
      <c r="O4027" s="1290"/>
      <c r="P4027" s="1332"/>
      <c r="Q4027" s="3391"/>
      <c r="R4027" s="3363"/>
      <c r="S4027" s="16"/>
      <c r="T4027" s="16"/>
      <c r="U4027" s="16"/>
      <c r="V4027" s="16"/>
    </row>
    <row r="4028" spans="1:27">
      <c r="A4028" s="22"/>
      <c r="B4028" s="1042"/>
      <c r="C4028" s="1042"/>
      <c r="D4028" s="1979"/>
      <c r="E4028" s="2124"/>
      <c r="F4028" s="1377"/>
      <c r="G4028" s="1377"/>
      <c r="H4028" s="1597"/>
      <c r="I4028" s="198"/>
      <c r="J4028" s="6"/>
      <c r="K4028" s="1306"/>
      <c r="L4028" s="1646"/>
      <c r="M4028" s="1302"/>
      <c r="N4028" s="1302"/>
      <c r="O4028" s="1291"/>
      <c r="P4028" s="1332"/>
      <c r="Q4028" s="3391"/>
      <c r="R4028" s="2337"/>
      <c r="S4028" s="16"/>
      <c r="T4028" s="16"/>
      <c r="U4028" s="16"/>
      <c r="V4028" s="16"/>
    </row>
    <row r="4029" spans="1:27">
      <c r="A4029" s="19" t="s">
        <v>3764</v>
      </c>
      <c r="B4029" s="4325" t="s">
        <v>1735</v>
      </c>
      <c r="C4029" s="3350"/>
      <c r="D4029" s="4327"/>
      <c r="E4029" s="4389" t="s">
        <v>1507</v>
      </c>
      <c r="F4029" s="4363" t="s">
        <v>1771</v>
      </c>
      <c r="G4029" s="4364" t="s">
        <v>1568</v>
      </c>
      <c r="H4029" s="4364" t="s">
        <v>1574</v>
      </c>
      <c r="I4029" s="1835" t="s">
        <v>1559</v>
      </c>
      <c r="J4029" s="1836" t="s">
        <v>1560</v>
      </c>
      <c r="K4029" s="1836" t="s">
        <v>1569</v>
      </c>
      <c r="L4029" s="4365" t="s">
        <v>3765</v>
      </c>
      <c r="M4029" s="4324" t="s">
        <v>1571</v>
      </c>
      <c r="N4029" s="4366" t="s">
        <v>1776</v>
      </c>
      <c r="O4029" s="3343" t="s">
        <v>1563</v>
      </c>
      <c r="P4029" s="3349" t="s">
        <v>1562</v>
      </c>
      <c r="Q4029" s="3389"/>
      <c r="R4029" s="1699" t="s">
        <v>1327</v>
      </c>
      <c r="S4029" s="16"/>
      <c r="T4029" s="16"/>
      <c r="U4029" s="16"/>
      <c r="V4029" s="16"/>
    </row>
    <row r="4030" spans="1:27">
      <c r="A4030" s="1660" t="s">
        <v>1972</v>
      </c>
      <c r="B4030" s="4326"/>
      <c r="C4030" s="3351"/>
      <c r="D4030" s="4328"/>
      <c r="E4030" s="4330"/>
      <c r="F4030" s="4336"/>
      <c r="G4030" s="4332"/>
      <c r="H4030" s="4332"/>
      <c r="I4030" s="1345">
        <v>90.700236000000004</v>
      </c>
      <c r="J4030" s="1307">
        <v>8.9999999999999993E-3</v>
      </c>
      <c r="K4030" s="1307">
        <f>I4030*J4030</f>
        <v>0.81630212400000002</v>
      </c>
      <c r="L4030" s="4334"/>
      <c r="M4030" s="4335"/>
      <c r="N4030" s="4324"/>
      <c r="O4030" s="1298">
        <f>SUM(O4032:O4042)</f>
        <v>8.6829999999999998</v>
      </c>
      <c r="P4030" s="1337">
        <f>O4030*K4030</f>
        <v>7.0879513426920004</v>
      </c>
      <c r="Q4030" s="3390"/>
      <c r="R4030" s="1721">
        <f>SUM(P4032:P4041)</f>
        <v>7.0879513426920004</v>
      </c>
      <c r="S4030" s="16"/>
      <c r="T4030" s="16"/>
      <c r="U4030" s="16"/>
      <c r="V4030" s="16"/>
    </row>
    <row r="4031" spans="1:27">
      <c r="B4031" s="551"/>
      <c r="C4031" s="18"/>
      <c r="D4031" s="1400"/>
      <c r="E4031" s="2121"/>
      <c r="F4031" s="1368" t="s">
        <v>1</v>
      </c>
      <c r="G4031" s="1417"/>
      <c r="H4031" s="1390"/>
      <c r="I4031" s="1554"/>
      <c r="J4031" s="1367"/>
      <c r="K4031" s="1367"/>
      <c r="L4031" s="1554"/>
      <c r="M4031" s="1369"/>
      <c r="N4031" s="1369"/>
      <c r="O4031" s="1369"/>
      <c r="P4031" s="1367"/>
      <c r="Q4031" s="3387"/>
      <c r="R4031" s="3363"/>
      <c r="S4031" s="16"/>
      <c r="T4031" s="16"/>
      <c r="U4031" s="16"/>
      <c r="V4031" s="16"/>
    </row>
    <row r="4032" spans="1:27">
      <c r="B4032" s="553"/>
      <c r="C4032" s="1042"/>
      <c r="D4032" s="1400"/>
      <c r="E4032" s="1856"/>
      <c r="F4032" s="1421"/>
      <c r="G4032" s="1399"/>
      <c r="H4032" s="1399"/>
      <c r="I4032" s="1760"/>
      <c r="J4032" s="198"/>
      <c r="K4032" s="1307"/>
      <c r="L4032" s="1335"/>
      <c r="M4032" s="1499"/>
      <c r="N4032" s="1701"/>
      <c r="O4032" s="1290"/>
      <c r="P4032" s="1332"/>
      <c r="Q4032" s="3391"/>
      <c r="R4032" s="3363"/>
      <c r="S4032" s="16"/>
      <c r="T4032" s="16"/>
      <c r="U4032" s="16"/>
      <c r="V4032" s="16"/>
    </row>
    <row r="4033" spans="1:22">
      <c r="B4033" s="553"/>
      <c r="C4033" s="1042"/>
      <c r="D4033" s="1400"/>
      <c r="E4033" s="1856"/>
      <c r="F4033" s="1421"/>
      <c r="G4033" s="1399"/>
      <c r="H4033" s="1399"/>
      <c r="I4033" s="1760"/>
      <c r="J4033" s="198"/>
      <c r="K4033" s="1307"/>
      <c r="L4033" s="1335"/>
      <c r="M4033" s="1499"/>
      <c r="N4033" s="1701"/>
      <c r="O4033" s="1290"/>
      <c r="P4033" s="1332"/>
      <c r="Q4033" s="3391"/>
      <c r="R4033" s="3363"/>
      <c r="S4033" s="16"/>
      <c r="T4033" s="16"/>
      <c r="U4033" s="16"/>
      <c r="V4033" s="16"/>
    </row>
    <row r="4034" spans="1:22">
      <c r="B4034" s="553"/>
      <c r="C4034" s="1042"/>
      <c r="D4034" s="1400"/>
      <c r="E4034" s="1856"/>
      <c r="F4034" s="1421"/>
      <c r="G4034" s="1452"/>
      <c r="H4034" s="1399"/>
      <c r="I4034" s="197"/>
      <c r="J4034" s="198"/>
      <c r="K4034" s="1307"/>
      <c r="L4034" s="1335"/>
      <c r="M4034" s="1499"/>
      <c r="N4034" s="1701"/>
      <c r="O4034" s="1290"/>
      <c r="P4034" s="1332"/>
      <c r="Q4034" s="3391"/>
      <c r="R4034" s="3363"/>
      <c r="S4034" s="16"/>
      <c r="T4034" s="16"/>
      <c r="U4034" s="16"/>
      <c r="V4034" s="16"/>
    </row>
    <row r="4035" spans="1:22">
      <c r="B4035" s="553"/>
      <c r="C4035" s="1042"/>
      <c r="D4035" s="1410"/>
      <c r="E4035" s="1858"/>
      <c r="F4035" s="1360" t="s">
        <v>2</v>
      </c>
      <c r="G4035" s="1360"/>
      <c r="H4035" s="1362"/>
      <c r="I4035" s="1380"/>
      <c r="J4035" s="1381"/>
      <c r="K4035" s="1359"/>
      <c r="L4035" s="1458"/>
      <c r="M4035" s="1502"/>
      <c r="N4035" s="1502"/>
      <c r="O4035" s="1362"/>
      <c r="P4035" s="1359"/>
      <c r="Q4035" s="3387"/>
      <c r="R4035" s="2337"/>
      <c r="S4035" s="16"/>
      <c r="T4035" s="16"/>
      <c r="U4035" s="16"/>
      <c r="V4035" s="16"/>
    </row>
    <row r="4036" spans="1:22">
      <c r="B4036" s="553"/>
      <c r="C4036" s="1042"/>
      <c r="D4036" s="1364" t="s">
        <v>1067</v>
      </c>
      <c r="E4036" s="2148" t="s">
        <v>1508</v>
      </c>
      <c r="F4036" s="1473" t="s">
        <v>1512</v>
      </c>
      <c r="G4036" s="1365">
        <v>0.47499999999999998</v>
      </c>
      <c r="H4036" s="1365"/>
      <c r="I4036" s="198"/>
      <c r="J4036" s="6"/>
      <c r="K4036" s="1307">
        <f>G4036*K4030</f>
        <v>0.38774350889999998</v>
      </c>
      <c r="L4036" s="1335">
        <f>K4036*$K$4014</f>
        <v>0</v>
      </c>
      <c r="M4036" s="1499">
        <v>18.28</v>
      </c>
      <c r="N4036" s="1701"/>
      <c r="O4036" s="1290">
        <f>(G4036*M4036)</f>
        <v>8.6829999999999998</v>
      </c>
      <c r="P4036" s="1332">
        <f>M4036*K4036</f>
        <v>7.0879513426920004</v>
      </c>
      <c r="Q4036" s="3391"/>
      <c r="R4036" s="3363"/>
      <c r="S4036" s="16"/>
      <c r="T4036" s="16"/>
      <c r="U4036" s="16"/>
      <c r="V4036" s="16"/>
    </row>
    <row r="4037" spans="1:22">
      <c r="B4037" s="553"/>
      <c r="C4037" s="1042"/>
      <c r="D4037" s="1623"/>
      <c r="E4037" s="2158"/>
      <c r="F4037" s="1801"/>
      <c r="G4037" s="1359"/>
      <c r="H4037" s="1803"/>
      <c r="I4037" s="198"/>
      <c r="J4037" s="6"/>
      <c r="K4037" s="1307"/>
      <c r="L4037" s="1335"/>
      <c r="M4037" s="1499"/>
      <c r="N4037" s="1701"/>
      <c r="O4037" s="1290"/>
      <c r="P4037" s="1332"/>
      <c r="Q4037" s="3391"/>
      <c r="R4037" s="2337"/>
      <c r="S4037" s="16"/>
      <c r="T4037" s="16"/>
      <c r="U4037" s="16"/>
      <c r="V4037" s="16"/>
    </row>
    <row r="4038" spans="1:22">
      <c r="B4038" s="553"/>
      <c r="C4038" s="1042"/>
      <c r="D4038" s="1623"/>
      <c r="E4038" s="2158"/>
      <c r="F4038" s="1801"/>
      <c r="G4038" s="1359"/>
      <c r="H4038" s="1803"/>
      <c r="I4038" s="198"/>
      <c r="J4038" s="6"/>
      <c r="K4038" s="1307"/>
      <c r="L4038" s="1335"/>
      <c r="M4038" s="1499"/>
      <c r="N4038" s="1701"/>
      <c r="O4038" s="1290"/>
      <c r="P4038" s="1332"/>
      <c r="Q4038" s="3391"/>
      <c r="R4038" s="2337"/>
      <c r="S4038" s="16"/>
      <c r="T4038" s="16"/>
      <c r="U4038" s="16"/>
      <c r="V4038" s="16"/>
    </row>
    <row r="4039" spans="1:22">
      <c r="B4039" s="553"/>
      <c r="C4039" s="1042"/>
      <c r="D4039" s="1411"/>
      <c r="E4039" s="2123"/>
      <c r="F4039" s="1802" t="s">
        <v>3</v>
      </c>
      <c r="G4039" s="1475"/>
      <c r="H4039" s="1505"/>
      <c r="I4039" s="1382"/>
      <c r="J4039" s="1383"/>
      <c r="K4039" s="1373"/>
      <c r="L4039" s="1413"/>
      <c r="M4039" s="1505"/>
      <c r="N4039" s="1505"/>
      <c r="O4039" s="1376"/>
      <c r="P4039" s="1413"/>
      <c r="Q4039" s="3387"/>
      <c r="R4039" s="2337"/>
      <c r="S4039" s="16"/>
      <c r="T4039" s="16"/>
      <c r="U4039" s="16"/>
      <c r="V4039" s="16"/>
    </row>
    <row r="4040" spans="1:22">
      <c r="B4040" s="553"/>
      <c r="C4040" s="1042"/>
      <c r="D4040" s="1411"/>
      <c r="E4040" s="2123"/>
      <c r="F4040" s="1475"/>
      <c r="G4040" s="1475"/>
      <c r="H4040" s="1376"/>
      <c r="I4040" s="198"/>
      <c r="J4040" s="6"/>
      <c r="K4040" s="1307"/>
      <c r="L4040" s="1335"/>
      <c r="M4040" s="1499"/>
      <c r="N4040" s="1701"/>
      <c r="O4040" s="1290"/>
      <c r="P4040" s="1332"/>
      <c r="Q4040" s="3391"/>
      <c r="R4040" s="2337"/>
      <c r="S4040" s="16"/>
      <c r="T4040" s="16"/>
      <c r="U4040" s="16"/>
      <c r="V4040" s="16"/>
    </row>
    <row r="4041" spans="1:22">
      <c r="B4041" s="553"/>
      <c r="C4041" s="1042"/>
      <c r="D4041" s="1412"/>
      <c r="E4041" s="2124"/>
      <c r="F4041" s="1377"/>
      <c r="G4041" s="1377"/>
      <c r="H4041" s="1597"/>
      <c r="I4041" s="198"/>
      <c r="J4041" s="6"/>
      <c r="K4041" s="1306"/>
      <c r="L4041" s="1646"/>
      <c r="M4041" s="1302"/>
      <c r="N4041" s="1302"/>
      <c r="O4041" s="1291"/>
      <c r="P4041" s="1332"/>
      <c r="Q4041" s="3391"/>
      <c r="R4041" s="2337"/>
      <c r="S4041" s="16"/>
      <c r="T4041" s="16"/>
      <c r="U4041" s="16"/>
      <c r="V4041" s="16"/>
    </row>
    <row r="4042" spans="1:22">
      <c r="B4042" s="554"/>
      <c r="C4042" s="223"/>
      <c r="D4042" s="1808"/>
      <c r="E4042" s="2132"/>
      <c r="F4042" s="1804"/>
      <c r="G4042" s="1804"/>
      <c r="H4042" s="1805"/>
      <c r="I4042" s="197"/>
      <c r="J4042" s="1806"/>
      <c r="K4042" s="1307"/>
      <c r="L4042" s="1335"/>
      <c r="M4042" s="1701"/>
      <c r="N4042" s="1701"/>
      <c r="O4042" s="1290"/>
      <c r="P4042" s="1333"/>
      <c r="Q4042" s="3391"/>
      <c r="R4042" s="2337"/>
      <c r="S4042" s="16"/>
      <c r="T4042" s="16"/>
      <c r="U4042" s="16"/>
      <c r="V4042" s="16"/>
    </row>
    <row r="4043" spans="1:22">
      <c r="A4043" s="19" t="s">
        <v>3764</v>
      </c>
      <c r="B4043" s="4325" t="s">
        <v>1739</v>
      </c>
      <c r="C4043" s="3350"/>
      <c r="D4043" s="4327"/>
      <c r="E4043" s="4329" t="s">
        <v>1527</v>
      </c>
      <c r="F4043" s="4336" t="s">
        <v>1774</v>
      </c>
      <c r="G4043" s="4331" t="s">
        <v>1568</v>
      </c>
      <c r="H4043" s="4331" t="s">
        <v>1574</v>
      </c>
      <c r="I4043" s="1572" t="s">
        <v>1559</v>
      </c>
      <c r="J4043" s="1294" t="s">
        <v>1560</v>
      </c>
      <c r="K4043" s="1294" t="s">
        <v>1561</v>
      </c>
      <c r="L4043" s="4333" t="s">
        <v>3765</v>
      </c>
      <c r="M4043" s="4335" t="s">
        <v>1571</v>
      </c>
      <c r="N4043" s="4323" t="s">
        <v>1776</v>
      </c>
      <c r="O4043" s="3347" t="s">
        <v>1563</v>
      </c>
      <c r="P4043" s="1336" t="s">
        <v>1562</v>
      </c>
      <c r="Q4043" s="3389"/>
      <c r="R4043" s="1699" t="s">
        <v>1327</v>
      </c>
      <c r="S4043" s="16"/>
      <c r="T4043" s="16"/>
      <c r="U4043" s="16"/>
      <c r="V4043" s="16"/>
    </row>
    <row r="4044" spans="1:22">
      <c r="A4044" s="1660" t="s">
        <v>1972</v>
      </c>
      <c r="B4044" s="4326"/>
      <c r="C4044" s="3351"/>
      <c r="D4044" s="4328"/>
      <c r="E4044" s="4330"/>
      <c r="F4044" s="4336"/>
      <c r="G4044" s="4332"/>
      <c r="H4044" s="4332"/>
      <c r="I4044" s="1345">
        <v>107.451036</v>
      </c>
      <c r="J4044" s="1307">
        <v>8.9999999999999993E-3</v>
      </c>
      <c r="K4044" s="1307">
        <f>I4044*J4044</f>
        <v>0.96705932399999994</v>
      </c>
      <c r="L4044" s="4334"/>
      <c r="M4044" s="4335"/>
      <c r="N4044" s="4324"/>
      <c r="O4044" s="1298">
        <f>O4046+O4047+O4051+O4058</f>
        <v>23.396839499999999</v>
      </c>
      <c r="P4044" s="1337">
        <f>O4044*K4044</f>
        <v>22.626131790606497</v>
      </c>
      <c r="Q4044" s="3390"/>
      <c r="R4044" s="1721">
        <f>P4046+P4047+P4051+P4058</f>
        <v>22.629032968578496</v>
      </c>
      <c r="S4044" s="16"/>
      <c r="T4044" s="16"/>
      <c r="U4044" s="16"/>
      <c r="V4044" s="16"/>
    </row>
    <row r="4045" spans="1:22">
      <c r="B4045" s="1327"/>
      <c r="C4045" s="18"/>
      <c r="D4045" s="1400"/>
      <c r="E4045" s="2121"/>
      <c r="F4045" s="1368" t="s">
        <v>1</v>
      </c>
      <c r="G4045" s="1368"/>
      <c r="H4045" s="1369"/>
      <c r="I4045" s="1391"/>
      <c r="J4045" s="1369"/>
      <c r="K4045" s="1367"/>
      <c r="L4045" s="1554"/>
      <c r="M4045" s="1369"/>
      <c r="N4045" s="1369"/>
      <c r="O4045" s="1369"/>
      <c r="P4045" s="1367"/>
      <c r="Q4045" s="3387"/>
      <c r="R4045" s="2337"/>
      <c r="S4045" s="16"/>
      <c r="T4045" s="16"/>
      <c r="U4045" s="16"/>
      <c r="V4045" s="16"/>
    </row>
    <row r="4046" spans="1:22">
      <c r="B4046" s="1320"/>
      <c r="C4046" s="1042"/>
      <c r="D4046" s="1433" t="s">
        <v>1777</v>
      </c>
      <c r="E4046" s="2133" t="s">
        <v>1507</v>
      </c>
      <c r="F4046" s="1434" t="s">
        <v>1778</v>
      </c>
      <c r="G4046" s="1751">
        <v>1.1000000000000001</v>
      </c>
      <c r="H4046" s="1751"/>
      <c r="I4046" s="197"/>
      <c r="J4046" s="198"/>
      <c r="K4046" s="1307">
        <f>G4046*K4044</f>
        <v>1.0637652564</v>
      </c>
      <c r="L4046" s="1335">
        <f>K4046*$K$4014</f>
        <v>0</v>
      </c>
      <c r="M4046" s="1499">
        <v>1.53</v>
      </c>
      <c r="N4046" s="1701"/>
      <c r="O4046" s="1290">
        <f>ROUND(G4046*M4046,2)</f>
        <v>1.68</v>
      </c>
      <c r="P4046" s="1332">
        <f>M4046*K4046</f>
        <v>1.627560842292</v>
      </c>
      <c r="Q4046" s="3391"/>
      <c r="R4046" s="2337"/>
      <c r="S4046" s="16"/>
      <c r="T4046" s="16"/>
      <c r="U4046" s="16"/>
      <c r="V4046" s="16"/>
    </row>
    <row r="4047" spans="1:22">
      <c r="B4047" s="1320"/>
      <c r="C4047" s="1356" t="s">
        <v>1128</v>
      </c>
      <c r="D4047" s="1311"/>
      <c r="E4047" s="2169" t="s">
        <v>1517</v>
      </c>
      <c r="F4047" s="1749" t="s">
        <v>1695</v>
      </c>
      <c r="G4047" s="1461"/>
      <c r="H4047" s="1758">
        <v>0.01</v>
      </c>
      <c r="I4047" s="1750"/>
      <c r="J4047" s="1388"/>
      <c r="K4047" s="1510"/>
      <c r="L4047" s="1445"/>
      <c r="M4047" s="1447"/>
      <c r="N4047" s="1447">
        <f>SUM(N4048:N4050)</f>
        <v>104.27969999999999</v>
      </c>
      <c r="O4047" s="1447">
        <f>SUM(O4048:O4050)</f>
        <v>1.042797</v>
      </c>
      <c r="P4047" s="1446">
        <f>SUM(P4048:P4050)</f>
        <v>1.008446561889228</v>
      </c>
      <c r="Q4047" s="3391"/>
      <c r="R4047" s="2337"/>
      <c r="S4047" s="16"/>
      <c r="T4047" s="16"/>
      <c r="U4047" s="16"/>
      <c r="V4047" s="16"/>
    </row>
    <row r="4048" spans="1:22">
      <c r="B4048" s="1320"/>
      <c r="C4048" s="1042"/>
      <c r="D4048" s="1752" t="s">
        <v>1779</v>
      </c>
      <c r="E4048" s="1852" t="s">
        <v>1577</v>
      </c>
      <c r="F4048" s="1752" t="s">
        <v>1780</v>
      </c>
      <c r="G4048" s="1753">
        <v>0.876</v>
      </c>
      <c r="H4048" s="1453">
        <f>$H$4047*G4048</f>
        <v>8.7600000000000004E-3</v>
      </c>
      <c r="I4048" s="198"/>
      <c r="J4048" s="198"/>
      <c r="K4048" s="1307">
        <f>H4048*K4044</f>
        <v>8.4714396782399996E-3</v>
      </c>
      <c r="L4048" s="1335">
        <f t="shared" ref="L4048:L4050" si="457">K4048*$K$4014</f>
        <v>0</v>
      </c>
      <c r="M4048" s="1759">
        <v>56.05</v>
      </c>
      <c r="N4048" s="1718">
        <f>G4048*M4048</f>
        <v>49.099799999999995</v>
      </c>
      <c r="O4048" s="1719">
        <f>H4048*M4048</f>
        <v>0.49099799999999999</v>
      </c>
      <c r="P4048" s="1720">
        <f>M4048*K4048</f>
        <v>0.47482419396535197</v>
      </c>
      <c r="Q4048" s="3396"/>
      <c r="R4048" s="2337"/>
      <c r="S4048" s="16"/>
      <c r="T4048" s="16"/>
      <c r="U4048" s="16"/>
      <c r="V4048" s="16"/>
    </row>
    <row r="4049" spans="1:22">
      <c r="B4049" s="1320"/>
      <c r="C4049" s="1042"/>
      <c r="D4049" s="1752" t="s">
        <v>1069</v>
      </c>
      <c r="E4049" s="1852" t="s">
        <v>1517</v>
      </c>
      <c r="F4049" s="1752" t="s">
        <v>1578</v>
      </c>
      <c r="G4049" s="1753">
        <v>0.61799999999999999</v>
      </c>
      <c r="H4049" s="1453">
        <f t="shared" ref="H4049:H4050" si="458">$H$4047*G4049</f>
        <v>6.1799999999999997E-3</v>
      </c>
      <c r="I4049" s="198"/>
      <c r="J4049" s="198"/>
      <c r="K4049" s="1307">
        <f>H4049*K4044</f>
        <v>5.9764266223199993E-3</v>
      </c>
      <c r="L4049" s="1335">
        <f t="shared" si="457"/>
        <v>0</v>
      </c>
      <c r="M4049" s="1759">
        <v>0.55000000000000004</v>
      </c>
      <c r="N4049" s="1718">
        <f>G4049*M4049</f>
        <v>0.33990000000000004</v>
      </c>
      <c r="O4049" s="1719">
        <f>H4049*M4049</f>
        <v>3.3990000000000001E-3</v>
      </c>
      <c r="P4049" s="1720">
        <f>M4049*K4049</f>
        <v>3.2870346422760001E-3</v>
      </c>
      <c r="Q4049" s="3396"/>
      <c r="R4049" s="2337"/>
      <c r="S4049" s="16"/>
      <c r="T4049" s="16"/>
      <c r="U4049" s="16"/>
      <c r="V4049" s="16"/>
    </row>
    <row r="4050" spans="1:22">
      <c r="B4050" s="1320"/>
      <c r="C4050" s="1042"/>
      <c r="D4050" s="1754" t="s">
        <v>1067</v>
      </c>
      <c r="E4050" s="1853" t="s">
        <v>1508</v>
      </c>
      <c r="F4050" s="1754" t="s">
        <v>1512</v>
      </c>
      <c r="G4050" s="1755">
        <v>3</v>
      </c>
      <c r="H4050" s="1454">
        <f t="shared" si="458"/>
        <v>0.03</v>
      </c>
      <c r="I4050" s="198"/>
      <c r="J4050" s="198"/>
      <c r="K4050" s="1307">
        <f>H4050*K4044</f>
        <v>2.9011779719999999E-2</v>
      </c>
      <c r="L4050" s="1335">
        <f t="shared" si="457"/>
        <v>0</v>
      </c>
      <c r="M4050" s="1759">
        <v>18.28</v>
      </c>
      <c r="N4050" s="1718">
        <f>G4050*M4050</f>
        <v>54.84</v>
      </c>
      <c r="O4050" s="1719">
        <f>H4050*M4050</f>
        <v>0.5484</v>
      </c>
      <c r="P4050" s="1720">
        <f>M4050*K4050</f>
        <v>0.53033533328159999</v>
      </c>
      <c r="Q4050" s="3396"/>
      <c r="R4050" s="2337"/>
      <c r="S4050" s="16"/>
      <c r="T4050" s="16"/>
      <c r="U4050" s="16"/>
      <c r="V4050" s="16"/>
    </row>
    <row r="4051" spans="1:22">
      <c r="B4051" s="1320"/>
      <c r="C4051" s="1356" t="s">
        <v>1152</v>
      </c>
      <c r="D4051" s="1311"/>
      <c r="E4051" s="1854" t="s">
        <v>1517</v>
      </c>
      <c r="F4051" s="1749" t="s">
        <v>1696</v>
      </c>
      <c r="G4051" s="1461"/>
      <c r="H4051" s="1688">
        <v>5.0000000000000001E-3</v>
      </c>
      <c r="I4051" s="1388"/>
      <c r="J4051" s="1510"/>
      <c r="K4051" s="1445"/>
      <c r="L4051" s="1447"/>
      <c r="M4051" s="1447"/>
      <c r="N4051" s="1447">
        <f>SUM(N4052:N4054)</f>
        <v>108.04650000000001</v>
      </c>
      <c r="O4051" s="1447">
        <f>SUM(O4052:O4054)</f>
        <v>0.54023250000000012</v>
      </c>
      <c r="P4051" s="1446">
        <f>SUM(P4052:P4054)</f>
        <v>0.52243687625282997</v>
      </c>
      <c r="Q4051" s="3391"/>
      <c r="R4051" s="2337"/>
      <c r="S4051" s="16"/>
      <c r="T4051" s="16"/>
      <c r="U4051" s="16"/>
      <c r="V4051" s="16"/>
    </row>
    <row r="4052" spans="1:22">
      <c r="B4052" s="1320"/>
      <c r="C4052" s="18"/>
      <c r="D4052" s="1756" t="s">
        <v>1781</v>
      </c>
      <c r="E4052" s="1852" t="s">
        <v>1577</v>
      </c>
      <c r="F4052" s="1752" t="s">
        <v>1782</v>
      </c>
      <c r="G4052" s="1753">
        <v>0.876</v>
      </c>
      <c r="H4052" s="1453">
        <f>$H$4051*G4052</f>
        <v>4.3800000000000002E-3</v>
      </c>
      <c r="I4052" s="198"/>
      <c r="J4052" s="198"/>
      <c r="K4052" s="1307">
        <f>H4052*K4044</f>
        <v>4.2357198391199998E-3</v>
      </c>
      <c r="L4052" s="1335">
        <f t="shared" ref="L4052:L4054" si="459">K4052*$K$4014</f>
        <v>0</v>
      </c>
      <c r="M4052" s="1723">
        <v>60.35</v>
      </c>
      <c r="N4052" s="1718">
        <f>G4052*M4052</f>
        <v>52.866599999999998</v>
      </c>
      <c r="O4052" s="1719">
        <f>H4052*M4052</f>
        <v>0.26433300000000004</v>
      </c>
      <c r="P4052" s="1720">
        <f>M4052*K4052</f>
        <v>0.25562569229089199</v>
      </c>
      <c r="Q4052" s="3396"/>
      <c r="R4052" s="2337"/>
      <c r="S4052" s="16"/>
      <c r="T4052" s="16"/>
      <c r="U4052" s="16"/>
      <c r="V4052" s="16"/>
    </row>
    <row r="4053" spans="1:22">
      <c r="B4053" s="1320"/>
      <c r="C4053" s="1042"/>
      <c r="D4053" s="1756" t="s">
        <v>1069</v>
      </c>
      <c r="E4053" s="1852" t="s">
        <v>1517</v>
      </c>
      <c r="F4053" s="1752" t="s">
        <v>1578</v>
      </c>
      <c r="G4053" s="1753">
        <v>0.61799999999999999</v>
      </c>
      <c r="H4053" s="1453">
        <f t="shared" ref="H4053:H4054" si="460">$H$4051*G4053</f>
        <v>3.0899999999999999E-3</v>
      </c>
      <c r="I4053" s="198"/>
      <c r="J4053" s="198"/>
      <c r="K4053" s="1307">
        <f>H4053*K4044</f>
        <v>2.9882133111599997E-3</v>
      </c>
      <c r="L4053" s="1335">
        <f t="shared" si="459"/>
        <v>0</v>
      </c>
      <c r="M4053" s="1723">
        <v>0.55000000000000004</v>
      </c>
      <c r="N4053" s="1718">
        <f>G4053*M4053</f>
        <v>0.33990000000000004</v>
      </c>
      <c r="O4053" s="1719">
        <f>H4053*M4053</f>
        <v>1.6995000000000001E-3</v>
      </c>
      <c r="P4053" s="1720">
        <f>M4053*K4053</f>
        <v>1.643517321138E-3</v>
      </c>
      <c r="Q4053" s="3396"/>
      <c r="R4053" s="2337"/>
      <c r="S4053" s="16"/>
      <c r="T4053" s="16"/>
      <c r="U4053" s="16"/>
      <c r="V4053" s="16"/>
    </row>
    <row r="4054" spans="1:22">
      <c r="B4054" s="1320"/>
      <c r="C4054" s="1042"/>
      <c r="D4054" s="1757" t="s">
        <v>1067</v>
      </c>
      <c r="E4054" s="1853" t="s">
        <v>1508</v>
      </c>
      <c r="F4054" s="1754" t="s">
        <v>1512</v>
      </c>
      <c r="G4054" s="1755">
        <v>3</v>
      </c>
      <c r="H4054" s="1454">
        <f t="shared" si="460"/>
        <v>1.4999999999999999E-2</v>
      </c>
      <c r="I4054" s="198"/>
      <c r="J4054" s="198"/>
      <c r="K4054" s="1307">
        <f>H4054*K4044</f>
        <v>1.4505889859999999E-2</v>
      </c>
      <c r="L4054" s="1335">
        <f t="shared" si="459"/>
        <v>0</v>
      </c>
      <c r="M4054" s="1723">
        <v>18.28</v>
      </c>
      <c r="N4054" s="1718">
        <f>G4054*M4054</f>
        <v>54.84</v>
      </c>
      <c r="O4054" s="1719">
        <f>H4054*M4054</f>
        <v>0.2742</v>
      </c>
      <c r="P4054" s="1720">
        <f>M4054*K4054</f>
        <v>0.26516766664079999</v>
      </c>
      <c r="Q4054" s="3396"/>
      <c r="R4054" s="2337"/>
      <c r="S4054" s="16"/>
      <c r="T4054" s="16"/>
      <c r="U4054" s="16"/>
      <c r="V4054" s="16"/>
    </row>
    <row r="4055" spans="1:22">
      <c r="B4055" s="1320"/>
      <c r="C4055" s="1042"/>
      <c r="D4055" s="1756"/>
      <c r="E4055" s="1852"/>
      <c r="F4055" s="1752"/>
      <c r="G4055" s="1753"/>
      <c r="H4055" s="1453"/>
      <c r="I4055" s="198"/>
      <c r="J4055" s="198"/>
      <c r="K4055" s="1307"/>
      <c r="L4055" s="1335"/>
      <c r="M4055" s="1717"/>
      <c r="N4055" s="1718"/>
      <c r="O4055" s="1719"/>
      <c r="P4055" s="1720"/>
      <c r="Q4055" s="3396"/>
      <c r="S4055" s="16"/>
      <c r="T4055" s="16"/>
      <c r="U4055" s="16"/>
      <c r="V4055" s="16"/>
    </row>
    <row r="4056" spans="1:22">
      <c r="B4056" s="1320"/>
      <c r="C4056" s="1320"/>
      <c r="D4056" s="1756"/>
      <c r="E4056" s="1852"/>
      <c r="F4056" s="1752"/>
      <c r="G4056" s="1753"/>
      <c r="H4056" s="1453"/>
      <c r="I4056" s="198"/>
      <c r="J4056" s="198"/>
      <c r="K4056" s="1307"/>
      <c r="L4056" s="1335"/>
      <c r="M4056" s="1717"/>
      <c r="N4056" s="1718"/>
      <c r="O4056" s="1719"/>
      <c r="P4056" s="1720"/>
      <c r="Q4056" s="3396"/>
      <c r="R4056" s="2337"/>
      <c r="S4056" s="16"/>
      <c r="T4056" s="16"/>
      <c r="U4056" s="16"/>
      <c r="V4056" s="16"/>
    </row>
    <row r="4057" spans="1:22">
      <c r="B4057" s="1320"/>
      <c r="C4057" s="1042"/>
      <c r="D4057" s="1404"/>
      <c r="E4057" s="1858"/>
      <c r="F4057" s="1360" t="s">
        <v>2</v>
      </c>
      <c r="G4057" s="1360"/>
      <c r="H4057" s="1362"/>
      <c r="I4057" s="1380"/>
      <c r="J4057" s="1381"/>
      <c r="K4057" s="1359"/>
      <c r="L4057" s="1359"/>
      <c r="M4057" s="1502"/>
      <c r="N4057" s="1702"/>
      <c r="O4057" s="1429"/>
      <c r="P4057" s="1359"/>
      <c r="Q4057" s="3387"/>
      <c r="R4057" s="2337"/>
      <c r="S4057" s="16"/>
      <c r="T4057" s="16"/>
      <c r="U4057" s="16"/>
      <c r="V4057" s="16"/>
    </row>
    <row r="4058" spans="1:22">
      <c r="B4058" s="1320"/>
      <c r="C4058" s="1161"/>
      <c r="D4058" s="1437" t="s">
        <v>1153</v>
      </c>
      <c r="E4058" s="2134" t="s">
        <v>1508</v>
      </c>
      <c r="F4058" s="1438" t="s">
        <v>1783</v>
      </c>
      <c r="G4058" s="1825">
        <v>1.0469999999999999</v>
      </c>
      <c r="H4058" s="1359"/>
      <c r="I4058" s="197"/>
      <c r="J4058" s="198"/>
      <c r="K4058" s="1307">
        <f>G4058*$K$4044</f>
        <v>1.0125111122279999</v>
      </c>
      <c r="L4058" s="1335">
        <f>K4058*$K$4014</f>
        <v>0</v>
      </c>
      <c r="M4058" s="1499">
        <v>19.23</v>
      </c>
      <c r="N4058" s="1701"/>
      <c r="O4058" s="1290">
        <f>(G4058*M4058)</f>
        <v>20.13381</v>
      </c>
      <c r="P4058" s="1332">
        <f>M4058*K4058</f>
        <v>19.470588688144439</v>
      </c>
      <c r="Q4058" s="3391"/>
      <c r="R4058" s="2337"/>
      <c r="S4058" s="16"/>
      <c r="T4058" s="16"/>
      <c r="U4058" s="16"/>
      <c r="V4058" s="16"/>
    </row>
    <row r="4059" spans="1:22">
      <c r="B4059" s="1320"/>
      <c r="C4059" s="1042"/>
      <c r="D4059" s="1402"/>
      <c r="E4059" s="1857"/>
      <c r="F4059" s="1430"/>
      <c r="G4059" s="1362"/>
      <c r="H4059" s="1362"/>
      <c r="I4059" s="197"/>
      <c r="J4059" s="198"/>
      <c r="K4059" s="1307"/>
      <c r="L4059" s="1335"/>
      <c r="M4059" s="1499"/>
      <c r="N4059" s="1701"/>
      <c r="O4059" s="1290"/>
      <c r="P4059" s="1332"/>
      <c r="Q4059" s="3391"/>
      <c r="R4059" s="2337"/>
      <c r="S4059" s="16"/>
      <c r="T4059" s="16"/>
      <c r="U4059" s="16"/>
      <c r="V4059" s="16"/>
    </row>
    <row r="4060" spans="1:22">
      <c r="B4060" s="1320"/>
      <c r="C4060" s="1042"/>
      <c r="D4060" s="1411"/>
      <c r="E4060" s="2123"/>
      <c r="F4060" s="1374" t="s">
        <v>3</v>
      </c>
      <c r="G4060" s="1374"/>
      <c r="H4060" s="1376"/>
      <c r="I4060" s="1382"/>
      <c r="J4060" s="1383"/>
      <c r="K4060" s="1373"/>
      <c r="L4060" s="1373"/>
      <c r="M4060" s="1505"/>
      <c r="N4060" s="1704"/>
      <c r="O4060" s="1432"/>
      <c r="P4060" s="1373"/>
      <c r="Q4060" s="3387"/>
      <c r="R4060" s="2337"/>
      <c r="S4060" s="16"/>
      <c r="T4060" s="16"/>
      <c r="U4060" s="16"/>
      <c r="V4060" s="16"/>
    </row>
    <row r="4061" spans="1:22">
      <c r="B4061" s="1320"/>
      <c r="C4061" s="1042"/>
      <c r="D4061" s="1440"/>
      <c r="E4061" s="2132"/>
      <c r="F4061" s="1441"/>
      <c r="G4061" s="1441"/>
      <c r="H4061" s="1442"/>
      <c r="I4061" s="197"/>
      <c r="J4061" s="198"/>
      <c r="K4061" s="1307"/>
      <c r="L4061" s="1335"/>
      <c r="M4061" s="1499"/>
      <c r="N4061" s="1701"/>
      <c r="O4061" s="1290"/>
      <c r="P4061" s="1332"/>
      <c r="Q4061" s="3391"/>
      <c r="R4061" s="2337"/>
      <c r="S4061" s="16"/>
      <c r="T4061" s="16"/>
      <c r="U4061" s="16"/>
      <c r="V4061" s="16"/>
    </row>
    <row r="4062" spans="1:22">
      <c r="B4062" s="1320"/>
      <c r="C4062" s="1042"/>
      <c r="D4062" s="1440"/>
      <c r="E4062" s="2132"/>
      <c r="F4062" s="1441"/>
      <c r="G4062" s="1441"/>
      <c r="H4062" s="1442"/>
      <c r="I4062" s="197" t="str">
        <f ca="1">IF(COUNT(H4062:O4062)=0,"",(SUM(H4062:O4062)/COUNT(H4062:O4062)))</f>
        <v/>
      </c>
      <c r="J4062" s="198"/>
      <c r="K4062" s="1307"/>
      <c r="L4062" s="1335"/>
      <c r="M4062" s="1499"/>
      <c r="N4062" s="1701"/>
      <c r="O4062" s="1290"/>
      <c r="P4062" s="1332"/>
      <c r="Q4062" s="3391"/>
      <c r="R4062" s="2337"/>
      <c r="S4062" s="16"/>
      <c r="T4062" s="16"/>
      <c r="U4062" s="16"/>
      <c r="V4062" s="16"/>
    </row>
    <row r="4063" spans="1:22">
      <c r="B4063" s="225"/>
      <c r="C4063" s="223"/>
      <c r="D4063" s="1440"/>
      <c r="E4063" s="2132"/>
      <c r="F4063" s="1441"/>
      <c r="G4063" s="1441"/>
      <c r="H4063" s="1442"/>
      <c r="I4063" s="197" t="str">
        <f ca="1">IF(COUNT(H4063:O4063)=0,"",(SUM(H4063:O4063)/COUNT(H4063:O4063)))</f>
        <v/>
      </c>
      <c r="J4063" s="198"/>
      <c r="K4063" s="1307"/>
      <c r="L4063" s="1335"/>
      <c r="M4063" s="1499"/>
      <c r="N4063" s="1701"/>
      <c r="O4063" s="1290"/>
      <c r="P4063" s="1332"/>
      <c r="Q4063" s="3391"/>
      <c r="R4063" s="2337"/>
      <c r="S4063" s="16"/>
      <c r="T4063" s="16"/>
      <c r="U4063" s="16"/>
      <c r="V4063" s="16"/>
    </row>
    <row r="4064" spans="1:22">
      <c r="A4064" s="19" t="s">
        <v>3764</v>
      </c>
      <c r="B4064" s="4325" t="s">
        <v>1659</v>
      </c>
      <c r="C4064" s="3350"/>
      <c r="D4064" s="4327"/>
      <c r="E4064" s="4329" t="s">
        <v>1507</v>
      </c>
      <c r="F4064" s="4338" t="s">
        <v>1685</v>
      </c>
      <c r="G4064" s="4331" t="s">
        <v>1568</v>
      </c>
      <c r="H4064" s="4331" t="s">
        <v>1574</v>
      </c>
      <c r="I4064" s="1572" t="s">
        <v>1559</v>
      </c>
      <c r="J4064" s="1294" t="s">
        <v>1560</v>
      </c>
      <c r="K4064" s="1294" t="s">
        <v>1561</v>
      </c>
      <c r="L4064" s="4333" t="s">
        <v>3765</v>
      </c>
      <c r="M4064" s="4335" t="s">
        <v>1571</v>
      </c>
      <c r="N4064" s="4323" t="s">
        <v>1776</v>
      </c>
      <c r="O4064" s="3347" t="s">
        <v>1563</v>
      </c>
      <c r="P4064" s="1336" t="s">
        <v>1562</v>
      </c>
      <c r="Q4064" s="3389"/>
      <c r="R4064" s="1699" t="s">
        <v>1327</v>
      </c>
      <c r="S4064" s="16"/>
      <c r="T4064" s="16"/>
      <c r="U4064" s="16"/>
      <c r="V4064" s="16"/>
    </row>
    <row r="4065" spans="1:22">
      <c r="A4065" s="1660" t="s">
        <v>1972</v>
      </c>
      <c r="B4065" s="4326"/>
      <c r="C4065" s="3351"/>
      <c r="D4065" s="4328"/>
      <c r="E4065" s="4330"/>
      <c r="F4065" s="4338"/>
      <c r="G4065" s="4332"/>
      <c r="H4065" s="4332"/>
      <c r="I4065" s="1345">
        <v>16.750800000000002</v>
      </c>
      <c r="J4065" s="1307">
        <v>8.9999999999999993E-3</v>
      </c>
      <c r="K4065" s="1307">
        <f>I4065*J4065</f>
        <v>0.15075720000000001</v>
      </c>
      <c r="L4065" s="4334"/>
      <c r="M4065" s="4335"/>
      <c r="N4065" s="4324"/>
      <c r="O4065" s="1298">
        <f>O4067+O4075</f>
        <v>13.241683030000001</v>
      </c>
      <c r="P4065" s="1337">
        <f>O4065*K4065</f>
        <v>1.9962790568903162</v>
      </c>
      <c r="Q4065" s="3390"/>
      <c r="R4065" s="1721">
        <f>P4067+P4075</f>
        <v>1.9962790568903162</v>
      </c>
      <c r="S4065" s="16"/>
      <c r="T4065" s="16"/>
      <c r="U4065" s="16"/>
      <c r="V4065" s="16"/>
    </row>
    <row r="4066" spans="1:22">
      <c r="A4066" s="16"/>
      <c r="B4066" s="18"/>
      <c r="D4066" s="1449"/>
      <c r="E4066" s="2121"/>
      <c r="F4066" s="1368" t="s">
        <v>1</v>
      </c>
      <c r="G4066" s="1368"/>
      <c r="H4066" s="1369"/>
      <c r="I4066" s="1409"/>
      <c r="J4066" s="1391"/>
      <c r="K4066" s="1367"/>
      <c r="L4066" s="1554"/>
      <c r="M4066" s="1369"/>
      <c r="N4066" s="1369"/>
      <c r="O4066" s="1369"/>
      <c r="P4066" s="1367"/>
      <c r="Q4066" s="3387"/>
      <c r="R4066" s="2337"/>
      <c r="S4066" s="16"/>
      <c r="T4066" s="16"/>
      <c r="U4066" s="16"/>
      <c r="V4066" s="16"/>
    </row>
    <row r="4067" spans="1:22">
      <c r="A4067" s="16"/>
      <c r="B4067" s="1042"/>
      <c r="C4067" s="1356" t="s">
        <v>1127</v>
      </c>
      <c r="D4067" s="1311"/>
      <c r="E4067" s="2137" t="s">
        <v>1517</v>
      </c>
      <c r="F4067" s="1319" t="s">
        <v>1519</v>
      </c>
      <c r="G4067" s="1353"/>
      <c r="H4067" s="1456">
        <v>2.1000000000000001E-2</v>
      </c>
      <c r="I4067" s="1444"/>
      <c r="J4067" s="1388"/>
      <c r="K4067" s="1445"/>
      <c r="L4067" s="1457"/>
      <c r="M4067" s="1447"/>
      <c r="N4067" s="1447">
        <f>SUM(N4068:N4071)</f>
        <v>50.044430000000006</v>
      </c>
      <c r="O4067" s="1447">
        <f>SUM(O4068:O4071)</f>
        <v>1.0509330300000002</v>
      </c>
      <c r="P4067" s="1446">
        <f>SUM(P4068:P4071)</f>
        <v>0.15843572099031603</v>
      </c>
      <c r="Q4067" s="3391"/>
      <c r="R4067" s="2337"/>
      <c r="S4067" s="16"/>
      <c r="T4067" s="16"/>
      <c r="U4067" s="16"/>
      <c r="V4067" s="16"/>
    </row>
    <row r="4068" spans="1:22">
      <c r="A4068" s="16"/>
      <c r="B4068" s="1042"/>
      <c r="C4068" s="1327"/>
      <c r="D4068" s="1400" t="s">
        <v>1069</v>
      </c>
      <c r="E4068" s="1856" t="s">
        <v>1517</v>
      </c>
      <c r="F4068" s="1397" t="s">
        <v>1578</v>
      </c>
      <c r="G4068" s="1416">
        <v>0.26300000000000001</v>
      </c>
      <c r="H4068" s="1399">
        <f>G4068*$H$3139</f>
        <v>5.523000000000001E-3</v>
      </c>
      <c r="I4068" s="197"/>
      <c r="J4068" s="198"/>
      <c r="K4068" s="1307">
        <f>H4068*$K$4065</f>
        <v>8.3263201560000017E-4</v>
      </c>
      <c r="L4068" s="1335">
        <f t="shared" ref="L4068:L4071" si="461">K4068*$K$4014</f>
        <v>0</v>
      </c>
      <c r="M4068" s="1302">
        <v>0.55000000000000004</v>
      </c>
      <c r="N4068" s="1718">
        <f>G4068*M4068</f>
        <v>0.14465000000000003</v>
      </c>
      <c r="O4068" s="1290">
        <f>H4068*M4068</f>
        <v>3.0376500000000007E-3</v>
      </c>
      <c r="P4068" s="1332">
        <f>M4068*K4068</f>
        <v>4.5794760858000014E-4</v>
      </c>
      <c r="Q4068" s="3391"/>
      <c r="R4068" s="2337"/>
      <c r="S4068" s="16"/>
      <c r="T4068" s="16"/>
      <c r="U4068" s="16"/>
      <c r="V4068" s="16"/>
    </row>
    <row r="4069" spans="1:22">
      <c r="A4069" s="16"/>
      <c r="B4069" s="1042"/>
      <c r="C4069" s="1320"/>
      <c r="D4069" s="1400" t="s">
        <v>1394</v>
      </c>
      <c r="E4069" s="1856" t="s">
        <v>1577</v>
      </c>
      <c r="F4069" s="1397" t="s">
        <v>1579</v>
      </c>
      <c r="G4069" s="1416">
        <v>0.25800000000000001</v>
      </c>
      <c r="H4069" s="1399">
        <f t="shared" ref="H4069:H4071" si="462">G4069*$H$3139</f>
        <v>5.4180000000000001E-3</v>
      </c>
      <c r="I4069" s="197"/>
      <c r="J4069" s="198"/>
      <c r="K4069" s="1307">
        <f>H4069*$K$4065</f>
        <v>8.1680250960000005E-4</v>
      </c>
      <c r="L4069" s="1335">
        <f t="shared" si="461"/>
        <v>0</v>
      </c>
      <c r="M4069" s="1302">
        <v>92.54</v>
      </c>
      <c r="N4069" s="1718">
        <f>G4069*M4069</f>
        <v>23.875320000000002</v>
      </c>
      <c r="O4069" s="1290">
        <f>H4069*M4069</f>
        <v>0.50138172000000003</v>
      </c>
      <c r="P4069" s="1332">
        <f>M4069*K4069</f>
        <v>7.5586904238384003E-2</v>
      </c>
      <c r="Q4069" s="3391"/>
      <c r="R4069" s="2337"/>
      <c r="S4069" s="16"/>
      <c r="T4069" s="16"/>
      <c r="U4069" s="16"/>
      <c r="V4069" s="16"/>
    </row>
    <row r="4070" spans="1:22">
      <c r="A4070" s="16"/>
      <c r="B4070" s="1042"/>
      <c r="C4070" s="1320"/>
      <c r="D4070" s="1400" t="s">
        <v>1576</v>
      </c>
      <c r="E4070" s="1856" t="s">
        <v>1517</v>
      </c>
      <c r="F4070" s="1397" t="s">
        <v>1580</v>
      </c>
      <c r="G4070" s="1416">
        <v>1.1020000000000001</v>
      </c>
      <c r="H4070" s="1399">
        <f t="shared" si="462"/>
        <v>2.3142000000000003E-2</v>
      </c>
      <c r="I4070" s="197"/>
      <c r="J4070" s="198"/>
      <c r="K4070" s="1307">
        <f>H4070*$K$4065</f>
        <v>3.4888231224000006E-3</v>
      </c>
      <c r="L4070" s="1335">
        <f t="shared" si="461"/>
        <v>0</v>
      </c>
      <c r="M4070" s="1302">
        <v>6.53</v>
      </c>
      <c r="N4070" s="1718">
        <f>G4070*M4070</f>
        <v>7.196060000000001</v>
      </c>
      <c r="O4070" s="1290">
        <f>H4070*M4070</f>
        <v>0.15111726000000003</v>
      </c>
      <c r="P4070" s="1332">
        <f>M4070*K4070</f>
        <v>2.2782014989272004E-2</v>
      </c>
      <c r="Q4070" s="3391"/>
      <c r="R4070" s="2337"/>
      <c r="S4070" s="16"/>
      <c r="T4070" s="16"/>
      <c r="U4070" s="16"/>
      <c r="V4070" s="16"/>
    </row>
    <row r="4071" spans="1:22">
      <c r="A4071" s="16"/>
      <c r="B4071" s="1042"/>
      <c r="C4071" s="1320"/>
      <c r="D4071" s="1404" t="s">
        <v>1067</v>
      </c>
      <c r="E4071" s="1857" t="s">
        <v>1508</v>
      </c>
      <c r="F4071" s="1406" t="s">
        <v>1512</v>
      </c>
      <c r="G4071" s="1407">
        <v>1.03</v>
      </c>
      <c r="H4071" s="1408">
        <f t="shared" si="462"/>
        <v>2.1630000000000003E-2</v>
      </c>
      <c r="I4071" s="197"/>
      <c r="J4071" s="198"/>
      <c r="K4071" s="1307">
        <f>H4071*$K$4065</f>
        <v>3.2608782360000008E-3</v>
      </c>
      <c r="L4071" s="1335">
        <f t="shared" si="461"/>
        <v>0</v>
      </c>
      <c r="M4071" s="1302">
        <v>18.28</v>
      </c>
      <c r="N4071" s="1718">
        <f>G4071*M4071</f>
        <v>18.828400000000002</v>
      </c>
      <c r="O4071" s="1290">
        <f>H4071*M4071</f>
        <v>0.39539640000000009</v>
      </c>
      <c r="P4071" s="1332">
        <f>M4071*K4071</f>
        <v>5.9608854154080022E-2</v>
      </c>
      <c r="Q4071" s="3391"/>
      <c r="R4071" s="2337"/>
      <c r="S4071" s="16"/>
      <c r="T4071" s="16"/>
      <c r="U4071" s="16"/>
      <c r="V4071" s="16"/>
    </row>
    <row r="4072" spans="1:22">
      <c r="A4072" s="16"/>
      <c r="B4072" s="1042"/>
      <c r="C4072" s="88"/>
      <c r="D4072" s="1400"/>
      <c r="E4072" s="1856"/>
      <c r="F4072" s="1397"/>
      <c r="G4072" s="1416"/>
      <c r="H4072" s="1399"/>
      <c r="I4072" s="197"/>
      <c r="J4072" s="198"/>
      <c r="K4072" s="1307"/>
      <c r="L4072" s="1335"/>
      <c r="M4072" s="1302"/>
      <c r="N4072" s="1718"/>
      <c r="O4072" s="1290"/>
      <c r="P4072" s="1332"/>
      <c r="Q4072" s="3391"/>
      <c r="R4072" s="2337"/>
      <c r="S4072" s="16"/>
      <c r="T4072" s="16"/>
      <c r="U4072" s="16"/>
      <c r="V4072" s="16"/>
    </row>
    <row r="4073" spans="1:22">
      <c r="A4073" s="16"/>
      <c r="B4073" s="1042"/>
      <c r="C4073" s="88"/>
      <c r="D4073" s="1400"/>
      <c r="E4073" s="1856"/>
      <c r="F4073" s="1397"/>
      <c r="G4073" s="1416"/>
      <c r="H4073" s="1399"/>
      <c r="I4073" s="197" t="str">
        <f ca="1">IF(COUNT(H4073:O4073)=0,"",(SUM(H4073:O4073)/COUNT(H4073:O4073)))</f>
        <v/>
      </c>
      <c r="J4073" s="198"/>
      <c r="K4073" s="1307" t="str">
        <f>IF(COUNT(#REF!)=0,"",IF(#REF!="","",(#REF!*#REF!)))</f>
        <v/>
      </c>
      <c r="L4073" s="1335"/>
      <c r="M4073" s="1302"/>
      <c r="N4073" s="1718"/>
      <c r="O4073" s="1290"/>
      <c r="P4073" s="1332"/>
      <c r="Q4073" s="3391"/>
      <c r="R4073" s="2337"/>
      <c r="S4073" s="16"/>
      <c r="T4073" s="16"/>
      <c r="U4073" s="16"/>
      <c r="V4073" s="16"/>
    </row>
    <row r="4074" spans="1:22">
      <c r="A4074" s="16"/>
      <c r="B4074" s="1042"/>
      <c r="C4074" s="88"/>
      <c r="D4074" s="1359"/>
      <c r="E4074" s="1858"/>
      <c r="F4074" s="1360" t="s">
        <v>2</v>
      </c>
      <c r="G4074" s="1360"/>
      <c r="H4074" s="1362"/>
      <c r="I4074" s="1380" t="str">
        <f ca="1">IF(COUNT(H4074:O4074)=0,"",(SUM(H4074:O4074)/COUNT(H4074:O4074)))</f>
        <v/>
      </c>
      <c r="J4074" s="1381"/>
      <c r="K4074" s="1359" t="str">
        <f>IF(COUNT(#REF!)=0,"",IF(#REF!="","",(#REF!*#REF!)))</f>
        <v/>
      </c>
      <c r="L4074" s="1458"/>
      <c r="M4074" s="1362"/>
      <c r="N4074" s="1362"/>
      <c r="O4074" s="1362"/>
      <c r="P4074" s="1458"/>
      <c r="Q4074" s="3387"/>
      <c r="R4074" s="2337"/>
      <c r="S4074" s="16"/>
      <c r="T4074" s="16"/>
      <c r="U4074" s="16"/>
      <c r="V4074" s="16"/>
    </row>
    <row r="4075" spans="1:22">
      <c r="A4075" s="16"/>
      <c r="B4075" s="1042"/>
      <c r="C4075" s="1652" t="s">
        <v>1755</v>
      </c>
      <c r="D4075" s="1461"/>
      <c r="E4075" s="2163" t="s">
        <v>1508</v>
      </c>
      <c r="F4075" s="1648" t="s">
        <v>1524</v>
      </c>
      <c r="G4075" s="1353"/>
      <c r="H4075" s="1456">
        <v>0.32500000000000001</v>
      </c>
      <c r="I4075" s="1444"/>
      <c r="J4075" s="1388"/>
      <c r="K4075" s="1445"/>
      <c r="L4075" s="1457"/>
      <c r="M4075" s="1447"/>
      <c r="N4075" s="1447">
        <f>SUM(N4076:N4077)</f>
        <v>37.510000000000005</v>
      </c>
      <c r="O4075" s="1447">
        <f>SUM(O4076:O4077)</f>
        <v>12.190750000000001</v>
      </c>
      <c r="P4075" s="1447">
        <f>SUM(P4076:P4077)</f>
        <v>1.8378433359000002</v>
      </c>
      <c r="Q4075" s="3391"/>
      <c r="R4075" s="2337"/>
      <c r="S4075" s="16"/>
      <c r="T4075" s="16"/>
      <c r="U4075" s="16"/>
      <c r="V4075" s="16"/>
    </row>
    <row r="4076" spans="1:22">
      <c r="A4076" s="16"/>
      <c r="B4076" s="1042"/>
      <c r="C4076" s="88"/>
      <c r="D4076" s="1430" t="s">
        <v>1067</v>
      </c>
      <c r="E4076" s="1857" t="s">
        <v>1508</v>
      </c>
      <c r="F4076" s="1403" t="s">
        <v>5</v>
      </c>
      <c r="G4076" s="1431">
        <v>1</v>
      </c>
      <c r="H4076" s="1408">
        <f>G4076*$H$3147</f>
        <v>0.32500000000000001</v>
      </c>
      <c r="I4076" s="1286"/>
      <c r="J4076" s="198"/>
      <c r="K4076" s="1307">
        <f>H4076*$K$4065</f>
        <v>4.8996090000000006E-2</v>
      </c>
      <c r="L4076" s="1335">
        <f t="shared" ref="L4076:L4077" si="463">K4076*$K$4014</f>
        <v>0</v>
      </c>
      <c r="M4076" s="1302">
        <v>18.28</v>
      </c>
      <c r="N4076" s="1718">
        <f>G4076*M4076</f>
        <v>18.28</v>
      </c>
      <c r="O4076" s="1290">
        <f>H4076*M4076</f>
        <v>5.9410000000000007</v>
      </c>
      <c r="P4076" s="1332">
        <f>M4076*K4076</f>
        <v>0.89564852520000016</v>
      </c>
      <c r="Q4076" s="3391"/>
      <c r="R4076" s="2337"/>
      <c r="S4076" s="16"/>
      <c r="T4076" s="16"/>
      <c r="U4076" s="16"/>
      <c r="V4076" s="16"/>
    </row>
    <row r="4077" spans="1:22">
      <c r="A4077" s="16"/>
      <c r="B4077" s="1042"/>
      <c r="C4077" s="88"/>
      <c r="D4077" s="1430" t="s">
        <v>1077</v>
      </c>
      <c r="E4077" s="1857" t="s">
        <v>1508</v>
      </c>
      <c r="F4077" s="1403" t="s">
        <v>37</v>
      </c>
      <c r="G4077" s="1431">
        <v>1</v>
      </c>
      <c r="H4077" s="1408">
        <f>G4077*$H$3147</f>
        <v>0.32500000000000001</v>
      </c>
      <c r="I4077" s="197">
        <f ca="1">IF(COUNT(H4077:L4077)=0,"",(SUM(H4077:L4077)/COUNT(H4077:L4077)))</f>
        <v>23.62943369704103</v>
      </c>
      <c r="J4077" s="198"/>
      <c r="K4077" s="1307">
        <f>H4077*$K$4065</f>
        <v>4.8996090000000006E-2</v>
      </c>
      <c r="L4077" s="1335">
        <f t="shared" si="463"/>
        <v>0</v>
      </c>
      <c r="M4077" s="1302">
        <v>19.23</v>
      </c>
      <c r="N4077" s="1718">
        <f>G4077*M4077</f>
        <v>19.23</v>
      </c>
      <c r="O4077" s="1290">
        <f>H4077*M4077</f>
        <v>6.2497500000000006</v>
      </c>
      <c r="P4077" s="1332">
        <f>M4077*K4077</f>
        <v>0.94219481070000011</v>
      </c>
      <c r="Q4077" s="3391"/>
      <c r="R4077" s="2337"/>
      <c r="S4077" s="16"/>
      <c r="T4077" s="16"/>
      <c r="U4077" s="16"/>
      <c r="V4077" s="16"/>
    </row>
    <row r="4078" spans="1:22">
      <c r="A4078" s="16"/>
      <c r="B4078" s="1042"/>
      <c r="C4078" s="88"/>
      <c r="D4078" s="1430"/>
      <c r="E4078" s="1857"/>
      <c r="F4078" s="1766"/>
      <c r="G4078" s="4020"/>
      <c r="H4078" s="1408"/>
      <c r="I4078" s="197"/>
      <c r="J4078" s="198"/>
      <c r="K4078" s="1307"/>
      <c r="L4078" s="1335"/>
      <c r="M4078" s="1302"/>
      <c r="N4078" s="1718"/>
      <c r="O4078" s="1290"/>
      <c r="P4078" s="1332"/>
      <c r="Q4078" s="3391"/>
      <c r="R4078" s="2337"/>
      <c r="S4078" s="16"/>
      <c r="T4078" s="16"/>
      <c r="U4078" s="16"/>
      <c r="V4078" s="16"/>
    </row>
    <row r="4079" spans="1:22">
      <c r="A4079" s="16"/>
      <c r="B4079" s="1042"/>
      <c r="C4079" s="88"/>
      <c r="D4079" s="1373"/>
      <c r="E4079" s="2123"/>
      <c r="F4079" s="1374" t="s">
        <v>3</v>
      </c>
      <c r="G4079" s="1374"/>
      <c r="H4079" s="1376"/>
      <c r="I4079" s="1382" t="str">
        <f t="shared" ref="I4079:I4082" ca="1" si="464">IF(COUNT(H4079:O4079)=0,"",(SUM(H4079:O4079)/COUNT(H4079:O4079)))</f>
        <v/>
      </c>
      <c r="J4079" s="1383"/>
      <c r="K4079" s="1373"/>
      <c r="L4079" s="1413"/>
      <c r="M4079" s="1376"/>
      <c r="N4079" s="1376"/>
      <c r="O4079" s="1376"/>
      <c r="P4079" s="1413"/>
      <c r="Q4079" s="3387"/>
      <c r="R4079" s="2337"/>
      <c r="S4079" s="16"/>
      <c r="T4079" s="16"/>
      <c r="U4079" s="16"/>
      <c r="V4079" s="16"/>
    </row>
    <row r="4080" spans="1:22">
      <c r="A4080" s="16"/>
      <c r="B4080" s="1042"/>
      <c r="C4080" s="88"/>
      <c r="D4080" s="1440"/>
      <c r="E4080" s="2132"/>
      <c r="F4080" s="1441"/>
      <c r="G4080" s="1441"/>
      <c r="H4080" s="1442"/>
      <c r="I4080" s="197" t="str">
        <f t="shared" ca="1" si="464"/>
        <v/>
      </c>
      <c r="J4080" s="198"/>
      <c r="K4080" s="1307"/>
      <c r="L4080" s="1335"/>
      <c r="M4080" s="1499"/>
      <c r="N4080" s="1701"/>
      <c r="O4080" s="1290"/>
      <c r="P4080" s="1332"/>
      <c r="Q4080" s="3391"/>
      <c r="R4080" s="2337"/>
      <c r="S4080" s="16"/>
      <c r="T4080" s="16"/>
      <c r="U4080" s="16"/>
      <c r="V4080" s="16"/>
    </row>
    <row r="4081" spans="1:22">
      <c r="A4081" s="16"/>
      <c r="B4081" s="1042"/>
      <c r="C4081" s="88"/>
      <c r="D4081" s="1440"/>
      <c r="E4081" s="2132"/>
      <c r="F4081" s="1441"/>
      <c r="G4081" s="1441"/>
      <c r="H4081" s="1442"/>
      <c r="I4081" s="197" t="str">
        <f t="shared" ca="1" si="464"/>
        <v/>
      </c>
      <c r="J4081" s="198"/>
      <c r="K4081" s="1307"/>
      <c r="L4081" s="1335"/>
      <c r="M4081" s="1499"/>
      <c r="N4081" s="1701"/>
      <c r="O4081" s="1290"/>
      <c r="P4081" s="1332"/>
      <c r="Q4081" s="3391"/>
      <c r="R4081" s="2337"/>
      <c r="S4081" s="16"/>
      <c r="T4081" s="16"/>
      <c r="U4081" s="16"/>
      <c r="V4081" s="16"/>
    </row>
    <row r="4082" spans="1:22">
      <c r="A4082" s="16"/>
      <c r="B4082" s="223"/>
      <c r="C4082" s="581"/>
      <c r="D4082" s="1440"/>
      <c r="E4082" s="2132"/>
      <c r="F4082" s="1441"/>
      <c r="G4082" s="1441"/>
      <c r="H4082" s="1442"/>
      <c r="I4082" s="197" t="str">
        <f t="shared" ca="1" si="464"/>
        <v/>
      </c>
      <c r="J4082" s="198"/>
      <c r="K4082" s="1307"/>
      <c r="L4082" s="1335"/>
      <c r="M4082" s="1499"/>
      <c r="N4082" s="1701"/>
      <c r="O4082" s="1290"/>
      <c r="P4082" s="1332"/>
      <c r="Q4082" s="3391"/>
      <c r="R4082" s="2337"/>
      <c r="S4082" s="16"/>
      <c r="T4082" s="16"/>
      <c r="U4082" s="16"/>
      <c r="V4082" s="16"/>
    </row>
    <row r="4083" spans="1:22">
      <c r="A4083" s="19" t="s">
        <v>3764</v>
      </c>
      <c r="B4083" s="4325" t="s">
        <v>1660</v>
      </c>
      <c r="C4083" s="3350"/>
      <c r="D4083" s="4327"/>
      <c r="E4083" s="4329" t="s">
        <v>1507</v>
      </c>
      <c r="F4083" s="4372" t="s">
        <v>1689</v>
      </c>
      <c r="G4083" s="4331" t="s">
        <v>1568</v>
      </c>
      <c r="H4083" s="4331" t="s">
        <v>1574</v>
      </c>
      <c r="I4083" s="1572" t="s">
        <v>1559</v>
      </c>
      <c r="J4083" s="1294" t="s">
        <v>1560</v>
      </c>
      <c r="K4083" s="1294" t="s">
        <v>1561</v>
      </c>
      <c r="L4083" s="4333" t="s">
        <v>3765</v>
      </c>
      <c r="M4083" s="4323" t="s">
        <v>1571</v>
      </c>
      <c r="N4083" s="4323" t="s">
        <v>1776</v>
      </c>
      <c r="O4083" s="3347" t="s">
        <v>1563</v>
      </c>
      <c r="P4083" s="1336" t="s">
        <v>1562</v>
      </c>
      <c r="Q4083" s="3389"/>
      <c r="R4083" s="1699" t="s">
        <v>1327</v>
      </c>
      <c r="S4083" s="105"/>
      <c r="T4083" s="16"/>
      <c r="U4083" s="16"/>
      <c r="V4083" s="16"/>
    </row>
    <row r="4084" spans="1:22">
      <c r="A4084" s="1660" t="s">
        <v>1972</v>
      </c>
      <c r="B4084" s="4326"/>
      <c r="C4084" s="3351"/>
      <c r="D4084" s="4328"/>
      <c r="E4084" s="4330"/>
      <c r="F4084" s="4363"/>
      <c r="G4084" s="4332"/>
      <c r="H4084" s="4332"/>
      <c r="I4084" s="1345">
        <v>16.750800000000002</v>
      </c>
      <c r="J4084" s="1307">
        <v>8.9999999999999993E-3</v>
      </c>
      <c r="K4084" s="1307">
        <f>I4084*J4084</f>
        <v>0.15075720000000001</v>
      </c>
      <c r="L4084" s="4334"/>
      <c r="M4084" s="4324"/>
      <c r="N4084" s="4324"/>
      <c r="O4084" s="1298">
        <f>SUM(O4086:O4098)</f>
        <v>19.719749999999998</v>
      </c>
      <c r="P4084" s="1337">
        <f>O4084*K4084</f>
        <v>2.9728942946999997</v>
      </c>
      <c r="Q4084" s="3390"/>
      <c r="R4084" s="1721">
        <f>SUM(P4086:P4099)</f>
        <v>2.9728942947000006</v>
      </c>
      <c r="S4084" s="16"/>
      <c r="T4084" s="16"/>
      <c r="U4084" s="16"/>
      <c r="V4084" s="16"/>
    </row>
    <row r="4085" spans="1:22">
      <c r="A4085" s="16"/>
      <c r="B4085" s="1327"/>
      <c r="C4085" s="1327"/>
      <c r="D4085" s="1400"/>
      <c r="E4085" s="2121"/>
      <c r="F4085" s="1368" t="s">
        <v>1</v>
      </c>
      <c r="G4085" s="1417"/>
      <c r="H4085" s="1390"/>
      <c r="I4085" s="1554"/>
      <c r="J4085" s="1367"/>
      <c r="K4085" s="1367"/>
      <c r="L4085" s="1554"/>
      <c r="M4085" s="1369"/>
      <c r="N4085" s="1369"/>
      <c r="O4085" s="1369"/>
      <c r="P4085" s="1367"/>
      <c r="Q4085" s="3387"/>
      <c r="R4085" s="2337"/>
      <c r="S4085" s="16"/>
      <c r="T4085" s="16"/>
      <c r="U4085" s="16"/>
      <c r="V4085" s="16"/>
    </row>
    <row r="4086" spans="1:22">
      <c r="A4086" s="16"/>
      <c r="B4086" s="1320"/>
      <c r="C4086" s="1042"/>
      <c r="D4086" s="1615" t="s">
        <v>1145</v>
      </c>
      <c r="E4086" s="2126" t="s">
        <v>1577</v>
      </c>
      <c r="F4086" s="1598" t="s">
        <v>1690</v>
      </c>
      <c r="G4086" s="1372">
        <v>1E-3</v>
      </c>
      <c r="H4086" s="1372"/>
      <c r="I4086" s="198"/>
      <c r="J4086" s="6"/>
      <c r="K4086" s="1307">
        <f>G4086*$K$4084</f>
        <v>1.5075720000000002E-4</v>
      </c>
      <c r="L4086" s="1335">
        <f t="shared" ref="L4086:L4089" si="465">K4086*$K$4014</f>
        <v>0</v>
      </c>
      <c r="M4086" s="1499">
        <v>246.4</v>
      </c>
      <c r="N4086" s="1701"/>
      <c r="O4086" s="1291">
        <f>G4086*M4086</f>
        <v>0.24640000000000001</v>
      </c>
      <c r="P4086" s="1332">
        <f>M4086*K4086</f>
        <v>3.7146574080000008E-2</v>
      </c>
      <c r="Q4086" s="3391"/>
      <c r="R4086" s="2337"/>
      <c r="S4086" s="16"/>
      <c r="T4086" s="16"/>
      <c r="U4086" s="16"/>
      <c r="V4086" s="16"/>
    </row>
    <row r="4087" spans="1:22">
      <c r="A4087" s="16"/>
      <c r="B4087" s="1320"/>
      <c r="C4087" s="1042"/>
      <c r="D4087" s="1598" t="s">
        <v>1147</v>
      </c>
      <c r="E4087" s="2154" t="s">
        <v>1357</v>
      </c>
      <c r="F4087" s="1598" t="s">
        <v>1691</v>
      </c>
      <c r="G4087" s="1372">
        <v>1</v>
      </c>
      <c r="H4087" s="1372"/>
      <c r="I4087" s="197"/>
      <c r="J4087" s="198"/>
      <c r="K4087" s="1307">
        <f t="shared" ref="K4087:K4089" si="466">G4087*$K$4084</f>
        <v>0.15075720000000001</v>
      </c>
      <c r="L4087" s="1335">
        <f t="shared" si="465"/>
        <v>0</v>
      </c>
      <c r="M4087" s="1499">
        <v>0.22</v>
      </c>
      <c r="N4087" s="1701"/>
      <c r="O4087" s="1291">
        <f>G4087*M4087</f>
        <v>0.22</v>
      </c>
      <c r="P4087" s="1332">
        <f>M4087*K4087</f>
        <v>3.3166583999999999E-2</v>
      </c>
      <c r="Q4087" s="3391"/>
      <c r="R4087" s="2337"/>
      <c r="S4087" s="16"/>
      <c r="T4087" s="16"/>
      <c r="U4087" s="16"/>
      <c r="V4087" s="16"/>
    </row>
    <row r="4088" spans="1:22">
      <c r="A4088" s="16"/>
      <c r="B4088" s="1320"/>
      <c r="C4088" s="1042"/>
      <c r="D4088" s="1598" t="s">
        <v>1692</v>
      </c>
      <c r="E4088" s="2154" t="s">
        <v>1504</v>
      </c>
      <c r="F4088" s="1598" t="s">
        <v>1693</v>
      </c>
      <c r="G4088" s="1399">
        <v>47.17</v>
      </c>
      <c r="H4088" s="1399"/>
      <c r="I4088" s="27"/>
      <c r="J4088" s="10"/>
      <c r="K4088" s="1307">
        <f t="shared" si="466"/>
        <v>7.1112171240000004</v>
      </c>
      <c r="L4088" s="1335">
        <f t="shared" si="465"/>
        <v>0</v>
      </c>
      <c r="M4088" s="1499">
        <v>0.17</v>
      </c>
      <c r="N4088" s="1701"/>
      <c r="O4088" s="1291">
        <f>G4088*M4088</f>
        <v>8.0189000000000004</v>
      </c>
      <c r="P4088" s="1332">
        <f>M4088*K4088</f>
        <v>1.2089069110800001</v>
      </c>
      <c r="Q4088" s="3391"/>
      <c r="R4088" s="2337"/>
      <c r="S4088" s="16"/>
      <c r="T4088" s="16"/>
      <c r="U4088" s="16"/>
      <c r="V4088" s="16"/>
    </row>
    <row r="4089" spans="1:22">
      <c r="A4089" s="16"/>
      <c r="B4089" s="1320"/>
      <c r="C4089" s="1042"/>
      <c r="D4089" s="1598" t="s">
        <v>1097</v>
      </c>
      <c r="E4089" s="1856" t="s">
        <v>1504</v>
      </c>
      <c r="F4089" s="1598" t="s">
        <v>1632</v>
      </c>
      <c r="G4089" s="1399">
        <v>1</v>
      </c>
      <c r="H4089" s="1399"/>
      <c r="I4089" s="198"/>
      <c r="J4089" s="198"/>
      <c r="K4089" s="1307">
        <f t="shared" si="466"/>
        <v>0.15075720000000001</v>
      </c>
      <c r="L4089" s="1335">
        <f t="shared" si="465"/>
        <v>0</v>
      </c>
      <c r="M4089" s="1499">
        <v>0.55000000000000004</v>
      </c>
      <c r="N4089" s="1701"/>
      <c r="O4089" s="1291">
        <f>G4089*M4089</f>
        <v>0.55000000000000004</v>
      </c>
      <c r="P4089" s="1332">
        <f>M4089*K4089</f>
        <v>8.2916460000000011E-2</v>
      </c>
      <c r="Q4089" s="3391"/>
      <c r="S4089" s="16"/>
      <c r="T4089" s="16"/>
      <c r="U4089" s="16"/>
      <c r="V4089" s="16"/>
    </row>
    <row r="4090" spans="1:22">
      <c r="A4090" s="16"/>
      <c r="B4090" s="1320"/>
      <c r="C4090" s="1042"/>
      <c r="D4090" s="1400"/>
      <c r="E4090" s="1856"/>
      <c r="F4090" s="1397"/>
      <c r="G4090" s="1401"/>
      <c r="H4090" s="1399"/>
      <c r="I4090" s="198"/>
      <c r="J4090" s="198"/>
      <c r="K4090" s="1307"/>
      <c r="L4090" s="1335"/>
      <c r="M4090" s="1499"/>
      <c r="N4090" s="1701"/>
      <c r="O4090" s="1290"/>
      <c r="P4090" s="1332"/>
      <c r="Q4090" s="3391"/>
      <c r="S4090" s="16"/>
      <c r="T4090" s="16"/>
      <c r="U4090" s="16"/>
      <c r="V4090" s="16"/>
    </row>
    <row r="4091" spans="1:22">
      <c r="A4091" s="16"/>
      <c r="B4091" s="1320"/>
      <c r="C4091" s="1042"/>
      <c r="D4091" s="1400"/>
      <c r="E4091" s="1856"/>
      <c r="F4091" s="1397"/>
      <c r="G4091" s="1416"/>
      <c r="H4091" s="1399"/>
      <c r="I4091" s="1289"/>
      <c r="J4091" s="198"/>
      <c r="K4091" s="1307"/>
      <c r="L4091" s="1335"/>
      <c r="M4091" s="1499"/>
      <c r="N4091" s="1701"/>
      <c r="O4091" s="1290"/>
      <c r="P4091" s="1332"/>
      <c r="Q4091" s="3391"/>
      <c r="R4091" s="2337"/>
      <c r="S4091" s="16"/>
      <c r="T4091" s="16"/>
      <c r="U4091" s="16"/>
      <c r="V4091" s="16"/>
    </row>
    <row r="4092" spans="1:22">
      <c r="A4092" s="16"/>
      <c r="B4092" s="1320"/>
      <c r="C4092" s="1320"/>
      <c r="D4092" s="1410"/>
      <c r="E4092" s="1858"/>
      <c r="F4092" s="1360" t="s">
        <v>2</v>
      </c>
      <c r="G4092" s="1360"/>
      <c r="H4092" s="1362"/>
      <c r="I4092" s="1380"/>
      <c r="J4092" s="1381"/>
      <c r="K4092" s="1359"/>
      <c r="L4092" s="1458"/>
      <c r="M4092" s="1502"/>
      <c r="N4092" s="1502"/>
      <c r="O4092" s="1362"/>
      <c r="P4092" s="1359"/>
      <c r="Q4092" s="3387"/>
      <c r="R4092" s="2337"/>
      <c r="S4092" s="16"/>
      <c r="T4092" s="16"/>
      <c r="U4092" s="16"/>
      <c r="V4092" s="16"/>
    </row>
    <row r="4093" spans="1:22">
      <c r="A4093" s="16"/>
      <c r="B4093" s="1320"/>
      <c r="C4093" s="1042"/>
      <c r="D4093" s="1410" t="s">
        <v>1088</v>
      </c>
      <c r="E4093" s="1858" t="s">
        <v>1508</v>
      </c>
      <c r="F4093" s="1655" t="s">
        <v>1694</v>
      </c>
      <c r="G4093" s="1405">
        <v>0.375</v>
      </c>
      <c r="H4093" s="1405"/>
      <c r="I4093" s="1826"/>
      <c r="J4093" s="6"/>
      <c r="K4093" s="1307">
        <f t="shared" ref="K4093:K4094" si="467">G4093*$K$4084</f>
        <v>5.6533949999999999E-2</v>
      </c>
      <c r="L4093" s="1335">
        <f t="shared" ref="L4093:L4094" si="468">K4093*$K$4014</f>
        <v>0</v>
      </c>
      <c r="M4093" s="1302">
        <v>19.23</v>
      </c>
      <c r="N4093" s="1701"/>
      <c r="O4093" s="1291">
        <f>G4093*M4093</f>
        <v>7.2112499999999997</v>
      </c>
      <c r="P4093" s="1332">
        <f>M4093*K4093</f>
        <v>1.0871478585000001</v>
      </c>
      <c r="Q4093" s="3391"/>
      <c r="R4093" s="2337"/>
      <c r="S4093" s="16"/>
      <c r="T4093" s="16"/>
      <c r="U4093" s="16"/>
      <c r="V4093" s="16"/>
    </row>
    <row r="4094" spans="1:22">
      <c r="A4094" s="16"/>
      <c r="B4094" s="1320"/>
      <c r="C4094" s="1042"/>
      <c r="D4094" s="1410" t="s">
        <v>1067</v>
      </c>
      <c r="E4094" s="1858" t="s">
        <v>1508</v>
      </c>
      <c r="F4094" s="1655" t="s">
        <v>1512</v>
      </c>
      <c r="G4094" s="1359">
        <v>0.19</v>
      </c>
      <c r="H4094" s="1359"/>
      <c r="I4094" s="12"/>
      <c r="J4094" s="6"/>
      <c r="K4094" s="1307">
        <f t="shared" si="467"/>
        <v>2.8643868000000003E-2</v>
      </c>
      <c r="L4094" s="1335">
        <f t="shared" si="468"/>
        <v>0</v>
      </c>
      <c r="M4094" s="1302">
        <v>18.28</v>
      </c>
      <c r="N4094" s="1499"/>
      <c r="O4094" s="1291">
        <f>G4094*M4094</f>
        <v>3.4732000000000003</v>
      </c>
      <c r="P4094" s="1332">
        <f>M4094*K4094</f>
        <v>0.5236099070400001</v>
      </c>
      <c r="Q4094" s="3391"/>
      <c r="R4094" s="2337"/>
      <c r="S4094" s="16"/>
      <c r="T4094" s="16"/>
      <c r="U4094" s="16"/>
      <c r="V4094" s="16"/>
    </row>
    <row r="4095" spans="1:22">
      <c r="A4095" s="16"/>
      <c r="B4095" s="1320"/>
      <c r="C4095" s="1042"/>
      <c r="D4095" s="1402"/>
      <c r="E4095" s="1857"/>
      <c r="F4095" s="1403"/>
      <c r="G4095" s="1362"/>
      <c r="H4095" s="1359"/>
      <c r="I4095" s="198"/>
      <c r="J4095" s="6"/>
      <c r="K4095" s="1307"/>
      <c r="L4095" s="1335"/>
      <c r="M4095" s="1499"/>
      <c r="N4095" s="1701"/>
      <c r="O4095" s="1290"/>
      <c r="P4095" s="1332"/>
      <c r="Q4095" s="3391"/>
      <c r="R4095" s="2337"/>
      <c r="S4095" s="16"/>
      <c r="T4095" s="16"/>
      <c r="U4095" s="16"/>
      <c r="V4095" s="16"/>
    </row>
    <row r="4096" spans="1:22">
      <c r="A4096" s="16"/>
      <c r="B4096" s="1320"/>
      <c r="C4096" s="1042"/>
      <c r="D4096" s="1411"/>
      <c r="E4096" s="2123"/>
      <c r="F4096" s="1374" t="s">
        <v>3</v>
      </c>
      <c r="G4096" s="1374"/>
      <c r="H4096" s="1376"/>
      <c r="I4096" s="1382"/>
      <c r="J4096" s="1383"/>
      <c r="K4096" s="1373"/>
      <c r="L4096" s="1413"/>
      <c r="M4096" s="1505"/>
      <c r="N4096" s="1505"/>
      <c r="O4096" s="1376"/>
      <c r="P4096" s="1413"/>
      <c r="Q4096" s="3387"/>
      <c r="R4096" s="2337"/>
      <c r="S4096" s="16"/>
      <c r="T4096" s="16"/>
      <c r="U4096" s="16"/>
      <c r="V4096" s="16"/>
    </row>
    <row r="4097" spans="1:22">
      <c r="A4097" s="16"/>
      <c r="B4097" s="1320"/>
      <c r="C4097" s="1042"/>
      <c r="D4097" s="1440"/>
      <c r="E4097" s="2132"/>
      <c r="F4097" s="1441"/>
      <c r="G4097" s="1441"/>
      <c r="H4097" s="1442"/>
      <c r="I4097" s="197"/>
      <c r="J4097" s="198"/>
      <c r="K4097" s="1307"/>
      <c r="L4097" s="1335"/>
      <c r="M4097" s="1499"/>
      <c r="N4097" s="1701"/>
      <c r="O4097" s="1290"/>
      <c r="P4097" s="1332"/>
      <c r="Q4097" s="3391"/>
      <c r="R4097" s="2337"/>
      <c r="S4097" s="16"/>
      <c r="T4097" s="16"/>
      <c r="U4097" s="16"/>
      <c r="V4097" s="16"/>
    </row>
    <row r="4098" spans="1:22">
      <c r="A4098" s="16"/>
      <c r="B4098" s="1320"/>
      <c r="C4098" s="1042"/>
      <c r="D4098" s="1440"/>
      <c r="E4098" s="2132"/>
      <c r="F4098" s="1441"/>
      <c r="G4098" s="1441"/>
      <c r="H4098" s="1442"/>
      <c r="I4098" s="197"/>
      <c r="J4098" s="198"/>
      <c r="K4098" s="1307"/>
      <c r="L4098" s="1335"/>
      <c r="M4098" s="1499"/>
      <c r="N4098" s="1701"/>
      <c r="O4098" s="1290"/>
      <c r="P4098" s="1332"/>
      <c r="Q4098" s="3391"/>
      <c r="R4098" s="2337"/>
      <c r="S4098" s="16"/>
      <c r="T4098" s="16"/>
      <c r="U4098" s="16"/>
      <c r="V4098" s="16"/>
    </row>
    <row r="4099" spans="1:22">
      <c r="A4099" s="16"/>
      <c r="B4099" s="225"/>
      <c r="C4099" s="223"/>
      <c r="D4099" s="1440"/>
      <c r="E4099" s="2132"/>
      <c r="F4099" s="1441"/>
      <c r="G4099" s="1441"/>
      <c r="H4099" s="1442"/>
      <c r="I4099" s="197"/>
      <c r="J4099" s="198"/>
      <c r="K4099" s="1307"/>
      <c r="L4099" s="1335"/>
      <c r="M4099" s="1499"/>
      <c r="N4099" s="1701"/>
      <c r="O4099" s="1290"/>
      <c r="P4099" s="1332"/>
      <c r="Q4099" s="3391"/>
      <c r="R4099" s="2337"/>
      <c r="S4099" s="16"/>
      <c r="T4099" s="16"/>
      <c r="U4099" s="16"/>
      <c r="V4099" s="16"/>
    </row>
    <row r="4100" spans="1:22">
      <c r="A4100" s="19" t="s">
        <v>3764</v>
      </c>
      <c r="B4100" s="4325" t="s">
        <v>1738</v>
      </c>
      <c r="C4100" s="3350"/>
      <c r="D4100" s="4327"/>
      <c r="E4100" s="4329" t="s">
        <v>1507</v>
      </c>
      <c r="F4100" s="4336" t="s">
        <v>1714</v>
      </c>
      <c r="G4100" s="4331" t="s">
        <v>1568</v>
      </c>
      <c r="H4100" s="4331" t="s">
        <v>1574</v>
      </c>
      <c r="I4100" s="1572" t="s">
        <v>1559</v>
      </c>
      <c r="J4100" s="1294" t="s">
        <v>1560</v>
      </c>
      <c r="K4100" s="1294" t="s">
        <v>1561</v>
      </c>
      <c r="L4100" s="4333" t="s">
        <v>3765</v>
      </c>
      <c r="M4100" s="4335" t="s">
        <v>1571</v>
      </c>
      <c r="N4100" s="4323" t="s">
        <v>1776</v>
      </c>
      <c r="O4100" s="3347" t="s">
        <v>1563</v>
      </c>
      <c r="P4100" s="1336" t="s">
        <v>1562</v>
      </c>
      <c r="Q4100" s="3389"/>
      <c r="R4100" s="1839" t="s">
        <v>1327</v>
      </c>
      <c r="S4100" s="16"/>
      <c r="T4100" s="16"/>
      <c r="U4100" s="16"/>
      <c r="V4100" s="16"/>
    </row>
    <row r="4101" spans="1:22">
      <c r="A4101" s="1660" t="s">
        <v>1972</v>
      </c>
      <c r="B4101" s="4326"/>
      <c r="C4101" s="3351"/>
      <c r="D4101" s="4328"/>
      <c r="E4101" s="4389"/>
      <c r="F4101" s="4336"/>
      <c r="G4101" s="4332"/>
      <c r="H4101" s="4332"/>
      <c r="I4101" s="1345">
        <v>90.700236000000004</v>
      </c>
      <c r="J4101" s="1307">
        <v>8.9999999999999993E-3</v>
      </c>
      <c r="K4101" s="1307">
        <f>I4101*J4101</f>
        <v>0.81630212400000002</v>
      </c>
      <c r="L4101" s="4334"/>
      <c r="M4101" s="4335"/>
      <c r="N4101" s="4324"/>
      <c r="O4101" s="1298">
        <f>O4103+O4107+O4113</f>
        <v>7.8734280000000005</v>
      </c>
      <c r="P4101" s="1337">
        <f>O4101*K4101</f>
        <v>6.4270959995610726</v>
      </c>
      <c r="Q4101" s="3390"/>
      <c r="R4101" s="1840">
        <f>P4103+P4107+P4113</f>
        <v>6.4270959995610717</v>
      </c>
      <c r="S4101" s="16"/>
      <c r="T4101" s="16"/>
      <c r="U4101" s="16"/>
      <c r="V4101" s="16"/>
    </row>
    <row r="4102" spans="1:22">
      <c r="A4102" s="16"/>
      <c r="B4102" s="1327"/>
      <c r="C4102" s="1327"/>
      <c r="D4102" s="1400"/>
      <c r="E4102" s="2121"/>
      <c r="F4102" s="1368" t="s">
        <v>1</v>
      </c>
      <c r="G4102" s="1417"/>
      <c r="H4102" s="1390"/>
      <c r="I4102" s="1554"/>
      <c r="J4102" s="1367"/>
      <c r="K4102" s="1367"/>
      <c r="L4102" s="1554"/>
      <c r="M4102" s="1369"/>
      <c r="N4102" s="1369"/>
      <c r="O4102" s="1369"/>
      <c r="P4102" s="1367"/>
      <c r="Q4102" s="3387"/>
      <c r="R4102" s="2337"/>
      <c r="S4102" s="16"/>
      <c r="T4102" s="16"/>
      <c r="U4102" s="16"/>
      <c r="V4102" s="16"/>
    </row>
    <row r="4103" spans="1:22">
      <c r="A4103" s="16"/>
      <c r="B4103" s="1320"/>
      <c r="C4103" s="1356" t="s">
        <v>1128</v>
      </c>
      <c r="D4103" s="1311"/>
      <c r="E4103" s="2169" t="s">
        <v>1517</v>
      </c>
      <c r="F4103" s="1749" t="s">
        <v>1695</v>
      </c>
      <c r="G4103" s="1758"/>
      <c r="H4103" s="1331">
        <v>1.4999999999999999E-2</v>
      </c>
      <c r="I4103" s="1388"/>
      <c r="J4103" s="1366"/>
      <c r="K4103" s="1510"/>
      <c r="L4103" s="1445"/>
      <c r="M4103" s="1447"/>
      <c r="N4103" s="1447">
        <f>SUM(N4104:N4106)</f>
        <v>104.27969999999999</v>
      </c>
      <c r="O4103" s="1447">
        <f>SUM(O4104:O4106)</f>
        <v>1.5641954999999998</v>
      </c>
      <c r="P4103" s="1446">
        <f>SUM(P4104:P4106)</f>
        <v>1.276856109001242</v>
      </c>
      <c r="Q4103" s="3391"/>
      <c r="R4103" s="2337"/>
      <c r="S4103" s="16"/>
      <c r="T4103" s="16"/>
      <c r="U4103" s="16"/>
      <c r="V4103" s="16"/>
    </row>
    <row r="4104" spans="1:22">
      <c r="A4104" s="16"/>
      <c r="B4104" s="1320"/>
      <c r="C4104" s="1042"/>
      <c r="D4104" s="1752" t="s">
        <v>1779</v>
      </c>
      <c r="E4104" s="1852" t="s">
        <v>1577</v>
      </c>
      <c r="F4104" s="1752" t="s">
        <v>1780</v>
      </c>
      <c r="G4104" s="1753">
        <v>0.876</v>
      </c>
      <c r="H4104" s="1453">
        <f>G4104*$H$4103</f>
        <v>1.3139999999999999E-2</v>
      </c>
      <c r="I4104" s="197"/>
      <c r="J4104" s="198"/>
      <c r="K4104" s="1307">
        <f>H4104*$K$4101</f>
        <v>1.0726209909359999E-2</v>
      </c>
      <c r="L4104" s="1335">
        <f t="shared" ref="L4104:L4106" si="469">K4104*$K$4014</f>
        <v>0</v>
      </c>
      <c r="M4104" s="1499">
        <v>56.05</v>
      </c>
      <c r="N4104" s="1718">
        <f>G4104*M4104</f>
        <v>49.099799999999995</v>
      </c>
      <c r="O4104" s="1719">
        <f>H4104*M4104</f>
        <v>0.73649699999999985</v>
      </c>
      <c r="P4104" s="1720">
        <f>M4104*K4104</f>
        <v>0.6012040654196279</v>
      </c>
      <c r="Q4104" s="3396"/>
      <c r="R4104" s="2337"/>
      <c r="S4104" s="16"/>
      <c r="T4104" s="16"/>
      <c r="U4104" s="16"/>
      <c r="V4104" s="16"/>
    </row>
    <row r="4105" spans="1:22">
      <c r="A4105" s="16"/>
      <c r="B4105" s="1320"/>
      <c r="C4105" s="1042"/>
      <c r="D4105" s="1752" t="s">
        <v>1069</v>
      </c>
      <c r="E4105" s="1852" t="s">
        <v>1517</v>
      </c>
      <c r="F4105" s="1752" t="s">
        <v>1578</v>
      </c>
      <c r="G4105" s="1753">
        <v>0.61799999999999999</v>
      </c>
      <c r="H4105" s="1453">
        <f t="shared" ref="H4105:H4106" si="470">G4105*$H$4103</f>
        <v>9.2699999999999987E-3</v>
      </c>
      <c r="I4105" s="27"/>
      <c r="J4105" s="10"/>
      <c r="K4105" s="1307">
        <f t="shared" ref="K4105:K4109" si="471">H4105*$K$4101</f>
        <v>7.5671206894799992E-3</v>
      </c>
      <c r="L4105" s="1335">
        <f t="shared" si="469"/>
        <v>0</v>
      </c>
      <c r="M4105" s="1499">
        <v>0.55000000000000004</v>
      </c>
      <c r="N4105" s="1718">
        <f>G4105*M4105</f>
        <v>0.33990000000000004</v>
      </c>
      <c r="O4105" s="1719">
        <f>H4105*M4105</f>
        <v>5.0984999999999997E-3</v>
      </c>
      <c r="P4105" s="1720">
        <f>M4105*K4105</f>
        <v>4.1619163792139995E-3</v>
      </c>
      <c r="Q4105" s="3396"/>
      <c r="R4105" s="2337"/>
      <c r="S4105" s="16"/>
      <c r="T4105" s="16"/>
      <c r="U4105" s="16"/>
      <c r="V4105" s="16"/>
    </row>
    <row r="4106" spans="1:22">
      <c r="A4106" s="16"/>
      <c r="B4106" s="1320"/>
      <c r="C4106" s="1042"/>
      <c r="D4106" s="1754" t="s">
        <v>1067</v>
      </c>
      <c r="E4106" s="1853" t="s">
        <v>1508</v>
      </c>
      <c r="F4106" s="1754" t="s">
        <v>1512</v>
      </c>
      <c r="G4106" s="1755">
        <v>3</v>
      </c>
      <c r="H4106" s="1454">
        <f t="shared" si="470"/>
        <v>4.4999999999999998E-2</v>
      </c>
      <c r="I4106" s="198"/>
      <c r="J4106" s="198"/>
      <c r="K4106" s="1307">
        <f t="shared" si="471"/>
        <v>3.673359558E-2</v>
      </c>
      <c r="L4106" s="1335">
        <f t="shared" si="469"/>
        <v>0</v>
      </c>
      <c r="M4106" s="1499">
        <v>18.28</v>
      </c>
      <c r="N4106" s="1718">
        <f>G4106*M4106</f>
        <v>54.84</v>
      </c>
      <c r="O4106" s="1719">
        <f>H4106*M4106</f>
        <v>0.8226</v>
      </c>
      <c r="P4106" s="1720">
        <f>M4106*K4106</f>
        <v>0.67149012720240009</v>
      </c>
      <c r="Q4106" s="3396"/>
      <c r="S4106" s="16"/>
      <c r="T4106" s="16"/>
      <c r="U4106" s="16"/>
      <c r="V4106" s="16"/>
    </row>
    <row r="4107" spans="1:22">
      <c r="A4107" s="16"/>
      <c r="B4107" s="1320"/>
      <c r="C4107" s="1356" t="s">
        <v>1152</v>
      </c>
      <c r="D4107" s="1311"/>
      <c r="E4107" s="1854" t="s">
        <v>1517</v>
      </c>
      <c r="F4107" s="1749" t="s">
        <v>1696</v>
      </c>
      <c r="G4107" s="1688"/>
      <c r="H4107" s="1366">
        <v>5.0000000000000001E-3</v>
      </c>
      <c r="I4107" s="1388"/>
      <c r="J4107" s="1388"/>
      <c r="K4107" s="1510"/>
      <c r="L4107" s="1445"/>
      <c r="M4107" s="1447"/>
      <c r="N4107" s="1447">
        <f>SUM(N4108:N4110)</f>
        <v>108.04650000000001</v>
      </c>
      <c r="O4107" s="1447">
        <f>SUM(O4108:O4110)</f>
        <v>0.54023250000000012</v>
      </c>
      <c r="P4107" s="1446">
        <f>SUM(P4108:P4110)</f>
        <v>0.44099293720383004</v>
      </c>
      <c r="Q4107" s="3391"/>
      <c r="S4107" s="16"/>
      <c r="T4107" s="16"/>
      <c r="U4107" s="16"/>
      <c r="V4107" s="16"/>
    </row>
    <row r="4108" spans="1:22">
      <c r="A4108" s="16"/>
      <c r="B4108" s="1320"/>
      <c r="C4108" s="18"/>
      <c r="D4108" s="1756" t="s">
        <v>1781</v>
      </c>
      <c r="E4108" s="1852" t="s">
        <v>1577</v>
      </c>
      <c r="F4108" s="1752" t="s">
        <v>1782</v>
      </c>
      <c r="G4108" s="1753">
        <v>0.876</v>
      </c>
      <c r="H4108" s="1453">
        <f>G4108*$H$4107</f>
        <v>4.3800000000000002E-3</v>
      </c>
      <c r="I4108" s="198"/>
      <c r="J4108" s="198"/>
      <c r="K4108" s="1307">
        <f t="shared" si="471"/>
        <v>3.5754033031200005E-3</v>
      </c>
      <c r="L4108" s="1335">
        <f t="shared" ref="L4108:L4110" si="472">K4108*$K$4014</f>
        <v>0</v>
      </c>
      <c r="M4108" s="1499">
        <v>60.35</v>
      </c>
      <c r="N4108" s="1718">
        <f>G4108*M4108</f>
        <v>52.866599999999998</v>
      </c>
      <c r="O4108" s="1719">
        <f>H4108*M4108</f>
        <v>0.26433300000000004</v>
      </c>
      <c r="P4108" s="1720">
        <f>M4108*K4108</f>
        <v>0.21577558934329202</v>
      </c>
      <c r="Q4108" s="3396"/>
      <c r="R4108" s="2337"/>
      <c r="S4108" s="16"/>
      <c r="T4108" s="16"/>
      <c r="U4108" s="16"/>
      <c r="V4108" s="16"/>
    </row>
    <row r="4109" spans="1:22">
      <c r="A4109" s="16"/>
      <c r="B4109" s="1320"/>
      <c r="C4109" s="1042"/>
      <c r="D4109" s="1756" t="s">
        <v>1069</v>
      </c>
      <c r="E4109" s="1852" t="s">
        <v>1517</v>
      </c>
      <c r="F4109" s="1752" t="s">
        <v>1578</v>
      </c>
      <c r="G4109" s="1753">
        <v>0.61799999999999999</v>
      </c>
      <c r="H4109" s="1453">
        <f t="shared" ref="H4109:H4110" si="473">G4109*$H$4107</f>
        <v>3.0899999999999999E-3</v>
      </c>
      <c r="I4109" s="197"/>
      <c r="J4109" s="198"/>
      <c r="K4109" s="1307">
        <f t="shared" si="471"/>
        <v>2.52237356316E-3</v>
      </c>
      <c r="L4109" s="1335">
        <f t="shared" si="472"/>
        <v>0</v>
      </c>
      <c r="M4109" s="1499">
        <v>0.55000000000000004</v>
      </c>
      <c r="N4109" s="1718">
        <f>G4109*M4109</f>
        <v>0.33990000000000004</v>
      </c>
      <c r="O4109" s="1719">
        <f>H4109*M4109</f>
        <v>1.6995000000000001E-3</v>
      </c>
      <c r="P4109" s="1720">
        <f>M4109*K4109</f>
        <v>1.3873054597380002E-3</v>
      </c>
      <c r="Q4109" s="3396"/>
      <c r="R4109" s="2337"/>
      <c r="S4109" s="16"/>
      <c r="T4109" s="16"/>
      <c r="U4109" s="16"/>
      <c r="V4109" s="16"/>
    </row>
    <row r="4110" spans="1:22">
      <c r="A4110" s="16"/>
      <c r="B4110" s="1320"/>
      <c r="C4110" s="1042"/>
      <c r="D4110" s="1757" t="s">
        <v>1067</v>
      </c>
      <c r="E4110" s="1853" t="s">
        <v>1508</v>
      </c>
      <c r="F4110" s="1754" t="s">
        <v>1512</v>
      </c>
      <c r="G4110" s="1755">
        <v>3</v>
      </c>
      <c r="H4110" s="1454">
        <f t="shared" si="473"/>
        <v>1.4999999999999999E-2</v>
      </c>
      <c r="I4110" s="1289"/>
      <c r="J4110" s="198"/>
      <c r="K4110" s="1307">
        <f>H4110*$K$4101</f>
        <v>1.224453186E-2</v>
      </c>
      <c r="L4110" s="1335">
        <f t="shared" si="472"/>
        <v>0</v>
      </c>
      <c r="M4110" s="1499">
        <v>18.28</v>
      </c>
      <c r="N4110" s="1718">
        <f>G4110*M4110</f>
        <v>54.84</v>
      </c>
      <c r="O4110" s="1719">
        <f>H4110*M4110</f>
        <v>0.2742</v>
      </c>
      <c r="P4110" s="1720">
        <f>M4110*K4110</f>
        <v>0.22383004240080001</v>
      </c>
      <c r="Q4110" s="3396"/>
      <c r="R4110" s="2337"/>
      <c r="S4110" s="16"/>
      <c r="T4110" s="16"/>
      <c r="U4110" s="16"/>
      <c r="V4110" s="16"/>
    </row>
    <row r="4111" spans="1:22">
      <c r="A4111" s="16"/>
      <c r="B4111" s="1320"/>
      <c r="C4111" s="1042"/>
      <c r="D4111" s="1404"/>
      <c r="E4111" s="1857"/>
      <c r="F4111" s="1406"/>
      <c r="G4111" s="1407"/>
      <c r="H4111" s="1408"/>
      <c r="I4111" s="1289"/>
      <c r="J4111" s="198"/>
      <c r="K4111" s="1307"/>
      <c r="L4111" s="1335"/>
      <c r="M4111" s="1499"/>
      <c r="N4111" s="1701"/>
      <c r="O4111" s="1290"/>
      <c r="P4111" s="1332"/>
      <c r="Q4111" s="3391"/>
      <c r="R4111" s="2337"/>
      <c r="S4111" s="16"/>
      <c r="T4111" s="16"/>
      <c r="U4111" s="16"/>
      <c r="V4111" s="16"/>
    </row>
    <row r="4112" spans="1:22">
      <c r="A4112" s="16"/>
      <c r="B4112" s="1320"/>
      <c r="C4112" s="1320"/>
      <c r="D4112" s="1410"/>
      <c r="E4112" s="1858"/>
      <c r="F4112" s="1360" t="s">
        <v>2</v>
      </c>
      <c r="G4112" s="1360"/>
      <c r="H4112" s="1362"/>
      <c r="I4112" s="1380"/>
      <c r="J4112" s="1381"/>
      <c r="K4112" s="1359"/>
      <c r="L4112" s="1458"/>
      <c r="M4112" s="1502"/>
      <c r="N4112" s="1502"/>
      <c r="O4112" s="1362"/>
      <c r="P4112" s="1359"/>
      <c r="Q4112" s="3387"/>
      <c r="R4112" s="2337"/>
      <c r="S4112" s="16"/>
      <c r="T4112" s="16"/>
      <c r="U4112" s="16"/>
      <c r="V4112" s="16"/>
    </row>
    <row r="4113" spans="1:23">
      <c r="A4113" s="16"/>
      <c r="B4113" s="1320"/>
      <c r="C4113" s="1042"/>
      <c r="D4113" s="1437" t="s">
        <v>1153</v>
      </c>
      <c r="E4113" s="2134" t="s">
        <v>1508</v>
      </c>
      <c r="F4113" s="1438" t="s">
        <v>1783</v>
      </c>
      <c r="G4113" s="1439">
        <v>0.3</v>
      </c>
      <c r="H4113" s="1439"/>
      <c r="I4113" s="197"/>
      <c r="J4113" s="198"/>
      <c r="K4113" s="1307">
        <f>G4113*$K$4101</f>
        <v>0.24489063719999998</v>
      </c>
      <c r="L4113" s="1335">
        <f>K4113*$K$4014</f>
        <v>0</v>
      </c>
      <c r="M4113" s="1499">
        <v>19.23</v>
      </c>
      <c r="N4113" s="1701"/>
      <c r="O4113" s="1290">
        <f>(G4113*M4113)</f>
        <v>5.7690000000000001</v>
      </c>
      <c r="P4113" s="1332">
        <f>M4113*K4113</f>
        <v>4.7092469533559997</v>
      </c>
      <c r="Q4113" s="3391"/>
      <c r="R4113" s="2337"/>
      <c r="S4113" s="16"/>
      <c r="T4113" s="16"/>
      <c r="U4113" s="16"/>
      <c r="V4113" s="16"/>
    </row>
    <row r="4114" spans="1:23">
      <c r="A4114" s="16"/>
      <c r="B4114" s="1320"/>
      <c r="C4114" s="1042"/>
      <c r="D4114" s="1402"/>
      <c r="E4114" s="1857"/>
      <c r="F4114" s="1645"/>
      <c r="G4114" s="1362"/>
      <c r="H4114" s="1359"/>
      <c r="I4114" s="198"/>
      <c r="J4114" s="6"/>
      <c r="K4114" s="1306"/>
      <c r="L4114" s="1646"/>
      <c r="M4114" s="1499"/>
      <c r="N4114" s="1499"/>
      <c r="O4114" s="1291"/>
      <c r="P4114" s="1332"/>
      <c r="Q4114" s="3391"/>
      <c r="R4114" s="2337"/>
      <c r="S4114" s="16"/>
      <c r="T4114" s="16"/>
      <c r="U4114" s="16"/>
      <c r="V4114" s="16"/>
    </row>
    <row r="4115" spans="1:23">
      <c r="A4115" s="16"/>
      <c r="B4115" s="1320"/>
      <c r="C4115" s="1042"/>
      <c r="D4115" s="1402"/>
      <c r="E4115" s="1857"/>
      <c r="F4115" s="1403"/>
      <c r="G4115" s="1362"/>
      <c r="H4115" s="1359"/>
      <c r="I4115" s="198"/>
      <c r="J4115" s="6"/>
      <c r="K4115" s="1307"/>
      <c r="L4115" s="1335"/>
      <c r="M4115" s="1499"/>
      <c r="N4115" s="1701"/>
      <c r="O4115" s="1290"/>
      <c r="P4115" s="1332"/>
      <c r="Q4115" s="3391"/>
      <c r="R4115" s="2337"/>
      <c r="S4115" s="16"/>
      <c r="T4115" s="16"/>
      <c r="U4115" s="16"/>
      <c r="V4115" s="16"/>
    </row>
    <row r="4116" spans="1:23">
      <c r="A4116" s="16"/>
      <c r="B4116" s="1320"/>
      <c r="C4116" s="1042"/>
      <c r="D4116" s="1411"/>
      <c r="E4116" s="2123"/>
      <c r="F4116" s="1374" t="s">
        <v>3</v>
      </c>
      <c r="G4116" s="1374"/>
      <c r="H4116" s="1376"/>
      <c r="I4116" s="1382"/>
      <c r="J4116" s="1383"/>
      <c r="K4116" s="1373"/>
      <c r="L4116" s="1413"/>
      <c r="M4116" s="1505"/>
      <c r="N4116" s="1505"/>
      <c r="O4116" s="1376"/>
      <c r="P4116" s="1413"/>
      <c r="Q4116" s="3387"/>
      <c r="R4116" s="2337"/>
      <c r="S4116" s="16"/>
      <c r="T4116" s="16"/>
      <c r="U4116" s="16"/>
      <c r="V4116" s="16"/>
    </row>
    <row r="4117" spans="1:23">
      <c r="A4117" s="16"/>
      <c r="B4117" s="1320"/>
      <c r="C4117" s="1042"/>
      <c r="D4117" s="1412"/>
      <c r="E4117" s="2124"/>
      <c r="F4117" s="1378"/>
      <c r="G4117" s="1378"/>
      <c r="H4117" s="1379"/>
      <c r="I4117" s="198"/>
      <c r="J4117" s="6"/>
      <c r="K4117" s="1307"/>
      <c r="L4117" s="1335"/>
      <c r="M4117" s="1499"/>
      <c r="N4117" s="1701"/>
      <c r="O4117" s="1290"/>
      <c r="P4117" s="1332"/>
      <c r="Q4117" s="3391"/>
      <c r="R4117" s="2337"/>
      <c r="S4117" s="16"/>
      <c r="T4117" s="16"/>
      <c r="U4117" s="16"/>
      <c r="V4117" s="16"/>
    </row>
    <row r="4118" spans="1:23">
      <c r="A4118" s="16"/>
      <c r="B4118" s="1320"/>
      <c r="C4118" s="1042"/>
      <c r="D4118" s="1440"/>
      <c r="E4118" s="2132"/>
      <c r="F4118" s="1441"/>
      <c r="G4118" s="1441"/>
      <c r="H4118" s="1442"/>
      <c r="I4118" s="197"/>
      <c r="J4118" s="198"/>
      <c r="K4118" s="1307"/>
      <c r="L4118" s="1335"/>
      <c r="M4118" s="1499"/>
      <c r="N4118" s="1701"/>
      <c r="O4118" s="1290"/>
      <c r="P4118" s="1332"/>
      <c r="Q4118" s="3391"/>
      <c r="R4118" s="2337"/>
      <c r="S4118" s="16"/>
      <c r="T4118" s="16"/>
      <c r="U4118" s="16"/>
      <c r="V4118" s="16"/>
    </row>
    <row r="4119" spans="1:23">
      <c r="A4119" s="16"/>
      <c r="B4119" s="225"/>
      <c r="C4119" s="223"/>
      <c r="D4119" s="1440"/>
      <c r="E4119" s="2132"/>
      <c r="F4119" s="1441"/>
      <c r="G4119" s="1441"/>
      <c r="H4119" s="1442"/>
      <c r="I4119" s="197"/>
      <c r="J4119" s="198"/>
      <c r="K4119" s="1307"/>
      <c r="L4119" s="1335"/>
      <c r="M4119" s="1499"/>
      <c r="N4119" s="1701"/>
      <c r="O4119" s="1290"/>
      <c r="P4119" s="1332"/>
      <c r="Q4119" s="3391"/>
      <c r="R4119" s="2337"/>
      <c r="S4119" s="16"/>
      <c r="T4119" s="16"/>
      <c r="U4119" s="16"/>
      <c r="V4119" s="16"/>
    </row>
    <row r="4120" spans="1:23">
      <c r="A4120" s="19" t="s">
        <v>3764</v>
      </c>
      <c r="B4120" s="4325" t="s">
        <v>1661</v>
      </c>
      <c r="C4120" s="3350"/>
      <c r="D4120" s="4327"/>
      <c r="E4120" s="4329" t="s">
        <v>1507</v>
      </c>
      <c r="F4120" s="4336" t="s">
        <v>1706</v>
      </c>
      <c r="G4120" s="4331" t="s">
        <v>1568</v>
      </c>
      <c r="H4120" s="4331" t="s">
        <v>1574</v>
      </c>
      <c r="I4120" s="1572" t="s">
        <v>1559</v>
      </c>
      <c r="J4120" s="1294" t="s">
        <v>1560</v>
      </c>
      <c r="K4120" s="1294" t="s">
        <v>1561</v>
      </c>
      <c r="L4120" s="4333" t="s">
        <v>3765</v>
      </c>
      <c r="M4120" s="4335" t="s">
        <v>1571</v>
      </c>
      <c r="N4120" s="4323" t="s">
        <v>1776</v>
      </c>
      <c r="O4120" s="3347" t="s">
        <v>1563</v>
      </c>
      <c r="P4120" s="1336" t="s">
        <v>1562</v>
      </c>
      <c r="Q4120" s="3389"/>
      <c r="R4120" s="1699" t="s">
        <v>1327</v>
      </c>
      <c r="S4120" s="16"/>
      <c r="T4120" s="16"/>
      <c r="U4120" s="16"/>
      <c r="V4120" s="16"/>
    </row>
    <row r="4121" spans="1:23">
      <c r="A4121" s="1660" t="s">
        <v>1972</v>
      </c>
      <c r="B4121" s="4326"/>
      <c r="C4121" s="3351"/>
      <c r="D4121" s="4328"/>
      <c r="E4121" s="4389"/>
      <c r="F4121" s="4336"/>
      <c r="G4121" s="4332"/>
      <c r="H4121" s="4332"/>
      <c r="I4121" s="1345">
        <v>274.8492</v>
      </c>
      <c r="J4121" s="1307">
        <v>8.9999999999999993E-3</v>
      </c>
      <c r="K4121" s="1307">
        <f>I4121*J4121</f>
        <v>2.4736427999999999</v>
      </c>
      <c r="L4121" s="4334"/>
      <c r="M4121" s="4335"/>
      <c r="N4121" s="4324"/>
      <c r="O4121" s="1298">
        <f>SUM(O4123:O4135)</f>
        <v>8.9870400000000004</v>
      </c>
      <c r="P4121" s="1337">
        <f>O4121*K4121</f>
        <v>22.230726789312001</v>
      </c>
      <c r="Q4121" s="3390"/>
      <c r="R4121" s="1721">
        <f>SUM(P4123:P4136)</f>
        <v>22.230726789312001</v>
      </c>
      <c r="S4121" s="16"/>
      <c r="T4121" s="16"/>
      <c r="U4121" s="16"/>
      <c r="V4121" s="16"/>
    </row>
    <row r="4122" spans="1:23">
      <c r="A4122" s="16"/>
      <c r="B4122" s="1327"/>
      <c r="C4122" s="1327"/>
      <c r="D4122" s="1400"/>
      <c r="E4122" s="2121"/>
      <c r="F4122" s="1368" t="s">
        <v>1</v>
      </c>
      <c r="G4122" s="1417"/>
      <c r="H4122" s="1390"/>
      <c r="I4122" s="1554"/>
      <c r="J4122" s="1367"/>
      <c r="K4122" s="1367"/>
      <c r="L4122" s="1554"/>
      <c r="M4122" s="1369"/>
      <c r="N4122" s="1369"/>
      <c r="O4122" s="1369"/>
      <c r="P4122" s="1367"/>
      <c r="Q4122" s="3387"/>
      <c r="R4122" s="2337"/>
      <c r="S4122" s="16"/>
      <c r="T4122" s="16"/>
      <c r="U4122" s="16"/>
      <c r="V4122" s="16"/>
    </row>
    <row r="4123" spans="1:23">
      <c r="A4123" s="16"/>
      <c r="B4123" s="1320"/>
      <c r="C4123" s="1042"/>
      <c r="D4123" s="1761" t="s">
        <v>1698</v>
      </c>
      <c r="E4123" s="2170" t="s">
        <v>1357</v>
      </c>
      <c r="F4123" s="1761" t="s">
        <v>1699</v>
      </c>
      <c r="G4123" s="1762">
        <v>0.45</v>
      </c>
      <c r="H4123" s="1762"/>
      <c r="I4123" s="27"/>
      <c r="J4123" s="6"/>
      <c r="K4123" s="1307">
        <f>G4123*$K$4121</f>
        <v>1.1131392600000001</v>
      </c>
      <c r="L4123" s="1335">
        <f t="shared" ref="L4123:L4125" si="474">K4123*$K$4014</f>
        <v>0</v>
      </c>
      <c r="M4123" s="1499">
        <v>1.7</v>
      </c>
      <c r="N4123" s="1701"/>
      <c r="O4123" s="1290">
        <f>(G4123*M4123)</f>
        <v>0.76500000000000001</v>
      </c>
      <c r="P4123" s="1332">
        <f>M4123*K4123</f>
        <v>1.8923367420000001</v>
      </c>
      <c r="Q4123" s="3391"/>
      <c r="R4123" s="2337"/>
      <c r="S4123" s="16"/>
      <c r="T4123" s="16"/>
      <c r="U4123" s="16"/>
      <c r="V4123" s="16"/>
    </row>
    <row r="4124" spans="1:23">
      <c r="A4124" s="16"/>
      <c r="B4124" s="1320"/>
      <c r="C4124" s="1042"/>
      <c r="D4124" s="1761" t="s">
        <v>1214</v>
      </c>
      <c r="E4124" s="2170" t="s">
        <v>1357</v>
      </c>
      <c r="F4124" s="1761" t="s">
        <v>1700</v>
      </c>
      <c r="G4124" s="1762">
        <v>0.35</v>
      </c>
      <c r="H4124" s="1762"/>
      <c r="I4124" s="27"/>
      <c r="J4124" s="198"/>
      <c r="K4124" s="1307">
        <f t="shared" ref="K4124:K4125" si="475">G4124*$K$4121</f>
        <v>0.86577497999999997</v>
      </c>
      <c r="L4124" s="1335">
        <f t="shared" si="474"/>
        <v>0</v>
      </c>
      <c r="M4124" s="1499">
        <v>4.2</v>
      </c>
      <c r="N4124" s="1701"/>
      <c r="O4124" s="1290">
        <f>(G4124*M4124)</f>
        <v>1.47</v>
      </c>
      <c r="P4124" s="1332">
        <f>M4124*K4124</f>
        <v>3.6362549159999999</v>
      </c>
      <c r="Q4124" s="3391"/>
      <c r="R4124" s="2337"/>
      <c r="S4124" s="16"/>
      <c r="T4124" s="16"/>
      <c r="U4124" s="16"/>
      <c r="V4124" s="16"/>
    </row>
    <row r="4125" spans="1:23">
      <c r="A4125" s="16"/>
      <c r="B4125" s="1320"/>
      <c r="C4125" s="1042"/>
      <c r="D4125" s="1761" t="s">
        <v>1701</v>
      </c>
      <c r="E4125" s="2170" t="s">
        <v>1504</v>
      </c>
      <c r="F4125" s="1761" t="s">
        <v>1541</v>
      </c>
      <c r="G4125" s="1762">
        <v>0.2</v>
      </c>
      <c r="H4125" s="1762"/>
      <c r="I4125" s="27"/>
      <c r="J4125" s="10"/>
      <c r="K4125" s="1307">
        <f t="shared" si="475"/>
        <v>0.49472855999999998</v>
      </c>
      <c r="L4125" s="1335">
        <f t="shared" si="474"/>
        <v>0</v>
      </c>
      <c r="M4125" s="1499">
        <v>0.3</v>
      </c>
      <c r="N4125" s="1701"/>
      <c r="O4125" s="1290">
        <f>(G4125*M4125)</f>
        <v>0.06</v>
      </c>
      <c r="P4125" s="1332">
        <f>M4125*K4125</f>
        <v>0.148418568</v>
      </c>
      <c r="Q4125" s="3391"/>
      <c r="R4125" s="2337"/>
      <c r="S4125" s="16"/>
      <c r="T4125" s="16"/>
      <c r="U4125" s="16"/>
      <c r="V4125" s="16"/>
    </row>
    <row r="4126" spans="1:23">
      <c r="A4126" s="22"/>
      <c r="B4126" s="1320"/>
      <c r="C4126" s="1042"/>
      <c r="D4126" s="1367"/>
      <c r="E4126" s="1856"/>
      <c r="F4126" s="1421"/>
      <c r="G4126" s="1399"/>
      <c r="H4126" s="1399"/>
      <c r="I4126" s="1760"/>
      <c r="J4126" s="198"/>
      <c r="K4126" s="1307"/>
      <c r="L4126" s="1335"/>
      <c r="M4126" s="1499"/>
      <c r="N4126" s="1701"/>
      <c r="O4126" s="1290"/>
      <c r="P4126" s="1332"/>
      <c r="Q4126" s="3391"/>
      <c r="S4126" s="16"/>
      <c r="T4126" s="16"/>
      <c r="U4126" s="16"/>
      <c r="V4126" s="16"/>
    </row>
    <row r="4127" spans="1:23">
      <c r="A4127" s="16"/>
      <c r="B4127" s="1320"/>
      <c r="C4127" s="1042"/>
      <c r="D4127" s="1367"/>
      <c r="E4127" s="1856"/>
      <c r="F4127" s="1421"/>
      <c r="G4127" s="1399"/>
      <c r="H4127" s="1399"/>
      <c r="I4127" s="1289"/>
      <c r="J4127" s="198"/>
      <c r="K4127" s="1307"/>
      <c r="L4127" s="1335"/>
      <c r="M4127" s="1499"/>
      <c r="N4127" s="1701"/>
      <c r="O4127" s="1290"/>
      <c r="P4127" s="1332"/>
      <c r="Q4127" s="3391"/>
      <c r="R4127" s="2337"/>
      <c r="S4127" s="16"/>
      <c r="T4127" s="16"/>
      <c r="U4127" s="16"/>
      <c r="V4127" s="16"/>
      <c r="W4127" s="16"/>
    </row>
    <row r="4128" spans="1:23">
      <c r="A4128" s="16"/>
      <c r="B4128" s="1320"/>
      <c r="C4128" s="1320"/>
      <c r="D4128" s="1410"/>
      <c r="E4128" s="1858"/>
      <c r="F4128" s="1360" t="s">
        <v>2</v>
      </c>
      <c r="G4128" s="1362"/>
      <c r="H4128" s="1362"/>
      <c r="I4128" s="1380"/>
      <c r="J4128" s="1381"/>
      <c r="K4128" s="1359"/>
      <c r="L4128" s="1458"/>
      <c r="M4128" s="1502"/>
      <c r="N4128" s="1502"/>
      <c r="O4128" s="1362"/>
      <c r="P4128" s="1359"/>
      <c r="Q4128" s="3387"/>
      <c r="R4128" s="2337"/>
      <c r="S4128" s="16"/>
      <c r="T4128" s="16"/>
      <c r="U4128" s="16"/>
      <c r="V4128" s="16"/>
    </row>
    <row r="4129" spans="1:24">
      <c r="A4129" s="16"/>
      <c r="B4129" s="1320"/>
      <c r="C4129" s="1042"/>
      <c r="D4129" s="1624" t="s">
        <v>1702</v>
      </c>
      <c r="E4129" s="2158" t="s">
        <v>1508</v>
      </c>
      <c r="F4129" s="1624" t="s">
        <v>1703</v>
      </c>
      <c r="G4129" s="1625">
        <v>0.34799999999999998</v>
      </c>
      <c r="H4129" s="1625"/>
      <c r="I4129" s="198"/>
      <c r="J4129" s="6"/>
      <c r="K4129" s="1307">
        <f t="shared" ref="K4129" si="476">G4129*$K$4121</f>
        <v>0.86082769439999995</v>
      </c>
      <c r="L4129" s="1335">
        <f>K4129*$K$4014</f>
        <v>0</v>
      </c>
      <c r="M4129" s="1499">
        <v>19.23</v>
      </c>
      <c r="N4129" s="1701"/>
      <c r="O4129" s="1290">
        <f>(G4129*M4129)</f>
        <v>6.6920399999999995</v>
      </c>
      <c r="P4129" s="1332">
        <f>M4129*K4129</f>
        <v>16.553716563312001</v>
      </c>
      <c r="Q4129" s="3391"/>
      <c r="R4129" s="2337"/>
      <c r="S4129" s="16"/>
      <c r="T4129" s="16"/>
      <c r="U4129" s="16"/>
      <c r="V4129" s="16"/>
    </row>
    <row r="4130" spans="1:24">
      <c r="A4130" s="16"/>
      <c r="B4130" s="1320"/>
      <c r="C4130" s="1042"/>
      <c r="D4130" s="1402"/>
      <c r="E4130" s="1857"/>
      <c r="F4130" s="1645"/>
      <c r="G4130" s="1362"/>
      <c r="H4130" s="1359"/>
      <c r="I4130" s="198"/>
      <c r="J4130" s="6"/>
      <c r="K4130" s="1306"/>
      <c r="L4130" s="1646"/>
      <c r="M4130" s="1499"/>
      <c r="N4130" s="1499"/>
      <c r="O4130" s="1291"/>
      <c r="P4130" s="1332"/>
      <c r="Q4130" s="3391"/>
      <c r="R4130" s="2337"/>
      <c r="S4130" s="16"/>
      <c r="T4130" s="16"/>
      <c r="U4130" s="16"/>
      <c r="V4130" s="16"/>
    </row>
    <row r="4131" spans="1:24">
      <c r="A4131" s="16"/>
      <c r="B4131" s="1320"/>
      <c r="C4131" s="1042"/>
      <c r="D4131" s="1402"/>
      <c r="E4131" s="1857"/>
      <c r="F4131" s="1403"/>
      <c r="G4131" s="1362"/>
      <c r="H4131" s="1359"/>
      <c r="I4131" s="198"/>
      <c r="J4131" s="6"/>
      <c r="K4131" s="1307"/>
      <c r="L4131" s="1335"/>
      <c r="M4131" s="1499"/>
      <c r="N4131" s="1701"/>
      <c r="O4131" s="1290"/>
      <c r="P4131" s="1332"/>
      <c r="Q4131" s="3391"/>
      <c r="R4131" s="2337"/>
      <c r="S4131" s="16"/>
      <c r="T4131" s="16"/>
      <c r="U4131" s="16"/>
      <c r="V4131" s="16"/>
    </row>
    <row r="4132" spans="1:24">
      <c r="A4132" s="16"/>
      <c r="B4132" s="1320"/>
      <c r="C4132" s="1042"/>
      <c r="D4132" s="1411"/>
      <c r="E4132" s="2123"/>
      <c r="F4132" s="1374" t="s">
        <v>3</v>
      </c>
      <c r="G4132" s="1374"/>
      <c r="H4132" s="1376"/>
      <c r="I4132" s="1382"/>
      <c r="J4132" s="1383"/>
      <c r="K4132" s="1373"/>
      <c r="L4132" s="1413"/>
      <c r="M4132" s="1505"/>
      <c r="N4132" s="1505"/>
      <c r="O4132" s="1376"/>
      <c r="P4132" s="1413"/>
      <c r="Q4132" s="3387"/>
      <c r="R4132" s="2337"/>
      <c r="S4132" s="16"/>
      <c r="T4132" s="16"/>
      <c r="U4132" s="16"/>
      <c r="V4132" s="16"/>
    </row>
    <row r="4133" spans="1:24">
      <c r="A4133" s="16"/>
      <c r="B4133" s="1320"/>
      <c r="C4133" s="1042"/>
      <c r="D4133" s="1412"/>
      <c r="E4133" s="2124"/>
      <c r="F4133" s="1378"/>
      <c r="G4133" s="1378"/>
      <c r="H4133" s="1379"/>
      <c r="I4133" s="198"/>
      <c r="J4133" s="6"/>
      <c r="K4133" s="1307"/>
      <c r="L4133" s="1335"/>
      <c r="M4133" s="1499"/>
      <c r="N4133" s="1701"/>
      <c r="O4133" s="1290"/>
      <c r="P4133" s="1332"/>
      <c r="Q4133" s="3391"/>
      <c r="R4133" s="2337"/>
      <c r="S4133" s="16"/>
      <c r="T4133" s="16"/>
      <c r="U4133" s="16"/>
      <c r="V4133" s="16"/>
    </row>
    <row r="4134" spans="1:24">
      <c r="A4134" s="16"/>
      <c r="B4134" s="1320"/>
      <c r="C4134" s="1042"/>
      <c r="D4134" s="1440"/>
      <c r="E4134" s="2132"/>
      <c r="F4134" s="1441"/>
      <c r="G4134" s="1441"/>
      <c r="H4134" s="1442"/>
      <c r="I4134" s="197"/>
      <c r="J4134" s="198"/>
      <c r="K4134" s="1307"/>
      <c r="L4134" s="1335"/>
      <c r="M4134" s="1499"/>
      <c r="N4134" s="1701"/>
      <c r="O4134" s="1290"/>
      <c r="P4134" s="1332"/>
      <c r="Q4134" s="3391"/>
      <c r="R4134" s="2337"/>
      <c r="S4134" s="16"/>
      <c r="T4134" s="16"/>
      <c r="U4134" s="16"/>
      <c r="V4134" s="16"/>
    </row>
    <row r="4135" spans="1:24">
      <c r="A4135" s="16"/>
      <c r="B4135" s="1320"/>
      <c r="C4135" s="1042"/>
      <c r="D4135" s="1440"/>
      <c r="E4135" s="2132"/>
      <c r="F4135" s="1441"/>
      <c r="G4135" s="1441"/>
      <c r="H4135" s="1442"/>
      <c r="I4135" s="197"/>
      <c r="J4135" s="198"/>
      <c r="K4135" s="1307"/>
      <c r="L4135" s="1335"/>
      <c r="M4135" s="1499"/>
      <c r="N4135" s="1701"/>
      <c r="O4135" s="1290"/>
      <c r="P4135" s="1332"/>
      <c r="Q4135" s="3391"/>
      <c r="R4135" s="2337"/>
      <c r="S4135" s="16"/>
      <c r="T4135" s="16"/>
      <c r="U4135" s="16"/>
      <c r="V4135" s="16"/>
    </row>
    <row r="4136" spans="1:24">
      <c r="A4136" s="16"/>
      <c r="B4136" s="225"/>
      <c r="C4136" s="223"/>
      <c r="D4136" s="1440"/>
      <c r="E4136" s="2132"/>
      <c r="F4136" s="1955"/>
      <c r="G4136" s="1955"/>
      <c r="H4136" s="1956"/>
      <c r="I4136" s="197"/>
      <c r="J4136" s="198"/>
      <c r="K4136" s="1307"/>
      <c r="L4136" s="1335"/>
      <c r="M4136" s="1499"/>
      <c r="N4136" s="1701"/>
      <c r="O4136" s="1290"/>
      <c r="P4136" s="1332"/>
      <c r="Q4136" s="3391"/>
      <c r="R4136" s="2337"/>
      <c r="S4136" s="16"/>
      <c r="T4136" s="16"/>
      <c r="U4136" s="16"/>
      <c r="V4136" s="16"/>
    </row>
    <row r="4137" spans="1:24" s="22" customFormat="1">
      <c r="A4137" s="16"/>
      <c r="B4137" s="16"/>
      <c r="C4137" s="16"/>
      <c r="D4137" s="1795"/>
      <c r="E4137" s="2179"/>
      <c r="F4137" s="1795"/>
      <c r="G4137" s="1795"/>
      <c r="H4137" s="1797"/>
      <c r="I4137" s="1561"/>
      <c r="J4137" s="1561"/>
      <c r="K4137" s="1639"/>
      <c r="L4137" s="1640"/>
      <c r="M4137" s="1292"/>
      <c r="N4137" s="1292"/>
      <c r="O4137" s="1292"/>
      <c r="P4137" s="1292"/>
      <c r="Q4137" s="3391"/>
      <c r="R4137" s="2337"/>
      <c r="S4137" s="16"/>
      <c r="T4137" s="16"/>
      <c r="U4137" s="16"/>
      <c r="V4137" s="16"/>
    </row>
    <row r="4138" spans="1:24" ht="18.5">
      <c r="A4138" s="1304"/>
      <c r="B4138" s="1304"/>
      <c r="C4138" s="1304"/>
      <c r="D4138" s="1304"/>
      <c r="E4138" s="1304"/>
      <c r="G4138" s="2328" t="s">
        <v>1814</v>
      </c>
      <c r="H4138" s="1832"/>
      <c r="I4138" s="1833"/>
      <c r="J4138" s="1832"/>
      <c r="K4138" s="1832"/>
      <c r="L4138" s="1833"/>
      <c r="M4138" s="1832"/>
      <c r="N4138" s="1832"/>
      <c r="O4138" s="1832"/>
      <c r="P4138" s="1834"/>
      <c r="Q4138" s="3386"/>
      <c r="R4138" s="1296"/>
      <c r="S4138" s="16"/>
      <c r="T4138" s="16"/>
      <c r="U4138" s="16"/>
      <c r="V4138" s="16"/>
    </row>
    <row r="4139" spans="1:24" ht="28.5">
      <c r="A4139" s="16"/>
      <c r="L4139" s="2400" t="s">
        <v>2856</v>
      </c>
      <c r="R4139" s="2337"/>
      <c r="S4139" s="16"/>
      <c r="T4139" s="16"/>
      <c r="U4139" s="16"/>
      <c r="V4139" s="16"/>
    </row>
    <row r="4140" spans="1:24">
      <c r="A4140" s="4393" t="s">
        <v>162</v>
      </c>
      <c r="B4140" s="4394"/>
      <c r="C4140" s="4394"/>
      <c r="D4140" s="4395"/>
      <c r="E4140" s="4396" t="s">
        <v>1549</v>
      </c>
      <c r="F4140" s="4397" t="s">
        <v>1550</v>
      </c>
      <c r="G4140" s="4399" t="s">
        <v>1566</v>
      </c>
      <c r="H4140" s="4400"/>
      <c r="I4140" s="4400"/>
      <c r="J4140" s="4400"/>
      <c r="K4140" s="4400"/>
      <c r="L4140" s="4401"/>
      <c r="M4140" s="4405" t="s">
        <v>1567</v>
      </c>
      <c r="N4140" s="4405"/>
      <c r="O4140" s="4405"/>
      <c r="P4140" s="4405"/>
      <c r="Q4140" s="3395"/>
      <c r="R4140" s="2337"/>
      <c r="S4140" s="16"/>
      <c r="T4140" s="16"/>
      <c r="U4140" s="16"/>
      <c r="V4140" s="16"/>
    </row>
    <row r="4141" spans="1:24" ht="15" thickBot="1">
      <c r="A4141" s="1324" t="s">
        <v>3766</v>
      </c>
      <c r="B4141" s="1325" t="s">
        <v>1513</v>
      </c>
      <c r="C4141" s="1326" t="s">
        <v>1573</v>
      </c>
      <c r="D4141" s="1323" t="s">
        <v>1514</v>
      </c>
      <c r="E4141" s="4396"/>
      <c r="F4141" s="4398"/>
      <c r="G4141" s="4402"/>
      <c r="H4141" s="4403"/>
      <c r="I4141" s="4403"/>
      <c r="J4141" s="4403"/>
      <c r="K4141" s="4403"/>
      <c r="L4141" s="4404"/>
      <c r="M4141" s="4405"/>
      <c r="N4141" s="4405"/>
      <c r="O4141" s="4405"/>
      <c r="P4141" s="4405"/>
      <c r="Q4141" s="3395"/>
      <c r="R4141" s="2337"/>
      <c r="S4141" s="16"/>
      <c r="T4141" s="1978" t="s">
        <v>1654</v>
      </c>
      <c r="U4141" s="1978" t="s">
        <v>1507</v>
      </c>
      <c r="V4141" s="1978" t="s">
        <v>1664</v>
      </c>
      <c r="W4141" s="1982">
        <v>50.760000000000005</v>
      </c>
      <c r="X4141" s="1982">
        <v>3.0000000000000001E-3</v>
      </c>
    </row>
    <row r="4142" spans="1:24" ht="39.75" customHeight="1">
      <c r="A4142" s="4508" t="s">
        <v>1973</v>
      </c>
      <c r="B4142" s="4508"/>
      <c r="C4142" s="4508"/>
      <c r="D4142" s="4508"/>
      <c r="E4142" s="4408" t="s">
        <v>1507</v>
      </c>
      <c r="F4142" s="4509" t="s">
        <v>3906</v>
      </c>
      <c r="G4142" s="4493" t="s">
        <v>294</v>
      </c>
      <c r="H4142" s="4493"/>
      <c r="I4142" s="1665" t="s">
        <v>1565</v>
      </c>
      <c r="J4142" s="3348" t="s">
        <v>1575</v>
      </c>
      <c r="K4142" s="4493" t="s">
        <v>289</v>
      </c>
      <c r="L4142" s="4493"/>
      <c r="M4142" s="4408" t="s">
        <v>3349</v>
      </c>
      <c r="N4142" s="4408"/>
      <c r="O4142" s="4408"/>
      <c r="P4142" s="4409"/>
      <c r="Q4142" s="4244" t="s">
        <v>3942</v>
      </c>
      <c r="R4142" s="2337"/>
      <c r="S4142" s="16"/>
      <c r="T4142" s="1978" t="s">
        <v>1735</v>
      </c>
      <c r="U4142" s="1978" t="s">
        <v>1507</v>
      </c>
      <c r="V4142" s="1978" t="s">
        <v>1771</v>
      </c>
      <c r="W4142" s="1982">
        <v>240.84000000000003</v>
      </c>
      <c r="X4142" s="1982">
        <v>3.0000000000000001E-3</v>
      </c>
    </row>
    <row r="4143" spans="1:24" ht="22.5" customHeight="1" thickBot="1">
      <c r="A4143" s="4508"/>
      <c r="B4143" s="4508"/>
      <c r="C4143" s="4508"/>
      <c r="D4143" s="4508"/>
      <c r="E4143" s="4408"/>
      <c r="F4143" s="4509"/>
      <c r="G4143" s="4510">
        <f>IF('Seleccion proyecto HEREVEA02'!G36="Reparación grietas en superficie ≤60%",'Seleccion proyecto HEREVEA02'!E34,0)</f>
        <v>0</v>
      </c>
      <c r="H4143" s="4510"/>
      <c r="I4143" s="3353">
        <f>IF('Seleccion proyecto HEREVEA02'!H36=0,0,IF('Seleccion proyecto HEREVEA02'!H36="1 a 60",0.6,IF('Seleccion proyecto HEREVEA02'!H36="61 a 100",1)))</f>
        <v>0</v>
      </c>
      <c r="J4143" s="1351">
        <f>'Seleccion proyecto HEREVEA02'!L8</f>
        <v>11100.968999999999</v>
      </c>
      <c r="K4143" s="4511">
        <f>G4143*I4143*J4143</f>
        <v>0</v>
      </c>
      <c r="L4143" s="4511"/>
      <c r="M4143" s="4512">
        <f>P4145+P4159+P4173+P4191+P4219+P4249+P4268+P4285+P4305</f>
        <v>62.267102883662417</v>
      </c>
      <c r="N4143" s="4512"/>
      <c r="O4143" s="4512"/>
      <c r="P4143" s="4423"/>
      <c r="Q4143" s="4245">
        <f>M4143*K4143</f>
        <v>0</v>
      </c>
      <c r="R4143" s="2337"/>
      <c r="S4143" s="16"/>
      <c r="T4143" s="1978" t="s">
        <v>1974</v>
      </c>
      <c r="U4143" s="1978" t="s">
        <v>1971</v>
      </c>
      <c r="V4143" s="1978" t="s">
        <v>1772</v>
      </c>
      <c r="W4143" s="1982">
        <v>277.02000000000004</v>
      </c>
      <c r="X4143" s="1982">
        <v>3.0000000000000001E-3</v>
      </c>
    </row>
    <row r="4144" spans="1:24">
      <c r="A4144" s="19" t="s">
        <v>3764</v>
      </c>
      <c r="B4144" s="4325" t="s">
        <v>1654</v>
      </c>
      <c r="C4144" s="3350"/>
      <c r="D4144" s="4327"/>
      <c r="E4144" s="4329" t="s">
        <v>1507</v>
      </c>
      <c r="F4144" s="4336" t="s">
        <v>1664</v>
      </c>
      <c r="G4144" s="4331" t="s">
        <v>1568</v>
      </c>
      <c r="H4144" s="4331" t="s">
        <v>1574</v>
      </c>
      <c r="I4144" s="1572" t="s">
        <v>1559</v>
      </c>
      <c r="J4144" s="1294" t="s">
        <v>1560</v>
      </c>
      <c r="K4144" s="1294" t="s">
        <v>1569</v>
      </c>
      <c r="L4144" s="4333" t="s">
        <v>3765</v>
      </c>
      <c r="M4144" s="4335" t="s">
        <v>1571</v>
      </c>
      <c r="N4144" s="4323" t="s">
        <v>1776</v>
      </c>
      <c r="O4144" s="3347" t="s">
        <v>1563</v>
      </c>
      <c r="P4144" s="1336" t="s">
        <v>1562</v>
      </c>
      <c r="Q4144" s="3389"/>
      <c r="R4144" s="1699" t="s">
        <v>1327</v>
      </c>
      <c r="S4144" s="16"/>
      <c r="T4144" s="1978" t="s">
        <v>1737</v>
      </c>
      <c r="U4144" s="1978" t="s">
        <v>1971</v>
      </c>
      <c r="V4144" s="1978" t="s">
        <v>1773</v>
      </c>
      <c r="W4144" s="1982">
        <v>14.580000000000002</v>
      </c>
      <c r="X4144" s="1982">
        <v>3.0000000000000001E-3</v>
      </c>
    </row>
    <row r="4145" spans="1:24">
      <c r="A4145" s="1807" t="s">
        <v>1973</v>
      </c>
      <c r="B4145" s="4326"/>
      <c r="C4145" s="3351"/>
      <c r="D4145" s="4328"/>
      <c r="E4145" s="4330"/>
      <c r="F4145" s="4336"/>
      <c r="G4145" s="4332"/>
      <c r="H4145" s="4332"/>
      <c r="I4145" s="1980">
        <v>50.760000000000005</v>
      </c>
      <c r="J4145" s="1981">
        <v>3.0000000000000001E-3</v>
      </c>
      <c r="K4145" s="1307">
        <f>I4145*J4145</f>
        <v>0.15228000000000003</v>
      </c>
      <c r="L4145" s="4334"/>
      <c r="M4145" s="4335"/>
      <c r="N4145" s="4324"/>
      <c r="O4145" s="1298">
        <f>SUM(O4147:O4157)</f>
        <v>4.9356000000000009</v>
      </c>
      <c r="P4145" s="1337">
        <f>O4145*K4145</f>
        <v>0.75159316800000031</v>
      </c>
      <c r="Q4145" s="3390"/>
      <c r="R4145" s="1721">
        <f>SUM(P4147:P4157)</f>
        <v>0.7515931680000002</v>
      </c>
      <c r="S4145" s="16"/>
      <c r="T4145" s="1978" t="s">
        <v>1659</v>
      </c>
      <c r="U4145" s="1978" t="s">
        <v>1507</v>
      </c>
      <c r="V4145" s="1978" t="s">
        <v>1685</v>
      </c>
      <c r="W4145" s="1982">
        <v>50.760000000000005</v>
      </c>
      <c r="X4145" s="1982">
        <v>3.0000000000000001E-3</v>
      </c>
    </row>
    <row r="4146" spans="1:24">
      <c r="A4146" s="22"/>
      <c r="B4146" s="1327"/>
      <c r="C4146" s="1327"/>
      <c r="D4146" s="1400"/>
      <c r="E4146" s="2121"/>
      <c r="F4146" s="1368" t="s">
        <v>1</v>
      </c>
      <c r="G4146" s="1417"/>
      <c r="H4146" s="1390"/>
      <c r="I4146" s="1554"/>
      <c r="J4146" s="1367"/>
      <c r="K4146" s="1367"/>
      <c r="L4146" s="1554"/>
      <c r="M4146" s="1369"/>
      <c r="N4146" s="1369"/>
      <c r="O4146" s="1369"/>
      <c r="P4146" s="1367"/>
      <c r="Q4146" s="3387"/>
      <c r="R4146" s="2337"/>
      <c r="S4146" s="16"/>
      <c r="T4146" s="1978" t="s">
        <v>1660</v>
      </c>
      <c r="U4146" s="1978" t="s">
        <v>1507</v>
      </c>
      <c r="V4146" s="1978" t="s">
        <v>1689</v>
      </c>
      <c r="W4146" s="1982">
        <v>50.760000000000005</v>
      </c>
      <c r="X4146">
        <v>3.0000000000000001E-3</v>
      </c>
    </row>
    <row r="4147" spans="1:24">
      <c r="A4147" s="22"/>
      <c r="B4147" s="1042"/>
      <c r="C4147" s="1042"/>
      <c r="D4147" s="1400"/>
      <c r="E4147" s="1856"/>
      <c r="F4147" s="1421"/>
      <c r="G4147" s="1399"/>
      <c r="H4147" s="1399"/>
      <c r="I4147" s="1760"/>
      <c r="J4147" s="198"/>
      <c r="K4147" s="1307"/>
      <c r="L4147" s="1335"/>
      <c r="M4147" s="1499"/>
      <c r="N4147" s="1701"/>
      <c r="O4147" s="1290"/>
      <c r="P4147" s="1332"/>
      <c r="Q4147" s="3391"/>
      <c r="R4147" s="2337"/>
      <c r="S4147" s="16"/>
      <c r="T4147" s="16"/>
      <c r="U4147" s="16"/>
      <c r="V4147" s="16"/>
    </row>
    <row r="4148" spans="1:24">
      <c r="A4148" s="22"/>
      <c r="B4148" s="1042"/>
      <c r="C4148" s="1042"/>
      <c r="D4148" s="1400"/>
      <c r="E4148" s="1856"/>
      <c r="F4148" s="1421"/>
      <c r="G4148" s="1399"/>
      <c r="H4148" s="1399"/>
      <c r="I4148" s="1760"/>
      <c r="J4148" s="198"/>
      <c r="K4148" s="1307"/>
      <c r="L4148" s="1335"/>
      <c r="M4148" s="1499"/>
      <c r="N4148" s="1701"/>
      <c r="O4148" s="1290"/>
      <c r="P4148" s="1332"/>
      <c r="Q4148" s="3391"/>
      <c r="R4148" s="3363"/>
      <c r="S4148" s="16"/>
      <c r="T4148" s="16"/>
      <c r="U4148" s="16"/>
      <c r="V4148" s="16"/>
    </row>
    <row r="4149" spans="1:24">
      <c r="A4149" s="22"/>
      <c r="B4149" s="1042"/>
      <c r="C4149" s="1042"/>
      <c r="D4149" s="1400"/>
      <c r="E4149" s="1856"/>
      <c r="F4149" s="1421"/>
      <c r="G4149" s="1452"/>
      <c r="H4149" s="1399"/>
      <c r="I4149" s="197"/>
      <c r="J4149" s="198"/>
      <c r="K4149" s="1307"/>
      <c r="L4149" s="1335"/>
      <c r="M4149" s="1499"/>
      <c r="N4149" s="1701"/>
      <c r="O4149" s="1290"/>
      <c r="P4149" s="1332"/>
      <c r="Q4149" s="3391"/>
      <c r="R4149" s="3363"/>
      <c r="S4149" s="16"/>
      <c r="T4149" s="16"/>
      <c r="U4149" s="16"/>
      <c r="V4149" s="16"/>
    </row>
    <row r="4150" spans="1:24">
      <c r="A4150" s="22"/>
      <c r="B4150" s="1042"/>
      <c r="C4150" s="1042"/>
      <c r="D4150" s="1410"/>
      <c r="E4150" s="1858"/>
      <c r="F4150" s="1360" t="s">
        <v>2</v>
      </c>
      <c r="G4150" s="1360"/>
      <c r="H4150" s="1362"/>
      <c r="I4150" s="1380"/>
      <c r="J4150" s="1381"/>
      <c r="K4150" s="1359"/>
      <c r="L4150" s="1458"/>
      <c r="M4150" s="1502"/>
      <c r="N4150" s="1502"/>
      <c r="O4150" s="1362"/>
      <c r="P4150" s="1359"/>
      <c r="Q4150" s="3387"/>
      <c r="R4150" s="3363"/>
      <c r="S4150" s="16"/>
      <c r="T4150" s="16"/>
      <c r="U4150" s="16"/>
      <c r="V4150" s="16"/>
    </row>
    <row r="4151" spans="1:24">
      <c r="A4151" s="22"/>
      <c r="B4151" s="1042"/>
      <c r="C4151" s="1042"/>
      <c r="D4151" s="1473" t="s">
        <v>1067</v>
      </c>
      <c r="E4151" s="2148" t="s">
        <v>1508</v>
      </c>
      <c r="F4151" s="1473" t="s">
        <v>1512</v>
      </c>
      <c r="G4151" s="1365">
        <v>0.27</v>
      </c>
      <c r="H4151" s="1365"/>
      <c r="I4151" s="198"/>
      <c r="J4151" s="6"/>
      <c r="K4151" s="1307">
        <f>G4151*K4145</f>
        <v>4.1115600000000009E-2</v>
      </c>
      <c r="L4151" s="1335">
        <f>K4151*$K$4143</f>
        <v>0</v>
      </c>
      <c r="M4151" s="1499">
        <v>18.28</v>
      </c>
      <c r="N4151" s="1701"/>
      <c r="O4151" s="1290">
        <f>(G4151*M4151)</f>
        <v>4.9356000000000009</v>
      </c>
      <c r="P4151" s="1332">
        <f>M4151*K4151</f>
        <v>0.7515931680000002</v>
      </c>
      <c r="Q4151" s="3391"/>
      <c r="R4151" s="3363"/>
      <c r="S4151" s="16"/>
      <c r="T4151" s="16"/>
      <c r="U4151" s="16"/>
      <c r="V4151" s="16"/>
    </row>
    <row r="4152" spans="1:24">
      <c r="A4152" s="22"/>
      <c r="B4152" s="1042"/>
      <c r="C4152" s="1042"/>
      <c r="D4152" s="1623"/>
      <c r="E4152" s="2158"/>
      <c r="F4152" s="1801"/>
      <c r="G4152" s="1359"/>
      <c r="H4152" s="1803"/>
      <c r="I4152" s="198"/>
      <c r="J4152" s="6"/>
      <c r="K4152" s="1307"/>
      <c r="L4152" s="1335"/>
      <c r="M4152" s="1499"/>
      <c r="N4152" s="1701"/>
      <c r="O4152" s="1290"/>
      <c r="P4152" s="1332"/>
      <c r="Q4152" s="3391"/>
      <c r="R4152" s="3363"/>
      <c r="S4152" s="16"/>
      <c r="T4152" s="16"/>
      <c r="U4152" s="16"/>
      <c r="V4152" s="16"/>
    </row>
    <row r="4153" spans="1:24">
      <c r="A4153" s="22"/>
      <c r="B4153" s="1042"/>
      <c r="C4153" s="1042"/>
      <c r="D4153" s="1623"/>
      <c r="E4153" s="2158"/>
      <c r="F4153" s="1801"/>
      <c r="G4153" s="1359"/>
      <c r="H4153" s="1803"/>
      <c r="I4153" s="198"/>
      <c r="J4153" s="6"/>
      <c r="K4153" s="1307"/>
      <c r="L4153" s="1335"/>
      <c r="M4153" s="1499"/>
      <c r="N4153" s="1701"/>
      <c r="O4153" s="1290"/>
      <c r="P4153" s="1332"/>
      <c r="Q4153" s="3391"/>
      <c r="R4153" s="2337"/>
      <c r="S4153" s="16"/>
      <c r="T4153" s="16"/>
      <c r="U4153" s="16"/>
      <c r="V4153" s="16"/>
    </row>
    <row r="4154" spans="1:24">
      <c r="A4154" s="22"/>
      <c r="B4154" s="1042"/>
      <c r="C4154" s="1042"/>
      <c r="D4154" s="1411"/>
      <c r="E4154" s="2123"/>
      <c r="F4154" s="1802" t="s">
        <v>3</v>
      </c>
      <c r="G4154" s="1475"/>
      <c r="H4154" s="1505"/>
      <c r="I4154" s="1382"/>
      <c r="J4154" s="1383"/>
      <c r="K4154" s="1373"/>
      <c r="L4154" s="1413"/>
      <c r="M4154" s="1505"/>
      <c r="N4154" s="1505"/>
      <c r="O4154" s="1376"/>
      <c r="P4154" s="1413"/>
      <c r="Q4154" s="3387"/>
      <c r="R4154" s="2337"/>
      <c r="S4154" s="16"/>
      <c r="T4154" s="16"/>
      <c r="U4154" s="16"/>
      <c r="V4154" s="16"/>
    </row>
    <row r="4155" spans="1:24">
      <c r="A4155" s="22"/>
      <c r="B4155" s="1042"/>
      <c r="C4155" s="1042"/>
      <c r="D4155" s="1411"/>
      <c r="E4155" s="2123"/>
      <c r="F4155" s="1475"/>
      <c r="G4155" s="1475"/>
      <c r="H4155" s="1376"/>
      <c r="I4155" s="198"/>
      <c r="J4155" s="6"/>
      <c r="K4155" s="1307"/>
      <c r="L4155" s="1335"/>
      <c r="M4155" s="1499"/>
      <c r="N4155" s="1701"/>
      <c r="O4155" s="1290"/>
      <c r="P4155" s="1332"/>
      <c r="Q4155" s="3391"/>
      <c r="R4155" s="3363"/>
      <c r="S4155" s="16"/>
      <c r="T4155" s="16"/>
      <c r="U4155" s="16"/>
      <c r="V4155" s="16"/>
    </row>
    <row r="4156" spans="1:24">
      <c r="A4156" s="22"/>
      <c r="B4156" s="1042"/>
      <c r="C4156" s="1042"/>
      <c r="D4156" s="1411"/>
      <c r="E4156" s="2123"/>
      <c r="F4156" s="1475"/>
      <c r="G4156" s="1475"/>
      <c r="H4156" s="1376"/>
      <c r="I4156" s="198"/>
      <c r="J4156" s="6"/>
      <c r="K4156" s="1307"/>
      <c r="L4156" s="1335"/>
      <c r="M4156" s="1499"/>
      <c r="N4156" s="1701"/>
      <c r="O4156" s="1290"/>
      <c r="P4156" s="1332"/>
      <c r="Q4156" s="3391"/>
      <c r="R4156" s="3363"/>
      <c r="S4156" s="16"/>
      <c r="T4156" s="16"/>
      <c r="U4156" s="16"/>
      <c r="V4156" s="16"/>
    </row>
    <row r="4157" spans="1:24">
      <c r="A4157" s="22"/>
      <c r="B4157" s="1042"/>
      <c r="C4157" s="1042"/>
      <c r="D4157" s="1979"/>
      <c r="E4157" s="2124"/>
      <c r="F4157" s="1377"/>
      <c r="G4157" s="1377"/>
      <c r="H4157" s="1597"/>
      <c r="I4157" s="198"/>
      <c r="J4157" s="6"/>
      <c r="K4157" s="1306"/>
      <c r="L4157" s="1646"/>
      <c r="M4157" s="1302"/>
      <c r="N4157" s="1302"/>
      <c r="O4157" s="1291"/>
      <c r="P4157" s="1332"/>
      <c r="Q4157" s="3391"/>
      <c r="R4157" s="2337"/>
      <c r="S4157" s="16"/>
      <c r="T4157" s="16"/>
      <c r="U4157" s="16"/>
      <c r="V4157" s="16"/>
    </row>
    <row r="4158" spans="1:24">
      <c r="A4158" s="19" t="s">
        <v>3764</v>
      </c>
      <c r="B4158" s="4325" t="s">
        <v>1735</v>
      </c>
      <c r="C4158" s="3350"/>
      <c r="D4158" s="4327"/>
      <c r="E4158" s="4389" t="s">
        <v>1507</v>
      </c>
      <c r="F4158" s="4363" t="s">
        <v>1771</v>
      </c>
      <c r="G4158" s="4364" t="s">
        <v>1568</v>
      </c>
      <c r="H4158" s="4364" t="s">
        <v>1574</v>
      </c>
      <c r="I4158" s="1835" t="s">
        <v>1559</v>
      </c>
      <c r="J4158" s="1836" t="s">
        <v>1560</v>
      </c>
      <c r="K4158" s="1836" t="s">
        <v>1569</v>
      </c>
      <c r="L4158" s="4365" t="s">
        <v>3765</v>
      </c>
      <c r="M4158" s="4324" t="s">
        <v>1571</v>
      </c>
      <c r="N4158" s="4366" t="s">
        <v>1776</v>
      </c>
      <c r="O4158" s="3343" t="s">
        <v>1563</v>
      </c>
      <c r="P4158" s="3349" t="s">
        <v>1562</v>
      </c>
      <c r="Q4158" s="3389"/>
      <c r="R4158" s="1699" t="s">
        <v>1327</v>
      </c>
      <c r="S4158" s="16"/>
      <c r="T4158" s="16"/>
      <c r="U4158" s="16"/>
      <c r="V4158" s="16"/>
    </row>
    <row r="4159" spans="1:24">
      <c r="A4159" s="1807" t="s">
        <v>1973</v>
      </c>
      <c r="B4159" s="4326"/>
      <c r="C4159" s="3351"/>
      <c r="D4159" s="4328"/>
      <c r="E4159" s="4330"/>
      <c r="F4159" s="4336"/>
      <c r="G4159" s="4332"/>
      <c r="H4159" s="4332"/>
      <c r="I4159" s="1980">
        <v>240.84000000000003</v>
      </c>
      <c r="J4159" s="1981">
        <v>3.0000000000000001E-3</v>
      </c>
      <c r="K4159" s="1307">
        <f>I4159*J4159</f>
        <v>0.72252000000000016</v>
      </c>
      <c r="L4159" s="4334"/>
      <c r="M4159" s="4335"/>
      <c r="N4159" s="4324"/>
      <c r="O4159" s="1298">
        <f>SUM(O4161:O4171)</f>
        <v>8.6829999999999998</v>
      </c>
      <c r="P4159" s="1337">
        <f>O4159*K4159</f>
        <v>6.2736411600000013</v>
      </c>
      <c r="Q4159" s="3390"/>
      <c r="R4159" s="1721">
        <f>SUM(P4161:P4170)</f>
        <v>6.2736411600000022</v>
      </c>
      <c r="S4159" s="16"/>
      <c r="T4159" s="16"/>
      <c r="U4159" s="16"/>
      <c r="V4159" s="16"/>
    </row>
    <row r="4160" spans="1:24">
      <c r="B4160" s="551"/>
      <c r="C4160" s="18"/>
      <c r="D4160" s="1400"/>
      <c r="E4160" s="2121"/>
      <c r="F4160" s="1368" t="s">
        <v>1</v>
      </c>
      <c r="G4160" s="1417"/>
      <c r="H4160" s="1390"/>
      <c r="I4160" s="1554"/>
      <c r="J4160" s="1367"/>
      <c r="K4160" s="1367"/>
      <c r="L4160" s="1554"/>
      <c r="M4160" s="1369"/>
      <c r="N4160" s="1369"/>
      <c r="O4160" s="1369"/>
      <c r="P4160" s="1367"/>
      <c r="Q4160" s="3387"/>
      <c r="R4160" s="3363"/>
      <c r="S4160" s="16"/>
      <c r="T4160" s="16"/>
      <c r="U4160" s="16"/>
      <c r="V4160" s="16"/>
    </row>
    <row r="4161" spans="1:22">
      <c r="B4161" s="553"/>
      <c r="C4161" s="1042"/>
      <c r="D4161" s="1400"/>
      <c r="E4161" s="1856"/>
      <c r="F4161" s="1421"/>
      <c r="G4161" s="1399"/>
      <c r="H4161" s="1399"/>
      <c r="I4161" s="1760"/>
      <c r="J4161" s="198"/>
      <c r="K4161" s="1307"/>
      <c r="L4161" s="1335"/>
      <c r="M4161" s="1499"/>
      <c r="N4161" s="1701"/>
      <c r="O4161" s="1290"/>
      <c r="P4161" s="1332"/>
      <c r="Q4161" s="3391"/>
      <c r="R4161" s="3363"/>
      <c r="S4161" s="16"/>
      <c r="T4161" s="16"/>
      <c r="U4161" s="16"/>
      <c r="V4161" s="16"/>
    </row>
    <row r="4162" spans="1:22">
      <c r="B4162" s="553"/>
      <c r="C4162" s="1042"/>
      <c r="D4162" s="1400"/>
      <c r="E4162" s="1856"/>
      <c r="F4162" s="1421"/>
      <c r="G4162" s="1399"/>
      <c r="H4162" s="1399"/>
      <c r="I4162" s="1760"/>
      <c r="J4162" s="198"/>
      <c r="K4162" s="1307"/>
      <c r="L4162" s="1335"/>
      <c r="M4162" s="1499"/>
      <c r="N4162" s="1701"/>
      <c r="O4162" s="1290"/>
      <c r="P4162" s="1332"/>
      <c r="Q4162" s="3391"/>
      <c r="R4162" s="3363"/>
      <c r="S4162" s="16"/>
      <c r="T4162" s="16"/>
      <c r="U4162" s="16"/>
      <c r="V4162" s="16"/>
    </row>
    <row r="4163" spans="1:22">
      <c r="B4163" s="553"/>
      <c r="C4163" s="1042"/>
      <c r="D4163" s="1400"/>
      <c r="E4163" s="1856"/>
      <c r="F4163" s="1421"/>
      <c r="G4163" s="1452"/>
      <c r="H4163" s="1399"/>
      <c r="I4163" s="197"/>
      <c r="J4163" s="198"/>
      <c r="K4163" s="1307"/>
      <c r="L4163" s="1335"/>
      <c r="M4163" s="1499"/>
      <c r="N4163" s="1701"/>
      <c r="O4163" s="1290"/>
      <c r="P4163" s="1332"/>
      <c r="Q4163" s="3391"/>
      <c r="R4163" s="3363"/>
      <c r="S4163" s="16"/>
      <c r="T4163" s="16"/>
      <c r="U4163" s="16"/>
      <c r="V4163" s="16"/>
    </row>
    <row r="4164" spans="1:22">
      <c r="B4164" s="553"/>
      <c r="C4164" s="1042"/>
      <c r="D4164" s="1410"/>
      <c r="E4164" s="1858"/>
      <c r="F4164" s="1360" t="s">
        <v>2</v>
      </c>
      <c r="G4164" s="1360"/>
      <c r="H4164" s="1362"/>
      <c r="I4164" s="1380"/>
      <c r="J4164" s="1381"/>
      <c r="K4164" s="1359"/>
      <c r="L4164" s="1458"/>
      <c r="M4164" s="1502"/>
      <c r="N4164" s="1502"/>
      <c r="O4164" s="1362"/>
      <c r="P4164" s="1359"/>
      <c r="Q4164" s="3387"/>
      <c r="R4164" s="2337"/>
      <c r="S4164" s="16"/>
      <c r="T4164" s="16"/>
      <c r="U4164" s="16"/>
      <c r="V4164" s="16"/>
    </row>
    <row r="4165" spans="1:22">
      <c r="B4165" s="553"/>
      <c r="C4165" s="1042"/>
      <c r="D4165" s="1364" t="s">
        <v>1067</v>
      </c>
      <c r="E4165" s="2148" t="s">
        <v>1508</v>
      </c>
      <c r="F4165" s="1473" t="s">
        <v>1512</v>
      </c>
      <c r="G4165" s="1365">
        <v>0.47499999999999998</v>
      </c>
      <c r="H4165" s="1365"/>
      <c r="I4165" s="198"/>
      <c r="J4165" s="6"/>
      <c r="K4165" s="1307">
        <f>G4165*K4159</f>
        <v>0.34319700000000009</v>
      </c>
      <c r="L4165" s="1335">
        <f>K4165*$K$4143</f>
        <v>0</v>
      </c>
      <c r="M4165" s="1499">
        <v>18.28</v>
      </c>
      <c r="N4165" s="1701"/>
      <c r="O4165" s="1290">
        <f>(G4165*M4165)</f>
        <v>8.6829999999999998</v>
      </c>
      <c r="P4165" s="1332">
        <f>M4165*K4165</f>
        <v>6.2736411600000022</v>
      </c>
      <c r="Q4165" s="3391"/>
      <c r="R4165" s="3363"/>
      <c r="S4165" s="16"/>
      <c r="T4165" s="16"/>
      <c r="U4165" s="16"/>
      <c r="V4165" s="16"/>
    </row>
    <row r="4166" spans="1:22">
      <c r="B4166" s="553"/>
      <c r="C4166" s="1042"/>
      <c r="D4166" s="1623"/>
      <c r="E4166" s="2158"/>
      <c r="F4166" s="1801"/>
      <c r="G4166" s="1359"/>
      <c r="H4166" s="1803"/>
      <c r="I4166" s="198"/>
      <c r="J4166" s="6"/>
      <c r="K4166" s="1307"/>
      <c r="L4166" s="1335"/>
      <c r="M4166" s="1499"/>
      <c r="N4166" s="1701"/>
      <c r="O4166" s="1290"/>
      <c r="P4166" s="1332"/>
      <c r="Q4166" s="3391"/>
      <c r="R4166" s="2337"/>
      <c r="S4166" s="16"/>
      <c r="T4166" s="16"/>
      <c r="U4166" s="16"/>
      <c r="V4166" s="16"/>
    </row>
    <row r="4167" spans="1:22">
      <c r="B4167" s="553"/>
      <c r="C4167" s="1042"/>
      <c r="D4167" s="1623"/>
      <c r="E4167" s="2158"/>
      <c r="F4167" s="1801"/>
      <c r="G4167" s="1359"/>
      <c r="H4167" s="1803"/>
      <c r="I4167" s="198"/>
      <c r="J4167" s="6"/>
      <c r="K4167" s="1307"/>
      <c r="L4167" s="1335"/>
      <c r="M4167" s="1499"/>
      <c r="N4167" s="1701"/>
      <c r="O4167" s="1290"/>
      <c r="P4167" s="1332"/>
      <c r="Q4167" s="3391"/>
      <c r="R4167" s="2337"/>
      <c r="S4167" s="16"/>
      <c r="T4167" s="16"/>
      <c r="U4167" s="16"/>
      <c r="V4167" s="16"/>
    </row>
    <row r="4168" spans="1:22">
      <c r="B4168" s="553"/>
      <c r="C4168" s="1042"/>
      <c r="D4168" s="1411"/>
      <c r="E4168" s="2123"/>
      <c r="F4168" s="1802" t="s">
        <v>3</v>
      </c>
      <c r="G4168" s="1475"/>
      <c r="H4168" s="1505"/>
      <c r="I4168" s="1382"/>
      <c r="J4168" s="1383"/>
      <c r="K4168" s="1373"/>
      <c r="L4168" s="1413"/>
      <c r="M4168" s="1505"/>
      <c r="N4168" s="1505"/>
      <c r="O4168" s="1376"/>
      <c r="P4168" s="1413"/>
      <c r="Q4168" s="3387"/>
      <c r="R4168" s="2337"/>
      <c r="S4168" s="16"/>
      <c r="T4168" s="16"/>
      <c r="U4168" s="16"/>
      <c r="V4168" s="16"/>
    </row>
    <row r="4169" spans="1:22">
      <c r="B4169" s="553"/>
      <c r="C4169" s="1042"/>
      <c r="D4169" s="1411"/>
      <c r="E4169" s="2123"/>
      <c r="F4169" s="1475"/>
      <c r="G4169" s="1475"/>
      <c r="H4169" s="1376"/>
      <c r="I4169" s="198"/>
      <c r="J4169" s="6"/>
      <c r="K4169" s="1307"/>
      <c r="L4169" s="1335"/>
      <c r="M4169" s="1499"/>
      <c r="N4169" s="1701"/>
      <c r="O4169" s="1290"/>
      <c r="P4169" s="1332"/>
      <c r="Q4169" s="3391"/>
      <c r="R4169" s="2337"/>
      <c r="S4169" s="16"/>
      <c r="T4169" s="16"/>
      <c r="U4169" s="16"/>
      <c r="V4169" s="16"/>
    </row>
    <row r="4170" spans="1:22">
      <c r="B4170" s="553"/>
      <c r="C4170" s="1042"/>
      <c r="D4170" s="1412"/>
      <c r="E4170" s="2124"/>
      <c r="F4170" s="1377"/>
      <c r="G4170" s="1377"/>
      <c r="H4170" s="1597"/>
      <c r="I4170" s="198"/>
      <c r="J4170" s="6"/>
      <c r="K4170" s="1306"/>
      <c r="L4170" s="1646"/>
      <c r="M4170" s="1302"/>
      <c r="N4170" s="1302"/>
      <c r="O4170" s="1291"/>
      <c r="P4170" s="1332"/>
      <c r="Q4170" s="3391"/>
      <c r="R4170" s="2337"/>
      <c r="S4170" s="16"/>
      <c r="T4170" s="16"/>
      <c r="U4170" s="16"/>
      <c r="V4170" s="16"/>
    </row>
    <row r="4171" spans="1:22">
      <c r="B4171" s="554"/>
      <c r="C4171" s="223"/>
      <c r="D4171" s="1808"/>
      <c r="E4171" s="2132"/>
      <c r="F4171" s="1804"/>
      <c r="G4171" s="1804"/>
      <c r="H4171" s="1805"/>
      <c r="I4171" s="197"/>
      <c r="J4171" s="1806"/>
      <c r="K4171" s="1307"/>
      <c r="L4171" s="1335"/>
      <c r="M4171" s="1701"/>
      <c r="N4171" s="1701"/>
      <c r="O4171" s="1290"/>
      <c r="P4171" s="1333"/>
      <c r="Q4171" s="3391"/>
      <c r="R4171" s="2337"/>
      <c r="S4171" s="16"/>
      <c r="T4171" s="16"/>
      <c r="U4171" s="16"/>
      <c r="V4171" s="16"/>
    </row>
    <row r="4172" spans="1:22">
      <c r="A4172" s="19" t="s">
        <v>3764</v>
      </c>
      <c r="B4172" s="4325" t="s">
        <v>2792</v>
      </c>
      <c r="C4172" s="3350"/>
      <c r="D4172" s="4327"/>
      <c r="E4172" s="4329" t="s">
        <v>1507</v>
      </c>
      <c r="F4172" s="4336" t="s">
        <v>2793</v>
      </c>
      <c r="G4172" s="4331" t="s">
        <v>1568</v>
      </c>
      <c r="H4172" s="4331" t="s">
        <v>1574</v>
      </c>
      <c r="I4172" s="1572" t="s">
        <v>1559</v>
      </c>
      <c r="J4172" s="1294" t="s">
        <v>1560</v>
      </c>
      <c r="K4172" s="1294" t="s">
        <v>1569</v>
      </c>
      <c r="L4172" s="4333" t="s">
        <v>3765</v>
      </c>
      <c r="M4172" s="4335" t="s">
        <v>1571</v>
      </c>
      <c r="N4172" s="4323" t="s">
        <v>1776</v>
      </c>
      <c r="O4172" s="3347" t="s">
        <v>1563</v>
      </c>
      <c r="P4172" s="1336" t="s">
        <v>1562</v>
      </c>
      <c r="Q4172" s="3389"/>
      <c r="R4172" s="1699" t="s">
        <v>1327</v>
      </c>
      <c r="S4172" s="16"/>
      <c r="T4172" s="16"/>
      <c r="U4172" s="16"/>
      <c r="V4172" s="16"/>
    </row>
    <row r="4173" spans="1:22">
      <c r="A4173" s="1807" t="s">
        <v>1973</v>
      </c>
      <c r="B4173" s="4326"/>
      <c r="C4173" s="3351"/>
      <c r="D4173" s="4328"/>
      <c r="E4173" s="4330"/>
      <c r="F4173" s="4336"/>
      <c r="G4173" s="4332"/>
      <c r="H4173" s="4332"/>
      <c r="I4173" s="1345">
        <v>277.56</v>
      </c>
      <c r="J4173" s="1307">
        <v>3.0000000000000001E-3</v>
      </c>
      <c r="K4173" s="1307">
        <f>I4173*J4173</f>
        <v>0.83267999999999998</v>
      </c>
      <c r="L4173" s="4334"/>
      <c r="M4173" s="4335"/>
      <c r="N4173" s="4324"/>
      <c r="O4173" s="1298">
        <f>SUM(O4175:O4189)</f>
        <v>13.77628</v>
      </c>
      <c r="P4173" s="1337">
        <f>O4173*K4173</f>
        <v>11.4712328304</v>
      </c>
      <c r="Q4173" s="3390"/>
      <c r="R4173" s="1721">
        <f>SUM(P4175:P4189)</f>
        <v>11.471232830399998</v>
      </c>
      <c r="S4173" s="16"/>
      <c r="T4173" s="16"/>
      <c r="U4173" s="16"/>
      <c r="V4173" s="16"/>
    </row>
    <row r="4174" spans="1:22">
      <c r="B4174" s="551"/>
      <c r="C4174" s="18"/>
      <c r="D4174" s="1400"/>
      <c r="E4174" s="2121"/>
      <c r="F4174" s="1368" t="s">
        <v>1</v>
      </c>
      <c r="G4174" s="1417"/>
      <c r="H4174" s="1390"/>
      <c r="I4174" s="1554"/>
      <c r="J4174" s="1367"/>
      <c r="K4174" s="1367"/>
      <c r="L4174" s="1554"/>
      <c r="M4174" s="1369"/>
      <c r="N4174" s="1369"/>
      <c r="O4174" s="1369"/>
      <c r="P4174" s="1367"/>
      <c r="Q4174" s="3387"/>
      <c r="R4174" s="3363"/>
      <c r="S4174" s="16"/>
      <c r="T4174" s="16"/>
      <c r="U4174" s="16"/>
      <c r="V4174" s="16"/>
    </row>
    <row r="4175" spans="1:22">
      <c r="B4175" s="553"/>
      <c r="C4175" s="1042"/>
      <c r="D4175" s="1400" t="s">
        <v>2794</v>
      </c>
      <c r="E4175" s="1856" t="s">
        <v>1504</v>
      </c>
      <c r="F4175" s="1421" t="s">
        <v>2795</v>
      </c>
      <c r="G4175" s="1399">
        <v>0.72</v>
      </c>
      <c r="H4175" s="1399"/>
      <c r="I4175" s="1760"/>
      <c r="J4175" s="198"/>
      <c r="K4175" s="1307">
        <f>G4175*K4173</f>
        <v>0.5995296</v>
      </c>
      <c r="L4175" s="1335">
        <f t="shared" ref="L4175:L4178" si="477">K4175*$K$4143</f>
        <v>0</v>
      </c>
      <c r="M4175" s="1499">
        <v>7.1</v>
      </c>
      <c r="N4175" s="1701"/>
      <c r="O4175" s="1290">
        <f>(G4175*M4175)</f>
        <v>5.1119999999999992</v>
      </c>
      <c r="P4175" s="1332">
        <f>M4175*K4175</f>
        <v>4.25666016</v>
      </c>
      <c r="Q4175" s="3391"/>
      <c r="R4175" s="3363"/>
      <c r="S4175" s="16"/>
      <c r="T4175" s="16"/>
      <c r="U4175" s="16"/>
      <c r="V4175" s="16"/>
    </row>
    <row r="4176" spans="1:22">
      <c r="B4176" s="553"/>
      <c r="C4176" s="1042"/>
      <c r="D4176" s="1400" t="s">
        <v>2796</v>
      </c>
      <c r="E4176" s="1856" t="s">
        <v>1517</v>
      </c>
      <c r="F4176" s="1421" t="s">
        <v>2797</v>
      </c>
      <c r="G4176" s="1399">
        <v>1.2E-2</v>
      </c>
      <c r="H4176" s="1399"/>
      <c r="I4176" s="1760"/>
      <c r="J4176" s="198"/>
      <c r="K4176" s="1307">
        <f>G4176*K4173</f>
        <v>9.9921599999999999E-3</v>
      </c>
      <c r="L4176" s="1335">
        <f t="shared" si="477"/>
        <v>0</v>
      </c>
      <c r="M4176" s="1499">
        <v>225.64</v>
      </c>
      <c r="N4176" s="1701"/>
      <c r="O4176" s="1290">
        <f>(G4176*M4176)</f>
        <v>2.7076799999999999</v>
      </c>
      <c r="P4176" s="1332">
        <f>M4176*K4176</f>
        <v>2.2546309823999997</v>
      </c>
      <c r="Q4176" s="3391"/>
      <c r="R4176" s="3363"/>
      <c r="S4176" s="16"/>
      <c r="T4176" s="16"/>
      <c r="U4176" s="16"/>
      <c r="V4176" s="16"/>
    </row>
    <row r="4177" spans="1:22">
      <c r="B4177" s="553"/>
      <c r="C4177" s="1042"/>
      <c r="D4177" s="1400" t="s">
        <v>1097</v>
      </c>
      <c r="E4177" s="1856" t="s">
        <v>1504</v>
      </c>
      <c r="F4177" s="1421" t="s">
        <v>1632</v>
      </c>
      <c r="G4177" s="1399">
        <v>1</v>
      </c>
      <c r="H4177" s="1399"/>
      <c r="I4177" s="1760"/>
      <c r="J4177" s="198"/>
      <c r="K4177" s="1307">
        <f>G4177*K4173</f>
        <v>0.83267999999999998</v>
      </c>
      <c r="L4177" s="1335">
        <f t="shared" si="477"/>
        <v>0</v>
      </c>
      <c r="M4177" s="1499">
        <v>0.55000000000000004</v>
      </c>
      <c r="N4177" s="1701"/>
      <c r="O4177" s="1290">
        <f>(G4177*M4177)</f>
        <v>0.55000000000000004</v>
      </c>
      <c r="P4177" s="1332">
        <f>M4177*K4177</f>
        <v>0.45797400000000005</v>
      </c>
      <c r="Q4177" s="3391"/>
      <c r="R4177" s="3363"/>
      <c r="S4177" s="16"/>
      <c r="T4177" s="16"/>
      <c r="U4177" s="16"/>
      <c r="V4177" s="16"/>
    </row>
    <row r="4178" spans="1:22">
      <c r="B4178" s="553"/>
      <c r="C4178" s="1042"/>
      <c r="D4178" s="1400" t="s">
        <v>1082</v>
      </c>
      <c r="E4178" s="1856" t="s">
        <v>1504</v>
      </c>
      <c r="F4178" s="1421" t="s">
        <v>1541</v>
      </c>
      <c r="G4178" s="1399">
        <v>1</v>
      </c>
      <c r="H4178" s="1399"/>
      <c r="I4178" s="1760"/>
      <c r="J4178" s="198"/>
      <c r="K4178" s="1307">
        <f>G4178*K4173</f>
        <v>0.83267999999999998</v>
      </c>
      <c r="L4178" s="1335">
        <f t="shared" si="477"/>
        <v>0</v>
      </c>
      <c r="M4178" s="1499">
        <v>0.3</v>
      </c>
      <c r="N4178" s="1701"/>
      <c r="O4178" s="1290">
        <f>(G4178*M4178)</f>
        <v>0.3</v>
      </c>
      <c r="P4178" s="1332">
        <f>M4178*K4178</f>
        <v>0.24980399999999997</v>
      </c>
      <c r="Q4178" s="3391"/>
      <c r="R4178" s="3363"/>
      <c r="S4178" s="16"/>
      <c r="T4178" s="16"/>
      <c r="U4178" s="16"/>
      <c r="V4178" s="16"/>
    </row>
    <row r="4179" spans="1:22">
      <c r="B4179" s="553"/>
      <c r="C4179" s="1042"/>
      <c r="D4179" s="1400"/>
      <c r="E4179" s="1856"/>
      <c r="F4179" s="1421"/>
      <c r="G4179" s="1399"/>
      <c r="H4179" s="1399"/>
      <c r="I4179" s="1760"/>
      <c r="J4179" s="198"/>
      <c r="K4179" s="1307"/>
      <c r="L4179" s="1335"/>
      <c r="M4179" s="1499"/>
      <c r="N4179" s="1701"/>
      <c r="O4179" s="1290"/>
      <c r="P4179" s="1332"/>
      <c r="Q4179" s="3391"/>
      <c r="R4179" s="3363"/>
      <c r="S4179" s="16"/>
      <c r="T4179" s="16"/>
      <c r="U4179" s="16"/>
      <c r="V4179" s="16"/>
    </row>
    <row r="4180" spans="1:22">
      <c r="B4180" s="553"/>
      <c r="C4180" s="1042"/>
      <c r="D4180" s="1400"/>
      <c r="E4180" s="1856"/>
      <c r="F4180" s="1421"/>
      <c r="G4180" s="1399"/>
      <c r="H4180" s="1399"/>
      <c r="I4180" s="1760"/>
      <c r="J4180" s="198"/>
      <c r="K4180" s="1307"/>
      <c r="L4180" s="1335"/>
      <c r="M4180" s="1499"/>
      <c r="N4180" s="1701"/>
      <c r="O4180" s="1290"/>
      <c r="P4180" s="1332"/>
      <c r="Q4180" s="3391"/>
      <c r="R4180" s="3363"/>
      <c r="S4180" s="16"/>
      <c r="T4180" s="16"/>
      <c r="U4180" s="16"/>
      <c r="V4180" s="16"/>
    </row>
    <row r="4181" spans="1:22">
      <c r="B4181" s="553"/>
      <c r="C4181" s="1042"/>
      <c r="D4181" s="1400"/>
      <c r="E4181" s="1856"/>
      <c r="F4181" s="1421"/>
      <c r="G4181" s="1452"/>
      <c r="H4181" s="1399"/>
      <c r="I4181" s="197"/>
      <c r="J4181" s="198"/>
      <c r="K4181" s="1307"/>
      <c r="L4181" s="1335"/>
      <c r="M4181" s="1499"/>
      <c r="N4181" s="1701"/>
      <c r="O4181" s="1290"/>
      <c r="P4181" s="1332"/>
      <c r="Q4181" s="3391"/>
      <c r="R4181" s="3363"/>
      <c r="S4181" s="16"/>
      <c r="T4181" s="16"/>
      <c r="U4181" s="16"/>
      <c r="V4181" s="16"/>
    </row>
    <row r="4182" spans="1:22">
      <c r="B4182" s="553"/>
      <c r="C4182" s="1042"/>
      <c r="D4182" s="1410"/>
      <c r="E4182" s="1858"/>
      <c r="F4182" s="1360" t="s">
        <v>2</v>
      </c>
      <c r="G4182" s="1360"/>
      <c r="H4182" s="1362"/>
      <c r="I4182" s="1380"/>
      <c r="J4182" s="1381"/>
      <c r="K4182" s="1359"/>
      <c r="L4182" s="1458"/>
      <c r="M4182" s="1502"/>
      <c r="N4182" s="1502"/>
      <c r="O4182" s="1362"/>
      <c r="P4182" s="1359"/>
      <c r="Q4182" s="3387"/>
      <c r="R4182" s="3363"/>
      <c r="S4182" s="16"/>
      <c r="T4182" s="16"/>
      <c r="U4182" s="16"/>
      <c r="V4182" s="16"/>
    </row>
    <row r="4183" spans="1:22">
      <c r="B4183" s="553"/>
      <c r="C4183" s="1042"/>
      <c r="D4183" s="1364" t="s">
        <v>1121</v>
      </c>
      <c r="E4183" s="2148" t="s">
        <v>1508</v>
      </c>
      <c r="F4183" s="1473" t="s">
        <v>1663</v>
      </c>
      <c r="G4183" s="1365">
        <v>0.18</v>
      </c>
      <c r="H4183" s="1365"/>
      <c r="I4183" s="198"/>
      <c r="J4183" s="6"/>
      <c r="K4183" s="1307">
        <f>G4183*K4173</f>
        <v>0.1498824</v>
      </c>
      <c r="L4183" s="1335">
        <f t="shared" ref="L4183:L4184" si="478">K4183*$K$4143</f>
        <v>0</v>
      </c>
      <c r="M4183" s="1499">
        <v>19.23</v>
      </c>
      <c r="N4183" s="1701"/>
      <c r="O4183" s="1290">
        <f>(G4183*M4183)</f>
        <v>3.4613999999999998</v>
      </c>
      <c r="P4183" s="1332">
        <f>M4183*K4183</f>
        <v>2.882238552</v>
      </c>
      <c r="Q4183" s="3391"/>
      <c r="R4183" s="3363"/>
      <c r="S4183" s="16"/>
      <c r="T4183" s="16"/>
      <c r="U4183" s="16"/>
      <c r="V4183" s="16"/>
    </row>
    <row r="4184" spans="1:22">
      <c r="B4184" s="553"/>
      <c r="C4184" s="1042"/>
      <c r="D4184" s="1623" t="s">
        <v>1067</v>
      </c>
      <c r="E4184" s="2158" t="s">
        <v>1508</v>
      </c>
      <c r="F4184" s="1801" t="s">
        <v>1512</v>
      </c>
      <c r="G4184" s="1359">
        <v>0.09</v>
      </c>
      <c r="H4184" s="1803"/>
      <c r="I4184" s="198"/>
      <c r="J4184" s="6"/>
      <c r="K4184" s="1307">
        <f>G4184*K4173</f>
        <v>7.4941199999999999E-2</v>
      </c>
      <c r="L4184" s="1335">
        <f t="shared" si="478"/>
        <v>0</v>
      </c>
      <c r="M4184" s="1499">
        <v>18.28</v>
      </c>
      <c r="N4184" s="1701"/>
      <c r="O4184" s="1290">
        <f>(G4184*M4184)</f>
        <v>1.6452</v>
      </c>
      <c r="P4184" s="1332">
        <f>M4184*K4184</f>
        <v>1.369925136</v>
      </c>
      <c r="Q4184" s="3391"/>
      <c r="R4184" s="3363"/>
      <c r="S4184" s="16"/>
      <c r="T4184" s="16"/>
      <c r="U4184" s="16"/>
      <c r="V4184" s="16"/>
    </row>
    <row r="4185" spans="1:22">
      <c r="B4185" s="553"/>
      <c r="C4185" s="1042"/>
      <c r="D4185" s="1623"/>
      <c r="E4185" s="2158"/>
      <c r="F4185" s="1801"/>
      <c r="G4185" s="1359"/>
      <c r="H4185" s="1803"/>
      <c r="I4185" s="198"/>
      <c r="J4185" s="6"/>
      <c r="K4185" s="1307"/>
      <c r="L4185" s="1335"/>
      <c r="M4185" s="1499"/>
      <c r="N4185" s="1701"/>
      <c r="O4185" s="1290"/>
      <c r="P4185" s="1332"/>
      <c r="Q4185" s="3391"/>
      <c r="R4185" s="3363"/>
      <c r="S4185" s="16"/>
      <c r="T4185" s="16"/>
      <c r="U4185" s="16"/>
      <c r="V4185" s="16"/>
    </row>
    <row r="4186" spans="1:22">
      <c r="B4186" s="553"/>
      <c r="C4186" s="1042"/>
      <c r="D4186" s="1411"/>
      <c r="E4186" s="2123"/>
      <c r="F4186" s="1802" t="s">
        <v>3</v>
      </c>
      <c r="G4186" s="1475"/>
      <c r="H4186" s="1505"/>
      <c r="I4186" s="1382"/>
      <c r="J4186" s="1383"/>
      <c r="K4186" s="1373"/>
      <c r="L4186" s="1413"/>
      <c r="M4186" s="1505"/>
      <c r="N4186" s="1505"/>
      <c r="O4186" s="1376"/>
      <c r="P4186" s="1413"/>
      <c r="Q4186" s="3387"/>
      <c r="R4186" s="3363"/>
      <c r="S4186" s="16"/>
      <c r="T4186" s="16"/>
      <c r="U4186" s="16"/>
      <c r="V4186" s="16"/>
    </row>
    <row r="4187" spans="1:22">
      <c r="B4187" s="553"/>
      <c r="C4187" s="1042"/>
      <c r="D4187" s="1411"/>
      <c r="E4187" s="2123"/>
      <c r="F4187" s="1475"/>
      <c r="G4187" s="1475"/>
      <c r="H4187" s="1376"/>
      <c r="I4187" s="198"/>
      <c r="J4187" s="6"/>
      <c r="K4187" s="1307"/>
      <c r="L4187" s="1335"/>
      <c r="M4187" s="1499"/>
      <c r="N4187" s="1701"/>
      <c r="O4187" s="1290"/>
      <c r="P4187" s="1332"/>
      <c r="Q4187" s="3391"/>
      <c r="R4187" s="3363"/>
      <c r="S4187" s="16"/>
      <c r="T4187" s="16"/>
      <c r="U4187" s="16"/>
      <c r="V4187" s="16"/>
    </row>
    <row r="4188" spans="1:22">
      <c r="B4188" s="553"/>
      <c r="C4188" s="1042"/>
      <c r="D4188" s="1412"/>
      <c r="E4188" s="2124"/>
      <c r="F4188" s="1377"/>
      <c r="G4188" s="1377"/>
      <c r="H4188" s="1597"/>
      <c r="I4188" s="198"/>
      <c r="J4188" s="6"/>
      <c r="K4188" s="1306"/>
      <c r="L4188" s="1646"/>
      <c r="M4188" s="1302"/>
      <c r="N4188" s="1302"/>
      <c r="O4188" s="1291"/>
      <c r="P4188" s="1332"/>
      <c r="Q4188" s="3391"/>
      <c r="R4188" s="2337"/>
      <c r="S4188" s="16"/>
      <c r="T4188" s="16"/>
      <c r="U4188" s="16"/>
      <c r="V4188" s="16"/>
    </row>
    <row r="4189" spans="1:22">
      <c r="B4189" s="554"/>
      <c r="C4189" s="223"/>
      <c r="D4189" s="1808"/>
      <c r="E4189" s="2132"/>
      <c r="F4189" s="1804"/>
      <c r="G4189" s="1804"/>
      <c r="H4189" s="1805"/>
      <c r="I4189" s="197"/>
      <c r="J4189" s="1806"/>
      <c r="K4189" s="1307"/>
      <c r="L4189" s="1335"/>
      <c r="M4189" s="1701"/>
      <c r="N4189" s="1701"/>
      <c r="O4189" s="1290"/>
      <c r="P4189" s="1333"/>
      <c r="Q4189" s="3391"/>
      <c r="R4189" s="3363"/>
      <c r="S4189" s="16"/>
      <c r="T4189" s="16"/>
      <c r="U4189" s="16"/>
      <c r="V4189" s="16"/>
    </row>
    <row r="4190" spans="1:22">
      <c r="A4190" s="16" t="s">
        <v>3764</v>
      </c>
      <c r="B4190" s="4325" t="s">
        <v>1736</v>
      </c>
      <c r="C4190" s="3350"/>
      <c r="D4190" s="4327"/>
      <c r="E4190" s="4329" t="s">
        <v>1527</v>
      </c>
      <c r="F4190" s="4336" t="s">
        <v>1772</v>
      </c>
      <c r="G4190" s="4331" t="s">
        <v>1568</v>
      </c>
      <c r="H4190" s="4331" t="s">
        <v>1574</v>
      </c>
      <c r="I4190" s="1572" t="s">
        <v>1559</v>
      </c>
      <c r="J4190" s="1294" t="s">
        <v>1560</v>
      </c>
      <c r="K4190" s="1294" t="s">
        <v>1561</v>
      </c>
      <c r="L4190" s="4333" t="s">
        <v>3765</v>
      </c>
      <c r="M4190" s="4335" t="s">
        <v>1571</v>
      </c>
      <c r="N4190" s="4323" t="s">
        <v>1776</v>
      </c>
      <c r="O4190" s="3347" t="s">
        <v>1563</v>
      </c>
      <c r="P4190" s="1336" t="s">
        <v>1562</v>
      </c>
      <c r="Q4190" s="3389"/>
      <c r="R4190" s="1699" t="s">
        <v>1327</v>
      </c>
      <c r="S4190" s="17"/>
      <c r="T4190" s="17"/>
      <c r="U4190" s="16"/>
      <c r="V4190" s="16"/>
    </row>
    <row r="4191" spans="1:22">
      <c r="A4191" s="1807" t="s">
        <v>1973</v>
      </c>
      <c r="B4191" s="4326"/>
      <c r="C4191" s="3351"/>
      <c r="D4191" s="4328"/>
      <c r="E4191" s="4330"/>
      <c r="F4191" s="4336"/>
      <c r="G4191" s="4332"/>
      <c r="H4191" s="4332"/>
      <c r="I4191" s="1345">
        <v>277.02000000000004</v>
      </c>
      <c r="J4191" s="1307">
        <v>3.0000000000000001E-3</v>
      </c>
      <c r="K4191" s="1307">
        <f>I4191*J4191</f>
        <v>0.83106000000000013</v>
      </c>
      <c r="L4191" s="4334"/>
      <c r="M4191" s="4335"/>
      <c r="N4191" s="4324"/>
      <c r="O4191" s="1298">
        <f>O4193+O4194+O4195+O4199+O4203+O4211</f>
        <v>29.094884700000001</v>
      </c>
      <c r="P4191" s="1337">
        <f>O4191*K4191</f>
        <v>24.179594878782005</v>
      </c>
      <c r="Q4191" s="3390"/>
      <c r="R4191" s="1721">
        <f>P4193+P4194+P4195+P4199+P4203+P4211</f>
        <v>24.179594878782005</v>
      </c>
      <c r="S4191" s="17"/>
      <c r="T4191" s="17"/>
      <c r="U4191" s="16"/>
      <c r="V4191" s="16"/>
    </row>
    <row r="4192" spans="1:22">
      <c r="A4192" s="1320"/>
      <c r="B4192" s="22"/>
      <c r="C4192" s="18"/>
      <c r="D4192" s="1400"/>
      <c r="E4192" s="2121"/>
      <c r="F4192" s="1368" t="s">
        <v>1</v>
      </c>
      <c r="G4192" s="1368"/>
      <c r="H4192" s="1369"/>
      <c r="I4192" s="1391"/>
      <c r="J4192" s="1369"/>
      <c r="K4192" s="1367"/>
      <c r="L4192" s="1554"/>
      <c r="M4192" s="1369"/>
      <c r="N4192" s="1369"/>
      <c r="O4192" s="1369"/>
      <c r="P4192" s="1367"/>
      <c r="Q4192" s="3387"/>
      <c r="R4192" s="2344"/>
      <c r="S4192" s="17"/>
      <c r="T4192" s="17"/>
      <c r="U4192" s="16"/>
      <c r="V4192" s="16"/>
    </row>
    <row r="4193" spans="1:22">
      <c r="A4193" s="1320"/>
      <c r="B4193" s="22"/>
      <c r="C4193" s="1042"/>
      <c r="D4193" s="1767" t="s">
        <v>1784</v>
      </c>
      <c r="E4193" s="1849" t="s">
        <v>1521</v>
      </c>
      <c r="F4193" s="1654" t="s">
        <v>1785</v>
      </c>
      <c r="G4193" s="1567">
        <v>1E-3</v>
      </c>
      <c r="H4193" s="1567"/>
      <c r="I4193" s="1286"/>
      <c r="J4193" s="198"/>
      <c r="K4193" s="1307">
        <f>G4193*$K$4191</f>
        <v>8.3106000000000011E-4</v>
      </c>
      <c r="L4193" s="1335">
        <f>K4193*$K$4143</f>
        <v>0</v>
      </c>
      <c r="M4193" s="1499">
        <v>236.83</v>
      </c>
      <c r="N4193" s="1700"/>
      <c r="O4193" s="1290">
        <f>G4193*M4193</f>
        <v>0.23683000000000001</v>
      </c>
      <c r="P4193" s="1332">
        <f>M4193*K4193</f>
        <v>0.19681993980000004</v>
      </c>
      <c r="Q4193" s="3391"/>
      <c r="R4193" s="2337"/>
      <c r="S4193" s="17"/>
      <c r="T4193" s="17"/>
      <c r="U4193" s="16"/>
      <c r="V4193" s="16"/>
    </row>
    <row r="4194" spans="1:22">
      <c r="A4194" s="1320"/>
      <c r="B4194" s="22"/>
      <c r="C4194" s="1042"/>
      <c r="D4194" s="1769" t="s">
        <v>1786</v>
      </c>
      <c r="E4194" s="1850" t="s">
        <v>1787</v>
      </c>
      <c r="F4194" s="1770" t="s">
        <v>1788</v>
      </c>
      <c r="G4194" s="1771">
        <v>1.1000000000000001</v>
      </c>
      <c r="H4194" s="1771"/>
      <c r="I4194" s="1286"/>
      <c r="J4194" s="198"/>
      <c r="K4194" s="1307">
        <f>G4194*$K$4191</f>
        <v>0.91416600000000026</v>
      </c>
      <c r="L4194" s="1335">
        <f t="shared" ref="L4194" si="479">K4194*$K$4143</f>
        <v>0</v>
      </c>
      <c r="M4194" s="1302">
        <v>1.53</v>
      </c>
      <c r="N4194" s="1700"/>
      <c r="O4194" s="1290">
        <f>G4194*M4194</f>
        <v>1.6830000000000003</v>
      </c>
      <c r="P4194" s="1332">
        <f>M4194*K4194</f>
        <v>1.3986739800000003</v>
      </c>
      <c r="Q4194" s="3391"/>
      <c r="R4194" s="2337"/>
      <c r="S4194" s="17"/>
      <c r="T4194" s="17"/>
      <c r="U4194" s="16"/>
      <c r="V4194" s="16"/>
    </row>
    <row r="4195" spans="1:22">
      <c r="A4195" s="1320"/>
      <c r="B4195" s="22"/>
      <c r="C4195" s="1356" t="s">
        <v>1128</v>
      </c>
      <c r="D4195" s="1585"/>
      <c r="E4195" s="1851" t="s">
        <v>1517</v>
      </c>
      <c r="F4195" s="1774" t="s">
        <v>1695</v>
      </c>
      <c r="G4195" s="1776"/>
      <c r="H4195" s="1776">
        <v>1.2E-2</v>
      </c>
      <c r="I4195" s="1388"/>
      <c r="J4195" s="1366"/>
      <c r="K4195" s="1510"/>
      <c r="L4195" s="1445"/>
      <c r="M4195" s="1447"/>
      <c r="N4195" s="1447">
        <f>SUM(N4196:N4198)</f>
        <v>104.27969999999999</v>
      </c>
      <c r="O4195" s="1447">
        <f>SUM(O4196:O4198)</f>
        <v>1.2513564000000001</v>
      </c>
      <c r="P4195" s="1446">
        <f>SUM(P4196:P4198)</f>
        <v>1.0399522497840004</v>
      </c>
      <c r="Q4195" s="3391"/>
      <c r="R4195" s="2337"/>
      <c r="S4195" s="17"/>
      <c r="T4195" s="17"/>
      <c r="U4195" s="16"/>
      <c r="V4195" s="16"/>
    </row>
    <row r="4196" spans="1:22">
      <c r="A4196" s="1320"/>
      <c r="B4196" s="22"/>
      <c r="C4196" s="1042"/>
      <c r="D4196" s="1752" t="s">
        <v>1779</v>
      </c>
      <c r="E4196" s="1852" t="s">
        <v>1577</v>
      </c>
      <c r="F4196" s="1752" t="s">
        <v>1780</v>
      </c>
      <c r="G4196" s="1775">
        <v>0.876</v>
      </c>
      <c r="H4196" s="1453">
        <f>$H$2992*G4196</f>
        <v>1.0512000000000001E-2</v>
      </c>
      <c r="I4196" s="197"/>
      <c r="J4196" s="198"/>
      <c r="K4196" s="1307">
        <f>H4196*$K$4191</f>
        <v>8.7361027200000014E-3</v>
      </c>
      <c r="L4196" s="1335">
        <f t="shared" ref="L4196:L4198" si="480">K4196*$K$4143</f>
        <v>0</v>
      </c>
      <c r="M4196" s="1759">
        <v>56.05</v>
      </c>
      <c r="N4196" s="1718">
        <f>G4196*M4196</f>
        <v>49.099799999999995</v>
      </c>
      <c r="O4196" s="1719">
        <f>H4196*M4196</f>
        <v>0.58919759999999999</v>
      </c>
      <c r="P4196" s="1720">
        <f>M4196*K4196</f>
        <v>0.48965855745600007</v>
      </c>
      <c r="Q4196" s="3396"/>
      <c r="R4196" s="2337"/>
      <c r="S4196" s="17"/>
      <c r="T4196" s="17"/>
      <c r="U4196" s="16"/>
      <c r="V4196" s="16"/>
    </row>
    <row r="4197" spans="1:22">
      <c r="A4197" s="1320"/>
      <c r="B4197" s="22"/>
      <c r="C4197" s="1042"/>
      <c r="D4197" s="1752" t="s">
        <v>1069</v>
      </c>
      <c r="E4197" s="1852" t="s">
        <v>1517</v>
      </c>
      <c r="F4197" s="1752" t="s">
        <v>1578</v>
      </c>
      <c r="G4197" s="1753">
        <v>0.61799999999999999</v>
      </c>
      <c r="H4197" s="1453">
        <f t="shared" ref="H4197:H4198" si="481">$H$2992*G4197</f>
        <v>7.4159999999999998E-3</v>
      </c>
      <c r="I4197" s="27"/>
      <c r="J4197" s="10"/>
      <c r="K4197" s="1307">
        <f t="shared" ref="K4197:K4198" si="482">H4197*$K$4191</f>
        <v>6.1631409600000006E-3</v>
      </c>
      <c r="L4197" s="1335">
        <f t="shared" si="480"/>
        <v>0</v>
      </c>
      <c r="M4197" s="1759">
        <v>0.55000000000000004</v>
      </c>
      <c r="N4197" s="1718">
        <f>G4197*M4197</f>
        <v>0.33990000000000004</v>
      </c>
      <c r="O4197" s="1719">
        <f>H4197*M4197</f>
        <v>4.0788000000000005E-3</v>
      </c>
      <c r="P4197" s="1720">
        <f>M4197*K4197</f>
        <v>3.3897275280000004E-3</v>
      </c>
      <c r="Q4197" s="3396"/>
      <c r="R4197" s="2337"/>
      <c r="S4197" s="17"/>
      <c r="T4197" s="17"/>
      <c r="U4197" s="16"/>
      <c r="V4197" s="16"/>
    </row>
    <row r="4198" spans="1:22">
      <c r="A4198" s="1320"/>
      <c r="B4198" s="22"/>
      <c r="C4198" s="1042"/>
      <c r="D4198" s="1754" t="s">
        <v>1067</v>
      </c>
      <c r="E4198" s="1853" t="s">
        <v>1508</v>
      </c>
      <c r="F4198" s="1754" t="s">
        <v>1512</v>
      </c>
      <c r="G4198" s="1755">
        <v>3</v>
      </c>
      <c r="H4198" s="1454">
        <f t="shared" si="481"/>
        <v>3.6000000000000004E-2</v>
      </c>
      <c r="I4198" s="198"/>
      <c r="J4198" s="198"/>
      <c r="K4198" s="1307">
        <f t="shared" si="482"/>
        <v>2.991816000000001E-2</v>
      </c>
      <c r="L4198" s="1335">
        <f t="shared" si="480"/>
        <v>0</v>
      </c>
      <c r="M4198" s="1759">
        <v>18.28</v>
      </c>
      <c r="N4198" s="1718">
        <f>G4198*M4198</f>
        <v>54.84</v>
      </c>
      <c r="O4198" s="1719">
        <f>H4198*M4198</f>
        <v>0.65808000000000011</v>
      </c>
      <c r="P4198" s="1720">
        <f>M4198*K4198</f>
        <v>0.54690396480000025</v>
      </c>
      <c r="Q4198" s="3396"/>
      <c r="R4198" s="2337"/>
      <c r="S4198" s="17"/>
      <c r="T4198" s="17"/>
      <c r="U4198" s="16"/>
      <c r="V4198" s="16"/>
    </row>
    <row r="4199" spans="1:22">
      <c r="A4199" s="1320"/>
      <c r="B4199" s="22"/>
      <c r="C4199" s="1356" t="s">
        <v>1152</v>
      </c>
      <c r="D4199" s="1311"/>
      <c r="E4199" s="1854" t="s">
        <v>1517</v>
      </c>
      <c r="F4199" s="1749" t="s">
        <v>1696</v>
      </c>
      <c r="G4199" s="1776"/>
      <c r="H4199" s="1688">
        <v>5.0000000000000001E-3</v>
      </c>
      <c r="I4199" s="1388"/>
      <c r="J4199" s="1388"/>
      <c r="K4199" s="1510"/>
      <c r="L4199" s="1445"/>
      <c r="M4199" s="1447"/>
      <c r="N4199" s="1447">
        <f>SUM(N4200:N4202)</f>
        <v>108.04650000000001</v>
      </c>
      <c r="O4199" s="1447">
        <f>SUM(O4200:O4202)</f>
        <v>0.54023250000000012</v>
      </c>
      <c r="P4199" s="1446">
        <f>SUM(P4200:P4202)</f>
        <v>0.44896562145000007</v>
      </c>
      <c r="Q4199" s="3391"/>
      <c r="R4199" s="2337"/>
      <c r="S4199" s="17"/>
      <c r="T4199" s="17"/>
      <c r="U4199" s="16"/>
      <c r="V4199" s="16"/>
    </row>
    <row r="4200" spans="1:22">
      <c r="A4200" s="1320"/>
      <c r="B4200" s="22"/>
      <c r="C4200" s="18"/>
      <c r="D4200" s="1756" t="s">
        <v>1781</v>
      </c>
      <c r="E4200" s="1852" t="s">
        <v>1577</v>
      </c>
      <c r="F4200" s="1752" t="s">
        <v>1782</v>
      </c>
      <c r="G4200" s="1753">
        <v>0.876</v>
      </c>
      <c r="H4200" s="1453">
        <f>$H$2996*G4200</f>
        <v>4.3800000000000002E-3</v>
      </c>
      <c r="I4200" s="198"/>
      <c r="J4200" s="198"/>
      <c r="K4200" s="1307">
        <f>H4200*$K$4191</f>
        <v>3.6400428000000007E-3</v>
      </c>
      <c r="L4200" s="1335">
        <f t="shared" ref="L4200:L4202" si="483">K4200*$K$4143</f>
        <v>0</v>
      </c>
      <c r="M4200" s="1759">
        <v>60.35</v>
      </c>
      <c r="N4200" s="1718">
        <f>G4200*M4200</f>
        <v>52.866599999999998</v>
      </c>
      <c r="O4200" s="1719">
        <f>H4200*M4200</f>
        <v>0.26433300000000004</v>
      </c>
      <c r="P4200" s="1720">
        <f>M4200*K4200</f>
        <v>0.21967658298000006</v>
      </c>
      <c r="Q4200" s="3396"/>
      <c r="R4200" s="2337"/>
      <c r="S4200" s="17"/>
      <c r="T4200" s="17"/>
      <c r="U4200" s="16"/>
      <c r="V4200" s="16"/>
    </row>
    <row r="4201" spans="1:22">
      <c r="A4201" s="1320"/>
      <c r="B4201" s="22"/>
      <c r="C4201" s="1042"/>
      <c r="D4201" s="1756" t="s">
        <v>1069</v>
      </c>
      <c r="E4201" s="1852" t="s">
        <v>1517</v>
      </c>
      <c r="F4201" s="1752" t="s">
        <v>1578</v>
      </c>
      <c r="G4201" s="1753">
        <v>0.61799999999999999</v>
      </c>
      <c r="H4201" s="1453">
        <f t="shared" ref="H4201:H4202" si="484">$H$2996*G4201</f>
        <v>3.0899999999999999E-3</v>
      </c>
      <c r="I4201" s="197"/>
      <c r="J4201" s="198"/>
      <c r="K4201" s="1307">
        <f t="shared" ref="K4201:K4202" si="485">H4201*$K$4191</f>
        <v>2.5679754000000003E-3</v>
      </c>
      <c r="L4201" s="1335">
        <f t="shared" si="483"/>
        <v>0</v>
      </c>
      <c r="M4201" s="1759">
        <v>0.55000000000000004</v>
      </c>
      <c r="N4201" s="1718">
        <f>G4201*M4201</f>
        <v>0.33990000000000004</v>
      </c>
      <c r="O4201" s="1719">
        <f>H4201*M4201</f>
        <v>1.6995000000000001E-3</v>
      </c>
      <c r="P4201" s="1720">
        <f>M4201*K4201</f>
        <v>1.4123864700000004E-3</v>
      </c>
      <c r="Q4201" s="3396"/>
      <c r="R4201" s="2337"/>
      <c r="S4201" s="17"/>
      <c r="T4201" s="17"/>
      <c r="U4201" s="16"/>
      <c r="V4201" s="16"/>
    </row>
    <row r="4202" spans="1:22">
      <c r="A4202" s="1320"/>
      <c r="B4202" s="22"/>
      <c r="C4202" s="1042"/>
      <c r="D4202" s="1757" t="s">
        <v>1067</v>
      </c>
      <c r="E4202" s="1853" t="s">
        <v>1508</v>
      </c>
      <c r="F4202" s="1754" t="s">
        <v>1512</v>
      </c>
      <c r="G4202" s="1755">
        <v>3</v>
      </c>
      <c r="H4202" s="1454">
        <f t="shared" si="484"/>
        <v>1.4999999999999999E-2</v>
      </c>
      <c r="I4202" s="1289"/>
      <c r="J4202" s="198"/>
      <c r="K4202" s="1307">
        <f t="shared" si="485"/>
        <v>1.2465900000000002E-2</v>
      </c>
      <c r="L4202" s="1335">
        <f t="shared" si="483"/>
        <v>0</v>
      </c>
      <c r="M4202" s="1759">
        <v>18.28</v>
      </c>
      <c r="N4202" s="1718">
        <f>G4202*M4202</f>
        <v>54.84</v>
      </c>
      <c r="O4202" s="1719">
        <f>H4202*M4202</f>
        <v>0.2742</v>
      </c>
      <c r="P4202" s="1720">
        <f>M4202*K4202</f>
        <v>0.22787665200000004</v>
      </c>
      <c r="Q4202" s="3396"/>
      <c r="R4202" s="2338"/>
      <c r="S4202" s="17"/>
      <c r="T4202" s="17"/>
      <c r="U4202" s="16"/>
      <c r="V4202" s="16"/>
    </row>
    <row r="4203" spans="1:22">
      <c r="A4203" s="1320"/>
      <c r="B4203" s="22"/>
      <c r="C4203" s="1356" t="s">
        <v>1790</v>
      </c>
      <c r="D4203" s="1311"/>
      <c r="E4203" s="2137" t="s">
        <v>1517</v>
      </c>
      <c r="F4203" s="1319" t="s">
        <v>1791</v>
      </c>
      <c r="G4203" s="1776"/>
      <c r="H4203" s="1353">
        <v>0.01</v>
      </c>
      <c r="I4203" s="1444"/>
      <c r="J4203" s="1388"/>
      <c r="K4203" s="1445"/>
      <c r="L4203" s="1457"/>
      <c r="M4203" s="1446"/>
      <c r="N4203" s="1447">
        <f>SUM(N4204:N4208)</f>
        <v>76.906580000000005</v>
      </c>
      <c r="O4203" s="1447">
        <f>SUM(O4204:O4208)</f>
        <v>0.76906580000000013</v>
      </c>
      <c r="P4203" s="1447">
        <f>SUM(P4204:P4208)</f>
        <v>0.63913982374800005</v>
      </c>
      <c r="Q4203" s="3391"/>
      <c r="R4203" s="2338"/>
      <c r="S4203" s="17"/>
      <c r="T4203" s="17"/>
      <c r="U4203" s="16"/>
      <c r="V4203" s="16"/>
    </row>
    <row r="4204" spans="1:22">
      <c r="A4204" s="1320"/>
      <c r="B4204" s="22"/>
      <c r="C4204" s="1327"/>
      <c r="D4204" s="1752" t="s">
        <v>1069</v>
      </c>
      <c r="E4204" s="1852" t="s">
        <v>1517</v>
      </c>
      <c r="F4204" s="1752" t="s">
        <v>1578</v>
      </c>
      <c r="G4204" s="1753">
        <v>0.2</v>
      </c>
      <c r="H4204" s="1367">
        <f>$H$3000*G4204</f>
        <v>2E-3</v>
      </c>
      <c r="I4204" s="197"/>
      <c r="J4204" s="198"/>
      <c r="K4204" s="1307">
        <f>H4204*$K$4191</f>
        <v>1.6621200000000002E-3</v>
      </c>
      <c r="L4204" s="1335">
        <f t="shared" ref="L4204:L4208" si="486">K4204*$K$4143</f>
        <v>0</v>
      </c>
      <c r="M4204" s="1759">
        <v>0.55000000000000004</v>
      </c>
      <c r="N4204" s="1718">
        <f>G4204*M4204</f>
        <v>0.11000000000000001</v>
      </c>
      <c r="O4204" s="1719">
        <f>H4204*M4204</f>
        <v>1.1000000000000001E-3</v>
      </c>
      <c r="P4204" s="1720">
        <f>M4204*K4204</f>
        <v>9.1416600000000022E-4</v>
      </c>
      <c r="Q4204" s="3396"/>
      <c r="R4204" s="2338"/>
      <c r="S4204" s="17"/>
      <c r="T4204" s="17"/>
      <c r="U4204" s="16"/>
      <c r="V4204" s="16"/>
    </row>
    <row r="4205" spans="1:22" ht="16.5" customHeight="1">
      <c r="A4205" s="1320"/>
      <c r="B4205" s="22"/>
      <c r="C4205" s="1320"/>
      <c r="D4205" s="1752" t="s">
        <v>1792</v>
      </c>
      <c r="E4205" s="1852" t="s">
        <v>1577</v>
      </c>
      <c r="F4205" s="1752" t="s">
        <v>1793</v>
      </c>
      <c r="G4205" s="1753">
        <v>0.25</v>
      </c>
      <c r="H4205" s="1453">
        <f t="shared" ref="H4205:H4208" si="487">$H$3000*G4205</f>
        <v>2.5000000000000001E-3</v>
      </c>
      <c r="I4205" s="197"/>
      <c r="J4205" s="198"/>
      <c r="K4205" s="1307">
        <f t="shared" ref="K4205:K4208" si="488">H4205*$K$4191</f>
        <v>2.0776500000000003E-3</v>
      </c>
      <c r="L4205" s="1335">
        <f t="shared" si="486"/>
        <v>0</v>
      </c>
      <c r="M4205" s="1759">
        <v>85.09</v>
      </c>
      <c r="N4205" s="1718">
        <f>G4205*M4205</f>
        <v>21.272500000000001</v>
      </c>
      <c r="O4205" s="1719">
        <f>H4205*M4205</f>
        <v>0.21272500000000003</v>
      </c>
      <c r="P4205" s="1720">
        <f>M4205*K4205</f>
        <v>0.17678723850000003</v>
      </c>
      <c r="Q4205" s="3396"/>
      <c r="R4205" s="2338"/>
      <c r="S4205" s="17"/>
      <c r="T4205" s="17"/>
      <c r="U4205" s="16"/>
      <c r="V4205" s="16"/>
    </row>
    <row r="4206" spans="1:22" ht="16.5" customHeight="1">
      <c r="A4206" s="1320"/>
      <c r="B4206" s="22"/>
      <c r="C4206" s="1320"/>
      <c r="D4206" s="1752" t="s">
        <v>1394</v>
      </c>
      <c r="E4206" s="1852" t="s">
        <v>1577</v>
      </c>
      <c r="F4206" s="1752" t="s">
        <v>1579</v>
      </c>
      <c r="G4206" s="1753">
        <v>0.25</v>
      </c>
      <c r="H4206" s="1453">
        <f t="shared" si="487"/>
        <v>2.5000000000000001E-3</v>
      </c>
      <c r="I4206" s="197"/>
      <c r="J4206" s="198"/>
      <c r="K4206" s="1307">
        <f t="shared" si="488"/>
        <v>2.0776500000000003E-3</v>
      </c>
      <c r="L4206" s="1335">
        <f t="shared" si="486"/>
        <v>0</v>
      </c>
      <c r="M4206" s="1759">
        <v>92.54</v>
      </c>
      <c r="N4206" s="1718">
        <f>G4206*M4206</f>
        <v>23.135000000000002</v>
      </c>
      <c r="O4206" s="1719">
        <f>H4206*M4206</f>
        <v>0.23135000000000003</v>
      </c>
      <c r="P4206" s="1720">
        <f>M4206*K4206</f>
        <v>0.19226573100000005</v>
      </c>
      <c r="Q4206" s="3396"/>
      <c r="R4206" s="2343"/>
      <c r="S4206" s="17"/>
      <c r="T4206" s="17"/>
      <c r="U4206" s="16"/>
      <c r="V4206" s="16"/>
    </row>
    <row r="4207" spans="1:22" ht="16.5" customHeight="1">
      <c r="A4207" s="1320"/>
      <c r="B4207" s="22"/>
      <c r="C4207" s="1320"/>
      <c r="D4207" s="1752" t="s">
        <v>1576</v>
      </c>
      <c r="E4207" s="1852" t="s">
        <v>1517</v>
      </c>
      <c r="F4207" s="1752" t="s">
        <v>1580</v>
      </c>
      <c r="G4207" s="1753">
        <v>1.5</v>
      </c>
      <c r="H4207" s="1367">
        <f t="shared" si="487"/>
        <v>1.4999999999999999E-2</v>
      </c>
      <c r="I4207" s="197"/>
      <c r="J4207" s="198"/>
      <c r="K4207" s="1307">
        <f t="shared" si="488"/>
        <v>1.2465900000000002E-2</v>
      </c>
      <c r="L4207" s="1335">
        <f t="shared" si="486"/>
        <v>0</v>
      </c>
      <c r="M4207" s="1759">
        <v>6.53</v>
      </c>
      <c r="N4207" s="1718">
        <f>G4207*M4207</f>
        <v>9.7949999999999999</v>
      </c>
      <c r="O4207" s="1719">
        <f>H4207*M4207</f>
        <v>9.7949999999999995E-2</v>
      </c>
      <c r="P4207" s="1720">
        <f>M4207*K4207</f>
        <v>8.140232700000001E-2</v>
      </c>
      <c r="Q4207" s="3396"/>
      <c r="R4207" s="2338"/>
      <c r="S4207" s="17"/>
      <c r="T4207" s="17"/>
      <c r="U4207" s="16"/>
      <c r="V4207" s="16"/>
    </row>
    <row r="4208" spans="1:22" ht="16.5" customHeight="1">
      <c r="A4208" s="1320"/>
      <c r="B4208" s="22"/>
      <c r="C4208" s="1320"/>
      <c r="D4208" s="1812" t="s">
        <v>1067</v>
      </c>
      <c r="E4208" s="2171" t="s">
        <v>1508</v>
      </c>
      <c r="F4208" s="1812" t="s">
        <v>1512</v>
      </c>
      <c r="G4208" s="1838">
        <v>1.236</v>
      </c>
      <c r="H4208" s="2268">
        <f t="shared" si="487"/>
        <v>1.2359999999999999E-2</v>
      </c>
      <c r="I4208" s="1289">
        <f ca="1">IF(COUNT(I4208:O4208)=0,"",(SUM(I4208:O4208)/COUNT(I4208:O4208)))</f>
        <v>8.2220587167196779</v>
      </c>
      <c r="J4208" s="1341"/>
      <c r="K4208" s="1307">
        <f t="shared" si="488"/>
        <v>1.0271901600000001E-2</v>
      </c>
      <c r="L4208" s="1335">
        <f t="shared" si="486"/>
        <v>0</v>
      </c>
      <c r="M4208" s="1759">
        <v>18.28</v>
      </c>
      <c r="N4208" s="1718">
        <f>G4208*M4208</f>
        <v>22.594080000000002</v>
      </c>
      <c r="O4208" s="1719">
        <f>H4208*M4208</f>
        <v>0.2259408</v>
      </c>
      <c r="P4208" s="1720">
        <f>M4208*K4208</f>
        <v>0.18777036124800003</v>
      </c>
      <c r="Q4208" s="3396"/>
      <c r="R4208" s="2338"/>
      <c r="S4208" s="17"/>
      <c r="T4208" s="17"/>
      <c r="U4208" s="16"/>
      <c r="V4208" s="16"/>
    </row>
    <row r="4209" spans="1:22" ht="16.5" customHeight="1">
      <c r="A4209" s="1320"/>
      <c r="B4209" s="22"/>
      <c r="C4209" s="1320"/>
      <c r="D4209" s="2257"/>
      <c r="E4209" s="2258"/>
      <c r="F4209" s="2257"/>
      <c r="G4209" s="2259"/>
      <c r="H4209" s="1453"/>
      <c r="I4209" s="1289"/>
      <c r="J4209" s="1341"/>
      <c r="K4209" s="1307"/>
      <c r="L4209" s="1335"/>
      <c r="M4209" s="1759"/>
      <c r="N4209" s="1718"/>
      <c r="O4209" s="1719"/>
      <c r="P4209" s="1720"/>
      <c r="Q4209" s="3396"/>
      <c r="R4209" s="2338"/>
      <c r="S4209" s="17"/>
      <c r="T4209" s="17"/>
      <c r="U4209" s="16"/>
      <c r="V4209" s="16"/>
    </row>
    <row r="4210" spans="1:22" ht="16.5" customHeight="1">
      <c r="A4210" s="1320"/>
      <c r="B4210" s="22"/>
      <c r="C4210" s="1320"/>
      <c r="D4210" s="1779"/>
      <c r="E4210" s="2168"/>
      <c r="F4210" s="1360" t="s">
        <v>2</v>
      </c>
      <c r="G4210" s="1780"/>
      <c r="H4210" s="1359"/>
      <c r="I4210" s="1380"/>
      <c r="J4210" s="1381"/>
      <c r="K4210" s="1679"/>
      <c r="L4210" s="1680"/>
      <c r="M4210" s="1781"/>
      <c r="N4210" s="1782"/>
      <c r="O4210" s="1782"/>
      <c r="P4210" s="1783"/>
      <c r="Q4210" s="3396"/>
      <c r="R4210" s="2338"/>
      <c r="S4210" s="17"/>
      <c r="T4210" s="17"/>
      <c r="U4210" s="16"/>
      <c r="V4210" s="16"/>
    </row>
    <row r="4211" spans="1:22" ht="16.5" customHeight="1">
      <c r="A4211" s="1320"/>
      <c r="B4211" s="22"/>
      <c r="C4211" s="1320"/>
      <c r="D4211" s="1437" t="s">
        <v>1153</v>
      </c>
      <c r="E4211" s="2134" t="s">
        <v>1508</v>
      </c>
      <c r="F4211" s="1788" t="s">
        <v>1783</v>
      </c>
      <c r="G4211" s="1789">
        <v>1.28</v>
      </c>
      <c r="H4211" s="1789"/>
      <c r="I4211" s="197"/>
      <c r="J4211" s="198"/>
      <c r="K4211" s="1307">
        <f>G4211*$K$4191</f>
        <v>1.0637568000000002</v>
      </c>
      <c r="L4211" s="1335">
        <f>K4211*$K$4143</f>
        <v>0</v>
      </c>
      <c r="M4211" s="1759">
        <v>19.23</v>
      </c>
      <c r="N4211" s="1718"/>
      <c r="O4211" s="1719">
        <f>(G4211*M4211)</f>
        <v>24.6144</v>
      </c>
      <c r="P4211" s="1720">
        <f>M4211*K4211</f>
        <v>20.456043264000005</v>
      </c>
      <c r="Q4211" s="3396"/>
      <c r="R4211" s="2338"/>
      <c r="S4211" s="17"/>
      <c r="T4211" s="17"/>
      <c r="U4211" s="16"/>
      <c r="V4211" s="16"/>
    </row>
    <row r="4212" spans="1:22" ht="16.5" customHeight="1">
      <c r="A4212" s="1320"/>
      <c r="B4212" s="1320"/>
      <c r="C4212" s="595"/>
      <c r="D4212" s="1437"/>
      <c r="E4212" s="2134"/>
      <c r="F4212" s="1790"/>
      <c r="G4212" s="1790"/>
      <c r="H4212" s="1791"/>
      <c r="I4212" s="197"/>
      <c r="J4212" s="198"/>
      <c r="K4212" s="1307"/>
      <c r="L4212" s="1335"/>
      <c r="M4212" s="1787"/>
      <c r="N4212" s="1718"/>
      <c r="O4212" s="1719"/>
      <c r="P4212" s="1720"/>
      <c r="Q4212" s="3396"/>
      <c r="R4212" s="2338"/>
      <c r="S4212" s="17"/>
      <c r="T4212" s="17"/>
      <c r="U4212" s="16"/>
      <c r="V4212" s="16"/>
    </row>
    <row r="4213" spans="1:22" ht="16.5" customHeight="1">
      <c r="A4213" s="1320"/>
      <c r="B4213" s="1320"/>
      <c r="C4213" s="595"/>
      <c r="D4213" s="1437"/>
      <c r="E4213" s="2134"/>
      <c r="F4213" s="1790"/>
      <c r="G4213" s="1790"/>
      <c r="H4213" s="1791"/>
      <c r="I4213" s="197"/>
      <c r="J4213" s="198"/>
      <c r="K4213" s="1307"/>
      <c r="L4213" s="1335"/>
      <c r="M4213" s="1787"/>
      <c r="N4213" s="1718"/>
      <c r="O4213" s="1719"/>
      <c r="P4213" s="1720"/>
      <c r="Q4213" s="3396"/>
      <c r="R4213" s="2338"/>
      <c r="S4213" s="17"/>
      <c r="T4213" s="17"/>
      <c r="U4213" s="16"/>
      <c r="V4213" s="16"/>
    </row>
    <row r="4214" spans="1:22" ht="16.5" customHeight="1">
      <c r="A4214" s="1320"/>
      <c r="B4214" s="1042"/>
      <c r="C4214" s="88"/>
      <c r="D4214" s="1373"/>
      <c r="E4214" s="2123"/>
      <c r="F4214" s="1374" t="s">
        <v>3</v>
      </c>
      <c r="G4214" s="1374"/>
      <c r="H4214" s="1376"/>
      <c r="I4214" s="1382" t="str">
        <f t="shared" ref="I4214" ca="1" si="489">IF(COUNT(H4214:O4214)=0,"",(SUM(H4214:O4214)/COUNT(H4214:O4214)))</f>
        <v/>
      </c>
      <c r="J4214" s="1383"/>
      <c r="K4214" s="1373"/>
      <c r="L4214" s="1413"/>
      <c r="M4214" s="1376"/>
      <c r="N4214" s="1376"/>
      <c r="O4214" s="1376"/>
      <c r="P4214" s="1413"/>
      <c r="Q4214" s="3387"/>
      <c r="R4214" s="2343"/>
      <c r="S4214" s="17"/>
      <c r="T4214" s="17"/>
      <c r="U4214" s="16"/>
      <c r="V4214" s="16"/>
    </row>
    <row r="4215" spans="1:22" ht="16.5" customHeight="1">
      <c r="A4215" s="1320"/>
      <c r="B4215" s="22"/>
      <c r="C4215" s="1320"/>
      <c r="D4215" s="1373"/>
      <c r="E4215" s="2260"/>
      <c r="F4215" s="2261"/>
      <c r="G4215" s="2262"/>
      <c r="H4215" s="1597"/>
      <c r="I4215" s="197"/>
      <c r="J4215" s="198"/>
      <c r="K4215" s="1307"/>
      <c r="L4215" s="1335"/>
      <c r="M4215" s="1302"/>
      <c r="N4215" s="1718"/>
      <c r="O4215" s="1719"/>
      <c r="P4215" s="1720"/>
      <c r="Q4215" s="3396"/>
      <c r="R4215" s="2338"/>
      <c r="S4215" s="17"/>
      <c r="T4215" s="17"/>
      <c r="U4215" s="16"/>
      <c r="V4215" s="16"/>
    </row>
    <row r="4216" spans="1:22" ht="16.5" customHeight="1">
      <c r="A4216" s="1320"/>
      <c r="B4216" s="22"/>
      <c r="C4216" s="1320"/>
      <c r="D4216" s="1373"/>
      <c r="E4216" s="2260"/>
      <c r="F4216" s="2261"/>
      <c r="G4216" s="2262"/>
      <c r="H4216" s="1597"/>
      <c r="I4216" s="197"/>
      <c r="J4216" s="198"/>
      <c r="K4216" s="1307"/>
      <c r="L4216" s="1335"/>
      <c r="M4216" s="1302"/>
      <c r="N4216" s="1718"/>
      <c r="O4216" s="1719"/>
      <c r="P4216" s="1720"/>
      <c r="Q4216" s="3396"/>
      <c r="R4216" s="2338"/>
      <c r="S4216" s="17"/>
      <c r="T4216" s="17"/>
      <c r="U4216" s="16"/>
      <c r="V4216" s="16"/>
    </row>
    <row r="4217" spans="1:22" ht="16.5" customHeight="1">
      <c r="A4217" s="1320"/>
      <c r="B4217" s="22"/>
      <c r="C4217" s="1320"/>
      <c r="D4217" s="1373"/>
      <c r="E4217" s="2260"/>
      <c r="F4217" s="2261"/>
      <c r="G4217" s="2262"/>
      <c r="H4217" s="1597"/>
      <c r="I4217" s="197"/>
      <c r="J4217" s="198"/>
      <c r="K4217" s="1307"/>
      <c r="L4217" s="1335"/>
      <c r="M4217" s="1302"/>
      <c r="N4217" s="1718"/>
      <c r="O4217" s="1719"/>
      <c r="P4217" s="1720"/>
      <c r="Q4217" s="3396"/>
      <c r="R4217" s="2338"/>
      <c r="S4217" s="17"/>
      <c r="T4217" s="17"/>
      <c r="U4217" s="16"/>
      <c r="V4217" s="16"/>
    </row>
    <row r="4218" spans="1:22" ht="16.5" customHeight="1">
      <c r="A4218" s="16" t="s">
        <v>3764</v>
      </c>
      <c r="B4218" s="4325" t="s">
        <v>1737</v>
      </c>
      <c r="C4218" s="3350"/>
      <c r="D4218" s="4327"/>
      <c r="E4218" s="4329" t="s">
        <v>1527</v>
      </c>
      <c r="F4218" s="4461" t="s">
        <v>1773</v>
      </c>
      <c r="G4218" s="4331" t="s">
        <v>1568</v>
      </c>
      <c r="H4218" s="4331" t="s">
        <v>1574</v>
      </c>
      <c r="I4218" s="1572" t="s">
        <v>1559</v>
      </c>
      <c r="J4218" s="1294" t="s">
        <v>1560</v>
      </c>
      <c r="K4218" s="1294" t="s">
        <v>1561</v>
      </c>
      <c r="L4218" s="4333" t="s">
        <v>3765</v>
      </c>
      <c r="M4218" s="4323" t="s">
        <v>1571</v>
      </c>
      <c r="N4218" s="4323" t="s">
        <v>1776</v>
      </c>
      <c r="O4218" s="3347" t="s">
        <v>1563</v>
      </c>
      <c r="P4218" s="1336" t="s">
        <v>1562</v>
      </c>
      <c r="Q4218" s="3389"/>
      <c r="R4218" s="1839" t="s">
        <v>1327</v>
      </c>
      <c r="S4218" s="17"/>
      <c r="T4218" s="17"/>
      <c r="U4218" s="16"/>
      <c r="V4218" s="16"/>
    </row>
    <row r="4219" spans="1:22" ht="16.5" customHeight="1">
      <c r="A4219" s="1807" t="s">
        <v>1973</v>
      </c>
      <c r="B4219" s="4326"/>
      <c r="C4219" s="3351"/>
      <c r="D4219" s="4328"/>
      <c r="E4219" s="4330"/>
      <c r="F4219" s="4462"/>
      <c r="G4219" s="4332"/>
      <c r="H4219" s="4332"/>
      <c r="I4219" s="1345">
        <v>14.580000000000002</v>
      </c>
      <c r="J4219" s="1307">
        <v>3.0000000000000001E-3</v>
      </c>
      <c r="K4219" s="1307">
        <f>I4219*J4219</f>
        <v>4.3740000000000008E-2</v>
      </c>
      <c r="L4219" s="4334"/>
      <c r="M4219" s="4324"/>
      <c r="N4219" s="4324"/>
      <c r="O4219" s="1298">
        <f>O4221+O4222+O4223+O4224+O4228+O4232+O4240+O4241+O4242</f>
        <v>55.319563799999997</v>
      </c>
      <c r="P4219" s="1337">
        <f>K4219*O4219</f>
        <v>2.4196777206120004</v>
      </c>
      <c r="Q4219" s="3390"/>
      <c r="R4219" s="1840">
        <f>P4221+P4222+P4223+P4224+P4228+P4232+P4240+P4241+P4242</f>
        <v>2.4196777206120004</v>
      </c>
      <c r="S4219" s="17"/>
      <c r="T4219" s="17"/>
      <c r="U4219" s="16"/>
      <c r="V4219" s="16"/>
    </row>
    <row r="4220" spans="1:22" ht="16.5" customHeight="1">
      <c r="A4220" s="16"/>
      <c r="B4220" s="18"/>
      <c r="D4220" s="1449"/>
      <c r="E4220" s="2121"/>
      <c r="F4220" s="1368" t="s">
        <v>1</v>
      </c>
      <c r="G4220" s="1368"/>
      <c r="H4220" s="1369"/>
      <c r="I4220" s="1409"/>
      <c r="J4220" s="1391"/>
      <c r="K4220" s="1367"/>
      <c r="L4220" s="1554"/>
      <c r="M4220" s="1369"/>
      <c r="N4220" s="1369"/>
      <c r="O4220" s="1369"/>
      <c r="P4220" s="1367"/>
      <c r="Q4220" s="3387"/>
      <c r="R4220" s="2343"/>
      <c r="S4220" s="17"/>
      <c r="T4220" s="17"/>
      <c r="U4220" s="16"/>
      <c r="V4220" s="16"/>
    </row>
    <row r="4221" spans="1:22" ht="16.5" customHeight="1">
      <c r="A4221" s="16"/>
      <c r="B4221" s="1042"/>
      <c r="D4221" s="1450" t="s">
        <v>1075</v>
      </c>
      <c r="E4221" s="1856" t="s">
        <v>1357</v>
      </c>
      <c r="F4221" s="1397" t="s">
        <v>1532</v>
      </c>
      <c r="G4221" s="1372">
        <v>0.1</v>
      </c>
      <c r="H4221" s="1372"/>
      <c r="I4221" s="1286"/>
      <c r="J4221" s="198"/>
      <c r="K4221" s="1307">
        <f>G4221*$K$4219</f>
        <v>4.3740000000000012E-3</v>
      </c>
      <c r="L4221" s="1335">
        <f t="shared" ref="L4221:L4223" si="490">K4221*$K$4143</f>
        <v>0</v>
      </c>
      <c r="M4221" s="1302">
        <v>0.81</v>
      </c>
      <c r="N4221" s="1700"/>
      <c r="O4221" s="1290">
        <f>G4221*M4221</f>
        <v>8.1000000000000016E-2</v>
      </c>
      <c r="P4221" s="1739">
        <f>M4221*K4221</f>
        <v>3.5429400000000014E-3</v>
      </c>
      <c r="Q4221" s="3391"/>
      <c r="R4221" s="2343"/>
      <c r="S4221" s="17"/>
      <c r="T4221" s="17"/>
      <c r="U4221" s="16"/>
      <c r="V4221" s="16"/>
    </row>
    <row r="4222" spans="1:22" ht="16.5" customHeight="1">
      <c r="A4222" s="16"/>
      <c r="B4222" s="1042"/>
      <c r="D4222" s="1767" t="s">
        <v>1784</v>
      </c>
      <c r="E4222" s="1849" t="s">
        <v>1521</v>
      </c>
      <c r="F4222" s="1654" t="s">
        <v>1785</v>
      </c>
      <c r="G4222" s="1567">
        <v>1E-3</v>
      </c>
      <c r="H4222" s="1567"/>
      <c r="I4222" s="1286"/>
      <c r="J4222" s="198"/>
      <c r="K4222" s="1722">
        <f>G4222*$K$4219</f>
        <v>4.3740000000000012E-5</v>
      </c>
      <c r="L4222" s="1335">
        <f t="shared" si="490"/>
        <v>0</v>
      </c>
      <c r="M4222" s="1499">
        <v>236.83</v>
      </c>
      <c r="N4222" s="1700"/>
      <c r="O4222" s="1290">
        <f>G4222*M4222</f>
        <v>0.23683000000000001</v>
      </c>
      <c r="P4222" s="1332">
        <f>M4222*K4222</f>
        <v>1.0358944200000003E-2</v>
      </c>
      <c r="Q4222" s="3391"/>
      <c r="R4222" s="2343"/>
      <c r="S4222" s="17"/>
      <c r="T4222" s="17"/>
      <c r="U4222" s="16"/>
      <c r="V4222" s="16"/>
    </row>
    <row r="4223" spans="1:22" ht="16.5" customHeight="1">
      <c r="A4223" s="16"/>
      <c r="B4223" s="1042"/>
      <c r="D4223" s="1769" t="s">
        <v>1786</v>
      </c>
      <c r="E4223" s="1850" t="s">
        <v>1787</v>
      </c>
      <c r="F4223" s="1770" t="s">
        <v>1788</v>
      </c>
      <c r="G4223" s="1771">
        <v>1.1000000000000001</v>
      </c>
      <c r="H4223" s="1771"/>
      <c r="I4223" s="1286"/>
      <c r="J4223" s="198"/>
      <c r="K4223" s="1307">
        <f>G4223*$K$4219</f>
        <v>4.8114000000000011E-2</v>
      </c>
      <c r="L4223" s="1335">
        <f t="shared" si="490"/>
        <v>0</v>
      </c>
      <c r="M4223" s="1302">
        <v>1.54</v>
      </c>
      <c r="N4223" s="1700"/>
      <c r="O4223" s="1290">
        <f>G4223*M4223</f>
        <v>1.6940000000000002</v>
      </c>
      <c r="P4223" s="1332">
        <f>M4223*K4223</f>
        <v>7.4095560000000019E-2</v>
      </c>
      <c r="Q4223" s="3391"/>
      <c r="R4223" s="2343"/>
      <c r="S4223" s="17"/>
      <c r="T4223" s="17"/>
      <c r="U4223" s="16"/>
      <c r="V4223" s="16"/>
    </row>
    <row r="4224" spans="1:22" ht="16.5" customHeight="1">
      <c r="A4224" s="16"/>
      <c r="B4224" s="1042"/>
      <c r="C4224" s="1356" t="s">
        <v>1128</v>
      </c>
      <c r="D4224" s="1585"/>
      <c r="E4224" s="1851" t="s">
        <v>1517</v>
      </c>
      <c r="F4224" s="1768" t="s">
        <v>1695</v>
      </c>
      <c r="G4224" s="1776"/>
      <c r="H4224" s="1776">
        <v>1.4999999999999999E-2</v>
      </c>
      <c r="I4224" s="1388"/>
      <c r="J4224" s="1366"/>
      <c r="K4224" s="1510"/>
      <c r="L4224" s="1445"/>
      <c r="M4224" s="1447"/>
      <c r="N4224" s="1447">
        <f>SUM(N4225:N4227)</f>
        <v>104.27969999999999</v>
      </c>
      <c r="O4224" s="1447">
        <f>SUM(O4225:O4227)</f>
        <v>1.5641954999999998</v>
      </c>
      <c r="P4224" s="1446">
        <f>SUM(P4225:P4227)</f>
        <v>6.8417911170000012E-2</v>
      </c>
      <c r="Q4224" s="3391"/>
      <c r="R4224" s="2343"/>
      <c r="S4224" s="17"/>
      <c r="T4224" s="17"/>
      <c r="U4224" s="16"/>
      <c r="V4224" s="16"/>
    </row>
    <row r="4225" spans="1:22" ht="16.5" customHeight="1">
      <c r="A4225" s="16"/>
      <c r="B4225" s="553"/>
      <c r="C4225" s="1042"/>
      <c r="D4225" s="1752" t="s">
        <v>1779</v>
      </c>
      <c r="E4225" s="1852" t="s">
        <v>1577</v>
      </c>
      <c r="F4225" s="1752" t="s">
        <v>1780</v>
      </c>
      <c r="G4225" s="1753">
        <v>0.876</v>
      </c>
      <c r="H4225" s="1453">
        <f>$H$4224*G4225</f>
        <v>1.3139999999999999E-2</v>
      </c>
      <c r="I4225" s="197"/>
      <c r="J4225" s="198"/>
      <c r="K4225" s="1307">
        <f>H4225*$K$4219</f>
        <v>5.7474360000000005E-4</v>
      </c>
      <c r="L4225" s="1335">
        <f t="shared" ref="L4225:L4227" si="491">K4225*$K$4143</f>
        <v>0</v>
      </c>
      <c r="M4225" s="1759">
        <v>56.05</v>
      </c>
      <c r="N4225" s="1718">
        <f>G4225*M4225</f>
        <v>49.099799999999995</v>
      </c>
      <c r="O4225" s="1719">
        <f>H4225*M4225</f>
        <v>0.73649699999999985</v>
      </c>
      <c r="P4225" s="1720">
        <f>M4225*K4225</f>
        <v>3.2214378780000004E-2</v>
      </c>
      <c r="Q4225" s="3396"/>
      <c r="R4225" s="2343"/>
      <c r="S4225" s="17"/>
      <c r="T4225" s="17"/>
      <c r="U4225" s="16"/>
      <c r="V4225" s="16"/>
    </row>
    <row r="4226" spans="1:22" ht="16.5" customHeight="1">
      <c r="A4226" s="16"/>
      <c r="B4226" s="553"/>
      <c r="C4226" s="1042"/>
      <c r="D4226" s="1752" t="s">
        <v>1069</v>
      </c>
      <c r="E4226" s="1852" t="s">
        <v>1517</v>
      </c>
      <c r="F4226" s="1752" t="s">
        <v>1578</v>
      </c>
      <c r="G4226" s="1753">
        <v>0.61799999999999999</v>
      </c>
      <c r="H4226" s="1453">
        <f>$H$4224*G4226</f>
        <v>9.2699999999999987E-3</v>
      </c>
      <c r="I4226" s="27"/>
      <c r="J4226" s="10"/>
      <c r="K4226" s="1307">
        <f t="shared" ref="K4226:K4227" si="492">H4226*$K$4219</f>
        <v>4.0546979999999999E-4</v>
      </c>
      <c r="L4226" s="1335">
        <f t="shared" si="491"/>
        <v>0</v>
      </c>
      <c r="M4226" s="1759">
        <v>0.55000000000000004</v>
      </c>
      <c r="N4226" s="1718">
        <f>G4226*M4226</f>
        <v>0.33990000000000004</v>
      </c>
      <c r="O4226" s="1719">
        <f>H4226*M4226</f>
        <v>5.0984999999999997E-3</v>
      </c>
      <c r="P4226" s="1720">
        <f>M4226*K4226</f>
        <v>2.2300839E-4</v>
      </c>
      <c r="Q4226" s="3396"/>
      <c r="R4226" s="2343"/>
      <c r="S4226" s="17"/>
      <c r="T4226" s="17"/>
      <c r="U4226" s="16"/>
      <c r="V4226" s="16"/>
    </row>
    <row r="4227" spans="1:22" ht="16.5" customHeight="1">
      <c r="A4227" s="16"/>
      <c r="B4227" s="553"/>
      <c r="C4227" s="1042"/>
      <c r="D4227" s="1754" t="s">
        <v>1067</v>
      </c>
      <c r="E4227" s="1853" t="s">
        <v>1508</v>
      </c>
      <c r="F4227" s="1754" t="s">
        <v>1512</v>
      </c>
      <c r="G4227" s="1755">
        <v>3</v>
      </c>
      <c r="H4227" s="1454">
        <f>$H$4224*G4227</f>
        <v>4.4999999999999998E-2</v>
      </c>
      <c r="I4227" s="198"/>
      <c r="J4227" s="198"/>
      <c r="K4227" s="1307">
        <f t="shared" si="492"/>
        <v>1.9683000000000001E-3</v>
      </c>
      <c r="L4227" s="1335">
        <f t="shared" si="491"/>
        <v>0</v>
      </c>
      <c r="M4227" s="1759">
        <v>18.28</v>
      </c>
      <c r="N4227" s="1718">
        <f>G4227*M4227</f>
        <v>54.84</v>
      </c>
      <c r="O4227" s="1719">
        <f>H4227*M4227</f>
        <v>0.8226</v>
      </c>
      <c r="P4227" s="1720">
        <f>M4227*K4227</f>
        <v>3.5980524000000007E-2</v>
      </c>
      <c r="Q4227" s="3396"/>
      <c r="R4227" s="2343"/>
      <c r="S4227" s="17"/>
      <c r="T4227" s="17"/>
      <c r="U4227" s="16"/>
      <c r="V4227" s="16"/>
    </row>
    <row r="4228" spans="1:22" ht="16.5" customHeight="1">
      <c r="A4228" s="16"/>
      <c r="B4228" s="553"/>
      <c r="C4228" s="1356" t="s">
        <v>1152</v>
      </c>
      <c r="D4228" s="1311"/>
      <c r="E4228" s="1854" t="s">
        <v>1517</v>
      </c>
      <c r="F4228" s="1749" t="s">
        <v>1696</v>
      </c>
      <c r="G4228" s="1776"/>
      <c r="H4228" s="1688">
        <v>5.0000000000000001E-3</v>
      </c>
      <c r="I4228" s="1388"/>
      <c r="J4228" s="1388"/>
      <c r="K4228" s="1510"/>
      <c r="L4228" s="1445"/>
      <c r="M4228" s="1447"/>
      <c r="N4228" s="1447">
        <f>SUM(N4229:N4231)</f>
        <v>108.04650000000001</v>
      </c>
      <c r="O4228" s="1447">
        <f>SUM(O4229:O4231)</f>
        <v>0.54023250000000012</v>
      </c>
      <c r="P4228" s="1446">
        <f>SUM(P4229:P4231)</f>
        <v>2.3629769550000006E-2</v>
      </c>
      <c r="Q4228" s="3391"/>
      <c r="R4228" s="2343"/>
      <c r="S4228" s="17"/>
      <c r="T4228" s="17"/>
      <c r="U4228" s="16"/>
      <c r="V4228" s="16"/>
    </row>
    <row r="4229" spans="1:22" ht="16.5" customHeight="1">
      <c r="A4229" s="16"/>
      <c r="B4229" s="553"/>
      <c r="C4229" s="18"/>
      <c r="D4229" s="1756" t="s">
        <v>1781</v>
      </c>
      <c r="E4229" s="1852" t="s">
        <v>1577</v>
      </c>
      <c r="F4229" s="1752" t="s">
        <v>1782</v>
      </c>
      <c r="G4229" s="1753">
        <v>0.876</v>
      </c>
      <c r="H4229" s="1453">
        <f>$H$4228*G4229</f>
        <v>4.3800000000000002E-3</v>
      </c>
      <c r="I4229" s="198"/>
      <c r="J4229" s="198"/>
      <c r="K4229" s="1307">
        <f>H4229*$K$4219</f>
        <v>1.9158120000000004E-4</v>
      </c>
      <c r="L4229" s="1335">
        <f t="shared" ref="L4229:L4231" si="493">K4229*$K$4143</f>
        <v>0</v>
      </c>
      <c r="M4229" s="1759">
        <v>60.35</v>
      </c>
      <c r="N4229" s="1718">
        <f>G4229*M4229</f>
        <v>52.866599999999998</v>
      </c>
      <c r="O4229" s="1719">
        <f>H4229*M4229</f>
        <v>0.26433300000000004</v>
      </c>
      <c r="P4229" s="1720">
        <f>M4229*K4229</f>
        <v>1.1561925420000002E-2</v>
      </c>
      <c r="Q4229" s="3396"/>
      <c r="R4229" s="2343"/>
      <c r="S4229" s="105"/>
      <c r="T4229" s="105"/>
      <c r="U4229" s="16"/>
      <c r="V4229" s="16"/>
    </row>
    <row r="4230" spans="1:22" ht="16.5" customHeight="1">
      <c r="A4230" s="16"/>
      <c r="B4230" s="553"/>
      <c r="C4230" s="1042"/>
      <c r="D4230" s="1756" t="s">
        <v>1069</v>
      </c>
      <c r="E4230" s="1852" t="s">
        <v>1517</v>
      </c>
      <c r="F4230" s="1752" t="s">
        <v>1578</v>
      </c>
      <c r="G4230" s="1753">
        <v>0.61799999999999999</v>
      </c>
      <c r="H4230" s="1453">
        <f>$H$4228*G4230</f>
        <v>3.0899999999999999E-3</v>
      </c>
      <c r="I4230" s="197"/>
      <c r="J4230" s="198"/>
      <c r="K4230" s="1307">
        <f t="shared" ref="K4230:K4231" si="494">H4230*$K$4219</f>
        <v>1.3515660000000001E-4</v>
      </c>
      <c r="L4230" s="1335">
        <f t="shared" si="493"/>
        <v>0</v>
      </c>
      <c r="M4230" s="1759">
        <v>0.55000000000000004</v>
      </c>
      <c r="N4230" s="1718">
        <f>G4230*M4230</f>
        <v>0.33990000000000004</v>
      </c>
      <c r="O4230" s="1719">
        <f>H4230*M4230</f>
        <v>1.6995000000000001E-3</v>
      </c>
      <c r="P4230" s="1720">
        <f>M4230*K4230</f>
        <v>7.433613000000001E-5</v>
      </c>
      <c r="Q4230" s="3396"/>
      <c r="R4230" s="2343"/>
      <c r="S4230" s="16"/>
      <c r="T4230" s="16"/>
      <c r="U4230" s="16"/>
      <c r="V4230" s="16"/>
    </row>
    <row r="4231" spans="1:22" ht="16.5" customHeight="1">
      <c r="A4231" s="16"/>
      <c r="B4231" s="553"/>
      <c r="C4231" s="1042"/>
      <c r="D4231" s="1811" t="s">
        <v>1067</v>
      </c>
      <c r="E4231" s="1853" t="s">
        <v>1508</v>
      </c>
      <c r="F4231" s="1754" t="s">
        <v>1512</v>
      </c>
      <c r="G4231" s="1755">
        <v>3</v>
      </c>
      <c r="H4231" s="1454">
        <f>$H$4228*G4231</f>
        <v>1.4999999999999999E-2</v>
      </c>
      <c r="I4231" s="1289"/>
      <c r="J4231" s="198"/>
      <c r="K4231" s="1307">
        <f t="shared" si="494"/>
        <v>6.5610000000000006E-4</v>
      </c>
      <c r="L4231" s="1335">
        <f t="shared" si="493"/>
        <v>0</v>
      </c>
      <c r="M4231" s="1759">
        <v>18.28</v>
      </c>
      <c r="N4231" s="1718">
        <f>G4231*M4231</f>
        <v>54.84</v>
      </c>
      <c r="O4231" s="1719">
        <f>H4231*M4231</f>
        <v>0.2742</v>
      </c>
      <c r="P4231" s="1720">
        <f>M4231*K4231</f>
        <v>1.1993508000000002E-2</v>
      </c>
      <c r="Q4231" s="3396"/>
      <c r="R4231" s="2343"/>
      <c r="S4231" s="16"/>
      <c r="T4231" s="16"/>
      <c r="U4231" s="16"/>
      <c r="V4231" s="16"/>
    </row>
    <row r="4232" spans="1:22" ht="16.5" customHeight="1">
      <c r="A4232" s="16"/>
      <c r="B4232" s="1042"/>
      <c r="C4232" s="1356" t="s">
        <v>1790</v>
      </c>
      <c r="D4232" s="1311"/>
      <c r="E4232" s="2137" t="s">
        <v>1517</v>
      </c>
      <c r="F4232" s="1343" t="s">
        <v>1791</v>
      </c>
      <c r="G4232" s="1776"/>
      <c r="H4232" s="1344">
        <v>0.01</v>
      </c>
      <c r="I4232" s="1444"/>
      <c r="J4232" s="1388"/>
      <c r="K4232" s="1445"/>
      <c r="L4232" s="1457"/>
      <c r="M4232" s="1446"/>
      <c r="N4232" s="1447">
        <f>SUM(N4233:N4237)</f>
        <v>76.906580000000005</v>
      </c>
      <c r="O4232" s="1447">
        <f>SUM(O4233:O4237)</f>
        <v>0.76906580000000013</v>
      </c>
      <c r="P4232" s="1447">
        <f>SUM(P4233:P4237)</f>
        <v>3.3638938092000012E-2</v>
      </c>
      <c r="Q4232" s="3391"/>
      <c r="R4232" s="2343"/>
      <c r="S4232" s="16"/>
      <c r="T4232" s="16"/>
      <c r="U4232" s="16"/>
      <c r="V4232" s="16"/>
    </row>
    <row r="4233" spans="1:22" ht="16.5" customHeight="1">
      <c r="A4233" s="16"/>
      <c r="B4233" s="1042"/>
      <c r="C4233" s="1327"/>
      <c r="D4233" s="1752" t="s">
        <v>1069</v>
      </c>
      <c r="E4233" s="1852" t="s">
        <v>1517</v>
      </c>
      <c r="F4233" s="1784" t="s">
        <v>1578</v>
      </c>
      <c r="G4233" s="1399">
        <v>0.2</v>
      </c>
      <c r="H4233" s="1453">
        <f>$H$4232*G4233</f>
        <v>2E-3</v>
      </c>
      <c r="I4233" s="197"/>
      <c r="J4233" s="198"/>
      <c r="K4233" s="1307">
        <f>H4233*$K$4219</f>
        <v>8.7480000000000023E-5</v>
      </c>
      <c r="L4233" s="1335">
        <f t="shared" ref="L4233:L4237" si="495">K4233*$K$4143</f>
        <v>0</v>
      </c>
      <c r="M4233" s="1499">
        <v>0.55000000000000004</v>
      </c>
      <c r="N4233" s="1718">
        <f>G4233*M4233</f>
        <v>0.11000000000000001</v>
      </c>
      <c r="O4233" s="1719">
        <f>H4233*M4233</f>
        <v>1.1000000000000001E-3</v>
      </c>
      <c r="P4233" s="1720">
        <f>M4233*K4233</f>
        <v>4.8114000000000014E-5</v>
      </c>
      <c r="Q4233" s="3396"/>
      <c r="R4233" s="2338"/>
      <c r="S4233" s="16"/>
      <c r="T4233" s="16"/>
      <c r="U4233" s="16"/>
      <c r="V4233" s="16"/>
    </row>
    <row r="4234" spans="1:22" ht="16.5" customHeight="1">
      <c r="A4234" s="16"/>
      <c r="B4234" s="1042"/>
      <c r="C4234" s="1320"/>
      <c r="D4234" s="1752" t="s">
        <v>1792</v>
      </c>
      <c r="E4234" s="1852" t="s">
        <v>1577</v>
      </c>
      <c r="F4234" s="1752" t="s">
        <v>1793</v>
      </c>
      <c r="G4234" s="1399">
        <v>0.25</v>
      </c>
      <c r="H4234" s="1453">
        <f>$H$4232*G4234</f>
        <v>2.5000000000000001E-3</v>
      </c>
      <c r="I4234" s="197"/>
      <c r="J4234" s="198"/>
      <c r="K4234" s="1307">
        <f t="shared" ref="K4234:K4237" si="496">H4234*$K$4219</f>
        <v>1.0935000000000003E-4</v>
      </c>
      <c r="L4234" s="1335">
        <f t="shared" si="495"/>
        <v>0</v>
      </c>
      <c r="M4234" s="1499">
        <v>85.09</v>
      </c>
      <c r="N4234" s="1718">
        <f>G4234*M4234</f>
        <v>21.272500000000001</v>
      </c>
      <c r="O4234" s="1719">
        <f>H4234*M4234</f>
        <v>0.21272500000000003</v>
      </c>
      <c r="P4234" s="1720">
        <f>M4234*K4234</f>
        <v>9.3045915000000024E-3</v>
      </c>
      <c r="Q4234" s="3396"/>
      <c r="R4234" s="2338"/>
      <c r="S4234" s="16"/>
      <c r="T4234" s="16"/>
      <c r="U4234" s="16"/>
      <c r="V4234" s="16"/>
    </row>
    <row r="4235" spans="1:22" ht="16.5" customHeight="1">
      <c r="A4235" s="16"/>
      <c r="B4235" s="1042"/>
      <c r="C4235" s="1320"/>
      <c r="D4235" s="1752" t="s">
        <v>1394</v>
      </c>
      <c r="E4235" s="1852" t="s">
        <v>1577</v>
      </c>
      <c r="F4235" s="1752" t="s">
        <v>1579</v>
      </c>
      <c r="G4235" s="1399">
        <v>0.25</v>
      </c>
      <c r="H4235" s="1453">
        <f>$H$4232*G4235</f>
        <v>2.5000000000000001E-3</v>
      </c>
      <c r="I4235" s="197"/>
      <c r="J4235" s="198"/>
      <c r="K4235" s="1307">
        <f t="shared" si="496"/>
        <v>1.0935000000000003E-4</v>
      </c>
      <c r="L4235" s="1335">
        <f t="shared" si="495"/>
        <v>0</v>
      </c>
      <c r="M4235" s="1499">
        <v>92.54</v>
      </c>
      <c r="N4235" s="1718">
        <f>G4235*M4235</f>
        <v>23.135000000000002</v>
      </c>
      <c r="O4235" s="1719">
        <f>H4235*M4235</f>
        <v>0.23135000000000003</v>
      </c>
      <c r="P4235" s="1720">
        <f>M4235*K4235</f>
        <v>1.0119249000000004E-2</v>
      </c>
      <c r="Q4235" s="3396"/>
      <c r="R4235" s="2338"/>
      <c r="S4235" s="16"/>
      <c r="T4235" s="16"/>
      <c r="U4235" s="16"/>
      <c r="V4235" s="16"/>
    </row>
    <row r="4236" spans="1:22" ht="16.5" customHeight="1">
      <c r="A4236" s="16"/>
      <c r="B4236" s="1042"/>
      <c r="C4236" s="1320"/>
      <c r="D4236" s="1752" t="s">
        <v>1576</v>
      </c>
      <c r="E4236" s="1852" t="s">
        <v>1517</v>
      </c>
      <c r="F4236" s="1752" t="s">
        <v>1580</v>
      </c>
      <c r="G4236" s="1399">
        <v>1.5</v>
      </c>
      <c r="H4236" s="1453">
        <f>$H$4232*G4236</f>
        <v>1.4999999999999999E-2</v>
      </c>
      <c r="I4236" s="197"/>
      <c r="J4236" s="198"/>
      <c r="K4236" s="1307">
        <f t="shared" si="496"/>
        <v>6.5610000000000006E-4</v>
      </c>
      <c r="L4236" s="1335">
        <f t="shared" si="495"/>
        <v>0</v>
      </c>
      <c r="M4236" s="1499">
        <v>6.53</v>
      </c>
      <c r="N4236" s="1718">
        <f>G4236*M4236</f>
        <v>9.7949999999999999</v>
      </c>
      <c r="O4236" s="1719">
        <f>H4236*M4236</f>
        <v>9.7949999999999995E-2</v>
      </c>
      <c r="P4236" s="1720">
        <f>M4236*K4236</f>
        <v>4.2843330000000004E-3</v>
      </c>
      <c r="Q4236" s="3396"/>
      <c r="R4236" s="2338"/>
      <c r="S4236" s="16"/>
      <c r="T4236" s="16"/>
      <c r="U4236" s="16"/>
      <c r="V4236" s="16"/>
    </row>
    <row r="4237" spans="1:22" ht="16.5" customHeight="1">
      <c r="A4237" s="16"/>
      <c r="B4237" s="1042"/>
      <c r="C4237" s="1320"/>
      <c r="D4237" s="1754" t="s">
        <v>1067</v>
      </c>
      <c r="E4237" s="1853" t="s">
        <v>1508</v>
      </c>
      <c r="F4237" s="1754" t="s">
        <v>1512</v>
      </c>
      <c r="G4237" s="1408">
        <v>1.236</v>
      </c>
      <c r="H4237" s="1454">
        <f>$H$4232*G4237</f>
        <v>1.2359999999999999E-2</v>
      </c>
      <c r="I4237" s="197"/>
      <c r="J4237" s="198"/>
      <c r="K4237" s="1307">
        <f t="shared" si="496"/>
        <v>5.4062640000000003E-4</v>
      </c>
      <c r="L4237" s="1335">
        <f t="shared" si="495"/>
        <v>0</v>
      </c>
      <c r="M4237" s="1499">
        <v>18.28</v>
      </c>
      <c r="N4237" s="1718">
        <f>G4237*M4237</f>
        <v>22.594080000000002</v>
      </c>
      <c r="O4237" s="1719">
        <f>H4237*M4237</f>
        <v>0.2259408</v>
      </c>
      <c r="P4237" s="1720">
        <f>M4237*K4237</f>
        <v>9.8826505920000009E-3</v>
      </c>
      <c r="Q4237" s="3396"/>
      <c r="R4237" s="2338"/>
      <c r="S4237" s="16"/>
      <c r="T4237" s="16"/>
      <c r="U4237" s="16"/>
      <c r="V4237" s="16"/>
    </row>
    <row r="4238" spans="1:22" ht="16.5" customHeight="1">
      <c r="A4238" s="16"/>
      <c r="B4238" s="1042"/>
      <c r="C4238" s="88"/>
      <c r="D4238" s="1752"/>
      <c r="E4238" s="1852"/>
      <c r="F4238" s="1752"/>
      <c r="G4238" s="1399"/>
      <c r="H4238" s="1399"/>
      <c r="I4238" s="197" t="str">
        <f ca="1">IF(COUNT(H4238:O4238)=0,"",(SUM(H4238:O4238)/COUNT(H4238:O4238)))</f>
        <v/>
      </c>
      <c r="J4238" s="198"/>
      <c r="K4238" s="1307"/>
      <c r="L4238" s="1335"/>
      <c r="M4238" s="1499"/>
      <c r="N4238" s="1718"/>
      <c r="O4238" s="1719"/>
      <c r="P4238" s="1720"/>
      <c r="Q4238" s="3396"/>
      <c r="R4238" s="2338"/>
      <c r="S4238" s="16"/>
      <c r="T4238" s="16"/>
      <c r="U4238" s="16"/>
      <c r="V4238" s="16"/>
    </row>
    <row r="4239" spans="1:22" ht="16.5" customHeight="1">
      <c r="A4239" s="16"/>
      <c r="B4239" s="1042"/>
      <c r="C4239" s="88"/>
      <c r="D4239" s="1359"/>
      <c r="E4239" s="1858"/>
      <c r="F4239" s="1360" t="s">
        <v>2</v>
      </c>
      <c r="G4239" s="1360"/>
      <c r="H4239" s="1362"/>
      <c r="I4239" s="1380" t="str">
        <f ca="1">IF(COUNT(H4239:O4239)=0,"",(SUM(H4239:O4239)/COUNT(H4239:O4239)))</f>
        <v/>
      </c>
      <c r="J4239" s="1381"/>
      <c r="K4239" s="1359"/>
      <c r="L4239" s="1458"/>
      <c r="M4239" s="1362"/>
      <c r="N4239" s="1362"/>
      <c r="O4239" s="1362"/>
      <c r="P4239" s="1458"/>
      <c r="Q4239" s="3387"/>
      <c r="R4239" s="2343"/>
      <c r="S4239" s="16"/>
      <c r="T4239" s="16"/>
      <c r="U4239" s="16"/>
      <c r="V4239" s="16"/>
    </row>
    <row r="4240" spans="1:22" ht="16.5" customHeight="1">
      <c r="A4240" s="16"/>
      <c r="B4240" s="1320"/>
      <c r="C4240" s="1042"/>
      <c r="D4240" s="1437" t="s">
        <v>1153</v>
      </c>
      <c r="E4240" s="2134" t="s">
        <v>1508</v>
      </c>
      <c r="F4240" s="1438" t="s">
        <v>1783</v>
      </c>
      <c r="G4240" s="1439">
        <v>1.5129999999999999</v>
      </c>
      <c r="H4240" s="1439"/>
      <c r="I4240" s="197"/>
      <c r="J4240" s="198"/>
      <c r="K4240" s="1307">
        <f>G4240*$K$4219</f>
        <v>6.6178620000000007E-2</v>
      </c>
      <c r="L4240" s="1335">
        <f t="shared" ref="L4240:L4242" si="497">K4240*$K$4143</f>
        <v>0</v>
      </c>
      <c r="M4240" s="1499">
        <v>19.23</v>
      </c>
      <c r="N4240" s="1701"/>
      <c r="O4240" s="1290">
        <f>(G4240*M4240)</f>
        <v>29.094989999999999</v>
      </c>
      <c r="P4240" s="1332">
        <f>M4240*K4240</f>
        <v>1.2726148626000002</v>
      </c>
      <c r="Q4240" s="3391"/>
      <c r="R4240" s="3363"/>
      <c r="S4240" s="16"/>
      <c r="T4240" s="16"/>
      <c r="U4240" s="16"/>
      <c r="V4240" s="16"/>
    </row>
    <row r="4241" spans="1:22" ht="16.5" customHeight="1">
      <c r="A4241" s="16"/>
      <c r="B4241" s="1042"/>
      <c r="C4241" s="88"/>
      <c r="D4241" s="1363" t="s">
        <v>1067</v>
      </c>
      <c r="E4241" s="2125" t="s">
        <v>1508</v>
      </c>
      <c r="F4241" s="1364" t="s">
        <v>1512</v>
      </c>
      <c r="G4241" s="1365">
        <v>0.31</v>
      </c>
      <c r="H4241" s="1365"/>
      <c r="I4241" s="1286"/>
      <c r="J4241" s="198"/>
      <c r="K4241" s="1307">
        <f>G4241*$K$4219</f>
        <v>1.3559400000000003E-2</v>
      </c>
      <c r="L4241" s="1335">
        <f t="shared" si="497"/>
        <v>0</v>
      </c>
      <c r="M4241" s="1302">
        <v>18.28</v>
      </c>
      <c r="N4241" s="1302"/>
      <c r="O4241" s="1290">
        <f>(G4241*M4241)</f>
        <v>5.6668000000000003</v>
      </c>
      <c r="P4241" s="1332">
        <f>M4241*K4241</f>
        <v>0.24786583200000006</v>
      </c>
      <c r="Q4241" s="3391"/>
      <c r="R4241" s="2338"/>
      <c r="S4241" s="16"/>
      <c r="T4241" s="16"/>
      <c r="U4241" s="16"/>
      <c r="V4241" s="16"/>
    </row>
    <row r="4242" spans="1:22" ht="16.5" customHeight="1">
      <c r="A4242" s="16"/>
      <c r="B4242" s="1042"/>
      <c r="C4242" s="88"/>
      <c r="D4242" s="1430" t="s">
        <v>1077</v>
      </c>
      <c r="E4242" s="1857" t="s">
        <v>1508</v>
      </c>
      <c r="F4242" s="1403" t="s">
        <v>1539</v>
      </c>
      <c r="G4242" s="1362">
        <v>0.81499999999999995</v>
      </c>
      <c r="H4242" s="1362"/>
      <c r="I4242" s="197">
        <f ca="1">IF(COUNT(G4242:L4242)=0,"",(SUM(G4242:L4242)/COUNT(G4242:L4242)))</f>
        <v>0.28358853104521975</v>
      </c>
      <c r="J4242" s="198"/>
      <c r="K4242" s="1307">
        <f>G4242*$K$4219</f>
        <v>3.5648100000000002E-2</v>
      </c>
      <c r="L4242" s="1335">
        <f t="shared" si="497"/>
        <v>0</v>
      </c>
      <c r="M4242" s="1302">
        <v>19.23</v>
      </c>
      <c r="N4242" s="7"/>
      <c r="O4242" s="1290">
        <f>(G4242*M4242)</f>
        <v>15.67245</v>
      </c>
      <c r="P4242" s="1332">
        <f>M4242*K4242</f>
        <v>0.68551296300000009</v>
      </c>
      <c r="Q4242" s="3391"/>
      <c r="R4242" s="2338"/>
      <c r="S4242" s="16"/>
      <c r="T4242" s="16"/>
      <c r="U4242" s="16"/>
      <c r="V4242" s="16"/>
    </row>
    <row r="4243" spans="1:22" ht="16.5" customHeight="1">
      <c r="A4243" s="16"/>
      <c r="B4243" s="1042"/>
      <c r="C4243" s="88"/>
      <c r="D4243" s="1430"/>
      <c r="E4243" s="1857"/>
      <c r="F4243" s="1766"/>
      <c r="G4243" s="1362"/>
      <c r="H4243" s="1362"/>
      <c r="I4243" s="197"/>
      <c r="J4243" s="198"/>
      <c r="K4243" s="1307"/>
      <c r="L4243" s="1335"/>
      <c r="M4243" s="1302"/>
      <c r="N4243" s="7"/>
      <c r="O4243" s="1290"/>
      <c r="P4243" s="1332"/>
      <c r="Q4243" s="3391"/>
      <c r="R4243" s="2338"/>
      <c r="S4243" s="16"/>
      <c r="T4243" s="16"/>
      <c r="U4243" s="16"/>
      <c r="V4243" s="16"/>
    </row>
    <row r="4244" spans="1:22">
      <c r="A4244" s="16"/>
      <c r="B4244" s="1042"/>
      <c r="C4244" s="88"/>
      <c r="D4244" s="1373"/>
      <c r="E4244" s="2123"/>
      <c r="F4244" s="1374" t="s">
        <v>3</v>
      </c>
      <c r="G4244" s="1374"/>
      <c r="H4244" s="1376"/>
      <c r="I4244" s="1382" t="str">
        <f t="shared" ref="I4244:I4247" ca="1" si="498">IF(COUNT(H4244:O4244)=0,"",(SUM(H4244:O4244)/COUNT(H4244:O4244)))</f>
        <v/>
      </c>
      <c r="J4244" s="1383"/>
      <c r="K4244" s="1373"/>
      <c r="L4244" s="1413"/>
      <c r="M4244" s="1376"/>
      <c r="N4244" s="1376"/>
      <c r="O4244" s="1376"/>
      <c r="P4244" s="1413"/>
      <c r="Q4244" s="3387"/>
      <c r="R4244" s="2343"/>
      <c r="S4244" s="16"/>
      <c r="T4244" s="16"/>
      <c r="U4244" s="16"/>
      <c r="V4244" s="16"/>
    </row>
    <row r="4245" spans="1:22">
      <c r="A4245" s="16"/>
      <c r="B4245" s="1042"/>
      <c r="C4245" s="88"/>
      <c r="D4245" s="1440"/>
      <c r="E4245" s="2132"/>
      <c r="F4245" s="1441"/>
      <c r="G4245" s="1441"/>
      <c r="H4245" s="1442"/>
      <c r="I4245" s="197" t="str">
        <f t="shared" ca="1" si="498"/>
        <v/>
      </c>
      <c r="J4245" s="198"/>
      <c r="K4245" s="1307"/>
      <c r="L4245" s="1335"/>
      <c r="M4245" s="1499"/>
      <c r="N4245" s="1701"/>
      <c r="O4245" s="1290"/>
      <c r="P4245" s="1332"/>
      <c r="Q4245" s="3391"/>
      <c r="R4245" s="2338"/>
      <c r="S4245" s="16"/>
      <c r="T4245" s="16"/>
      <c r="U4245" s="16"/>
      <c r="V4245" s="16"/>
    </row>
    <row r="4246" spans="1:22">
      <c r="A4246" s="16"/>
      <c r="B4246" s="1042"/>
      <c r="C4246" s="88"/>
      <c r="D4246" s="1440"/>
      <c r="E4246" s="2132"/>
      <c r="F4246" s="1441"/>
      <c r="G4246" s="1441"/>
      <c r="H4246" s="1442"/>
      <c r="I4246" s="197" t="str">
        <f t="shared" ca="1" si="498"/>
        <v/>
      </c>
      <c r="J4246" s="198"/>
      <c r="K4246" s="1307"/>
      <c r="L4246" s="1335"/>
      <c r="M4246" s="1499"/>
      <c r="N4246" s="1701"/>
      <c r="O4246" s="1290"/>
      <c r="P4246" s="1332"/>
      <c r="Q4246" s="3391"/>
      <c r="R4246" s="2346">
        <v>42131</v>
      </c>
      <c r="S4246" s="16"/>
      <c r="T4246" s="16"/>
      <c r="U4246" s="16"/>
      <c r="V4246" s="16"/>
    </row>
    <row r="4247" spans="1:22">
      <c r="A4247" s="16"/>
      <c r="B4247" s="223"/>
      <c r="C4247" s="581"/>
      <c r="D4247" s="1440"/>
      <c r="E4247" s="2132"/>
      <c r="F4247" s="1441"/>
      <c r="G4247" s="1441"/>
      <c r="H4247" s="1442"/>
      <c r="I4247" s="197" t="str">
        <f t="shared" ca="1" si="498"/>
        <v/>
      </c>
      <c r="J4247" s="198"/>
      <c r="K4247" s="1307"/>
      <c r="L4247" s="1335"/>
      <c r="M4247" s="1499"/>
      <c r="N4247" s="1701"/>
      <c r="O4247" s="1290"/>
      <c r="P4247" s="1332"/>
      <c r="Q4247" s="3391"/>
      <c r="R4247" s="2338"/>
      <c r="S4247" s="16"/>
      <c r="T4247" s="16"/>
      <c r="U4247" s="16"/>
      <c r="V4247" s="16"/>
    </row>
    <row r="4248" spans="1:22">
      <c r="A4248" s="16" t="s">
        <v>3764</v>
      </c>
      <c r="B4248" s="4325" t="s">
        <v>1659</v>
      </c>
      <c r="C4248" s="3350"/>
      <c r="D4248" s="4327"/>
      <c r="E4248" s="4329" t="s">
        <v>1507</v>
      </c>
      <c r="F4248" s="4338" t="s">
        <v>1685</v>
      </c>
      <c r="G4248" s="4331" t="s">
        <v>1568</v>
      </c>
      <c r="H4248" s="4331" t="s">
        <v>1574</v>
      </c>
      <c r="I4248" s="1572" t="s">
        <v>1559</v>
      </c>
      <c r="J4248" s="1294" t="s">
        <v>1560</v>
      </c>
      <c r="K4248" s="1294" t="s">
        <v>1561</v>
      </c>
      <c r="L4248" s="4333" t="s">
        <v>3765</v>
      </c>
      <c r="M4248" s="4335" t="s">
        <v>1571</v>
      </c>
      <c r="N4248" s="4323" t="s">
        <v>1776</v>
      </c>
      <c r="O4248" s="3347" t="s">
        <v>1563</v>
      </c>
      <c r="P4248" s="1336" t="s">
        <v>1562</v>
      </c>
      <c r="Q4248" s="3389"/>
      <c r="R4248" s="1699" t="s">
        <v>1327</v>
      </c>
      <c r="S4248" s="16"/>
      <c r="T4248" s="16"/>
      <c r="U4248" s="16"/>
      <c r="V4248" s="16"/>
    </row>
    <row r="4249" spans="1:22">
      <c r="A4249" s="1807" t="s">
        <v>1973</v>
      </c>
      <c r="B4249" s="4326"/>
      <c r="C4249" s="3351"/>
      <c r="D4249" s="4328"/>
      <c r="E4249" s="4330"/>
      <c r="F4249" s="4338"/>
      <c r="G4249" s="4332"/>
      <c r="H4249" s="4332"/>
      <c r="I4249" s="1345">
        <v>50.760000000000005</v>
      </c>
      <c r="J4249" s="1307">
        <v>3.0000000000000001E-3</v>
      </c>
      <c r="K4249" s="1307">
        <f>I4249*J4249</f>
        <v>0.15228000000000003</v>
      </c>
      <c r="L4249" s="4334"/>
      <c r="M4249" s="4335"/>
      <c r="N4249" s="4324"/>
      <c r="O4249" s="1298">
        <f>O4251+O4259</f>
        <v>13.241683030000001</v>
      </c>
      <c r="P4249" s="1337">
        <f>O4249*K4249</f>
        <v>2.0164434918084004</v>
      </c>
      <c r="Q4249" s="3390"/>
      <c r="R4249" s="1721">
        <f>P4251+P4259</f>
        <v>2.0164434918084004</v>
      </c>
      <c r="S4249" s="16"/>
      <c r="T4249" s="16"/>
      <c r="U4249" s="16"/>
      <c r="V4249" s="16"/>
    </row>
    <row r="4250" spans="1:22">
      <c r="A4250" s="16"/>
      <c r="B4250" s="18"/>
      <c r="D4250" s="1449"/>
      <c r="E4250" s="2121"/>
      <c r="F4250" s="1368" t="s">
        <v>1</v>
      </c>
      <c r="G4250" s="1368"/>
      <c r="H4250" s="1369"/>
      <c r="I4250" s="1409"/>
      <c r="J4250" s="1391"/>
      <c r="K4250" s="1367"/>
      <c r="L4250" s="1554"/>
      <c r="M4250" s="1369"/>
      <c r="N4250" s="1369"/>
      <c r="O4250" s="1369"/>
      <c r="P4250" s="1367"/>
      <c r="Q4250" s="3387"/>
      <c r="R4250" s="2337"/>
      <c r="S4250" s="16"/>
      <c r="T4250" s="16"/>
      <c r="U4250" s="16"/>
      <c r="V4250" s="16"/>
    </row>
    <row r="4251" spans="1:22">
      <c r="A4251" s="16"/>
      <c r="B4251" s="1042"/>
      <c r="C4251" s="1356" t="s">
        <v>1127</v>
      </c>
      <c r="D4251" s="1311"/>
      <c r="E4251" s="2137" t="s">
        <v>1517</v>
      </c>
      <c r="F4251" s="1319" t="s">
        <v>1519</v>
      </c>
      <c r="G4251" s="1353"/>
      <c r="H4251" s="1456">
        <v>2.1000000000000001E-2</v>
      </c>
      <c r="I4251" s="1444"/>
      <c r="J4251" s="1388"/>
      <c r="K4251" s="1445"/>
      <c r="L4251" s="1457"/>
      <c r="M4251" s="1447"/>
      <c r="N4251" s="1447">
        <f>SUM(N4252:N4255)</f>
        <v>50.044430000000006</v>
      </c>
      <c r="O4251" s="1447">
        <f>SUM(O4252:O4255)</f>
        <v>1.0509330300000002</v>
      </c>
      <c r="P4251" s="1446">
        <f>SUM(P4252:P4255)</f>
        <v>0.16003608180840007</v>
      </c>
      <c r="Q4251" s="3391"/>
      <c r="R4251" s="2337"/>
      <c r="S4251" s="16"/>
      <c r="T4251" s="16"/>
      <c r="U4251" s="16"/>
      <c r="V4251" s="16"/>
    </row>
    <row r="4252" spans="1:22">
      <c r="A4252" s="16"/>
      <c r="B4252" s="1042"/>
      <c r="C4252" s="1327"/>
      <c r="D4252" s="1400" t="s">
        <v>1069</v>
      </c>
      <c r="E4252" s="1856" t="s">
        <v>1517</v>
      </c>
      <c r="F4252" s="1397" t="s">
        <v>1578</v>
      </c>
      <c r="G4252" s="1416">
        <v>0.26300000000000001</v>
      </c>
      <c r="H4252" s="1863">
        <f>G4252*$H$4251</f>
        <v>5.523000000000001E-3</v>
      </c>
      <c r="I4252" s="197"/>
      <c r="J4252" s="198"/>
      <c r="K4252" s="1307">
        <f>H4252*$K$4249</f>
        <v>8.4104244000000026E-4</v>
      </c>
      <c r="L4252" s="1335">
        <f t="shared" ref="L4252:L4255" si="499">K4252*$K$4143</f>
        <v>0</v>
      </c>
      <c r="M4252" s="1302">
        <v>0.55000000000000004</v>
      </c>
      <c r="N4252" s="1718">
        <f>G4252*M4252</f>
        <v>0.14465000000000003</v>
      </c>
      <c r="O4252" s="1290">
        <f>H4252*M4252</f>
        <v>3.0376500000000007E-3</v>
      </c>
      <c r="P4252" s="1332">
        <f>M4252*K4252</f>
        <v>4.6257334200000018E-4</v>
      </c>
      <c r="Q4252" s="3391"/>
      <c r="R4252" s="2337"/>
      <c r="S4252" s="16"/>
      <c r="T4252" s="16"/>
      <c r="U4252" s="16"/>
      <c r="V4252" s="16"/>
    </row>
    <row r="4253" spans="1:22">
      <c r="A4253" s="16"/>
      <c r="B4253" s="1042"/>
      <c r="C4253" s="1320"/>
      <c r="D4253" s="1400" t="s">
        <v>1394</v>
      </c>
      <c r="E4253" s="1856" t="s">
        <v>1577</v>
      </c>
      <c r="F4253" s="1397" t="s">
        <v>1579</v>
      </c>
      <c r="G4253" s="1416">
        <v>0.25800000000000001</v>
      </c>
      <c r="H4253" s="1863">
        <f t="shared" ref="H4253:H4255" si="500">G4253*$H$4251</f>
        <v>5.4180000000000001E-3</v>
      </c>
      <c r="I4253" s="197"/>
      <c r="J4253" s="198"/>
      <c r="K4253" s="1307">
        <f t="shared" ref="K4253:K4255" si="501">H4253*$K$4249</f>
        <v>8.2505304000000013E-4</v>
      </c>
      <c r="L4253" s="1335">
        <f t="shared" si="499"/>
        <v>0</v>
      </c>
      <c r="M4253" s="1302">
        <v>92.54</v>
      </c>
      <c r="N4253" s="1718">
        <f>G4253*M4253</f>
        <v>23.875320000000002</v>
      </c>
      <c r="O4253" s="1290">
        <f>H4253*M4253</f>
        <v>0.50138172000000003</v>
      </c>
      <c r="P4253" s="1332">
        <f>M4253*K4253</f>
        <v>7.6350408321600019E-2</v>
      </c>
      <c r="Q4253" s="3391"/>
      <c r="R4253" s="2337"/>
      <c r="S4253" s="16"/>
      <c r="T4253" s="16"/>
      <c r="U4253" s="16"/>
      <c r="V4253" s="16"/>
    </row>
    <row r="4254" spans="1:22">
      <c r="A4254" s="16"/>
      <c r="B4254" s="1042"/>
      <c r="C4254" s="1320"/>
      <c r="D4254" s="1400" t="s">
        <v>1576</v>
      </c>
      <c r="E4254" s="1856" t="s">
        <v>1517</v>
      </c>
      <c r="F4254" s="1397" t="s">
        <v>1580</v>
      </c>
      <c r="G4254" s="1416">
        <v>1.1020000000000001</v>
      </c>
      <c r="H4254" s="1863">
        <f t="shared" si="500"/>
        <v>2.3142000000000003E-2</v>
      </c>
      <c r="I4254" s="197"/>
      <c r="J4254" s="198"/>
      <c r="K4254" s="1307">
        <f t="shared" si="501"/>
        <v>3.5240637600000009E-3</v>
      </c>
      <c r="L4254" s="1335">
        <f t="shared" si="499"/>
        <v>0</v>
      </c>
      <c r="M4254" s="1302">
        <v>6.53</v>
      </c>
      <c r="N4254" s="1718">
        <f>G4254*M4254</f>
        <v>7.196060000000001</v>
      </c>
      <c r="O4254" s="1290">
        <f>H4254*M4254</f>
        <v>0.15111726000000003</v>
      </c>
      <c r="P4254" s="1332">
        <f>M4254*K4254</f>
        <v>2.3012136352800007E-2</v>
      </c>
      <c r="Q4254" s="3391"/>
      <c r="R4254" s="2337"/>
      <c r="S4254" s="16"/>
      <c r="T4254" s="16"/>
      <c r="U4254" s="16"/>
      <c r="V4254" s="16"/>
    </row>
    <row r="4255" spans="1:22">
      <c r="A4255" s="16"/>
      <c r="B4255" s="1042"/>
      <c r="C4255" s="1320"/>
      <c r="D4255" s="1404" t="s">
        <v>1067</v>
      </c>
      <c r="E4255" s="1857" t="s">
        <v>1508</v>
      </c>
      <c r="F4255" s="1406" t="s">
        <v>1512</v>
      </c>
      <c r="G4255" s="1407">
        <v>1.03</v>
      </c>
      <c r="H4255" s="1864">
        <f t="shared" si="500"/>
        <v>2.1630000000000003E-2</v>
      </c>
      <c r="I4255" s="197"/>
      <c r="J4255" s="198"/>
      <c r="K4255" s="1307">
        <f t="shared" si="501"/>
        <v>3.2938164000000012E-3</v>
      </c>
      <c r="L4255" s="1335">
        <f t="shared" si="499"/>
        <v>0</v>
      </c>
      <c r="M4255" s="1302">
        <v>18.28</v>
      </c>
      <c r="N4255" s="1718">
        <f>G4255*M4255</f>
        <v>18.828400000000002</v>
      </c>
      <c r="O4255" s="1290">
        <f>H4255*M4255</f>
        <v>0.39539640000000009</v>
      </c>
      <c r="P4255" s="1332">
        <f>M4255*K4255</f>
        <v>6.0210963792000027E-2</v>
      </c>
      <c r="Q4255" s="3391"/>
      <c r="R4255" s="2337"/>
      <c r="S4255" s="16"/>
      <c r="T4255" s="16"/>
      <c r="U4255" s="16"/>
      <c r="V4255" s="16"/>
    </row>
    <row r="4256" spans="1:22">
      <c r="A4256" s="16"/>
      <c r="B4256" s="1042"/>
      <c r="C4256" s="88"/>
      <c r="D4256" s="1400"/>
      <c r="E4256" s="1856"/>
      <c r="F4256" s="1397"/>
      <c r="G4256" s="1416"/>
      <c r="H4256" s="1399"/>
      <c r="I4256" s="197"/>
      <c r="J4256" s="198"/>
      <c r="K4256" s="1307"/>
      <c r="L4256" s="1335"/>
      <c r="M4256" s="1302"/>
      <c r="N4256" s="1718"/>
      <c r="O4256" s="1290"/>
      <c r="P4256" s="1332"/>
      <c r="Q4256" s="3391"/>
      <c r="R4256" s="2337"/>
      <c r="S4256" s="16"/>
      <c r="T4256" s="16"/>
      <c r="U4256" s="16"/>
      <c r="V4256" s="16"/>
    </row>
    <row r="4257" spans="1:22">
      <c r="A4257" s="16"/>
      <c r="B4257" s="1042"/>
      <c r="C4257" s="88"/>
      <c r="D4257" s="1400"/>
      <c r="E4257" s="1856"/>
      <c r="F4257" s="1397"/>
      <c r="G4257" s="1416"/>
      <c r="H4257" s="1399"/>
      <c r="I4257" s="197" t="str">
        <f ca="1">IF(COUNT(H4257:O4257)=0,"",(SUM(H4257:O4257)/COUNT(H4257:O4257)))</f>
        <v/>
      </c>
      <c r="J4257" s="198"/>
      <c r="K4257" s="1307" t="str">
        <f>IF(COUNT(#REF!)=0,"",IF(#REF!="","",(#REF!*#REF!)))</f>
        <v/>
      </c>
      <c r="L4257" s="1335"/>
      <c r="M4257" s="1302"/>
      <c r="N4257" s="1718"/>
      <c r="O4257" s="1290"/>
      <c r="P4257" s="1332"/>
      <c r="Q4257" s="3391"/>
      <c r="R4257" s="2337"/>
      <c r="S4257" s="16"/>
      <c r="T4257" s="16"/>
      <c r="U4257" s="16"/>
      <c r="V4257" s="16"/>
    </row>
    <row r="4258" spans="1:22">
      <c r="A4258" s="16"/>
      <c r="B4258" s="1042"/>
      <c r="C4258" s="88"/>
      <c r="D4258" s="1359"/>
      <c r="E4258" s="1858"/>
      <c r="F4258" s="1360" t="s">
        <v>2</v>
      </c>
      <c r="G4258" s="1360"/>
      <c r="H4258" s="1362"/>
      <c r="I4258" s="1380" t="str">
        <f ca="1">IF(COUNT(H4258:O4258)=0,"",(SUM(H4258:O4258)/COUNT(H4258:O4258)))</f>
        <v/>
      </c>
      <c r="J4258" s="1381"/>
      <c r="K4258" s="1359" t="str">
        <f>IF(COUNT(#REF!)=0,"",IF(#REF!="","",(#REF!*#REF!)))</f>
        <v/>
      </c>
      <c r="L4258" s="1458"/>
      <c r="M4258" s="1362"/>
      <c r="N4258" s="1362"/>
      <c r="O4258" s="1362"/>
      <c r="P4258" s="1458"/>
      <c r="Q4258" s="3387"/>
      <c r="R4258" s="2337"/>
      <c r="S4258" s="16"/>
      <c r="T4258" s="16"/>
      <c r="U4258" s="16"/>
      <c r="V4258" s="16"/>
    </row>
    <row r="4259" spans="1:22">
      <c r="A4259" s="16"/>
      <c r="B4259" s="1042"/>
      <c r="C4259" s="1652" t="s">
        <v>1755</v>
      </c>
      <c r="D4259" s="1461"/>
      <c r="E4259" s="2163" t="s">
        <v>1508</v>
      </c>
      <c r="F4259" s="1648" t="s">
        <v>1524</v>
      </c>
      <c r="G4259" s="1353"/>
      <c r="H4259" s="1456">
        <v>0.32500000000000001</v>
      </c>
      <c r="I4259" s="1444"/>
      <c r="J4259" s="1388"/>
      <c r="K4259" s="1445"/>
      <c r="L4259" s="1457"/>
      <c r="M4259" s="1447"/>
      <c r="N4259" s="1447">
        <f>SUM(N4260:N4261)</f>
        <v>37.510000000000005</v>
      </c>
      <c r="O4259" s="1447">
        <f>SUM(O4260:O4261)</f>
        <v>12.190750000000001</v>
      </c>
      <c r="P4259" s="1447">
        <f>SUM(P4260:P4261)</f>
        <v>1.8564074100000005</v>
      </c>
      <c r="Q4259" s="3391"/>
      <c r="R4259" s="2337"/>
      <c r="S4259" s="16"/>
      <c r="T4259" s="16"/>
      <c r="U4259" s="16"/>
      <c r="V4259" s="16"/>
    </row>
    <row r="4260" spans="1:22">
      <c r="A4260" s="16"/>
      <c r="B4260" s="1042"/>
      <c r="C4260" s="88"/>
      <c r="D4260" s="1430" t="s">
        <v>1067</v>
      </c>
      <c r="E4260" s="1857" t="s">
        <v>1508</v>
      </c>
      <c r="F4260" s="1403" t="s">
        <v>5</v>
      </c>
      <c r="G4260" s="1431">
        <v>1</v>
      </c>
      <c r="H4260" s="1408">
        <f>G4260*$H$4259</f>
        <v>0.32500000000000001</v>
      </c>
      <c r="I4260" s="1286"/>
      <c r="J4260" s="198"/>
      <c r="K4260" s="1307">
        <f t="shared" ref="K4260:K4261" si="502">H4260*$K$4249</f>
        <v>4.9491000000000007E-2</v>
      </c>
      <c r="L4260" s="1335">
        <f t="shared" ref="L4260:L4261" si="503">K4260*$K$4143</f>
        <v>0</v>
      </c>
      <c r="M4260" s="1302">
        <v>18.28</v>
      </c>
      <c r="N4260" s="1718">
        <f>G4260*M4260</f>
        <v>18.28</v>
      </c>
      <c r="O4260" s="1290">
        <f>H4260*M4260</f>
        <v>5.9410000000000007</v>
      </c>
      <c r="P4260" s="1332">
        <f>M4260*K4260</f>
        <v>0.90469548000000022</v>
      </c>
      <c r="Q4260" s="3391"/>
      <c r="R4260" s="2337"/>
      <c r="S4260" s="16"/>
      <c r="T4260" s="16"/>
      <c r="U4260" s="16"/>
      <c r="V4260" s="16"/>
    </row>
    <row r="4261" spans="1:22">
      <c r="A4261" s="16"/>
      <c r="B4261" s="1042"/>
      <c r="C4261" s="88"/>
      <c r="D4261" s="1430" t="s">
        <v>1077</v>
      </c>
      <c r="E4261" s="1857" t="s">
        <v>1508</v>
      </c>
      <c r="F4261" s="1403" t="s">
        <v>37</v>
      </c>
      <c r="G4261" s="1431">
        <v>1</v>
      </c>
      <c r="H4261" s="1408">
        <f>G4261*$H$4259</f>
        <v>0.32500000000000001</v>
      </c>
      <c r="I4261" s="197">
        <f ca="1">IF(COUNT(H4261:L4261)=0,"",(SUM(H4261:L4261)/COUNT(H4261:L4261)))</f>
        <v>0.12488470605611444</v>
      </c>
      <c r="J4261" s="198"/>
      <c r="K4261" s="1307">
        <f t="shared" si="502"/>
        <v>4.9491000000000007E-2</v>
      </c>
      <c r="L4261" s="1335">
        <f t="shared" si="503"/>
        <v>0</v>
      </c>
      <c r="M4261" s="1302">
        <v>19.23</v>
      </c>
      <c r="N4261" s="1718">
        <f>G4261*M4261</f>
        <v>19.23</v>
      </c>
      <c r="O4261" s="1290">
        <f>H4261*M4261</f>
        <v>6.2497500000000006</v>
      </c>
      <c r="P4261" s="1332">
        <f>M4261*K4261</f>
        <v>0.95171193000000021</v>
      </c>
      <c r="Q4261" s="3391"/>
      <c r="R4261" s="2337"/>
      <c r="S4261" s="16"/>
      <c r="T4261" s="16"/>
      <c r="U4261" s="16"/>
      <c r="V4261" s="16"/>
    </row>
    <row r="4262" spans="1:22">
      <c r="A4262" s="16"/>
      <c r="B4262" s="1042"/>
      <c r="C4262" s="88"/>
      <c r="D4262" s="1430"/>
      <c r="E4262" s="1857"/>
      <c r="F4262" s="1766"/>
      <c r="G4262" s="1943"/>
      <c r="H4262" s="1408"/>
      <c r="I4262" s="197"/>
      <c r="J4262" s="198"/>
      <c r="K4262" s="1307"/>
      <c r="L4262" s="1335"/>
      <c r="M4262" s="1302"/>
      <c r="N4262" s="1718"/>
      <c r="O4262" s="1290"/>
      <c r="P4262" s="1332"/>
      <c r="Q4262" s="3391"/>
      <c r="R4262" s="2337"/>
      <c r="S4262" s="16"/>
      <c r="T4262" s="16"/>
      <c r="U4262" s="16"/>
      <c r="V4262" s="16"/>
    </row>
    <row r="4263" spans="1:22">
      <c r="A4263" s="16"/>
      <c r="B4263" s="1042"/>
      <c r="C4263" s="88"/>
      <c r="D4263" s="1373"/>
      <c r="E4263" s="2123"/>
      <c r="F4263" s="1374" t="s">
        <v>3</v>
      </c>
      <c r="G4263" s="1374"/>
      <c r="H4263" s="1376"/>
      <c r="I4263" s="1382" t="str">
        <f t="shared" ref="I4263:I4266" ca="1" si="504">IF(COUNT(H4263:O4263)=0,"",(SUM(H4263:O4263)/COUNT(H4263:O4263)))</f>
        <v/>
      </c>
      <c r="J4263" s="1383"/>
      <c r="K4263" s="1373"/>
      <c r="L4263" s="1413"/>
      <c r="M4263" s="1376"/>
      <c r="N4263" s="1376"/>
      <c r="O4263" s="1376"/>
      <c r="P4263" s="1413"/>
      <c r="Q4263" s="3387"/>
      <c r="R4263" s="2337"/>
      <c r="S4263" s="16"/>
      <c r="T4263" s="16"/>
      <c r="U4263" s="16"/>
      <c r="V4263" s="16"/>
    </row>
    <row r="4264" spans="1:22">
      <c r="A4264" s="16"/>
      <c r="B4264" s="1042"/>
      <c r="C4264" s="88"/>
      <c r="D4264" s="1440"/>
      <c r="E4264" s="2132"/>
      <c r="F4264" s="1441"/>
      <c r="G4264" s="1441"/>
      <c r="H4264" s="1442"/>
      <c r="I4264" s="197" t="str">
        <f t="shared" ca="1" si="504"/>
        <v/>
      </c>
      <c r="J4264" s="198"/>
      <c r="K4264" s="1307"/>
      <c r="L4264" s="1335"/>
      <c r="M4264" s="1499"/>
      <c r="N4264" s="1701"/>
      <c r="O4264" s="1290"/>
      <c r="P4264" s="1332"/>
      <c r="Q4264" s="3391"/>
      <c r="R4264" s="2337"/>
      <c r="S4264" s="16"/>
      <c r="T4264" s="16"/>
      <c r="U4264" s="16"/>
      <c r="V4264" s="16"/>
    </row>
    <row r="4265" spans="1:22">
      <c r="A4265" s="16"/>
      <c r="B4265" s="1042"/>
      <c r="C4265" s="88"/>
      <c r="D4265" s="1440"/>
      <c r="E4265" s="2132"/>
      <c r="F4265" s="1441"/>
      <c r="G4265" s="1441"/>
      <c r="H4265" s="1442"/>
      <c r="I4265" s="197" t="str">
        <f t="shared" ca="1" si="504"/>
        <v/>
      </c>
      <c r="J4265" s="198"/>
      <c r="K4265" s="1307"/>
      <c r="L4265" s="1335"/>
      <c r="M4265" s="1499"/>
      <c r="N4265" s="1701"/>
      <c r="O4265" s="1290"/>
      <c r="P4265" s="1332"/>
      <c r="Q4265" s="3391"/>
      <c r="R4265" s="2337"/>
      <c r="S4265" s="16"/>
      <c r="T4265" s="16"/>
      <c r="U4265" s="16"/>
      <c r="V4265" s="16"/>
    </row>
    <row r="4266" spans="1:22">
      <c r="A4266" s="16"/>
      <c r="B4266" s="223"/>
      <c r="C4266" s="581"/>
      <c r="D4266" s="1440"/>
      <c r="E4266" s="2132"/>
      <c r="F4266" s="1441"/>
      <c r="G4266" s="1441"/>
      <c r="H4266" s="1442"/>
      <c r="I4266" s="197" t="str">
        <f t="shared" ca="1" si="504"/>
        <v/>
      </c>
      <c r="J4266" s="198"/>
      <c r="K4266" s="1307"/>
      <c r="L4266" s="1335"/>
      <c r="M4266" s="1499"/>
      <c r="N4266" s="1701"/>
      <c r="O4266" s="1290"/>
      <c r="P4266" s="1332"/>
      <c r="Q4266" s="3391"/>
      <c r="R4266" s="2337"/>
      <c r="S4266" s="16"/>
      <c r="T4266" s="16"/>
      <c r="U4266" s="16"/>
      <c r="V4266" s="16"/>
    </row>
    <row r="4267" spans="1:22">
      <c r="A4267" s="16" t="s">
        <v>3764</v>
      </c>
      <c r="B4267" s="4325" t="s">
        <v>1660</v>
      </c>
      <c r="C4267" s="3350"/>
      <c r="D4267" s="4327"/>
      <c r="E4267" s="4329" t="s">
        <v>1507</v>
      </c>
      <c r="F4267" s="4372" t="s">
        <v>1689</v>
      </c>
      <c r="G4267" s="4331" t="s">
        <v>1568</v>
      </c>
      <c r="H4267" s="4331" t="s">
        <v>1574</v>
      </c>
      <c r="I4267" s="1572" t="s">
        <v>1559</v>
      </c>
      <c r="J4267" s="1294" t="s">
        <v>1560</v>
      </c>
      <c r="K4267" s="1294" t="s">
        <v>1561</v>
      </c>
      <c r="L4267" s="4333" t="s">
        <v>3765</v>
      </c>
      <c r="M4267" s="4323" t="s">
        <v>1571</v>
      </c>
      <c r="N4267" s="4323" t="s">
        <v>1776</v>
      </c>
      <c r="O4267" s="3347" t="s">
        <v>1563</v>
      </c>
      <c r="P4267" s="1336" t="s">
        <v>1562</v>
      </c>
      <c r="Q4267" s="3389"/>
      <c r="R4267" s="1699" t="s">
        <v>1327</v>
      </c>
      <c r="S4267" s="16"/>
      <c r="T4267" s="16"/>
      <c r="U4267" s="16"/>
      <c r="V4267" s="16"/>
    </row>
    <row r="4268" spans="1:22">
      <c r="A4268" s="1807" t="s">
        <v>1973</v>
      </c>
      <c r="B4268" s="4326"/>
      <c r="C4268" s="3351"/>
      <c r="D4268" s="4328"/>
      <c r="E4268" s="4330"/>
      <c r="F4268" s="4363"/>
      <c r="G4268" s="4332"/>
      <c r="H4268" s="4332"/>
      <c r="I4268" s="1345">
        <v>16.750800000000002</v>
      </c>
      <c r="J4268" s="1307">
        <v>8.9999999999999993E-3</v>
      </c>
      <c r="K4268" s="1307">
        <f>I4268*J4268</f>
        <v>0.15075720000000001</v>
      </c>
      <c r="L4268" s="4334"/>
      <c r="M4268" s="4324"/>
      <c r="N4268" s="4324"/>
      <c r="O4268" s="1298">
        <f>SUM(O4270:O4282)</f>
        <v>19.719749999999998</v>
      </c>
      <c r="P4268" s="1337">
        <f>O4268*K4268</f>
        <v>2.9728942946999997</v>
      </c>
      <c r="Q4268" s="3390"/>
      <c r="R4268" s="1721">
        <f>SUM(P4270:P4283)</f>
        <v>2.9728942947000006</v>
      </c>
      <c r="S4268" s="16"/>
      <c r="T4268" s="16"/>
      <c r="U4268" s="16"/>
      <c r="V4268" s="16"/>
    </row>
    <row r="4269" spans="1:22">
      <c r="A4269" s="16"/>
      <c r="B4269" s="1327"/>
      <c r="C4269" s="1327"/>
      <c r="D4269" s="1400"/>
      <c r="E4269" s="2121"/>
      <c r="F4269" s="1368" t="s">
        <v>1</v>
      </c>
      <c r="G4269" s="1417"/>
      <c r="H4269" s="1390"/>
      <c r="I4269" s="1554"/>
      <c r="J4269" s="1367"/>
      <c r="K4269" s="1367"/>
      <c r="L4269" s="1554"/>
      <c r="M4269" s="1369"/>
      <c r="N4269" s="1369"/>
      <c r="O4269" s="1369"/>
      <c r="P4269" s="1367"/>
      <c r="Q4269" s="3387"/>
      <c r="R4269" s="2337"/>
      <c r="S4269" s="16"/>
      <c r="T4269" s="16"/>
      <c r="U4269" s="16"/>
      <c r="V4269" s="16"/>
    </row>
    <row r="4270" spans="1:22">
      <c r="A4270" s="16"/>
      <c r="B4270" s="1320"/>
      <c r="C4270" s="1042"/>
      <c r="D4270" s="1615" t="s">
        <v>1145</v>
      </c>
      <c r="E4270" s="2126" t="s">
        <v>1577</v>
      </c>
      <c r="F4270" s="1598" t="s">
        <v>1690</v>
      </c>
      <c r="G4270" s="1372">
        <v>1E-3</v>
      </c>
      <c r="H4270" s="1372"/>
      <c r="I4270" s="198"/>
      <c r="J4270" s="6"/>
      <c r="K4270" s="1307">
        <f>G4270*$K$4084</f>
        <v>1.5075720000000002E-4</v>
      </c>
      <c r="L4270" s="1335">
        <f t="shared" ref="L4270:L4273" si="505">K4270*$K$4143</f>
        <v>0</v>
      </c>
      <c r="M4270" s="1499">
        <v>246.4</v>
      </c>
      <c r="N4270" s="1701"/>
      <c r="O4270" s="1291">
        <f>G4270*M4270</f>
        <v>0.24640000000000001</v>
      </c>
      <c r="P4270" s="1332">
        <f>M4270*K4270</f>
        <v>3.7146574080000008E-2</v>
      </c>
      <c r="Q4270" s="3391"/>
      <c r="R4270" s="2337"/>
      <c r="S4270" s="16"/>
      <c r="T4270" s="16"/>
      <c r="U4270" s="16"/>
      <c r="V4270" s="16"/>
    </row>
    <row r="4271" spans="1:22">
      <c r="A4271" s="16"/>
      <c r="B4271" s="1320"/>
      <c r="C4271" s="1042"/>
      <c r="D4271" s="1598" t="s">
        <v>1147</v>
      </c>
      <c r="E4271" s="2154" t="s">
        <v>1357</v>
      </c>
      <c r="F4271" s="1598" t="s">
        <v>1691</v>
      </c>
      <c r="G4271" s="1372">
        <v>1</v>
      </c>
      <c r="H4271" s="1372"/>
      <c r="I4271" s="197"/>
      <c r="J4271" s="198"/>
      <c r="K4271" s="1307">
        <f t="shared" ref="K4271:K4273" si="506">G4271*$K$4084</f>
        <v>0.15075720000000001</v>
      </c>
      <c r="L4271" s="1335">
        <f t="shared" si="505"/>
        <v>0</v>
      </c>
      <c r="M4271" s="1499">
        <v>0.22</v>
      </c>
      <c r="N4271" s="1701"/>
      <c r="O4271" s="1291">
        <f>G4271*M4271</f>
        <v>0.22</v>
      </c>
      <c r="P4271" s="1332">
        <f>M4271*K4271</f>
        <v>3.3166583999999999E-2</v>
      </c>
      <c r="Q4271" s="3391"/>
      <c r="R4271" s="2337"/>
      <c r="S4271" s="16"/>
      <c r="T4271" s="16"/>
      <c r="U4271" s="16"/>
      <c r="V4271" s="16"/>
    </row>
    <row r="4272" spans="1:22">
      <c r="A4272" s="16"/>
      <c r="B4272" s="1320"/>
      <c r="C4272" s="1042"/>
      <c r="D4272" s="1598" t="s">
        <v>1692</v>
      </c>
      <c r="E4272" s="2154" t="s">
        <v>1504</v>
      </c>
      <c r="F4272" s="1598" t="s">
        <v>1693</v>
      </c>
      <c r="G4272" s="1399">
        <v>47.17</v>
      </c>
      <c r="H4272" s="1399"/>
      <c r="I4272" s="27"/>
      <c r="J4272" s="10"/>
      <c r="K4272" s="1307">
        <f t="shared" si="506"/>
        <v>7.1112171240000004</v>
      </c>
      <c r="L4272" s="1335">
        <f t="shared" si="505"/>
        <v>0</v>
      </c>
      <c r="M4272" s="1499">
        <v>0.17</v>
      </c>
      <c r="N4272" s="1701"/>
      <c r="O4272" s="1291">
        <f>G4272*M4272</f>
        <v>8.0189000000000004</v>
      </c>
      <c r="P4272" s="1332">
        <f>M4272*K4272</f>
        <v>1.2089069110800001</v>
      </c>
      <c r="Q4272" s="3391"/>
      <c r="R4272" s="2337"/>
      <c r="S4272" s="16"/>
      <c r="T4272" s="16"/>
      <c r="U4272" s="16"/>
      <c r="V4272" s="16"/>
    </row>
    <row r="4273" spans="1:22">
      <c r="A4273" s="16"/>
      <c r="B4273" s="1320"/>
      <c r="C4273" s="1042"/>
      <c r="D4273" s="1598" t="s">
        <v>1097</v>
      </c>
      <c r="E4273" s="1856" t="s">
        <v>1504</v>
      </c>
      <c r="F4273" s="1598" t="s">
        <v>1632</v>
      </c>
      <c r="G4273" s="1399">
        <v>1</v>
      </c>
      <c r="H4273" s="1399"/>
      <c r="I4273" s="198"/>
      <c r="J4273" s="198"/>
      <c r="K4273" s="1307">
        <f t="shared" si="506"/>
        <v>0.15075720000000001</v>
      </c>
      <c r="L4273" s="1335">
        <f t="shared" si="505"/>
        <v>0</v>
      </c>
      <c r="M4273" s="1499">
        <v>0.55000000000000004</v>
      </c>
      <c r="N4273" s="1701"/>
      <c r="O4273" s="1291">
        <f>G4273*M4273</f>
        <v>0.55000000000000004</v>
      </c>
      <c r="P4273" s="1332">
        <f>M4273*K4273</f>
        <v>8.2916460000000011E-2</v>
      </c>
      <c r="Q4273" s="3391"/>
      <c r="S4273" s="16"/>
      <c r="T4273" s="16"/>
      <c r="U4273" s="16"/>
      <c r="V4273" s="16"/>
    </row>
    <row r="4274" spans="1:22">
      <c r="A4274" s="16"/>
      <c r="B4274" s="1320"/>
      <c r="C4274" s="1042"/>
      <c r="D4274" s="1400"/>
      <c r="E4274" s="1856"/>
      <c r="F4274" s="1397"/>
      <c r="G4274" s="1401"/>
      <c r="H4274" s="1399"/>
      <c r="I4274" s="198"/>
      <c r="J4274" s="198"/>
      <c r="K4274" s="1307"/>
      <c r="L4274" s="1335"/>
      <c r="M4274" s="1499"/>
      <c r="N4274" s="1701"/>
      <c r="O4274" s="1290"/>
      <c r="P4274" s="1332"/>
      <c r="Q4274" s="3391"/>
      <c r="S4274" s="16"/>
      <c r="T4274" s="16"/>
      <c r="U4274" s="16"/>
      <c r="V4274" s="16"/>
    </row>
    <row r="4275" spans="1:22">
      <c r="A4275" s="16"/>
      <c r="B4275" s="1320"/>
      <c r="C4275" s="1042"/>
      <c r="D4275" s="1400"/>
      <c r="E4275" s="1856"/>
      <c r="F4275" s="1397"/>
      <c r="G4275" s="1416"/>
      <c r="H4275" s="1399"/>
      <c r="I4275" s="1289"/>
      <c r="J4275" s="198"/>
      <c r="K4275" s="1307"/>
      <c r="L4275" s="1335"/>
      <c r="M4275" s="1499"/>
      <c r="N4275" s="1701"/>
      <c r="O4275" s="1290"/>
      <c r="P4275" s="1332"/>
      <c r="Q4275" s="3391"/>
      <c r="R4275" s="2337"/>
      <c r="S4275" s="16"/>
      <c r="T4275" s="16"/>
      <c r="U4275" s="16"/>
      <c r="V4275" s="16"/>
    </row>
    <row r="4276" spans="1:22">
      <c r="A4276" s="16"/>
      <c r="B4276" s="1320"/>
      <c r="C4276" s="1320"/>
      <c r="D4276" s="1410"/>
      <c r="E4276" s="1858"/>
      <c r="F4276" s="1360" t="s">
        <v>2</v>
      </c>
      <c r="G4276" s="1360"/>
      <c r="H4276" s="1362"/>
      <c r="I4276" s="1380"/>
      <c r="J4276" s="1381"/>
      <c r="K4276" s="1359"/>
      <c r="L4276" s="1458"/>
      <c r="M4276" s="1502"/>
      <c r="N4276" s="1502"/>
      <c r="O4276" s="1362"/>
      <c r="P4276" s="1359"/>
      <c r="Q4276" s="3387"/>
      <c r="R4276" s="2337"/>
      <c r="S4276" s="16"/>
      <c r="T4276" s="16"/>
      <c r="U4276" s="16"/>
      <c r="V4276" s="16"/>
    </row>
    <row r="4277" spans="1:22">
      <c r="A4277" s="16"/>
      <c r="B4277" s="1320"/>
      <c r="C4277" s="1042"/>
      <c r="D4277" s="1410" t="s">
        <v>1088</v>
      </c>
      <c r="E4277" s="1858" t="s">
        <v>1508</v>
      </c>
      <c r="F4277" s="1655" t="s">
        <v>1694</v>
      </c>
      <c r="G4277" s="1405">
        <v>0.375</v>
      </c>
      <c r="H4277" s="1405"/>
      <c r="I4277" s="1826"/>
      <c r="J4277" s="6"/>
      <c r="K4277" s="1307">
        <f t="shared" ref="K4277:K4278" si="507">G4277*$K$4084</f>
        <v>5.6533949999999999E-2</v>
      </c>
      <c r="L4277" s="1335">
        <f t="shared" ref="L4277:L4278" si="508">K4277*$K$4143</f>
        <v>0</v>
      </c>
      <c r="M4277" s="1302">
        <v>19.23</v>
      </c>
      <c r="N4277" s="1701"/>
      <c r="O4277" s="1291">
        <f>G4277*M4277</f>
        <v>7.2112499999999997</v>
      </c>
      <c r="P4277" s="1332">
        <f>M4277*K4277</f>
        <v>1.0871478585000001</v>
      </c>
      <c r="Q4277" s="3391"/>
      <c r="R4277" s="2337"/>
      <c r="S4277" s="16"/>
      <c r="T4277" s="16"/>
      <c r="U4277" s="16"/>
      <c r="V4277" s="16"/>
    </row>
    <row r="4278" spans="1:22">
      <c r="A4278" s="16"/>
      <c r="B4278" s="1320"/>
      <c r="C4278" s="1042"/>
      <c r="D4278" s="1410" t="s">
        <v>1067</v>
      </c>
      <c r="E4278" s="1858" t="s">
        <v>1508</v>
      </c>
      <c r="F4278" s="1655" t="s">
        <v>1512</v>
      </c>
      <c r="G4278" s="1359">
        <v>0.19</v>
      </c>
      <c r="H4278" s="1359"/>
      <c r="I4278" s="12"/>
      <c r="J4278" s="6"/>
      <c r="K4278" s="1307">
        <f t="shared" si="507"/>
        <v>2.8643868000000003E-2</v>
      </c>
      <c r="L4278" s="1335">
        <f t="shared" si="508"/>
        <v>0</v>
      </c>
      <c r="M4278" s="1302">
        <v>18.28</v>
      </c>
      <c r="N4278" s="1499"/>
      <c r="O4278" s="1291">
        <f>G4278*M4278</f>
        <v>3.4732000000000003</v>
      </c>
      <c r="P4278" s="1332">
        <f>M4278*K4278</f>
        <v>0.5236099070400001</v>
      </c>
      <c r="Q4278" s="3391"/>
      <c r="R4278" s="2337"/>
      <c r="S4278" s="16"/>
      <c r="T4278" s="16"/>
      <c r="U4278" s="16"/>
      <c r="V4278" s="16"/>
    </row>
    <row r="4279" spans="1:22">
      <c r="A4279" s="16"/>
      <c r="B4279" s="1320"/>
      <c r="C4279" s="1042"/>
      <c r="D4279" s="1402"/>
      <c r="E4279" s="1857"/>
      <c r="F4279" s="1403"/>
      <c r="G4279" s="1362"/>
      <c r="H4279" s="1359"/>
      <c r="I4279" s="198"/>
      <c r="J4279" s="6"/>
      <c r="K4279" s="1307"/>
      <c r="L4279" s="1335"/>
      <c r="M4279" s="1499"/>
      <c r="N4279" s="1701"/>
      <c r="O4279" s="1290"/>
      <c r="P4279" s="1332"/>
      <c r="Q4279" s="3391"/>
      <c r="R4279" s="2337"/>
      <c r="S4279" s="16"/>
      <c r="T4279" s="16"/>
      <c r="U4279" s="16"/>
      <c r="V4279" s="16"/>
    </row>
    <row r="4280" spans="1:22">
      <c r="A4280" s="16"/>
      <c r="B4280" s="1320"/>
      <c r="C4280" s="1042"/>
      <c r="D4280" s="1411"/>
      <c r="E4280" s="2123"/>
      <c r="F4280" s="1374" t="s">
        <v>3</v>
      </c>
      <c r="G4280" s="1374"/>
      <c r="H4280" s="1376"/>
      <c r="I4280" s="1382"/>
      <c r="J4280" s="1383"/>
      <c r="K4280" s="1373"/>
      <c r="L4280" s="1413"/>
      <c r="M4280" s="1505"/>
      <c r="N4280" s="1505"/>
      <c r="O4280" s="1376"/>
      <c r="P4280" s="1413"/>
      <c r="Q4280" s="3387"/>
      <c r="R4280" s="2337"/>
      <c r="S4280" s="16"/>
      <c r="T4280" s="16"/>
      <c r="U4280" s="16"/>
      <c r="V4280" s="16"/>
    </row>
    <row r="4281" spans="1:22">
      <c r="A4281" s="16"/>
      <c r="B4281" s="1320"/>
      <c r="C4281" s="1042"/>
      <c r="D4281" s="1440"/>
      <c r="E4281" s="2132"/>
      <c r="F4281" s="1441"/>
      <c r="G4281" s="1441"/>
      <c r="H4281" s="1442"/>
      <c r="I4281" s="197"/>
      <c r="J4281" s="198"/>
      <c r="K4281" s="1307"/>
      <c r="L4281" s="1335"/>
      <c r="M4281" s="1499"/>
      <c r="N4281" s="1701"/>
      <c r="O4281" s="1290"/>
      <c r="P4281" s="1332"/>
      <c r="Q4281" s="3391"/>
      <c r="R4281" s="2337"/>
      <c r="S4281" s="16"/>
      <c r="T4281" s="16"/>
      <c r="U4281" s="16"/>
      <c r="V4281" s="16"/>
    </row>
    <row r="4282" spans="1:22">
      <c r="A4282" s="16"/>
      <c r="B4282" s="1320"/>
      <c r="C4282" s="1042"/>
      <c r="D4282" s="1440"/>
      <c r="E4282" s="2132"/>
      <c r="F4282" s="1441"/>
      <c r="G4282" s="1441"/>
      <c r="H4282" s="1442"/>
      <c r="I4282" s="197"/>
      <c r="J4282" s="198"/>
      <c r="K4282" s="1307"/>
      <c r="L4282" s="1335"/>
      <c r="M4282" s="1499"/>
      <c r="N4282" s="1701"/>
      <c r="O4282" s="1290"/>
      <c r="P4282" s="1332"/>
      <c r="Q4282" s="3391"/>
      <c r="R4282" s="2337"/>
      <c r="S4282" s="16"/>
      <c r="T4282" s="16"/>
      <c r="U4282" s="16"/>
      <c r="V4282" s="16"/>
    </row>
    <row r="4283" spans="1:22">
      <c r="A4283" s="16"/>
      <c r="B4283" s="225"/>
      <c r="C4283" s="223"/>
      <c r="D4283" s="1440"/>
      <c r="E4283" s="2132"/>
      <c r="F4283" s="1441"/>
      <c r="G4283" s="1441"/>
      <c r="H4283" s="1442"/>
      <c r="I4283" s="197"/>
      <c r="J4283" s="198"/>
      <c r="K4283" s="1307"/>
      <c r="L4283" s="1335"/>
      <c r="M4283" s="1499"/>
      <c r="N4283" s="1701"/>
      <c r="O4283" s="1290"/>
      <c r="P4283" s="1332"/>
      <c r="Q4283" s="3391"/>
      <c r="R4283" s="2337"/>
      <c r="S4283" s="16"/>
      <c r="T4283" s="16"/>
      <c r="U4283" s="16"/>
      <c r="V4283" s="16"/>
    </row>
    <row r="4284" spans="1:22">
      <c r="A4284" s="16" t="s">
        <v>3764</v>
      </c>
      <c r="B4284" s="4325" t="s">
        <v>1738</v>
      </c>
      <c r="C4284" s="3350"/>
      <c r="D4284" s="4327"/>
      <c r="E4284" s="4329" t="s">
        <v>1507</v>
      </c>
      <c r="F4284" s="4336" t="s">
        <v>1714</v>
      </c>
      <c r="G4284" s="4331" t="s">
        <v>1568</v>
      </c>
      <c r="H4284" s="4331" t="s">
        <v>1574</v>
      </c>
      <c r="I4284" s="1572" t="s">
        <v>1559</v>
      </c>
      <c r="J4284" s="1294" t="s">
        <v>1560</v>
      </c>
      <c r="K4284" s="1294" t="s">
        <v>1561</v>
      </c>
      <c r="L4284" s="4333" t="s">
        <v>3765</v>
      </c>
      <c r="M4284" s="4335" t="s">
        <v>1571</v>
      </c>
      <c r="N4284" s="4323" t="s">
        <v>1776</v>
      </c>
      <c r="O4284" s="3347" t="s">
        <v>1563</v>
      </c>
      <c r="P4284" s="1336" t="s">
        <v>1562</v>
      </c>
      <c r="Q4284" s="3389"/>
      <c r="R4284" s="1839" t="s">
        <v>1327</v>
      </c>
      <c r="S4284" s="16"/>
      <c r="T4284" s="16"/>
      <c r="U4284" s="16"/>
      <c r="V4284" s="16"/>
    </row>
    <row r="4285" spans="1:22">
      <c r="A4285" s="1807" t="s">
        <v>1973</v>
      </c>
      <c r="B4285" s="4326"/>
      <c r="C4285" s="3351"/>
      <c r="D4285" s="4328"/>
      <c r="E4285" s="4389"/>
      <c r="F4285" s="4336"/>
      <c r="G4285" s="4332"/>
      <c r="H4285" s="4332"/>
      <c r="I4285" s="1345">
        <v>240.84000000000003</v>
      </c>
      <c r="J4285" s="1307">
        <v>3.0000000000000001E-3</v>
      </c>
      <c r="K4285" s="1307">
        <f>I4285*J4285</f>
        <v>0.72252000000000016</v>
      </c>
      <c r="L4285" s="4334"/>
      <c r="M4285" s="4335"/>
      <c r="N4285" s="4324"/>
      <c r="O4285" s="1298">
        <f>O4287+O4291+O4297</f>
        <v>7.8734280000000005</v>
      </c>
      <c r="P4285" s="1337">
        <f>O4285*K4285</f>
        <v>5.6887091985600016</v>
      </c>
      <c r="Q4285" s="3390"/>
      <c r="R4285" s="1840">
        <f>P4287+P4291+P4297</f>
        <v>5.6887091985600007</v>
      </c>
      <c r="S4285" s="16"/>
      <c r="T4285" s="16"/>
      <c r="U4285" s="16"/>
      <c r="V4285" s="16"/>
    </row>
    <row r="4286" spans="1:22">
      <c r="A4286" s="16"/>
      <c r="B4286" s="1327"/>
      <c r="C4286" s="1327"/>
      <c r="D4286" s="1400"/>
      <c r="E4286" s="2121"/>
      <c r="F4286" s="1368" t="s">
        <v>1</v>
      </c>
      <c r="G4286" s="1417"/>
      <c r="H4286" s="1390"/>
      <c r="I4286" s="1554"/>
      <c r="J4286" s="1367"/>
      <c r="K4286" s="1367"/>
      <c r="L4286" s="1554"/>
      <c r="M4286" s="1369"/>
      <c r="N4286" s="1369"/>
      <c r="O4286" s="1369"/>
      <c r="P4286" s="1367"/>
      <c r="Q4286" s="3387"/>
      <c r="R4286" s="2337"/>
      <c r="S4286" s="16"/>
      <c r="T4286" s="16"/>
      <c r="U4286" s="16"/>
      <c r="V4286" s="16"/>
    </row>
    <row r="4287" spans="1:22">
      <c r="A4287" s="16"/>
      <c r="B4287" s="1320"/>
      <c r="C4287" s="1356" t="s">
        <v>1128</v>
      </c>
      <c r="D4287" s="1311"/>
      <c r="E4287" s="2169" t="s">
        <v>1517</v>
      </c>
      <c r="F4287" s="1749" t="s">
        <v>1695</v>
      </c>
      <c r="G4287" s="1758"/>
      <c r="H4287" s="1331">
        <v>1.4999999999999999E-2</v>
      </c>
      <c r="I4287" s="1388"/>
      <c r="J4287" s="1366"/>
      <c r="K4287" s="1510"/>
      <c r="L4287" s="1445"/>
      <c r="M4287" s="1447"/>
      <c r="N4287" s="1447">
        <f>SUM(N4288:N4290)</f>
        <v>104.27969999999999</v>
      </c>
      <c r="O4287" s="1447">
        <f>SUM(O4288:O4290)</f>
        <v>1.5641954999999998</v>
      </c>
      <c r="P4287" s="1446">
        <f>SUM(P4288:P4290)</f>
        <v>1.1301625326600004</v>
      </c>
      <c r="Q4287" s="3391"/>
      <c r="R4287" s="2337"/>
      <c r="S4287" s="16"/>
      <c r="T4287" s="16"/>
      <c r="U4287" s="16"/>
      <c r="V4287" s="16"/>
    </row>
    <row r="4288" spans="1:22">
      <c r="A4288" s="16"/>
      <c r="B4288" s="1320"/>
      <c r="C4288" s="1042"/>
      <c r="D4288" s="1752" t="s">
        <v>1779</v>
      </c>
      <c r="E4288" s="1852" t="s">
        <v>1577</v>
      </c>
      <c r="F4288" s="1752" t="s">
        <v>1780</v>
      </c>
      <c r="G4288" s="1753">
        <v>0.876</v>
      </c>
      <c r="H4288" s="1453">
        <f>G4288*$H$4287</f>
        <v>1.3139999999999999E-2</v>
      </c>
      <c r="I4288" s="197"/>
      <c r="J4288" s="198"/>
      <c r="K4288" s="1307">
        <f>H4288*$K$4285</f>
        <v>9.4939128000000022E-3</v>
      </c>
      <c r="L4288" s="1335">
        <f t="shared" ref="L4288:L4290" si="509">K4288*$K$4143</f>
        <v>0</v>
      </c>
      <c r="M4288" s="1499">
        <v>56.05</v>
      </c>
      <c r="N4288" s="1718">
        <f>G4288*M4288</f>
        <v>49.099799999999995</v>
      </c>
      <c r="O4288" s="1719">
        <f>H4288*M4288</f>
        <v>0.73649699999999985</v>
      </c>
      <c r="P4288" s="1720">
        <f>M4288*K4288</f>
        <v>0.53213381244000013</v>
      </c>
      <c r="Q4288" s="3396"/>
      <c r="R4288" s="2337"/>
      <c r="S4288" s="16"/>
      <c r="T4288" s="16"/>
      <c r="U4288" s="16"/>
      <c r="V4288" s="16"/>
    </row>
    <row r="4289" spans="1:22">
      <c r="A4289" s="16"/>
      <c r="B4289" s="1320"/>
      <c r="C4289" s="1042"/>
      <c r="D4289" s="1752" t="s">
        <v>1069</v>
      </c>
      <c r="E4289" s="1852" t="s">
        <v>1517</v>
      </c>
      <c r="F4289" s="1752" t="s">
        <v>1578</v>
      </c>
      <c r="G4289" s="1753">
        <v>0.61799999999999999</v>
      </c>
      <c r="H4289" s="1453">
        <f t="shared" ref="H4289:H4290" si="510">G4289*$H$4287</f>
        <v>9.2699999999999987E-3</v>
      </c>
      <c r="I4289" s="27"/>
      <c r="J4289" s="10"/>
      <c r="K4289" s="1307">
        <f t="shared" ref="K4289:K4290" si="511">H4289*$K$4285</f>
        <v>6.6977604000000007E-3</v>
      </c>
      <c r="L4289" s="1335">
        <f t="shared" si="509"/>
        <v>0</v>
      </c>
      <c r="M4289" s="1499">
        <v>0.55000000000000004</v>
      </c>
      <c r="N4289" s="1718">
        <f>G4289*M4289</f>
        <v>0.33990000000000004</v>
      </c>
      <c r="O4289" s="1719">
        <f>H4289*M4289</f>
        <v>5.0984999999999997E-3</v>
      </c>
      <c r="P4289" s="1720">
        <f>M4289*K4289</f>
        <v>3.6837682200000004E-3</v>
      </c>
      <c r="Q4289" s="3396"/>
      <c r="R4289" s="2337"/>
      <c r="S4289" s="16"/>
      <c r="T4289" s="16"/>
      <c r="U4289" s="16"/>
      <c r="V4289" s="16"/>
    </row>
    <row r="4290" spans="1:22">
      <c r="A4290" s="16"/>
      <c r="B4290" s="1320"/>
      <c r="C4290" s="1042"/>
      <c r="D4290" s="1754" t="s">
        <v>1067</v>
      </c>
      <c r="E4290" s="1853" t="s">
        <v>1508</v>
      </c>
      <c r="F4290" s="1754" t="s">
        <v>1512</v>
      </c>
      <c r="G4290" s="1755">
        <v>3</v>
      </c>
      <c r="H4290" s="1454">
        <f t="shared" si="510"/>
        <v>4.4999999999999998E-2</v>
      </c>
      <c r="I4290" s="198"/>
      <c r="J4290" s="198"/>
      <c r="K4290" s="1307">
        <f t="shared" si="511"/>
        <v>3.2513400000000005E-2</v>
      </c>
      <c r="L4290" s="1335">
        <f t="shared" si="509"/>
        <v>0</v>
      </c>
      <c r="M4290" s="1499">
        <v>18.28</v>
      </c>
      <c r="N4290" s="1718">
        <f>G4290*M4290</f>
        <v>54.84</v>
      </c>
      <c r="O4290" s="1719">
        <f>H4290*M4290</f>
        <v>0.8226</v>
      </c>
      <c r="P4290" s="1720">
        <f>M4290*K4290</f>
        <v>0.59434495200000015</v>
      </c>
      <c r="Q4290" s="3396"/>
      <c r="S4290" s="16"/>
      <c r="T4290" s="16"/>
      <c r="U4290" s="16"/>
      <c r="V4290" s="16"/>
    </row>
    <row r="4291" spans="1:22">
      <c r="A4291" s="16"/>
      <c r="B4291" s="1320"/>
      <c r="C4291" s="1356" t="s">
        <v>1152</v>
      </c>
      <c r="D4291" s="1311"/>
      <c r="E4291" s="1854" t="s">
        <v>1517</v>
      </c>
      <c r="F4291" s="1749" t="s">
        <v>1696</v>
      </c>
      <c r="G4291" s="1688"/>
      <c r="H4291" s="1366">
        <v>5.0000000000000001E-3</v>
      </c>
      <c r="I4291" s="1388"/>
      <c r="J4291" s="1388"/>
      <c r="K4291" s="1510"/>
      <c r="L4291" s="1445"/>
      <c r="M4291" s="1447"/>
      <c r="N4291" s="1447">
        <f>SUM(N4292:N4294)</f>
        <v>108.04650000000001</v>
      </c>
      <c r="O4291" s="1447">
        <f>SUM(O4292:O4294)</f>
        <v>0.54023250000000012</v>
      </c>
      <c r="P4291" s="1446">
        <f>SUM(P4292:P4294)</f>
        <v>0.39032878590000009</v>
      </c>
      <c r="Q4291" s="3391"/>
      <c r="S4291" s="16"/>
      <c r="T4291" s="16"/>
      <c r="U4291" s="16"/>
      <c r="V4291" s="16"/>
    </row>
    <row r="4292" spans="1:22">
      <c r="A4292" s="16"/>
      <c r="B4292" s="1320"/>
      <c r="C4292" s="18"/>
      <c r="D4292" s="1756" t="s">
        <v>1781</v>
      </c>
      <c r="E4292" s="1852" t="s">
        <v>1577</v>
      </c>
      <c r="F4292" s="1752" t="s">
        <v>1782</v>
      </c>
      <c r="G4292" s="1753">
        <v>0.876</v>
      </c>
      <c r="H4292" s="1453">
        <f>G4292*$H$4291</f>
        <v>4.3800000000000002E-3</v>
      </c>
      <c r="I4292" s="198"/>
      <c r="J4292" s="198"/>
      <c r="K4292" s="1307">
        <f t="shared" ref="K4292:K4294" si="512">H4292*$K$4285</f>
        <v>3.1646376000000007E-3</v>
      </c>
      <c r="L4292" s="1335">
        <f t="shared" ref="L4292:L4294" si="513">K4292*$K$4143</f>
        <v>0</v>
      </c>
      <c r="M4292" s="1499">
        <v>60.35</v>
      </c>
      <c r="N4292" s="1718">
        <f>G4292*M4292</f>
        <v>52.866599999999998</v>
      </c>
      <c r="O4292" s="1719">
        <f>H4292*M4292</f>
        <v>0.26433300000000004</v>
      </c>
      <c r="P4292" s="1720">
        <f>M4292*K4292</f>
        <v>0.19098587916000004</v>
      </c>
      <c r="Q4292" s="3396"/>
      <c r="R4292" s="2337"/>
      <c r="S4292" s="16"/>
      <c r="T4292" s="16"/>
      <c r="U4292" s="16"/>
      <c r="V4292" s="16"/>
    </row>
    <row r="4293" spans="1:22">
      <c r="A4293" s="16"/>
      <c r="B4293" s="1320"/>
      <c r="C4293" s="1042"/>
      <c r="D4293" s="1756" t="s">
        <v>1069</v>
      </c>
      <c r="E4293" s="1852" t="s">
        <v>1517</v>
      </c>
      <c r="F4293" s="1752" t="s">
        <v>1578</v>
      </c>
      <c r="G4293" s="1753">
        <v>0.61799999999999999</v>
      </c>
      <c r="H4293" s="1453">
        <f t="shared" ref="H4293:H4294" si="514">G4293*$H$4291</f>
        <v>3.0899999999999999E-3</v>
      </c>
      <c r="I4293" s="197"/>
      <c r="J4293" s="198"/>
      <c r="K4293" s="1307">
        <f t="shared" si="512"/>
        <v>2.2325868000000002E-3</v>
      </c>
      <c r="L4293" s="1335">
        <f t="shared" si="513"/>
        <v>0</v>
      </c>
      <c r="M4293" s="1499">
        <v>0.55000000000000004</v>
      </c>
      <c r="N4293" s="1718">
        <f>G4293*M4293</f>
        <v>0.33990000000000004</v>
      </c>
      <c r="O4293" s="1719">
        <f>H4293*M4293</f>
        <v>1.6995000000000001E-3</v>
      </c>
      <c r="P4293" s="1720">
        <f>M4293*K4293</f>
        <v>1.2279227400000003E-3</v>
      </c>
      <c r="Q4293" s="3396"/>
      <c r="R4293" s="2337"/>
      <c r="S4293" s="16"/>
      <c r="T4293" s="16"/>
      <c r="U4293" s="16"/>
      <c r="V4293" s="16"/>
    </row>
    <row r="4294" spans="1:22">
      <c r="A4294" s="16"/>
      <c r="B4294" s="1320"/>
      <c r="C4294" s="1042"/>
      <c r="D4294" s="1757" t="s">
        <v>1067</v>
      </c>
      <c r="E4294" s="1853" t="s">
        <v>1508</v>
      </c>
      <c r="F4294" s="1754" t="s">
        <v>1512</v>
      </c>
      <c r="G4294" s="1755">
        <v>3</v>
      </c>
      <c r="H4294" s="1454">
        <f t="shared" si="514"/>
        <v>1.4999999999999999E-2</v>
      </c>
      <c r="I4294" s="1289"/>
      <c r="J4294" s="198"/>
      <c r="K4294" s="1307">
        <f t="shared" si="512"/>
        <v>1.0837800000000002E-2</v>
      </c>
      <c r="L4294" s="1335">
        <f t="shared" si="513"/>
        <v>0</v>
      </c>
      <c r="M4294" s="1499">
        <v>18.28</v>
      </c>
      <c r="N4294" s="1718">
        <f>G4294*M4294</f>
        <v>54.84</v>
      </c>
      <c r="O4294" s="1719">
        <f>H4294*M4294</f>
        <v>0.2742</v>
      </c>
      <c r="P4294" s="1720">
        <f>M4294*K4294</f>
        <v>0.19811498400000005</v>
      </c>
      <c r="Q4294" s="3396"/>
      <c r="R4294" s="2337"/>
      <c r="S4294" s="16"/>
      <c r="T4294" s="16"/>
      <c r="U4294" s="16"/>
      <c r="V4294" s="16"/>
    </row>
    <row r="4295" spans="1:22">
      <c r="A4295" s="16"/>
      <c r="B4295" s="1320"/>
      <c r="C4295" s="1042"/>
      <c r="D4295" s="1400"/>
      <c r="E4295" s="1856"/>
      <c r="F4295" s="1397"/>
      <c r="G4295" s="1416"/>
      <c r="H4295" s="1399"/>
      <c r="I4295" s="1289"/>
      <c r="J4295" s="198"/>
      <c r="K4295" s="1307"/>
      <c r="L4295" s="1335"/>
      <c r="M4295" s="1499"/>
      <c r="N4295" s="1701"/>
      <c r="O4295" s="1290"/>
      <c r="P4295" s="1332"/>
      <c r="Q4295" s="3391"/>
      <c r="R4295" s="2337"/>
      <c r="S4295" s="16"/>
      <c r="T4295" s="16"/>
      <c r="U4295" s="16"/>
      <c r="V4295" s="16"/>
    </row>
    <row r="4296" spans="1:22">
      <c r="A4296" s="16"/>
      <c r="B4296" s="1320"/>
      <c r="C4296" s="1320"/>
      <c r="D4296" s="1410"/>
      <c r="E4296" s="1858"/>
      <c r="F4296" s="1360" t="s">
        <v>2</v>
      </c>
      <c r="G4296" s="1360"/>
      <c r="H4296" s="1362"/>
      <c r="I4296" s="1380"/>
      <c r="J4296" s="1381"/>
      <c r="K4296" s="1359"/>
      <c r="L4296" s="1458"/>
      <c r="M4296" s="1502"/>
      <c r="N4296" s="1502"/>
      <c r="O4296" s="1362"/>
      <c r="P4296" s="1359"/>
      <c r="Q4296" s="3387"/>
      <c r="R4296" s="2337"/>
      <c r="S4296" s="16"/>
      <c r="T4296" s="16"/>
      <c r="U4296" s="16"/>
      <c r="V4296" s="16"/>
    </row>
    <row r="4297" spans="1:22">
      <c r="A4297" s="16"/>
      <c r="B4297" s="1320"/>
      <c r="C4297" s="1042"/>
      <c r="D4297" s="1437" t="s">
        <v>1153</v>
      </c>
      <c r="E4297" s="2134" t="s">
        <v>1508</v>
      </c>
      <c r="F4297" s="1438" t="s">
        <v>1783</v>
      </c>
      <c r="G4297" s="1439">
        <v>0.3</v>
      </c>
      <c r="H4297" s="1439"/>
      <c r="I4297" s="197"/>
      <c r="J4297" s="198"/>
      <c r="K4297" s="1307">
        <f>G4297*$K$4285</f>
        <v>0.21675600000000003</v>
      </c>
      <c r="L4297" s="1335">
        <f t="shared" ref="L4297" si="515">K4297*$K$4143</f>
        <v>0</v>
      </c>
      <c r="M4297" s="1499">
        <v>19.23</v>
      </c>
      <c r="N4297" s="1701"/>
      <c r="O4297" s="1290">
        <f>(G4297*M4297)</f>
        <v>5.7690000000000001</v>
      </c>
      <c r="P4297" s="1332">
        <f>M4297*K4297</f>
        <v>4.1682178800000003</v>
      </c>
      <c r="Q4297" s="3391"/>
      <c r="R4297" s="2337"/>
      <c r="S4297" s="16"/>
      <c r="T4297" s="16"/>
      <c r="U4297" s="16"/>
      <c r="V4297" s="16"/>
    </row>
    <row r="4298" spans="1:22">
      <c r="A4298" s="16"/>
      <c r="B4298" s="1320"/>
      <c r="C4298" s="1042"/>
      <c r="D4298" s="1402"/>
      <c r="E4298" s="1857"/>
      <c r="F4298" s="1645"/>
      <c r="G4298" s="1362"/>
      <c r="H4298" s="1359"/>
      <c r="I4298" s="198"/>
      <c r="J4298" s="6"/>
      <c r="K4298" s="1306"/>
      <c r="L4298" s="1646"/>
      <c r="M4298" s="1499"/>
      <c r="N4298" s="1499"/>
      <c r="O4298" s="1291"/>
      <c r="P4298" s="1332"/>
      <c r="Q4298" s="3391"/>
      <c r="R4298" s="2337"/>
      <c r="S4298" s="16"/>
      <c r="T4298" s="16"/>
      <c r="U4298" s="16"/>
      <c r="V4298" s="16"/>
    </row>
    <row r="4299" spans="1:22">
      <c r="A4299" s="16"/>
      <c r="B4299" s="1320"/>
      <c r="C4299" s="1042"/>
      <c r="D4299" s="1402"/>
      <c r="E4299" s="1857"/>
      <c r="F4299" s="1403"/>
      <c r="G4299" s="1362"/>
      <c r="H4299" s="1359"/>
      <c r="I4299" s="198"/>
      <c r="J4299" s="6"/>
      <c r="K4299" s="1307"/>
      <c r="L4299" s="1335"/>
      <c r="M4299" s="1499"/>
      <c r="N4299" s="1701"/>
      <c r="O4299" s="1290"/>
      <c r="P4299" s="1332"/>
      <c r="Q4299" s="3391"/>
      <c r="R4299" s="2337"/>
      <c r="S4299" s="16"/>
      <c r="T4299" s="16"/>
      <c r="U4299" s="16"/>
      <c r="V4299" s="16"/>
    </row>
    <row r="4300" spans="1:22">
      <c r="A4300" s="16"/>
      <c r="B4300" s="1320"/>
      <c r="C4300" s="1042"/>
      <c r="D4300" s="1411"/>
      <c r="E4300" s="2123"/>
      <c r="F4300" s="1374" t="s">
        <v>3</v>
      </c>
      <c r="G4300" s="1374"/>
      <c r="H4300" s="1376"/>
      <c r="I4300" s="1382"/>
      <c r="J4300" s="1383"/>
      <c r="K4300" s="1373"/>
      <c r="L4300" s="1413"/>
      <c r="M4300" s="1505"/>
      <c r="N4300" s="1505"/>
      <c r="O4300" s="1376"/>
      <c r="P4300" s="1413"/>
      <c r="Q4300" s="3387"/>
      <c r="R4300" s="2337"/>
      <c r="S4300" s="16"/>
      <c r="T4300" s="16"/>
      <c r="U4300" s="16"/>
      <c r="V4300" s="16"/>
    </row>
    <row r="4301" spans="1:22">
      <c r="A4301" s="16"/>
      <c r="B4301" s="1320"/>
      <c r="C4301" s="1042"/>
      <c r="D4301" s="1412"/>
      <c r="E4301" s="2124"/>
      <c r="F4301" s="1378"/>
      <c r="G4301" s="1378"/>
      <c r="H4301" s="1379"/>
      <c r="I4301" s="198"/>
      <c r="J4301" s="6"/>
      <c r="K4301" s="1307"/>
      <c r="L4301" s="1335"/>
      <c r="M4301" s="1499"/>
      <c r="N4301" s="1701"/>
      <c r="O4301" s="1290"/>
      <c r="P4301" s="1332"/>
      <c r="Q4301" s="3391"/>
      <c r="R4301" s="2337"/>
      <c r="S4301" s="16"/>
      <c r="T4301" s="16"/>
      <c r="U4301" s="16"/>
      <c r="V4301" s="16"/>
    </row>
    <row r="4302" spans="1:22">
      <c r="A4302" s="16"/>
      <c r="B4302" s="1320"/>
      <c r="C4302" s="1042"/>
      <c r="D4302" s="1440"/>
      <c r="E4302" s="2132"/>
      <c r="F4302" s="1441"/>
      <c r="G4302" s="1441"/>
      <c r="H4302" s="1442"/>
      <c r="I4302" s="197"/>
      <c r="J4302" s="198"/>
      <c r="K4302" s="1307"/>
      <c r="L4302" s="1335"/>
      <c r="M4302" s="1499"/>
      <c r="N4302" s="1701"/>
      <c r="O4302" s="1290"/>
      <c r="P4302" s="1332"/>
      <c r="Q4302" s="3391"/>
      <c r="R4302" s="2337"/>
      <c r="S4302" s="16"/>
      <c r="T4302" s="16"/>
      <c r="U4302" s="16"/>
      <c r="V4302" s="16"/>
    </row>
    <row r="4303" spans="1:22">
      <c r="A4303" s="16"/>
      <c r="B4303" s="225"/>
      <c r="C4303" s="223"/>
      <c r="D4303" s="1440"/>
      <c r="E4303" s="2132"/>
      <c r="F4303" s="1441"/>
      <c r="G4303" s="1441"/>
      <c r="H4303" s="1442"/>
      <c r="I4303" s="197"/>
      <c r="J4303" s="198"/>
      <c r="K4303" s="1307"/>
      <c r="L4303" s="1335"/>
      <c r="M4303" s="1499"/>
      <c r="N4303" s="1701"/>
      <c r="O4303" s="1290"/>
      <c r="P4303" s="1332"/>
      <c r="Q4303" s="3391"/>
      <c r="R4303" s="2337"/>
      <c r="S4303" s="16"/>
      <c r="T4303" s="16"/>
      <c r="U4303" s="16"/>
      <c r="V4303" s="16"/>
    </row>
    <row r="4304" spans="1:22">
      <c r="A4304" s="16" t="s">
        <v>3764</v>
      </c>
      <c r="B4304" s="4325" t="s">
        <v>1661</v>
      </c>
      <c r="C4304" s="3350"/>
      <c r="D4304" s="4327"/>
      <c r="E4304" s="4329" t="s">
        <v>1507</v>
      </c>
      <c r="F4304" s="4336" t="s">
        <v>1706</v>
      </c>
      <c r="G4304" s="4331" t="s">
        <v>1568</v>
      </c>
      <c r="H4304" s="4331" t="s">
        <v>1574</v>
      </c>
      <c r="I4304" s="1572" t="s">
        <v>1559</v>
      </c>
      <c r="J4304" s="1294" t="s">
        <v>1560</v>
      </c>
      <c r="K4304" s="1294" t="s">
        <v>1561</v>
      </c>
      <c r="L4304" s="4333" t="s">
        <v>3765</v>
      </c>
      <c r="M4304" s="4335" t="s">
        <v>1571</v>
      </c>
      <c r="N4304" s="4323" t="s">
        <v>1776</v>
      </c>
      <c r="O4304" s="3347" t="s">
        <v>1563</v>
      </c>
      <c r="P4304" s="1336" t="s">
        <v>1562</v>
      </c>
      <c r="Q4304" s="3389"/>
      <c r="R4304" s="1699" t="s">
        <v>1327</v>
      </c>
      <c r="S4304" s="16"/>
      <c r="T4304" s="16"/>
      <c r="U4304" s="16"/>
      <c r="V4304" s="16"/>
    </row>
    <row r="4305" spans="1:22">
      <c r="A4305" s="1807" t="s">
        <v>1973</v>
      </c>
      <c r="B4305" s="4326"/>
      <c r="C4305" s="3351"/>
      <c r="D4305" s="4328"/>
      <c r="E4305" s="4389"/>
      <c r="F4305" s="4336"/>
      <c r="G4305" s="4332"/>
      <c r="H4305" s="4332"/>
      <c r="I4305" s="1345">
        <v>240.84000000000003</v>
      </c>
      <c r="J4305" s="1307">
        <v>3.0000000000000001E-3</v>
      </c>
      <c r="K4305" s="1307">
        <f>I4305*J4305</f>
        <v>0.72252000000000016</v>
      </c>
      <c r="L4305" s="4334"/>
      <c r="M4305" s="4335"/>
      <c r="N4305" s="4324"/>
      <c r="O4305" s="1298">
        <f>SUM(O4307:O4318)</f>
        <v>8.9870400000000004</v>
      </c>
      <c r="P4305" s="1337">
        <f>O4305*K4305</f>
        <v>6.493316140800002</v>
      </c>
      <c r="Q4305" s="3390"/>
      <c r="R4305" s="1721">
        <f>SUM(P4307:P4319)</f>
        <v>6.4933161408000011</v>
      </c>
      <c r="S4305" s="16"/>
      <c r="T4305" s="16"/>
      <c r="U4305" s="16"/>
      <c r="V4305" s="16"/>
    </row>
    <row r="4306" spans="1:22">
      <c r="A4306" s="16"/>
      <c r="B4306" s="1327"/>
      <c r="C4306" s="1327"/>
      <c r="D4306" s="1400"/>
      <c r="E4306" s="2121"/>
      <c r="F4306" s="1368" t="s">
        <v>1</v>
      </c>
      <c r="G4306" s="1417"/>
      <c r="H4306" s="1390"/>
      <c r="I4306" s="1554"/>
      <c r="J4306" s="1367"/>
      <c r="K4306" s="1367"/>
      <c r="L4306" s="1554"/>
      <c r="M4306" s="1369"/>
      <c r="N4306" s="1369"/>
      <c r="O4306" s="1369"/>
      <c r="P4306" s="1367"/>
      <c r="Q4306" s="3387"/>
      <c r="R4306" s="2337"/>
      <c r="S4306" s="16"/>
      <c r="T4306" s="16"/>
      <c r="U4306" s="16"/>
      <c r="V4306" s="16"/>
    </row>
    <row r="4307" spans="1:22">
      <c r="A4307" s="16"/>
      <c r="B4307" s="1320"/>
      <c r="C4307" s="1042"/>
      <c r="D4307" s="1761" t="s">
        <v>1698</v>
      </c>
      <c r="E4307" s="2170" t="s">
        <v>1357</v>
      </c>
      <c r="F4307" s="1761" t="s">
        <v>1699</v>
      </c>
      <c r="G4307" s="1762">
        <v>0.45</v>
      </c>
      <c r="H4307" s="1762"/>
      <c r="I4307" s="27"/>
      <c r="J4307" s="6"/>
      <c r="K4307" s="1307">
        <f>G4307*$K$4305</f>
        <v>0.32513400000000009</v>
      </c>
      <c r="L4307" s="1335">
        <f t="shared" ref="L4307:L4309" si="516">K4307*$K$4143</f>
        <v>0</v>
      </c>
      <c r="M4307" s="1499">
        <v>1.7</v>
      </c>
      <c r="N4307" s="1701"/>
      <c r="O4307" s="1290">
        <f>(G4307*M4307)</f>
        <v>0.76500000000000001</v>
      </c>
      <c r="P4307" s="1332">
        <f>M4307*K4307</f>
        <v>0.5527278000000001</v>
      </c>
      <c r="Q4307" s="3391"/>
      <c r="R4307" s="2337"/>
      <c r="S4307" s="16"/>
      <c r="T4307" s="16"/>
      <c r="U4307" s="16"/>
      <c r="V4307" s="16"/>
    </row>
    <row r="4308" spans="1:22">
      <c r="A4308" s="16"/>
      <c r="B4308" s="1320"/>
      <c r="C4308" s="1042"/>
      <c r="D4308" s="1761" t="s">
        <v>1214</v>
      </c>
      <c r="E4308" s="2170" t="s">
        <v>1357</v>
      </c>
      <c r="F4308" s="1761" t="s">
        <v>1700</v>
      </c>
      <c r="G4308" s="1762">
        <v>0.35</v>
      </c>
      <c r="H4308" s="1762"/>
      <c r="I4308" s="27"/>
      <c r="J4308" s="198"/>
      <c r="K4308" s="1307">
        <f t="shared" ref="K4308:K4309" si="517">G4308*$K$4305</f>
        <v>0.25288200000000005</v>
      </c>
      <c r="L4308" s="1335">
        <f t="shared" si="516"/>
        <v>0</v>
      </c>
      <c r="M4308" s="1499">
        <v>4.2</v>
      </c>
      <c r="N4308" s="1701"/>
      <c r="O4308" s="1290">
        <f>(G4308*M4308)</f>
        <v>1.47</v>
      </c>
      <c r="P4308" s="1332">
        <f>M4308*K4308</f>
        <v>1.0621044000000002</v>
      </c>
      <c r="Q4308" s="3391"/>
      <c r="R4308" s="2337"/>
      <c r="S4308" s="16"/>
      <c r="T4308" s="16"/>
      <c r="U4308" s="16"/>
      <c r="V4308" s="16"/>
    </row>
    <row r="4309" spans="1:22">
      <c r="A4309" s="16"/>
      <c r="B4309" s="1320"/>
      <c r="C4309" s="1042"/>
      <c r="D4309" s="1761" t="s">
        <v>1701</v>
      </c>
      <c r="E4309" s="2170" t="s">
        <v>1504</v>
      </c>
      <c r="F4309" s="1761" t="s">
        <v>1541</v>
      </c>
      <c r="G4309" s="1762">
        <v>0.2</v>
      </c>
      <c r="H4309" s="1762"/>
      <c r="I4309" s="27"/>
      <c r="J4309" s="10"/>
      <c r="K4309" s="1307">
        <f t="shared" si="517"/>
        <v>0.14450400000000005</v>
      </c>
      <c r="L4309" s="1335">
        <f t="shared" si="516"/>
        <v>0</v>
      </c>
      <c r="M4309" s="1499">
        <v>0.3</v>
      </c>
      <c r="N4309" s="1701"/>
      <c r="O4309" s="1290">
        <f>(G4309*M4309)</f>
        <v>0.06</v>
      </c>
      <c r="P4309" s="1332">
        <f>M4309*K4309</f>
        <v>4.3351200000000013E-2</v>
      </c>
      <c r="Q4309" s="3391"/>
      <c r="R4309" s="2337"/>
      <c r="S4309" s="16"/>
      <c r="T4309" s="16"/>
      <c r="U4309" s="16"/>
      <c r="V4309" s="16"/>
    </row>
    <row r="4310" spans="1:22">
      <c r="A4310" s="16"/>
      <c r="B4310" s="1320"/>
      <c r="C4310" s="1042"/>
      <c r="D4310" s="1367"/>
      <c r="E4310" s="1856"/>
      <c r="F4310" s="1421"/>
      <c r="G4310" s="1399"/>
      <c r="H4310" s="1399"/>
      <c r="I4310" s="1289"/>
      <c r="J4310" s="198"/>
      <c r="K4310" s="1307"/>
      <c r="L4310" s="1335"/>
      <c r="M4310" s="1499"/>
      <c r="N4310" s="1701"/>
      <c r="O4310" s="1290"/>
      <c r="P4310" s="1332"/>
      <c r="Q4310" s="3391"/>
      <c r="R4310" s="2337"/>
      <c r="S4310" s="16"/>
      <c r="T4310" s="16"/>
      <c r="U4310" s="16"/>
      <c r="V4310" s="16"/>
    </row>
    <row r="4311" spans="1:22">
      <c r="A4311" s="16"/>
      <c r="B4311" s="1320"/>
      <c r="C4311" s="1042"/>
      <c r="D4311" s="1367"/>
      <c r="E4311" s="1856"/>
      <c r="F4311" s="1421"/>
      <c r="G4311" s="1399"/>
      <c r="H4311" s="1399"/>
      <c r="I4311" s="1289"/>
      <c r="J4311" s="198"/>
      <c r="K4311" s="1307"/>
      <c r="L4311" s="1335"/>
      <c r="M4311" s="1499"/>
      <c r="N4311" s="1701"/>
      <c r="O4311" s="1290"/>
      <c r="P4311" s="1332"/>
      <c r="Q4311" s="3391"/>
      <c r="R4311" s="2337"/>
      <c r="S4311" s="16"/>
      <c r="T4311" s="16"/>
      <c r="U4311" s="16"/>
      <c r="V4311" s="16"/>
    </row>
    <row r="4312" spans="1:22">
      <c r="A4312" s="16"/>
      <c r="B4312" s="1320"/>
      <c r="C4312" s="1320"/>
      <c r="D4312" s="1410"/>
      <c r="E4312" s="1858"/>
      <c r="F4312" s="1360" t="s">
        <v>2</v>
      </c>
      <c r="G4312" s="1362"/>
      <c r="H4312" s="1362"/>
      <c r="I4312" s="1380"/>
      <c r="J4312" s="1381"/>
      <c r="K4312" s="1359"/>
      <c r="L4312" s="1458"/>
      <c r="M4312" s="1502"/>
      <c r="N4312" s="1502"/>
      <c r="O4312" s="1362"/>
      <c r="P4312" s="1359"/>
      <c r="Q4312" s="3387"/>
      <c r="R4312" s="2337"/>
      <c r="S4312" s="16"/>
      <c r="T4312" s="16"/>
      <c r="U4312" s="16"/>
      <c r="V4312" s="16"/>
    </row>
    <row r="4313" spans="1:22">
      <c r="A4313" s="16"/>
      <c r="B4313" s="1320"/>
      <c r="C4313" s="1042"/>
      <c r="D4313" s="1624" t="s">
        <v>1702</v>
      </c>
      <c r="E4313" s="2158" t="s">
        <v>1508</v>
      </c>
      <c r="F4313" s="1624" t="s">
        <v>1703</v>
      </c>
      <c r="G4313" s="1625">
        <v>0.34799999999999998</v>
      </c>
      <c r="H4313" s="1625"/>
      <c r="I4313" s="198"/>
      <c r="J4313" s="6"/>
      <c r="K4313" s="1307">
        <f t="shared" ref="K4313" si="518">G4313*$K$4305</f>
        <v>0.25143696000000004</v>
      </c>
      <c r="L4313" s="1335">
        <f t="shared" ref="L4313" si="519">K4313*$K$4143</f>
        <v>0</v>
      </c>
      <c r="M4313" s="1499">
        <v>19.23</v>
      </c>
      <c r="N4313" s="1701"/>
      <c r="O4313" s="1290">
        <f>(G4313*M4313)</f>
        <v>6.6920399999999995</v>
      </c>
      <c r="P4313" s="1332">
        <f>M4313*K4313</f>
        <v>4.8351327408000007</v>
      </c>
      <c r="Q4313" s="3391"/>
      <c r="R4313" s="2337"/>
      <c r="S4313" s="16"/>
      <c r="T4313" s="16"/>
      <c r="U4313" s="16"/>
      <c r="V4313" s="16"/>
    </row>
    <row r="4314" spans="1:22">
      <c r="A4314" s="16"/>
      <c r="B4314" s="1320"/>
      <c r="C4314" s="1042"/>
      <c r="D4314" s="1402"/>
      <c r="E4314" s="1857"/>
      <c r="F4314" s="1645"/>
      <c r="G4314" s="1362"/>
      <c r="H4314" s="1359"/>
      <c r="I4314" s="198"/>
      <c r="J4314" s="6"/>
      <c r="K4314" s="1306"/>
      <c r="L4314" s="1646"/>
      <c r="M4314" s="1499"/>
      <c r="N4314" s="1499"/>
      <c r="O4314" s="1291"/>
      <c r="P4314" s="1332"/>
      <c r="Q4314" s="3391"/>
      <c r="R4314" s="2337"/>
      <c r="S4314" s="16"/>
      <c r="T4314" s="16"/>
      <c r="U4314" s="16"/>
      <c r="V4314" s="16"/>
    </row>
    <row r="4315" spans="1:22">
      <c r="A4315" s="16"/>
      <c r="B4315" s="1320"/>
      <c r="C4315" s="1042"/>
      <c r="D4315" s="1402"/>
      <c r="E4315" s="1857"/>
      <c r="F4315" s="1403"/>
      <c r="G4315" s="1362"/>
      <c r="H4315" s="1359"/>
      <c r="I4315" s="198"/>
      <c r="J4315" s="6"/>
      <c r="K4315" s="1307"/>
      <c r="L4315" s="1335"/>
      <c r="M4315" s="1499"/>
      <c r="N4315" s="1701"/>
      <c r="O4315" s="1290"/>
      <c r="P4315" s="1332"/>
      <c r="Q4315" s="3391"/>
      <c r="R4315" s="2337"/>
      <c r="S4315" s="16"/>
      <c r="T4315" s="16"/>
      <c r="U4315" s="16"/>
      <c r="V4315" s="16"/>
    </row>
    <row r="4316" spans="1:22">
      <c r="A4316" s="16"/>
      <c r="B4316" s="1320"/>
      <c r="C4316" s="1042"/>
      <c r="D4316" s="1411"/>
      <c r="E4316" s="2123"/>
      <c r="F4316" s="1374" t="s">
        <v>3</v>
      </c>
      <c r="G4316" s="1374"/>
      <c r="H4316" s="1376"/>
      <c r="I4316" s="1382"/>
      <c r="J4316" s="1383"/>
      <c r="K4316" s="1373"/>
      <c r="L4316" s="1413"/>
      <c r="M4316" s="1505"/>
      <c r="N4316" s="1505"/>
      <c r="O4316" s="1376"/>
      <c r="P4316" s="1413"/>
      <c r="Q4316" s="3387"/>
      <c r="R4316" s="2337"/>
      <c r="S4316" s="16"/>
      <c r="T4316" s="16"/>
      <c r="U4316" s="16"/>
      <c r="V4316" s="16"/>
    </row>
    <row r="4317" spans="1:22">
      <c r="A4317" s="16"/>
      <c r="B4317" s="1320"/>
      <c r="C4317" s="1042"/>
      <c r="D4317" s="1412"/>
      <c r="E4317" s="2124"/>
      <c r="F4317" s="1378"/>
      <c r="G4317" s="1378"/>
      <c r="H4317" s="1379"/>
      <c r="I4317" s="198"/>
      <c r="J4317" s="6"/>
      <c r="K4317" s="1307"/>
      <c r="L4317" s="1335"/>
      <c r="M4317" s="1499"/>
      <c r="N4317" s="1701"/>
      <c r="O4317" s="1290"/>
      <c r="P4317" s="1332"/>
      <c r="Q4317" s="3391"/>
      <c r="R4317" s="2337"/>
      <c r="S4317" s="16"/>
      <c r="T4317" s="16"/>
      <c r="U4317" s="16"/>
      <c r="V4317" s="16"/>
    </row>
    <row r="4318" spans="1:22">
      <c r="A4318" s="16"/>
      <c r="B4318" s="1320"/>
      <c r="C4318" s="1042"/>
      <c r="D4318" s="1440"/>
      <c r="E4318" s="2132"/>
      <c r="F4318" s="1441"/>
      <c r="G4318" s="1441"/>
      <c r="H4318" s="1442"/>
      <c r="I4318" s="197"/>
      <c r="J4318" s="198"/>
      <c r="K4318" s="1307"/>
      <c r="L4318" s="1335"/>
      <c r="M4318" s="1499"/>
      <c r="N4318" s="1701"/>
      <c r="O4318" s="1290"/>
      <c r="P4318" s="1332"/>
      <c r="Q4318" s="3391"/>
      <c r="R4318" s="2337"/>
      <c r="S4318" s="16"/>
      <c r="T4318" s="16"/>
      <c r="U4318" s="16"/>
      <c r="V4318" s="16"/>
    </row>
    <row r="4319" spans="1:22">
      <c r="A4319" s="16"/>
      <c r="B4319" s="225"/>
      <c r="C4319" s="223"/>
      <c r="D4319" s="1440"/>
      <c r="E4319" s="2132"/>
      <c r="F4319" s="1955"/>
      <c r="G4319" s="1955"/>
      <c r="H4319" s="1956"/>
      <c r="I4319" s="197"/>
      <c r="J4319" s="198"/>
      <c r="K4319" s="1307"/>
      <c r="L4319" s="1335"/>
      <c r="M4319" s="1499"/>
      <c r="N4319" s="1701"/>
      <c r="O4319" s="1290"/>
      <c r="P4319" s="1332"/>
      <c r="Q4319" s="3391"/>
      <c r="R4319" s="2337"/>
      <c r="S4319" s="16"/>
      <c r="T4319" s="16"/>
      <c r="U4319" s="16"/>
      <c r="V4319" s="16"/>
    </row>
    <row r="4320" spans="1:22" s="22" customFormat="1">
      <c r="A4320" s="16"/>
      <c r="B4320" s="16"/>
      <c r="C4320" s="16"/>
      <c r="D4320" s="1795"/>
      <c r="E4320" s="2179"/>
      <c r="F4320" s="1795"/>
      <c r="G4320" s="1795"/>
      <c r="H4320" s="1797"/>
      <c r="I4320" s="1561"/>
      <c r="J4320" s="1561"/>
      <c r="K4320" s="1639"/>
      <c r="L4320" s="1640"/>
      <c r="M4320" s="1292"/>
      <c r="N4320" s="1292"/>
      <c r="O4320" s="1292"/>
      <c r="P4320" s="1292"/>
      <c r="Q4320" s="3391"/>
      <c r="R4320" s="2337"/>
      <c r="S4320" s="16"/>
      <c r="T4320" s="16"/>
      <c r="U4320" s="16"/>
      <c r="V4320" s="16"/>
    </row>
    <row r="4321" spans="1:22" ht="35.25" customHeight="1">
      <c r="A4321" s="2363">
        <v>42123</v>
      </c>
      <c r="B4321" s="4373" t="s">
        <v>2820</v>
      </c>
      <c r="C4321" s="4373"/>
      <c r="D4321" s="4373"/>
      <c r="E4321" s="4373"/>
      <c r="L4321" s="2400" t="s">
        <v>2856</v>
      </c>
      <c r="R4321" s="2337"/>
      <c r="S4321" s="4186" t="s">
        <v>3907</v>
      </c>
      <c r="T4321" s="4171"/>
      <c r="U4321" s="16"/>
      <c r="V4321" s="16"/>
    </row>
    <row r="4322" spans="1:22">
      <c r="A4322" s="4393" t="s">
        <v>162</v>
      </c>
      <c r="B4322" s="4394"/>
      <c r="C4322" s="4394"/>
      <c r="D4322" s="4395"/>
      <c r="E4322" s="4396" t="s">
        <v>1549</v>
      </c>
      <c r="F4322" s="4397" t="s">
        <v>1550</v>
      </c>
      <c r="G4322" s="4399" t="s">
        <v>1566</v>
      </c>
      <c r="H4322" s="4400"/>
      <c r="I4322" s="4400"/>
      <c r="J4322" s="4400"/>
      <c r="K4322" s="4400"/>
      <c r="L4322" s="4401"/>
      <c r="M4322" s="4405" t="s">
        <v>1567</v>
      </c>
      <c r="N4322" s="4405"/>
      <c r="O4322" s="4405"/>
      <c r="P4322" s="4405"/>
      <c r="Q4322" s="3395"/>
      <c r="R4322" s="2337"/>
      <c r="S4322" s="4117" t="s">
        <v>3840</v>
      </c>
      <c r="T4322" s="4171"/>
      <c r="U4322" s="16"/>
      <c r="V4322" s="16"/>
    </row>
    <row r="4323" spans="1:22">
      <c r="A4323" s="1324" t="s">
        <v>3766</v>
      </c>
      <c r="B4323" s="1325" t="s">
        <v>1513</v>
      </c>
      <c r="C4323" s="1326" t="s">
        <v>1573</v>
      </c>
      <c r="D4323" s="1323" t="s">
        <v>1514</v>
      </c>
      <c r="E4323" s="4396"/>
      <c r="F4323" s="4398"/>
      <c r="G4323" s="4402"/>
      <c r="H4323" s="4403"/>
      <c r="I4323" s="4403"/>
      <c r="J4323" s="4403"/>
      <c r="K4323" s="4403"/>
      <c r="L4323" s="4404"/>
      <c r="M4323" s="4405"/>
      <c r="N4323" s="4405"/>
      <c r="O4323" s="4405"/>
      <c r="P4323" s="4405"/>
      <c r="Q4323" s="3395"/>
      <c r="R4323" s="2337"/>
      <c r="S4323" s="16"/>
      <c r="T4323" s="16"/>
      <c r="U4323" s="16"/>
      <c r="V4323" s="16"/>
    </row>
    <row r="4324" spans="1:22" ht="34.5" customHeight="1">
      <c r="A4324" s="4508" t="s">
        <v>3835</v>
      </c>
      <c r="B4324" s="4508"/>
      <c r="C4324" s="4508"/>
      <c r="D4324" s="4508"/>
      <c r="E4324" s="4408" t="s">
        <v>1507</v>
      </c>
      <c r="F4324" s="4509" t="s">
        <v>3836</v>
      </c>
      <c r="G4324" s="4493" t="s">
        <v>294</v>
      </c>
      <c r="H4324" s="4493"/>
      <c r="I4324" s="1665" t="s">
        <v>1565</v>
      </c>
      <c r="J4324" s="4083" t="s">
        <v>1575</v>
      </c>
      <c r="K4324" s="4493" t="s">
        <v>289</v>
      </c>
      <c r="L4324" s="4493"/>
      <c r="M4324" s="4408" t="s">
        <v>3349</v>
      </c>
      <c r="N4324" s="4408"/>
      <c r="O4324" s="4408"/>
      <c r="P4324" s="4408"/>
      <c r="Q4324" s="3394" t="s">
        <v>3943</v>
      </c>
      <c r="R4324" s="2337"/>
      <c r="S4324" s="16"/>
      <c r="T4324" s="16"/>
      <c r="U4324" s="16"/>
      <c r="V4324" s="16"/>
    </row>
    <row r="4325" spans="1:22" ht="15.5">
      <c r="A4325" s="4508"/>
      <c r="B4325" s="4508"/>
      <c r="C4325" s="4508"/>
      <c r="D4325" s="4508"/>
      <c r="E4325" s="4408"/>
      <c r="F4325" s="4509"/>
      <c r="G4325" s="4548">
        <f>IF('Seleccion proyecto HEREVEA02'!G36="Reparación grietas en superficie &gt;60% (sustitución y reposición)",'Seleccion proyecto HEREVEA02'!E34,0)</f>
        <v>0</v>
      </c>
      <c r="H4325" s="4548"/>
      <c r="I4325" s="4114">
        <f>IF('Seleccion proyecto HEREVEA02'!H36=0,0,IF('Seleccion proyecto HEREVEA02'!H36="1 a 60",0,IF('Seleccion proyecto HEREVEA02'!H36="61 a 100",1)))</f>
        <v>0</v>
      </c>
      <c r="J4325" s="4115">
        <f>'Seleccion proyecto HEREVEA02'!L8</f>
        <v>11100.968999999999</v>
      </c>
      <c r="K4325" s="4549">
        <f>G4325*I4325*J4325</f>
        <v>0</v>
      </c>
      <c r="L4325" s="4549"/>
      <c r="M4325" s="4550">
        <f>P4328+P4329+P4332+P4346+P4360+P4378+P4395+P4416+P4434+P4450+P4465</f>
        <v>150.9344320309651</v>
      </c>
      <c r="N4325" s="4550"/>
      <c r="O4325" s="4550"/>
      <c r="P4325" s="4550"/>
      <c r="Q4325" s="3388">
        <f>M4325*K4325</f>
        <v>0</v>
      </c>
      <c r="R4325" s="2337"/>
      <c r="S4325" s="16"/>
      <c r="T4325" s="16"/>
      <c r="U4325" s="16"/>
      <c r="V4325" s="16"/>
    </row>
    <row r="4326" spans="1:22" s="16" customFormat="1" ht="15.75" customHeight="1">
      <c r="A4326" s="1637"/>
      <c r="B4326" s="1637"/>
      <c r="C4326" s="4106"/>
      <c r="D4326" s="4341"/>
      <c r="E4326" s="4342"/>
      <c r="F4326" s="4344" t="s">
        <v>2</v>
      </c>
      <c r="G4326" s="4346" t="s">
        <v>1568</v>
      </c>
      <c r="H4326" s="4348" t="s">
        <v>1574</v>
      </c>
      <c r="I4326" s="4350" t="s">
        <v>1559</v>
      </c>
      <c r="J4326" s="4351" t="s">
        <v>1560</v>
      </c>
      <c r="K4326" s="4351" t="s">
        <v>1569</v>
      </c>
      <c r="L4326" s="4333" t="s">
        <v>3765</v>
      </c>
      <c r="M4326" s="4352" t="s">
        <v>1571</v>
      </c>
      <c r="N4326" s="4353" t="s">
        <v>1776</v>
      </c>
      <c r="O4326" s="4354" t="s">
        <v>1563</v>
      </c>
      <c r="P4326" s="4356" t="s">
        <v>1562</v>
      </c>
      <c r="Q4326" s="4116"/>
      <c r="R4326" s="1699" t="s">
        <v>1327</v>
      </c>
    </row>
    <row r="4327" spans="1:22" s="16" customFormat="1" ht="15.5">
      <c r="A4327" s="1637"/>
      <c r="B4327" s="1637"/>
      <c r="C4327" s="4106"/>
      <c r="D4327" s="4341"/>
      <c r="E4327" s="4343"/>
      <c r="F4327" s="4345"/>
      <c r="G4327" s="4347"/>
      <c r="H4327" s="4349"/>
      <c r="I4327" s="4350"/>
      <c r="J4327" s="4351"/>
      <c r="K4327" s="4351"/>
      <c r="L4327" s="4334"/>
      <c r="M4327" s="4352"/>
      <c r="N4327" s="4353"/>
      <c r="O4327" s="4355"/>
      <c r="P4327" s="4357"/>
      <c r="Q4327" s="4116"/>
      <c r="R4327" s="1721">
        <f>P4328+P4329</f>
        <v>21.602536703999998</v>
      </c>
    </row>
    <row r="4328" spans="1:22" s="16" customFormat="1" ht="15.5">
      <c r="A4328" s="1637"/>
      <c r="B4328" s="1637"/>
      <c r="C4328" s="1295"/>
      <c r="D4328" s="1363" t="s">
        <v>1121</v>
      </c>
      <c r="E4328" s="2125" t="s">
        <v>1508</v>
      </c>
      <c r="F4328" s="1385" t="s">
        <v>1663</v>
      </c>
      <c r="G4328" s="1998">
        <v>0.28000000000000003</v>
      </c>
      <c r="H4328" s="2084"/>
      <c r="I4328" s="2085">
        <v>151.19999999999999</v>
      </c>
      <c r="J4328" s="1589">
        <v>7.0000000000000001E-3</v>
      </c>
      <c r="K4328" s="1307">
        <f>G4328*I4328*J4328</f>
        <v>0.296352</v>
      </c>
      <c r="L4328" s="1335">
        <f t="shared" ref="L4328:L4329" si="520">K4328*$K$4325</f>
        <v>0</v>
      </c>
      <c r="M4328" s="1302">
        <v>19.23</v>
      </c>
      <c r="N4328" s="1700"/>
      <c r="O4328" s="1290">
        <f>G4328*M4328</f>
        <v>5.3844000000000003</v>
      </c>
      <c r="P4328" s="1337">
        <f>M4328*K4328</f>
        <v>5.6988489600000003</v>
      </c>
      <c r="Q4328" s="4116"/>
      <c r="R4328" s="2337"/>
    </row>
    <row r="4329" spans="1:22" s="16" customFormat="1" ht="15.5">
      <c r="A4329" s="1637"/>
      <c r="B4329" s="1637"/>
      <c r="D4329" s="1359" t="s">
        <v>1067</v>
      </c>
      <c r="E4329" s="1858" t="s">
        <v>1508</v>
      </c>
      <c r="F4329" s="1404" t="s">
        <v>1512</v>
      </c>
      <c r="G4329" s="2096">
        <v>0.82199999999999995</v>
      </c>
      <c r="H4329" s="1359"/>
      <c r="I4329" s="1289">
        <v>151.19999999999999</v>
      </c>
      <c r="J4329" s="1589">
        <v>7.0000000000000001E-3</v>
      </c>
      <c r="K4329" s="1307">
        <f>G4329*I4329*J4329</f>
        <v>0.87000479999999991</v>
      </c>
      <c r="L4329" s="1335">
        <f t="shared" si="520"/>
        <v>0</v>
      </c>
      <c r="M4329" s="1302">
        <v>18.28</v>
      </c>
      <c r="N4329" s="1700"/>
      <c r="O4329" s="1290">
        <f>G4329*M4329</f>
        <v>15.026160000000001</v>
      </c>
      <c r="P4329" s="1337">
        <f>M4329*K4329</f>
        <v>15.903687743999999</v>
      </c>
      <c r="Q4329" s="4116"/>
      <c r="R4329" s="2337"/>
    </row>
    <row r="4330" spans="1:22" s="16" customFormat="1" ht="15.5">
      <c r="A4330" s="1637"/>
      <c r="B4330" s="1637"/>
      <c r="D4330" s="4119"/>
      <c r="E4330" s="1858"/>
      <c r="F4330" s="1361"/>
      <c r="G4330" s="1361"/>
      <c r="H4330" s="1466"/>
      <c r="I4330" s="1289"/>
      <c r="J4330" s="8"/>
      <c r="K4330" s="1307" t="str">
        <f>IF(COUNT(I4330)=0,"",(I4330*J4330))</f>
        <v/>
      </c>
      <c r="L4330" s="1335"/>
      <c r="M4330" s="1302"/>
      <c r="N4330" s="1700"/>
      <c r="O4330" s="1290"/>
      <c r="P4330" s="1332"/>
      <c r="Q4330" s="4116"/>
      <c r="R4330" s="2337"/>
    </row>
    <row r="4331" spans="1:22">
      <c r="A4331" s="19" t="s">
        <v>3764</v>
      </c>
      <c r="B4331" s="4370" t="s">
        <v>1654</v>
      </c>
      <c r="C4331" s="3972"/>
      <c r="D4331" s="4371"/>
      <c r="E4331" s="4329" t="s">
        <v>1507</v>
      </c>
      <c r="F4331" s="4336" t="s">
        <v>1664</v>
      </c>
      <c r="G4331" s="4331" t="s">
        <v>1568</v>
      </c>
      <c r="H4331" s="4331" t="s">
        <v>1574</v>
      </c>
      <c r="I4331" s="1835" t="s">
        <v>1559</v>
      </c>
      <c r="J4331" s="1836" t="s">
        <v>1560</v>
      </c>
      <c r="K4331" s="1836" t="s">
        <v>1569</v>
      </c>
      <c r="L4331" s="4333" t="s">
        <v>3765</v>
      </c>
      <c r="M4331" s="4335" t="s">
        <v>1571</v>
      </c>
      <c r="N4331" s="4323" t="s">
        <v>1776</v>
      </c>
      <c r="O4331" s="4097" t="s">
        <v>1563</v>
      </c>
      <c r="P4331" s="4100" t="s">
        <v>1562</v>
      </c>
      <c r="Q4331" s="3389"/>
      <c r="S4331" s="16"/>
      <c r="T4331" s="16"/>
      <c r="U4331" s="16"/>
      <c r="V4331" s="16"/>
    </row>
    <row r="4332" spans="1:22">
      <c r="A4332" s="1807" t="s">
        <v>3835</v>
      </c>
      <c r="B4332" s="4326"/>
      <c r="C4332" s="4102"/>
      <c r="D4332" s="4328"/>
      <c r="E4332" s="4330"/>
      <c r="F4332" s="4336"/>
      <c r="G4332" s="4332"/>
      <c r="H4332" s="4332"/>
      <c r="I4332" s="1980">
        <v>61.31</v>
      </c>
      <c r="J4332" s="1981">
        <v>7.0000000000000001E-3</v>
      </c>
      <c r="K4332" s="1307">
        <f>I4332*J4332</f>
        <v>0.42917000000000005</v>
      </c>
      <c r="L4332" s="4334"/>
      <c r="M4332" s="4335"/>
      <c r="N4332" s="4324"/>
      <c r="O4332" s="1298">
        <f>SUM(O4334:O4344)</f>
        <v>4.9356000000000009</v>
      </c>
      <c r="P4332" s="1337">
        <f>O4332*K4332</f>
        <v>2.1182114520000006</v>
      </c>
      <c r="Q4332" s="3390"/>
      <c r="S4332" s="16"/>
      <c r="T4332" s="16"/>
      <c r="U4332" s="16"/>
      <c r="V4332" s="16"/>
    </row>
    <row r="4333" spans="1:22">
      <c r="A4333" s="22"/>
      <c r="B4333" s="1327"/>
      <c r="C4333" s="1327"/>
      <c r="D4333" s="1400"/>
      <c r="E4333" s="2121"/>
      <c r="F4333" s="1368" t="s">
        <v>1</v>
      </c>
      <c r="G4333" s="1417"/>
      <c r="H4333" s="1390"/>
      <c r="I4333" s="1554"/>
      <c r="J4333" s="1367"/>
      <c r="K4333" s="1367"/>
      <c r="L4333" s="1554"/>
      <c r="M4333" s="1369"/>
      <c r="N4333" s="1369"/>
      <c r="O4333" s="1369"/>
      <c r="P4333" s="1367"/>
      <c r="Q4333" s="3387"/>
      <c r="R4333" s="2337"/>
      <c r="S4333" s="16"/>
      <c r="T4333" s="16"/>
      <c r="U4333" s="16"/>
      <c r="V4333" s="16"/>
    </row>
    <row r="4334" spans="1:22">
      <c r="A4334" s="22"/>
      <c r="B4334" s="1042"/>
      <c r="C4334" s="1042"/>
      <c r="D4334" s="1400"/>
      <c r="E4334" s="1856"/>
      <c r="F4334" s="1421"/>
      <c r="G4334" s="1399"/>
      <c r="H4334" s="1399"/>
      <c r="I4334" s="1760"/>
      <c r="J4334" s="198"/>
      <c r="K4334" s="1307"/>
      <c r="L4334" s="1335"/>
      <c r="M4334" s="1499"/>
      <c r="N4334" s="1701"/>
      <c r="O4334" s="1290"/>
      <c r="P4334" s="1332"/>
      <c r="Q4334" s="3391"/>
      <c r="R4334" s="2337"/>
      <c r="S4334" s="16"/>
      <c r="T4334" s="16"/>
      <c r="U4334" s="16"/>
      <c r="V4334" s="16"/>
    </row>
    <row r="4335" spans="1:22">
      <c r="A4335" s="22"/>
      <c r="B4335" s="1042"/>
      <c r="C4335" s="1042"/>
      <c r="D4335" s="1400"/>
      <c r="E4335" s="1856"/>
      <c r="F4335" s="1421"/>
      <c r="G4335" s="1399"/>
      <c r="H4335" s="1399"/>
      <c r="I4335" s="1760"/>
      <c r="J4335" s="198"/>
      <c r="K4335" s="1307"/>
      <c r="L4335" s="1335"/>
      <c r="M4335" s="1499"/>
      <c r="N4335" s="1701"/>
      <c r="O4335" s="1290"/>
      <c r="P4335" s="1332"/>
      <c r="Q4335" s="3391"/>
      <c r="R4335" s="4088"/>
      <c r="S4335" s="16"/>
      <c r="T4335" s="16"/>
      <c r="U4335" s="16"/>
      <c r="V4335" s="16"/>
    </row>
    <row r="4336" spans="1:22">
      <c r="A4336" s="22"/>
      <c r="B4336" s="1042"/>
      <c r="C4336" s="1042"/>
      <c r="D4336" s="1400"/>
      <c r="E4336" s="1856"/>
      <c r="F4336" s="1421"/>
      <c r="G4336" s="1452"/>
      <c r="H4336" s="1399"/>
      <c r="I4336" s="197"/>
      <c r="J4336" s="198"/>
      <c r="K4336" s="1307"/>
      <c r="L4336" s="1335"/>
      <c r="M4336" s="1499"/>
      <c r="N4336" s="1701"/>
      <c r="O4336" s="1290"/>
      <c r="P4336" s="1332"/>
      <c r="Q4336" s="3391"/>
      <c r="R4336" s="4088"/>
      <c r="S4336" s="16"/>
      <c r="T4336" s="16"/>
      <c r="U4336" s="16"/>
      <c r="V4336" s="16"/>
    </row>
    <row r="4337" spans="1:22">
      <c r="A4337" s="22"/>
      <c r="B4337" s="1042"/>
      <c r="C4337" s="1042"/>
      <c r="D4337" s="1410"/>
      <c r="E4337" s="1858"/>
      <c r="F4337" s="1360" t="s">
        <v>2</v>
      </c>
      <c r="G4337" s="1360"/>
      <c r="H4337" s="1362"/>
      <c r="I4337" s="1380"/>
      <c r="J4337" s="1381"/>
      <c r="K4337" s="1359"/>
      <c r="L4337" s="1458"/>
      <c r="M4337" s="1502"/>
      <c r="N4337" s="1502"/>
      <c r="O4337" s="1362"/>
      <c r="P4337" s="1359"/>
      <c r="Q4337" s="3387"/>
      <c r="R4337" s="4088"/>
      <c r="S4337" s="16"/>
      <c r="T4337" s="16"/>
      <c r="U4337" s="16"/>
      <c r="V4337" s="16"/>
    </row>
    <row r="4338" spans="1:22">
      <c r="A4338" s="22"/>
      <c r="B4338" s="1042"/>
      <c r="C4338" s="1042"/>
      <c r="D4338" s="1473" t="s">
        <v>1067</v>
      </c>
      <c r="E4338" s="2148" t="s">
        <v>1508</v>
      </c>
      <c r="F4338" s="1473" t="s">
        <v>1512</v>
      </c>
      <c r="G4338" s="1365">
        <v>0.27</v>
      </c>
      <c r="H4338" s="1365"/>
      <c r="I4338" s="198"/>
      <c r="J4338" s="6"/>
      <c r="K4338" s="1307">
        <f>G4338*K4332</f>
        <v>0.11587590000000002</v>
      </c>
      <c r="L4338" s="1335">
        <f>K4338*$K$4325</f>
        <v>0</v>
      </c>
      <c r="M4338" s="1499">
        <v>18.28</v>
      </c>
      <c r="N4338" s="1701"/>
      <c r="O4338" s="1290">
        <f>(G4338*M4338)</f>
        <v>4.9356000000000009</v>
      </c>
      <c r="P4338" s="1332">
        <f>M4338*K4338</f>
        <v>2.1182114520000006</v>
      </c>
      <c r="Q4338" s="3391"/>
      <c r="R4338" s="4088"/>
      <c r="S4338" s="16"/>
      <c r="T4338" s="16"/>
      <c r="U4338" s="16"/>
      <c r="V4338" s="16"/>
    </row>
    <row r="4339" spans="1:22">
      <c r="A4339" s="22"/>
      <c r="B4339" s="1042"/>
      <c r="C4339" s="1042"/>
      <c r="D4339" s="1623"/>
      <c r="E4339" s="2158"/>
      <c r="F4339" s="1801"/>
      <c r="G4339" s="1359"/>
      <c r="H4339" s="1803"/>
      <c r="I4339" s="198"/>
      <c r="J4339" s="6"/>
      <c r="K4339" s="1307"/>
      <c r="L4339" s="1335"/>
      <c r="M4339" s="1499"/>
      <c r="N4339" s="1701"/>
      <c r="O4339" s="1290"/>
      <c r="P4339" s="1332"/>
      <c r="Q4339" s="3391"/>
      <c r="R4339" s="4088"/>
      <c r="S4339" s="16"/>
      <c r="T4339" s="16"/>
      <c r="U4339" s="16"/>
      <c r="V4339" s="16"/>
    </row>
    <row r="4340" spans="1:22">
      <c r="A4340" s="22"/>
      <c r="B4340" s="1042"/>
      <c r="C4340" s="1042"/>
      <c r="D4340" s="1623"/>
      <c r="E4340" s="2158"/>
      <c r="F4340" s="1801"/>
      <c r="G4340" s="1359"/>
      <c r="H4340" s="1803"/>
      <c r="I4340" s="198"/>
      <c r="J4340" s="6"/>
      <c r="K4340" s="1307"/>
      <c r="L4340" s="1335"/>
      <c r="M4340" s="1499"/>
      <c r="N4340" s="1701"/>
      <c r="O4340" s="1290"/>
      <c r="P4340" s="1332"/>
      <c r="Q4340" s="3391"/>
      <c r="R4340" s="2337"/>
      <c r="S4340" s="16"/>
      <c r="T4340" s="16"/>
      <c r="U4340" s="16"/>
      <c r="V4340" s="16"/>
    </row>
    <row r="4341" spans="1:22">
      <c r="A4341" s="22"/>
      <c r="B4341" s="1042"/>
      <c r="C4341" s="1042"/>
      <c r="D4341" s="1411"/>
      <c r="E4341" s="2123"/>
      <c r="F4341" s="1802" t="s">
        <v>3</v>
      </c>
      <c r="G4341" s="1475"/>
      <c r="H4341" s="1505"/>
      <c r="I4341" s="1382"/>
      <c r="J4341" s="1383"/>
      <c r="K4341" s="1373"/>
      <c r="L4341" s="1413"/>
      <c r="M4341" s="1505"/>
      <c r="N4341" s="1505"/>
      <c r="O4341" s="1376"/>
      <c r="P4341" s="1413"/>
      <c r="Q4341" s="3387"/>
      <c r="R4341" s="2337"/>
      <c r="S4341" s="16"/>
      <c r="T4341" s="16"/>
      <c r="U4341" s="16"/>
      <c r="V4341" s="16"/>
    </row>
    <row r="4342" spans="1:22">
      <c r="A4342" s="22"/>
      <c r="B4342" s="1042"/>
      <c r="C4342" s="1042"/>
      <c r="D4342" s="1411"/>
      <c r="E4342" s="2123"/>
      <c r="F4342" s="1475"/>
      <c r="G4342" s="1475"/>
      <c r="H4342" s="1376"/>
      <c r="I4342" s="198"/>
      <c r="J4342" s="6"/>
      <c r="K4342" s="1307"/>
      <c r="L4342" s="1335"/>
      <c r="M4342" s="1499"/>
      <c r="N4342" s="1701"/>
      <c r="O4342" s="1290"/>
      <c r="P4342" s="1332"/>
      <c r="Q4342" s="3391"/>
      <c r="R4342" s="4088"/>
      <c r="S4342" s="16"/>
      <c r="T4342" s="16"/>
      <c r="U4342" s="16"/>
      <c r="V4342" s="16"/>
    </row>
    <row r="4343" spans="1:22">
      <c r="A4343" s="22"/>
      <c r="B4343" s="1042"/>
      <c r="C4343" s="1042"/>
      <c r="D4343" s="1411"/>
      <c r="E4343" s="2123"/>
      <c r="F4343" s="1475"/>
      <c r="G4343" s="1475"/>
      <c r="H4343" s="1376"/>
      <c r="I4343" s="198"/>
      <c r="J4343" s="6"/>
      <c r="K4343" s="1307"/>
      <c r="L4343" s="1335"/>
      <c r="M4343" s="1499"/>
      <c r="N4343" s="1701"/>
      <c r="O4343" s="1290"/>
      <c r="P4343" s="1332"/>
      <c r="Q4343" s="3391"/>
      <c r="R4343" s="4088"/>
      <c r="S4343" s="16"/>
      <c r="T4343" s="16"/>
      <c r="U4343" s="16"/>
      <c r="V4343" s="16"/>
    </row>
    <row r="4344" spans="1:22">
      <c r="A4344" s="22"/>
      <c r="B4344" s="1042"/>
      <c r="C4344" s="1042"/>
      <c r="D4344" s="1979"/>
      <c r="E4344" s="2124"/>
      <c r="F4344" s="1377"/>
      <c r="G4344" s="1377"/>
      <c r="H4344" s="1597"/>
      <c r="I4344" s="198"/>
      <c r="J4344" s="6"/>
      <c r="K4344" s="1306"/>
      <c r="L4344" s="1646"/>
      <c r="M4344" s="1302"/>
      <c r="N4344" s="1302"/>
      <c r="O4344" s="1291"/>
      <c r="P4344" s="1332"/>
      <c r="Q4344" s="3391"/>
      <c r="R4344" s="2337"/>
      <c r="S4344" s="16"/>
      <c r="T4344" s="16"/>
      <c r="U4344" s="16"/>
      <c r="V4344" s="16"/>
    </row>
    <row r="4345" spans="1:22">
      <c r="A4345" s="19" t="s">
        <v>3764</v>
      </c>
      <c r="B4345" s="4325" t="s">
        <v>3822</v>
      </c>
      <c r="C4345" s="4085"/>
      <c r="D4345" s="4327"/>
      <c r="E4345" s="4389" t="s">
        <v>1507</v>
      </c>
      <c r="F4345" s="4363" t="s">
        <v>3837</v>
      </c>
      <c r="G4345" s="4364" t="s">
        <v>1568</v>
      </c>
      <c r="H4345" s="4364" t="s">
        <v>1574</v>
      </c>
      <c r="I4345" s="1835" t="s">
        <v>1559</v>
      </c>
      <c r="J4345" s="1836" t="s">
        <v>1560</v>
      </c>
      <c r="K4345" s="1836" t="s">
        <v>1569</v>
      </c>
      <c r="L4345" s="4365" t="s">
        <v>3765</v>
      </c>
      <c r="M4345" s="4324" t="s">
        <v>1571</v>
      </c>
      <c r="N4345" s="4366" t="s">
        <v>1776</v>
      </c>
      <c r="O4345" s="4082" t="s">
        <v>1563</v>
      </c>
      <c r="P4345" s="4087" t="s">
        <v>1562</v>
      </c>
      <c r="Q4345" s="3389"/>
      <c r="R4345" s="1699" t="s">
        <v>1327</v>
      </c>
      <c r="S4345" s="16"/>
      <c r="T4345" s="16"/>
      <c r="U4345" s="16"/>
      <c r="V4345" s="16"/>
    </row>
    <row r="4346" spans="1:22">
      <c r="A4346" s="1807" t="s">
        <v>3835</v>
      </c>
      <c r="B4346" s="4326"/>
      <c r="C4346" s="4086"/>
      <c r="D4346" s="4328"/>
      <c r="E4346" s="4330"/>
      <c r="F4346" s="4336"/>
      <c r="G4346" s="4332"/>
      <c r="H4346" s="4332"/>
      <c r="I4346" s="1980">
        <v>234.11</v>
      </c>
      <c r="J4346" s="1981">
        <v>7.0000000000000001E-3</v>
      </c>
      <c r="K4346" s="1307">
        <f>I4346*J4346</f>
        <v>1.6387700000000001</v>
      </c>
      <c r="L4346" s="4334"/>
      <c r="M4346" s="4335"/>
      <c r="N4346" s="4324"/>
      <c r="O4346" s="1298">
        <f>SUM(O4348:O4358)</f>
        <v>3.2904</v>
      </c>
      <c r="P4346" s="1337">
        <f>O4346*K4346</f>
        <v>5.3922088080000004</v>
      </c>
      <c r="Q4346" s="3390"/>
      <c r="R4346" s="1721">
        <f>SUM(P4348:P4357)</f>
        <v>5.3922088080000004</v>
      </c>
      <c r="S4346" s="16"/>
      <c r="T4346" s="16"/>
      <c r="U4346" s="16"/>
      <c r="V4346" s="16"/>
    </row>
    <row r="4347" spans="1:22">
      <c r="A4347" s="16"/>
      <c r="B4347" s="551"/>
      <c r="C4347" s="18"/>
      <c r="D4347" s="1400"/>
      <c r="E4347" s="2121"/>
      <c r="F4347" s="1368" t="s">
        <v>1</v>
      </c>
      <c r="G4347" s="1417"/>
      <c r="H4347" s="1390"/>
      <c r="I4347" s="1554"/>
      <c r="J4347" s="1367"/>
      <c r="K4347" s="1367"/>
      <c r="L4347" s="1554"/>
      <c r="M4347" s="1369"/>
      <c r="N4347" s="1369"/>
      <c r="O4347" s="1369"/>
      <c r="P4347" s="1367"/>
      <c r="Q4347" s="3387"/>
      <c r="R4347" s="4088"/>
      <c r="S4347" s="16"/>
      <c r="T4347" s="16"/>
      <c r="U4347" s="16"/>
      <c r="V4347" s="16"/>
    </row>
    <row r="4348" spans="1:22">
      <c r="A4348" s="16"/>
      <c r="B4348" s="553"/>
      <c r="C4348" s="1042"/>
      <c r="D4348" s="1400"/>
      <c r="E4348" s="1856"/>
      <c r="F4348" s="1421"/>
      <c r="G4348" s="1399"/>
      <c r="H4348" s="1399"/>
      <c r="I4348" s="1760"/>
      <c r="J4348" s="198"/>
      <c r="K4348" s="1307"/>
      <c r="L4348" s="1335"/>
      <c r="M4348" s="1499"/>
      <c r="N4348" s="1701"/>
      <c r="O4348" s="1290"/>
      <c r="P4348" s="1332"/>
      <c r="Q4348" s="3391"/>
      <c r="R4348" s="4088"/>
      <c r="S4348" s="16"/>
      <c r="T4348" s="16"/>
      <c r="U4348" s="16"/>
      <c r="V4348" s="16"/>
    </row>
    <row r="4349" spans="1:22">
      <c r="A4349" s="16"/>
      <c r="B4349" s="553"/>
      <c r="C4349" s="1042"/>
      <c r="D4349" s="1400"/>
      <c r="E4349" s="1856"/>
      <c r="F4349" s="1421"/>
      <c r="G4349" s="1399"/>
      <c r="H4349" s="1399"/>
      <c r="I4349" s="1760"/>
      <c r="J4349" s="198"/>
      <c r="K4349" s="1307"/>
      <c r="L4349" s="1335"/>
      <c r="M4349" s="1499"/>
      <c r="N4349" s="1701"/>
      <c r="O4349" s="1290"/>
      <c r="P4349" s="1332"/>
      <c r="Q4349" s="3391"/>
      <c r="R4349" s="4088"/>
      <c r="S4349" s="16"/>
      <c r="T4349" s="16"/>
      <c r="U4349" s="16"/>
      <c r="V4349" s="16"/>
    </row>
    <row r="4350" spans="1:22">
      <c r="A4350" s="16"/>
      <c r="B4350" s="553"/>
      <c r="C4350" s="1042"/>
      <c r="D4350" s="1400"/>
      <c r="E4350" s="1856"/>
      <c r="F4350" s="1421"/>
      <c r="G4350" s="1452"/>
      <c r="H4350" s="1399"/>
      <c r="I4350" s="197"/>
      <c r="J4350" s="198"/>
      <c r="K4350" s="1307"/>
      <c r="L4350" s="1335"/>
      <c r="M4350" s="1499"/>
      <c r="N4350" s="1701"/>
      <c r="O4350" s="1290"/>
      <c r="P4350" s="1332"/>
      <c r="Q4350" s="3391"/>
      <c r="R4350" s="4088"/>
      <c r="S4350" s="16"/>
      <c r="T4350" s="16"/>
      <c r="U4350" s="16"/>
      <c r="V4350" s="16"/>
    </row>
    <row r="4351" spans="1:22">
      <c r="A4351" s="16"/>
      <c r="B4351" s="553"/>
      <c r="C4351" s="1042"/>
      <c r="D4351" s="1410"/>
      <c r="E4351" s="1858"/>
      <c r="F4351" s="1360" t="s">
        <v>2</v>
      </c>
      <c r="G4351" s="1360"/>
      <c r="H4351" s="1362"/>
      <c r="I4351" s="1380"/>
      <c r="J4351" s="1381"/>
      <c r="K4351" s="1359"/>
      <c r="L4351" s="1458"/>
      <c r="M4351" s="1502"/>
      <c r="N4351" s="1502"/>
      <c r="O4351" s="1362"/>
      <c r="P4351" s="1359"/>
      <c r="Q4351" s="3387"/>
      <c r="R4351" s="2337"/>
      <c r="S4351" s="16"/>
      <c r="T4351" s="16"/>
      <c r="U4351" s="16"/>
      <c r="V4351" s="16"/>
    </row>
    <row r="4352" spans="1:22">
      <c r="A4352" s="16"/>
      <c r="B4352" s="553"/>
      <c r="C4352" s="1042"/>
      <c r="D4352" s="1364" t="s">
        <v>1067</v>
      </c>
      <c r="E4352" s="2148" t="s">
        <v>1508</v>
      </c>
      <c r="F4352" s="1473" t="s">
        <v>1512</v>
      </c>
      <c r="G4352" s="1365">
        <v>0.18</v>
      </c>
      <c r="H4352" s="1365"/>
      <c r="I4352" s="198"/>
      <c r="J4352" s="6"/>
      <c r="K4352" s="1307">
        <f>G4352*K4346</f>
        <v>0.29497859999999998</v>
      </c>
      <c r="L4352" s="1335">
        <f>K4352*$K$4325</f>
        <v>0</v>
      </c>
      <c r="M4352" s="1499">
        <v>18.28</v>
      </c>
      <c r="N4352" s="1701"/>
      <c r="O4352" s="1290">
        <f>(G4352*M4352)</f>
        <v>3.2904</v>
      </c>
      <c r="P4352" s="1332">
        <f>M4352*K4352</f>
        <v>5.3922088080000004</v>
      </c>
      <c r="Q4352" s="3391"/>
      <c r="R4352" s="4088"/>
      <c r="S4352" s="16"/>
      <c r="T4352" s="16"/>
      <c r="U4352" s="16"/>
      <c r="V4352" s="16"/>
    </row>
    <row r="4353" spans="1:22">
      <c r="A4353" s="16"/>
      <c r="B4353" s="553"/>
      <c r="C4353" s="1042"/>
      <c r="D4353" s="1623"/>
      <c r="E4353" s="2158"/>
      <c r="F4353" s="1801"/>
      <c r="G4353" s="1359"/>
      <c r="H4353" s="1803"/>
      <c r="I4353" s="198"/>
      <c r="J4353" s="6"/>
      <c r="K4353" s="1307"/>
      <c r="L4353" s="1335"/>
      <c r="M4353" s="1499"/>
      <c r="N4353" s="1701"/>
      <c r="O4353" s="1290"/>
      <c r="P4353" s="1332"/>
      <c r="Q4353" s="3391"/>
      <c r="R4353" s="2337"/>
      <c r="S4353" s="16"/>
      <c r="T4353" s="16"/>
      <c r="U4353" s="16"/>
      <c r="V4353" s="16"/>
    </row>
    <row r="4354" spans="1:22">
      <c r="A4354" s="16"/>
      <c r="B4354" s="553"/>
      <c r="C4354" s="1042"/>
      <c r="D4354" s="1623"/>
      <c r="E4354" s="2158"/>
      <c r="F4354" s="1801"/>
      <c r="G4354" s="1359"/>
      <c r="H4354" s="1803"/>
      <c r="I4354" s="198"/>
      <c r="J4354" s="6"/>
      <c r="K4354" s="1307"/>
      <c r="L4354" s="1335"/>
      <c r="M4354" s="1499"/>
      <c r="N4354" s="1701"/>
      <c r="O4354" s="1290"/>
      <c r="P4354" s="1332"/>
      <c r="Q4354" s="3391"/>
      <c r="R4354" s="2337"/>
      <c r="S4354" s="16"/>
      <c r="T4354" s="16"/>
      <c r="U4354" s="16"/>
      <c r="V4354" s="16"/>
    </row>
    <row r="4355" spans="1:22">
      <c r="A4355" s="16"/>
      <c r="B4355" s="553"/>
      <c r="C4355" s="1042"/>
      <c r="D4355" s="1411"/>
      <c r="E4355" s="2123"/>
      <c r="F4355" s="1802" t="s">
        <v>3</v>
      </c>
      <c r="G4355" s="1475"/>
      <c r="H4355" s="1505"/>
      <c r="I4355" s="1382"/>
      <c r="J4355" s="1383"/>
      <c r="K4355" s="1373"/>
      <c r="L4355" s="1413"/>
      <c r="M4355" s="1505"/>
      <c r="N4355" s="1505"/>
      <c r="O4355" s="1376"/>
      <c r="P4355" s="1413"/>
      <c r="Q4355" s="3387"/>
      <c r="R4355" s="2337"/>
      <c r="S4355" s="16"/>
      <c r="T4355" s="16"/>
      <c r="U4355" s="16"/>
      <c r="V4355" s="16"/>
    </row>
    <row r="4356" spans="1:22">
      <c r="A4356" s="16"/>
      <c r="B4356" s="553"/>
      <c r="C4356" s="1042"/>
      <c r="D4356" s="1411"/>
      <c r="E4356" s="2123"/>
      <c r="F4356" s="1475"/>
      <c r="G4356" s="1475"/>
      <c r="H4356" s="1376"/>
      <c r="I4356" s="198"/>
      <c r="J4356" s="6"/>
      <c r="K4356" s="1307"/>
      <c r="L4356" s="1335"/>
      <c r="M4356" s="1499"/>
      <c r="N4356" s="1701"/>
      <c r="O4356" s="1290"/>
      <c r="P4356" s="1332"/>
      <c r="Q4356" s="3391"/>
      <c r="R4356" s="2337"/>
      <c r="S4356" s="16"/>
      <c r="T4356" s="16"/>
      <c r="U4356" s="16"/>
      <c r="V4356" s="16"/>
    </row>
    <row r="4357" spans="1:22">
      <c r="A4357" s="16"/>
      <c r="B4357" s="553"/>
      <c r="C4357" s="1042"/>
      <c r="D4357" s="1412"/>
      <c r="E4357" s="2124"/>
      <c r="F4357" s="1377"/>
      <c r="G4357" s="1377"/>
      <c r="H4357" s="1597"/>
      <c r="I4357" s="198"/>
      <c r="J4357" s="6"/>
      <c r="K4357" s="1306"/>
      <c r="L4357" s="1646"/>
      <c r="M4357" s="1302"/>
      <c r="N4357" s="1302"/>
      <c r="O4357" s="1291"/>
      <c r="P4357" s="1332"/>
      <c r="Q4357" s="3391"/>
      <c r="R4357" s="2337"/>
      <c r="S4357" s="16"/>
      <c r="T4357" s="16"/>
      <c r="U4357" s="16"/>
      <c r="V4357" s="16"/>
    </row>
    <row r="4358" spans="1:22">
      <c r="A4358" s="16"/>
      <c r="B4358" s="554"/>
      <c r="C4358" s="223"/>
      <c r="D4358" s="1808"/>
      <c r="E4358" s="2132"/>
      <c r="F4358" s="1804"/>
      <c r="G4358" s="1804"/>
      <c r="H4358" s="1805"/>
      <c r="I4358" s="197"/>
      <c r="J4358" s="1806"/>
      <c r="K4358" s="1307"/>
      <c r="L4358" s="1335"/>
      <c r="M4358" s="1701"/>
      <c r="N4358" s="1701"/>
      <c r="O4358" s="1290"/>
      <c r="P4358" s="1333"/>
      <c r="Q4358" s="3391"/>
      <c r="R4358" s="2337"/>
      <c r="S4358" s="16"/>
      <c r="T4358" s="16"/>
      <c r="U4358" s="16"/>
      <c r="V4358" s="16"/>
    </row>
    <row r="4359" spans="1:22">
      <c r="A4359" s="19" t="s">
        <v>3764</v>
      </c>
      <c r="B4359" s="4325" t="s">
        <v>2792</v>
      </c>
      <c r="C4359" s="4085"/>
      <c r="D4359" s="4327"/>
      <c r="E4359" s="4329" t="s">
        <v>1507</v>
      </c>
      <c r="F4359" s="4336" t="s">
        <v>2793</v>
      </c>
      <c r="G4359" s="4331" t="s">
        <v>1568</v>
      </c>
      <c r="H4359" s="4331" t="s">
        <v>1574</v>
      </c>
      <c r="I4359" s="1572" t="s">
        <v>1559</v>
      </c>
      <c r="J4359" s="1294" t="s">
        <v>1560</v>
      </c>
      <c r="K4359" s="1294" t="s">
        <v>1569</v>
      </c>
      <c r="L4359" s="4333" t="s">
        <v>3765</v>
      </c>
      <c r="M4359" s="4335" t="s">
        <v>1571</v>
      </c>
      <c r="N4359" s="4323" t="s">
        <v>1776</v>
      </c>
      <c r="O4359" s="4084" t="s">
        <v>1563</v>
      </c>
      <c r="P4359" s="1336" t="s">
        <v>1562</v>
      </c>
      <c r="Q4359" s="3389"/>
      <c r="R4359" s="1699" t="s">
        <v>1327</v>
      </c>
      <c r="S4359" s="16"/>
      <c r="T4359" s="16"/>
      <c r="U4359" s="16"/>
      <c r="V4359" s="16"/>
    </row>
    <row r="4360" spans="1:22">
      <c r="A4360" s="1807" t="s">
        <v>3835</v>
      </c>
      <c r="B4360" s="4326"/>
      <c r="C4360" s="4086"/>
      <c r="D4360" s="4328"/>
      <c r="E4360" s="4330"/>
      <c r="F4360" s="4336"/>
      <c r="G4360" s="4332"/>
      <c r="H4360" s="4332"/>
      <c r="I4360" s="1345">
        <v>302.39999999999998</v>
      </c>
      <c r="J4360" s="1307">
        <v>7.0000000000000001E-3</v>
      </c>
      <c r="K4360" s="1307">
        <f>I4360*J4360</f>
        <v>2.1168</v>
      </c>
      <c r="L4360" s="4334"/>
      <c r="M4360" s="4335"/>
      <c r="N4360" s="4324"/>
      <c r="O4360" s="1298">
        <f>SUM(O4362:O4376)</f>
        <v>13.77628</v>
      </c>
      <c r="P4360" s="1337">
        <f>O4360*K4360</f>
        <v>29.161629504</v>
      </c>
      <c r="Q4360" s="3390"/>
      <c r="R4360" s="1721">
        <f>SUM(P4362:P4376)</f>
        <v>29.161629503999997</v>
      </c>
      <c r="S4360" s="16"/>
      <c r="T4360" s="16"/>
      <c r="U4360" s="16"/>
      <c r="V4360" s="16"/>
    </row>
    <row r="4361" spans="1:22">
      <c r="A4361" s="16"/>
      <c r="B4361" s="551"/>
      <c r="C4361" s="18"/>
      <c r="D4361" s="1400"/>
      <c r="E4361" s="2121"/>
      <c r="F4361" s="1368" t="s">
        <v>1</v>
      </c>
      <c r="G4361" s="1417"/>
      <c r="H4361" s="1390"/>
      <c r="I4361" s="1554"/>
      <c r="J4361" s="1367"/>
      <c r="K4361" s="1367"/>
      <c r="L4361" s="1554"/>
      <c r="M4361" s="1369"/>
      <c r="N4361" s="1369"/>
      <c r="O4361" s="1369"/>
      <c r="P4361" s="1367"/>
      <c r="Q4361" s="3387"/>
      <c r="R4361" s="4088"/>
      <c r="S4361" s="16"/>
      <c r="T4361" s="16"/>
      <c r="U4361" s="16"/>
      <c r="V4361" s="16"/>
    </row>
    <row r="4362" spans="1:22">
      <c r="A4362" s="16"/>
      <c r="B4362" s="553"/>
      <c r="C4362" s="1042"/>
      <c r="D4362" s="1400" t="s">
        <v>2794</v>
      </c>
      <c r="E4362" s="1856" t="s">
        <v>1504</v>
      </c>
      <c r="F4362" s="1421" t="s">
        <v>2795</v>
      </c>
      <c r="G4362" s="1399">
        <v>0.72</v>
      </c>
      <c r="H4362" s="1399"/>
      <c r="I4362" s="1760"/>
      <c r="J4362" s="198"/>
      <c r="K4362" s="1307">
        <f>G4362*K4360</f>
        <v>1.5240959999999999</v>
      </c>
      <c r="L4362" s="1335">
        <f t="shared" ref="L4362:L4365" si="521">K4362*$K$4325</f>
        <v>0</v>
      </c>
      <c r="M4362" s="1499">
        <v>7.1</v>
      </c>
      <c r="N4362" s="1701"/>
      <c r="O4362" s="1290">
        <f>(G4362*M4362)</f>
        <v>5.1119999999999992</v>
      </c>
      <c r="P4362" s="1332">
        <f>M4362*K4362</f>
        <v>10.821081599999999</v>
      </c>
      <c r="Q4362" s="3391"/>
      <c r="R4362" s="4088"/>
      <c r="S4362" s="16"/>
      <c r="T4362" s="16"/>
      <c r="U4362" s="16"/>
      <c r="V4362" s="16"/>
    </row>
    <row r="4363" spans="1:22">
      <c r="A4363" s="16"/>
      <c r="B4363" s="553"/>
      <c r="C4363" s="1042"/>
      <c r="D4363" s="1400" t="s">
        <v>2796</v>
      </c>
      <c r="E4363" s="1856" t="s">
        <v>1517</v>
      </c>
      <c r="F4363" s="1421" t="s">
        <v>2797</v>
      </c>
      <c r="G4363" s="1399">
        <v>1.2E-2</v>
      </c>
      <c r="H4363" s="1399"/>
      <c r="I4363" s="1760"/>
      <c r="J4363" s="198"/>
      <c r="K4363" s="1307">
        <f>G4363*K4360</f>
        <v>2.54016E-2</v>
      </c>
      <c r="L4363" s="1335">
        <f t="shared" si="521"/>
        <v>0</v>
      </c>
      <c r="M4363" s="1499">
        <v>225.64</v>
      </c>
      <c r="N4363" s="1701"/>
      <c r="O4363" s="1290">
        <f>(G4363*M4363)</f>
        <v>2.7076799999999999</v>
      </c>
      <c r="P4363" s="1332">
        <f>M4363*K4363</f>
        <v>5.7316170239999993</v>
      </c>
      <c r="Q4363" s="3391"/>
      <c r="R4363" s="4088"/>
      <c r="S4363" s="16"/>
      <c r="T4363" s="16"/>
      <c r="U4363" s="16"/>
      <c r="V4363" s="16"/>
    </row>
    <row r="4364" spans="1:22">
      <c r="A4364" s="16"/>
      <c r="B4364" s="553"/>
      <c r="C4364" s="1042"/>
      <c r="D4364" s="1400" t="s">
        <v>1097</v>
      </c>
      <c r="E4364" s="1856" t="s">
        <v>1504</v>
      </c>
      <c r="F4364" s="1421" t="s">
        <v>1632</v>
      </c>
      <c r="G4364" s="1399">
        <v>1</v>
      </c>
      <c r="H4364" s="1399"/>
      <c r="I4364" s="1760"/>
      <c r="J4364" s="198"/>
      <c r="K4364" s="1307">
        <f>G4364*K4360</f>
        <v>2.1168</v>
      </c>
      <c r="L4364" s="1335">
        <f t="shared" si="521"/>
        <v>0</v>
      </c>
      <c r="M4364" s="1499">
        <v>0.55000000000000004</v>
      </c>
      <c r="N4364" s="1701"/>
      <c r="O4364" s="1290">
        <f>(G4364*M4364)</f>
        <v>0.55000000000000004</v>
      </c>
      <c r="P4364" s="1332">
        <f>M4364*K4364</f>
        <v>1.1642400000000002</v>
      </c>
      <c r="Q4364" s="3391"/>
      <c r="R4364" s="4088"/>
      <c r="S4364" s="16"/>
      <c r="T4364" s="16"/>
      <c r="U4364" s="16"/>
      <c r="V4364" s="16"/>
    </row>
    <row r="4365" spans="1:22">
      <c r="A4365" s="16"/>
      <c r="B4365" s="553"/>
      <c r="C4365" s="1042"/>
      <c r="D4365" s="1400" t="s">
        <v>1082</v>
      </c>
      <c r="E4365" s="1856" t="s">
        <v>1504</v>
      </c>
      <c r="F4365" s="1421" t="s">
        <v>1541</v>
      </c>
      <c r="G4365" s="1399">
        <v>1</v>
      </c>
      <c r="H4365" s="1399"/>
      <c r="I4365" s="1760"/>
      <c r="J4365" s="198"/>
      <c r="K4365" s="1307">
        <f>G4365*K4360</f>
        <v>2.1168</v>
      </c>
      <c r="L4365" s="1335">
        <f t="shared" si="521"/>
        <v>0</v>
      </c>
      <c r="M4365" s="1499">
        <v>0.3</v>
      </c>
      <c r="N4365" s="1701"/>
      <c r="O4365" s="1290">
        <f>(G4365*M4365)</f>
        <v>0.3</v>
      </c>
      <c r="P4365" s="1332">
        <f>M4365*K4365</f>
        <v>0.63503999999999994</v>
      </c>
      <c r="Q4365" s="3391"/>
      <c r="R4365" s="4088"/>
      <c r="S4365" s="16"/>
      <c r="T4365" s="16"/>
      <c r="U4365" s="16"/>
      <c r="V4365" s="16"/>
    </row>
    <row r="4366" spans="1:22">
      <c r="A4366" s="16"/>
      <c r="B4366" s="553"/>
      <c r="C4366" s="1042"/>
      <c r="D4366" s="1400"/>
      <c r="E4366" s="1856"/>
      <c r="F4366" s="1421"/>
      <c r="G4366" s="1399"/>
      <c r="H4366" s="1399"/>
      <c r="I4366" s="1760"/>
      <c r="J4366" s="198"/>
      <c r="K4366" s="1307"/>
      <c r="L4366" s="1335"/>
      <c r="M4366" s="1499"/>
      <c r="N4366" s="1701"/>
      <c r="O4366" s="1290"/>
      <c r="P4366" s="1332"/>
      <c r="Q4366" s="3391"/>
      <c r="R4366" s="4088"/>
      <c r="S4366" s="16"/>
      <c r="T4366" s="16"/>
      <c r="U4366" s="16"/>
      <c r="V4366" s="16"/>
    </row>
    <row r="4367" spans="1:22">
      <c r="A4367" s="16"/>
      <c r="B4367" s="553"/>
      <c r="C4367" s="1042"/>
      <c r="D4367" s="1400"/>
      <c r="E4367" s="1856"/>
      <c r="F4367" s="1421"/>
      <c r="G4367" s="1399"/>
      <c r="H4367" s="1399"/>
      <c r="I4367" s="1760"/>
      <c r="J4367" s="198"/>
      <c r="K4367" s="1307"/>
      <c r="L4367" s="1335"/>
      <c r="M4367" s="1499"/>
      <c r="N4367" s="1701"/>
      <c r="O4367" s="1290"/>
      <c r="P4367" s="1332"/>
      <c r="Q4367" s="3391"/>
      <c r="R4367" s="4088"/>
      <c r="S4367" s="16"/>
      <c r="T4367" s="16"/>
      <c r="U4367" s="16"/>
      <c r="V4367" s="16"/>
    </row>
    <row r="4368" spans="1:22">
      <c r="A4368" s="16"/>
      <c r="B4368" s="553"/>
      <c r="C4368" s="1042"/>
      <c r="D4368" s="1400"/>
      <c r="E4368" s="1856"/>
      <c r="F4368" s="1421"/>
      <c r="G4368" s="1452"/>
      <c r="H4368" s="1399"/>
      <c r="I4368" s="197"/>
      <c r="J4368" s="198"/>
      <c r="K4368" s="1307"/>
      <c r="L4368" s="1335"/>
      <c r="M4368" s="1499"/>
      <c r="N4368" s="1701"/>
      <c r="O4368" s="1290"/>
      <c r="P4368" s="1332"/>
      <c r="Q4368" s="3391"/>
      <c r="R4368" s="4088"/>
      <c r="S4368" s="16"/>
      <c r="T4368" s="16"/>
      <c r="U4368" s="16"/>
      <c r="V4368" s="16"/>
    </row>
    <row r="4369" spans="1:22">
      <c r="A4369" s="16"/>
      <c r="B4369" s="553"/>
      <c r="C4369" s="1042"/>
      <c r="D4369" s="1410"/>
      <c r="E4369" s="1858"/>
      <c r="F4369" s="1360" t="s">
        <v>2</v>
      </c>
      <c r="G4369" s="1360"/>
      <c r="H4369" s="1362"/>
      <c r="I4369" s="1380"/>
      <c r="J4369" s="1381"/>
      <c r="K4369" s="1359"/>
      <c r="L4369" s="1458"/>
      <c r="M4369" s="1502"/>
      <c r="N4369" s="1502"/>
      <c r="O4369" s="1362"/>
      <c r="P4369" s="1359"/>
      <c r="Q4369" s="3387"/>
      <c r="R4369" s="4088"/>
      <c r="S4369" s="16"/>
      <c r="T4369" s="16"/>
      <c r="U4369" s="16"/>
      <c r="V4369" s="16"/>
    </row>
    <row r="4370" spans="1:22">
      <c r="A4370" s="16"/>
      <c r="B4370" s="553"/>
      <c r="C4370" s="1042"/>
      <c r="D4370" s="1364" t="s">
        <v>1121</v>
      </c>
      <c r="E4370" s="2148" t="s">
        <v>1508</v>
      </c>
      <c r="F4370" s="1473" t="s">
        <v>1663</v>
      </c>
      <c r="G4370" s="1365">
        <v>0.18</v>
      </c>
      <c r="H4370" s="1365"/>
      <c r="I4370" s="198"/>
      <c r="J4370" s="6"/>
      <c r="K4370" s="1307">
        <f>G4370*K4360</f>
        <v>0.38102399999999997</v>
      </c>
      <c r="L4370" s="1335">
        <f t="shared" ref="L4370:L4371" si="522">K4370*$K$4325</f>
        <v>0</v>
      </c>
      <c r="M4370" s="1499">
        <v>19.23</v>
      </c>
      <c r="N4370" s="1701"/>
      <c r="O4370" s="1290">
        <f>(G4370*M4370)</f>
        <v>3.4613999999999998</v>
      </c>
      <c r="P4370" s="1332">
        <f>M4370*K4370</f>
        <v>7.3270915199999997</v>
      </c>
      <c r="Q4370" s="3391"/>
      <c r="R4370" s="4088"/>
      <c r="S4370" s="16"/>
      <c r="T4370" s="16"/>
      <c r="U4370" s="16"/>
      <c r="V4370" s="16"/>
    </row>
    <row r="4371" spans="1:22">
      <c r="A4371" s="16"/>
      <c r="B4371" s="553"/>
      <c r="C4371" s="1042"/>
      <c r="D4371" s="1623" t="s">
        <v>1067</v>
      </c>
      <c r="E4371" s="2158" t="s">
        <v>1508</v>
      </c>
      <c r="F4371" s="1801" t="s">
        <v>1512</v>
      </c>
      <c r="G4371" s="1359">
        <v>0.09</v>
      </c>
      <c r="H4371" s="1803"/>
      <c r="I4371" s="198"/>
      <c r="J4371" s="6"/>
      <c r="K4371" s="1307">
        <f>G4371*K4360</f>
        <v>0.19051199999999999</v>
      </c>
      <c r="L4371" s="1335">
        <f t="shared" si="522"/>
        <v>0</v>
      </c>
      <c r="M4371" s="1499">
        <v>18.28</v>
      </c>
      <c r="N4371" s="1701"/>
      <c r="O4371" s="1290">
        <f>(G4371*M4371)</f>
        <v>1.6452</v>
      </c>
      <c r="P4371" s="1332">
        <f>M4371*K4371</f>
        <v>3.4825593599999998</v>
      </c>
      <c r="Q4371" s="3391"/>
      <c r="R4371" s="4088"/>
      <c r="S4371" s="16"/>
      <c r="T4371" s="16"/>
      <c r="U4371" s="16"/>
      <c r="V4371" s="16"/>
    </row>
    <row r="4372" spans="1:22">
      <c r="A4372" s="16"/>
      <c r="B4372" s="553"/>
      <c r="C4372" s="1042"/>
      <c r="D4372" s="1623"/>
      <c r="E4372" s="2158"/>
      <c r="F4372" s="1801"/>
      <c r="G4372" s="1359"/>
      <c r="H4372" s="1803"/>
      <c r="I4372" s="198"/>
      <c r="J4372" s="6"/>
      <c r="K4372" s="1307"/>
      <c r="L4372" s="1335"/>
      <c r="M4372" s="1499"/>
      <c r="N4372" s="1701"/>
      <c r="O4372" s="1290"/>
      <c r="P4372" s="1332"/>
      <c r="Q4372" s="3391"/>
      <c r="R4372" s="4088"/>
      <c r="S4372" s="16"/>
      <c r="T4372" s="16"/>
      <c r="U4372" s="16"/>
      <c r="V4372" s="16"/>
    </row>
    <row r="4373" spans="1:22">
      <c r="A4373" s="16"/>
      <c r="B4373" s="553"/>
      <c r="C4373" s="1042"/>
      <c r="D4373" s="1411"/>
      <c r="E4373" s="2123"/>
      <c r="F4373" s="1802" t="s">
        <v>3</v>
      </c>
      <c r="G4373" s="1475"/>
      <c r="H4373" s="1505"/>
      <c r="I4373" s="1382"/>
      <c r="J4373" s="1383"/>
      <c r="K4373" s="1373"/>
      <c r="L4373" s="1413"/>
      <c r="M4373" s="1505"/>
      <c r="N4373" s="1505"/>
      <c r="O4373" s="1376"/>
      <c r="P4373" s="1413"/>
      <c r="Q4373" s="3387"/>
      <c r="R4373" s="4088"/>
      <c r="S4373" s="16"/>
      <c r="T4373" s="16"/>
      <c r="U4373" s="16"/>
      <c r="V4373" s="16"/>
    </row>
    <row r="4374" spans="1:22">
      <c r="A4374" s="16"/>
      <c r="B4374" s="553"/>
      <c r="C4374" s="1042"/>
      <c r="D4374" s="1411"/>
      <c r="E4374" s="2123"/>
      <c r="F4374" s="1475"/>
      <c r="G4374" s="1475"/>
      <c r="H4374" s="1376"/>
      <c r="I4374" s="198"/>
      <c r="J4374" s="6"/>
      <c r="K4374" s="1307"/>
      <c r="L4374" s="1335"/>
      <c r="M4374" s="1499"/>
      <c r="N4374" s="1701"/>
      <c r="O4374" s="1290"/>
      <c r="P4374" s="1332"/>
      <c r="Q4374" s="3391"/>
      <c r="R4374" s="4088"/>
      <c r="S4374" s="16"/>
      <c r="T4374" s="16"/>
      <c r="U4374" s="16"/>
      <c r="V4374" s="16"/>
    </row>
    <row r="4375" spans="1:22">
      <c r="A4375" s="16"/>
      <c r="B4375" s="553"/>
      <c r="C4375" s="1042"/>
      <c r="D4375" s="1412"/>
      <c r="E4375" s="2124"/>
      <c r="F4375" s="1377"/>
      <c r="G4375" s="1377"/>
      <c r="H4375" s="1597"/>
      <c r="I4375" s="198"/>
      <c r="J4375" s="6"/>
      <c r="K4375" s="1306"/>
      <c r="L4375" s="1646"/>
      <c r="M4375" s="1302"/>
      <c r="N4375" s="1302"/>
      <c r="O4375" s="1291"/>
      <c r="P4375" s="1332"/>
      <c r="Q4375" s="3391"/>
      <c r="R4375" s="2337"/>
      <c r="S4375" s="16"/>
      <c r="T4375" s="16"/>
      <c r="U4375" s="16"/>
      <c r="V4375" s="16"/>
    </row>
    <row r="4376" spans="1:22">
      <c r="A4376" s="16"/>
      <c r="B4376" s="554"/>
      <c r="C4376" s="223"/>
      <c r="D4376" s="4113"/>
      <c r="E4376" s="2132"/>
      <c r="F4376" s="1804"/>
      <c r="G4376" s="1804"/>
      <c r="H4376" s="1805"/>
      <c r="I4376" s="197"/>
      <c r="J4376" s="1806"/>
      <c r="K4376" s="1307"/>
      <c r="L4376" s="1335"/>
      <c r="M4376" s="1701"/>
      <c r="N4376" s="1701"/>
      <c r="O4376" s="1290"/>
      <c r="P4376" s="1333"/>
      <c r="Q4376" s="3391"/>
      <c r="R4376" s="4088"/>
      <c r="S4376" s="16"/>
      <c r="T4376" s="16"/>
      <c r="U4376" s="16"/>
      <c r="V4376" s="16"/>
    </row>
    <row r="4377" spans="1:22" ht="15" customHeight="1">
      <c r="A4377" s="19" t="s">
        <v>3764</v>
      </c>
      <c r="B4377" s="4325" t="s">
        <v>3838</v>
      </c>
      <c r="C4377" s="4101"/>
      <c r="D4377" s="4327"/>
      <c r="E4377" s="4329" t="s">
        <v>1517</v>
      </c>
      <c r="F4377" s="4336" t="s">
        <v>3839</v>
      </c>
      <c r="G4377" s="4331" t="s">
        <v>1568</v>
      </c>
      <c r="H4377" s="4331" t="s">
        <v>1574</v>
      </c>
      <c r="I4377" s="1572" t="s">
        <v>1559</v>
      </c>
      <c r="J4377" s="1294" t="s">
        <v>1560</v>
      </c>
      <c r="K4377" s="1294" t="s">
        <v>1569</v>
      </c>
      <c r="L4377" s="4333" t="s">
        <v>3765</v>
      </c>
      <c r="M4377" s="4335" t="s">
        <v>1571</v>
      </c>
      <c r="N4377" s="4323" t="s">
        <v>1776</v>
      </c>
      <c r="O4377" s="4098" t="s">
        <v>1563</v>
      </c>
      <c r="P4377" s="1336" t="s">
        <v>1562</v>
      </c>
      <c r="Q4377" s="3389"/>
      <c r="R4377" s="1699" t="s">
        <v>1327</v>
      </c>
      <c r="S4377" s="16"/>
      <c r="T4377" s="16"/>
      <c r="U4377" s="16"/>
      <c r="V4377" s="16"/>
    </row>
    <row r="4378" spans="1:22">
      <c r="A4378" s="1807" t="s">
        <v>3835</v>
      </c>
      <c r="B4378" s="4326"/>
      <c r="C4378" s="4102"/>
      <c r="D4378" s="4328"/>
      <c r="E4378" s="4330"/>
      <c r="F4378" s="4336"/>
      <c r="G4378" s="4332"/>
      <c r="H4378" s="4332"/>
      <c r="I4378" s="1345">
        <v>36.93</v>
      </c>
      <c r="J4378" s="1307">
        <v>7.0000000000000001E-3</v>
      </c>
      <c r="K4378" s="1307">
        <f>I4378*J4378</f>
        <v>0.25851000000000002</v>
      </c>
      <c r="L4378" s="4334"/>
      <c r="M4378" s="4335"/>
      <c r="N4378" s="4324"/>
      <c r="O4378" s="1298">
        <f>SUM(O4380:O4393)</f>
        <v>75.862000000000009</v>
      </c>
      <c r="P4378" s="1337">
        <f>O4378*K4378</f>
        <v>19.611085620000004</v>
      </c>
      <c r="Q4378" s="3390"/>
      <c r="R4378" s="1721">
        <f>SUM(P4380:P4393)</f>
        <v>19.611085620000001</v>
      </c>
      <c r="S4378" s="16"/>
      <c r="T4378" s="16"/>
      <c r="U4378" s="16"/>
      <c r="V4378" s="16"/>
    </row>
    <row r="4379" spans="1:22">
      <c r="A4379" s="16"/>
      <c r="B4379" s="551"/>
      <c r="C4379" s="18"/>
      <c r="D4379" s="1400"/>
      <c r="E4379" s="2121"/>
      <c r="F4379" s="1368" t="s">
        <v>1</v>
      </c>
      <c r="G4379" s="1417"/>
      <c r="H4379" s="1390"/>
      <c r="I4379" s="1554"/>
      <c r="J4379" s="1367"/>
      <c r="K4379" s="1367"/>
      <c r="L4379" s="1554"/>
      <c r="M4379" s="1369"/>
      <c r="N4379" s="1369"/>
      <c r="O4379" s="1369"/>
      <c r="P4379" s="1367"/>
      <c r="Q4379" s="3387"/>
      <c r="R4379" s="4107"/>
      <c r="S4379" s="16"/>
      <c r="T4379" s="16"/>
      <c r="U4379" s="16"/>
      <c r="V4379" s="16"/>
    </row>
    <row r="4380" spans="1:22">
      <c r="A4380" s="16"/>
      <c r="B4380" s="553"/>
      <c r="C4380" s="1042"/>
      <c r="D4380" s="1400"/>
      <c r="E4380" s="1856"/>
      <c r="F4380" s="1421"/>
      <c r="G4380" s="1399"/>
      <c r="H4380" s="1399"/>
      <c r="I4380" s="1760"/>
      <c r="J4380" s="198"/>
      <c r="K4380" s="1307"/>
      <c r="L4380" s="1335"/>
      <c r="M4380" s="1499"/>
      <c r="N4380" s="1701"/>
      <c r="O4380" s="1290"/>
      <c r="P4380" s="1332"/>
      <c r="Q4380" s="3391"/>
      <c r="R4380" s="4107"/>
      <c r="S4380" s="16"/>
      <c r="T4380" s="16"/>
      <c r="U4380" s="16"/>
      <c r="V4380" s="16"/>
    </row>
    <row r="4381" spans="1:22">
      <c r="A4381" s="16"/>
      <c r="B4381" s="553"/>
      <c r="C4381" s="1042"/>
      <c r="D4381" s="1400"/>
      <c r="E4381" s="1856"/>
      <c r="F4381" s="1421"/>
      <c r="G4381" s="1399"/>
      <c r="H4381" s="1399"/>
      <c r="I4381" s="1760"/>
      <c r="J4381" s="198"/>
      <c r="K4381" s="1307"/>
      <c r="L4381" s="1335"/>
      <c r="M4381" s="1499"/>
      <c r="N4381" s="1701"/>
      <c r="O4381" s="1290"/>
      <c r="P4381" s="1332"/>
      <c r="Q4381" s="3391"/>
      <c r="R4381" s="4107"/>
      <c r="S4381" s="16"/>
      <c r="T4381" s="16"/>
      <c r="U4381" s="16"/>
      <c r="V4381" s="16"/>
    </row>
    <row r="4382" spans="1:22">
      <c r="A4382" s="16"/>
      <c r="B4382" s="553"/>
      <c r="C4382" s="1042"/>
      <c r="D4382" s="1400"/>
      <c r="E4382" s="1856"/>
      <c r="F4382" s="1421"/>
      <c r="G4382" s="1399"/>
      <c r="H4382" s="1399"/>
      <c r="I4382" s="1760"/>
      <c r="J4382" s="198"/>
      <c r="K4382" s="1307"/>
      <c r="L4382" s="1335"/>
      <c r="M4382" s="1499"/>
      <c r="N4382" s="1701"/>
      <c r="O4382" s="1290"/>
      <c r="P4382" s="1332"/>
      <c r="Q4382" s="3391"/>
      <c r="R4382" s="4107"/>
      <c r="S4382" s="16"/>
      <c r="T4382" s="16"/>
      <c r="U4382" s="16"/>
      <c r="V4382" s="16"/>
    </row>
    <row r="4383" spans="1:22">
      <c r="A4383" s="16"/>
      <c r="B4383" s="553"/>
      <c r="C4383" s="1042"/>
      <c r="D4383" s="1400"/>
      <c r="E4383" s="1856"/>
      <c r="F4383" s="1421"/>
      <c r="G4383" s="1399"/>
      <c r="H4383" s="1399"/>
      <c r="I4383" s="1760"/>
      <c r="J4383" s="198"/>
      <c r="K4383" s="1307"/>
      <c r="L4383" s="1335"/>
      <c r="M4383" s="1499"/>
      <c r="N4383" s="1701"/>
      <c r="O4383" s="1290"/>
      <c r="P4383" s="1332"/>
      <c r="Q4383" s="3391"/>
      <c r="R4383" s="4107"/>
      <c r="S4383" s="16"/>
      <c r="T4383" s="16"/>
      <c r="U4383" s="16"/>
      <c r="V4383" s="16"/>
    </row>
    <row r="4384" spans="1:22">
      <c r="A4384" s="16"/>
      <c r="B4384" s="553"/>
      <c r="C4384" s="1042"/>
      <c r="D4384" s="1400"/>
      <c r="E4384" s="1856"/>
      <c r="F4384" s="1421"/>
      <c r="G4384" s="1399"/>
      <c r="H4384" s="1399"/>
      <c r="I4384" s="1760"/>
      <c r="J4384" s="198"/>
      <c r="K4384" s="1307"/>
      <c r="L4384" s="1335"/>
      <c r="M4384" s="1499"/>
      <c r="N4384" s="1701"/>
      <c r="O4384" s="1290"/>
      <c r="P4384" s="1332"/>
      <c r="Q4384" s="3391"/>
      <c r="R4384" s="4107"/>
      <c r="S4384" s="16"/>
      <c r="T4384" s="16"/>
      <c r="U4384" s="16"/>
      <c r="V4384" s="16"/>
    </row>
    <row r="4385" spans="1:22">
      <c r="A4385" s="16"/>
      <c r="B4385" s="553"/>
      <c r="C4385" s="1042"/>
      <c r="D4385" s="1400"/>
      <c r="E4385" s="1856"/>
      <c r="F4385" s="1421"/>
      <c r="G4385" s="1399"/>
      <c r="H4385" s="1399"/>
      <c r="I4385" s="1760"/>
      <c r="J4385" s="198"/>
      <c r="K4385" s="1307"/>
      <c r="L4385" s="1335"/>
      <c r="M4385" s="1499"/>
      <c r="N4385" s="1701"/>
      <c r="O4385" s="1290"/>
      <c r="P4385" s="1332"/>
      <c r="Q4385" s="3391"/>
      <c r="R4385" s="4107"/>
      <c r="S4385" s="16"/>
      <c r="T4385" s="16"/>
      <c r="U4385" s="16"/>
      <c r="V4385" s="16"/>
    </row>
    <row r="4386" spans="1:22">
      <c r="A4386" s="16"/>
      <c r="B4386" s="553"/>
      <c r="C4386" s="1042"/>
      <c r="D4386" s="1400"/>
      <c r="E4386" s="1856"/>
      <c r="F4386" s="1421"/>
      <c r="G4386" s="1452"/>
      <c r="H4386" s="1399"/>
      <c r="I4386" s="197"/>
      <c r="J4386" s="198"/>
      <c r="K4386" s="1307"/>
      <c r="L4386" s="1335"/>
      <c r="M4386" s="1499"/>
      <c r="N4386" s="1701"/>
      <c r="O4386" s="1290"/>
      <c r="P4386" s="1332"/>
      <c r="Q4386" s="3391"/>
      <c r="R4386" s="4107"/>
      <c r="S4386" s="16"/>
      <c r="T4386" s="16"/>
      <c r="U4386" s="16"/>
      <c r="V4386" s="16"/>
    </row>
    <row r="4387" spans="1:22">
      <c r="A4387" s="16"/>
      <c r="B4387" s="553"/>
      <c r="C4387" s="1042"/>
      <c r="D4387" s="1410"/>
      <c r="E4387" s="1858"/>
      <c r="F4387" s="1360" t="s">
        <v>2</v>
      </c>
      <c r="G4387" s="1360"/>
      <c r="H4387" s="1362"/>
      <c r="I4387" s="1380"/>
      <c r="J4387" s="1381"/>
      <c r="K4387" s="1359"/>
      <c r="L4387" s="1458"/>
      <c r="M4387" s="1502"/>
      <c r="N4387" s="1502"/>
      <c r="O4387" s="1362"/>
      <c r="P4387" s="1359"/>
      <c r="Q4387" s="3387"/>
      <c r="R4387" s="4107"/>
      <c r="S4387" s="16"/>
      <c r="T4387" s="16"/>
      <c r="U4387" s="16"/>
      <c r="V4387" s="16"/>
    </row>
    <row r="4388" spans="1:22">
      <c r="A4388" s="16"/>
      <c r="B4388" s="553"/>
      <c r="C4388" s="1042"/>
      <c r="D4388" s="1623" t="s">
        <v>1067</v>
      </c>
      <c r="E4388" s="2158" t="s">
        <v>1508</v>
      </c>
      <c r="F4388" s="1801" t="s">
        <v>1512</v>
      </c>
      <c r="G4388" s="1359">
        <v>4.1500000000000004</v>
      </c>
      <c r="H4388" s="1803"/>
      <c r="I4388" s="198"/>
      <c r="J4388" s="6"/>
      <c r="K4388" s="1307">
        <f>G4388*K4378</f>
        <v>1.0728165000000001</v>
      </c>
      <c r="L4388" s="1335">
        <f>K4388*$K$4325</f>
        <v>0</v>
      </c>
      <c r="M4388" s="1499">
        <v>18.28</v>
      </c>
      <c r="N4388" s="1701"/>
      <c r="O4388" s="1290">
        <f>(G4388*M4388)</f>
        <v>75.862000000000009</v>
      </c>
      <c r="P4388" s="1332">
        <f>M4388*K4388</f>
        <v>19.611085620000001</v>
      </c>
      <c r="Q4388" s="3391"/>
      <c r="R4388" s="4107"/>
      <c r="S4388" s="16"/>
      <c r="T4388" s="16"/>
      <c r="U4388" s="16"/>
      <c r="V4388" s="16"/>
    </row>
    <row r="4389" spans="1:22">
      <c r="A4389" s="16"/>
      <c r="B4389" s="553"/>
      <c r="C4389" s="1042"/>
      <c r="D4389" s="1623"/>
      <c r="E4389" s="2158"/>
      <c r="F4389" s="1801"/>
      <c r="G4389" s="1359"/>
      <c r="H4389" s="1803"/>
      <c r="I4389" s="198"/>
      <c r="J4389" s="6"/>
      <c r="K4389" s="1307"/>
      <c r="L4389" s="1335"/>
      <c r="M4389" s="1499"/>
      <c r="N4389" s="1701"/>
      <c r="O4389" s="1290"/>
      <c r="P4389" s="1332"/>
      <c r="Q4389" s="3391"/>
      <c r="R4389" s="4107"/>
      <c r="S4389" s="16"/>
      <c r="T4389" s="16"/>
      <c r="U4389" s="16"/>
      <c r="V4389" s="16"/>
    </row>
    <row r="4390" spans="1:22">
      <c r="A4390" s="16"/>
      <c r="B4390" s="553"/>
      <c r="C4390" s="1042"/>
      <c r="D4390" s="1411"/>
      <c r="E4390" s="2123"/>
      <c r="F4390" s="1802" t="s">
        <v>3</v>
      </c>
      <c r="G4390" s="1475"/>
      <c r="H4390" s="1505"/>
      <c r="I4390" s="1382"/>
      <c r="J4390" s="1383"/>
      <c r="K4390" s="1373"/>
      <c r="L4390" s="1413"/>
      <c r="M4390" s="1505"/>
      <c r="N4390" s="1505"/>
      <c r="O4390" s="1376"/>
      <c r="P4390" s="1413"/>
      <c r="Q4390" s="3387"/>
      <c r="R4390" s="4107"/>
      <c r="S4390" s="16"/>
      <c r="T4390" s="16"/>
      <c r="U4390" s="16"/>
      <c r="V4390" s="16"/>
    </row>
    <row r="4391" spans="1:22">
      <c r="A4391" s="16"/>
      <c r="B4391" s="553"/>
      <c r="C4391" s="1042"/>
      <c r="D4391" s="1411"/>
      <c r="E4391" s="2123"/>
      <c r="F4391" s="1475"/>
      <c r="G4391" s="1475"/>
      <c r="H4391" s="1376"/>
      <c r="I4391" s="198"/>
      <c r="J4391" s="6"/>
      <c r="K4391" s="1307"/>
      <c r="L4391" s="1335"/>
      <c r="M4391" s="1499"/>
      <c r="N4391" s="1701"/>
      <c r="O4391" s="1290"/>
      <c r="P4391" s="1332"/>
      <c r="Q4391" s="3391"/>
      <c r="R4391" s="4107"/>
      <c r="S4391" s="16"/>
      <c r="T4391" s="16"/>
      <c r="U4391" s="16"/>
      <c r="V4391" s="16"/>
    </row>
    <row r="4392" spans="1:22">
      <c r="A4392" s="16"/>
      <c r="B4392" s="553"/>
      <c r="C4392" s="1042"/>
      <c r="D4392" s="1412"/>
      <c r="E4392" s="2124"/>
      <c r="F4392" s="1377"/>
      <c r="G4392" s="1377"/>
      <c r="H4392" s="1597"/>
      <c r="I4392" s="198"/>
      <c r="J4392" s="6"/>
      <c r="K4392" s="1306"/>
      <c r="L4392" s="1646"/>
      <c r="M4392" s="1302"/>
      <c r="N4392" s="1302"/>
      <c r="O4392" s="1291"/>
      <c r="P4392" s="1332"/>
      <c r="Q4392" s="3391"/>
      <c r="R4392" s="2337"/>
      <c r="S4392" s="16"/>
      <c r="T4392" s="16"/>
      <c r="U4392" s="16"/>
      <c r="V4392" s="16"/>
    </row>
    <row r="4393" spans="1:22">
      <c r="A4393" s="16"/>
      <c r="B4393" s="554"/>
      <c r="C4393" s="223"/>
      <c r="D4393" s="4113"/>
      <c r="E4393" s="2132"/>
      <c r="F4393" s="1804"/>
      <c r="G4393" s="1804"/>
      <c r="H4393" s="1805"/>
      <c r="I4393" s="197"/>
      <c r="J4393" s="1806"/>
      <c r="K4393" s="1307"/>
      <c r="L4393" s="1335"/>
      <c r="M4393" s="1701"/>
      <c r="N4393" s="1701"/>
      <c r="O4393" s="1290"/>
      <c r="P4393" s="1333"/>
      <c r="Q4393" s="3391"/>
      <c r="R4393" s="4107"/>
      <c r="S4393" s="16"/>
      <c r="T4393" s="16"/>
      <c r="U4393" s="16"/>
      <c r="V4393" s="16"/>
    </row>
    <row r="4394" spans="1:22" ht="15" customHeight="1">
      <c r="A4394" s="19" t="s">
        <v>3764</v>
      </c>
      <c r="B4394" s="4325" t="s">
        <v>3772</v>
      </c>
      <c r="C4394" s="4101"/>
      <c r="D4394" s="4327"/>
      <c r="E4394" s="4329" t="s">
        <v>1507</v>
      </c>
      <c r="F4394" s="4372" t="s">
        <v>3773</v>
      </c>
      <c r="G4394" s="4331" t="s">
        <v>1568</v>
      </c>
      <c r="H4394" s="4331" t="s">
        <v>1574</v>
      </c>
      <c r="I4394" s="1572" t="s">
        <v>1559</v>
      </c>
      <c r="J4394" s="1294" t="s">
        <v>1560</v>
      </c>
      <c r="K4394" s="1294" t="s">
        <v>1569</v>
      </c>
      <c r="L4394" s="4333" t="s">
        <v>3765</v>
      </c>
      <c r="M4394" s="4323" t="s">
        <v>1571</v>
      </c>
      <c r="N4394" s="4323" t="s">
        <v>1776</v>
      </c>
      <c r="O4394" s="4098" t="s">
        <v>1563</v>
      </c>
      <c r="P4394" s="1336" t="s">
        <v>1562</v>
      </c>
      <c r="Q4394" s="3389"/>
      <c r="R4394" s="1699" t="s">
        <v>1327</v>
      </c>
      <c r="S4394" s="16"/>
      <c r="T4394" s="16"/>
      <c r="U4394" s="16"/>
      <c r="V4394" s="16"/>
    </row>
    <row r="4395" spans="1:22">
      <c r="A4395" s="1807" t="s">
        <v>3835</v>
      </c>
      <c r="B4395" s="4326"/>
      <c r="C4395" s="4102"/>
      <c r="D4395" s="4328"/>
      <c r="E4395" s="4330"/>
      <c r="F4395" s="4363"/>
      <c r="G4395" s="4332"/>
      <c r="H4395" s="4332"/>
      <c r="I4395" s="1345">
        <v>151.19999999999999</v>
      </c>
      <c r="J4395" s="1307">
        <v>7.0000000000000001E-3</v>
      </c>
      <c r="K4395" s="1666">
        <f>I4395*J4395</f>
        <v>1.0584</v>
      </c>
      <c r="L4395" s="4334"/>
      <c r="M4395" s="4324"/>
      <c r="N4395" s="4324"/>
      <c r="O4395" s="1298">
        <f>O4397+O4398+O4408+O4407</f>
        <v>29.64400895</v>
      </c>
      <c r="P4395" s="1337">
        <f>O4395*K4395</f>
        <v>31.37521907268</v>
      </c>
      <c r="Q4395" s="3390"/>
      <c r="R4395" s="1721">
        <f>P4397+P4398+P4407+P4408</f>
        <v>31.375219072679997</v>
      </c>
      <c r="S4395" s="16"/>
      <c r="T4395" s="16"/>
      <c r="U4395" s="16"/>
      <c r="V4395" s="16"/>
    </row>
    <row r="4396" spans="1:22">
      <c r="A4396" s="16"/>
      <c r="B4396" s="3928"/>
      <c r="C4396" s="3952"/>
      <c r="D4396" s="3912"/>
      <c r="E4396" s="2121"/>
      <c r="F4396" s="1389" t="s">
        <v>1</v>
      </c>
      <c r="G4396" s="1389"/>
      <c r="H4396" s="1369"/>
      <c r="I4396" s="2088"/>
      <c r="J4396" s="1369"/>
      <c r="K4396" s="1391"/>
      <c r="L4396" s="1559"/>
      <c r="M4396" s="1369"/>
      <c r="N4396" s="1369"/>
      <c r="O4396" s="1369"/>
      <c r="P4396" s="1392"/>
      <c r="Q4396" s="3395"/>
      <c r="R4396" s="2344"/>
      <c r="S4396" s="16"/>
      <c r="T4396" s="16"/>
      <c r="U4396" s="16"/>
      <c r="V4396" s="16"/>
    </row>
    <row r="4397" spans="1:22">
      <c r="A4397" s="16"/>
      <c r="B4397" s="553"/>
      <c r="C4397" s="1042"/>
      <c r="D4397" s="3912" t="s">
        <v>1124</v>
      </c>
      <c r="E4397" s="2121" t="s">
        <v>1521</v>
      </c>
      <c r="F4397" s="1367" t="s">
        <v>3774</v>
      </c>
      <c r="G4397" s="1453">
        <v>8.8999999999999996E-2</v>
      </c>
      <c r="H4397" s="1369"/>
      <c r="I4397" s="1299"/>
      <c r="J4397" s="1300"/>
      <c r="K4397" s="1350">
        <f>G4397*K4395</f>
        <v>9.4197599999999992E-2</v>
      </c>
      <c r="L4397" s="1335">
        <f>K4397*$K$4325</f>
        <v>0</v>
      </c>
      <c r="M4397" s="1499">
        <v>83.82</v>
      </c>
      <c r="N4397" s="1724"/>
      <c r="O4397" s="1290">
        <f t="shared" ref="O4397" si="523">G4397*M4397</f>
        <v>7.4599799999999989</v>
      </c>
      <c r="P4397" s="1332">
        <f t="shared" ref="P4397" si="524">M4397*K4397</f>
        <v>7.8956428319999992</v>
      </c>
      <c r="Q4397" s="3391"/>
      <c r="S4397" s="16"/>
      <c r="T4397" s="16"/>
      <c r="U4397" s="16"/>
      <c r="V4397" s="16"/>
    </row>
    <row r="4398" spans="1:22">
      <c r="A4398" s="16"/>
      <c r="B4398" s="22"/>
      <c r="C4398" s="1658" t="s">
        <v>1122</v>
      </c>
      <c r="D4398" s="1311"/>
      <c r="E4398" s="1855" t="s">
        <v>1517</v>
      </c>
      <c r="F4398" s="1647" t="s">
        <v>1681</v>
      </c>
      <c r="G4398" s="1688"/>
      <c r="H4398" s="4006">
        <v>4.4999999999999998E-2</v>
      </c>
      <c r="I4398" s="1444"/>
      <c r="J4398" s="1388"/>
      <c r="K4398" s="1510"/>
      <c r="L4398" s="1445"/>
      <c r="M4398" s="1500"/>
      <c r="N4398" s="1501">
        <f>SUM(N4399:N4403)</f>
        <v>51.667310000000001</v>
      </c>
      <c r="O4398" s="1501">
        <f>SUM(O4399:O4403)</f>
        <v>2.3250289500000001</v>
      </c>
      <c r="P4398" s="1501">
        <f>SUM(P4399:P4403)</f>
        <v>2.4608106406800001</v>
      </c>
      <c r="Q4398" s="3391"/>
      <c r="R4398" s="1296"/>
      <c r="S4398" s="16"/>
      <c r="T4398" s="16"/>
      <c r="U4398" s="16"/>
      <c r="V4398" s="16"/>
    </row>
    <row r="4399" spans="1:22">
      <c r="A4399" s="16"/>
      <c r="B4399" s="22"/>
      <c r="C4399" s="1042"/>
      <c r="D4399" s="1451" t="s">
        <v>1069</v>
      </c>
      <c r="E4399" s="1856" t="s">
        <v>1517</v>
      </c>
      <c r="F4399" s="1421" t="s">
        <v>1578</v>
      </c>
      <c r="G4399" s="1452">
        <v>0.26300000000000001</v>
      </c>
      <c r="H4399" s="1453">
        <f>H4398*G4399</f>
        <v>1.1835E-2</v>
      </c>
      <c r="I4399" s="1286"/>
      <c r="J4399" s="198"/>
      <c r="K4399" s="1307">
        <f>H4399*K4395</f>
        <v>1.2526163999999999E-2</v>
      </c>
      <c r="L4399" s="1335">
        <f t="shared" ref="L4399:L4403" si="525">K4399*$K$4325</f>
        <v>0</v>
      </c>
      <c r="M4399" s="1302">
        <v>0.55000000000000004</v>
      </c>
      <c r="N4399" s="1724">
        <f>G4399*M4399</f>
        <v>0.14465000000000003</v>
      </c>
      <c r="O4399" s="1726">
        <f>H4399*M4399</f>
        <v>6.5092500000000003E-3</v>
      </c>
      <c r="P4399" s="1727">
        <f>M4399*K4399</f>
        <v>6.8893902000000005E-3</v>
      </c>
      <c r="Q4399" s="3396"/>
      <c r="R4399" s="1296"/>
      <c r="S4399" s="16"/>
      <c r="T4399" s="16"/>
      <c r="U4399" s="16"/>
      <c r="V4399" s="16"/>
    </row>
    <row r="4400" spans="1:22">
      <c r="A4400" s="16"/>
      <c r="B4400" s="22"/>
      <c r="C4400" s="1320"/>
      <c r="D4400" s="1367" t="s">
        <v>1394</v>
      </c>
      <c r="E4400" s="1856" t="s">
        <v>1577</v>
      </c>
      <c r="F4400" s="1421" t="s">
        <v>1579</v>
      </c>
      <c r="G4400" s="1452">
        <v>0.25800000000000001</v>
      </c>
      <c r="H4400" s="1453">
        <f>H4398*G4400</f>
        <v>1.1610000000000001E-2</v>
      </c>
      <c r="I4400" s="1286"/>
      <c r="J4400" s="198"/>
      <c r="K4400" s="1307">
        <f>H4400*K4395</f>
        <v>1.2288024E-2</v>
      </c>
      <c r="L4400" s="1335">
        <f t="shared" si="525"/>
        <v>0</v>
      </c>
      <c r="M4400" s="1302">
        <v>92.54</v>
      </c>
      <c r="N4400" s="1724">
        <f>G4400*M4400</f>
        <v>23.875320000000002</v>
      </c>
      <c r="O4400" s="1719">
        <f>H4400*M4400</f>
        <v>1.0743894</v>
      </c>
      <c r="P4400" s="1720">
        <f>M4400*K4400</f>
        <v>1.13713374096</v>
      </c>
      <c r="Q4400" s="3396"/>
      <c r="R4400" s="1296"/>
      <c r="S4400" s="16"/>
      <c r="T4400" s="16"/>
      <c r="U4400" s="16"/>
      <c r="V4400" s="16"/>
    </row>
    <row r="4401" spans="1:22">
      <c r="A4401" s="16"/>
      <c r="B4401" s="22"/>
      <c r="C4401" s="1320"/>
      <c r="D4401" s="1603" t="s">
        <v>1682</v>
      </c>
      <c r="E4401" s="1856" t="s">
        <v>1683</v>
      </c>
      <c r="F4401" s="1421" t="s">
        <v>1684</v>
      </c>
      <c r="G4401" s="1452">
        <v>1.288</v>
      </c>
      <c r="H4401" s="1453">
        <f>H4398*G4401</f>
        <v>5.7959999999999998E-2</v>
      </c>
      <c r="I4401" s="1286"/>
      <c r="J4401" s="198"/>
      <c r="K4401" s="1307">
        <f>H4401*K4395</f>
        <v>6.1344863999999999E-2</v>
      </c>
      <c r="L4401" s="1335">
        <f t="shared" si="525"/>
        <v>0</v>
      </c>
      <c r="M4401" s="1302">
        <v>1.26</v>
      </c>
      <c r="N4401" s="1724">
        <f>G4401*M4401</f>
        <v>1.6228800000000001</v>
      </c>
      <c r="O4401" s="1719">
        <f>H4401*M4401</f>
        <v>7.30296E-2</v>
      </c>
      <c r="P4401" s="1720">
        <f>M4401*K4401</f>
        <v>7.7294528639999999E-2</v>
      </c>
      <c r="Q4401" s="3396"/>
      <c r="R4401" s="1296"/>
      <c r="S4401" s="16"/>
      <c r="T4401" s="16"/>
      <c r="U4401" s="16"/>
      <c r="V4401" s="16"/>
    </row>
    <row r="4402" spans="1:22">
      <c r="A4402" s="16"/>
      <c r="B4402" s="22"/>
      <c r="C4402" s="1320"/>
      <c r="D4402" s="1603" t="s">
        <v>1576</v>
      </c>
      <c r="E4402" s="1856" t="s">
        <v>1517</v>
      </c>
      <c r="F4402" s="1421" t="s">
        <v>1580</v>
      </c>
      <c r="G4402" s="1452">
        <v>1.1020000000000001</v>
      </c>
      <c r="H4402" s="1453">
        <f>H4398*G4402</f>
        <v>4.9590000000000002E-2</v>
      </c>
      <c r="I4402" s="1286"/>
      <c r="J4402" s="198"/>
      <c r="K4402" s="1307">
        <f>H4402*K4395</f>
        <v>5.2486056000000003E-2</v>
      </c>
      <c r="L4402" s="1335">
        <f t="shared" si="525"/>
        <v>0</v>
      </c>
      <c r="M4402" s="1302">
        <v>6.53</v>
      </c>
      <c r="N4402" s="1724">
        <f>G4402*M4402</f>
        <v>7.196060000000001</v>
      </c>
      <c r="O4402" s="1719">
        <f>H4402*M4402</f>
        <v>0.32382270000000002</v>
      </c>
      <c r="P4402" s="1720">
        <f>M4402*K4402</f>
        <v>0.34273394568000004</v>
      </c>
      <c r="Q4402" s="3396"/>
      <c r="R4402" s="1296"/>
      <c r="S4402" s="16"/>
      <c r="T4402" s="16"/>
      <c r="U4402" s="16"/>
      <c r="V4402" s="16"/>
    </row>
    <row r="4403" spans="1:22">
      <c r="A4403" s="16"/>
      <c r="B4403" s="22"/>
      <c r="C4403" s="1320"/>
      <c r="D4403" s="1443" t="s">
        <v>1067</v>
      </c>
      <c r="E4403" s="1857" t="s">
        <v>1508</v>
      </c>
      <c r="F4403" s="1430" t="s">
        <v>1512</v>
      </c>
      <c r="G4403" s="1431">
        <v>1.03</v>
      </c>
      <c r="H4403" s="1431">
        <f>H4398*G4403</f>
        <v>4.6350000000000002E-2</v>
      </c>
      <c r="I4403" s="1286"/>
      <c r="J4403" s="198"/>
      <c r="K4403" s="1307">
        <f>H4403*K4395</f>
        <v>4.9056840000000004E-2</v>
      </c>
      <c r="L4403" s="1335">
        <f t="shared" si="525"/>
        <v>0</v>
      </c>
      <c r="M4403" s="1302">
        <v>18.28</v>
      </c>
      <c r="N4403" s="1724">
        <f>G4403*M4403</f>
        <v>18.828400000000002</v>
      </c>
      <c r="O4403" s="1719">
        <f>H4403*M4403</f>
        <v>0.84727800000000009</v>
      </c>
      <c r="P4403" s="1720">
        <f>M4403*K4403</f>
        <v>0.89675903520000011</v>
      </c>
      <c r="Q4403" s="3396"/>
      <c r="R4403" s="1296"/>
      <c r="S4403" s="16"/>
      <c r="T4403" s="16"/>
      <c r="U4403" s="16"/>
      <c r="V4403" s="16"/>
    </row>
    <row r="4404" spans="1:22">
      <c r="A4404" s="16"/>
      <c r="B4404" s="553"/>
      <c r="C4404" s="1042"/>
      <c r="D4404" s="3912"/>
      <c r="E4404" s="2121"/>
      <c r="F4404" s="1367"/>
      <c r="G4404" s="1554"/>
      <c r="H4404" s="1369"/>
      <c r="I4404" s="1299"/>
      <c r="J4404" s="1300"/>
      <c r="K4404" s="1350"/>
      <c r="L4404" s="1335"/>
      <c r="M4404" s="1499"/>
      <c r="N4404" s="1724"/>
      <c r="O4404" s="1290"/>
      <c r="P4404" s="1332"/>
      <c r="Q4404" s="3391"/>
      <c r="S4404" s="16"/>
      <c r="T4404" s="16"/>
      <c r="U4404" s="16"/>
      <c r="V4404" s="16"/>
    </row>
    <row r="4405" spans="1:22">
      <c r="A4405" s="16"/>
      <c r="B4405" s="1599"/>
      <c r="C4405" s="1320"/>
      <c r="D4405" s="4001"/>
      <c r="E4405" s="2130"/>
      <c r="F4405" s="2205"/>
      <c r="G4405" s="2206"/>
      <c r="H4405" s="1399"/>
      <c r="I4405" s="198"/>
      <c r="J4405" s="198"/>
      <c r="K4405" s="1307"/>
      <c r="L4405" s="1335"/>
      <c r="M4405" s="1499"/>
      <c r="N4405" s="1701"/>
      <c r="O4405" s="1291"/>
      <c r="P4405" s="1332"/>
      <c r="Q4405" s="3391"/>
      <c r="R4405" s="4107"/>
      <c r="S4405" s="16"/>
      <c r="T4405" s="16"/>
      <c r="U4405" s="16"/>
      <c r="V4405" s="16"/>
    </row>
    <row r="4406" spans="1:22">
      <c r="A4406" s="16"/>
      <c r="B4406" s="1599"/>
      <c r="C4406" s="1042"/>
      <c r="D4406" s="3982"/>
      <c r="E4406" s="1858"/>
      <c r="F4406" s="1360" t="s">
        <v>2</v>
      </c>
      <c r="G4406" s="1360"/>
      <c r="H4406" s="1362"/>
      <c r="I4406" s="1380"/>
      <c r="J4406" s="1381"/>
      <c r="K4406" s="1381"/>
      <c r="L4406" s="1458"/>
      <c r="M4406" s="1362"/>
      <c r="N4406" s="1362"/>
      <c r="O4406" s="1362"/>
      <c r="P4406" s="1359"/>
      <c r="Q4406" s="3403"/>
      <c r="R4406" s="1292"/>
      <c r="S4406" s="16"/>
      <c r="T4406" s="16"/>
      <c r="U4406" s="16"/>
      <c r="V4406" s="16"/>
    </row>
    <row r="4407" spans="1:22">
      <c r="A4407" s="16"/>
      <c r="B4407" s="553"/>
      <c r="C4407" s="4002"/>
      <c r="D4407" s="3949" t="s">
        <v>1121</v>
      </c>
      <c r="E4407" s="3998" t="s">
        <v>1508</v>
      </c>
      <c r="F4407" s="3999" t="s">
        <v>1663</v>
      </c>
      <c r="G4407" s="4000">
        <v>0.7</v>
      </c>
      <c r="H4407" s="1408"/>
      <c r="I4407" s="1299"/>
      <c r="J4407" s="1300"/>
      <c r="K4407" s="1350">
        <f>G4407*K4395</f>
        <v>0.74087999999999998</v>
      </c>
      <c r="L4407" s="1335">
        <f t="shared" ref="L4407:L4408" si="526">K4407*$K$4325</f>
        <v>0</v>
      </c>
      <c r="M4407" s="1499">
        <v>19.23</v>
      </c>
      <c r="N4407" s="1724"/>
      <c r="O4407" s="1290">
        <f>G4407*M4407</f>
        <v>13.461</v>
      </c>
      <c r="P4407" s="1332">
        <f t="shared" ref="P4407:P4408" si="527">M4407*K4407</f>
        <v>14.2471224</v>
      </c>
      <c r="Q4407" s="3391"/>
      <c r="R4407" s="2338"/>
      <c r="S4407" s="16"/>
      <c r="T4407" s="16"/>
      <c r="U4407" s="16"/>
      <c r="V4407" s="16"/>
    </row>
    <row r="4408" spans="1:22">
      <c r="A4408" s="16"/>
      <c r="B4408" s="553"/>
      <c r="C4408" s="1042"/>
      <c r="D4408" s="3951" t="s">
        <v>1067</v>
      </c>
      <c r="E4408" s="1857" t="s">
        <v>1508</v>
      </c>
      <c r="F4408" s="1430" t="s">
        <v>1512</v>
      </c>
      <c r="G4408" s="1381">
        <v>0.35</v>
      </c>
      <c r="H4408" s="1408"/>
      <c r="I4408" s="1340"/>
      <c r="J4408" s="198"/>
      <c r="K4408" s="1350">
        <f>G4408*K4395</f>
        <v>0.37043999999999999</v>
      </c>
      <c r="L4408" s="1335">
        <f t="shared" si="526"/>
        <v>0</v>
      </c>
      <c r="M4408" s="1302">
        <v>18.28</v>
      </c>
      <c r="N4408" s="1724"/>
      <c r="O4408" s="1290">
        <f t="shared" ref="O4408" si="528">G4408*M4408</f>
        <v>6.3979999999999997</v>
      </c>
      <c r="P4408" s="1332">
        <f t="shared" si="527"/>
        <v>6.7716432000000006</v>
      </c>
      <c r="Q4408" s="3396"/>
      <c r="R4408" s="2338"/>
      <c r="S4408" s="16"/>
      <c r="T4408" s="16"/>
      <c r="U4408" s="16"/>
      <c r="V4408" s="16"/>
    </row>
    <row r="4409" spans="1:22">
      <c r="A4409" s="16"/>
      <c r="B4409" s="553"/>
      <c r="C4409" s="1042"/>
      <c r="D4409" s="3951"/>
      <c r="E4409" s="1857"/>
      <c r="F4409" s="1430"/>
      <c r="G4409" s="1381"/>
      <c r="H4409" s="1408"/>
      <c r="I4409" s="198"/>
      <c r="J4409" s="198"/>
      <c r="K4409" s="1307"/>
      <c r="L4409" s="1335"/>
      <c r="M4409" s="1302"/>
      <c r="N4409" s="1724"/>
      <c r="O4409" s="1719"/>
      <c r="P4409" s="1727"/>
      <c r="Q4409" s="3396"/>
      <c r="R4409" s="2338"/>
      <c r="S4409" s="16"/>
      <c r="T4409" s="16"/>
      <c r="U4409" s="16"/>
      <c r="V4409" s="16"/>
    </row>
    <row r="4410" spans="1:22">
      <c r="A4410" s="16"/>
      <c r="B4410" s="553"/>
      <c r="C4410" s="1042"/>
      <c r="D4410" s="3951"/>
      <c r="E4410" s="1857"/>
      <c r="F4410" s="1402"/>
      <c r="G4410" s="2105"/>
      <c r="H4410" s="1408"/>
      <c r="I4410" s="197"/>
      <c r="J4410" s="198"/>
      <c r="K4410" s="1307"/>
      <c r="L4410" s="1335"/>
      <c r="M4410" s="1302"/>
      <c r="N4410" s="1724"/>
      <c r="O4410" s="1719"/>
      <c r="P4410" s="1727"/>
      <c r="Q4410" s="3396"/>
      <c r="R4410" s="2338"/>
      <c r="S4410" s="16"/>
      <c r="T4410" s="16"/>
      <c r="U4410" s="16"/>
      <c r="V4410" s="16"/>
    </row>
    <row r="4411" spans="1:22">
      <c r="A4411" s="16"/>
      <c r="B4411" s="1599"/>
      <c r="C4411" s="1320"/>
      <c r="D4411" s="3947"/>
      <c r="E4411" s="2123"/>
      <c r="F4411" s="1374" t="s">
        <v>3</v>
      </c>
      <c r="G4411" s="2199"/>
      <c r="H4411" s="1376"/>
      <c r="I4411" s="1382"/>
      <c r="J4411" s="1383"/>
      <c r="K4411" s="1383"/>
      <c r="L4411" s="1413"/>
      <c r="M4411" s="1376"/>
      <c r="N4411" s="1376"/>
      <c r="O4411" s="1376"/>
      <c r="P4411" s="1373"/>
      <c r="Q4411" s="3403"/>
      <c r="R4411" s="2356"/>
      <c r="S4411" s="16"/>
      <c r="T4411" s="16"/>
      <c r="U4411" s="16"/>
      <c r="V4411" s="16"/>
    </row>
    <row r="4412" spans="1:22">
      <c r="A4412" s="16"/>
      <c r="B4412" s="2053"/>
      <c r="C4412" s="1321"/>
      <c r="D4412" s="3997"/>
      <c r="E4412" s="2304"/>
      <c r="F4412" s="2202"/>
      <c r="G4412" s="2203"/>
      <c r="H4412" s="1379"/>
      <c r="I4412" s="1299"/>
      <c r="J4412" s="1300"/>
      <c r="K4412" s="1307"/>
      <c r="L4412" s="1335"/>
      <c r="M4412" s="1302"/>
      <c r="N4412" s="1700"/>
      <c r="O4412" s="1290"/>
      <c r="P4412" s="1332"/>
      <c r="Q4412" s="3402"/>
      <c r="R4412" s="2053"/>
      <c r="S4412" s="16"/>
      <c r="T4412" s="16"/>
      <c r="U4412" s="16"/>
      <c r="V4412" s="16"/>
    </row>
    <row r="4413" spans="1:22">
      <c r="A4413" s="16"/>
      <c r="B4413" s="2053"/>
      <c r="C4413" s="1321"/>
      <c r="D4413" s="3946"/>
      <c r="E4413" s="2124"/>
      <c r="F4413" s="1378"/>
      <c r="G4413" s="2200"/>
      <c r="H4413" s="1379"/>
      <c r="I4413" s="1299"/>
      <c r="J4413" s="1300"/>
      <c r="K4413" s="1307"/>
      <c r="L4413" s="1335"/>
      <c r="M4413" s="1302"/>
      <c r="N4413" s="1700"/>
      <c r="O4413" s="1290"/>
      <c r="P4413" s="1332"/>
      <c r="Q4413" s="3402"/>
      <c r="R4413" s="2053"/>
      <c r="S4413" s="16"/>
      <c r="T4413" s="16"/>
      <c r="U4413" s="16"/>
      <c r="V4413" s="16"/>
    </row>
    <row r="4414" spans="1:22">
      <c r="A4414" s="16"/>
      <c r="B4414" s="1599"/>
      <c r="C4414" s="1042"/>
      <c r="D4414" s="3890"/>
      <c r="E4414" s="2161"/>
      <c r="F4414" s="1678"/>
      <c r="G4414" s="2201"/>
      <c r="H4414" s="1376"/>
      <c r="I4414" s="1299"/>
      <c r="J4414" s="1300"/>
      <c r="K4414" s="1307"/>
      <c r="L4414" s="1335"/>
      <c r="M4414" s="1302"/>
      <c r="N4414" s="1700"/>
      <c r="O4414" s="1290"/>
      <c r="P4414" s="1332"/>
      <c r="Q4414" s="3402"/>
      <c r="R4414" s="2356"/>
      <c r="S4414" s="16"/>
      <c r="T4414" s="16"/>
      <c r="U4414" s="16"/>
      <c r="V4414" s="16"/>
    </row>
    <row r="4415" spans="1:22">
      <c r="A4415" s="19" t="s">
        <v>3764</v>
      </c>
      <c r="B4415" s="4325" t="s">
        <v>1659</v>
      </c>
      <c r="C4415" s="4101"/>
      <c r="D4415" s="4327"/>
      <c r="E4415" s="4337" t="s">
        <v>1507</v>
      </c>
      <c r="F4415" s="4338" t="s">
        <v>1685</v>
      </c>
      <c r="G4415" s="4331" t="s">
        <v>1568</v>
      </c>
      <c r="H4415" s="4331" t="s">
        <v>1574</v>
      </c>
      <c r="I4415" s="1572" t="s">
        <v>1559</v>
      </c>
      <c r="J4415" s="1294" t="s">
        <v>1560</v>
      </c>
      <c r="K4415" s="1294" t="s">
        <v>1561</v>
      </c>
      <c r="L4415" s="4333" t="s">
        <v>3765</v>
      </c>
      <c r="M4415" s="4335" t="s">
        <v>1571</v>
      </c>
      <c r="N4415" s="4323" t="s">
        <v>1776</v>
      </c>
      <c r="O4415" s="4098" t="s">
        <v>1563</v>
      </c>
      <c r="P4415" s="1336" t="s">
        <v>1562</v>
      </c>
      <c r="Q4415" s="3389"/>
      <c r="R4415" s="1699" t="s">
        <v>1327</v>
      </c>
      <c r="S4415" s="16"/>
      <c r="T4415" s="16"/>
      <c r="U4415" s="16"/>
      <c r="V4415" s="16"/>
    </row>
    <row r="4416" spans="1:22">
      <c r="A4416" s="1807" t="s">
        <v>3835</v>
      </c>
      <c r="B4416" s="4326"/>
      <c r="C4416" s="4102"/>
      <c r="D4416" s="4328"/>
      <c r="E4416" s="4337"/>
      <c r="F4416" s="4338"/>
      <c r="G4416" s="4332"/>
      <c r="H4416" s="4332"/>
      <c r="I4416" s="1345">
        <v>61.31</v>
      </c>
      <c r="J4416" s="1307">
        <v>7.0000000000000001E-3</v>
      </c>
      <c r="K4416" s="1297">
        <f>I4416*J4416</f>
        <v>0.42917000000000005</v>
      </c>
      <c r="L4416" s="4334"/>
      <c r="M4416" s="4335"/>
      <c r="N4416" s="4324"/>
      <c r="O4416" s="1298">
        <f>O4418+O4426</f>
        <v>13.241683030000001</v>
      </c>
      <c r="P4416" s="1337">
        <f>K4416*O4416</f>
        <v>5.6829331059851009</v>
      </c>
      <c r="Q4416" s="3390"/>
      <c r="R4416" s="1721">
        <f>P4418+P4426</f>
        <v>5.6829331059851009</v>
      </c>
      <c r="S4416" s="16"/>
      <c r="T4416" s="16"/>
      <c r="U4416" s="16"/>
      <c r="V4416" s="16"/>
    </row>
    <row r="4417" spans="1:22">
      <c r="A4417" s="16"/>
      <c r="B4417" s="551"/>
      <c r="C4417" s="18"/>
      <c r="D4417" s="1400"/>
      <c r="E4417" s="2121"/>
      <c r="F4417" s="1389" t="s">
        <v>1</v>
      </c>
      <c r="G4417" s="1472"/>
      <c r="H4417" s="1369"/>
      <c r="I4417" s="1391"/>
      <c r="J4417" s="1369"/>
      <c r="K4417" s="1369"/>
      <c r="L4417" s="1554"/>
      <c r="M4417" s="1487"/>
      <c r="N4417" s="1487"/>
      <c r="O4417" s="1487"/>
      <c r="P4417" s="1367"/>
      <c r="Q4417" s="3387"/>
      <c r="R4417" s="2338"/>
      <c r="S4417" s="16"/>
      <c r="T4417" s="16"/>
      <c r="U4417" s="16"/>
      <c r="V4417" s="16"/>
    </row>
    <row r="4418" spans="1:22">
      <c r="A4418" s="16"/>
      <c r="B4418" s="1042"/>
      <c r="C4418" s="1317" t="s">
        <v>1127</v>
      </c>
      <c r="D4418" s="1311"/>
      <c r="E4418" s="2131" t="s">
        <v>1517</v>
      </c>
      <c r="F4418" s="1343" t="s">
        <v>1519</v>
      </c>
      <c r="G4418" s="2098"/>
      <c r="H4418" s="1344">
        <v>2.1000000000000001E-2</v>
      </c>
      <c r="I4418" s="1497"/>
      <c r="J4418" s="1388"/>
      <c r="K4418" s="1445"/>
      <c r="L4418" s="1457"/>
      <c r="M4418" s="1446"/>
      <c r="N4418" s="1447">
        <f>SUM(N4419:N4422)</f>
        <v>50.044430000000006</v>
      </c>
      <c r="O4418" s="1447">
        <f>SUM(O4419:O4422)</f>
        <v>1.0509330300000002</v>
      </c>
      <c r="P4418" s="1447">
        <f>SUM(P4419:P4422)</f>
        <v>0.45102892848510012</v>
      </c>
      <c r="Q4418" s="3391"/>
      <c r="R4418" s="2338"/>
      <c r="S4418" s="16"/>
      <c r="T4418" s="16"/>
      <c r="U4418" s="16"/>
      <c r="V4418" s="16"/>
    </row>
    <row r="4419" spans="1:22">
      <c r="A4419" s="16"/>
      <c r="B4419" s="1042"/>
      <c r="D4419" s="1367" t="s">
        <v>1069</v>
      </c>
      <c r="E4419" s="1856" t="s">
        <v>1517</v>
      </c>
      <c r="F4419" s="1397" t="s">
        <v>1578</v>
      </c>
      <c r="G4419" s="1416">
        <v>0.26300000000000001</v>
      </c>
      <c r="H4419" s="1399">
        <f>G4419*H4418</f>
        <v>5.523000000000001E-3</v>
      </c>
      <c r="I4419" s="197"/>
      <c r="J4419" s="198"/>
      <c r="K4419" s="1307">
        <f>H4419*K4416</f>
        <v>2.3703059100000008E-3</v>
      </c>
      <c r="L4419" s="1335">
        <f t="shared" ref="L4419:L4422" si="529">K4419*$K$4325</f>
        <v>0</v>
      </c>
      <c r="M4419" s="1302">
        <v>0.55000000000000004</v>
      </c>
      <c r="N4419" s="1718">
        <f>G4419*M4419</f>
        <v>0.14465000000000003</v>
      </c>
      <c r="O4419" s="2099">
        <f>H4419*M4419</f>
        <v>3.0376500000000007E-3</v>
      </c>
      <c r="P4419" s="1720">
        <f>M4419*K4419</f>
        <v>1.3036682505000005E-3</v>
      </c>
      <c r="Q4419" s="3396"/>
      <c r="R4419" s="2338"/>
      <c r="S4419" s="16"/>
      <c r="T4419" s="16"/>
      <c r="U4419" s="16"/>
      <c r="V4419" s="16"/>
    </row>
    <row r="4420" spans="1:22">
      <c r="A4420" s="16"/>
      <c r="B4420" s="1042"/>
      <c r="C4420" s="88"/>
      <c r="D4420" s="1367" t="s">
        <v>1394</v>
      </c>
      <c r="E4420" s="1856" t="s">
        <v>1577</v>
      </c>
      <c r="F4420" s="1397" t="s">
        <v>1579</v>
      </c>
      <c r="G4420" s="1416">
        <v>0.25800000000000001</v>
      </c>
      <c r="H4420" s="1399">
        <f>G4420*H4418</f>
        <v>5.4180000000000001E-3</v>
      </c>
      <c r="I4420" s="197"/>
      <c r="J4420" s="198"/>
      <c r="K4420" s="1307">
        <f>H4420*K4416</f>
        <v>2.3252430600000005E-3</v>
      </c>
      <c r="L4420" s="1335">
        <f t="shared" si="529"/>
        <v>0</v>
      </c>
      <c r="M4420" s="1302">
        <v>92.54</v>
      </c>
      <c r="N4420" s="1718">
        <f>G4420*M4420</f>
        <v>23.875320000000002</v>
      </c>
      <c r="O4420" s="1290">
        <f>H4420*M4420</f>
        <v>0.50138172000000003</v>
      </c>
      <c r="P4420" s="1720">
        <f>M4420*K4420</f>
        <v>0.21517799277240005</v>
      </c>
      <c r="Q4420" s="3396"/>
      <c r="R4420" s="2338"/>
      <c r="S4420" s="16"/>
      <c r="T4420" s="16"/>
      <c r="U4420" s="16"/>
      <c r="V4420" s="16"/>
    </row>
    <row r="4421" spans="1:22">
      <c r="A4421" s="16"/>
      <c r="B4421" s="1042"/>
      <c r="C4421" s="88"/>
      <c r="D4421" s="1367" t="s">
        <v>1576</v>
      </c>
      <c r="E4421" s="1856" t="s">
        <v>1517</v>
      </c>
      <c r="F4421" s="1397" t="s">
        <v>1580</v>
      </c>
      <c r="G4421" s="1416">
        <v>1.1020000000000001</v>
      </c>
      <c r="H4421" s="1399">
        <f>G4421*H4418</f>
        <v>2.3142000000000003E-2</v>
      </c>
      <c r="I4421" s="197"/>
      <c r="J4421" s="198"/>
      <c r="K4421" s="1307">
        <f>H4421*K4416</f>
        <v>9.9318521400000026E-3</v>
      </c>
      <c r="L4421" s="1335">
        <f t="shared" si="529"/>
        <v>0</v>
      </c>
      <c r="M4421" s="1302">
        <v>6.53</v>
      </c>
      <c r="N4421" s="1718">
        <f>G4421*M4421</f>
        <v>7.196060000000001</v>
      </c>
      <c r="O4421" s="1290">
        <f>H4421*M4421</f>
        <v>0.15111726000000003</v>
      </c>
      <c r="P4421" s="1720">
        <f>M4421*K4421</f>
        <v>6.4854994474200026E-2</v>
      </c>
      <c r="Q4421" s="3396"/>
      <c r="R4421" s="2338"/>
      <c r="S4421" s="16"/>
      <c r="T4421" s="16"/>
      <c r="U4421" s="16"/>
      <c r="V4421" s="16"/>
    </row>
    <row r="4422" spans="1:22">
      <c r="A4422" s="16"/>
      <c r="B4422" s="1042"/>
      <c r="C4422" s="88"/>
      <c r="D4422" s="1359" t="s">
        <v>1067</v>
      </c>
      <c r="E4422" s="1857" t="s">
        <v>1508</v>
      </c>
      <c r="F4422" s="1406" t="s">
        <v>1512</v>
      </c>
      <c r="G4422" s="1407">
        <v>1.03</v>
      </c>
      <c r="H4422" s="1408">
        <f>G4422*H4418</f>
        <v>2.1630000000000003E-2</v>
      </c>
      <c r="I4422" s="197"/>
      <c r="J4422" s="198"/>
      <c r="K4422" s="1307">
        <f>H4422*K4416</f>
        <v>9.2829471000000028E-3</v>
      </c>
      <c r="L4422" s="1335">
        <f t="shared" si="529"/>
        <v>0</v>
      </c>
      <c r="M4422" s="1302">
        <v>18.28</v>
      </c>
      <c r="N4422" s="1718">
        <f>G4422*M4422</f>
        <v>18.828400000000002</v>
      </c>
      <c r="O4422" s="1290">
        <f>H4422*M4422</f>
        <v>0.39539640000000009</v>
      </c>
      <c r="P4422" s="1720">
        <f>M4422*K4422</f>
        <v>0.16969227298800005</v>
      </c>
      <c r="Q4422" s="3396"/>
      <c r="R4422" s="2338"/>
      <c r="S4422" s="16"/>
      <c r="T4422" s="16"/>
      <c r="U4422" s="16"/>
      <c r="V4422" s="16"/>
    </row>
    <row r="4423" spans="1:22">
      <c r="A4423" s="16"/>
      <c r="B4423" s="1042"/>
      <c r="C4423" s="88"/>
      <c r="D4423" s="1367"/>
      <c r="E4423" s="1856"/>
      <c r="F4423" s="1397"/>
      <c r="G4423" s="1416"/>
      <c r="H4423" s="1399"/>
      <c r="I4423" s="197"/>
      <c r="J4423" s="198"/>
      <c r="K4423" s="1307" t="s">
        <v>506</v>
      </c>
      <c r="L4423" s="1335"/>
      <c r="M4423" s="1302"/>
      <c r="N4423" s="1724"/>
      <c r="O4423" s="1726"/>
      <c r="P4423" s="1720"/>
      <c r="Q4423" s="3396"/>
      <c r="R4423" s="2338"/>
      <c r="S4423" s="16"/>
      <c r="T4423" s="16"/>
      <c r="U4423" s="16"/>
      <c r="V4423" s="16"/>
    </row>
    <row r="4424" spans="1:22">
      <c r="A4424" s="16"/>
      <c r="B4424" s="1042"/>
      <c r="C4424" s="88"/>
      <c r="D4424" s="1367"/>
      <c r="E4424" s="1856"/>
      <c r="F4424" s="1397"/>
      <c r="G4424" s="1416"/>
      <c r="H4424" s="1399"/>
      <c r="I4424" s="197"/>
      <c r="J4424" s="198"/>
      <c r="K4424" s="1307" t="s">
        <v>506</v>
      </c>
      <c r="L4424" s="1335"/>
      <c r="M4424" s="1302"/>
      <c r="N4424" s="1724"/>
      <c r="O4424" s="1726"/>
      <c r="P4424" s="1720"/>
      <c r="Q4424" s="3396"/>
      <c r="R4424" s="2338"/>
      <c r="S4424" s="16"/>
      <c r="T4424" s="16"/>
      <c r="U4424" s="16"/>
      <c r="V4424" s="16"/>
    </row>
    <row r="4425" spans="1:22">
      <c r="A4425" s="16"/>
      <c r="B4425" s="1042"/>
      <c r="C4425" s="88"/>
      <c r="D4425" s="1359"/>
      <c r="E4425" s="1858"/>
      <c r="F4425" s="1465" t="s">
        <v>2</v>
      </c>
      <c r="G4425" s="1466"/>
      <c r="H4425" s="1362"/>
      <c r="I4425" s="1381"/>
      <c r="J4425" s="1381"/>
      <c r="K4425" s="1359"/>
      <c r="L4425" s="1458"/>
      <c r="M4425" s="1498"/>
      <c r="N4425" s="1498"/>
      <c r="O4425" s="1498"/>
      <c r="P4425" s="1359"/>
      <c r="Q4425" s="3387"/>
      <c r="R4425" s="2338"/>
      <c r="S4425" s="16"/>
      <c r="T4425" s="16"/>
      <c r="U4425" s="16"/>
      <c r="V4425" s="16"/>
    </row>
    <row r="4426" spans="1:22">
      <c r="A4426" s="16"/>
      <c r="B4426" s="1042"/>
      <c r="C4426" s="1358" t="s">
        <v>1523</v>
      </c>
      <c r="D4426" s="1329"/>
      <c r="E4426" s="2135" t="s">
        <v>1508</v>
      </c>
      <c r="F4426" s="1330" t="s">
        <v>1524</v>
      </c>
      <c r="G4426" s="2098"/>
      <c r="H4426" s="1584">
        <v>0.32500000000000001</v>
      </c>
      <c r="I4426" s="1488"/>
      <c r="J4426" s="1388"/>
      <c r="K4426" s="1510"/>
      <c r="L4426" s="1445"/>
      <c r="M4426" s="1446"/>
      <c r="N4426" s="1447">
        <f>SUM(N4427:N4428)</f>
        <v>37.510000000000005</v>
      </c>
      <c r="O4426" s="1447">
        <f>SUM(O4427:O4428)</f>
        <v>12.190750000000001</v>
      </c>
      <c r="P4426" s="1447">
        <f>SUM(P4427:P4428)</f>
        <v>5.2319041775000006</v>
      </c>
      <c r="Q4426" s="3391"/>
      <c r="R4426" s="2338"/>
      <c r="S4426" s="16"/>
      <c r="T4426" s="16"/>
      <c r="U4426" s="16"/>
      <c r="V4426" s="16"/>
    </row>
    <row r="4427" spans="1:22">
      <c r="A4427" s="16"/>
      <c r="B4427" s="1042"/>
      <c r="C4427" s="1042"/>
      <c r="D4427" s="1402" t="s">
        <v>1067</v>
      </c>
      <c r="E4427" s="1857" t="s">
        <v>1508</v>
      </c>
      <c r="F4427" s="1430" t="s">
        <v>5</v>
      </c>
      <c r="G4427" s="1362">
        <v>1</v>
      </c>
      <c r="H4427" s="1408">
        <f>G4427*H4426</f>
        <v>0.32500000000000001</v>
      </c>
      <c r="I4427" s="1340"/>
      <c r="J4427" s="198"/>
      <c r="K4427" s="1307">
        <f>H4427*K4416</f>
        <v>0.13948025000000003</v>
      </c>
      <c r="L4427" s="1335">
        <f t="shared" ref="L4427:L4428" si="530">K4427*$K$4325</f>
        <v>0</v>
      </c>
      <c r="M4427" s="1302">
        <v>18.28</v>
      </c>
      <c r="N4427" s="1718">
        <f>G4427*M4427</f>
        <v>18.28</v>
      </c>
      <c r="O4427" s="1290">
        <f>H4427*M4427</f>
        <v>5.9410000000000007</v>
      </c>
      <c r="P4427" s="1720">
        <f>M4427*K4427</f>
        <v>2.5496989700000006</v>
      </c>
      <c r="Q4427" s="3396"/>
      <c r="R4427" s="2338"/>
      <c r="S4427" s="16"/>
      <c r="T4427" s="16"/>
      <c r="U4427" s="16"/>
      <c r="V4427" s="16"/>
    </row>
    <row r="4428" spans="1:22">
      <c r="A4428" s="16"/>
      <c r="B4428" s="1042"/>
      <c r="C4428" s="1042"/>
      <c r="D4428" s="1402" t="s">
        <v>1077</v>
      </c>
      <c r="E4428" s="1857" t="s">
        <v>1508</v>
      </c>
      <c r="F4428" s="1430" t="s">
        <v>37</v>
      </c>
      <c r="G4428" s="1362">
        <v>1</v>
      </c>
      <c r="H4428" s="1408">
        <f>G4428*H4426</f>
        <v>0.32500000000000001</v>
      </c>
      <c r="I4428" s="198"/>
      <c r="J4428" s="198"/>
      <c r="K4428" s="1307">
        <f>H4428*K4416</f>
        <v>0.13948025000000003</v>
      </c>
      <c r="L4428" s="1335">
        <f t="shared" si="530"/>
        <v>0</v>
      </c>
      <c r="M4428" s="1302">
        <v>19.23</v>
      </c>
      <c r="N4428" s="1718">
        <f>G4428*M4428</f>
        <v>19.23</v>
      </c>
      <c r="O4428" s="1290">
        <f>(H4428*M4428)</f>
        <v>6.2497500000000006</v>
      </c>
      <c r="P4428" s="1720">
        <f>M4428*K4428</f>
        <v>2.6822052075000005</v>
      </c>
      <c r="Q4428" s="3396"/>
      <c r="R4428" s="2338"/>
      <c r="S4428" s="16"/>
      <c r="T4428" s="16"/>
      <c r="U4428" s="16"/>
      <c r="V4428" s="16"/>
    </row>
    <row r="4429" spans="1:22">
      <c r="A4429" s="16"/>
      <c r="B4429" s="1042"/>
      <c r="C4429" s="88"/>
      <c r="D4429" s="1373"/>
      <c r="E4429" s="2123"/>
      <c r="F4429" s="1475" t="s">
        <v>3</v>
      </c>
      <c r="G4429" s="1377"/>
      <c r="H4429" s="1376"/>
      <c r="I4429" s="1383" t="s">
        <v>506</v>
      </c>
      <c r="J4429" s="1383"/>
      <c r="K4429" s="1383"/>
      <c r="L4429" s="1413" t="s">
        <v>506</v>
      </c>
      <c r="M4429" s="1376"/>
      <c r="N4429" s="1376"/>
      <c r="O4429" s="1376"/>
      <c r="P4429" s="1373"/>
      <c r="Q4429" s="3387"/>
      <c r="R4429" s="2338"/>
      <c r="S4429" s="16"/>
      <c r="T4429" s="16"/>
      <c r="U4429" s="16"/>
      <c r="V4429" s="16"/>
    </row>
    <row r="4430" spans="1:22">
      <c r="A4430" s="16"/>
      <c r="B4430" s="1042"/>
      <c r="C4430" s="88"/>
      <c r="D4430" s="1440"/>
      <c r="E4430" s="2132"/>
      <c r="F4430" s="1441"/>
      <c r="G4430" s="1441"/>
      <c r="H4430" s="1442"/>
      <c r="I4430" s="197" t="s">
        <v>506</v>
      </c>
      <c r="J4430" s="198"/>
      <c r="K4430" s="1307"/>
      <c r="L4430" s="1335" t="s">
        <v>506</v>
      </c>
      <c r="M4430" s="1499"/>
      <c r="N4430" s="1701"/>
      <c r="O4430" s="1290"/>
      <c r="P4430" s="1332"/>
      <c r="Q4430" s="3391"/>
      <c r="R4430" s="2338"/>
      <c r="S4430" s="16"/>
      <c r="T4430" s="16"/>
      <c r="U4430" s="16"/>
      <c r="V4430" s="16"/>
    </row>
    <row r="4431" spans="1:22">
      <c r="A4431" s="16"/>
      <c r="B4431" s="1042"/>
      <c r="C4431" s="88"/>
      <c r="D4431" s="1440"/>
      <c r="E4431" s="2132"/>
      <c r="F4431" s="1441"/>
      <c r="G4431" s="1441"/>
      <c r="H4431" s="1442"/>
      <c r="I4431" s="197" t="s">
        <v>506</v>
      </c>
      <c r="J4431" s="198"/>
      <c r="K4431" s="1307"/>
      <c r="L4431" s="1335" t="s">
        <v>506</v>
      </c>
      <c r="M4431" s="1499"/>
      <c r="N4431" s="1701"/>
      <c r="O4431" s="1290"/>
      <c r="P4431" s="1332"/>
      <c r="Q4431" s="3391"/>
      <c r="R4431" s="2338"/>
      <c r="S4431" s="16"/>
      <c r="T4431" s="16"/>
      <c r="U4431" s="16"/>
      <c r="V4431" s="16"/>
    </row>
    <row r="4432" spans="1:22">
      <c r="A4432" s="16"/>
      <c r="B4432" s="223"/>
      <c r="C4432" s="581"/>
      <c r="D4432" s="1440"/>
      <c r="E4432" s="2132"/>
      <c r="F4432" s="1441"/>
      <c r="G4432" s="1441"/>
      <c r="H4432" s="1442"/>
      <c r="I4432" s="197"/>
      <c r="J4432" s="198"/>
      <c r="K4432" s="1307"/>
      <c r="L4432" s="1335"/>
      <c r="M4432" s="1499"/>
      <c r="N4432" s="1701"/>
      <c r="O4432" s="1290"/>
      <c r="P4432" s="1332"/>
      <c r="Q4432" s="3391"/>
      <c r="R4432" s="2338"/>
      <c r="S4432" s="16"/>
      <c r="T4432" s="16"/>
      <c r="U4432" s="16"/>
      <c r="V4432" s="16"/>
    </row>
    <row r="4433" spans="1:22" ht="15" customHeight="1">
      <c r="A4433" s="19" t="s">
        <v>3764</v>
      </c>
      <c r="B4433" s="4325" t="s">
        <v>1660</v>
      </c>
      <c r="C4433" s="4101"/>
      <c r="D4433" s="4327"/>
      <c r="E4433" s="4337" t="s">
        <v>1507</v>
      </c>
      <c r="F4433" s="4338" t="s">
        <v>1689</v>
      </c>
      <c r="G4433" s="4331" t="s">
        <v>1568</v>
      </c>
      <c r="H4433" s="4331" t="s">
        <v>1574</v>
      </c>
      <c r="I4433" s="1572" t="s">
        <v>1559</v>
      </c>
      <c r="J4433" s="1294" t="s">
        <v>1560</v>
      </c>
      <c r="K4433" s="1294" t="s">
        <v>1561</v>
      </c>
      <c r="L4433" s="4333" t="s">
        <v>3765</v>
      </c>
      <c r="M4433" s="4335" t="s">
        <v>1571</v>
      </c>
      <c r="N4433" s="4323" t="s">
        <v>1776</v>
      </c>
      <c r="O4433" s="4098" t="s">
        <v>1563</v>
      </c>
      <c r="P4433" s="1336" t="s">
        <v>1562</v>
      </c>
      <c r="Q4433" s="3389"/>
      <c r="R4433" s="1699" t="s">
        <v>1327</v>
      </c>
      <c r="S4433" s="16"/>
      <c r="T4433" s="16"/>
      <c r="U4433" s="16"/>
      <c r="V4433" s="16"/>
    </row>
    <row r="4434" spans="1:22">
      <c r="A4434" s="1807" t="s">
        <v>3835</v>
      </c>
      <c r="B4434" s="4390"/>
      <c r="C4434" s="4104"/>
      <c r="D4434" s="4368"/>
      <c r="E4434" s="4329"/>
      <c r="F4434" s="4338"/>
      <c r="G4434" s="4332"/>
      <c r="H4434" s="4332"/>
      <c r="I4434" s="1345">
        <v>61.63</v>
      </c>
      <c r="J4434" s="1307">
        <v>7.0000000000000001E-3</v>
      </c>
      <c r="K4434" s="1297">
        <f>I4434*J4434</f>
        <v>0.43141000000000002</v>
      </c>
      <c r="L4434" s="4334"/>
      <c r="M4434" s="4335"/>
      <c r="N4434" s="4324"/>
      <c r="O4434" s="1298">
        <f>SUM(O4436:O4448)</f>
        <v>19.719749999999998</v>
      </c>
      <c r="P4434" s="1337">
        <f>K4434*O4434</f>
        <v>8.5072973474999998</v>
      </c>
      <c r="Q4434" s="3390"/>
      <c r="R4434" s="1721">
        <f>SUM(P4436:P4448)</f>
        <v>8.5072973475000015</v>
      </c>
      <c r="S4434" s="16"/>
      <c r="T4434" s="16"/>
      <c r="U4434" s="16"/>
      <c r="V4434" s="16"/>
    </row>
    <row r="4435" spans="1:22">
      <c r="A4435" s="16"/>
      <c r="B4435" s="1628"/>
      <c r="C4435" s="4103"/>
      <c r="D4435" s="1400"/>
      <c r="E4435" s="2121"/>
      <c r="F4435" s="1389" t="s">
        <v>1</v>
      </c>
      <c r="G4435" s="1629"/>
      <c r="H4435" s="1629"/>
      <c r="I4435" s="1630"/>
      <c r="J4435" s="1609"/>
      <c r="K4435" s="1424"/>
      <c r="L4435" s="1631"/>
      <c r="M4435" s="1426"/>
      <c r="N4435" s="1710"/>
      <c r="O4435" s="1632"/>
      <c r="P4435" s="1633"/>
      <c r="Q4435" s="3390"/>
      <c r="R4435" s="2338"/>
      <c r="S4435" s="16"/>
      <c r="T4435" s="16"/>
      <c r="U4435" s="16"/>
      <c r="V4435" s="16"/>
    </row>
    <row r="4436" spans="1:22">
      <c r="A4436" s="16"/>
      <c r="B4436" s="553"/>
      <c r="C4436" s="1042"/>
      <c r="D4436" s="1626" t="s">
        <v>1145</v>
      </c>
      <c r="E4436" s="2156" t="s">
        <v>1577</v>
      </c>
      <c r="F4436" s="1587" t="s">
        <v>1690</v>
      </c>
      <c r="G4436" s="1588">
        <v>1E-3</v>
      </c>
      <c r="H4436" s="1367"/>
      <c r="I4436" s="1349"/>
      <c r="J4436" s="8"/>
      <c r="K4436" s="1307">
        <f>G4436*K4434</f>
        <v>4.3141000000000002E-4</v>
      </c>
      <c r="L4436" s="1335">
        <f t="shared" ref="L4436:L4439" si="531">K4436*$K$4325</f>
        <v>0</v>
      </c>
      <c r="M4436" s="1302">
        <v>246.4</v>
      </c>
      <c r="N4436" s="1700"/>
      <c r="O4436" s="1290">
        <f>G4436*M4436</f>
        <v>0.24640000000000001</v>
      </c>
      <c r="P4436" s="1332">
        <f>M4436*K4436</f>
        <v>0.106299424</v>
      </c>
      <c r="Q4436" s="3391"/>
      <c r="R4436" s="2338"/>
      <c r="S4436" s="16"/>
      <c r="T4436" s="16"/>
      <c r="U4436" s="16"/>
      <c r="V4436" s="16"/>
    </row>
    <row r="4437" spans="1:22">
      <c r="A4437" s="16"/>
      <c r="B4437" s="553"/>
      <c r="C4437" s="1042"/>
      <c r="D4437" s="1618" t="s">
        <v>1147</v>
      </c>
      <c r="E4437" s="2138" t="s">
        <v>1357</v>
      </c>
      <c r="F4437" s="1587" t="s">
        <v>1691</v>
      </c>
      <c r="G4437" s="1588">
        <v>1</v>
      </c>
      <c r="H4437" s="1367"/>
      <c r="I4437" s="1617"/>
      <c r="J4437" s="198"/>
      <c r="K4437" s="1307">
        <f>G4437*K4434</f>
        <v>0.43141000000000002</v>
      </c>
      <c r="L4437" s="1335">
        <f t="shared" si="531"/>
        <v>0</v>
      </c>
      <c r="M4437" s="1302">
        <v>0.22</v>
      </c>
      <c r="N4437" s="1700"/>
      <c r="O4437" s="1290">
        <f>G4437*M4437</f>
        <v>0.22</v>
      </c>
      <c r="P4437" s="1332">
        <f>M4437*K4437</f>
        <v>9.49102E-2</v>
      </c>
      <c r="Q4437" s="3391"/>
      <c r="R4437" s="2338"/>
      <c r="S4437" s="16"/>
      <c r="T4437" s="16"/>
      <c r="U4437" s="16"/>
      <c r="V4437" s="16"/>
    </row>
    <row r="4438" spans="1:22">
      <c r="A4438" s="16"/>
      <c r="B4438" s="553"/>
      <c r="C4438" s="1042"/>
      <c r="D4438" s="1618" t="s">
        <v>1692</v>
      </c>
      <c r="E4438" s="2138" t="s">
        <v>1504</v>
      </c>
      <c r="F4438" s="1587" t="s">
        <v>1693</v>
      </c>
      <c r="G4438" s="1588">
        <v>47.17</v>
      </c>
      <c r="H4438" s="1367"/>
      <c r="I4438" s="1286"/>
      <c r="J4438" s="198"/>
      <c r="K4438" s="1307">
        <f>G4438*K4434</f>
        <v>20.349609700000002</v>
      </c>
      <c r="L4438" s="1335">
        <f t="shared" si="531"/>
        <v>0</v>
      </c>
      <c r="M4438" s="1302">
        <v>0.17</v>
      </c>
      <c r="N4438" s="1700"/>
      <c r="O4438" s="1290">
        <f>G4438*M4438</f>
        <v>8.0189000000000004</v>
      </c>
      <c r="P4438" s="1332">
        <f>M4438*K4438</f>
        <v>3.4594336490000006</v>
      </c>
      <c r="Q4438" s="3391"/>
      <c r="R4438" s="2338"/>
      <c r="S4438" s="16"/>
      <c r="T4438" s="16"/>
      <c r="U4438" s="16"/>
      <c r="V4438" s="16"/>
    </row>
    <row r="4439" spans="1:22">
      <c r="A4439" s="16"/>
      <c r="B4439" s="1599"/>
      <c r="C4439" s="1320"/>
      <c r="D4439" s="1598" t="s">
        <v>1097</v>
      </c>
      <c r="E4439" s="1856" t="s">
        <v>1504</v>
      </c>
      <c r="F4439" s="1598" t="s">
        <v>1632</v>
      </c>
      <c r="G4439" s="1399">
        <v>1</v>
      </c>
      <c r="H4439" s="1399"/>
      <c r="I4439" s="198"/>
      <c r="J4439" s="198"/>
      <c r="K4439" s="1307">
        <f>G4439*K4434</f>
        <v>0.43141000000000002</v>
      </c>
      <c r="L4439" s="1335">
        <f t="shared" si="531"/>
        <v>0</v>
      </c>
      <c r="M4439" s="1499">
        <v>0.55000000000000004</v>
      </c>
      <c r="N4439" s="1701"/>
      <c r="O4439" s="1291">
        <f>G4439*M4439</f>
        <v>0.55000000000000004</v>
      </c>
      <c r="P4439" s="1332">
        <f>M4439*K4439</f>
        <v>0.23727550000000003</v>
      </c>
      <c r="Q4439" s="3391"/>
      <c r="R4439" s="4107"/>
      <c r="S4439" s="16"/>
      <c r="T4439" s="16"/>
      <c r="U4439" s="16"/>
      <c r="V4439" s="16"/>
    </row>
    <row r="4440" spans="1:22">
      <c r="A4440" s="16"/>
      <c r="B4440" s="553"/>
      <c r="C4440" s="1042"/>
      <c r="D4440" s="1598"/>
      <c r="E4440" s="1856"/>
      <c r="F4440" s="1598"/>
      <c r="G4440" s="1399"/>
      <c r="H4440" s="1399"/>
      <c r="I4440" s="198"/>
      <c r="J4440" s="198"/>
      <c r="K4440" s="1307"/>
      <c r="L4440" s="1335"/>
      <c r="M4440" s="1499"/>
      <c r="N4440" s="1701"/>
      <c r="O4440" s="1291"/>
      <c r="P4440" s="1332"/>
      <c r="Q4440" s="3391"/>
      <c r="R4440" s="2338"/>
      <c r="S4440" s="16"/>
      <c r="T4440" s="16"/>
      <c r="U4440" s="16"/>
      <c r="V4440" s="16"/>
    </row>
    <row r="4441" spans="1:22">
      <c r="A4441" s="16"/>
      <c r="B4441" s="553"/>
      <c r="C4441" s="1042"/>
      <c r="D4441" s="1404"/>
      <c r="E4441" s="1858"/>
      <c r="F4441" s="1465" t="s">
        <v>2</v>
      </c>
      <c r="G4441" s="1466"/>
      <c r="H4441" s="1362"/>
      <c r="I4441" s="1381"/>
      <c r="J4441" s="1381"/>
      <c r="K4441" s="1359"/>
      <c r="L4441" s="1458"/>
      <c r="M4441" s="1498"/>
      <c r="N4441" s="1498"/>
      <c r="O4441" s="1498"/>
      <c r="P4441" s="1359"/>
      <c r="Q4441" s="3387"/>
      <c r="R4441" s="2338"/>
      <c r="S4441" s="16"/>
      <c r="T4441" s="16"/>
      <c r="U4441" s="16"/>
      <c r="V4441" s="16"/>
    </row>
    <row r="4442" spans="1:22">
      <c r="A4442" s="16"/>
      <c r="B4442" s="553"/>
      <c r="C4442" s="1042"/>
      <c r="D4442" s="1627" t="s">
        <v>1088</v>
      </c>
      <c r="E4442" s="2157" t="s">
        <v>1508</v>
      </c>
      <c r="F4442" s="1620" t="s">
        <v>1694</v>
      </c>
      <c r="G4442" s="1621">
        <v>0.375</v>
      </c>
      <c r="H4442" s="1359"/>
      <c r="I4442" s="1340"/>
      <c r="J4442" s="198"/>
      <c r="K4442" s="1307">
        <f>G4442*K4434</f>
        <v>0.16177875</v>
      </c>
      <c r="L4442" s="1335">
        <f t="shared" ref="L4442:L4443" si="532">K4442*$K$4325</f>
        <v>0</v>
      </c>
      <c r="M4442" s="1729">
        <v>19.23</v>
      </c>
      <c r="N4442" s="1730"/>
      <c r="O4442" s="1290">
        <f>G4442*M4442</f>
        <v>7.2112499999999997</v>
      </c>
      <c r="P4442" s="1332">
        <f>M4442*K4442</f>
        <v>3.1110053625000003</v>
      </c>
      <c r="Q4442" s="3391"/>
      <c r="R4442" s="2338"/>
      <c r="S4442" s="16"/>
      <c r="T4442" s="16"/>
      <c r="U4442" s="16"/>
      <c r="V4442" s="16"/>
    </row>
    <row r="4443" spans="1:22">
      <c r="A4443" s="16"/>
      <c r="B4443" s="553"/>
      <c r="C4443" s="1042"/>
      <c r="D4443" s="1627" t="s">
        <v>1067</v>
      </c>
      <c r="E4443" s="2157" t="s">
        <v>1508</v>
      </c>
      <c r="F4443" s="1620" t="s">
        <v>1512</v>
      </c>
      <c r="G4443" s="1621">
        <v>0.19</v>
      </c>
      <c r="H4443" s="1359"/>
      <c r="I4443" s="1340"/>
      <c r="J4443" s="198"/>
      <c r="K4443" s="1307">
        <f>G4443*K4434</f>
        <v>8.196790000000001E-2</v>
      </c>
      <c r="L4443" s="1335">
        <f t="shared" si="532"/>
        <v>0</v>
      </c>
      <c r="M4443" s="1729">
        <v>18.28</v>
      </c>
      <c r="N4443" s="1730"/>
      <c r="O4443" s="1290">
        <f>(G4443*M4443)</f>
        <v>3.4732000000000003</v>
      </c>
      <c r="P4443" s="1332">
        <f>M4443*K4443</f>
        <v>1.4983732120000002</v>
      </c>
      <c r="Q4443" s="3391"/>
      <c r="R4443" s="2338"/>
      <c r="S4443" s="16"/>
      <c r="T4443" s="16"/>
      <c r="U4443" s="16"/>
      <c r="V4443" s="16"/>
    </row>
    <row r="4444" spans="1:22">
      <c r="A4444" s="16"/>
      <c r="B4444" s="553"/>
      <c r="C4444" s="1042"/>
      <c r="D4444" s="1627"/>
      <c r="E4444" s="2157"/>
      <c r="F4444" s="1620"/>
      <c r="G4444" s="1621"/>
      <c r="H4444" s="1359"/>
      <c r="I4444" s="1340"/>
      <c r="J4444" s="198"/>
      <c r="K4444" s="1307"/>
      <c r="L4444" s="1335"/>
      <c r="M4444" s="1729"/>
      <c r="N4444" s="1730"/>
      <c r="O4444" s="1290"/>
      <c r="P4444" s="1332"/>
      <c r="Q4444" s="3391"/>
      <c r="R4444" s="2338"/>
      <c r="S4444" s="16"/>
      <c r="T4444" s="16"/>
      <c r="U4444" s="16"/>
      <c r="V4444" s="16"/>
    </row>
    <row r="4445" spans="1:22">
      <c r="A4445" s="16"/>
      <c r="B4445" s="553"/>
      <c r="C4445" s="1042"/>
      <c r="D4445" s="1411"/>
      <c r="E4445" s="2123"/>
      <c r="F4445" s="1475" t="s">
        <v>3</v>
      </c>
      <c r="G4445" s="1377"/>
      <c r="H4445" s="1376"/>
      <c r="I4445" s="1383" t="s">
        <v>506</v>
      </c>
      <c r="J4445" s="1383"/>
      <c r="K4445" s="1383"/>
      <c r="L4445" s="1413"/>
      <c r="M4445" s="1376"/>
      <c r="N4445" s="1376"/>
      <c r="O4445" s="1376"/>
      <c r="P4445" s="1373"/>
      <c r="Q4445" s="3387"/>
      <c r="R4445" s="2338"/>
      <c r="S4445" s="16"/>
      <c r="T4445" s="16"/>
      <c r="U4445" s="16"/>
      <c r="V4445" s="16"/>
    </row>
    <row r="4446" spans="1:22">
      <c r="A4446" s="16"/>
      <c r="B4446" s="553"/>
      <c r="C4446" s="1042"/>
      <c r="D4446" s="1440"/>
      <c r="E4446" s="2132"/>
      <c r="F4446" s="1441"/>
      <c r="G4446" s="1441"/>
      <c r="H4446" s="1442"/>
      <c r="I4446" s="197" t="s">
        <v>506</v>
      </c>
      <c r="J4446" s="198"/>
      <c r="K4446" s="1307"/>
      <c r="L4446" s="1335"/>
      <c r="M4446" s="1499"/>
      <c r="N4446" s="1701"/>
      <c r="O4446" s="1290"/>
      <c r="P4446" s="1332"/>
      <c r="Q4446" s="3391"/>
      <c r="R4446" s="2338"/>
      <c r="S4446" s="16"/>
      <c r="T4446" s="16"/>
      <c r="U4446" s="16"/>
      <c r="V4446" s="16"/>
    </row>
    <row r="4447" spans="1:22">
      <c r="A4447" s="16"/>
      <c r="B4447" s="553"/>
      <c r="C4447" s="1320"/>
      <c r="D4447" s="1440"/>
      <c r="E4447" s="2132"/>
      <c r="F4447" s="1441"/>
      <c r="G4447" s="1441"/>
      <c r="H4447" s="1442"/>
      <c r="I4447" s="197" t="s">
        <v>506</v>
      </c>
      <c r="J4447" s="198"/>
      <c r="K4447" s="1307"/>
      <c r="L4447" s="1335"/>
      <c r="M4447" s="1499"/>
      <c r="N4447" s="1701"/>
      <c r="O4447" s="1290"/>
      <c r="P4447" s="1332"/>
      <c r="Q4447" s="3391"/>
      <c r="R4447" s="2338"/>
      <c r="S4447" s="16"/>
      <c r="T4447" s="16"/>
      <c r="U4447" s="16"/>
      <c r="V4447" s="16"/>
    </row>
    <row r="4448" spans="1:22">
      <c r="A4448" s="16"/>
      <c r="B4448" s="554"/>
      <c r="C4448" s="225"/>
      <c r="D4448" s="1440"/>
      <c r="E4448" s="2132"/>
      <c r="F4448" s="1441"/>
      <c r="G4448" s="1441"/>
      <c r="H4448" s="1442"/>
      <c r="I4448" s="197"/>
      <c r="J4448" s="198"/>
      <c r="K4448" s="1307"/>
      <c r="L4448" s="1335"/>
      <c r="M4448" s="1499"/>
      <c r="N4448" s="1701"/>
      <c r="O4448" s="1290"/>
      <c r="P4448" s="1332"/>
      <c r="Q4448" s="3391"/>
      <c r="R4448" s="2338"/>
      <c r="S4448" s="16"/>
      <c r="T4448" s="16"/>
      <c r="U4448" s="16"/>
      <c r="V4448" s="16"/>
    </row>
    <row r="4449" spans="1:22">
      <c r="A4449" s="19" t="s">
        <v>3764</v>
      </c>
      <c r="B4449" s="4325" t="s">
        <v>1712</v>
      </c>
      <c r="C4449" s="4104"/>
      <c r="D4449" s="4327"/>
      <c r="E4449" s="4337" t="s">
        <v>1507</v>
      </c>
      <c r="F4449" s="4338" t="s">
        <v>1714</v>
      </c>
      <c r="G4449" s="4331" t="s">
        <v>1568</v>
      </c>
      <c r="H4449" s="4331" t="s">
        <v>1574</v>
      </c>
      <c r="I4449" s="1572" t="s">
        <v>1559</v>
      </c>
      <c r="J4449" s="1294" t="s">
        <v>1560</v>
      </c>
      <c r="K4449" s="1294" t="s">
        <v>1561</v>
      </c>
      <c r="L4449" s="4333" t="s">
        <v>3765</v>
      </c>
      <c r="M4449" s="4335" t="s">
        <v>1571</v>
      </c>
      <c r="N4449" s="4323" t="s">
        <v>1776</v>
      </c>
      <c r="O4449" s="4098" t="s">
        <v>1563</v>
      </c>
      <c r="P4449" s="1336" t="s">
        <v>1562</v>
      </c>
      <c r="Q4449" s="3389"/>
      <c r="R4449" s="1699" t="s">
        <v>1327</v>
      </c>
      <c r="S4449" s="16"/>
      <c r="T4449" s="16"/>
      <c r="U4449" s="16"/>
      <c r="V4449" s="16"/>
    </row>
    <row r="4450" spans="1:22">
      <c r="A4450" s="1807" t="s">
        <v>3835</v>
      </c>
      <c r="B4450" s="4326"/>
      <c r="C4450" s="4102"/>
      <c r="D4450" s="4328"/>
      <c r="E4450" s="4337"/>
      <c r="F4450" s="4338"/>
      <c r="G4450" s="4332"/>
      <c r="H4450" s="4332"/>
      <c r="I4450" s="1345">
        <v>231.44</v>
      </c>
      <c r="J4450" s="1307">
        <v>7.0000000000000001E-3</v>
      </c>
      <c r="K4450" s="1297">
        <f>I4450*J4450</f>
        <v>1.62008</v>
      </c>
      <c r="L4450" s="4334"/>
      <c r="M4450" s="4335"/>
      <c r="N4450" s="4324"/>
      <c r="O4450" s="1298">
        <f>SUM(O4452:O4462)</f>
        <v>7.8734500000000001</v>
      </c>
      <c r="P4450" s="1337">
        <f>K4450*O4450</f>
        <v>12.755618876</v>
      </c>
      <c r="Q4450" s="3390"/>
      <c r="R4450" s="1721">
        <f>SUM(P4452:P4463)</f>
        <v>12.755618876</v>
      </c>
      <c r="S4450" s="16"/>
      <c r="T4450" s="16"/>
      <c r="U4450" s="16"/>
      <c r="V4450" s="16"/>
    </row>
    <row r="4451" spans="1:22">
      <c r="A4451" s="16"/>
      <c r="B4451" s="551"/>
      <c r="C4451" s="18"/>
      <c r="D4451" s="1400"/>
      <c r="E4451" s="2121"/>
      <c r="F4451" s="1389" t="s">
        <v>1</v>
      </c>
      <c r="G4451" s="1472"/>
      <c r="H4451" s="1369"/>
      <c r="I4451" s="1391"/>
      <c r="J4451" s="1369"/>
      <c r="K4451" s="1369"/>
      <c r="L4451" s="1554"/>
      <c r="M4451" s="1487"/>
      <c r="N4451" s="1487"/>
      <c r="O4451" s="1487"/>
      <c r="P4451" s="1367"/>
      <c r="Q4451" s="3387"/>
      <c r="R4451" s="2338"/>
      <c r="S4451" s="16"/>
      <c r="T4451" s="16"/>
      <c r="U4451" s="16"/>
      <c r="V4451" s="16"/>
    </row>
    <row r="4452" spans="1:22">
      <c r="A4452" s="16"/>
      <c r="B4452" s="553"/>
      <c r="C4452" s="1042"/>
      <c r="D4452" s="1615" t="s">
        <v>1128</v>
      </c>
      <c r="E4452" s="1856" t="s">
        <v>1517</v>
      </c>
      <c r="F4452" s="1421" t="s">
        <v>1695</v>
      </c>
      <c r="G4452" s="1604">
        <v>1.4999999999999999E-2</v>
      </c>
      <c r="H4452" s="1604"/>
      <c r="I4452" s="1342"/>
      <c r="J4452" s="198"/>
      <c r="K4452" s="1307">
        <f>G4452*K4450</f>
        <v>2.4301199999999998E-2</v>
      </c>
      <c r="L4452" s="1335">
        <f t="shared" ref="L4452:L4453" si="533">K4452*$K$4325</f>
        <v>0</v>
      </c>
      <c r="M4452" s="1302">
        <v>104.28</v>
      </c>
      <c r="N4452" s="1700"/>
      <c r="O4452" s="1290">
        <f>(G4452*M4452)</f>
        <v>1.5642</v>
      </c>
      <c r="P4452" s="1332">
        <f>M4452*K4452</f>
        <v>2.5341291359999998</v>
      </c>
      <c r="Q4452" s="3391"/>
      <c r="R4452" s="2338"/>
      <c r="S4452" s="16"/>
      <c r="T4452" s="16"/>
      <c r="U4452" s="16"/>
      <c r="V4452" s="16"/>
    </row>
    <row r="4453" spans="1:22">
      <c r="A4453" s="16"/>
      <c r="B4453" s="553"/>
      <c r="C4453" s="1042"/>
      <c r="D4453" s="1428" t="s">
        <v>1152</v>
      </c>
      <c r="E4453" s="2122" t="s">
        <v>1517</v>
      </c>
      <c r="F4453" s="1370" t="s">
        <v>1696</v>
      </c>
      <c r="G4453" s="1452">
        <v>5.0000000000000001E-3</v>
      </c>
      <c r="H4453" s="1452"/>
      <c r="I4453" s="1286"/>
      <c r="J4453" s="198"/>
      <c r="K4453" s="1307">
        <f>G4453*K4450</f>
        <v>8.1004000000000007E-3</v>
      </c>
      <c r="L4453" s="1335">
        <f t="shared" si="533"/>
        <v>0</v>
      </c>
      <c r="M4453" s="1302">
        <v>108.05</v>
      </c>
      <c r="N4453" s="1700"/>
      <c r="O4453" s="1290">
        <f>(G4453*M4453)</f>
        <v>0.54025000000000001</v>
      </c>
      <c r="P4453" s="1332">
        <f>M4453*K4453</f>
        <v>0.87524822000000002</v>
      </c>
      <c r="Q4453" s="3391"/>
      <c r="R4453" s="2338"/>
      <c r="S4453" s="16"/>
      <c r="T4453" s="16"/>
      <c r="U4453" s="16"/>
      <c r="V4453" s="16"/>
    </row>
    <row r="4454" spans="1:22">
      <c r="A4454" s="16"/>
      <c r="B4454" s="553"/>
      <c r="C4454" s="1320"/>
      <c r="D4454" s="1396"/>
      <c r="E4454" s="1856"/>
      <c r="F4454" s="1421"/>
      <c r="G4454" s="1452"/>
      <c r="H4454" s="1453"/>
      <c r="I4454" s="1286"/>
      <c r="J4454" s="198"/>
      <c r="K4454" s="1307"/>
      <c r="L4454" s="1335"/>
      <c r="M4454" s="1302"/>
      <c r="N4454" s="1700"/>
      <c r="O4454" s="1290"/>
      <c r="P4454" s="1332"/>
      <c r="Q4454" s="3391"/>
      <c r="R4454" s="2338"/>
      <c r="S4454" s="16"/>
      <c r="T4454" s="16"/>
      <c r="U4454" s="16"/>
      <c r="V4454" s="16"/>
    </row>
    <row r="4455" spans="1:22">
      <c r="A4455" s="16"/>
      <c r="B4455" s="553"/>
      <c r="C4455" s="1042"/>
      <c r="D4455" s="1400"/>
      <c r="E4455" s="1856"/>
      <c r="F4455" s="1397"/>
      <c r="G4455" s="1416"/>
      <c r="H4455" s="1399"/>
      <c r="I4455" s="197"/>
      <c r="J4455" s="198"/>
      <c r="K4455" s="1307" t="s">
        <v>506</v>
      </c>
      <c r="L4455" s="1335"/>
      <c r="M4455" s="1302"/>
      <c r="N4455" s="1700"/>
      <c r="O4455" s="1290"/>
      <c r="P4455" s="1332"/>
      <c r="Q4455" s="3391"/>
      <c r="R4455" s="2338"/>
      <c r="S4455" s="16"/>
      <c r="T4455" s="16"/>
      <c r="U4455" s="16"/>
      <c r="V4455" s="16"/>
    </row>
    <row r="4456" spans="1:22">
      <c r="A4456" s="16"/>
      <c r="B4456" s="553"/>
      <c r="C4456" s="1042"/>
      <c r="D4456" s="1404"/>
      <c r="E4456" s="1858"/>
      <c r="F4456" s="1465" t="s">
        <v>2</v>
      </c>
      <c r="G4456" s="1466"/>
      <c r="H4456" s="1362"/>
      <c r="I4456" s="1381"/>
      <c r="J4456" s="1381"/>
      <c r="K4456" s="1359"/>
      <c r="L4456" s="1458"/>
      <c r="M4456" s="1498"/>
      <c r="N4456" s="1498"/>
      <c r="O4456" s="1498"/>
      <c r="P4456" s="1359"/>
      <c r="Q4456" s="3387"/>
      <c r="R4456" s="2338"/>
      <c r="S4456" s="16"/>
      <c r="T4456" s="16"/>
      <c r="U4456" s="16"/>
      <c r="V4456" s="16"/>
    </row>
    <row r="4457" spans="1:22">
      <c r="A4457" s="16"/>
      <c r="B4457" s="553"/>
      <c r="C4457" s="1042"/>
      <c r="D4457" s="1622" t="s">
        <v>1153</v>
      </c>
      <c r="E4457" s="2125" t="s">
        <v>1508</v>
      </c>
      <c r="F4457" s="1363" t="s">
        <v>1697</v>
      </c>
      <c r="G4457" s="1408">
        <v>0.3</v>
      </c>
      <c r="H4457" s="1408"/>
      <c r="I4457" s="1340"/>
      <c r="J4457" s="198"/>
      <c r="K4457" s="1307">
        <f>G4457*K4450</f>
        <v>0.48602399999999996</v>
      </c>
      <c r="L4457" s="1335">
        <f>K4457*$K$4325</f>
        <v>0</v>
      </c>
      <c r="M4457" s="1302">
        <v>19.23</v>
      </c>
      <c r="N4457" s="1700"/>
      <c r="O4457" s="1290">
        <f>(G4457*M4457)</f>
        <v>5.7690000000000001</v>
      </c>
      <c r="P4457" s="1332">
        <f>M4457*K4457</f>
        <v>9.3462415199999995</v>
      </c>
      <c r="Q4457" s="3391"/>
      <c r="R4457" s="2338"/>
      <c r="S4457" s="16"/>
      <c r="T4457" s="16"/>
      <c r="U4457" s="16"/>
      <c r="V4457" s="16"/>
    </row>
    <row r="4458" spans="1:22">
      <c r="A4458" s="16"/>
      <c r="B4458" s="553"/>
      <c r="C4458" s="1042"/>
      <c r="D4458" s="1622"/>
      <c r="E4458" s="2125"/>
      <c r="F4458" s="1363"/>
      <c r="G4458" s="1474"/>
      <c r="H4458" s="1408"/>
      <c r="I4458" s="1340"/>
      <c r="J4458" s="198"/>
      <c r="K4458" s="1307"/>
      <c r="L4458" s="1335"/>
      <c r="M4458" s="1302"/>
      <c r="N4458" s="1700"/>
      <c r="O4458" s="1290"/>
      <c r="P4458" s="1332"/>
      <c r="Q4458" s="3391"/>
      <c r="R4458" s="2338"/>
      <c r="S4458" s="16"/>
      <c r="T4458" s="16"/>
      <c r="U4458" s="16"/>
      <c r="V4458" s="16"/>
    </row>
    <row r="4459" spans="1:22">
      <c r="A4459" s="16"/>
      <c r="B4459" s="553"/>
      <c r="C4459" s="1042"/>
      <c r="D4459" s="1622"/>
      <c r="E4459" s="2125"/>
      <c r="F4459" s="1363"/>
      <c r="G4459" s="1474"/>
      <c r="H4459" s="1408"/>
      <c r="I4459" s="1340"/>
      <c r="J4459" s="198"/>
      <c r="K4459" s="1307"/>
      <c r="L4459" s="1335"/>
      <c r="M4459" s="1302"/>
      <c r="N4459" s="1700"/>
      <c r="O4459" s="1290"/>
      <c r="P4459" s="1332"/>
      <c r="Q4459" s="3391"/>
      <c r="R4459" s="2338"/>
      <c r="S4459" s="16"/>
      <c r="T4459" s="16"/>
      <c r="U4459" s="16"/>
      <c r="V4459" s="16"/>
    </row>
    <row r="4460" spans="1:22">
      <c r="A4460" s="16"/>
      <c r="B4460" s="553"/>
      <c r="C4460" s="1042"/>
      <c r="D4460" s="1411"/>
      <c r="E4460" s="2123"/>
      <c r="F4460" s="1475" t="s">
        <v>3</v>
      </c>
      <c r="G4460" s="1377"/>
      <c r="H4460" s="1376"/>
      <c r="I4460" s="1383" t="s">
        <v>506</v>
      </c>
      <c r="J4460" s="1383"/>
      <c r="K4460" s="1383"/>
      <c r="L4460" s="1413"/>
      <c r="M4460" s="1376"/>
      <c r="N4460" s="1376"/>
      <c r="O4460" s="1376"/>
      <c r="P4460" s="1373"/>
      <c r="Q4460" s="3387"/>
      <c r="R4460" s="2338"/>
      <c r="S4460" s="16"/>
      <c r="T4460" s="16"/>
      <c r="U4460" s="16"/>
      <c r="V4460" s="16"/>
    </row>
    <row r="4461" spans="1:22">
      <c r="A4461" s="16"/>
      <c r="B4461" s="553"/>
      <c r="C4461" s="1042"/>
      <c r="D4461" s="1440"/>
      <c r="E4461" s="2132"/>
      <c r="F4461" s="1441"/>
      <c r="G4461" s="1441"/>
      <c r="H4461" s="1442"/>
      <c r="I4461" s="197" t="s">
        <v>506</v>
      </c>
      <c r="J4461" s="198"/>
      <c r="K4461" s="1307"/>
      <c r="L4461" s="1335" t="s">
        <v>506</v>
      </c>
      <c r="M4461" s="1499"/>
      <c r="N4461" s="1701"/>
      <c r="O4461" s="1290"/>
      <c r="P4461" s="1332"/>
      <c r="Q4461" s="3391"/>
      <c r="R4461" s="2338"/>
      <c r="S4461" s="16"/>
      <c r="T4461" s="16"/>
      <c r="U4461" s="16"/>
      <c r="V4461" s="16"/>
    </row>
    <row r="4462" spans="1:22">
      <c r="A4462" s="16"/>
      <c r="B4462" s="553"/>
      <c r="C4462" s="1042"/>
      <c r="D4462" s="1440"/>
      <c r="E4462" s="2132"/>
      <c r="F4462" s="1441"/>
      <c r="G4462" s="1441"/>
      <c r="H4462" s="1442"/>
      <c r="I4462" s="197" t="s">
        <v>506</v>
      </c>
      <c r="J4462" s="198"/>
      <c r="K4462" s="1307"/>
      <c r="L4462" s="1335" t="s">
        <v>506</v>
      </c>
      <c r="M4462" s="1499"/>
      <c r="N4462" s="1701"/>
      <c r="O4462" s="1290"/>
      <c r="P4462" s="1332"/>
      <c r="Q4462" s="3391"/>
      <c r="R4462" s="2338"/>
      <c r="S4462" s="16"/>
      <c r="T4462" s="16"/>
      <c r="U4462" s="16"/>
      <c r="V4462" s="16"/>
    </row>
    <row r="4463" spans="1:22">
      <c r="A4463" s="16"/>
      <c r="B4463" s="554"/>
      <c r="C4463" s="223"/>
      <c r="D4463" s="1440"/>
      <c r="E4463" s="2132"/>
      <c r="F4463" s="1441"/>
      <c r="G4463" s="1441"/>
      <c r="H4463" s="1442"/>
      <c r="I4463" s="197"/>
      <c r="J4463" s="198"/>
      <c r="K4463" s="1307"/>
      <c r="L4463" s="1335"/>
      <c r="M4463" s="1499"/>
      <c r="N4463" s="1701"/>
      <c r="O4463" s="1290"/>
      <c r="P4463" s="1332"/>
      <c r="Q4463" s="3391"/>
      <c r="R4463" s="2338"/>
      <c r="S4463" s="16"/>
      <c r="T4463" s="16"/>
      <c r="U4463" s="16"/>
      <c r="V4463" s="16"/>
    </row>
    <row r="4464" spans="1:22" ht="15" customHeight="1">
      <c r="A4464" s="19" t="s">
        <v>3764</v>
      </c>
      <c r="B4464" s="4325" t="s">
        <v>1661</v>
      </c>
      <c r="C4464" s="4101"/>
      <c r="D4464" s="4327"/>
      <c r="E4464" s="4329" t="s">
        <v>1507</v>
      </c>
      <c r="F4464" s="4336" t="s">
        <v>1706</v>
      </c>
      <c r="G4464" s="4331" t="s">
        <v>1568</v>
      </c>
      <c r="H4464" s="4331" t="s">
        <v>1574</v>
      </c>
      <c r="I4464" s="1572" t="s">
        <v>1559</v>
      </c>
      <c r="J4464" s="1294" t="s">
        <v>1560</v>
      </c>
      <c r="K4464" s="1294" t="s">
        <v>1561</v>
      </c>
      <c r="L4464" s="4333" t="s">
        <v>3765</v>
      </c>
      <c r="M4464" s="4335" t="s">
        <v>1571</v>
      </c>
      <c r="N4464" s="4323" t="s">
        <v>1776</v>
      </c>
      <c r="O4464" s="4098" t="s">
        <v>1563</v>
      </c>
      <c r="P4464" s="1336" t="s">
        <v>1562</v>
      </c>
      <c r="Q4464" s="3389"/>
      <c r="R4464" s="1699" t="s">
        <v>1327</v>
      </c>
      <c r="S4464" s="16"/>
      <c r="T4464" s="16"/>
      <c r="U4464" s="16"/>
      <c r="V4464" s="16"/>
    </row>
    <row r="4465" spans="1:22">
      <c r="A4465" s="1807" t="s">
        <v>3835</v>
      </c>
      <c r="B4465" s="4326"/>
      <c r="C4465" s="4102"/>
      <c r="D4465" s="4328"/>
      <c r="E4465" s="4389"/>
      <c r="F4465" s="4336"/>
      <c r="G4465" s="4332"/>
      <c r="H4465" s="4332"/>
      <c r="I4465" s="1345">
        <v>234.11</v>
      </c>
      <c r="J4465" s="1307">
        <v>7.0000000000000001E-3</v>
      </c>
      <c r="K4465" s="1307">
        <f>I4465*J4465</f>
        <v>1.6387700000000001</v>
      </c>
      <c r="L4465" s="4334"/>
      <c r="M4465" s="4335"/>
      <c r="N4465" s="4324"/>
      <c r="O4465" s="1298">
        <f>SUM(O4467:O4478)</f>
        <v>8.9870400000000004</v>
      </c>
      <c r="P4465" s="1337">
        <f>O4465*K4465</f>
        <v>14.7276915408</v>
      </c>
      <c r="Q4465" s="3390"/>
      <c r="R4465" s="1721">
        <f>SUM(P4467:P4479)</f>
        <v>14.727691540799999</v>
      </c>
      <c r="S4465" s="16"/>
      <c r="T4465" s="16"/>
      <c r="U4465" s="16"/>
      <c r="V4465" s="16"/>
    </row>
    <row r="4466" spans="1:22">
      <c r="A4466" s="16"/>
      <c r="B4466" s="1327"/>
      <c r="C4466" s="1327"/>
      <c r="D4466" s="1400"/>
      <c r="E4466" s="2121"/>
      <c r="F4466" s="1368" t="s">
        <v>1</v>
      </c>
      <c r="G4466" s="1417"/>
      <c r="H4466" s="1390"/>
      <c r="I4466" s="1554"/>
      <c r="J4466" s="1367"/>
      <c r="K4466" s="1367"/>
      <c r="L4466" s="1554"/>
      <c r="M4466" s="1369"/>
      <c r="N4466" s="1369"/>
      <c r="O4466" s="1369"/>
      <c r="P4466" s="1367"/>
      <c r="Q4466" s="3387"/>
      <c r="R4466" s="2337"/>
      <c r="S4466" s="16"/>
      <c r="T4466" s="16"/>
      <c r="U4466" s="16"/>
      <c r="V4466" s="16"/>
    </row>
    <row r="4467" spans="1:22">
      <c r="A4467" s="16"/>
      <c r="B4467" s="1320"/>
      <c r="C4467" s="1042"/>
      <c r="D4467" s="1761" t="s">
        <v>1698</v>
      </c>
      <c r="E4467" s="2170" t="s">
        <v>1357</v>
      </c>
      <c r="F4467" s="1761" t="s">
        <v>1699</v>
      </c>
      <c r="G4467" s="1762">
        <v>0.45</v>
      </c>
      <c r="H4467" s="1762"/>
      <c r="I4467" s="27"/>
      <c r="J4467" s="6"/>
      <c r="K4467" s="1307">
        <f>G4467*K4465</f>
        <v>0.7374465</v>
      </c>
      <c r="L4467" s="1335">
        <f t="shared" ref="L4467:L4469" si="534">K4467*$K$4325</f>
        <v>0</v>
      </c>
      <c r="M4467" s="1499">
        <v>1.7</v>
      </c>
      <c r="N4467" s="1701"/>
      <c r="O4467" s="1290">
        <f>(G4467*M4467)</f>
        <v>0.76500000000000001</v>
      </c>
      <c r="P4467" s="1332">
        <f>M4467*K4467</f>
        <v>1.25365905</v>
      </c>
      <c r="Q4467" s="3391"/>
      <c r="R4467" s="2337"/>
      <c r="S4467" s="16"/>
      <c r="T4467" s="16"/>
      <c r="U4467" s="16"/>
      <c r="V4467" s="16"/>
    </row>
    <row r="4468" spans="1:22">
      <c r="A4468" s="16"/>
      <c r="B4468" s="1320"/>
      <c r="C4468" s="1042"/>
      <c r="D4468" s="1761" t="s">
        <v>1214</v>
      </c>
      <c r="E4468" s="2170" t="s">
        <v>1357</v>
      </c>
      <c r="F4468" s="1761" t="s">
        <v>1700</v>
      </c>
      <c r="G4468" s="1762">
        <v>0.35</v>
      </c>
      <c r="H4468" s="1762"/>
      <c r="I4468" s="27"/>
      <c r="J4468" s="198"/>
      <c r="K4468" s="1307">
        <f>G4468*K4465</f>
        <v>0.57356949999999995</v>
      </c>
      <c r="L4468" s="1335">
        <f t="shared" si="534"/>
        <v>0</v>
      </c>
      <c r="M4468" s="1499">
        <v>4.2</v>
      </c>
      <c r="N4468" s="1701"/>
      <c r="O4468" s="1290">
        <f>(G4468*M4468)</f>
        <v>1.47</v>
      </c>
      <c r="P4468" s="1332">
        <f>M4468*K4468</f>
        <v>2.4089918999999997</v>
      </c>
      <c r="Q4468" s="3391"/>
      <c r="R4468" s="2337"/>
      <c r="S4468" s="16"/>
      <c r="T4468" s="16"/>
      <c r="U4468" s="16"/>
      <c r="V4468" s="16"/>
    </row>
    <row r="4469" spans="1:22">
      <c r="A4469" s="16"/>
      <c r="B4469" s="1320"/>
      <c r="C4469" s="1042"/>
      <c r="D4469" s="1761" t="s">
        <v>1701</v>
      </c>
      <c r="E4469" s="2170" t="s">
        <v>1504</v>
      </c>
      <c r="F4469" s="1761" t="s">
        <v>1541</v>
      </c>
      <c r="G4469" s="1762">
        <v>0.2</v>
      </c>
      <c r="H4469" s="1762"/>
      <c r="I4469" s="27"/>
      <c r="J4469" s="10"/>
      <c r="K4469" s="1307">
        <f>G4469*K4465</f>
        <v>0.32775400000000005</v>
      </c>
      <c r="L4469" s="1335">
        <f t="shared" si="534"/>
        <v>0</v>
      </c>
      <c r="M4469" s="1499">
        <v>0.3</v>
      </c>
      <c r="N4469" s="1701"/>
      <c r="O4469" s="1290">
        <f>(G4469*M4469)</f>
        <v>0.06</v>
      </c>
      <c r="P4469" s="1332">
        <f>M4469*K4469</f>
        <v>9.8326200000000016E-2</v>
      </c>
      <c r="Q4469" s="3391"/>
      <c r="R4469" s="2337"/>
      <c r="S4469" s="16"/>
      <c r="T4469" s="16"/>
      <c r="U4469" s="16"/>
      <c r="V4469" s="16"/>
    </row>
    <row r="4470" spans="1:22">
      <c r="A4470" s="16"/>
      <c r="B4470" s="1320"/>
      <c r="C4470" s="1042"/>
      <c r="D4470" s="1367"/>
      <c r="E4470" s="1856"/>
      <c r="F4470" s="1421"/>
      <c r="G4470" s="1399"/>
      <c r="H4470" s="1399"/>
      <c r="I4470" s="1289"/>
      <c r="J4470" s="198"/>
      <c r="K4470" s="1307"/>
      <c r="L4470" s="1335"/>
      <c r="M4470" s="1499"/>
      <c r="N4470" s="1701"/>
      <c r="O4470" s="1290"/>
      <c r="P4470" s="1332"/>
      <c r="Q4470" s="3391"/>
      <c r="R4470" s="2337"/>
      <c r="S4470" s="16"/>
      <c r="T4470" s="16"/>
      <c r="U4470" s="16"/>
      <c r="V4470" s="16"/>
    </row>
    <row r="4471" spans="1:22">
      <c r="A4471" s="16"/>
      <c r="B4471" s="1320"/>
      <c r="C4471" s="1042"/>
      <c r="D4471" s="1367"/>
      <c r="E4471" s="1856"/>
      <c r="F4471" s="1421"/>
      <c r="G4471" s="1399"/>
      <c r="H4471" s="1399"/>
      <c r="I4471" s="1289"/>
      <c r="J4471" s="198"/>
      <c r="K4471" s="1307"/>
      <c r="L4471" s="1335"/>
      <c r="M4471" s="1499"/>
      <c r="N4471" s="1701"/>
      <c r="O4471" s="1290"/>
      <c r="P4471" s="1332"/>
      <c r="Q4471" s="3391"/>
      <c r="R4471" s="2337"/>
      <c r="S4471" s="16"/>
      <c r="T4471" s="16"/>
      <c r="U4471" s="16"/>
      <c r="V4471" s="16"/>
    </row>
    <row r="4472" spans="1:22">
      <c r="A4472" s="16"/>
      <c r="B4472" s="1320"/>
      <c r="C4472" s="1320"/>
      <c r="D4472" s="1410"/>
      <c r="E4472" s="1858"/>
      <c r="F4472" s="1360" t="s">
        <v>2</v>
      </c>
      <c r="G4472" s="1362"/>
      <c r="H4472" s="1362"/>
      <c r="I4472" s="1380"/>
      <c r="J4472" s="1381"/>
      <c r="K4472" s="1359"/>
      <c r="L4472" s="1458"/>
      <c r="M4472" s="1502"/>
      <c r="N4472" s="1502"/>
      <c r="O4472" s="1362"/>
      <c r="P4472" s="1359"/>
      <c r="Q4472" s="3387"/>
      <c r="R4472" s="2337"/>
      <c r="S4472" s="16"/>
      <c r="T4472" s="16"/>
      <c r="U4472" s="16"/>
      <c r="V4472" s="16"/>
    </row>
    <row r="4473" spans="1:22">
      <c r="A4473" s="16"/>
      <c r="B4473" s="1320"/>
      <c r="C4473" s="1042"/>
      <c r="D4473" s="1624" t="s">
        <v>1702</v>
      </c>
      <c r="E4473" s="2158" t="s">
        <v>1508</v>
      </c>
      <c r="F4473" s="1624" t="s">
        <v>1703</v>
      </c>
      <c r="G4473" s="1625">
        <v>0.34799999999999998</v>
      </c>
      <c r="H4473" s="1625"/>
      <c r="I4473" s="198"/>
      <c r="J4473" s="6"/>
      <c r="K4473" s="1307">
        <f>G4473*K4465</f>
        <v>0.57029195999999993</v>
      </c>
      <c r="L4473" s="1335">
        <f>K4473*$K$4325</f>
        <v>0</v>
      </c>
      <c r="M4473" s="1499">
        <v>19.23</v>
      </c>
      <c r="N4473" s="1701"/>
      <c r="O4473" s="1290">
        <f>(G4473*M4473)</f>
        <v>6.6920399999999995</v>
      </c>
      <c r="P4473" s="1332">
        <f>M4473*K4473</f>
        <v>10.966714390799998</v>
      </c>
      <c r="Q4473" s="3391"/>
      <c r="R4473" s="2337"/>
      <c r="S4473" s="16"/>
      <c r="T4473" s="16"/>
      <c r="U4473" s="16"/>
      <c r="V4473" s="16"/>
    </row>
    <row r="4474" spans="1:22">
      <c r="A4474" s="16"/>
      <c r="B4474" s="1320"/>
      <c r="C4474" s="1042"/>
      <c r="D4474" s="1402"/>
      <c r="E4474" s="1857"/>
      <c r="F4474" s="1645"/>
      <c r="G4474" s="1362"/>
      <c r="H4474" s="1359"/>
      <c r="I4474" s="198"/>
      <c r="J4474" s="6"/>
      <c r="K4474" s="1306"/>
      <c r="L4474" s="1646"/>
      <c r="M4474" s="1499"/>
      <c r="N4474" s="1499"/>
      <c r="O4474" s="1291"/>
      <c r="P4474" s="1332"/>
      <c r="Q4474" s="3391"/>
      <c r="R4474" s="2337"/>
      <c r="S4474" s="16"/>
      <c r="T4474" s="16"/>
      <c r="U4474" s="16"/>
      <c r="V4474" s="16"/>
    </row>
    <row r="4475" spans="1:22">
      <c r="A4475" s="16"/>
      <c r="B4475" s="1320"/>
      <c r="C4475" s="1042"/>
      <c r="D4475" s="1402"/>
      <c r="E4475" s="1857"/>
      <c r="F4475" s="1403"/>
      <c r="G4475" s="1362"/>
      <c r="H4475" s="1359"/>
      <c r="I4475" s="198"/>
      <c r="J4475" s="6"/>
      <c r="K4475" s="1307"/>
      <c r="L4475" s="1335"/>
      <c r="M4475" s="1499"/>
      <c r="N4475" s="1701"/>
      <c r="O4475" s="1290"/>
      <c r="P4475" s="1332"/>
      <c r="Q4475" s="3391"/>
      <c r="R4475" s="2337"/>
      <c r="S4475" s="16"/>
      <c r="T4475" s="16"/>
      <c r="U4475" s="16"/>
      <c r="V4475" s="16"/>
    </row>
    <row r="4476" spans="1:22">
      <c r="A4476" s="16"/>
      <c r="B4476" s="1320"/>
      <c r="C4476" s="1042"/>
      <c r="D4476" s="1411"/>
      <c r="E4476" s="2123"/>
      <c r="F4476" s="1374" t="s">
        <v>3</v>
      </c>
      <c r="G4476" s="1374"/>
      <c r="H4476" s="1376"/>
      <c r="I4476" s="1382"/>
      <c r="J4476" s="1383"/>
      <c r="K4476" s="1373"/>
      <c r="L4476" s="1413"/>
      <c r="M4476" s="1505"/>
      <c r="N4476" s="1505"/>
      <c r="O4476" s="1376"/>
      <c r="P4476" s="1413"/>
      <c r="Q4476" s="3387"/>
      <c r="R4476" s="2337"/>
      <c r="S4476" s="16"/>
      <c r="T4476" s="16"/>
      <c r="U4476" s="16"/>
      <c r="V4476" s="16"/>
    </row>
    <row r="4477" spans="1:22">
      <c r="A4477" s="16"/>
      <c r="B4477" s="1320"/>
      <c r="C4477" s="1042"/>
      <c r="D4477" s="1412"/>
      <c r="E4477" s="2124"/>
      <c r="F4477" s="1378"/>
      <c r="G4477" s="1378"/>
      <c r="H4477" s="1379"/>
      <c r="I4477" s="198"/>
      <c r="J4477" s="6"/>
      <c r="K4477" s="1307"/>
      <c r="L4477" s="1335"/>
      <c r="M4477" s="1499"/>
      <c r="N4477" s="1701"/>
      <c r="O4477" s="1290"/>
      <c r="P4477" s="1332"/>
      <c r="Q4477" s="3391"/>
      <c r="R4477" s="2337"/>
      <c r="S4477" s="16"/>
      <c r="T4477" s="16"/>
      <c r="U4477" s="16"/>
      <c r="V4477" s="16"/>
    </row>
    <row r="4478" spans="1:22">
      <c r="A4478" s="16"/>
      <c r="B4478" s="1320"/>
      <c r="C4478" s="1042"/>
      <c r="D4478" s="1440"/>
      <c r="E4478" s="2132"/>
      <c r="F4478" s="1441"/>
      <c r="G4478" s="1441"/>
      <c r="H4478" s="1442"/>
      <c r="I4478" s="197"/>
      <c r="J4478" s="198"/>
      <c r="K4478" s="1307"/>
      <c r="L4478" s="1335"/>
      <c r="M4478" s="1499"/>
      <c r="N4478" s="1701"/>
      <c r="O4478" s="1290"/>
      <c r="P4478" s="1332"/>
      <c r="Q4478" s="3391"/>
      <c r="R4478" s="2337"/>
      <c r="S4478" s="16"/>
      <c r="T4478" s="16"/>
      <c r="U4478" s="16"/>
      <c r="V4478" s="16"/>
    </row>
    <row r="4479" spans="1:22">
      <c r="A4479" s="16"/>
      <c r="B4479" s="225"/>
      <c r="C4479" s="223"/>
      <c r="D4479" s="1440"/>
      <c r="E4479" s="2132"/>
      <c r="F4479" s="1955"/>
      <c r="G4479" s="1955"/>
      <c r="H4479" s="1956"/>
      <c r="I4479" s="197"/>
      <c r="J4479" s="198"/>
      <c r="K4479" s="1307"/>
      <c r="L4479" s="1335"/>
      <c r="M4479" s="1499"/>
      <c r="N4479" s="1701"/>
      <c r="O4479" s="1290"/>
      <c r="P4479" s="1332"/>
      <c r="Q4479" s="3391"/>
      <c r="R4479" s="2337"/>
      <c r="S4479" s="16"/>
      <c r="T4479" s="16"/>
      <c r="U4479" s="16"/>
      <c r="V4479" s="16"/>
    </row>
    <row r="4480" spans="1:22" s="2319" customFormat="1" ht="37.5" customHeight="1">
      <c r="A4480" s="2363">
        <v>42123</v>
      </c>
      <c r="B4480" s="4373" t="s">
        <v>2820</v>
      </c>
      <c r="C4480" s="4373"/>
      <c r="D4480" s="4373"/>
      <c r="E4480" s="4373"/>
      <c r="Q4480" s="3401"/>
      <c r="R4480" s="2318"/>
      <c r="S4480" s="815"/>
      <c r="T4480" s="815"/>
      <c r="U4480" s="815"/>
      <c r="V4480" s="815"/>
    </row>
    <row r="4481" spans="1:22" s="2319" customFormat="1" ht="37.5" customHeight="1">
      <c r="A4481" s="2363"/>
      <c r="B4481" s="4118"/>
      <c r="C4481" s="4118"/>
      <c r="D4481" s="4118"/>
      <c r="E4481" s="4118"/>
      <c r="G4481" s="2328" t="s">
        <v>1975</v>
      </c>
      <c r="H4481" s="2329"/>
      <c r="I4481" s="2330"/>
      <c r="J4481" s="2329"/>
      <c r="K4481" s="2329"/>
      <c r="L4481" s="2330"/>
      <c r="M4481" s="2329"/>
      <c r="N4481" s="2329"/>
      <c r="O4481" s="2329"/>
      <c r="P4481" s="2331"/>
      <c r="Q4481" s="3401"/>
      <c r="R4481" s="2318"/>
      <c r="S4481" s="815"/>
      <c r="T4481" s="815"/>
      <c r="U4481" s="815"/>
      <c r="V4481" s="815"/>
    </row>
    <row r="4482" spans="1:22" ht="34.5" customHeight="1">
      <c r="A4482" s="16"/>
      <c r="L4482" s="2400" t="s">
        <v>2856</v>
      </c>
      <c r="R4482" s="2337"/>
      <c r="S4482" s="16"/>
      <c r="T4482" s="16"/>
      <c r="U4482" s="16"/>
      <c r="V4482" s="16"/>
    </row>
    <row r="4483" spans="1:22">
      <c r="A4483" s="4393" t="s">
        <v>162</v>
      </c>
      <c r="B4483" s="4394"/>
      <c r="C4483" s="4394"/>
      <c r="D4483" s="4395"/>
      <c r="E4483" s="4396" t="s">
        <v>1549</v>
      </c>
      <c r="F4483" s="4397" t="s">
        <v>1550</v>
      </c>
      <c r="G4483" s="4399" t="s">
        <v>1566</v>
      </c>
      <c r="H4483" s="4400"/>
      <c r="I4483" s="4400"/>
      <c r="J4483" s="4400"/>
      <c r="K4483" s="4400"/>
      <c r="L4483" s="4401"/>
      <c r="M4483" s="4405" t="s">
        <v>1567</v>
      </c>
      <c r="N4483" s="4405"/>
      <c r="O4483" s="4405"/>
      <c r="P4483" s="4405"/>
      <c r="Q4483" s="3395"/>
      <c r="R4483" s="2337"/>
      <c r="S4483" s="16"/>
      <c r="T4483" s="16"/>
      <c r="U4483" s="16"/>
      <c r="V4483" s="16"/>
    </row>
    <row r="4484" spans="1:22">
      <c r="A4484" s="1324" t="s">
        <v>3766</v>
      </c>
      <c r="B4484" s="1325" t="s">
        <v>1513</v>
      </c>
      <c r="C4484" s="1326" t="s">
        <v>1573</v>
      </c>
      <c r="D4484" s="1323" t="s">
        <v>1514</v>
      </c>
      <c r="E4484" s="4396"/>
      <c r="F4484" s="4398"/>
      <c r="G4484" s="4402"/>
      <c r="H4484" s="4403"/>
      <c r="I4484" s="4403"/>
      <c r="J4484" s="4403"/>
      <c r="K4484" s="4403"/>
      <c r="L4484" s="4404"/>
      <c r="M4484" s="4405"/>
      <c r="N4484" s="4405"/>
      <c r="O4484" s="4405"/>
      <c r="P4484" s="4405"/>
      <c r="Q4484" s="3395"/>
      <c r="R4484" s="2337"/>
      <c r="S4484" s="16"/>
      <c r="T4484" s="16"/>
      <c r="U4484" s="16"/>
      <c r="V4484" s="16"/>
    </row>
    <row r="4485" spans="1:22" ht="36" customHeight="1">
      <c r="A4485" s="4508" t="s">
        <v>1976</v>
      </c>
      <c r="B4485" s="4508"/>
      <c r="C4485" s="4508"/>
      <c r="D4485" s="4508"/>
      <c r="E4485" s="4408" t="s">
        <v>1507</v>
      </c>
      <c r="F4485" s="4509" t="s">
        <v>1926</v>
      </c>
      <c r="G4485" s="4493" t="s">
        <v>294</v>
      </c>
      <c r="H4485" s="4493"/>
      <c r="I4485" s="1665" t="s">
        <v>1565</v>
      </c>
      <c r="J4485" s="3348" t="s">
        <v>1575</v>
      </c>
      <c r="K4485" s="4493" t="s">
        <v>289</v>
      </c>
      <c r="L4485" s="4493"/>
      <c r="M4485" s="4408" t="s">
        <v>3349</v>
      </c>
      <c r="N4485" s="4408"/>
      <c r="O4485" s="4408"/>
      <c r="P4485" s="4408"/>
      <c r="Q4485" s="3394" t="s">
        <v>3944</v>
      </c>
      <c r="R4485" s="2337"/>
      <c r="S4485" s="16"/>
      <c r="T4485" s="16"/>
      <c r="U4485" s="16"/>
      <c r="V4485" s="16"/>
    </row>
    <row r="4486" spans="1:22" ht="20.25" customHeight="1">
      <c r="A4486" s="4508"/>
      <c r="B4486" s="4508"/>
      <c r="C4486" s="4508"/>
      <c r="D4486" s="4508"/>
      <c r="E4486" s="4408"/>
      <c r="F4486" s="4509"/>
      <c r="G4486" s="4510">
        <f>IF('Seleccion proyecto HEREVEA02'!G37="Reparación humedades capilaridad",'Seleccion proyecto HEREVEA02'!E34,0)</f>
        <v>0</v>
      </c>
      <c r="H4486" s="4510"/>
      <c r="I4486" s="3353">
        <f>IF('Seleccion proyecto HEREVEA02'!H37=0,0,IF('Seleccion proyecto HEREVEA02'!H37="1 a 30",0.3,IF('Seleccion proyecto HEREVEA02'!H37="31 a 60",0.6,IF('Seleccion proyecto HEREVEA02'!H37="61 a 100",1))))</f>
        <v>0</v>
      </c>
      <c r="J4486" s="1351">
        <f>'Seleccion proyecto HEREVEA02'!L8</f>
        <v>11100.968999999999</v>
      </c>
      <c r="K4486" s="4511">
        <f>G4486*I4486*J4486</f>
        <v>0</v>
      </c>
      <c r="L4486" s="4511"/>
      <c r="M4486" s="4512">
        <f>P4488+P4502+P4520+P4535</f>
        <v>243.94108</v>
      </c>
      <c r="N4486" s="4512"/>
      <c r="O4486" s="4512"/>
      <c r="P4486" s="4512"/>
      <c r="Q4486" s="3388">
        <f>M4486*K4486</f>
        <v>0</v>
      </c>
      <c r="R4486" s="2337"/>
      <c r="S4486" s="16"/>
      <c r="T4486" s="16"/>
      <c r="U4486" s="16"/>
      <c r="V4486" s="16"/>
    </row>
    <row r="4487" spans="1:22" ht="15" customHeight="1">
      <c r="A4487" s="19" t="s">
        <v>3764</v>
      </c>
      <c r="B4487" s="4325" t="s">
        <v>1735</v>
      </c>
      <c r="C4487" s="3350"/>
      <c r="D4487" s="4327"/>
      <c r="E4487" s="4389" t="s">
        <v>1507</v>
      </c>
      <c r="F4487" s="4363" t="s">
        <v>1771</v>
      </c>
      <c r="G4487" s="4364" t="s">
        <v>1568</v>
      </c>
      <c r="H4487" s="4364" t="s">
        <v>1574</v>
      </c>
      <c r="I4487" s="1835" t="s">
        <v>1559</v>
      </c>
      <c r="J4487" s="1836" t="s">
        <v>1560</v>
      </c>
      <c r="K4487" s="1836" t="s">
        <v>1569</v>
      </c>
      <c r="L4487" s="4365" t="s">
        <v>3765</v>
      </c>
      <c r="M4487" s="4324" t="s">
        <v>1571</v>
      </c>
      <c r="N4487" s="4366" t="s">
        <v>1776</v>
      </c>
      <c r="O4487" s="3343" t="s">
        <v>1563</v>
      </c>
      <c r="P4487" s="3349" t="s">
        <v>1562</v>
      </c>
      <c r="Q4487" s="3389"/>
      <c r="R4487" s="1699" t="s">
        <v>1327</v>
      </c>
      <c r="S4487" s="16"/>
      <c r="T4487" s="16"/>
      <c r="U4487" s="16"/>
      <c r="V4487" s="16"/>
    </row>
    <row r="4488" spans="1:22">
      <c r="A4488" s="1807" t="s">
        <v>1976</v>
      </c>
      <c r="B4488" s="4326"/>
      <c r="C4488" s="3351"/>
      <c r="D4488" s="4328"/>
      <c r="E4488" s="4330"/>
      <c r="F4488" s="4336"/>
      <c r="G4488" s="4332"/>
      <c r="H4488" s="4332"/>
      <c r="I4488" s="1980">
        <v>2</v>
      </c>
      <c r="J4488" s="1981">
        <v>1</v>
      </c>
      <c r="K4488" s="1307">
        <f>I4488*J4488</f>
        <v>2</v>
      </c>
      <c r="L4488" s="4334"/>
      <c r="M4488" s="4335"/>
      <c r="N4488" s="4324"/>
      <c r="O4488" s="1298">
        <f>SUM(O4490:O4500)</f>
        <v>8.6829999999999998</v>
      </c>
      <c r="P4488" s="1337">
        <f>O4488*K4488</f>
        <v>17.366</v>
      </c>
      <c r="Q4488" s="3390"/>
      <c r="R4488" s="1721">
        <f>SUM(P4490:P4499)</f>
        <v>17.366</v>
      </c>
      <c r="S4488" s="16"/>
      <c r="T4488" s="16"/>
      <c r="U4488" s="16"/>
      <c r="V4488" s="16"/>
    </row>
    <row r="4489" spans="1:22">
      <c r="B4489" s="551"/>
      <c r="C4489" s="18"/>
      <c r="D4489" s="1400"/>
      <c r="E4489" s="2121"/>
      <c r="F4489" s="1368" t="s">
        <v>1</v>
      </c>
      <c r="G4489" s="1417"/>
      <c r="H4489" s="1390"/>
      <c r="I4489" s="1554"/>
      <c r="J4489" s="1367"/>
      <c r="K4489" s="1367"/>
      <c r="L4489" s="1554"/>
      <c r="M4489" s="1369"/>
      <c r="N4489" s="1369"/>
      <c r="O4489" s="1369"/>
      <c r="P4489" s="1367"/>
      <c r="Q4489" s="3387"/>
      <c r="R4489" s="3363"/>
      <c r="S4489" s="16"/>
      <c r="T4489" s="16"/>
      <c r="U4489" s="16"/>
      <c r="V4489" s="16"/>
    </row>
    <row r="4490" spans="1:22">
      <c r="B4490" s="553"/>
      <c r="C4490" s="1042"/>
      <c r="D4490" s="1400"/>
      <c r="E4490" s="1856"/>
      <c r="F4490" s="1421"/>
      <c r="G4490" s="1399"/>
      <c r="H4490" s="1399"/>
      <c r="I4490" s="1760"/>
      <c r="J4490" s="198"/>
      <c r="K4490" s="1307"/>
      <c r="L4490" s="1335"/>
      <c r="M4490" s="1499"/>
      <c r="N4490" s="1701"/>
      <c r="O4490" s="1290"/>
      <c r="P4490" s="1332"/>
      <c r="Q4490" s="3391"/>
      <c r="R4490" s="3363"/>
      <c r="S4490" s="16"/>
      <c r="T4490" s="16"/>
      <c r="U4490" s="16"/>
      <c r="V4490" s="16"/>
    </row>
    <row r="4491" spans="1:22">
      <c r="B4491" s="553"/>
      <c r="C4491" s="1042"/>
      <c r="D4491" s="1400"/>
      <c r="E4491" s="1856"/>
      <c r="F4491" s="1421"/>
      <c r="G4491" s="1399"/>
      <c r="H4491" s="1399"/>
      <c r="I4491" s="1760"/>
      <c r="J4491" s="198"/>
      <c r="K4491" s="1307"/>
      <c r="L4491" s="1335"/>
      <c r="M4491" s="1499"/>
      <c r="N4491" s="1701"/>
      <c r="O4491" s="1290"/>
      <c r="P4491" s="1332"/>
      <c r="Q4491" s="3391"/>
      <c r="R4491" s="3363"/>
      <c r="S4491" s="16"/>
      <c r="T4491" s="16"/>
      <c r="U4491" s="16"/>
      <c r="V4491" s="16"/>
    </row>
    <row r="4492" spans="1:22">
      <c r="B4492" s="553"/>
      <c r="C4492" s="1042"/>
      <c r="D4492" s="1400"/>
      <c r="E4492" s="1856"/>
      <c r="F4492" s="1421"/>
      <c r="G4492" s="1452"/>
      <c r="H4492" s="1399"/>
      <c r="I4492" s="197"/>
      <c r="J4492" s="198"/>
      <c r="K4492" s="1307"/>
      <c r="L4492" s="1335"/>
      <c r="M4492" s="1499"/>
      <c r="N4492" s="1701"/>
      <c r="O4492" s="1290"/>
      <c r="P4492" s="1332"/>
      <c r="Q4492" s="3391"/>
      <c r="R4492" s="3363"/>
      <c r="S4492" s="16"/>
      <c r="T4492" s="16"/>
      <c r="U4492" s="16"/>
      <c r="V4492" s="16"/>
    </row>
    <row r="4493" spans="1:22">
      <c r="B4493" s="553"/>
      <c r="C4493" s="1042"/>
      <c r="D4493" s="1410"/>
      <c r="E4493" s="1858"/>
      <c r="F4493" s="1360" t="s">
        <v>2</v>
      </c>
      <c r="G4493" s="1360"/>
      <c r="H4493" s="1362"/>
      <c r="I4493" s="1380"/>
      <c r="J4493" s="1381"/>
      <c r="K4493" s="1359"/>
      <c r="L4493" s="1458"/>
      <c r="M4493" s="1502"/>
      <c r="N4493" s="1502"/>
      <c r="O4493" s="1362"/>
      <c r="P4493" s="1359"/>
      <c r="Q4493" s="3387"/>
      <c r="R4493" s="2337"/>
      <c r="S4493" s="16"/>
      <c r="T4493" s="16"/>
      <c r="U4493" s="16"/>
      <c r="V4493" s="16"/>
    </row>
    <row r="4494" spans="1:22">
      <c r="B4494" s="553"/>
      <c r="C4494" s="1042"/>
      <c r="D4494" s="1364" t="s">
        <v>1067</v>
      </c>
      <c r="E4494" s="2148" t="s">
        <v>1508</v>
      </c>
      <c r="F4494" s="1473" t="s">
        <v>1512</v>
      </c>
      <c r="G4494" s="1365">
        <v>0.47499999999999998</v>
      </c>
      <c r="H4494" s="1365"/>
      <c r="I4494" s="198"/>
      <c r="J4494" s="6"/>
      <c r="K4494" s="1307">
        <f>G4494*K4488</f>
        <v>0.95</v>
      </c>
      <c r="L4494" s="1335">
        <f>$K$4486*K4494</f>
        <v>0</v>
      </c>
      <c r="M4494" s="1499">
        <v>18.28</v>
      </c>
      <c r="N4494" s="1701"/>
      <c r="O4494" s="1290">
        <f>(G4494*M4494)</f>
        <v>8.6829999999999998</v>
      </c>
      <c r="P4494" s="1332">
        <f>M4494*K4494</f>
        <v>17.366</v>
      </c>
      <c r="Q4494" s="3391"/>
      <c r="R4494" s="3363"/>
      <c r="S4494" s="16"/>
      <c r="T4494" s="16"/>
      <c r="U4494" s="16"/>
      <c r="V4494" s="16"/>
    </row>
    <row r="4495" spans="1:22">
      <c r="B4495" s="553"/>
      <c r="C4495" s="1042"/>
      <c r="D4495" s="1623"/>
      <c r="E4495" s="2158"/>
      <c r="F4495" s="1801"/>
      <c r="G4495" s="1359"/>
      <c r="H4495" s="1803"/>
      <c r="I4495" s="198"/>
      <c r="J4495" s="6"/>
      <c r="K4495" s="1307"/>
      <c r="L4495" s="1335"/>
      <c r="M4495" s="1499"/>
      <c r="N4495" s="1701"/>
      <c r="O4495" s="1290"/>
      <c r="P4495" s="1332"/>
      <c r="Q4495" s="3391"/>
      <c r="R4495" s="2337"/>
      <c r="S4495" s="16"/>
      <c r="T4495" s="16"/>
      <c r="U4495" s="16"/>
      <c r="V4495" s="16"/>
    </row>
    <row r="4496" spans="1:22">
      <c r="B4496" s="553"/>
      <c r="C4496" s="1042"/>
      <c r="D4496" s="1623"/>
      <c r="E4496" s="2158"/>
      <c r="F4496" s="1801"/>
      <c r="G4496" s="1359"/>
      <c r="H4496" s="1803"/>
      <c r="I4496" s="198"/>
      <c r="J4496" s="6"/>
      <c r="K4496" s="1307"/>
      <c r="L4496" s="1335"/>
      <c r="M4496" s="1499"/>
      <c r="N4496" s="1701"/>
      <c r="O4496" s="1290"/>
      <c r="P4496" s="1332"/>
      <c r="Q4496" s="3391"/>
      <c r="R4496" s="2337"/>
      <c r="S4496" s="16"/>
      <c r="T4496" s="16"/>
      <c r="U4496" s="16"/>
      <c r="V4496" s="16"/>
    </row>
    <row r="4497" spans="1:22">
      <c r="B4497" s="553"/>
      <c r="C4497" s="1042"/>
      <c r="D4497" s="1411"/>
      <c r="E4497" s="2123"/>
      <c r="F4497" s="1802" t="s">
        <v>3</v>
      </c>
      <c r="G4497" s="1475"/>
      <c r="H4497" s="1505"/>
      <c r="I4497" s="1382"/>
      <c r="J4497" s="1383"/>
      <c r="K4497" s="1373"/>
      <c r="L4497" s="1413"/>
      <c r="M4497" s="1505"/>
      <c r="N4497" s="1505"/>
      <c r="O4497" s="1376"/>
      <c r="P4497" s="1413"/>
      <c r="Q4497" s="3387"/>
      <c r="R4497" s="2337"/>
      <c r="S4497" s="16"/>
      <c r="T4497" s="16"/>
      <c r="U4497" s="16"/>
      <c r="V4497" s="16"/>
    </row>
    <row r="4498" spans="1:22">
      <c r="B4498" s="553"/>
      <c r="C4498" s="1042"/>
      <c r="D4498" s="1411"/>
      <c r="E4498" s="2123"/>
      <c r="F4498" s="1475"/>
      <c r="G4498" s="1475"/>
      <c r="H4498" s="1376"/>
      <c r="I4498" s="198"/>
      <c r="J4498" s="6"/>
      <c r="K4498" s="1307"/>
      <c r="L4498" s="1335"/>
      <c r="M4498" s="1499"/>
      <c r="N4498" s="1701"/>
      <c r="O4498" s="1290"/>
      <c r="P4498" s="1332"/>
      <c r="Q4498" s="3391"/>
      <c r="R4498" s="2337"/>
      <c r="S4498" s="16"/>
      <c r="T4498" s="16"/>
      <c r="U4498" s="16"/>
      <c r="V4498" s="16"/>
    </row>
    <row r="4499" spans="1:22">
      <c r="B4499" s="553"/>
      <c r="C4499" s="1042"/>
      <c r="D4499" s="1412"/>
      <c r="E4499" s="2124"/>
      <c r="F4499" s="1377"/>
      <c r="G4499" s="1377"/>
      <c r="H4499" s="1597"/>
      <c r="I4499" s="198"/>
      <c r="J4499" s="6"/>
      <c r="K4499" s="1306"/>
      <c r="L4499" s="1646"/>
      <c r="M4499" s="1302"/>
      <c r="N4499" s="1302"/>
      <c r="O4499" s="1291"/>
      <c r="P4499" s="1332"/>
      <c r="Q4499" s="3391"/>
      <c r="R4499" s="2337"/>
      <c r="S4499" s="16"/>
      <c r="T4499" s="16"/>
      <c r="U4499" s="16"/>
      <c r="V4499" s="16"/>
    </row>
    <row r="4500" spans="1:22">
      <c r="B4500" s="554"/>
      <c r="C4500" s="223"/>
      <c r="D4500" s="1808"/>
      <c r="E4500" s="2132"/>
      <c r="F4500" s="1804"/>
      <c r="G4500" s="1804"/>
      <c r="H4500" s="1805"/>
      <c r="I4500" s="197"/>
      <c r="J4500" s="1806"/>
      <c r="K4500" s="1307"/>
      <c r="L4500" s="1335"/>
      <c r="M4500" s="1701"/>
      <c r="N4500" s="1701"/>
      <c r="O4500" s="1290"/>
      <c r="P4500" s="1333"/>
      <c r="Q4500" s="3391"/>
      <c r="R4500" s="2337"/>
      <c r="S4500" s="16"/>
      <c r="T4500" s="16"/>
      <c r="U4500" s="16"/>
      <c r="V4500" s="16"/>
    </row>
    <row r="4501" spans="1:22">
      <c r="A4501" s="19" t="s">
        <v>3764</v>
      </c>
      <c r="B4501" s="4325" t="s">
        <v>1928</v>
      </c>
      <c r="C4501" s="3350"/>
      <c r="D4501" s="4327"/>
      <c r="E4501" s="4329" t="s">
        <v>1527</v>
      </c>
      <c r="F4501" s="4336" t="s">
        <v>1953</v>
      </c>
      <c r="G4501" s="4331" t="s">
        <v>1568</v>
      </c>
      <c r="H4501" s="4331" t="s">
        <v>1574</v>
      </c>
      <c r="I4501" s="1572" t="s">
        <v>1559</v>
      </c>
      <c r="J4501" s="1294" t="s">
        <v>1560</v>
      </c>
      <c r="K4501" s="1294" t="s">
        <v>1569</v>
      </c>
      <c r="L4501" s="4333" t="s">
        <v>3765</v>
      </c>
      <c r="M4501" s="4335" t="s">
        <v>1571</v>
      </c>
      <c r="N4501" s="4323" t="s">
        <v>1776</v>
      </c>
      <c r="O4501" s="3347" t="s">
        <v>1563</v>
      </c>
      <c r="P4501" s="1336" t="s">
        <v>1562</v>
      </c>
      <c r="Q4501" s="3389"/>
      <c r="R4501" s="1699" t="s">
        <v>1327</v>
      </c>
      <c r="S4501" s="16"/>
      <c r="T4501" s="16"/>
      <c r="U4501" s="16"/>
      <c r="V4501" s="16"/>
    </row>
    <row r="4502" spans="1:22">
      <c r="A4502" s="1807" t="s">
        <v>1976</v>
      </c>
      <c r="B4502" s="4326"/>
      <c r="C4502" s="3351"/>
      <c r="D4502" s="4328"/>
      <c r="E4502" s="4330"/>
      <c r="F4502" s="4336"/>
      <c r="G4502" s="4332"/>
      <c r="H4502" s="4332"/>
      <c r="I4502" s="1345">
        <v>1</v>
      </c>
      <c r="J4502" s="1307">
        <v>1</v>
      </c>
      <c r="K4502" s="1307">
        <f>I4502*J4502</f>
        <v>1</v>
      </c>
      <c r="L4502" s="4334"/>
      <c r="M4502" s="4335"/>
      <c r="N4502" s="4324"/>
      <c r="O4502" s="1298">
        <f>SUM(O4504:O4518)</f>
        <v>138.82400000000001</v>
      </c>
      <c r="P4502" s="1337">
        <f>O4502*K4502</f>
        <v>138.82400000000001</v>
      </c>
      <c r="Q4502" s="3390"/>
      <c r="R4502" s="1721">
        <f>SUM(P4504:P4518)</f>
        <v>138.82400000000001</v>
      </c>
      <c r="S4502" s="16"/>
      <c r="T4502" s="16"/>
      <c r="U4502" s="16"/>
      <c r="V4502" s="16"/>
    </row>
    <row r="4503" spans="1:22">
      <c r="A4503" s="22"/>
      <c r="B4503" s="551"/>
      <c r="C4503" s="18"/>
      <c r="D4503" s="1400"/>
      <c r="E4503" s="2121"/>
      <c r="F4503" s="1368" t="s">
        <v>1</v>
      </c>
      <c r="G4503" s="1417"/>
      <c r="H4503" s="1390"/>
      <c r="I4503" s="1554"/>
      <c r="J4503" s="1367"/>
      <c r="K4503" s="1367"/>
      <c r="L4503" s="1554"/>
      <c r="M4503" s="1369"/>
      <c r="N4503" s="1369"/>
      <c r="O4503" s="1369"/>
      <c r="P4503" s="1367"/>
      <c r="Q4503" s="3387"/>
      <c r="R4503" s="3363"/>
      <c r="S4503" s="16"/>
      <c r="T4503" s="16"/>
      <c r="U4503" s="16"/>
      <c r="V4503" s="16"/>
    </row>
    <row r="4504" spans="1:22">
      <c r="A4504" s="22"/>
      <c r="B4504" s="553"/>
      <c r="C4504" s="1042"/>
      <c r="D4504" s="1668" t="s">
        <v>1082</v>
      </c>
      <c r="E4504" s="2166" t="s">
        <v>1504</v>
      </c>
      <c r="F4504" s="1668" t="s">
        <v>1541</v>
      </c>
      <c r="G4504" s="1958">
        <v>3.6</v>
      </c>
      <c r="H4504" s="1762"/>
      <c r="I4504" s="27"/>
      <c r="J4504" s="10"/>
      <c r="K4504" s="1307">
        <f>G4504*$K$4502</f>
        <v>3.6</v>
      </c>
      <c r="L4504" s="1335">
        <f>$K$4486*K4504</f>
        <v>0</v>
      </c>
      <c r="M4504" s="1499">
        <v>0.3</v>
      </c>
      <c r="N4504" s="1701"/>
      <c r="O4504" s="1290">
        <f>(G4504*M4504)</f>
        <v>1.08</v>
      </c>
      <c r="P4504" s="1332">
        <f>M4504*K4504</f>
        <v>1.08</v>
      </c>
      <c r="Q4504" s="3391"/>
      <c r="R4504" s="3363"/>
      <c r="S4504" s="16"/>
      <c r="T4504" s="16"/>
      <c r="U4504" s="16"/>
      <c r="V4504" s="16"/>
    </row>
    <row r="4505" spans="1:22">
      <c r="A4505" s="22"/>
      <c r="B4505" s="553"/>
      <c r="C4505" s="1042"/>
      <c r="D4505" s="1668" t="s">
        <v>1929</v>
      </c>
      <c r="E4505" s="2166" t="s">
        <v>1504</v>
      </c>
      <c r="F4505" s="1668" t="s">
        <v>1930</v>
      </c>
      <c r="G4505" s="1958">
        <v>4</v>
      </c>
      <c r="H4505" s="1399"/>
      <c r="I4505" s="1760"/>
      <c r="J4505" s="198"/>
      <c r="K4505" s="1307">
        <f t="shared" ref="K4505:K4508" si="535">G4505*$K$4502</f>
        <v>4</v>
      </c>
      <c r="L4505" s="1335">
        <f t="shared" ref="L4505:L4508" si="536">$K$4486*K4505</f>
        <v>0</v>
      </c>
      <c r="M4505" s="1499">
        <v>1.2</v>
      </c>
      <c r="N4505" s="1701"/>
      <c r="O4505" s="1290">
        <f>(G4505*M4505)</f>
        <v>4.8</v>
      </c>
      <c r="P4505" s="1332">
        <f>M4505*K4505</f>
        <v>4.8</v>
      </c>
      <c r="Q4505" s="3391"/>
      <c r="R4505" s="3363"/>
      <c r="S4505" s="16"/>
      <c r="T4505" s="16"/>
      <c r="U4505" s="16"/>
      <c r="V4505" s="16"/>
    </row>
    <row r="4506" spans="1:22">
      <c r="A4506" s="22"/>
      <c r="B4506" s="553"/>
      <c r="C4506" s="1042"/>
      <c r="D4506" s="1668" t="s">
        <v>1931</v>
      </c>
      <c r="E4506" s="2166" t="s">
        <v>1504</v>
      </c>
      <c r="F4506" s="1668" t="s">
        <v>1932</v>
      </c>
      <c r="G4506" s="1958">
        <v>0.3</v>
      </c>
      <c r="H4506" s="1399"/>
      <c r="I4506" s="1760"/>
      <c r="J4506" s="198"/>
      <c r="K4506" s="1307">
        <f t="shared" si="535"/>
        <v>0.3</v>
      </c>
      <c r="L4506" s="1335">
        <f t="shared" si="536"/>
        <v>0</v>
      </c>
      <c r="M4506" s="1499">
        <v>20.03</v>
      </c>
      <c r="N4506" s="1701"/>
      <c r="O4506" s="1290">
        <f>(G4506*M4506)</f>
        <v>6.0090000000000003</v>
      </c>
      <c r="P4506" s="1332">
        <f>M4506*K4506</f>
        <v>6.0090000000000003</v>
      </c>
      <c r="Q4506" s="3391"/>
      <c r="R4506" s="3363"/>
      <c r="S4506" s="16"/>
      <c r="T4506" s="16"/>
      <c r="U4506" s="16"/>
      <c r="V4506" s="16"/>
    </row>
    <row r="4507" spans="1:22">
      <c r="A4507" s="22"/>
      <c r="B4507" s="553"/>
      <c r="C4507" s="1042"/>
      <c r="D4507" s="1668" t="s">
        <v>1933</v>
      </c>
      <c r="E4507" s="2166" t="s">
        <v>1683</v>
      </c>
      <c r="F4507" s="1668" t="s">
        <v>1934</v>
      </c>
      <c r="G4507" s="1958">
        <v>6</v>
      </c>
      <c r="H4507" s="1399"/>
      <c r="I4507" s="1760"/>
      <c r="J4507" s="198"/>
      <c r="K4507" s="1307">
        <f t="shared" si="535"/>
        <v>6</v>
      </c>
      <c r="L4507" s="1335">
        <f t="shared" si="536"/>
        <v>0</v>
      </c>
      <c r="M4507" s="1499">
        <v>14.36</v>
      </c>
      <c r="N4507" s="1701"/>
      <c r="O4507" s="1290">
        <f>(G4507*M4507)</f>
        <v>86.16</v>
      </c>
      <c r="P4507" s="1332">
        <f>M4507*K4507</f>
        <v>86.16</v>
      </c>
      <c r="Q4507" s="3391"/>
      <c r="R4507" s="3363"/>
      <c r="S4507" s="16"/>
      <c r="T4507" s="16"/>
      <c r="U4507" s="16"/>
      <c r="V4507" s="16"/>
    </row>
    <row r="4508" spans="1:22">
      <c r="A4508" s="22"/>
      <c r="B4508" s="553"/>
      <c r="C4508" s="1042"/>
      <c r="D4508" s="1668" t="s">
        <v>1935</v>
      </c>
      <c r="E4508" s="2166" t="s">
        <v>1357</v>
      </c>
      <c r="F4508" s="1668" t="s">
        <v>1936</v>
      </c>
      <c r="G4508" s="1958">
        <v>3</v>
      </c>
      <c r="H4508" s="1399"/>
      <c r="I4508" s="1760"/>
      <c r="J4508" s="198"/>
      <c r="K4508" s="1307">
        <f t="shared" si="535"/>
        <v>3</v>
      </c>
      <c r="L4508" s="1335">
        <f t="shared" si="536"/>
        <v>0</v>
      </c>
      <c r="M4508" s="1499">
        <v>7.34</v>
      </c>
      <c r="N4508" s="1701"/>
      <c r="O4508" s="1290">
        <f>(G4508*M4508)</f>
        <v>22.02</v>
      </c>
      <c r="P4508" s="1332">
        <f>M4508*K4508</f>
        <v>22.02</v>
      </c>
      <c r="Q4508" s="3391"/>
      <c r="R4508" s="3363"/>
      <c r="S4508" s="16"/>
      <c r="T4508" s="16"/>
      <c r="U4508" s="16"/>
      <c r="V4508" s="16"/>
    </row>
    <row r="4509" spans="1:22">
      <c r="A4509" s="22"/>
      <c r="B4509" s="553"/>
      <c r="C4509" s="1042"/>
      <c r="D4509" s="1400"/>
      <c r="E4509" s="1856"/>
      <c r="F4509" s="1421"/>
      <c r="G4509" s="1452"/>
      <c r="H4509" s="1399"/>
      <c r="I4509" s="197"/>
      <c r="J4509" s="198"/>
      <c r="K4509" s="1307"/>
      <c r="L4509" s="1335"/>
      <c r="M4509" s="1499"/>
      <c r="N4509" s="1701"/>
      <c r="O4509" s="1290"/>
      <c r="P4509" s="1332"/>
      <c r="Q4509" s="3391"/>
      <c r="R4509" s="3363"/>
      <c r="S4509" s="16"/>
      <c r="T4509" s="16"/>
      <c r="U4509" s="16"/>
      <c r="V4509" s="16"/>
    </row>
    <row r="4510" spans="1:22">
      <c r="A4510" s="22"/>
      <c r="B4510" s="553"/>
      <c r="C4510" s="1042"/>
      <c r="D4510" s="1410"/>
      <c r="E4510" s="1858"/>
      <c r="F4510" s="1360" t="s">
        <v>2</v>
      </c>
      <c r="G4510" s="1360"/>
      <c r="H4510" s="1362"/>
      <c r="I4510" s="1380"/>
      <c r="J4510" s="1381"/>
      <c r="K4510" s="1359"/>
      <c r="L4510" s="1458"/>
      <c r="M4510" s="1502"/>
      <c r="N4510" s="1502"/>
      <c r="O4510" s="1362"/>
      <c r="P4510" s="1359"/>
      <c r="Q4510" s="3387"/>
      <c r="R4510" s="3363"/>
      <c r="S4510" s="16"/>
      <c r="T4510" s="16"/>
      <c r="U4510" s="16"/>
      <c r="V4510" s="16"/>
    </row>
    <row r="4511" spans="1:22">
      <c r="A4511" s="22"/>
      <c r="B4511" s="553"/>
      <c r="C4511" s="1042"/>
      <c r="D4511" s="1624" t="s">
        <v>1067</v>
      </c>
      <c r="E4511" s="2158" t="s">
        <v>1508</v>
      </c>
      <c r="F4511" s="1624" t="s">
        <v>1512</v>
      </c>
      <c r="G4511" s="1625">
        <v>0.5</v>
      </c>
      <c r="H4511" s="1365"/>
      <c r="I4511" s="198"/>
      <c r="J4511" s="6"/>
      <c r="K4511" s="1307">
        <f t="shared" ref="K4511:K4512" si="537">G4511*$K$4502</f>
        <v>0.5</v>
      </c>
      <c r="L4511" s="1335">
        <f t="shared" ref="L4511:L4512" si="538">$K$4486*K4511</f>
        <v>0</v>
      </c>
      <c r="M4511" s="1499">
        <v>18.28</v>
      </c>
      <c r="N4511" s="1701"/>
      <c r="O4511" s="1290">
        <f>(G4511*M4511)</f>
        <v>9.14</v>
      </c>
      <c r="P4511" s="1332">
        <f>M4511*K4511</f>
        <v>9.14</v>
      </c>
      <c r="Q4511" s="3391"/>
      <c r="R4511" s="3363"/>
      <c r="S4511" s="16"/>
      <c r="T4511" s="16"/>
      <c r="U4511" s="16"/>
      <c r="V4511" s="16"/>
    </row>
    <row r="4512" spans="1:22">
      <c r="A4512" s="22"/>
      <c r="B4512" s="553"/>
      <c r="C4512" s="1042"/>
      <c r="D4512" s="1624" t="s">
        <v>1133</v>
      </c>
      <c r="E4512" s="2158" t="s">
        <v>1508</v>
      </c>
      <c r="F4512" s="1624" t="s">
        <v>1955</v>
      </c>
      <c r="G4512" s="1625">
        <v>0.5</v>
      </c>
      <c r="H4512" s="1803"/>
      <c r="I4512" s="198"/>
      <c r="J4512" s="6"/>
      <c r="K4512" s="1307">
        <f t="shared" si="537"/>
        <v>0.5</v>
      </c>
      <c r="L4512" s="1335">
        <f t="shared" si="538"/>
        <v>0</v>
      </c>
      <c r="M4512" s="1499">
        <v>19.23</v>
      </c>
      <c r="N4512" s="1701"/>
      <c r="O4512" s="1290">
        <f>(G4512*M4512)</f>
        <v>9.6150000000000002</v>
      </c>
      <c r="P4512" s="1332">
        <f>M4512*K4512</f>
        <v>9.6150000000000002</v>
      </c>
      <c r="Q4512" s="3391"/>
      <c r="R4512" s="3363"/>
      <c r="S4512" s="16"/>
      <c r="T4512" s="16"/>
      <c r="U4512" s="16"/>
      <c r="V4512" s="16"/>
    </row>
    <row r="4513" spans="1:22">
      <c r="A4513" s="22"/>
      <c r="B4513" s="553"/>
      <c r="C4513" s="1042"/>
      <c r="D4513" s="1623"/>
      <c r="E4513" s="2158"/>
      <c r="F4513" s="1801"/>
      <c r="G4513" s="1359"/>
      <c r="H4513" s="1803"/>
      <c r="I4513" s="198"/>
      <c r="J4513" s="6"/>
      <c r="K4513" s="1307"/>
      <c r="L4513" s="1335"/>
      <c r="M4513" s="1499"/>
      <c r="N4513" s="1701"/>
      <c r="O4513" s="1290"/>
      <c r="P4513" s="1332"/>
      <c r="Q4513" s="3391"/>
      <c r="R4513" s="3363"/>
      <c r="S4513" s="16"/>
      <c r="T4513" s="16"/>
      <c r="U4513" s="16"/>
      <c r="V4513" s="16"/>
    </row>
    <row r="4514" spans="1:22">
      <c r="A4514" s="22"/>
      <c r="B4514" s="553"/>
      <c r="C4514" s="1042"/>
      <c r="D4514" s="1623"/>
      <c r="E4514" s="2158"/>
      <c r="F4514" s="1801"/>
      <c r="G4514" s="1359"/>
      <c r="H4514" s="1803"/>
      <c r="I4514" s="198"/>
      <c r="J4514" s="6"/>
      <c r="K4514" s="1307"/>
      <c r="L4514" s="1335"/>
      <c r="M4514" s="1499"/>
      <c r="N4514" s="1701"/>
      <c r="O4514" s="1290"/>
      <c r="P4514" s="1332"/>
      <c r="Q4514" s="3391"/>
      <c r="R4514" s="3363"/>
      <c r="S4514" s="16"/>
      <c r="T4514" s="16"/>
      <c r="U4514" s="16"/>
      <c r="V4514" s="16"/>
    </row>
    <row r="4515" spans="1:22">
      <c r="A4515" s="22"/>
      <c r="B4515" s="553"/>
      <c r="C4515" s="1042"/>
      <c r="D4515" s="1411"/>
      <c r="E4515" s="2123"/>
      <c r="F4515" s="1802" t="s">
        <v>3</v>
      </c>
      <c r="G4515" s="1475"/>
      <c r="H4515" s="1505"/>
      <c r="I4515" s="1382"/>
      <c r="J4515" s="1383"/>
      <c r="K4515" s="1373"/>
      <c r="L4515" s="1413"/>
      <c r="M4515" s="1505"/>
      <c r="N4515" s="1505"/>
      <c r="O4515" s="1376"/>
      <c r="P4515" s="1413"/>
      <c r="Q4515" s="3387"/>
      <c r="R4515" s="3363"/>
      <c r="S4515" s="16"/>
      <c r="T4515" s="16"/>
      <c r="U4515" s="16"/>
      <c r="V4515" s="16"/>
    </row>
    <row r="4516" spans="1:22">
      <c r="A4516" s="22"/>
      <c r="B4516" s="553"/>
      <c r="C4516" s="1042"/>
      <c r="D4516" s="1411"/>
      <c r="E4516" s="2123"/>
      <c r="F4516" s="1475"/>
      <c r="G4516" s="1475"/>
      <c r="H4516" s="1376"/>
      <c r="I4516" s="198"/>
      <c r="J4516" s="6"/>
      <c r="K4516" s="1307"/>
      <c r="L4516" s="1335"/>
      <c r="M4516" s="1499"/>
      <c r="N4516" s="1701"/>
      <c r="O4516" s="1290"/>
      <c r="P4516" s="1332"/>
      <c r="Q4516" s="3391"/>
      <c r="R4516" s="3363"/>
      <c r="S4516" s="16"/>
      <c r="T4516" s="16"/>
      <c r="U4516" s="16"/>
      <c r="V4516" s="16"/>
    </row>
    <row r="4517" spans="1:22">
      <c r="A4517" s="22"/>
      <c r="B4517" s="553"/>
      <c r="C4517" s="1042"/>
      <c r="D4517" s="1412"/>
      <c r="E4517" s="2124"/>
      <c r="F4517" s="1377"/>
      <c r="G4517" s="1377"/>
      <c r="H4517" s="1597"/>
      <c r="I4517" s="198"/>
      <c r="J4517" s="6"/>
      <c r="K4517" s="1306"/>
      <c r="L4517" s="1646"/>
      <c r="M4517" s="1302"/>
      <c r="N4517" s="1302"/>
      <c r="O4517" s="1291"/>
      <c r="P4517" s="1332"/>
      <c r="Q4517" s="3391"/>
      <c r="R4517" s="2337"/>
      <c r="S4517" s="16"/>
      <c r="T4517" s="16"/>
      <c r="U4517" s="16"/>
      <c r="V4517" s="16"/>
    </row>
    <row r="4518" spans="1:22">
      <c r="A4518" s="22"/>
      <c r="B4518" s="554"/>
      <c r="C4518" s="223"/>
      <c r="D4518" s="1808"/>
      <c r="E4518" s="2132"/>
      <c r="F4518" s="1804"/>
      <c r="G4518" s="1804"/>
      <c r="H4518" s="1805"/>
      <c r="I4518" s="197"/>
      <c r="J4518" s="1806"/>
      <c r="K4518" s="1307"/>
      <c r="L4518" s="1335"/>
      <c r="M4518" s="1701"/>
      <c r="N4518" s="1701"/>
      <c r="O4518" s="1290"/>
      <c r="P4518" s="1333"/>
      <c r="Q4518" s="3391"/>
      <c r="R4518" s="3363"/>
      <c r="S4518" s="16"/>
      <c r="T4518" s="16"/>
      <c r="U4518" s="16"/>
      <c r="V4518" s="16"/>
    </row>
    <row r="4519" spans="1:22" ht="15" customHeight="1">
      <c r="A4519" s="16" t="s">
        <v>3764</v>
      </c>
      <c r="B4519" s="4325" t="s">
        <v>1939</v>
      </c>
      <c r="C4519" s="3350"/>
      <c r="D4519" s="4327"/>
      <c r="E4519" s="4329" t="s">
        <v>1507</v>
      </c>
      <c r="F4519" s="4336" t="s">
        <v>1954</v>
      </c>
      <c r="G4519" s="4331" t="s">
        <v>1568</v>
      </c>
      <c r="H4519" s="4331" t="s">
        <v>1574</v>
      </c>
      <c r="I4519" s="1572" t="s">
        <v>1559</v>
      </c>
      <c r="J4519" s="1294" t="s">
        <v>1560</v>
      </c>
      <c r="K4519" s="1294" t="s">
        <v>1569</v>
      </c>
      <c r="L4519" s="4333" t="s">
        <v>3765</v>
      </c>
      <c r="M4519" s="4335" t="s">
        <v>1571</v>
      </c>
      <c r="N4519" s="4323" t="s">
        <v>1776</v>
      </c>
      <c r="O4519" s="3347" t="s">
        <v>1563</v>
      </c>
      <c r="P4519" s="1336" t="s">
        <v>1562</v>
      </c>
      <c r="Q4519" s="3389"/>
      <c r="R4519" s="1699" t="s">
        <v>1327</v>
      </c>
      <c r="S4519" s="16"/>
      <c r="T4519" s="16"/>
      <c r="U4519" s="16"/>
      <c r="V4519" s="16"/>
    </row>
    <row r="4520" spans="1:22">
      <c r="A4520" s="1807" t="s">
        <v>1976</v>
      </c>
      <c r="B4520" s="4326"/>
      <c r="C4520" s="3351"/>
      <c r="D4520" s="4328"/>
      <c r="E4520" s="4330"/>
      <c r="F4520" s="4336"/>
      <c r="G4520" s="4332"/>
      <c r="H4520" s="4332"/>
      <c r="I4520" s="1345">
        <v>2</v>
      </c>
      <c r="J4520" s="1307">
        <v>1</v>
      </c>
      <c r="K4520" s="1307">
        <f>I4520*J4520</f>
        <v>2</v>
      </c>
      <c r="L4520" s="4334"/>
      <c r="M4520" s="4335"/>
      <c r="N4520" s="4324"/>
      <c r="O4520" s="1298">
        <f>SUM(O4522:O4533)</f>
        <v>34.888500000000001</v>
      </c>
      <c r="P4520" s="1337">
        <f>O4520*K4520</f>
        <v>69.777000000000001</v>
      </c>
      <c r="Q4520" s="3390"/>
      <c r="R4520" s="1721">
        <f>SUM(P4522:P4533)</f>
        <v>69.777000000000001</v>
      </c>
      <c r="S4520" s="16"/>
      <c r="T4520" s="16"/>
      <c r="U4520" s="16"/>
      <c r="V4520" s="16"/>
    </row>
    <row r="4521" spans="1:22">
      <c r="A4521" s="22"/>
      <c r="B4521" s="551"/>
      <c r="C4521" s="18"/>
      <c r="D4521" s="1400"/>
      <c r="E4521" s="2121"/>
      <c r="F4521" s="1368" t="s">
        <v>1</v>
      </c>
      <c r="G4521" s="1417"/>
      <c r="H4521" s="1390"/>
      <c r="I4521" s="1554"/>
      <c r="J4521" s="1367"/>
      <c r="K4521" s="1367"/>
      <c r="L4521" s="1554"/>
      <c r="M4521" s="1369"/>
      <c r="N4521" s="1369"/>
      <c r="O4521" s="1369"/>
      <c r="P4521" s="1367"/>
      <c r="Q4521" s="3387"/>
      <c r="R4521" s="3363"/>
      <c r="S4521" s="16"/>
      <c r="T4521" s="16"/>
      <c r="U4521" s="16"/>
      <c r="V4521" s="16"/>
    </row>
    <row r="4522" spans="1:22">
      <c r="A4522" s="22"/>
      <c r="B4522" s="553"/>
      <c r="C4522" s="1042"/>
      <c r="D4522" s="1400" t="s">
        <v>1940</v>
      </c>
      <c r="E4522" s="1856" t="s">
        <v>1357</v>
      </c>
      <c r="F4522" s="1421" t="s">
        <v>1941</v>
      </c>
      <c r="G4522" s="1399">
        <v>32</v>
      </c>
      <c r="H4522" s="1400"/>
      <c r="I4522" s="27"/>
      <c r="J4522" s="10"/>
      <c r="K4522" s="1307">
        <f>G4522*$K$4520</f>
        <v>64</v>
      </c>
      <c r="L4522" s="1335">
        <f>$K$4486*K4522</f>
        <v>0</v>
      </c>
      <c r="M4522" s="1499">
        <v>0.68</v>
      </c>
      <c r="N4522" s="1701"/>
      <c r="O4522" s="1290">
        <f>(G4522*M4522)</f>
        <v>21.76</v>
      </c>
      <c r="P4522" s="1332">
        <f>M4522*K4522</f>
        <v>43.52</v>
      </c>
      <c r="Q4522" s="3391"/>
      <c r="R4522" s="3363"/>
      <c r="S4522" s="16"/>
      <c r="T4522" s="16"/>
      <c r="U4522" s="16"/>
      <c r="V4522" s="16"/>
    </row>
    <row r="4523" spans="1:22">
      <c r="A4523" s="22"/>
      <c r="B4523" s="553"/>
      <c r="C4523" s="1320"/>
      <c r="D4523" s="1756"/>
      <c r="E4523" s="1852"/>
      <c r="F4523" s="1752"/>
      <c r="G4523" s="1399"/>
      <c r="H4523" s="1399"/>
      <c r="I4523" s="197"/>
      <c r="J4523" s="198"/>
      <c r="K4523" s="1732"/>
      <c r="L4523" s="1335"/>
      <c r="M4523" s="1499"/>
      <c r="N4523" s="1718"/>
      <c r="O4523" s="1719"/>
      <c r="P4523" s="1720"/>
      <c r="Q4523" s="3396"/>
      <c r="R4523" s="3363"/>
      <c r="S4523" s="16"/>
      <c r="T4523" s="16"/>
      <c r="U4523" s="16"/>
      <c r="V4523" s="16"/>
    </row>
    <row r="4524" spans="1:22">
      <c r="A4524" s="22"/>
      <c r="B4524" s="553"/>
      <c r="C4524" s="1320"/>
      <c r="D4524" s="1756"/>
      <c r="E4524" s="1852"/>
      <c r="F4524" s="1752"/>
      <c r="G4524" s="1399"/>
      <c r="H4524" s="1399"/>
      <c r="I4524" s="197"/>
      <c r="J4524" s="198"/>
      <c r="K4524" s="1732"/>
      <c r="L4524" s="1335"/>
      <c r="M4524" s="1499"/>
      <c r="N4524" s="1718"/>
      <c r="O4524" s="1719"/>
      <c r="P4524" s="1720"/>
      <c r="Q4524" s="3396"/>
      <c r="R4524" s="3363"/>
      <c r="S4524" s="16"/>
      <c r="T4524" s="16"/>
      <c r="U4524" s="16"/>
      <c r="V4524" s="16"/>
    </row>
    <row r="4525" spans="1:22">
      <c r="A4525" s="22"/>
      <c r="B4525" s="553"/>
      <c r="C4525" s="1042"/>
      <c r="D4525" s="1410"/>
      <c r="E4525" s="1858"/>
      <c r="F4525" s="1360" t="s">
        <v>2</v>
      </c>
      <c r="G4525" s="1360"/>
      <c r="H4525" s="1362"/>
      <c r="I4525" s="1380"/>
      <c r="J4525" s="1381"/>
      <c r="K4525" s="1359"/>
      <c r="L4525" s="1458"/>
      <c r="M4525" s="1502"/>
      <c r="N4525" s="1502"/>
      <c r="O4525" s="1362"/>
      <c r="P4525" s="1359"/>
      <c r="Q4525" s="3387"/>
      <c r="R4525" s="3363"/>
      <c r="S4525" s="16"/>
      <c r="T4525" s="16"/>
      <c r="U4525" s="16"/>
      <c r="V4525" s="16"/>
    </row>
    <row r="4526" spans="1:22">
      <c r="A4526" s="22"/>
      <c r="B4526" s="553"/>
      <c r="C4526" s="1042"/>
      <c r="D4526" s="1655" t="s">
        <v>1937</v>
      </c>
      <c r="E4526" s="1857" t="s">
        <v>1508</v>
      </c>
      <c r="F4526" s="1403" t="s">
        <v>1938</v>
      </c>
      <c r="G4526" s="1365">
        <v>0.35</v>
      </c>
      <c r="H4526" s="1365"/>
      <c r="I4526" s="198"/>
      <c r="J4526" s="6"/>
      <c r="K4526" s="1307">
        <f t="shared" ref="K4526:K4527" si="539">G4526*$K$4520</f>
        <v>0.7</v>
      </c>
      <c r="L4526" s="1335">
        <f t="shared" ref="L4526:L4527" si="540">$K$4486*K4526</f>
        <v>0</v>
      </c>
      <c r="M4526" s="1499">
        <v>19.23</v>
      </c>
      <c r="N4526" s="1701"/>
      <c r="O4526" s="1290">
        <f>(G4526*M4526)</f>
        <v>6.7305000000000001</v>
      </c>
      <c r="P4526" s="1332">
        <f>M4526*K4526</f>
        <v>13.461</v>
      </c>
      <c r="Q4526" s="3391"/>
      <c r="R4526" s="3363"/>
      <c r="S4526" s="16"/>
      <c r="T4526" s="16"/>
      <c r="U4526" s="16"/>
      <c r="V4526" s="16"/>
    </row>
    <row r="4527" spans="1:22">
      <c r="A4527" s="22"/>
      <c r="B4527" s="553"/>
      <c r="C4527" s="1042"/>
      <c r="D4527" s="1364" t="s">
        <v>1067</v>
      </c>
      <c r="E4527" s="2148" t="s">
        <v>1508</v>
      </c>
      <c r="F4527" s="1473" t="s">
        <v>1512</v>
      </c>
      <c r="G4527" s="1365">
        <v>0.35</v>
      </c>
      <c r="H4527" s="1365"/>
      <c r="I4527" s="198"/>
      <c r="J4527" s="6"/>
      <c r="K4527" s="1307">
        <f t="shared" si="539"/>
        <v>0.7</v>
      </c>
      <c r="L4527" s="1335">
        <f t="shared" si="540"/>
        <v>0</v>
      </c>
      <c r="M4527" s="1499">
        <v>18.28</v>
      </c>
      <c r="N4527" s="1701"/>
      <c r="O4527" s="1290">
        <f>(G4527*M4527)</f>
        <v>6.3979999999999997</v>
      </c>
      <c r="P4527" s="1332">
        <f>M4527*K4527</f>
        <v>12.795999999999999</v>
      </c>
      <c r="Q4527" s="3391"/>
      <c r="R4527" s="3363"/>
      <c r="S4527" s="16"/>
      <c r="T4527" s="16"/>
      <c r="U4527" s="16"/>
      <c r="V4527" s="16"/>
    </row>
    <row r="4528" spans="1:22">
      <c r="A4528" s="22"/>
      <c r="B4528" s="553"/>
      <c r="C4528" s="1042"/>
      <c r="D4528" s="1623"/>
      <c r="E4528" s="2158"/>
      <c r="F4528" s="1801"/>
      <c r="G4528" s="1359"/>
      <c r="H4528" s="1803"/>
      <c r="I4528" s="198"/>
      <c r="J4528" s="6"/>
      <c r="K4528" s="1307"/>
      <c r="L4528" s="1335"/>
      <c r="M4528" s="1499"/>
      <c r="N4528" s="1701"/>
      <c r="O4528" s="1290"/>
      <c r="P4528" s="1332"/>
      <c r="Q4528" s="3391"/>
      <c r="R4528" s="3363"/>
      <c r="S4528" s="16"/>
      <c r="T4528" s="16"/>
      <c r="U4528" s="16"/>
      <c r="V4528" s="16"/>
    </row>
    <row r="4529" spans="1:22">
      <c r="A4529" s="22"/>
      <c r="B4529" s="553"/>
      <c r="C4529" s="1042"/>
      <c r="D4529" s="1623"/>
      <c r="E4529" s="2158"/>
      <c r="F4529" s="1801"/>
      <c r="G4529" s="1359"/>
      <c r="H4529" s="1803"/>
      <c r="I4529" s="198"/>
      <c r="J4529" s="6"/>
      <c r="K4529" s="1307"/>
      <c r="L4529" s="1335"/>
      <c r="M4529" s="1499"/>
      <c r="N4529" s="1701"/>
      <c r="O4529" s="1290"/>
      <c r="P4529" s="1332"/>
      <c r="Q4529" s="3391"/>
      <c r="R4529" s="3363"/>
      <c r="S4529" s="16"/>
      <c r="T4529" s="16"/>
      <c r="U4529" s="16"/>
      <c r="V4529" s="16"/>
    </row>
    <row r="4530" spans="1:22">
      <c r="A4530" s="22"/>
      <c r="B4530" s="553"/>
      <c r="C4530" s="1042"/>
      <c r="D4530" s="1411"/>
      <c r="E4530" s="2123"/>
      <c r="F4530" s="1802" t="s">
        <v>3</v>
      </c>
      <c r="G4530" s="1475"/>
      <c r="H4530" s="1505"/>
      <c r="I4530" s="1382"/>
      <c r="J4530" s="1383"/>
      <c r="K4530" s="1373"/>
      <c r="L4530" s="1413"/>
      <c r="M4530" s="1505"/>
      <c r="N4530" s="1505"/>
      <c r="O4530" s="1376"/>
      <c r="P4530" s="1413"/>
      <c r="Q4530" s="3387"/>
      <c r="R4530" s="3363"/>
      <c r="S4530" s="16"/>
      <c r="T4530" s="16"/>
      <c r="U4530" s="16"/>
      <c r="V4530" s="16"/>
    </row>
    <row r="4531" spans="1:22">
      <c r="A4531" s="22"/>
      <c r="B4531" s="1042"/>
      <c r="C4531" s="1042"/>
      <c r="D4531" s="1411"/>
      <c r="E4531" s="2123"/>
      <c r="F4531" s="1475"/>
      <c r="G4531" s="1376"/>
      <c r="H4531" s="1376"/>
      <c r="I4531" s="198"/>
      <c r="J4531" s="6"/>
      <c r="K4531" s="1307"/>
      <c r="L4531" s="1335"/>
      <c r="M4531" s="1499"/>
      <c r="N4531" s="1701"/>
      <c r="O4531" s="1290"/>
      <c r="P4531" s="1332"/>
      <c r="Q4531" s="3391"/>
      <c r="R4531" s="3363"/>
      <c r="S4531" s="16"/>
      <c r="T4531" s="16"/>
      <c r="U4531" s="16"/>
      <c r="V4531" s="16"/>
    </row>
    <row r="4532" spans="1:22">
      <c r="A4532" s="22"/>
      <c r="B4532" s="553"/>
      <c r="C4532" s="1042"/>
      <c r="D4532" s="1412"/>
      <c r="E4532" s="2124"/>
      <c r="F4532" s="1377"/>
      <c r="G4532" s="1377"/>
      <c r="H4532" s="1597"/>
      <c r="I4532" s="198"/>
      <c r="J4532" s="6"/>
      <c r="K4532" s="1306"/>
      <c r="L4532" s="1646"/>
      <c r="M4532" s="1302"/>
      <c r="N4532" s="1302"/>
      <c r="O4532" s="1291"/>
      <c r="P4532" s="1332"/>
      <c r="Q4532" s="3391"/>
      <c r="R4532" s="2337"/>
      <c r="S4532" s="16"/>
      <c r="T4532" s="16"/>
      <c r="U4532" s="16"/>
      <c r="V4532" s="16"/>
    </row>
    <row r="4533" spans="1:22">
      <c r="A4533" s="22"/>
      <c r="B4533" s="554"/>
      <c r="C4533" s="223"/>
      <c r="D4533" s="1808"/>
      <c r="E4533" s="2132"/>
      <c r="F4533" s="1804"/>
      <c r="G4533" s="1804"/>
      <c r="H4533" s="1805"/>
      <c r="I4533" s="197"/>
      <c r="J4533" s="1806"/>
      <c r="K4533" s="1307"/>
      <c r="L4533" s="1335"/>
      <c r="M4533" s="1701"/>
      <c r="N4533" s="1701"/>
      <c r="O4533" s="1290"/>
      <c r="P4533" s="1333"/>
      <c r="Q4533" s="3391"/>
      <c r="R4533" s="3363"/>
      <c r="S4533" s="16"/>
      <c r="T4533" s="16"/>
      <c r="U4533" s="16"/>
      <c r="V4533" s="16"/>
    </row>
    <row r="4534" spans="1:22">
      <c r="A4534" s="16" t="s">
        <v>3764</v>
      </c>
      <c r="B4534" s="4325" t="s">
        <v>1661</v>
      </c>
      <c r="C4534" s="3350"/>
      <c r="D4534" s="4327"/>
      <c r="E4534" s="4329" t="s">
        <v>1507</v>
      </c>
      <c r="F4534" s="4336" t="s">
        <v>1706</v>
      </c>
      <c r="G4534" s="4331" t="s">
        <v>1568</v>
      </c>
      <c r="H4534" s="4331" t="s">
        <v>1574</v>
      </c>
      <c r="I4534" s="1572" t="s">
        <v>1559</v>
      </c>
      <c r="J4534" s="1294" t="s">
        <v>1560</v>
      </c>
      <c r="K4534" s="1294" t="s">
        <v>1561</v>
      </c>
      <c r="L4534" s="4333" t="s">
        <v>3765</v>
      </c>
      <c r="M4534" s="4335" t="s">
        <v>1571</v>
      </c>
      <c r="N4534" s="4323" t="s">
        <v>1776</v>
      </c>
      <c r="O4534" s="3347" t="s">
        <v>1563</v>
      </c>
      <c r="P4534" s="1336" t="s">
        <v>1562</v>
      </c>
      <c r="Q4534" s="3389"/>
      <c r="R4534" s="1699" t="s">
        <v>1327</v>
      </c>
      <c r="S4534" s="16"/>
      <c r="T4534" s="16"/>
      <c r="U4534" s="16"/>
      <c r="V4534" s="16"/>
    </row>
    <row r="4535" spans="1:22">
      <c r="A4535" s="1807" t="s">
        <v>1976</v>
      </c>
      <c r="B4535" s="4326"/>
      <c r="C4535" s="3351"/>
      <c r="D4535" s="4328"/>
      <c r="E4535" s="4389"/>
      <c r="F4535" s="4336"/>
      <c r="G4535" s="4332"/>
      <c r="H4535" s="4332"/>
      <c r="I4535" s="1345">
        <v>2</v>
      </c>
      <c r="J4535" s="1307">
        <v>1</v>
      </c>
      <c r="K4535" s="1307">
        <f>I4535*J4535</f>
        <v>2</v>
      </c>
      <c r="L4535" s="4334"/>
      <c r="M4535" s="4335"/>
      <c r="N4535" s="4324"/>
      <c r="O4535" s="1298">
        <f>SUM(O4537:O4548)</f>
        <v>8.9870400000000004</v>
      </c>
      <c r="P4535" s="1337">
        <f>O4535*K4535</f>
        <v>17.974080000000001</v>
      </c>
      <c r="Q4535" s="3390"/>
      <c r="R4535" s="1721">
        <f>SUM(P4537:P4549)</f>
        <v>17.974080000000001</v>
      </c>
      <c r="S4535" s="16"/>
      <c r="T4535" s="16"/>
      <c r="U4535" s="16"/>
      <c r="V4535" s="16"/>
    </row>
    <row r="4536" spans="1:22">
      <c r="A4536" s="16"/>
      <c r="B4536" s="1327"/>
      <c r="C4536" s="1327"/>
      <c r="D4536" s="1400"/>
      <c r="E4536" s="2121"/>
      <c r="F4536" s="1368" t="s">
        <v>1</v>
      </c>
      <c r="G4536" s="1417"/>
      <c r="H4536" s="1390"/>
      <c r="I4536" s="1554"/>
      <c r="J4536" s="1367"/>
      <c r="K4536" s="1367"/>
      <c r="L4536" s="1554"/>
      <c r="M4536" s="1369"/>
      <c r="N4536" s="1369"/>
      <c r="O4536" s="1369"/>
      <c r="P4536" s="1367"/>
      <c r="Q4536" s="3387"/>
      <c r="R4536" s="2337"/>
      <c r="S4536" s="16"/>
      <c r="T4536" s="16"/>
      <c r="U4536" s="16"/>
      <c r="V4536" s="16"/>
    </row>
    <row r="4537" spans="1:22">
      <c r="A4537" s="16"/>
      <c r="B4537" s="1320"/>
      <c r="C4537" s="1042"/>
      <c r="D4537" s="1761" t="s">
        <v>1698</v>
      </c>
      <c r="E4537" s="2170" t="s">
        <v>1357</v>
      </c>
      <c r="F4537" s="1761" t="s">
        <v>1699</v>
      </c>
      <c r="G4537" s="1762">
        <v>0.45</v>
      </c>
      <c r="H4537" s="1762"/>
      <c r="I4537" s="27"/>
      <c r="J4537" s="6"/>
      <c r="K4537" s="1307">
        <f>G4537*$K$4535</f>
        <v>0.9</v>
      </c>
      <c r="L4537" s="1335">
        <f t="shared" ref="L4537:L4539" si="541">$K$4486*K4537</f>
        <v>0</v>
      </c>
      <c r="M4537" s="1499">
        <v>1.7</v>
      </c>
      <c r="N4537" s="1701"/>
      <c r="O4537" s="1290">
        <f>(G4537*M4537)</f>
        <v>0.76500000000000001</v>
      </c>
      <c r="P4537" s="1332">
        <f>M4537*K4537</f>
        <v>1.53</v>
      </c>
      <c r="Q4537" s="3391"/>
      <c r="R4537" s="2337"/>
      <c r="S4537" s="16"/>
      <c r="T4537" s="16"/>
      <c r="U4537" s="16"/>
      <c r="V4537" s="16"/>
    </row>
    <row r="4538" spans="1:22">
      <c r="A4538" s="16"/>
      <c r="B4538" s="1320"/>
      <c r="C4538" s="1042"/>
      <c r="D4538" s="1761" t="s">
        <v>1214</v>
      </c>
      <c r="E4538" s="2170" t="s">
        <v>1357</v>
      </c>
      <c r="F4538" s="1761" t="s">
        <v>1700</v>
      </c>
      <c r="G4538" s="1762">
        <v>0.35</v>
      </c>
      <c r="H4538" s="1762"/>
      <c r="I4538" s="27"/>
      <c r="J4538" s="198"/>
      <c r="K4538" s="1307">
        <f t="shared" ref="K4538:K4539" si="542">G4538*$K$4535</f>
        <v>0.7</v>
      </c>
      <c r="L4538" s="1335">
        <f t="shared" si="541"/>
        <v>0</v>
      </c>
      <c r="M4538" s="1499">
        <v>4.2</v>
      </c>
      <c r="N4538" s="1701"/>
      <c r="O4538" s="1290">
        <f>(G4538*M4538)</f>
        <v>1.47</v>
      </c>
      <c r="P4538" s="1332">
        <f>M4538*K4538</f>
        <v>2.94</v>
      </c>
      <c r="Q4538" s="3391"/>
      <c r="R4538" s="2337"/>
      <c r="S4538" s="16"/>
      <c r="T4538" s="16"/>
      <c r="U4538" s="16"/>
      <c r="V4538" s="16"/>
    </row>
    <row r="4539" spans="1:22">
      <c r="A4539" s="16"/>
      <c r="B4539" s="1320"/>
      <c r="C4539" s="1042"/>
      <c r="D4539" s="1761" t="s">
        <v>1701</v>
      </c>
      <c r="E4539" s="2170" t="s">
        <v>1504</v>
      </c>
      <c r="F4539" s="1761" t="s">
        <v>1541</v>
      </c>
      <c r="G4539" s="1762">
        <v>0.2</v>
      </c>
      <c r="H4539" s="1762"/>
      <c r="I4539" s="27"/>
      <c r="J4539" s="10"/>
      <c r="K4539" s="1307">
        <f t="shared" si="542"/>
        <v>0.4</v>
      </c>
      <c r="L4539" s="1335">
        <f t="shared" si="541"/>
        <v>0</v>
      </c>
      <c r="M4539" s="1499">
        <v>0.3</v>
      </c>
      <c r="N4539" s="1701"/>
      <c r="O4539" s="1290">
        <f>(G4539*M4539)</f>
        <v>0.06</v>
      </c>
      <c r="P4539" s="1332">
        <f>M4539*K4539</f>
        <v>0.12</v>
      </c>
      <c r="Q4539" s="3391"/>
      <c r="R4539" s="2337"/>
      <c r="S4539" s="16"/>
      <c r="T4539" s="16"/>
      <c r="U4539" s="16"/>
      <c r="V4539" s="16"/>
    </row>
    <row r="4540" spans="1:22">
      <c r="A4540" s="16"/>
      <c r="B4540" s="1320"/>
      <c r="C4540" s="1042"/>
      <c r="D4540" s="1367"/>
      <c r="E4540" s="1856"/>
      <c r="F4540" s="1421"/>
      <c r="G4540" s="1399"/>
      <c r="H4540" s="1399"/>
      <c r="I4540" s="1289"/>
      <c r="J4540" s="198"/>
      <c r="K4540" s="1307"/>
      <c r="L4540" s="1335"/>
      <c r="M4540" s="1499"/>
      <c r="N4540" s="1701"/>
      <c r="O4540" s="1290"/>
      <c r="P4540" s="1332"/>
      <c r="Q4540" s="3391"/>
      <c r="R4540" s="2337"/>
      <c r="S4540" s="16"/>
      <c r="T4540" s="16"/>
      <c r="U4540" s="16"/>
      <c r="V4540" s="16"/>
    </row>
    <row r="4541" spans="1:22">
      <c r="A4541" s="16"/>
      <c r="B4541" s="1320"/>
      <c r="C4541" s="1042"/>
      <c r="D4541" s="1367"/>
      <c r="E4541" s="1856"/>
      <c r="F4541" s="1421"/>
      <c r="G4541" s="1399"/>
      <c r="H4541" s="1399"/>
      <c r="I4541" s="1289"/>
      <c r="J4541" s="198"/>
      <c r="K4541" s="1307"/>
      <c r="L4541" s="1335"/>
      <c r="M4541" s="1499"/>
      <c r="N4541" s="1701"/>
      <c r="O4541" s="1290"/>
      <c r="P4541" s="1332"/>
      <c r="Q4541" s="3391"/>
      <c r="R4541" s="2337"/>
      <c r="S4541" s="16"/>
      <c r="T4541" s="16"/>
      <c r="U4541" s="16"/>
      <c r="V4541" s="16"/>
    </row>
    <row r="4542" spans="1:22">
      <c r="A4542" s="16"/>
      <c r="B4542" s="1320"/>
      <c r="C4542" s="1320"/>
      <c r="D4542" s="1410"/>
      <c r="E4542" s="1858"/>
      <c r="F4542" s="1360" t="s">
        <v>2</v>
      </c>
      <c r="G4542" s="1362"/>
      <c r="H4542" s="1362"/>
      <c r="I4542" s="1380"/>
      <c r="J4542" s="1381"/>
      <c r="K4542" s="1359"/>
      <c r="L4542" s="1458"/>
      <c r="M4542" s="1502"/>
      <c r="N4542" s="1502"/>
      <c r="O4542" s="1362"/>
      <c r="P4542" s="1359"/>
      <c r="Q4542" s="3387"/>
      <c r="R4542" s="2337"/>
      <c r="S4542" s="16"/>
      <c r="T4542" s="16"/>
      <c r="U4542" s="16"/>
      <c r="V4542" s="16"/>
    </row>
    <row r="4543" spans="1:22">
      <c r="A4543" s="16"/>
      <c r="B4543" s="1320"/>
      <c r="C4543" s="1042"/>
      <c r="D4543" s="1624" t="s">
        <v>1702</v>
      </c>
      <c r="E4543" s="2158" t="s">
        <v>1508</v>
      </c>
      <c r="F4543" s="1624" t="s">
        <v>1703</v>
      </c>
      <c r="G4543" s="1625">
        <v>0.34799999999999998</v>
      </c>
      <c r="H4543" s="1625"/>
      <c r="I4543" s="198"/>
      <c r="J4543" s="6"/>
      <c r="K4543" s="1307">
        <f t="shared" ref="K4543" si="543">G4543*$K$4535</f>
        <v>0.69599999999999995</v>
      </c>
      <c r="L4543" s="1335">
        <f>$K$4486*K4543</f>
        <v>0</v>
      </c>
      <c r="M4543" s="1499">
        <v>19.23</v>
      </c>
      <c r="N4543" s="1701"/>
      <c r="O4543" s="1290">
        <f>(G4543*M4543)</f>
        <v>6.6920399999999995</v>
      </c>
      <c r="P4543" s="1332">
        <f>M4543*K4543</f>
        <v>13.384079999999999</v>
      </c>
      <c r="Q4543" s="3391"/>
      <c r="R4543" s="2337"/>
      <c r="S4543" s="16"/>
      <c r="T4543" s="16"/>
      <c r="U4543" s="16"/>
      <c r="V4543" s="16"/>
    </row>
    <row r="4544" spans="1:22">
      <c r="A4544" s="16"/>
      <c r="B4544" s="1320"/>
      <c r="C4544" s="1042"/>
      <c r="D4544" s="1402"/>
      <c r="E4544" s="1857"/>
      <c r="F4544" s="1645"/>
      <c r="G4544" s="1362"/>
      <c r="H4544" s="1359"/>
      <c r="I4544" s="198"/>
      <c r="J4544" s="6"/>
      <c r="K4544" s="1306"/>
      <c r="L4544" s="1646"/>
      <c r="M4544" s="1499"/>
      <c r="N4544" s="1499"/>
      <c r="O4544" s="1291"/>
      <c r="P4544" s="1332"/>
      <c r="Q4544" s="3391"/>
      <c r="R4544" s="2337"/>
      <c r="S4544" s="16"/>
      <c r="T4544" s="16"/>
      <c r="U4544" s="16"/>
      <c r="V4544" s="16"/>
    </row>
    <row r="4545" spans="1:22">
      <c r="A4545" s="16"/>
      <c r="B4545" s="1320"/>
      <c r="C4545" s="1042"/>
      <c r="D4545" s="1402"/>
      <c r="E4545" s="1857"/>
      <c r="F4545" s="1403"/>
      <c r="G4545" s="1362"/>
      <c r="H4545" s="1359"/>
      <c r="I4545" s="198"/>
      <c r="J4545" s="6"/>
      <c r="K4545" s="1307"/>
      <c r="L4545" s="1335"/>
      <c r="M4545" s="1499"/>
      <c r="N4545" s="1701"/>
      <c r="O4545" s="1290"/>
      <c r="P4545" s="1332"/>
      <c r="Q4545" s="3391"/>
      <c r="R4545" s="2337"/>
      <c r="S4545" s="16"/>
      <c r="T4545" s="16"/>
      <c r="U4545" s="16"/>
      <c r="V4545" s="16"/>
    </row>
    <row r="4546" spans="1:22">
      <c r="A4546" s="16"/>
      <c r="B4546" s="1320"/>
      <c r="C4546" s="1042"/>
      <c r="D4546" s="1411"/>
      <c r="E4546" s="2123"/>
      <c r="F4546" s="1374" t="s">
        <v>3</v>
      </c>
      <c r="G4546" s="1374"/>
      <c r="H4546" s="1376"/>
      <c r="I4546" s="1382"/>
      <c r="J4546" s="1383"/>
      <c r="K4546" s="1373"/>
      <c r="L4546" s="1413"/>
      <c r="M4546" s="1505"/>
      <c r="N4546" s="1505"/>
      <c r="O4546" s="1376"/>
      <c r="P4546" s="1413"/>
      <c r="Q4546" s="3387"/>
      <c r="R4546" s="2337"/>
      <c r="S4546" s="16"/>
      <c r="T4546" s="16"/>
      <c r="U4546" s="16"/>
      <c r="V4546" s="16"/>
    </row>
    <row r="4547" spans="1:22">
      <c r="A4547" s="16"/>
      <c r="B4547" s="1320"/>
      <c r="C4547" s="1042"/>
      <c r="D4547" s="1412"/>
      <c r="E4547" s="2124"/>
      <c r="F4547" s="1378"/>
      <c r="G4547" s="1378"/>
      <c r="H4547" s="1379"/>
      <c r="I4547" s="198"/>
      <c r="J4547" s="6"/>
      <c r="K4547" s="1307"/>
      <c r="L4547" s="1335"/>
      <c r="M4547" s="1499"/>
      <c r="N4547" s="1701"/>
      <c r="O4547" s="1290"/>
      <c r="P4547" s="1332"/>
      <c r="Q4547" s="3391"/>
      <c r="R4547" s="2337"/>
      <c r="S4547" s="16"/>
      <c r="T4547" s="16"/>
      <c r="U4547" s="16"/>
      <c r="V4547" s="16"/>
    </row>
    <row r="4548" spans="1:22">
      <c r="A4548" s="16"/>
      <c r="B4548" s="1320"/>
      <c r="C4548" s="1042"/>
      <c r="D4548" s="1440"/>
      <c r="E4548" s="2132"/>
      <c r="F4548" s="1441"/>
      <c r="G4548" s="1441"/>
      <c r="H4548" s="1442"/>
      <c r="I4548" s="197"/>
      <c r="J4548" s="198"/>
      <c r="K4548" s="1307"/>
      <c r="L4548" s="1335"/>
      <c r="M4548" s="1499"/>
      <c r="N4548" s="1701"/>
      <c r="O4548" s="1290"/>
      <c r="P4548" s="1332"/>
      <c r="Q4548" s="3391"/>
      <c r="R4548" s="2337"/>
      <c r="S4548" s="16"/>
      <c r="T4548" s="16"/>
      <c r="U4548" s="16"/>
      <c r="V4548" s="16"/>
    </row>
    <row r="4549" spans="1:22">
      <c r="A4549" s="16"/>
      <c r="B4549" s="225"/>
      <c r="C4549" s="223"/>
      <c r="D4549" s="1440"/>
      <c r="E4549" s="2132"/>
      <c r="F4549" s="1955"/>
      <c r="G4549" s="1955"/>
      <c r="H4549" s="1956"/>
      <c r="I4549" s="197"/>
      <c r="J4549" s="198"/>
      <c r="K4549" s="1307"/>
      <c r="L4549" s="1335"/>
      <c r="M4549" s="1499"/>
      <c r="N4549" s="1701"/>
      <c r="O4549" s="1290"/>
      <c r="P4549" s="1332"/>
      <c r="Q4549" s="3391"/>
      <c r="R4549" s="2337"/>
      <c r="S4549" s="16"/>
      <c r="T4549" s="16"/>
      <c r="U4549" s="16"/>
      <c r="V4549" s="16"/>
    </row>
    <row r="4550" spans="1:22" s="22" customFormat="1">
      <c r="A4550" s="16"/>
      <c r="B4550" s="16"/>
      <c r="C4550" s="16"/>
      <c r="D4550" s="1795"/>
      <c r="E4550" s="2179"/>
      <c r="F4550" s="1795"/>
      <c r="G4550" s="1795"/>
      <c r="H4550" s="1797"/>
      <c r="I4550" s="1561"/>
      <c r="J4550" s="1561"/>
      <c r="K4550" s="1639"/>
      <c r="L4550" s="1640"/>
      <c r="M4550" s="1292"/>
      <c r="N4550" s="1292"/>
      <c r="O4550" s="1292"/>
      <c r="P4550" s="1292"/>
      <c r="Q4550" s="3391"/>
      <c r="R4550" s="2337"/>
      <c r="S4550" s="16"/>
      <c r="T4550" s="16"/>
      <c r="U4550" s="16"/>
      <c r="V4550" s="16"/>
    </row>
    <row r="4551" spans="1:22" ht="15" thickBot="1">
      <c r="A4551" s="22"/>
      <c r="S4551" s="16"/>
      <c r="T4551" s="16"/>
      <c r="U4551" s="16"/>
      <c r="V4551" s="16"/>
    </row>
    <row r="4552" spans="1:22" ht="21" customHeight="1" thickBot="1">
      <c r="A4552" s="4475" t="s">
        <v>891</v>
      </c>
      <c r="B4552" s="4476"/>
      <c r="C4552" s="4476"/>
      <c r="D4552" s="4476"/>
      <c r="E4552" s="4476"/>
      <c r="F4552" s="4476"/>
      <c r="G4552" s="4476"/>
      <c r="H4552" s="4476"/>
      <c r="I4552" s="4476"/>
      <c r="J4552" s="4476"/>
      <c r="K4552" s="4476"/>
      <c r="L4552" s="4476"/>
      <c r="M4552" s="4476"/>
      <c r="N4552" s="4476"/>
      <c r="O4552" s="4476"/>
      <c r="P4552" s="4476"/>
      <c r="Q4552" s="4246"/>
      <c r="S4552" s="17"/>
      <c r="T4552" s="17"/>
      <c r="U4552" s="16"/>
      <c r="V4552" s="16"/>
    </row>
    <row r="4553" spans="1:22" ht="29">
      <c r="F4553" s="1"/>
      <c r="G4553" s="1"/>
      <c r="H4553" s="1"/>
      <c r="I4553" s="199"/>
      <c r="J4553" s="1"/>
      <c r="K4553" s="1"/>
      <c r="L4553" s="199"/>
      <c r="M4553" s="1"/>
      <c r="N4553" s="1"/>
      <c r="Q4553" s="4247" t="s">
        <v>3428</v>
      </c>
      <c r="R4553" s="1296"/>
      <c r="S4553" s="105"/>
      <c r="T4553" s="105"/>
      <c r="U4553" s="16"/>
      <c r="V4553" s="16"/>
    </row>
    <row r="4554" spans="1:22" s="22" customFormat="1" ht="15.5">
      <c r="E4554" s="2120"/>
      <c r="F4554" s="117"/>
      <c r="G4554" s="117"/>
      <c r="H4554" s="117"/>
      <c r="I4554" s="3336"/>
      <c r="J4554" s="117"/>
      <c r="K4554" s="117"/>
      <c r="L4554" s="3336"/>
      <c r="M4554" s="117"/>
      <c r="N4554" s="117"/>
      <c r="Q4554" s="4240">
        <f>SUM(Q4558:Q5831)</f>
        <v>0</v>
      </c>
      <c r="R4554" s="1296"/>
      <c r="S4554" s="105"/>
      <c r="T4554" s="105"/>
      <c r="U4554" s="16"/>
      <c r="V4554" s="16"/>
    </row>
    <row r="4555" spans="1:22" s="22" customFormat="1" ht="15.5">
      <c r="E4555" s="2120"/>
      <c r="F4555" s="117"/>
      <c r="G4555" s="117"/>
      <c r="H4555" s="117"/>
      <c r="I4555" s="3336"/>
      <c r="J4555" s="117"/>
      <c r="K4555" s="117"/>
      <c r="L4555" s="3336"/>
      <c r="M4555" s="117"/>
      <c r="N4555" s="117"/>
      <c r="Q4555" s="4239"/>
      <c r="R4555" s="1296"/>
      <c r="S4555" s="105"/>
      <c r="T4555" s="105"/>
      <c r="U4555" s="16"/>
      <c r="V4555" s="16"/>
    </row>
    <row r="4556" spans="1:22" s="2327" customFormat="1" ht="21">
      <c r="A4556" s="4455" t="s">
        <v>190</v>
      </c>
      <c r="B4556" s="4456"/>
      <c r="C4556" s="4456"/>
      <c r="D4556" s="4456"/>
      <c r="E4556" s="2320" t="s">
        <v>1507</v>
      </c>
      <c r="F4556" s="2321" t="s">
        <v>1982</v>
      </c>
      <c r="G4556" s="2322"/>
      <c r="H4556" s="2322"/>
      <c r="I4556" s="2323"/>
      <c r="J4556" s="2322"/>
      <c r="K4556" s="2322"/>
      <c r="L4556" s="2323"/>
      <c r="M4556" s="2322"/>
      <c r="N4556" s="2322"/>
      <c r="O4556" s="2322"/>
      <c r="P4556" s="2324"/>
      <c r="R4556" s="2325"/>
      <c r="S4556" s="2326"/>
      <c r="T4556" s="2326"/>
      <c r="U4556" s="2326"/>
      <c r="V4556" s="2326"/>
    </row>
    <row r="4557" spans="1:22" ht="28.5">
      <c r="A4557" s="1304"/>
      <c r="B4557" s="1304"/>
      <c r="C4557" s="1304"/>
      <c r="D4557" s="1304"/>
      <c r="E4557" s="1304"/>
      <c r="F4557" s="1296"/>
      <c r="G4557" s="1296"/>
      <c r="H4557" s="1296"/>
      <c r="I4557" s="1558"/>
      <c r="J4557" s="1296"/>
      <c r="K4557" s="1296"/>
      <c r="L4557" s="2375" t="s">
        <v>2856</v>
      </c>
      <c r="M4557" s="1296"/>
      <c r="N4557" s="1296"/>
      <c r="O4557" s="1296"/>
      <c r="P4557" s="1296"/>
      <c r="Q4557" s="3386"/>
      <c r="R4557" s="1296"/>
      <c r="S4557" s="16"/>
      <c r="T4557" s="16"/>
      <c r="U4557" s="16"/>
      <c r="V4557" s="16"/>
    </row>
    <row r="4558" spans="1:22">
      <c r="A4558" s="4393" t="s">
        <v>162</v>
      </c>
      <c r="B4558" s="4394"/>
      <c r="C4558" s="4394"/>
      <c r="D4558" s="4395"/>
      <c r="E4558" s="4396" t="s">
        <v>1549</v>
      </c>
      <c r="F4558" s="4397" t="s">
        <v>1550</v>
      </c>
      <c r="G4558" s="4399" t="s">
        <v>1566</v>
      </c>
      <c r="H4558" s="4400"/>
      <c r="I4558" s="4400"/>
      <c r="J4558" s="4400"/>
      <c r="K4558" s="4400"/>
      <c r="L4558" s="4401"/>
      <c r="M4558" s="4405" t="s">
        <v>1567</v>
      </c>
      <c r="N4558" s="4405"/>
      <c r="O4558" s="4405"/>
      <c r="P4558" s="4405"/>
      <c r="Q4558" s="3395"/>
      <c r="R4558" s="1296"/>
      <c r="S4558" s="16"/>
      <c r="T4558" s="16"/>
      <c r="U4558" s="16"/>
      <c r="V4558" s="16"/>
    </row>
    <row r="4559" spans="1:22" ht="15" thickBot="1">
      <c r="A4559" s="1324" t="s">
        <v>3766</v>
      </c>
      <c r="B4559" s="1325" t="s">
        <v>1513</v>
      </c>
      <c r="C4559" s="1326" t="s">
        <v>1573</v>
      </c>
      <c r="D4559" s="1323" t="s">
        <v>1514</v>
      </c>
      <c r="E4559" s="4396"/>
      <c r="F4559" s="4398"/>
      <c r="G4559" s="4402"/>
      <c r="H4559" s="4403"/>
      <c r="I4559" s="4403"/>
      <c r="J4559" s="4403"/>
      <c r="K4559" s="4403"/>
      <c r="L4559" s="4404"/>
      <c r="M4559" s="4405"/>
      <c r="N4559" s="4405"/>
      <c r="O4559" s="4405"/>
      <c r="P4559" s="4405"/>
      <c r="Q4559" s="3395"/>
      <c r="R4559" s="1296"/>
      <c r="S4559" s="16"/>
      <c r="T4559" s="16"/>
      <c r="U4559" s="16"/>
      <c r="V4559" s="16"/>
    </row>
    <row r="4560" spans="1:22">
      <c r="A4560" s="4374" t="s">
        <v>1983</v>
      </c>
      <c r="B4560" s="4375"/>
      <c r="C4560" s="4375"/>
      <c r="D4560" s="4376"/>
      <c r="E4560" s="4380" t="s">
        <v>1507</v>
      </c>
      <c r="F4560" s="4382" t="s">
        <v>1979</v>
      </c>
      <c r="G4560" s="4493" t="s">
        <v>294</v>
      </c>
      <c r="H4560" s="4493"/>
      <c r="I4560" s="1665" t="s">
        <v>1565</v>
      </c>
      <c r="J4560" s="3348" t="s">
        <v>1575</v>
      </c>
      <c r="K4560" s="4493" t="s">
        <v>289</v>
      </c>
      <c r="L4560" s="4493"/>
      <c r="M4560" s="4408" t="s">
        <v>3349</v>
      </c>
      <c r="N4560" s="4408"/>
      <c r="O4560" s="4408"/>
      <c r="P4560" s="4409"/>
      <c r="Q4560" s="4244" t="s">
        <v>3945</v>
      </c>
      <c r="R4560" s="1296"/>
      <c r="S4560" s="16"/>
      <c r="T4560" s="16"/>
      <c r="U4560" s="16"/>
      <c r="V4560" s="16"/>
    </row>
    <row r="4561" spans="1:22" ht="16" thickBot="1">
      <c r="A4561" s="4377"/>
      <c r="B4561" s="4378"/>
      <c r="C4561" s="4378"/>
      <c r="D4561" s="4379"/>
      <c r="E4561" s="4381"/>
      <c r="F4561" s="4383"/>
      <c r="G4561" s="4451">
        <f>IF('Seleccion proyecto HEREVEA02'!G40="Reparación faldón ≥60%, sustitución y reposición con mejora energética.",'Seleccion proyecto HEREVEA02'!E39,0)</f>
        <v>0</v>
      </c>
      <c r="H4561" s="4452"/>
      <c r="I4561" s="3353">
        <f>IF('Seleccion proyecto HEREVEA02'!H40=0,0,IF('Seleccion proyecto HEREVEA02'!H40="hasta 60",0,IF('Seleccion proyecto HEREVEA02'!H40="61 a 100",1)))</f>
        <v>0</v>
      </c>
      <c r="J4561" s="1351">
        <f>'Seleccion proyecto HEREVEA02'!L8</f>
        <v>11100.968999999999</v>
      </c>
      <c r="K4561" s="4358">
        <f>G4561*I4561*J4561</f>
        <v>0</v>
      </c>
      <c r="L4561" s="4359"/>
      <c r="M4561" s="4360">
        <f>P4563+P4577+P4596+P4622+P4637+P4661+P4677+P4701</f>
        <v>85.792865251799995</v>
      </c>
      <c r="N4561" s="4361"/>
      <c r="O4561" s="4361"/>
      <c r="P4561" s="4362"/>
      <c r="Q4561" s="4245">
        <f>M4561*K4561</f>
        <v>0</v>
      </c>
      <c r="R4561" s="1296"/>
      <c r="S4561" s="16"/>
      <c r="T4561" s="16"/>
      <c r="U4561" s="16"/>
      <c r="V4561" s="16"/>
    </row>
    <row r="4562" spans="1:22" ht="15" customHeight="1">
      <c r="A4562" s="18" t="s">
        <v>3764</v>
      </c>
      <c r="B4562" s="4506" t="s">
        <v>1980</v>
      </c>
      <c r="C4562" s="3354"/>
      <c r="D4562" s="4368"/>
      <c r="E4562" s="4329" t="s">
        <v>1507</v>
      </c>
      <c r="F4562" s="4336" t="s">
        <v>1981</v>
      </c>
      <c r="G4562" s="4331" t="s">
        <v>1568</v>
      </c>
      <c r="H4562" s="4331" t="s">
        <v>1574</v>
      </c>
      <c r="I4562" s="1572" t="s">
        <v>1559</v>
      </c>
      <c r="J4562" s="1294" t="s">
        <v>1560</v>
      </c>
      <c r="K4562" s="1294" t="s">
        <v>1569</v>
      </c>
      <c r="L4562" s="4333" t="s">
        <v>3765</v>
      </c>
      <c r="M4562" s="4335" t="s">
        <v>1571</v>
      </c>
      <c r="N4562" s="4323" t="s">
        <v>1776</v>
      </c>
      <c r="O4562" s="3347" t="s">
        <v>1563</v>
      </c>
      <c r="P4562" s="1336" t="s">
        <v>1562</v>
      </c>
      <c r="Q4562" s="3389"/>
      <c r="R4562" s="1699" t="s">
        <v>1327</v>
      </c>
      <c r="S4562" s="16"/>
      <c r="T4562" s="16"/>
      <c r="U4562" s="16"/>
      <c r="V4562" s="16"/>
    </row>
    <row r="4563" spans="1:22" ht="15" customHeight="1">
      <c r="A4563" s="1662" t="s">
        <v>1983</v>
      </c>
      <c r="B4563" s="4507"/>
      <c r="C4563" s="3351"/>
      <c r="D4563" s="4328"/>
      <c r="E4563" s="4330"/>
      <c r="F4563" s="4336"/>
      <c r="G4563" s="4332"/>
      <c r="H4563" s="4332"/>
      <c r="I4563" s="1345">
        <v>70</v>
      </c>
      <c r="J4563" s="1307">
        <v>1.4E-2</v>
      </c>
      <c r="K4563" s="1297">
        <f>I4563*J4563</f>
        <v>0.98</v>
      </c>
      <c r="L4563" s="4334"/>
      <c r="M4563" s="4335"/>
      <c r="N4563" s="4324"/>
      <c r="O4563" s="1298">
        <f>SUM(O4565:O4575)</f>
        <v>7.6776</v>
      </c>
      <c r="P4563" s="1337">
        <f>O4563*K4563</f>
        <v>7.5240479999999996</v>
      </c>
      <c r="Q4563" s="3390"/>
      <c r="R4563" s="1721">
        <f>P4569</f>
        <v>7.5240479999999996</v>
      </c>
      <c r="S4563" s="16"/>
      <c r="T4563" s="16"/>
      <c r="U4563" s="16"/>
      <c r="V4563" s="16"/>
    </row>
    <row r="4564" spans="1:22">
      <c r="A4564" s="1320"/>
      <c r="B4564" s="22"/>
      <c r="C4564" s="1327"/>
      <c r="D4564" s="1367"/>
      <c r="E4564" s="2121"/>
      <c r="F4564" s="1389" t="s">
        <v>1</v>
      </c>
      <c r="G4564" s="1389"/>
      <c r="H4564" s="1369"/>
      <c r="I4564" s="1409"/>
      <c r="J4564" s="1390"/>
      <c r="K4564" s="1391"/>
      <c r="L4564" s="1559"/>
      <c r="M4564" s="1369"/>
      <c r="N4564" s="1369"/>
      <c r="O4564" s="1369"/>
      <c r="P4564" s="1392"/>
      <c r="Q4564" s="3395"/>
      <c r="R4564" s="1296"/>
      <c r="S4564" s="16"/>
      <c r="T4564" s="16"/>
      <c r="U4564" s="16"/>
      <c r="V4564" s="16"/>
    </row>
    <row r="4565" spans="1:22" ht="18.5">
      <c r="A4565" s="2364" t="s">
        <v>2821</v>
      </c>
      <c r="B4565" s="1982"/>
      <c r="C4565" s="1042"/>
      <c r="D4565" s="1672"/>
      <c r="E4565" s="2160"/>
      <c r="F4565" s="1675"/>
      <c r="G4565" s="1675"/>
      <c r="H4565" s="1674"/>
      <c r="I4565" s="1299" t="str">
        <f t="shared" ref="I4565:I4567" ca="1" si="544">IF(COUNT(H4565:O4565)=0,"",(SUM(H4565:O4565)/COUNT(H4565:O4565)))</f>
        <v/>
      </c>
      <c r="J4565" s="1300"/>
      <c r="K4565" s="1307" t="str">
        <f t="shared" ref="K4565:K4567" ca="1" si="545">IF(COUNT(I4565)=0,"",(I4565*J4565))</f>
        <v/>
      </c>
      <c r="L4565" s="1335"/>
      <c r="M4565" s="1302"/>
      <c r="N4565" s="1700"/>
      <c r="O4565" s="1290"/>
      <c r="P4565" s="1332"/>
      <c r="Q4565" s="3391"/>
      <c r="R4565" s="1296"/>
      <c r="S4565" s="16"/>
      <c r="T4565" s="16"/>
      <c r="U4565" s="16"/>
      <c r="V4565" s="16"/>
    </row>
    <row r="4566" spans="1:22" ht="18.5">
      <c r="A4566" s="2364" t="s">
        <v>2828</v>
      </c>
      <c r="B4566" s="2365"/>
      <c r="C4566" s="1042"/>
      <c r="D4566" s="1367"/>
      <c r="E4566" s="2121"/>
      <c r="F4566" s="1436"/>
      <c r="G4566" s="1436"/>
      <c r="H4566" s="1369"/>
      <c r="I4566" s="1299" t="str">
        <f t="shared" ca="1" si="544"/>
        <v/>
      </c>
      <c r="J4566" s="1300"/>
      <c r="K4566" s="1307" t="str">
        <f t="shared" ca="1" si="545"/>
        <v/>
      </c>
      <c r="L4566" s="1335"/>
      <c r="M4566" s="1302"/>
      <c r="N4566" s="1700"/>
      <c r="O4566" s="1290"/>
      <c r="P4566" s="1332"/>
      <c r="Q4566" s="3391"/>
      <c r="R4566" s="1296"/>
      <c r="S4566" s="16"/>
      <c r="T4566" s="16"/>
      <c r="U4566" s="16"/>
      <c r="V4566" s="16"/>
    </row>
    <row r="4567" spans="1:22" ht="18.5">
      <c r="A4567" s="2364" t="s">
        <v>2822</v>
      </c>
      <c r="B4567" s="2365"/>
      <c r="C4567" s="1042"/>
      <c r="D4567" s="1367"/>
      <c r="E4567" s="2121"/>
      <c r="F4567" s="1436"/>
      <c r="G4567" s="1436"/>
      <c r="H4567" s="1369"/>
      <c r="I4567" s="1299" t="str">
        <f t="shared" ca="1" si="544"/>
        <v/>
      </c>
      <c r="J4567" s="1300"/>
      <c r="K4567" s="1307" t="str">
        <f t="shared" ca="1" si="545"/>
        <v/>
      </c>
      <c r="L4567" s="1335"/>
      <c r="M4567" s="1302"/>
      <c r="N4567" s="1700"/>
      <c r="O4567" s="1290"/>
      <c r="P4567" s="1332"/>
      <c r="Q4567" s="3391"/>
      <c r="R4567" s="1296"/>
      <c r="S4567" s="16"/>
      <c r="T4567" s="16"/>
      <c r="U4567" s="16"/>
      <c r="V4567" s="16"/>
    </row>
    <row r="4568" spans="1:22" ht="18.5">
      <c r="A4568" s="2364" t="s">
        <v>2823</v>
      </c>
      <c r="B4568" s="2365"/>
      <c r="C4568" s="1042"/>
      <c r="D4568" s="1359"/>
      <c r="E4568" s="1858"/>
      <c r="F4568" s="1360" t="s">
        <v>2</v>
      </c>
      <c r="G4568" s="1360"/>
      <c r="H4568" s="1362"/>
      <c r="I4568" s="1380"/>
      <c r="J4568" s="1381"/>
      <c r="K4568" s="1381"/>
      <c r="L4568" s="1458"/>
      <c r="M4568" s="1362"/>
      <c r="N4568" s="1362"/>
      <c r="O4568" s="1362"/>
      <c r="P4568" s="1359"/>
      <c r="Q4568" s="3387"/>
      <c r="S4568" s="16"/>
      <c r="T4568" s="16"/>
      <c r="U4568" s="16"/>
      <c r="V4568" s="16"/>
    </row>
    <row r="4569" spans="1:22" ht="18.5">
      <c r="A4569" s="2366" t="s">
        <v>1490</v>
      </c>
      <c r="B4569" s="2367"/>
      <c r="C4569" s="1321"/>
      <c r="D4569" s="1363" t="s">
        <v>1067</v>
      </c>
      <c r="E4569" s="2125" t="s">
        <v>1508</v>
      </c>
      <c r="F4569" s="1385" t="s">
        <v>1512</v>
      </c>
      <c r="G4569" s="1385"/>
      <c r="H4569" s="1386">
        <v>0.42</v>
      </c>
      <c r="I4569" s="1299"/>
      <c r="J4569" s="1300"/>
      <c r="K4569" s="1307">
        <f>H4569*K4563</f>
        <v>0.41159999999999997</v>
      </c>
      <c r="L4569" s="1335">
        <f>K4569*$K$4561</f>
        <v>0</v>
      </c>
      <c r="M4569" s="1302">
        <v>18.28</v>
      </c>
      <c r="N4569" s="1700"/>
      <c r="O4569" s="1290">
        <f>H4569*M4569</f>
        <v>7.6776</v>
      </c>
      <c r="P4569" s="1332">
        <f>M4569*K4569</f>
        <v>7.5240479999999996</v>
      </c>
      <c r="Q4569" s="3391"/>
      <c r="S4569" s="16"/>
      <c r="T4569" s="16"/>
      <c r="U4569" s="16"/>
      <c r="V4569" s="16"/>
    </row>
    <row r="4570" spans="1:22" ht="18.5">
      <c r="A4570" s="2364" t="s">
        <v>2824</v>
      </c>
      <c r="B4570" s="2365"/>
      <c r="C4570" s="1320"/>
      <c r="D4570" s="1359"/>
      <c r="E4570" s="1858"/>
      <c r="F4570" s="1404"/>
      <c r="G4570" s="1404"/>
      <c r="H4570" s="1359"/>
      <c r="I4570" s="1299"/>
      <c r="J4570" s="1300"/>
      <c r="K4570" s="1307" t="str">
        <f>IF(COUNT(I4570)=0,"",(I4570*J4570))</f>
        <v/>
      </c>
      <c r="L4570" s="1335"/>
      <c r="M4570" s="1302"/>
      <c r="N4570" s="1700"/>
      <c r="O4570" s="1290"/>
      <c r="P4570" s="1332"/>
      <c r="Q4570" s="3391"/>
      <c r="R4570" s="1296"/>
      <c r="S4570" s="16"/>
      <c r="T4570" s="16"/>
      <c r="U4570" s="16"/>
      <c r="V4570" s="16"/>
    </row>
    <row r="4571" spans="1:22" ht="18.5">
      <c r="A4571" s="2364" t="s">
        <v>2825</v>
      </c>
      <c r="B4571" s="2365"/>
      <c r="C4571" s="1320"/>
      <c r="D4571" s="1359"/>
      <c r="E4571" s="1858"/>
      <c r="F4571" s="1361"/>
      <c r="G4571" s="1361"/>
      <c r="H4571" s="1466"/>
      <c r="I4571" s="1299"/>
      <c r="J4571" s="1300"/>
      <c r="K4571" s="1307" t="str">
        <f>IF(COUNT(I4571)=0,"",(I4571*J4571))</f>
        <v/>
      </c>
      <c r="L4571" s="1335"/>
      <c r="M4571" s="1302"/>
      <c r="N4571" s="1700"/>
      <c r="O4571" s="1290"/>
      <c r="P4571" s="1332"/>
      <c r="Q4571" s="3391"/>
      <c r="R4571" s="1296"/>
      <c r="S4571" s="16"/>
      <c r="T4571" s="16"/>
      <c r="U4571" s="16"/>
      <c r="V4571" s="16"/>
    </row>
    <row r="4572" spans="1:22" ht="18.5">
      <c r="A4572" s="2364" t="s">
        <v>2826</v>
      </c>
      <c r="B4572" s="2365"/>
      <c r="C4572" s="1320"/>
      <c r="D4572" s="1373"/>
      <c r="E4572" s="2123"/>
      <c r="F4572" s="1374" t="s">
        <v>3</v>
      </c>
      <c r="G4572" s="1375"/>
      <c r="H4572" s="1376"/>
      <c r="I4572" s="1382"/>
      <c r="J4572" s="1383"/>
      <c r="K4572" s="1383" t="str">
        <f>IF(COUNT(I4572)=0,"",(I4572*J4572))</f>
        <v/>
      </c>
      <c r="L4572" s="1413"/>
      <c r="M4572" s="1376"/>
      <c r="N4572" s="1376"/>
      <c r="O4572" s="1376"/>
      <c r="P4572" s="1373"/>
      <c r="Q4572" s="3387"/>
      <c r="R4572" s="1296"/>
      <c r="S4572" s="17"/>
      <c r="T4572" s="17"/>
      <c r="U4572" s="16"/>
      <c r="V4572" s="16"/>
    </row>
    <row r="4573" spans="1:22" ht="18.5">
      <c r="A4573" s="2366" t="s">
        <v>2827</v>
      </c>
      <c r="B4573" s="2367"/>
      <c r="C4573" s="1321"/>
      <c r="D4573" s="1377"/>
      <c r="E4573" s="2124"/>
      <c r="F4573" s="1378"/>
      <c r="G4573" s="1378"/>
      <c r="H4573" s="1379"/>
      <c r="I4573" s="1299"/>
      <c r="J4573" s="1300"/>
      <c r="K4573" s="1307"/>
      <c r="L4573" s="1335"/>
      <c r="M4573" s="1302"/>
      <c r="N4573" s="1700"/>
      <c r="O4573" s="1290"/>
      <c r="P4573" s="1332"/>
      <c r="Q4573" s="3391"/>
      <c r="R4573" s="1296"/>
      <c r="S4573" s="105"/>
      <c r="T4573" s="105"/>
      <c r="U4573" s="16"/>
      <c r="V4573" s="16"/>
    </row>
    <row r="4574" spans="1:22">
      <c r="A4574" s="1321"/>
      <c r="B4574" s="1295"/>
      <c r="C4574" s="1321"/>
      <c r="D4574" s="1377"/>
      <c r="E4574" s="2124"/>
      <c r="F4574" s="1378"/>
      <c r="G4574" s="1378"/>
      <c r="H4574" s="1379"/>
      <c r="I4574" s="1299"/>
      <c r="J4574" s="1300"/>
      <c r="K4574" s="1307"/>
      <c r="L4574" s="1335"/>
      <c r="M4574" s="1302"/>
      <c r="N4574" s="1700"/>
      <c r="O4574" s="1290"/>
      <c r="P4574" s="1333"/>
      <c r="Q4574" s="3391"/>
      <c r="R4574" s="1296"/>
      <c r="S4574" s="16"/>
      <c r="T4574" s="16"/>
      <c r="U4574" s="16"/>
      <c r="V4574" s="16"/>
    </row>
    <row r="4575" spans="1:22">
      <c r="A4575" s="1042"/>
      <c r="B4575" s="22"/>
      <c r="C4575" s="1042"/>
      <c r="D4575" s="1677"/>
      <c r="E4575" s="2161"/>
      <c r="F4575" s="1678"/>
      <c r="G4575" s="1678"/>
      <c r="H4575" s="1376"/>
      <c r="I4575" s="1299"/>
      <c r="J4575" s="1300"/>
      <c r="K4575" s="1307"/>
      <c r="L4575" s="1335"/>
      <c r="M4575" s="1302"/>
      <c r="N4575" s="1700"/>
      <c r="O4575" s="1290"/>
      <c r="P4575" s="1332"/>
      <c r="Q4575" s="3391"/>
      <c r="R4575" s="1296"/>
      <c r="S4575" s="16"/>
      <c r="T4575" s="16"/>
      <c r="U4575" s="16"/>
      <c r="V4575" s="16"/>
    </row>
    <row r="4576" spans="1:22" ht="15" customHeight="1">
      <c r="A4576" s="1042" t="s">
        <v>3764</v>
      </c>
      <c r="B4576" s="4325" t="s">
        <v>1657</v>
      </c>
      <c r="C4576" s="3350"/>
      <c r="D4576" s="4327" t="s">
        <v>1551</v>
      </c>
      <c r="E4576" s="4329" t="s">
        <v>1504</v>
      </c>
      <c r="F4576" s="4336" t="s">
        <v>1668</v>
      </c>
      <c r="G4576" s="4331" t="s">
        <v>1568</v>
      </c>
      <c r="H4576" s="4331" t="s">
        <v>1574</v>
      </c>
      <c r="I4576" s="1572" t="s">
        <v>1559</v>
      </c>
      <c r="J4576" s="1294" t="s">
        <v>1560</v>
      </c>
      <c r="K4576" s="1294" t="s">
        <v>1561</v>
      </c>
      <c r="L4576" s="4333" t="s">
        <v>3765</v>
      </c>
      <c r="M4576" s="4335" t="s">
        <v>1571</v>
      </c>
      <c r="N4576" s="4323" t="s">
        <v>1776</v>
      </c>
      <c r="O4576" s="3347" t="s">
        <v>1563</v>
      </c>
      <c r="P4576" s="1336" t="s">
        <v>1562</v>
      </c>
      <c r="Q4576" s="3389"/>
      <c r="R4576" s="1699" t="s">
        <v>1327</v>
      </c>
      <c r="S4576" s="16"/>
      <c r="T4576" s="16"/>
      <c r="U4576" s="16"/>
      <c r="V4576" s="16"/>
    </row>
    <row r="4577" spans="1:22">
      <c r="A4577" s="1662" t="s">
        <v>1983</v>
      </c>
      <c r="B4577" s="4326"/>
      <c r="C4577" s="3354"/>
      <c r="D4577" s="4328"/>
      <c r="E4577" s="4330"/>
      <c r="F4577" s="4336"/>
      <c r="G4577" s="4332"/>
      <c r="H4577" s="4332"/>
      <c r="I4577" s="1345">
        <v>5</v>
      </c>
      <c r="J4577" s="1307">
        <v>1.4E-2</v>
      </c>
      <c r="K4577" s="1297">
        <f>I4577*J4577</f>
        <v>7.0000000000000007E-2</v>
      </c>
      <c r="L4577" s="4334"/>
      <c r="M4577" s="4335"/>
      <c r="N4577" s="4324"/>
      <c r="O4577" s="1298">
        <f>SUM(O4579:O4586)+O4587</f>
        <v>44.789180000000002</v>
      </c>
      <c r="P4577" s="1337">
        <f>O4577*K4577</f>
        <v>3.1352426000000002</v>
      </c>
      <c r="Q4577" s="3390"/>
      <c r="R4577" s="1721">
        <f>P4579+P4580+P4581+P4582+P4586+P4587</f>
        <v>3.1352426000000002</v>
      </c>
      <c r="S4577" s="16"/>
      <c r="T4577" s="16"/>
      <c r="U4577" s="16"/>
      <c r="V4577" s="16"/>
    </row>
    <row r="4578" spans="1:22">
      <c r="A4578" s="1042"/>
      <c r="B4578" s="22"/>
      <c r="C4578" s="18"/>
      <c r="D4578" s="1400"/>
      <c r="E4578" s="2121"/>
      <c r="F4578" s="1368" t="s">
        <v>1</v>
      </c>
      <c r="G4578" s="1368"/>
      <c r="H4578" s="1423"/>
      <c r="I4578" s="1667"/>
      <c r="J4578" s="1424"/>
      <c r="K4578" s="1425"/>
      <c r="L4578" s="1560"/>
      <c r="M4578" s="1426"/>
      <c r="N4578" s="1426"/>
      <c r="O4578" s="1427"/>
      <c r="P4578" s="1427"/>
      <c r="Q4578" s="3397"/>
      <c r="R4578" s="1296"/>
      <c r="S4578" s="16"/>
      <c r="T4578" s="16"/>
      <c r="U4578" s="16"/>
      <c r="V4578" s="16"/>
    </row>
    <row r="4579" spans="1:22">
      <c r="A4579" s="1042"/>
      <c r="B4579" s="22"/>
      <c r="C4579" s="1042"/>
      <c r="D4579" s="1471" t="s">
        <v>1669</v>
      </c>
      <c r="E4579" s="2144" t="s">
        <v>1504</v>
      </c>
      <c r="F4579" s="1471" t="s">
        <v>1670</v>
      </c>
      <c r="G4579" s="1650">
        <v>1</v>
      </c>
      <c r="H4579" s="1372"/>
      <c r="I4579" s="197"/>
      <c r="J4579" s="198"/>
      <c r="K4579" s="1307">
        <f>G4579*K4577</f>
        <v>7.0000000000000007E-2</v>
      </c>
      <c r="L4579" s="1335">
        <f>K4579*$K$4561</f>
        <v>0</v>
      </c>
      <c r="M4579" s="1302">
        <v>20.18</v>
      </c>
      <c r="N4579" s="1700"/>
      <c r="O4579" s="1290">
        <f>G4579*M4579</f>
        <v>20.18</v>
      </c>
      <c r="P4579" s="1332">
        <f>M4579*K4579</f>
        <v>1.4126000000000001</v>
      </c>
      <c r="Q4579" s="3391"/>
      <c r="R4579" s="1296"/>
      <c r="S4579" s="16"/>
      <c r="T4579" s="16"/>
      <c r="U4579" s="16"/>
      <c r="V4579" s="16"/>
    </row>
    <row r="4580" spans="1:22">
      <c r="A4580" s="1042"/>
      <c r="B4580" s="22"/>
      <c r="C4580" s="1042"/>
      <c r="D4580" s="1471" t="s">
        <v>1671</v>
      </c>
      <c r="E4580" s="2144" t="s">
        <v>1504</v>
      </c>
      <c r="F4580" s="1471" t="s">
        <v>1672</v>
      </c>
      <c r="G4580" s="1650">
        <v>1</v>
      </c>
      <c r="H4580" s="1372"/>
      <c r="I4580" s="197"/>
      <c r="J4580" s="198"/>
      <c r="K4580" s="1307">
        <f>G4580*K4577</f>
        <v>7.0000000000000007E-2</v>
      </c>
      <c r="L4580" s="1335">
        <f t="shared" ref="L4580:L4582" si="546">K4580*$K$4561</f>
        <v>0</v>
      </c>
      <c r="M4580" s="1302">
        <v>6.24</v>
      </c>
      <c r="N4580" s="1700"/>
      <c r="O4580" s="1290">
        <f>G4580*M4580</f>
        <v>6.24</v>
      </c>
      <c r="P4580" s="1332">
        <f>M4580*K4580</f>
        <v>0.43680000000000008</v>
      </c>
      <c r="Q4580" s="3391"/>
      <c r="R4580" s="1296"/>
      <c r="S4580" s="16"/>
      <c r="T4580" s="16"/>
      <c r="U4580" s="16"/>
      <c r="V4580" s="16"/>
    </row>
    <row r="4581" spans="1:22">
      <c r="A4581" s="1042"/>
      <c r="B4581" s="22"/>
      <c r="C4581" s="1320"/>
      <c r="D4581" s="1471" t="s">
        <v>1097</v>
      </c>
      <c r="E4581" s="2144" t="s">
        <v>1504</v>
      </c>
      <c r="F4581" s="1471" t="s">
        <v>1632</v>
      </c>
      <c r="G4581" s="1650">
        <v>4</v>
      </c>
      <c r="H4581" s="1399"/>
      <c r="I4581" s="197"/>
      <c r="J4581" s="198"/>
      <c r="K4581" s="1307">
        <f>G4581*K4577</f>
        <v>0.28000000000000003</v>
      </c>
      <c r="L4581" s="1335">
        <f t="shared" si="546"/>
        <v>0</v>
      </c>
      <c r="M4581" s="1302">
        <v>0.55000000000000004</v>
      </c>
      <c r="N4581" s="1700"/>
      <c r="O4581" s="1290">
        <f>G4581*M4581</f>
        <v>2.2000000000000002</v>
      </c>
      <c r="P4581" s="1332">
        <f>M4581*K4581</f>
        <v>0.15400000000000003</v>
      </c>
      <c r="Q4581" s="3391"/>
      <c r="R4581" s="1296"/>
      <c r="S4581" s="16"/>
      <c r="T4581" s="16"/>
      <c r="U4581" s="16"/>
      <c r="V4581" s="16"/>
    </row>
    <row r="4582" spans="1:22">
      <c r="A4582" s="1042"/>
      <c r="B4582" s="22"/>
      <c r="C4582" s="1320"/>
      <c r="D4582" s="1471" t="s">
        <v>1082</v>
      </c>
      <c r="E4582" s="2144" t="s">
        <v>1504</v>
      </c>
      <c r="F4582" s="1471" t="s">
        <v>1541</v>
      </c>
      <c r="G4582" s="1650">
        <v>1</v>
      </c>
      <c r="H4582" s="1399"/>
      <c r="I4582" s="197"/>
      <c r="J4582" s="198"/>
      <c r="K4582" s="1307">
        <f>G4582*K4577</f>
        <v>7.0000000000000007E-2</v>
      </c>
      <c r="L4582" s="1335">
        <f t="shared" si="546"/>
        <v>0</v>
      </c>
      <c r="M4582" s="1302">
        <v>0.3</v>
      </c>
      <c r="N4582" s="1700"/>
      <c r="O4582" s="1290">
        <f>G4582*M4582</f>
        <v>0.3</v>
      </c>
      <c r="P4582" s="1332">
        <f>M4582*K4582</f>
        <v>2.1000000000000001E-2</v>
      </c>
      <c r="Q4582" s="3391"/>
      <c r="R4582" s="1296"/>
      <c r="S4582" s="16"/>
      <c r="T4582" s="16"/>
      <c r="U4582" s="16"/>
      <c r="V4582" s="16"/>
    </row>
    <row r="4583" spans="1:22">
      <c r="A4583" s="1042"/>
      <c r="B4583" s="22"/>
      <c r="C4583" s="1320"/>
      <c r="D4583" s="1400"/>
      <c r="E4583" s="1856"/>
      <c r="F4583" s="1671"/>
      <c r="G4583" s="1651"/>
      <c r="H4583" s="1399"/>
      <c r="I4583" s="197"/>
      <c r="J4583" s="198"/>
      <c r="K4583" s="1307"/>
      <c r="L4583" s="1335"/>
      <c r="M4583" s="1499"/>
      <c r="N4583" s="1701"/>
      <c r="O4583" s="1290"/>
      <c r="P4583" s="1332"/>
      <c r="Q4583" s="3391"/>
      <c r="R4583" s="1296"/>
      <c r="S4583" s="16"/>
      <c r="T4583" s="16"/>
      <c r="U4583" s="16"/>
      <c r="V4583" s="16"/>
    </row>
    <row r="4584" spans="1:22">
      <c r="A4584" s="1042"/>
      <c r="B4584" s="22"/>
      <c r="C4584" s="1320"/>
      <c r="D4584" s="1400"/>
      <c r="E4584" s="1856"/>
      <c r="F4584" s="1397"/>
      <c r="G4584" s="1988"/>
      <c r="H4584" s="1399"/>
      <c r="I4584" s="197"/>
      <c r="J4584" s="198"/>
      <c r="K4584" s="1307"/>
      <c r="L4584" s="1335"/>
      <c r="M4584" s="1499"/>
      <c r="N4584" s="1701"/>
      <c r="O4584" s="1290"/>
      <c r="P4584" s="1332"/>
      <c r="Q4584" s="3391"/>
      <c r="R4584" s="1296"/>
      <c r="S4584" s="16"/>
      <c r="T4584" s="16"/>
      <c r="U4584" s="16"/>
      <c r="V4584" s="16"/>
    </row>
    <row r="4585" spans="1:22">
      <c r="A4585" s="1042"/>
      <c r="B4585" s="22"/>
      <c r="C4585" s="1320"/>
      <c r="D4585" s="1642"/>
      <c r="E4585" s="2162"/>
      <c r="F4585" s="1643" t="s">
        <v>2</v>
      </c>
      <c r="G4585" s="1989"/>
      <c r="H4585" s="1408"/>
      <c r="I4585" s="1380"/>
      <c r="J4585" s="1381"/>
      <c r="K4585" s="1679"/>
      <c r="L4585" s="1680"/>
      <c r="M4585" s="1681"/>
      <c r="N4585" s="1713"/>
      <c r="O4585" s="1682"/>
      <c r="P4585" s="1683"/>
      <c r="Q4585" s="3391"/>
      <c r="R4585" s="1296"/>
      <c r="S4585" s="16"/>
      <c r="T4585" s="16"/>
      <c r="U4585" s="16"/>
      <c r="V4585" s="16"/>
    </row>
    <row r="4586" spans="1:22">
      <c r="A4586" s="1042"/>
      <c r="B4586" s="22"/>
      <c r="C4586" s="1042"/>
      <c r="D4586" s="1473" t="s">
        <v>1099</v>
      </c>
      <c r="E4586" s="2148" t="s">
        <v>1508</v>
      </c>
      <c r="F4586" s="1473" t="s">
        <v>1633</v>
      </c>
      <c r="G4586" s="1992">
        <v>0.4</v>
      </c>
      <c r="H4586" s="1591"/>
      <c r="I4586" s="197"/>
      <c r="J4586" s="198"/>
      <c r="K4586" s="1307">
        <f>G4586*K4577</f>
        <v>2.8000000000000004E-2</v>
      </c>
      <c r="L4586" s="1335">
        <f>K4586*$K$4561</f>
        <v>0</v>
      </c>
      <c r="M4586" s="1302">
        <v>19.23</v>
      </c>
      <c r="N4586" s="1700"/>
      <c r="O4586" s="1290">
        <f>G4586*M4586</f>
        <v>7.6920000000000002</v>
      </c>
      <c r="P4586" s="1332">
        <f>M4586*K4586</f>
        <v>0.53844000000000014</v>
      </c>
      <c r="Q4586" s="3391"/>
      <c r="R4586" s="1296"/>
      <c r="S4586" s="16"/>
      <c r="T4586" s="16"/>
      <c r="U4586" s="16"/>
      <c r="V4586" s="16"/>
    </row>
    <row r="4587" spans="1:22">
      <c r="A4587" s="16"/>
      <c r="B4587" s="1042"/>
      <c r="C4587" s="1652" t="s">
        <v>1755</v>
      </c>
      <c r="D4587" s="1461"/>
      <c r="E4587" s="2163" t="s">
        <v>1508</v>
      </c>
      <c r="F4587" s="1648" t="s">
        <v>1524</v>
      </c>
      <c r="G4587" s="1990"/>
      <c r="H4587" s="1456">
        <v>0.218</v>
      </c>
      <c r="I4587" s="1444"/>
      <c r="J4587" s="1388"/>
      <c r="K4587" s="1445"/>
      <c r="L4587" s="1457"/>
      <c r="M4587" s="1447"/>
      <c r="N4587" s="1447">
        <f>SUM(N4588:N4589)</f>
        <v>37.510000000000005</v>
      </c>
      <c r="O4587" s="1447">
        <f>SUM(O4588:O4589)</f>
        <v>8.1771799999999999</v>
      </c>
      <c r="P4587" s="1447">
        <f>SUM(P4588:P4589)</f>
        <v>0.57240260000000009</v>
      </c>
      <c r="Q4587" s="3391"/>
      <c r="R4587" s="2337"/>
      <c r="S4587" s="16"/>
      <c r="T4587" s="16"/>
      <c r="U4587" s="16"/>
      <c r="V4587" s="16"/>
    </row>
    <row r="4588" spans="1:22">
      <c r="A4588" s="16"/>
      <c r="B4588" s="1042"/>
      <c r="C4588" s="88"/>
      <c r="D4588" s="1430" t="s">
        <v>1067</v>
      </c>
      <c r="E4588" s="1857" t="s">
        <v>1508</v>
      </c>
      <c r="F4588" s="1403" t="s">
        <v>5</v>
      </c>
      <c r="G4588" s="1991">
        <v>1</v>
      </c>
      <c r="H4588" s="1408">
        <f>G4588*$H$4587</f>
        <v>0.218</v>
      </c>
      <c r="I4588" s="1286"/>
      <c r="J4588" s="198"/>
      <c r="K4588" s="1307">
        <f>H4588*$K$4577</f>
        <v>1.5260000000000001E-2</v>
      </c>
      <c r="L4588" s="1335">
        <f t="shared" ref="L4588" si="547">K4588*$K$4561</f>
        <v>0</v>
      </c>
      <c r="M4588" s="1302">
        <v>18.28</v>
      </c>
      <c r="N4588" s="1718">
        <f>G4588*M4588</f>
        <v>18.28</v>
      </c>
      <c r="O4588" s="1290">
        <f>H4588*M4588</f>
        <v>3.9850400000000001</v>
      </c>
      <c r="P4588" s="1332">
        <f>M4588*K4588</f>
        <v>0.27895280000000006</v>
      </c>
      <c r="Q4588" s="3391"/>
      <c r="R4588" s="2337"/>
      <c r="S4588" s="16"/>
      <c r="T4588" s="16"/>
      <c r="U4588" s="16"/>
      <c r="V4588" s="16"/>
    </row>
    <row r="4589" spans="1:22">
      <c r="A4589" s="16"/>
      <c r="B4589" s="1042"/>
      <c r="C4589" s="88"/>
      <c r="D4589" s="1430" t="s">
        <v>1077</v>
      </c>
      <c r="E4589" s="1857" t="s">
        <v>1508</v>
      </c>
      <c r="F4589" s="1394" t="s">
        <v>37</v>
      </c>
      <c r="G4589" s="1991">
        <v>1</v>
      </c>
      <c r="H4589" s="1408">
        <f>G4589*$H$4587</f>
        <v>0.218</v>
      </c>
      <c r="I4589" s="197">
        <f ca="1">IF(COUNT(H4589:L4589)=0,"",(SUM(H4589:L4589)/COUNT(H4589:L4589)))</f>
        <v>7.7753723749332343E-2</v>
      </c>
      <c r="J4589" s="198"/>
      <c r="K4589" s="1307">
        <f>H4589*$K$4577</f>
        <v>1.5260000000000001E-2</v>
      </c>
      <c r="L4589" s="1335">
        <f>K4589*$K$4561</f>
        <v>0</v>
      </c>
      <c r="M4589" s="1302">
        <v>19.23</v>
      </c>
      <c r="N4589" s="1718">
        <f>G4589*M4589</f>
        <v>19.23</v>
      </c>
      <c r="O4589" s="1290">
        <f>H4589*M4589</f>
        <v>4.1921400000000002</v>
      </c>
      <c r="P4589" s="1332">
        <f>M4589*K4589</f>
        <v>0.29344980000000004</v>
      </c>
      <c r="Q4589" s="3391"/>
      <c r="R4589" s="2337"/>
      <c r="S4589" s="16"/>
      <c r="T4589" s="16"/>
      <c r="U4589" s="16"/>
      <c r="V4589" s="16"/>
    </row>
    <row r="4590" spans="1:22">
      <c r="A4590" s="16"/>
      <c r="B4590" s="1042"/>
      <c r="C4590" s="88"/>
      <c r="D4590" s="1402"/>
      <c r="E4590" s="1857"/>
      <c r="F4590" s="1430"/>
      <c r="G4590" s="2270"/>
      <c r="H4590" s="1408"/>
      <c r="I4590" s="197"/>
      <c r="J4590" s="198"/>
      <c r="K4590" s="1307"/>
      <c r="L4590" s="1335"/>
      <c r="M4590" s="1302"/>
      <c r="N4590" s="1718"/>
      <c r="O4590" s="1290"/>
      <c r="P4590" s="1332"/>
      <c r="Q4590" s="3391"/>
      <c r="R4590" s="2337"/>
      <c r="S4590" s="16"/>
      <c r="T4590" s="16"/>
      <c r="U4590" s="16"/>
      <c r="V4590" s="16"/>
    </row>
    <row r="4591" spans="1:22">
      <c r="A4591" s="1042"/>
      <c r="B4591" s="22"/>
      <c r="C4591" s="1042"/>
      <c r="D4591" s="1411"/>
      <c r="E4591" s="2123"/>
      <c r="F4591" s="1374" t="s">
        <v>3</v>
      </c>
      <c r="G4591" s="1374"/>
      <c r="H4591" s="1376"/>
      <c r="I4591" s="1382"/>
      <c r="J4591" s="1383"/>
      <c r="K4591" s="1684"/>
      <c r="L4591" s="1685"/>
      <c r="M4591" s="1597"/>
      <c r="N4591" s="1597"/>
      <c r="O4591" s="1687"/>
      <c r="P4591" s="1686"/>
      <c r="Q4591" s="3391"/>
      <c r="R4591" s="1173"/>
      <c r="S4591" s="16"/>
      <c r="T4591" s="16"/>
      <c r="U4591" s="16"/>
      <c r="V4591" s="16"/>
    </row>
    <row r="4592" spans="1:22">
      <c r="A4592" s="1042"/>
      <c r="B4592" s="22"/>
      <c r="C4592" s="1042"/>
      <c r="D4592" s="1411"/>
      <c r="E4592" s="2123"/>
      <c r="F4592" s="1375"/>
      <c r="G4592" s="1375"/>
      <c r="H4592" s="1505"/>
      <c r="I4592" s="197"/>
      <c r="J4592" s="198"/>
      <c r="K4592" s="1307"/>
      <c r="L4592" s="1335"/>
      <c r="M4592" s="1619"/>
      <c r="N4592" s="1619"/>
      <c r="O4592" s="1290"/>
      <c r="P4592" s="1332"/>
      <c r="Q4592" s="3391"/>
      <c r="R4592" s="3363"/>
      <c r="S4592" s="16"/>
      <c r="T4592" s="16"/>
      <c r="U4592" s="16"/>
      <c r="V4592" s="16"/>
    </row>
    <row r="4593" spans="1:22">
      <c r="A4593" s="1042"/>
      <c r="B4593" s="22"/>
      <c r="C4593" s="1042"/>
      <c r="D4593" s="1411"/>
      <c r="E4593" s="2123"/>
      <c r="F4593" s="1669"/>
      <c r="G4593" s="1669"/>
      <c r="H4593" s="1670"/>
      <c r="I4593" s="197" t="str">
        <f ca="1">IF(COUNT(H4593:O4593)=0,"",(SUM(H4593:O4593)/COUNT(H4593:O4593)))</f>
        <v/>
      </c>
      <c r="J4593" s="198"/>
      <c r="K4593" s="1307"/>
      <c r="L4593" s="1335"/>
      <c r="M4593" s="1619"/>
      <c r="N4593" s="1619"/>
      <c r="O4593" s="1290"/>
      <c r="P4593" s="1332"/>
      <c r="Q4593" s="3391"/>
      <c r="R4593" s="3363"/>
      <c r="S4593" s="16"/>
      <c r="T4593" s="16"/>
      <c r="U4593" s="16"/>
      <c r="V4593" s="16"/>
    </row>
    <row r="4594" spans="1:22">
      <c r="A4594" s="1042"/>
      <c r="B4594" s="22"/>
      <c r="C4594" s="223"/>
      <c r="D4594" s="1411"/>
      <c r="E4594" s="2123"/>
      <c r="F4594" s="1375"/>
      <c r="G4594" s="1375"/>
      <c r="H4594" s="1376"/>
      <c r="I4594" s="197" t="str">
        <f ca="1">IF(COUNT(H4594:O4594)=0,"",(SUM(H4594:O4594)/COUNT(H4594:O4594)))</f>
        <v/>
      </c>
      <c r="J4594" s="198"/>
      <c r="K4594" s="1307"/>
      <c r="L4594" s="1335"/>
      <c r="M4594" s="1619"/>
      <c r="N4594" s="1619"/>
      <c r="O4594" s="1290"/>
      <c r="P4594" s="1332"/>
      <c r="Q4594" s="3391"/>
      <c r="R4594" s="3363"/>
      <c r="S4594" s="105"/>
      <c r="T4594" s="105"/>
      <c r="U4594" s="16"/>
      <c r="V4594" s="16"/>
    </row>
    <row r="4595" spans="1:22" ht="15" customHeight="1">
      <c r="A4595" s="1042" t="s">
        <v>3764</v>
      </c>
      <c r="B4595" s="4325" t="s">
        <v>1984</v>
      </c>
      <c r="C4595" s="3350"/>
      <c r="D4595" s="4327" t="s">
        <v>1551</v>
      </c>
      <c r="E4595" s="4329" t="s">
        <v>1527</v>
      </c>
      <c r="F4595" s="4372" t="s">
        <v>1985</v>
      </c>
      <c r="G4595" s="4331" t="s">
        <v>1568</v>
      </c>
      <c r="H4595" s="4331" t="s">
        <v>1574</v>
      </c>
      <c r="I4595" s="1572" t="s">
        <v>1559</v>
      </c>
      <c r="J4595" s="1294" t="s">
        <v>1560</v>
      </c>
      <c r="K4595" s="1294" t="s">
        <v>1561</v>
      </c>
      <c r="L4595" s="4333" t="s">
        <v>3765</v>
      </c>
      <c r="M4595" s="4335" t="s">
        <v>1571</v>
      </c>
      <c r="N4595" s="4323" t="s">
        <v>1776</v>
      </c>
      <c r="O4595" s="3347" t="s">
        <v>1563</v>
      </c>
      <c r="P4595" s="1336" t="s">
        <v>1562</v>
      </c>
      <c r="Q4595" s="3389"/>
      <c r="R4595" s="1699" t="s">
        <v>1327</v>
      </c>
      <c r="S4595" s="16"/>
      <c r="T4595" s="16"/>
      <c r="U4595" s="16"/>
      <c r="V4595" s="16"/>
    </row>
    <row r="4596" spans="1:22">
      <c r="A4596" s="1662" t="s">
        <v>1983</v>
      </c>
      <c r="B4596" s="4326"/>
      <c r="C4596" s="3354"/>
      <c r="D4596" s="4328"/>
      <c r="E4596" s="4330"/>
      <c r="F4596" s="4363"/>
      <c r="G4596" s="4332"/>
      <c r="H4596" s="4332"/>
      <c r="I4596" s="1345">
        <v>7</v>
      </c>
      <c r="J4596" s="1307">
        <v>1.4E-2</v>
      </c>
      <c r="K4596" s="1297">
        <f>I4596*J4596</f>
        <v>9.8000000000000004E-2</v>
      </c>
      <c r="L4596" s="4334"/>
      <c r="M4596" s="4335"/>
      <c r="N4596" s="4324"/>
      <c r="O4596" s="1298">
        <f>O4598+O4599+O4600+O4606+O4613+O4614</f>
        <v>16.4948832</v>
      </c>
      <c r="P4596" s="1337">
        <f>O4596*K4596</f>
        <v>1.6164985536000001</v>
      </c>
      <c r="Q4596" s="3390"/>
      <c r="R4596" s="1721">
        <f>P4598+P4599+P4600+P4606+P4613+P4614</f>
        <v>1.6164985536000001</v>
      </c>
      <c r="S4596" s="16"/>
      <c r="T4596" s="16"/>
      <c r="U4596" s="16"/>
      <c r="V4596" s="16"/>
    </row>
    <row r="4597" spans="1:22">
      <c r="A4597" s="1042"/>
      <c r="B4597" s="22"/>
      <c r="C4597" s="18"/>
      <c r="D4597" s="1400"/>
      <c r="E4597" s="2121"/>
      <c r="F4597" s="1368" t="s">
        <v>1</v>
      </c>
      <c r="G4597" s="1368"/>
      <c r="H4597" s="1423"/>
      <c r="I4597" s="1667"/>
      <c r="J4597" s="1424"/>
      <c r="K4597" s="1425"/>
      <c r="L4597" s="1560"/>
      <c r="M4597" s="1426"/>
      <c r="N4597" s="1426"/>
      <c r="O4597" s="1427"/>
      <c r="P4597" s="1427"/>
      <c r="Q4597" s="3397"/>
      <c r="R4597" s="1296"/>
      <c r="S4597" s="16"/>
      <c r="T4597" s="16"/>
      <c r="U4597" s="16"/>
      <c r="V4597" s="16"/>
    </row>
    <row r="4598" spans="1:22">
      <c r="A4598" s="1042"/>
      <c r="B4598" s="22"/>
      <c r="C4598" s="1042"/>
      <c r="D4598" s="1598" t="s">
        <v>1986</v>
      </c>
      <c r="E4598" s="2154" t="s">
        <v>1521</v>
      </c>
      <c r="F4598" s="1598" t="s">
        <v>1987</v>
      </c>
      <c r="G4598" s="1612">
        <v>5.0000000000000001E-3</v>
      </c>
      <c r="H4598" s="1372"/>
      <c r="I4598" s="197"/>
      <c r="J4598" s="198"/>
      <c r="K4598" s="1732">
        <f>G4598*K4596</f>
        <v>4.8999999999999998E-4</v>
      </c>
      <c r="L4598" s="1335">
        <f>K4598*$K$4561</f>
        <v>0</v>
      </c>
      <c r="M4598" s="1499">
        <v>150.1</v>
      </c>
      <c r="N4598" s="1700"/>
      <c r="O4598" s="1290">
        <f>G4598*M4598</f>
        <v>0.75049999999999994</v>
      </c>
      <c r="P4598" s="1332">
        <f>M4598*K4598</f>
        <v>7.3548999999999989E-2</v>
      </c>
      <c r="Q4598" s="3391"/>
      <c r="R4598" s="1296"/>
      <c r="S4598" s="16"/>
      <c r="T4598" s="16"/>
      <c r="U4598" s="16"/>
      <c r="V4598" s="16"/>
    </row>
    <row r="4599" spans="1:22">
      <c r="A4599" s="1042"/>
      <c r="B4599" s="22"/>
      <c r="C4599" s="1042"/>
      <c r="D4599" s="1598" t="s">
        <v>1129</v>
      </c>
      <c r="E4599" s="2154" t="s">
        <v>1504</v>
      </c>
      <c r="F4599" s="1598" t="s">
        <v>1988</v>
      </c>
      <c r="G4599" s="1612">
        <v>5</v>
      </c>
      <c r="H4599" s="1372"/>
      <c r="I4599" s="197"/>
      <c r="J4599" s="198"/>
      <c r="K4599" s="1307">
        <f>G4599*K4596</f>
        <v>0.49</v>
      </c>
      <c r="L4599" s="1335">
        <f>K4599*$K$4561</f>
        <v>0</v>
      </c>
      <c r="M4599" s="1499">
        <v>0.19</v>
      </c>
      <c r="N4599" s="1700"/>
      <c r="O4599" s="1290">
        <f>G4599*M4599</f>
        <v>0.95</v>
      </c>
      <c r="P4599" s="1332">
        <f>M4599*K4599</f>
        <v>9.3100000000000002E-2</v>
      </c>
      <c r="Q4599" s="3391"/>
      <c r="R4599" s="1296"/>
      <c r="S4599" s="16"/>
      <c r="T4599" s="16"/>
      <c r="U4599" s="16"/>
      <c r="V4599" s="16"/>
    </row>
    <row r="4600" spans="1:22">
      <c r="A4600" s="16"/>
      <c r="B4600" s="1320"/>
      <c r="C4600" s="1356" t="s">
        <v>1119</v>
      </c>
      <c r="D4600" s="1311"/>
      <c r="E4600" s="1854" t="s">
        <v>1517</v>
      </c>
      <c r="F4600" s="1749" t="s">
        <v>1917</v>
      </c>
      <c r="G4600" s="1688"/>
      <c r="H4600" s="1366">
        <v>5.0000000000000001E-3</v>
      </c>
      <c r="I4600" s="1388"/>
      <c r="J4600" s="1388"/>
      <c r="K4600" s="1510"/>
      <c r="L4600" s="1445"/>
      <c r="M4600" s="1447"/>
      <c r="N4600" s="1447">
        <f>SUM(N4601:N4605)</f>
        <v>83.047780000000003</v>
      </c>
      <c r="O4600" s="1447">
        <f>SUM(O4601:O4605)</f>
        <v>0.41523890000000008</v>
      </c>
      <c r="P4600" s="1446">
        <f>SUM(P4601:P4605)</f>
        <v>4.0693412200000001E-2</v>
      </c>
      <c r="Q4600" s="3391"/>
      <c r="S4600" s="16"/>
      <c r="T4600" s="16"/>
      <c r="U4600" s="16"/>
      <c r="V4600" s="16"/>
    </row>
    <row r="4601" spans="1:22">
      <c r="A4601" s="16"/>
      <c r="B4601" s="1320"/>
      <c r="C4601" s="18"/>
      <c r="D4601" s="1752" t="s">
        <v>1069</v>
      </c>
      <c r="E4601" s="1852" t="s">
        <v>1517</v>
      </c>
      <c r="F4601" s="1752" t="s">
        <v>1578</v>
      </c>
      <c r="G4601" s="1941">
        <v>0.2</v>
      </c>
      <c r="H4601" s="1453">
        <f>G4601*$H$4600</f>
        <v>1E-3</v>
      </c>
      <c r="I4601" s="198"/>
      <c r="J4601" s="198"/>
      <c r="K4601" s="1732">
        <f>H4601*$K$4596</f>
        <v>9.800000000000001E-5</v>
      </c>
      <c r="L4601" s="1335">
        <f>K4601*$K$4561</f>
        <v>0</v>
      </c>
      <c r="M4601" s="1499">
        <v>0.55000000000000004</v>
      </c>
      <c r="N4601" s="1718">
        <f>G4601*M4601</f>
        <v>0.11000000000000001</v>
      </c>
      <c r="O4601" s="1719">
        <f>H4601*M4601</f>
        <v>5.5000000000000003E-4</v>
      </c>
      <c r="P4601" s="1720">
        <f>M4601*K4601</f>
        <v>5.3900000000000009E-5</v>
      </c>
      <c r="Q4601" s="3396"/>
      <c r="R4601" s="2337"/>
      <c r="S4601" s="16"/>
      <c r="T4601" s="16"/>
      <c r="U4601" s="16"/>
      <c r="V4601" s="16"/>
    </row>
    <row r="4602" spans="1:22">
      <c r="A4602" s="16"/>
      <c r="B4602" s="1320"/>
      <c r="C4602" s="1042"/>
      <c r="D4602" s="1752" t="s">
        <v>1792</v>
      </c>
      <c r="E4602" s="1852" t="s">
        <v>1577</v>
      </c>
      <c r="F4602" s="1752" t="s">
        <v>1793</v>
      </c>
      <c r="G4602" s="1941">
        <v>0.19</v>
      </c>
      <c r="H4602" s="1453">
        <f t="shared" ref="H4602:H4605" si="548">G4602*$H$4600</f>
        <v>9.5E-4</v>
      </c>
      <c r="I4602" s="197"/>
      <c r="J4602" s="198"/>
      <c r="K4602" s="1732">
        <f t="shared" ref="K4602:K4610" si="549">H4602*$K$4596</f>
        <v>9.31E-5</v>
      </c>
      <c r="L4602" s="1335">
        <f t="shared" ref="L4602:L4605" si="550">K4602*$K$4561</f>
        <v>0</v>
      </c>
      <c r="M4602" s="1499">
        <v>85.09</v>
      </c>
      <c r="N4602" s="1718">
        <f>G4602*M4602</f>
        <v>16.167100000000001</v>
      </c>
      <c r="O4602" s="1719">
        <f>H4602*M4602</f>
        <v>8.0835500000000005E-2</v>
      </c>
      <c r="P4602" s="1720">
        <f>M4602*K4602</f>
        <v>7.9218789999999997E-3</v>
      </c>
      <c r="Q4602" s="3396"/>
      <c r="R4602" s="2337"/>
      <c r="S4602" s="1639"/>
      <c r="T4602" s="16"/>
      <c r="U4602" s="16"/>
      <c r="V4602" s="16"/>
    </row>
    <row r="4603" spans="1:22">
      <c r="A4603" s="16"/>
      <c r="B4603" s="1320"/>
      <c r="C4603" s="1042"/>
      <c r="D4603" s="1752" t="s">
        <v>1394</v>
      </c>
      <c r="E4603" s="1852" t="s">
        <v>1577</v>
      </c>
      <c r="F4603" s="1752" t="s">
        <v>1579</v>
      </c>
      <c r="G4603" s="1941">
        <v>0.38</v>
      </c>
      <c r="H4603" s="1453">
        <f t="shared" si="548"/>
        <v>1.9E-3</v>
      </c>
      <c r="I4603" s="1289"/>
      <c r="J4603" s="198"/>
      <c r="K4603" s="1732">
        <f t="shared" si="549"/>
        <v>1.862E-4</v>
      </c>
      <c r="L4603" s="1335">
        <f t="shared" si="550"/>
        <v>0</v>
      </c>
      <c r="M4603" s="1499">
        <v>92.54</v>
      </c>
      <c r="N4603" s="1718">
        <f>G4603*M4603</f>
        <v>35.165200000000006</v>
      </c>
      <c r="O4603" s="1719">
        <f>H4603*M4603</f>
        <v>0.17582600000000001</v>
      </c>
      <c r="P4603" s="1720">
        <f>M4603*K4603</f>
        <v>1.7230947999999999E-2</v>
      </c>
      <c r="Q4603" s="3396"/>
      <c r="R4603" s="2337"/>
      <c r="S4603" s="16"/>
      <c r="T4603" s="16"/>
      <c r="U4603" s="16"/>
      <c r="V4603" s="16"/>
    </row>
    <row r="4604" spans="1:22">
      <c r="A4604" s="16"/>
      <c r="B4604" s="1320"/>
      <c r="C4604" s="1042"/>
      <c r="D4604" s="1752" t="s">
        <v>1576</v>
      </c>
      <c r="E4604" s="1852" t="s">
        <v>1517</v>
      </c>
      <c r="F4604" s="1752" t="s">
        <v>1580</v>
      </c>
      <c r="G4604" s="1941">
        <v>1.38</v>
      </c>
      <c r="H4604" s="1453">
        <f t="shared" si="548"/>
        <v>6.8999999999999999E-3</v>
      </c>
      <c r="I4604" s="1289"/>
      <c r="J4604" s="198"/>
      <c r="K4604" s="1732">
        <f t="shared" si="549"/>
        <v>6.7620000000000006E-4</v>
      </c>
      <c r="L4604" s="1335">
        <f t="shared" si="550"/>
        <v>0</v>
      </c>
      <c r="M4604" s="1499">
        <v>6.53</v>
      </c>
      <c r="N4604" s="1718">
        <f>G4604*M4604</f>
        <v>9.0114000000000001</v>
      </c>
      <c r="O4604" s="1719">
        <f>H4604*M4604</f>
        <v>4.5057E-2</v>
      </c>
      <c r="P4604" s="1720">
        <f>M4604*K4604</f>
        <v>4.4155860000000009E-3</v>
      </c>
      <c r="Q4604" s="3396"/>
      <c r="R4604" s="2337"/>
      <c r="S4604" s="16"/>
      <c r="T4604" s="16"/>
      <c r="U4604" s="16"/>
      <c r="V4604" s="16"/>
    </row>
    <row r="4605" spans="1:22">
      <c r="A4605" s="16"/>
      <c r="B4605" s="1320"/>
      <c r="C4605" s="1042"/>
      <c r="D4605" s="1754" t="s">
        <v>1067</v>
      </c>
      <c r="E4605" s="1853" t="s">
        <v>1508</v>
      </c>
      <c r="F4605" s="1754" t="s">
        <v>1512</v>
      </c>
      <c r="G4605" s="1942">
        <v>1.236</v>
      </c>
      <c r="H4605" s="1454">
        <f t="shared" si="548"/>
        <v>6.1799999999999997E-3</v>
      </c>
      <c r="I4605" s="1289"/>
      <c r="J4605" s="198"/>
      <c r="K4605" s="1732">
        <f t="shared" si="549"/>
        <v>6.0563999999999995E-4</v>
      </c>
      <c r="L4605" s="1335">
        <f t="shared" si="550"/>
        <v>0</v>
      </c>
      <c r="M4605" s="1499">
        <v>18.28</v>
      </c>
      <c r="N4605" s="1718">
        <f>G4605*M4605</f>
        <v>22.594080000000002</v>
      </c>
      <c r="O4605" s="1719">
        <f>H4605*M4605</f>
        <v>0.1129704</v>
      </c>
      <c r="P4605" s="1720">
        <f>M4605*K4605</f>
        <v>1.10710992E-2</v>
      </c>
      <c r="Q4605" s="3396"/>
      <c r="R4605" s="2337"/>
      <c r="S4605" s="16"/>
      <c r="T4605" s="16"/>
      <c r="U4605" s="16"/>
      <c r="V4605" s="16"/>
    </row>
    <row r="4606" spans="1:22">
      <c r="A4606" s="16"/>
      <c r="B4606" s="1042"/>
      <c r="C4606" s="1356" t="s">
        <v>1127</v>
      </c>
      <c r="D4606" s="1311"/>
      <c r="E4606" s="2137" t="s">
        <v>1517</v>
      </c>
      <c r="F4606" s="1319" t="s">
        <v>1519</v>
      </c>
      <c r="G4606" s="1353"/>
      <c r="H4606" s="1456">
        <v>0.01</v>
      </c>
      <c r="I4606" s="1444"/>
      <c r="J4606" s="1388"/>
      <c r="K4606" s="1445"/>
      <c r="L4606" s="1457"/>
      <c r="M4606" s="1447"/>
      <c r="N4606" s="1447">
        <f>SUM(N4607:N4610)</f>
        <v>50.044430000000006</v>
      </c>
      <c r="O4606" s="1447">
        <f>SUM(O4607:O4610)</f>
        <v>0.50044430000000006</v>
      </c>
      <c r="P4606" s="1446">
        <f>SUM(P4607:P4610)</f>
        <v>4.9043541400000015E-2</v>
      </c>
      <c r="Q4606" s="3391"/>
      <c r="R4606" s="2337"/>
      <c r="S4606" s="16"/>
      <c r="T4606" s="16"/>
      <c r="U4606" s="16"/>
      <c r="V4606" s="16"/>
    </row>
    <row r="4607" spans="1:22">
      <c r="A4607" s="16"/>
      <c r="B4607" s="1042"/>
      <c r="C4607" s="1327"/>
      <c r="D4607" s="1400" t="s">
        <v>1069</v>
      </c>
      <c r="E4607" s="1856" t="s">
        <v>1517</v>
      </c>
      <c r="F4607" s="1397" t="s">
        <v>1578</v>
      </c>
      <c r="G4607" s="1416">
        <v>0.26300000000000001</v>
      </c>
      <c r="H4607" s="1399">
        <f>G4607*$H$4606</f>
        <v>2.63E-3</v>
      </c>
      <c r="I4607" s="197"/>
      <c r="J4607" s="198"/>
      <c r="K4607" s="1732">
        <f>H4607*$K$4596</f>
        <v>2.5774000000000001E-4</v>
      </c>
      <c r="L4607" s="1335">
        <f t="shared" ref="L4607:L4610" si="551">K4607*$K$4561</f>
        <v>0</v>
      </c>
      <c r="M4607" s="1302">
        <v>0.55000000000000004</v>
      </c>
      <c r="N4607" s="1718">
        <f>G4607*M4607</f>
        <v>0.14465000000000003</v>
      </c>
      <c r="O4607" s="1290">
        <f>H4607*M4607</f>
        <v>1.4465000000000001E-3</v>
      </c>
      <c r="P4607" s="1332">
        <f>M4607*K4607</f>
        <v>1.41757E-4</v>
      </c>
      <c r="Q4607" s="3391"/>
      <c r="R4607" s="2337"/>
      <c r="S4607" s="16"/>
      <c r="T4607" s="16"/>
      <c r="U4607" s="16"/>
      <c r="V4607" s="16"/>
    </row>
    <row r="4608" spans="1:22">
      <c r="A4608" s="16"/>
      <c r="B4608" s="1042"/>
      <c r="C4608" s="1320"/>
      <c r="D4608" s="1400" t="s">
        <v>1394</v>
      </c>
      <c r="E4608" s="1856" t="s">
        <v>1577</v>
      </c>
      <c r="F4608" s="1397" t="s">
        <v>1579</v>
      </c>
      <c r="G4608" s="1416">
        <v>0.25800000000000001</v>
      </c>
      <c r="H4608" s="1399">
        <f t="shared" ref="H4608:H4610" si="552">G4608*$H$4606</f>
        <v>2.5800000000000003E-3</v>
      </c>
      <c r="I4608" s="197"/>
      <c r="J4608" s="198"/>
      <c r="K4608" s="1732">
        <f t="shared" si="549"/>
        <v>2.5284000000000005E-4</v>
      </c>
      <c r="L4608" s="1335">
        <f t="shared" si="551"/>
        <v>0</v>
      </c>
      <c r="M4608" s="1302">
        <v>92.54</v>
      </c>
      <c r="N4608" s="1718">
        <f>G4608*M4608</f>
        <v>23.875320000000002</v>
      </c>
      <c r="O4608" s="1290">
        <f>H4608*M4608</f>
        <v>0.23875320000000003</v>
      </c>
      <c r="P4608" s="1332">
        <f>M4608*K4608</f>
        <v>2.3397813600000008E-2</v>
      </c>
      <c r="Q4608" s="3391"/>
      <c r="R4608" s="2337"/>
      <c r="S4608" s="16"/>
      <c r="T4608" s="16"/>
      <c r="U4608" s="16"/>
      <c r="V4608" s="16"/>
    </row>
    <row r="4609" spans="1:22">
      <c r="A4609" s="16"/>
      <c r="B4609" s="1042"/>
      <c r="C4609" s="1320"/>
      <c r="D4609" s="1400" t="s">
        <v>1576</v>
      </c>
      <c r="E4609" s="1856" t="s">
        <v>1517</v>
      </c>
      <c r="F4609" s="1397" t="s">
        <v>1580</v>
      </c>
      <c r="G4609" s="1416">
        <v>1.1020000000000001</v>
      </c>
      <c r="H4609" s="1399">
        <f t="shared" si="552"/>
        <v>1.102E-2</v>
      </c>
      <c r="I4609" s="197"/>
      <c r="J4609" s="198"/>
      <c r="K4609" s="1732">
        <f t="shared" si="549"/>
        <v>1.07996E-3</v>
      </c>
      <c r="L4609" s="1335">
        <f t="shared" si="551"/>
        <v>0</v>
      </c>
      <c r="M4609" s="1302">
        <v>6.53</v>
      </c>
      <c r="N4609" s="1718">
        <f>G4609*M4609</f>
        <v>7.196060000000001</v>
      </c>
      <c r="O4609" s="1290">
        <f>H4609*M4609</f>
        <v>7.19606E-2</v>
      </c>
      <c r="P4609" s="1332">
        <f>M4609*K4609</f>
        <v>7.0521388000000006E-3</v>
      </c>
      <c r="Q4609" s="3391"/>
      <c r="R4609" s="2337"/>
      <c r="S4609" s="16"/>
      <c r="T4609" s="16"/>
      <c r="U4609" s="16"/>
      <c r="V4609" s="16"/>
    </row>
    <row r="4610" spans="1:22">
      <c r="A4610" s="16"/>
      <c r="B4610" s="1042"/>
      <c r="C4610" s="1320"/>
      <c r="D4610" s="1404" t="s">
        <v>1067</v>
      </c>
      <c r="E4610" s="1857" t="s">
        <v>1508</v>
      </c>
      <c r="F4610" s="1406" t="s">
        <v>1512</v>
      </c>
      <c r="G4610" s="1407">
        <v>1.03</v>
      </c>
      <c r="H4610" s="1408">
        <f t="shared" si="552"/>
        <v>1.03E-2</v>
      </c>
      <c r="I4610" s="197"/>
      <c r="J4610" s="198"/>
      <c r="K4610" s="1732">
        <f t="shared" si="549"/>
        <v>1.0094000000000001E-3</v>
      </c>
      <c r="L4610" s="1335">
        <f t="shared" si="551"/>
        <v>0</v>
      </c>
      <c r="M4610" s="1302">
        <v>18.28</v>
      </c>
      <c r="N4610" s="1718">
        <f>G4610*M4610</f>
        <v>18.828400000000002</v>
      </c>
      <c r="O4610" s="1290">
        <f>H4610*M4610</f>
        <v>0.18828400000000001</v>
      </c>
      <c r="P4610" s="1332">
        <f>M4610*K4610</f>
        <v>1.8451832000000005E-2</v>
      </c>
      <c r="Q4610" s="3391"/>
      <c r="R4610" s="2337"/>
      <c r="S4610" s="16"/>
      <c r="T4610" s="16"/>
      <c r="U4610" s="16"/>
      <c r="V4610" s="16"/>
    </row>
    <row r="4611" spans="1:22">
      <c r="A4611" s="1042"/>
      <c r="B4611" s="22"/>
      <c r="C4611" s="1320"/>
      <c r="D4611" s="1400"/>
      <c r="E4611" s="1856"/>
      <c r="F4611" s="1397"/>
      <c r="G4611" s="1988"/>
      <c r="H4611" s="1399"/>
      <c r="I4611" s="197"/>
      <c r="J4611" s="198"/>
      <c r="K4611" s="1307"/>
      <c r="L4611" s="1335"/>
      <c r="M4611" s="1499"/>
      <c r="N4611" s="1701"/>
      <c r="O4611" s="1290"/>
      <c r="P4611" s="1332"/>
      <c r="Q4611" s="3391"/>
      <c r="R4611" s="1296"/>
      <c r="S4611" s="16"/>
      <c r="T4611" s="16"/>
      <c r="U4611" s="16"/>
      <c r="V4611" s="16"/>
    </row>
    <row r="4612" spans="1:22">
      <c r="A4612" s="1042"/>
      <c r="B4612" s="22"/>
      <c r="C4612" s="1320"/>
      <c r="D4612" s="1642"/>
      <c r="E4612" s="2162"/>
      <c r="F4612" s="1643" t="s">
        <v>2</v>
      </c>
      <c r="G4612" s="1989"/>
      <c r="H4612" s="1408"/>
      <c r="I4612" s="1380"/>
      <c r="J4612" s="1381"/>
      <c r="K4612" s="1679"/>
      <c r="L4612" s="1680"/>
      <c r="M4612" s="1681"/>
      <c r="N4612" s="1713"/>
      <c r="O4612" s="1682"/>
      <c r="P4612" s="1683"/>
      <c r="Q4612" s="3391"/>
      <c r="R4612" s="1296"/>
      <c r="S4612" s="16"/>
      <c r="T4612" s="16"/>
      <c r="U4612" s="16"/>
      <c r="V4612" s="16"/>
    </row>
    <row r="4613" spans="1:22">
      <c r="A4613" s="1042"/>
      <c r="B4613" s="22"/>
      <c r="C4613" s="1320"/>
      <c r="D4613" s="1655" t="s">
        <v>1067</v>
      </c>
      <c r="E4613" s="1859" t="s">
        <v>1508</v>
      </c>
      <c r="F4613" s="1655" t="s">
        <v>1512</v>
      </c>
      <c r="G4613" s="1809">
        <v>0.37</v>
      </c>
      <c r="H4613" s="1408"/>
      <c r="I4613" s="197"/>
      <c r="J4613" s="198"/>
      <c r="K4613" s="1307">
        <f>G4613*K4596</f>
        <v>3.6260000000000001E-2</v>
      </c>
      <c r="L4613" s="1335">
        <f t="shared" ref="L4613:L4614" si="553">K4613*$K$4561</f>
        <v>0</v>
      </c>
      <c r="M4613" s="1499">
        <v>18.28</v>
      </c>
      <c r="N4613" s="1701"/>
      <c r="O4613" s="1290">
        <f>G4613*M4613</f>
        <v>6.7636000000000003</v>
      </c>
      <c r="P4613" s="1332">
        <f>M4613*K4613</f>
        <v>0.6628328</v>
      </c>
      <c r="Q4613" s="3391"/>
      <c r="R4613" s="1296"/>
      <c r="S4613" s="16"/>
      <c r="T4613" s="16"/>
      <c r="U4613" s="16"/>
      <c r="V4613" s="16"/>
    </row>
    <row r="4614" spans="1:22">
      <c r="A4614" s="1042"/>
      <c r="B4614" s="22"/>
      <c r="C4614" s="1320"/>
      <c r="D4614" s="1655" t="s">
        <v>1134</v>
      </c>
      <c r="E4614" s="1859" t="s">
        <v>1508</v>
      </c>
      <c r="F4614" s="1655" t="s">
        <v>1547</v>
      </c>
      <c r="G4614" s="1809">
        <v>0.37</v>
      </c>
      <c r="H4614" s="1408"/>
      <c r="I4614" s="197"/>
      <c r="J4614" s="198"/>
      <c r="K4614" s="1307">
        <f>G4614*K4596</f>
        <v>3.6260000000000001E-2</v>
      </c>
      <c r="L4614" s="1335">
        <f t="shared" si="553"/>
        <v>0</v>
      </c>
      <c r="M4614" s="1499">
        <v>19.23</v>
      </c>
      <c r="N4614" s="1701"/>
      <c r="O4614" s="1290">
        <f>G4614*M4614</f>
        <v>7.1151</v>
      </c>
      <c r="P4614" s="1332">
        <f>M4614*K4614</f>
        <v>0.69727980000000001</v>
      </c>
      <c r="Q4614" s="3391"/>
      <c r="R4614" s="1296"/>
      <c r="S4614" s="16"/>
      <c r="T4614" s="16"/>
      <c r="U4614" s="16"/>
      <c r="V4614" s="16"/>
    </row>
    <row r="4615" spans="1:22">
      <c r="A4615" s="16"/>
      <c r="B4615" s="1042"/>
      <c r="C4615" s="88"/>
      <c r="D4615" s="1430"/>
      <c r="E4615" s="1857"/>
      <c r="F4615" s="1403"/>
      <c r="G4615" s="1991"/>
      <c r="H4615" s="1408"/>
      <c r="I4615" s="1286"/>
      <c r="J4615" s="198"/>
      <c r="K4615" s="1307"/>
      <c r="L4615" s="1335"/>
      <c r="M4615" s="1302"/>
      <c r="N4615" s="1718"/>
      <c r="O4615" s="1290"/>
      <c r="P4615" s="1332"/>
      <c r="Q4615" s="3391"/>
      <c r="R4615" s="2337"/>
      <c r="S4615" s="16"/>
      <c r="T4615" s="16"/>
      <c r="U4615" s="16"/>
      <c r="V4615" s="16"/>
    </row>
    <row r="4616" spans="1:22">
      <c r="A4616" s="16"/>
      <c r="B4616" s="1042"/>
      <c r="C4616" s="88"/>
      <c r="D4616" s="1430"/>
      <c r="E4616" s="1857"/>
      <c r="F4616" s="1403"/>
      <c r="G4616" s="1991"/>
      <c r="H4616" s="1408"/>
      <c r="I4616" s="197"/>
      <c r="J4616" s="198"/>
      <c r="K4616" s="1307"/>
      <c r="L4616" s="1335"/>
      <c r="M4616" s="1302"/>
      <c r="N4616" s="1718"/>
      <c r="O4616" s="1290"/>
      <c r="P4616" s="1332"/>
      <c r="Q4616" s="3391"/>
      <c r="R4616" s="2337"/>
      <c r="S4616" s="16"/>
      <c r="T4616" s="16"/>
      <c r="U4616" s="16"/>
      <c r="V4616" s="16"/>
    </row>
    <row r="4617" spans="1:22">
      <c r="A4617" s="1042"/>
      <c r="B4617" s="22"/>
      <c r="C4617" s="1042"/>
      <c r="D4617" s="1411"/>
      <c r="E4617" s="2123"/>
      <c r="F4617" s="1374" t="s">
        <v>3</v>
      </c>
      <c r="G4617" s="1374"/>
      <c r="H4617" s="1376"/>
      <c r="I4617" s="1382"/>
      <c r="J4617" s="1383"/>
      <c r="K4617" s="1684"/>
      <c r="L4617" s="1685"/>
      <c r="M4617" s="1597"/>
      <c r="N4617" s="1597"/>
      <c r="O4617" s="1687"/>
      <c r="P4617" s="1686"/>
      <c r="Q4617" s="3391"/>
      <c r="R4617" s="1173"/>
      <c r="S4617" s="16"/>
      <c r="T4617" s="16"/>
      <c r="U4617" s="16"/>
      <c r="V4617" s="16"/>
    </row>
    <row r="4618" spans="1:22">
      <c r="A4618" s="1042"/>
      <c r="B4618" s="22"/>
      <c r="C4618" s="1042"/>
      <c r="D4618" s="1411"/>
      <c r="E4618" s="2123"/>
      <c r="F4618" s="1375"/>
      <c r="G4618" s="1375"/>
      <c r="H4618" s="1505"/>
      <c r="I4618" s="197" t="str">
        <f ca="1">IF(COUNT(H4618:O4618)=0,"",(SUM(H4618:O4618)/COUNT(H4618:O4618)))</f>
        <v/>
      </c>
      <c r="J4618" s="198"/>
      <c r="K4618" s="1307"/>
      <c r="L4618" s="1335"/>
      <c r="M4618" s="1619"/>
      <c r="N4618" s="1619"/>
      <c r="O4618" s="1290"/>
      <c r="P4618" s="1332"/>
      <c r="Q4618" s="3391"/>
      <c r="R4618" s="3363"/>
      <c r="S4618" s="16"/>
      <c r="T4618" s="16"/>
      <c r="U4618" s="16"/>
      <c r="V4618" s="16"/>
    </row>
    <row r="4619" spans="1:22">
      <c r="A4619" s="1042"/>
      <c r="B4619" s="22"/>
      <c r="C4619" s="1042"/>
      <c r="D4619" s="1411"/>
      <c r="E4619" s="2123"/>
      <c r="F4619" s="1375"/>
      <c r="G4619" s="1375"/>
      <c r="H4619" s="1670"/>
      <c r="I4619" s="197" t="str">
        <f ca="1">IF(COUNT(H4619:O4619)=0,"",(SUM(H4619:O4619)/COUNT(H4619:O4619)))</f>
        <v/>
      </c>
      <c r="J4619" s="198"/>
      <c r="K4619" s="1307"/>
      <c r="L4619" s="1335"/>
      <c r="M4619" s="1619"/>
      <c r="N4619" s="1619"/>
      <c r="O4619" s="1290"/>
      <c r="P4619" s="1332"/>
      <c r="Q4619" s="3391"/>
      <c r="R4619" s="3363"/>
      <c r="S4619" s="17"/>
      <c r="T4619" s="17"/>
      <c r="U4619" s="16"/>
      <c r="V4619" s="16"/>
    </row>
    <row r="4620" spans="1:22">
      <c r="A4620" s="1042"/>
      <c r="B4620" s="22"/>
      <c r="C4620" s="223"/>
      <c r="D4620" s="1411"/>
      <c r="E4620" s="2123"/>
      <c r="F4620" s="1375"/>
      <c r="G4620" s="1375"/>
      <c r="H4620" s="1376"/>
      <c r="I4620" s="197" t="str">
        <f ca="1">IF(COUNT(H4620:O4620)=0,"",(SUM(H4620:O4620)/COUNT(H4620:O4620)))</f>
        <v/>
      </c>
      <c r="J4620" s="198"/>
      <c r="K4620" s="1307"/>
      <c r="L4620" s="1335"/>
      <c r="M4620" s="1619"/>
      <c r="N4620" s="1619"/>
      <c r="O4620" s="1290"/>
      <c r="P4620" s="1332"/>
      <c r="Q4620" s="3391"/>
      <c r="R4620" s="3363"/>
      <c r="S4620" s="105"/>
      <c r="T4620" s="105"/>
      <c r="U4620" s="16"/>
      <c r="V4620" s="16"/>
    </row>
    <row r="4621" spans="1:22">
      <c r="A4621" s="1042" t="s">
        <v>3764</v>
      </c>
      <c r="B4621" s="4325" t="s">
        <v>1989</v>
      </c>
      <c r="C4621" s="3350"/>
      <c r="D4621" s="4327" t="s">
        <v>1551</v>
      </c>
      <c r="E4621" s="4329" t="s">
        <v>1507</v>
      </c>
      <c r="F4621" s="4372" t="s">
        <v>1990</v>
      </c>
      <c r="G4621" s="4331" t="s">
        <v>1568</v>
      </c>
      <c r="H4621" s="4331" t="s">
        <v>1574</v>
      </c>
      <c r="I4621" s="1572" t="s">
        <v>1559</v>
      </c>
      <c r="J4621" s="1294" t="s">
        <v>1560</v>
      </c>
      <c r="K4621" s="1294" t="s">
        <v>1561</v>
      </c>
      <c r="L4621" s="4333" t="s">
        <v>3765</v>
      </c>
      <c r="M4621" s="4335" t="s">
        <v>1571</v>
      </c>
      <c r="N4621" s="4323" t="s">
        <v>1776</v>
      </c>
      <c r="O4621" s="3347" t="s">
        <v>1563</v>
      </c>
      <c r="P4621" s="1336" t="s">
        <v>1562</v>
      </c>
      <c r="Q4621" s="3389"/>
      <c r="R4621" s="1699" t="s">
        <v>1327</v>
      </c>
      <c r="S4621" s="16"/>
      <c r="T4621" s="16"/>
      <c r="U4621" s="16"/>
      <c r="V4621" s="16"/>
    </row>
    <row r="4622" spans="1:22">
      <c r="A4622" s="1662" t="s">
        <v>1983</v>
      </c>
      <c r="B4622" s="4326"/>
      <c r="C4622" s="3354"/>
      <c r="D4622" s="4328"/>
      <c r="E4622" s="4330"/>
      <c r="F4622" s="4363"/>
      <c r="G4622" s="4332"/>
      <c r="H4622" s="4332"/>
      <c r="I4622" s="1345">
        <v>70</v>
      </c>
      <c r="J4622" s="1307">
        <v>1.4E-2</v>
      </c>
      <c r="K4622" s="1297">
        <f>I4622*J4622</f>
        <v>0.98</v>
      </c>
      <c r="L4622" s="4334"/>
      <c r="M4622" s="4335"/>
      <c r="N4622" s="4324"/>
      <c r="O4622" s="1298">
        <f>O4624+O4628+O4629</f>
        <v>1.4168000000000001</v>
      </c>
      <c r="P4622" s="1337">
        <f>O4622*K4622</f>
        <v>1.3884640000000001</v>
      </c>
      <c r="Q4622" s="3390"/>
      <c r="R4622" s="1721">
        <f>P4624+P4628+P4629</f>
        <v>1.3884639999999999</v>
      </c>
      <c r="S4622" s="16"/>
      <c r="T4622" s="16"/>
      <c r="U4622" s="16"/>
      <c r="V4622" s="16"/>
    </row>
    <row r="4623" spans="1:22">
      <c r="A4623" s="1042"/>
      <c r="B4623" s="22"/>
      <c r="C4623" s="18"/>
      <c r="D4623" s="1400"/>
      <c r="E4623" s="2121"/>
      <c r="F4623" s="1368" t="s">
        <v>1</v>
      </c>
      <c r="G4623" s="1368"/>
      <c r="H4623" s="1423"/>
      <c r="I4623" s="1667"/>
      <c r="J4623" s="1424"/>
      <c r="K4623" s="1425"/>
      <c r="L4623" s="1560"/>
      <c r="M4623" s="1426"/>
      <c r="N4623" s="1426"/>
      <c r="O4623" s="1427"/>
      <c r="P4623" s="1427"/>
      <c r="Q4623" s="3397"/>
      <c r="R4623" s="1296"/>
      <c r="S4623" s="17"/>
      <c r="T4623" s="17"/>
      <c r="U4623" s="16"/>
      <c r="V4623" s="16"/>
    </row>
    <row r="4624" spans="1:22">
      <c r="A4624" s="1042"/>
      <c r="B4624" s="22"/>
      <c r="C4624" s="1042"/>
      <c r="D4624" s="1598" t="s">
        <v>1159</v>
      </c>
      <c r="E4624" s="2154" t="s">
        <v>1507</v>
      </c>
      <c r="F4624" s="1598" t="s">
        <v>1991</v>
      </c>
      <c r="G4624" s="1612">
        <v>1.111</v>
      </c>
      <c r="H4624" s="1372"/>
      <c r="I4624" s="197"/>
      <c r="J4624" s="198"/>
      <c r="K4624" s="1732">
        <f>G4624*K4622</f>
        <v>1.0887799999999999</v>
      </c>
      <c r="L4624" s="1335">
        <f t="shared" ref="L4624" si="554">K4624*$K$4561</f>
        <v>0</v>
      </c>
      <c r="M4624" s="1499">
        <v>0.6</v>
      </c>
      <c r="N4624" s="1700"/>
      <c r="O4624" s="1290">
        <f>G4624*M4624</f>
        <v>0.66659999999999997</v>
      </c>
      <c r="P4624" s="1332">
        <f>M4624*K4624</f>
        <v>0.65326799999999985</v>
      </c>
      <c r="Q4624" s="3391"/>
      <c r="R4624" s="1296"/>
      <c r="S4624" s="105"/>
      <c r="T4624" s="105"/>
      <c r="U4624" s="16"/>
      <c r="V4624" s="16"/>
    </row>
    <row r="4625" spans="1:22">
      <c r="A4625" s="16"/>
      <c r="B4625" s="553"/>
      <c r="C4625" s="1320"/>
      <c r="D4625" s="1400"/>
      <c r="E4625" s="1856"/>
      <c r="F4625" s="1397"/>
      <c r="G4625" s="1416"/>
      <c r="H4625" s="1399"/>
      <c r="I4625" s="197"/>
      <c r="J4625" s="198"/>
      <c r="K4625" s="1732"/>
      <c r="L4625" s="1335"/>
      <c r="M4625" s="1302"/>
      <c r="N4625" s="1718"/>
      <c r="O4625" s="1290"/>
      <c r="P4625" s="1332"/>
      <c r="Q4625" s="3391"/>
      <c r="R4625" s="2337"/>
      <c r="S4625" s="16"/>
      <c r="T4625" s="16"/>
      <c r="U4625" s="16"/>
      <c r="V4625" s="16"/>
    </row>
    <row r="4626" spans="1:22">
      <c r="A4626" s="1042"/>
      <c r="B4626" s="22"/>
      <c r="C4626" s="1320"/>
      <c r="D4626" s="1400"/>
      <c r="E4626" s="1856"/>
      <c r="F4626" s="1397"/>
      <c r="G4626" s="1988"/>
      <c r="H4626" s="1399"/>
      <c r="I4626" s="197"/>
      <c r="J4626" s="198"/>
      <c r="K4626" s="1307"/>
      <c r="L4626" s="1335"/>
      <c r="M4626" s="1499"/>
      <c r="N4626" s="1701"/>
      <c r="O4626" s="1290"/>
      <c r="P4626" s="1332"/>
      <c r="Q4626" s="3391"/>
      <c r="R4626" s="1296"/>
      <c r="S4626" s="16"/>
      <c r="T4626" s="16"/>
      <c r="U4626" s="16"/>
      <c r="V4626" s="16"/>
    </row>
    <row r="4627" spans="1:22">
      <c r="A4627" s="1042"/>
      <c r="B4627" s="22"/>
      <c r="C4627" s="1320"/>
      <c r="D4627" s="1642"/>
      <c r="E4627" s="2162"/>
      <c r="F4627" s="1643" t="s">
        <v>2</v>
      </c>
      <c r="G4627" s="1989"/>
      <c r="H4627" s="1408"/>
      <c r="I4627" s="1380"/>
      <c r="J4627" s="1381"/>
      <c r="K4627" s="1679"/>
      <c r="L4627" s="1680"/>
      <c r="M4627" s="1681"/>
      <c r="N4627" s="1713"/>
      <c r="O4627" s="1682"/>
      <c r="P4627" s="1683"/>
      <c r="Q4627" s="3391"/>
      <c r="R4627" s="1296"/>
      <c r="S4627" s="16"/>
      <c r="T4627" s="16"/>
      <c r="U4627" s="16"/>
      <c r="V4627" s="16"/>
    </row>
    <row r="4628" spans="1:22">
      <c r="A4628" s="1042"/>
      <c r="B4628" s="22"/>
      <c r="C4628" s="1320"/>
      <c r="D4628" s="1993" t="s">
        <v>1067</v>
      </c>
      <c r="E4628" s="1859" t="s">
        <v>1508</v>
      </c>
      <c r="F4628" s="1655" t="s">
        <v>1512</v>
      </c>
      <c r="G4628" s="1809">
        <v>0.02</v>
      </c>
      <c r="H4628" s="1408"/>
      <c r="I4628" s="197"/>
      <c r="J4628" s="198"/>
      <c r="K4628" s="1307">
        <f>G4628*K4622</f>
        <v>1.9599999999999999E-2</v>
      </c>
      <c r="L4628" s="1335">
        <f t="shared" ref="L4628:L4629" si="555">K4628*$K$4561</f>
        <v>0</v>
      </c>
      <c r="M4628" s="1499">
        <v>18.28</v>
      </c>
      <c r="N4628" s="1701"/>
      <c r="O4628" s="1290">
        <f>G4628*M4628</f>
        <v>0.36560000000000004</v>
      </c>
      <c r="P4628" s="1332">
        <f>M4628*K4628</f>
        <v>0.358288</v>
      </c>
      <c r="Q4628" s="3391"/>
      <c r="R4628" s="1296"/>
      <c r="S4628" s="16"/>
      <c r="T4628" s="16"/>
      <c r="U4628" s="16"/>
      <c r="V4628" s="16"/>
    </row>
    <row r="4629" spans="1:22">
      <c r="A4629" s="1042"/>
      <c r="B4629" s="22"/>
      <c r="C4629" s="1320"/>
      <c r="D4629" s="1993" t="s">
        <v>1133</v>
      </c>
      <c r="E4629" s="1859" t="s">
        <v>1508</v>
      </c>
      <c r="F4629" s="1655" t="s">
        <v>1955</v>
      </c>
      <c r="G4629" s="1809">
        <v>0.02</v>
      </c>
      <c r="H4629" s="1408"/>
      <c r="I4629" s="197"/>
      <c r="J4629" s="198"/>
      <c r="K4629" s="1307">
        <f>G4629*K4622</f>
        <v>1.9599999999999999E-2</v>
      </c>
      <c r="L4629" s="1335">
        <f t="shared" si="555"/>
        <v>0</v>
      </c>
      <c r="M4629" s="1499">
        <v>19.23</v>
      </c>
      <c r="N4629" s="1701"/>
      <c r="O4629" s="1290">
        <f>G4629*M4629</f>
        <v>0.3846</v>
      </c>
      <c r="P4629" s="1332">
        <f>M4629*K4629</f>
        <v>0.37690800000000002</v>
      </c>
      <c r="Q4629" s="3391"/>
      <c r="R4629" s="1296"/>
      <c r="S4629" s="16"/>
      <c r="T4629" s="16"/>
      <c r="U4629" s="16"/>
      <c r="V4629" s="16"/>
    </row>
    <row r="4630" spans="1:22">
      <c r="A4630" s="16"/>
      <c r="B4630" s="553"/>
      <c r="C4630" s="1042"/>
      <c r="D4630" s="1402"/>
      <c r="E4630" s="1857"/>
      <c r="F4630" s="1403"/>
      <c r="G4630" s="1991"/>
      <c r="H4630" s="1408"/>
      <c r="I4630" s="1286"/>
      <c r="J4630" s="198"/>
      <c r="K4630" s="1307"/>
      <c r="L4630" s="1335"/>
      <c r="M4630" s="1302"/>
      <c r="N4630" s="1718"/>
      <c r="O4630" s="1290"/>
      <c r="P4630" s="1332"/>
      <c r="Q4630" s="3391"/>
      <c r="R4630" s="2337"/>
      <c r="S4630" s="16"/>
      <c r="T4630" s="16"/>
      <c r="U4630" s="16"/>
      <c r="V4630" s="16"/>
    </row>
    <row r="4631" spans="1:22">
      <c r="A4631" s="16"/>
      <c r="B4631" s="553"/>
      <c r="C4631" s="1042"/>
      <c r="D4631" s="1402"/>
      <c r="E4631" s="1857"/>
      <c r="F4631" s="1403"/>
      <c r="G4631" s="1991"/>
      <c r="H4631" s="1408"/>
      <c r="I4631" s="197"/>
      <c r="J4631" s="198"/>
      <c r="K4631" s="1307"/>
      <c r="L4631" s="1335"/>
      <c r="M4631" s="1302"/>
      <c r="N4631" s="1718"/>
      <c r="O4631" s="1290"/>
      <c r="P4631" s="1332"/>
      <c r="Q4631" s="3391"/>
      <c r="R4631" s="2337"/>
      <c r="S4631" s="16"/>
      <c r="T4631" s="16"/>
      <c r="U4631" s="16"/>
      <c r="V4631" s="16"/>
    </row>
    <row r="4632" spans="1:22">
      <c r="A4632" s="1042"/>
      <c r="B4632" s="22"/>
      <c r="C4632" s="1042"/>
      <c r="D4632" s="1411"/>
      <c r="E4632" s="2123"/>
      <c r="F4632" s="1374" t="s">
        <v>3</v>
      </c>
      <c r="G4632" s="1374"/>
      <c r="H4632" s="1376"/>
      <c r="I4632" s="1382"/>
      <c r="J4632" s="1383"/>
      <c r="K4632" s="1684"/>
      <c r="L4632" s="1685"/>
      <c r="M4632" s="1597"/>
      <c r="N4632" s="1597"/>
      <c r="O4632" s="1687"/>
      <c r="P4632" s="1686"/>
      <c r="Q4632" s="3391"/>
      <c r="R4632" s="1173"/>
      <c r="S4632" s="16"/>
      <c r="T4632" s="16"/>
      <c r="U4632" s="16"/>
      <c r="V4632" s="16"/>
    </row>
    <row r="4633" spans="1:22">
      <c r="A4633" s="1042"/>
      <c r="B4633" s="22"/>
      <c r="C4633" s="1042"/>
      <c r="D4633" s="1411"/>
      <c r="E4633" s="2123"/>
      <c r="F4633" s="1375"/>
      <c r="G4633" s="1375"/>
      <c r="H4633" s="1505"/>
      <c r="I4633" s="197"/>
      <c r="J4633" s="198"/>
      <c r="K4633" s="1307"/>
      <c r="L4633" s="1335"/>
      <c r="M4633" s="1619"/>
      <c r="N4633" s="1619"/>
      <c r="O4633" s="1290"/>
      <c r="P4633" s="1332"/>
      <c r="Q4633" s="3391"/>
      <c r="R4633" s="3363"/>
      <c r="S4633" s="16"/>
      <c r="T4633" s="16"/>
      <c r="U4633" s="16"/>
      <c r="V4633" s="16"/>
    </row>
    <row r="4634" spans="1:22">
      <c r="A4634" s="1042"/>
      <c r="B4634" s="22"/>
      <c r="C4634" s="1042"/>
      <c r="D4634" s="1411"/>
      <c r="E4634" s="2123"/>
      <c r="F4634" s="1375"/>
      <c r="G4634" s="1375"/>
      <c r="H4634" s="1670"/>
      <c r="I4634" s="197" t="str">
        <f ca="1">IF(COUNT(H4634:O4634)=0,"",(SUM(H4634:O4634)/COUNT(H4634:O4634)))</f>
        <v/>
      </c>
      <c r="J4634" s="198"/>
      <c r="K4634" s="1307"/>
      <c r="L4634" s="1335"/>
      <c r="M4634" s="1619"/>
      <c r="N4634" s="1619"/>
      <c r="O4634" s="1290"/>
      <c r="P4634" s="1332"/>
      <c r="Q4634" s="3391"/>
      <c r="R4634" s="3363"/>
      <c r="S4634" s="631"/>
      <c r="T4634" s="631"/>
      <c r="U4634" s="16"/>
      <c r="V4634" s="16"/>
    </row>
    <row r="4635" spans="1:22">
      <c r="A4635" s="1042"/>
      <c r="B4635" s="22"/>
      <c r="C4635" s="223"/>
      <c r="D4635" s="1411"/>
      <c r="E4635" s="2123"/>
      <c r="F4635" s="1375"/>
      <c r="G4635" s="1375"/>
      <c r="H4635" s="1376"/>
      <c r="I4635" s="197" t="str">
        <f ca="1">IF(COUNT(H4635:O4635)=0,"",(SUM(H4635:O4635)/COUNT(H4635:O4635)))</f>
        <v/>
      </c>
      <c r="J4635" s="198"/>
      <c r="K4635" s="1307"/>
      <c r="L4635" s="1335"/>
      <c r="M4635" s="1619"/>
      <c r="N4635" s="1619"/>
      <c r="O4635" s="1290"/>
      <c r="P4635" s="1332"/>
      <c r="Q4635" s="3391"/>
      <c r="R4635" s="3363"/>
      <c r="S4635" s="631"/>
      <c r="T4635" s="631"/>
      <c r="U4635" s="16"/>
      <c r="V4635" s="16"/>
    </row>
    <row r="4636" spans="1:22" ht="15" customHeight="1">
      <c r="A4636" s="1042" t="s">
        <v>3764</v>
      </c>
      <c r="B4636" s="4325" t="s">
        <v>2000</v>
      </c>
      <c r="C4636" s="3350"/>
      <c r="D4636" s="4327" t="s">
        <v>1551</v>
      </c>
      <c r="E4636" s="4329" t="s">
        <v>1507</v>
      </c>
      <c r="F4636" s="4372" t="s">
        <v>2001</v>
      </c>
      <c r="G4636" s="4331" t="s">
        <v>1568</v>
      </c>
      <c r="H4636" s="4331" t="s">
        <v>1574</v>
      </c>
      <c r="I4636" s="1572" t="s">
        <v>1559</v>
      </c>
      <c r="J4636" s="1294" t="s">
        <v>1560</v>
      </c>
      <c r="K4636" s="1294" t="s">
        <v>1561</v>
      </c>
      <c r="L4636" s="4333" t="s">
        <v>3765</v>
      </c>
      <c r="M4636" s="4323" t="s">
        <v>1571</v>
      </c>
      <c r="N4636" s="4323" t="s">
        <v>1776</v>
      </c>
      <c r="O4636" s="3347" t="s">
        <v>1563</v>
      </c>
      <c r="P4636" s="1336" t="s">
        <v>1562</v>
      </c>
      <c r="Q4636" s="3389"/>
      <c r="R4636" s="1699" t="s">
        <v>1327</v>
      </c>
      <c r="S4636" s="631"/>
      <c r="T4636" s="631"/>
      <c r="U4636" s="16"/>
      <c r="V4636" s="16"/>
    </row>
    <row r="4637" spans="1:22">
      <c r="A4637" s="1662" t="s">
        <v>1983</v>
      </c>
      <c r="B4637" s="4326"/>
      <c r="C4637" s="3354"/>
      <c r="D4637" s="4328"/>
      <c r="E4637" s="4330"/>
      <c r="F4637" s="4363"/>
      <c r="G4637" s="4332"/>
      <c r="H4637" s="4332"/>
      <c r="I4637" s="1345">
        <v>70</v>
      </c>
      <c r="J4637" s="1307">
        <v>1.4E-2</v>
      </c>
      <c r="K4637" s="1297">
        <f>I4637*J4637</f>
        <v>0.98</v>
      </c>
      <c r="L4637" s="4334"/>
      <c r="M4637" s="4324"/>
      <c r="N4637" s="4324"/>
      <c r="O4637" s="1298">
        <f>O4639+O4640+O4641+O4642+O4643+O4651+O4652</f>
        <v>34.853999709999997</v>
      </c>
      <c r="P4637" s="1337">
        <f>O4637*K4637</f>
        <v>34.156919715799994</v>
      </c>
      <c r="Q4637" s="3390"/>
      <c r="R4637" s="1721">
        <f>P4639+P4640+P4641+P4642+P4643+P4651+P4652</f>
        <v>34.156919715800001</v>
      </c>
      <c r="S4637" s="631"/>
      <c r="T4637" s="631"/>
      <c r="U4637" s="16"/>
      <c r="V4637" s="16"/>
    </row>
    <row r="4638" spans="1:22">
      <c r="A4638" s="1042"/>
      <c r="B4638" s="22"/>
      <c r="C4638" s="18"/>
      <c r="D4638" s="1400"/>
      <c r="E4638" s="2121"/>
      <c r="F4638" s="1368" t="s">
        <v>1</v>
      </c>
      <c r="G4638" s="1368"/>
      <c r="H4638" s="1423"/>
      <c r="I4638" s="1667"/>
      <c r="J4638" s="1424"/>
      <c r="K4638" s="1425"/>
      <c r="L4638" s="1560"/>
      <c r="M4638" s="1426"/>
      <c r="N4638" s="1426"/>
      <c r="O4638" s="1427"/>
      <c r="P4638" s="1427"/>
      <c r="Q4638" s="3397"/>
      <c r="R4638" s="1296"/>
      <c r="S4638" s="631"/>
      <c r="T4638" s="631"/>
      <c r="U4638" s="16"/>
      <c r="V4638" s="16"/>
    </row>
    <row r="4639" spans="1:22">
      <c r="A4639" s="16"/>
      <c r="B4639" s="1599"/>
      <c r="C4639" s="1042"/>
      <c r="D4639" s="1598" t="s">
        <v>2006</v>
      </c>
      <c r="E4639" s="2154" t="s">
        <v>1507</v>
      </c>
      <c r="F4639" s="1598" t="s">
        <v>2007</v>
      </c>
      <c r="G4639" s="1612">
        <v>2.2000000000000002</v>
      </c>
      <c r="H4639" s="1453"/>
      <c r="I4639" s="197"/>
      <c r="J4639" s="198"/>
      <c r="K4639" s="1350">
        <f>G4639*K4637</f>
        <v>2.1560000000000001</v>
      </c>
      <c r="L4639" s="1335">
        <f t="shared" ref="L4639:L4642" si="556">K4639*$K$4561</f>
        <v>0</v>
      </c>
      <c r="M4639" s="1499">
        <v>0.73</v>
      </c>
      <c r="N4639" s="1718"/>
      <c r="O4639" s="1290">
        <f>G4639*M4639</f>
        <v>1.6060000000000001</v>
      </c>
      <c r="P4639" s="1332">
        <f>M4639*K4639</f>
        <v>1.5738800000000002</v>
      </c>
      <c r="Q4639" s="3391"/>
      <c r="R4639" s="2337"/>
      <c r="S4639" s="631"/>
      <c r="T4639" s="631"/>
      <c r="U4639" s="16"/>
      <c r="V4639" s="16"/>
    </row>
    <row r="4640" spans="1:22">
      <c r="A4640" s="1042"/>
      <c r="B4640" s="22"/>
      <c r="C4640" s="1042"/>
      <c r="D4640" s="1598" t="s">
        <v>2002</v>
      </c>
      <c r="E4640" s="2154" t="s">
        <v>1507</v>
      </c>
      <c r="F4640" s="1598" t="s">
        <v>2003</v>
      </c>
      <c r="G4640" s="1612">
        <v>1.111</v>
      </c>
      <c r="H4640" s="1372"/>
      <c r="I4640" s="197"/>
      <c r="J4640" s="198"/>
      <c r="K4640" s="1350">
        <f>G4640*K4637</f>
        <v>1.0887799999999999</v>
      </c>
      <c r="L4640" s="1335">
        <f t="shared" si="556"/>
        <v>0</v>
      </c>
      <c r="M4640" s="1499">
        <v>8.4700000000000006</v>
      </c>
      <c r="N4640" s="1700"/>
      <c r="O4640" s="1290">
        <f>G4640*M4640</f>
        <v>9.4101700000000008</v>
      </c>
      <c r="P4640" s="1332">
        <f>M4640*K4640</f>
        <v>9.2219666</v>
      </c>
      <c r="Q4640" s="3391"/>
      <c r="R4640" s="1296"/>
      <c r="S4640" s="631"/>
      <c r="T4640" s="631"/>
      <c r="U4640" s="16"/>
      <c r="V4640" s="16"/>
    </row>
    <row r="4641" spans="1:22">
      <c r="A4641" s="16"/>
      <c r="B4641" s="1599"/>
      <c r="C4641" s="1042"/>
      <c r="D4641" s="1598" t="s">
        <v>2004</v>
      </c>
      <c r="E4641" s="2154" t="s">
        <v>1527</v>
      </c>
      <c r="F4641" s="1598" t="s">
        <v>2005</v>
      </c>
      <c r="G4641" s="1612">
        <v>1.111</v>
      </c>
      <c r="H4641" s="1453"/>
      <c r="I4641" s="198"/>
      <c r="J4641" s="198"/>
      <c r="K4641" s="1350">
        <f>G4641*K4637</f>
        <v>1.0887799999999999</v>
      </c>
      <c r="L4641" s="1335">
        <f t="shared" si="556"/>
        <v>0</v>
      </c>
      <c r="M4641" s="1499">
        <v>9.27</v>
      </c>
      <c r="N4641" s="1718"/>
      <c r="O4641" s="1290">
        <f>G4641*M4641</f>
        <v>10.298969999999999</v>
      </c>
      <c r="P4641" s="1332">
        <f>M4641*K4641</f>
        <v>10.092990599999998</v>
      </c>
      <c r="Q4641" s="3391"/>
      <c r="R4641" s="2337"/>
      <c r="S4641" s="631"/>
      <c r="T4641" s="631"/>
      <c r="U4641" s="16"/>
      <c r="V4641" s="16"/>
    </row>
    <row r="4642" spans="1:22">
      <c r="A4642" s="16"/>
      <c r="B4642" s="1599"/>
      <c r="C4642" s="1042"/>
      <c r="D4642" s="1598" t="s">
        <v>1082</v>
      </c>
      <c r="E4642" s="2154" t="s">
        <v>1504</v>
      </c>
      <c r="F4642" s="1598" t="s">
        <v>1541</v>
      </c>
      <c r="G4642" s="1612">
        <v>0.4</v>
      </c>
      <c r="H4642" s="1453"/>
      <c r="I4642" s="1289"/>
      <c r="J4642" s="198"/>
      <c r="K4642" s="1350">
        <f>G4642*K4637</f>
        <v>0.39200000000000002</v>
      </c>
      <c r="L4642" s="1335">
        <f t="shared" si="556"/>
        <v>0</v>
      </c>
      <c r="M4642" s="1499">
        <v>0.3</v>
      </c>
      <c r="N4642" s="1718"/>
      <c r="O4642" s="1290">
        <f>G4642*M4642</f>
        <v>0.12</v>
      </c>
      <c r="P4642" s="1332">
        <f>M4642*K4642</f>
        <v>0.1176</v>
      </c>
      <c r="Q4642" s="3391"/>
      <c r="R4642" s="2337"/>
      <c r="S4642" s="631"/>
      <c r="T4642" s="631"/>
      <c r="U4642" s="16"/>
      <c r="V4642" s="16"/>
    </row>
    <row r="4643" spans="1:22">
      <c r="A4643" s="16"/>
      <c r="B4643" s="1042"/>
      <c r="C4643" s="1658" t="s">
        <v>1122</v>
      </c>
      <c r="D4643" s="1311"/>
      <c r="E4643" s="1855" t="s">
        <v>1517</v>
      </c>
      <c r="F4643" s="1647" t="s">
        <v>1681</v>
      </c>
      <c r="G4643" s="1689"/>
      <c r="H4643" s="1689">
        <v>4.1000000000000002E-2</v>
      </c>
      <c r="I4643" s="1444"/>
      <c r="J4643" s="1388"/>
      <c r="K4643" s="1841"/>
      <c r="L4643" s="1445"/>
      <c r="M4643" s="1500"/>
      <c r="N4643" s="1501">
        <f>SUM(N4644:N4648)</f>
        <v>51.667310000000001</v>
      </c>
      <c r="O4643" s="1501">
        <f>SUM(O4644:O4648)</f>
        <v>2.11835971</v>
      </c>
      <c r="P4643" s="1845">
        <f>SUM(P4644:P4648)</f>
        <v>2.0759925158000003</v>
      </c>
      <c r="Q4643" s="3391"/>
      <c r="R4643" s="2343"/>
      <c r="S4643" s="16"/>
      <c r="T4643" s="16"/>
      <c r="U4643" s="16"/>
      <c r="V4643" s="16"/>
    </row>
    <row r="4644" spans="1:22">
      <c r="A4644" s="16"/>
      <c r="B4644" s="1042"/>
      <c r="C4644" s="1042"/>
      <c r="D4644" s="1451" t="s">
        <v>1069</v>
      </c>
      <c r="E4644" s="1856" t="s">
        <v>1517</v>
      </c>
      <c r="F4644" s="1421" t="s">
        <v>1578</v>
      </c>
      <c r="G4644" s="1452">
        <v>0.26300000000000001</v>
      </c>
      <c r="H4644" s="1453">
        <f>$H$4643*G4644</f>
        <v>1.0783000000000001E-2</v>
      </c>
      <c r="I4644" s="197"/>
      <c r="J4644" s="198"/>
      <c r="K4644" s="1350">
        <f>H4644*$K$4637</f>
        <v>1.0567340000000001E-2</v>
      </c>
      <c r="L4644" s="1335">
        <f>K4644*$K$4561</f>
        <v>0</v>
      </c>
      <c r="M4644" s="1499">
        <v>0.55000000000000004</v>
      </c>
      <c r="N4644" s="1724">
        <f>G4644*M4644</f>
        <v>0.14465000000000003</v>
      </c>
      <c r="O4644" s="1719">
        <f>H4644*M4644</f>
        <v>5.9306500000000009E-3</v>
      </c>
      <c r="P4644" s="1720">
        <f>K4644*M4644</f>
        <v>5.8120370000000017E-3</v>
      </c>
      <c r="Q4644" s="3396"/>
      <c r="R4644" s="2338"/>
      <c r="S4644" s="16"/>
      <c r="T4644" s="16"/>
      <c r="U4644" s="16"/>
      <c r="V4644" s="16"/>
    </row>
    <row r="4645" spans="1:22">
      <c r="A4645" s="16"/>
      <c r="B4645" s="1042"/>
      <c r="C4645" s="1320"/>
      <c r="D4645" s="1367" t="s">
        <v>1394</v>
      </c>
      <c r="E4645" s="1856" t="s">
        <v>1577</v>
      </c>
      <c r="F4645" s="1421" t="s">
        <v>1579</v>
      </c>
      <c r="G4645" s="1452">
        <v>0.25800000000000001</v>
      </c>
      <c r="H4645" s="1453">
        <f>$H$4643*G4645</f>
        <v>1.0578000000000001E-2</v>
      </c>
      <c r="I4645" s="197"/>
      <c r="J4645" s="198"/>
      <c r="K4645" s="1350">
        <f t="shared" ref="K4645:K4648" si="557">H4645*$K$4637</f>
        <v>1.0366440000000001E-2</v>
      </c>
      <c r="L4645" s="1335">
        <f>K4645*$K$4561</f>
        <v>0</v>
      </c>
      <c r="M4645" s="1499">
        <v>92.54</v>
      </c>
      <c r="N4645" s="1724">
        <f>G4645*M4645</f>
        <v>23.875320000000002</v>
      </c>
      <c r="O4645" s="1719">
        <f>H4645*M4645</f>
        <v>0.97888812000000014</v>
      </c>
      <c r="P4645" s="1720">
        <f>K4645*M4645</f>
        <v>0.95931035760000016</v>
      </c>
      <c r="Q4645" s="3396"/>
      <c r="R4645" s="2338"/>
      <c r="S4645" s="16"/>
      <c r="T4645" s="16"/>
      <c r="U4645" s="16"/>
      <c r="V4645" s="16"/>
    </row>
    <row r="4646" spans="1:22">
      <c r="A4646" s="16"/>
      <c r="B4646" s="1042"/>
      <c r="C4646" s="1320"/>
      <c r="D4646" s="1603" t="s">
        <v>1682</v>
      </c>
      <c r="E4646" s="1856" t="s">
        <v>1683</v>
      </c>
      <c r="F4646" s="1421" t="s">
        <v>1684</v>
      </c>
      <c r="G4646" s="1452">
        <v>1.288</v>
      </c>
      <c r="H4646" s="1453">
        <f>$H$4643*G4646</f>
        <v>5.2808000000000001E-2</v>
      </c>
      <c r="I4646" s="197"/>
      <c r="J4646" s="198"/>
      <c r="K4646" s="1350">
        <f t="shared" si="557"/>
        <v>5.175184E-2</v>
      </c>
      <c r="L4646" s="1335">
        <f>K4646*$K$4561</f>
        <v>0</v>
      </c>
      <c r="M4646" s="1499">
        <v>1.26</v>
      </c>
      <c r="N4646" s="1724">
        <f>G4646*M4646</f>
        <v>1.6228800000000001</v>
      </c>
      <c r="O4646" s="1719">
        <f>H4646*M4646</f>
        <v>6.6538079999999999E-2</v>
      </c>
      <c r="P4646" s="1720">
        <f>K4646*M4646</f>
        <v>6.5207318400000006E-2</v>
      </c>
      <c r="Q4646" s="3396"/>
      <c r="R4646" s="2338"/>
      <c r="S4646" s="16"/>
      <c r="T4646" s="16"/>
      <c r="U4646" s="16"/>
      <c r="V4646" s="16"/>
    </row>
    <row r="4647" spans="1:22">
      <c r="A4647" s="16"/>
      <c r="B4647" s="1042"/>
      <c r="C4647" s="1320"/>
      <c r="D4647" s="1603" t="s">
        <v>1576</v>
      </c>
      <c r="E4647" s="1856" t="s">
        <v>1517</v>
      </c>
      <c r="F4647" s="1421" t="s">
        <v>1580</v>
      </c>
      <c r="G4647" s="1452">
        <v>1.1020000000000001</v>
      </c>
      <c r="H4647" s="1453">
        <f>$H$4643*G4647</f>
        <v>4.5182000000000007E-2</v>
      </c>
      <c r="I4647" s="197"/>
      <c r="J4647" s="198"/>
      <c r="K4647" s="1350">
        <f t="shared" si="557"/>
        <v>4.4278360000000003E-2</v>
      </c>
      <c r="L4647" s="1335">
        <f>K4647*$K$4561</f>
        <v>0</v>
      </c>
      <c r="M4647" s="1499">
        <v>6.53</v>
      </c>
      <c r="N4647" s="1724">
        <f>G4647*M4647</f>
        <v>7.196060000000001</v>
      </c>
      <c r="O4647" s="1719">
        <f>H4647*M4647</f>
        <v>0.29503846000000006</v>
      </c>
      <c r="P4647" s="1720">
        <f>K4647*M4647</f>
        <v>0.28913769080000001</v>
      </c>
      <c r="Q4647" s="3396"/>
      <c r="R4647" s="2338"/>
      <c r="S4647" s="16"/>
      <c r="T4647" s="16"/>
      <c r="U4647" s="16"/>
      <c r="V4647" s="16"/>
    </row>
    <row r="4648" spans="1:22">
      <c r="A4648" s="16"/>
      <c r="B4648" s="1042"/>
      <c r="C4648" s="1320"/>
      <c r="D4648" s="1443" t="s">
        <v>1067</v>
      </c>
      <c r="E4648" s="1857" t="s">
        <v>1508</v>
      </c>
      <c r="F4648" s="1430" t="s">
        <v>1512</v>
      </c>
      <c r="G4648" s="1431">
        <v>1.03</v>
      </c>
      <c r="H4648" s="1454">
        <f>$H$4643*G4648</f>
        <v>4.2230000000000004E-2</v>
      </c>
      <c r="I4648" s="197"/>
      <c r="J4648" s="198"/>
      <c r="K4648" s="1350">
        <f t="shared" si="557"/>
        <v>4.1385400000000003E-2</v>
      </c>
      <c r="L4648" s="1335">
        <f>K4648*$K$4561</f>
        <v>0</v>
      </c>
      <c r="M4648" s="1499">
        <v>18.28</v>
      </c>
      <c r="N4648" s="1724">
        <f>G4648*M4648</f>
        <v>18.828400000000002</v>
      </c>
      <c r="O4648" s="1719">
        <f>H4648*M4648</f>
        <v>0.77196440000000011</v>
      </c>
      <c r="P4648" s="1720">
        <f>K4648*M4648</f>
        <v>0.75652511200000006</v>
      </c>
      <c r="Q4648" s="3396"/>
      <c r="R4648" s="2338"/>
      <c r="S4648" s="16"/>
      <c r="T4648" s="16"/>
      <c r="U4648" s="16"/>
      <c r="V4648" s="16"/>
    </row>
    <row r="4649" spans="1:22">
      <c r="A4649" s="1042"/>
      <c r="B4649" s="22"/>
      <c r="C4649" s="1320"/>
      <c r="D4649" s="1400"/>
      <c r="E4649" s="1856"/>
      <c r="F4649" s="1397"/>
      <c r="G4649" s="1988"/>
      <c r="H4649" s="1399"/>
      <c r="I4649" s="197"/>
      <c r="J4649" s="198"/>
      <c r="K4649" s="1307"/>
      <c r="L4649" s="1335"/>
      <c r="M4649" s="1499"/>
      <c r="N4649" s="1701"/>
      <c r="O4649" s="1290"/>
      <c r="P4649" s="1332"/>
      <c r="Q4649" s="3391"/>
      <c r="R4649" s="1296"/>
      <c r="S4649" s="631"/>
      <c r="T4649" s="631"/>
      <c r="U4649" s="16"/>
      <c r="V4649" s="16"/>
    </row>
    <row r="4650" spans="1:22">
      <c r="A4650" s="1042"/>
      <c r="B4650" s="22"/>
      <c r="C4650" s="1320"/>
      <c r="D4650" s="1642"/>
      <c r="E4650" s="2162"/>
      <c r="F4650" s="1643" t="s">
        <v>2</v>
      </c>
      <c r="G4650" s="1989"/>
      <c r="H4650" s="1408"/>
      <c r="I4650" s="1380"/>
      <c r="J4650" s="1381"/>
      <c r="K4650" s="1679"/>
      <c r="L4650" s="1680"/>
      <c r="M4650" s="1681"/>
      <c r="N4650" s="1713"/>
      <c r="O4650" s="1682"/>
      <c r="P4650" s="1683"/>
      <c r="Q4650" s="3391"/>
      <c r="R4650" s="1296"/>
      <c r="S4650" s="631"/>
      <c r="T4650" s="631"/>
      <c r="U4650" s="16"/>
      <c r="V4650" s="16"/>
    </row>
    <row r="4651" spans="1:22">
      <c r="A4651" s="1042"/>
      <c r="B4651" s="22"/>
      <c r="C4651" s="1320"/>
      <c r="D4651" s="1993" t="s">
        <v>1133</v>
      </c>
      <c r="E4651" s="1859" t="s">
        <v>1508</v>
      </c>
      <c r="F4651" s="1655" t="s">
        <v>1955</v>
      </c>
      <c r="G4651" s="1809">
        <v>0.1</v>
      </c>
      <c r="H4651" s="1408"/>
      <c r="I4651" s="197"/>
      <c r="J4651" s="198"/>
      <c r="K4651" s="1307">
        <f>G4651*K4637</f>
        <v>9.8000000000000004E-2</v>
      </c>
      <c r="L4651" s="1335">
        <f>K4651*$K$4561</f>
        <v>0</v>
      </c>
      <c r="M4651" s="1499">
        <v>19.23</v>
      </c>
      <c r="N4651" s="1701"/>
      <c r="O4651" s="1290">
        <f>G4651*M4651</f>
        <v>1.923</v>
      </c>
      <c r="P4651" s="1332">
        <f>M4651*K4651</f>
        <v>1.8845400000000001</v>
      </c>
      <c r="Q4651" s="3391"/>
      <c r="R4651" s="1296"/>
      <c r="S4651" s="631"/>
      <c r="T4651" s="631"/>
      <c r="U4651" s="16"/>
      <c r="V4651" s="16"/>
    </row>
    <row r="4652" spans="1:22" ht="16.5" customHeight="1">
      <c r="A4652" s="16"/>
      <c r="B4652" s="1042"/>
      <c r="C4652" s="1652" t="s">
        <v>1755</v>
      </c>
      <c r="D4652" s="1461"/>
      <c r="E4652" s="2163" t="s">
        <v>1508</v>
      </c>
      <c r="F4652" s="1648" t="s">
        <v>1524</v>
      </c>
      <c r="G4652" s="1990"/>
      <c r="H4652" s="1456">
        <v>0.25</v>
      </c>
      <c r="I4652" s="1444"/>
      <c r="J4652" s="1388"/>
      <c r="K4652" s="1445"/>
      <c r="L4652" s="1457"/>
      <c r="M4652" s="1447"/>
      <c r="N4652" s="1447">
        <f>SUM(N4653:N4654)</f>
        <v>37.510000000000005</v>
      </c>
      <c r="O4652" s="1447">
        <f>SUM(O4653:O4654)</f>
        <v>9.3775000000000013</v>
      </c>
      <c r="P4652" s="1447">
        <f>SUM(P4653:P4654)</f>
        <v>9.1899499999999996</v>
      </c>
      <c r="Q4652" s="3391"/>
      <c r="R4652" s="2337"/>
      <c r="S4652" s="16"/>
      <c r="T4652" s="16"/>
      <c r="U4652" s="16"/>
      <c r="V4652" s="16"/>
    </row>
    <row r="4653" spans="1:22">
      <c r="A4653" s="16"/>
      <c r="B4653" s="1042"/>
      <c r="C4653" s="88"/>
      <c r="D4653" s="1430" t="s">
        <v>1067</v>
      </c>
      <c r="E4653" s="1857" t="s">
        <v>1508</v>
      </c>
      <c r="F4653" s="1403" t="s">
        <v>5</v>
      </c>
      <c r="G4653" s="1991">
        <v>1</v>
      </c>
      <c r="H4653" s="1408">
        <f>G4653*$H$4652</f>
        <v>0.25</v>
      </c>
      <c r="I4653" s="1286"/>
      <c r="J4653" s="198"/>
      <c r="K4653" s="1307">
        <f>H4653*$K$4637</f>
        <v>0.245</v>
      </c>
      <c r="L4653" s="1335">
        <f>K4653*$K$4561</f>
        <v>0</v>
      </c>
      <c r="M4653" s="1302">
        <v>18.28</v>
      </c>
      <c r="N4653" s="1718">
        <f>G4653*M4653</f>
        <v>18.28</v>
      </c>
      <c r="O4653" s="1290">
        <f>H4653*M4653</f>
        <v>4.57</v>
      </c>
      <c r="P4653" s="1332">
        <f>M4653*K4653</f>
        <v>4.4786000000000001</v>
      </c>
      <c r="Q4653" s="3391"/>
      <c r="R4653" s="2337"/>
      <c r="S4653" s="16"/>
      <c r="T4653" s="16"/>
      <c r="U4653" s="16"/>
      <c r="V4653" s="16"/>
    </row>
    <row r="4654" spans="1:22">
      <c r="A4654" s="16"/>
      <c r="B4654" s="1042"/>
      <c r="C4654" s="88"/>
      <c r="D4654" s="1430" t="s">
        <v>1077</v>
      </c>
      <c r="E4654" s="1857" t="s">
        <v>1508</v>
      </c>
      <c r="F4654" s="1403" t="s">
        <v>37</v>
      </c>
      <c r="G4654" s="1991">
        <v>1</v>
      </c>
      <c r="H4654" s="1408">
        <f>G4654*$H$4652</f>
        <v>0.25</v>
      </c>
      <c r="I4654" s="197">
        <f ca="1">IF(COUNT(H4654:L4654)=0,"",(SUM(H4654:L4654)/COUNT(H4654:L4654)))</f>
        <v>0.16500626814677316</v>
      </c>
      <c r="J4654" s="198"/>
      <c r="K4654" s="1307">
        <f>H4654*$K$4637</f>
        <v>0.245</v>
      </c>
      <c r="L4654" s="1335">
        <f>K4654*$K$4561</f>
        <v>0</v>
      </c>
      <c r="M4654" s="1302">
        <v>19.23</v>
      </c>
      <c r="N4654" s="1718">
        <f>G4654*M4654</f>
        <v>19.23</v>
      </c>
      <c r="O4654" s="1290">
        <f>H4654*M4654</f>
        <v>4.8075000000000001</v>
      </c>
      <c r="P4654" s="1332">
        <f>M4654*K4654</f>
        <v>4.7113500000000004</v>
      </c>
      <c r="Q4654" s="3391"/>
      <c r="R4654" s="2337"/>
      <c r="S4654" s="16"/>
      <c r="T4654" s="16"/>
      <c r="U4654" s="16"/>
      <c r="V4654" s="16"/>
    </row>
    <row r="4655" spans="1:22">
      <c r="A4655" s="16"/>
      <c r="B4655" s="553"/>
      <c r="C4655" s="1042"/>
      <c r="D4655" s="1402"/>
      <c r="E4655" s="1857"/>
      <c r="F4655" s="1403"/>
      <c r="G4655" s="1991"/>
      <c r="H4655" s="1408"/>
      <c r="I4655" s="197"/>
      <c r="J4655" s="198"/>
      <c r="K4655" s="1307"/>
      <c r="L4655" s="1335"/>
      <c r="M4655" s="1302"/>
      <c r="N4655" s="1718"/>
      <c r="O4655" s="1290"/>
      <c r="P4655" s="1332"/>
      <c r="Q4655" s="3391"/>
      <c r="R4655" s="2337"/>
      <c r="S4655" s="631"/>
      <c r="T4655" s="631"/>
      <c r="U4655" s="16"/>
      <c r="V4655" s="16"/>
    </row>
    <row r="4656" spans="1:22">
      <c r="A4656" s="1042"/>
      <c r="B4656" s="22"/>
      <c r="C4656" s="1042"/>
      <c r="D4656" s="1411"/>
      <c r="E4656" s="2123"/>
      <c r="F4656" s="1374" t="s">
        <v>3</v>
      </c>
      <c r="G4656" s="1374"/>
      <c r="H4656" s="1376"/>
      <c r="I4656" s="1382"/>
      <c r="J4656" s="1383"/>
      <c r="K4656" s="1684"/>
      <c r="L4656" s="1685"/>
      <c r="M4656" s="1597"/>
      <c r="N4656" s="1597"/>
      <c r="O4656" s="1687"/>
      <c r="P4656" s="1686"/>
      <c r="Q4656" s="3391"/>
      <c r="R4656" s="1173"/>
      <c r="S4656" s="16"/>
      <c r="T4656" s="16"/>
      <c r="U4656" s="16"/>
      <c r="V4656" s="16"/>
    </row>
    <row r="4657" spans="1:22">
      <c r="A4657" s="1042"/>
      <c r="B4657" s="22"/>
      <c r="C4657" s="1042"/>
      <c r="D4657" s="1411"/>
      <c r="E4657" s="2123"/>
      <c r="F4657" s="1375"/>
      <c r="G4657" s="1375"/>
      <c r="H4657" s="1505"/>
      <c r="I4657" s="197" t="str">
        <f ca="1">IF(COUNT(H4657:O4657)=0,"",(SUM(H4657:O4657)/COUNT(H4657:O4657)))</f>
        <v/>
      </c>
      <c r="J4657" s="198"/>
      <c r="K4657" s="1307"/>
      <c r="L4657" s="1335"/>
      <c r="M4657" s="1619"/>
      <c r="N4657" s="1619"/>
      <c r="O4657" s="1290"/>
      <c r="P4657" s="1332"/>
      <c r="Q4657" s="3391"/>
      <c r="R4657" s="3363"/>
      <c r="S4657" s="631"/>
      <c r="T4657" s="631"/>
      <c r="U4657" s="16"/>
      <c r="V4657" s="16"/>
    </row>
    <row r="4658" spans="1:22">
      <c r="A4658" s="1042"/>
      <c r="B4658" s="22"/>
      <c r="C4658" s="1042"/>
      <c r="D4658" s="1411"/>
      <c r="E4658" s="2123"/>
      <c r="F4658" s="1375"/>
      <c r="G4658" s="1375"/>
      <c r="H4658" s="1670"/>
      <c r="I4658" s="197" t="str">
        <f ca="1">IF(COUNT(H4658:O4658)=0,"",(SUM(H4658:O4658)/COUNT(H4658:O4658)))</f>
        <v/>
      </c>
      <c r="J4658" s="198"/>
      <c r="K4658" s="1307"/>
      <c r="L4658" s="1335"/>
      <c r="M4658" s="1619"/>
      <c r="N4658" s="1619"/>
      <c r="O4658" s="1290"/>
      <c r="P4658" s="1332"/>
      <c r="Q4658" s="3391"/>
      <c r="R4658" s="3363"/>
      <c r="S4658" s="631"/>
      <c r="T4658" s="631"/>
      <c r="U4658" s="16"/>
      <c r="V4658" s="16"/>
    </row>
    <row r="4659" spans="1:22">
      <c r="A4659" s="1042"/>
      <c r="B4659" s="22"/>
      <c r="C4659" s="223"/>
      <c r="D4659" s="1411"/>
      <c r="E4659" s="2123"/>
      <c r="F4659" s="1375"/>
      <c r="G4659" s="1375"/>
      <c r="H4659" s="1376"/>
      <c r="I4659" s="197" t="str">
        <f ca="1">IF(COUNT(H4659:O4659)=0,"",(SUM(H4659:O4659)/COUNT(H4659:O4659)))</f>
        <v/>
      </c>
      <c r="J4659" s="198"/>
      <c r="K4659" s="1307"/>
      <c r="L4659" s="1335"/>
      <c r="M4659" s="1619"/>
      <c r="N4659" s="1619"/>
      <c r="O4659" s="1290"/>
      <c r="P4659" s="1332"/>
      <c r="Q4659" s="3391"/>
      <c r="R4659" s="3363"/>
      <c r="S4659" s="631"/>
      <c r="T4659" s="631"/>
      <c r="U4659" s="16"/>
      <c r="V4659" s="16"/>
    </row>
    <row r="4660" spans="1:22">
      <c r="A4660" s="1042" t="s">
        <v>3764</v>
      </c>
      <c r="B4660" s="4325" t="s">
        <v>1997</v>
      </c>
      <c r="C4660" s="3350"/>
      <c r="D4660" s="4327" t="s">
        <v>1551</v>
      </c>
      <c r="E4660" s="4329" t="s">
        <v>1507</v>
      </c>
      <c r="F4660" s="4372" t="s">
        <v>1996</v>
      </c>
      <c r="G4660" s="4331" t="s">
        <v>1568</v>
      </c>
      <c r="H4660" s="4331" t="s">
        <v>1574</v>
      </c>
      <c r="I4660" s="1572" t="s">
        <v>1559</v>
      </c>
      <c r="J4660" s="1294" t="s">
        <v>1560</v>
      </c>
      <c r="K4660" s="1294" t="s">
        <v>1561</v>
      </c>
      <c r="L4660" s="4333" t="s">
        <v>3765</v>
      </c>
      <c r="M4660" s="4335" t="s">
        <v>1571</v>
      </c>
      <c r="N4660" s="4323" t="s">
        <v>1776</v>
      </c>
      <c r="O4660" s="3347" t="s">
        <v>1563</v>
      </c>
      <c r="P4660" s="1336" t="s">
        <v>1562</v>
      </c>
      <c r="Q4660" s="3389"/>
      <c r="R4660" s="1699" t="s">
        <v>1327</v>
      </c>
      <c r="S4660" s="16"/>
      <c r="T4660" s="16"/>
      <c r="U4660" s="16"/>
      <c r="V4660" s="16"/>
    </row>
    <row r="4661" spans="1:22" s="22" customFormat="1">
      <c r="A4661" s="1662" t="s">
        <v>1983</v>
      </c>
      <c r="B4661" s="4326"/>
      <c r="C4661" s="3354"/>
      <c r="D4661" s="4328"/>
      <c r="E4661" s="4330"/>
      <c r="F4661" s="4363"/>
      <c r="G4661" s="4332"/>
      <c r="H4661" s="4332"/>
      <c r="I4661" s="1345">
        <v>70</v>
      </c>
      <c r="J4661" s="1307">
        <v>1.4E-2</v>
      </c>
      <c r="K4661" s="1297">
        <f>I4661*J4661</f>
        <v>0.98</v>
      </c>
      <c r="L4661" s="4334"/>
      <c r="M4661" s="4335"/>
      <c r="N4661" s="4324"/>
      <c r="O4661" s="1298">
        <f>O4663+O4664+O4668+O4669</f>
        <v>15.417499999999999</v>
      </c>
      <c r="P4661" s="1337">
        <f>O4661*K4661</f>
        <v>15.109149999999998</v>
      </c>
      <c r="Q4661" s="3390"/>
      <c r="R4661" s="1721">
        <f>P4663+P4664+P4668+P4669</f>
        <v>15.10915</v>
      </c>
      <c r="S4661" s="16"/>
      <c r="T4661" s="16"/>
      <c r="U4661" s="16"/>
      <c r="V4661" s="16"/>
    </row>
    <row r="4662" spans="1:22">
      <c r="A4662" s="553"/>
      <c r="B4662" s="1327"/>
      <c r="C4662" s="18"/>
      <c r="D4662" s="1400"/>
      <c r="E4662" s="2121"/>
      <c r="F4662" s="1368" t="s">
        <v>1</v>
      </c>
      <c r="G4662" s="1368"/>
      <c r="H4662" s="1423"/>
      <c r="I4662" s="1667"/>
      <c r="J4662" s="1424"/>
      <c r="K4662" s="1425"/>
      <c r="L4662" s="1560"/>
      <c r="M4662" s="1426"/>
      <c r="N4662" s="1426"/>
      <c r="O4662" s="1427"/>
      <c r="P4662" s="1427"/>
      <c r="Q4662" s="3397"/>
      <c r="R4662" s="1296"/>
      <c r="S4662" s="16"/>
      <c r="T4662" s="16"/>
      <c r="U4662" s="16"/>
      <c r="V4662" s="16"/>
    </row>
    <row r="4663" spans="1:22">
      <c r="A4663" s="553"/>
      <c r="B4663" s="1320"/>
      <c r="C4663" s="1042"/>
      <c r="D4663" s="1598" t="s">
        <v>1998</v>
      </c>
      <c r="E4663" s="2154" t="s">
        <v>1517</v>
      </c>
      <c r="F4663" s="1598" t="s">
        <v>1999</v>
      </c>
      <c r="G4663" s="1995">
        <f>0.06</f>
        <v>0.06</v>
      </c>
      <c r="H4663" s="1372"/>
      <c r="I4663" s="197"/>
      <c r="J4663" s="198"/>
      <c r="K4663" s="1732">
        <f>G4663*K4661</f>
        <v>5.8799999999999998E-2</v>
      </c>
      <c r="L4663" s="1335">
        <f>K4663*$K$4561</f>
        <v>0</v>
      </c>
      <c r="M4663" s="1499">
        <v>223.2</v>
      </c>
      <c r="N4663" s="1700"/>
      <c r="O4663" s="1290">
        <f>G4663*M4663</f>
        <v>13.391999999999999</v>
      </c>
      <c r="P4663" s="1332">
        <f>M4663*K4663</f>
        <v>13.124159999999998</v>
      </c>
      <c r="Q4663" s="3391"/>
      <c r="R4663" s="1296"/>
      <c r="S4663" s="17"/>
      <c r="T4663" s="17"/>
      <c r="U4663" s="16"/>
      <c r="V4663" s="16"/>
    </row>
    <row r="4664" spans="1:22">
      <c r="A4664" s="16"/>
      <c r="B4664" s="1320"/>
      <c r="C4664" s="1042"/>
      <c r="D4664" s="1598" t="s">
        <v>1082</v>
      </c>
      <c r="E4664" s="2154" t="s">
        <v>1504</v>
      </c>
      <c r="F4664" s="1598" t="s">
        <v>1541</v>
      </c>
      <c r="G4664" s="1995">
        <v>0.5</v>
      </c>
      <c r="H4664" s="1453"/>
      <c r="I4664" s="198"/>
      <c r="J4664" s="198"/>
      <c r="K4664" s="1732">
        <f>G4664*K4661</f>
        <v>0.49</v>
      </c>
      <c r="L4664" s="1335">
        <f>K4664*$K$4561</f>
        <v>0</v>
      </c>
      <c r="M4664" s="1499">
        <v>0.3</v>
      </c>
      <c r="N4664" s="1718"/>
      <c r="O4664" s="1290">
        <f>G4664*M4664</f>
        <v>0.15</v>
      </c>
      <c r="P4664" s="1332">
        <f>M4664*K4664</f>
        <v>0.14699999999999999</v>
      </c>
      <c r="Q4664" s="3391"/>
      <c r="R4664" s="2337"/>
      <c r="S4664" s="105"/>
      <c r="T4664" s="105"/>
      <c r="U4664" s="16"/>
      <c r="V4664" s="16"/>
    </row>
    <row r="4665" spans="1:22">
      <c r="B4665" s="1320"/>
      <c r="C4665" s="1042"/>
      <c r="D4665" s="1598"/>
      <c r="E4665" s="2154"/>
      <c r="F4665" s="1598"/>
      <c r="G4665" s="1612"/>
      <c r="H4665" s="1453"/>
      <c r="I4665" s="198"/>
      <c r="J4665" s="198"/>
      <c r="K4665" s="1732"/>
      <c r="L4665" s="1335"/>
      <c r="M4665" s="1499"/>
      <c r="N4665" s="1718"/>
      <c r="O4665" s="1290"/>
      <c r="P4665" s="1332"/>
      <c r="Q4665" s="3391"/>
    </row>
    <row r="4666" spans="1:22">
      <c r="A4666" s="553"/>
      <c r="B4666" s="1320"/>
      <c r="C4666" s="1320"/>
      <c r="D4666" s="1400"/>
      <c r="E4666" s="1856"/>
      <c r="F4666" s="1397"/>
      <c r="G4666" s="1988"/>
      <c r="H4666" s="1399"/>
      <c r="I4666" s="197"/>
      <c r="J4666" s="198"/>
      <c r="K4666" s="1307"/>
      <c r="L4666" s="1335"/>
      <c r="M4666" s="1499"/>
      <c r="N4666" s="1701"/>
      <c r="O4666" s="1290"/>
      <c r="P4666" s="1332"/>
      <c r="Q4666" s="3391"/>
      <c r="R4666" s="1296"/>
      <c r="S4666" s="16"/>
      <c r="T4666" s="16"/>
      <c r="U4666" s="16"/>
      <c r="V4666" s="16"/>
    </row>
    <row r="4667" spans="1:22">
      <c r="A4667" s="553"/>
      <c r="B4667" s="1320"/>
      <c r="C4667" s="1320"/>
      <c r="D4667" s="1642"/>
      <c r="E4667" s="2162"/>
      <c r="F4667" s="1643" t="s">
        <v>2</v>
      </c>
      <c r="G4667" s="1989"/>
      <c r="H4667" s="1408"/>
      <c r="I4667" s="1380"/>
      <c r="J4667" s="1381"/>
      <c r="K4667" s="1679"/>
      <c r="L4667" s="1680"/>
      <c r="M4667" s="1681"/>
      <c r="N4667" s="1713"/>
      <c r="O4667" s="1682"/>
      <c r="P4667" s="1683"/>
      <c r="Q4667" s="3391"/>
      <c r="R4667" s="1296"/>
      <c r="S4667" s="16"/>
      <c r="T4667" s="16"/>
      <c r="U4667" s="16"/>
      <c r="V4667" s="16"/>
    </row>
    <row r="4668" spans="1:22">
      <c r="A4668" s="553"/>
      <c r="B4668" s="1320"/>
      <c r="C4668" s="1320"/>
      <c r="D4668" s="1993" t="s">
        <v>1140</v>
      </c>
      <c r="E4668" s="1859" t="s">
        <v>1508</v>
      </c>
      <c r="F4668" s="1655" t="s">
        <v>1897</v>
      </c>
      <c r="G4668" s="1994">
        <v>0.05</v>
      </c>
      <c r="H4668" s="1408"/>
      <c r="I4668" s="197"/>
      <c r="J4668" s="198"/>
      <c r="K4668" s="1307">
        <f>G4668*K4661</f>
        <v>4.9000000000000002E-2</v>
      </c>
      <c r="L4668" s="1335">
        <f t="shared" ref="L4668" si="558">K4668*$K$4561</f>
        <v>0</v>
      </c>
      <c r="M4668" s="1499">
        <v>19.23</v>
      </c>
      <c r="N4668" s="1701"/>
      <c r="O4668" s="1290">
        <f>G4668*M4668</f>
        <v>0.96150000000000002</v>
      </c>
      <c r="P4668" s="1332">
        <f>M4668*K4668</f>
        <v>0.94227000000000005</v>
      </c>
      <c r="Q4668" s="3391"/>
      <c r="R4668" s="1296"/>
      <c r="S4668" s="631"/>
      <c r="T4668" s="631"/>
      <c r="U4668" s="16"/>
      <c r="V4668" s="16"/>
    </row>
    <row r="4669" spans="1:22">
      <c r="A4669" s="16"/>
      <c r="B4669" s="1042"/>
      <c r="C4669" s="88"/>
      <c r="D4669" s="1430" t="s">
        <v>1067</v>
      </c>
      <c r="E4669" s="1857" t="s">
        <v>1508</v>
      </c>
      <c r="F4669" s="1403" t="s">
        <v>5</v>
      </c>
      <c r="G4669" s="1991">
        <v>0.05</v>
      </c>
      <c r="H4669" s="1408"/>
      <c r="I4669" s="1286"/>
      <c r="J4669" s="198"/>
      <c r="K4669" s="1307">
        <f>G4669*K4661</f>
        <v>4.9000000000000002E-2</v>
      </c>
      <c r="L4669" s="1335">
        <f>K4669*$K$4561</f>
        <v>0</v>
      </c>
      <c r="M4669" s="1302">
        <v>18.28</v>
      </c>
      <c r="N4669" s="1718"/>
      <c r="O4669" s="1290">
        <f>G4669*M4669</f>
        <v>0.91400000000000015</v>
      </c>
      <c r="P4669" s="1332">
        <f>M4669*K4669</f>
        <v>0.89572000000000007</v>
      </c>
      <c r="Q4669" s="3391"/>
      <c r="R4669" s="2337"/>
      <c r="S4669" s="16"/>
      <c r="T4669" s="16"/>
      <c r="U4669" s="16"/>
      <c r="V4669" s="16"/>
    </row>
    <row r="4670" spans="1:22">
      <c r="A4670" s="16"/>
      <c r="B4670" s="1042"/>
      <c r="C4670" s="1042"/>
      <c r="D4670" s="1402"/>
      <c r="E4670" s="1857"/>
      <c r="F4670" s="1403"/>
      <c r="G4670" s="1991"/>
      <c r="H4670" s="1408"/>
      <c r="I4670" s="1286"/>
      <c r="J4670" s="198"/>
      <c r="K4670" s="1307"/>
      <c r="L4670" s="1335"/>
      <c r="M4670" s="1302"/>
      <c r="N4670" s="1718"/>
      <c r="O4670" s="1290"/>
      <c r="P4670" s="1332"/>
      <c r="Q4670" s="3391"/>
      <c r="R4670" s="2337"/>
      <c r="S4670" s="16"/>
      <c r="T4670" s="16"/>
      <c r="U4670" s="16"/>
      <c r="V4670" s="16"/>
    </row>
    <row r="4671" spans="1:22">
      <c r="A4671" s="16"/>
      <c r="B4671" s="1042"/>
      <c r="C4671" s="1042"/>
      <c r="D4671" s="1402"/>
      <c r="E4671" s="1857"/>
      <c r="F4671" s="1403"/>
      <c r="G4671" s="1991"/>
      <c r="H4671" s="1408"/>
      <c r="I4671" s="197"/>
      <c r="J4671" s="198"/>
      <c r="K4671" s="1307"/>
      <c r="L4671" s="1335"/>
      <c r="M4671" s="1302"/>
      <c r="N4671" s="1718"/>
      <c r="O4671" s="1290"/>
      <c r="P4671" s="1332"/>
      <c r="Q4671" s="3391"/>
      <c r="R4671" s="2337"/>
      <c r="S4671" s="16"/>
      <c r="T4671" s="16"/>
      <c r="U4671" s="16"/>
      <c r="V4671" s="16"/>
    </row>
    <row r="4672" spans="1:22">
      <c r="A4672" s="1042"/>
      <c r="B4672" s="22"/>
      <c r="C4672" s="1042"/>
      <c r="D4672" s="1411"/>
      <c r="E4672" s="2123"/>
      <c r="F4672" s="1374" t="s">
        <v>3</v>
      </c>
      <c r="G4672" s="1374"/>
      <c r="H4672" s="1376"/>
      <c r="I4672" s="1382"/>
      <c r="J4672" s="1383"/>
      <c r="K4672" s="1684"/>
      <c r="L4672" s="1685"/>
      <c r="M4672" s="1597"/>
      <c r="N4672" s="1597"/>
      <c r="O4672" s="1687"/>
      <c r="P4672" s="1686"/>
      <c r="Q4672" s="3391"/>
      <c r="R4672" s="1173"/>
      <c r="S4672" s="16"/>
      <c r="T4672" s="16"/>
      <c r="U4672" s="16"/>
      <c r="V4672" s="16"/>
    </row>
    <row r="4673" spans="1:22">
      <c r="A4673" s="553"/>
      <c r="B4673" s="1320"/>
      <c r="C4673" s="1042"/>
      <c r="D4673" s="1411"/>
      <c r="E4673" s="2123"/>
      <c r="F4673" s="1669"/>
      <c r="G4673" s="1669"/>
      <c r="H4673" s="1670"/>
      <c r="I4673" s="197" t="str">
        <f ca="1">IF(COUNT(H4673:O4673)=0,"",(SUM(H4673:O4673)/COUNT(H4673:O4673)))</f>
        <v/>
      </c>
      <c r="J4673" s="198"/>
      <c r="K4673" s="1307"/>
      <c r="L4673" s="1335"/>
      <c r="M4673" s="1619"/>
      <c r="N4673" s="1619"/>
      <c r="O4673" s="1290"/>
      <c r="P4673" s="1332"/>
      <c r="Q4673" s="3391"/>
      <c r="R4673" s="3363"/>
      <c r="S4673" s="16"/>
      <c r="T4673" s="16"/>
      <c r="U4673" s="16"/>
      <c r="V4673" s="16"/>
    </row>
    <row r="4674" spans="1:22">
      <c r="A4674" s="553"/>
      <c r="B4674" s="1320"/>
      <c r="C4674" s="1042"/>
      <c r="D4674" s="1411"/>
      <c r="E4674" s="2123"/>
      <c r="F4674" s="1375"/>
      <c r="G4674" s="1375"/>
      <c r="H4674" s="1670"/>
      <c r="I4674" s="197" t="str">
        <f ca="1">IF(COUNT(H4674:O4674)=0,"",(SUM(H4674:O4674)/COUNT(H4674:O4674)))</f>
        <v/>
      </c>
      <c r="J4674" s="198"/>
      <c r="K4674" s="1307"/>
      <c r="L4674" s="1335"/>
      <c r="M4674" s="1619"/>
      <c r="N4674" s="1619"/>
      <c r="O4674" s="1290"/>
      <c r="P4674" s="1332"/>
      <c r="Q4674" s="3391"/>
      <c r="R4674" s="3363"/>
      <c r="S4674" s="16"/>
      <c r="T4674" s="16"/>
      <c r="U4674" s="16"/>
      <c r="V4674" s="16"/>
    </row>
    <row r="4675" spans="1:22">
      <c r="A4675" s="553"/>
      <c r="B4675" s="225"/>
      <c r="C4675" s="223"/>
      <c r="D4675" s="1411"/>
      <c r="E4675" s="2123"/>
      <c r="F4675" s="1375"/>
      <c r="G4675" s="1375"/>
      <c r="H4675" s="1376"/>
      <c r="I4675" s="197" t="str">
        <f ca="1">IF(COUNT(H4675:O4675)=0,"",(SUM(H4675:O4675)/COUNT(H4675:O4675)))</f>
        <v/>
      </c>
      <c r="J4675" s="198"/>
      <c r="K4675" s="1307"/>
      <c r="L4675" s="1335"/>
      <c r="M4675" s="1619"/>
      <c r="N4675" s="1619"/>
      <c r="O4675" s="1290"/>
      <c r="P4675" s="1332"/>
      <c r="Q4675" s="3391"/>
      <c r="R4675" s="3363"/>
      <c r="S4675" s="16"/>
      <c r="T4675" s="16"/>
      <c r="U4675" s="16"/>
      <c r="V4675" s="16"/>
    </row>
    <row r="4676" spans="1:22">
      <c r="A4676" s="1042" t="s">
        <v>3764</v>
      </c>
      <c r="B4676" s="4325" t="s">
        <v>2008</v>
      </c>
      <c r="C4676" s="3350"/>
      <c r="D4676" s="4327" t="s">
        <v>1551</v>
      </c>
      <c r="E4676" s="4329" t="s">
        <v>1507</v>
      </c>
      <c r="F4676" s="4372" t="s">
        <v>2009</v>
      </c>
      <c r="G4676" s="4331" t="s">
        <v>1568</v>
      </c>
      <c r="H4676" s="4331" t="s">
        <v>1574</v>
      </c>
      <c r="I4676" s="1572" t="s">
        <v>1559</v>
      </c>
      <c r="J4676" s="1294" t="s">
        <v>1560</v>
      </c>
      <c r="K4676" s="1294" t="s">
        <v>1561</v>
      </c>
      <c r="L4676" s="4333" t="s">
        <v>3765</v>
      </c>
      <c r="M4676" s="4335" t="s">
        <v>1571</v>
      </c>
      <c r="N4676" s="4323" t="s">
        <v>1776</v>
      </c>
      <c r="O4676" s="3347" t="s">
        <v>1563</v>
      </c>
      <c r="P4676" s="1336" t="s">
        <v>1562</v>
      </c>
      <c r="Q4676" s="3389"/>
      <c r="R4676" s="1699" t="s">
        <v>1327</v>
      </c>
    </row>
    <row r="4677" spans="1:22">
      <c r="A4677" s="1662" t="s">
        <v>1983</v>
      </c>
      <c r="B4677" s="4326"/>
      <c r="C4677" s="3354"/>
      <c r="D4677" s="4328"/>
      <c r="E4677" s="4330"/>
      <c r="F4677" s="4363"/>
      <c r="G4677" s="4332"/>
      <c r="H4677" s="4332"/>
      <c r="I4677" s="1345">
        <v>70</v>
      </c>
      <c r="J4677" s="1307">
        <v>1.4E-2</v>
      </c>
      <c r="K4677" s="1297">
        <f>I4677*J4677</f>
        <v>0.98</v>
      </c>
      <c r="L4677" s="4334"/>
      <c r="M4677" s="4335"/>
      <c r="N4677" s="4324"/>
      <c r="O4677" s="1298">
        <f>O4679+O4680+O4681+O4685+O4692+O4693</f>
        <v>18.884324879999998</v>
      </c>
      <c r="P4677" s="1337">
        <f>O4677*K4677</f>
        <v>18.506638382399998</v>
      </c>
      <c r="Q4677" s="3390"/>
      <c r="R4677" s="1721">
        <f>P4679+P4680+P4681+P4685+P4692+P4693</f>
        <v>18.506638382399998</v>
      </c>
    </row>
    <row r="4678" spans="1:22">
      <c r="A4678" s="553"/>
      <c r="B4678" s="1327"/>
      <c r="C4678" s="18"/>
      <c r="D4678" s="1400"/>
      <c r="E4678" s="2121"/>
      <c r="F4678" s="1368" t="s">
        <v>1</v>
      </c>
      <c r="G4678" s="1368"/>
      <c r="H4678" s="1423"/>
      <c r="I4678" s="1667"/>
      <c r="J4678" s="1424"/>
      <c r="K4678" s="1425"/>
      <c r="L4678" s="1560"/>
      <c r="M4678" s="1426"/>
      <c r="N4678" s="1426"/>
      <c r="O4678" s="1427"/>
      <c r="P4678" s="1427"/>
      <c r="Q4678" s="3397"/>
      <c r="R4678" s="1296"/>
    </row>
    <row r="4679" spans="1:22">
      <c r="A4679" s="553"/>
      <c r="B4679" s="1320"/>
      <c r="C4679" s="1042"/>
      <c r="D4679" s="1598" t="s">
        <v>1094</v>
      </c>
      <c r="E4679" s="2154" t="s">
        <v>1517</v>
      </c>
      <c r="F4679" s="1598" t="s">
        <v>1543</v>
      </c>
      <c r="G4679" s="1612">
        <v>0.02</v>
      </c>
      <c r="H4679" s="1372"/>
      <c r="I4679" s="197"/>
      <c r="J4679" s="198"/>
      <c r="K4679" s="1350">
        <f>G4679*K4677</f>
        <v>1.9599999999999999E-2</v>
      </c>
      <c r="L4679" s="1335">
        <f>K4679*$K$4561</f>
        <v>0</v>
      </c>
      <c r="M4679" s="1499">
        <v>8.39</v>
      </c>
      <c r="N4679" s="1700"/>
      <c r="O4679" s="1290">
        <f>G4679*M4679</f>
        <v>0.1678</v>
      </c>
      <c r="P4679" s="1332">
        <f>M4679*K4679</f>
        <v>0.16444400000000001</v>
      </c>
      <c r="Q4679" s="3391"/>
      <c r="R4679" s="1296"/>
    </row>
    <row r="4680" spans="1:22">
      <c r="A4680" s="16"/>
      <c r="B4680" s="1320"/>
      <c r="C4680" s="1042"/>
      <c r="D4680" s="1598" t="s">
        <v>1129</v>
      </c>
      <c r="E4680" s="2154" t="s">
        <v>1504</v>
      </c>
      <c r="F4680" s="1598" t="s">
        <v>1988</v>
      </c>
      <c r="G4680" s="1612">
        <v>27.03</v>
      </c>
      <c r="H4680" s="1453"/>
      <c r="I4680" s="198"/>
      <c r="J4680" s="198"/>
      <c r="K4680" s="1350">
        <f>G4680*K4677</f>
        <v>26.4894</v>
      </c>
      <c r="L4680" s="1335">
        <f>K4680*$K$4561</f>
        <v>0</v>
      </c>
      <c r="M4680" s="1499">
        <v>0.19</v>
      </c>
      <c r="N4680" s="1718"/>
      <c r="O4680" s="1290">
        <f>G4680*M4680</f>
        <v>5.1356999999999999</v>
      </c>
      <c r="P4680" s="1332">
        <f>M4680*K4680</f>
        <v>5.0329860000000002</v>
      </c>
      <c r="Q4680" s="3391"/>
      <c r="R4680" s="2337"/>
    </row>
    <row r="4681" spans="1:22">
      <c r="A4681" s="16"/>
      <c r="B4681" s="1320"/>
      <c r="C4681" s="1658" t="s">
        <v>1155</v>
      </c>
      <c r="D4681" s="1311"/>
      <c r="E4681" s="1855" t="s">
        <v>1517</v>
      </c>
      <c r="F4681" s="1647" t="s">
        <v>1544</v>
      </c>
      <c r="G4681" s="1830" t="s">
        <v>1551</v>
      </c>
      <c r="H4681" s="1830">
        <v>1E-3</v>
      </c>
      <c r="I4681" s="1444"/>
      <c r="J4681" s="1388"/>
      <c r="K4681" s="1997"/>
      <c r="L4681" s="1445"/>
      <c r="M4681" s="1447"/>
      <c r="N4681" s="1447">
        <f>SUM(N4682:N4684)</f>
        <v>114.04755</v>
      </c>
      <c r="O4681" s="1447">
        <f>SUM(O4682:O4684)</f>
        <v>0.11404755000000003</v>
      </c>
      <c r="P4681" s="1446">
        <f>SUM(P4682:P4684)</f>
        <v>0.11176659900000002</v>
      </c>
      <c r="Q4681" s="3391"/>
      <c r="R4681" s="1296"/>
      <c r="S4681" s="16"/>
      <c r="T4681" s="16"/>
      <c r="U4681" s="16"/>
      <c r="V4681" s="16"/>
    </row>
    <row r="4682" spans="1:22">
      <c r="A4682" s="16"/>
      <c r="B4682" s="1320"/>
      <c r="C4682" s="1042"/>
      <c r="D4682" s="1451" t="s">
        <v>1069</v>
      </c>
      <c r="E4682" s="1856" t="s">
        <v>1517</v>
      </c>
      <c r="F4682" s="1421" t="s">
        <v>1578</v>
      </c>
      <c r="G4682" s="1452">
        <v>0.89100000000000001</v>
      </c>
      <c r="H4682" s="1453">
        <f>$H$4681*G4682</f>
        <v>8.9100000000000008E-4</v>
      </c>
      <c r="I4682" s="1286"/>
      <c r="J4682" s="198"/>
      <c r="K4682" s="1307">
        <f>H4682*$K$4677</f>
        <v>8.7318000000000009E-4</v>
      </c>
      <c r="L4682" s="1335">
        <f t="shared" ref="L4682:L4684" si="559">K4682*$K$2842</f>
        <v>0</v>
      </c>
      <c r="M4682" s="1717">
        <v>0.55000000000000004</v>
      </c>
      <c r="N4682" s="1718">
        <f>G4682*M4682</f>
        <v>0.49005000000000004</v>
      </c>
      <c r="O4682" s="1719">
        <f>H4682*M4682</f>
        <v>4.9005000000000012E-4</v>
      </c>
      <c r="P4682" s="1720">
        <f>M4682*K4682</f>
        <v>4.8024900000000008E-4</v>
      </c>
      <c r="Q4682" s="3396"/>
      <c r="R4682" s="1296"/>
      <c r="S4682" s="16"/>
      <c r="T4682" s="16"/>
      <c r="U4682" s="16"/>
      <c r="V4682" s="16"/>
    </row>
    <row r="4683" spans="1:22">
      <c r="A4683" s="16"/>
      <c r="B4683" s="1320"/>
      <c r="C4683" s="1042"/>
      <c r="D4683" s="1367" t="s">
        <v>1394</v>
      </c>
      <c r="E4683" s="1856" t="s">
        <v>1577</v>
      </c>
      <c r="F4683" s="1421" t="s">
        <v>1579</v>
      </c>
      <c r="G4683" s="1452">
        <v>0.51500000000000001</v>
      </c>
      <c r="H4683" s="1453">
        <f>$H$4681*G4683</f>
        <v>5.1500000000000005E-4</v>
      </c>
      <c r="I4683" s="1286"/>
      <c r="J4683" s="198"/>
      <c r="K4683" s="1307">
        <f>H4683*$K$4677</f>
        <v>5.0470000000000007E-4</v>
      </c>
      <c r="L4683" s="1335">
        <f t="shared" si="559"/>
        <v>0</v>
      </c>
      <c r="M4683" s="1717">
        <v>92.54</v>
      </c>
      <c r="N4683" s="1718">
        <f>G4683*M4683</f>
        <v>47.658100000000005</v>
      </c>
      <c r="O4683" s="1719">
        <f>H4683*M4683</f>
        <v>4.7658100000000009E-2</v>
      </c>
      <c r="P4683" s="1720">
        <f>M4683*K4683</f>
        <v>4.6704938000000008E-2</v>
      </c>
      <c r="Q4683" s="3396"/>
      <c r="R4683" s="1296"/>
      <c r="S4683" s="16"/>
      <c r="T4683" s="16"/>
      <c r="U4683" s="16"/>
      <c r="V4683" s="16"/>
    </row>
    <row r="4684" spans="1:22">
      <c r="A4684" s="16"/>
      <c r="B4684" s="1320"/>
      <c r="C4684" s="1042"/>
      <c r="D4684" s="1359" t="s">
        <v>1067</v>
      </c>
      <c r="E4684" s="1857" t="s">
        <v>1508</v>
      </c>
      <c r="F4684" s="1430" t="s">
        <v>1512</v>
      </c>
      <c r="G4684" s="1431">
        <v>3.605</v>
      </c>
      <c r="H4684" s="1454">
        <f>$H$4681*G4684</f>
        <v>3.6050000000000001E-3</v>
      </c>
      <c r="I4684" s="1286"/>
      <c r="J4684" s="198"/>
      <c r="K4684" s="1307">
        <f>H4684*$K$4677</f>
        <v>3.5329000000000003E-3</v>
      </c>
      <c r="L4684" s="1335">
        <f t="shared" si="559"/>
        <v>0</v>
      </c>
      <c r="M4684" s="1717">
        <v>18.28</v>
      </c>
      <c r="N4684" s="1718">
        <f>G4684*M4684</f>
        <v>65.8994</v>
      </c>
      <c r="O4684" s="1719">
        <f>H4684*M4684</f>
        <v>6.5899400000000011E-2</v>
      </c>
      <c r="P4684" s="1720">
        <f>M4684*K4684</f>
        <v>6.4581412000000005E-2</v>
      </c>
      <c r="Q4684" s="3396"/>
      <c r="R4684" s="1296"/>
      <c r="S4684" s="16"/>
      <c r="T4684" s="16"/>
      <c r="U4684" s="16"/>
      <c r="V4684" s="16"/>
    </row>
    <row r="4685" spans="1:22">
      <c r="A4685" s="16"/>
      <c r="B4685" s="1042"/>
      <c r="C4685" s="1356" t="s">
        <v>1127</v>
      </c>
      <c r="D4685" s="1311"/>
      <c r="E4685" s="2137" t="s">
        <v>1517</v>
      </c>
      <c r="F4685" s="1319" t="s">
        <v>1519</v>
      </c>
      <c r="G4685" s="1353"/>
      <c r="H4685" s="1456">
        <v>3.1E-2</v>
      </c>
      <c r="I4685" s="1444"/>
      <c r="J4685" s="1388"/>
      <c r="K4685" s="1445"/>
      <c r="L4685" s="1457"/>
      <c r="M4685" s="1447"/>
      <c r="N4685" s="1447">
        <f>SUM(N4686:N4689)</f>
        <v>50.044430000000006</v>
      </c>
      <c r="O4685" s="1447">
        <f>SUM(O4686:O4689)</f>
        <v>1.5513773300000002</v>
      </c>
      <c r="P4685" s="1446">
        <f>SUM(P4686:P4689)</f>
        <v>1.5203497833999999</v>
      </c>
      <c r="Q4685" s="3391"/>
      <c r="R4685" s="2337"/>
      <c r="S4685" s="16"/>
      <c r="T4685" s="16"/>
      <c r="U4685" s="16"/>
      <c r="V4685" s="16"/>
    </row>
    <row r="4686" spans="1:22">
      <c r="A4686" s="16"/>
      <c r="B4686" s="1042"/>
      <c r="C4686" s="1327"/>
      <c r="D4686" s="1400" t="s">
        <v>1069</v>
      </c>
      <c r="E4686" s="1856" t="s">
        <v>1517</v>
      </c>
      <c r="F4686" s="1397" t="s">
        <v>1578</v>
      </c>
      <c r="G4686" s="1416">
        <v>0.26300000000000001</v>
      </c>
      <c r="H4686" s="1399">
        <f>G4686*$H$4685</f>
        <v>8.1530000000000005E-3</v>
      </c>
      <c r="I4686" s="197"/>
      <c r="J4686" s="198"/>
      <c r="K4686" s="1307">
        <f>H4686*$K$4677</f>
        <v>7.9899400000000009E-3</v>
      </c>
      <c r="L4686" s="1335">
        <f t="shared" ref="L4686:L4689" si="560">K4686*$K$4561</f>
        <v>0</v>
      </c>
      <c r="M4686" s="1302">
        <v>0.55000000000000004</v>
      </c>
      <c r="N4686" s="1718">
        <f>G4686*M4686</f>
        <v>0.14465000000000003</v>
      </c>
      <c r="O4686" s="1290">
        <f>H4686*M4686</f>
        <v>4.484150000000001E-3</v>
      </c>
      <c r="P4686" s="1332">
        <f>M4686*K4686</f>
        <v>4.3944670000000009E-3</v>
      </c>
      <c r="Q4686" s="3391"/>
      <c r="R4686" s="2337"/>
      <c r="S4686" s="16"/>
      <c r="T4686" s="16"/>
      <c r="U4686" s="16"/>
      <c r="V4686" s="16"/>
    </row>
    <row r="4687" spans="1:22">
      <c r="A4687" s="16"/>
      <c r="B4687" s="1042"/>
      <c r="C4687" s="1320"/>
      <c r="D4687" s="1400" t="s">
        <v>1394</v>
      </c>
      <c r="E4687" s="1856" t="s">
        <v>1577</v>
      </c>
      <c r="F4687" s="1397" t="s">
        <v>1579</v>
      </c>
      <c r="G4687" s="1416">
        <v>0.25800000000000001</v>
      </c>
      <c r="H4687" s="1399">
        <f t="shared" ref="H4687:H4689" si="561">G4687*$H$4685</f>
        <v>7.9979999999999999E-3</v>
      </c>
      <c r="I4687" s="197"/>
      <c r="J4687" s="198"/>
      <c r="K4687" s="1307">
        <f t="shared" ref="K4687:K4689" si="562">H4687*$K$4677</f>
        <v>7.8380399999999992E-3</v>
      </c>
      <c r="L4687" s="1335">
        <f t="shared" si="560"/>
        <v>0</v>
      </c>
      <c r="M4687" s="1302">
        <v>92.54</v>
      </c>
      <c r="N4687" s="1718">
        <f>G4687*M4687</f>
        <v>23.875320000000002</v>
      </c>
      <c r="O4687" s="1290">
        <f>H4687*M4687</f>
        <v>0.74013492000000003</v>
      </c>
      <c r="P4687" s="1332">
        <f>M4687*K4687</f>
        <v>0.72533222159999999</v>
      </c>
      <c r="Q4687" s="3391"/>
      <c r="R4687" s="2337"/>
      <c r="S4687" s="16"/>
      <c r="T4687" s="16"/>
      <c r="U4687" s="16"/>
      <c r="V4687" s="16"/>
    </row>
    <row r="4688" spans="1:22">
      <c r="A4688" s="16"/>
      <c r="B4688" s="1042"/>
      <c r="C4688" s="1320"/>
      <c r="D4688" s="1400" t="s">
        <v>1576</v>
      </c>
      <c r="E4688" s="1856" t="s">
        <v>1517</v>
      </c>
      <c r="F4688" s="1397" t="s">
        <v>1580</v>
      </c>
      <c r="G4688" s="1416">
        <v>1.1020000000000001</v>
      </c>
      <c r="H4688" s="1399">
        <f t="shared" si="561"/>
        <v>3.4162000000000005E-2</v>
      </c>
      <c r="I4688" s="197"/>
      <c r="J4688" s="198"/>
      <c r="K4688" s="1307">
        <f t="shared" si="562"/>
        <v>3.3478760000000003E-2</v>
      </c>
      <c r="L4688" s="1335">
        <f t="shared" si="560"/>
        <v>0</v>
      </c>
      <c r="M4688" s="1302">
        <v>6.53</v>
      </c>
      <c r="N4688" s="1718">
        <f>G4688*M4688</f>
        <v>7.196060000000001</v>
      </c>
      <c r="O4688" s="1290">
        <f>H4688*M4688</f>
        <v>0.22307786000000004</v>
      </c>
      <c r="P4688" s="1332">
        <f>M4688*K4688</f>
        <v>0.21861630280000002</v>
      </c>
      <c r="Q4688" s="3391"/>
      <c r="R4688" s="2337"/>
      <c r="S4688" s="16"/>
      <c r="T4688" s="16"/>
      <c r="U4688" s="16"/>
      <c r="V4688" s="16"/>
    </row>
    <row r="4689" spans="1:22">
      <c r="A4689" s="16"/>
      <c r="B4689" s="1042"/>
      <c r="C4689" s="1320"/>
      <c r="D4689" s="1404" t="s">
        <v>1067</v>
      </c>
      <c r="E4689" s="1857" t="s">
        <v>1508</v>
      </c>
      <c r="F4689" s="1406" t="s">
        <v>1512</v>
      </c>
      <c r="G4689" s="1407">
        <v>1.03</v>
      </c>
      <c r="H4689" s="1408">
        <f t="shared" si="561"/>
        <v>3.193E-2</v>
      </c>
      <c r="I4689" s="197"/>
      <c r="J4689" s="198"/>
      <c r="K4689" s="1307">
        <f t="shared" si="562"/>
        <v>3.1291399999999997E-2</v>
      </c>
      <c r="L4689" s="1335">
        <f t="shared" si="560"/>
        <v>0</v>
      </c>
      <c r="M4689" s="1302">
        <v>18.28</v>
      </c>
      <c r="N4689" s="1718">
        <f>G4689*M4689</f>
        <v>18.828400000000002</v>
      </c>
      <c r="O4689" s="1290">
        <f>H4689*M4689</f>
        <v>0.58368039999999999</v>
      </c>
      <c r="P4689" s="1332">
        <f>M4689*K4689</f>
        <v>0.57200679199999993</v>
      </c>
      <c r="Q4689" s="3391"/>
      <c r="R4689" s="2337"/>
      <c r="S4689" s="16"/>
      <c r="T4689" s="16"/>
      <c r="U4689" s="16"/>
      <c r="V4689" s="16"/>
    </row>
    <row r="4690" spans="1:22">
      <c r="A4690" s="16"/>
      <c r="B4690" s="1042"/>
      <c r="C4690" s="1320"/>
      <c r="D4690" s="1400"/>
      <c r="E4690" s="1856"/>
      <c r="F4690" s="1397"/>
      <c r="G4690" s="1416"/>
      <c r="H4690" s="1399"/>
      <c r="I4690" s="197"/>
      <c r="J4690" s="198"/>
      <c r="K4690" s="1732"/>
      <c r="L4690" s="1335"/>
      <c r="M4690" s="1499"/>
      <c r="N4690" s="1724"/>
      <c r="O4690" s="1290"/>
      <c r="P4690" s="1332"/>
      <c r="Q4690" s="3391"/>
      <c r="R4690" s="2337"/>
      <c r="S4690" s="16"/>
      <c r="T4690" s="16"/>
      <c r="U4690" s="16"/>
      <c r="V4690" s="16"/>
    </row>
    <row r="4691" spans="1:22">
      <c r="A4691" s="553"/>
      <c r="B4691" s="1320"/>
      <c r="C4691" s="1320"/>
      <c r="D4691" s="1642"/>
      <c r="E4691" s="2162"/>
      <c r="F4691" s="1643" t="s">
        <v>2</v>
      </c>
      <c r="G4691" s="1989"/>
      <c r="H4691" s="1408"/>
      <c r="I4691" s="1380"/>
      <c r="J4691" s="1381"/>
      <c r="K4691" s="1996"/>
      <c r="L4691" s="1680"/>
      <c r="M4691" s="1681"/>
      <c r="N4691" s="1713"/>
      <c r="O4691" s="1682"/>
      <c r="P4691" s="1683"/>
      <c r="Q4691" s="3391"/>
      <c r="R4691" s="1296"/>
      <c r="S4691" s="16"/>
      <c r="T4691" s="16"/>
      <c r="U4691" s="16"/>
      <c r="V4691" s="16"/>
    </row>
    <row r="4692" spans="1:22">
      <c r="A4692" s="553"/>
      <c r="B4692" s="1320"/>
      <c r="C4692" s="1320"/>
      <c r="D4692" s="1993" t="s">
        <v>1134</v>
      </c>
      <c r="E4692" s="1859" t="s">
        <v>1508</v>
      </c>
      <c r="F4692" s="1655" t="s">
        <v>1547</v>
      </c>
      <c r="G4692" s="1994">
        <v>0.42</v>
      </c>
      <c r="H4692" s="1408"/>
      <c r="I4692" s="197"/>
      <c r="J4692" s="198"/>
      <c r="K4692" s="1350">
        <f>G4692*K4677</f>
        <v>0.41159999999999997</v>
      </c>
      <c r="L4692" s="1335">
        <f t="shared" ref="L4692" si="563">K4692*$K$4561</f>
        <v>0</v>
      </c>
      <c r="M4692" s="1499">
        <v>19.23</v>
      </c>
      <c r="N4692" s="1701"/>
      <c r="O4692" s="1290">
        <f>G4692*M4692</f>
        <v>8.0765999999999991</v>
      </c>
      <c r="P4692" s="1332">
        <f>M4692*K4692</f>
        <v>7.9150679999999998</v>
      </c>
      <c r="Q4692" s="3391"/>
      <c r="R4692" s="1296"/>
      <c r="S4692" s="16"/>
      <c r="T4692" s="16"/>
      <c r="U4692" s="16"/>
      <c r="V4692" s="16"/>
    </row>
    <row r="4693" spans="1:22">
      <c r="A4693" s="16"/>
      <c r="B4693" s="1042"/>
      <c r="C4693" s="88"/>
      <c r="D4693" s="1430" t="s">
        <v>1067</v>
      </c>
      <c r="E4693" s="1857" t="s">
        <v>1508</v>
      </c>
      <c r="F4693" s="1403" t="s">
        <v>5</v>
      </c>
      <c r="G4693" s="1991">
        <v>0.21</v>
      </c>
      <c r="H4693" s="1408"/>
      <c r="I4693" s="1286"/>
      <c r="J4693" s="198"/>
      <c r="K4693" s="1350">
        <f>G4693*K4677</f>
        <v>0.20579999999999998</v>
      </c>
      <c r="L4693" s="1335">
        <f>K4693*$K$4561</f>
        <v>0</v>
      </c>
      <c r="M4693" s="1302">
        <v>18.28</v>
      </c>
      <c r="N4693" s="1718"/>
      <c r="O4693" s="1290">
        <f>G4693*M4693</f>
        <v>3.8388</v>
      </c>
      <c r="P4693" s="1332">
        <f>M4693*K4693</f>
        <v>3.7620239999999998</v>
      </c>
      <c r="Q4693" s="3391"/>
      <c r="R4693" s="2337"/>
      <c r="S4693" s="16"/>
      <c r="T4693" s="16"/>
      <c r="U4693" s="16"/>
      <c r="V4693" s="16"/>
    </row>
    <row r="4694" spans="1:22">
      <c r="A4694" s="16"/>
      <c r="B4694" s="1042"/>
      <c r="C4694" s="1042"/>
      <c r="D4694" s="1402"/>
      <c r="E4694" s="1857"/>
      <c r="F4694" s="1403"/>
      <c r="G4694" s="1991"/>
      <c r="H4694" s="1408"/>
      <c r="I4694" s="1286"/>
      <c r="J4694" s="198"/>
      <c r="K4694" s="1307"/>
      <c r="L4694" s="1335"/>
      <c r="M4694" s="1302"/>
      <c r="N4694" s="1718"/>
      <c r="O4694" s="1290"/>
      <c r="P4694" s="1332"/>
      <c r="Q4694" s="3391"/>
      <c r="R4694" s="2337"/>
      <c r="S4694" s="16"/>
      <c r="T4694" s="16"/>
      <c r="U4694" s="16"/>
      <c r="V4694" s="16"/>
    </row>
    <row r="4695" spans="1:22">
      <c r="A4695" s="16"/>
      <c r="B4695" s="1042"/>
      <c r="C4695" s="1042"/>
      <c r="D4695" s="1402"/>
      <c r="E4695" s="1857"/>
      <c r="F4695" s="1403"/>
      <c r="G4695" s="1991"/>
      <c r="H4695" s="1408"/>
      <c r="I4695" s="197"/>
      <c r="J4695" s="198"/>
      <c r="K4695" s="1307"/>
      <c r="L4695" s="1335"/>
      <c r="M4695" s="1302"/>
      <c r="N4695" s="1718"/>
      <c r="O4695" s="1290"/>
      <c r="P4695" s="1332"/>
      <c r="Q4695" s="3391"/>
      <c r="R4695" s="2337"/>
      <c r="S4695" s="16"/>
      <c r="T4695" s="16"/>
      <c r="U4695" s="16"/>
      <c r="V4695" s="16"/>
    </row>
    <row r="4696" spans="1:22">
      <c r="A4696" s="1042"/>
      <c r="B4696" s="22"/>
      <c r="C4696" s="1042"/>
      <c r="D4696" s="1411"/>
      <c r="E4696" s="2123"/>
      <c r="F4696" s="1374" t="s">
        <v>3</v>
      </c>
      <c r="G4696" s="1374"/>
      <c r="H4696" s="1376"/>
      <c r="I4696" s="1382"/>
      <c r="J4696" s="1383"/>
      <c r="K4696" s="1684"/>
      <c r="L4696" s="1685"/>
      <c r="M4696" s="1597"/>
      <c r="N4696" s="1597"/>
      <c r="O4696" s="1687"/>
      <c r="P4696" s="1686"/>
      <c r="Q4696" s="3391"/>
      <c r="R4696" s="1173"/>
      <c r="S4696" s="16"/>
      <c r="T4696" s="16"/>
      <c r="U4696" s="16"/>
      <c r="V4696" s="16"/>
    </row>
    <row r="4697" spans="1:22">
      <c r="A4697" s="553"/>
      <c r="B4697" s="1320"/>
      <c r="C4697" s="1042"/>
      <c r="D4697" s="1411"/>
      <c r="E4697" s="2123"/>
      <c r="F4697" s="1375"/>
      <c r="G4697" s="1375"/>
      <c r="H4697" s="1505"/>
      <c r="I4697" s="197"/>
      <c r="J4697" s="198"/>
      <c r="K4697" s="1307"/>
      <c r="L4697" s="1335"/>
      <c r="M4697" s="1619"/>
      <c r="N4697" s="1619"/>
      <c r="O4697" s="1290"/>
      <c r="P4697" s="1332"/>
      <c r="Q4697" s="3391"/>
      <c r="R4697" s="3363"/>
      <c r="S4697" s="16"/>
      <c r="T4697" s="16"/>
      <c r="U4697" s="16"/>
      <c r="V4697" s="16"/>
    </row>
    <row r="4698" spans="1:22">
      <c r="A4698" s="553"/>
      <c r="B4698" s="1320"/>
      <c r="C4698" s="1042"/>
      <c r="D4698" s="1411"/>
      <c r="E4698" s="2123"/>
      <c r="F4698" s="1375"/>
      <c r="G4698" s="1375"/>
      <c r="H4698" s="1670"/>
      <c r="I4698" s="197" t="str">
        <f ca="1">IF(COUNT(H4698:O4698)=0,"",(SUM(H4698:O4698)/COUNT(H4698:O4698)))</f>
        <v/>
      </c>
      <c r="J4698" s="198"/>
      <c r="K4698" s="1307"/>
      <c r="L4698" s="1335"/>
      <c r="M4698" s="1619"/>
      <c r="N4698" s="1619"/>
      <c r="O4698" s="1290"/>
      <c r="P4698" s="1332"/>
      <c r="Q4698" s="3391"/>
      <c r="R4698" s="3363"/>
      <c r="S4698" s="16"/>
      <c r="T4698" s="16"/>
      <c r="U4698" s="16"/>
      <c r="V4698" s="16"/>
    </row>
    <row r="4699" spans="1:22">
      <c r="A4699" s="553"/>
      <c r="B4699" s="225"/>
      <c r="C4699" s="223"/>
      <c r="D4699" s="1411"/>
      <c r="E4699" s="2123"/>
      <c r="F4699" s="1375"/>
      <c r="G4699" s="1375"/>
      <c r="H4699" s="1376"/>
      <c r="I4699" s="197" t="str">
        <f ca="1">IF(COUNT(H4699:O4699)=0,"",(SUM(H4699:O4699)/COUNT(H4699:O4699)))</f>
        <v/>
      </c>
      <c r="J4699" s="198"/>
      <c r="K4699" s="1307"/>
      <c r="L4699" s="1335"/>
      <c r="M4699" s="1619"/>
      <c r="N4699" s="1619"/>
      <c r="O4699" s="1290"/>
      <c r="P4699" s="1332"/>
      <c r="Q4699" s="3391"/>
      <c r="R4699" s="3363"/>
      <c r="S4699" s="16"/>
      <c r="T4699" s="16"/>
      <c r="U4699" s="16"/>
      <c r="V4699" s="16"/>
    </row>
    <row r="4700" spans="1:22">
      <c r="A4700" s="1042" t="s">
        <v>3764</v>
      </c>
      <c r="B4700" s="4325" t="s">
        <v>1716</v>
      </c>
      <c r="C4700" s="3350"/>
      <c r="D4700" s="4327" t="s">
        <v>1551</v>
      </c>
      <c r="E4700" s="4329" t="s">
        <v>1507</v>
      </c>
      <c r="F4700" s="4372" t="s">
        <v>1727</v>
      </c>
      <c r="G4700" s="4331" t="s">
        <v>1568</v>
      </c>
      <c r="H4700" s="4331" t="s">
        <v>1574</v>
      </c>
      <c r="I4700" s="1572" t="s">
        <v>1559</v>
      </c>
      <c r="J4700" s="1294" t="s">
        <v>1560</v>
      </c>
      <c r="K4700" s="1294" t="s">
        <v>1561</v>
      </c>
      <c r="L4700" s="4333" t="s">
        <v>3765</v>
      </c>
      <c r="M4700" s="4335" t="s">
        <v>1571</v>
      </c>
      <c r="N4700" s="4323" t="s">
        <v>1776</v>
      </c>
      <c r="O4700" s="3347" t="s">
        <v>1563</v>
      </c>
      <c r="P4700" s="1336" t="s">
        <v>1562</v>
      </c>
      <c r="Q4700" s="3389"/>
      <c r="R4700" s="1699" t="s">
        <v>1327</v>
      </c>
      <c r="S4700" s="16"/>
      <c r="T4700" s="16"/>
      <c r="U4700" s="16"/>
      <c r="V4700" s="16"/>
    </row>
    <row r="4701" spans="1:22">
      <c r="A4701" s="1662" t="s">
        <v>1983</v>
      </c>
      <c r="B4701" s="4326"/>
      <c r="C4701" s="3354"/>
      <c r="D4701" s="4328"/>
      <c r="E4701" s="4330"/>
      <c r="F4701" s="4363"/>
      <c r="G4701" s="4332"/>
      <c r="H4701" s="4332"/>
      <c r="I4701" s="1345">
        <v>70</v>
      </c>
      <c r="J4701" s="1307">
        <v>1.4E-2</v>
      </c>
      <c r="K4701" s="1297">
        <f>I4701*J4701</f>
        <v>0.98</v>
      </c>
      <c r="L4701" s="4334"/>
      <c r="M4701" s="4335"/>
      <c r="N4701" s="4324"/>
      <c r="O4701" s="1298">
        <f>O4703+O4704+O4708</f>
        <v>4.4448000000000008</v>
      </c>
      <c r="P4701" s="1337">
        <f>O4701*K4701</f>
        <v>4.3559040000000007</v>
      </c>
      <c r="Q4701" s="3390"/>
      <c r="R4701" s="1721">
        <f>P4703+P4704+P4708</f>
        <v>4.3559039999999998</v>
      </c>
      <c r="S4701" s="16"/>
      <c r="T4701" s="16"/>
      <c r="U4701" s="16"/>
      <c r="V4701" s="16"/>
    </row>
    <row r="4702" spans="1:22">
      <c r="A4702" s="553"/>
      <c r="B4702" s="1949"/>
      <c r="C4702" s="18"/>
      <c r="D4702" s="1400"/>
      <c r="E4702" s="2121"/>
      <c r="F4702" s="1368" t="s">
        <v>1</v>
      </c>
      <c r="G4702" s="1368"/>
      <c r="H4702" s="1423"/>
      <c r="I4702" s="1667"/>
      <c r="J4702" s="1424"/>
      <c r="K4702" s="1425"/>
      <c r="L4702" s="1560"/>
      <c r="M4702" s="1426"/>
      <c r="N4702" s="1426"/>
      <c r="O4702" s="1427"/>
      <c r="P4702" s="1427"/>
      <c r="Q4702" s="3397"/>
      <c r="R4702" s="1296"/>
      <c r="S4702" s="16"/>
      <c r="T4702" s="16"/>
      <c r="U4702" s="16"/>
      <c r="V4702" s="16"/>
    </row>
    <row r="4703" spans="1:22">
      <c r="A4703" s="553"/>
      <c r="B4703" s="1599"/>
      <c r="C4703" s="1042"/>
      <c r="D4703" s="1610" t="s">
        <v>1728</v>
      </c>
      <c r="E4703" s="2154" t="s">
        <v>1504</v>
      </c>
      <c r="F4703" s="1598" t="s">
        <v>1729</v>
      </c>
      <c r="G4703" s="1995">
        <v>1</v>
      </c>
      <c r="H4703" s="1372"/>
      <c r="I4703" s="197"/>
      <c r="J4703" s="198"/>
      <c r="K4703" s="1350">
        <f>G4703*K4701</f>
        <v>0.98</v>
      </c>
      <c r="L4703" s="1335">
        <f>K4703*$K$4561</f>
        <v>0</v>
      </c>
      <c r="M4703" s="1499">
        <v>1.22</v>
      </c>
      <c r="N4703" s="1700"/>
      <c r="O4703" s="1290">
        <f>G4703*M4703</f>
        <v>1.22</v>
      </c>
      <c r="P4703" s="1332">
        <f>M4703*K4703</f>
        <v>1.1956</v>
      </c>
      <c r="Q4703" s="3391"/>
      <c r="R4703" s="1296"/>
      <c r="S4703" s="16"/>
      <c r="T4703" s="16"/>
      <c r="U4703" s="16"/>
      <c r="V4703" s="16"/>
    </row>
    <row r="4704" spans="1:22">
      <c r="A4704" s="16"/>
      <c r="B4704" s="1599"/>
      <c r="C4704" s="1042"/>
      <c r="D4704" s="1610" t="s">
        <v>1082</v>
      </c>
      <c r="E4704" s="2154" t="s">
        <v>1504</v>
      </c>
      <c r="F4704" s="1598" t="s">
        <v>1541</v>
      </c>
      <c r="G4704" s="1995">
        <v>1</v>
      </c>
      <c r="H4704" s="1453"/>
      <c r="I4704" s="198"/>
      <c r="J4704" s="198"/>
      <c r="K4704" s="1350">
        <f>G4704*K4701</f>
        <v>0.98</v>
      </c>
      <c r="L4704" s="1335">
        <f>K4704*$K$4561</f>
        <v>0</v>
      </c>
      <c r="M4704" s="1499">
        <v>0.3</v>
      </c>
      <c r="N4704" s="1718"/>
      <c r="O4704" s="1290">
        <f>G4704*M4704</f>
        <v>0.3</v>
      </c>
      <c r="P4704" s="1332">
        <f>M4704*K4704</f>
        <v>0.29399999999999998</v>
      </c>
      <c r="Q4704" s="3391"/>
      <c r="R4704" s="2337"/>
      <c r="S4704" s="105"/>
      <c r="T4704" s="105"/>
      <c r="U4704" s="16"/>
      <c r="V4704" s="16"/>
    </row>
    <row r="4705" spans="1:22">
      <c r="A4705" s="16"/>
      <c r="B4705" s="1599"/>
      <c r="C4705" s="1042"/>
      <c r="D4705" s="1396"/>
      <c r="E4705" s="1856"/>
      <c r="F4705" s="1421"/>
      <c r="G4705" s="1452"/>
      <c r="H4705" s="1453"/>
      <c r="I4705" s="1286"/>
      <c r="J4705" s="198"/>
      <c r="K4705" s="1307"/>
      <c r="L4705" s="1335"/>
      <c r="M4705" s="1717"/>
      <c r="N4705" s="1718"/>
      <c r="O4705" s="1719"/>
      <c r="P4705" s="1720"/>
      <c r="Q4705" s="3396"/>
      <c r="R4705" s="1296"/>
      <c r="S4705" s="16"/>
      <c r="T4705" s="16"/>
      <c r="U4705" s="16"/>
      <c r="V4705" s="16"/>
    </row>
    <row r="4706" spans="1:22">
      <c r="A4706" s="16"/>
      <c r="B4706" s="553"/>
      <c r="C4706" s="1320"/>
      <c r="D4706" s="1400"/>
      <c r="E4706" s="1856"/>
      <c r="F4706" s="1397"/>
      <c r="G4706" s="1416"/>
      <c r="H4706" s="1399"/>
      <c r="I4706" s="197"/>
      <c r="J4706" s="198"/>
      <c r="K4706" s="1732"/>
      <c r="L4706" s="1335"/>
      <c r="M4706" s="1499"/>
      <c r="N4706" s="1724"/>
      <c r="O4706" s="1290"/>
      <c r="P4706" s="1332"/>
      <c r="Q4706" s="3391"/>
      <c r="R4706" s="2337"/>
      <c r="S4706" s="16"/>
      <c r="T4706" s="16"/>
      <c r="U4706" s="16"/>
      <c r="V4706" s="16"/>
    </row>
    <row r="4707" spans="1:22">
      <c r="A4707" s="553"/>
      <c r="B4707" s="1599"/>
      <c r="C4707" s="1320"/>
      <c r="D4707" s="1642"/>
      <c r="E4707" s="2162"/>
      <c r="F4707" s="1643" t="s">
        <v>2</v>
      </c>
      <c r="G4707" s="1989"/>
      <c r="H4707" s="1408"/>
      <c r="I4707" s="1380"/>
      <c r="J4707" s="1381"/>
      <c r="K4707" s="1996"/>
      <c r="L4707" s="1680"/>
      <c r="M4707" s="1681"/>
      <c r="N4707" s="1713"/>
      <c r="O4707" s="1682"/>
      <c r="P4707" s="1683"/>
      <c r="Q4707" s="3391"/>
      <c r="R4707" s="1296"/>
      <c r="S4707" s="16"/>
      <c r="T4707" s="16"/>
      <c r="U4707" s="16"/>
      <c r="V4707" s="16"/>
    </row>
    <row r="4708" spans="1:22">
      <c r="A4708" s="16"/>
      <c r="B4708" s="553"/>
      <c r="C4708" s="1042"/>
      <c r="D4708" s="1402" t="s">
        <v>1067</v>
      </c>
      <c r="E4708" s="1857" t="s">
        <v>1508</v>
      </c>
      <c r="F4708" s="1403" t="s">
        <v>5</v>
      </c>
      <c r="G4708" s="1991">
        <v>0.16</v>
      </c>
      <c r="H4708" s="1408"/>
      <c r="I4708" s="1286"/>
      <c r="J4708" s="198"/>
      <c r="K4708" s="1350">
        <f>G4708*K4701</f>
        <v>0.15679999999999999</v>
      </c>
      <c r="L4708" s="1335">
        <f>K4708*$K$4561</f>
        <v>0</v>
      </c>
      <c r="M4708" s="1302">
        <v>18.28</v>
      </c>
      <c r="N4708" s="1718"/>
      <c r="O4708" s="1290">
        <f>G4708*M4708</f>
        <v>2.9248000000000003</v>
      </c>
      <c r="P4708" s="1332">
        <f>M4708*K4708</f>
        <v>2.866304</v>
      </c>
      <c r="Q4708" s="3391"/>
      <c r="R4708" s="2337"/>
      <c r="S4708" s="16"/>
      <c r="T4708" s="16"/>
      <c r="U4708" s="16"/>
      <c r="V4708" s="16"/>
    </row>
    <row r="4709" spans="1:22">
      <c r="A4709" s="16"/>
      <c r="B4709" s="553"/>
      <c r="C4709" s="1042"/>
      <c r="D4709" s="1402"/>
      <c r="E4709" s="1857"/>
      <c r="F4709" s="1403"/>
      <c r="G4709" s="1991"/>
      <c r="H4709" s="1408"/>
      <c r="I4709" s="1286"/>
      <c r="J4709" s="198"/>
      <c r="K4709" s="1307"/>
      <c r="L4709" s="1335"/>
      <c r="M4709" s="1302"/>
      <c r="N4709" s="1718"/>
      <c r="O4709" s="1290"/>
      <c r="P4709" s="1332"/>
      <c r="Q4709" s="3391"/>
      <c r="R4709" s="2337"/>
      <c r="S4709" s="16"/>
      <c r="T4709" s="16"/>
      <c r="U4709" s="16"/>
      <c r="V4709" s="16"/>
    </row>
    <row r="4710" spans="1:22">
      <c r="A4710" s="16"/>
      <c r="B4710" s="553"/>
      <c r="C4710" s="1042"/>
      <c r="D4710" s="1402"/>
      <c r="E4710" s="1857"/>
      <c r="F4710" s="1403"/>
      <c r="G4710" s="1991"/>
      <c r="H4710" s="1408"/>
      <c r="I4710" s="197"/>
      <c r="J4710" s="198"/>
      <c r="K4710" s="1307"/>
      <c r="L4710" s="1335"/>
      <c r="M4710" s="1302"/>
      <c r="N4710" s="1718"/>
      <c r="O4710" s="1290"/>
      <c r="P4710" s="1332"/>
      <c r="Q4710" s="3391"/>
      <c r="R4710" s="2337"/>
      <c r="S4710" s="16"/>
      <c r="T4710" s="16"/>
      <c r="U4710" s="16"/>
      <c r="V4710" s="16"/>
    </row>
    <row r="4711" spans="1:22">
      <c r="A4711" s="1042"/>
      <c r="B4711" s="22"/>
      <c r="C4711" s="1042"/>
      <c r="D4711" s="1411"/>
      <c r="E4711" s="2123"/>
      <c r="F4711" s="1374" t="s">
        <v>3</v>
      </c>
      <c r="G4711" s="1374"/>
      <c r="H4711" s="1376"/>
      <c r="I4711" s="1382"/>
      <c r="J4711" s="1383"/>
      <c r="K4711" s="1684"/>
      <c r="L4711" s="1685"/>
      <c r="M4711" s="1597"/>
      <c r="N4711" s="1597"/>
      <c r="O4711" s="1687"/>
      <c r="P4711" s="1686"/>
      <c r="Q4711" s="3391"/>
      <c r="R4711" s="1173"/>
      <c r="S4711" s="16"/>
      <c r="T4711" s="16"/>
      <c r="U4711" s="16"/>
      <c r="V4711" s="16"/>
    </row>
    <row r="4712" spans="1:22">
      <c r="A4712" s="553"/>
      <c r="B4712" s="1599"/>
      <c r="C4712" s="1042"/>
      <c r="D4712" s="1411"/>
      <c r="E4712" s="2123"/>
      <c r="F4712" s="1669"/>
      <c r="G4712" s="1669"/>
      <c r="H4712" s="1670"/>
      <c r="I4712" s="197" t="str">
        <f ca="1">IF(COUNT(H4712:O4712)=0,"",(SUM(H4712:O4712)/COUNT(H4712:O4712)))</f>
        <v/>
      </c>
      <c r="J4712" s="198"/>
      <c r="K4712" s="1307"/>
      <c r="L4712" s="1335"/>
      <c r="M4712" s="1619"/>
      <c r="N4712" s="1619"/>
      <c r="O4712" s="1290"/>
      <c r="P4712" s="1332"/>
      <c r="Q4712" s="3391"/>
      <c r="R4712" s="3363"/>
      <c r="S4712" s="16"/>
      <c r="T4712" s="16"/>
      <c r="U4712" s="16"/>
      <c r="V4712" s="16"/>
    </row>
    <row r="4713" spans="1:22">
      <c r="A4713" s="553"/>
      <c r="B4713" s="1599"/>
      <c r="C4713" s="1042"/>
      <c r="D4713" s="1411"/>
      <c r="E4713" s="2123"/>
      <c r="F4713" s="1375"/>
      <c r="G4713" s="1375"/>
      <c r="H4713" s="1670"/>
      <c r="I4713" s="197" t="str">
        <f ca="1">IF(COUNT(H4713:O4713)=0,"",(SUM(H4713:O4713)/COUNT(H4713:O4713)))</f>
        <v/>
      </c>
      <c r="J4713" s="198"/>
      <c r="K4713" s="1307"/>
      <c r="L4713" s="1335"/>
      <c r="M4713" s="1619"/>
      <c r="N4713" s="1619"/>
      <c r="O4713" s="1290"/>
      <c r="P4713" s="1332"/>
      <c r="Q4713" s="3391"/>
      <c r="R4713" s="3363"/>
      <c r="S4713" s="16"/>
      <c r="T4713" s="16"/>
      <c r="U4713" s="16"/>
      <c r="V4713" s="16"/>
    </row>
    <row r="4714" spans="1:22" ht="16.5" customHeight="1">
      <c r="A4714" s="553"/>
      <c r="B4714" s="1765"/>
      <c r="C4714" s="223"/>
      <c r="D4714" s="3947"/>
      <c r="E4714" s="4127"/>
      <c r="F4714" s="4124"/>
      <c r="G4714" s="4124"/>
      <c r="H4714" s="4125"/>
      <c r="I4714" s="197"/>
      <c r="J4714" s="3991"/>
      <c r="K4714" s="1307"/>
      <c r="L4714" s="1335"/>
      <c r="M4714" s="4126"/>
      <c r="N4714" s="4126"/>
      <c r="O4714" s="1290"/>
      <c r="P4714" s="3919"/>
      <c r="Q4714" s="3391"/>
      <c r="R4714" s="3363"/>
      <c r="S4714" s="16"/>
      <c r="T4714" s="16"/>
      <c r="U4714" s="16"/>
      <c r="V4714" s="16"/>
    </row>
    <row r="4715" spans="1:22" s="16" customFormat="1" ht="16.5" customHeight="1">
      <c r="E4715" s="2119"/>
      <c r="F4715" s="3"/>
      <c r="G4715" s="3"/>
      <c r="H4715" s="4105"/>
      <c r="I4715" s="1561"/>
      <c r="J4715" s="1561"/>
      <c r="K4715" s="1639"/>
      <c r="L4715" s="1640"/>
      <c r="M4715" s="1638"/>
      <c r="N4715" s="1638"/>
      <c r="O4715" s="1292"/>
      <c r="P4715" s="1292"/>
      <c r="Q4715" s="3391"/>
      <c r="R4715" s="4107"/>
    </row>
    <row r="4716" spans="1:22" ht="29">
      <c r="A4716" s="4374" t="s">
        <v>3841</v>
      </c>
      <c r="B4716" s="4375"/>
      <c r="C4716" s="4375"/>
      <c r="D4716" s="4376"/>
      <c r="E4716" s="4380" t="s">
        <v>1507</v>
      </c>
      <c r="F4716" s="4382" t="s">
        <v>3842</v>
      </c>
      <c r="G4716" s="4384" t="s">
        <v>294</v>
      </c>
      <c r="H4716" s="4384"/>
      <c r="I4716" s="4166" t="s">
        <v>1565</v>
      </c>
      <c r="J4716" s="4168" t="s">
        <v>1575</v>
      </c>
      <c r="K4716" s="4384" t="s">
        <v>289</v>
      </c>
      <c r="L4716" s="4384"/>
      <c r="M4716" s="4385" t="s">
        <v>3349</v>
      </c>
      <c r="N4716" s="4385"/>
      <c r="O4716" s="4385"/>
      <c r="P4716" s="4385"/>
      <c r="Q4716" s="3394" t="s">
        <v>3946</v>
      </c>
      <c r="R4716" s="1296"/>
      <c r="S4716" s="4117" t="s">
        <v>3843</v>
      </c>
      <c r="T4716" s="16"/>
      <c r="U4716" s="16"/>
      <c r="V4716" s="16"/>
    </row>
    <row r="4717" spans="1:22" ht="22.5" customHeight="1">
      <c r="A4717" s="4377"/>
      <c r="B4717" s="4378"/>
      <c r="C4717" s="4378"/>
      <c r="D4717" s="4379"/>
      <c r="E4717" s="4381"/>
      <c r="F4717" s="4383"/>
      <c r="G4717" s="4386">
        <f>IF('Seleccion proyecto HEREVEA02'!G40="Reparación faldón (superf.&gt;60%).Sustitución y reposición faldón completo. Rehab. energ. aislm.lana de oveja",'Seleccion proyecto HEREVEA02'!E39,0)</f>
        <v>0.12</v>
      </c>
      <c r="H4717" s="4386"/>
      <c r="I4717" s="4169">
        <f>IF('Seleccion proyecto HEREVEA02'!H40=0,0,IF('Seleccion proyecto HEREVEA02'!H40="hasta 60",0,IF('Seleccion proyecto HEREVEA02'!H40="61 a 100",1)))</f>
        <v>0</v>
      </c>
      <c r="J4717" s="4170">
        <f>'Seleccion proyecto HEREVEA02'!L8</f>
        <v>11100.968999999999</v>
      </c>
      <c r="K4717" s="4387">
        <f>G4717*I4717*J4717</f>
        <v>0</v>
      </c>
      <c r="L4717" s="4387"/>
      <c r="M4717" s="4388">
        <f>P4719+P4733+P4771+P4803+P4826+P4849</f>
        <v>92.137261823599985</v>
      </c>
      <c r="N4717" s="4388"/>
      <c r="O4717" s="4388"/>
      <c r="P4717" s="4388"/>
      <c r="Q4717" s="3388">
        <f>M4717*K4717</f>
        <v>0</v>
      </c>
      <c r="R4717" s="1296"/>
      <c r="S4717" s="16"/>
      <c r="T4717" s="16"/>
      <c r="U4717" s="16"/>
      <c r="V4717" s="16"/>
    </row>
    <row r="4718" spans="1:22" ht="15" customHeight="1">
      <c r="A4718" s="18" t="s">
        <v>3764</v>
      </c>
      <c r="B4718" s="4367" t="s">
        <v>1980</v>
      </c>
      <c r="C4718" s="4104"/>
      <c r="D4718" s="4368"/>
      <c r="E4718" s="4329" t="s">
        <v>1507</v>
      </c>
      <c r="F4718" s="4336" t="s">
        <v>1981</v>
      </c>
      <c r="G4718" s="4331" t="s">
        <v>1568</v>
      </c>
      <c r="H4718" s="4331" t="s">
        <v>1574</v>
      </c>
      <c r="I4718" s="1572" t="s">
        <v>1559</v>
      </c>
      <c r="J4718" s="1294" t="s">
        <v>1560</v>
      </c>
      <c r="K4718" s="1294" t="s">
        <v>1569</v>
      </c>
      <c r="L4718" s="4333" t="s">
        <v>3765</v>
      </c>
      <c r="M4718" s="4335" t="s">
        <v>1571</v>
      </c>
      <c r="N4718" s="4323" t="s">
        <v>1776</v>
      </c>
      <c r="O4718" s="4098" t="s">
        <v>1563</v>
      </c>
      <c r="P4718" s="1336" t="s">
        <v>1562</v>
      </c>
      <c r="Q4718" s="3389"/>
      <c r="R4718" s="1699" t="s">
        <v>1327</v>
      </c>
      <c r="S4718" s="16"/>
      <c r="T4718" s="16"/>
      <c r="U4718" s="16"/>
      <c r="V4718" s="16"/>
    </row>
    <row r="4719" spans="1:22">
      <c r="A4719" s="1662" t="s">
        <v>3841</v>
      </c>
      <c r="B4719" s="4369"/>
      <c r="C4719" s="4102"/>
      <c r="D4719" s="4328"/>
      <c r="E4719" s="4330"/>
      <c r="F4719" s="4336"/>
      <c r="G4719" s="4332"/>
      <c r="H4719" s="4332"/>
      <c r="I4719" s="1345">
        <v>70</v>
      </c>
      <c r="J4719" s="1307">
        <v>1.4E-2</v>
      </c>
      <c r="K4719" s="1297">
        <f>I4719*J4719</f>
        <v>0.98</v>
      </c>
      <c r="L4719" s="4334"/>
      <c r="M4719" s="4335"/>
      <c r="N4719" s="4324"/>
      <c r="O4719" s="1298">
        <f>SUM(O4721:O4731)</f>
        <v>7.6776</v>
      </c>
      <c r="P4719" s="1337">
        <f>O4719*K4719</f>
        <v>7.5240479999999996</v>
      </c>
      <c r="Q4719" s="3390"/>
      <c r="R4719" s="1721">
        <f>P4725</f>
        <v>7.5240479999999996</v>
      </c>
      <c r="S4719" s="16"/>
      <c r="T4719" s="16"/>
      <c r="U4719" s="16"/>
      <c r="V4719" s="16"/>
    </row>
    <row r="4720" spans="1:22">
      <c r="A4720" s="1320"/>
      <c r="B4720" s="22"/>
      <c r="C4720" s="1327"/>
      <c r="D4720" s="1367"/>
      <c r="E4720" s="2121"/>
      <c r="F4720" s="1389" t="s">
        <v>1</v>
      </c>
      <c r="G4720" s="1389"/>
      <c r="H4720" s="1369"/>
      <c r="I4720" s="1409"/>
      <c r="J4720" s="1390"/>
      <c r="K4720" s="1391"/>
      <c r="L4720" s="1559"/>
      <c r="M4720" s="1369"/>
      <c r="N4720" s="1369"/>
      <c r="O4720" s="1369"/>
      <c r="P4720" s="1392"/>
      <c r="Q4720" s="3395"/>
      <c r="R4720" s="1296"/>
      <c r="S4720" s="16"/>
      <c r="T4720" s="16"/>
      <c r="U4720" s="16"/>
      <c r="V4720" s="16"/>
    </row>
    <row r="4721" spans="1:22" ht="18.5">
      <c r="A4721" s="4120"/>
      <c r="B4721" s="22"/>
      <c r="C4721" s="1042"/>
      <c r="D4721" s="1672"/>
      <c r="E4721" s="2160"/>
      <c r="F4721" s="1675"/>
      <c r="G4721" s="1675"/>
      <c r="H4721" s="1674"/>
      <c r="I4721" s="1299" t="str">
        <f t="shared" ref="I4721:I4723" ca="1" si="564">IF(COUNT(H4721:O4721)=0,"",(SUM(H4721:O4721)/COUNT(H4721:O4721)))</f>
        <v/>
      </c>
      <c r="J4721" s="1300"/>
      <c r="K4721" s="1307" t="str">
        <f t="shared" ref="K4721:K4723" ca="1" si="565">IF(COUNT(I4721)=0,"",(I4721*J4721))</f>
        <v/>
      </c>
      <c r="L4721" s="1335"/>
      <c r="M4721" s="1302"/>
      <c r="N4721" s="1700"/>
      <c r="O4721" s="1290"/>
      <c r="P4721" s="1332"/>
      <c r="Q4721" s="3391"/>
      <c r="R4721" s="1296"/>
      <c r="S4721" s="16"/>
      <c r="T4721" s="16"/>
      <c r="U4721" s="16"/>
      <c r="V4721" s="16"/>
    </row>
    <row r="4722" spans="1:22" ht="18.5">
      <c r="A4722" s="4120"/>
      <c r="B4722" s="4121"/>
      <c r="C4722" s="1042"/>
      <c r="D4722" s="1367"/>
      <c r="E4722" s="2121"/>
      <c r="F4722" s="1436"/>
      <c r="G4722" s="1436"/>
      <c r="H4722" s="1369"/>
      <c r="I4722" s="1299" t="str">
        <f t="shared" ca="1" si="564"/>
        <v/>
      </c>
      <c r="J4722" s="1300"/>
      <c r="K4722" s="1307" t="str">
        <f t="shared" ca="1" si="565"/>
        <v/>
      </c>
      <c r="L4722" s="1335"/>
      <c r="M4722" s="1302"/>
      <c r="N4722" s="1700"/>
      <c r="O4722" s="1290"/>
      <c r="P4722" s="1332"/>
      <c r="Q4722" s="3391"/>
      <c r="R4722" s="1296"/>
      <c r="S4722" s="16"/>
      <c r="T4722" s="16"/>
      <c r="U4722" s="16"/>
      <c r="V4722" s="16"/>
    </row>
    <row r="4723" spans="1:22" ht="18.5">
      <c r="A4723" s="4120"/>
      <c r="B4723" s="4121"/>
      <c r="C4723" s="1042"/>
      <c r="D4723" s="1367"/>
      <c r="E4723" s="2121"/>
      <c r="F4723" s="1436"/>
      <c r="G4723" s="1436"/>
      <c r="H4723" s="1369"/>
      <c r="I4723" s="1299" t="str">
        <f t="shared" ca="1" si="564"/>
        <v/>
      </c>
      <c r="J4723" s="1300"/>
      <c r="K4723" s="1307" t="str">
        <f t="shared" ca="1" si="565"/>
        <v/>
      </c>
      <c r="L4723" s="1335"/>
      <c r="M4723" s="1302"/>
      <c r="N4723" s="1700"/>
      <c r="O4723" s="1290"/>
      <c r="P4723" s="1332"/>
      <c r="Q4723" s="3391"/>
      <c r="R4723" s="1296"/>
      <c r="S4723" s="16"/>
      <c r="T4723" s="16"/>
      <c r="U4723" s="16"/>
      <c r="V4723" s="16"/>
    </row>
    <row r="4724" spans="1:22" ht="18.5">
      <c r="A4724" s="4120"/>
      <c r="B4724" s="4121"/>
      <c r="C4724" s="1042"/>
      <c r="D4724" s="1359"/>
      <c r="E4724" s="1858"/>
      <c r="F4724" s="1360" t="s">
        <v>2</v>
      </c>
      <c r="G4724" s="1360"/>
      <c r="H4724" s="1362"/>
      <c r="I4724" s="1380"/>
      <c r="J4724" s="1381"/>
      <c r="K4724" s="1381"/>
      <c r="L4724" s="1458"/>
      <c r="M4724" s="1362"/>
      <c r="N4724" s="1362"/>
      <c r="O4724" s="1362"/>
      <c r="P4724" s="1359"/>
      <c r="Q4724" s="3387"/>
      <c r="S4724" s="16"/>
      <c r="T4724" s="16"/>
      <c r="U4724" s="16"/>
      <c r="V4724" s="16"/>
    </row>
    <row r="4725" spans="1:22" ht="18.5">
      <c r="A4725" s="4122"/>
      <c r="B4725" s="4123"/>
      <c r="C4725" s="1321"/>
      <c r="D4725" s="1363" t="s">
        <v>1067</v>
      </c>
      <c r="E4725" s="2125" t="s">
        <v>1508</v>
      </c>
      <c r="F4725" s="1385" t="s">
        <v>1512</v>
      </c>
      <c r="G4725" s="1385"/>
      <c r="H4725" s="1386">
        <v>0.42</v>
      </c>
      <c r="I4725" s="1299"/>
      <c r="J4725" s="1300"/>
      <c r="K4725" s="1307">
        <f>H4725*K4719</f>
        <v>0.41159999999999997</v>
      </c>
      <c r="L4725" s="1335">
        <f>K4725*$K$4717</f>
        <v>0</v>
      </c>
      <c r="M4725" s="1302">
        <v>18.28</v>
      </c>
      <c r="N4725" s="1700"/>
      <c r="O4725" s="1290">
        <f>H4725*M4725</f>
        <v>7.6776</v>
      </c>
      <c r="P4725" s="1332">
        <f>M4725*K4725</f>
        <v>7.5240479999999996</v>
      </c>
      <c r="Q4725" s="3391"/>
      <c r="S4725" s="16"/>
      <c r="T4725" s="16"/>
      <c r="U4725" s="16"/>
      <c r="V4725" s="16"/>
    </row>
    <row r="4726" spans="1:22" ht="18.5">
      <c r="A4726" s="4120"/>
      <c r="B4726" s="4121"/>
      <c r="C4726" s="1320"/>
      <c r="D4726" s="1359"/>
      <c r="E4726" s="1858"/>
      <c r="F4726" s="1404"/>
      <c r="G4726" s="1404"/>
      <c r="H4726" s="1359"/>
      <c r="I4726" s="1299"/>
      <c r="J4726" s="1300"/>
      <c r="K4726" s="1307" t="str">
        <f>IF(COUNT(I4726)=0,"",(I4726*J4726))</f>
        <v/>
      </c>
      <c r="L4726" s="1335"/>
      <c r="M4726" s="1302"/>
      <c r="N4726" s="1700"/>
      <c r="O4726" s="1290"/>
      <c r="P4726" s="1332"/>
      <c r="Q4726" s="3391"/>
      <c r="R4726" s="1296"/>
      <c r="S4726" s="16"/>
      <c r="T4726" s="16"/>
      <c r="U4726" s="16"/>
      <c r="V4726" s="16"/>
    </row>
    <row r="4727" spans="1:22" ht="18.5">
      <c r="A4727" s="4120"/>
      <c r="B4727" s="4121"/>
      <c r="C4727" s="1320"/>
      <c r="D4727" s="1359"/>
      <c r="E4727" s="1858"/>
      <c r="F4727" s="1361"/>
      <c r="G4727" s="1361"/>
      <c r="H4727" s="1466"/>
      <c r="I4727" s="1299"/>
      <c r="J4727" s="1300"/>
      <c r="K4727" s="1307" t="str">
        <f>IF(COUNT(I4727)=0,"",(I4727*J4727))</f>
        <v/>
      </c>
      <c r="L4727" s="1335"/>
      <c r="M4727" s="1302"/>
      <c r="N4727" s="1700"/>
      <c r="O4727" s="1290"/>
      <c r="P4727" s="1332"/>
      <c r="Q4727" s="3391"/>
      <c r="R4727" s="1296"/>
      <c r="S4727" s="16"/>
      <c r="T4727" s="16"/>
      <c r="U4727" s="16"/>
      <c r="V4727" s="16"/>
    </row>
    <row r="4728" spans="1:22" ht="18.5">
      <c r="A4728" s="4120"/>
      <c r="B4728" s="4121"/>
      <c r="C4728" s="1320"/>
      <c r="D4728" s="1373"/>
      <c r="E4728" s="2123"/>
      <c r="F4728" s="1374" t="s">
        <v>3</v>
      </c>
      <c r="G4728" s="1375"/>
      <c r="H4728" s="1376"/>
      <c r="I4728" s="1382"/>
      <c r="J4728" s="1383"/>
      <c r="K4728" s="1383" t="str">
        <f>IF(COUNT(I4728)=0,"",(I4728*J4728))</f>
        <v/>
      </c>
      <c r="L4728" s="1413"/>
      <c r="M4728" s="1376"/>
      <c r="N4728" s="1376"/>
      <c r="O4728" s="1376"/>
      <c r="P4728" s="1373"/>
      <c r="Q4728" s="3387"/>
      <c r="R4728" s="1296"/>
      <c r="S4728" s="16"/>
      <c r="T4728" s="16"/>
      <c r="U4728" s="16"/>
      <c r="V4728" s="16"/>
    </row>
    <row r="4729" spans="1:22" ht="18.5">
      <c r="A4729" s="4122"/>
      <c r="B4729" s="4123"/>
      <c r="C4729" s="1321"/>
      <c r="D4729" s="1377"/>
      <c r="E4729" s="2124"/>
      <c r="F4729" s="1378"/>
      <c r="G4729" s="1378"/>
      <c r="H4729" s="1379"/>
      <c r="I4729" s="1299"/>
      <c r="J4729" s="1300"/>
      <c r="K4729" s="1307"/>
      <c r="L4729" s="1335"/>
      <c r="M4729" s="1302"/>
      <c r="N4729" s="1700"/>
      <c r="O4729" s="1290"/>
      <c r="P4729" s="1332"/>
      <c r="Q4729" s="3391"/>
      <c r="R4729" s="1296"/>
      <c r="S4729" s="16"/>
      <c r="T4729" s="16"/>
      <c r="U4729" s="16"/>
      <c r="V4729" s="16"/>
    </row>
    <row r="4730" spans="1:22">
      <c r="A4730" s="1321"/>
      <c r="B4730" s="1295"/>
      <c r="C4730" s="1321"/>
      <c r="D4730" s="1377"/>
      <c r="E4730" s="2124"/>
      <c r="F4730" s="1378"/>
      <c r="G4730" s="1378"/>
      <c r="H4730" s="1379"/>
      <c r="I4730" s="1299"/>
      <c r="J4730" s="1300"/>
      <c r="K4730" s="1307"/>
      <c r="L4730" s="1335"/>
      <c r="M4730" s="1302"/>
      <c r="N4730" s="1700"/>
      <c r="O4730" s="1290"/>
      <c r="P4730" s="1333"/>
      <c r="Q4730" s="3391"/>
      <c r="R4730" s="1296"/>
      <c r="S4730" s="16"/>
      <c r="T4730" s="16"/>
      <c r="U4730" s="16"/>
      <c r="V4730" s="16"/>
    </row>
    <row r="4731" spans="1:22">
      <c r="A4731" s="1042"/>
      <c r="B4731" s="22"/>
      <c r="C4731" s="1042"/>
      <c r="D4731" s="1677"/>
      <c r="E4731" s="2161"/>
      <c r="F4731" s="1678"/>
      <c r="G4731" s="1678"/>
      <c r="H4731" s="1376"/>
      <c r="I4731" s="1299"/>
      <c r="J4731" s="1300"/>
      <c r="K4731" s="1307"/>
      <c r="L4731" s="1335"/>
      <c r="M4731" s="1302"/>
      <c r="N4731" s="1700"/>
      <c r="O4731" s="1290"/>
      <c r="P4731" s="1332"/>
      <c r="Q4731" s="3391"/>
      <c r="R4731" s="1296"/>
      <c r="S4731" s="16"/>
      <c r="T4731" s="16"/>
      <c r="U4731" s="16"/>
      <c r="V4731" s="16"/>
    </row>
    <row r="4732" spans="1:22" ht="15" customHeight="1">
      <c r="A4732" s="18" t="s">
        <v>3764</v>
      </c>
      <c r="B4732" s="4370" t="s">
        <v>3844</v>
      </c>
      <c r="C4732" s="3972"/>
      <c r="D4732" s="4371"/>
      <c r="E4732" s="4329" t="s">
        <v>1507</v>
      </c>
      <c r="F4732" s="4336" t="s">
        <v>3845</v>
      </c>
      <c r="G4732" s="4331" t="s">
        <v>1568</v>
      </c>
      <c r="H4732" s="4331" t="s">
        <v>1574</v>
      </c>
      <c r="I4732" s="1572" t="s">
        <v>1559</v>
      </c>
      <c r="J4732" s="1294" t="s">
        <v>1560</v>
      </c>
      <c r="K4732" s="1294" t="s">
        <v>1569</v>
      </c>
      <c r="L4732" s="4333" t="s">
        <v>3765</v>
      </c>
      <c r="M4732" s="4335" t="s">
        <v>1571</v>
      </c>
      <c r="N4732" s="4323" t="s">
        <v>1776</v>
      </c>
      <c r="O4732" s="4098" t="s">
        <v>1563</v>
      </c>
      <c r="P4732" s="1336" t="s">
        <v>1562</v>
      </c>
      <c r="Q4732" s="3389"/>
      <c r="R4732" s="1699" t="s">
        <v>1327</v>
      </c>
      <c r="S4732" s="16"/>
      <c r="T4732" s="16"/>
      <c r="U4732" s="16"/>
      <c r="V4732" s="16"/>
    </row>
    <row r="4733" spans="1:22">
      <c r="A4733" s="1662" t="s">
        <v>3841</v>
      </c>
      <c r="B4733" s="4326"/>
      <c r="C4733" s="4102"/>
      <c r="D4733" s="4328"/>
      <c r="E4733" s="4330"/>
      <c r="F4733" s="4336"/>
      <c r="G4733" s="4332"/>
      <c r="H4733" s="4332"/>
      <c r="I4733" s="1345">
        <v>70</v>
      </c>
      <c r="J4733" s="1307">
        <v>1.4E-2</v>
      </c>
      <c r="K4733" s="1297">
        <f>I4733*J4733</f>
        <v>0.98</v>
      </c>
      <c r="L4733" s="4334"/>
      <c r="M4733" s="4335"/>
      <c r="N4733" s="4324"/>
      <c r="O4733" s="1298">
        <f>SUM(O4735:O4743)+O4748+O4753+O4760+O4761+O4762+O4763</f>
        <v>64.528105229999994</v>
      </c>
      <c r="P4733" s="1337">
        <f>O4733*K4733</f>
        <v>63.237543125399995</v>
      </c>
      <c r="Q4733" s="3390"/>
      <c r="R4733" s="1721">
        <f>SUM(P4735:P4743)+P4748+P4753+P4760+P4761+P4762+P4763</f>
        <v>63.237543125400002</v>
      </c>
      <c r="S4733" s="16"/>
      <c r="T4733" s="16"/>
      <c r="U4733" s="16"/>
      <c r="V4733" s="16"/>
    </row>
    <row r="4734" spans="1:22">
      <c r="A4734" s="1320"/>
      <c r="B4734" s="22"/>
      <c r="C4734" s="1327"/>
      <c r="D4734" s="1367"/>
      <c r="E4734" s="2121"/>
      <c r="F4734" s="1389" t="s">
        <v>1</v>
      </c>
      <c r="G4734" s="1389"/>
      <c r="H4734" s="1369"/>
      <c r="I4734" s="1409"/>
      <c r="J4734" s="1390"/>
      <c r="K4734" s="1391"/>
      <c r="L4734" s="1559"/>
      <c r="M4734" s="1369"/>
      <c r="N4734" s="1369"/>
      <c r="O4734" s="1369"/>
      <c r="P4734" s="1392"/>
      <c r="Q4734" s="3395"/>
      <c r="R4734" s="1296"/>
      <c r="S4734" s="16"/>
      <c r="T4734" s="16"/>
      <c r="U4734" s="16"/>
      <c r="V4734" s="16"/>
    </row>
    <row r="4735" spans="1:22" ht="18.5">
      <c r="A4735" s="4120"/>
      <c r="B4735" s="22"/>
      <c r="C4735" s="1042"/>
      <c r="D4735" s="3964" t="s">
        <v>3785</v>
      </c>
      <c r="E4735" s="3965" t="s">
        <v>1507</v>
      </c>
      <c r="F4735" s="3966" t="s">
        <v>3786</v>
      </c>
      <c r="G4735" s="3970">
        <v>1.1000000000000001</v>
      </c>
      <c r="H4735" s="1674"/>
      <c r="I4735" s="1299">
        <f t="shared" ref="I4735:I4737" ca="1" si="566">IF(COUNT(H4735:O4735)=0,"",(SUM(H4735:O4735)/COUNT(H4735:O4735)))</f>
        <v>0.7420000000000001</v>
      </c>
      <c r="J4735" s="1300"/>
      <c r="K4735" s="1307">
        <f>G4735*K4733</f>
        <v>1.0780000000000001</v>
      </c>
      <c r="L4735" s="1335">
        <f t="shared" ref="L4735:L4742" si="567">K4735*$K$4717</f>
        <v>0</v>
      </c>
      <c r="M4735" s="1302">
        <v>0.9</v>
      </c>
      <c r="N4735" s="1700"/>
      <c r="O4735" s="1290">
        <f t="shared" ref="O4735:O4742" si="568">G4735*M4735</f>
        <v>0.9900000000000001</v>
      </c>
      <c r="P4735" s="1332">
        <f>M4735*K4735</f>
        <v>0.97020000000000006</v>
      </c>
      <c r="Q4735" s="3391"/>
      <c r="R4735" s="1296"/>
      <c r="S4735" s="16"/>
      <c r="T4735" s="16"/>
      <c r="U4735" s="16"/>
      <c r="V4735" s="16"/>
    </row>
    <row r="4736" spans="1:22" ht="18.5">
      <c r="A4736" s="4120"/>
      <c r="B4736" s="4121"/>
      <c r="C4736" s="1042"/>
      <c r="D4736" s="3964" t="s">
        <v>2006</v>
      </c>
      <c r="E4736" s="3965" t="s">
        <v>1507</v>
      </c>
      <c r="F4736" s="3966" t="s">
        <v>2007</v>
      </c>
      <c r="G4736" s="3970">
        <v>1.1000000000000001</v>
      </c>
      <c r="H4736" s="1369"/>
      <c r="I4736" s="1299">
        <f t="shared" ca="1" si="566"/>
        <v>0.65274999999999994</v>
      </c>
      <c r="J4736" s="1300"/>
      <c r="K4736" s="1307">
        <f>G4736*K4733</f>
        <v>1.0780000000000001</v>
      </c>
      <c r="L4736" s="1335">
        <f t="shared" si="567"/>
        <v>0</v>
      </c>
      <c r="M4736" s="1302">
        <v>0.73</v>
      </c>
      <c r="N4736" s="1700"/>
      <c r="O4736" s="1290">
        <f t="shared" si="568"/>
        <v>0.80300000000000005</v>
      </c>
      <c r="P4736" s="1332">
        <f>M4736*K4736</f>
        <v>0.78694000000000008</v>
      </c>
      <c r="Q4736" s="3391"/>
      <c r="R4736" s="1296"/>
      <c r="S4736" s="16"/>
      <c r="T4736" s="16"/>
      <c r="U4736" s="16"/>
      <c r="V4736" s="16"/>
    </row>
    <row r="4737" spans="1:22" ht="18.5">
      <c r="A4737" s="4120"/>
      <c r="B4737" s="4121"/>
      <c r="C4737" s="1042"/>
      <c r="D4737" s="3964" t="s">
        <v>1129</v>
      </c>
      <c r="E4737" s="3965" t="s">
        <v>1504</v>
      </c>
      <c r="F4737" s="3966" t="s">
        <v>1988</v>
      </c>
      <c r="G4737" s="3970">
        <v>25</v>
      </c>
      <c r="H4737" s="1369"/>
      <c r="I4737" s="1299">
        <f t="shared" ca="1" si="566"/>
        <v>7.3599999999999994</v>
      </c>
      <c r="J4737" s="1300"/>
      <c r="K4737" s="1307">
        <f>G4737*K4733</f>
        <v>24.5</v>
      </c>
      <c r="L4737" s="1335">
        <f t="shared" si="567"/>
        <v>0</v>
      </c>
      <c r="M4737" s="1302">
        <v>0.19</v>
      </c>
      <c r="N4737" s="1700"/>
      <c r="O4737" s="1290">
        <f t="shared" si="568"/>
        <v>4.75</v>
      </c>
      <c r="P4737" s="1332">
        <f>M4737*K4737</f>
        <v>4.6550000000000002</v>
      </c>
      <c r="Q4737" s="3391"/>
      <c r="R4737" s="1296"/>
      <c r="S4737" s="16"/>
      <c r="T4737" s="16"/>
      <c r="U4737" s="16"/>
      <c r="V4737" s="16"/>
    </row>
    <row r="4738" spans="1:22" ht="18.5">
      <c r="A4738" s="4120"/>
      <c r="B4738" s="4121"/>
      <c r="C4738" s="1042"/>
      <c r="D4738" s="3967" t="s">
        <v>2004</v>
      </c>
      <c r="E4738" s="3968" t="s">
        <v>1527</v>
      </c>
      <c r="F4738" s="3969" t="s">
        <v>2005</v>
      </c>
      <c r="G4738" s="3971">
        <v>1.111</v>
      </c>
      <c r="H4738" s="3913"/>
      <c r="I4738" s="1299"/>
      <c r="J4738" s="3939"/>
      <c r="K4738" s="1307">
        <f>G4738*K4733</f>
        <v>1.0887799999999999</v>
      </c>
      <c r="L4738" s="1335">
        <f t="shared" si="567"/>
        <v>0</v>
      </c>
      <c r="M4738" s="3918">
        <v>9.27</v>
      </c>
      <c r="N4738" s="1700"/>
      <c r="O4738" s="1290">
        <f t="shared" si="568"/>
        <v>10.298969999999999</v>
      </c>
      <c r="P4738" s="1332">
        <f t="shared" ref="P4738:P4742" si="569">M4738*K4738</f>
        <v>10.092990599999998</v>
      </c>
      <c r="Q4738" s="3391"/>
      <c r="R4738" s="1296"/>
      <c r="S4738" s="16"/>
      <c r="T4738" s="16"/>
      <c r="U4738" s="16"/>
      <c r="V4738" s="16"/>
    </row>
    <row r="4739" spans="1:22" ht="18.5">
      <c r="A4739" s="4120"/>
      <c r="B4739" s="4121"/>
      <c r="C4739" s="1042"/>
      <c r="D4739" s="3967" t="s">
        <v>2002</v>
      </c>
      <c r="E4739" s="3968" t="s">
        <v>1507</v>
      </c>
      <c r="F4739" s="3969" t="s">
        <v>2003</v>
      </c>
      <c r="G4739" s="3971">
        <v>1.111</v>
      </c>
      <c r="H4739" s="3913"/>
      <c r="I4739" s="1299"/>
      <c r="J4739" s="3939"/>
      <c r="K4739" s="1307">
        <f>G4739*K4733</f>
        <v>1.0887799999999999</v>
      </c>
      <c r="L4739" s="1335">
        <f t="shared" si="567"/>
        <v>0</v>
      </c>
      <c r="M4739" s="3918">
        <v>8.4700000000000006</v>
      </c>
      <c r="N4739" s="1700"/>
      <c r="O4739" s="1290">
        <f t="shared" si="568"/>
        <v>9.4101700000000008</v>
      </c>
      <c r="P4739" s="1332">
        <f t="shared" si="569"/>
        <v>9.2219666</v>
      </c>
      <c r="Q4739" s="3391"/>
      <c r="R4739" s="1296"/>
      <c r="S4739" s="16"/>
      <c r="T4739" s="16"/>
      <c r="U4739" s="16"/>
      <c r="V4739" s="16"/>
    </row>
    <row r="4740" spans="1:22" ht="18.5">
      <c r="A4740" s="4120"/>
      <c r="B4740" s="4121"/>
      <c r="C4740" s="1042"/>
      <c r="D4740" s="3967" t="s">
        <v>3831</v>
      </c>
      <c r="E4740" s="3968" t="s">
        <v>1507</v>
      </c>
      <c r="F4740" s="3969" t="s">
        <v>3832</v>
      </c>
      <c r="G4740" s="3971">
        <v>1.111</v>
      </c>
      <c r="H4740" s="3913"/>
      <c r="I4740" s="1299"/>
      <c r="J4740" s="3939"/>
      <c r="K4740" s="1307">
        <f>G4740*K4733</f>
        <v>1.0887799999999999</v>
      </c>
      <c r="L4740" s="1335">
        <f t="shared" si="567"/>
        <v>0</v>
      </c>
      <c r="M4740" s="3918">
        <v>6.95</v>
      </c>
      <c r="N4740" s="1700"/>
      <c r="O4740" s="1290">
        <f t="shared" si="568"/>
        <v>7.7214499999999999</v>
      </c>
      <c r="P4740" s="1332">
        <f t="shared" si="569"/>
        <v>7.5670209999999996</v>
      </c>
      <c r="Q4740" s="3391"/>
      <c r="R4740" s="1296"/>
      <c r="S4740" s="16"/>
      <c r="T4740" s="16"/>
      <c r="U4740" s="16"/>
      <c r="V4740" s="16"/>
    </row>
    <row r="4741" spans="1:22" ht="18.5">
      <c r="A4741" s="4120"/>
      <c r="B4741" s="4121"/>
      <c r="C4741" s="1042"/>
      <c r="D4741" s="3967" t="s">
        <v>1082</v>
      </c>
      <c r="E4741" s="3968" t="s">
        <v>1504</v>
      </c>
      <c r="F4741" s="3969" t="s">
        <v>1541</v>
      </c>
      <c r="G4741" s="3971">
        <v>1</v>
      </c>
      <c r="H4741" s="3913"/>
      <c r="I4741" s="1299"/>
      <c r="J4741" s="3939"/>
      <c r="K4741" s="1307">
        <f>G4741*K4733</f>
        <v>0.98</v>
      </c>
      <c r="L4741" s="1335">
        <f t="shared" si="567"/>
        <v>0</v>
      </c>
      <c r="M4741" s="3918">
        <v>0.3</v>
      </c>
      <c r="N4741" s="1700"/>
      <c r="O4741" s="1290">
        <f t="shared" si="568"/>
        <v>0.3</v>
      </c>
      <c r="P4741" s="1332">
        <f t="shared" si="569"/>
        <v>0.29399999999999998</v>
      </c>
      <c r="Q4741" s="3391"/>
      <c r="R4741" s="1296"/>
      <c r="S4741" s="16"/>
      <c r="T4741" s="16"/>
      <c r="U4741" s="16"/>
      <c r="V4741" s="16"/>
    </row>
    <row r="4742" spans="1:22" ht="18.5">
      <c r="A4742" s="4120"/>
      <c r="B4742" s="4121"/>
      <c r="C4742" s="1042"/>
      <c r="D4742" s="3967" t="s">
        <v>1126</v>
      </c>
      <c r="E4742" s="3968" t="s">
        <v>1517</v>
      </c>
      <c r="F4742" s="3969" t="s">
        <v>3846</v>
      </c>
      <c r="G4742" s="4128">
        <v>1E-3</v>
      </c>
      <c r="H4742" s="3913"/>
      <c r="I4742" s="1299"/>
      <c r="J4742" s="3939"/>
      <c r="K4742" s="1307">
        <f>G4742*K4733</f>
        <v>9.7999999999999997E-4</v>
      </c>
      <c r="L4742" s="1335">
        <f t="shared" si="567"/>
        <v>0</v>
      </c>
      <c r="M4742" s="3918">
        <v>107.34</v>
      </c>
      <c r="N4742" s="1700"/>
      <c r="O4742" s="1290">
        <f t="shared" si="568"/>
        <v>0.10734</v>
      </c>
      <c r="P4742" s="1332">
        <f t="shared" si="569"/>
        <v>0.1051932</v>
      </c>
      <c r="Q4742" s="3391"/>
      <c r="R4742" s="1296"/>
      <c r="S4742" s="16"/>
      <c r="T4742" s="16"/>
      <c r="U4742" s="16"/>
      <c r="V4742" s="16"/>
    </row>
    <row r="4743" spans="1:22" ht="18.5">
      <c r="A4743" s="4120"/>
      <c r="B4743" s="4121"/>
      <c r="C4743" s="1356" t="s">
        <v>1127</v>
      </c>
      <c r="D4743" s="1311"/>
      <c r="E4743" s="2137" t="s">
        <v>1517</v>
      </c>
      <c r="F4743" s="1319" t="s">
        <v>1519</v>
      </c>
      <c r="G4743" s="1353"/>
      <c r="H4743" s="1456">
        <v>3.1E-2</v>
      </c>
      <c r="I4743" s="1444"/>
      <c r="J4743" s="1388"/>
      <c r="K4743" s="1445"/>
      <c r="L4743" s="1457"/>
      <c r="M4743" s="1447"/>
      <c r="N4743" s="1447">
        <f>SUM(N4744:N4747)</f>
        <v>50.044430000000006</v>
      </c>
      <c r="O4743" s="1447">
        <f>SUM(O4744:O4747)</f>
        <v>1.5513773300000002</v>
      </c>
      <c r="P4743" s="1446">
        <f>SUM(P4744:P4747)</f>
        <v>1.5203497833999999</v>
      </c>
      <c r="Q4743" s="3391"/>
      <c r="R4743" s="1296"/>
      <c r="S4743" s="16"/>
      <c r="T4743" s="16"/>
      <c r="U4743" s="16"/>
      <c r="V4743" s="16"/>
    </row>
    <row r="4744" spans="1:22" ht="18.5">
      <c r="A4744" s="4120"/>
      <c r="B4744" s="4121"/>
      <c r="C4744" s="1327"/>
      <c r="D4744" s="1400" t="s">
        <v>1069</v>
      </c>
      <c r="E4744" s="1856" t="s">
        <v>1517</v>
      </c>
      <c r="F4744" s="1397" t="s">
        <v>1578</v>
      </c>
      <c r="G4744" s="1416">
        <v>0.26300000000000001</v>
      </c>
      <c r="H4744" s="1399">
        <f>G4744*H4743</f>
        <v>8.1530000000000005E-3</v>
      </c>
      <c r="I4744" s="197"/>
      <c r="J4744" s="198"/>
      <c r="K4744" s="1307">
        <f>H4744*K4733</f>
        <v>7.9899400000000009E-3</v>
      </c>
      <c r="L4744" s="1335">
        <f t="shared" ref="L4744:L4747" si="570">K4744*$K$4717</f>
        <v>0</v>
      </c>
      <c r="M4744" s="1302">
        <v>0.55000000000000004</v>
      </c>
      <c r="N4744" s="1718">
        <f>G4744*M4744</f>
        <v>0.14465000000000003</v>
      </c>
      <c r="O4744" s="1290">
        <f>H4744*M4744</f>
        <v>4.484150000000001E-3</v>
      </c>
      <c r="P4744" s="1332">
        <f>M4744*K4744</f>
        <v>4.3944670000000009E-3</v>
      </c>
      <c r="Q4744" s="3391"/>
      <c r="R4744" s="1296"/>
      <c r="S4744" s="16"/>
      <c r="T4744" s="16"/>
      <c r="U4744" s="16"/>
      <c r="V4744" s="16"/>
    </row>
    <row r="4745" spans="1:22" ht="18.5">
      <c r="A4745" s="4120"/>
      <c r="B4745" s="4121"/>
      <c r="C4745" s="1320"/>
      <c r="D4745" s="1400" t="s">
        <v>1394</v>
      </c>
      <c r="E4745" s="1856" t="s">
        <v>1577</v>
      </c>
      <c r="F4745" s="1397" t="s">
        <v>1579</v>
      </c>
      <c r="G4745" s="1416">
        <v>0.25800000000000001</v>
      </c>
      <c r="H4745" s="1399">
        <f>G4745*H4743</f>
        <v>7.9979999999999999E-3</v>
      </c>
      <c r="I4745" s="197"/>
      <c r="J4745" s="198"/>
      <c r="K4745" s="1307">
        <f>H4745*K4733</f>
        <v>7.8380399999999992E-3</v>
      </c>
      <c r="L4745" s="1335">
        <f t="shared" si="570"/>
        <v>0</v>
      </c>
      <c r="M4745" s="1302">
        <v>92.54</v>
      </c>
      <c r="N4745" s="1718">
        <f>G4745*M4745</f>
        <v>23.875320000000002</v>
      </c>
      <c r="O4745" s="1290">
        <f>H4745*M4745</f>
        <v>0.74013492000000003</v>
      </c>
      <c r="P4745" s="1332">
        <f>M4745*K4745</f>
        <v>0.72533222159999999</v>
      </c>
      <c r="Q4745" s="3391"/>
      <c r="R4745" s="1296"/>
      <c r="S4745" s="16"/>
      <c r="T4745" s="16"/>
      <c r="U4745" s="16"/>
      <c r="V4745" s="16"/>
    </row>
    <row r="4746" spans="1:22" ht="18.5">
      <c r="A4746" s="4120"/>
      <c r="B4746" s="4121"/>
      <c r="C4746" s="1320"/>
      <c r="D4746" s="4129" t="s">
        <v>1576</v>
      </c>
      <c r="E4746" s="1856" t="s">
        <v>1517</v>
      </c>
      <c r="F4746" s="1397" t="s">
        <v>1580</v>
      </c>
      <c r="G4746" s="1416">
        <v>1.1020000000000001</v>
      </c>
      <c r="H4746" s="1399">
        <f>G4746*H4743</f>
        <v>3.4162000000000005E-2</v>
      </c>
      <c r="I4746" s="197"/>
      <c r="J4746" s="198"/>
      <c r="K4746" s="1307">
        <f>H4746*K4733</f>
        <v>3.3478760000000003E-2</v>
      </c>
      <c r="L4746" s="1335">
        <f t="shared" si="570"/>
        <v>0</v>
      </c>
      <c r="M4746" s="1302">
        <v>6.53</v>
      </c>
      <c r="N4746" s="1718">
        <f>G4746*M4746</f>
        <v>7.196060000000001</v>
      </c>
      <c r="O4746" s="1290">
        <f>H4746*M4746</f>
        <v>0.22307786000000004</v>
      </c>
      <c r="P4746" s="1332">
        <f>M4746*K4746</f>
        <v>0.21861630280000002</v>
      </c>
      <c r="Q4746" s="3391"/>
      <c r="R4746" s="1296"/>
      <c r="S4746" s="16"/>
      <c r="T4746" s="16"/>
      <c r="U4746" s="16"/>
      <c r="V4746" s="16"/>
    </row>
    <row r="4747" spans="1:22" ht="18.5">
      <c r="A4747" s="4120"/>
      <c r="B4747" s="4121"/>
      <c r="C4747" s="3952"/>
      <c r="D4747" s="3949" t="s">
        <v>1067</v>
      </c>
      <c r="E4747" s="1857" t="s">
        <v>1508</v>
      </c>
      <c r="F4747" s="1406" t="s">
        <v>1512</v>
      </c>
      <c r="G4747" s="1407">
        <v>1.03</v>
      </c>
      <c r="H4747" s="1408">
        <f>G4747*H4743</f>
        <v>3.193E-2</v>
      </c>
      <c r="I4747" s="197"/>
      <c r="J4747" s="198"/>
      <c r="K4747" s="1307">
        <f>H4747*K4733</f>
        <v>3.1291399999999997E-2</v>
      </c>
      <c r="L4747" s="1335">
        <f t="shared" si="570"/>
        <v>0</v>
      </c>
      <c r="M4747" s="1302">
        <v>18.28</v>
      </c>
      <c r="N4747" s="1718">
        <f>G4747*M4747</f>
        <v>18.828400000000002</v>
      </c>
      <c r="O4747" s="1290">
        <f>H4747*M4747</f>
        <v>0.58368039999999999</v>
      </c>
      <c r="P4747" s="1332">
        <f>M4747*K4747</f>
        <v>0.57200679199999993</v>
      </c>
      <c r="Q4747" s="3391"/>
      <c r="R4747" s="1296"/>
      <c r="S4747" s="16"/>
      <c r="T4747" s="16"/>
      <c r="U4747" s="16"/>
      <c r="V4747" s="16"/>
    </row>
    <row r="4748" spans="1:22" ht="18.5">
      <c r="A4748" s="4120"/>
      <c r="B4748" s="4121"/>
      <c r="C4748" s="4130" t="s">
        <v>1137</v>
      </c>
      <c r="D4748" s="3950"/>
      <c r="E4748" s="2137" t="s">
        <v>1517</v>
      </c>
      <c r="F4748" s="1319" t="s">
        <v>2037</v>
      </c>
      <c r="G4748" s="1353"/>
      <c r="H4748" s="1456">
        <v>5.1999999999999998E-2</v>
      </c>
      <c r="I4748" s="1444"/>
      <c r="J4748" s="1388"/>
      <c r="K4748" s="1445"/>
      <c r="L4748" s="1457"/>
      <c r="M4748" s="1447"/>
      <c r="N4748" s="1447">
        <f>SUM(N4749:N4752)</f>
        <v>44.774360000000001</v>
      </c>
      <c r="O4748" s="1447">
        <f>SUM(O4749:O4752)</f>
        <v>2.3282667200000002</v>
      </c>
      <c r="P4748" s="1446">
        <f>SUM(P4749:P4752)</f>
        <v>2.2817013855999999</v>
      </c>
      <c r="Q4748" s="3391"/>
      <c r="R4748" s="1296"/>
      <c r="S4748" s="16"/>
      <c r="T4748" s="16"/>
      <c r="U4748" s="16"/>
      <c r="V4748" s="16"/>
    </row>
    <row r="4749" spans="1:22" ht="18.5">
      <c r="A4749" s="4120"/>
      <c r="B4749" s="4121"/>
      <c r="C4749" s="1327"/>
      <c r="D4749" s="1400" t="s">
        <v>1069</v>
      </c>
      <c r="E4749" s="1856" t="s">
        <v>1517</v>
      </c>
      <c r="F4749" s="1397" t="s">
        <v>1578</v>
      </c>
      <c r="G4749" s="1416">
        <v>0.25800000000000001</v>
      </c>
      <c r="H4749" s="1399">
        <f>G4749*H4748</f>
        <v>1.3415999999999999E-2</v>
      </c>
      <c r="I4749" s="197"/>
      <c r="J4749" s="198"/>
      <c r="K4749" s="1307">
        <f>H4749*K4733</f>
        <v>1.3147679999999998E-2</v>
      </c>
      <c r="L4749" s="1335">
        <f t="shared" ref="L4749:L4752" si="571">K4749*$K$4717</f>
        <v>0</v>
      </c>
      <c r="M4749" s="1302">
        <v>0.55000000000000004</v>
      </c>
      <c r="N4749" s="1718">
        <f>G4749*M4749</f>
        <v>0.14190000000000003</v>
      </c>
      <c r="O4749" s="1290">
        <f>H4749*M4749</f>
        <v>7.3788000000000005E-3</v>
      </c>
      <c r="P4749" s="1332">
        <f>M4749*K4749</f>
        <v>7.2312239999999996E-3</v>
      </c>
      <c r="Q4749" s="3391"/>
      <c r="R4749" s="1296"/>
      <c r="S4749" s="16"/>
      <c r="T4749" s="16"/>
      <c r="U4749" s="16"/>
      <c r="V4749" s="16"/>
    </row>
    <row r="4750" spans="1:22" ht="18.5">
      <c r="A4750" s="4120"/>
      <c r="B4750" s="4121"/>
      <c r="C4750" s="1320"/>
      <c r="D4750" s="1400" t="s">
        <v>1394</v>
      </c>
      <c r="E4750" s="1856" t="s">
        <v>1577</v>
      </c>
      <c r="F4750" s="1397" t="s">
        <v>1579</v>
      </c>
      <c r="G4750" s="1416">
        <v>0.19600000000000001</v>
      </c>
      <c r="H4750" s="1399">
        <f>G4750*H4748</f>
        <v>1.0192E-2</v>
      </c>
      <c r="I4750" s="197"/>
      <c r="J4750" s="198"/>
      <c r="K4750" s="1307">
        <f>H4750*K4733</f>
        <v>9.9881599999999994E-3</v>
      </c>
      <c r="L4750" s="1335">
        <f t="shared" si="571"/>
        <v>0</v>
      </c>
      <c r="M4750" s="1302">
        <v>92.54</v>
      </c>
      <c r="N4750" s="1718">
        <f>G4750*M4750</f>
        <v>18.137840000000001</v>
      </c>
      <c r="O4750" s="1290">
        <f>H4750*M4750</f>
        <v>0.94316768000000006</v>
      </c>
      <c r="P4750" s="1332">
        <f>M4750*K4750</f>
        <v>0.92430432640000004</v>
      </c>
      <c r="Q4750" s="3391"/>
      <c r="R4750" s="1296"/>
      <c r="S4750" s="16"/>
      <c r="T4750" s="16"/>
      <c r="U4750" s="16"/>
      <c r="V4750" s="16"/>
    </row>
    <row r="4751" spans="1:22" ht="18.5">
      <c r="A4751" s="4120"/>
      <c r="B4751" s="4121"/>
      <c r="C4751" s="1320"/>
      <c r="D4751" s="1400" t="s">
        <v>1576</v>
      </c>
      <c r="E4751" s="1856" t="s">
        <v>1517</v>
      </c>
      <c r="F4751" s="1397" t="s">
        <v>1580</v>
      </c>
      <c r="G4751" s="1416">
        <v>1.1739999999999999</v>
      </c>
      <c r="H4751" s="1399">
        <f>G4751*H4748</f>
        <v>6.1047999999999991E-2</v>
      </c>
      <c r="I4751" s="197"/>
      <c r="J4751" s="198"/>
      <c r="K4751" s="1307">
        <f>H4751*K4733</f>
        <v>5.9827039999999991E-2</v>
      </c>
      <c r="L4751" s="1335">
        <f t="shared" si="571"/>
        <v>0</v>
      </c>
      <c r="M4751" s="1302">
        <v>6.53</v>
      </c>
      <c r="N4751" s="1718">
        <f>G4751*M4751</f>
        <v>7.66622</v>
      </c>
      <c r="O4751" s="1290">
        <f>H4751*M4751</f>
        <v>0.39864343999999996</v>
      </c>
      <c r="P4751" s="1332">
        <f>M4751*K4751</f>
        <v>0.39067057119999998</v>
      </c>
      <c r="Q4751" s="3391"/>
      <c r="R4751" s="1296"/>
      <c r="S4751" s="16"/>
      <c r="T4751" s="16"/>
      <c r="U4751" s="16"/>
      <c r="V4751" s="16"/>
    </row>
    <row r="4752" spans="1:22" ht="18.5">
      <c r="A4752" s="4120"/>
      <c r="B4752" s="4121"/>
      <c r="C4752" s="1320"/>
      <c r="D4752" s="1404" t="s">
        <v>1067</v>
      </c>
      <c r="E4752" s="1857" t="s">
        <v>1508</v>
      </c>
      <c r="F4752" s="1406" t="s">
        <v>1512</v>
      </c>
      <c r="G4752" s="1407">
        <v>1.03</v>
      </c>
      <c r="H4752" s="1408">
        <f>G4752*H4748</f>
        <v>5.3559999999999997E-2</v>
      </c>
      <c r="I4752" s="197"/>
      <c r="J4752" s="198"/>
      <c r="K4752" s="1307">
        <f>H4752*K4733</f>
        <v>5.2488799999999995E-2</v>
      </c>
      <c r="L4752" s="1335">
        <f t="shared" si="571"/>
        <v>0</v>
      </c>
      <c r="M4752" s="1302">
        <v>18.28</v>
      </c>
      <c r="N4752" s="1718">
        <f>G4752*M4752</f>
        <v>18.828400000000002</v>
      </c>
      <c r="O4752" s="1290">
        <f>H4752*M4752</f>
        <v>0.97907679999999997</v>
      </c>
      <c r="P4752" s="1332">
        <f>M4752*K4752</f>
        <v>0.95949526399999996</v>
      </c>
      <c r="Q4752" s="3391"/>
      <c r="R4752" s="1296"/>
      <c r="S4752" s="16"/>
      <c r="T4752" s="16"/>
      <c r="U4752" s="16"/>
      <c r="V4752" s="16"/>
    </row>
    <row r="4753" spans="1:22">
      <c r="A4753" s="16"/>
      <c r="B4753" s="1320"/>
      <c r="C4753" s="1356" t="s">
        <v>1119</v>
      </c>
      <c r="D4753" s="1311"/>
      <c r="E4753" s="1854" t="s">
        <v>1517</v>
      </c>
      <c r="F4753" s="1749" t="s">
        <v>1917</v>
      </c>
      <c r="G4753" s="1688"/>
      <c r="H4753" s="1366">
        <v>3.1E-2</v>
      </c>
      <c r="I4753" s="1388"/>
      <c r="J4753" s="1388"/>
      <c r="K4753" s="1510"/>
      <c r="L4753" s="1445"/>
      <c r="M4753" s="1447"/>
      <c r="N4753" s="1447">
        <f>SUM(N4754:N4758)</f>
        <v>83.047780000000003</v>
      </c>
      <c r="O4753" s="1447">
        <f>SUM(O4754:O4758)</f>
        <v>2.5744811800000003</v>
      </c>
      <c r="P4753" s="1446">
        <f>SUM(P4754:P4758)</f>
        <v>2.5229915564000001</v>
      </c>
      <c r="Q4753" s="3391"/>
      <c r="S4753" s="16"/>
      <c r="T4753" s="16"/>
      <c r="U4753" s="16"/>
      <c r="V4753" s="16"/>
    </row>
    <row r="4754" spans="1:22">
      <c r="A4754" s="16"/>
      <c r="B4754" s="1320"/>
      <c r="C4754" s="18"/>
      <c r="D4754" s="1752" t="s">
        <v>1069</v>
      </c>
      <c r="E4754" s="1852" t="s">
        <v>1517</v>
      </c>
      <c r="F4754" s="1752" t="s">
        <v>1578</v>
      </c>
      <c r="G4754" s="1941">
        <v>0.2</v>
      </c>
      <c r="H4754" s="1453">
        <f>G4754*H4753</f>
        <v>6.2000000000000006E-3</v>
      </c>
      <c r="I4754" s="198"/>
      <c r="J4754" s="198"/>
      <c r="K4754" s="1732">
        <f>H4754*K4733</f>
        <v>6.0760000000000007E-3</v>
      </c>
      <c r="L4754" s="1335">
        <f t="shared" ref="L4754:L4758" si="572">K4754*$K$4717</f>
        <v>0</v>
      </c>
      <c r="M4754" s="1499">
        <v>0.55000000000000004</v>
      </c>
      <c r="N4754" s="1718">
        <f>G4754*M4754</f>
        <v>0.11000000000000001</v>
      </c>
      <c r="O4754" s="1332">
        <f>H4754*M4754</f>
        <v>3.4100000000000007E-3</v>
      </c>
      <c r="P4754" s="1332">
        <f>M4754*K4754</f>
        <v>3.3418000000000007E-3</v>
      </c>
      <c r="Q4754" s="3396"/>
      <c r="R4754" s="2337"/>
      <c r="S4754" s="16"/>
      <c r="T4754" s="16"/>
      <c r="U4754" s="16"/>
      <c r="V4754" s="16"/>
    </row>
    <row r="4755" spans="1:22">
      <c r="A4755" s="16"/>
      <c r="B4755" s="1320"/>
      <c r="C4755" s="1042"/>
      <c r="D4755" s="1752" t="s">
        <v>1792</v>
      </c>
      <c r="E4755" s="1852" t="s">
        <v>1577</v>
      </c>
      <c r="F4755" s="1752" t="s">
        <v>1793</v>
      </c>
      <c r="G4755" s="1941">
        <v>0.19</v>
      </c>
      <c r="H4755" s="1453">
        <f>G4755*H4753</f>
        <v>5.8900000000000003E-3</v>
      </c>
      <c r="I4755" s="197"/>
      <c r="J4755" s="198"/>
      <c r="K4755" s="1732">
        <f>H4755*K4733</f>
        <v>5.7721999999999999E-3</v>
      </c>
      <c r="L4755" s="1335">
        <f t="shared" si="572"/>
        <v>0</v>
      </c>
      <c r="M4755" s="1499">
        <v>85.09</v>
      </c>
      <c r="N4755" s="1718">
        <f>G4755*M4755</f>
        <v>16.167100000000001</v>
      </c>
      <c r="O4755" s="1332">
        <f>H4755*M4755</f>
        <v>0.50118010000000002</v>
      </c>
      <c r="P4755" s="1332">
        <f>M4755*K4755</f>
        <v>0.491156498</v>
      </c>
      <c r="Q4755" s="3396"/>
      <c r="R4755" s="2337"/>
      <c r="S4755" s="16"/>
      <c r="T4755" s="16"/>
      <c r="U4755" s="16"/>
      <c r="V4755" s="16"/>
    </row>
    <row r="4756" spans="1:22">
      <c r="A4756" s="16"/>
      <c r="B4756" s="1320"/>
      <c r="C4756" s="1042"/>
      <c r="D4756" s="1752" t="s">
        <v>1394</v>
      </c>
      <c r="E4756" s="1852" t="s">
        <v>1577</v>
      </c>
      <c r="F4756" s="1752" t="s">
        <v>1579</v>
      </c>
      <c r="G4756" s="1941">
        <v>0.38</v>
      </c>
      <c r="H4756" s="1453">
        <f>G4756*H4753</f>
        <v>1.1780000000000001E-2</v>
      </c>
      <c r="I4756" s="1289"/>
      <c r="J4756" s="198"/>
      <c r="K4756" s="1732">
        <f>H4756*K4733</f>
        <v>1.15444E-2</v>
      </c>
      <c r="L4756" s="1335">
        <f t="shared" si="572"/>
        <v>0</v>
      </c>
      <c r="M4756" s="1499">
        <v>92.54</v>
      </c>
      <c r="N4756" s="1718">
        <f>G4756*M4756</f>
        <v>35.165200000000006</v>
      </c>
      <c r="O4756" s="1332">
        <f>H4756*M4756</f>
        <v>1.0901212000000002</v>
      </c>
      <c r="P4756" s="1332">
        <f>M4756*K4756</f>
        <v>1.0683187760000001</v>
      </c>
      <c r="Q4756" s="3396"/>
      <c r="R4756" s="2337"/>
      <c r="S4756" s="16"/>
      <c r="T4756" s="16"/>
      <c r="U4756" s="16"/>
      <c r="V4756" s="16"/>
    </row>
    <row r="4757" spans="1:22">
      <c r="A4757" s="16"/>
      <c r="B4757" s="1320"/>
      <c r="C4757" s="1042"/>
      <c r="D4757" s="1752" t="s">
        <v>1576</v>
      </c>
      <c r="E4757" s="1852" t="s">
        <v>1517</v>
      </c>
      <c r="F4757" s="1752" t="s">
        <v>1580</v>
      </c>
      <c r="G4757" s="1941">
        <v>1.38</v>
      </c>
      <c r="H4757" s="1453">
        <f>G4757*H4753</f>
        <v>4.2779999999999999E-2</v>
      </c>
      <c r="I4757" s="1289"/>
      <c r="J4757" s="198"/>
      <c r="K4757" s="1732">
        <f>H4757*K4733</f>
        <v>4.1924400000000001E-2</v>
      </c>
      <c r="L4757" s="1335">
        <f t="shared" si="572"/>
        <v>0</v>
      </c>
      <c r="M4757" s="1499">
        <v>6.53</v>
      </c>
      <c r="N4757" s="1718">
        <f>G4757*M4757</f>
        <v>9.0114000000000001</v>
      </c>
      <c r="O4757" s="1332">
        <f>H4757*M4757</f>
        <v>0.27935339999999997</v>
      </c>
      <c r="P4757" s="1332">
        <f>M4757*K4757</f>
        <v>0.273766332</v>
      </c>
      <c r="Q4757" s="3396"/>
      <c r="R4757" s="2337"/>
      <c r="S4757" s="16"/>
      <c r="T4757" s="16"/>
      <c r="U4757" s="16"/>
      <c r="V4757" s="16"/>
    </row>
    <row r="4758" spans="1:22">
      <c r="A4758" s="16"/>
      <c r="B4758" s="1320"/>
      <c r="C4758" s="1042"/>
      <c r="D4758" s="1754" t="s">
        <v>1067</v>
      </c>
      <c r="E4758" s="1853" t="s">
        <v>1508</v>
      </c>
      <c r="F4758" s="1754" t="s">
        <v>1512</v>
      </c>
      <c r="G4758" s="1942">
        <v>1.236</v>
      </c>
      <c r="H4758" s="1454">
        <f>G4758*H4753</f>
        <v>3.8315999999999996E-2</v>
      </c>
      <c r="I4758" s="1289"/>
      <c r="J4758" s="198"/>
      <c r="K4758" s="1732">
        <f>H4758*K4733</f>
        <v>3.7549679999999995E-2</v>
      </c>
      <c r="L4758" s="1335">
        <f t="shared" si="572"/>
        <v>0</v>
      </c>
      <c r="M4758" s="1499">
        <v>18.28</v>
      </c>
      <c r="N4758" s="1718">
        <f>G4758*M4758</f>
        <v>22.594080000000002</v>
      </c>
      <c r="O4758" s="1332">
        <f>H4758*M4758</f>
        <v>0.70041648000000001</v>
      </c>
      <c r="P4758" s="1332">
        <f>M4758*K4758</f>
        <v>0.68640815039999992</v>
      </c>
      <c r="Q4758" s="3396"/>
      <c r="R4758" s="2337"/>
      <c r="S4758" s="16"/>
      <c r="T4758" s="16"/>
      <c r="U4758" s="16"/>
      <c r="V4758" s="16"/>
    </row>
    <row r="4759" spans="1:22" ht="18.5">
      <c r="A4759" s="4120"/>
      <c r="B4759" s="4121"/>
      <c r="C4759" s="1042"/>
      <c r="D4759" s="1359"/>
      <c r="E4759" s="1858"/>
      <c r="F4759" s="1360" t="s">
        <v>2</v>
      </c>
      <c r="G4759" s="1360"/>
      <c r="H4759" s="1362"/>
      <c r="I4759" s="1380"/>
      <c r="J4759" s="1381"/>
      <c r="K4759" s="1381"/>
      <c r="L4759" s="1458"/>
      <c r="M4759" s="1362"/>
      <c r="N4759" s="1362"/>
      <c r="O4759" s="1362"/>
      <c r="P4759" s="1359"/>
      <c r="Q4759" s="3387"/>
      <c r="S4759" s="16"/>
      <c r="T4759" s="16"/>
      <c r="U4759" s="16"/>
      <c r="V4759" s="16"/>
    </row>
    <row r="4760" spans="1:22" ht="18.5">
      <c r="A4760" s="4120"/>
      <c r="B4760" s="4121"/>
      <c r="C4760" s="1042"/>
      <c r="D4760" s="4131" t="s">
        <v>1133</v>
      </c>
      <c r="E4760" s="4014" t="s">
        <v>1508</v>
      </c>
      <c r="F4760" s="4015" t="s">
        <v>1955</v>
      </c>
      <c r="G4760" s="4017">
        <v>0.1</v>
      </c>
      <c r="H4760" s="3897"/>
      <c r="I4760" s="198"/>
      <c r="J4760" s="198"/>
      <c r="K4760" s="1732">
        <f>G4760*K4733</f>
        <v>9.8000000000000004E-2</v>
      </c>
      <c r="L4760" s="1335">
        <f t="shared" ref="L4760:L4762" si="573">K4760*$K$4717</f>
        <v>0</v>
      </c>
      <c r="M4760" s="3918">
        <v>19.23</v>
      </c>
      <c r="N4760" s="1700"/>
      <c r="O4760" s="1290">
        <f t="shared" ref="O4760:O4762" si="574">G4760*M4760</f>
        <v>1.923</v>
      </c>
      <c r="P4760" s="1332">
        <f t="shared" ref="P4760:P4762" si="575">M4760*K4760</f>
        <v>1.8845400000000001</v>
      </c>
      <c r="Q4760" s="3387"/>
      <c r="S4760" s="16"/>
      <c r="T4760" s="16"/>
      <c r="U4760" s="16"/>
      <c r="V4760" s="16"/>
    </row>
    <row r="4761" spans="1:22" ht="18.5">
      <c r="A4761" s="4120"/>
      <c r="B4761" s="4121"/>
      <c r="C4761" s="1042"/>
      <c r="D4761" s="4131" t="s">
        <v>1134</v>
      </c>
      <c r="E4761" s="4014" t="s">
        <v>1508</v>
      </c>
      <c r="F4761" s="4015" t="s">
        <v>1547</v>
      </c>
      <c r="G4761" s="4017">
        <v>0.3</v>
      </c>
      <c r="H4761" s="3897"/>
      <c r="I4761" s="197"/>
      <c r="J4761" s="198"/>
      <c r="K4761" s="1732">
        <f>G4761*K4733</f>
        <v>0.29399999999999998</v>
      </c>
      <c r="L4761" s="1335">
        <f t="shared" si="573"/>
        <v>0</v>
      </c>
      <c r="M4761" s="3918">
        <v>19.23</v>
      </c>
      <c r="N4761" s="1700"/>
      <c r="O4761" s="1290">
        <f t="shared" si="574"/>
        <v>5.7690000000000001</v>
      </c>
      <c r="P4761" s="1332">
        <f t="shared" si="575"/>
        <v>5.6536200000000001</v>
      </c>
      <c r="Q4761" s="3387"/>
      <c r="S4761" s="16"/>
      <c r="T4761" s="16"/>
      <c r="U4761" s="16"/>
      <c r="V4761" s="16"/>
    </row>
    <row r="4762" spans="1:22" ht="18.5">
      <c r="A4762" s="4120"/>
      <c r="B4762" s="4121"/>
      <c r="C4762" s="1320"/>
      <c r="D4762" s="4132" t="s">
        <v>1067</v>
      </c>
      <c r="E4762" s="4133" t="s">
        <v>1508</v>
      </c>
      <c r="F4762" s="4134" t="s">
        <v>1512</v>
      </c>
      <c r="G4762" s="4135">
        <v>0.27</v>
      </c>
      <c r="H4762" s="1359"/>
      <c r="I4762" s="198"/>
      <c r="J4762" s="198"/>
      <c r="K4762" s="1732">
        <f>G4762*K4733</f>
        <v>0.2646</v>
      </c>
      <c r="L4762" s="1335">
        <f t="shared" si="573"/>
        <v>0</v>
      </c>
      <c r="M4762" s="3918">
        <v>18.28</v>
      </c>
      <c r="N4762" s="1700"/>
      <c r="O4762" s="1290">
        <f t="shared" si="574"/>
        <v>4.9356000000000009</v>
      </c>
      <c r="P4762" s="1332">
        <f t="shared" si="575"/>
        <v>4.8368880000000001</v>
      </c>
      <c r="Q4762" s="3391"/>
      <c r="R4762" s="1296"/>
      <c r="S4762" s="16"/>
      <c r="T4762" s="16"/>
      <c r="U4762" s="16"/>
      <c r="V4762" s="16"/>
    </row>
    <row r="4763" spans="1:22">
      <c r="A4763" s="16"/>
      <c r="B4763" s="1042"/>
      <c r="C4763" s="1652" t="s">
        <v>1755</v>
      </c>
      <c r="D4763" s="1461"/>
      <c r="E4763" s="2163" t="s">
        <v>1508</v>
      </c>
      <c r="F4763" s="1648" t="s">
        <v>1524</v>
      </c>
      <c r="G4763" s="1990"/>
      <c r="H4763" s="1456">
        <v>0.29499999999999998</v>
      </c>
      <c r="I4763" s="1444"/>
      <c r="J4763" s="1388"/>
      <c r="K4763" s="1445"/>
      <c r="L4763" s="1457"/>
      <c r="M4763" s="1447"/>
      <c r="N4763" s="1447">
        <f>SUM(N4764:N4765)</f>
        <v>37.510000000000005</v>
      </c>
      <c r="O4763" s="1447">
        <f>SUM(O4764:O4765)</f>
        <v>11.065449999999998</v>
      </c>
      <c r="P4763" s="1447">
        <f>SUM(P4764:P4765)</f>
        <v>10.844140999999999</v>
      </c>
      <c r="Q4763" s="3391"/>
      <c r="R4763" s="2337"/>
      <c r="S4763" s="16"/>
      <c r="T4763" s="16"/>
      <c r="U4763" s="16"/>
      <c r="V4763" s="16"/>
    </row>
    <row r="4764" spans="1:22">
      <c r="A4764" s="16"/>
      <c r="B4764" s="1042"/>
      <c r="C4764" s="88"/>
      <c r="D4764" s="1430" t="s">
        <v>1067</v>
      </c>
      <c r="E4764" s="1857" t="s">
        <v>1508</v>
      </c>
      <c r="F4764" s="1403" t="s">
        <v>5</v>
      </c>
      <c r="G4764" s="1991">
        <v>1</v>
      </c>
      <c r="H4764" s="1408">
        <f>G4764*H4763</f>
        <v>0.29499999999999998</v>
      </c>
      <c r="I4764" s="1286"/>
      <c r="J4764" s="198"/>
      <c r="K4764" s="1307">
        <f>H4764*K4733</f>
        <v>0.28909999999999997</v>
      </c>
      <c r="L4764" s="1335">
        <f t="shared" ref="L4764:L4765" si="576">K4764*$K$4717</f>
        <v>0</v>
      </c>
      <c r="M4764" s="1302">
        <v>18.28</v>
      </c>
      <c r="N4764" s="1718">
        <f>G4764*M4764</f>
        <v>18.28</v>
      </c>
      <c r="O4764" s="1290">
        <f>H4764*M4764</f>
        <v>5.3925999999999998</v>
      </c>
      <c r="P4764" s="1332">
        <f>M4764*K4764</f>
        <v>5.2847479999999996</v>
      </c>
      <c r="Q4764" s="3391"/>
      <c r="R4764" s="2337"/>
      <c r="S4764" s="16"/>
      <c r="T4764" s="16"/>
      <c r="U4764" s="16"/>
      <c r="V4764" s="16"/>
    </row>
    <row r="4765" spans="1:22">
      <c r="A4765" s="16"/>
      <c r="B4765" s="1042"/>
      <c r="C4765" s="88"/>
      <c r="D4765" s="1430" t="s">
        <v>1077</v>
      </c>
      <c r="E4765" s="1857" t="s">
        <v>1508</v>
      </c>
      <c r="F4765" s="1403" t="s">
        <v>37</v>
      </c>
      <c r="G4765" s="1991">
        <v>1</v>
      </c>
      <c r="H4765" s="1408">
        <f>G4765*H4763</f>
        <v>0.29499999999999998</v>
      </c>
      <c r="I4765" s="197"/>
      <c r="J4765" s="198"/>
      <c r="K4765" s="1307">
        <f>H4765*K4733</f>
        <v>0.28909999999999997</v>
      </c>
      <c r="L4765" s="1335">
        <f t="shared" si="576"/>
        <v>0</v>
      </c>
      <c r="M4765" s="1302">
        <v>19.23</v>
      </c>
      <c r="N4765" s="1718">
        <f>G4765*M4765</f>
        <v>19.23</v>
      </c>
      <c r="O4765" s="1290">
        <f>H4765*M4765</f>
        <v>5.6728499999999995</v>
      </c>
      <c r="P4765" s="1332">
        <f>M4765*K4765</f>
        <v>5.5593929999999991</v>
      </c>
      <c r="Q4765" s="3391"/>
      <c r="R4765" s="2337"/>
      <c r="S4765" s="16"/>
      <c r="T4765" s="16"/>
      <c r="U4765" s="16"/>
      <c r="V4765" s="16"/>
    </row>
    <row r="4766" spans="1:22">
      <c r="A4766" s="1321"/>
      <c r="B4766" s="1295"/>
      <c r="C4766" s="1321"/>
      <c r="D4766" s="1377"/>
      <c r="E4766" s="2124"/>
      <c r="F4766" s="1378"/>
      <c r="G4766" s="1378"/>
      <c r="H4766" s="1379"/>
      <c r="I4766" s="1299"/>
      <c r="J4766" s="1300"/>
      <c r="K4766" s="1307"/>
      <c r="L4766" s="1335"/>
      <c r="M4766" s="1302"/>
      <c r="N4766" s="1700"/>
      <c r="O4766" s="1290"/>
      <c r="P4766" s="1333"/>
      <c r="Q4766" s="3391"/>
      <c r="R4766" s="1296"/>
      <c r="S4766" s="16"/>
      <c r="T4766" s="16"/>
      <c r="U4766" s="16"/>
      <c r="V4766" s="16"/>
    </row>
    <row r="4767" spans="1:22" ht="18.5">
      <c r="A4767" s="4120"/>
      <c r="B4767" s="4121"/>
      <c r="C4767" s="1320"/>
      <c r="D4767" s="1373"/>
      <c r="E4767" s="2123"/>
      <c r="F4767" s="1374" t="s">
        <v>3</v>
      </c>
      <c r="G4767" s="1375"/>
      <c r="H4767" s="1376"/>
      <c r="I4767" s="1382"/>
      <c r="J4767" s="1383"/>
      <c r="K4767" s="1383" t="str">
        <f>IF(COUNT(I4767)=0,"",(I4767*J4767))</f>
        <v/>
      </c>
      <c r="L4767" s="1413"/>
      <c r="M4767" s="1376"/>
      <c r="N4767" s="1376"/>
      <c r="O4767" s="1376"/>
      <c r="P4767" s="1373"/>
      <c r="Q4767" s="3387"/>
      <c r="R4767" s="1296"/>
      <c r="S4767" s="16"/>
      <c r="T4767" s="16"/>
      <c r="U4767" s="16"/>
      <c r="V4767" s="16"/>
    </row>
    <row r="4768" spans="1:22" ht="18.5">
      <c r="A4768" s="4122"/>
      <c r="B4768" s="4123"/>
      <c r="C4768" s="1321"/>
      <c r="D4768" s="1377"/>
      <c r="E4768" s="2124"/>
      <c r="F4768" s="1378"/>
      <c r="G4768" s="1378"/>
      <c r="H4768" s="1379"/>
      <c r="I4768" s="1299"/>
      <c r="J4768" s="1300"/>
      <c r="K4768" s="1307"/>
      <c r="L4768" s="1335"/>
      <c r="M4768" s="1302"/>
      <c r="N4768" s="1700"/>
      <c r="O4768" s="1290"/>
      <c r="P4768" s="1332"/>
      <c r="Q4768" s="3391"/>
      <c r="R4768" s="1296"/>
      <c r="S4768" s="16"/>
      <c r="T4768" s="16"/>
      <c r="U4768" s="16"/>
      <c r="V4768" s="16"/>
    </row>
    <row r="4769" spans="1:22">
      <c r="A4769" s="1321"/>
      <c r="B4769" s="1295"/>
      <c r="C4769" s="1321"/>
      <c r="D4769" s="1377"/>
      <c r="E4769" s="2124"/>
      <c r="F4769" s="1378"/>
      <c r="G4769" s="1378"/>
      <c r="H4769" s="1379"/>
      <c r="I4769" s="1299"/>
      <c r="J4769" s="1300"/>
      <c r="K4769" s="1307"/>
      <c r="L4769" s="1335"/>
      <c r="M4769" s="1302"/>
      <c r="N4769" s="1700"/>
      <c r="O4769" s="1290"/>
      <c r="P4769" s="1333"/>
      <c r="Q4769" s="3391"/>
      <c r="R4769" s="1296"/>
      <c r="S4769" s="16"/>
      <c r="T4769" s="16"/>
      <c r="U4769" s="16"/>
      <c r="V4769" s="16"/>
    </row>
    <row r="4770" spans="1:22" s="22" customFormat="1">
      <c r="A4770" s="551" t="s">
        <v>3764</v>
      </c>
      <c r="B4770" s="4325" t="s">
        <v>3781</v>
      </c>
      <c r="C4770" s="4101"/>
      <c r="D4770" s="4327"/>
      <c r="E4770" s="4329" t="s">
        <v>1527</v>
      </c>
      <c r="F4770" s="4372" t="s">
        <v>3782</v>
      </c>
      <c r="G4770" s="4331" t="s">
        <v>1568</v>
      </c>
      <c r="H4770" s="4331" t="s">
        <v>1574</v>
      </c>
      <c r="I4770" s="1572" t="s">
        <v>1559</v>
      </c>
      <c r="J4770" s="1294" t="s">
        <v>1560</v>
      </c>
      <c r="K4770" s="1294" t="s">
        <v>1569</v>
      </c>
      <c r="L4770" s="4333" t="s">
        <v>3765</v>
      </c>
      <c r="M4770" s="4323" t="s">
        <v>1571</v>
      </c>
      <c r="N4770" s="4323" t="s">
        <v>1776</v>
      </c>
      <c r="O4770" s="4098" t="s">
        <v>1563</v>
      </c>
      <c r="P4770" s="1336" t="s">
        <v>1562</v>
      </c>
      <c r="Q4770" s="3389"/>
      <c r="R4770" s="1699" t="s">
        <v>1327</v>
      </c>
    </row>
    <row r="4771" spans="1:22" s="22" customFormat="1">
      <c r="A4771" s="1662" t="s">
        <v>3841</v>
      </c>
      <c r="B4771" s="4326"/>
      <c r="C4771" s="4102"/>
      <c r="D4771" s="4328"/>
      <c r="E4771" s="4330"/>
      <c r="F4771" s="4363"/>
      <c r="G4771" s="4332"/>
      <c r="H4771" s="4332"/>
      <c r="I4771" s="1345">
        <v>27</v>
      </c>
      <c r="J4771" s="1307">
        <v>1.4E-2</v>
      </c>
      <c r="K4771" s="1666">
        <f>I4771*J4771</f>
        <v>0.378</v>
      </c>
      <c r="L4771" s="4334"/>
      <c r="M4771" s="4324"/>
      <c r="N4771" s="4324"/>
      <c r="O4771" s="1298">
        <f>O4773+O4774+O4775+O4776+O4777+O4778+O4783+O4791+O4792+O4793+O4794</f>
        <v>28.037674250000002</v>
      </c>
      <c r="P4771" s="1337">
        <f>O4771*K4771</f>
        <v>10.598240866500001</v>
      </c>
      <c r="Q4771" s="3390"/>
      <c r="R4771" s="1721">
        <f>SUM(P4773:P4778)+P4783+P4791+P4792+P4793+P4794</f>
        <v>10.598240866499999</v>
      </c>
    </row>
    <row r="4772" spans="1:22" s="22" customFormat="1">
      <c r="A4772" s="1599"/>
      <c r="B4772" s="1949"/>
      <c r="C4772" s="1327"/>
      <c r="D4772" s="1367"/>
      <c r="E4772" s="2121"/>
      <c r="F4772" s="1389" t="s">
        <v>1</v>
      </c>
      <c r="G4772" s="1389"/>
      <c r="H4772" s="1369"/>
      <c r="I4772" s="2088"/>
      <c r="J4772" s="1369"/>
      <c r="K4772" s="1391"/>
      <c r="L4772" s="1559"/>
      <c r="M4772" s="1369"/>
      <c r="N4772" s="1369"/>
      <c r="O4772" s="1369"/>
      <c r="P4772" s="1392"/>
      <c r="Q4772" s="3395"/>
      <c r="R4772" s="2344"/>
    </row>
    <row r="4773" spans="1:22" s="22" customFormat="1">
      <c r="B4773" s="553"/>
      <c r="C4773" s="1042"/>
      <c r="D4773" s="1367" t="s">
        <v>1129</v>
      </c>
      <c r="E4773" s="2121" t="s">
        <v>1504</v>
      </c>
      <c r="F4773" s="1367" t="s">
        <v>1988</v>
      </c>
      <c r="G4773" s="1554">
        <v>5</v>
      </c>
      <c r="H4773" s="1369"/>
      <c r="I4773" s="1299"/>
      <c r="J4773" s="1300"/>
      <c r="K4773" s="1350">
        <f>G4773*K4771</f>
        <v>1.8900000000000001</v>
      </c>
      <c r="L4773" s="1335">
        <f t="shared" ref="L4773:L4777" si="577">K4773*$K$4717</f>
        <v>0</v>
      </c>
      <c r="M4773" s="1499">
        <v>0.19</v>
      </c>
      <c r="N4773" s="1724"/>
      <c r="O4773" s="1290">
        <f>G4773*M4773</f>
        <v>0.95</v>
      </c>
      <c r="P4773" s="1332">
        <f>M4773*K4773</f>
        <v>0.35910000000000003</v>
      </c>
      <c r="Q4773" s="3391"/>
      <c r="R4773" s="2339"/>
    </row>
    <row r="4774" spans="1:22" s="22" customFormat="1">
      <c r="B4774" s="553"/>
      <c r="C4774" s="1042"/>
      <c r="D4774" s="1367" t="s">
        <v>2004</v>
      </c>
      <c r="E4774" s="2121" t="s">
        <v>1527</v>
      </c>
      <c r="F4774" s="1367" t="s">
        <v>2005</v>
      </c>
      <c r="G4774" s="1367">
        <v>0.65700000000000003</v>
      </c>
      <c r="H4774" s="1369"/>
      <c r="I4774" s="1299"/>
      <c r="J4774" s="1300"/>
      <c r="K4774" s="1350">
        <f>G4774*K4771</f>
        <v>0.24834600000000001</v>
      </c>
      <c r="L4774" s="1335">
        <f t="shared" si="577"/>
        <v>0</v>
      </c>
      <c r="M4774" s="1499">
        <v>9.27</v>
      </c>
      <c r="N4774" s="1724"/>
      <c r="O4774" s="1290">
        <f>G4774*M4774</f>
        <v>6.0903900000000002</v>
      </c>
      <c r="P4774" s="1332">
        <f>M4774*K4774</f>
        <v>2.30216742</v>
      </c>
      <c r="Q4774" s="3391"/>
      <c r="R4774" s="2339"/>
    </row>
    <row r="4775" spans="1:22" s="22" customFormat="1">
      <c r="B4775" s="553"/>
      <c r="C4775" s="1042"/>
      <c r="D4775" s="1367" t="s">
        <v>2002</v>
      </c>
      <c r="E4775" s="2121" t="s">
        <v>1507</v>
      </c>
      <c r="F4775" s="1367" t="s">
        <v>2003</v>
      </c>
      <c r="G4775" s="1554">
        <v>0.65700000000000003</v>
      </c>
      <c r="H4775" s="1369"/>
      <c r="I4775" s="1299"/>
      <c r="J4775" s="1300"/>
      <c r="K4775" s="1307">
        <f>G4775*K4771</f>
        <v>0.24834600000000001</v>
      </c>
      <c r="L4775" s="1335">
        <f t="shared" si="577"/>
        <v>0</v>
      </c>
      <c r="M4775" s="1499">
        <v>8.4700000000000006</v>
      </c>
      <c r="N4775" s="1724"/>
      <c r="O4775" s="1290">
        <f>G4775*M4775</f>
        <v>5.5647900000000003</v>
      </c>
      <c r="P4775" s="1332">
        <f>M4775*K4775</f>
        <v>2.1034906200000001</v>
      </c>
      <c r="Q4775" s="3391"/>
      <c r="R4775" s="2339"/>
    </row>
    <row r="4776" spans="1:22" s="22" customFormat="1">
      <c r="B4776" s="553"/>
      <c r="C4776" s="1042"/>
      <c r="D4776" s="1367" t="s">
        <v>1998</v>
      </c>
      <c r="E4776" s="2121" t="s">
        <v>1517</v>
      </c>
      <c r="F4776" s="1367" t="s">
        <v>1999</v>
      </c>
      <c r="G4776" s="1554">
        <v>1.2E-2</v>
      </c>
      <c r="H4776" s="1369"/>
      <c r="I4776" s="1299"/>
      <c r="J4776" s="1300"/>
      <c r="K4776" s="1307">
        <f>G4776*K4771</f>
        <v>4.5360000000000001E-3</v>
      </c>
      <c r="L4776" s="1335">
        <f t="shared" si="577"/>
        <v>0</v>
      </c>
      <c r="M4776" s="1499">
        <v>223.2</v>
      </c>
      <c r="N4776" s="1724"/>
      <c r="O4776" s="1290">
        <f>G4776*M4776</f>
        <v>2.6783999999999999</v>
      </c>
      <c r="P4776" s="1332">
        <f>M4776*K4776</f>
        <v>1.0124351999999999</v>
      </c>
      <c r="Q4776" s="3391"/>
      <c r="R4776" s="2339"/>
    </row>
    <row r="4777" spans="1:22" s="22" customFormat="1">
      <c r="A4777" s="16"/>
      <c r="B4777" s="1599"/>
      <c r="C4777" s="1320"/>
      <c r="D4777" s="2205" t="s">
        <v>1082</v>
      </c>
      <c r="E4777" s="2130" t="s">
        <v>1504</v>
      </c>
      <c r="F4777" s="2205" t="s">
        <v>1541</v>
      </c>
      <c r="G4777" s="2206">
        <v>0.2</v>
      </c>
      <c r="H4777" s="1399"/>
      <c r="I4777" s="198"/>
      <c r="J4777" s="198"/>
      <c r="K4777" s="1307">
        <f>G4777*K4771</f>
        <v>7.5600000000000001E-2</v>
      </c>
      <c r="L4777" s="1335">
        <f t="shared" si="577"/>
        <v>0</v>
      </c>
      <c r="M4777" s="1499">
        <v>0.3</v>
      </c>
      <c r="N4777" s="1701"/>
      <c r="O4777" s="1290">
        <f>G4777*M4777</f>
        <v>0.06</v>
      </c>
      <c r="P4777" s="1332">
        <f>M4777*K4777</f>
        <v>2.2679999999999999E-2</v>
      </c>
      <c r="Q4777" s="3391"/>
      <c r="R4777" s="4107"/>
    </row>
    <row r="4778" spans="1:22">
      <c r="A4778" s="1042"/>
      <c r="B4778" s="553"/>
      <c r="C4778" s="1419" t="s">
        <v>1127</v>
      </c>
      <c r="D4778" s="1311"/>
      <c r="E4778" s="2128" t="s">
        <v>1517</v>
      </c>
      <c r="F4778" s="2250" t="s">
        <v>1519</v>
      </c>
      <c r="G4778" s="1338"/>
      <c r="H4778" s="1344">
        <v>1.4999999999999999E-2</v>
      </c>
      <c r="I4778" s="1460"/>
      <c r="J4778" s="1387"/>
      <c r="K4778" s="1459"/>
      <c r="L4778" s="1457"/>
      <c r="M4778" s="1501"/>
      <c r="N4778" s="1447">
        <f>SUM(N4779:N4782)</f>
        <v>50.044430000000006</v>
      </c>
      <c r="O4778" s="1447">
        <f>SUM(O4779:O4782)</f>
        <v>0.7506664500000001</v>
      </c>
      <c r="P4778" s="1447">
        <f>SUM(P4779:P4782)</f>
        <v>0.2837519181</v>
      </c>
      <c r="Q4778" s="3391"/>
    </row>
    <row r="4779" spans="1:22">
      <c r="A4779" s="1042"/>
      <c r="B4779" s="553"/>
      <c r="C4779" s="18"/>
      <c r="D4779" s="1396" t="s">
        <v>1069</v>
      </c>
      <c r="E4779" s="2130" t="s">
        <v>1517</v>
      </c>
      <c r="F4779" s="1414" t="s">
        <v>1578</v>
      </c>
      <c r="G4779" s="1415">
        <v>0.26300000000000001</v>
      </c>
      <c r="H4779" s="1399">
        <f>H4778*G4779</f>
        <v>3.9449999999999997E-3</v>
      </c>
      <c r="I4779" s="197"/>
      <c r="J4779" s="198"/>
      <c r="K4779" s="1307">
        <f>H4779*K4771</f>
        <v>1.49121E-3</v>
      </c>
      <c r="L4779" s="1335">
        <f t="shared" ref="L4779:L4782" si="578">K4779*$K$4717</f>
        <v>0</v>
      </c>
      <c r="M4779" s="1499">
        <v>0.55000000000000004</v>
      </c>
      <c r="N4779" s="1724">
        <f>G4779*M4779</f>
        <v>0.14465000000000003</v>
      </c>
      <c r="O4779" s="1290">
        <f>H4779*M4779</f>
        <v>2.1697500000000002E-3</v>
      </c>
      <c r="P4779" s="1332">
        <f>M4779*K4779</f>
        <v>8.2016550000000004E-4</v>
      </c>
      <c r="Q4779" s="3391"/>
    </row>
    <row r="4780" spans="1:22">
      <c r="A4780" s="1042"/>
      <c r="B4780" s="553"/>
      <c r="C4780" s="1042"/>
      <c r="D4780" s="1400" t="s">
        <v>1394</v>
      </c>
      <c r="E4780" s="1856" t="s">
        <v>1577</v>
      </c>
      <c r="F4780" s="1397" t="s">
        <v>1579</v>
      </c>
      <c r="G4780" s="1416">
        <v>0.25800000000000001</v>
      </c>
      <c r="H4780" s="1399">
        <f>H4778*G4780</f>
        <v>3.8700000000000002E-3</v>
      </c>
      <c r="I4780" s="197"/>
      <c r="J4780" s="198"/>
      <c r="K4780" s="1307">
        <f>H4780*K4771</f>
        <v>1.4628600000000001E-3</v>
      </c>
      <c r="L4780" s="1335">
        <f t="shared" si="578"/>
        <v>0</v>
      </c>
      <c r="M4780" s="1499">
        <v>92.54</v>
      </c>
      <c r="N4780" s="1724">
        <f>G4780*M4780</f>
        <v>23.875320000000002</v>
      </c>
      <c r="O4780" s="1290">
        <f>H4780*M4780</f>
        <v>0.35812980000000005</v>
      </c>
      <c r="P4780" s="1332">
        <f>M4780*K4780</f>
        <v>0.13537306440000002</v>
      </c>
      <c r="Q4780" s="3391"/>
    </row>
    <row r="4781" spans="1:22">
      <c r="A4781" s="1042"/>
      <c r="B4781" s="553"/>
      <c r="C4781" s="1042"/>
      <c r="D4781" s="1400" t="s">
        <v>1576</v>
      </c>
      <c r="E4781" s="1856" t="s">
        <v>1517</v>
      </c>
      <c r="F4781" s="1397" t="s">
        <v>1580</v>
      </c>
      <c r="G4781" s="1416">
        <v>1.1020000000000001</v>
      </c>
      <c r="H4781" s="1399">
        <f>H4778*G4781</f>
        <v>1.653E-2</v>
      </c>
      <c r="I4781" s="1289"/>
      <c r="J4781" s="198"/>
      <c r="K4781" s="1307">
        <f>H4781*K4771</f>
        <v>6.2483399999999998E-3</v>
      </c>
      <c r="L4781" s="1335">
        <f t="shared" si="578"/>
        <v>0</v>
      </c>
      <c r="M4781" s="1499">
        <v>6.53</v>
      </c>
      <c r="N4781" s="1724">
        <f>G4781*M4781</f>
        <v>7.196060000000001</v>
      </c>
      <c r="O4781" s="1290">
        <f>H4781*M4781</f>
        <v>0.10794090000000001</v>
      </c>
      <c r="P4781" s="1332">
        <f>M4781*K4781</f>
        <v>4.0801660199999999E-2</v>
      </c>
      <c r="Q4781" s="3391"/>
    </row>
    <row r="4782" spans="1:22">
      <c r="A4782" s="1042"/>
      <c r="B4782" s="553"/>
      <c r="C4782" s="1042"/>
      <c r="D4782" s="1404" t="s">
        <v>1067</v>
      </c>
      <c r="E4782" s="1857" t="s">
        <v>1508</v>
      </c>
      <c r="F4782" s="1406" t="s">
        <v>1512</v>
      </c>
      <c r="G4782" s="1407">
        <v>1.03</v>
      </c>
      <c r="H4782" s="1408">
        <f>H4778*G4782</f>
        <v>1.545E-2</v>
      </c>
      <c r="I4782" s="1289"/>
      <c r="J4782" s="198"/>
      <c r="K4782" s="1307">
        <f>H4782*K4771</f>
        <v>5.8401E-3</v>
      </c>
      <c r="L4782" s="1335">
        <f t="shared" si="578"/>
        <v>0</v>
      </c>
      <c r="M4782" s="1499">
        <v>18.28</v>
      </c>
      <c r="N4782" s="1724">
        <f>G4782*M4782</f>
        <v>18.828400000000002</v>
      </c>
      <c r="O4782" s="1290">
        <f>H4782*M4782</f>
        <v>0.28242600000000001</v>
      </c>
      <c r="P4782" s="1332">
        <f>M4782*K4782</f>
        <v>0.106757028</v>
      </c>
      <c r="Q4782" s="3391"/>
    </row>
    <row r="4783" spans="1:22">
      <c r="A4783" s="16"/>
      <c r="B4783" s="1320"/>
      <c r="C4783" s="1356" t="s">
        <v>1119</v>
      </c>
      <c r="D4783" s="1311"/>
      <c r="E4783" s="1854" t="s">
        <v>1517</v>
      </c>
      <c r="F4783" s="1749" t="s">
        <v>1917</v>
      </c>
      <c r="G4783" s="1688"/>
      <c r="H4783" s="1366">
        <v>0.01</v>
      </c>
      <c r="I4783" s="1388"/>
      <c r="J4783" s="1388"/>
      <c r="K4783" s="1510"/>
      <c r="L4783" s="1445"/>
      <c r="M4783" s="1447"/>
      <c r="N4783" s="1447">
        <f>SUM(N4784:N4788)</f>
        <v>83.047780000000003</v>
      </c>
      <c r="O4783" s="1447">
        <f>SUM(O4784:O4788)</f>
        <v>0.83047780000000015</v>
      </c>
      <c r="P4783" s="1446">
        <f>SUM(P4784:P4788)</f>
        <v>0.31392060840000002</v>
      </c>
      <c r="Q4783" s="3391"/>
      <c r="S4783" s="16"/>
      <c r="T4783" s="16"/>
      <c r="U4783" s="16"/>
      <c r="V4783" s="16"/>
    </row>
    <row r="4784" spans="1:22">
      <c r="A4784" s="16"/>
      <c r="B4784" s="1320"/>
      <c r="C4784" s="18"/>
      <c r="D4784" s="1752" t="s">
        <v>1069</v>
      </c>
      <c r="E4784" s="1852" t="s">
        <v>1517</v>
      </c>
      <c r="F4784" s="1752" t="s">
        <v>1578</v>
      </c>
      <c r="G4784" s="1941">
        <v>0.2</v>
      </c>
      <c r="H4784" s="1453">
        <f>G4784*H4783</f>
        <v>2E-3</v>
      </c>
      <c r="I4784" s="198"/>
      <c r="J4784" s="198"/>
      <c r="K4784" s="1307">
        <f>H4784*K4771</f>
        <v>7.5600000000000005E-4</v>
      </c>
      <c r="L4784" s="1335">
        <f t="shared" ref="L4784:L4788" si="579">K4784*$K$4717</f>
        <v>0</v>
      </c>
      <c r="M4784" s="1499">
        <v>0.55000000000000004</v>
      </c>
      <c r="N4784" s="1718">
        <f>G4784*M4784</f>
        <v>0.11000000000000001</v>
      </c>
      <c r="O4784" s="1719">
        <f>H4784*M4784</f>
        <v>1.1000000000000001E-3</v>
      </c>
      <c r="P4784" s="1720">
        <f>M4784*K4784</f>
        <v>4.1580000000000008E-4</v>
      </c>
      <c r="Q4784" s="3396"/>
      <c r="R4784" s="2337"/>
      <c r="S4784" s="16"/>
      <c r="T4784" s="16"/>
      <c r="U4784" s="16"/>
      <c r="V4784" s="16"/>
    </row>
    <row r="4785" spans="1:22">
      <c r="A4785" s="16"/>
      <c r="B4785" s="1320"/>
      <c r="C4785" s="1042"/>
      <c r="D4785" s="1752" t="s">
        <v>1792</v>
      </c>
      <c r="E4785" s="1852" t="s">
        <v>1577</v>
      </c>
      <c r="F4785" s="1752" t="s">
        <v>1793</v>
      </c>
      <c r="G4785" s="1941">
        <v>0.19</v>
      </c>
      <c r="H4785" s="1399">
        <f>H4783*G4785</f>
        <v>1.9E-3</v>
      </c>
      <c r="I4785" s="197"/>
      <c r="J4785" s="198"/>
      <c r="K4785" s="1307">
        <f>H4785*K4771</f>
        <v>7.182E-4</v>
      </c>
      <c r="L4785" s="1335">
        <f t="shared" si="579"/>
        <v>0</v>
      </c>
      <c r="M4785" s="1499">
        <v>85.09</v>
      </c>
      <c r="N4785" s="1718">
        <f>G4785*M4785</f>
        <v>16.167100000000001</v>
      </c>
      <c r="O4785" s="1719">
        <f>H4785*M4785</f>
        <v>0.16167100000000001</v>
      </c>
      <c r="P4785" s="1720">
        <f>M4785*K4785</f>
        <v>6.1111638000000003E-2</v>
      </c>
      <c r="Q4785" s="3396"/>
      <c r="R4785" s="2337"/>
      <c r="S4785" s="16"/>
      <c r="T4785" s="16"/>
      <c r="U4785" s="16"/>
      <c r="V4785" s="16"/>
    </row>
    <row r="4786" spans="1:22">
      <c r="A4786" s="16"/>
      <c r="B4786" s="1320"/>
      <c r="C4786" s="1042"/>
      <c r="D4786" s="1752" t="s">
        <v>1394</v>
      </c>
      <c r="E4786" s="1852" t="s">
        <v>1577</v>
      </c>
      <c r="F4786" s="1752" t="s">
        <v>1579</v>
      </c>
      <c r="G4786" s="1941">
        <v>0.38</v>
      </c>
      <c r="H4786" s="1399">
        <f>H4783*G4786</f>
        <v>3.8E-3</v>
      </c>
      <c r="I4786" s="1289"/>
      <c r="J4786" s="198"/>
      <c r="K4786" s="1307">
        <f>H4786*K4771</f>
        <v>1.4364E-3</v>
      </c>
      <c r="L4786" s="1335">
        <f t="shared" si="579"/>
        <v>0</v>
      </c>
      <c r="M4786" s="1499">
        <v>92.54</v>
      </c>
      <c r="N4786" s="1718">
        <f>G4786*M4786</f>
        <v>35.165200000000006</v>
      </c>
      <c r="O4786" s="1719">
        <f>H4786*M4786</f>
        <v>0.35165200000000002</v>
      </c>
      <c r="P4786" s="1720">
        <f>M4786*K4786</f>
        <v>0.132924456</v>
      </c>
      <c r="Q4786" s="3396"/>
      <c r="R4786" s="2337"/>
      <c r="S4786" s="16"/>
      <c r="T4786" s="16"/>
      <c r="U4786" s="16"/>
      <c r="V4786" s="16"/>
    </row>
    <row r="4787" spans="1:22">
      <c r="A4787" s="16"/>
      <c r="B4787" s="1320"/>
      <c r="C4787" s="1042"/>
      <c r="D4787" s="1752" t="s">
        <v>1576</v>
      </c>
      <c r="E4787" s="1852" t="s">
        <v>1517</v>
      </c>
      <c r="F4787" s="1752" t="s">
        <v>1580</v>
      </c>
      <c r="G4787" s="1941">
        <v>1.38</v>
      </c>
      <c r="H4787" s="1453">
        <f>G4787*H4783</f>
        <v>1.38E-2</v>
      </c>
      <c r="I4787" s="1289"/>
      <c r="J4787" s="198"/>
      <c r="K4787" s="1307">
        <f>H4787*K4771</f>
        <v>5.2164000000000004E-3</v>
      </c>
      <c r="L4787" s="1335">
        <f t="shared" si="579"/>
        <v>0</v>
      </c>
      <c r="M4787" s="1499">
        <v>6.53</v>
      </c>
      <c r="N4787" s="1718">
        <f>G4787*M4787</f>
        <v>9.0114000000000001</v>
      </c>
      <c r="O4787" s="1719">
        <f>H4787*M4787</f>
        <v>9.0114E-2</v>
      </c>
      <c r="P4787" s="1720">
        <f>M4787*K4787</f>
        <v>3.4063092000000003E-2</v>
      </c>
      <c r="Q4787" s="3396"/>
      <c r="R4787" s="2337"/>
      <c r="S4787" s="16"/>
      <c r="T4787" s="16"/>
      <c r="U4787" s="16"/>
      <c r="V4787" s="16"/>
    </row>
    <row r="4788" spans="1:22">
      <c r="A4788" s="16"/>
      <c r="B4788" s="1320"/>
      <c r="C4788" s="1042"/>
      <c r="D4788" s="1754" t="s">
        <v>1067</v>
      </c>
      <c r="E4788" s="1853" t="s">
        <v>1508</v>
      </c>
      <c r="F4788" s="1754" t="s">
        <v>1512</v>
      </c>
      <c r="G4788" s="4018">
        <v>1.236</v>
      </c>
      <c r="H4788" s="4019">
        <f>G4788*H4783</f>
        <v>1.2359999999999999E-2</v>
      </c>
      <c r="I4788" s="1289"/>
      <c r="J4788" s="198"/>
      <c r="K4788" s="1307">
        <f>H4788*K4771</f>
        <v>4.6720799999999995E-3</v>
      </c>
      <c r="L4788" s="1335">
        <f t="shared" si="579"/>
        <v>0</v>
      </c>
      <c r="M4788" s="1499">
        <v>18.28</v>
      </c>
      <c r="N4788" s="1718">
        <f>G4788*M4788</f>
        <v>22.594080000000002</v>
      </c>
      <c r="O4788" s="1719">
        <f>H4788*M4788</f>
        <v>0.2259408</v>
      </c>
      <c r="P4788" s="1720">
        <f>M4788*K4788</f>
        <v>8.5405622399999992E-2</v>
      </c>
      <c r="Q4788" s="3396"/>
      <c r="R4788" s="2337"/>
      <c r="S4788" s="16"/>
      <c r="T4788" s="16"/>
      <c r="U4788" s="16"/>
      <c r="V4788" s="16"/>
    </row>
    <row r="4789" spans="1:22">
      <c r="A4789" s="19"/>
      <c r="B4789" s="553"/>
      <c r="C4789" s="1042"/>
      <c r="D4789" s="3989"/>
      <c r="E4789" s="3990"/>
      <c r="F4789" s="1766"/>
      <c r="G4789" s="4020"/>
      <c r="H4789" s="3994"/>
      <c r="I4789" s="1289"/>
      <c r="J4789" s="3991"/>
      <c r="K4789" s="1307"/>
      <c r="L4789" s="1335"/>
      <c r="M4789" s="3992"/>
      <c r="N4789" s="1724"/>
      <c r="O4789" s="1290"/>
      <c r="P4789" s="3919"/>
      <c r="Q4789" s="3391"/>
    </row>
    <row r="4790" spans="1:22" s="22" customFormat="1" ht="26">
      <c r="A4790" s="2187"/>
      <c r="B4790" s="1599"/>
      <c r="C4790" s="1042"/>
      <c r="D4790" s="1359"/>
      <c r="E4790" s="1858"/>
      <c r="F4790" s="1360" t="s">
        <v>2</v>
      </c>
      <c r="G4790" s="1360"/>
      <c r="H4790" s="1362"/>
      <c r="I4790" s="1380"/>
      <c r="J4790" s="1381"/>
      <c r="K4790" s="1381"/>
      <c r="L4790" s="1458"/>
      <c r="M4790" s="1362"/>
      <c r="N4790" s="1362"/>
      <c r="O4790" s="1362"/>
      <c r="P4790" s="1359"/>
      <c r="Q4790" s="3403"/>
      <c r="R4790" s="2357"/>
    </row>
    <row r="4791" spans="1:22" s="22" customFormat="1" ht="18" customHeight="1">
      <c r="A4791" s="4012"/>
      <c r="B4791" s="1599"/>
      <c r="C4791" s="1042"/>
      <c r="D4791" s="4013" t="s">
        <v>1133</v>
      </c>
      <c r="E4791" s="4014" t="s">
        <v>1508</v>
      </c>
      <c r="F4791" s="4015" t="s">
        <v>1955</v>
      </c>
      <c r="G4791" s="4017">
        <v>0.1</v>
      </c>
      <c r="H4791" s="3897"/>
      <c r="I4791" s="198"/>
      <c r="J4791" s="198"/>
      <c r="K4791" s="1307">
        <f>G4791*K4771</f>
        <v>3.78E-2</v>
      </c>
      <c r="L4791" s="1335">
        <f t="shared" ref="L4791:L4793" si="580">K4791*$K$4717</f>
        <v>0</v>
      </c>
      <c r="M4791" s="1499">
        <v>19.23</v>
      </c>
      <c r="N4791" s="1718"/>
      <c r="O4791" s="1290">
        <f t="shared" ref="O4791:O4793" si="581">G4791*M4791</f>
        <v>1.923</v>
      </c>
      <c r="P4791" s="1332">
        <f t="shared" ref="P4791:P4793" si="582">M4791*K4791</f>
        <v>0.72689400000000004</v>
      </c>
      <c r="Q4791" s="3387"/>
      <c r="R4791" s="3996"/>
    </row>
    <row r="4792" spans="1:22" s="22" customFormat="1" ht="20.25" customHeight="1">
      <c r="A4792" s="4012"/>
      <c r="B4792" s="1599"/>
      <c r="C4792" s="1042"/>
      <c r="D4792" s="4013" t="s">
        <v>1134</v>
      </c>
      <c r="E4792" s="4014" t="s">
        <v>1508</v>
      </c>
      <c r="F4792" s="4015" t="s">
        <v>1547</v>
      </c>
      <c r="G4792" s="4017">
        <v>7.0000000000000007E-2</v>
      </c>
      <c r="H4792" s="3897"/>
      <c r="I4792" s="197"/>
      <c r="J4792" s="198"/>
      <c r="K4792" s="1307">
        <f>G4792*K4771</f>
        <v>2.6460000000000004E-2</v>
      </c>
      <c r="L4792" s="1335">
        <f t="shared" si="580"/>
        <v>0</v>
      </c>
      <c r="M4792" s="1499">
        <v>19.23</v>
      </c>
      <c r="N4792" s="1718"/>
      <c r="O4792" s="1290">
        <f t="shared" si="581"/>
        <v>1.3461000000000001</v>
      </c>
      <c r="P4792" s="1332">
        <f t="shared" si="582"/>
        <v>0.50882580000000011</v>
      </c>
      <c r="Q4792" s="3387"/>
      <c r="R4792" s="3996"/>
    </row>
    <row r="4793" spans="1:22" s="22" customFormat="1">
      <c r="A4793" s="16"/>
      <c r="B4793" s="1042"/>
      <c r="C4793" s="1042"/>
      <c r="D4793" s="1402" t="s">
        <v>1067</v>
      </c>
      <c r="E4793" s="1857" t="s">
        <v>1508</v>
      </c>
      <c r="F4793" s="1430" t="s">
        <v>1512</v>
      </c>
      <c r="G4793" s="4136">
        <v>7.0000000000000007E-2</v>
      </c>
      <c r="H4793" s="1408"/>
      <c r="I4793" s="1289"/>
      <c r="J4793" s="198"/>
      <c r="K4793" s="1307">
        <f>G4793*K4771</f>
        <v>2.6460000000000004E-2</v>
      </c>
      <c r="L4793" s="1335">
        <f t="shared" si="580"/>
        <v>0</v>
      </c>
      <c r="M4793" s="1499">
        <v>18.28</v>
      </c>
      <c r="N4793" s="1718"/>
      <c r="O4793" s="1290">
        <f t="shared" si="581"/>
        <v>1.2796000000000003</v>
      </c>
      <c r="P4793" s="1332">
        <f t="shared" si="582"/>
        <v>0.48368880000000009</v>
      </c>
      <c r="Q4793" s="3391"/>
      <c r="R4793" s="2338"/>
    </row>
    <row r="4794" spans="1:22" s="22" customFormat="1">
      <c r="A4794"/>
      <c r="B4794" s="553"/>
      <c r="C4794" s="1938" t="s">
        <v>1755</v>
      </c>
      <c r="D4794" s="1311"/>
      <c r="E4794" s="2176" t="s">
        <v>1508</v>
      </c>
      <c r="F4794" s="2051" t="s">
        <v>1524</v>
      </c>
      <c r="G4794" s="2052"/>
      <c r="H4794" s="1338">
        <v>0.17499999999999999</v>
      </c>
      <c r="I4794" s="1444"/>
      <c r="J4794" s="1388"/>
      <c r="K4794" s="1445"/>
      <c r="L4794" s="1457"/>
      <c r="M4794" s="1447"/>
      <c r="N4794" s="1447">
        <f>SUM(N4795:N4796)</f>
        <v>37.510000000000005</v>
      </c>
      <c r="O4794" s="1447">
        <f>SUM(O4795:O4796)</f>
        <v>6.5642499999999995</v>
      </c>
      <c r="P4794" s="1447">
        <f>SUM(P4795:P4796)</f>
        <v>2.4812865</v>
      </c>
      <c r="Q4794" s="3391"/>
      <c r="R4794" s="2337"/>
    </row>
    <row r="4795" spans="1:22" s="22" customFormat="1">
      <c r="A4795" s="19"/>
      <c r="B4795" s="1042"/>
      <c r="C4795" s="1042"/>
      <c r="D4795" s="1402" t="s">
        <v>1067</v>
      </c>
      <c r="E4795" s="1857" t="s">
        <v>1508</v>
      </c>
      <c r="F4795" s="1430" t="s">
        <v>5</v>
      </c>
      <c r="G4795" s="1381">
        <v>1</v>
      </c>
      <c r="H4795" s="1408">
        <f>G4795*H4794</f>
        <v>0.17499999999999999</v>
      </c>
      <c r="I4795" s="1340"/>
      <c r="J4795" s="198"/>
      <c r="K4795" s="1307">
        <f>H4795*K4771</f>
        <v>6.615E-2</v>
      </c>
      <c r="L4795" s="1335">
        <f t="shared" ref="L4795:L4796" si="583">K4795*$K$4717</f>
        <v>0</v>
      </c>
      <c r="M4795" s="1302">
        <v>18.28</v>
      </c>
      <c r="N4795" s="1724">
        <f>G4795*M4795</f>
        <v>18.28</v>
      </c>
      <c r="O4795" s="1726">
        <f>H4795*M4795</f>
        <v>3.1989999999999998</v>
      </c>
      <c r="P4795" s="1727">
        <f>M4795*K4795</f>
        <v>1.209222</v>
      </c>
      <c r="Q4795" s="3396"/>
      <c r="R4795" s="2338"/>
    </row>
    <row r="4796" spans="1:22" s="22" customFormat="1">
      <c r="A4796" s="19"/>
      <c r="B4796" s="1042"/>
      <c r="C4796" s="1042"/>
      <c r="D4796" s="1402" t="s">
        <v>1077</v>
      </c>
      <c r="E4796" s="1857" t="s">
        <v>1508</v>
      </c>
      <c r="F4796" s="1430" t="s">
        <v>37</v>
      </c>
      <c r="G4796" s="1381">
        <v>1</v>
      </c>
      <c r="H4796" s="1408">
        <f>G4796*H4794</f>
        <v>0.17499999999999999</v>
      </c>
      <c r="I4796" s="198"/>
      <c r="J4796" s="198"/>
      <c r="K4796" s="1307">
        <f>H4796*K4771</f>
        <v>6.615E-2</v>
      </c>
      <c r="L4796" s="1335">
        <f t="shared" si="583"/>
        <v>0</v>
      </c>
      <c r="M4796" s="1302">
        <v>19.23</v>
      </c>
      <c r="N4796" s="1724">
        <f>G4796*M4796</f>
        <v>19.23</v>
      </c>
      <c r="O4796" s="1719">
        <f>(H4796*M4796)</f>
        <v>3.3652500000000001</v>
      </c>
      <c r="P4796" s="1727">
        <f>M4796*K4796</f>
        <v>1.2720644999999999</v>
      </c>
      <c r="Q4796" s="3396"/>
      <c r="R4796" s="2338"/>
    </row>
    <row r="4797" spans="1:22" s="22" customFormat="1">
      <c r="B4797" s="1320"/>
      <c r="C4797" s="16"/>
      <c r="D4797" s="1359"/>
      <c r="E4797" s="1858"/>
      <c r="F4797" s="1474"/>
      <c r="G4797" s="2198"/>
      <c r="H4797" s="1466"/>
      <c r="I4797" s="1289"/>
      <c r="J4797" s="8"/>
      <c r="K4797" s="1307"/>
      <c r="L4797" s="1335"/>
      <c r="M4797" s="1302"/>
      <c r="N4797" s="1700"/>
      <c r="O4797" s="1290"/>
      <c r="P4797" s="1332"/>
      <c r="Q4797" s="3391"/>
      <c r="R4797" s="2344"/>
    </row>
    <row r="4798" spans="1:22" s="22" customFormat="1">
      <c r="A4798" s="1320"/>
      <c r="B4798" s="1599"/>
      <c r="C4798" s="1320"/>
      <c r="D4798" s="1373"/>
      <c r="E4798" s="2123"/>
      <c r="F4798" s="1374" t="s">
        <v>3</v>
      </c>
      <c r="G4798" s="2199"/>
      <c r="H4798" s="1376"/>
      <c r="I4798" s="1382"/>
      <c r="J4798" s="1383"/>
      <c r="K4798" s="1383"/>
      <c r="L4798" s="1413"/>
      <c r="M4798" s="1376"/>
      <c r="N4798" s="1376"/>
      <c r="O4798" s="1376"/>
      <c r="P4798" s="1373"/>
      <c r="Q4798" s="3403"/>
      <c r="R4798" s="2356"/>
    </row>
    <row r="4799" spans="1:22" s="22" customFormat="1">
      <c r="A4799" s="1321"/>
      <c r="B4799" s="2053"/>
      <c r="C4799" s="1321"/>
      <c r="D4799" s="2202"/>
      <c r="E4799" s="2304"/>
      <c r="F4799" s="2202"/>
      <c r="G4799" s="2203"/>
      <c r="H4799" s="1379"/>
      <c r="I4799" s="1299"/>
      <c r="J4799" s="1300"/>
      <c r="K4799" s="1307"/>
      <c r="L4799" s="1335"/>
      <c r="M4799" s="1302"/>
      <c r="N4799" s="1700"/>
      <c r="O4799" s="1290"/>
      <c r="P4799" s="1332"/>
      <c r="Q4799" s="3402"/>
      <c r="R4799" s="2053"/>
    </row>
    <row r="4800" spans="1:22" s="22" customFormat="1">
      <c r="A4800" s="1321"/>
      <c r="B4800" s="2053"/>
      <c r="C4800" s="1321"/>
      <c r="D4800" s="1377"/>
      <c r="E4800" s="2124"/>
      <c r="F4800" s="1378"/>
      <c r="G4800" s="2200"/>
      <c r="H4800" s="1379"/>
      <c r="I4800" s="1299"/>
      <c r="J4800" s="1300"/>
      <c r="K4800" s="1307"/>
      <c r="L4800" s="1335"/>
      <c r="M4800" s="1302"/>
      <c r="N4800" s="1700"/>
      <c r="O4800" s="1290"/>
      <c r="P4800" s="1332"/>
      <c r="Q4800" s="3402"/>
      <c r="R4800" s="2053"/>
    </row>
    <row r="4801" spans="1:18" s="22" customFormat="1">
      <c r="A4801" s="1320"/>
      <c r="B4801" s="1765"/>
      <c r="C4801" s="223"/>
      <c r="D4801" s="1373"/>
      <c r="E4801" s="2161"/>
      <c r="F4801" s="1678"/>
      <c r="G4801" s="2201"/>
      <c r="H4801" s="1376"/>
      <c r="I4801" s="1299"/>
      <c r="J4801" s="1300"/>
      <c r="K4801" s="1307"/>
      <c r="L4801" s="1335"/>
      <c r="M4801" s="1302"/>
      <c r="N4801" s="1700"/>
      <c r="O4801" s="1290"/>
      <c r="P4801" s="1332"/>
      <c r="Q4801" s="3402"/>
      <c r="R4801" s="2356"/>
    </row>
    <row r="4802" spans="1:18" s="22" customFormat="1">
      <c r="A4802" s="551" t="s">
        <v>3764</v>
      </c>
      <c r="B4802" s="4325" t="s">
        <v>3848</v>
      </c>
      <c r="C4802" s="4101"/>
      <c r="D4802" s="4327"/>
      <c r="E4802" s="4329" t="s">
        <v>1527</v>
      </c>
      <c r="F4802" s="4372" t="s">
        <v>3847</v>
      </c>
      <c r="G4802" s="4331" t="s">
        <v>1568</v>
      </c>
      <c r="H4802" s="4331" t="s">
        <v>1574</v>
      </c>
      <c r="I4802" s="1572" t="s">
        <v>1559</v>
      </c>
      <c r="J4802" s="1294" t="s">
        <v>1560</v>
      </c>
      <c r="K4802" s="1294" t="s">
        <v>1569</v>
      </c>
      <c r="L4802" s="4333" t="s">
        <v>3765</v>
      </c>
      <c r="M4802" s="4323" t="s">
        <v>1571</v>
      </c>
      <c r="N4802" s="4323" t="s">
        <v>1776</v>
      </c>
      <c r="O4802" s="4098" t="s">
        <v>1563</v>
      </c>
      <c r="P4802" s="1336" t="s">
        <v>1562</v>
      </c>
      <c r="Q4802" s="3389"/>
      <c r="R4802" s="1699" t="s">
        <v>1327</v>
      </c>
    </row>
    <row r="4803" spans="1:18" s="22" customFormat="1">
      <c r="A4803" s="1662" t="s">
        <v>3841</v>
      </c>
      <c r="B4803" s="4326"/>
      <c r="C4803" s="4102"/>
      <c r="D4803" s="4328"/>
      <c r="E4803" s="4330"/>
      <c r="F4803" s="4363"/>
      <c r="G4803" s="4332"/>
      <c r="H4803" s="4332"/>
      <c r="I4803" s="1345">
        <v>5</v>
      </c>
      <c r="J4803" s="1307">
        <v>1.4E-2</v>
      </c>
      <c r="K4803" s="1666">
        <f>I4803*J4803</f>
        <v>7.0000000000000007E-2</v>
      </c>
      <c r="L4803" s="4334"/>
      <c r="M4803" s="4324"/>
      <c r="N4803" s="4324"/>
      <c r="O4803" s="1298">
        <f>O4805+O4806+O4807+O4808+O4809+O4816+O4817</f>
        <v>23.884573289999999</v>
      </c>
      <c r="P4803" s="1337">
        <f>O4803*K4803</f>
        <v>1.6719201303</v>
      </c>
      <c r="Q4803" s="3390"/>
      <c r="R4803" s="1721">
        <f>SUM(P4805:P4809)+P4816+P4817</f>
        <v>1.6719201303000004</v>
      </c>
    </row>
    <row r="4804" spans="1:18" s="22" customFormat="1">
      <c r="A4804" s="1599"/>
      <c r="B4804" s="1949"/>
      <c r="C4804" s="1327"/>
      <c r="D4804" s="1367"/>
      <c r="E4804" s="2121"/>
      <c r="F4804" s="1389" t="s">
        <v>1</v>
      </c>
      <c r="G4804" s="1389"/>
      <c r="H4804" s="1369"/>
      <c r="I4804" s="2088"/>
      <c r="J4804" s="1369"/>
      <c r="K4804" s="1391"/>
      <c r="L4804" s="1559"/>
      <c r="M4804" s="1369"/>
      <c r="N4804" s="1369"/>
      <c r="O4804" s="1369"/>
      <c r="P4804" s="1392"/>
      <c r="Q4804" s="3395"/>
      <c r="R4804" s="2344"/>
    </row>
    <row r="4805" spans="1:18" s="22" customFormat="1">
      <c r="B4805" s="553"/>
      <c r="C4805" s="1042"/>
      <c r="D4805" s="3866" t="s">
        <v>1123</v>
      </c>
      <c r="E4805" s="3867" t="s">
        <v>1521</v>
      </c>
      <c r="F4805" s="3910" t="s">
        <v>1679</v>
      </c>
      <c r="G4805" s="3911">
        <v>4.0000000000000001E-3</v>
      </c>
      <c r="H4805" s="1369"/>
      <c r="I4805" s="1299"/>
      <c r="J4805" s="1300"/>
      <c r="K4805" s="1307">
        <f>G4805*K4803</f>
        <v>2.8000000000000003E-4</v>
      </c>
      <c r="L4805" s="1335">
        <f t="shared" ref="L4805:L4808" si="584">K4805*$K$4717</f>
        <v>0</v>
      </c>
      <c r="M4805" s="1499">
        <v>61.71</v>
      </c>
      <c r="N4805" s="1724"/>
      <c r="O4805" s="1290">
        <f>G4805*M4805</f>
        <v>0.24684</v>
      </c>
      <c r="P4805" s="1332">
        <f>M4805*K4805</f>
        <v>1.72788E-2</v>
      </c>
      <c r="Q4805" s="3391"/>
      <c r="R4805" s="2339"/>
    </row>
    <row r="4806" spans="1:18" s="22" customFormat="1">
      <c r="B4806" s="553"/>
      <c r="C4806" s="1042"/>
      <c r="D4806" s="3866" t="s">
        <v>2004</v>
      </c>
      <c r="E4806" s="3867" t="s">
        <v>1527</v>
      </c>
      <c r="F4806" s="3910" t="s">
        <v>2005</v>
      </c>
      <c r="G4806" s="3911">
        <v>1.01</v>
      </c>
      <c r="H4806" s="1369"/>
      <c r="I4806" s="1299"/>
      <c r="J4806" s="1300"/>
      <c r="K4806" s="1350">
        <f>G4806*K4803</f>
        <v>7.0700000000000013E-2</v>
      </c>
      <c r="L4806" s="1335">
        <f t="shared" si="584"/>
        <v>0</v>
      </c>
      <c r="M4806" s="1499">
        <v>9.27</v>
      </c>
      <c r="N4806" s="1724"/>
      <c r="O4806" s="1290">
        <f>G4806*M4806</f>
        <v>9.3627000000000002</v>
      </c>
      <c r="P4806" s="1332">
        <f>M4806*K4806</f>
        <v>0.65538900000000011</v>
      </c>
      <c r="Q4806" s="3391"/>
      <c r="R4806" s="2339"/>
    </row>
    <row r="4807" spans="1:18" s="22" customFormat="1">
      <c r="B4807" s="553"/>
      <c r="C4807" s="1042"/>
      <c r="D4807" s="3866" t="s">
        <v>2002</v>
      </c>
      <c r="E4807" s="3867" t="s">
        <v>1507</v>
      </c>
      <c r="F4807" s="3910" t="s">
        <v>2003</v>
      </c>
      <c r="G4807" s="3911">
        <v>1.01</v>
      </c>
      <c r="H4807" s="1369"/>
      <c r="I4807" s="1299"/>
      <c r="J4807" s="1300"/>
      <c r="K4807" s="1307">
        <f>G4807*K4803</f>
        <v>7.0700000000000013E-2</v>
      </c>
      <c r="L4807" s="1335">
        <f t="shared" si="584"/>
        <v>0</v>
      </c>
      <c r="M4807" s="1499">
        <v>8.4700000000000006</v>
      </c>
      <c r="N4807" s="1724"/>
      <c r="O4807" s="1290">
        <f>G4807*M4807</f>
        <v>8.5547000000000004</v>
      </c>
      <c r="P4807" s="1332">
        <f>M4807*K4807</f>
        <v>0.59882900000000017</v>
      </c>
      <c r="Q4807" s="3391"/>
      <c r="R4807" s="2339"/>
    </row>
    <row r="4808" spans="1:18" s="22" customFormat="1">
      <c r="B4808" s="553"/>
      <c r="C4808" s="1042"/>
      <c r="D4808" s="3866" t="s">
        <v>1082</v>
      </c>
      <c r="E4808" s="3867" t="s">
        <v>1504</v>
      </c>
      <c r="F4808" s="3910" t="s">
        <v>1541</v>
      </c>
      <c r="G4808" s="3911">
        <v>0.2</v>
      </c>
      <c r="H4808" s="1369"/>
      <c r="I4808" s="1299"/>
      <c r="J4808" s="1300"/>
      <c r="K4808" s="1307">
        <f>G4808*K4803</f>
        <v>1.4000000000000002E-2</v>
      </c>
      <c r="L4808" s="1335">
        <f t="shared" si="584"/>
        <v>0</v>
      </c>
      <c r="M4808" s="1499">
        <v>0.3</v>
      </c>
      <c r="N4808" s="1724"/>
      <c r="O4808" s="1290">
        <f>G4808*M4808</f>
        <v>0.06</v>
      </c>
      <c r="P4808" s="1332">
        <f>M4808*K4808</f>
        <v>4.2000000000000006E-3</v>
      </c>
      <c r="Q4808" s="3391"/>
      <c r="R4808" s="2339"/>
    </row>
    <row r="4809" spans="1:18">
      <c r="A4809" s="1042"/>
      <c r="B4809" s="553"/>
      <c r="C4809" s="1419" t="s">
        <v>1127</v>
      </c>
      <c r="D4809" s="1311"/>
      <c r="E4809" s="2128" t="s">
        <v>1517</v>
      </c>
      <c r="F4809" s="2250" t="s">
        <v>1519</v>
      </c>
      <c r="G4809" s="1338"/>
      <c r="H4809" s="1344">
        <v>3.0000000000000001E-3</v>
      </c>
      <c r="I4809" s="1460"/>
      <c r="J4809" s="1387"/>
      <c r="K4809" s="1459"/>
      <c r="L4809" s="1457"/>
      <c r="M4809" s="1501"/>
      <c r="N4809" s="1447">
        <f>SUM(N4810:N4813)</f>
        <v>50.044430000000006</v>
      </c>
      <c r="O4809" s="1447">
        <f>SUM(O4810:O4813)</f>
        <v>0.15013329000000003</v>
      </c>
      <c r="P4809" s="1447">
        <f>SUM(P4810:P4813)</f>
        <v>1.0509330300000005E-2</v>
      </c>
      <c r="Q4809" s="3391"/>
    </row>
    <row r="4810" spans="1:18">
      <c r="A4810" s="1042"/>
      <c r="B4810" s="553"/>
      <c r="C4810" s="18"/>
      <c r="D4810" s="1396" t="s">
        <v>1069</v>
      </c>
      <c r="E4810" s="2130" t="s">
        <v>1517</v>
      </c>
      <c r="F4810" s="1414" t="s">
        <v>1578</v>
      </c>
      <c r="G4810" s="1415">
        <v>0.26300000000000001</v>
      </c>
      <c r="H4810" s="1399">
        <f>H4809*G4810</f>
        <v>7.890000000000001E-4</v>
      </c>
      <c r="I4810" s="197"/>
      <c r="J4810" s="198"/>
      <c r="K4810" s="1732">
        <f>H4810*K4803</f>
        <v>5.5230000000000012E-5</v>
      </c>
      <c r="L4810" s="1335">
        <f t="shared" ref="L4810:L4813" si="585">K4810*$K$4717</f>
        <v>0</v>
      </c>
      <c r="M4810" s="1499">
        <v>0.55000000000000004</v>
      </c>
      <c r="N4810" s="1724">
        <f>G4810*M4810</f>
        <v>0.14465000000000003</v>
      </c>
      <c r="O4810" s="4139">
        <f>H4810*M4810</f>
        <v>4.3395000000000011E-4</v>
      </c>
      <c r="P4810" s="4140">
        <f>M4810*K4810</f>
        <v>3.037650000000001E-5</v>
      </c>
      <c r="Q4810" s="3391"/>
    </row>
    <row r="4811" spans="1:18">
      <c r="A4811" s="1042"/>
      <c r="B4811" s="553"/>
      <c r="C4811" s="1042"/>
      <c r="D4811" s="1400" t="s">
        <v>1394</v>
      </c>
      <c r="E4811" s="1856" t="s">
        <v>1577</v>
      </c>
      <c r="F4811" s="1397" t="s">
        <v>1579</v>
      </c>
      <c r="G4811" s="1416">
        <v>0.25800000000000001</v>
      </c>
      <c r="H4811" s="1399">
        <f>H4809*G4811</f>
        <v>7.7400000000000006E-4</v>
      </c>
      <c r="I4811" s="197"/>
      <c r="J4811" s="198"/>
      <c r="K4811" s="1307">
        <f>H4811*K4803</f>
        <v>5.4180000000000006E-5</v>
      </c>
      <c r="L4811" s="1335">
        <f t="shared" si="585"/>
        <v>0</v>
      </c>
      <c r="M4811" s="1499">
        <v>92.54</v>
      </c>
      <c r="N4811" s="1724">
        <f>G4811*M4811</f>
        <v>23.875320000000002</v>
      </c>
      <c r="O4811" s="1290">
        <f>H4811*M4811</f>
        <v>7.1625960000000016E-2</v>
      </c>
      <c r="P4811" s="1332">
        <f>M4811*K4811</f>
        <v>5.0138172000000012E-3</v>
      </c>
      <c r="Q4811" s="3391"/>
    </row>
    <row r="4812" spans="1:18">
      <c r="A4812" s="1042"/>
      <c r="B4812" s="553"/>
      <c r="C4812" s="1042"/>
      <c r="D4812" s="1400" t="s">
        <v>1576</v>
      </c>
      <c r="E4812" s="1856" t="s">
        <v>1517</v>
      </c>
      <c r="F4812" s="1397" t="s">
        <v>1580</v>
      </c>
      <c r="G4812" s="1416">
        <v>1.1020000000000001</v>
      </c>
      <c r="H4812" s="1399">
        <f>H4809*G4812</f>
        <v>3.3060000000000003E-3</v>
      </c>
      <c r="I4812" s="1289"/>
      <c r="J4812" s="198"/>
      <c r="K4812" s="1307">
        <f>H4812*K4803</f>
        <v>2.3142000000000006E-4</v>
      </c>
      <c r="L4812" s="1335">
        <f t="shared" si="585"/>
        <v>0</v>
      </c>
      <c r="M4812" s="1499">
        <v>6.53</v>
      </c>
      <c r="N4812" s="1724">
        <f>G4812*M4812</f>
        <v>7.196060000000001</v>
      </c>
      <c r="O4812" s="1290">
        <f>H4812*M4812</f>
        <v>2.1588180000000002E-2</v>
      </c>
      <c r="P4812" s="1332">
        <f>M4812*K4812</f>
        <v>1.5111726000000005E-3</v>
      </c>
      <c r="Q4812" s="3391"/>
    </row>
    <row r="4813" spans="1:18">
      <c r="A4813" s="1042"/>
      <c r="B4813" s="553"/>
      <c r="C4813" s="1042"/>
      <c r="D4813" s="1404" t="s">
        <v>1067</v>
      </c>
      <c r="E4813" s="1857" t="s">
        <v>1508</v>
      </c>
      <c r="F4813" s="1406" t="s">
        <v>1512</v>
      </c>
      <c r="G4813" s="1407">
        <v>1.03</v>
      </c>
      <c r="H4813" s="1408">
        <f>H4809*G4813</f>
        <v>3.0900000000000003E-3</v>
      </c>
      <c r="I4813" s="1289"/>
      <c r="J4813" s="198"/>
      <c r="K4813" s="1307">
        <f>H4813*K4803</f>
        <v>2.1630000000000005E-4</v>
      </c>
      <c r="L4813" s="1335">
        <f t="shared" si="585"/>
        <v>0</v>
      </c>
      <c r="M4813" s="1499">
        <v>18.28</v>
      </c>
      <c r="N4813" s="1724">
        <f>G4813*M4813</f>
        <v>18.828400000000002</v>
      </c>
      <c r="O4813" s="1290">
        <f>H4813*M4813</f>
        <v>5.6485200000000006E-2</v>
      </c>
      <c r="P4813" s="1332">
        <f>M4813*K4813</f>
        <v>3.9539640000000017E-3</v>
      </c>
      <c r="Q4813" s="3391"/>
    </row>
    <row r="4814" spans="1:18">
      <c r="A4814" s="19"/>
      <c r="B4814" s="553"/>
      <c r="C4814" s="1042"/>
      <c r="D4814" s="3038"/>
      <c r="E4814" s="2130"/>
      <c r="F4814" s="4137"/>
      <c r="G4814" s="4138"/>
      <c r="H4814" s="4011"/>
      <c r="I4814" s="1289"/>
      <c r="J4814" s="3991"/>
      <c r="K4814" s="1307"/>
      <c r="L4814" s="1335"/>
      <c r="M4814" s="3992"/>
      <c r="N4814" s="1724"/>
      <c r="O4814" s="1290"/>
      <c r="P4814" s="3919"/>
      <c r="Q4814" s="3391"/>
    </row>
    <row r="4815" spans="1:18" s="22" customFormat="1" ht="19.5" customHeight="1">
      <c r="A4815" s="2187"/>
      <c r="B4815" s="1599"/>
      <c r="C4815" s="1042"/>
      <c r="D4815" s="1359"/>
      <c r="E4815" s="1858"/>
      <c r="F4815" s="1360" t="s">
        <v>2</v>
      </c>
      <c r="G4815" s="1360"/>
      <c r="H4815" s="1362"/>
      <c r="I4815" s="1380"/>
      <c r="J4815" s="1381"/>
      <c r="K4815" s="1381"/>
      <c r="L4815" s="1458"/>
      <c r="M4815" s="1362"/>
      <c r="N4815" s="1362"/>
      <c r="O4815" s="1362"/>
      <c r="P4815" s="1359"/>
      <c r="Q4815" s="3403"/>
      <c r="R4815" s="2357"/>
    </row>
    <row r="4816" spans="1:18" s="22" customFormat="1" ht="18" customHeight="1">
      <c r="A4816" s="4012"/>
      <c r="B4816" s="1599"/>
      <c r="C4816" s="1042"/>
      <c r="D4816" s="4013" t="s">
        <v>1133</v>
      </c>
      <c r="E4816" s="4014" t="s">
        <v>1508</v>
      </c>
      <c r="F4816" s="4015" t="s">
        <v>1955</v>
      </c>
      <c r="G4816" s="4017">
        <v>0.15</v>
      </c>
      <c r="H4816" s="3897"/>
      <c r="I4816" s="198"/>
      <c r="J4816" s="198"/>
      <c r="K4816" s="1307">
        <f>G4816*K4803</f>
        <v>1.0500000000000001E-2</v>
      </c>
      <c r="L4816" s="1335">
        <f>K4816*$K$4717</f>
        <v>0</v>
      </c>
      <c r="M4816" s="1499">
        <v>19.23</v>
      </c>
      <c r="N4816" s="1718"/>
      <c r="O4816" s="1290">
        <f t="shared" ref="O4816" si="586">G4816*M4816</f>
        <v>2.8845000000000001</v>
      </c>
      <c r="P4816" s="1332">
        <f t="shared" ref="P4816" si="587">M4816*K4816</f>
        <v>0.20191500000000001</v>
      </c>
      <c r="Q4816" s="3387"/>
      <c r="R4816" s="3996"/>
    </row>
    <row r="4817" spans="1:18" s="22" customFormat="1">
      <c r="A4817"/>
      <c r="B4817" s="553"/>
      <c r="C4817" s="1938" t="s">
        <v>1755</v>
      </c>
      <c r="D4817" s="1311"/>
      <c r="E4817" s="2176" t="s">
        <v>1508</v>
      </c>
      <c r="F4817" s="2051" t="s">
        <v>1524</v>
      </c>
      <c r="G4817" s="2052"/>
      <c r="H4817" s="1338">
        <v>7.0000000000000007E-2</v>
      </c>
      <c r="I4817" s="1444"/>
      <c r="J4817" s="1388"/>
      <c r="K4817" s="1445"/>
      <c r="L4817" s="1457"/>
      <c r="M4817" s="1447"/>
      <c r="N4817" s="1447">
        <f>SUM(N4818:N4819)</f>
        <v>37.510000000000005</v>
      </c>
      <c r="O4817" s="1447">
        <f>SUM(O4818:O4819)</f>
        <v>2.6257000000000001</v>
      </c>
      <c r="P4817" s="1447">
        <f>SUM(P4818:P4819)</f>
        <v>0.18379900000000005</v>
      </c>
      <c r="Q4817" s="3391"/>
      <c r="R4817" s="2337"/>
    </row>
    <row r="4818" spans="1:18" s="22" customFormat="1">
      <c r="A4818" s="19"/>
      <c r="B4818" s="1042"/>
      <c r="C4818" s="1042"/>
      <c r="D4818" s="1402" t="s">
        <v>1067</v>
      </c>
      <c r="E4818" s="1857" t="s">
        <v>1508</v>
      </c>
      <c r="F4818" s="1430" t="s">
        <v>5</v>
      </c>
      <c r="G4818" s="1381">
        <v>1</v>
      </c>
      <c r="H4818" s="1408">
        <f>G4818*H4817</f>
        <v>7.0000000000000007E-2</v>
      </c>
      <c r="I4818" s="1340"/>
      <c r="J4818" s="198"/>
      <c r="K4818" s="1307">
        <f>H4818*K4803</f>
        <v>4.9000000000000007E-3</v>
      </c>
      <c r="L4818" s="1335">
        <f t="shared" ref="L4818:L4819" si="588">K4818*$K$4717</f>
        <v>0</v>
      </c>
      <c r="M4818" s="1302">
        <v>18.28</v>
      </c>
      <c r="N4818" s="1724">
        <f>G4818*M4818</f>
        <v>18.28</v>
      </c>
      <c r="O4818" s="1726">
        <f>H4818*M4818</f>
        <v>1.2796000000000003</v>
      </c>
      <c r="P4818" s="1727">
        <f>M4818*K4818</f>
        <v>8.9572000000000013E-2</v>
      </c>
      <c r="Q4818" s="3396"/>
      <c r="R4818" s="2338"/>
    </row>
    <row r="4819" spans="1:18" s="22" customFormat="1">
      <c r="A4819" s="19"/>
      <c r="B4819" s="1042"/>
      <c r="C4819" s="1042"/>
      <c r="D4819" s="1402" t="s">
        <v>1077</v>
      </c>
      <c r="E4819" s="1857" t="s">
        <v>1508</v>
      </c>
      <c r="F4819" s="1430" t="s">
        <v>37</v>
      </c>
      <c r="G4819" s="1381">
        <v>1</v>
      </c>
      <c r="H4819" s="1408">
        <f>G4819*H4817</f>
        <v>7.0000000000000007E-2</v>
      </c>
      <c r="I4819" s="198"/>
      <c r="J4819" s="198"/>
      <c r="K4819" s="1307">
        <f>H4819*K4803</f>
        <v>4.9000000000000007E-3</v>
      </c>
      <c r="L4819" s="1335">
        <f t="shared" si="588"/>
        <v>0</v>
      </c>
      <c r="M4819" s="1302">
        <v>19.23</v>
      </c>
      <c r="N4819" s="1724">
        <f>G4819*M4819</f>
        <v>19.23</v>
      </c>
      <c r="O4819" s="1719">
        <f>(H4819*M4819)</f>
        <v>1.3461000000000001</v>
      </c>
      <c r="P4819" s="1727">
        <f>M4819*K4819</f>
        <v>9.4227000000000019E-2</v>
      </c>
      <c r="Q4819" s="3396"/>
      <c r="R4819" s="2338"/>
    </row>
    <row r="4820" spans="1:18" s="22" customFormat="1">
      <c r="B4820" s="1320"/>
      <c r="C4820" s="16"/>
      <c r="D4820" s="1359"/>
      <c r="E4820" s="1858"/>
      <c r="F4820" s="1474"/>
      <c r="G4820" s="2198"/>
      <c r="H4820" s="1466"/>
      <c r="I4820" s="1289"/>
      <c r="J4820" s="8"/>
      <c r="K4820" s="1307"/>
      <c r="L4820" s="1335"/>
      <c r="M4820" s="1302"/>
      <c r="N4820" s="1700"/>
      <c r="O4820" s="1290"/>
      <c r="P4820" s="1332"/>
      <c r="Q4820" s="3391"/>
      <c r="R4820" s="2344"/>
    </row>
    <row r="4821" spans="1:18" s="22" customFormat="1">
      <c r="A4821" s="1320"/>
      <c r="B4821" s="1599"/>
      <c r="C4821" s="1320"/>
      <c r="D4821" s="1373"/>
      <c r="E4821" s="2123"/>
      <c r="F4821" s="1374" t="s">
        <v>3</v>
      </c>
      <c r="G4821" s="2199"/>
      <c r="H4821" s="1376"/>
      <c r="I4821" s="1382"/>
      <c r="J4821" s="1383"/>
      <c r="K4821" s="1383"/>
      <c r="L4821" s="1413"/>
      <c r="M4821" s="1376"/>
      <c r="N4821" s="1376"/>
      <c r="O4821" s="1376"/>
      <c r="P4821" s="1373"/>
      <c r="Q4821" s="3403"/>
      <c r="R4821" s="2356"/>
    </row>
    <row r="4822" spans="1:18" s="22" customFormat="1">
      <c r="A4822" s="1321"/>
      <c r="B4822" s="2053"/>
      <c r="C4822" s="1321"/>
      <c r="D4822" s="2202"/>
      <c r="E4822" s="2304"/>
      <c r="F4822" s="2202"/>
      <c r="G4822" s="2203"/>
      <c r="H4822" s="1379"/>
      <c r="I4822" s="1299"/>
      <c r="J4822" s="1300"/>
      <c r="K4822" s="1307"/>
      <c r="L4822" s="1335"/>
      <c r="M4822" s="1302"/>
      <c r="N4822" s="1700"/>
      <c r="O4822" s="1290"/>
      <c r="P4822" s="1332"/>
      <c r="Q4822" s="3402"/>
      <c r="R4822" s="2053"/>
    </row>
    <row r="4823" spans="1:18" s="22" customFormat="1">
      <c r="A4823" s="1321"/>
      <c r="B4823" s="2053"/>
      <c r="C4823" s="1321"/>
      <c r="D4823" s="1377"/>
      <c r="E4823" s="2124"/>
      <c r="F4823" s="1378"/>
      <c r="G4823" s="2200"/>
      <c r="H4823" s="1379"/>
      <c r="I4823" s="1299"/>
      <c r="J4823" s="1300"/>
      <c r="K4823" s="1307"/>
      <c r="L4823" s="1335"/>
      <c r="M4823" s="1302"/>
      <c r="N4823" s="1700"/>
      <c r="O4823" s="1290"/>
      <c r="P4823" s="1332"/>
      <c r="Q4823" s="3402"/>
      <c r="R4823" s="2053"/>
    </row>
    <row r="4824" spans="1:18" s="22" customFormat="1">
      <c r="A4824" s="1320"/>
      <c r="B4824" s="1765"/>
      <c r="C4824" s="223"/>
      <c r="D4824" s="1373"/>
      <c r="E4824" s="2161"/>
      <c r="F4824" s="1678"/>
      <c r="G4824" s="2201"/>
      <c r="H4824" s="1376"/>
      <c r="I4824" s="1299"/>
      <c r="J4824" s="1300"/>
      <c r="K4824" s="1307"/>
      <c r="L4824" s="1335"/>
      <c r="M4824" s="1302"/>
      <c r="N4824" s="1700"/>
      <c r="O4824" s="1290"/>
      <c r="P4824" s="1332"/>
      <c r="Q4824" s="3402"/>
      <c r="R4824" s="2356"/>
    </row>
    <row r="4825" spans="1:18" s="22" customFormat="1">
      <c r="A4825" s="551" t="s">
        <v>3764</v>
      </c>
      <c r="B4825" s="4325" t="s">
        <v>3849</v>
      </c>
      <c r="C4825" s="4101"/>
      <c r="D4825" s="4327"/>
      <c r="E4825" s="4329" t="s">
        <v>1527</v>
      </c>
      <c r="F4825" s="4372" t="s">
        <v>3850</v>
      </c>
      <c r="G4825" s="4331" t="s">
        <v>1568</v>
      </c>
      <c r="H4825" s="4331" t="s">
        <v>1574</v>
      </c>
      <c r="I4825" s="1572" t="s">
        <v>1559</v>
      </c>
      <c r="J4825" s="1294" t="s">
        <v>1560</v>
      </c>
      <c r="K4825" s="1294" t="s">
        <v>1569</v>
      </c>
      <c r="L4825" s="4333" t="s">
        <v>3765</v>
      </c>
      <c r="M4825" s="4323" t="s">
        <v>1571</v>
      </c>
      <c r="N4825" s="4323" t="s">
        <v>1776</v>
      </c>
      <c r="O4825" s="4098" t="s">
        <v>1563</v>
      </c>
      <c r="P4825" s="1336" t="s">
        <v>1562</v>
      </c>
      <c r="Q4825" s="3389"/>
      <c r="R4825" s="1699" t="s">
        <v>1327</v>
      </c>
    </row>
    <row r="4826" spans="1:18" s="22" customFormat="1">
      <c r="A4826" s="1662" t="s">
        <v>3841</v>
      </c>
      <c r="B4826" s="4326"/>
      <c r="C4826" s="4102"/>
      <c r="D4826" s="4328"/>
      <c r="E4826" s="4330"/>
      <c r="F4826" s="4363"/>
      <c r="G4826" s="4332"/>
      <c r="H4826" s="4332"/>
      <c r="I4826" s="1345">
        <v>7</v>
      </c>
      <c r="J4826" s="1307">
        <v>1.4E-2</v>
      </c>
      <c r="K4826" s="1666">
        <f>I4826*J4826</f>
        <v>9.8000000000000004E-2</v>
      </c>
      <c r="L4826" s="4334"/>
      <c r="M4826" s="4324"/>
      <c r="N4826" s="4324"/>
      <c r="O4826" s="1298">
        <f>O4828+O4829+O4830+O4831+O4832+O4839+O4840</f>
        <v>31.6653643</v>
      </c>
      <c r="P4826" s="1337">
        <f>O4826*K4826</f>
        <v>3.1032057014000003</v>
      </c>
      <c r="Q4826" s="3390"/>
      <c r="R4826" s="1721">
        <f>SUM(P4828:P4832)+P4839+P4840</f>
        <v>3.1032057014000003</v>
      </c>
    </row>
    <row r="4827" spans="1:18" s="22" customFormat="1">
      <c r="A4827" s="1599"/>
      <c r="B4827" s="1949"/>
      <c r="C4827" s="1327"/>
      <c r="D4827" s="1367"/>
      <c r="E4827" s="2121"/>
      <c r="F4827" s="1389" t="s">
        <v>1</v>
      </c>
      <c r="G4827" s="1389"/>
      <c r="H4827" s="1369"/>
      <c r="I4827" s="2088"/>
      <c r="J4827" s="1369"/>
      <c r="K4827" s="1391"/>
      <c r="L4827" s="1559"/>
      <c r="M4827" s="1369"/>
      <c r="N4827" s="1369"/>
      <c r="O4827" s="1369"/>
      <c r="P4827" s="1392"/>
      <c r="Q4827" s="3395"/>
      <c r="R4827" s="2344"/>
    </row>
    <row r="4828" spans="1:18" s="22" customFormat="1">
      <c r="B4828" s="553"/>
      <c r="C4828" s="1042"/>
      <c r="D4828" s="3866" t="s">
        <v>1124</v>
      </c>
      <c r="E4828" s="3867" t="s">
        <v>1521</v>
      </c>
      <c r="F4828" s="3910" t="s">
        <v>3774</v>
      </c>
      <c r="G4828" s="3911">
        <v>2.1000000000000001E-2</v>
      </c>
      <c r="H4828" s="1369"/>
      <c r="I4828" s="1299"/>
      <c r="J4828" s="1300"/>
      <c r="K4828" s="1732">
        <f>G4828*K4826</f>
        <v>2.0580000000000004E-3</v>
      </c>
      <c r="L4828" s="1335">
        <f t="shared" ref="L4828:L4831" si="589">K4828*$K$4717</f>
        <v>0</v>
      </c>
      <c r="M4828" s="1499">
        <v>83.82</v>
      </c>
      <c r="N4828" s="1724"/>
      <c r="O4828" s="1290">
        <f>G4828*M4828</f>
        <v>1.7602199999999999</v>
      </c>
      <c r="P4828" s="1332">
        <f>M4828*K4828</f>
        <v>0.17250156000000003</v>
      </c>
      <c r="Q4828" s="3391"/>
      <c r="R4828" s="2339"/>
    </row>
    <row r="4829" spans="1:18" s="22" customFormat="1">
      <c r="B4829" s="553"/>
      <c r="C4829" s="1042"/>
      <c r="D4829" s="3866" t="s">
        <v>3851</v>
      </c>
      <c r="E4829" s="3867" t="s">
        <v>1357</v>
      </c>
      <c r="F4829" s="3910" t="s">
        <v>3852</v>
      </c>
      <c r="G4829" s="3911">
        <v>0.06</v>
      </c>
      <c r="H4829" s="1369"/>
      <c r="I4829" s="1299"/>
      <c r="J4829" s="1300"/>
      <c r="K4829" s="1350">
        <f>G4829*K4826</f>
        <v>5.8799999999999998E-3</v>
      </c>
      <c r="L4829" s="1335">
        <f t="shared" si="589"/>
        <v>0</v>
      </c>
      <c r="M4829" s="1499">
        <v>14.28</v>
      </c>
      <c r="N4829" s="1724"/>
      <c r="O4829" s="1290">
        <f>G4829*M4829</f>
        <v>0.8567999999999999</v>
      </c>
      <c r="P4829" s="1332">
        <f>M4829*K4829</f>
        <v>8.3966399999999997E-2</v>
      </c>
      <c r="Q4829" s="3391"/>
      <c r="R4829" s="2339"/>
    </row>
    <row r="4830" spans="1:18" s="22" customFormat="1">
      <c r="B4830" s="553"/>
      <c r="C4830" s="1042"/>
      <c r="D4830" s="3866" t="s">
        <v>2004</v>
      </c>
      <c r="E4830" s="3867" t="s">
        <v>1527</v>
      </c>
      <c r="F4830" s="3910" t="s">
        <v>2005</v>
      </c>
      <c r="G4830" s="3911">
        <v>0.45500000000000002</v>
      </c>
      <c r="H4830" s="1369"/>
      <c r="I4830" s="1299"/>
      <c r="J4830" s="1300"/>
      <c r="K4830" s="1307">
        <f>G4830*K4826</f>
        <v>4.4590000000000005E-2</v>
      </c>
      <c r="L4830" s="1335">
        <f t="shared" si="589"/>
        <v>0</v>
      </c>
      <c r="M4830" s="1499">
        <v>9.27</v>
      </c>
      <c r="N4830" s="1724"/>
      <c r="O4830" s="1290">
        <f>G4830*M4830</f>
        <v>4.2178500000000003</v>
      </c>
      <c r="P4830" s="1332">
        <f>M4830*K4830</f>
        <v>0.41334930000000003</v>
      </c>
      <c r="Q4830" s="3391"/>
      <c r="R4830" s="2339"/>
    </row>
    <row r="4831" spans="1:18" s="22" customFormat="1">
      <c r="B4831" s="553"/>
      <c r="C4831" s="1042"/>
      <c r="D4831" s="3866" t="s">
        <v>2002</v>
      </c>
      <c r="E4831" s="3867" t="s">
        <v>1507</v>
      </c>
      <c r="F4831" s="3910" t="s">
        <v>2003</v>
      </c>
      <c r="G4831" s="3911">
        <v>0.45500000000000002</v>
      </c>
      <c r="H4831" s="1369"/>
      <c r="I4831" s="1299"/>
      <c r="J4831" s="1300"/>
      <c r="K4831" s="1307">
        <f>G4831*K4826</f>
        <v>4.4590000000000005E-2</v>
      </c>
      <c r="L4831" s="1335">
        <f t="shared" si="589"/>
        <v>0</v>
      </c>
      <c r="M4831" s="1499">
        <v>8.4700000000000006</v>
      </c>
      <c r="N4831" s="1724"/>
      <c r="O4831" s="1290">
        <f>G4831*M4831</f>
        <v>3.8538500000000004</v>
      </c>
      <c r="P4831" s="1332">
        <f>M4831*K4831</f>
        <v>0.37767730000000005</v>
      </c>
      <c r="Q4831" s="3391"/>
      <c r="R4831" s="2339"/>
    </row>
    <row r="4832" spans="1:18">
      <c r="A4832" s="1042"/>
      <c r="B4832" s="553"/>
      <c r="C4832" s="1419" t="s">
        <v>1127</v>
      </c>
      <c r="D4832" s="1311"/>
      <c r="E4832" s="2128" t="s">
        <v>1517</v>
      </c>
      <c r="F4832" s="2250" t="s">
        <v>1519</v>
      </c>
      <c r="G4832" s="1338"/>
      <c r="H4832" s="1344">
        <v>0.01</v>
      </c>
      <c r="I4832" s="1460"/>
      <c r="J4832" s="1387"/>
      <c r="K4832" s="1459"/>
      <c r="L4832" s="1457"/>
      <c r="M4832" s="1501"/>
      <c r="N4832" s="1447">
        <f>SUM(N4833:N4836)</f>
        <v>50.044430000000006</v>
      </c>
      <c r="O4832" s="1447">
        <f>SUM(O4833:O4836)</f>
        <v>0.50044430000000006</v>
      </c>
      <c r="P4832" s="1447">
        <f>SUM(P4833:P4836)</f>
        <v>4.9043541400000015E-2</v>
      </c>
      <c r="Q4832" s="3391"/>
    </row>
    <row r="4833" spans="1:18">
      <c r="A4833" s="1042"/>
      <c r="B4833" s="553"/>
      <c r="C4833" s="18"/>
      <c r="D4833" s="1396" t="s">
        <v>1069</v>
      </c>
      <c r="E4833" s="2130" t="s">
        <v>1517</v>
      </c>
      <c r="F4833" s="1414" t="s">
        <v>1578</v>
      </c>
      <c r="G4833" s="1415">
        <v>0.26300000000000001</v>
      </c>
      <c r="H4833" s="1399">
        <f>H4832*G4833</f>
        <v>2.63E-3</v>
      </c>
      <c r="I4833" s="197"/>
      <c r="J4833" s="198"/>
      <c r="K4833" s="1732">
        <f>H4833*K4826</f>
        <v>2.5774000000000001E-4</v>
      </c>
      <c r="L4833" s="1335">
        <f t="shared" ref="L4833:L4836" si="590">K4833*$K$4717</f>
        <v>0</v>
      </c>
      <c r="M4833" s="1499">
        <v>0.55000000000000004</v>
      </c>
      <c r="N4833" s="1724">
        <f>G4833*M4833</f>
        <v>0.14465000000000003</v>
      </c>
      <c r="O4833" s="4139">
        <f>H4833*M4833</f>
        <v>1.4465000000000001E-3</v>
      </c>
      <c r="P4833" s="4140">
        <f>M4833*K4833</f>
        <v>1.41757E-4</v>
      </c>
      <c r="Q4833" s="3391"/>
    </row>
    <row r="4834" spans="1:18">
      <c r="A4834" s="1042"/>
      <c r="B4834" s="553"/>
      <c r="C4834" s="1042"/>
      <c r="D4834" s="1400" t="s">
        <v>1394</v>
      </c>
      <c r="E4834" s="1856" t="s">
        <v>1577</v>
      </c>
      <c r="F4834" s="1397" t="s">
        <v>1579</v>
      </c>
      <c r="G4834" s="1416">
        <v>0.25800000000000001</v>
      </c>
      <c r="H4834" s="1399">
        <f>H4832*G4834</f>
        <v>2.5800000000000003E-3</v>
      </c>
      <c r="I4834" s="197"/>
      <c r="J4834" s="198"/>
      <c r="K4834" s="1307">
        <f>H4834*K4826</f>
        <v>2.5284000000000005E-4</v>
      </c>
      <c r="L4834" s="1335">
        <f t="shared" si="590"/>
        <v>0</v>
      </c>
      <c r="M4834" s="1499">
        <v>92.54</v>
      </c>
      <c r="N4834" s="1724">
        <f>G4834*M4834</f>
        <v>23.875320000000002</v>
      </c>
      <c r="O4834" s="1290">
        <f>H4834*M4834</f>
        <v>0.23875320000000003</v>
      </c>
      <c r="P4834" s="1332">
        <f>M4834*K4834</f>
        <v>2.3397813600000008E-2</v>
      </c>
      <c r="Q4834" s="3391"/>
    </row>
    <row r="4835" spans="1:18">
      <c r="A4835" s="1042"/>
      <c r="B4835" s="553"/>
      <c r="C4835" s="1042"/>
      <c r="D4835" s="1400" t="s">
        <v>1576</v>
      </c>
      <c r="E4835" s="1856" t="s">
        <v>1517</v>
      </c>
      <c r="F4835" s="1397" t="s">
        <v>1580</v>
      </c>
      <c r="G4835" s="1416">
        <v>1.1020000000000001</v>
      </c>
      <c r="H4835" s="1399">
        <f>H4832*G4835</f>
        <v>1.102E-2</v>
      </c>
      <c r="I4835" s="1289"/>
      <c r="J4835" s="198"/>
      <c r="K4835" s="1307">
        <f>H4835*K4826</f>
        <v>1.07996E-3</v>
      </c>
      <c r="L4835" s="1335">
        <f t="shared" si="590"/>
        <v>0</v>
      </c>
      <c r="M4835" s="1499">
        <v>6.53</v>
      </c>
      <c r="N4835" s="1724">
        <f>G4835*M4835</f>
        <v>7.196060000000001</v>
      </c>
      <c r="O4835" s="1290">
        <f>H4835*M4835</f>
        <v>7.19606E-2</v>
      </c>
      <c r="P4835" s="1332">
        <f>M4835*K4835</f>
        <v>7.0521388000000006E-3</v>
      </c>
      <c r="Q4835" s="3391"/>
    </row>
    <row r="4836" spans="1:18">
      <c r="A4836" s="1042"/>
      <c r="B4836" s="553"/>
      <c r="C4836" s="1042"/>
      <c r="D4836" s="1404" t="s">
        <v>1067</v>
      </c>
      <c r="E4836" s="1857" t="s">
        <v>1508</v>
      </c>
      <c r="F4836" s="1406" t="s">
        <v>1512</v>
      </c>
      <c r="G4836" s="1407">
        <v>1.03</v>
      </c>
      <c r="H4836" s="1408">
        <f>H4832*G4836</f>
        <v>1.03E-2</v>
      </c>
      <c r="I4836" s="1289"/>
      <c r="J4836" s="198"/>
      <c r="K4836" s="1307">
        <f>H4836*K4826</f>
        <v>1.0094000000000001E-3</v>
      </c>
      <c r="L4836" s="1335">
        <f t="shared" si="590"/>
        <v>0</v>
      </c>
      <c r="M4836" s="1499">
        <v>18.28</v>
      </c>
      <c r="N4836" s="1724">
        <f>G4836*M4836</f>
        <v>18.828400000000002</v>
      </c>
      <c r="O4836" s="1290">
        <f>H4836*M4836</f>
        <v>0.18828400000000001</v>
      </c>
      <c r="P4836" s="1332">
        <f>M4836*K4836</f>
        <v>1.8451832000000005E-2</v>
      </c>
      <c r="Q4836" s="3391"/>
    </row>
    <row r="4837" spans="1:18">
      <c r="A4837" s="19"/>
      <c r="B4837" s="553"/>
      <c r="C4837" s="1042"/>
      <c r="D4837" s="3038"/>
      <c r="E4837" s="2130"/>
      <c r="F4837" s="4137"/>
      <c r="G4837" s="4138"/>
      <c r="H4837" s="4011"/>
      <c r="I4837" s="1289"/>
      <c r="J4837" s="3991"/>
      <c r="K4837" s="1307"/>
      <c r="L4837" s="1335"/>
      <c r="M4837" s="3992"/>
      <c r="N4837" s="1724"/>
      <c r="O4837" s="1290"/>
      <c r="P4837" s="3919"/>
      <c r="Q4837" s="3391"/>
    </row>
    <row r="4838" spans="1:18" s="22" customFormat="1" ht="19.5" customHeight="1">
      <c r="A4838" s="2187"/>
      <c r="B4838" s="1599"/>
      <c r="C4838" s="1042"/>
      <c r="D4838" s="1359"/>
      <c r="E4838" s="1858"/>
      <c r="F4838" s="1360" t="s">
        <v>2</v>
      </c>
      <c r="G4838" s="1360"/>
      <c r="H4838" s="1362"/>
      <c r="I4838" s="1380"/>
      <c r="J4838" s="1381"/>
      <c r="K4838" s="1381"/>
      <c r="L4838" s="1458"/>
      <c r="M4838" s="1362"/>
      <c r="N4838" s="1362"/>
      <c r="O4838" s="1362"/>
      <c r="P4838" s="1359"/>
      <c r="Q4838" s="3403"/>
      <c r="R4838" s="2357"/>
    </row>
    <row r="4839" spans="1:18" s="22" customFormat="1" ht="18" customHeight="1">
      <c r="A4839" s="4012"/>
      <c r="B4839" s="1599"/>
      <c r="C4839" s="1042"/>
      <c r="D4839" s="4013" t="s">
        <v>1133</v>
      </c>
      <c r="E4839" s="4014" t="s">
        <v>1508</v>
      </c>
      <c r="F4839" s="4015" t="s">
        <v>1955</v>
      </c>
      <c r="G4839" s="4017">
        <v>7.0000000000000007E-2</v>
      </c>
      <c r="H4839" s="3897"/>
      <c r="I4839" s="198"/>
      <c r="J4839" s="198"/>
      <c r="K4839" s="1307">
        <f>G4839*K4826</f>
        <v>6.8600000000000006E-3</v>
      </c>
      <c r="L4839" s="1335">
        <f>K4839*$K$4717</f>
        <v>0</v>
      </c>
      <c r="M4839" s="1499">
        <v>19.23</v>
      </c>
      <c r="N4839" s="1718"/>
      <c r="O4839" s="1290">
        <f t="shared" ref="O4839" si="591">G4839*M4839</f>
        <v>1.3461000000000001</v>
      </c>
      <c r="P4839" s="1332">
        <f t="shared" ref="P4839" si="592">M4839*K4839</f>
        <v>0.1319178</v>
      </c>
      <c r="Q4839" s="3387"/>
      <c r="R4839" s="3996"/>
    </row>
    <row r="4840" spans="1:18" s="22" customFormat="1">
      <c r="A4840"/>
      <c r="B4840" s="553"/>
      <c r="C4840" s="1938" t="s">
        <v>1755</v>
      </c>
      <c r="D4840" s="1311"/>
      <c r="E4840" s="2176" t="s">
        <v>1508</v>
      </c>
      <c r="F4840" s="2051" t="s">
        <v>1524</v>
      </c>
      <c r="G4840" s="2052"/>
      <c r="H4840" s="1338">
        <v>0.51</v>
      </c>
      <c r="I4840" s="1444"/>
      <c r="J4840" s="1388"/>
      <c r="K4840" s="1445"/>
      <c r="L4840" s="1457"/>
      <c r="M4840" s="1447"/>
      <c r="N4840" s="1447">
        <f>SUM(N4841:N4842)</f>
        <v>37.510000000000005</v>
      </c>
      <c r="O4840" s="1447">
        <f>SUM(O4841:O4842)</f>
        <v>19.130099999999999</v>
      </c>
      <c r="P4840" s="1447">
        <f>SUM(P4841:P4842)</f>
        <v>1.8747498</v>
      </c>
      <c r="Q4840" s="3391"/>
      <c r="R4840" s="2337"/>
    </row>
    <row r="4841" spans="1:18" s="22" customFormat="1">
      <c r="A4841" s="19"/>
      <c r="B4841" s="1042"/>
      <c r="C4841" s="1042"/>
      <c r="D4841" s="1402" t="s">
        <v>1067</v>
      </c>
      <c r="E4841" s="1857" t="s">
        <v>1508</v>
      </c>
      <c r="F4841" s="1430" t="s">
        <v>5</v>
      </c>
      <c r="G4841" s="1381">
        <v>1</v>
      </c>
      <c r="H4841" s="1408">
        <f>G4841*H4840</f>
        <v>0.51</v>
      </c>
      <c r="I4841" s="1340"/>
      <c r="J4841" s="198"/>
      <c r="K4841" s="1307">
        <f>H4841*K4826</f>
        <v>4.9980000000000004E-2</v>
      </c>
      <c r="L4841" s="1335">
        <f t="shared" ref="L4841:L4842" si="593">K4841*$K$4717</f>
        <v>0</v>
      </c>
      <c r="M4841" s="1302">
        <v>18.28</v>
      </c>
      <c r="N4841" s="1724">
        <f>G4841*M4841</f>
        <v>18.28</v>
      </c>
      <c r="O4841" s="1726">
        <f>H4841*M4841</f>
        <v>9.3228000000000009</v>
      </c>
      <c r="P4841" s="1727">
        <f>M4841*K4841</f>
        <v>0.91363440000000007</v>
      </c>
      <c r="Q4841" s="3396"/>
      <c r="R4841" s="2338"/>
    </row>
    <row r="4842" spans="1:18" s="22" customFormat="1">
      <c r="A4842" s="19"/>
      <c r="B4842" s="1042"/>
      <c r="C4842" s="1042"/>
      <c r="D4842" s="1402" t="s">
        <v>1077</v>
      </c>
      <c r="E4842" s="1857" t="s">
        <v>1508</v>
      </c>
      <c r="F4842" s="1430" t="s">
        <v>37</v>
      </c>
      <c r="G4842" s="1381">
        <v>1</v>
      </c>
      <c r="H4842" s="1408">
        <f>G4842*H4840</f>
        <v>0.51</v>
      </c>
      <c r="I4842" s="198"/>
      <c r="J4842" s="198"/>
      <c r="K4842" s="1307">
        <f>H4842*K4826</f>
        <v>4.9980000000000004E-2</v>
      </c>
      <c r="L4842" s="1335">
        <f t="shared" si="593"/>
        <v>0</v>
      </c>
      <c r="M4842" s="1302">
        <v>19.23</v>
      </c>
      <c r="N4842" s="1724">
        <f>G4842*M4842</f>
        <v>19.23</v>
      </c>
      <c r="O4842" s="1719">
        <f>(H4842*M4842)</f>
        <v>9.8072999999999997</v>
      </c>
      <c r="P4842" s="1727">
        <f>M4842*K4842</f>
        <v>0.96111540000000006</v>
      </c>
      <c r="Q4842" s="3396"/>
      <c r="R4842" s="2338"/>
    </row>
    <row r="4843" spans="1:18" s="22" customFormat="1">
      <c r="B4843" s="1320"/>
      <c r="C4843" s="16"/>
      <c r="D4843" s="1359"/>
      <c r="E4843" s="1858"/>
      <c r="F4843" s="1474"/>
      <c r="G4843" s="2198"/>
      <c r="H4843" s="1466"/>
      <c r="I4843" s="1289"/>
      <c r="J4843" s="8"/>
      <c r="K4843" s="1307"/>
      <c r="L4843" s="1335"/>
      <c r="M4843" s="1302"/>
      <c r="N4843" s="1700"/>
      <c r="O4843" s="1290"/>
      <c r="P4843" s="1332"/>
      <c r="Q4843" s="3391"/>
      <c r="R4843" s="2344"/>
    </row>
    <row r="4844" spans="1:18" s="22" customFormat="1">
      <c r="A4844" s="1320"/>
      <c r="B4844" s="1599"/>
      <c r="C4844" s="1320"/>
      <c r="D4844" s="1373"/>
      <c r="E4844" s="2123"/>
      <c r="F4844" s="1374" t="s">
        <v>3</v>
      </c>
      <c r="G4844" s="2199"/>
      <c r="H4844" s="1376"/>
      <c r="I4844" s="1382"/>
      <c r="J4844" s="1383"/>
      <c r="K4844" s="1383"/>
      <c r="L4844" s="1413"/>
      <c r="M4844" s="1376"/>
      <c r="N4844" s="1376"/>
      <c r="O4844" s="1376"/>
      <c r="P4844" s="1373"/>
      <c r="Q4844" s="3403"/>
      <c r="R4844" s="2356"/>
    </row>
    <row r="4845" spans="1:18" s="22" customFormat="1">
      <c r="A4845" s="1321"/>
      <c r="B4845" s="2053"/>
      <c r="C4845" s="1321"/>
      <c r="D4845" s="2202"/>
      <c r="E4845" s="2304"/>
      <c r="F4845" s="2202"/>
      <c r="G4845" s="2203"/>
      <c r="H4845" s="1379"/>
      <c r="I4845" s="1299"/>
      <c r="J4845" s="1300"/>
      <c r="K4845" s="1307"/>
      <c r="L4845" s="1335"/>
      <c r="M4845" s="1302"/>
      <c r="N4845" s="1700"/>
      <c r="O4845" s="1290"/>
      <c r="P4845" s="1332"/>
      <c r="Q4845" s="3402"/>
      <c r="R4845" s="2053"/>
    </row>
    <row r="4846" spans="1:18" s="22" customFormat="1">
      <c r="A4846" s="1321"/>
      <c r="B4846" s="2053"/>
      <c r="C4846" s="1321"/>
      <c r="D4846" s="1377"/>
      <c r="E4846" s="2124"/>
      <c r="F4846" s="1378"/>
      <c r="G4846" s="2200"/>
      <c r="H4846" s="1379"/>
      <c r="I4846" s="1299"/>
      <c r="J4846" s="1300"/>
      <c r="K4846" s="1307"/>
      <c r="L4846" s="1335"/>
      <c r="M4846" s="1302"/>
      <c r="N4846" s="1700"/>
      <c r="O4846" s="1290"/>
      <c r="P4846" s="1332"/>
      <c r="Q4846" s="3402"/>
      <c r="R4846" s="2053"/>
    </row>
    <row r="4847" spans="1:18" s="22" customFormat="1" ht="16.5" customHeight="1">
      <c r="A4847" s="1320"/>
      <c r="B4847" s="1765"/>
      <c r="C4847" s="223"/>
      <c r="D4847" s="1373"/>
      <c r="E4847" s="2161"/>
      <c r="F4847" s="1678"/>
      <c r="G4847" s="2201"/>
      <c r="H4847" s="1376"/>
      <c r="I4847" s="1299"/>
      <c r="J4847" s="1300"/>
      <c r="K4847" s="1307"/>
      <c r="L4847" s="1335"/>
      <c r="M4847" s="1302"/>
      <c r="N4847" s="1700"/>
      <c r="O4847" s="1290"/>
      <c r="P4847" s="1332"/>
      <c r="Q4847" s="3402"/>
      <c r="R4847" s="2356"/>
    </row>
    <row r="4848" spans="1:18" s="22" customFormat="1" ht="15" customHeight="1">
      <c r="A4848" s="551" t="s">
        <v>3764</v>
      </c>
      <c r="B4848" s="4325" t="s">
        <v>3853</v>
      </c>
      <c r="C4848" s="4101"/>
      <c r="D4848" s="4327" t="s">
        <v>1551</v>
      </c>
      <c r="E4848" s="4329" t="s">
        <v>1507</v>
      </c>
      <c r="F4848" s="4372" t="s">
        <v>1727</v>
      </c>
      <c r="G4848" s="4331" t="s">
        <v>1568</v>
      </c>
      <c r="H4848" s="4331" t="s">
        <v>1574</v>
      </c>
      <c r="I4848" s="1572" t="s">
        <v>1559</v>
      </c>
      <c r="J4848" s="1294" t="s">
        <v>1560</v>
      </c>
      <c r="K4848" s="1294" t="s">
        <v>1561</v>
      </c>
      <c r="L4848" s="4333" t="s">
        <v>3765</v>
      </c>
      <c r="M4848" s="4335" t="s">
        <v>1571</v>
      </c>
      <c r="N4848" s="4323" t="s">
        <v>1776</v>
      </c>
      <c r="O4848" s="4098" t="s">
        <v>1563</v>
      </c>
      <c r="P4848" s="1336" t="s">
        <v>1562</v>
      </c>
      <c r="Q4848" s="3389"/>
      <c r="R4848" s="1699" t="s">
        <v>1327</v>
      </c>
    </row>
    <row r="4849" spans="1:22" s="22" customFormat="1" ht="17.25" customHeight="1">
      <c r="A4849" s="1662" t="s">
        <v>3841</v>
      </c>
      <c r="B4849" s="4326"/>
      <c r="C4849" s="4104"/>
      <c r="D4849" s="4328"/>
      <c r="E4849" s="4330"/>
      <c r="F4849" s="4363"/>
      <c r="G4849" s="4332"/>
      <c r="H4849" s="4332"/>
      <c r="I4849" s="1345">
        <v>70</v>
      </c>
      <c r="J4849" s="1307">
        <v>1.4E-2</v>
      </c>
      <c r="K4849" s="1297">
        <f>I4849*J4849</f>
        <v>0.98</v>
      </c>
      <c r="L4849" s="4334"/>
      <c r="M4849" s="4335"/>
      <c r="N4849" s="4324"/>
      <c r="O4849" s="1298">
        <f>O4851+O4852+O4856+O4860</f>
        <v>6.1248000000000005</v>
      </c>
      <c r="P4849" s="1337">
        <f>O4849*K4849</f>
        <v>6.0023040000000005</v>
      </c>
      <c r="Q4849" s="3390"/>
      <c r="R4849" s="1721">
        <f>P4851+P4852+P4856+P4860</f>
        <v>6.0023039999999996</v>
      </c>
    </row>
    <row r="4850" spans="1:22">
      <c r="A4850" s="19"/>
      <c r="B4850" s="1949"/>
      <c r="C4850" s="18"/>
      <c r="D4850" s="1400"/>
      <c r="E4850" s="2121"/>
      <c r="F4850" s="1368" t="s">
        <v>1</v>
      </c>
      <c r="G4850" s="1368"/>
      <c r="H4850" s="1423"/>
      <c r="I4850" s="1667"/>
      <c r="J4850" s="1424"/>
      <c r="K4850" s="1425"/>
      <c r="L4850" s="1560"/>
      <c r="M4850" s="1426"/>
      <c r="N4850" s="1426"/>
      <c r="O4850" s="1427"/>
      <c r="P4850" s="1427"/>
      <c r="Q4850" s="3397"/>
      <c r="R4850" s="1296"/>
    </row>
    <row r="4851" spans="1:22">
      <c r="A4851" s="19"/>
      <c r="B4851" s="1599"/>
      <c r="C4851" s="1042"/>
      <c r="D4851" s="1610" t="s">
        <v>1728</v>
      </c>
      <c r="E4851" s="2154" t="s">
        <v>1504</v>
      </c>
      <c r="F4851" s="1598" t="s">
        <v>1729</v>
      </c>
      <c r="G4851" s="1995">
        <v>1</v>
      </c>
      <c r="H4851" s="1372"/>
      <c r="I4851" s="197"/>
      <c r="J4851" s="198"/>
      <c r="K4851" s="1350">
        <f>G4851*K4849</f>
        <v>0.98</v>
      </c>
      <c r="L4851" s="1335">
        <f t="shared" ref="L4851:L4852" si="594">K4851*$K$4717</f>
        <v>0</v>
      </c>
      <c r="M4851" s="1499">
        <v>1.22</v>
      </c>
      <c r="N4851" s="1700"/>
      <c r="O4851" s="1290">
        <f>G4851*M4851</f>
        <v>1.22</v>
      </c>
      <c r="P4851" s="1332">
        <f>M4851*K4851</f>
        <v>1.1956</v>
      </c>
      <c r="Q4851" s="3391"/>
      <c r="R4851" s="1296"/>
    </row>
    <row r="4852" spans="1:22">
      <c r="A4852" s="19"/>
      <c r="B4852" s="1599"/>
      <c r="C4852" s="1042"/>
      <c r="D4852" s="1610" t="s">
        <v>1082</v>
      </c>
      <c r="E4852" s="2154" t="s">
        <v>1504</v>
      </c>
      <c r="F4852" s="1598" t="s">
        <v>1541</v>
      </c>
      <c r="G4852" s="1995">
        <v>1</v>
      </c>
      <c r="H4852" s="1453"/>
      <c r="I4852" s="198"/>
      <c r="J4852" s="198"/>
      <c r="K4852" s="1350">
        <f>G4852*K4849</f>
        <v>0.98</v>
      </c>
      <c r="L4852" s="1335">
        <f t="shared" si="594"/>
        <v>0</v>
      </c>
      <c r="M4852" s="1499">
        <v>0.3</v>
      </c>
      <c r="N4852" s="1718"/>
      <c r="O4852" s="1290">
        <f>G4852*M4852</f>
        <v>0.3</v>
      </c>
      <c r="P4852" s="1332">
        <f>M4852*K4852</f>
        <v>0.29399999999999998</v>
      </c>
      <c r="Q4852" s="3391"/>
      <c r="R4852" s="2337"/>
    </row>
    <row r="4853" spans="1:22" s="22" customFormat="1" ht="19.5" customHeight="1">
      <c r="A4853" s="2187"/>
      <c r="B4853" s="1599"/>
      <c r="C4853" s="1042"/>
      <c r="D4853" s="1396"/>
      <c r="E4853" s="1856"/>
      <c r="F4853" s="1421"/>
      <c r="G4853" s="1452"/>
      <c r="H4853" s="1453"/>
      <c r="I4853" s="1286"/>
      <c r="J4853" s="198"/>
      <c r="K4853" s="1307"/>
      <c r="L4853" s="1335"/>
      <c r="M4853" s="1717"/>
      <c r="N4853" s="1718"/>
      <c r="O4853" s="1719"/>
      <c r="P4853" s="1720"/>
      <c r="Q4853" s="3396"/>
      <c r="R4853" s="1296"/>
    </row>
    <row r="4854" spans="1:22" s="22" customFormat="1" ht="18" customHeight="1">
      <c r="A4854" s="4012"/>
      <c r="B4854" s="553"/>
      <c r="C4854" s="1320"/>
      <c r="D4854" s="1400"/>
      <c r="E4854" s="1856"/>
      <c r="F4854" s="1397"/>
      <c r="G4854" s="1416"/>
      <c r="H4854" s="1399"/>
      <c r="I4854" s="197"/>
      <c r="J4854" s="198"/>
      <c r="K4854" s="1732"/>
      <c r="L4854" s="1335"/>
      <c r="M4854" s="1499"/>
      <c r="N4854" s="1724"/>
      <c r="O4854" s="1290"/>
      <c r="P4854" s="1332"/>
      <c r="Q4854" s="3391"/>
      <c r="R4854" s="2337"/>
    </row>
    <row r="4855" spans="1:22" s="22" customFormat="1">
      <c r="A4855" s="19"/>
      <c r="B4855" s="1599"/>
      <c r="C4855" s="1320"/>
      <c r="D4855" s="1642"/>
      <c r="E4855" s="2162"/>
      <c r="F4855" s="1643" t="s">
        <v>2</v>
      </c>
      <c r="G4855" s="1989"/>
      <c r="H4855" s="1408"/>
      <c r="I4855" s="1380"/>
      <c r="J4855" s="1381"/>
      <c r="K4855" s="1996"/>
      <c r="L4855" s="1680"/>
      <c r="M4855" s="1681"/>
      <c r="N4855" s="1713"/>
      <c r="O4855" s="1682"/>
      <c r="P4855" s="1683"/>
      <c r="Q4855" s="3391"/>
      <c r="R4855" s="1296"/>
    </row>
    <row r="4856" spans="1:22" s="22" customFormat="1">
      <c r="A4856" s="19"/>
      <c r="B4856" s="553"/>
      <c r="C4856" s="1042"/>
      <c r="D4856" s="1402" t="s">
        <v>1067</v>
      </c>
      <c r="E4856" s="1857" t="s">
        <v>1508</v>
      </c>
      <c r="F4856" s="1403" t="s">
        <v>1512</v>
      </c>
      <c r="G4856" s="1991">
        <v>0.16</v>
      </c>
      <c r="H4856" s="1408"/>
      <c r="I4856" s="1286"/>
      <c r="J4856" s="198"/>
      <c r="K4856" s="1350">
        <f>G4856*K4849</f>
        <v>0.15679999999999999</v>
      </c>
      <c r="L4856" s="1335">
        <f>K4856*$K$4717</f>
        <v>0</v>
      </c>
      <c r="M4856" s="1302">
        <v>18.28</v>
      </c>
      <c r="N4856" s="1718"/>
      <c r="O4856" s="1290">
        <f>G4856*M4856</f>
        <v>2.9248000000000003</v>
      </c>
      <c r="P4856" s="1332">
        <f>M4856*K4856</f>
        <v>2.866304</v>
      </c>
      <c r="Q4856" s="3391"/>
      <c r="R4856" s="2337"/>
    </row>
    <row r="4857" spans="1:22" s="22" customFormat="1">
      <c r="B4857" s="553"/>
      <c r="C4857" s="1042"/>
      <c r="D4857" s="1402"/>
      <c r="E4857" s="1857"/>
      <c r="F4857" s="1403"/>
      <c r="G4857" s="1991"/>
      <c r="H4857" s="1408"/>
      <c r="I4857" s="1286"/>
      <c r="J4857" s="198"/>
      <c r="K4857" s="1307"/>
      <c r="L4857" s="1335"/>
      <c r="M4857" s="1302"/>
      <c r="N4857" s="1718"/>
      <c r="O4857" s="1290"/>
      <c r="P4857" s="1332"/>
      <c r="Q4857" s="3391"/>
      <c r="R4857" s="2337"/>
    </row>
    <row r="4858" spans="1:22" s="22" customFormat="1">
      <c r="A4858" s="1320"/>
      <c r="B4858" s="553"/>
      <c r="C4858" s="1042"/>
      <c r="D4858" s="1402"/>
      <c r="E4858" s="1857"/>
      <c r="F4858" s="1403"/>
      <c r="G4858" s="1991"/>
      <c r="H4858" s="1408"/>
      <c r="I4858" s="197"/>
      <c r="J4858" s="198"/>
      <c r="K4858" s="1307"/>
      <c r="L4858" s="1335"/>
      <c r="M4858" s="1302"/>
      <c r="N4858" s="1718"/>
      <c r="O4858" s="1290"/>
      <c r="P4858" s="1332"/>
      <c r="Q4858" s="3391"/>
      <c r="R4858" s="2337"/>
    </row>
    <row r="4859" spans="1:22" s="22" customFormat="1">
      <c r="A4859" s="1321"/>
      <c r="C4859" s="1042"/>
      <c r="D4859" s="1411"/>
      <c r="E4859" s="2123"/>
      <c r="F4859" s="1374" t="s">
        <v>3</v>
      </c>
      <c r="G4859" s="1374"/>
      <c r="H4859" s="1376"/>
      <c r="I4859" s="1382"/>
      <c r="J4859" s="1383"/>
      <c r="K4859" s="1684"/>
      <c r="L4859" s="1685"/>
      <c r="M4859" s="1597"/>
      <c r="N4859" s="1597"/>
      <c r="O4859" s="1687"/>
      <c r="P4859" s="1686"/>
      <c r="Q4859" s="3391"/>
      <c r="R4859" s="1173"/>
    </row>
    <row r="4860" spans="1:22" s="22" customFormat="1">
      <c r="A4860" s="1321"/>
      <c r="B4860" s="1599"/>
      <c r="C4860" s="1042"/>
      <c r="D4860" s="1411" t="s">
        <v>1686</v>
      </c>
      <c r="E4860" s="2123" t="s">
        <v>1687</v>
      </c>
      <c r="F4860" s="1669" t="s">
        <v>1688</v>
      </c>
      <c r="G4860" s="1669">
        <v>0.224</v>
      </c>
      <c r="H4860" s="1670"/>
      <c r="I4860" s="197">
        <f ca="1">IF(COUNT(H4860:O4860)=0,"",(SUM(H4860:O4860)/COUNT(H4860:O4860)))</f>
        <v>2.3498799999999997</v>
      </c>
      <c r="J4860" s="198"/>
      <c r="K4860" s="1350">
        <f>G4860*K4849</f>
        <v>0.21951999999999999</v>
      </c>
      <c r="L4860" s="1335">
        <f>K4860*$K$4717</f>
        <v>0</v>
      </c>
      <c r="M4860" s="1302">
        <v>7.5</v>
      </c>
      <c r="N4860" s="1619"/>
      <c r="O4860" s="1290">
        <f>G4860*M4860</f>
        <v>1.68</v>
      </c>
      <c r="P4860" s="1332">
        <f>M4860*K4860</f>
        <v>1.6463999999999999</v>
      </c>
      <c r="Q4860" s="3391"/>
      <c r="R4860" s="4107"/>
    </row>
    <row r="4861" spans="1:22" s="22" customFormat="1" ht="16.5" customHeight="1">
      <c r="A4861" s="1320"/>
      <c r="B4861" s="1599"/>
      <c r="C4861" s="1042"/>
      <c r="D4861" s="1411"/>
      <c r="E4861" s="2123"/>
      <c r="F4861" s="1375"/>
      <c r="G4861" s="1375"/>
      <c r="H4861" s="1670"/>
      <c r="I4861" s="197" t="str">
        <f ca="1">IF(COUNT(H4861:O4861)=0,"",(SUM(H4861:O4861)/COUNT(H4861:O4861)))</f>
        <v/>
      </c>
      <c r="J4861" s="198"/>
      <c r="K4861" s="1307"/>
      <c r="L4861" s="1335"/>
      <c r="M4861" s="1619"/>
      <c r="N4861" s="1619"/>
      <c r="O4861" s="1290"/>
      <c r="P4861" s="1332"/>
      <c r="Q4861" s="3391"/>
      <c r="R4861" s="4107"/>
    </row>
    <row r="4862" spans="1:22" s="22" customFormat="1" ht="16.5" customHeight="1">
      <c r="A4862" s="16"/>
      <c r="B4862" s="1765"/>
      <c r="C4862" s="223"/>
      <c r="D4862" s="3947"/>
      <c r="E4862" s="4127"/>
      <c r="F4862" s="4124"/>
      <c r="G4862" s="4124"/>
      <c r="H4862" s="4125"/>
      <c r="I4862" s="197"/>
      <c r="J4862" s="3991"/>
      <c r="K4862" s="1307"/>
      <c r="L4862" s="1335"/>
      <c r="M4862" s="4126"/>
      <c r="N4862" s="4126"/>
      <c r="O4862" s="1290"/>
      <c r="P4862" s="3919"/>
      <c r="Q4862" s="3391"/>
      <c r="R4862" s="4107"/>
    </row>
    <row r="4863" spans="1:22" s="16" customFormat="1" ht="28.5">
      <c r="A4863" s="1596"/>
      <c r="B4863" s="1596"/>
      <c r="C4863" s="1596"/>
      <c r="D4863" s="1596"/>
      <c r="E4863" s="2376"/>
      <c r="F4863" s="2377"/>
      <c r="G4863" s="2377"/>
      <c r="H4863" s="2378"/>
      <c r="I4863" s="1961" t="str">
        <f ca="1">IF(COUNT(H4863:O4863)=0,"",(SUM(H4863:O4863)/COUNT(H4863:O4863)))</f>
        <v/>
      </c>
      <c r="J4863" s="1961"/>
      <c r="K4863" s="1963"/>
      <c r="L4863" s="2380" t="s">
        <v>2856</v>
      </c>
      <c r="M4863" s="2379"/>
      <c r="N4863" s="2379"/>
      <c r="O4863" s="1966"/>
      <c r="P4863" s="1966"/>
      <c r="Q4863" s="3391"/>
      <c r="R4863" s="4107"/>
    </row>
    <row r="4864" spans="1:22">
      <c r="A4864" s="4495" t="s">
        <v>162</v>
      </c>
      <c r="B4864" s="4496"/>
      <c r="C4864" s="4496"/>
      <c r="D4864" s="4497"/>
      <c r="E4864" s="4498" t="s">
        <v>1549</v>
      </c>
      <c r="F4864" s="4499" t="s">
        <v>1550</v>
      </c>
      <c r="G4864" s="4500" t="s">
        <v>1566</v>
      </c>
      <c r="H4864" s="4501"/>
      <c r="I4864" s="4501"/>
      <c r="J4864" s="4501"/>
      <c r="K4864" s="4501"/>
      <c r="L4864" s="4502"/>
      <c r="M4864" s="4503" t="s">
        <v>1567</v>
      </c>
      <c r="N4864" s="4504"/>
      <c r="O4864" s="4504"/>
      <c r="P4864" s="4505"/>
      <c r="Q4864" s="3395"/>
      <c r="R4864" s="1296"/>
      <c r="S4864" s="16"/>
      <c r="T4864" s="16"/>
      <c r="U4864" s="16"/>
      <c r="V4864" s="16"/>
    </row>
    <row r="4865" spans="1:22">
      <c r="A4865" s="1324" t="s">
        <v>3766</v>
      </c>
      <c r="B4865" s="1325" t="s">
        <v>1513</v>
      </c>
      <c r="C4865" s="1326" t="s">
        <v>1573</v>
      </c>
      <c r="D4865" s="1323" t="s">
        <v>1514</v>
      </c>
      <c r="E4865" s="4429"/>
      <c r="F4865" s="4430"/>
      <c r="G4865" s="4402"/>
      <c r="H4865" s="4403"/>
      <c r="I4865" s="4403"/>
      <c r="J4865" s="4403"/>
      <c r="K4865" s="4403"/>
      <c r="L4865" s="4404"/>
      <c r="M4865" s="4434"/>
      <c r="N4865" s="4435"/>
      <c r="O4865" s="4435"/>
      <c r="P4865" s="4436"/>
      <c r="Q4865" s="3395"/>
      <c r="R4865" s="1296"/>
      <c r="S4865" s="16"/>
      <c r="T4865" s="16"/>
      <c r="U4865" s="16"/>
      <c r="V4865" s="16"/>
    </row>
    <row r="4866" spans="1:22">
      <c r="A4866" s="4374" t="s">
        <v>2788</v>
      </c>
      <c r="B4866" s="4375"/>
      <c r="C4866" s="4375"/>
      <c r="D4866" s="4376"/>
      <c r="E4866" s="4380" t="s">
        <v>1507</v>
      </c>
      <c r="F4866" s="4382" t="s">
        <v>2013</v>
      </c>
      <c r="G4866" s="4415" t="s">
        <v>294</v>
      </c>
      <c r="H4866" s="4416"/>
      <c r="I4866" s="1665" t="s">
        <v>1565</v>
      </c>
      <c r="J4866" s="4099" t="s">
        <v>1575</v>
      </c>
      <c r="K4866" s="4415" t="s">
        <v>289</v>
      </c>
      <c r="L4866" s="4416"/>
      <c r="M4866" s="4409" t="s">
        <v>3349</v>
      </c>
      <c r="N4866" s="4447"/>
      <c r="O4866" s="4447"/>
      <c r="P4866" s="4494"/>
      <c r="Q4866" s="3394" t="s">
        <v>3947</v>
      </c>
      <c r="R4866" s="1296"/>
      <c r="S4866" s="16"/>
      <c r="T4866" s="16"/>
      <c r="U4866" s="16"/>
      <c r="V4866" s="16"/>
    </row>
    <row r="4867" spans="1:22" ht="15.5">
      <c r="A4867" s="4377"/>
      <c r="B4867" s="4378"/>
      <c r="C4867" s="4378"/>
      <c r="D4867" s="4379"/>
      <c r="E4867" s="4381"/>
      <c r="F4867" s="4383"/>
      <c r="G4867" s="4451">
        <f>IF('Seleccion proyecto HEREVEA02'!G41="Reparación faldón ≤60%",'Seleccion proyecto HEREVEA02'!E39,0)</f>
        <v>0</v>
      </c>
      <c r="H4867" s="4452"/>
      <c r="I4867" s="3353">
        <f>IF('Seleccion proyecto HEREVEA02'!H41=0,0,IF('Seleccion proyecto HEREVEA02'!H41="1 a 30",0.3,IF('Seleccion proyecto HEREVEA02'!H41="31 a 60",0.6)))</f>
        <v>0</v>
      </c>
      <c r="J4867" s="1351">
        <f>'Seleccion proyecto HEREVEA02'!L8</f>
        <v>11100.968999999999</v>
      </c>
      <c r="K4867" s="4358">
        <f>G4867*I4867*J4867</f>
        <v>0</v>
      </c>
      <c r="L4867" s="4359"/>
      <c r="M4867" s="4360">
        <f>P4869+P4883+P4898+P4922+P4946</f>
        <v>48.747238457399995</v>
      </c>
      <c r="N4867" s="4361"/>
      <c r="O4867" s="4361"/>
      <c r="P4867" s="4449"/>
      <c r="Q4867" s="3388">
        <f>M4867*K4867</f>
        <v>0</v>
      </c>
      <c r="R4867" s="1296"/>
      <c r="S4867" s="16"/>
      <c r="T4867" s="16"/>
      <c r="U4867" s="16"/>
      <c r="V4867" s="16"/>
    </row>
    <row r="4868" spans="1:22">
      <c r="A4868" s="18" t="s">
        <v>3764</v>
      </c>
      <c r="B4868" s="4367" t="s">
        <v>1980</v>
      </c>
      <c r="C4868" s="3354"/>
      <c r="D4868" s="4368"/>
      <c r="E4868" s="4329" t="s">
        <v>1507</v>
      </c>
      <c r="F4868" s="4336" t="s">
        <v>1981</v>
      </c>
      <c r="G4868" s="4331" t="s">
        <v>1568</v>
      </c>
      <c r="H4868" s="4331" t="s">
        <v>1574</v>
      </c>
      <c r="I4868" s="1572" t="s">
        <v>1559</v>
      </c>
      <c r="J4868" s="1294" t="s">
        <v>1560</v>
      </c>
      <c r="K4868" s="1294" t="s">
        <v>1569</v>
      </c>
      <c r="L4868" s="4333" t="s">
        <v>3765</v>
      </c>
      <c r="M4868" s="4335" t="s">
        <v>1571</v>
      </c>
      <c r="N4868" s="4323" t="s">
        <v>1776</v>
      </c>
      <c r="O4868" s="3347" t="s">
        <v>1563</v>
      </c>
      <c r="P4868" s="1336" t="s">
        <v>1562</v>
      </c>
      <c r="Q4868" s="3389"/>
      <c r="R4868" s="1699" t="s">
        <v>1327</v>
      </c>
      <c r="S4868" s="16"/>
      <c r="T4868" s="16"/>
      <c r="U4868" s="16"/>
      <c r="V4868" s="16"/>
    </row>
    <row r="4869" spans="1:22">
      <c r="A4869" s="1662" t="s">
        <v>2788</v>
      </c>
      <c r="B4869" s="4369"/>
      <c r="C4869" s="3351"/>
      <c r="D4869" s="4328"/>
      <c r="E4869" s="4330"/>
      <c r="F4869" s="4336"/>
      <c r="G4869" s="4332"/>
      <c r="H4869" s="4332"/>
      <c r="I4869" s="1345">
        <v>70</v>
      </c>
      <c r="J4869" s="1307">
        <v>1.4E-2</v>
      </c>
      <c r="K4869" s="1297">
        <f>I4869*J4869</f>
        <v>0.98</v>
      </c>
      <c r="L4869" s="4334"/>
      <c r="M4869" s="4335"/>
      <c r="N4869" s="4324"/>
      <c r="O4869" s="1298">
        <f>SUM(O4871:O4881)</f>
        <v>7.6776</v>
      </c>
      <c r="P4869" s="1337">
        <f>O4869*K4869</f>
        <v>7.5240479999999996</v>
      </c>
      <c r="Q4869" s="3390"/>
      <c r="R4869" s="1721">
        <f>P4875</f>
        <v>7.5240479999999996</v>
      </c>
      <c r="S4869" s="16"/>
      <c r="T4869" s="16"/>
      <c r="U4869" s="16"/>
      <c r="V4869" s="16"/>
    </row>
    <row r="4870" spans="1:22">
      <c r="A4870" s="1320"/>
      <c r="B4870" s="22"/>
      <c r="C4870" s="1327"/>
      <c r="D4870" s="1367"/>
      <c r="E4870" s="2121"/>
      <c r="F4870" s="1389" t="s">
        <v>1</v>
      </c>
      <c r="G4870" s="1389"/>
      <c r="H4870" s="1369"/>
      <c r="I4870" s="1409"/>
      <c r="J4870" s="1390"/>
      <c r="K4870" s="1391"/>
      <c r="L4870" s="1559"/>
      <c r="M4870" s="1369"/>
      <c r="N4870" s="1369"/>
      <c r="O4870" s="1369"/>
      <c r="P4870" s="1392"/>
      <c r="Q4870" s="3395"/>
      <c r="R4870" s="1296"/>
      <c r="S4870" s="16"/>
      <c r="T4870" s="16"/>
      <c r="U4870" s="16"/>
      <c r="V4870" s="16"/>
    </row>
    <row r="4871" spans="1:22" ht="18.5">
      <c r="A4871" s="2364" t="s">
        <v>2821</v>
      </c>
      <c r="B4871" s="1982"/>
      <c r="C4871" s="1042"/>
      <c r="D4871" s="1672"/>
      <c r="E4871" s="2160"/>
      <c r="F4871" s="1675"/>
      <c r="G4871" s="1675"/>
      <c r="H4871" s="1674"/>
      <c r="I4871" s="1299" t="str">
        <f t="shared" ref="I4871:I4873" ca="1" si="595">IF(COUNT(H4871:O4871)=0,"",(SUM(H4871:O4871)/COUNT(H4871:O4871)))</f>
        <v/>
      </c>
      <c r="J4871" s="1300"/>
      <c r="K4871" s="1307" t="str">
        <f t="shared" ref="K4871:K4873" ca="1" si="596">IF(COUNT(I4871)=0,"",(I4871*J4871))</f>
        <v/>
      </c>
      <c r="L4871" s="1335"/>
      <c r="M4871" s="1302"/>
      <c r="N4871" s="1700"/>
      <c r="O4871" s="1290"/>
      <c r="P4871" s="1332"/>
      <c r="Q4871" s="3391"/>
      <c r="R4871" s="1296"/>
      <c r="S4871" s="16"/>
      <c r="T4871" s="16"/>
      <c r="U4871" s="16"/>
      <c r="V4871" s="16"/>
    </row>
    <row r="4872" spans="1:22" ht="18.5">
      <c r="A4872" s="2364"/>
      <c r="B4872" s="2365"/>
      <c r="C4872" s="1042"/>
      <c r="D4872" s="1367"/>
      <c r="E4872" s="2121"/>
      <c r="F4872" s="1436"/>
      <c r="G4872" s="1436"/>
      <c r="H4872" s="1369"/>
      <c r="I4872" s="1299" t="str">
        <f t="shared" ca="1" si="595"/>
        <v/>
      </c>
      <c r="J4872" s="1300"/>
      <c r="K4872" s="1307" t="str">
        <f t="shared" ca="1" si="596"/>
        <v/>
      </c>
      <c r="L4872" s="1335"/>
      <c r="M4872" s="1302"/>
      <c r="N4872" s="1700"/>
      <c r="O4872" s="1290"/>
      <c r="P4872" s="1332"/>
      <c r="Q4872" s="3391"/>
      <c r="R4872" s="1296"/>
      <c r="S4872" s="16"/>
      <c r="T4872" s="16"/>
      <c r="U4872" s="16"/>
      <c r="V4872" s="16"/>
    </row>
    <row r="4873" spans="1:22" ht="18.5">
      <c r="A4873" s="2364"/>
      <c r="B4873" s="2365"/>
      <c r="C4873" s="1042"/>
      <c r="D4873" s="1367"/>
      <c r="E4873" s="2121"/>
      <c r="F4873" s="1436"/>
      <c r="G4873" s="1436"/>
      <c r="H4873" s="1369"/>
      <c r="I4873" s="1299" t="str">
        <f t="shared" ca="1" si="595"/>
        <v/>
      </c>
      <c r="J4873" s="1300"/>
      <c r="K4873" s="1307" t="str">
        <f t="shared" ca="1" si="596"/>
        <v/>
      </c>
      <c r="L4873" s="1335"/>
      <c r="M4873" s="1302"/>
      <c r="N4873" s="1700"/>
      <c r="O4873" s="1290"/>
      <c r="P4873" s="1332"/>
      <c r="Q4873" s="3391"/>
      <c r="R4873" s="1296"/>
      <c r="S4873" s="16"/>
      <c r="T4873" s="16"/>
      <c r="U4873" s="16"/>
      <c r="V4873" s="16"/>
    </row>
    <row r="4874" spans="1:22" ht="18.5">
      <c r="A4874" s="2364" t="s">
        <v>2823</v>
      </c>
      <c r="B4874" s="2365"/>
      <c r="C4874" s="1042"/>
      <c r="D4874" s="1359"/>
      <c r="E4874" s="1858"/>
      <c r="F4874" s="1360" t="s">
        <v>2</v>
      </c>
      <c r="G4874" s="1360"/>
      <c r="H4874" s="1362"/>
      <c r="I4874" s="1380"/>
      <c r="J4874" s="1381"/>
      <c r="K4874" s="1381"/>
      <c r="L4874" s="1458"/>
      <c r="M4874" s="1362"/>
      <c r="N4874" s="1362"/>
      <c r="O4874" s="1362"/>
      <c r="P4874" s="1359"/>
      <c r="Q4874" s="3387"/>
      <c r="S4874" s="16"/>
      <c r="T4874" s="16"/>
      <c r="U4874" s="16"/>
      <c r="V4874" s="16"/>
    </row>
    <row r="4875" spans="1:22" ht="18.5">
      <c r="A4875" s="2366" t="s">
        <v>1490</v>
      </c>
      <c r="B4875" s="2367"/>
      <c r="C4875" s="1321"/>
      <c r="D4875" s="1363" t="s">
        <v>1067</v>
      </c>
      <c r="E4875" s="2125" t="s">
        <v>1508</v>
      </c>
      <c r="F4875" s="1385" t="s">
        <v>1512</v>
      </c>
      <c r="G4875" s="1385"/>
      <c r="H4875" s="1386">
        <v>0.42</v>
      </c>
      <c r="I4875" s="1299"/>
      <c r="J4875" s="1300"/>
      <c r="K4875" s="1307">
        <f>H4875*K4869</f>
        <v>0.41159999999999997</v>
      </c>
      <c r="L4875" s="1335">
        <f>K4875*$K$4867</f>
        <v>0</v>
      </c>
      <c r="M4875" s="1302">
        <v>18.28</v>
      </c>
      <c r="N4875" s="1700"/>
      <c r="O4875" s="1290">
        <f>H4875*M4875</f>
        <v>7.6776</v>
      </c>
      <c r="P4875" s="1332">
        <f>M4875*K4875</f>
        <v>7.5240479999999996</v>
      </c>
      <c r="Q4875" s="3391"/>
      <c r="S4875" s="16"/>
      <c r="T4875" s="16"/>
      <c r="U4875" s="16"/>
      <c r="V4875" s="16"/>
    </row>
    <row r="4876" spans="1:22" ht="18.5">
      <c r="A4876" s="2364"/>
      <c r="B4876" s="2365"/>
      <c r="C4876" s="1320"/>
      <c r="D4876" s="1359"/>
      <c r="E4876" s="1858"/>
      <c r="F4876" s="1404"/>
      <c r="G4876" s="1404"/>
      <c r="H4876" s="1359"/>
      <c r="I4876" s="1299"/>
      <c r="J4876" s="1300"/>
      <c r="K4876" s="1307"/>
      <c r="L4876" s="1335"/>
      <c r="M4876" s="1302"/>
      <c r="N4876" s="1700"/>
      <c r="O4876" s="1290"/>
      <c r="P4876" s="1332"/>
      <c r="Q4876" s="3391"/>
      <c r="R4876" s="1296"/>
      <c r="S4876" s="16"/>
      <c r="T4876" s="16"/>
      <c r="U4876" s="16"/>
      <c r="V4876" s="16"/>
    </row>
    <row r="4877" spans="1:22" ht="18.5">
      <c r="A4877" s="2364"/>
      <c r="B4877" s="2365"/>
      <c r="C4877" s="1320"/>
      <c r="D4877" s="1359"/>
      <c r="E4877" s="1858"/>
      <c r="F4877" s="1361"/>
      <c r="G4877" s="1361"/>
      <c r="H4877" s="1466"/>
      <c r="I4877" s="1299"/>
      <c r="J4877" s="1300"/>
      <c r="K4877" s="1307" t="str">
        <f>IF(COUNT(I4877)=0,"",(I4877*J4877))</f>
        <v/>
      </c>
      <c r="L4877" s="1335"/>
      <c r="M4877" s="1302"/>
      <c r="N4877" s="1700"/>
      <c r="O4877" s="1290"/>
      <c r="P4877" s="1332"/>
      <c r="Q4877" s="3391"/>
      <c r="R4877" s="1296"/>
      <c r="S4877" s="16"/>
      <c r="T4877" s="16"/>
      <c r="U4877" s="16"/>
      <c r="V4877" s="16"/>
    </row>
    <row r="4878" spans="1:22" ht="18.5">
      <c r="A4878" s="2364"/>
      <c r="B4878" s="2365"/>
      <c r="C4878" s="1320"/>
      <c r="D4878" s="1373"/>
      <c r="E4878" s="2123"/>
      <c r="F4878" s="1374" t="s">
        <v>3</v>
      </c>
      <c r="G4878" s="1375"/>
      <c r="H4878" s="1376"/>
      <c r="I4878" s="1382"/>
      <c r="J4878" s="1383"/>
      <c r="K4878" s="1383" t="str">
        <f>IF(COUNT(I4878)=0,"",(I4878*J4878))</f>
        <v/>
      </c>
      <c r="L4878" s="1413"/>
      <c r="M4878" s="1376"/>
      <c r="N4878" s="1376"/>
      <c r="O4878" s="1376"/>
      <c r="P4878" s="1373"/>
      <c r="Q4878" s="3387"/>
      <c r="R4878" s="1296"/>
      <c r="S4878" s="16"/>
      <c r="T4878" s="16"/>
      <c r="U4878" s="16"/>
      <c r="V4878" s="16"/>
    </row>
    <row r="4879" spans="1:22" ht="18.5">
      <c r="A4879" s="2366" t="s">
        <v>2827</v>
      </c>
      <c r="B4879" s="2367"/>
      <c r="C4879" s="1321"/>
      <c r="D4879" s="1377"/>
      <c r="E4879" s="2124"/>
      <c r="F4879" s="1378"/>
      <c r="G4879" s="1378"/>
      <c r="H4879" s="1379"/>
      <c r="I4879" s="1299"/>
      <c r="J4879" s="1300"/>
      <c r="K4879" s="1307"/>
      <c r="L4879" s="1335"/>
      <c r="M4879" s="1302"/>
      <c r="N4879" s="1700"/>
      <c r="O4879" s="1290"/>
      <c r="P4879" s="1332"/>
      <c r="Q4879" s="3391"/>
      <c r="R4879" s="1296"/>
      <c r="S4879" s="16"/>
      <c r="T4879" s="16"/>
      <c r="U4879" s="16"/>
      <c r="V4879" s="16"/>
    </row>
    <row r="4880" spans="1:22">
      <c r="A4880" s="1321"/>
      <c r="B4880" s="1295"/>
      <c r="C4880" s="1321"/>
      <c r="D4880" s="1377"/>
      <c r="E4880" s="2124"/>
      <c r="F4880" s="1378"/>
      <c r="G4880" s="1378"/>
      <c r="H4880" s="1379"/>
      <c r="I4880" s="1299"/>
      <c r="J4880" s="1300"/>
      <c r="K4880" s="1307"/>
      <c r="L4880" s="1335"/>
      <c r="M4880" s="1302"/>
      <c r="N4880" s="1700"/>
      <c r="O4880" s="1290"/>
      <c r="P4880" s="1333"/>
      <c r="Q4880" s="3391"/>
      <c r="R4880" s="1296"/>
      <c r="S4880" s="16"/>
      <c r="T4880" s="16"/>
      <c r="U4880" s="16"/>
      <c r="V4880" s="16"/>
    </row>
    <row r="4881" spans="1:22">
      <c r="A4881" s="1042"/>
      <c r="B4881" s="22"/>
      <c r="C4881" s="1042"/>
      <c r="D4881" s="1677"/>
      <c r="E4881" s="2161"/>
      <c r="F4881" s="1678"/>
      <c r="G4881" s="1678"/>
      <c r="H4881" s="1376"/>
      <c r="I4881" s="1299"/>
      <c r="J4881" s="1300"/>
      <c r="K4881" s="1307"/>
      <c r="L4881" s="1335"/>
      <c r="M4881" s="1302"/>
      <c r="N4881" s="1700"/>
      <c r="O4881" s="1290"/>
      <c r="P4881" s="1332"/>
      <c r="Q4881" s="3391"/>
      <c r="R4881" s="1296"/>
      <c r="S4881" s="16"/>
      <c r="T4881" s="16"/>
      <c r="U4881" s="16"/>
      <c r="V4881" s="16"/>
    </row>
    <row r="4882" spans="1:22" ht="15" customHeight="1">
      <c r="A4882" s="1042" t="s">
        <v>3764</v>
      </c>
      <c r="B4882" s="4325" t="s">
        <v>1989</v>
      </c>
      <c r="C4882" s="3350"/>
      <c r="D4882" s="4327" t="s">
        <v>1551</v>
      </c>
      <c r="E4882" s="4329" t="s">
        <v>1507</v>
      </c>
      <c r="F4882" s="4372" t="s">
        <v>1990</v>
      </c>
      <c r="G4882" s="4331" t="s">
        <v>1568</v>
      </c>
      <c r="H4882" s="4331" t="s">
        <v>1574</v>
      </c>
      <c r="I4882" s="1572" t="s">
        <v>1559</v>
      </c>
      <c r="J4882" s="1294" t="s">
        <v>1560</v>
      </c>
      <c r="K4882" s="1294" t="s">
        <v>1561</v>
      </c>
      <c r="L4882" s="4333" t="s">
        <v>3765</v>
      </c>
      <c r="M4882" s="4335" t="s">
        <v>1571</v>
      </c>
      <c r="N4882" s="4323" t="s">
        <v>1776</v>
      </c>
      <c r="O4882" s="3347" t="s">
        <v>1563</v>
      </c>
      <c r="P4882" s="1336" t="s">
        <v>1562</v>
      </c>
      <c r="Q4882" s="3389"/>
      <c r="R4882" s="1699" t="s">
        <v>1327</v>
      </c>
      <c r="S4882" s="16"/>
      <c r="T4882" s="16"/>
      <c r="U4882" s="16"/>
      <c r="V4882" s="16"/>
    </row>
    <row r="4883" spans="1:22">
      <c r="A4883" s="1662" t="s">
        <v>2788</v>
      </c>
      <c r="B4883" s="4326"/>
      <c r="C4883" s="3354"/>
      <c r="D4883" s="4328"/>
      <c r="E4883" s="4330"/>
      <c r="F4883" s="4363"/>
      <c r="G4883" s="4332"/>
      <c r="H4883" s="4332"/>
      <c r="I4883" s="1345">
        <v>70</v>
      </c>
      <c r="J4883" s="1307">
        <v>1.4E-2</v>
      </c>
      <c r="K4883" s="1297">
        <f>I4883*J4883</f>
        <v>0.98</v>
      </c>
      <c r="L4883" s="4334"/>
      <c r="M4883" s="4335"/>
      <c r="N4883" s="4324"/>
      <c r="O4883" s="1298">
        <f>O4885+O4889+O4890</f>
        <v>1.4168000000000001</v>
      </c>
      <c r="P4883" s="1337">
        <f>O4883*K4883</f>
        <v>1.3884640000000001</v>
      </c>
      <c r="Q4883" s="3390"/>
      <c r="R4883" s="1721">
        <f>P4885+P4889+P4890</f>
        <v>1.3884639999999999</v>
      </c>
      <c r="S4883" s="16"/>
      <c r="T4883" s="16"/>
      <c r="U4883" s="16"/>
      <c r="V4883" s="16"/>
    </row>
    <row r="4884" spans="1:22">
      <c r="A4884" s="1042"/>
      <c r="B4884" s="22"/>
      <c r="C4884" s="18"/>
      <c r="D4884" s="1400"/>
      <c r="E4884" s="2121"/>
      <c r="F4884" s="1368" t="s">
        <v>1</v>
      </c>
      <c r="G4884" s="1368"/>
      <c r="H4884" s="1423"/>
      <c r="I4884" s="1667"/>
      <c r="J4884" s="1424"/>
      <c r="K4884" s="1425"/>
      <c r="L4884" s="1560"/>
      <c r="M4884" s="1426"/>
      <c r="N4884" s="1426"/>
      <c r="O4884" s="1427"/>
      <c r="P4884" s="1427"/>
      <c r="Q4884" s="3397"/>
      <c r="R4884" s="1296"/>
      <c r="S4884" s="16"/>
      <c r="T4884" s="16"/>
      <c r="U4884" s="16"/>
      <c r="V4884" s="16"/>
    </row>
    <row r="4885" spans="1:22">
      <c r="A4885" s="1042"/>
      <c r="B4885" s="22"/>
      <c r="C4885" s="1042"/>
      <c r="D4885" s="1598" t="s">
        <v>1159</v>
      </c>
      <c r="E4885" s="2154" t="s">
        <v>1507</v>
      </c>
      <c r="F4885" s="1598" t="s">
        <v>1991</v>
      </c>
      <c r="G4885" s="1612">
        <v>1.111</v>
      </c>
      <c r="H4885" s="1372"/>
      <c r="I4885" s="197"/>
      <c r="J4885" s="198"/>
      <c r="K4885" s="1350">
        <f>G4885*K4883</f>
        <v>1.0887799999999999</v>
      </c>
      <c r="L4885" s="1335">
        <f>K4885*$K$4867</f>
        <v>0</v>
      </c>
      <c r="M4885" s="1499">
        <v>0.6</v>
      </c>
      <c r="N4885" s="1700"/>
      <c r="O4885" s="1290">
        <f>G4885*M4885</f>
        <v>0.66659999999999997</v>
      </c>
      <c r="P4885" s="1332">
        <f>M4885*K4885</f>
        <v>0.65326799999999985</v>
      </c>
      <c r="Q4885" s="3391"/>
      <c r="R4885" s="1296"/>
      <c r="S4885" s="16"/>
      <c r="T4885" s="16"/>
      <c r="U4885" s="16"/>
      <c r="V4885" s="16"/>
    </row>
    <row r="4886" spans="1:22">
      <c r="A4886" s="16"/>
      <c r="B4886" s="553"/>
      <c r="C4886" s="1320"/>
      <c r="D4886" s="1400"/>
      <c r="E4886" s="1856"/>
      <c r="F4886" s="1397"/>
      <c r="G4886" s="1416"/>
      <c r="H4886" s="1399"/>
      <c r="I4886" s="197"/>
      <c r="J4886" s="198"/>
      <c r="K4886" s="1732"/>
      <c r="L4886" s="1335"/>
      <c r="M4886" s="1302"/>
      <c r="N4886" s="1718"/>
      <c r="O4886" s="1290"/>
      <c r="P4886" s="1332"/>
      <c r="Q4886" s="3391"/>
      <c r="R4886" s="2337"/>
      <c r="S4886" s="16"/>
      <c r="T4886" s="16"/>
      <c r="U4886" s="16"/>
      <c r="V4886" s="16"/>
    </row>
    <row r="4887" spans="1:22">
      <c r="A4887" s="1042"/>
      <c r="B4887" s="22"/>
      <c r="C4887" s="1320"/>
      <c r="D4887" s="1400"/>
      <c r="E4887" s="1856"/>
      <c r="F4887" s="1397"/>
      <c r="G4887" s="1988"/>
      <c r="H4887" s="1399"/>
      <c r="I4887" s="197"/>
      <c r="J4887" s="198"/>
      <c r="K4887" s="1307"/>
      <c r="L4887" s="1335"/>
      <c r="M4887" s="1499"/>
      <c r="N4887" s="1701"/>
      <c r="O4887" s="1290"/>
      <c r="P4887" s="1332"/>
      <c r="Q4887" s="3391"/>
      <c r="R4887" s="1296"/>
      <c r="S4887" s="16"/>
      <c r="T4887" s="16"/>
      <c r="U4887" s="16"/>
      <c r="V4887" s="16"/>
    </row>
    <row r="4888" spans="1:22">
      <c r="A4888" s="1042"/>
      <c r="B4888" s="22"/>
      <c r="C4888" s="1320"/>
      <c r="D4888" s="1642"/>
      <c r="E4888" s="2162"/>
      <c r="F4888" s="1643" t="s">
        <v>2</v>
      </c>
      <c r="G4888" s="1989"/>
      <c r="H4888" s="1408"/>
      <c r="I4888" s="1380"/>
      <c r="J4888" s="1381"/>
      <c r="K4888" s="1679"/>
      <c r="L4888" s="1680"/>
      <c r="M4888" s="1681"/>
      <c r="N4888" s="1713"/>
      <c r="O4888" s="1682"/>
      <c r="P4888" s="1683"/>
      <c r="Q4888" s="3391"/>
      <c r="R4888" s="1296"/>
      <c r="S4888" s="16"/>
      <c r="T4888" s="16"/>
      <c r="U4888" s="16"/>
      <c r="V4888" s="16"/>
    </row>
    <row r="4889" spans="1:22">
      <c r="A4889" s="1042"/>
      <c r="B4889" s="22"/>
      <c r="C4889" s="1320"/>
      <c r="D4889" s="1993" t="s">
        <v>1067</v>
      </c>
      <c r="E4889" s="1859" t="s">
        <v>1508</v>
      </c>
      <c r="F4889" s="1655" t="s">
        <v>1512</v>
      </c>
      <c r="G4889" s="1809">
        <v>0.02</v>
      </c>
      <c r="H4889" s="1408"/>
      <c r="I4889" s="197"/>
      <c r="J4889" s="198"/>
      <c r="K4889" s="1307">
        <f>G4889*K4883</f>
        <v>1.9599999999999999E-2</v>
      </c>
      <c r="L4889" s="1335">
        <f t="shared" ref="L4889:L4890" si="597">K4889*$K$4867</f>
        <v>0</v>
      </c>
      <c r="M4889" s="1499">
        <v>18.28</v>
      </c>
      <c r="N4889" s="1701"/>
      <c r="O4889" s="1290">
        <f>G4889*M4889</f>
        <v>0.36560000000000004</v>
      </c>
      <c r="P4889" s="1332">
        <f>M4889*K4889</f>
        <v>0.358288</v>
      </c>
      <c r="Q4889" s="3391"/>
      <c r="R4889" s="1296"/>
      <c r="S4889" s="16"/>
      <c r="T4889" s="16"/>
      <c r="U4889" s="16"/>
      <c r="V4889" s="16"/>
    </row>
    <row r="4890" spans="1:22">
      <c r="A4890" s="1042"/>
      <c r="B4890" s="22"/>
      <c r="C4890" s="1320"/>
      <c r="D4890" s="1993" t="s">
        <v>1133</v>
      </c>
      <c r="E4890" s="1859" t="s">
        <v>1508</v>
      </c>
      <c r="F4890" s="1655" t="s">
        <v>1955</v>
      </c>
      <c r="G4890" s="1809">
        <v>0.02</v>
      </c>
      <c r="H4890" s="1408"/>
      <c r="I4890" s="197"/>
      <c r="J4890" s="198"/>
      <c r="K4890" s="1307">
        <f>G4890*K4883</f>
        <v>1.9599999999999999E-2</v>
      </c>
      <c r="L4890" s="1335">
        <f t="shared" si="597"/>
        <v>0</v>
      </c>
      <c r="M4890" s="1499">
        <v>19.23</v>
      </c>
      <c r="N4890" s="1701"/>
      <c r="O4890" s="1290">
        <f>G4890*M4890</f>
        <v>0.3846</v>
      </c>
      <c r="P4890" s="1332">
        <f>M4890*K4890</f>
        <v>0.37690800000000002</v>
      </c>
      <c r="Q4890" s="3391"/>
      <c r="R4890" s="1296"/>
      <c r="S4890" s="16"/>
      <c r="T4890" s="16"/>
      <c r="U4890" s="16"/>
      <c r="V4890" s="16"/>
    </row>
    <row r="4891" spans="1:22">
      <c r="A4891" s="16"/>
      <c r="B4891" s="553"/>
      <c r="C4891" s="1042"/>
      <c r="D4891" s="1402"/>
      <c r="E4891" s="1857"/>
      <c r="F4891" s="1403"/>
      <c r="G4891" s="1991"/>
      <c r="H4891" s="1408"/>
      <c r="I4891" s="1286"/>
      <c r="J4891" s="198"/>
      <c r="K4891" s="1307"/>
      <c r="L4891" s="1335"/>
      <c r="M4891" s="1302"/>
      <c r="N4891" s="1718"/>
      <c r="O4891" s="1290"/>
      <c r="P4891" s="1332"/>
      <c r="Q4891" s="3391"/>
      <c r="R4891" s="2337"/>
      <c r="S4891" s="17"/>
      <c r="T4891" s="17"/>
      <c r="U4891" s="16"/>
      <c r="V4891" s="16"/>
    </row>
    <row r="4892" spans="1:22">
      <c r="A4892" s="16"/>
      <c r="B4892" s="553"/>
      <c r="C4892" s="1042"/>
      <c r="D4892" s="1402"/>
      <c r="E4892" s="1857"/>
      <c r="F4892" s="1403"/>
      <c r="G4892" s="1991"/>
      <c r="H4892" s="1408"/>
      <c r="I4892" s="197"/>
      <c r="J4892" s="198"/>
      <c r="K4892" s="1307"/>
      <c r="L4892" s="1335"/>
      <c r="M4892" s="1302"/>
      <c r="N4892" s="1718"/>
      <c r="O4892" s="1290"/>
      <c r="P4892" s="1332"/>
      <c r="Q4892" s="3391"/>
      <c r="R4892" s="2337"/>
      <c r="S4892" s="105"/>
      <c r="T4892" s="105"/>
      <c r="U4892" s="16"/>
      <c r="V4892" s="16"/>
    </row>
    <row r="4893" spans="1:22">
      <c r="A4893" s="1042"/>
      <c r="B4893" s="22"/>
      <c r="C4893" s="1042"/>
      <c r="D4893" s="1411"/>
      <c r="E4893" s="2123"/>
      <c r="F4893" s="1374" t="s">
        <v>3</v>
      </c>
      <c r="G4893" s="1374"/>
      <c r="H4893" s="1376"/>
      <c r="I4893" s="1382"/>
      <c r="J4893" s="1383"/>
      <c r="K4893" s="1684"/>
      <c r="L4893" s="1685"/>
      <c r="M4893" s="1597"/>
      <c r="N4893" s="1597"/>
      <c r="O4893" s="1687"/>
      <c r="P4893" s="1686"/>
      <c r="Q4893" s="3391"/>
      <c r="R4893" s="1173"/>
      <c r="S4893" s="16"/>
      <c r="T4893" s="16"/>
      <c r="U4893" s="16"/>
      <c r="V4893" s="16"/>
    </row>
    <row r="4894" spans="1:22">
      <c r="A4894" s="1042"/>
      <c r="B4894" s="22"/>
      <c r="C4894" s="1042"/>
      <c r="D4894" s="1411"/>
      <c r="E4894" s="2123"/>
      <c r="F4894" s="1375"/>
      <c r="G4894" s="1375"/>
      <c r="H4894" s="1505"/>
      <c r="I4894" s="197" t="str">
        <f ca="1">IF(COUNT(H4894:O4894)=0,"",(SUM(H4894:O4894)/COUNT(H4894:O4894)))</f>
        <v/>
      </c>
      <c r="J4894" s="198"/>
      <c r="K4894" s="1307"/>
      <c r="L4894" s="1335"/>
      <c r="M4894" s="1619"/>
      <c r="N4894" s="1619"/>
      <c r="O4894" s="1290"/>
      <c r="P4894" s="1332"/>
      <c r="Q4894" s="3391"/>
      <c r="R4894" s="3363"/>
      <c r="S4894" s="16"/>
      <c r="T4894" s="16"/>
      <c r="U4894" s="16"/>
      <c r="V4894" s="16"/>
    </row>
    <row r="4895" spans="1:22">
      <c r="A4895" s="1042"/>
      <c r="B4895" s="22"/>
      <c r="C4895" s="1042"/>
      <c r="D4895" s="1411"/>
      <c r="E4895" s="2123"/>
      <c r="F4895" s="1375"/>
      <c r="G4895" s="1375"/>
      <c r="H4895" s="1670"/>
      <c r="I4895" s="197"/>
      <c r="J4895" s="198"/>
      <c r="K4895" s="1307"/>
      <c r="L4895" s="1335"/>
      <c r="M4895" s="1619"/>
      <c r="N4895" s="1619"/>
      <c r="O4895" s="1290"/>
      <c r="P4895" s="1332"/>
      <c r="Q4895" s="3391"/>
      <c r="R4895" s="3363"/>
      <c r="S4895" s="16"/>
      <c r="T4895" s="16"/>
      <c r="U4895" s="16"/>
      <c r="V4895" s="16"/>
    </row>
    <row r="4896" spans="1:22">
      <c r="A4896" s="1042"/>
      <c r="B4896" s="22"/>
      <c r="C4896" s="223"/>
      <c r="D4896" s="1411"/>
      <c r="E4896" s="2123"/>
      <c r="F4896" s="1375"/>
      <c r="G4896" s="1375"/>
      <c r="H4896" s="1376"/>
      <c r="I4896" s="197" t="str">
        <f ca="1">IF(COUNT(H4896:O4896)=0,"",(SUM(H4896:O4896)/COUNT(H4896:O4896)))</f>
        <v/>
      </c>
      <c r="J4896" s="198"/>
      <c r="K4896" s="1307"/>
      <c r="L4896" s="1335"/>
      <c r="M4896" s="1619"/>
      <c r="N4896" s="1619"/>
      <c r="O4896" s="1290"/>
      <c r="P4896" s="1332"/>
      <c r="Q4896" s="3391"/>
      <c r="R4896" s="3363"/>
      <c r="S4896" s="16"/>
      <c r="T4896" s="16"/>
      <c r="U4896" s="16"/>
      <c r="V4896" s="16"/>
    </row>
    <row r="4897" spans="1:22" ht="15" customHeight="1">
      <c r="A4897" s="1042" t="s">
        <v>3764</v>
      </c>
      <c r="B4897" s="4325" t="s">
        <v>2000</v>
      </c>
      <c r="C4897" s="3350"/>
      <c r="D4897" s="4327" t="s">
        <v>1551</v>
      </c>
      <c r="E4897" s="4329" t="s">
        <v>1507</v>
      </c>
      <c r="F4897" s="4372" t="s">
        <v>2001</v>
      </c>
      <c r="G4897" s="4331" t="s">
        <v>1568</v>
      </c>
      <c r="H4897" s="4331" t="s">
        <v>1574</v>
      </c>
      <c r="I4897" s="1572" t="s">
        <v>1559</v>
      </c>
      <c r="J4897" s="1294" t="s">
        <v>1560</v>
      </c>
      <c r="K4897" s="1294" t="s">
        <v>1561</v>
      </c>
      <c r="L4897" s="4333" t="s">
        <v>3765</v>
      </c>
      <c r="M4897" s="4323" t="s">
        <v>1571</v>
      </c>
      <c r="N4897" s="4323" t="s">
        <v>1776</v>
      </c>
      <c r="O4897" s="3347" t="s">
        <v>1563</v>
      </c>
      <c r="P4897" s="1336" t="s">
        <v>1562</v>
      </c>
      <c r="Q4897" s="3389"/>
      <c r="R4897" s="1699" t="s">
        <v>1327</v>
      </c>
      <c r="S4897" s="16"/>
      <c r="T4897" s="16"/>
      <c r="U4897" s="16"/>
      <c r="V4897" s="16"/>
    </row>
    <row r="4898" spans="1:22">
      <c r="A4898" s="1662" t="s">
        <v>2788</v>
      </c>
      <c r="B4898" s="4326"/>
      <c r="C4898" s="3354"/>
      <c r="D4898" s="4328"/>
      <c r="E4898" s="4330"/>
      <c r="F4898" s="4363"/>
      <c r="G4898" s="4332"/>
      <c r="H4898" s="4332"/>
      <c r="I4898" s="1345">
        <v>70</v>
      </c>
      <c r="J4898" s="1307">
        <v>1.4E-2</v>
      </c>
      <c r="K4898" s="1297">
        <f>I4898*J4898</f>
        <v>0.98</v>
      </c>
      <c r="L4898" s="4334"/>
      <c r="M4898" s="4324"/>
      <c r="N4898" s="4324"/>
      <c r="O4898" s="1298">
        <f>O4900+O4901+O4902+O4903+O4904+O4912+O4913</f>
        <v>34.853999709999997</v>
      </c>
      <c r="P4898" s="1337">
        <f>O4898*K4898</f>
        <v>34.156919715799994</v>
      </c>
      <c r="Q4898" s="3390"/>
      <c r="R4898" s="1721">
        <f>P4900+P4901+P4902+P4903+P4904+P4912+P4913</f>
        <v>34.156919715800001</v>
      </c>
      <c r="S4898" s="16"/>
      <c r="T4898" s="16"/>
      <c r="U4898" s="16"/>
      <c r="V4898" s="16"/>
    </row>
    <row r="4899" spans="1:22">
      <c r="A4899" s="1042"/>
      <c r="B4899" s="22"/>
      <c r="C4899" s="18"/>
      <c r="D4899" s="1400"/>
      <c r="E4899" s="2121"/>
      <c r="F4899" s="1368" t="s">
        <v>1</v>
      </c>
      <c r="G4899" s="1368"/>
      <c r="H4899" s="1423"/>
      <c r="I4899" s="1667"/>
      <c r="J4899" s="1424"/>
      <c r="K4899" s="1425"/>
      <c r="L4899" s="1560"/>
      <c r="M4899" s="1426"/>
      <c r="N4899" s="1426"/>
      <c r="O4899" s="1427"/>
      <c r="P4899" s="1427"/>
      <c r="Q4899" s="3397"/>
      <c r="R4899" s="1296"/>
      <c r="S4899" s="16"/>
      <c r="T4899" s="16"/>
      <c r="U4899" s="16"/>
      <c r="V4899" s="16"/>
    </row>
    <row r="4900" spans="1:22">
      <c r="A4900" s="16"/>
      <c r="B4900" s="1599"/>
      <c r="C4900" s="1042"/>
      <c r="D4900" s="1598" t="s">
        <v>2006</v>
      </c>
      <c r="E4900" s="2154" t="s">
        <v>1507</v>
      </c>
      <c r="F4900" s="1598" t="s">
        <v>2007</v>
      </c>
      <c r="G4900" s="1612">
        <v>2.2000000000000002</v>
      </c>
      <c r="H4900" s="1453"/>
      <c r="I4900" s="197"/>
      <c r="J4900" s="198"/>
      <c r="K4900" s="1350">
        <f>G4900*K4898</f>
        <v>2.1560000000000001</v>
      </c>
      <c r="L4900" s="1335">
        <f>K4900*$K$4867</f>
        <v>0</v>
      </c>
      <c r="M4900" s="1499">
        <v>0.73</v>
      </c>
      <c r="N4900" s="1718"/>
      <c r="O4900" s="1290">
        <f>G4900*M4900</f>
        <v>1.6060000000000001</v>
      </c>
      <c r="P4900" s="1332">
        <f>M4900*K4900</f>
        <v>1.5738800000000002</v>
      </c>
      <c r="Q4900" s="3391"/>
      <c r="R4900" s="2337"/>
      <c r="S4900" s="16"/>
      <c r="T4900" s="16"/>
      <c r="U4900" s="16"/>
      <c r="V4900" s="16"/>
    </row>
    <row r="4901" spans="1:22">
      <c r="A4901" s="1042"/>
      <c r="B4901" s="22"/>
      <c r="C4901" s="1042"/>
      <c r="D4901" s="1598" t="s">
        <v>2002</v>
      </c>
      <c r="E4901" s="2154" t="s">
        <v>1507</v>
      </c>
      <c r="F4901" s="1598" t="s">
        <v>2003</v>
      </c>
      <c r="G4901" s="1612">
        <v>1.111</v>
      </c>
      <c r="H4901" s="1372"/>
      <c r="I4901" s="197"/>
      <c r="J4901" s="198"/>
      <c r="K4901" s="1350">
        <f>G4901*K4898</f>
        <v>1.0887799999999999</v>
      </c>
      <c r="L4901" s="1335">
        <f t="shared" ref="L4901:L4903" si="598">K4901*$K$4867</f>
        <v>0</v>
      </c>
      <c r="M4901" s="1499">
        <v>8.4700000000000006</v>
      </c>
      <c r="N4901" s="1700"/>
      <c r="O4901" s="1290">
        <f>G4901*M4901</f>
        <v>9.4101700000000008</v>
      </c>
      <c r="P4901" s="1332">
        <f>M4901*K4901</f>
        <v>9.2219666</v>
      </c>
      <c r="Q4901" s="3391"/>
      <c r="R4901" s="1296"/>
      <c r="S4901" s="16"/>
      <c r="T4901" s="16"/>
      <c r="U4901" s="16"/>
      <c r="V4901" s="16"/>
    </row>
    <row r="4902" spans="1:22">
      <c r="A4902" s="16"/>
      <c r="B4902" s="1599"/>
      <c r="C4902" s="1042"/>
      <c r="D4902" s="1598" t="s">
        <v>2004</v>
      </c>
      <c r="E4902" s="2154" t="s">
        <v>1527</v>
      </c>
      <c r="F4902" s="1598" t="s">
        <v>2005</v>
      </c>
      <c r="G4902" s="1612">
        <v>1.111</v>
      </c>
      <c r="H4902" s="1453"/>
      <c r="I4902" s="198"/>
      <c r="J4902" s="198"/>
      <c r="K4902" s="1350">
        <f>G4902*K4898</f>
        <v>1.0887799999999999</v>
      </c>
      <c r="L4902" s="1335">
        <f t="shared" si="598"/>
        <v>0</v>
      </c>
      <c r="M4902" s="1499">
        <v>9.27</v>
      </c>
      <c r="N4902" s="1718"/>
      <c r="O4902" s="1290">
        <f>G4902*M4902</f>
        <v>10.298969999999999</v>
      </c>
      <c r="P4902" s="1332">
        <f>M4902*K4902</f>
        <v>10.092990599999998</v>
      </c>
      <c r="Q4902" s="3391"/>
      <c r="R4902" s="2337"/>
      <c r="S4902" s="16"/>
      <c r="T4902" s="16"/>
      <c r="U4902" s="16"/>
      <c r="V4902" s="16"/>
    </row>
    <row r="4903" spans="1:22">
      <c r="A4903" s="16"/>
      <c r="B4903" s="1599"/>
      <c r="C4903" s="1042"/>
      <c r="D4903" s="1598" t="s">
        <v>1082</v>
      </c>
      <c r="E4903" s="2154" t="s">
        <v>1504</v>
      </c>
      <c r="F4903" s="1598" t="s">
        <v>1541</v>
      </c>
      <c r="G4903" s="1612">
        <v>0.4</v>
      </c>
      <c r="H4903" s="1453"/>
      <c r="I4903" s="1289"/>
      <c r="J4903" s="198"/>
      <c r="K4903" s="1350">
        <f>G4903*K4898</f>
        <v>0.39200000000000002</v>
      </c>
      <c r="L4903" s="1335">
        <f t="shared" si="598"/>
        <v>0</v>
      </c>
      <c r="M4903" s="1499">
        <v>0.3</v>
      </c>
      <c r="N4903" s="1718"/>
      <c r="O4903" s="1290">
        <f>G4903*M4903</f>
        <v>0.12</v>
      </c>
      <c r="P4903" s="1332">
        <f>M4903*K4903</f>
        <v>0.1176</v>
      </c>
      <c r="Q4903" s="3391"/>
      <c r="R4903" s="2337"/>
      <c r="S4903" s="16"/>
      <c r="T4903" s="16"/>
      <c r="U4903" s="16"/>
      <c r="V4903" s="16"/>
    </row>
    <row r="4904" spans="1:22">
      <c r="A4904" s="16"/>
      <c r="B4904" s="1042"/>
      <c r="C4904" s="1658" t="s">
        <v>1122</v>
      </c>
      <c r="D4904" s="1311"/>
      <c r="E4904" s="1855" t="s">
        <v>1517</v>
      </c>
      <c r="F4904" s="1647" t="s">
        <v>1681</v>
      </c>
      <c r="G4904" s="1689"/>
      <c r="H4904" s="1689">
        <v>4.1000000000000002E-2</v>
      </c>
      <c r="I4904" s="1444"/>
      <c r="J4904" s="1388"/>
      <c r="K4904" s="1841"/>
      <c r="L4904" s="1445"/>
      <c r="M4904" s="1500"/>
      <c r="N4904" s="1501">
        <f>SUM(N4905:N4909)</f>
        <v>51.667310000000001</v>
      </c>
      <c r="O4904" s="1501">
        <f>SUM(O4905:O4909)</f>
        <v>2.11835971</v>
      </c>
      <c r="P4904" s="1845">
        <f>SUM(P4905:P4909)</f>
        <v>2.0759925158000003</v>
      </c>
      <c r="Q4904" s="3391"/>
      <c r="R4904" s="2343"/>
      <c r="S4904" s="16"/>
      <c r="T4904" s="16"/>
      <c r="U4904" s="16"/>
      <c r="V4904" s="16"/>
    </row>
    <row r="4905" spans="1:22">
      <c r="A4905" s="16"/>
      <c r="B4905" s="1042"/>
      <c r="C4905" s="1042"/>
      <c r="D4905" s="1451" t="s">
        <v>1069</v>
      </c>
      <c r="E4905" s="1856" t="s">
        <v>1517</v>
      </c>
      <c r="F4905" s="1421" t="s">
        <v>1578</v>
      </c>
      <c r="G4905" s="1452">
        <v>0.26300000000000001</v>
      </c>
      <c r="H4905" s="1453">
        <f>$H$4904*G4905</f>
        <v>1.0783000000000001E-2</v>
      </c>
      <c r="I4905" s="197"/>
      <c r="J4905" s="198"/>
      <c r="K4905" s="1350">
        <f>H4905*$K$4898</f>
        <v>1.0567340000000001E-2</v>
      </c>
      <c r="L4905" s="1335">
        <f t="shared" ref="L4905:L4909" si="599">K4905*$K$4867</f>
        <v>0</v>
      </c>
      <c r="M4905" s="1499">
        <v>0.55000000000000004</v>
      </c>
      <c r="N4905" s="1724">
        <f>G4905*M4905</f>
        <v>0.14465000000000003</v>
      </c>
      <c r="O4905" s="1719">
        <f>H4905*M4905</f>
        <v>5.9306500000000009E-3</v>
      </c>
      <c r="P4905" s="1720">
        <f>K4905*M4905</f>
        <v>5.8120370000000017E-3</v>
      </c>
      <c r="Q4905" s="3396"/>
      <c r="R4905" s="2338"/>
      <c r="S4905" s="16"/>
      <c r="T4905" s="16"/>
      <c r="U4905" s="16"/>
      <c r="V4905" s="16"/>
    </row>
    <row r="4906" spans="1:22">
      <c r="A4906" s="16"/>
      <c r="B4906" s="1042"/>
      <c r="C4906" s="1320"/>
      <c r="D4906" s="1367" t="s">
        <v>1394</v>
      </c>
      <c r="E4906" s="1856" t="s">
        <v>1577</v>
      </c>
      <c r="F4906" s="1421" t="s">
        <v>1579</v>
      </c>
      <c r="G4906" s="1452">
        <v>0.25800000000000001</v>
      </c>
      <c r="H4906" s="1453">
        <f t="shared" ref="H4906:H4909" si="600">$H$4904*G4906</f>
        <v>1.0578000000000001E-2</v>
      </c>
      <c r="I4906" s="197"/>
      <c r="J4906" s="198"/>
      <c r="K4906" s="1350">
        <f t="shared" ref="K4906:K4909" si="601">H4906*$K$4898</f>
        <v>1.0366440000000001E-2</v>
      </c>
      <c r="L4906" s="1335">
        <f>K4906*$K$4867</f>
        <v>0</v>
      </c>
      <c r="M4906" s="1499">
        <v>92.54</v>
      </c>
      <c r="N4906" s="1724">
        <f>G4906*M4906</f>
        <v>23.875320000000002</v>
      </c>
      <c r="O4906" s="1719">
        <f>H4906*M4906</f>
        <v>0.97888812000000014</v>
      </c>
      <c r="P4906" s="1720">
        <f>K4906*M4906</f>
        <v>0.95931035760000016</v>
      </c>
      <c r="Q4906" s="3396"/>
      <c r="R4906" s="2338"/>
      <c r="S4906" s="16"/>
      <c r="T4906" s="16"/>
      <c r="U4906" s="16"/>
      <c r="V4906" s="16"/>
    </row>
    <row r="4907" spans="1:22">
      <c r="A4907" s="16"/>
      <c r="B4907" s="1042"/>
      <c r="C4907" s="1320"/>
      <c r="D4907" s="1603" t="s">
        <v>1682</v>
      </c>
      <c r="E4907" s="1856" t="s">
        <v>1683</v>
      </c>
      <c r="F4907" s="1421" t="s">
        <v>1684</v>
      </c>
      <c r="G4907" s="1452">
        <v>1.288</v>
      </c>
      <c r="H4907" s="1453">
        <f t="shared" si="600"/>
        <v>5.2808000000000001E-2</v>
      </c>
      <c r="I4907" s="197"/>
      <c r="J4907" s="198"/>
      <c r="K4907" s="1350">
        <f t="shared" si="601"/>
        <v>5.175184E-2</v>
      </c>
      <c r="L4907" s="1335">
        <f t="shared" si="599"/>
        <v>0</v>
      </c>
      <c r="M4907" s="1499">
        <v>1.26</v>
      </c>
      <c r="N4907" s="1724">
        <f>G4907*M4907</f>
        <v>1.6228800000000001</v>
      </c>
      <c r="O4907" s="1719">
        <f>H4907*M4907</f>
        <v>6.6538079999999999E-2</v>
      </c>
      <c r="P4907" s="1720">
        <f>K4907*M4907</f>
        <v>6.5207318400000006E-2</v>
      </c>
      <c r="Q4907" s="3396"/>
      <c r="R4907" s="2338"/>
      <c r="S4907" s="16"/>
      <c r="T4907" s="16"/>
      <c r="U4907" s="16"/>
      <c r="V4907" s="16"/>
    </row>
    <row r="4908" spans="1:22">
      <c r="A4908" s="16"/>
      <c r="B4908" s="1042"/>
      <c r="C4908" s="1320"/>
      <c r="D4908" s="1603" t="s">
        <v>1576</v>
      </c>
      <c r="E4908" s="1856" t="s">
        <v>1517</v>
      </c>
      <c r="F4908" s="1421" t="s">
        <v>1580</v>
      </c>
      <c r="G4908" s="1452">
        <v>1.1020000000000001</v>
      </c>
      <c r="H4908" s="1453">
        <f t="shared" si="600"/>
        <v>4.5182000000000007E-2</v>
      </c>
      <c r="I4908" s="197"/>
      <c r="J4908" s="198"/>
      <c r="K4908" s="1350">
        <f t="shared" si="601"/>
        <v>4.4278360000000003E-2</v>
      </c>
      <c r="L4908" s="1335">
        <f t="shared" si="599"/>
        <v>0</v>
      </c>
      <c r="M4908" s="1499">
        <v>6.53</v>
      </c>
      <c r="N4908" s="1724">
        <f>G4908*M4908</f>
        <v>7.196060000000001</v>
      </c>
      <c r="O4908" s="1719">
        <f>H4908*M4908</f>
        <v>0.29503846000000006</v>
      </c>
      <c r="P4908" s="1720">
        <f>K4908*M4908</f>
        <v>0.28913769080000001</v>
      </c>
      <c r="Q4908" s="3396"/>
      <c r="R4908" s="2338"/>
      <c r="S4908" s="16"/>
      <c r="T4908" s="16"/>
      <c r="U4908" s="16"/>
      <c r="V4908" s="16"/>
    </row>
    <row r="4909" spans="1:22">
      <c r="A4909" s="16"/>
      <c r="B4909" s="1042"/>
      <c r="C4909" s="1320"/>
      <c r="D4909" s="1443" t="s">
        <v>1067</v>
      </c>
      <c r="E4909" s="1857" t="s">
        <v>1508</v>
      </c>
      <c r="F4909" s="1430" t="s">
        <v>1512</v>
      </c>
      <c r="G4909" s="1431">
        <v>1.03</v>
      </c>
      <c r="H4909" s="1454">
        <f t="shared" si="600"/>
        <v>4.2230000000000004E-2</v>
      </c>
      <c r="I4909" s="197"/>
      <c r="J4909" s="198"/>
      <c r="K4909" s="1350">
        <f t="shared" si="601"/>
        <v>4.1385400000000003E-2</v>
      </c>
      <c r="L4909" s="1335">
        <f t="shared" si="599"/>
        <v>0</v>
      </c>
      <c r="M4909" s="1499">
        <v>18.28</v>
      </c>
      <c r="N4909" s="1724">
        <f>G4909*M4909</f>
        <v>18.828400000000002</v>
      </c>
      <c r="O4909" s="1719">
        <f>H4909*M4909</f>
        <v>0.77196440000000011</v>
      </c>
      <c r="P4909" s="1720">
        <f>K4909*M4909</f>
        <v>0.75652511200000006</v>
      </c>
      <c r="Q4909" s="3396"/>
      <c r="R4909" s="2338"/>
      <c r="S4909" s="16"/>
      <c r="T4909" s="16"/>
      <c r="U4909" s="16"/>
      <c r="V4909" s="16"/>
    </row>
    <row r="4910" spans="1:22">
      <c r="A4910" s="1042"/>
      <c r="B4910" s="22"/>
      <c r="C4910" s="1320"/>
      <c r="D4910" s="1400"/>
      <c r="E4910" s="1856"/>
      <c r="F4910" s="1397"/>
      <c r="G4910" s="1988"/>
      <c r="H4910" s="1399"/>
      <c r="I4910" s="197"/>
      <c r="J4910" s="198"/>
      <c r="K4910" s="1307"/>
      <c r="L4910" s="1335"/>
      <c r="M4910" s="1499"/>
      <c r="N4910" s="1701"/>
      <c r="O4910" s="1290"/>
      <c r="P4910" s="1332"/>
      <c r="Q4910" s="3391"/>
      <c r="R4910" s="1296"/>
      <c r="S4910" s="16"/>
      <c r="T4910" s="16"/>
      <c r="U4910" s="16"/>
      <c r="V4910" s="16"/>
    </row>
    <row r="4911" spans="1:22">
      <c r="A4911" s="1042"/>
      <c r="B4911" s="22"/>
      <c r="C4911" s="1320"/>
      <c r="D4911" s="1642"/>
      <c r="E4911" s="2162"/>
      <c r="F4911" s="1643" t="s">
        <v>2</v>
      </c>
      <c r="G4911" s="1989"/>
      <c r="H4911" s="1408"/>
      <c r="I4911" s="1380"/>
      <c r="J4911" s="1381"/>
      <c r="K4911" s="1679"/>
      <c r="L4911" s="1680"/>
      <c r="M4911" s="1681"/>
      <c r="N4911" s="1713"/>
      <c r="O4911" s="1682"/>
      <c r="P4911" s="1683"/>
      <c r="Q4911" s="3391"/>
      <c r="R4911" s="1296"/>
      <c r="S4911" s="16"/>
      <c r="T4911" s="16"/>
      <c r="U4911" s="16"/>
      <c r="V4911" s="16"/>
    </row>
    <row r="4912" spans="1:22">
      <c r="A4912" s="1042"/>
      <c r="B4912" s="22"/>
      <c r="C4912" s="1320"/>
      <c r="D4912" s="1993" t="s">
        <v>1133</v>
      </c>
      <c r="E4912" s="1859" t="s">
        <v>1508</v>
      </c>
      <c r="F4912" s="1655" t="s">
        <v>1955</v>
      </c>
      <c r="G4912" s="1809">
        <v>0.1</v>
      </c>
      <c r="H4912" s="1408"/>
      <c r="I4912" s="197"/>
      <c r="J4912" s="198"/>
      <c r="K4912" s="1307">
        <f>G4912*K4898</f>
        <v>9.8000000000000004E-2</v>
      </c>
      <c r="L4912" s="1335">
        <f>K4912*$K$4867</f>
        <v>0</v>
      </c>
      <c r="M4912" s="1499">
        <v>19.23</v>
      </c>
      <c r="N4912" s="1701"/>
      <c r="O4912" s="1290">
        <f>G4912*M4912</f>
        <v>1.923</v>
      </c>
      <c r="P4912" s="1332">
        <f>M4912*K4912</f>
        <v>1.8845400000000001</v>
      </c>
      <c r="Q4912" s="3391"/>
      <c r="R4912" s="1296"/>
      <c r="S4912" s="16"/>
      <c r="T4912" s="16"/>
      <c r="U4912" s="16"/>
      <c r="V4912" s="16"/>
    </row>
    <row r="4913" spans="1:22">
      <c r="A4913" s="16"/>
      <c r="B4913" s="1042"/>
      <c r="C4913" s="1652" t="s">
        <v>1755</v>
      </c>
      <c r="D4913" s="1461"/>
      <c r="E4913" s="2163" t="s">
        <v>1508</v>
      </c>
      <c r="F4913" s="1648" t="s">
        <v>1524</v>
      </c>
      <c r="G4913" s="1990"/>
      <c r="H4913" s="1456">
        <v>0.25</v>
      </c>
      <c r="I4913" s="1444"/>
      <c r="J4913" s="1388"/>
      <c r="K4913" s="1445"/>
      <c r="L4913" s="1457"/>
      <c r="M4913" s="1447"/>
      <c r="N4913" s="1447">
        <f>SUM(N4914:N4915)</f>
        <v>37.510000000000005</v>
      </c>
      <c r="O4913" s="1447">
        <f>SUM(O4914:O4915)</f>
        <v>9.3775000000000013</v>
      </c>
      <c r="P4913" s="1447">
        <f>SUM(P4914:P4915)</f>
        <v>9.1899499999999996</v>
      </c>
      <c r="Q4913" s="3391"/>
      <c r="R4913" s="2337"/>
      <c r="S4913" s="16"/>
      <c r="T4913" s="16"/>
      <c r="U4913" s="16"/>
      <c r="V4913" s="16"/>
    </row>
    <row r="4914" spans="1:22">
      <c r="A4914" s="16"/>
      <c r="B4914" s="1042"/>
      <c r="C4914" s="88"/>
      <c r="D4914" s="1430" t="s">
        <v>1067</v>
      </c>
      <c r="E4914" s="1857" t="s">
        <v>1508</v>
      </c>
      <c r="F4914" s="1403" t="s">
        <v>5</v>
      </c>
      <c r="G4914" s="1991">
        <v>1</v>
      </c>
      <c r="H4914" s="1408">
        <f>G4914*$H$4913</f>
        <v>0.25</v>
      </c>
      <c r="I4914" s="1286"/>
      <c r="J4914" s="198"/>
      <c r="K4914" s="1307">
        <f>H4914*$K$4898</f>
        <v>0.245</v>
      </c>
      <c r="L4914" s="1335">
        <f t="shared" ref="L4914:L4915" si="602">K4914*$K$4867</f>
        <v>0</v>
      </c>
      <c r="M4914" s="1302">
        <v>18.28</v>
      </c>
      <c r="N4914" s="1718">
        <f>G4914*M4914</f>
        <v>18.28</v>
      </c>
      <c r="O4914" s="1290">
        <f>H4914*M4914</f>
        <v>4.57</v>
      </c>
      <c r="P4914" s="1332">
        <f>M4914*K4914</f>
        <v>4.4786000000000001</v>
      </c>
      <c r="Q4914" s="3391"/>
      <c r="R4914" s="2337"/>
      <c r="S4914" s="16"/>
      <c r="T4914" s="16"/>
      <c r="U4914" s="16"/>
      <c r="V4914" s="16"/>
    </row>
    <row r="4915" spans="1:22">
      <c r="A4915" s="16"/>
      <c r="B4915" s="1042"/>
      <c r="C4915" s="88"/>
      <c r="D4915" s="1430" t="s">
        <v>1077</v>
      </c>
      <c r="E4915" s="1857" t="s">
        <v>1508</v>
      </c>
      <c r="F4915" s="1403" t="s">
        <v>37</v>
      </c>
      <c r="G4915" s="1991">
        <v>1</v>
      </c>
      <c r="H4915" s="1408">
        <f>G4915*$H$4913</f>
        <v>0.25</v>
      </c>
      <c r="I4915" s="197">
        <f ca="1">IF(COUNT(H4915:L4915)=0,"",(SUM(H4915:L4915)/COUNT(H4915:L4915)))</f>
        <v>0.1650037608880639</v>
      </c>
      <c r="J4915" s="198"/>
      <c r="K4915" s="1307">
        <f>H4915*$K$4898</f>
        <v>0.245</v>
      </c>
      <c r="L4915" s="1335">
        <f t="shared" si="602"/>
        <v>0</v>
      </c>
      <c r="M4915" s="1302">
        <v>19.23</v>
      </c>
      <c r="N4915" s="1718">
        <f>G4915*M4915</f>
        <v>19.23</v>
      </c>
      <c r="O4915" s="1290">
        <f>H4915*M4915</f>
        <v>4.8075000000000001</v>
      </c>
      <c r="P4915" s="1332">
        <f>M4915*K4915</f>
        <v>4.7113500000000004</v>
      </c>
      <c r="Q4915" s="3391"/>
      <c r="R4915" s="2337"/>
      <c r="S4915" s="16"/>
      <c r="T4915" s="16"/>
      <c r="U4915" s="16"/>
      <c r="V4915" s="16"/>
    </row>
    <row r="4916" spans="1:22">
      <c r="A4916" s="16"/>
      <c r="B4916" s="553"/>
      <c r="C4916" s="1042"/>
      <c r="D4916" s="1402"/>
      <c r="E4916" s="1857"/>
      <c r="F4916" s="1403"/>
      <c r="G4916" s="1991"/>
      <c r="H4916" s="1408"/>
      <c r="I4916" s="197"/>
      <c r="J4916" s="198"/>
      <c r="K4916" s="1307"/>
      <c r="L4916" s="1335"/>
      <c r="M4916" s="1302"/>
      <c r="N4916" s="1718"/>
      <c r="O4916" s="1290"/>
      <c r="P4916" s="1332"/>
      <c r="Q4916" s="3391"/>
      <c r="R4916" s="2337"/>
      <c r="S4916" s="16"/>
      <c r="T4916" s="16"/>
      <c r="U4916" s="16"/>
      <c r="V4916" s="16"/>
    </row>
    <row r="4917" spans="1:22">
      <c r="A4917" s="1042"/>
      <c r="B4917" s="22"/>
      <c r="C4917" s="1042"/>
      <c r="D4917" s="1411"/>
      <c r="E4917" s="2123"/>
      <c r="F4917" s="1374" t="s">
        <v>3</v>
      </c>
      <c r="G4917" s="1374"/>
      <c r="H4917" s="1376"/>
      <c r="I4917" s="1382"/>
      <c r="J4917" s="1383"/>
      <c r="K4917" s="1684"/>
      <c r="L4917" s="1685"/>
      <c r="M4917" s="1597"/>
      <c r="N4917" s="1597"/>
      <c r="O4917" s="1687"/>
      <c r="P4917" s="1686"/>
      <c r="Q4917" s="3391"/>
      <c r="R4917" s="1173"/>
      <c r="S4917" s="16"/>
      <c r="T4917" s="16"/>
      <c r="U4917" s="16"/>
      <c r="V4917" s="16"/>
    </row>
    <row r="4918" spans="1:22">
      <c r="A4918" s="1042"/>
      <c r="B4918" s="22"/>
      <c r="C4918" s="1042"/>
      <c r="D4918" s="1411"/>
      <c r="E4918" s="2123"/>
      <c r="F4918" s="1375"/>
      <c r="G4918" s="1375"/>
      <c r="H4918" s="1505"/>
      <c r="I4918" s="197" t="str">
        <f ca="1">IF(COUNT(H4918:O4918)=0,"",(SUM(H4918:O4918)/COUNT(H4918:O4918)))</f>
        <v/>
      </c>
      <c r="J4918" s="198"/>
      <c r="K4918" s="1307"/>
      <c r="L4918" s="1335"/>
      <c r="M4918" s="1619"/>
      <c r="N4918" s="1619"/>
      <c r="O4918" s="1290"/>
      <c r="P4918" s="1332"/>
      <c r="Q4918" s="3391"/>
      <c r="R4918" s="3363"/>
      <c r="S4918" s="17"/>
      <c r="T4918" s="17"/>
      <c r="U4918" s="16"/>
      <c r="V4918" s="16"/>
    </row>
    <row r="4919" spans="1:22">
      <c r="A4919" s="1042"/>
      <c r="B4919" s="22"/>
      <c r="C4919" s="1042"/>
      <c r="D4919" s="1411"/>
      <c r="E4919" s="2123"/>
      <c r="F4919" s="1375"/>
      <c r="G4919" s="1375"/>
      <c r="H4919" s="1670"/>
      <c r="I4919" s="197" t="str">
        <f ca="1">IF(COUNT(H4919:O4919)=0,"",(SUM(H4919:O4919)/COUNT(H4919:O4919)))</f>
        <v/>
      </c>
      <c r="J4919" s="198"/>
      <c r="K4919" s="1307"/>
      <c r="L4919" s="1335"/>
      <c r="M4919" s="1619"/>
      <c r="N4919" s="1619"/>
      <c r="O4919" s="1290"/>
      <c r="P4919" s="1332"/>
      <c r="Q4919" s="3391"/>
      <c r="R4919" s="3363"/>
      <c r="S4919" s="16"/>
      <c r="T4919" s="16"/>
      <c r="U4919" s="16"/>
      <c r="V4919" s="16"/>
    </row>
    <row r="4920" spans="1:22">
      <c r="A4920" s="1042"/>
      <c r="B4920" s="22"/>
      <c r="C4920" s="223"/>
      <c r="D4920" s="1411"/>
      <c r="E4920" s="2123"/>
      <c r="F4920" s="1375"/>
      <c r="G4920" s="1375"/>
      <c r="H4920" s="1376"/>
      <c r="I4920" s="197" t="str">
        <f ca="1">IF(COUNT(H4920:O4920)=0,"",(SUM(H4920:O4920)/COUNT(H4920:O4920)))</f>
        <v/>
      </c>
      <c r="J4920" s="198"/>
      <c r="K4920" s="1307"/>
      <c r="L4920" s="1335"/>
      <c r="M4920" s="1619"/>
      <c r="N4920" s="1619"/>
      <c r="O4920" s="1290"/>
      <c r="P4920" s="1332"/>
      <c r="Q4920" s="3391"/>
      <c r="R4920" s="3363"/>
      <c r="S4920" s="16"/>
      <c r="T4920" s="16"/>
      <c r="U4920" s="16"/>
      <c r="V4920" s="16"/>
    </row>
    <row r="4921" spans="1:22" ht="15" customHeight="1">
      <c r="A4921" s="1042" t="s">
        <v>3764</v>
      </c>
      <c r="B4921" s="4325" t="s">
        <v>2008</v>
      </c>
      <c r="C4921" s="3350"/>
      <c r="D4921" s="4327" t="s">
        <v>1551</v>
      </c>
      <c r="E4921" s="4329" t="s">
        <v>1507</v>
      </c>
      <c r="F4921" s="4372" t="s">
        <v>2009</v>
      </c>
      <c r="G4921" s="4331" t="s">
        <v>1568</v>
      </c>
      <c r="H4921" s="4331" t="s">
        <v>1574</v>
      </c>
      <c r="I4921" s="1572" t="s">
        <v>1559</v>
      </c>
      <c r="J4921" s="1294" t="s">
        <v>1560</v>
      </c>
      <c r="K4921" s="1294" t="s">
        <v>1561</v>
      </c>
      <c r="L4921" s="4333" t="s">
        <v>3765</v>
      </c>
      <c r="M4921" s="4335" t="s">
        <v>1571</v>
      </c>
      <c r="N4921" s="4323" t="s">
        <v>1776</v>
      </c>
      <c r="O4921" s="3347" t="s">
        <v>1563</v>
      </c>
      <c r="P4921" s="1336" t="s">
        <v>1562</v>
      </c>
      <c r="Q4921" s="3389"/>
      <c r="R4921" s="1699" t="s">
        <v>1327</v>
      </c>
      <c r="S4921" s="16"/>
      <c r="T4921" s="16"/>
      <c r="U4921" s="16"/>
      <c r="V4921" s="16"/>
    </row>
    <row r="4922" spans="1:22">
      <c r="A4922" s="1662" t="s">
        <v>2788</v>
      </c>
      <c r="B4922" s="4326"/>
      <c r="C4922" s="3354"/>
      <c r="D4922" s="4328"/>
      <c r="E4922" s="4330"/>
      <c r="F4922" s="4363"/>
      <c r="G4922" s="4332"/>
      <c r="H4922" s="4332"/>
      <c r="I4922" s="1345">
        <v>5</v>
      </c>
      <c r="J4922" s="1307">
        <v>1.4E-2</v>
      </c>
      <c r="K4922" s="1297">
        <f>I4922*J4922</f>
        <v>7.0000000000000007E-2</v>
      </c>
      <c r="L4922" s="4334"/>
      <c r="M4922" s="4335"/>
      <c r="N4922" s="4324"/>
      <c r="O4922" s="1298">
        <f>O4924+O4925+O4926+O4930+O4937+O4938</f>
        <v>18.884324879999998</v>
      </c>
      <c r="P4922" s="1337">
        <f>O4922*K4922</f>
        <v>1.3219027416</v>
      </c>
      <c r="Q4922" s="3390"/>
      <c r="R4922" s="1721">
        <f>P4924+P4925+P4926+P4930+P4937+P4938</f>
        <v>1.3219027416000002</v>
      </c>
      <c r="S4922" s="16"/>
      <c r="T4922" s="16"/>
      <c r="U4922" s="16"/>
      <c r="V4922" s="16"/>
    </row>
    <row r="4923" spans="1:22">
      <c r="A4923" s="553"/>
      <c r="B4923" s="1327"/>
      <c r="C4923" s="18"/>
      <c r="D4923" s="1400"/>
      <c r="E4923" s="2121"/>
      <c r="F4923" s="1368" t="s">
        <v>1</v>
      </c>
      <c r="G4923" s="1368"/>
      <c r="H4923" s="1423"/>
      <c r="I4923" s="1667"/>
      <c r="J4923" s="1424"/>
      <c r="K4923" s="1425"/>
      <c r="L4923" s="1560"/>
      <c r="M4923" s="1426"/>
      <c r="N4923" s="1426"/>
      <c r="O4923" s="1427"/>
      <c r="P4923" s="1427"/>
      <c r="Q4923" s="3397"/>
      <c r="R4923" s="1296"/>
      <c r="S4923" s="16"/>
      <c r="T4923" s="16"/>
      <c r="U4923" s="16"/>
      <c r="V4923" s="16"/>
    </row>
    <row r="4924" spans="1:22">
      <c r="A4924" s="553"/>
      <c r="B4924" s="1320"/>
      <c r="C4924" s="1042"/>
      <c r="D4924" s="1598" t="s">
        <v>1094</v>
      </c>
      <c r="E4924" s="2154" t="s">
        <v>1517</v>
      </c>
      <c r="F4924" s="1598" t="s">
        <v>1543</v>
      </c>
      <c r="G4924" s="1612">
        <v>0.02</v>
      </c>
      <c r="H4924" s="1372"/>
      <c r="I4924" s="197"/>
      <c r="J4924" s="198"/>
      <c r="K4924" s="1350">
        <f>G4924*K4922</f>
        <v>1.4000000000000002E-3</v>
      </c>
      <c r="L4924" s="1335">
        <f t="shared" ref="L4924:L4925" si="603">K4924*$K$4867</f>
        <v>0</v>
      </c>
      <c r="M4924" s="1499">
        <v>8.39</v>
      </c>
      <c r="N4924" s="1700"/>
      <c r="O4924" s="1290">
        <f>G4924*M4924</f>
        <v>0.1678</v>
      </c>
      <c r="P4924" s="1332">
        <f>M4924*K4924</f>
        <v>1.1746000000000003E-2</v>
      </c>
      <c r="Q4924" s="3391"/>
      <c r="R4924" s="1296"/>
      <c r="S4924" s="16"/>
      <c r="T4924" s="16"/>
      <c r="U4924" s="16"/>
      <c r="V4924" s="16"/>
    </row>
    <row r="4925" spans="1:22">
      <c r="A4925" s="16"/>
      <c r="B4925" s="1320"/>
      <c r="C4925" s="1042"/>
      <c r="D4925" s="1598" t="s">
        <v>1129</v>
      </c>
      <c r="E4925" s="2154" t="s">
        <v>1504</v>
      </c>
      <c r="F4925" s="1598" t="s">
        <v>1988</v>
      </c>
      <c r="G4925" s="1612">
        <v>27.03</v>
      </c>
      <c r="H4925" s="1453"/>
      <c r="I4925" s="198"/>
      <c r="J4925" s="198"/>
      <c r="K4925" s="1350">
        <f>G4925*K4922</f>
        <v>1.8921000000000003</v>
      </c>
      <c r="L4925" s="1335">
        <f t="shared" si="603"/>
        <v>0</v>
      </c>
      <c r="M4925" s="1499">
        <v>0.19</v>
      </c>
      <c r="N4925" s="1718"/>
      <c r="O4925" s="1290">
        <f>G4925*M4925</f>
        <v>5.1356999999999999</v>
      </c>
      <c r="P4925" s="1332">
        <f>M4925*K4925</f>
        <v>0.35949900000000007</v>
      </c>
      <c r="Q4925" s="3391"/>
      <c r="R4925" s="2337"/>
      <c r="S4925" s="16"/>
      <c r="T4925" s="16"/>
      <c r="U4925" s="16"/>
      <c r="V4925" s="16"/>
    </row>
    <row r="4926" spans="1:22">
      <c r="A4926" s="16"/>
      <c r="B4926" s="1320"/>
      <c r="C4926" s="1658" t="s">
        <v>1155</v>
      </c>
      <c r="D4926" s="1311"/>
      <c r="E4926" s="1855" t="s">
        <v>1517</v>
      </c>
      <c r="F4926" s="1647" t="s">
        <v>1544</v>
      </c>
      <c r="G4926" s="1830" t="s">
        <v>1551</v>
      </c>
      <c r="H4926" s="1830">
        <v>1E-3</v>
      </c>
      <c r="I4926" s="1444"/>
      <c r="J4926" s="1388"/>
      <c r="K4926" s="1997"/>
      <c r="L4926" s="1445"/>
      <c r="M4926" s="1447"/>
      <c r="N4926" s="1447">
        <f>SUM(N4927:N4929)</f>
        <v>114.04755</v>
      </c>
      <c r="O4926" s="1447">
        <f>SUM(O4927:O4929)</f>
        <v>0.11404755000000003</v>
      </c>
      <c r="P4926" s="1446">
        <f>SUM(P4927:P4929)</f>
        <v>7.9833285000000028E-3</v>
      </c>
      <c r="Q4926" s="3391"/>
      <c r="R4926" s="1296"/>
      <c r="S4926" s="16"/>
      <c r="T4926" s="16"/>
      <c r="U4926" s="16"/>
      <c r="V4926" s="16"/>
    </row>
    <row r="4927" spans="1:22">
      <c r="A4927" s="16"/>
      <c r="B4927" s="1320"/>
      <c r="C4927" s="1042"/>
      <c r="D4927" s="1451" t="s">
        <v>1069</v>
      </c>
      <c r="E4927" s="1856" t="s">
        <v>1517</v>
      </c>
      <c r="F4927" s="1421" t="s">
        <v>1578</v>
      </c>
      <c r="G4927" s="1452">
        <v>0.89100000000000001</v>
      </c>
      <c r="H4927" s="1453">
        <f>$H$4681*G4927</f>
        <v>8.9100000000000008E-4</v>
      </c>
      <c r="I4927" s="1286"/>
      <c r="J4927" s="198"/>
      <c r="K4927" s="1732">
        <f>H4927*$K$4922</f>
        <v>6.2370000000000014E-5</v>
      </c>
      <c r="L4927" s="1335">
        <f t="shared" ref="L4927:L4929" si="604">K4927*$K$4867</f>
        <v>0</v>
      </c>
      <c r="M4927" s="1717">
        <v>0.55000000000000004</v>
      </c>
      <c r="N4927" s="1718">
        <f>G4927*M4927</f>
        <v>0.49005000000000004</v>
      </c>
      <c r="O4927" s="1719">
        <f>H4927*M4927</f>
        <v>4.9005000000000012E-4</v>
      </c>
      <c r="P4927" s="1720">
        <f>M4927*K4927</f>
        <v>3.4303500000000008E-5</v>
      </c>
      <c r="Q4927" s="3396"/>
      <c r="R4927" s="1296"/>
      <c r="S4927" s="16"/>
      <c r="T4927" s="16"/>
      <c r="U4927" s="16"/>
      <c r="V4927" s="16"/>
    </row>
    <row r="4928" spans="1:22">
      <c r="A4928" s="16"/>
      <c r="B4928" s="1320"/>
      <c r="C4928" s="1042"/>
      <c r="D4928" s="1367" t="s">
        <v>1394</v>
      </c>
      <c r="E4928" s="1856" t="s">
        <v>1577</v>
      </c>
      <c r="F4928" s="1421" t="s">
        <v>1579</v>
      </c>
      <c r="G4928" s="1452">
        <v>0.51500000000000001</v>
      </c>
      <c r="H4928" s="1453">
        <f>$H$4681*G4928</f>
        <v>5.1500000000000005E-4</v>
      </c>
      <c r="I4928" s="1286"/>
      <c r="J4928" s="198"/>
      <c r="K4928" s="1722">
        <f t="shared" ref="K4928:K4929" si="605">H4928*$K$4922</f>
        <v>3.6050000000000009E-5</v>
      </c>
      <c r="L4928" s="1335">
        <f t="shared" si="604"/>
        <v>0</v>
      </c>
      <c r="M4928" s="1717">
        <v>92.54</v>
      </c>
      <c r="N4928" s="1718">
        <f>G4928*M4928</f>
        <v>47.658100000000005</v>
      </c>
      <c r="O4928" s="1719">
        <f>H4928*M4928</f>
        <v>4.7658100000000009E-2</v>
      </c>
      <c r="P4928" s="1720">
        <f>M4928*K4928</f>
        <v>3.3360670000000012E-3</v>
      </c>
      <c r="Q4928" s="3396"/>
      <c r="R4928" s="1296"/>
      <c r="S4928" s="16"/>
      <c r="T4928" s="16"/>
      <c r="U4928" s="16"/>
      <c r="V4928" s="16"/>
    </row>
    <row r="4929" spans="1:22">
      <c r="A4929" s="16"/>
      <c r="B4929" s="1320"/>
      <c r="C4929" s="1042"/>
      <c r="D4929" s="1359" t="s">
        <v>1067</v>
      </c>
      <c r="E4929" s="1857" t="s">
        <v>1508</v>
      </c>
      <c r="F4929" s="1430" t="s">
        <v>1512</v>
      </c>
      <c r="G4929" s="1431">
        <v>3.605</v>
      </c>
      <c r="H4929" s="1454">
        <f>$H$4681*G4929</f>
        <v>3.6050000000000001E-3</v>
      </c>
      <c r="I4929" s="1286"/>
      <c r="J4929" s="198"/>
      <c r="K4929" s="1732">
        <f t="shared" si="605"/>
        <v>2.5235000000000004E-4</v>
      </c>
      <c r="L4929" s="1335">
        <f t="shared" si="604"/>
        <v>0</v>
      </c>
      <c r="M4929" s="1717">
        <v>18.28</v>
      </c>
      <c r="N4929" s="1718">
        <f>G4929*M4929</f>
        <v>65.8994</v>
      </c>
      <c r="O4929" s="1719">
        <f>H4929*M4929</f>
        <v>6.5899400000000011E-2</v>
      </c>
      <c r="P4929" s="1720">
        <f>M4929*K4929</f>
        <v>4.6129580000000012E-3</v>
      </c>
      <c r="Q4929" s="3396"/>
      <c r="R4929" s="1296"/>
      <c r="S4929" s="16"/>
      <c r="T4929" s="16"/>
      <c r="U4929" s="16"/>
      <c r="V4929" s="16"/>
    </row>
    <row r="4930" spans="1:22">
      <c r="A4930" s="16"/>
      <c r="B4930" s="1042"/>
      <c r="C4930" s="1356" t="s">
        <v>1127</v>
      </c>
      <c r="D4930" s="1311"/>
      <c r="E4930" s="2137" t="s">
        <v>1517</v>
      </c>
      <c r="F4930" s="1319" t="s">
        <v>1519</v>
      </c>
      <c r="G4930" s="1353"/>
      <c r="H4930" s="1456">
        <v>3.1E-2</v>
      </c>
      <c r="I4930" s="1444"/>
      <c r="J4930" s="1388"/>
      <c r="K4930" s="1445"/>
      <c r="L4930" s="1457"/>
      <c r="M4930" s="1447"/>
      <c r="N4930" s="1447">
        <f>SUM(N4931:N4934)</f>
        <v>50.044430000000006</v>
      </c>
      <c r="O4930" s="1447">
        <f>SUM(O4931:O4934)</f>
        <v>1.5513773300000002</v>
      </c>
      <c r="P4930" s="1446">
        <f>SUM(P4931:P4934)</f>
        <v>0.10859641310000001</v>
      </c>
      <c r="Q4930" s="3391"/>
      <c r="R4930" s="2337"/>
      <c r="S4930" s="16"/>
      <c r="T4930" s="16"/>
      <c r="U4930" s="16"/>
      <c r="V4930" s="16"/>
    </row>
    <row r="4931" spans="1:22">
      <c r="A4931" s="16"/>
      <c r="B4931" s="1042"/>
      <c r="C4931" s="1327"/>
      <c r="D4931" s="1400" t="s">
        <v>1069</v>
      </c>
      <c r="E4931" s="1856" t="s">
        <v>1517</v>
      </c>
      <c r="F4931" s="1397" t="s">
        <v>1578</v>
      </c>
      <c r="G4931" s="1416">
        <v>0.26300000000000001</v>
      </c>
      <c r="H4931" s="1399">
        <f>G4931*$H$4685</f>
        <v>8.1530000000000005E-3</v>
      </c>
      <c r="I4931" s="197"/>
      <c r="J4931" s="198"/>
      <c r="K4931" s="1307">
        <f>H4931*$K$4922</f>
        <v>5.707100000000001E-4</v>
      </c>
      <c r="L4931" s="1335">
        <f t="shared" ref="L4931:L4934" si="606">K4931*$K$4867</f>
        <v>0</v>
      </c>
      <c r="M4931" s="1302">
        <v>0.55000000000000004</v>
      </c>
      <c r="N4931" s="1718">
        <f>G4931*M4931</f>
        <v>0.14465000000000003</v>
      </c>
      <c r="O4931" s="1290">
        <f>H4931*M4931</f>
        <v>4.484150000000001E-3</v>
      </c>
      <c r="P4931" s="1332">
        <f>M4931*K4931</f>
        <v>3.1389050000000005E-4</v>
      </c>
      <c r="Q4931" s="3391"/>
      <c r="R4931" s="2337"/>
      <c r="S4931" s="16"/>
      <c r="T4931" s="16"/>
      <c r="U4931" s="16"/>
      <c r="V4931" s="16"/>
    </row>
    <row r="4932" spans="1:22">
      <c r="A4932" s="16"/>
      <c r="B4932" s="1042"/>
      <c r="C4932" s="1320"/>
      <c r="D4932" s="1400" t="s">
        <v>1394</v>
      </c>
      <c r="E4932" s="1856" t="s">
        <v>1577</v>
      </c>
      <c r="F4932" s="1397" t="s">
        <v>1579</v>
      </c>
      <c r="G4932" s="1416">
        <v>0.25800000000000001</v>
      </c>
      <c r="H4932" s="1399">
        <f t="shared" ref="H4932:H4934" si="607">G4932*$H$4685</f>
        <v>7.9979999999999999E-3</v>
      </c>
      <c r="I4932" s="197"/>
      <c r="J4932" s="198"/>
      <c r="K4932" s="1307">
        <f t="shared" ref="K4932:K4934" si="608">H4932*$K$4922</f>
        <v>5.5986000000000002E-4</v>
      </c>
      <c r="L4932" s="1335">
        <f t="shared" si="606"/>
        <v>0</v>
      </c>
      <c r="M4932" s="1302">
        <v>92.54</v>
      </c>
      <c r="N4932" s="1718">
        <f>G4932*M4932</f>
        <v>23.875320000000002</v>
      </c>
      <c r="O4932" s="1290">
        <f>H4932*M4932</f>
        <v>0.74013492000000003</v>
      </c>
      <c r="P4932" s="1332">
        <f>M4932*K4932</f>
        <v>5.1809444400000008E-2</v>
      </c>
      <c r="Q4932" s="3391"/>
      <c r="R4932" s="2337"/>
      <c r="S4932" s="16"/>
      <c r="T4932" s="16"/>
      <c r="U4932" s="16"/>
      <c r="V4932" s="16"/>
    </row>
    <row r="4933" spans="1:22">
      <c r="A4933" s="16"/>
      <c r="B4933" s="1042"/>
      <c r="C4933" s="1320"/>
      <c r="D4933" s="1400" t="s">
        <v>1576</v>
      </c>
      <c r="E4933" s="1856" t="s">
        <v>1517</v>
      </c>
      <c r="F4933" s="1397" t="s">
        <v>1580</v>
      </c>
      <c r="G4933" s="1416">
        <v>1.1020000000000001</v>
      </c>
      <c r="H4933" s="1399">
        <f t="shared" si="607"/>
        <v>3.4162000000000005E-2</v>
      </c>
      <c r="I4933" s="197"/>
      <c r="J4933" s="198"/>
      <c r="K4933" s="1307">
        <f t="shared" si="608"/>
        <v>2.3913400000000005E-3</v>
      </c>
      <c r="L4933" s="1335">
        <f t="shared" si="606"/>
        <v>0</v>
      </c>
      <c r="M4933" s="1302">
        <v>6.53</v>
      </c>
      <c r="N4933" s="1718">
        <f>G4933*M4933</f>
        <v>7.196060000000001</v>
      </c>
      <c r="O4933" s="1290">
        <f>H4933*M4933</f>
        <v>0.22307786000000004</v>
      </c>
      <c r="P4933" s="1332">
        <f>M4933*K4933</f>
        <v>1.5615450200000004E-2</v>
      </c>
      <c r="Q4933" s="3391"/>
      <c r="R4933" s="2337"/>
      <c r="S4933" s="16"/>
      <c r="T4933" s="16"/>
      <c r="U4933" s="16"/>
      <c r="V4933" s="16"/>
    </row>
    <row r="4934" spans="1:22">
      <c r="A4934" s="16"/>
      <c r="B4934" s="1042"/>
      <c r="C4934" s="1320"/>
      <c r="D4934" s="1404" t="s">
        <v>1067</v>
      </c>
      <c r="E4934" s="1857" t="s">
        <v>1508</v>
      </c>
      <c r="F4934" s="1406" t="s">
        <v>1512</v>
      </c>
      <c r="G4934" s="1407">
        <v>1.03</v>
      </c>
      <c r="H4934" s="1408">
        <f t="shared" si="607"/>
        <v>3.193E-2</v>
      </c>
      <c r="I4934" s="197"/>
      <c r="J4934" s="198"/>
      <c r="K4934" s="1307">
        <f t="shared" si="608"/>
        <v>2.2351000000000003E-3</v>
      </c>
      <c r="L4934" s="1335">
        <f t="shared" si="606"/>
        <v>0</v>
      </c>
      <c r="M4934" s="1302">
        <v>18.28</v>
      </c>
      <c r="N4934" s="1718">
        <f>G4934*M4934</f>
        <v>18.828400000000002</v>
      </c>
      <c r="O4934" s="1290">
        <f>H4934*M4934</f>
        <v>0.58368039999999999</v>
      </c>
      <c r="P4934" s="1332">
        <f>M4934*K4934</f>
        <v>4.0857628000000007E-2</v>
      </c>
      <c r="Q4934" s="3391"/>
      <c r="R4934" s="2337"/>
      <c r="S4934" s="16"/>
      <c r="T4934" s="16"/>
      <c r="U4934" s="16"/>
      <c r="V4934" s="16"/>
    </row>
    <row r="4935" spans="1:22">
      <c r="A4935" s="16"/>
      <c r="B4935" s="1042"/>
      <c r="C4935" s="1320"/>
      <c r="D4935" s="1400"/>
      <c r="E4935" s="1856"/>
      <c r="F4935" s="1397"/>
      <c r="G4935" s="1416"/>
      <c r="H4935" s="1399"/>
      <c r="I4935" s="197"/>
      <c r="J4935" s="198"/>
      <c r="K4935" s="1732"/>
      <c r="L4935" s="1335"/>
      <c r="M4935" s="1499"/>
      <c r="N4935" s="1724"/>
      <c r="O4935" s="1290"/>
      <c r="P4935" s="1332"/>
      <c r="Q4935" s="3391"/>
      <c r="R4935" s="2337"/>
      <c r="S4935" s="16"/>
      <c r="T4935" s="16"/>
      <c r="U4935" s="16"/>
      <c r="V4935" s="16"/>
    </row>
    <row r="4936" spans="1:22">
      <c r="A4936" s="553"/>
      <c r="B4936" s="1320"/>
      <c r="C4936" s="1320"/>
      <c r="D4936" s="1642"/>
      <c r="E4936" s="2162"/>
      <c r="F4936" s="1643" t="s">
        <v>2</v>
      </c>
      <c r="G4936" s="1989"/>
      <c r="H4936" s="1408"/>
      <c r="I4936" s="1380"/>
      <c r="J4936" s="1381"/>
      <c r="K4936" s="1996"/>
      <c r="L4936" s="1680"/>
      <c r="M4936" s="1681"/>
      <c r="N4936" s="1713"/>
      <c r="O4936" s="1682"/>
      <c r="P4936" s="1683"/>
      <c r="Q4936" s="3391"/>
      <c r="R4936" s="1296"/>
      <c r="S4936" s="16"/>
      <c r="T4936" s="16"/>
      <c r="U4936" s="16"/>
      <c r="V4936" s="16"/>
    </row>
    <row r="4937" spans="1:22">
      <c r="A4937" s="553"/>
      <c r="B4937" s="1320"/>
      <c r="C4937" s="1320"/>
      <c r="D4937" s="1993" t="s">
        <v>1134</v>
      </c>
      <c r="E4937" s="1859" t="s">
        <v>1508</v>
      </c>
      <c r="F4937" s="1655" t="s">
        <v>1547</v>
      </c>
      <c r="G4937" s="1994">
        <v>0.42</v>
      </c>
      <c r="H4937" s="1408"/>
      <c r="I4937" s="197"/>
      <c r="J4937" s="198"/>
      <c r="K4937" s="1350">
        <f>G4937*K4922</f>
        <v>2.9400000000000003E-2</v>
      </c>
      <c r="L4937" s="1335">
        <f t="shared" ref="L4937:L4938" si="609">K4937*$K$4867</f>
        <v>0</v>
      </c>
      <c r="M4937" s="1499">
        <v>19.23</v>
      </c>
      <c r="N4937" s="1701"/>
      <c r="O4937" s="1290">
        <f>G4937*M4937</f>
        <v>8.0765999999999991</v>
      </c>
      <c r="P4937" s="1332">
        <f>M4937*K4937</f>
        <v>0.56536200000000003</v>
      </c>
      <c r="Q4937" s="3391"/>
      <c r="R4937" s="1296"/>
      <c r="S4937" s="16"/>
      <c r="T4937" s="16"/>
      <c r="U4937" s="16"/>
      <c r="V4937" s="16"/>
    </row>
    <row r="4938" spans="1:22">
      <c r="A4938" s="16"/>
      <c r="B4938" s="1042"/>
      <c r="C4938" s="88"/>
      <c r="D4938" s="1430" t="s">
        <v>1067</v>
      </c>
      <c r="E4938" s="1857" t="s">
        <v>1508</v>
      </c>
      <c r="F4938" s="1403" t="s">
        <v>5</v>
      </c>
      <c r="G4938" s="1991">
        <v>0.21</v>
      </c>
      <c r="H4938" s="1408"/>
      <c r="I4938" s="1286"/>
      <c r="J4938" s="198"/>
      <c r="K4938" s="1350">
        <f>G4938*K4922</f>
        <v>1.4700000000000001E-2</v>
      </c>
      <c r="L4938" s="1335">
        <f t="shared" si="609"/>
        <v>0</v>
      </c>
      <c r="M4938" s="1302">
        <v>18.28</v>
      </c>
      <c r="N4938" s="1718"/>
      <c r="O4938" s="1290">
        <f>G4938*M4938</f>
        <v>3.8388</v>
      </c>
      <c r="P4938" s="1332">
        <f>M4938*K4938</f>
        <v>0.26871600000000007</v>
      </c>
      <c r="Q4938" s="3391"/>
      <c r="R4938" s="2337"/>
      <c r="S4938" s="16"/>
      <c r="T4938" s="16"/>
      <c r="U4938" s="16"/>
      <c r="V4938" s="16"/>
    </row>
    <row r="4939" spans="1:22">
      <c r="A4939" s="16"/>
      <c r="B4939" s="1042"/>
      <c r="C4939" s="1042"/>
      <c r="D4939" s="1402"/>
      <c r="E4939" s="1857"/>
      <c r="F4939" s="1403"/>
      <c r="G4939" s="1991"/>
      <c r="H4939" s="1408"/>
      <c r="I4939" s="1286"/>
      <c r="J4939" s="198"/>
      <c r="K4939" s="1307"/>
      <c r="L4939" s="1335"/>
      <c r="M4939" s="1302"/>
      <c r="N4939" s="1718"/>
      <c r="O4939" s="1290"/>
      <c r="P4939" s="1332"/>
      <c r="Q4939" s="3391"/>
      <c r="R4939" s="2337"/>
      <c r="S4939" s="16"/>
      <c r="T4939" s="16"/>
      <c r="U4939" s="16"/>
      <c r="V4939" s="16"/>
    </row>
    <row r="4940" spans="1:22">
      <c r="A4940" s="16"/>
      <c r="B4940" s="1042"/>
      <c r="C4940" s="1042"/>
      <c r="D4940" s="1402"/>
      <c r="E4940" s="1857"/>
      <c r="F4940" s="1403"/>
      <c r="G4940" s="1991"/>
      <c r="H4940" s="1408"/>
      <c r="I4940" s="197"/>
      <c r="J4940" s="198"/>
      <c r="K4940" s="1307"/>
      <c r="L4940" s="1335"/>
      <c r="M4940" s="1302"/>
      <c r="N4940" s="1718"/>
      <c r="O4940" s="1290"/>
      <c r="P4940" s="1332"/>
      <c r="Q4940" s="3391"/>
      <c r="R4940" s="2337"/>
      <c r="S4940" s="16"/>
      <c r="T4940" s="16"/>
      <c r="U4940" s="16"/>
      <c r="V4940" s="16"/>
    </row>
    <row r="4941" spans="1:22">
      <c r="A4941" s="1042"/>
      <c r="B4941" s="22"/>
      <c r="C4941" s="1042"/>
      <c r="D4941" s="1411"/>
      <c r="E4941" s="2123"/>
      <c r="F4941" s="1374" t="s">
        <v>3</v>
      </c>
      <c r="G4941" s="1374"/>
      <c r="H4941" s="1376"/>
      <c r="I4941" s="1382"/>
      <c r="J4941" s="1383"/>
      <c r="K4941" s="1684"/>
      <c r="L4941" s="1685"/>
      <c r="M4941" s="1597"/>
      <c r="N4941" s="1597"/>
      <c r="O4941" s="1687"/>
      <c r="P4941" s="1686"/>
      <c r="Q4941" s="3391"/>
      <c r="R4941" s="1173"/>
      <c r="S4941" s="16"/>
      <c r="T4941" s="16"/>
      <c r="U4941" s="16"/>
      <c r="V4941" s="16"/>
    </row>
    <row r="4942" spans="1:22">
      <c r="A4942" s="553"/>
      <c r="B4942" s="1320"/>
      <c r="C4942" s="1042"/>
      <c r="D4942" s="1411"/>
      <c r="E4942" s="2123"/>
      <c r="F4942" s="1375"/>
      <c r="G4942" s="1375"/>
      <c r="H4942" s="1505"/>
      <c r="I4942" s="197" t="str">
        <f ca="1">IF(COUNT(H4942:O4942)=0,"",(SUM(H4942:O4942)/COUNT(H4942:O4942)))</f>
        <v/>
      </c>
      <c r="J4942" s="198"/>
      <c r="K4942" s="1307"/>
      <c r="L4942" s="1335"/>
      <c r="M4942" s="1619"/>
      <c r="N4942" s="1619"/>
      <c r="O4942" s="1290"/>
      <c r="P4942" s="1332"/>
      <c r="Q4942" s="3391"/>
      <c r="R4942" s="3363"/>
      <c r="S4942" s="16"/>
      <c r="T4942" s="16"/>
      <c r="U4942" s="16"/>
      <c r="V4942" s="16"/>
    </row>
    <row r="4943" spans="1:22">
      <c r="A4943" s="553"/>
      <c r="B4943" s="1320"/>
      <c r="C4943" s="1042"/>
      <c r="D4943" s="1411"/>
      <c r="E4943" s="2123"/>
      <c r="F4943" s="1375"/>
      <c r="G4943" s="1375"/>
      <c r="H4943" s="1670"/>
      <c r="I4943" s="197" t="str">
        <f ca="1">IF(COUNT(H4943:O4943)=0,"",(SUM(H4943:O4943)/COUNT(H4943:O4943)))</f>
        <v/>
      </c>
      <c r="J4943" s="198"/>
      <c r="K4943" s="1307"/>
      <c r="L4943" s="1335"/>
      <c r="M4943" s="1619"/>
      <c r="N4943" s="1619"/>
      <c r="O4943" s="1290"/>
      <c r="P4943" s="1332"/>
      <c r="Q4943" s="3391"/>
      <c r="R4943" s="3363"/>
      <c r="S4943" s="16"/>
      <c r="T4943" s="16"/>
      <c r="U4943" s="16"/>
      <c r="V4943" s="16"/>
    </row>
    <row r="4944" spans="1:22">
      <c r="A4944" s="553"/>
      <c r="B4944" s="225"/>
      <c r="C4944" s="223"/>
      <c r="D4944" s="1411"/>
      <c r="E4944" s="2123"/>
      <c r="F4944" s="1375"/>
      <c r="G4944" s="1375"/>
      <c r="H4944" s="1376"/>
      <c r="I4944" s="197" t="str">
        <f ca="1">IF(COUNT(H4944:O4944)=0,"",(SUM(H4944:O4944)/COUNT(H4944:O4944)))</f>
        <v/>
      </c>
      <c r="J4944" s="198"/>
      <c r="K4944" s="1307"/>
      <c r="L4944" s="1335"/>
      <c r="M4944" s="1619"/>
      <c r="N4944" s="1619"/>
      <c r="O4944" s="1290"/>
      <c r="P4944" s="1332"/>
      <c r="Q4944" s="3391"/>
      <c r="R4944" s="3363"/>
      <c r="S4944" s="17"/>
      <c r="T4944" s="17"/>
      <c r="U4944" s="16"/>
      <c r="V4944" s="16"/>
    </row>
    <row r="4945" spans="1:22">
      <c r="A4945" s="1042" t="s">
        <v>3764</v>
      </c>
      <c r="B4945" s="4325" t="s">
        <v>1716</v>
      </c>
      <c r="C4945" s="3350"/>
      <c r="D4945" s="4327" t="s">
        <v>1551</v>
      </c>
      <c r="E4945" s="4329" t="s">
        <v>1507</v>
      </c>
      <c r="F4945" s="4372" t="s">
        <v>1727</v>
      </c>
      <c r="G4945" s="4331" t="s">
        <v>1568</v>
      </c>
      <c r="H4945" s="4331" t="s">
        <v>1574</v>
      </c>
      <c r="I4945" s="1572" t="s">
        <v>1559</v>
      </c>
      <c r="J4945" s="1294" t="s">
        <v>1560</v>
      </c>
      <c r="K4945" s="1294" t="s">
        <v>1561</v>
      </c>
      <c r="L4945" s="4333" t="s">
        <v>3765</v>
      </c>
      <c r="M4945" s="4335" t="s">
        <v>1571</v>
      </c>
      <c r="N4945" s="4323" t="s">
        <v>1776</v>
      </c>
      <c r="O4945" s="3347" t="s">
        <v>1563</v>
      </c>
      <c r="P4945" s="1336" t="s">
        <v>1562</v>
      </c>
      <c r="Q4945" s="3389"/>
      <c r="R4945" s="1699" t="s">
        <v>1327</v>
      </c>
      <c r="S4945" s="105"/>
      <c r="T4945" s="105"/>
      <c r="U4945" s="16"/>
      <c r="V4945" s="16"/>
    </row>
    <row r="4946" spans="1:22">
      <c r="A4946" s="1662" t="s">
        <v>2788</v>
      </c>
      <c r="B4946" s="4326"/>
      <c r="C4946" s="3354"/>
      <c r="D4946" s="4328"/>
      <c r="E4946" s="4330"/>
      <c r="F4946" s="4363"/>
      <c r="G4946" s="4332"/>
      <c r="H4946" s="4332"/>
      <c r="I4946" s="1345">
        <v>70</v>
      </c>
      <c r="J4946" s="1307">
        <v>1.4E-2</v>
      </c>
      <c r="K4946" s="1297">
        <f>I4946*J4946</f>
        <v>0.98</v>
      </c>
      <c r="L4946" s="4334"/>
      <c r="M4946" s="4335"/>
      <c r="N4946" s="4324"/>
      <c r="O4946" s="1298">
        <f>O4948+O4949+O4953</f>
        <v>4.4448000000000008</v>
      </c>
      <c r="P4946" s="1337">
        <f>O4946*K4946</f>
        <v>4.3559040000000007</v>
      </c>
      <c r="Q4946" s="3390"/>
      <c r="R4946" s="1721">
        <f>P4948+P4949+P4953</f>
        <v>4.3559039999999998</v>
      </c>
      <c r="S4946" s="16"/>
      <c r="T4946" s="16"/>
      <c r="U4946" s="16"/>
      <c r="V4946" s="16"/>
    </row>
    <row r="4947" spans="1:22">
      <c r="A4947" s="553"/>
      <c r="B4947" s="1949"/>
      <c r="C4947" s="18"/>
      <c r="D4947" s="1400"/>
      <c r="E4947" s="2121"/>
      <c r="F4947" s="1368" t="s">
        <v>1</v>
      </c>
      <c r="G4947" s="1368"/>
      <c r="H4947" s="1423"/>
      <c r="I4947" s="1667"/>
      <c r="J4947" s="1424"/>
      <c r="K4947" s="1425"/>
      <c r="L4947" s="1560"/>
      <c r="M4947" s="1426"/>
      <c r="N4947" s="1426"/>
      <c r="O4947" s="1427"/>
      <c r="P4947" s="1427"/>
      <c r="Q4947" s="3397"/>
      <c r="R4947" s="1296"/>
      <c r="S4947" s="16"/>
      <c r="T4947" s="16"/>
      <c r="U4947" s="16"/>
      <c r="V4947" s="16"/>
    </row>
    <row r="4948" spans="1:22">
      <c r="A4948" s="553"/>
      <c r="B4948" s="1599"/>
      <c r="C4948" s="1042"/>
      <c r="D4948" s="1610" t="s">
        <v>1728</v>
      </c>
      <c r="E4948" s="2154" t="s">
        <v>1504</v>
      </c>
      <c r="F4948" s="1598" t="s">
        <v>1729</v>
      </c>
      <c r="G4948" s="1995">
        <v>1</v>
      </c>
      <c r="H4948" s="1372"/>
      <c r="I4948" s="197"/>
      <c r="J4948" s="198"/>
      <c r="K4948" s="1350">
        <f>G4948*K4946</f>
        <v>0.98</v>
      </c>
      <c r="L4948" s="1335">
        <f t="shared" ref="L4948:L4949" si="610">K4948*$K$4867</f>
        <v>0</v>
      </c>
      <c r="M4948" s="1499">
        <v>1.22</v>
      </c>
      <c r="N4948" s="1700"/>
      <c r="O4948" s="1290">
        <f>G4948*M4948</f>
        <v>1.22</v>
      </c>
      <c r="P4948" s="1332">
        <f>M4948*K4948</f>
        <v>1.1956</v>
      </c>
      <c r="Q4948" s="3391"/>
      <c r="R4948" s="1296"/>
      <c r="S4948" s="16"/>
      <c r="T4948" s="16"/>
      <c r="U4948" s="16"/>
      <c r="V4948" s="16"/>
    </row>
    <row r="4949" spans="1:22">
      <c r="A4949" s="16"/>
      <c r="B4949" s="1599"/>
      <c r="C4949" s="1042"/>
      <c r="D4949" s="1610" t="s">
        <v>1082</v>
      </c>
      <c r="E4949" s="2154" t="s">
        <v>1504</v>
      </c>
      <c r="F4949" s="1598" t="s">
        <v>1541</v>
      </c>
      <c r="G4949" s="1995">
        <v>1</v>
      </c>
      <c r="H4949" s="1453"/>
      <c r="I4949" s="198"/>
      <c r="J4949" s="198"/>
      <c r="K4949" s="1350">
        <f>G4949*K4946</f>
        <v>0.98</v>
      </c>
      <c r="L4949" s="1335">
        <f t="shared" si="610"/>
        <v>0</v>
      </c>
      <c r="M4949" s="1499">
        <v>0.3</v>
      </c>
      <c r="N4949" s="1718"/>
      <c r="O4949" s="1290">
        <f>G4949*M4949</f>
        <v>0.3</v>
      </c>
      <c r="P4949" s="1332">
        <f>M4949*K4949</f>
        <v>0.29399999999999998</v>
      </c>
      <c r="Q4949" s="3391"/>
      <c r="R4949" s="2337"/>
      <c r="S4949" s="16"/>
      <c r="T4949" s="16"/>
      <c r="U4949" s="16"/>
      <c r="V4949" s="16"/>
    </row>
    <row r="4950" spans="1:22">
      <c r="A4950" s="16"/>
      <c r="B4950" s="1599"/>
      <c r="C4950" s="1042"/>
      <c r="D4950" s="1396"/>
      <c r="E4950" s="1856"/>
      <c r="F4950" s="1421"/>
      <c r="G4950" s="1452"/>
      <c r="H4950" s="1453"/>
      <c r="I4950" s="1286"/>
      <c r="J4950" s="198"/>
      <c r="K4950" s="1307"/>
      <c r="L4950" s="1335"/>
      <c r="M4950" s="1717"/>
      <c r="N4950" s="1718"/>
      <c r="O4950" s="1719"/>
      <c r="P4950" s="1720"/>
      <c r="Q4950" s="3396"/>
      <c r="R4950" s="1296"/>
      <c r="S4950" s="16"/>
      <c r="T4950" s="16"/>
      <c r="U4950" s="16"/>
      <c r="V4950" s="16"/>
    </row>
    <row r="4951" spans="1:22">
      <c r="A4951" s="16"/>
      <c r="B4951" s="553"/>
      <c r="C4951" s="1320"/>
      <c r="D4951" s="1400"/>
      <c r="E4951" s="1856"/>
      <c r="F4951" s="1397"/>
      <c r="G4951" s="1416"/>
      <c r="H4951" s="1399"/>
      <c r="I4951" s="197"/>
      <c r="J4951" s="198"/>
      <c r="K4951" s="1732"/>
      <c r="L4951" s="1335"/>
      <c r="M4951" s="1499"/>
      <c r="N4951" s="1724"/>
      <c r="O4951" s="1290"/>
      <c r="P4951" s="1332"/>
      <c r="Q4951" s="3391"/>
      <c r="R4951" s="2337"/>
      <c r="S4951" s="16"/>
      <c r="T4951" s="16"/>
      <c r="U4951" s="16"/>
      <c r="V4951" s="16"/>
    </row>
    <row r="4952" spans="1:22">
      <c r="A4952" s="553"/>
      <c r="B4952" s="1599"/>
      <c r="C4952" s="1320"/>
      <c r="D4952" s="1642"/>
      <c r="E4952" s="2162"/>
      <c r="F4952" s="1643" t="s">
        <v>2</v>
      </c>
      <c r="G4952" s="1989"/>
      <c r="H4952" s="1408"/>
      <c r="I4952" s="1380"/>
      <c r="J4952" s="1381"/>
      <c r="K4952" s="1996"/>
      <c r="L4952" s="1680"/>
      <c r="M4952" s="1681"/>
      <c r="N4952" s="1713"/>
      <c r="O4952" s="1682"/>
      <c r="P4952" s="1683"/>
      <c r="Q4952" s="3391"/>
      <c r="R4952" s="1296"/>
      <c r="S4952" s="16"/>
      <c r="T4952" s="16"/>
      <c r="U4952" s="16"/>
      <c r="V4952" s="16"/>
    </row>
    <row r="4953" spans="1:22">
      <c r="A4953" s="16"/>
      <c r="B4953" s="553"/>
      <c r="C4953" s="1042"/>
      <c r="D4953" s="1402" t="s">
        <v>1067</v>
      </c>
      <c r="E4953" s="1857" t="s">
        <v>1508</v>
      </c>
      <c r="F4953" s="1403" t="s">
        <v>5</v>
      </c>
      <c r="G4953" s="1991">
        <v>0.16</v>
      </c>
      <c r="H4953" s="1408"/>
      <c r="I4953" s="1286"/>
      <c r="J4953" s="198"/>
      <c r="K4953" s="1350">
        <f>G4953*K4946</f>
        <v>0.15679999999999999</v>
      </c>
      <c r="L4953" s="1335">
        <f>K4953*$K$4867</f>
        <v>0</v>
      </c>
      <c r="M4953" s="1302">
        <v>18.28</v>
      </c>
      <c r="N4953" s="1718"/>
      <c r="O4953" s="1290">
        <f>G4953*M4953</f>
        <v>2.9248000000000003</v>
      </c>
      <c r="P4953" s="1332">
        <f>M4953*K4953</f>
        <v>2.866304</v>
      </c>
      <c r="Q4953" s="3391"/>
      <c r="R4953" s="2337"/>
      <c r="S4953" s="16"/>
      <c r="T4953" s="16"/>
      <c r="U4953" s="16"/>
      <c r="V4953" s="16"/>
    </row>
    <row r="4954" spans="1:22">
      <c r="A4954" s="16"/>
      <c r="B4954" s="553"/>
      <c r="C4954" s="1042"/>
      <c r="D4954" s="1402"/>
      <c r="E4954" s="1857"/>
      <c r="F4954" s="1403"/>
      <c r="G4954" s="1991"/>
      <c r="H4954" s="1408"/>
      <c r="I4954" s="1286"/>
      <c r="J4954" s="198"/>
      <c r="K4954" s="1307"/>
      <c r="L4954" s="1335"/>
      <c r="M4954" s="1302"/>
      <c r="N4954" s="1718"/>
      <c r="O4954" s="1290"/>
      <c r="P4954" s="1332"/>
      <c r="Q4954" s="3391"/>
      <c r="R4954" s="2337"/>
      <c r="S4954" s="16"/>
      <c r="T4954" s="16"/>
      <c r="U4954" s="16"/>
      <c r="V4954" s="16"/>
    </row>
    <row r="4955" spans="1:22">
      <c r="A4955" s="16"/>
      <c r="B4955" s="553"/>
      <c r="C4955" s="1042"/>
      <c r="D4955" s="1402"/>
      <c r="E4955" s="1857"/>
      <c r="F4955" s="1403"/>
      <c r="G4955" s="1991"/>
      <c r="H4955" s="1408"/>
      <c r="I4955" s="197"/>
      <c r="J4955" s="198"/>
      <c r="K4955" s="1307"/>
      <c r="L4955" s="1335"/>
      <c r="M4955" s="1302"/>
      <c r="N4955" s="1718"/>
      <c r="O4955" s="1290"/>
      <c r="P4955" s="1332"/>
      <c r="Q4955" s="3391"/>
      <c r="R4955" s="2337"/>
      <c r="S4955" s="16"/>
      <c r="T4955" s="16"/>
      <c r="U4955" s="16"/>
      <c r="V4955" s="16"/>
    </row>
    <row r="4956" spans="1:22">
      <c r="A4956" s="1042"/>
      <c r="B4956" s="22"/>
      <c r="C4956" s="1042"/>
      <c r="D4956" s="1411"/>
      <c r="E4956" s="2123"/>
      <c r="F4956" s="1374" t="s">
        <v>3</v>
      </c>
      <c r="G4956" s="1374"/>
      <c r="H4956" s="1376"/>
      <c r="I4956" s="1382"/>
      <c r="J4956" s="1383"/>
      <c r="K4956" s="1684"/>
      <c r="L4956" s="1685"/>
      <c r="M4956" s="1597"/>
      <c r="N4956" s="1597"/>
      <c r="O4956" s="1687"/>
      <c r="P4956" s="1686"/>
      <c r="Q4956" s="3391"/>
      <c r="R4956" s="1173"/>
      <c r="S4956" s="16"/>
      <c r="T4956" s="16"/>
      <c r="U4956" s="16"/>
      <c r="V4956" s="16"/>
    </row>
    <row r="4957" spans="1:22">
      <c r="A4957" s="553"/>
      <c r="B4957" s="1599"/>
      <c r="C4957" s="1042"/>
      <c r="D4957" s="1411"/>
      <c r="E4957" s="2123"/>
      <c r="F4957" s="1375"/>
      <c r="G4957" s="1375"/>
      <c r="H4957" s="1505"/>
      <c r="I4957" s="197" t="str">
        <f ca="1">IF(COUNT(H4957:O4957)=0,"",(SUM(H4957:O4957)/COUNT(H4957:O4957)))</f>
        <v/>
      </c>
      <c r="J4957" s="198"/>
      <c r="K4957" s="1307"/>
      <c r="L4957" s="1335"/>
      <c r="M4957" s="1619"/>
      <c r="N4957" s="1619"/>
      <c r="O4957" s="1290"/>
      <c r="P4957" s="1332"/>
      <c r="Q4957" s="3391"/>
      <c r="R4957" s="3363"/>
      <c r="S4957" s="16"/>
      <c r="T4957" s="16"/>
      <c r="U4957" s="16"/>
      <c r="V4957" s="16"/>
    </row>
    <row r="4958" spans="1:22">
      <c r="A4958" s="553"/>
      <c r="B4958" s="1599"/>
      <c r="C4958" s="1042"/>
      <c r="D4958" s="1411"/>
      <c r="E4958" s="2123"/>
      <c r="F4958" s="1375"/>
      <c r="G4958" s="1375"/>
      <c r="H4958" s="1670"/>
      <c r="I4958" s="197" t="str">
        <f ca="1">IF(COUNT(H4958:O4958)=0,"",(SUM(H4958:O4958)/COUNT(H4958:O4958)))</f>
        <v/>
      </c>
      <c r="J4958" s="198"/>
      <c r="K4958" s="1307"/>
      <c r="L4958" s="1335"/>
      <c r="M4958" s="1619"/>
      <c r="N4958" s="1619"/>
      <c r="O4958" s="1290"/>
      <c r="P4958" s="1332"/>
      <c r="Q4958" s="3391"/>
      <c r="R4958" s="3363"/>
      <c r="S4958" s="16"/>
      <c r="T4958" s="16"/>
      <c r="U4958" s="16"/>
      <c r="V4958" s="16"/>
    </row>
    <row r="4959" spans="1:22">
      <c r="A4959" s="553"/>
      <c r="B4959" s="1765"/>
      <c r="C4959" s="223"/>
      <c r="D4959" s="1411"/>
      <c r="E4959" s="2123"/>
      <c r="F4959" s="1375"/>
      <c r="G4959" s="1375"/>
      <c r="H4959" s="1376"/>
      <c r="I4959" s="197" t="str">
        <f ca="1">IF(COUNT(H4959:O4959)=0,"",(SUM(H4959:O4959)/COUNT(H4959:O4959)))</f>
        <v/>
      </c>
      <c r="J4959" s="198"/>
      <c r="K4959" s="1307"/>
      <c r="L4959" s="1335"/>
      <c r="M4959" s="1619"/>
      <c r="N4959" s="1619"/>
      <c r="O4959" s="1290"/>
      <c r="P4959" s="1332"/>
      <c r="Q4959" s="3391"/>
      <c r="R4959" s="3363"/>
      <c r="S4959" s="16"/>
      <c r="T4959" s="16"/>
      <c r="U4959" s="16"/>
      <c r="V4959" s="16"/>
    </row>
    <row r="4960" spans="1:22" s="22" customFormat="1" ht="28.5">
      <c r="A4960" s="16"/>
      <c r="B4960" s="16"/>
      <c r="C4960" s="16"/>
      <c r="D4960" s="16"/>
      <c r="E4960" s="2119"/>
      <c r="F4960" s="3"/>
      <c r="G4960" s="3"/>
      <c r="H4960" s="13"/>
      <c r="I4960" s="1561"/>
      <c r="J4960" s="1561"/>
      <c r="K4960" s="1639"/>
      <c r="L4960" s="2380" t="s">
        <v>2856</v>
      </c>
      <c r="M4960" s="1638"/>
      <c r="N4960" s="1638"/>
      <c r="O4960" s="1292"/>
      <c r="P4960" s="1292"/>
      <c r="Q4960" s="3391"/>
      <c r="R4960" s="3363"/>
      <c r="S4960" s="16"/>
      <c r="T4960" s="16"/>
      <c r="U4960" s="16"/>
      <c r="V4960" s="16"/>
    </row>
    <row r="4961" spans="1:22">
      <c r="A4961" s="4396" t="s">
        <v>162</v>
      </c>
      <c r="B4961" s="4396"/>
      <c r="C4961" s="4396"/>
      <c r="D4961" s="4396"/>
      <c r="E4961" s="4396" t="s">
        <v>1549</v>
      </c>
      <c r="F4961" s="4397" t="s">
        <v>1550</v>
      </c>
      <c r="G4961" s="4396" t="s">
        <v>1566</v>
      </c>
      <c r="H4961" s="4396"/>
      <c r="I4961" s="4396"/>
      <c r="J4961" s="4396"/>
      <c r="K4961" s="4396"/>
      <c r="L4961" s="4396"/>
      <c r="M4961" s="4405" t="s">
        <v>1567</v>
      </c>
      <c r="N4961" s="4405"/>
      <c r="O4961" s="4405"/>
      <c r="P4961" s="4405"/>
      <c r="Q4961" s="3395"/>
      <c r="R4961" s="1296"/>
      <c r="S4961" s="16"/>
      <c r="T4961" s="16"/>
      <c r="U4961" s="16"/>
      <c r="V4961" s="16"/>
    </row>
    <row r="4962" spans="1:22">
      <c r="A4962" s="1975" t="s">
        <v>3766</v>
      </c>
      <c r="B4962" s="1294" t="s">
        <v>1513</v>
      </c>
      <c r="C4962" s="1976" t="s">
        <v>1573</v>
      </c>
      <c r="D4962" s="1977" t="s">
        <v>1514</v>
      </c>
      <c r="E4962" s="4396"/>
      <c r="F4962" s="4397"/>
      <c r="G4962" s="4396"/>
      <c r="H4962" s="4396"/>
      <c r="I4962" s="4396"/>
      <c r="J4962" s="4396"/>
      <c r="K4962" s="4396"/>
      <c r="L4962" s="4396"/>
      <c r="M4962" s="4405"/>
      <c r="N4962" s="4405"/>
      <c r="O4962" s="4405"/>
      <c r="P4962" s="4405"/>
      <c r="Q4962" s="3395"/>
      <c r="R4962" s="1296"/>
      <c r="S4962" s="16"/>
      <c r="T4962" s="16"/>
      <c r="U4962" s="16"/>
      <c r="V4962" s="16"/>
    </row>
    <row r="4963" spans="1:22">
      <c r="A4963" s="4374" t="s">
        <v>2789</v>
      </c>
      <c r="B4963" s="4375"/>
      <c r="C4963" s="4375"/>
      <c r="D4963" s="4376"/>
      <c r="E4963" s="4380" t="s">
        <v>1527</v>
      </c>
      <c r="F4963" s="4382" t="s">
        <v>2016</v>
      </c>
      <c r="G4963" s="4493" t="s">
        <v>294</v>
      </c>
      <c r="H4963" s="4493"/>
      <c r="I4963" s="1665" t="s">
        <v>1565</v>
      </c>
      <c r="J4963" s="3348" t="s">
        <v>1575</v>
      </c>
      <c r="K4963" s="4493" t="s">
        <v>289</v>
      </c>
      <c r="L4963" s="4493"/>
      <c r="M4963" s="4408" t="s">
        <v>3349</v>
      </c>
      <c r="N4963" s="4408"/>
      <c r="O4963" s="4408"/>
      <c r="P4963" s="4408"/>
      <c r="Q4963" s="3394" t="s">
        <v>3948</v>
      </c>
      <c r="R4963" s="1296"/>
      <c r="S4963" s="16"/>
      <c r="T4963" s="16"/>
      <c r="U4963" s="16"/>
      <c r="V4963" s="16"/>
    </row>
    <row r="4964" spans="1:22" ht="15.5">
      <c r="A4964" s="4377"/>
      <c r="B4964" s="4378"/>
      <c r="C4964" s="4378"/>
      <c r="D4964" s="4379"/>
      <c r="E4964" s="4381"/>
      <c r="F4964" s="4383"/>
      <c r="G4964" s="4451">
        <f>IF('Seleccion proyecto HEREVEA02'!G42="Reparación encuentros paramentos verticales",'Seleccion proyecto HEREVEA02'!E39,0)</f>
        <v>0</v>
      </c>
      <c r="H4964" s="4452"/>
      <c r="I4964" s="3353">
        <f>IF('Seleccion proyecto HEREVEA02'!H42=0,0,IF('Seleccion proyecto HEREVEA02'!H42="1 a 30",0.3,IF('Seleccion proyecto HEREVEA02'!H42="31 a 60",0.6,IF('Seleccion proyecto HEREVEA02'!H42="61 a 100",1))))</f>
        <v>0</v>
      </c>
      <c r="J4964" s="1351">
        <f>'Seleccion proyecto HEREVEA02'!L8</f>
        <v>11100.968999999999</v>
      </c>
      <c r="K4964" s="4358">
        <f>G4964*I4964*J4964</f>
        <v>0</v>
      </c>
      <c r="L4964" s="4359"/>
      <c r="M4964" s="4360">
        <f>P4966+P4980+P5006+P5021+P5045</f>
        <v>70.747080412071995</v>
      </c>
      <c r="N4964" s="4361"/>
      <c r="O4964" s="4361"/>
      <c r="P4964" s="4449"/>
      <c r="Q4964" s="3388">
        <f>M4964*K4964</f>
        <v>0</v>
      </c>
      <c r="R4964" s="1296"/>
      <c r="S4964" s="16"/>
      <c r="T4964" s="16"/>
      <c r="U4964" s="16"/>
      <c r="V4964" s="16"/>
    </row>
    <row r="4965" spans="1:22">
      <c r="A4965" s="18" t="s">
        <v>3764</v>
      </c>
      <c r="B4965" s="4367" t="s">
        <v>2011</v>
      </c>
      <c r="C4965" s="3354"/>
      <c r="D4965" s="4368"/>
      <c r="E4965" s="4329" t="s">
        <v>1527</v>
      </c>
      <c r="F4965" s="4336" t="s">
        <v>2012</v>
      </c>
      <c r="G4965" s="4331" t="s">
        <v>1568</v>
      </c>
      <c r="H4965" s="4331" t="s">
        <v>1574</v>
      </c>
      <c r="I4965" s="1572" t="s">
        <v>1559</v>
      </c>
      <c r="J4965" s="1294" t="s">
        <v>1560</v>
      </c>
      <c r="K4965" s="1294" t="s">
        <v>1569</v>
      </c>
      <c r="L4965" s="4333" t="s">
        <v>3765</v>
      </c>
      <c r="M4965" s="4335" t="s">
        <v>1571</v>
      </c>
      <c r="N4965" s="4323" t="s">
        <v>1776</v>
      </c>
      <c r="O4965" s="3347" t="s">
        <v>1563</v>
      </c>
      <c r="P4965" s="1336" t="s">
        <v>1562</v>
      </c>
      <c r="Q4965" s="3389"/>
      <c r="R4965" s="1699" t="s">
        <v>1327</v>
      </c>
      <c r="S4965" s="16"/>
      <c r="T4965" s="16"/>
      <c r="U4965" s="16"/>
      <c r="V4965" s="16"/>
    </row>
    <row r="4966" spans="1:22">
      <c r="A4966" s="1662" t="s">
        <v>2789</v>
      </c>
      <c r="B4966" s="4369"/>
      <c r="C4966" s="3351"/>
      <c r="D4966" s="4328"/>
      <c r="E4966" s="4330"/>
      <c r="F4966" s="4336"/>
      <c r="G4966" s="4332"/>
      <c r="H4966" s="4332"/>
      <c r="I4966" s="1345">
        <v>34</v>
      </c>
      <c r="J4966" s="1307">
        <v>2.9000000000000001E-2</v>
      </c>
      <c r="K4966" s="1297">
        <f>I4966*J4966</f>
        <v>0.9860000000000001</v>
      </c>
      <c r="L4966" s="4334"/>
      <c r="M4966" s="4335"/>
      <c r="N4966" s="4324"/>
      <c r="O4966" s="1298">
        <f>SUM(O4968:O4978)</f>
        <v>6.3979999999999997</v>
      </c>
      <c r="P4966" s="1337">
        <f>O4966*K4966</f>
        <v>6.3084280000000001</v>
      </c>
      <c r="Q4966" s="3390"/>
      <c r="R4966" s="1721">
        <f>P4972</f>
        <v>6.308428000000001</v>
      </c>
      <c r="S4966" s="16"/>
      <c r="T4966" s="16"/>
      <c r="U4966" s="16"/>
      <c r="V4966" s="16"/>
    </row>
    <row r="4967" spans="1:22">
      <c r="A4967" s="1320"/>
      <c r="B4967" s="22"/>
      <c r="C4967" s="1327"/>
      <c r="D4967" s="1367"/>
      <c r="E4967" s="2121"/>
      <c r="F4967" s="1389" t="s">
        <v>1</v>
      </c>
      <c r="G4967" s="1389"/>
      <c r="H4967" s="1369"/>
      <c r="I4967" s="1409"/>
      <c r="J4967" s="1390"/>
      <c r="K4967" s="1391"/>
      <c r="L4967" s="1559"/>
      <c r="M4967" s="1369"/>
      <c r="N4967" s="1369"/>
      <c r="O4967" s="1369"/>
      <c r="P4967" s="1392"/>
      <c r="Q4967" s="3395"/>
      <c r="R4967" s="1296"/>
      <c r="S4967" s="16"/>
      <c r="T4967" s="16"/>
      <c r="U4967" s="16"/>
      <c r="V4967" s="16"/>
    </row>
    <row r="4968" spans="1:22">
      <c r="A4968" s="1042"/>
      <c r="B4968" s="22"/>
      <c r="C4968" s="1042"/>
      <c r="D4968" s="1672"/>
      <c r="E4968" s="2160"/>
      <c r="F4968" s="1673"/>
      <c r="G4968" s="1673"/>
      <c r="H4968" s="1674"/>
      <c r="I4968" s="1299"/>
      <c r="J4968" s="1300"/>
      <c r="K4968" s="1307" t="str">
        <f t="shared" ref="K4968:K4970" si="611">IF(COUNT(I4968)=0,"",(I4968*J4968))</f>
        <v/>
      </c>
      <c r="L4968" s="1335"/>
      <c r="M4968" s="1302"/>
      <c r="N4968" s="1700"/>
      <c r="O4968" s="1290"/>
      <c r="P4968" s="1332"/>
      <c r="Q4968" s="3391"/>
      <c r="R4968" s="1296"/>
      <c r="S4968" s="16"/>
      <c r="T4968" s="16"/>
      <c r="U4968" s="16"/>
      <c r="V4968" s="16"/>
    </row>
    <row r="4969" spans="1:22">
      <c r="A4969" s="1042"/>
      <c r="B4969" s="22"/>
      <c r="C4969" s="1042"/>
      <c r="D4969" s="1367"/>
      <c r="E4969" s="2121"/>
      <c r="F4969" s="1436"/>
      <c r="G4969" s="1436"/>
      <c r="H4969" s="1369"/>
      <c r="I4969" s="1299" t="str">
        <f t="shared" ref="I4969:I4970" ca="1" si="612">IF(COUNT(H4969:O4969)=0,"",(SUM(H4969:O4969)/COUNT(H4969:O4969)))</f>
        <v/>
      </c>
      <c r="J4969" s="1300"/>
      <c r="K4969" s="1307" t="str">
        <f t="shared" ca="1" si="611"/>
        <v/>
      </c>
      <c r="L4969" s="1335"/>
      <c r="M4969" s="1302"/>
      <c r="N4969" s="1700"/>
      <c r="O4969" s="1290"/>
      <c r="P4969" s="1332"/>
      <c r="Q4969" s="3391"/>
      <c r="R4969" s="1296"/>
      <c r="S4969" s="16"/>
      <c r="T4969" s="16"/>
      <c r="U4969" s="16"/>
      <c r="V4969" s="16"/>
    </row>
    <row r="4970" spans="1:22">
      <c r="A4970" s="1042"/>
      <c r="B4970" s="22"/>
      <c r="C4970" s="1042"/>
      <c r="D4970" s="1367"/>
      <c r="E4970" s="2121"/>
      <c r="F4970" s="1436"/>
      <c r="G4970" s="1436"/>
      <c r="H4970" s="1369"/>
      <c r="I4970" s="1299" t="str">
        <f t="shared" ca="1" si="612"/>
        <v/>
      </c>
      <c r="J4970" s="1300"/>
      <c r="K4970" s="1307" t="str">
        <f t="shared" ca="1" si="611"/>
        <v/>
      </c>
      <c r="L4970" s="1335"/>
      <c r="M4970" s="1302"/>
      <c r="N4970" s="1700"/>
      <c r="O4970" s="1290"/>
      <c r="P4970" s="1332"/>
      <c r="Q4970" s="3391"/>
      <c r="R4970" s="1296"/>
      <c r="S4970" s="16"/>
      <c r="T4970" s="16"/>
      <c r="U4970" s="16"/>
      <c r="V4970" s="16"/>
    </row>
    <row r="4971" spans="1:22">
      <c r="A4971" s="1042"/>
      <c r="B4971" s="22"/>
      <c r="C4971" s="1042"/>
      <c r="D4971" s="1359"/>
      <c r="E4971" s="1858"/>
      <c r="F4971" s="1360" t="s">
        <v>2</v>
      </c>
      <c r="G4971" s="1360"/>
      <c r="H4971" s="1362"/>
      <c r="I4971" s="1380"/>
      <c r="J4971" s="1381"/>
      <c r="K4971" s="1381"/>
      <c r="L4971" s="1458"/>
      <c r="M4971" s="1362"/>
      <c r="N4971" s="1362"/>
      <c r="O4971" s="1362"/>
      <c r="P4971" s="1359"/>
      <c r="Q4971" s="3387"/>
      <c r="S4971" s="16"/>
      <c r="T4971" s="16"/>
      <c r="U4971" s="16"/>
      <c r="V4971" s="16"/>
    </row>
    <row r="4972" spans="1:22">
      <c r="A4972" s="1321"/>
      <c r="B4972" s="1295"/>
      <c r="C4972" s="1321"/>
      <c r="D4972" s="1363" t="s">
        <v>1067</v>
      </c>
      <c r="E4972" s="2125" t="s">
        <v>1508</v>
      </c>
      <c r="F4972" s="1385" t="s">
        <v>1512</v>
      </c>
      <c r="G4972" s="1385"/>
      <c r="H4972" s="1386">
        <v>0.35</v>
      </c>
      <c r="I4972" s="1299"/>
      <c r="J4972" s="1300"/>
      <c r="K4972" s="1307">
        <f>H4972*K4966</f>
        <v>0.34510000000000002</v>
      </c>
      <c r="L4972" s="1335">
        <f>K4972*$K$4964</f>
        <v>0</v>
      </c>
      <c r="M4972" s="1302">
        <v>18.28</v>
      </c>
      <c r="N4972" s="1700"/>
      <c r="O4972" s="1290">
        <f>H4972*M4972</f>
        <v>6.3979999999999997</v>
      </c>
      <c r="P4972" s="1332">
        <f>M4972*K4972</f>
        <v>6.308428000000001</v>
      </c>
      <c r="Q4972" s="3391"/>
      <c r="S4972" s="16"/>
      <c r="T4972" s="16"/>
      <c r="U4972" s="16"/>
      <c r="V4972" s="16"/>
    </row>
    <row r="4973" spans="1:22">
      <c r="A4973" s="1320"/>
      <c r="B4973" s="22"/>
      <c r="C4973" s="1320"/>
      <c r="D4973" s="1359"/>
      <c r="E4973" s="1858"/>
      <c r="F4973" s="1404"/>
      <c r="G4973" s="1404"/>
      <c r="H4973" s="1359"/>
      <c r="I4973" s="1299"/>
      <c r="J4973" s="1300"/>
      <c r="K4973" s="1307" t="str">
        <f>IF(COUNT(I4973)=0,"",(I4973*J4973))</f>
        <v/>
      </c>
      <c r="L4973" s="1335"/>
      <c r="M4973" s="1302"/>
      <c r="N4973" s="1700"/>
      <c r="O4973" s="1290"/>
      <c r="P4973" s="1332"/>
      <c r="Q4973" s="3391"/>
      <c r="R4973" s="1296"/>
      <c r="S4973" s="17"/>
      <c r="T4973" s="17"/>
      <c r="U4973" s="16"/>
      <c r="V4973" s="16"/>
    </row>
    <row r="4974" spans="1:22">
      <c r="A4974" s="1320"/>
      <c r="B4974" s="22"/>
      <c r="C4974" s="1320"/>
      <c r="D4974" s="1359"/>
      <c r="E4974" s="1858"/>
      <c r="F4974" s="1361"/>
      <c r="G4974" s="1361"/>
      <c r="H4974" s="1466"/>
      <c r="I4974" s="1299"/>
      <c r="J4974" s="1300"/>
      <c r="K4974" s="1307" t="str">
        <f>IF(COUNT(I4974)=0,"",(I4974*J4974))</f>
        <v/>
      </c>
      <c r="L4974" s="1335"/>
      <c r="M4974" s="1302"/>
      <c r="N4974" s="1700"/>
      <c r="O4974" s="1290"/>
      <c r="P4974" s="1332"/>
      <c r="Q4974" s="3391"/>
      <c r="R4974" s="1296"/>
      <c r="S4974" s="16"/>
      <c r="T4974" s="16"/>
      <c r="U4974" s="16"/>
      <c r="V4974" s="16"/>
    </row>
    <row r="4975" spans="1:22">
      <c r="A4975" s="1320"/>
      <c r="B4975" s="22"/>
      <c r="C4975" s="1320"/>
      <c r="D4975" s="1373"/>
      <c r="E4975" s="2123"/>
      <c r="F4975" s="1374" t="s">
        <v>3</v>
      </c>
      <c r="G4975" s="1375"/>
      <c r="H4975" s="1376"/>
      <c r="I4975" s="1382"/>
      <c r="J4975" s="1383"/>
      <c r="K4975" s="1383" t="str">
        <f>IF(COUNT(I4975)=0,"",(I4975*J4975))</f>
        <v/>
      </c>
      <c r="L4975" s="1413"/>
      <c r="M4975" s="1376"/>
      <c r="N4975" s="1376"/>
      <c r="O4975" s="1376"/>
      <c r="P4975" s="1373"/>
      <c r="Q4975" s="3387"/>
      <c r="R4975" s="1296"/>
      <c r="S4975" s="16"/>
      <c r="T4975" s="16"/>
      <c r="U4975" s="16"/>
      <c r="V4975" s="16"/>
    </row>
    <row r="4976" spans="1:22">
      <c r="A4976" s="1321"/>
      <c r="B4976" s="1295"/>
      <c r="C4976" s="1321"/>
      <c r="D4976" s="1377"/>
      <c r="E4976" s="2124"/>
      <c r="F4976" s="1378"/>
      <c r="G4976" s="1378"/>
      <c r="H4976" s="1379"/>
      <c r="I4976" s="1299"/>
      <c r="J4976" s="1300"/>
      <c r="K4976" s="1307"/>
      <c r="L4976" s="1335"/>
      <c r="M4976" s="1302"/>
      <c r="N4976" s="1700"/>
      <c r="O4976" s="1290"/>
      <c r="P4976" s="1332"/>
      <c r="Q4976" s="3391"/>
      <c r="R4976" s="1296"/>
      <c r="S4976" s="16"/>
      <c r="T4976" s="16"/>
      <c r="U4976" s="16"/>
      <c r="V4976" s="16"/>
    </row>
    <row r="4977" spans="1:22">
      <c r="A4977" s="1321"/>
      <c r="B4977" s="1295"/>
      <c r="C4977" s="1321"/>
      <c r="D4977" s="1377"/>
      <c r="E4977" s="2124"/>
      <c r="F4977" s="1378"/>
      <c r="G4977" s="1378"/>
      <c r="H4977" s="1379"/>
      <c r="I4977" s="1299"/>
      <c r="J4977" s="1300"/>
      <c r="K4977" s="1307"/>
      <c r="L4977" s="1335"/>
      <c r="M4977" s="1302"/>
      <c r="N4977" s="1700"/>
      <c r="O4977" s="1290"/>
      <c r="P4977" s="1333"/>
      <c r="Q4977" s="3391"/>
      <c r="R4977" s="1296"/>
      <c r="S4977" s="16"/>
      <c r="T4977" s="16"/>
      <c r="U4977" s="16"/>
      <c r="V4977" s="16"/>
    </row>
    <row r="4978" spans="1:22">
      <c r="A4978" s="1042"/>
      <c r="B4978" s="22"/>
      <c r="C4978" s="1042"/>
      <c r="D4978" s="1677"/>
      <c r="E4978" s="2161"/>
      <c r="F4978" s="1678"/>
      <c r="G4978" s="1678"/>
      <c r="H4978" s="1376"/>
      <c r="I4978" s="1299"/>
      <c r="J4978" s="1300"/>
      <c r="K4978" s="1307"/>
      <c r="L4978" s="1335"/>
      <c r="M4978" s="1302"/>
      <c r="N4978" s="1700"/>
      <c r="O4978" s="1290"/>
      <c r="P4978" s="1332"/>
      <c r="Q4978" s="3391"/>
      <c r="R4978" s="1296"/>
      <c r="S4978" s="16"/>
      <c r="T4978" s="16"/>
      <c r="U4978" s="16"/>
      <c r="V4978" s="16"/>
    </row>
    <row r="4979" spans="1:22">
      <c r="A4979" s="1042" t="s">
        <v>3764</v>
      </c>
      <c r="B4979" s="4325" t="s">
        <v>1984</v>
      </c>
      <c r="C4979" s="3350"/>
      <c r="D4979" s="4327" t="s">
        <v>1551</v>
      </c>
      <c r="E4979" s="4329" t="s">
        <v>1527</v>
      </c>
      <c r="F4979" s="4372" t="s">
        <v>1985</v>
      </c>
      <c r="G4979" s="4331" t="s">
        <v>1568</v>
      </c>
      <c r="H4979" s="4331" t="s">
        <v>1574</v>
      </c>
      <c r="I4979" s="1572" t="s">
        <v>1559</v>
      </c>
      <c r="J4979" s="1294" t="s">
        <v>1560</v>
      </c>
      <c r="K4979" s="1294" t="s">
        <v>1561</v>
      </c>
      <c r="L4979" s="4333" t="s">
        <v>3765</v>
      </c>
      <c r="M4979" s="4335" t="s">
        <v>1571</v>
      </c>
      <c r="N4979" s="4323" t="s">
        <v>1776</v>
      </c>
      <c r="O4979" s="3347" t="s">
        <v>1563</v>
      </c>
      <c r="P4979" s="1336" t="s">
        <v>1562</v>
      </c>
      <c r="Q4979" s="3389"/>
      <c r="R4979" s="1699" t="s">
        <v>1327</v>
      </c>
      <c r="S4979" s="16"/>
      <c r="T4979" s="16"/>
      <c r="U4979" s="16"/>
      <c r="V4979" s="16"/>
    </row>
    <row r="4980" spans="1:22">
      <c r="A4980" s="1662" t="s">
        <v>2789</v>
      </c>
      <c r="B4980" s="4326"/>
      <c r="C4980" s="3354"/>
      <c r="D4980" s="4328"/>
      <c r="E4980" s="4330"/>
      <c r="F4980" s="4363"/>
      <c r="G4980" s="4332"/>
      <c r="H4980" s="4332"/>
      <c r="I4980" s="1345">
        <v>34</v>
      </c>
      <c r="J4980" s="1307">
        <v>2.9000000000000001E-2</v>
      </c>
      <c r="K4980" s="1297">
        <f>I4980*J4980</f>
        <v>0.9860000000000001</v>
      </c>
      <c r="L4980" s="4334"/>
      <c r="M4980" s="4335"/>
      <c r="N4980" s="4324"/>
      <c r="O4980" s="1298">
        <f>O4982+O4983+O4984+O4990+O4997+O4998</f>
        <v>16.4948832</v>
      </c>
      <c r="P4980" s="1337">
        <f>O4980*K4980</f>
        <v>16.263954835200003</v>
      </c>
      <c r="Q4980" s="3390"/>
      <c r="R4980" s="1721">
        <f>P4982+P4983+P4984+P4990+P4997+P4998</f>
        <v>16.263954835200003</v>
      </c>
      <c r="S4980" s="16"/>
      <c r="T4980" s="16"/>
      <c r="U4980" s="16"/>
      <c r="V4980" s="16"/>
    </row>
    <row r="4981" spans="1:22">
      <c r="A4981" s="1042"/>
      <c r="B4981" s="22"/>
      <c r="C4981" s="18"/>
      <c r="D4981" s="1400"/>
      <c r="E4981" s="2121"/>
      <c r="F4981" s="1368" t="s">
        <v>1</v>
      </c>
      <c r="G4981" s="1368"/>
      <c r="H4981" s="1423"/>
      <c r="I4981" s="1667"/>
      <c r="J4981" s="1424"/>
      <c r="K4981" s="1425"/>
      <c r="L4981" s="1560"/>
      <c r="M4981" s="1426"/>
      <c r="N4981" s="1426"/>
      <c r="O4981" s="1427"/>
      <c r="P4981" s="1427"/>
      <c r="Q4981" s="3397"/>
      <c r="R4981" s="1296"/>
      <c r="S4981" s="16"/>
      <c r="T4981" s="16"/>
      <c r="U4981" s="16"/>
      <c r="V4981" s="16"/>
    </row>
    <row r="4982" spans="1:22" ht="18.5">
      <c r="A4982" s="2364" t="s">
        <v>2830</v>
      </c>
      <c r="B4982" s="22"/>
      <c r="C4982" s="1042"/>
      <c r="D4982" s="1598" t="s">
        <v>1986</v>
      </c>
      <c r="E4982" s="2154" t="s">
        <v>1521</v>
      </c>
      <c r="F4982" s="1598" t="s">
        <v>1987</v>
      </c>
      <c r="G4982" s="1612">
        <v>5.0000000000000001E-3</v>
      </c>
      <c r="H4982" s="1372"/>
      <c r="I4982" s="197"/>
      <c r="J4982" s="198"/>
      <c r="K4982" s="1732">
        <f>G4982*K4980</f>
        <v>4.9300000000000004E-3</v>
      </c>
      <c r="L4982" s="1335">
        <f t="shared" ref="L4982:L4994" si="613">K4982*$K$4964</f>
        <v>0</v>
      </c>
      <c r="M4982" s="1499">
        <v>150.1</v>
      </c>
      <c r="N4982" s="1700"/>
      <c r="O4982" s="1290">
        <f>G4982*M4982</f>
        <v>0.75049999999999994</v>
      </c>
      <c r="P4982" s="1332">
        <f>M4982*K4982</f>
        <v>0.73999300000000001</v>
      </c>
      <c r="Q4982" s="3391"/>
      <c r="R4982" s="1296"/>
      <c r="S4982" s="16"/>
      <c r="T4982" s="16"/>
      <c r="U4982" s="16"/>
      <c r="V4982" s="16"/>
    </row>
    <row r="4983" spans="1:22">
      <c r="A4983" s="1042"/>
      <c r="B4983" s="22"/>
      <c r="C4983" s="1042"/>
      <c r="D4983" s="1598" t="s">
        <v>1129</v>
      </c>
      <c r="E4983" s="2154" t="s">
        <v>1504</v>
      </c>
      <c r="F4983" s="1598" t="s">
        <v>1988</v>
      </c>
      <c r="G4983" s="1612">
        <v>5</v>
      </c>
      <c r="H4983" s="1372"/>
      <c r="I4983" s="197"/>
      <c r="J4983" s="198"/>
      <c r="K4983" s="1307">
        <f>G4983*K4980</f>
        <v>4.9300000000000006</v>
      </c>
      <c r="L4983" s="1335">
        <f t="shared" si="613"/>
        <v>0</v>
      </c>
      <c r="M4983" s="1499">
        <v>0.19</v>
      </c>
      <c r="N4983" s="1700"/>
      <c r="O4983" s="1290">
        <f>G4983*M4983</f>
        <v>0.95</v>
      </c>
      <c r="P4983" s="1332">
        <f>M4983*K4983</f>
        <v>0.93670000000000009</v>
      </c>
      <c r="Q4983" s="3391"/>
      <c r="R4983" s="1296"/>
      <c r="S4983" s="16"/>
      <c r="T4983" s="16"/>
      <c r="U4983" s="16"/>
      <c r="V4983" s="16"/>
    </row>
    <row r="4984" spans="1:22">
      <c r="A4984" s="16"/>
      <c r="B4984" s="1320"/>
      <c r="C4984" s="1356" t="s">
        <v>1119</v>
      </c>
      <c r="D4984" s="1311"/>
      <c r="E4984" s="1854" t="s">
        <v>1517</v>
      </c>
      <c r="F4984" s="1749" t="s">
        <v>1917</v>
      </c>
      <c r="G4984" s="1688"/>
      <c r="H4984" s="1366">
        <v>5.0000000000000001E-3</v>
      </c>
      <c r="I4984" s="1388"/>
      <c r="J4984" s="1388"/>
      <c r="K4984" s="1510"/>
      <c r="L4984" s="1445"/>
      <c r="M4984" s="1447"/>
      <c r="N4984" s="1447">
        <f>SUM(N4985:N4989)</f>
        <v>83.047780000000003</v>
      </c>
      <c r="O4984" s="1447">
        <f>SUM(O4985:O4989)</f>
        <v>0.41523890000000008</v>
      </c>
      <c r="P4984" s="1446">
        <f>SUM(P4985:P4989)</f>
        <v>0.40942555540000003</v>
      </c>
      <c r="Q4984" s="3391"/>
      <c r="S4984" s="16"/>
      <c r="T4984" s="16"/>
      <c r="U4984" s="16"/>
      <c r="V4984" s="16"/>
    </row>
    <row r="4985" spans="1:22">
      <c r="A4985" s="16"/>
      <c r="B4985" s="1320"/>
      <c r="C4985" s="18"/>
      <c r="D4985" s="1752" t="s">
        <v>1069</v>
      </c>
      <c r="E4985" s="1852" t="s">
        <v>1517</v>
      </c>
      <c r="F4985" s="1752" t="s">
        <v>1578</v>
      </c>
      <c r="G4985" s="1941">
        <v>0.2</v>
      </c>
      <c r="H4985" s="1453">
        <f>G4985*$H$4984</f>
        <v>1E-3</v>
      </c>
      <c r="I4985" s="198"/>
      <c r="J4985" s="198"/>
      <c r="K4985" s="1732">
        <f>H4985*$K$4980</f>
        <v>9.8600000000000011E-4</v>
      </c>
      <c r="L4985" s="1335">
        <f t="shared" si="613"/>
        <v>0</v>
      </c>
      <c r="M4985" s="1499">
        <v>0.55000000000000004</v>
      </c>
      <c r="N4985" s="1718">
        <f>G4985*M4985</f>
        <v>0.11000000000000001</v>
      </c>
      <c r="O4985" s="1719">
        <f>H4985*M4985</f>
        <v>5.5000000000000003E-4</v>
      </c>
      <c r="P4985" s="1720">
        <f>M4985*K4985</f>
        <v>5.4230000000000012E-4</v>
      </c>
      <c r="Q4985" s="3396"/>
      <c r="R4985" s="2337"/>
      <c r="S4985" s="16"/>
      <c r="T4985" s="16"/>
      <c r="U4985" s="16"/>
      <c r="V4985" s="16"/>
    </row>
    <row r="4986" spans="1:22">
      <c r="A4986" s="16"/>
      <c r="B4986" s="1320"/>
      <c r="C4986" s="1042"/>
      <c r="D4986" s="1752" t="s">
        <v>1792</v>
      </c>
      <c r="E4986" s="1852" t="s">
        <v>1577</v>
      </c>
      <c r="F4986" s="1752" t="s">
        <v>1793</v>
      </c>
      <c r="G4986" s="1941">
        <v>0.19</v>
      </c>
      <c r="H4986" s="1453">
        <f>G4986*$H$4984</f>
        <v>9.5E-4</v>
      </c>
      <c r="I4986" s="197"/>
      <c r="J4986" s="198"/>
      <c r="K4986" s="1732">
        <f>H4986*$K$4980</f>
        <v>9.3670000000000005E-4</v>
      </c>
      <c r="L4986" s="1335">
        <f t="shared" si="613"/>
        <v>0</v>
      </c>
      <c r="M4986" s="1499">
        <v>85.09</v>
      </c>
      <c r="N4986" s="1718">
        <f>G4986*M4986</f>
        <v>16.167100000000001</v>
      </c>
      <c r="O4986" s="1719">
        <f>H4986*M4986</f>
        <v>8.0835500000000005E-2</v>
      </c>
      <c r="P4986" s="1720">
        <f>M4986*K4986</f>
        <v>7.9703803000000004E-2</v>
      </c>
      <c r="Q4986" s="3396"/>
      <c r="R4986" s="2337"/>
      <c r="S4986" s="16"/>
      <c r="T4986" s="16"/>
      <c r="U4986" s="16"/>
      <c r="V4986" s="16"/>
    </row>
    <row r="4987" spans="1:22">
      <c r="A4987" s="16"/>
      <c r="B4987" s="1320"/>
      <c r="C4987" s="1042"/>
      <c r="D4987" s="1752" t="s">
        <v>1394</v>
      </c>
      <c r="E4987" s="1852" t="s">
        <v>1577</v>
      </c>
      <c r="F4987" s="1752" t="s">
        <v>1579</v>
      </c>
      <c r="G4987" s="1941">
        <v>0.38</v>
      </c>
      <c r="H4987" s="1453">
        <f>G4987*$H$4984</f>
        <v>1.9E-3</v>
      </c>
      <c r="I4987" s="1289"/>
      <c r="J4987" s="198"/>
      <c r="K4987" s="1732">
        <f>H4987*$K$4980</f>
        <v>1.8734000000000001E-3</v>
      </c>
      <c r="L4987" s="1335">
        <f t="shared" si="613"/>
        <v>0</v>
      </c>
      <c r="M4987" s="1499">
        <v>92.54</v>
      </c>
      <c r="N4987" s="1718">
        <f>G4987*M4987</f>
        <v>35.165200000000006</v>
      </c>
      <c r="O4987" s="1719">
        <f>H4987*M4987</f>
        <v>0.17582600000000001</v>
      </c>
      <c r="P4987" s="1720">
        <f>M4987*K4987</f>
        <v>0.17336443600000001</v>
      </c>
      <c r="Q4987" s="3396"/>
      <c r="R4987" s="2337"/>
      <c r="S4987" s="16"/>
      <c r="T4987" s="16"/>
      <c r="U4987" s="16"/>
      <c r="V4987" s="16"/>
    </row>
    <row r="4988" spans="1:22">
      <c r="A4988" s="16"/>
      <c r="B4988" s="1320"/>
      <c r="C4988" s="1042"/>
      <c r="D4988" s="1752" t="s">
        <v>1576</v>
      </c>
      <c r="E4988" s="1852" t="s">
        <v>1517</v>
      </c>
      <c r="F4988" s="1752" t="s">
        <v>1580</v>
      </c>
      <c r="G4988" s="1941">
        <v>1.38</v>
      </c>
      <c r="H4988" s="1453">
        <f>G4988*$H$4984</f>
        <v>6.8999999999999999E-3</v>
      </c>
      <c r="I4988" s="1289"/>
      <c r="J4988" s="198"/>
      <c r="K4988" s="1732">
        <f>H4988*$K$4980</f>
        <v>6.8034000000000002E-3</v>
      </c>
      <c r="L4988" s="1335">
        <f t="shared" si="613"/>
        <v>0</v>
      </c>
      <c r="M4988" s="1499">
        <v>6.53</v>
      </c>
      <c r="N4988" s="1718">
        <f>G4988*M4988</f>
        <v>9.0114000000000001</v>
      </c>
      <c r="O4988" s="1719">
        <f>H4988*M4988</f>
        <v>4.5057E-2</v>
      </c>
      <c r="P4988" s="1720">
        <f>M4988*K4988</f>
        <v>4.4426202000000005E-2</v>
      </c>
      <c r="Q4988" s="3396"/>
      <c r="R4988" s="2337"/>
      <c r="S4988" s="16"/>
      <c r="T4988" s="16"/>
      <c r="U4988" s="16"/>
      <c r="V4988" s="16"/>
    </row>
    <row r="4989" spans="1:22">
      <c r="A4989" s="16"/>
      <c r="B4989" s="1320"/>
      <c r="C4989" s="1042"/>
      <c r="D4989" s="1754" t="s">
        <v>1067</v>
      </c>
      <c r="E4989" s="1853" t="s">
        <v>1508</v>
      </c>
      <c r="F4989" s="1754" t="s">
        <v>1512</v>
      </c>
      <c r="G4989" s="1942">
        <v>1.236</v>
      </c>
      <c r="H4989" s="1454">
        <f>G4989*$H$4984</f>
        <v>6.1799999999999997E-3</v>
      </c>
      <c r="I4989" s="1289"/>
      <c r="J4989" s="198"/>
      <c r="K4989" s="1732">
        <f>H4989*$K$4980</f>
        <v>6.0934800000000001E-3</v>
      </c>
      <c r="L4989" s="1335">
        <f t="shared" si="613"/>
        <v>0</v>
      </c>
      <c r="M4989" s="1499">
        <v>18.28</v>
      </c>
      <c r="N4989" s="1718">
        <f>G4989*M4989</f>
        <v>22.594080000000002</v>
      </c>
      <c r="O4989" s="1719">
        <f>H4989*M4989</f>
        <v>0.1129704</v>
      </c>
      <c r="P4989" s="1720">
        <f>M4989*K4989</f>
        <v>0.11138881440000001</v>
      </c>
      <c r="Q4989" s="3396"/>
      <c r="R4989" s="2337"/>
      <c r="S4989" s="16"/>
      <c r="T4989" s="16"/>
      <c r="U4989" s="16"/>
      <c r="V4989" s="16"/>
    </row>
    <row r="4990" spans="1:22">
      <c r="A4990" s="16"/>
      <c r="B4990" s="1042"/>
      <c r="C4990" s="1356" t="s">
        <v>1127</v>
      </c>
      <c r="D4990" s="1311"/>
      <c r="E4990" s="2137" t="s">
        <v>1517</v>
      </c>
      <c r="F4990" s="1319" t="s">
        <v>1519</v>
      </c>
      <c r="G4990" s="1353"/>
      <c r="H4990" s="1456">
        <v>0.01</v>
      </c>
      <c r="I4990" s="1444"/>
      <c r="J4990" s="1388"/>
      <c r="K4990" s="1445"/>
      <c r="L4990" s="1457"/>
      <c r="M4990" s="1447"/>
      <c r="N4990" s="1447">
        <f>SUM(N4991:N4994)</f>
        <v>50.044430000000006</v>
      </c>
      <c r="O4990" s="1447">
        <f>SUM(O4991:O4994)</f>
        <v>0.50044430000000006</v>
      </c>
      <c r="P4990" s="1446">
        <f>SUM(P4991:P4994)</f>
        <v>0.4934380798000001</v>
      </c>
      <c r="Q4990" s="3391"/>
      <c r="R4990" s="2337"/>
      <c r="S4990" s="16"/>
      <c r="T4990" s="16"/>
      <c r="U4990" s="16"/>
      <c r="V4990" s="16"/>
    </row>
    <row r="4991" spans="1:22">
      <c r="A4991" s="16"/>
      <c r="B4991" s="1042"/>
      <c r="C4991" s="1327"/>
      <c r="D4991" s="1400" t="s">
        <v>1069</v>
      </c>
      <c r="E4991" s="1856" t="s">
        <v>1517</v>
      </c>
      <c r="F4991" s="1397" t="s">
        <v>1578</v>
      </c>
      <c r="G4991" s="1416">
        <v>0.26300000000000001</v>
      </c>
      <c r="H4991" s="1399">
        <f>G4991*$H$4990</f>
        <v>2.63E-3</v>
      </c>
      <c r="I4991" s="197"/>
      <c r="J4991" s="198"/>
      <c r="K4991" s="1732">
        <f>H4991*$K$4980</f>
        <v>2.5931800000000001E-3</v>
      </c>
      <c r="L4991" s="1335">
        <f t="shared" si="613"/>
        <v>0</v>
      </c>
      <c r="M4991" s="1302">
        <v>0.55000000000000004</v>
      </c>
      <c r="N4991" s="1718">
        <f>G4991*M4991</f>
        <v>0.14465000000000003</v>
      </c>
      <c r="O4991" s="1290">
        <f>H4991*M4991</f>
        <v>1.4465000000000001E-3</v>
      </c>
      <c r="P4991" s="1332">
        <f>M4991*K4991</f>
        <v>1.4262490000000001E-3</v>
      </c>
      <c r="Q4991" s="3391"/>
      <c r="R4991" s="2337"/>
      <c r="S4991" s="16"/>
      <c r="T4991" s="16"/>
      <c r="U4991" s="16"/>
      <c r="V4991" s="16"/>
    </row>
    <row r="4992" spans="1:22">
      <c r="A4992" s="16"/>
      <c r="B4992" s="1042"/>
      <c r="C4992" s="1320"/>
      <c r="D4992" s="1400" t="s">
        <v>1394</v>
      </c>
      <c r="E4992" s="1856" t="s">
        <v>1577</v>
      </c>
      <c r="F4992" s="1397" t="s">
        <v>1579</v>
      </c>
      <c r="G4992" s="1416">
        <v>0.25800000000000001</v>
      </c>
      <c r="H4992" s="1399">
        <f>G4992*$H$4990</f>
        <v>2.5800000000000003E-3</v>
      </c>
      <c r="I4992" s="197"/>
      <c r="J4992" s="198"/>
      <c r="K4992" s="1732">
        <f>H4992*$K$4980</f>
        <v>2.5438800000000005E-3</v>
      </c>
      <c r="L4992" s="1335">
        <f t="shared" si="613"/>
        <v>0</v>
      </c>
      <c r="M4992" s="1302">
        <v>92.54</v>
      </c>
      <c r="N4992" s="1718">
        <f>G4992*M4992</f>
        <v>23.875320000000002</v>
      </c>
      <c r="O4992" s="1290">
        <f>H4992*M4992</f>
        <v>0.23875320000000003</v>
      </c>
      <c r="P4992" s="1332">
        <f>M4992*K4992</f>
        <v>0.23541065520000007</v>
      </c>
      <c r="Q4992" s="3391"/>
      <c r="R4992" s="2337"/>
      <c r="S4992" s="16"/>
      <c r="T4992" s="16"/>
      <c r="U4992" s="16"/>
      <c r="V4992" s="16"/>
    </row>
    <row r="4993" spans="1:22">
      <c r="A4993" s="16"/>
      <c r="B4993" s="1042"/>
      <c r="C4993" s="1320"/>
      <c r="D4993" s="1400" t="s">
        <v>1576</v>
      </c>
      <c r="E4993" s="1856" t="s">
        <v>1517</v>
      </c>
      <c r="F4993" s="1397" t="s">
        <v>1580</v>
      </c>
      <c r="G4993" s="1416">
        <v>1.1020000000000001</v>
      </c>
      <c r="H4993" s="1399">
        <f>G4993*$H$4990</f>
        <v>1.102E-2</v>
      </c>
      <c r="I4993" s="197"/>
      <c r="J4993" s="198"/>
      <c r="K4993" s="1732">
        <f>H4993*$K$4980</f>
        <v>1.0865720000000001E-2</v>
      </c>
      <c r="L4993" s="1335">
        <f t="shared" si="613"/>
        <v>0</v>
      </c>
      <c r="M4993" s="1302">
        <v>6.53</v>
      </c>
      <c r="N4993" s="1718">
        <f>G4993*M4993</f>
        <v>7.196060000000001</v>
      </c>
      <c r="O4993" s="1290">
        <f>H4993*M4993</f>
        <v>7.19606E-2</v>
      </c>
      <c r="P4993" s="1332">
        <f>M4993*K4993</f>
        <v>7.09531516E-2</v>
      </c>
      <c r="Q4993" s="3391"/>
      <c r="R4993" s="2337"/>
      <c r="S4993" s="16"/>
      <c r="T4993" s="16"/>
      <c r="U4993" s="16"/>
      <c r="V4993" s="16"/>
    </row>
    <row r="4994" spans="1:22">
      <c r="A4994" s="16"/>
      <c r="B4994" s="1042"/>
      <c r="C4994" s="1320"/>
      <c r="D4994" s="1404" t="s">
        <v>1067</v>
      </c>
      <c r="E4994" s="1857" t="s">
        <v>1508</v>
      </c>
      <c r="F4994" s="1406" t="s">
        <v>1512</v>
      </c>
      <c r="G4994" s="1407">
        <v>1.03</v>
      </c>
      <c r="H4994" s="1408">
        <f>G4994*$H$4990</f>
        <v>1.03E-2</v>
      </c>
      <c r="I4994" s="197"/>
      <c r="J4994" s="198"/>
      <c r="K4994" s="1732">
        <f>H4994*$K$4980</f>
        <v>1.0155800000000001E-2</v>
      </c>
      <c r="L4994" s="1335">
        <f t="shared" si="613"/>
        <v>0</v>
      </c>
      <c r="M4994" s="1302">
        <v>18.28</v>
      </c>
      <c r="N4994" s="1718">
        <f>G4994*M4994</f>
        <v>18.828400000000002</v>
      </c>
      <c r="O4994" s="1290">
        <f>H4994*M4994</f>
        <v>0.18828400000000001</v>
      </c>
      <c r="P4994" s="1332">
        <f>M4994*K4994</f>
        <v>0.18564802400000002</v>
      </c>
      <c r="Q4994" s="3391"/>
      <c r="R4994" s="2337"/>
      <c r="S4994" s="16"/>
      <c r="T4994" s="16"/>
      <c r="U4994" s="16"/>
      <c r="V4994" s="16"/>
    </row>
    <row r="4995" spans="1:22">
      <c r="A4995" s="1042"/>
      <c r="B4995" s="22"/>
      <c r="C4995" s="1320"/>
      <c r="D4995" s="1400"/>
      <c r="E4995" s="1856"/>
      <c r="F4995" s="1397"/>
      <c r="G4995" s="1988"/>
      <c r="H4995" s="1399"/>
      <c r="I4995" s="197"/>
      <c r="J4995" s="198"/>
      <c r="K4995" s="1307"/>
      <c r="L4995" s="1335"/>
      <c r="M4995" s="1499"/>
      <c r="N4995" s="1701"/>
      <c r="O4995" s="1290"/>
      <c r="P4995" s="1332"/>
      <c r="Q4995" s="3391"/>
      <c r="R4995" s="1296"/>
      <c r="S4995" s="16"/>
      <c r="T4995" s="16"/>
      <c r="U4995" s="16"/>
      <c r="V4995" s="16"/>
    </row>
    <row r="4996" spans="1:22">
      <c r="A4996" s="1042"/>
      <c r="B4996" s="22"/>
      <c r="C4996" s="1320"/>
      <c r="D4996" s="1642"/>
      <c r="E4996" s="2162"/>
      <c r="F4996" s="1643" t="s">
        <v>2</v>
      </c>
      <c r="G4996" s="1989"/>
      <c r="H4996" s="1408"/>
      <c r="I4996" s="1380"/>
      <c r="J4996" s="1381"/>
      <c r="K4996" s="1679"/>
      <c r="L4996" s="1680"/>
      <c r="M4996" s="1681"/>
      <c r="N4996" s="1713"/>
      <c r="O4996" s="1682"/>
      <c r="P4996" s="1683"/>
      <c r="Q4996" s="3391"/>
      <c r="R4996" s="1296"/>
      <c r="S4996" s="16"/>
      <c r="T4996" s="16"/>
      <c r="U4996" s="16"/>
      <c r="V4996" s="16"/>
    </row>
    <row r="4997" spans="1:22">
      <c r="A4997" s="1042"/>
      <c r="B4997" s="22"/>
      <c r="C4997" s="1320"/>
      <c r="D4997" s="1655" t="s">
        <v>1067</v>
      </c>
      <c r="E4997" s="1859" t="s">
        <v>1508</v>
      </c>
      <c r="F4997" s="1655" t="s">
        <v>1512</v>
      </c>
      <c r="G4997" s="1809">
        <v>0.37</v>
      </c>
      <c r="H4997" s="1408"/>
      <c r="I4997" s="197"/>
      <c r="J4997" s="198"/>
      <c r="K4997" s="1732">
        <f>G4997*$K$4980</f>
        <v>0.36482000000000003</v>
      </c>
      <c r="L4997" s="1335">
        <f t="shared" ref="L4997:L4998" si="614">K4997*$K$4964</f>
        <v>0</v>
      </c>
      <c r="M4997" s="1499">
        <v>18.28</v>
      </c>
      <c r="N4997" s="1701"/>
      <c r="O4997" s="1290">
        <f>G4997*M4997</f>
        <v>6.7636000000000003</v>
      </c>
      <c r="P4997" s="1332">
        <f>M4997*K4997</f>
        <v>6.668909600000001</v>
      </c>
      <c r="Q4997" s="3391"/>
      <c r="R4997" s="1296"/>
      <c r="S4997" s="16"/>
      <c r="T4997" s="16"/>
      <c r="U4997" s="16"/>
      <c r="V4997" s="16"/>
    </row>
    <row r="4998" spans="1:22">
      <c r="A4998" s="1042"/>
      <c r="B4998" s="22"/>
      <c r="C4998" s="1320"/>
      <c r="D4998" s="1655" t="s">
        <v>1134</v>
      </c>
      <c r="E4998" s="1859" t="s">
        <v>1508</v>
      </c>
      <c r="F4998" s="1655" t="s">
        <v>1547</v>
      </c>
      <c r="G4998" s="1809">
        <v>0.37</v>
      </c>
      <c r="H4998" s="1408"/>
      <c r="I4998" s="197"/>
      <c r="J4998" s="198"/>
      <c r="K4998" s="1732">
        <f>G4998*$K$4980</f>
        <v>0.36482000000000003</v>
      </c>
      <c r="L4998" s="1335">
        <f t="shared" si="614"/>
        <v>0</v>
      </c>
      <c r="M4998" s="1499">
        <v>19.23</v>
      </c>
      <c r="N4998" s="1701"/>
      <c r="O4998" s="1290">
        <f>G4998*M4998</f>
        <v>7.1151</v>
      </c>
      <c r="P4998" s="1332">
        <f>M4998*K4998</f>
        <v>7.0154886000000012</v>
      </c>
      <c r="Q4998" s="3391"/>
      <c r="R4998" s="1296"/>
      <c r="S4998" s="16"/>
      <c r="T4998" s="16"/>
      <c r="U4998" s="16"/>
      <c r="V4998" s="16"/>
    </row>
    <row r="4999" spans="1:22">
      <c r="A4999" s="16"/>
      <c r="B4999" s="1042"/>
      <c r="C4999" s="88"/>
      <c r="D4999" s="1430"/>
      <c r="E4999" s="1857"/>
      <c r="F4999" s="1403"/>
      <c r="G4999" s="1991"/>
      <c r="H4999" s="1408"/>
      <c r="I4999" s="1286"/>
      <c r="J4999" s="198"/>
      <c r="K4999" s="1307"/>
      <c r="L4999" s="1335"/>
      <c r="M4999" s="1302"/>
      <c r="N4999" s="1718"/>
      <c r="O4999" s="1290"/>
      <c r="P4999" s="1332"/>
      <c r="Q4999" s="3391"/>
      <c r="R4999" s="2337"/>
      <c r="S4999" s="16"/>
      <c r="T4999" s="16"/>
      <c r="U4999" s="16"/>
      <c r="V4999" s="16"/>
    </row>
    <row r="5000" spans="1:22">
      <c r="A5000" s="16"/>
      <c r="B5000" s="1042"/>
      <c r="C5000" s="88"/>
      <c r="D5000" s="1430"/>
      <c r="E5000" s="1857"/>
      <c r="F5000" s="1403"/>
      <c r="G5000" s="1991"/>
      <c r="H5000" s="1408"/>
      <c r="I5000" s="197"/>
      <c r="J5000" s="198"/>
      <c r="K5000" s="1307"/>
      <c r="L5000" s="1335"/>
      <c r="M5000" s="1302"/>
      <c r="N5000" s="1718"/>
      <c r="O5000" s="1290"/>
      <c r="P5000" s="1332"/>
      <c r="Q5000" s="3391"/>
      <c r="R5000" s="2337"/>
      <c r="S5000" s="16"/>
      <c r="T5000" s="16"/>
      <c r="U5000" s="16"/>
      <c r="V5000" s="16"/>
    </row>
    <row r="5001" spans="1:22">
      <c r="A5001" s="1042"/>
      <c r="B5001" s="22"/>
      <c r="C5001" s="1042"/>
      <c r="D5001" s="1411"/>
      <c r="E5001" s="2123"/>
      <c r="F5001" s="1374" t="s">
        <v>3</v>
      </c>
      <c r="G5001" s="1374"/>
      <c r="H5001" s="1376"/>
      <c r="I5001" s="1382"/>
      <c r="J5001" s="1383"/>
      <c r="K5001" s="1684"/>
      <c r="L5001" s="1685"/>
      <c r="M5001" s="1597"/>
      <c r="N5001" s="1597"/>
      <c r="O5001" s="1687"/>
      <c r="P5001" s="1686"/>
      <c r="Q5001" s="3391"/>
      <c r="R5001" s="1173"/>
      <c r="S5001" s="16"/>
      <c r="T5001" s="16"/>
      <c r="U5001" s="16"/>
      <c r="V5001" s="16"/>
    </row>
    <row r="5002" spans="1:22">
      <c r="A5002" s="1042"/>
      <c r="B5002" s="22"/>
      <c r="C5002" s="1042"/>
      <c r="D5002" s="1411"/>
      <c r="E5002" s="2123"/>
      <c r="F5002" s="1375"/>
      <c r="G5002" s="1375"/>
      <c r="H5002" s="1505"/>
      <c r="I5002" s="197" t="str">
        <f ca="1">IF(COUNT(H5002:O5002)=0,"",(SUM(H5002:O5002)/COUNT(H5002:O5002)))</f>
        <v/>
      </c>
      <c r="J5002" s="198"/>
      <c r="K5002" s="1307"/>
      <c r="L5002" s="1335"/>
      <c r="M5002" s="1619"/>
      <c r="N5002" s="1619"/>
      <c r="O5002" s="1290"/>
      <c r="P5002" s="1332"/>
      <c r="Q5002" s="3391"/>
      <c r="R5002" s="3363"/>
      <c r="S5002" s="16"/>
      <c r="T5002" s="16"/>
      <c r="U5002" s="16"/>
      <c r="V5002" s="16"/>
    </row>
    <row r="5003" spans="1:22">
      <c r="A5003" s="1042"/>
      <c r="B5003" s="22"/>
      <c r="C5003" s="1042"/>
      <c r="D5003" s="1411"/>
      <c r="E5003" s="2123"/>
      <c r="F5003" s="1375"/>
      <c r="G5003" s="1375"/>
      <c r="H5003" s="1670"/>
      <c r="I5003" s="197" t="str">
        <f ca="1">IF(COUNT(H5003:O5003)=0,"",(SUM(H5003:O5003)/COUNT(H5003:O5003)))</f>
        <v/>
      </c>
      <c r="J5003" s="198"/>
      <c r="K5003" s="1307"/>
      <c r="L5003" s="1335"/>
      <c r="M5003" s="1619"/>
      <c r="N5003" s="1619"/>
      <c r="O5003" s="1290"/>
      <c r="P5003" s="1332"/>
      <c r="Q5003" s="3391"/>
      <c r="R5003" s="3363"/>
      <c r="S5003" s="16"/>
      <c r="T5003" s="16"/>
      <c r="U5003" s="16"/>
      <c r="V5003" s="16"/>
    </row>
    <row r="5004" spans="1:22">
      <c r="A5004" s="1042"/>
      <c r="B5004" s="22"/>
      <c r="C5004" s="223"/>
      <c r="D5004" s="1411"/>
      <c r="E5004" s="2123"/>
      <c r="F5004" s="1375"/>
      <c r="G5004" s="1375"/>
      <c r="H5004" s="1376"/>
      <c r="I5004" s="197" t="str">
        <f ca="1">IF(COUNT(H5004:O5004)=0,"",(SUM(H5004:O5004)/COUNT(H5004:O5004)))</f>
        <v/>
      </c>
      <c r="J5004" s="198"/>
      <c r="K5004" s="1307"/>
      <c r="L5004" s="1335"/>
      <c r="M5004" s="1619"/>
      <c r="N5004" s="1619"/>
      <c r="O5004" s="1290"/>
      <c r="P5004" s="1332"/>
      <c r="Q5004" s="3391"/>
      <c r="R5004" s="3363"/>
      <c r="S5004" s="16"/>
      <c r="T5004" s="16"/>
      <c r="U5004" s="16"/>
      <c r="V5004" s="16"/>
    </row>
    <row r="5005" spans="1:22">
      <c r="A5005" s="1042" t="s">
        <v>3764</v>
      </c>
      <c r="B5005" s="4325" t="s">
        <v>1989</v>
      </c>
      <c r="C5005" s="3350"/>
      <c r="D5005" s="4327" t="s">
        <v>1551</v>
      </c>
      <c r="E5005" s="4329" t="s">
        <v>1507</v>
      </c>
      <c r="F5005" s="4372" t="s">
        <v>1990</v>
      </c>
      <c r="G5005" s="4331" t="s">
        <v>1568</v>
      </c>
      <c r="H5005" s="4331" t="s">
        <v>1574</v>
      </c>
      <c r="I5005" s="1572" t="s">
        <v>1559</v>
      </c>
      <c r="J5005" s="1294" t="s">
        <v>1560</v>
      </c>
      <c r="K5005" s="1294" t="s">
        <v>1561</v>
      </c>
      <c r="L5005" s="4333" t="s">
        <v>3765</v>
      </c>
      <c r="M5005" s="4335" t="s">
        <v>1571</v>
      </c>
      <c r="N5005" s="4323" t="s">
        <v>1776</v>
      </c>
      <c r="O5005" s="3347" t="s">
        <v>1563</v>
      </c>
      <c r="P5005" s="1336" t="s">
        <v>1562</v>
      </c>
      <c r="Q5005" s="3389"/>
      <c r="R5005" s="1699" t="s">
        <v>1327</v>
      </c>
      <c r="S5005" s="16"/>
      <c r="T5005" s="16"/>
      <c r="U5005" s="16"/>
      <c r="V5005" s="16"/>
    </row>
    <row r="5006" spans="1:22">
      <c r="A5006" s="1662" t="s">
        <v>2789</v>
      </c>
      <c r="B5006" s="4326"/>
      <c r="C5006" s="3354"/>
      <c r="D5006" s="4328"/>
      <c r="E5006" s="4330"/>
      <c r="F5006" s="4363"/>
      <c r="G5006" s="4332"/>
      <c r="H5006" s="4332"/>
      <c r="I5006" s="1345">
        <v>40.799999999999997</v>
      </c>
      <c r="J5006" s="1307">
        <v>2.9000000000000001E-2</v>
      </c>
      <c r="K5006" s="1297">
        <f>I5006*J5006</f>
        <v>1.1832</v>
      </c>
      <c r="L5006" s="4334"/>
      <c r="M5006" s="4335"/>
      <c r="N5006" s="4324"/>
      <c r="O5006" s="1298">
        <f>O5008+O5012+O5013</f>
        <v>1.4168000000000001</v>
      </c>
      <c r="P5006" s="1337">
        <f>O5006*K5006</f>
        <v>1.6763577600000001</v>
      </c>
      <c r="Q5006" s="3390"/>
      <c r="R5006" s="1721">
        <f>P5008+P5012+P5013</f>
        <v>1.6763577600000001</v>
      </c>
      <c r="S5006" s="16"/>
      <c r="T5006" s="16"/>
      <c r="U5006" s="16"/>
      <c r="V5006" s="16"/>
    </row>
    <row r="5007" spans="1:22" ht="18.5">
      <c r="A5007" s="2364" t="s">
        <v>2829</v>
      </c>
      <c r="B5007" s="22"/>
      <c r="C5007" s="18"/>
      <c r="D5007" s="1400"/>
      <c r="E5007" s="2121"/>
      <c r="F5007" s="1368" t="s">
        <v>1</v>
      </c>
      <c r="G5007" s="1368"/>
      <c r="H5007" s="1423"/>
      <c r="I5007" s="1667"/>
      <c r="J5007" s="1424"/>
      <c r="K5007" s="1425"/>
      <c r="L5007" s="1560"/>
      <c r="M5007" s="1426"/>
      <c r="N5007" s="1426"/>
      <c r="O5007" s="1427"/>
      <c r="P5007" s="1427"/>
      <c r="Q5007" s="3397"/>
      <c r="R5007" s="1296"/>
      <c r="S5007" s="16"/>
      <c r="T5007" s="16"/>
      <c r="U5007" s="16"/>
      <c r="V5007" s="16"/>
    </row>
    <row r="5008" spans="1:22">
      <c r="A5008" s="1042"/>
      <c r="B5008" s="22"/>
      <c r="C5008" s="1042"/>
      <c r="D5008" s="1598" t="s">
        <v>1159</v>
      </c>
      <c r="E5008" s="2154" t="s">
        <v>1507</v>
      </c>
      <c r="F5008" s="1598" t="s">
        <v>1991</v>
      </c>
      <c r="G5008" s="1612">
        <v>1.111</v>
      </c>
      <c r="H5008" s="1372"/>
      <c r="I5008" s="197"/>
      <c r="J5008" s="198"/>
      <c r="K5008" s="1350">
        <f>G5008*K5006</f>
        <v>1.3145352000000001</v>
      </c>
      <c r="L5008" s="1335">
        <f t="shared" ref="L5008" si="615">K5008*$K$4964</f>
        <v>0</v>
      </c>
      <c r="M5008" s="1499">
        <v>0.6</v>
      </c>
      <c r="N5008" s="1700"/>
      <c r="O5008" s="1290">
        <f>G5008*M5008</f>
        <v>0.66659999999999997</v>
      </c>
      <c r="P5008" s="1332">
        <f>M5008*K5008</f>
        <v>0.78872112000000005</v>
      </c>
      <c r="Q5008" s="3391"/>
      <c r="R5008" s="1296"/>
      <c r="S5008" s="16"/>
      <c r="T5008" s="16"/>
      <c r="U5008" s="16"/>
      <c r="V5008" s="16"/>
    </row>
    <row r="5009" spans="1:22">
      <c r="A5009" s="16"/>
      <c r="B5009" s="1599"/>
      <c r="C5009" s="1042"/>
      <c r="D5009" s="1598"/>
      <c r="E5009" s="2154"/>
      <c r="F5009" s="1598"/>
      <c r="G5009" s="1612"/>
      <c r="H5009" s="1453"/>
      <c r="I5009" s="198"/>
      <c r="J5009" s="198"/>
      <c r="K5009" s="1732"/>
      <c r="L5009" s="1335"/>
      <c r="M5009" s="1499"/>
      <c r="N5009" s="1718"/>
      <c r="O5009" s="1719"/>
      <c r="P5009" s="1720"/>
      <c r="Q5009" s="3396"/>
      <c r="R5009" s="2337"/>
      <c r="S5009" s="16"/>
      <c r="T5009" s="16"/>
      <c r="U5009" s="16"/>
      <c r="V5009" s="16"/>
    </row>
    <row r="5010" spans="1:22">
      <c r="A5010" s="1042"/>
      <c r="B5010" s="22"/>
      <c r="C5010" s="1320"/>
      <c r="D5010" s="1400"/>
      <c r="E5010" s="1856"/>
      <c r="F5010" s="1397"/>
      <c r="G5010" s="1988"/>
      <c r="H5010" s="1399"/>
      <c r="I5010" s="197"/>
      <c r="J5010" s="198"/>
      <c r="K5010" s="1307"/>
      <c r="L5010" s="1335"/>
      <c r="M5010" s="1499"/>
      <c r="N5010" s="1701"/>
      <c r="O5010" s="1290"/>
      <c r="P5010" s="1332"/>
      <c r="Q5010" s="3391"/>
      <c r="R5010" s="1296"/>
      <c r="S5010" s="16"/>
      <c r="T5010" s="16"/>
      <c r="U5010" s="16"/>
      <c r="V5010" s="16"/>
    </row>
    <row r="5011" spans="1:22">
      <c r="A5011" s="1042"/>
      <c r="B5011" s="22"/>
      <c r="C5011" s="1320"/>
      <c r="D5011" s="1642"/>
      <c r="E5011" s="2162"/>
      <c r="F5011" s="1643" t="s">
        <v>2</v>
      </c>
      <c r="G5011" s="1989"/>
      <c r="H5011" s="1408"/>
      <c r="I5011" s="1380"/>
      <c r="J5011" s="1381"/>
      <c r="K5011" s="1679"/>
      <c r="L5011" s="1680"/>
      <c r="M5011" s="1681"/>
      <c r="N5011" s="1713"/>
      <c r="O5011" s="1682"/>
      <c r="P5011" s="1683"/>
      <c r="Q5011" s="3391"/>
      <c r="R5011" s="1296"/>
      <c r="S5011" s="16"/>
      <c r="T5011" s="16"/>
      <c r="U5011" s="16"/>
      <c r="V5011" s="16"/>
    </row>
    <row r="5012" spans="1:22">
      <c r="A5012" s="1042"/>
      <c r="B5012" s="22"/>
      <c r="C5012" s="1320"/>
      <c r="D5012" s="1993" t="s">
        <v>1067</v>
      </c>
      <c r="E5012" s="1859" t="s">
        <v>1508</v>
      </c>
      <c r="F5012" s="1655" t="s">
        <v>1512</v>
      </c>
      <c r="G5012" s="1809">
        <v>0.02</v>
      </c>
      <c r="H5012" s="1408"/>
      <c r="I5012" s="197"/>
      <c r="J5012" s="198"/>
      <c r="K5012" s="1307">
        <f>G5012*K5006</f>
        <v>2.3664000000000001E-2</v>
      </c>
      <c r="L5012" s="1335">
        <f t="shared" ref="L5012:L5013" si="616">K5012*$K$4964</f>
        <v>0</v>
      </c>
      <c r="M5012" s="1499">
        <v>18.28</v>
      </c>
      <c r="N5012" s="1701"/>
      <c r="O5012" s="1290">
        <f>G5012*M5012</f>
        <v>0.36560000000000004</v>
      </c>
      <c r="P5012" s="1332">
        <f>M5012*K5012</f>
        <v>0.43257792000000006</v>
      </c>
      <c r="Q5012" s="3391"/>
      <c r="R5012" s="1296"/>
      <c r="S5012" s="16"/>
      <c r="T5012" s="16"/>
      <c r="U5012" s="16"/>
      <c r="V5012" s="16"/>
    </row>
    <row r="5013" spans="1:22">
      <c r="A5013" s="1042"/>
      <c r="B5013" s="22"/>
      <c r="C5013" s="1320"/>
      <c r="D5013" s="1993" t="s">
        <v>1133</v>
      </c>
      <c r="E5013" s="1859" t="s">
        <v>1508</v>
      </c>
      <c r="F5013" s="1655" t="s">
        <v>1955</v>
      </c>
      <c r="G5013" s="1809">
        <v>0.02</v>
      </c>
      <c r="H5013" s="1408"/>
      <c r="I5013" s="197"/>
      <c r="J5013" s="198"/>
      <c r="K5013" s="1307">
        <f>G5013*K5006</f>
        <v>2.3664000000000001E-2</v>
      </c>
      <c r="L5013" s="1335">
        <f t="shared" si="616"/>
        <v>0</v>
      </c>
      <c r="M5013" s="1499">
        <v>19.23</v>
      </c>
      <c r="N5013" s="1701"/>
      <c r="O5013" s="1290">
        <f>G5013*M5013</f>
        <v>0.3846</v>
      </c>
      <c r="P5013" s="1332">
        <f>M5013*K5013</f>
        <v>0.45505872000000003</v>
      </c>
      <c r="Q5013" s="3391"/>
      <c r="R5013" s="1296"/>
      <c r="S5013" s="16"/>
      <c r="T5013" s="16"/>
      <c r="U5013" s="16"/>
      <c r="V5013" s="16"/>
    </row>
    <row r="5014" spans="1:22">
      <c r="A5014" s="16"/>
      <c r="B5014" s="553"/>
      <c r="C5014" s="1042"/>
      <c r="D5014" s="1402"/>
      <c r="E5014" s="1857"/>
      <c r="F5014" s="1403"/>
      <c r="G5014" s="1991"/>
      <c r="H5014" s="1408"/>
      <c r="I5014" s="1286"/>
      <c r="J5014" s="198"/>
      <c r="K5014" s="1307"/>
      <c r="L5014" s="1335"/>
      <c r="M5014" s="1302"/>
      <c r="N5014" s="1718"/>
      <c r="O5014" s="1290"/>
      <c r="P5014" s="1332"/>
      <c r="Q5014" s="3391"/>
      <c r="R5014" s="2337"/>
      <c r="S5014" s="16"/>
      <c r="T5014" s="16"/>
      <c r="U5014" s="16"/>
      <c r="V5014" s="16"/>
    </row>
    <row r="5015" spans="1:22">
      <c r="A5015" s="16"/>
      <c r="B5015" s="553"/>
      <c r="C5015" s="1042"/>
      <c r="D5015" s="1402"/>
      <c r="E5015" s="1857"/>
      <c r="F5015" s="1403"/>
      <c r="G5015" s="1991"/>
      <c r="H5015" s="1408"/>
      <c r="I5015" s="197"/>
      <c r="J5015" s="198"/>
      <c r="K5015" s="1307"/>
      <c r="L5015" s="1335"/>
      <c r="M5015" s="1302"/>
      <c r="N5015" s="1718"/>
      <c r="O5015" s="1290"/>
      <c r="P5015" s="1332"/>
      <c r="Q5015" s="3391"/>
      <c r="R5015" s="2337"/>
      <c r="S5015" s="16"/>
      <c r="T5015" s="16"/>
      <c r="U5015" s="16"/>
      <c r="V5015" s="16"/>
    </row>
    <row r="5016" spans="1:22">
      <c r="A5016" s="1042"/>
      <c r="B5016" s="22"/>
      <c r="C5016" s="1042"/>
      <c r="D5016" s="1411"/>
      <c r="E5016" s="2123"/>
      <c r="F5016" s="1374" t="s">
        <v>3</v>
      </c>
      <c r="G5016" s="1374"/>
      <c r="H5016" s="1376"/>
      <c r="I5016" s="1382"/>
      <c r="J5016" s="1383"/>
      <c r="K5016" s="1684"/>
      <c r="L5016" s="1685"/>
      <c r="M5016" s="1597"/>
      <c r="N5016" s="1597"/>
      <c r="O5016" s="1687"/>
      <c r="P5016" s="1686"/>
      <c r="Q5016" s="3391"/>
      <c r="R5016" s="1173"/>
      <c r="S5016" s="16"/>
      <c r="T5016" s="16"/>
      <c r="U5016" s="16"/>
      <c r="V5016" s="16"/>
    </row>
    <row r="5017" spans="1:22">
      <c r="A5017" s="1042"/>
      <c r="B5017" s="22"/>
      <c r="C5017" s="1042"/>
      <c r="D5017" s="1411"/>
      <c r="E5017" s="2123"/>
      <c r="F5017" s="1375"/>
      <c r="G5017" s="1375"/>
      <c r="H5017" s="1670"/>
      <c r="I5017" s="197" t="str">
        <f ca="1">IF(COUNT(H5017:O5017)=0,"",(SUM(H5017:O5017)/COUNT(H5017:O5017)))</f>
        <v/>
      </c>
      <c r="J5017" s="198"/>
      <c r="K5017" s="1307"/>
      <c r="L5017" s="1335" t="str">
        <f>IF(COUNT(#REF!)=0,"",IF(#REF!="","",(#REF!*#REF!)))</f>
        <v/>
      </c>
      <c r="M5017" s="1619"/>
      <c r="N5017" s="1619"/>
      <c r="O5017" s="1290"/>
      <c r="P5017" s="1332"/>
      <c r="Q5017" s="3391"/>
      <c r="R5017" s="3363"/>
      <c r="S5017" s="105"/>
      <c r="T5017" s="105"/>
      <c r="U5017" s="16"/>
      <c r="V5017" s="16"/>
    </row>
    <row r="5018" spans="1:22">
      <c r="A5018" s="1042"/>
      <c r="B5018" s="22"/>
      <c r="C5018" s="1042"/>
      <c r="D5018" s="1411"/>
      <c r="E5018" s="2123"/>
      <c r="F5018" s="1375"/>
      <c r="G5018" s="1375"/>
      <c r="H5018" s="1670"/>
      <c r="I5018" s="197"/>
      <c r="J5018" s="198"/>
      <c r="K5018" s="1307"/>
      <c r="L5018" s="1335"/>
      <c r="M5018" s="1619"/>
      <c r="N5018" s="1619"/>
      <c r="O5018" s="1290"/>
      <c r="P5018" s="1332"/>
      <c r="Q5018" s="3391"/>
      <c r="R5018" s="3363"/>
      <c r="S5018" s="105"/>
      <c r="T5018" s="105"/>
      <c r="U5018" s="16"/>
      <c r="V5018" s="16"/>
    </row>
    <row r="5019" spans="1:22">
      <c r="A5019" s="1042"/>
      <c r="B5019" s="22"/>
      <c r="C5019" s="223"/>
      <c r="D5019" s="1411"/>
      <c r="E5019" s="2123"/>
      <c r="F5019" s="1375"/>
      <c r="G5019" s="1375"/>
      <c r="H5019" s="1376"/>
      <c r="I5019" s="197" t="str">
        <f ca="1">IF(COUNT(H5019:O5019)=0,"",(SUM(H5019:O5019)/COUNT(H5019:O5019)))</f>
        <v/>
      </c>
      <c r="J5019" s="198"/>
      <c r="K5019" s="1307"/>
      <c r="L5019" s="1335"/>
      <c r="M5019" s="1619"/>
      <c r="N5019" s="1619"/>
      <c r="O5019" s="1290"/>
      <c r="P5019" s="1332"/>
      <c r="Q5019" s="3391"/>
      <c r="R5019" s="3363"/>
      <c r="S5019" s="16"/>
      <c r="T5019" s="16"/>
      <c r="U5019" s="16"/>
      <c r="V5019" s="16"/>
    </row>
    <row r="5020" spans="1:22">
      <c r="A5020" s="1042" t="s">
        <v>3764</v>
      </c>
      <c r="B5020" s="4325" t="s">
        <v>2000</v>
      </c>
      <c r="C5020" s="3350"/>
      <c r="D5020" s="4327" t="s">
        <v>1551</v>
      </c>
      <c r="E5020" s="4329" t="s">
        <v>1507</v>
      </c>
      <c r="F5020" s="4372" t="s">
        <v>2001</v>
      </c>
      <c r="G5020" s="4331" t="s">
        <v>1568</v>
      </c>
      <c r="H5020" s="4331" t="s">
        <v>1574</v>
      </c>
      <c r="I5020" s="1572" t="s">
        <v>1559</v>
      </c>
      <c r="J5020" s="1294" t="s">
        <v>1560</v>
      </c>
      <c r="K5020" s="1294" t="s">
        <v>1561</v>
      </c>
      <c r="L5020" s="4333" t="s">
        <v>3765</v>
      </c>
      <c r="M5020" s="4323" t="s">
        <v>1571</v>
      </c>
      <c r="N5020" s="4323" t="s">
        <v>1776</v>
      </c>
      <c r="O5020" s="3347" t="s">
        <v>1563</v>
      </c>
      <c r="P5020" s="1336" t="s">
        <v>1562</v>
      </c>
      <c r="Q5020" s="3389"/>
      <c r="R5020" s="1699" t="s">
        <v>1327</v>
      </c>
      <c r="S5020" s="16"/>
      <c r="T5020" s="16"/>
      <c r="U5020" s="16"/>
      <c r="V5020" s="16"/>
    </row>
    <row r="5021" spans="1:22">
      <c r="A5021" s="1662" t="s">
        <v>2789</v>
      </c>
      <c r="B5021" s="4326"/>
      <c r="C5021" s="3354"/>
      <c r="D5021" s="4328"/>
      <c r="E5021" s="4330"/>
      <c r="F5021" s="4363"/>
      <c r="G5021" s="4332"/>
      <c r="H5021" s="4332"/>
      <c r="I5021" s="1345">
        <v>40.799999999999997</v>
      </c>
      <c r="J5021" s="1307">
        <v>2.9000000000000001E-2</v>
      </c>
      <c r="K5021" s="1297">
        <f>I5021*J5021</f>
        <v>1.1832</v>
      </c>
      <c r="L5021" s="4334"/>
      <c r="M5021" s="4324"/>
      <c r="N5021" s="4324"/>
      <c r="O5021" s="1298">
        <f>O5023+O5024+O5025+O5026+O5027+O5035+O5036</f>
        <v>34.853999709999997</v>
      </c>
      <c r="P5021" s="1337">
        <f>O5021*K5021</f>
        <v>41.239252456871995</v>
      </c>
      <c r="Q5021" s="3390"/>
      <c r="R5021" s="1721">
        <f>P5023+P5024+P5025+P5026+P5027+P5035+P5036</f>
        <v>41.239252456872009</v>
      </c>
      <c r="S5021" s="16"/>
      <c r="T5021" s="16"/>
      <c r="U5021" s="16"/>
      <c r="V5021" s="16"/>
    </row>
    <row r="5022" spans="1:22">
      <c r="A5022" s="1042"/>
      <c r="B5022" s="22"/>
      <c r="C5022" s="18"/>
      <c r="D5022" s="1400"/>
      <c r="E5022" s="2121"/>
      <c r="F5022" s="1368" t="s">
        <v>1</v>
      </c>
      <c r="G5022" s="1368"/>
      <c r="H5022" s="1423"/>
      <c r="I5022" s="1667"/>
      <c r="J5022" s="1424"/>
      <c r="K5022" s="1425"/>
      <c r="L5022" s="1560"/>
      <c r="M5022" s="1426"/>
      <c r="N5022" s="1426"/>
      <c r="O5022" s="1427"/>
      <c r="P5022" s="1427"/>
      <c r="Q5022" s="3397"/>
      <c r="R5022" s="1296"/>
      <c r="S5022" s="16"/>
      <c r="T5022" s="16"/>
      <c r="U5022" s="16"/>
      <c r="V5022" s="16"/>
    </row>
    <row r="5023" spans="1:22" ht="18.5">
      <c r="A5023" s="2368" t="s">
        <v>2831</v>
      </c>
      <c r="B5023" s="1599"/>
      <c r="C5023" s="1042"/>
      <c r="D5023" s="1598" t="s">
        <v>2006</v>
      </c>
      <c r="E5023" s="2154" t="s">
        <v>1507</v>
      </c>
      <c r="F5023" s="1598" t="s">
        <v>2007</v>
      </c>
      <c r="G5023" s="1612">
        <v>2.2000000000000002</v>
      </c>
      <c r="H5023" s="1453"/>
      <c r="I5023" s="197"/>
      <c r="J5023" s="198"/>
      <c r="K5023" s="1350">
        <f>G5023*K5021</f>
        <v>2.6030400000000005</v>
      </c>
      <c r="L5023" s="1335">
        <f t="shared" ref="L5023:L5026" si="617">K5023*$K$4964</f>
        <v>0</v>
      </c>
      <c r="M5023" s="1499">
        <v>0.73</v>
      </c>
      <c r="N5023" s="1718"/>
      <c r="O5023" s="1290">
        <f>G5023*M5023</f>
        <v>1.6060000000000001</v>
      </c>
      <c r="P5023" s="1332">
        <f>M5023*K5023</f>
        <v>1.9002192000000002</v>
      </c>
      <c r="Q5023" s="3391"/>
      <c r="R5023" s="2337"/>
      <c r="S5023" s="16"/>
      <c r="T5023" s="16"/>
      <c r="U5023" s="16"/>
      <c r="V5023" s="16"/>
    </row>
    <row r="5024" spans="1:22" ht="18.5">
      <c r="A5024" s="2364" t="s">
        <v>2833</v>
      </c>
      <c r="B5024" s="22"/>
      <c r="C5024" s="1042"/>
      <c r="D5024" s="1598" t="s">
        <v>2002</v>
      </c>
      <c r="E5024" s="2154" t="s">
        <v>1507</v>
      </c>
      <c r="F5024" s="1598" t="s">
        <v>2003</v>
      </c>
      <c r="G5024" s="1612">
        <v>1.111</v>
      </c>
      <c r="H5024" s="1372"/>
      <c r="I5024" s="197"/>
      <c r="J5024" s="198"/>
      <c r="K5024" s="1350">
        <f>G5024*K5021</f>
        <v>1.3145352000000001</v>
      </c>
      <c r="L5024" s="1335">
        <f t="shared" si="617"/>
        <v>0</v>
      </c>
      <c r="M5024" s="1499">
        <v>8.4700000000000006</v>
      </c>
      <c r="N5024" s="1700"/>
      <c r="O5024" s="1290">
        <f>G5024*M5024</f>
        <v>9.4101700000000008</v>
      </c>
      <c r="P5024" s="1332">
        <f>M5024*K5024</f>
        <v>11.134113144000002</v>
      </c>
      <c r="Q5024" s="3391"/>
      <c r="R5024" s="1296"/>
      <c r="S5024" s="16"/>
      <c r="T5024" s="16"/>
      <c r="U5024" s="16"/>
      <c r="V5024" s="16"/>
    </row>
    <row r="5025" spans="1:22" ht="18.5">
      <c r="A5025" s="2369" t="s">
        <v>2832</v>
      </c>
      <c r="B5025" s="1599"/>
      <c r="C5025" s="1042"/>
      <c r="D5025" s="1598" t="s">
        <v>2004</v>
      </c>
      <c r="E5025" s="2154" t="s">
        <v>1527</v>
      </c>
      <c r="F5025" s="1598" t="s">
        <v>2005</v>
      </c>
      <c r="G5025" s="1612">
        <v>1.111</v>
      </c>
      <c r="H5025" s="1453"/>
      <c r="I5025" s="198"/>
      <c r="J5025" s="198"/>
      <c r="K5025" s="1350">
        <f>G5025*K5021</f>
        <v>1.3145352000000001</v>
      </c>
      <c r="L5025" s="1335">
        <f t="shared" si="617"/>
        <v>0</v>
      </c>
      <c r="M5025" s="1499">
        <v>9.27</v>
      </c>
      <c r="N5025" s="1718"/>
      <c r="O5025" s="1290">
        <f>G5025*M5025</f>
        <v>10.298969999999999</v>
      </c>
      <c r="P5025" s="1332">
        <f>M5025*K5025</f>
        <v>12.185741304</v>
      </c>
      <c r="Q5025" s="3391"/>
      <c r="R5025" s="2337"/>
      <c r="S5025" s="16"/>
      <c r="T5025" s="16"/>
      <c r="U5025" s="16"/>
      <c r="V5025" s="16"/>
    </row>
    <row r="5026" spans="1:22">
      <c r="A5026" s="16"/>
      <c r="B5026" s="1599"/>
      <c r="C5026" s="1042"/>
      <c r="D5026" s="1598" t="s">
        <v>1082</v>
      </c>
      <c r="E5026" s="2154" t="s">
        <v>1504</v>
      </c>
      <c r="F5026" s="1598" t="s">
        <v>1541</v>
      </c>
      <c r="G5026" s="1612">
        <v>0.4</v>
      </c>
      <c r="H5026" s="1453"/>
      <c r="I5026" s="1289"/>
      <c r="J5026" s="198"/>
      <c r="K5026" s="1350">
        <f>G5026*K5021</f>
        <v>0.47328000000000003</v>
      </c>
      <c r="L5026" s="1335">
        <f t="shared" si="617"/>
        <v>0</v>
      </c>
      <c r="M5026" s="1499">
        <v>0.3</v>
      </c>
      <c r="N5026" s="1718"/>
      <c r="O5026" s="1290">
        <f>G5026*M5026</f>
        <v>0.12</v>
      </c>
      <c r="P5026" s="1332">
        <f>M5026*K5026</f>
        <v>0.141984</v>
      </c>
      <c r="Q5026" s="3391"/>
      <c r="R5026" s="2337"/>
      <c r="S5026" s="16"/>
      <c r="T5026" s="16"/>
      <c r="U5026" s="16"/>
      <c r="V5026" s="16"/>
    </row>
    <row r="5027" spans="1:22">
      <c r="A5027" s="16"/>
      <c r="B5027" s="1042"/>
      <c r="C5027" s="1658" t="s">
        <v>1122</v>
      </c>
      <c r="D5027" s="1311"/>
      <c r="E5027" s="1855" t="s">
        <v>1517</v>
      </c>
      <c r="F5027" s="1647" t="s">
        <v>1681</v>
      </c>
      <c r="G5027" s="1689"/>
      <c r="H5027" s="1689">
        <v>4.1000000000000002E-2</v>
      </c>
      <c r="I5027" s="1444"/>
      <c r="J5027" s="1388"/>
      <c r="K5027" s="1841"/>
      <c r="L5027" s="1445"/>
      <c r="M5027" s="1500"/>
      <c r="N5027" s="1501">
        <f>SUM(N5028:N5032)</f>
        <v>51.667310000000001</v>
      </c>
      <c r="O5027" s="1501">
        <f>SUM(O5028:O5032)</f>
        <v>2.11835971</v>
      </c>
      <c r="P5027" s="1845">
        <f>SUM(P5028:P5032)</f>
        <v>2.5064432088720006</v>
      </c>
      <c r="Q5027" s="3391"/>
      <c r="R5027" s="2343"/>
      <c r="S5027" s="16"/>
      <c r="T5027" s="16"/>
      <c r="U5027" s="16"/>
      <c r="V5027" s="16"/>
    </row>
    <row r="5028" spans="1:22">
      <c r="A5028" s="16"/>
      <c r="B5028" s="1042"/>
      <c r="C5028" s="1042"/>
      <c r="D5028" s="1451" t="s">
        <v>1069</v>
      </c>
      <c r="E5028" s="1856" t="s">
        <v>1517</v>
      </c>
      <c r="F5028" s="1421" t="s">
        <v>1578</v>
      </c>
      <c r="G5028" s="1452">
        <v>0.26300000000000001</v>
      </c>
      <c r="H5028" s="1453">
        <f>$H$5027*G5028</f>
        <v>1.0783000000000001E-2</v>
      </c>
      <c r="I5028" s="197"/>
      <c r="J5028" s="198"/>
      <c r="K5028" s="1350">
        <f>H5028*$K$5021</f>
        <v>1.2758445600000001E-2</v>
      </c>
      <c r="L5028" s="1335">
        <f t="shared" ref="L5028:L5032" si="618">K5028*$K$4964</f>
        <v>0</v>
      </c>
      <c r="M5028" s="1499">
        <v>0.55000000000000004</v>
      </c>
      <c r="N5028" s="1724">
        <f>G5028*M5028</f>
        <v>0.14465000000000003</v>
      </c>
      <c r="O5028" s="1719">
        <f>H5028*M5028</f>
        <v>5.9306500000000009E-3</v>
      </c>
      <c r="P5028" s="1720">
        <f>K5028*M5028</f>
        <v>7.0171450800000012E-3</v>
      </c>
      <c r="Q5028" s="3396"/>
      <c r="R5028" s="2338"/>
      <c r="S5028" s="16"/>
      <c r="T5028" s="16"/>
      <c r="U5028" s="16"/>
      <c r="V5028" s="16"/>
    </row>
    <row r="5029" spans="1:22">
      <c r="A5029" s="16"/>
      <c r="B5029" s="1042"/>
      <c r="C5029" s="1320"/>
      <c r="D5029" s="1367" t="s">
        <v>1394</v>
      </c>
      <c r="E5029" s="1856" t="s">
        <v>1577</v>
      </c>
      <c r="F5029" s="1421" t="s">
        <v>1579</v>
      </c>
      <c r="G5029" s="1452">
        <v>0.25800000000000001</v>
      </c>
      <c r="H5029" s="1453">
        <f t="shared" ref="H5029:H5032" si="619">$H$5027*G5029</f>
        <v>1.0578000000000001E-2</v>
      </c>
      <c r="I5029" s="197"/>
      <c r="J5029" s="198"/>
      <c r="K5029" s="1350">
        <f t="shared" ref="K5029:K5031" si="620">H5029*$K$5021</f>
        <v>1.2515889600000002E-2</v>
      </c>
      <c r="L5029" s="1335">
        <f t="shared" si="618"/>
        <v>0</v>
      </c>
      <c r="M5029" s="1499">
        <v>92.54</v>
      </c>
      <c r="N5029" s="1724">
        <f>G5029*M5029</f>
        <v>23.875320000000002</v>
      </c>
      <c r="O5029" s="1719">
        <f>H5029*M5029</f>
        <v>0.97888812000000014</v>
      </c>
      <c r="P5029" s="1720">
        <f>K5029*M5029</f>
        <v>1.1582204235840001</v>
      </c>
      <c r="Q5029" s="3396"/>
      <c r="R5029" s="2338"/>
      <c r="S5029" s="16"/>
      <c r="T5029" s="16"/>
      <c r="U5029" s="16"/>
      <c r="V5029" s="16"/>
    </row>
    <row r="5030" spans="1:22">
      <c r="A5030" s="16"/>
      <c r="B5030" s="1042"/>
      <c r="C5030" s="1320"/>
      <c r="D5030" s="1603" t="s">
        <v>1682</v>
      </c>
      <c r="E5030" s="1856" t="s">
        <v>1683</v>
      </c>
      <c r="F5030" s="1421" t="s">
        <v>1684</v>
      </c>
      <c r="G5030" s="1452">
        <v>1.288</v>
      </c>
      <c r="H5030" s="1453">
        <f t="shared" si="619"/>
        <v>5.2808000000000001E-2</v>
      </c>
      <c r="I5030" s="197"/>
      <c r="J5030" s="198"/>
      <c r="K5030" s="1350">
        <f t="shared" si="620"/>
        <v>6.2482425600000002E-2</v>
      </c>
      <c r="L5030" s="1335">
        <f t="shared" si="618"/>
        <v>0</v>
      </c>
      <c r="M5030" s="1499">
        <v>1.26</v>
      </c>
      <c r="N5030" s="1724">
        <f>G5030*M5030</f>
        <v>1.6228800000000001</v>
      </c>
      <c r="O5030" s="1719">
        <f>H5030*M5030</f>
        <v>6.6538079999999999E-2</v>
      </c>
      <c r="P5030" s="1720">
        <f>K5030*M5030</f>
        <v>7.8727856255999998E-2</v>
      </c>
      <c r="Q5030" s="3396"/>
      <c r="R5030" s="2338"/>
      <c r="S5030" s="16"/>
      <c r="T5030" s="16"/>
      <c r="U5030" s="16"/>
      <c r="V5030" s="16"/>
    </row>
    <row r="5031" spans="1:22">
      <c r="A5031" s="16"/>
      <c r="B5031" s="1042"/>
      <c r="C5031" s="1320"/>
      <c r="D5031" s="1603" t="s">
        <v>1576</v>
      </c>
      <c r="E5031" s="1856" t="s">
        <v>1517</v>
      </c>
      <c r="F5031" s="1421" t="s">
        <v>1580</v>
      </c>
      <c r="G5031" s="1452">
        <v>1.1020000000000001</v>
      </c>
      <c r="H5031" s="1453">
        <f t="shared" si="619"/>
        <v>4.5182000000000007E-2</v>
      </c>
      <c r="I5031" s="197"/>
      <c r="J5031" s="198"/>
      <c r="K5031" s="1350">
        <f t="shared" si="620"/>
        <v>5.3459342400000012E-2</v>
      </c>
      <c r="L5031" s="1335">
        <f t="shared" si="618"/>
        <v>0</v>
      </c>
      <c r="M5031" s="1499">
        <v>6.53</v>
      </c>
      <c r="N5031" s="1724">
        <f>G5031*M5031</f>
        <v>7.196060000000001</v>
      </c>
      <c r="O5031" s="1719">
        <f>H5031*M5031</f>
        <v>0.29503846000000006</v>
      </c>
      <c r="P5031" s="1720">
        <f>K5031*M5031</f>
        <v>0.34908950587200011</v>
      </c>
      <c r="Q5031" s="3396"/>
      <c r="R5031" s="2338"/>
      <c r="S5031" s="16"/>
      <c r="T5031" s="16"/>
      <c r="U5031" s="16"/>
      <c r="V5031" s="16"/>
    </row>
    <row r="5032" spans="1:22">
      <c r="A5032" s="16"/>
      <c r="B5032" s="1042"/>
      <c r="C5032" s="1320"/>
      <c r="D5032" s="1443" t="s">
        <v>1067</v>
      </c>
      <c r="E5032" s="1857" t="s">
        <v>1508</v>
      </c>
      <c r="F5032" s="1430" t="s">
        <v>1512</v>
      </c>
      <c r="G5032" s="1431">
        <v>1.03</v>
      </c>
      <c r="H5032" s="1454">
        <f t="shared" si="619"/>
        <v>4.2230000000000004E-2</v>
      </c>
      <c r="I5032" s="197"/>
      <c r="J5032" s="198"/>
      <c r="K5032" s="1350">
        <f>H5032*$K$5021</f>
        <v>4.9966536000000006E-2</v>
      </c>
      <c r="L5032" s="1335">
        <f t="shared" si="618"/>
        <v>0</v>
      </c>
      <c r="M5032" s="1499">
        <v>18.28</v>
      </c>
      <c r="N5032" s="1724">
        <f>G5032*M5032</f>
        <v>18.828400000000002</v>
      </c>
      <c r="O5032" s="1719">
        <f>H5032*M5032</f>
        <v>0.77196440000000011</v>
      </c>
      <c r="P5032" s="1720">
        <f>K5032*M5032</f>
        <v>0.91338827808000012</v>
      </c>
      <c r="Q5032" s="3396"/>
      <c r="R5032" s="2338"/>
      <c r="S5032" s="16"/>
      <c r="T5032" s="16"/>
      <c r="U5032" s="16"/>
      <c r="V5032" s="16"/>
    </row>
    <row r="5033" spans="1:22">
      <c r="A5033" s="1042"/>
      <c r="B5033" s="22"/>
      <c r="C5033" s="1320"/>
      <c r="D5033" s="1400"/>
      <c r="E5033" s="1856"/>
      <c r="F5033" s="1397"/>
      <c r="G5033" s="1988"/>
      <c r="H5033" s="1399"/>
      <c r="I5033" s="197"/>
      <c r="J5033" s="198"/>
      <c r="K5033" s="1307"/>
      <c r="L5033" s="1335"/>
      <c r="M5033" s="1499"/>
      <c r="N5033" s="1701"/>
      <c r="O5033" s="1290"/>
      <c r="P5033" s="1332"/>
      <c r="Q5033" s="3391"/>
      <c r="R5033" s="1296"/>
      <c r="S5033" s="16"/>
      <c r="T5033" s="16"/>
      <c r="U5033" s="16"/>
      <c r="V5033" s="16"/>
    </row>
    <row r="5034" spans="1:22">
      <c r="A5034" s="1042"/>
      <c r="B5034" s="22"/>
      <c r="C5034" s="1320"/>
      <c r="D5034" s="1642"/>
      <c r="E5034" s="2162"/>
      <c r="F5034" s="1643" t="s">
        <v>2</v>
      </c>
      <c r="G5034" s="1989"/>
      <c r="H5034" s="1408"/>
      <c r="I5034" s="1380"/>
      <c r="J5034" s="1381"/>
      <c r="K5034" s="1679"/>
      <c r="L5034" s="1680"/>
      <c r="M5034" s="1681"/>
      <c r="N5034" s="1713"/>
      <c r="O5034" s="1682"/>
      <c r="P5034" s="1683"/>
      <c r="Q5034" s="3391"/>
      <c r="R5034" s="1296"/>
      <c r="S5034" s="16"/>
      <c r="T5034" s="16"/>
      <c r="U5034" s="16"/>
      <c r="V5034" s="16"/>
    </row>
    <row r="5035" spans="1:22">
      <c r="A5035" s="1042"/>
      <c r="B5035" s="22"/>
      <c r="C5035" s="1320"/>
      <c r="D5035" s="1993" t="s">
        <v>1133</v>
      </c>
      <c r="E5035" s="1859" t="s">
        <v>1508</v>
      </c>
      <c r="F5035" s="1655" t="s">
        <v>1955</v>
      </c>
      <c r="G5035" s="1809">
        <v>0.1</v>
      </c>
      <c r="H5035" s="1408"/>
      <c r="I5035" s="197"/>
      <c r="J5035" s="198"/>
      <c r="K5035" s="1307">
        <f>G5035*K5021</f>
        <v>0.11832000000000001</v>
      </c>
      <c r="L5035" s="1335">
        <f t="shared" ref="L5035" si="621">K5035*$K$4964</f>
        <v>0</v>
      </c>
      <c r="M5035" s="1499">
        <v>19.23</v>
      </c>
      <c r="N5035" s="1701"/>
      <c r="O5035" s="1290">
        <f>G5035*M5035</f>
        <v>1.923</v>
      </c>
      <c r="P5035" s="1332">
        <f>M5035*K5035</f>
        <v>2.2752936000000004</v>
      </c>
      <c r="Q5035" s="3391"/>
      <c r="R5035" s="1296"/>
      <c r="S5035" s="16"/>
      <c r="T5035" s="16"/>
      <c r="U5035" s="16"/>
      <c r="V5035" s="16"/>
    </row>
    <row r="5036" spans="1:22">
      <c r="A5036" s="16"/>
      <c r="B5036" s="1042"/>
      <c r="C5036" s="1652" t="s">
        <v>1755</v>
      </c>
      <c r="D5036" s="1461"/>
      <c r="E5036" s="2163" t="s">
        <v>1508</v>
      </c>
      <c r="F5036" s="1648" t="s">
        <v>1524</v>
      </c>
      <c r="G5036" s="1990"/>
      <c r="H5036" s="1456">
        <v>0.25</v>
      </c>
      <c r="I5036" s="1444"/>
      <c r="J5036" s="1388"/>
      <c r="K5036" s="1445"/>
      <c r="L5036" s="1457"/>
      <c r="M5036" s="1447"/>
      <c r="N5036" s="1447">
        <f>SUM(N5037:N5038)</f>
        <v>37.510000000000005</v>
      </c>
      <c r="O5036" s="1447">
        <f>SUM(O5037:O5038)</f>
        <v>9.3775000000000013</v>
      </c>
      <c r="P5036" s="1447">
        <f>SUM(P5037:P5038)</f>
        <v>11.095458000000001</v>
      </c>
      <c r="Q5036" s="3391"/>
      <c r="R5036" s="2337"/>
      <c r="S5036" s="16"/>
      <c r="T5036" s="16"/>
      <c r="U5036" s="16"/>
      <c r="V5036" s="16"/>
    </row>
    <row r="5037" spans="1:22">
      <c r="A5037" s="16"/>
      <c r="B5037" s="1042"/>
      <c r="C5037" s="88"/>
      <c r="D5037" s="1430" t="s">
        <v>1067</v>
      </c>
      <c r="E5037" s="1857" t="s">
        <v>1508</v>
      </c>
      <c r="F5037" s="1430" t="s">
        <v>1512</v>
      </c>
      <c r="G5037" s="1991">
        <v>1</v>
      </c>
      <c r="H5037" s="1408">
        <f>G5037*$H$5036</f>
        <v>0.25</v>
      </c>
      <c r="I5037" s="1286"/>
      <c r="J5037" s="198"/>
      <c r="K5037" s="1307">
        <f>H5037*$K$5021</f>
        <v>0.29580000000000001</v>
      </c>
      <c r="L5037" s="1335">
        <f t="shared" ref="L5037:L5038" si="622">K5037*$K$4964</f>
        <v>0</v>
      </c>
      <c r="M5037" s="1302">
        <v>18.28</v>
      </c>
      <c r="N5037" s="1718">
        <f>G5037*M5037</f>
        <v>18.28</v>
      </c>
      <c r="O5037" s="1290">
        <f>H5037*M5037</f>
        <v>4.57</v>
      </c>
      <c r="P5037" s="1332">
        <f>M5037*K5037</f>
        <v>5.4072240000000003</v>
      </c>
      <c r="Q5037" s="3391"/>
      <c r="R5037" s="2337"/>
      <c r="S5037" s="16"/>
      <c r="T5037" s="16"/>
      <c r="U5037" s="16"/>
      <c r="V5037" s="16"/>
    </row>
    <row r="5038" spans="1:22">
      <c r="A5038" s="16"/>
      <c r="B5038" s="1042"/>
      <c r="C5038" s="88"/>
      <c r="D5038" s="1430" t="s">
        <v>1077</v>
      </c>
      <c r="E5038" s="1857" t="s">
        <v>1508</v>
      </c>
      <c r="F5038" s="1403" t="s">
        <v>37</v>
      </c>
      <c r="G5038" s="1991">
        <v>1</v>
      </c>
      <c r="H5038" s="1408">
        <f>G5038*$H$5036</f>
        <v>0.25</v>
      </c>
      <c r="I5038" s="197">
        <f ca="1">IF(COUNT(H5038:L5038)=0,"",(SUM(H5038:L5038)/COUNT(H5038:L5038)))</f>
        <v>0.18193787403002437</v>
      </c>
      <c r="J5038" s="198"/>
      <c r="K5038" s="1307">
        <f>H5038*$K$5021</f>
        <v>0.29580000000000001</v>
      </c>
      <c r="L5038" s="1335">
        <f t="shared" si="622"/>
        <v>0</v>
      </c>
      <c r="M5038" s="1302">
        <v>19.23</v>
      </c>
      <c r="N5038" s="1718">
        <f>G5038*M5038</f>
        <v>19.23</v>
      </c>
      <c r="O5038" s="1290">
        <f>H5038*M5038</f>
        <v>4.8075000000000001</v>
      </c>
      <c r="P5038" s="1332">
        <f>M5038*K5038</f>
        <v>5.6882340000000005</v>
      </c>
      <c r="Q5038" s="3391"/>
      <c r="R5038" s="2337"/>
      <c r="S5038" s="16"/>
      <c r="T5038" s="16"/>
      <c r="U5038" s="16"/>
      <c r="V5038" s="16"/>
    </row>
    <row r="5039" spans="1:22">
      <c r="A5039" s="16"/>
      <c r="B5039" s="553"/>
      <c r="C5039" s="1042"/>
      <c r="D5039" s="1402"/>
      <c r="E5039" s="1857"/>
      <c r="F5039" s="1403"/>
      <c r="G5039" s="1991"/>
      <c r="H5039" s="1408"/>
      <c r="I5039" s="197"/>
      <c r="J5039" s="198"/>
      <c r="K5039" s="1307"/>
      <c r="L5039" s="1335"/>
      <c r="M5039" s="1302"/>
      <c r="N5039" s="1718"/>
      <c r="O5039" s="1290"/>
      <c r="P5039" s="1332"/>
      <c r="Q5039" s="3391"/>
      <c r="R5039" s="2337"/>
      <c r="S5039" s="16"/>
      <c r="T5039" s="16"/>
      <c r="U5039" s="16"/>
      <c r="V5039" s="16"/>
    </row>
    <row r="5040" spans="1:22">
      <c r="A5040" s="1042"/>
      <c r="B5040" s="22"/>
      <c r="C5040" s="1042"/>
      <c r="D5040" s="1411"/>
      <c r="E5040" s="2123"/>
      <c r="F5040" s="1374" t="s">
        <v>3</v>
      </c>
      <c r="G5040" s="1374"/>
      <c r="H5040" s="1376"/>
      <c r="I5040" s="1382"/>
      <c r="J5040" s="1383"/>
      <c r="K5040" s="1684"/>
      <c r="L5040" s="1685"/>
      <c r="M5040" s="1597"/>
      <c r="N5040" s="1597"/>
      <c r="O5040" s="1687"/>
      <c r="P5040" s="1686"/>
      <c r="Q5040" s="3391"/>
      <c r="R5040" s="1173"/>
      <c r="S5040" s="16"/>
      <c r="T5040" s="16"/>
      <c r="U5040" s="16"/>
      <c r="V5040" s="16"/>
    </row>
    <row r="5041" spans="1:22">
      <c r="A5041" s="1042"/>
      <c r="B5041" s="22"/>
      <c r="C5041" s="1042"/>
      <c r="D5041" s="1411"/>
      <c r="E5041" s="2123"/>
      <c r="F5041" s="1669"/>
      <c r="G5041" s="1669"/>
      <c r="H5041" s="1670"/>
      <c r="I5041" s="197" t="str">
        <f ca="1">IF(COUNT(H5041:O5041)=0,"",(SUM(H5041:O5041)/COUNT(H5041:O5041)))</f>
        <v/>
      </c>
      <c r="J5041" s="198"/>
      <c r="K5041" s="1307"/>
      <c r="L5041" s="1335"/>
      <c r="M5041" s="1619"/>
      <c r="N5041" s="1619"/>
      <c r="O5041" s="1290"/>
      <c r="P5041" s="1332"/>
      <c r="Q5041" s="3391"/>
      <c r="R5041" s="3363"/>
      <c r="S5041" s="16"/>
      <c r="T5041" s="16"/>
      <c r="U5041" s="16"/>
      <c r="V5041" s="16"/>
    </row>
    <row r="5042" spans="1:22">
      <c r="A5042" s="1042"/>
      <c r="B5042" s="22"/>
      <c r="C5042" s="1042"/>
      <c r="D5042" s="1411"/>
      <c r="E5042" s="2123"/>
      <c r="F5042" s="1375"/>
      <c r="G5042" s="1375"/>
      <c r="H5042" s="1670"/>
      <c r="I5042" s="197" t="str">
        <f ca="1">IF(COUNT(H5042:O5042)=0,"",(SUM(H5042:O5042)/COUNT(H5042:O5042)))</f>
        <v/>
      </c>
      <c r="J5042" s="198"/>
      <c r="K5042" s="1307"/>
      <c r="L5042" s="1335"/>
      <c r="M5042" s="1619"/>
      <c r="N5042" s="1619"/>
      <c r="O5042" s="1290"/>
      <c r="P5042" s="1332"/>
      <c r="Q5042" s="3391"/>
      <c r="R5042" s="3363"/>
      <c r="S5042" s="17"/>
      <c r="T5042" s="17"/>
      <c r="U5042" s="16"/>
      <c r="V5042" s="16"/>
    </row>
    <row r="5043" spans="1:22">
      <c r="A5043" s="1042"/>
      <c r="B5043" s="22"/>
      <c r="C5043" s="223"/>
      <c r="D5043" s="1411"/>
      <c r="E5043" s="2123"/>
      <c r="F5043" s="1375"/>
      <c r="G5043" s="1375"/>
      <c r="H5043" s="1376"/>
      <c r="I5043" s="197" t="str">
        <f ca="1">IF(COUNT(H5043:O5043)=0,"",(SUM(H5043:O5043)/COUNT(H5043:O5043)))</f>
        <v/>
      </c>
      <c r="J5043" s="198"/>
      <c r="K5043" s="1307"/>
      <c r="L5043" s="1335"/>
      <c r="M5043" s="1619"/>
      <c r="N5043" s="1619"/>
      <c r="O5043" s="1290"/>
      <c r="P5043" s="1332"/>
      <c r="Q5043" s="3391"/>
      <c r="R5043" s="3363"/>
      <c r="S5043" s="105"/>
      <c r="T5043" s="105"/>
      <c r="U5043" s="16"/>
      <c r="V5043" s="16"/>
    </row>
    <row r="5044" spans="1:22">
      <c r="A5044" s="1042" t="s">
        <v>3764</v>
      </c>
      <c r="B5044" s="4325" t="s">
        <v>1716</v>
      </c>
      <c r="C5044" s="3350"/>
      <c r="D5044" s="4327" t="s">
        <v>1551</v>
      </c>
      <c r="E5044" s="4329" t="s">
        <v>1507</v>
      </c>
      <c r="F5044" s="4372" t="s">
        <v>1727</v>
      </c>
      <c r="G5044" s="4331" t="s">
        <v>1568</v>
      </c>
      <c r="H5044" s="4331" t="s">
        <v>1574</v>
      </c>
      <c r="I5044" s="1572" t="s">
        <v>1559</v>
      </c>
      <c r="J5044" s="1294" t="s">
        <v>1560</v>
      </c>
      <c r="K5044" s="1294" t="s">
        <v>1561</v>
      </c>
      <c r="L5044" s="4333" t="s">
        <v>3765</v>
      </c>
      <c r="M5044" s="4335" t="s">
        <v>1571</v>
      </c>
      <c r="N5044" s="4323" t="s">
        <v>1776</v>
      </c>
      <c r="O5044" s="3347" t="s">
        <v>1563</v>
      </c>
      <c r="P5044" s="1336" t="s">
        <v>1562</v>
      </c>
      <c r="Q5044" s="3389"/>
      <c r="R5044" s="1699" t="s">
        <v>1327</v>
      </c>
      <c r="S5044" s="105"/>
      <c r="T5044" s="105"/>
      <c r="U5044" s="16"/>
      <c r="V5044" s="16"/>
    </row>
    <row r="5045" spans="1:22">
      <c r="A5045" s="1662" t="s">
        <v>2789</v>
      </c>
      <c r="B5045" s="4326"/>
      <c r="C5045" s="3354"/>
      <c r="D5045" s="4328"/>
      <c r="E5045" s="4330"/>
      <c r="F5045" s="4363"/>
      <c r="G5045" s="4332"/>
      <c r="H5045" s="4332"/>
      <c r="I5045" s="1345">
        <v>40.799999999999997</v>
      </c>
      <c r="J5045" s="1307">
        <v>2.9000000000000001E-2</v>
      </c>
      <c r="K5045" s="1297">
        <f>I5045*J5045</f>
        <v>1.1832</v>
      </c>
      <c r="L5045" s="4334"/>
      <c r="M5045" s="4335"/>
      <c r="N5045" s="4324"/>
      <c r="O5045" s="1298">
        <f>O5047+O5048+O5052</f>
        <v>4.4448000000000008</v>
      </c>
      <c r="P5045" s="1337">
        <f>O5045*K5045</f>
        <v>5.2590873600000014</v>
      </c>
      <c r="Q5045" s="3390"/>
      <c r="R5045" s="1721">
        <f>P5047+P5048+P5052</f>
        <v>5.2590873600000005</v>
      </c>
      <c r="S5045" s="16"/>
      <c r="T5045" s="16"/>
      <c r="U5045" s="16"/>
      <c r="V5045" s="16"/>
    </row>
    <row r="5046" spans="1:22">
      <c r="A5046" s="553"/>
      <c r="B5046" s="1949"/>
      <c r="C5046" s="18"/>
      <c r="D5046" s="1400"/>
      <c r="E5046" s="2121"/>
      <c r="F5046" s="1368" t="s">
        <v>1</v>
      </c>
      <c r="G5046" s="1368"/>
      <c r="H5046" s="1423"/>
      <c r="I5046" s="1667"/>
      <c r="J5046" s="1424"/>
      <c r="K5046" s="1425"/>
      <c r="L5046" s="1560"/>
      <c r="M5046" s="1426"/>
      <c r="N5046" s="1426"/>
      <c r="O5046" s="1427"/>
      <c r="P5046" s="1427"/>
      <c r="Q5046" s="3397"/>
      <c r="R5046" s="1296"/>
      <c r="S5046" s="16"/>
      <c r="T5046" s="16"/>
      <c r="U5046" s="16"/>
      <c r="V5046" s="16"/>
    </row>
    <row r="5047" spans="1:22">
      <c r="A5047" s="553"/>
      <c r="B5047" s="1599"/>
      <c r="C5047" s="1042"/>
      <c r="D5047" s="1610" t="s">
        <v>1728</v>
      </c>
      <c r="E5047" s="2154" t="s">
        <v>1504</v>
      </c>
      <c r="F5047" s="1598" t="s">
        <v>1729</v>
      </c>
      <c r="G5047" s="1995">
        <v>1</v>
      </c>
      <c r="H5047" s="1372"/>
      <c r="I5047" s="197"/>
      <c r="J5047" s="198"/>
      <c r="K5047" s="1350">
        <f>G5047*K5045</f>
        <v>1.1832</v>
      </c>
      <c r="L5047" s="1335">
        <f t="shared" ref="L5047:L5048" si="623">K5047*$K$4964</f>
        <v>0</v>
      </c>
      <c r="M5047" s="1499">
        <v>1.22</v>
      </c>
      <c r="N5047" s="1700"/>
      <c r="O5047" s="1290">
        <f>G5047*M5047</f>
        <v>1.22</v>
      </c>
      <c r="P5047" s="1332">
        <f>M5047*K5047</f>
        <v>1.4435039999999999</v>
      </c>
      <c r="Q5047" s="3391"/>
      <c r="R5047" s="1296"/>
      <c r="S5047" s="16"/>
      <c r="T5047" s="16"/>
      <c r="U5047" s="16"/>
      <c r="V5047" s="16"/>
    </row>
    <row r="5048" spans="1:22">
      <c r="A5048" s="16"/>
      <c r="B5048" s="1599"/>
      <c r="C5048" s="1042"/>
      <c r="D5048" s="1610" t="s">
        <v>1082</v>
      </c>
      <c r="E5048" s="2154" t="s">
        <v>1504</v>
      </c>
      <c r="F5048" s="1598" t="s">
        <v>1541</v>
      </c>
      <c r="G5048" s="1995">
        <v>1</v>
      </c>
      <c r="H5048" s="1453"/>
      <c r="I5048" s="198"/>
      <c r="J5048" s="198"/>
      <c r="K5048" s="1350">
        <f>G5048*K5045</f>
        <v>1.1832</v>
      </c>
      <c r="L5048" s="1335">
        <f t="shared" si="623"/>
        <v>0</v>
      </c>
      <c r="M5048" s="1499">
        <v>0.3</v>
      </c>
      <c r="N5048" s="1718"/>
      <c r="O5048" s="1290">
        <f>G5048*M5048</f>
        <v>0.3</v>
      </c>
      <c r="P5048" s="1332">
        <f>M5048*K5048</f>
        <v>0.35496</v>
      </c>
      <c r="Q5048" s="3391"/>
      <c r="R5048" s="2337"/>
      <c r="S5048" s="16"/>
      <c r="T5048" s="16"/>
      <c r="U5048" s="16"/>
      <c r="V5048" s="16"/>
    </row>
    <row r="5049" spans="1:22">
      <c r="A5049" s="16"/>
      <c r="B5049" s="553"/>
      <c r="C5049" s="1320"/>
      <c r="D5049" s="1400"/>
      <c r="E5049" s="1856"/>
      <c r="F5049" s="1397"/>
      <c r="G5049" s="1416"/>
      <c r="H5049" s="1399"/>
      <c r="I5049" s="197"/>
      <c r="J5049" s="198"/>
      <c r="K5049" s="1307"/>
      <c r="L5049" s="1335"/>
      <c r="M5049" s="1302"/>
      <c r="N5049" s="1718"/>
      <c r="O5049" s="1290"/>
      <c r="P5049" s="1332"/>
      <c r="Q5049" s="3391"/>
      <c r="R5049" s="2337"/>
      <c r="S5049" s="16"/>
      <c r="T5049" s="16"/>
      <c r="U5049" s="16"/>
      <c r="V5049" s="16"/>
    </row>
    <row r="5050" spans="1:22">
      <c r="A5050" s="16"/>
      <c r="B5050" s="553"/>
      <c r="C5050" s="1320"/>
      <c r="D5050" s="1400"/>
      <c r="E5050" s="1856"/>
      <c r="F5050" s="1397"/>
      <c r="G5050" s="1416"/>
      <c r="H5050" s="1399"/>
      <c r="I5050" s="197"/>
      <c r="J5050" s="198"/>
      <c r="K5050" s="1732"/>
      <c r="L5050" s="1335"/>
      <c r="M5050" s="1499"/>
      <c r="N5050" s="1724"/>
      <c r="O5050" s="1290"/>
      <c r="P5050" s="1332"/>
      <c r="Q5050" s="3391"/>
      <c r="R5050" s="2337"/>
      <c r="S5050" s="16"/>
      <c r="T5050" s="16"/>
      <c r="U5050" s="16"/>
      <c r="V5050" s="16"/>
    </row>
    <row r="5051" spans="1:22">
      <c r="A5051" s="553"/>
      <c r="B5051" s="1599"/>
      <c r="C5051" s="1320"/>
      <c r="D5051" s="1642"/>
      <c r="E5051" s="2162"/>
      <c r="F5051" s="1643" t="s">
        <v>2</v>
      </c>
      <c r="G5051" s="1989"/>
      <c r="H5051" s="1408"/>
      <c r="I5051" s="1380"/>
      <c r="J5051" s="1381"/>
      <c r="K5051" s="1996"/>
      <c r="L5051" s="1680"/>
      <c r="M5051" s="1681"/>
      <c r="N5051" s="1713"/>
      <c r="O5051" s="1682"/>
      <c r="P5051" s="1683"/>
      <c r="Q5051" s="3391"/>
      <c r="R5051" s="1296"/>
      <c r="S5051" s="16"/>
      <c r="T5051" s="16"/>
      <c r="U5051" s="16"/>
      <c r="V5051" s="16"/>
    </row>
    <row r="5052" spans="1:22">
      <c r="A5052" s="16"/>
      <c r="B5052" s="553"/>
      <c r="C5052" s="1042"/>
      <c r="D5052" s="1402" t="s">
        <v>1067</v>
      </c>
      <c r="E5052" s="1857" t="s">
        <v>1508</v>
      </c>
      <c r="F5052" s="1403" t="s">
        <v>5</v>
      </c>
      <c r="G5052" s="1991">
        <v>0.16</v>
      </c>
      <c r="H5052" s="1408"/>
      <c r="I5052" s="1286"/>
      <c r="J5052" s="198"/>
      <c r="K5052" s="1350">
        <f>G5052*K5045</f>
        <v>0.18931200000000001</v>
      </c>
      <c r="L5052" s="1335">
        <f t="shared" ref="L5052" si="624">K5052*$K$4964</f>
        <v>0</v>
      </c>
      <c r="M5052" s="1302">
        <v>18.28</v>
      </c>
      <c r="N5052" s="1718"/>
      <c r="O5052" s="1290">
        <f>G5052*M5052</f>
        <v>2.9248000000000003</v>
      </c>
      <c r="P5052" s="1332">
        <f>M5052*K5052</f>
        <v>3.4606233600000005</v>
      </c>
      <c r="Q5052" s="3391"/>
      <c r="R5052" s="2337"/>
      <c r="S5052" s="16"/>
      <c r="T5052" s="16"/>
      <c r="U5052" s="16"/>
      <c r="V5052" s="16"/>
    </row>
    <row r="5053" spans="1:22">
      <c r="A5053" s="16"/>
      <c r="B5053" s="553"/>
      <c r="C5053" s="1042"/>
      <c r="D5053" s="1402"/>
      <c r="E5053" s="1857"/>
      <c r="F5053" s="1403"/>
      <c r="G5053" s="1991"/>
      <c r="H5053" s="1408"/>
      <c r="I5053" s="1286"/>
      <c r="J5053" s="198"/>
      <c r="K5053" s="1350"/>
      <c r="L5053" s="1335"/>
      <c r="M5053" s="1302"/>
      <c r="N5053" s="1718"/>
      <c r="O5053" s="1290"/>
      <c r="P5053" s="1332"/>
      <c r="Q5053" s="3391"/>
      <c r="R5053" s="2337"/>
      <c r="S5053" s="16"/>
      <c r="T5053" s="16"/>
      <c r="U5053" s="16"/>
      <c r="V5053" s="16"/>
    </row>
    <row r="5054" spans="1:22">
      <c r="A5054" s="16"/>
      <c r="B5054" s="553"/>
      <c r="C5054" s="1042"/>
      <c r="D5054" s="1402"/>
      <c r="E5054" s="1857"/>
      <c r="F5054" s="1403"/>
      <c r="G5054" s="1991"/>
      <c r="H5054" s="1408"/>
      <c r="I5054" s="197"/>
      <c r="J5054" s="198"/>
      <c r="K5054" s="1307"/>
      <c r="L5054" s="1335"/>
      <c r="M5054" s="1302"/>
      <c r="N5054" s="1718"/>
      <c r="O5054" s="1290"/>
      <c r="P5054" s="1332"/>
      <c r="Q5054" s="3391"/>
      <c r="R5054" s="2337"/>
      <c r="S5054" s="16"/>
      <c r="T5054" s="16"/>
      <c r="U5054" s="16"/>
      <c r="V5054" s="16"/>
    </row>
    <row r="5055" spans="1:22">
      <c r="A5055" s="1042"/>
      <c r="B5055" s="22"/>
      <c r="C5055" s="1042"/>
      <c r="D5055" s="1411"/>
      <c r="E5055" s="2123"/>
      <c r="F5055" s="1374" t="s">
        <v>3</v>
      </c>
      <c r="G5055" s="1374"/>
      <c r="H5055" s="1376"/>
      <c r="I5055" s="1382"/>
      <c r="J5055" s="1383"/>
      <c r="K5055" s="1684"/>
      <c r="L5055" s="1685"/>
      <c r="M5055" s="1597"/>
      <c r="N5055" s="1597"/>
      <c r="O5055" s="1687"/>
      <c r="P5055" s="1686"/>
      <c r="Q5055" s="3391"/>
      <c r="R5055" s="1173"/>
      <c r="S5055" s="16"/>
      <c r="T5055" s="16"/>
      <c r="U5055" s="16"/>
      <c r="V5055" s="16"/>
    </row>
    <row r="5056" spans="1:22">
      <c r="A5056" s="553"/>
      <c r="B5056" s="1599"/>
      <c r="C5056" s="1042"/>
      <c r="D5056" s="1411"/>
      <c r="E5056" s="2123"/>
      <c r="F5056" s="1375"/>
      <c r="G5056" s="1375"/>
      <c r="H5056" s="1505"/>
      <c r="I5056" s="197" t="str">
        <f ca="1">IF(COUNT(H5056:O5056)=0,"",(SUM(H5056:O5056)/COUNT(H5056:O5056)))</f>
        <v/>
      </c>
      <c r="J5056" s="198"/>
      <c r="K5056" s="1307"/>
      <c r="L5056" s="1335"/>
      <c r="M5056" s="1619"/>
      <c r="N5056" s="1619"/>
      <c r="O5056" s="1290"/>
      <c r="P5056" s="1332"/>
      <c r="Q5056" s="3391"/>
      <c r="R5056" s="3363"/>
      <c r="S5056" s="16"/>
      <c r="T5056" s="16"/>
      <c r="U5056" s="16"/>
      <c r="V5056" s="16"/>
    </row>
    <row r="5057" spans="1:22">
      <c r="A5057" s="553"/>
      <c r="B5057" s="1599"/>
      <c r="C5057" s="1042"/>
      <c r="D5057" s="1411"/>
      <c r="E5057" s="2123"/>
      <c r="F5057" s="1375"/>
      <c r="G5057" s="1375"/>
      <c r="H5057" s="1670"/>
      <c r="I5057" s="197" t="str">
        <f ca="1">IF(COUNT(H5057:O5057)=0,"",(SUM(H5057:O5057)/COUNT(H5057:O5057)))</f>
        <v/>
      </c>
      <c r="J5057" s="198"/>
      <c r="K5057" s="1307"/>
      <c r="L5057" s="1335"/>
      <c r="M5057" s="1619"/>
      <c r="N5057" s="1619"/>
      <c r="O5057" s="1290"/>
      <c r="P5057" s="1332"/>
      <c r="Q5057" s="3391"/>
      <c r="R5057" s="3363"/>
      <c r="S5057" s="16"/>
      <c r="T5057" s="16"/>
      <c r="U5057" s="16"/>
      <c r="V5057" s="16"/>
    </row>
    <row r="5058" spans="1:22">
      <c r="A5058" s="553"/>
      <c r="B5058" s="1765"/>
      <c r="C5058" s="223"/>
      <c r="D5058" s="1411"/>
      <c r="E5058" s="2123"/>
      <c r="F5058" s="1375"/>
      <c r="G5058" s="1375"/>
      <c r="H5058" s="1670"/>
      <c r="I5058" s="197"/>
      <c r="J5058" s="198"/>
      <c r="K5058" s="1307"/>
      <c r="L5058" s="1335"/>
      <c r="M5058" s="1619"/>
      <c r="N5058" s="1619"/>
      <c r="O5058" s="1290"/>
      <c r="P5058" s="1332"/>
      <c r="Q5058" s="3391"/>
      <c r="R5058" s="3363"/>
      <c r="S5058" s="16"/>
      <c r="T5058" s="16"/>
      <c r="U5058" s="16"/>
      <c r="V5058" s="16"/>
    </row>
    <row r="5059" spans="1:22" s="16" customFormat="1" ht="28.5">
      <c r="E5059" s="2119"/>
      <c r="F5059" s="3"/>
      <c r="G5059" s="3"/>
      <c r="H5059" s="13"/>
      <c r="I5059" s="1561" t="str">
        <f ca="1">IF(COUNT(H5059:O5059)=0,"",(SUM(H5059:O5059)/COUNT(H5059:O5059)))</f>
        <v/>
      </c>
      <c r="J5059" s="1561"/>
      <c r="K5059" s="1639"/>
      <c r="L5059" s="2380" t="s">
        <v>2856</v>
      </c>
      <c r="M5059" s="1638"/>
      <c r="N5059" s="1638"/>
      <c r="O5059" s="1292"/>
      <c r="P5059" s="1292"/>
      <c r="Q5059" s="3391"/>
      <c r="R5059" s="3363"/>
    </row>
    <row r="5060" spans="1:22">
      <c r="A5060" s="4396" t="s">
        <v>162</v>
      </c>
      <c r="B5060" s="4396"/>
      <c r="C5060" s="4396"/>
      <c r="D5060" s="4396"/>
      <c r="E5060" s="4396" t="s">
        <v>1549</v>
      </c>
      <c r="F5060" s="4397" t="s">
        <v>1550</v>
      </c>
      <c r="G5060" s="4399" t="s">
        <v>1566</v>
      </c>
      <c r="H5060" s="4400"/>
      <c r="I5060" s="4400"/>
      <c r="J5060" s="4400"/>
      <c r="K5060" s="4400"/>
      <c r="L5060" s="4401"/>
      <c r="M5060" s="4405" t="s">
        <v>1567</v>
      </c>
      <c r="N5060" s="4405"/>
      <c r="O5060" s="4405"/>
      <c r="P5060" s="4405"/>
      <c r="Q5060" s="3395"/>
      <c r="R5060" s="1296"/>
      <c r="S5060" s="16"/>
      <c r="T5060" s="16"/>
      <c r="U5060" s="16"/>
      <c r="V5060" s="16"/>
    </row>
    <row r="5061" spans="1:22" ht="15" thickBot="1">
      <c r="A5061" s="1324" t="s">
        <v>3766</v>
      </c>
      <c r="B5061" s="1325" t="s">
        <v>1513</v>
      </c>
      <c r="C5061" s="1326" t="s">
        <v>1573</v>
      </c>
      <c r="D5061" s="1323" t="s">
        <v>1514</v>
      </c>
      <c r="E5061" s="4396"/>
      <c r="F5061" s="4398"/>
      <c r="G5061" s="4402"/>
      <c r="H5061" s="4403"/>
      <c r="I5061" s="4403"/>
      <c r="J5061" s="4403"/>
      <c r="K5061" s="4403"/>
      <c r="L5061" s="4404"/>
      <c r="M5061" s="4405"/>
      <c r="N5061" s="4405"/>
      <c r="O5061" s="4405"/>
      <c r="P5061" s="4405"/>
      <c r="Q5061" s="3395"/>
      <c r="R5061" s="1296"/>
      <c r="S5061" s="16"/>
      <c r="T5061" s="16"/>
      <c r="U5061" s="16"/>
      <c r="V5061" s="16"/>
    </row>
    <row r="5062" spans="1:22" ht="36" customHeight="1">
      <c r="A5062" s="4374" t="s">
        <v>2790</v>
      </c>
      <c r="B5062" s="4375"/>
      <c r="C5062" s="4375"/>
      <c r="D5062" s="4376"/>
      <c r="E5062" s="4380" t="s">
        <v>1527</v>
      </c>
      <c r="F5062" s="4382" t="s">
        <v>2010</v>
      </c>
      <c r="G5062" s="4493" t="s">
        <v>294</v>
      </c>
      <c r="H5062" s="4493"/>
      <c r="I5062" s="1665" t="s">
        <v>1565</v>
      </c>
      <c r="J5062" s="3348" t="s">
        <v>1575</v>
      </c>
      <c r="K5062" s="4493" t="s">
        <v>289</v>
      </c>
      <c r="L5062" s="4493"/>
      <c r="M5062" s="4408" t="s">
        <v>3349</v>
      </c>
      <c r="N5062" s="4408"/>
      <c r="O5062" s="4408"/>
      <c r="P5062" s="4409"/>
      <c r="Q5062" s="4244" t="s">
        <v>3949</v>
      </c>
      <c r="R5062" s="1296"/>
      <c r="S5062" s="16"/>
      <c r="T5062" s="16"/>
      <c r="U5062" s="16"/>
      <c r="V5062" s="16"/>
    </row>
    <row r="5063" spans="1:22" ht="21" customHeight="1" thickBot="1">
      <c r="A5063" s="4377"/>
      <c r="B5063" s="4378"/>
      <c r="C5063" s="4378"/>
      <c r="D5063" s="4379"/>
      <c r="E5063" s="4381"/>
      <c r="F5063" s="4383"/>
      <c r="G5063" s="4451">
        <f>IF('Seleccion proyecto HEREVEA02'!G43="Reparación encuentros cazoletas",'Seleccion proyecto HEREVEA02'!E39,0)</f>
        <v>0</v>
      </c>
      <c r="H5063" s="4452"/>
      <c r="I5063" s="3353">
        <f>IF('Seleccion proyecto HEREVEA02'!H43=0,0,IF('Seleccion proyecto HEREVEA02'!H43="1 a 30",0.3,IF('Seleccion proyecto HEREVEA02'!H43="31 a 60",0.6,IF('Seleccion proyecto HEREVEA02'!H43="61 a 100",1))))</f>
        <v>0</v>
      </c>
      <c r="J5063" s="1351">
        <f>'Seleccion proyecto HEREVEA02'!L8</f>
        <v>11100.968999999999</v>
      </c>
      <c r="K5063" s="4358">
        <f>G5063*I5063*J5063</f>
        <v>0</v>
      </c>
      <c r="L5063" s="4359"/>
      <c r="M5063" s="4360">
        <f>P5065+P5080+P5099+P5114+P5138+P5162</f>
        <v>105.7402587424</v>
      </c>
      <c r="N5063" s="4361"/>
      <c r="O5063" s="4361"/>
      <c r="P5063" s="4362"/>
      <c r="Q5063" s="4245">
        <f>M5063*K5063</f>
        <v>0</v>
      </c>
      <c r="R5063" s="1296"/>
      <c r="S5063" s="17"/>
      <c r="T5063" s="17"/>
      <c r="U5063" s="16"/>
      <c r="V5063" s="16"/>
    </row>
    <row r="5064" spans="1:22">
      <c r="A5064" s="18" t="s">
        <v>3764</v>
      </c>
      <c r="B5064" s="4367" t="s">
        <v>1653</v>
      </c>
      <c r="C5064" s="3354"/>
      <c r="D5064" s="4368"/>
      <c r="E5064" s="4329" t="s">
        <v>1504</v>
      </c>
      <c r="F5064" s="4336" t="s">
        <v>2014</v>
      </c>
      <c r="G5064" s="4331" t="s">
        <v>1568</v>
      </c>
      <c r="H5064" s="4331" t="s">
        <v>1574</v>
      </c>
      <c r="I5064" s="1572" t="s">
        <v>1559</v>
      </c>
      <c r="J5064" s="1294" t="s">
        <v>1560</v>
      </c>
      <c r="K5064" s="1294" t="s">
        <v>1569</v>
      </c>
      <c r="L5064" s="4333" t="s">
        <v>3765</v>
      </c>
      <c r="M5064" s="4335" t="s">
        <v>1571</v>
      </c>
      <c r="N5064" s="4323" t="s">
        <v>1776</v>
      </c>
      <c r="O5064" s="3347" t="s">
        <v>1563</v>
      </c>
      <c r="P5064" s="1336" t="s">
        <v>1562</v>
      </c>
      <c r="Q5064" s="3389"/>
      <c r="R5064" s="1699" t="s">
        <v>1327</v>
      </c>
      <c r="S5064" s="105"/>
      <c r="T5064" s="105"/>
      <c r="U5064" s="16"/>
      <c r="V5064" s="16"/>
    </row>
    <row r="5065" spans="1:22">
      <c r="A5065" s="1662" t="s">
        <v>2790</v>
      </c>
      <c r="B5065" s="4369"/>
      <c r="C5065" s="3351"/>
      <c r="D5065" s="4328"/>
      <c r="E5065" s="4330"/>
      <c r="F5065" s="4336"/>
      <c r="G5065" s="4332"/>
      <c r="H5065" s="4332"/>
      <c r="I5065" s="1345">
        <v>1</v>
      </c>
      <c r="J5065" s="1307">
        <v>1</v>
      </c>
      <c r="K5065" s="1297">
        <f>I5065*J5065</f>
        <v>1</v>
      </c>
      <c r="L5065" s="4334"/>
      <c r="M5065" s="4335"/>
      <c r="N5065" s="4324"/>
      <c r="O5065" s="1298">
        <f>SUM(O5067:O5078)</f>
        <v>23.5625</v>
      </c>
      <c r="P5065" s="1337">
        <f>O5065*K5065</f>
        <v>23.5625</v>
      </c>
      <c r="Q5065" s="3390"/>
      <c r="R5065" s="1721">
        <f>P5071+P5072</f>
        <v>23.5625</v>
      </c>
      <c r="S5065" s="16"/>
      <c r="T5065" s="16"/>
      <c r="U5065" s="16"/>
      <c r="V5065" s="16"/>
    </row>
    <row r="5066" spans="1:22">
      <c r="A5066" s="1320"/>
      <c r="B5066" s="22"/>
      <c r="C5066" s="1327"/>
      <c r="D5066" s="1367"/>
      <c r="E5066" s="2121"/>
      <c r="F5066" s="1389" t="s">
        <v>1</v>
      </c>
      <c r="G5066" s="1389"/>
      <c r="H5066" s="1369"/>
      <c r="I5066" s="1409"/>
      <c r="J5066" s="1390"/>
      <c r="K5066" s="1391"/>
      <c r="L5066" s="1559"/>
      <c r="M5066" s="1369"/>
      <c r="N5066" s="1369"/>
      <c r="O5066" s="1369"/>
      <c r="P5066" s="1392"/>
      <c r="Q5066" s="3395"/>
      <c r="R5066" s="1296"/>
      <c r="S5066" s="16"/>
      <c r="T5066" s="16"/>
      <c r="U5066" s="16"/>
      <c r="V5066" s="16"/>
    </row>
    <row r="5067" spans="1:22">
      <c r="A5067" s="1042"/>
      <c r="B5067" s="22"/>
      <c r="C5067" s="1042"/>
      <c r="D5067" s="1672"/>
      <c r="E5067" s="2160"/>
      <c r="F5067" s="1675"/>
      <c r="G5067" s="1675"/>
      <c r="H5067" s="1674"/>
      <c r="I5067" s="1299" t="str">
        <f t="shared" ref="I5067:I5069" ca="1" si="625">IF(COUNT(H5067:O5067)=0,"",(SUM(H5067:O5067)/COUNT(H5067:O5067)))</f>
        <v/>
      </c>
      <c r="J5067" s="1300"/>
      <c r="K5067" s="1307" t="str">
        <f t="shared" ref="K5067:K5069" ca="1" si="626">IF(COUNT(I5067)=0,"",(I5067*J5067))</f>
        <v/>
      </c>
      <c r="L5067" s="1335"/>
      <c r="M5067" s="1302"/>
      <c r="N5067" s="1700"/>
      <c r="O5067" s="1290"/>
      <c r="P5067" s="1332"/>
      <c r="Q5067" s="3391"/>
      <c r="R5067" s="1296"/>
      <c r="S5067" s="16"/>
      <c r="T5067" s="16"/>
      <c r="U5067" s="16"/>
      <c r="V5067" s="16"/>
    </row>
    <row r="5068" spans="1:22">
      <c r="A5068" s="1042"/>
      <c r="B5068" s="22"/>
      <c r="C5068" s="1042"/>
      <c r="D5068" s="1367"/>
      <c r="E5068" s="2121"/>
      <c r="F5068" s="1436"/>
      <c r="G5068" s="1436"/>
      <c r="H5068" s="1369"/>
      <c r="I5068" s="1299" t="str">
        <f t="shared" ca="1" si="625"/>
        <v/>
      </c>
      <c r="J5068" s="1300"/>
      <c r="K5068" s="1307" t="str">
        <f t="shared" ca="1" si="626"/>
        <v/>
      </c>
      <c r="L5068" s="1335"/>
      <c r="M5068" s="1302"/>
      <c r="N5068" s="1700"/>
      <c r="O5068" s="1290"/>
      <c r="P5068" s="1332"/>
      <c r="Q5068" s="3391"/>
      <c r="R5068" s="1296"/>
      <c r="S5068" s="16"/>
      <c r="T5068" s="16"/>
      <c r="U5068" s="16"/>
      <c r="V5068" s="16"/>
    </row>
    <row r="5069" spans="1:22">
      <c r="A5069" s="1042"/>
      <c r="B5069" s="22"/>
      <c r="C5069" s="1042"/>
      <c r="D5069" s="1367"/>
      <c r="E5069" s="2121"/>
      <c r="F5069" s="1436"/>
      <c r="G5069" s="1436"/>
      <c r="H5069" s="1369"/>
      <c r="I5069" s="1299" t="str">
        <f t="shared" ca="1" si="625"/>
        <v/>
      </c>
      <c r="J5069" s="1300"/>
      <c r="K5069" s="1307" t="str">
        <f t="shared" ca="1" si="626"/>
        <v/>
      </c>
      <c r="L5069" s="1335"/>
      <c r="M5069" s="1302"/>
      <c r="N5069" s="1700"/>
      <c r="O5069" s="1290"/>
      <c r="P5069" s="1332"/>
      <c r="Q5069" s="3391"/>
      <c r="R5069" s="1296"/>
      <c r="S5069" s="16"/>
      <c r="T5069" s="16"/>
      <c r="U5069" s="16"/>
      <c r="V5069" s="16"/>
    </row>
    <row r="5070" spans="1:22">
      <c r="A5070" s="1042"/>
      <c r="B5070" s="22"/>
      <c r="C5070" s="1042"/>
      <c r="D5070" s="1359"/>
      <c r="E5070" s="1858"/>
      <c r="F5070" s="1360" t="s">
        <v>2</v>
      </c>
      <c r="G5070" s="1360"/>
      <c r="H5070" s="1362"/>
      <c r="I5070" s="1380"/>
      <c r="J5070" s="1381"/>
      <c r="K5070" s="1381"/>
      <c r="L5070" s="1458"/>
      <c r="M5070" s="1362"/>
      <c r="N5070" s="1362"/>
      <c r="O5070" s="1362"/>
      <c r="P5070" s="1359"/>
      <c r="Q5070" s="3387"/>
      <c r="S5070" s="16"/>
      <c r="T5070" s="16"/>
      <c r="U5070" s="16"/>
      <c r="V5070" s="16"/>
    </row>
    <row r="5071" spans="1:22">
      <c r="A5071" s="1321"/>
      <c r="B5071" s="1295"/>
      <c r="C5071" s="1321"/>
      <c r="D5071" s="1363" t="s">
        <v>1067</v>
      </c>
      <c r="E5071" s="2125" t="s">
        <v>1508</v>
      </c>
      <c r="F5071" s="1385" t="s">
        <v>1512</v>
      </c>
      <c r="G5071" s="1998">
        <v>0.5</v>
      </c>
      <c r="H5071" s="1386"/>
      <c r="I5071" s="1299"/>
      <c r="J5071" s="1300"/>
      <c r="K5071" s="1307">
        <f>G5071*K5065</f>
        <v>0.5</v>
      </c>
      <c r="L5071" s="1335">
        <f>K5071*$K$5063</f>
        <v>0</v>
      </c>
      <c r="M5071" s="1302">
        <v>18.28</v>
      </c>
      <c r="N5071" s="1700"/>
      <c r="O5071" s="1290">
        <f>G5071*M5071</f>
        <v>9.14</v>
      </c>
      <c r="P5071" s="1332">
        <f>M5071*K5071</f>
        <v>9.14</v>
      </c>
      <c r="Q5071" s="3391"/>
      <c r="S5071" s="16"/>
      <c r="T5071" s="16"/>
      <c r="U5071" s="16"/>
      <c r="V5071" s="16"/>
    </row>
    <row r="5072" spans="1:22">
      <c r="A5072" s="16"/>
      <c r="B5072" s="1042"/>
      <c r="C5072" s="88"/>
      <c r="D5072" s="1430" t="s">
        <v>1121</v>
      </c>
      <c r="E5072" s="1857" t="s">
        <v>1508</v>
      </c>
      <c r="F5072" s="1403" t="s">
        <v>1818</v>
      </c>
      <c r="G5072" s="1991">
        <v>0.75</v>
      </c>
      <c r="H5072" s="1408"/>
      <c r="I5072" s="197">
        <f ca="1">IF(COUNT(H5072:L5072)=0,"",(SUM(H5072:L5072)/COUNT(H5072:L5072)))</f>
        <v>0.37590863703590799</v>
      </c>
      <c r="J5072" s="198"/>
      <c r="K5072" s="1307">
        <f>G5072*K5065</f>
        <v>0.75</v>
      </c>
      <c r="L5072" s="1335">
        <f>K5072*$K$5063</f>
        <v>0</v>
      </c>
      <c r="M5072" s="1302">
        <v>19.23</v>
      </c>
      <c r="N5072" s="1718"/>
      <c r="O5072" s="1290">
        <f>G5072*M5072</f>
        <v>14.422499999999999</v>
      </c>
      <c r="P5072" s="1332">
        <f>M5072*K5072</f>
        <v>14.422499999999999</v>
      </c>
      <c r="Q5072" s="3391"/>
      <c r="R5072" s="2337"/>
      <c r="S5072" s="16"/>
      <c r="T5072" s="16"/>
      <c r="U5072" s="16"/>
      <c r="V5072" s="16"/>
    </row>
    <row r="5073" spans="1:22">
      <c r="A5073" s="1320"/>
      <c r="B5073" s="22"/>
      <c r="C5073" s="1320"/>
      <c r="D5073" s="1359"/>
      <c r="E5073" s="1858"/>
      <c r="F5073" s="1404"/>
      <c r="G5073" s="1404"/>
      <c r="H5073" s="1359"/>
      <c r="I5073" s="1299"/>
      <c r="J5073" s="1300"/>
      <c r="K5073" s="1307"/>
      <c r="L5073" s="1335"/>
      <c r="M5073" s="1302"/>
      <c r="N5073" s="1700"/>
      <c r="O5073" s="1290"/>
      <c r="P5073" s="1332"/>
      <c r="Q5073" s="3391"/>
      <c r="R5073" s="1296"/>
      <c r="S5073" s="16"/>
      <c r="T5073" s="16"/>
      <c r="U5073" s="16"/>
      <c r="V5073" s="16"/>
    </row>
    <row r="5074" spans="1:22">
      <c r="A5074" s="1320"/>
      <c r="B5074" s="22"/>
      <c r="C5074" s="1320"/>
      <c r="D5074" s="1359"/>
      <c r="E5074" s="1858"/>
      <c r="F5074" s="1361"/>
      <c r="G5074" s="1361"/>
      <c r="H5074" s="1466"/>
      <c r="I5074" s="1299"/>
      <c r="J5074" s="1300"/>
      <c r="K5074" s="1307" t="str">
        <f>IF(COUNT(I5074)=0,"",(I5074*J5074))</f>
        <v/>
      </c>
      <c r="L5074" s="1335"/>
      <c r="M5074" s="1302"/>
      <c r="N5074" s="1700"/>
      <c r="O5074" s="1290"/>
      <c r="P5074" s="1332"/>
      <c r="Q5074" s="3391"/>
      <c r="R5074" s="1296"/>
      <c r="S5074" s="16"/>
      <c r="T5074" s="16"/>
      <c r="U5074" s="16"/>
      <c r="V5074" s="16"/>
    </row>
    <row r="5075" spans="1:22">
      <c r="A5075" s="1320"/>
      <c r="B5075" s="22"/>
      <c r="C5075" s="1320"/>
      <c r="D5075" s="1373"/>
      <c r="E5075" s="2123"/>
      <c r="F5075" s="1374" t="s">
        <v>3</v>
      </c>
      <c r="G5075" s="1375"/>
      <c r="H5075" s="1376"/>
      <c r="I5075" s="1382"/>
      <c r="J5075" s="1383"/>
      <c r="K5075" s="1383" t="str">
        <f>IF(COUNT(I5075)=0,"",(I5075*J5075))</f>
        <v/>
      </c>
      <c r="L5075" s="1413"/>
      <c r="M5075" s="1376"/>
      <c r="N5075" s="1376"/>
      <c r="O5075" s="1376"/>
      <c r="P5075" s="1373"/>
      <c r="Q5075" s="3387"/>
      <c r="R5075" s="1296"/>
      <c r="S5075" s="16"/>
      <c r="T5075" s="16"/>
      <c r="U5075" s="16"/>
      <c r="V5075" s="16"/>
    </row>
    <row r="5076" spans="1:22">
      <c r="A5076" s="1321"/>
      <c r="B5076" s="1295"/>
      <c r="C5076" s="1321"/>
      <c r="D5076" s="1377"/>
      <c r="E5076" s="2124"/>
      <c r="F5076" s="1378"/>
      <c r="G5076" s="1378"/>
      <c r="H5076" s="1379"/>
      <c r="I5076" s="1299"/>
      <c r="J5076" s="1300"/>
      <c r="K5076" s="1307"/>
      <c r="L5076" s="1335"/>
      <c r="M5076" s="1302"/>
      <c r="N5076" s="1700"/>
      <c r="O5076" s="1290"/>
      <c r="P5076" s="1332"/>
      <c r="Q5076" s="3391"/>
      <c r="R5076" s="1296"/>
      <c r="S5076" s="16"/>
      <c r="T5076" s="16"/>
      <c r="U5076" s="16"/>
      <c r="V5076" s="16"/>
    </row>
    <row r="5077" spans="1:22">
      <c r="A5077" s="1321"/>
      <c r="B5077" s="1295"/>
      <c r="C5077" s="1321"/>
      <c r="D5077" s="1377"/>
      <c r="E5077" s="2124"/>
      <c r="F5077" s="1378"/>
      <c r="G5077" s="1378"/>
      <c r="H5077" s="1379"/>
      <c r="I5077" s="1299"/>
      <c r="J5077" s="1300"/>
      <c r="K5077" s="1307"/>
      <c r="L5077" s="1335"/>
      <c r="M5077" s="1302"/>
      <c r="N5077" s="1700"/>
      <c r="O5077" s="1290"/>
      <c r="P5077" s="1333"/>
      <c r="Q5077" s="3391"/>
      <c r="R5077" s="1296"/>
      <c r="S5077" s="16"/>
      <c r="T5077" s="16"/>
      <c r="U5077" s="16"/>
      <c r="V5077" s="16"/>
    </row>
    <row r="5078" spans="1:22">
      <c r="A5078" s="1042"/>
      <c r="B5078" s="22"/>
      <c r="C5078" s="1042"/>
      <c r="D5078" s="1677"/>
      <c r="E5078" s="2161"/>
      <c r="F5078" s="1678"/>
      <c r="G5078" s="1678"/>
      <c r="H5078" s="1376"/>
      <c r="I5078" s="1299"/>
      <c r="J5078" s="1300"/>
      <c r="K5078" s="1307"/>
      <c r="L5078" s="1335"/>
      <c r="M5078" s="1302"/>
      <c r="N5078" s="1700"/>
      <c r="O5078" s="1290"/>
      <c r="P5078" s="1332"/>
      <c r="Q5078" s="3391"/>
      <c r="R5078" s="1296"/>
      <c r="S5078" s="16"/>
      <c r="T5078" s="16"/>
      <c r="U5078" s="16"/>
      <c r="V5078" s="16"/>
    </row>
    <row r="5079" spans="1:22" ht="15" customHeight="1">
      <c r="A5079" s="1042" t="s">
        <v>3764</v>
      </c>
      <c r="B5079" s="4325" t="s">
        <v>1657</v>
      </c>
      <c r="C5079" s="3350"/>
      <c r="D5079" s="4327" t="s">
        <v>1551</v>
      </c>
      <c r="E5079" s="4329" t="s">
        <v>1504</v>
      </c>
      <c r="F5079" s="4336" t="s">
        <v>1668</v>
      </c>
      <c r="G5079" s="4331" t="s">
        <v>1568</v>
      </c>
      <c r="H5079" s="4331" t="s">
        <v>1574</v>
      </c>
      <c r="I5079" s="1572" t="s">
        <v>1559</v>
      </c>
      <c r="J5079" s="1294" t="s">
        <v>1560</v>
      </c>
      <c r="K5079" s="1294" t="s">
        <v>1561</v>
      </c>
      <c r="L5079" s="4333" t="s">
        <v>3765</v>
      </c>
      <c r="M5079" s="4335" t="s">
        <v>1571</v>
      </c>
      <c r="N5079" s="4323" t="s">
        <v>1776</v>
      </c>
      <c r="O5079" s="3347" t="s">
        <v>1563</v>
      </c>
      <c r="P5079" s="1336" t="s">
        <v>1562</v>
      </c>
      <c r="Q5079" s="3389"/>
      <c r="R5079" s="1699" t="s">
        <v>1327</v>
      </c>
      <c r="S5079" s="16"/>
      <c r="T5079" s="16"/>
      <c r="U5079" s="16"/>
      <c r="V5079" s="16"/>
    </row>
    <row r="5080" spans="1:22">
      <c r="A5080" s="1662" t="s">
        <v>2790</v>
      </c>
      <c r="B5080" s="4326"/>
      <c r="C5080" s="3354"/>
      <c r="D5080" s="4328"/>
      <c r="E5080" s="4330"/>
      <c r="F5080" s="4336"/>
      <c r="G5080" s="4332"/>
      <c r="H5080" s="4332"/>
      <c r="I5080" s="1345">
        <v>1</v>
      </c>
      <c r="J5080" s="1307">
        <v>1</v>
      </c>
      <c r="K5080" s="1297">
        <f>I5080*J5080</f>
        <v>1</v>
      </c>
      <c r="L5080" s="4334"/>
      <c r="M5080" s="4335"/>
      <c r="N5080" s="4324"/>
      <c r="O5080" s="1298">
        <f>SUM(O5082:O5089)+O5090</f>
        <v>44.789180000000002</v>
      </c>
      <c r="P5080" s="1337">
        <f>O5080*K5080</f>
        <v>44.789180000000002</v>
      </c>
      <c r="Q5080" s="3390"/>
      <c r="R5080" s="1721">
        <f>P5082+P5083+P5084+P5085+P5089+P5090</f>
        <v>44.789180000000002</v>
      </c>
      <c r="S5080" s="16"/>
      <c r="T5080" s="16"/>
      <c r="U5080" s="16"/>
      <c r="V5080" s="16"/>
    </row>
    <row r="5081" spans="1:22">
      <c r="A5081" s="1042"/>
      <c r="B5081" s="22"/>
      <c r="C5081" s="18"/>
      <c r="D5081" s="1400"/>
      <c r="E5081" s="2121"/>
      <c r="F5081" s="1368" t="s">
        <v>1</v>
      </c>
      <c r="G5081" s="1368"/>
      <c r="H5081" s="1423"/>
      <c r="I5081" s="1667"/>
      <c r="J5081" s="1424"/>
      <c r="K5081" s="1425"/>
      <c r="L5081" s="1560"/>
      <c r="M5081" s="1426"/>
      <c r="N5081" s="1426"/>
      <c r="O5081" s="1427"/>
      <c r="P5081" s="1427"/>
      <c r="Q5081" s="3397"/>
      <c r="R5081" s="1296"/>
      <c r="S5081" s="16"/>
      <c r="T5081" s="16"/>
      <c r="U5081" s="16"/>
      <c r="V5081" s="16"/>
    </row>
    <row r="5082" spans="1:22">
      <c r="A5082" s="1042"/>
      <c r="B5082" s="22"/>
      <c r="C5082" s="1042"/>
      <c r="D5082" s="1471" t="s">
        <v>1669</v>
      </c>
      <c r="E5082" s="2144" t="s">
        <v>1504</v>
      </c>
      <c r="F5082" s="1471" t="s">
        <v>1670</v>
      </c>
      <c r="G5082" s="1650">
        <v>1</v>
      </c>
      <c r="H5082" s="1372"/>
      <c r="I5082" s="197"/>
      <c r="J5082" s="198"/>
      <c r="K5082" s="1307">
        <f>G5082*K5080</f>
        <v>1</v>
      </c>
      <c r="L5082" s="1335">
        <f t="shared" ref="L5082:L5085" si="627">K5082*$K$5063</f>
        <v>0</v>
      </c>
      <c r="M5082" s="1302">
        <v>20.18</v>
      </c>
      <c r="N5082" s="1700"/>
      <c r="O5082" s="1290">
        <f>G5082*M5082</f>
        <v>20.18</v>
      </c>
      <c r="P5082" s="1332">
        <f>M5082*K5082</f>
        <v>20.18</v>
      </c>
      <c r="Q5082" s="3391"/>
      <c r="R5082" s="1296"/>
      <c r="S5082" s="17"/>
      <c r="T5082" s="17"/>
      <c r="U5082" s="16"/>
      <c r="V5082" s="16"/>
    </row>
    <row r="5083" spans="1:22">
      <c r="A5083" s="1042"/>
      <c r="B5083" s="22"/>
      <c r="C5083" s="1042"/>
      <c r="D5083" s="1471" t="s">
        <v>1671</v>
      </c>
      <c r="E5083" s="2144" t="s">
        <v>1504</v>
      </c>
      <c r="F5083" s="1471" t="s">
        <v>1672</v>
      </c>
      <c r="G5083" s="1650">
        <v>1</v>
      </c>
      <c r="H5083" s="1372"/>
      <c r="I5083" s="197"/>
      <c r="J5083" s="198"/>
      <c r="K5083" s="1307">
        <f>G5083*K5080</f>
        <v>1</v>
      </c>
      <c r="L5083" s="1335">
        <f t="shared" si="627"/>
        <v>0</v>
      </c>
      <c r="M5083" s="1302">
        <v>6.24</v>
      </c>
      <c r="N5083" s="1700"/>
      <c r="O5083" s="1290">
        <f>G5083*M5083</f>
        <v>6.24</v>
      </c>
      <c r="P5083" s="1332">
        <f>M5083*K5083</f>
        <v>6.24</v>
      </c>
      <c r="Q5083" s="3391"/>
      <c r="R5083" s="1296"/>
      <c r="S5083" s="105"/>
      <c r="T5083" s="105"/>
      <c r="U5083" s="16"/>
      <c r="V5083" s="16"/>
    </row>
    <row r="5084" spans="1:22">
      <c r="A5084" s="1042"/>
      <c r="B5084" s="22"/>
      <c r="C5084" s="1320"/>
      <c r="D5084" s="1471" t="s">
        <v>1097</v>
      </c>
      <c r="E5084" s="2144" t="s">
        <v>1504</v>
      </c>
      <c r="F5084" s="1471" t="s">
        <v>1632</v>
      </c>
      <c r="G5084" s="1650">
        <v>4</v>
      </c>
      <c r="H5084" s="1399"/>
      <c r="I5084" s="197"/>
      <c r="J5084" s="198"/>
      <c r="K5084" s="1307">
        <f>G5084*K5080</f>
        <v>4</v>
      </c>
      <c r="L5084" s="1335">
        <f t="shared" si="627"/>
        <v>0</v>
      </c>
      <c r="M5084" s="1302">
        <v>0.55000000000000004</v>
      </c>
      <c r="N5084" s="1700"/>
      <c r="O5084" s="1290">
        <f>G5084*M5084</f>
        <v>2.2000000000000002</v>
      </c>
      <c r="P5084" s="1332">
        <f>M5084*K5084</f>
        <v>2.2000000000000002</v>
      </c>
      <c r="Q5084" s="3391"/>
      <c r="R5084" s="1296"/>
      <c r="S5084" s="16"/>
      <c r="T5084" s="16"/>
      <c r="U5084" s="16"/>
      <c r="V5084" s="16"/>
    </row>
    <row r="5085" spans="1:22">
      <c r="A5085" s="1042"/>
      <c r="B5085" s="22"/>
      <c r="C5085" s="1320"/>
      <c r="D5085" s="1471" t="s">
        <v>1082</v>
      </c>
      <c r="E5085" s="2144" t="s">
        <v>1504</v>
      </c>
      <c r="F5085" s="1471" t="s">
        <v>1541</v>
      </c>
      <c r="G5085" s="1650">
        <v>1</v>
      </c>
      <c r="H5085" s="1399"/>
      <c r="I5085" s="197"/>
      <c r="J5085" s="198"/>
      <c r="K5085" s="1307">
        <f>G5085*K5080</f>
        <v>1</v>
      </c>
      <c r="L5085" s="1335">
        <f t="shared" si="627"/>
        <v>0</v>
      </c>
      <c r="M5085" s="1302">
        <v>0.3</v>
      </c>
      <c r="N5085" s="1700"/>
      <c r="O5085" s="1290">
        <f>G5085*M5085</f>
        <v>0.3</v>
      </c>
      <c r="P5085" s="1332">
        <f>M5085*K5085</f>
        <v>0.3</v>
      </c>
      <c r="Q5085" s="3391"/>
      <c r="R5085" s="1296"/>
      <c r="S5085" s="16"/>
      <c r="T5085" s="16"/>
      <c r="U5085" s="16"/>
      <c r="V5085" s="16"/>
    </row>
    <row r="5086" spans="1:22">
      <c r="A5086" s="2042" t="s">
        <v>2834</v>
      </c>
      <c r="B5086" s="1982"/>
      <c r="C5086" s="1320"/>
      <c r="D5086" s="1400"/>
      <c r="E5086" s="1856"/>
      <c r="F5086" s="1671"/>
      <c r="G5086" s="1651"/>
      <c r="H5086" s="1399"/>
      <c r="I5086" s="197"/>
      <c r="J5086" s="198"/>
      <c r="K5086" s="1307"/>
      <c r="L5086" s="1335"/>
      <c r="M5086" s="1499"/>
      <c r="N5086" s="1701"/>
      <c r="O5086" s="1290"/>
      <c r="P5086" s="1332"/>
      <c r="Q5086" s="3391"/>
      <c r="R5086" s="1296"/>
      <c r="S5086" s="16"/>
      <c r="T5086" s="16"/>
      <c r="U5086" s="16"/>
      <c r="V5086" s="16"/>
    </row>
    <row r="5087" spans="1:22">
      <c r="A5087" s="2042" t="s">
        <v>2835</v>
      </c>
      <c r="B5087" s="22"/>
      <c r="C5087" s="1320"/>
      <c r="D5087" s="1400"/>
      <c r="E5087" s="1856"/>
      <c r="F5087" s="1397"/>
      <c r="G5087" s="1988"/>
      <c r="H5087" s="1399"/>
      <c r="I5087" s="197"/>
      <c r="J5087" s="198"/>
      <c r="K5087" s="1307"/>
      <c r="L5087" s="1335"/>
      <c r="M5087" s="1499"/>
      <c r="N5087" s="1701"/>
      <c r="O5087" s="1290"/>
      <c r="P5087" s="1332"/>
      <c r="Q5087" s="3391"/>
      <c r="R5087" s="1296"/>
      <c r="S5087" s="16"/>
      <c r="T5087" s="16"/>
      <c r="U5087" s="16"/>
      <c r="V5087" s="16"/>
    </row>
    <row r="5088" spans="1:22">
      <c r="A5088" s="2042" t="s">
        <v>2836</v>
      </c>
      <c r="B5088" s="22"/>
      <c r="C5088" s="1320"/>
      <c r="D5088" s="1642"/>
      <c r="E5088" s="2162"/>
      <c r="F5088" s="1643" t="s">
        <v>2</v>
      </c>
      <c r="G5088" s="1989"/>
      <c r="H5088" s="1408"/>
      <c r="I5088" s="1380"/>
      <c r="J5088" s="1381"/>
      <c r="K5088" s="1679"/>
      <c r="L5088" s="1680"/>
      <c r="M5088" s="1681"/>
      <c r="N5088" s="1713"/>
      <c r="O5088" s="1682"/>
      <c r="P5088" s="1683"/>
      <c r="Q5088" s="3391"/>
      <c r="R5088" s="1296"/>
      <c r="S5088" s="16"/>
      <c r="T5088" s="16"/>
      <c r="U5088" s="16"/>
      <c r="V5088" s="16"/>
    </row>
    <row r="5089" spans="1:22">
      <c r="A5089" s="1042"/>
      <c r="B5089" s="22"/>
      <c r="C5089" s="1042"/>
      <c r="D5089" s="1473" t="s">
        <v>1099</v>
      </c>
      <c r="E5089" s="2148" t="s">
        <v>1508</v>
      </c>
      <c r="F5089" s="1473" t="s">
        <v>1633</v>
      </c>
      <c r="G5089" s="1992">
        <v>0.4</v>
      </c>
      <c r="H5089" s="1591"/>
      <c r="I5089" s="197"/>
      <c r="J5089" s="198"/>
      <c r="K5089" s="1307">
        <f>G5089*K5080</f>
        <v>0.4</v>
      </c>
      <c r="L5089" s="1335">
        <f t="shared" ref="L5089" si="628">K5089*$K$5063</f>
        <v>0</v>
      </c>
      <c r="M5089" s="1302">
        <v>19.23</v>
      </c>
      <c r="N5089" s="1700"/>
      <c r="O5089" s="1290">
        <f>G5089*M5089</f>
        <v>7.6920000000000002</v>
      </c>
      <c r="P5089" s="1332">
        <f>M5089*K5089</f>
        <v>7.6920000000000002</v>
      </c>
      <c r="Q5089" s="3391"/>
      <c r="R5089" s="1296"/>
      <c r="S5089" s="16"/>
      <c r="T5089" s="16"/>
      <c r="U5089" s="16"/>
      <c r="V5089" s="16"/>
    </row>
    <row r="5090" spans="1:22">
      <c r="A5090" s="16"/>
      <c r="B5090" s="1042"/>
      <c r="C5090" s="1652" t="s">
        <v>1755</v>
      </c>
      <c r="D5090" s="1461"/>
      <c r="E5090" s="2163" t="s">
        <v>1508</v>
      </c>
      <c r="F5090" s="1648" t="s">
        <v>1524</v>
      </c>
      <c r="G5090" s="1990"/>
      <c r="H5090" s="1456">
        <v>0.218</v>
      </c>
      <c r="I5090" s="1444"/>
      <c r="J5090" s="1388"/>
      <c r="K5090" s="1445"/>
      <c r="L5090" s="1457"/>
      <c r="M5090" s="1447"/>
      <c r="N5090" s="1447">
        <f>SUM(N5091:N5092)</f>
        <v>37.510000000000005</v>
      </c>
      <c r="O5090" s="1447">
        <f>SUM(O5091:O5092)</f>
        <v>8.1771799999999999</v>
      </c>
      <c r="P5090" s="1447">
        <f>SUM(P5091:P5092)</f>
        <v>8.1771799999999999</v>
      </c>
      <c r="Q5090" s="3391"/>
      <c r="R5090" s="2337"/>
      <c r="S5090" s="16"/>
      <c r="T5090" s="16"/>
      <c r="U5090" s="16"/>
      <c r="V5090" s="16"/>
    </row>
    <row r="5091" spans="1:22">
      <c r="A5091" s="16"/>
      <c r="B5091" s="1042"/>
      <c r="C5091" s="88"/>
      <c r="D5091" s="1430" t="s">
        <v>1067</v>
      </c>
      <c r="E5091" s="1857" t="s">
        <v>1508</v>
      </c>
      <c r="F5091" s="1403" t="s">
        <v>5</v>
      </c>
      <c r="G5091" s="1991">
        <v>1</v>
      </c>
      <c r="H5091" s="1408">
        <f>G5091*$H$5090</f>
        <v>0.218</v>
      </c>
      <c r="I5091" s="1286"/>
      <c r="J5091" s="198"/>
      <c r="K5091" s="1307">
        <f>H5091*$K$5080</f>
        <v>0.218</v>
      </c>
      <c r="L5091" s="1335">
        <f t="shared" ref="L5091:L5092" si="629">K5091*$K$5063</f>
        <v>0</v>
      </c>
      <c r="M5091" s="1302">
        <v>18.28</v>
      </c>
      <c r="N5091" s="1718">
        <f>G5091*M5091</f>
        <v>18.28</v>
      </c>
      <c r="O5091" s="1290">
        <f>H5091*M5091</f>
        <v>3.9850400000000001</v>
      </c>
      <c r="P5091" s="1332">
        <f>M5091*K5091</f>
        <v>3.9850400000000001</v>
      </c>
      <c r="Q5091" s="3391"/>
      <c r="R5091" s="2337"/>
      <c r="S5091" s="16"/>
      <c r="T5091" s="16"/>
      <c r="U5091" s="16"/>
      <c r="V5091" s="16"/>
    </row>
    <row r="5092" spans="1:22">
      <c r="A5092" s="16"/>
      <c r="B5092" s="1042"/>
      <c r="C5092" s="88"/>
      <c r="D5092" s="1430" t="s">
        <v>1077</v>
      </c>
      <c r="E5092" s="1857" t="s">
        <v>1508</v>
      </c>
      <c r="F5092" s="1403" t="s">
        <v>37</v>
      </c>
      <c r="G5092" s="1991">
        <v>1</v>
      </c>
      <c r="H5092" s="1408">
        <f>G5092*$H$5090</f>
        <v>0.218</v>
      </c>
      <c r="I5092" s="197">
        <f ca="1">IF(COUNT(H5092:L5092)=0,"",(SUM(H5092:L5092)/COUNT(H5092:L5092)))</f>
        <v>0.14533891070474783</v>
      </c>
      <c r="J5092" s="198"/>
      <c r="K5092" s="1307">
        <f>H5092*$K$5080</f>
        <v>0.218</v>
      </c>
      <c r="L5092" s="1335">
        <f t="shared" si="629"/>
        <v>0</v>
      </c>
      <c r="M5092" s="1302">
        <v>19.23</v>
      </c>
      <c r="N5092" s="1718">
        <f>G5092*M5092</f>
        <v>19.23</v>
      </c>
      <c r="O5092" s="1290">
        <f>H5092*M5092</f>
        <v>4.1921400000000002</v>
      </c>
      <c r="P5092" s="1332">
        <f>M5092*K5092</f>
        <v>4.1921400000000002</v>
      </c>
      <c r="Q5092" s="3391"/>
      <c r="R5092" s="2337"/>
      <c r="S5092" s="16"/>
      <c r="T5092" s="16"/>
      <c r="U5092" s="16"/>
      <c r="V5092" s="16"/>
    </row>
    <row r="5093" spans="1:22" ht="21">
      <c r="A5093" s="16"/>
      <c r="B5093" s="2332" t="s">
        <v>2791</v>
      </c>
      <c r="C5093" s="1042"/>
      <c r="D5093" s="1402"/>
      <c r="E5093" s="1857"/>
      <c r="F5093" s="1766"/>
      <c r="G5093" s="1991"/>
      <c r="H5093" s="1408"/>
      <c r="I5093" s="197"/>
      <c r="J5093" s="198"/>
      <c r="K5093" s="1307"/>
      <c r="L5093" s="1335"/>
      <c r="M5093" s="1302"/>
      <c r="N5093" s="1718"/>
      <c r="O5093" s="1290"/>
      <c r="P5093" s="1332"/>
      <c r="Q5093" s="3391"/>
      <c r="R5093" s="2337"/>
      <c r="S5093" s="16"/>
      <c r="T5093" s="16"/>
      <c r="U5093" s="16"/>
      <c r="V5093" s="16"/>
    </row>
    <row r="5094" spans="1:22">
      <c r="A5094" s="1042"/>
      <c r="B5094" s="22"/>
      <c r="C5094" s="1042"/>
      <c r="D5094" s="1411"/>
      <c r="E5094" s="2123"/>
      <c r="F5094" s="1374" t="s">
        <v>3</v>
      </c>
      <c r="G5094" s="1374"/>
      <c r="H5094" s="1376"/>
      <c r="I5094" s="1382"/>
      <c r="J5094" s="1383"/>
      <c r="K5094" s="1684"/>
      <c r="L5094" s="1685"/>
      <c r="M5094" s="1597"/>
      <c r="N5094" s="1597"/>
      <c r="O5094" s="1687"/>
      <c r="P5094" s="1686"/>
      <c r="Q5094" s="3391"/>
      <c r="R5094" s="1173"/>
      <c r="S5094" s="16"/>
      <c r="T5094" s="16"/>
      <c r="U5094" s="16"/>
      <c r="V5094" s="16"/>
    </row>
    <row r="5095" spans="1:22">
      <c r="A5095" s="1042"/>
      <c r="B5095" s="22"/>
      <c r="C5095" s="1042"/>
      <c r="D5095" s="1411"/>
      <c r="E5095" s="2123"/>
      <c r="F5095" s="1375"/>
      <c r="G5095" s="1375"/>
      <c r="H5095" s="1505"/>
      <c r="I5095" s="197" t="str">
        <f ca="1">IF(COUNT(H5095:O5095)=0,"",(SUM(H5095:O5095)/COUNT(H5095:O5095)))</f>
        <v/>
      </c>
      <c r="J5095" s="198"/>
      <c r="K5095" s="1307"/>
      <c r="L5095" s="1335"/>
      <c r="M5095" s="1619"/>
      <c r="N5095" s="1619"/>
      <c r="O5095" s="1290"/>
      <c r="P5095" s="1332"/>
      <c r="Q5095" s="3391"/>
      <c r="R5095" s="3363"/>
      <c r="S5095" s="16"/>
      <c r="T5095" s="16"/>
      <c r="U5095" s="16"/>
      <c r="V5095" s="16"/>
    </row>
    <row r="5096" spans="1:22">
      <c r="A5096" s="1042"/>
      <c r="B5096" s="22"/>
      <c r="C5096" s="1042"/>
      <c r="D5096" s="1411"/>
      <c r="E5096" s="2123"/>
      <c r="F5096" s="1375"/>
      <c r="G5096" s="1375"/>
      <c r="H5096" s="1670"/>
      <c r="I5096" s="197" t="str">
        <f ca="1">IF(COUNT(H5096:O5096)=0,"",(SUM(H5096:O5096)/COUNT(H5096:O5096)))</f>
        <v/>
      </c>
      <c r="J5096" s="198"/>
      <c r="K5096" s="1307"/>
      <c r="L5096" s="1335"/>
      <c r="M5096" s="1619"/>
      <c r="N5096" s="1619"/>
      <c r="O5096" s="1290"/>
      <c r="P5096" s="1332"/>
      <c r="Q5096" s="3391"/>
      <c r="R5096" s="3363"/>
      <c r="S5096" s="16"/>
      <c r="T5096" s="16"/>
      <c r="U5096" s="16"/>
      <c r="V5096" s="16"/>
    </row>
    <row r="5097" spans="1:22">
      <c r="A5097" s="1042"/>
      <c r="B5097" s="22"/>
      <c r="C5097" s="223"/>
      <c r="D5097" s="1411"/>
      <c r="E5097" s="2123"/>
      <c r="F5097" s="1375"/>
      <c r="G5097" s="1375"/>
      <c r="H5097" s="1376"/>
      <c r="I5097" s="197" t="str">
        <f ca="1">IF(COUNT(H5097:O5097)=0,"",(SUM(H5097:O5097)/COUNT(H5097:O5097)))</f>
        <v/>
      </c>
      <c r="J5097" s="198"/>
      <c r="K5097" s="1307"/>
      <c r="L5097" s="1335"/>
      <c r="M5097" s="1619"/>
      <c r="N5097" s="1619"/>
      <c r="O5097" s="1290"/>
      <c r="P5097" s="1332"/>
      <c r="Q5097" s="3391"/>
      <c r="R5097" s="3363"/>
      <c r="S5097" s="16"/>
      <c r="T5097" s="16"/>
      <c r="U5097" s="16"/>
      <c r="V5097" s="16"/>
    </row>
    <row r="5098" spans="1:22">
      <c r="A5098" s="1042" t="s">
        <v>3764</v>
      </c>
      <c r="B5098" s="4325" t="s">
        <v>1989</v>
      </c>
      <c r="C5098" s="3350"/>
      <c r="D5098" s="4327" t="s">
        <v>1551</v>
      </c>
      <c r="E5098" s="4329" t="s">
        <v>1507</v>
      </c>
      <c r="F5098" s="4372" t="s">
        <v>1990</v>
      </c>
      <c r="G5098" s="4331" t="s">
        <v>1568</v>
      </c>
      <c r="H5098" s="4331" t="s">
        <v>1574</v>
      </c>
      <c r="I5098" s="1572" t="s">
        <v>1559</v>
      </c>
      <c r="J5098" s="1294" t="s">
        <v>1560</v>
      </c>
      <c r="K5098" s="1294" t="s">
        <v>1561</v>
      </c>
      <c r="L5098" s="4333" t="s">
        <v>3765</v>
      </c>
      <c r="M5098" s="4335" t="s">
        <v>1571</v>
      </c>
      <c r="N5098" s="4323" t="s">
        <v>1776</v>
      </c>
      <c r="O5098" s="3347" t="s">
        <v>1563</v>
      </c>
      <c r="P5098" s="1336" t="s">
        <v>1562</v>
      </c>
      <c r="Q5098" s="3389"/>
      <c r="R5098" s="1699" t="s">
        <v>1327</v>
      </c>
      <c r="S5098" s="631"/>
      <c r="T5098" s="631"/>
      <c r="U5098" s="16"/>
      <c r="V5098" s="16"/>
    </row>
    <row r="5099" spans="1:22">
      <c r="A5099" s="1662" t="s">
        <v>2790</v>
      </c>
      <c r="B5099" s="4326"/>
      <c r="C5099" s="3354"/>
      <c r="D5099" s="4328"/>
      <c r="E5099" s="4330"/>
      <c r="F5099" s="4363"/>
      <c r="G5099" s="4332"/>
      <c r="H5099" s="4332"/>
      <c r="I5099" s="1345">
        <v>0.64</v>
      </c>
      <c r="J5099" s="1307">
        <v>1</v>
      </c>
      <c r="K5099" s="1297">
        <f>I5099*J5099</f>
        <v>0.64</v>
      </c>
      <c r="L5099" s="4334"/>
      <c r="M5099" s="4335"/>
      <c r="N5099" s="4324"/>
      <c r="O5099" s="1298">
        <f>O5101+O5105+O5106</f>
        <v>1.4168000000000001</v>
      </c>
      <c r="P5099" s="1337">
        <f>O5099*K5099</f>
        <v>0.906752</v>
      </c>
      <c r="Q5099" s="3390"/>
      <c r="R5099" s="1721">
        <f>P5101+P5105+P5106</f>
        <v>0.90675200000000011</v>
      </c>
      <c r="S5099" s="16"/>
      <c r="T5099" s="16"/>
      <c r="U5099" s="16"/>
      <c r="V5099" s="16"/>
    </row>
    <row r="5100" spans="1:22" s="22" customFormat="1">
      <c r="A5100" s="1042"/>
      <c r="C5100" s="18"/>
      <c r="D5100" s="1400"/>
      <c r="E5100" s="2121"/>
      <c r="F5100" s="1368" t="s">
        <v>1</v>
      </c>
      <c r="G5100" s="1368"/>
      <c r="H5100" s="1423"/>
      <c r="I5100" s="1667"/>
      <c r="J5100" s="1424"/>
      <c r="K5100" s="1425"/>
      <c r="L5100" s="1560"/>
      <c r="M5100" s="1426"/>
      <c r="N5100" s="1426"/>
      <c r="O5100" s="1427"/>
      <c r="P5100" s="1427"/>
      <c r="Q5100" s="3397"/>
      <c r="R5100" s="1296"/>
      <c r="S5100" s="16"/>
      <c r="T5100" s="16"/>
      <c r="U5100" s="16"/>
      <c r="V5100" s="16"/>
    </row>
    <row r="5101" spans="1:22">
      <c r="A5101" s="1042"/>
      <c r="B5101" s="22"/>
      <c r="C5101" s="1042"/>
      <c r="D5101" s="1598" t="s">
        <v>1159</v>
      </c>
      <c r="E5101" s="2154" t="s">
        <v>1507</v>
      </c>
      <c r="F5101" s="1598" t="s">
        <v>1991</v>
      </c>
      <c r="G5101" s="1612">
        <v>1.111</v>
      </c>
      <c r="H5101" s="1372"/>
      <c r="I5101" s="197"/>
      <c r="J5101" s="198"/>
      <c r="K5101" s="1350">
        <f>G5101*K5099</f>
        <v>0.71104000000000001</v>
      </c>
      <c r="L5101" s="1335">
        <f t="shared" ref="L5101" si="630">K5101*$K$5063</f>
        <v>0</v>
      </c>
      <c r="M5101" s="1499">
        <v>0.6</v>
      </c>
      <c r="N5101" s="1700"/>
      <c r="O5101" s="1290">
        <f>G5101*M5101</f>
        <v>0.66659999999999997</v>
      </c>
      <c r="P5101" s="1332">
        <f>M5101*K5101</f>
        <v>0.426624</v>
      </c>
      <c r="Q5101" s="3391"/>
      <c r="R5101" s="1296"/>
      <c r="S5101" s="16"/>
      <c r="T5101" s="16"/>
      <c r="U5101" s="16"/>
      <c r="V5101" s="16"/>
    </row>
    <row r="5102" spans="1:22">
      <c r="A5102" s="1978" t="s">
        <v>2837</v>
      </c>
      <c r="B5102" s="1599"/>
      <c r="C5102" s="1042"/>
      <c r="D5102" s="1598"/>
      <c r="E5102" s="2154"/>
      <c r="F5102" s="1598"/>
      <c r="G5102" s="1612"/>
      <c r="H5102" s="1453"/>
      <c r="I5102" s="198"/>
      <c r="J5102" s="198"/>
      <c r="K5102" s="1732"/>
      <c r="L5102" s="1335"/>
      <c r="M5102" s="1499"/>
      <c r="N5102" s="1718"/>
      <c r="O5102" s="1719"/>
      <c r="P5102" s="1720"/>
      <c r="Q5102" s="3396"/>
      <c r="R5102" s="2337"/>
      <c r="S5102" s="17"/>
      <c r="T5102" s="17"/>
      <c r="U5102" s="16"/>
      <c r="V5102" s="16"/>
    </row>
    <row r="5103" spans="1:22">
      <c r="A5103" s="1042"/>
      <c r="B5103" s="22"/>
      <c r="C5103" s="1320"/>
      <c r="D5103" s="1400"/>
      <c r="E5103" s="1856"/>
      <c r="F5103" s="1397"/>
      <c r="G5103" s="1988"/>
      <c r="H5103" s="1399"/>
      <c r="I5103" s="197"/>
      <c r="J5103" s="198"/>
      <c r="K5103" s="1307"/>
      <c r="L5103" s="1335"/>
      <c r="M5103" s="1499"/>
      <c r="N5103" s="1701"/>
      <c r="O5103" s="1290"/>
      <c r="P5103" s="1332"/>
      <c r="Q5103" s="3391"/>
      <c r="R5103" s="1296"/>
      <c r="S5103" s="16"/>
      <c r="T5103" s="16"/>
      <c r="U5103" s="16"/>
      <c r="V5103" s="16"/>
    </row>
    <row r="5104" spans="1:22">
      <c r="A5104" s="1042"/>
      <c r="B5104" s="22"/>
      <c r="C5104" s="1320"/>
      <c r="D5104" s="1642"/>
      <c r="E5104" s="2162"/>
      <c r="F5104" s="1643" t="s">
        <v>2</v>
      </c>
      <c r="G5104" s="1989"/>
      <c r="H5104" s="1408"/>
      <c r="I5104" s="1380"/>
      <c r="J5104" s="1381"/>
      <c r="K5104" s="1679"/>
      <c r="L5104" s="1680"/>
      <c r="M5104" s="1681"/>
      <c r="N5104" s="1713"/>
      <c r="O5104" s="1682"/>
      <c r="P5104" s="1683"/>
      <c r="Q5104" s="3391"/>
      <c r="R5104" s="1296"/>
      <c r="S5104" s="16"/>
      <c r="T5104" s="16"/>
      <c r="U5104" s="16"/>
      <c r="V5104" s="16"/>
    </row>
    <row r="5105" spans="1:22">
      <c r="A5105" s="1042"/>
      <c r="B5105" s="22"/>
      <c r="C5105" s="1320"/>
      <c r="D5105" s="1993" t="s">
        <v>1067</v>
      </c>
      <c r="E5105" s="1859" t="s">
        <v>1508</v>
      </c>
      <c r="F5105" s="1655" t="s">
        <v>1512</v>
      </c>
      <c r="G5105" s="1809">
        <v>0.02</v>
      </c>
      <c r="H5105" s="1408"/>
      <c r="I5105" s="197"/>
      <c r="J5105" s="198"/>
      <c r="K5105" s="1307">
        <f>G5105*K5099</f>
        <v>1.2800000000000001E-2</v>
      </c>
      <c r="L5105" s="1335">
        <f t="shared" ref="L5105:L5106" si="631">K5105*$K$5063</f>
        <v>0</v>
      </c>
      <c r="M5105" s="1499">
        <v>18.28</v>
      </c>
      <c r="N5105" s="1701"/>
      <c r="O5105" s="1290">
        <f>G5105*M5105</f>
        <v>0.36560000000000004</v>
      </c>
      <c r="P5105" s="1332">
        <f>M5105*K5105</f>
        <v>0.23398400000000003</v>
      </c>
      <c r="Q5105" s="3391"/>
      <c r="R5105" s="1296"/>
      <c r="S5105" s="16"/>
      <c r="T5105" s="16"/>
      <c r="U5105" s="16"/>
      <c r="V5105" s="16"/>
    </row>
    <row r="5106" spans="1:22">
      <c r="A5106" s="1042"/>
      <c r="B5106" s="22"/>
      <c r="C5106" s="1320"/>
      <c r="D5106" s="1993" t="s">
        <v>1133</v>
      </c>
      <c r="E5106" s="1859" t="s">
        <v>1508</v>
      </c>
      <c r="F5106" s="1655" t="s">
        <v>1955</v>
      </c>
      <c r="G5106" s="1809">
        <v>0.02</v>
      </c>
      <c r="H5106" s="1408"/>
      <c r="I5106" s="197"/>
      <c r="J5106" s="198"/>
      <c r="K5106" s="1307">
        <f>G5106*K5099</f>
        <v>1.2800000000000001E-2</v>
      </c>
      <c r="L5106" s="1335">
        <f t="shared" si="631"/>
        <v>0</v>
      </c>
      <c r="M5106" s="1499">
        <v>19.23</v>
      </c>
      <c r="N5106" s="1701"/>
      <c r="O5106" s="1290">
        <f>G5106*M5106</f>
        <v>0.3846</v>
      </c>
      <c r="P5106" s="1332">
        <f>M5106*K5106</f>
        <v>0.24614400000000003</v>
      </c>
      <c r="Q5106" s="3391"/>
      <c r="R5106" s="1296"/>
      <c r="S5106" s="16"/>
      <c r="T5106" s="16"/>
      <c r="U5106" s="16"/>
      <c r="V5106" s="16"/>
    </row>
    <row r="5107" spans="1:22">
      <c r="A5107" s="16"/>
      <c r="B5107" s="553"/>
      <c r="C5107" s="1042"/>
      <c r="D5107" s="1402"/>
      <c r="E5107" s="1857"/>
      <c r="F5107" s="1403"/>
      <c r="G5107" s="1991"/>
      <c r="H5107" s="1408"/>
      <c r="I5107" s="1286"/>
      <c r="J5107" s="198"/>
      <c r="K5107" s="1307"/>
      <c r="L5107" s="1335"/>
      <c r="M5107" s="1302"/>
      <c r="N5107" s="1718"/>
      <c r="O5107" s="1290"/>
      <c r="P5107" s="1332"/>
      <c r="Q5107" s="3391"/>
      <c r="R5107" s="2337"/>
      <c r="S5107" s="16"/>
      <c r="T5107" s="16"/>
      <c r="U5107" s="16"/>
      <c r="V5107" s="16"/>
    </row>
    <row r="5108" spans="1:22">
      <c r="A5108" s="16"/>
      <c r="B5108" s="553"/>
      <c r="C5108" s="1042"/>
      <c r="D5108" s="1402"/>
      <c r="E5108" s="1857"/>
      <c r="F5108" s="1403"/>
      <c r="G5108" s="1991"/>
      <c r="H5108" s="1408"/>
      <c r="I5108" s="197"/>
      <c r="J5108" s="198"/>
      <c r="K5108" s="1307"/>
      <c r="L5108" s="1335"/>
      <c r="M5108" s="1302"/>
      <c r="N5108" s="1718"/>
      <c r="O5108" s="1290"/>
      <c r="P5108" s="1332"/>
      <c r="Q5108" s="3391"/>
      <c r="R5108" s="2337"/>
      <c r="S5108" s="16"/>
      <c r="T5108" s="16"/>
      <c r="U5108" s="16"/>
      <c r="V5108" s="16"/>
    </row>
    <row r="5109" spans="1:22">
      <c r="A5109" s="1042"/>
      <c r="B5109" s="22"/>
      <c r="C5109" s="1042"/>
      <c r="D5109" s="1411"/>
      <c r="E5109" s="2123"/>
      <c r="F5109" s="1374" t="s">
        <v>3</v>
      </c>
      <c r="G5109" s="1374"/>
      <c r="H5109" s="1376"/>
      <c r="I5109" s="1382"/>
      <c r="J5109" s="1383"/>
      <c r="K5109" s="1684"/>
      <c r="L5109" s="1685"/>
      <c r="M5109" s="1597"/>
      <c r="N5109" s="1597"/>
      <c r="O5109" s="1687"/>
      <c r="P5109" s="1686"/>
      <c r="Q5109" s="3391"/>
      <c r="R5109" s="1173"/>
      <c r="S5109" s="16"/>
      <c r="T5109" s="16"/>
      <c r="U5109" s="16"/>
      <c r="V5109" s="16"/>
    </row>
    <row r="5110" spans="1:22">
      <c r="A5110" s="1042"/>
      <c r="B5110" s="22"/>
      <c r="C5110" s="1042"/>
      <c r="D5110" s="1411"/>
      <c r="E5110" s="2123"/>
      <c r="F5110" s="1375"/>
      <c r="G5110" s="1375"/>
      <c r="H5110" s="1670"/>
      <c r="I5110" s="197" t="str">
        <f ca="1">IF(COUNT(H5110:O5110)=0,"",(SUM(H5110:O5110)/COUNT(H5110:O5110)))</f>
        <v/>
      </c>
      <c r="J5110" s="198"/>
      <c r="K5110" s="1307"/>
      <c r="L5110" s="1335"/>
      <c r="M5110" s="1619"/>
      <c r="N5110" s="1619"/>
      <c r="O5110" s="1290"/>
      <c r="P5110" s="1332"/>
      <c r="Q5110" s="3391"/>
      <c r="R5110" s="3363"/>
      <c r="S5110" s="16"/>
      <c r="T5110" s="16"/>
      <c r="U5110" s="16"/>
      <c r="V5110" s="16"/>
    </row>
    <row r="5111" spans="1:22">
      <c r="A5111" s="1042"/>
      <c r="B5111" s="22"/>
      <c r="C5111" s="1042"/>
      <c r="D5111" s="1411"/>
      <c r="E5111" s="2123"/>
      <c r="F5111" s="1375"/>
      <c r="G5111" s="1375"/>
      <c r="H5111" s="1670"/>
      <c r="I5111" s="197"/>
      <c r="J5111" s="198"/>
      <c r="K5111" s="1307"/>
      <c r="L5111" s="1335"/>
      <c r="M5111" s="1619"/>
      <c r="N5111" s="1619"/>
      <c r="O5111" s="1290"/>
      <c r="P5111" s="1332"/>
      <c r="Q5111" s="3391"/>
      <c r="R5111" s="3363"/>
      <c r="S5111" s="16"/>
      <c r="T5111" s="16"/>
      <c r="U5111" s="16"/>
      <c r="V5111" s="16"/>
    </row>
    <row r="5112" spans="1:22">
      <c r="A5112" s="1042"/>
      <c r="B5112" s="22"/>
      <c r="C5112" s="223"/>
      <c r="D5112" s="1411"/>
      <c r="E5112" s="2123"/>
      <c r="F5112" s="1375"/>
      <c r="G5112" s="1375"/>
      <c r="H5112" s="1376"/>
      <c r="I5112" s="197" t="str">
        <f ca="1">IF(COUNT(H5112:O5112)=0,"",(SUM(H5112:O5112)/COUNT(H5112:O5112)))</f>
        <v/>
      </c>
      <c r="J5112" s="198"/>
      <c r="K5112" s="1307"/>
      <c r="L5112" s="1335"/>
      <c r="M5112" s="1619"/>
      <c r="N5112" s="1619"/>
      <c r="O5112" s="1290"/>
      <c r="P5112" s="1332"/>
      <c r="Q5112" s="3391"/>
      <c r="R5112" s="3363"/>
      <c r="S5112" s="16"/>
      <c r="T5112" s="16"/>
      <c r="U5112" s="16"/>
      <c r="V5112" s="16"/>
    </row>
    <row r="5113" spans="1:22">
      <c r="A5113" s="1042" t="s">
        <v>3764</v>
      </c>
      <c r="B5113" s="4325" t="s">
        <v>2000</v>
      </c>
      <c r="C5113" s="3350"/>
      <c r="D5113" s="4327" t="s">
        <v>1551</v>
      </c>
      <c r="E5113" s="4329" t="s">
        <v>1507</v>
      </c>
      <c r="F5113" s="4372" t="s">
        <v>2001</v>
      </c>
      <c r="G5113" s="4331" t="s">
        <v>1568</v>
      </c>
      <c r="H5113" s="4331" t="s">
        <v>1574</v>
      </c>
      <c r="I5113" s="1572" t="s">
        <v>1559</v>
      </c>
      <c r="J5113" s="1294" t="s">
        <v>1560</v>
      </c>
      <c r="K5113" s="1294" t="s">
        <v>1561</v>
      </c>
      <c r="L5113" s="4333" t="s">
        <v>3765</v>
      </c>
      <c r="M5113" s="4323" t="s">
        <v>1571</v>
      </c>
      <c r="N5113" s="4323" t="s">
        <v>1776</v>
      </c>
      <c r="O5113" s="3347" t="s">
        <v>1563</v>
      </c>
      <c r="P5113" s="1336" t="s">
        <v>1562</v>
      </c>
      <c r="Q5113" s="3389"/>
      <c r="R5113" s="1699" t="s">
        <v>1327</v>
      </c>
      <c r="S5113" s="16"/>
      <c r="T5113" s="16"/>
      <c r="U5113" s="16"/>
      <c r="V5113" s="16"/>
    </row>
    <row r="5114" spans="1:22">
      <c r="A5114" s="1662" t="s">
        <v>2790</v>
      </c>
      <c r="B5114" s="4326"/>
      <c r="C5114" s="3354"/>
      <c r="D5114" s="4328"/>
      <c r="E5114" s="4330"/>
      <c r="F5114" s="4363"/>
      <c r="G5114" s="4332"/>
      <c r="H5114" s="4332"/>
      <c r="I5114" s="1345">
        <v>0.64</v>
      </c>
      <c r="J5114" s="1307">
        <v>1</v>
      </c>
      <c r="K5114" s="1297">
        <f>I5114*J5114</f>
        <v>0.64</v>
      </c>
      <c r="L5114" s="4334"/>
      <c r="M5114" s="4324"/>
      <c r="N5114" s="4324"/>
      <c r="O5114" s="1298">
        <f>O5116+O5117+O5118+O5119+O5120+O5128+O5129</f>
        <v>34.853999709999997</v>
      </c>
      <c r="P5114" s="1337">
        <f>O5114*K5114</f>
        <v>22.3065598144</v>
      </c>
      <c r="Q5114" s="3390"/>
      <c r="R5114" s="1721">
        <f>P5116+P5117+P5118+P5119+P5120+P5128+P5129</f>
        <v>22.3065598144</v>
      </c>
      <c r="S5114" s="16"/>
      <c r="T5114" s="16"/>
      <c r="U5114" s="16"/>
      <c r="V5114" s="16"/>
    </row>
    <row r="5115" spans="1:22">
      <c r="A5115" s="1042"/>
      <c r="B5115" s="22"/>
      <c r="C5115" s="18"/>
      <c r="D5115" s="1400"/>
      <c r="E5115" s="2121"/>
      <c r="F5115" s="1368" t="s">
        <v>1</v>
      </c>
      <c r="G5115" s="1368"/>
      <c r="H5115" s="1423"/>
      <c r="I5115" s="1667"/>
      <c r="J5115" s="1424"/>
      <c r="K5115" s="1425"/>
      <c r="L5115" s="1560"/>
      <c r="M5115" s="1426"/>
      <c r="N5115" s="1426"/>
      <c r="O5115" s="1427"/>
      <c r="P5115" s="1427"/>
      <c r="Q5115" s="3397"/>
      <c r="R5115" s="1296"/>
      <c r="S5115" s="16"/>
      <c r="T5115" s="16"/>
      <c r="U5115" s="16"/>
      <c r="V5115" s="16"/>
    </row>
    <row r="5116" spans="1:22">
      <c r="A5116" s="16"/>
      <c r="B5116" s="1599"/>
      <c r="C5116" s="1042"/>
      <c r="D5116" s="1598" t="s">
        <v>2006</v>
      </c>
      <c r="E5116" s="2154" t="s">
        <v>1507</v>
      </c>
      <c r="F5116" s="1598" t="s">
        <v>2007</v>
      </c>
      <c r="G5116" s="1612">
        <v>2.2000000000000002</v>
      </c>
      <c r="H5116" s="1453"/>
      <c r="I5116" s="197"/>
      <c r="J5116" s="198"/>
      <c r="K5116" s="1350">
        <f>G5116*K5114</f>
        <v>1.4080000000000001</v>
      </c>
      <c r="L5116" s="1335">
        <f t="shared" ref="L5116:L5119" si="632">K5116*$K$5063</f>
        <v>0</v>
      </c>
      <c r="M5116" s="1499">
        <v>0.73</v>
      </c>
      <c r="N5116" s="1718"/>
      <c r="O5116" s="1290">
        <f>G5116*M5116</f>
        <v>1.6060000000000001</v>
      </c>
      <c r="P5116" s="1332">
        <f>M5116*K5116</f>
        <v>1.0278400000000001</v>
      </c>
      <c r="Q5116" s="3391"/>
      <c r="R5116" s="2337"/>
      <c r="S5116" s="16"/>
      <c r="T5116" s="16"/>
      <c r="U5116" s="16"/>
      <c r="V5116" s="16"/>
    </row>
    <row r="5117" spans="1:22">
      <c r="A5117" s="1978" t="s">
        <v>2837</v>
      </c>
      <c r="B5117" s="1982"/>
      <c r="C5117" s="1042"/>
      <c r="D5117" s="1598" t="s">
        <v>2002</v>
      </c>
      <c r="E5117" s="2154" t="s">
        <v>1507</v>
      </c>
      <c r="F5117" s="1598" t="s">
        <v>2003</v>
      </c>
      <c r="G5117" s="1612">
        <v>1.111</v>
      </c>
      <c r="H5117" s="1372"/>
      <c r="I5117" s="197"/>
      <c r="J5117" s="198"/>
      <c r="K5117" s="1350">
        <f>G5117*K5114</f>
        <v>0.71104000000000001</v>
      </c>
      <c r="L5117" s="1335">
        <f t="shared" si="632"/>
        <v>0</v>
      </c>
      <c r="M5117" s="1499">
        <v>8.4700000000000006</v>
      </c>
      <c r="N5117" s="1700"/>
      <c r="O5117" s="1290">
        <f>G5117*M5117</f>
        <v>9.4101700000000008</v>
      </c>
      <c r="P5117" s="1332">
        <f>M5117*K5117</f>
        <v>6.0225088000000007</v>
      </c>
      <c r="Q5117" s="3391"/>
      <c r="R5117" s="1296"/>
      <c r="S5117" s="16"/>
      <c r="T5117" s="16"/>
      <c r="U5117" s="16"/>
      <c r="V5117" s="16"/>
    </row>
    <row r="5118" spans="1:22">
      <c r="A5118" s="2042" t="s">
        <v>2839</v>
      </c>
      <c r="B5118" s="2041"/>
      <c r="C5118" s="1042"/>
      <c r="D5118" s="1598" t="s">
        <v>2004</v>
      </c>
      <c r="E5118" s="2154" t="s">
        <v>1527</v>
      </c>
      <c r="F5118" s="1598" t="s">
        <v>2005</v>
      </c>
      <c r="G5118" s="1612">
        <v>1.111</v>
      </c>
      <c r="H5118" s="1453"/>
      <c r="I5118" s="198"/>
      <c r="J5118" s="198"/>
      <c r="K5118" s="1350">
        <f>G5118*K5114</f>
        <v>0.71104000000000001</v>
      </c>
      <c r="L5118" s="1335">
        <f t="shared" si="632"/>
        <v>0</v>
      </c>
      <c r="M5118" s="1499">
        <v>9.27</v>
      </c>
      <c r="N5118" s="1718"/>
      <c r="O5118" s="1290">
        <f>G5118*M5118</f>
        <v>10.298969999999999</v>
      </c>
      <c r="P5118" s="1332">
        <f>M5118*K5118</f>
        <v>6.5913407999999993</v>
      </c>
      <c r="Q5118" s="3391"/>
      <c r="R5118" s="2337"/>
      <c r="S5118" s="16"/>
      <c r="T5118" s="16"/>
      <c r="U5118" s="16"/>
      <c r="V5118" s="16"/>
    </row>
    <row r="5119" spans="1:22">
      <c r="A5119" s="1978" t="s">
        <v>2840</v>
      </c>
      <c r="B5119" s="2041"/>
      <c r="C5119" s="1042"/>
      <c r="D5119" s="1598" t="s">
        <v>1082</v>
      </c>
      <c r="E5119" s="2154" t="s">
        <v>1504</v>
      </c>
      <c r="F5119" s="1598" t="s">
        <v>1541</v>
      </c>
      <c r="G5119" s="1612">
        <v>0.4</v>
      </c>
      <c r="H5119" s="1453"/>
      <c r="I5119" s="1289"/>
      <c r="J5119" s="198"/>
      <c r="K5119" s="1350">
        <f>G5119*K5114</f>
        <v>0.25600000000000001</v>
      </c>
      <c r="L5119" s="1335">
        <f t="shared" si="632"/>
        <v>0</v>
      </c>
      <c r="M5119" s="1499">
        <v>0.3</v>
      </c>
      <c r="N5119" s="1718"/>
      <c r="O5119" s="1290">
        <f>G5119*M5119</f>
        <v>0.12</v>
      </c>
      <c r="P5119" s="1332">
        <f>M5119*K5119</f>
        <v>7.6799999999999993E-2</v>
      </c>
      <c r="Q5119" s="3391"/>
      <c r="R5119" s="2337"/>
      <c r="S5119" s="16"/>
      <c r="T5119" s="16"/>
      <c r="U5119" s="16"/>
      <c r="V5119" s="16"/>
    </row>
    <row r="5120" spans="1:22">
      <c r="A5120" s="16"/>
      <c r="B5120" s="1042"/>
      <c r="C5120" s="1658" t="s">
        <v>1122</v>
      </c>
      <c r="D5120" s="1311"/>
      <c r="E5120" s="1855" t="s">
        <v>1517</v>
      </c>
      <c r="F5120" s="1647" t="s">
        <v>1681</v>
      </c>
      <c r="G5120" s="1689"/>
      <c r="H5120" s="1689">
        <v>4.1000000000000002E-2</v>
      </c>
      <c r="I5120" s="1444"/>
      <c r="J5120" s="1388"/>
      <c r="K5120" s="1841"/>
      <c r="L5120" s="1445"/>
      <c r="M5120" s="1500"/>
      <c r="N5120" s="1501">
        <f>SUM(N5121:N5125)</f>
        <v>51.667310000000001</v>
      </c>
      <c r="O5120" s="1501">
        <f>SUM(O5121:O5125)</f>
        <v>2.11835971</v>
      </c>
      <c r="P5120" s="1845">
        <f>SUM(P5121:P5125)</f>
        <v>1.3557502144000002</v>
      </c>
      <c r="Q5120" s="3391"/>
      <c r="R5120" s="2343"/>
      <c r="S5120" s="16"/>
      <c r="T5120" s="16"/>
      <c r="U5120" s="16"/>
      <c r="V5120" s="16"/>
    </row>
    <row r="5121" spans="1:22">
      <c r="A5121" s="16"/>
      <c r="B5121" s="1042"/>
      <c r="C5121" s="1042"/>
      <c r="D5121" s="1451" t="s">
        <v>1069</v>
      </c>
      <c r="E5121" s="1856" t="s">
        <v>1517</v>
      </c>
      <c r="F5121" s="1421" t="s">
        <v>1578</v>
      </c>
      <c r="G5121" s="1452">
        <v>0.26300000000000001</v>
      </c>
      <c r="H5121" s="1453">
        <f>$H$5120*G5121</f>
        <v>1.0783000000000001E-2</v>
      </c>
      <c r="I5121" s="197"/>
      <c r="J5121" s="198"/>
      <c r="K5121" s="1350">
        <f>H5121*$K$5114</f>
        <v>6.901120000000001E-3</v>
      </c>
      <c r="L5121" s="1335">
        <f t="shared" ref="L5121:L5125" si="633">K5121*$K$5063</f>
        <v>0</v>
      </c>
      <c r="M5121" s="1499">
        <v>0.55000000000000004</v>
      </c>
      <c r="N5121" s="1724">
        <f>G5121*M5121</f>
        <v>0.14465000000000003</v>
      </c>
      <c r="O5121" s="1719">
        <f>H5121*M5121</f>
        <v>5.9306500000000009E-3</v>
      </c>
      <c r="P5121" s="1720">
        <f>K5121*M5121</f>
        <v>3.7956160000000008E-3</v>
      </c>
      <c r="Q5121" s="3396"/>
      <c r="R5121" s="2338"/>
      <c r="S5121" s="16"/>
      <c r="T5121" s="16"/>
      <c r="U5121" s="16"/>
      <c r="V5121" s="16"/>
    </row>
    <row r="5122" spans="1:22">
      <c r="A5122" s="16"/>
      <c r="B5122" s="1042"/>
      <c r="C5122" s="1320"/>
      <c r="D5122" s="1367" t="s">
        <v>1394</v>
      </c>
      <c r="E5122" s="1856" t="s">
        <v>1577</v>
      </c>
      <c r="F5122" s="1421" t="s">
        <v>1579</v>
      </c>
      <c r="G5122" s="1452">
        <v>0.25800000000000001</v>
      </c>
      <c r="H5122" s="1453">
        <f t="shared" ref="H5122:H5125" si="634">$H$5120*G5122</f>
        <v>1.0578000000000001E-2</v>
      </c>
      <c r="I5122" s="197"/>
      <c r="J5122" s="198"/>
      <c r="K5122" s="1350">
        <f t="shared" ref="K5122:K5125" si="635">H5122*$K$5114</f>
        <v>6.7699200000000005E-3</v>
      </c>
      <c r="L5122" s="1335">
        <f t="shared" si="633"/>
        <v>0</v>
      </c>
      <c r="M5122" s="1499">
        <v>92.54</v>
      </c>
      <c r="N5122" s="1724">
        <f>G5122*M5122</f>
        <v>23.875320000000002</v>
      </c>
      <c r="O5122" s="1719">
        <f>H5122*M5122</f>
        <v>0.97888812000000014</v>
      </c>
      <c r="P5122" s="1720">
        <f>K5122*M5122</f>
        <v>0.62648839680000012</v>
      </c>
      <c r="Q5122" s="3396"/>
      <c r="R5122" s="2338"/>
      <c r="S5122" s="16"/>
      <c r="T5122" s="16"/>
      <c r="U5122" s="16"/>
      <c r="V5122" s="16"/>
    </row>
    <row r="5123" spans="1:22">
      <c r="A5123" s="16"/>
      <c r="B5123" s="1042"/>
      <c r="C5123" s="1320"/>
      <c r="D5123" s="1603" t="s">
        <v>1682</v>
      </c>
      <c r="E5123" s="1856" t="s">
        <v>1683</v>
      </c>
      <c r="F5123" s="1421" t="s">
        <v>1684</v>
      </c>
      <c r="G5123" s="1452">
        <v>1.288</v>
      </c>
      <c r="H5123" s="1453">
        <f t="shared" si="634"/>
        <v>5.2808000000000001E-2</v>
      </c>
      <c r="I5123" s="197"/>
      <c r="J5123" s="198"/>
      <c r="K5123" s="1350">
        <f t="shared" si="635"/>
        <v>3.379712E-2</v>
      </c>
      <c r="L5123" s="1335">
        <f t="shared" si="633"/>
        <v>0</v>
      </c>
      <c r="M5123" s="1499">
        <v>1.26</v>
      </c>
      <c r="N5123" s="1724">
        <f>G5123*M5123</f>
        <v>1.6228800000000001</v>
      </c>
      <c r="O5123" s="1719">
        <f>H5123*M5123</f>
        <v>6.6538079999999999E-2</v>
      </c>
      <c r="P5123" s="1720">
        <f>K5123*M5123</f>
        <v>4.2584371199999999E-2</v>
      </c>
      <c r="Q5123" s="3396"/>
      <c r="R5123" s="2338"/>
      <c r="S5123" s="16"/>
      <c r="T5123" s="16"/>
      <c r="U5123" s="16"/>
      <c r="V5123" s="16"/>
    </row>
    <row r="5124" spans="1:22">
      <c r="A5124" s="16"/>
      <c r="B5124" s="1042"/>
      <c r="C5124" s="1320"/>
      <c r="D5124" s="1603" t="s">
        <v>1576</v>
      </c>
      <c r="E5124" s="1856" t="s">
        <v>1517</v>
      </c>
      <c r="F5124" s="1421" t="s">
        <v>1580</v>
      </c>
      <c r="G5124" s="1452">
        <v>1.1020000000000001</v>
      </c>
      <c r="H5124" s="1453">
        <f t="shared" si="634"/>
        <v>4.5182000000000007E-2</v>
      </c>
      <c r="I5124" s="197"/>
      <c r="J5124" s="198"/>
      <c r="K5124" s="1350">
        <f t="shared" si="635"/>
        <v>2.8916480000000005E-2</v>
      </c>
      <c r="L5124" s="1335">
        <f t="shared" si="633"/>
        <v>0</v>
      </c>
      <c r="M5124" s="1499">
        <v>6.53</v>
      </c>
      <c r="N5124" s="1724">
        <f>G5124*M5124</f>
        <v>7.196060000000001</v>
      </c>
      <c r="O5124" s="1719">
        <f>H5124*M5124</f>
        <v>0.29503846000000006</v>
      </c>
      <c r="P5124" s="1720">
        <f>K5124*M5124</f>
        <v>0.18882461440000003</v>
      </c>
      <c r="Q5124" s="3396"/>
      <c r="R5124" s="2338"/>
      <c r="S5124" s="16"/>
      <c r="T5124" s="16"/>
      <c r="U5124" s="16"/>
      <c r="V5124" s="16"/>
    </row>
    <row r="5125" spans="1:22">
      <c r="A5125" s="16"/>
      <c r="B5125" s="1042"/>
      <c r="C5125" s="1320"/>
      <c r="D5125" s="1443" t="s">
        <v>1067</v>
      </c>
      <c r="E5125" s="1857" t="s">
        <v>1508</v>
      </c>
      <c r="F5125" s="1430" t="s">
        <v>1512</v>
      </c>
      <c r="G5125" s="1431">
        <v>1.03</v>
      </c>
      <c r="H5125" s="1454">
        <f t="shared" si="634"/>
        <v>4.2230000000000004E-2</v>
      </c>
      <c r="I5125" s="197"/>
      <c r="J5125" s="198"/>
      <c r="K5125" s="1350">
        <f t="shared" si="635"/>
        <v>2.7027200000000001E-2</v>
      </c>
      <c r="L5125" s="1335">
        <f t="shared" si="633"/>
        <v>0</v>
      </c>
      <c r="M5125" s="1499">
        <v>18.28</v>
      </c>
      <c r="N5125" s="1724">
        <f>G5125*M5125</f>
        <v>18.828400000000002</v>
      </c>
      <c r="O5125" s="1719">
        <f>H5125*M5125</f>
        <v>0.77196440000000011</v>
      </c>
      <c r="P5125" s="1720">
        <f>K5125*M5125</f>
        <v>0.49405721600000008</v>
      </c>
      <c r="Q5125" s="3396"/>
      <c r="R5125" s="2338"/>
      <c r="S5125" s="16"/>
      <c r="T5125" s="16"/>
      <c r="U5125" s="16"/>
      <c r="V5125" s="16"/>
    </row>
    <row r="5126" spans="1:22">
      <c r="A5126" s="1042"/>
      <c r="B5126" s="22"/>
      <c r="C5126" s="1320"/>
      <c r="D5126" s="1400"/>
      <c r="E5126" s="1856"/>
      <c r="F5126" s="1397"/>
      <c r="G5126" s="1988"/>
      <c r="H5126" s="1399"/>
      <c r="I5126" s="197"/>
      <c r="J5126" s="198"/>
      <c r="K5126" s="1307"/>
      <c r="L5126" s="1335"/>
      <c r="M5126" s="1499"/>
      <c r="N5126" s="1701"/>
      <c r="O5126" s="1290"/>
      <c r="P5126" s="1332"/>
      <c r="Q5126" s="3391"/>
      <c r="R5126" s="1296"/>
      <c r="S5126" s="16"/>
      <c r="T5126" s="16"/>
      <c r="U5126" s="16"/>
      <c r="V5126" s="16"/>
    </row>
    <row r="5127" spans="1:22">
      <c r="A5127" s="1042"/>
      <c r="B5127" s="22"/>
      <c r="C5127" s="1320"/>
      <c r="D5127" s="1642"/>
      <c r="E5127" s="2162"/>
      <c r="F5127" s="1643" t="s">
        <v>2</v>
      </c>
      <c r="G5127" s="1989"/>
      <c r="H5127" s="1408"/>
      <c r="I5127" s="1380"/>
      <c r="J5127" s="1381"/>
      <c r="K5127" s="1679"/>
      <c r="L5127" s="1680"/>
      <c r="M5127" s="1681"/>
      <c r="N5127" s="1713"/>
      <c r="O5127" s="1682"/>
      <c r="P5127" s="1683"/>
      <c r="Q5127" s="3391"/>
      <c r="R5127" s="1296"/>
      <c r="S5127" s="16"/>
      <c r="T5127" s="16"/>
      <c r="U5127" s="16"/>
      <c r="V5127" s="16"/>
    </row>
    <row r="5128" spans="1:22">
      <c r="A5128" s="1042"/>
      <c r="B5128" s="22"/>
      <c r="C5128" s="1320"/>
      <c r="D5128" s="1993" t="s">
        <v>1133</v>
      </c>
      <c r="E5128" s="1859" t="s">
        <v>1508</v>
      </c>
      <c r="F5128" s="1655" t="s">
        <v>1955</v>
      </c>
      <c r="G5128" s="1809">
        <v>0.1</v>
      </c>
      <c r="H5128" s="1408"/>
      <c r="I5128" s="197"/>
      <c r="J5128" s="198"/>
      <c r="K5128" s="1307">
        <f>G5128*K5114</f>
        <v>6.4000000000000001E-2</v>
      </c>
      <c r="L5128" s="1335">
        <f t="shared" ref="L5128" si="636">K5128*$K$5063</f>
        <v>0</v>
      </c>
      <c r="M5128" s="1499">
        <v>19.23</v>
      </c>
      <c r="N5128" s="1701"/>
      <c r="O5128" s="1290">
        <f>G5128*M5128</f>
        <v>1.923</v>
      </c>
      <c r="P5128" s="1332">
        <f>M5128*K5128</f>
        <v>1.23072</v>
      </c>
      <c r="Q5128" s="3391"/>
      <c r="R5128" s="1296"/>
      <c r="S5128" s="16"/>
      <c r="T5128" s="16"/>
      <c r="U5128" s="16"/>
      <c r="V5128" s="16"/>
    </row>
    <row r="5129" spans="1:22">
      <c r="A5129" s="16"/>
      <c r="B5129" s="1042"/>
      <c r="C5129" s="1652" t="s">
        <v>1755</v>
      </c>
      <c r="D5129" s="1461"/>
      <c r="E5129" s="2163" t="s">
        <v>1508</v>
      </c>
      <c r="F5129" s="1648" t="s">
        <v>1524</v>
      </c>
      <c r="G5129" s="1990"/>
      <c r="H5129" s="1456">
        <v>0.25</v>
      </c>
      <c r="I5129" s="1444"/>
      <c r="J5129" s="1388"/>
      <c r="K5129" s="1445"/>
      <c r="L5129" s="1457"/>
      <c r="M5129" s="1447"/>
      <c r="N5129" s="1447">
        <f>SUM(N5130:N5131)</f>
        <v>37.510000000000005</v>
      </c>
      <c r="O5129" s="1447">
        <f>SUM(O5130:O5131)</f>
        <v>9.3775000000000013</v>
      </c>
      <c r="P5129" s="1447">
        <f>SUM(P5130:P5131)</f>
        <v>6.0015999999999998</v>
      </c>
      <c r="Q5129" s="3391"/>
      <c r="R5129" s="2337"/>
      <c r="S5129" s="16"/>
      <c r="T5129" s="16"/>
      <c r="U5129" s="16"/>
      <c r="V5129" s="16"/>
    </row>
    <row r="5130" spans="1:22">
      <c r="A5130" s="16"/>
      <c r="B5130" s="1042"/>
      <c r="C5130" s="88"/>
      <c r="D5130" s="1430" t="s">
        <v>1067</v>
      </c>
      <c r="E5130" s="1857" t="s">
        <v>1508</v>
      </c>
      <c r="F5130" s="1403" t="s">
        <v>5</v>
      </c>
      <c r="G5130" s="1991">
        <v>1</v>
      </c>
      <c r="H5130" s="1408">
        <f>G5130*$H$5129</f>
        <v>0.25</v>
      </c>
      <c r="I5130" s="1286"/>
      <c r="J5130" s="198"/>
      <c r="K5130" s="1307">
        <f>H5130*$K$5114</f>
        <v>0.16</v>
      </c>
      <c r="L5130" s="1335">
        <f t="shared" ref="L5130:L5131" si="637">K5130*$K$5063</f>
        <v>0</v>
      </c>
      <c r="M5130" s="1302">
        <v>18.28</v>
      </c>
      <c r="N5130" s="1718">
        <f>G5130*M5130</f>
        <v>18.28</v>
      </c>
      <c r="O5130" s="1290">
        <f>H5130*M5130</f>
        <v>4.57</v>
      </c>
      <c r="P5130" s="1332">
        <f>M5130*K5130</f>
        <v>2.9248000000000003</v>
      </c>
      <c r="Q5130" s="3391"/>
      <c r="R5130" s="2337"/>
      <c r="S5130" s="16"/>
      <c r="T5130" s="16"/>
      <c r="U5130" s="16"/>
      <c r="V5130" s="16"/>
    </row>
    <row r="5131" spans="1:22">
      <c r="A5131" s="16"/>
      <c r="B5131" s="1042"/>
      <c r="C5131" s="88"/>
      <c r="D5131" s="1430" t="s">
        <v>1077</v>
      </c>
      <c r="E5131" s="1857" t="s">
        <v>1508</v>
      </c>
      <c r="F5131" s="1403" t="s">
        <v>37</v>
      </c>
      <c r="G5131" s="1991">
        <v>1</v>
      </c>
      <c r="H5131" s="1408">
        <f>G5131*$H$5129</f>
        <v>0.25</v>
      </c>
      <c r="I5131" s="197">
        <f ca="1">IF(COUNT(H5131:L5131)=0,"",(SUM(H5131:L5131)/COUNT(H5131:L5131)))</f>
        <v>0.13667076015027366</v>
      </c>
      <c r="J5131" s="198"/>
      <c r="K5131" s="1307">
        <f>H5131*$K$5114</f>
        <v>0.16</v>
      </c>
      <c r="L5131" s="1335">
        <f t="shared" si="637"/>
        <v>0</v>
      </c>
      <c r="M5131" s="1302">
        <v>19.23</v>
      </c>
      <c r="N5131" s="1718">
        <f>G5131*M5131</f>
        <v>19.23</v>
      </c>
      <c r="O5131" s="1290">
        <f>H5131*M5131</f>
        <v>4.8075000000000001</v>
      </c>
      <c r="P5131" s="1332">
        <f>M5131*K5131</f>
        <v>3.0768</v>
      </c>
      <c r="Q5131" s="3391"/>
      <c r="R5131" s="2337"/>
      <c r="S5131" s="16"/>
      <c r="T5131" s="16"/>
      <c r="U5131" s="16"/>
      <c r="V5131" s="16"/>
    </row>
    <row r="5132" spans="1:22">
      <c r="A5132" s="16"/>
      <c r="B5132" s="553"/>
      <c r="C5132" s="1042"/>
      <c r="D5132" s="1402"/>
      <c r="E5132" s="1857"/>
      <c r="F5132" s="1403"/>
      <c r="G5132" s="1991"/>
      <c r="H5132" s="1408"/>
      <c r="I5132" s="197"/>
      <c r="J5132" s="198"/>
      <c r="K5132" s="1307"/>
      <c r="L5132" s="1335"/>
      <c r="M5132" s="1302"/>
      <c r="N5132" s="1718"/>
      <c r="O5132" s="1290"/>
      <c r="P5132" s="1332"/>
      <c r="Q5132" s="3391"/>
      <c r="R5132" s="2337"/>
      <c r="S5132" s="16"/>
      <c r="T5132" s="16"/>
      <c r="U5132" s="16"/>
      <c r="V5132" s="16"/>
    </row>
    <row r="5133" spans="1:22">
      <c r="A5133" s="1042"/>
      <c r="B5133" s="22"/>
      <c r="C5133" s="1042"/>
      <c r="D5133" s="1411"/>
      <c r="E5133" s="2123"/>
      <c r="F5133" s="1374" t="s">
        <v>3</v>
      </c>
      <c r="G5133" s="1374"/>
      <c r="H5133" s="1376"/>
      <c r="I5133" s="197"/>
      <c r="J5133" s="198"/>
      <c r="K5133" s="1307"/>
      <c r="L5133" s="1335"/>
      <c r="M5133" s="1619"/>
      <c r="N5133" s="1619"/>
      <c r="O5133" s="1290"/>
      <c r="P5133" s="1332"/>
      <c r="Q5133" s="3391"/>
      <c r="R5133" s="1173"/>
      <c r="S5133" s="16"/>
      <c r="T5133" s="16"/>
      <c r="U5133" s="16"/>
      <c r="V5133" s="16"/>
    </row>
    <row r="5134" spans="1:22">
      <c r="A5134" s="1042"/>
      <c r="B5134" s="22"/>
      <c r="C5134" s="1042"/>
      <c r="D5134" s="1411"/>
      <c r="E5134" s="2123"/>
      <c r="F5134" s="1375"/>
      <c r="G5134" s="1375"/>
      <c r="H5134" s="1505"/>
      <c r="I5134" s="197" t="str">
        <f ca="1">IF(COUNT(H5134:O5134)=0,"",(SUM(H5134:O5134)/COUNT(H5134:O5134)))</f>
        <v/>
      </c>
      <c r="J5134" s="198"/>
      <c r="K5134" s="1307"/>
      <c r="L5134" s="1335"/>
      <c r="M5134" s="1619"/>
      <c r="N5134" s="1619"/>
      <c r="O5134" s="1290"/>
      <c r="P5134" s="1332"/>
      <c r="Q5134" s="3391"/>
      <c r="R5134" s="3363"/>
      <c r="S5134" s="16"/>
      <c r="T5134" s="16"/>
      <c r="U5134" s="16"/>
      <c r="V5134" s="16"/>
    </row>
    <row r="5135" spans="1:22">
      <c r="A5135" s="1042"/>
      <c r="B5135" s="22"/>
      <c r="C5135" s="1042"/>
      <c r="D5135" s="1411"/>
      <c r="E5135" s="2123"/>
      <c r="F5135" s="1375"/>
      <c r="G5135" s="1375"/>
      <c r="H5135" s="1670"/>
      <c r="I5135" s="197" t="str">
        <f ca="1">IF(COUNT(H5135:O5135)=0,"",(SUM(H5135:O5135)/COUNT(H5135:O5135)))</f>
        <v/>
      </c>
      <c r="J5135" s="198"/>
      <c r="K5135" s="1307"/>
      <c r="L5135" s="1335"/>
      <c r="M5135" s="1619"/>
      <c r="N5135" s="1619"/>
      <c r="O5135" s="1290"/>
      <c r="P5135" s="1332"/>
      <c r="Q5135" s="3391"/>
      <c r="R5135" s="3363"/>
      <c r="S5135" s="16"/>
      <c r="T5135" s="16"/>
      <c r="U5135" s="16"/>
      <c r="V5135" s="16"/>
    </row>
    <row r="5136" spans="1:22">
      <c r="A5136" s="1042"/>
      <c r="B5136" s="22"/>
      <c r="C5136" s="223"/>
      <c r="D5136" s="1411"/>
      <c r="E5136" s="2123"/>
      <c r="F5136" s="1375"/>
      <c r="G5136" s="1375"/>
      <c r="H5136" s="1376"/>
      <c r="I5136" s="197" t="str">
        <f ca="1">IF(COUNT(H5136:O5136)=0,"",(SUM(H5136:O5136)/COUNT(H5136:O5136)))</f>
        <v/>
      </c>
      <c r="J5136" s="198"/>
      <c r="K5136" s="1307"/>
      <c r="L5136" s="1335"/>
      <c r="M5136" s="1619"/>
      <c r="N5136" s="1619"/>
      <c r="O5136" s="1290"/>
      <c r="P5136" s="1332"/>
      <c r="Q5136" s="3391"/>
      <c r="R5136" s="3363"/>
      <c r="S5136" s="16"/>
      <c r="T5136" s="16"/>
      <c r="U5136" s="16"/>
      <c r="V5136" s="16"/>
    </row>
    <row r="5137" spans="1:22" ht="15" customHeight="1">
      <c r="A5137" s="1042" t="s">
        <v>3764</v>
      </c>
      <c r="B5137" s="4325" t="s">
        <v>2008</v>
      </c>
      <c r="C5137" s="3350"/>
      <c r="D5137" s="4327" t="s">
        <v>1551</v>
      </c>
      <c r="E5137" s="4329" t="s">
        <v>1507</v>
      </c>
      <c r="F5137" s="4372" t="s">
        <v>2009</v>
      </c>
      <c r="G5137" s="4331" t="s">
        <v>1568</v>
      </c>
      <c r="H5137" s="4331" t="s">
        <v>1574</v>
      </c>
      <c r="I5137" s="1572" t="s">
        <v>1559</v>
      </c>
      <c r="J5137" s="1294" t="s">
        <v>1560</v>
      </c>
      <c r="K5137" s="1294" t="s">
        <v>1561</v>
      </c>
      <c r="L5137" s="4333" t="s">
        <v>3765</v>
      </c>
      <c r="M5137" s="4335" t="s">
        <v>1571</v>
      </c>
      <c r="N5137" s="4323" t="s">
        <v>1776</v>
      </c>
      <c r="O5137" s="3347" t="s">
        <v>1563</v>
      </c>
      <c r="P5137" s="1336" t="s">
        <v>1562</v>
      </c>
      <c r="Q5137" s="3389"/>
      <c r="R5137" s="1699" t="s">
        <v>1327</v>
      </c>
      <c r="S5137" s="16"/>
      <c r="T5137" s="16"/>
      <c r="U5137" s="16"/>
      <c r="V5137" s="16"/>
    </row>
    <row r="5138" spans="1:22">
      <c r="A5138" s="1662" t="s">
        <v>2790</v>
      </c>
      <c r="B5138" s="4326"/>
      <c r="C5138" s="3354"/>
      <c r="D5138" s="4328"/>
      <c r="E5138" s="4330"/>
      <c r="F5138" s="4363"/>
      <c r="G5138" s="4332"/>
      <c r="H5138" s="4332"/>
      <c r="I5138" s="1345">
        <v>0.6</v>
      </c>
      <c r="J5138" s="1307">
        <v>1</v>
      </c>
      <c r="K5138" s="1297">
        <f>I5138*J5138</f>
        <v>0.6</v>
      </c>
      <c r="L5138" s="4334"/>
      <c r="M5138" s="4335"/>
      <c r="N5138" s="4324"/>
      <c r="O5138" s="1298">
        <f>O5140+O5141+O5142+O5146+O5153+O5154</f>
        <v>18.884324879999998</v>
      </c>
      <c r="P5138" s="1337">
        <f>O5138*K5138</f>
        <v>11.330594927999998</v>
      </c>
      <c r="Q5138" s="3390"/>
      <c r="R5138" s="1721">
        <f>P5140+P5141+P5142+P5146+P5153+P5154</f>
        <v>11.330594928</v>
      </c>
      <c r="S5138" s="16"/>
      <c r="T5138" s="16"/>
      <c r="U5138" s="16"/>
      <c r="V5138" s="16"/>
    </row>
    <row r="5139" spans="1:22">
      <c r="A5139" s="553"/>
      <c r="B5139" s="1327"/>
      <c r="C5139" s="18"/>
      <c r="D5139" s="1400"/>
      <c r="E5139" s="2121"/>
      <c r="F5139" s="1368" t="s">
        <v>1</v>
      </c>
      <c r="G5139" s="1368"/>
      <c r="H5139" s="1423"/>
      <c r="I5139" s="1667"/>
      <c r="J5139" s="1424"/>
      <c r="K5139" s="1425"/>
      <c r="L5139" s="1560"/>
      <c r="M5139" s="1426"/>
      <c r="N5139" s="1426"/>
      <c r="O5139" s="1427"/>
      <c r="P5139" s="1427"/>
      <c r="Q5139" s="3397"/>
      <c r="R5139" s="1296"/>
      <c r="S5139" s="16"/>
      <c r="T5139" s="16"/>
      <c r="U5139" s="16"/>
      <c r="V5139" s="16"/>
    </row>
    <row r="5140" spans="1:22">
      <c r="A5140" s="553"/>
      <c r="B5140" s="1320"/>
      <c r="C5140" s="1042"/>
      <c r="D5140" s="1598" t="s">
        <v>1094</v>
      </c>
      <c r="E5140" s="2154" t="s">
        <v>1517</v>
      </c>
      <c r="F5140" s="1598" t="s">
        <v>1543</v>
      </c>
      <c r="G5140" s="1612">
        <v>0.02</v>
      </c>
      <c r="H5140" s="1372"/>
      <c r="I5140" s="197"/>
      <c r="J5140" s="198"/>
      <c r="K5140" s="1350">
        <f>G5140*K5138</f>
        <v>1.2E-2</v>
      </c>
      <c r="L5140" s="1335">
        <f t="shared" ref="L5140:L5141" si="638">K5140*$K$5063</f>
        <v>0</v>
      </c>
      <c r="M5140" s="1499">
        <v>8.39</v>
      </c>
      <c r="N5140" s="1700"/>
      <c r="O5140" s="1290">
        <f>G5140*M5140</f>
        <v>0.1678</v>
      </c>
      <c r="P5140" s="1332">
        <f>M5140*K5140</f>
        <v>0.10068000000000001</v>
      </c>
      <c r="Q5140" s="3391"/>
      <c r="R5140" s="1296"/>
      <c r="S5140" s="16"/>
      <c r="T5140" s="16"/>
      <c r="U5140" s="16"/>
      <c r="V5140" s="16"/>
    </row>
    <row r="5141" spans="1:22">
      <c r="A5141" s="16"/>
      <c r="B5141" s="1320"/>
      <c r="C5141" s="1042"/>
      <c r="D5141" s="1598" t="s">
        <v>1129</v>
      </c>
      <c r="E5141" s="2154" t="s">
        <v>1504</v>
      </c>
      <c r="F5141" s="1598" t="s">
        <v>1988</v>
      </c>
      <c r="G5141" s="1612">
        <v>27.03</v>
      </c>
      <c r="H5141" s="1453"/>
      <c r="I5141" s="198"/>
      <c r="J5141" s="198"/>
      <c r="K5141" s="1350">
        <f>G5141*K5138</f>
        <v>16.218</v>
      </c>
      <c r="L5141" s="1335">
        <f t="shared" si="638"/>
        <v>0</v>
      </c>
      <c r="M5141" s="1499">
        <v>0.19</v>
      </c>
      <c r="N5141" s="1718"/>
      <c r="O5141" s="1290">
        <f>G5141*M5141</f>
        <v>5.1356999999999999</v>
      </c>
      <c r="P5141" s="1332">
        <f>M5141*K5141</f>
        <v>3.08142</v>
      </c>
      <c r="Q5141" s="3391"/>
      <c r="R5141" s="2337"/>
      <c r="S5141" s="16"/>
      <c r="T5141" s="16"/>
      <c r="U5141" s="16"/>
      <c r="V5141" s="16"/>
    </row>
    <row r="5142" spans="1:22">
      <c r="A5142" s="16"/>
      <c r="B5142" s="1320"/>
      <c r="C5142" s="1658" t="s">
        <v>1155</v>
      </c>
      <c r="D5142" s="1311"/>
      <c r="E5142" s="1855" t="s">
        <v>1517</v>
      </c>
      <c r="F5142" s="1647" t="s">
        <v>1544</v>
      </c>
      <c r="G5142" s="1830" t="s">
        <v>1551</v>
      </c>
      <c r="H5142" s="1830">
        <v>1E-3</v>
      </c>
      <c r="I5142" s="1444"/>
      <c r="J5142" s="1388"/>
      <c r="K5142" s="1997"/>
      <c r="L5142" s="1445"/>
      <c r="M5142" s="1447"/>
      <c r="N5142" s="1447">
        <f>SUM(N5143:N5145)</f>
        <v>114.04755</v>
      </c>
      <c r="O5142" s="1447">
        <f>SUM(O5143:O5145)</f>
        <v>0.11404755000000003</v>
      </c>
      <c r="P5142" s="1446">
        <f>SUM(P5143:P5145)</f>
        <v>6.8428530000000001E-2</v>
      </c>
      <c r="Q5142" s="3391"/>
      <c r="R5142" s="1296"/>
      <c r="S5142" s="16"/>
      <c r="T5142" s="16"/>
      <c r="U5142" s="16"/>
      <c r="V5142" s="16"/>
    </row>
    <row r="5143" spans="1:22">
      <c r="A5143" s="16"/>
      <c r="B5143" s="1320"/>
      <c r="C5143" s="1042"/>
      <c r="D5143" s="1451" t="s">
        <v>1069</v>
      </c>
      <c r="E5143" s="1856" t="s">
        <v>1517</v>
      </c>
      <c r="F5143" s="1421" t="s">
        <v>1578</v>
      </c>
      <c r="G5143" s="1452">
        <v>0.89100000000000001</v>
      </c>
      <c r="H5143" s="1453">
        <f>$H$5142*G5143</f>
        <v>8.9100000000000008E-4</v>
      </c>
      <c r="I5143" s="1286"/>
      <c r="J5143" s="198"/>
      <c r="K5143" s="1732">
        <f>H5143*$K$5138</f>
        <v>5.3459999999999998E-4</v>
      </c>
      <c r="L5143" s="1335">
        <f t="shared" ref="L5143:L5145" si="639">K5143*$K$5063</f>
        <v>0</v>
      </c>
      <c r="M5143" s="1717">
        <v>0.55000000000000004</v>
      </c>
      <c r="N5143" s="1718">
        <f>G5143*M5143</f>
        <v>0.49005000000000004</v>
      </c>
      <c r="O5143" s="1719">
        <f>H5143*M5143</f>
        <v>4.9005000000000012E-4</v>
      </c>
      <c r="P5143" s="1720">
        <f>M5143*K5143</f>
        <v>2.9403000000000003E-4</v>
      </c>
      <c r="Q5143" s="3396"/>
      <c r="R5143" s="1296"/>
      <c r="S5143" s="16"/>
      <c r="T5143" s="16"/>
      <c r="U5143" s="16"/>
      <c r="V5143" s="16"/>
    </row>
    <row r="5144" spans="1:22">
      <c r="A5144" s="16"/>
      <c r="B5144" s="1320"/>
      <c r="C5144" s="1042"/>
      <c r="D5144" s="1367" t="s">
        <v>1394</v>
      </c>
      <c r="E5144" s="1856" t="s">
        <v>1577</v>
      </c>
      <c r="F5144" s="1421" t="s">
        <v>1579</v>
      </c>
      <c r="G5144" s="1452">
        <v>0.51500000000000001</v>
      </c>
      <c r="H5144" s="1453">
        <f t="shared" ref="H5144:H5145" si="640">$H$5142*G5144</f>
        <v>5.1500000000000005E-4</v>
      </c>
      <c r="I5144" s="1286"/>
      <c r="J5144" s="198"/>
      <c r="K5144" s="1732">
        <f t="shared" ref="K5144:K5145" si="641">H5144*$K$5138</f>
        <v>3.0900000000000003E-4</v>
      </c>
      <c r="L5144" s="1335">
        <f t="shared" si="639"/>
        <v>0</v>
      </c>
      <c r="M5144" s="1717">
        <v>92.54</v>
      </c>
      <c r="N5144" s="1718">
        <f>G5144*M5144</f>
        <v>47.658100000000005</v>
      </c>
      <c r="O5144" s="1719">
        <f>H5144*M5144</f>
        <v>4.7658100000000009E-2</v>
      </c>
      <c r="P5144" s="1720">
        <f>M5144*K5144</f>
        <v>2.8594860000000003E-2</v>
      </c>
      <c r="Q5144" s="3396"/>
      <c r="R5144" s="1296"/>
      <c r="S5144" s="16"/>
      <c r="T5144" s="16"/>
      <c r="U5144" s="16"/>
      <c r="V5144" s="16"/>
    </row>
    <row r="5145" spans="1:22">
      <c r="A5145" s="16"/>
      <c r="B5145" s="1320"/>
      <c r="C5145" s="1042"/>
      <c r="D5145" s="1359" t="s">
        <v>1067</v>
      </c>
      <c r="E5145" s="1857" t="s">
        <v>1508</v>
      </c>
      <c r="F5145" s="1430" t="s">
        <v>1512</v>
      </c>
      <c r="G5145" s="1431">
        <v>3.605</v>
      </c>
      <c r="H5145" s="1454">
        <f t="shared" si="640"/>
        <v>3.6050000000000001E-3</v>
      </c>
      <c r="I5145" s="1286"/>
      <c r="J5145" s="198"/>
      <c r="K5145" s="1732">
        <f t="shared" si="641"/>
        <v>2.163E-3</v>
      </c>
      <c r="L5145" s="1335">
        <f t="shared" si="639"/>
        <v>0</v>
      </c>
      <c r="M5145" s="1717">
        <v>18.28</v>
      </c>
      <c r="N5145" s="1718">
        <f>G5145*M5145</f>
        <v>65.8994</v>
      </c>
      <c r="O5145" s="1719">
        <f>H5145*M5145</f>
        <v>6.5899400000000011E-2</v>
      </c>
      <c r="P5145" s="1720">
        <f>M5145*K5145</f>
        <v>3.9539640000000001E-2</v>
      </c>
      <c r="Q5145" s="3396"/>
      <c r="R5145" s="1296"/>
      <c r="S5145" s="16"/>
      <c r="T5145" s="16"/>
      <c r="U5145" s="16"/>
      <c r="V5145" s="16"/>
    </row>
    <row r="5146" spans="1:22">
      <c r="A5146" s="16"/>
      <c r="B5146" s="1042"/>
      <c r="C5146" s="1356" t="s">
        <v>1127</v>
      </c>
      <c r="D5146" s="1311"/>
      <c r="E5146" s="2137" t="s">
        <v>1517</v>
      </c>
      <c r="F5146" s="1319" t="s">
        <v>1519</v>
      </c>
      <c r="G5146" s="1353"/>
      <c r="H5146" s="1456">
        <v>3.1E-2</v>
      </c>
      <c r="I5146" s="1444"/>
      <c r="J5146" s="1388"/>
      <c r="K5146" s="1445"/>
      <c r="L5146" s="1457"/>
      <c r="M5146" s="1447"/>
      <c r="N5146" s="1447">
        <f>SUM(N5147:N5150)</f>
        <v>50.044430000000006</v>
      </c>
      <c r="O5146" s="1447">
        <f>SUM(O5147:O5150)</f>
        <v>1.5513773300000002</v>
      </c>
      <c r="P5146" s="1446">
        <f>SUM(P5147:P5150)</f>
        <v>0.930826398</v>
      </c>
      <c r="Q5146" s="3391"/>
      <c r="R5146" s="2337"/>
      <c r="S5146" s="16"/>
      <c r="T5146" s="16"/>
      <c r="U5146" s="16"/>
      <c r="V5146" s="16"/>
    </row>
    <row r="5147" spans="1:22">
      <c r="A5147" s="16"/>
      <c r="B5147" s="1042"/>
      <c r="C5147" s="1327"/>
      <c r="D5147" s="1400" t="s">
        <v>1069</v>
      </c>
      <c r="E5147" s="1856" t="s">
        <v>1517</v>
      </c>
      <c r="F5147" s="1397" t="s">
        <v>1578</v>
      </c>
      <c r="G5147" s="1416">
        <v>0.26300000000000001</v>
      </c>
      <c r="H5147" s="1399">
        <f>G5147*$H$5146</f>
        <v>8.1530000000000005E-3</v>
      </c>
      <c r="I5147" s="197"/>
      <c r="J5147" s="198"/>
      <c r="K5147" s="1307">
        <f>H5147*$K$5138</f>
        <v>4.8918E-3</v>
      </c>
      <c r="L5147" s="1335">
        <f t="shared" ref="L5147:L5150" si="642">K5147*$K$5063</f>
        <v>0</v>
      </c>
      <c r="M5147" s="1302">
        <v>0.55000000000000004</v>
      </c>
      <c r="N5147" s="1718">
        <f>G5147*M5147</f>
        <v>0.14465000000000003</v>
      </c>
      <c r="O5147" s="1290">
        <f>H5147*M5147</f>
        <v>4.484150000000001E-3</v>
      </c>
      <c r="P5147" s="1332">
        <f>M5147*K5147</f>
        <v>2.6904900000000002E-3</v>
      </c>
      <c r="Q5147" s="3391"/>
      <c r="R5147" s="2337"/>
      <c r="S5147" s="16"/>
      <c r="T5147" s="16"/>
      <c r="U5147" s="16"/>
      <c r="V5147" s="16"/>
    </row>
    <row r="5148" spans="1:22">
      <c r="A5148" s="16"/>
      <c r="B5148" s="1042"/>
      <c r="C5148" s="1320"/>
      <c r="D5148" s="1400" t="s">
        <v>1394</v>
      </c>
      <c r="E5148" s="1856" t="s">
        <v>1577</v>
      </c>
      <c r="F5148" s="1397" t="s">
        <v>1579</v>
      </c>
      <c r="G5148" s="1416">
        <v>0.25800000000000001</v>
      </c>
      <c r="H5148" s="1399">
        <f t="shared" ref="H5148:H5150" si="643">G5148*$H$5146</f>
        <v>7.9979999999999999E-3</v>
      </c>
      <c r="I5148" s="197"/>
      <c r="J5148" s="198"/>
      <c r="K5148" s="1307">
        <f t="shared" ref="K5148:K5150" si="644">H5148*$K$5138</f>
        <v>4.7987999999999998E-3</v>
      </c>
      <c r="L5148" s="1335">
        <f t="shared" si="642"/>
        <v>0</v>
      </c>
      <c r="M5148" s="1302">
        <v>92.54</v>
      </c>
      <c r="N5148" s="1718">
        <f>G5148*M5148</f>
        <v>23.875320000000002</v>
      </c>
      <c r="O5148" s="1290">
        <f>H5148*M5148</f>
        <v>0.74013492000000003</v>
      </c>
      <c r="P5148" s="1332">
        <f>M5148*K5148</f>
        <v>0.44408095200000003</v>
      </c>
      <c r="Q5148" s="3391"/>
      <c r="R5148" s="2337"/>
      <c r="S5148" s="16"/>
      <c r="T5148" s="16"/>
      <c r="U5148" s="16"/>
      <c r="V5148" s="16"/>
    </row>
    <row r="5149" spans="1:22">
      <c r="A5149" s="16"/>
      <c r="B5149" s="1042"/>
      <c r="C5149" s="1320"/>
      <c r="D5149" s="1400" t="s">
        <v>1576</v>
      </c>
      <c r="E5149" s="1856" t="s">
        <v>1517</v>
      </c>
      <c r="F5149" s="1397" t="s">
        <v>1580</v>
      </c>
      <c r="G5149" s="1416">
        <v>1.1020000000000001</v>
      </c>
      <c r="H5149" s="1399">
        <f t="shared" si="643"/>
        <v>3.4162000000000005E-2</v>
      </c>
      <c r="I5149" s="197"/>
      <c r="J5149" s="198"/>
      <c r="K5149" s="1307">
        <f t="shared" si="644"/>
        <v>2.0497200000000004E-2</v>
      </c>
      <c r="L5149" s="1335">
        <f t="shared" si="642"/>
        <v>0</v>
      </c>
      <c r="M5149" s="1302">
        <v>6.53</v>
      </c>
      <c r="N5149" s="1718">
        <f>G5149*M5149</f>
        <v>7.196060000000001</v>
      </c>
      <c r="O5149" s="1290">
        <f>H5149*M5149</f>
        <v>0.22307786000000004</v>
      </c>
      <c r="P5149" s="1332">
        <f>M5149*K5149</f>
        <v>0.13384671600000003</v>
      </c>
      <c r="Q5149" s="3391"/>
      <c r="R5149" s="2337"/>
      <c r="S5149" s="16"/>
      <c r="T5149" s="16"/>
      <c r="U5149" s="16"/>
      <c r="V5149" s="16"/>
    </row>
    <row r="5150" spans="1:22">
      <c r="A5150" s="16"/>
      <c r="B5150" s="1042"/>
      <c r="C5150" s="1320"/>
      <c r="D5150" s="1404" t="s">
        <v>1067</v>
      </c>
      <c r="E5150" s="1857" t="s">
        <v>1508</v>
      </c>
      <c r="F5150" s="1406" t="s">
        <v>1512</v>
      </c>
      <c r="G5150" s="1407">
        <v>1.03</v>
      </c>
      <c r="H5150" s="1408">
        <f t="shared" si="643"/>
        <v>3.193E-2</v>
      </c>
      <c r="I5150" s="197"/>
      <c r="J5150" s="198"/>
      <c r="K5150" s="1307">
        <f t="shared" si="644"/>
        <v>1.9157999999999998E-2</v>
      </c>
      <c r="L5150" s="1335">
        <f t="shared" si="642"/>
        <v>0</v>
      </c>
      <c r="M5150" s="1302">
        <v>18.28</v>
      </c>
      <c r="N5150" s="1718">
        <f>G5150*M5150</f>
        <v>18.828400000000002</v>
      </c>
      <c r="O5150" s="1290">
        <f>H5150*M5150</f>
        <v>0.58368039999999999</v>
      </c>
      <c r="P5150" s="1332">
        <f>M5150*K5150</f>
        <v>0.35020824</v>
      </c>
      <c r="Q5150" s="3391"/>
      <c r="R5150" s="2337"/>
      <c r="S5150" s="16"/>
      <c r="T5150" s="16"/>
      <c r="U5150" s="16"/>
      <c r="V5150" s="16"/>
    </row>
    <row r="5151" spans="1:22">
      <c r="A5151" s="16"/>
      <c r="B5151" s="1042"/>
      <c r="C5151" s="1320"/>
      <c r="D5151" s="1400"/>
      <c r="E5151" s="1856"/>
      <c r="F5151" s="1397"/>
      <c r="G5151" s="1416"/>
      <c r="H5151" s="1399"/>
      <c r="I5151" s="197"/>
      <c r="J5151" s="198"/>
      <c r="K5151" s="1732"/>
      <c r="L5151" s="1335"/>
      <c r="M5151" s="1499"/>
      <c r="N5151" s="1724"/>
      <c r="O5151" s="1290"/>
      <c r="P5151" s="1332"/>
      <c r="Q5151" s="3391"/>
      <c r="R5151" s="2337"/>
      <c r="S5151" s="16"/>
      <c r="T5151" s="16"/>
      <c r="U5151" s="16"/>
      <c r="V5151" s="16"/>
    </row>
    <row r="5152" spans="1:22">
      <c r="A5152" s="553"/>
      <c r="B5152" s="1320"/>
      <c r="C5152" s="1320"/>
      <c r="D5152" s="1642"/>
      <c r="E5152" s="2162"/>
      <c r="F5152" s="1643" t="s">
        <v>2</v>
      </c>
      <c r="G5152" s="1989"/>
      <c r="H5152" s="1408"/>
      <c r="I5152" s="1380"/>
      <c r="J5152" s="1381"/>
      <c r="K5152" s="1996"/>
      <c r="L5152" s="1680"/>
      <c r="M5152" s="1681"/>
      <c r="N5152" s="1713"/>
      <c r="O5152" s="1682"/>
      <c r="P5152" s="1683"/>
      <c r="Q5152" s="3391"/>
      <c r="R5152" s="1296"/>
      <c r="S5152" s="16"/>
      <c r="T5152" s="16"/>
      <c r="U5152" s="16"/>
      <c r="V5152" s="16"/>
    </row>
    <row r="5153" spans="1:22">
      <c r="A5153" s="553"/>
      <c r="B5153" s="1320"/>
      <c r="C5153" s="1320"/>
      <c r="D5153" s="1993" t="s">
        <v>1134</v>
      </c>
      <c r="E5153" s="1859" t="s">
        <v>1508</v>
      </c>
      <c r="F5153" s="1655" t="s">
        <v>1547</v>
      </c>
      <c r="G5153" s="1994">
        <v>0.42</v>
      </c>
      <c r="H5153" s="1408"/>
      <c r="I5153" s="197"/>
      <c r="J5153" s="198"/>
      <c r="K5153" s="1350">
        <f>G5153*K5138</f>
        <v>0.252</v>
      </c>
      <c r="L5153" s="1335">
        <f t="shared" ref="L5153:L5154" si="645">K5153*$K$5063</f>
        <v>0</v>
      </c>
      <c r="M5153" s="1499">
        <v>19.23</v>
      </c>
      <c r="N5153" s="1701"/>
      <c r="O5153" s="1290">
        <f>G5153*M5153</f>
        <v>8.0765999999999991</v>
      </c>
      <c r="P5153" s="1332">
        <f>M5153*K5153</f>
        <v>4.8459599999999998</v>
      </c>
      <c r="Q5153" s="3391"/>
      <c r="R5153" s="1296"/>
      <c r="S5153" s="16"/>
      <c r="T5153" s="16"/>
      <c r="U5153" s="16"/>
      <c r="V5153" s="16"/>
    </row>
    <row r="5154" spans="1:22">
      <c r="A5154" s="16"/>
      <c r="B5154" s="1042"/>
      <c r="C5154" s="88"/>
      <c r="D5154" s="1430" t="s">
        <v>1067</v>
      </c>
      <c r="E5154" s="1857" t="s">
        <v>1508</v>
      </c>
      <c r="F5154" s="1403" t="s">
        <v>5</v>
      </c>
      <c r="G5154" s="1991">
        <v>0.21</v>
      </c>
      <c r="H5154" s="1408"/>
      <c r="I5154" s="1286"/>
      <c r="J5154" s="198"/>
      <c r="K5154" s="1350">
        <f>G5154*K5138</f>
        <v>0.126</v>
      </c>
      <c r="L5154" s="1335">
        <f t="shared" si="645"/>
        <v>0</v>
      </c>
      <c r="M5154" s="1302">
        <v>18.28</v>
      </c>
      <c r="N5154" s="1718"/>
      <c r="O5154" s="1290">
        <f>G5154*M5154</f>
        <v>3.8388</v>
      </c>
      <c r="P5154" s="1332">
        <f>M5154*K5154</f>
        <v>2.30328</v>
      </c>
      <c r="Q5154" s="3391"/>
      <c r="R5154" s="2337"/>
      <c r="S5154" s="16"/>
      <c r="T5154" s="16"/>
      <c r="U5154" s="16"/>
      <c r="V5154" s="16"/>
    </row>
    <row r="5155" spans="1:22">
      <c r="A5155" s="16"/>
      <c r="B5155" s="1042"/>
      <c r="C5155" s="1042"/>
      <c r="D5155" s="1402"/>
      <c r="E5155" s="1857"/>
      <c r="F5155" s="1403"/>
      <c r="G5155" s="1991"/>
      <c r="H5155" s="1408"/>
      <c r="I5155" s="1286"/>
      <c r="J5155" s="198"/>
      <c r="K5155" s="1307"/>
      <c r="L5155" s="1335"/>
      <c r="M5155" s="1302"/>
      <c r="N5155" s="1718"/>
      <c r="O5155" s="1290"/>
      <c r="P5155" s="1332"/>
      <c r="Q5155" s="3391"/>
      <c r="R5155" s="2337"/>
      <c r="S5155" s="16"/>
      <c r="T5155" s="16"/>
      <c r="U5155" s="16"/>
      <c r="V5155" s="16"/>
    </row>
    <row r="5156" spans="1:22">
      <c r="A5156" s="16"/>
      <c r="B5156" s="1042"/>
      <c r="C5156" s="1042"/>
      <c r="D5156" s="1402"/>
      <c r="E5156" s="1857"/>
      <c r="F5156" s="1403"/>
      <c r="G5156" s="1991"/>
      <c r="H5156" s="1408"/>
      <c r="I5156" s="197"/>
      <c r="J5156" s="198"/>
      <c r="K5156" s="1307"/>
      <c r="L5156" s="1335"/>
      <c r="M5156" s="1302"/>
      <c r="N5156" s="1718"/>
      <c r="O5156" s="1290"/>
      <c r="P5156" s="1332"/>
      <c r="Q5156" s="3391"/>
      <c r="R5156" s="2337"/>
      <c r="S5156" s="16"/>
      <c r="T5156" s="16"/>
      <c r="U5156" s="16"/>
      <c r="V5156" s="16"/>
    </row>
    <row r="5157" spans="1:22">
      <c r="A5157" s="1042"/>
      <c r="B5157" s="22"/>
      <c r="C5157" s="1042"/>
      <c r="D5157" s="1411"/>
      <c r="E5157" s="2123"/>
      <c r="F5157" s="1374" t="s">
        <v>3</v>
      </c>
      <c r="G5157" s="1374"/>
      <c r="H5157" s="1376"/>
      <c r="I5157" s="1382"/>
      <c r="J5157" s="1383"/>
      <c r="K5157" s="1684"/>
      <c r="L5157" s="1685"/>
      <c r="M5157" s="1597"/>
      <c r="N5157" s="1597"/>
      <c r="O5157" s="1687"/>
      <c r="P5157" s="1686"/>
      <c r="Q5157" s="3391"/>
      <c r="R5157" s="1173"/>
      <c r="S5157" s="16"/>
      <c r="T5157" s="16"/>
      <c r="U5157" s="16"/>
      <c r="V5157" s="16"/>
    </row>
    <row r="5158" spans="1:22">
      <c r="A5158" s="553"/>
      <c r="B5158" s="1320"/>
      <c r="C5158" s="1042"/>
      <c r="D5158" s="1411"/>
      <c r="E5158" s="2123"/>
      <c r="F5158" s="1375"/>
      <c r="G5158" s="1375"/>
      <c r="H5158" s="1505"/>
      <c r="I5158" s="197" t="str">
        <f ca="1">IF(COUNT(H5158:O5158)=0,"",(SUM(H5158:O5158)/COUNT(H5158:O5158)))</f>
        <v/>
      </c>
      <c r="J5158" s="198"/>
      <c r="K5158" s="1307"/>
      <c r="L5158" s="1335"/>
      <c r="M5158" s="1619"/>
      <c r="N5158" s="1619"/>
      <c r="O5158" s="1290"/>
      <c r="P5158" s="1332"/>
      <c r="Q5158" s="3391"/>
      <c r="R5158" s="3363"/>
      <c r="S5158" s="16"/>
      <c r="T5158" s="16"/>
      <c r="U5158" s="16"/>
      <c r="V5158" s="16"/>
    </row>
    <row r="5159" spans="1:22">
      <c r="A5159" s="553"/>
      <c r="B5159" s="1320"/>
      <c r="C5159" s="1042"/>
      <c r="D5159" s="1411"/>
      <c r="E5159" s="2123"/>
      <c r="F5159" s="1375"/>
      <c r="G5159" s="1375"/>
      <c r="H5159" s="1670"/>
      <c r="I5159" s="197"/>
      <c r="J5159" s="198"/>
      <c r="K5159" s="1307"/>
      <c r="L5159" s="1335"/>
      <c r="M5159" s="1619"/>
      <c r="N5159" s="1619"/>
      <c r="O5159" s="1290"/>
      <c r="P5159" s="1332"/>
      <c r="Q5159" s="3391"/>
      <c r="R5159" s="3363"/>
      <c r="S5159" s="16"/>
      <c r="T5159" s="16"/>
      <c r="U5159" s="16"/>
      <c r="V5159" s="16"/>
    </row>
    <row r="5160" spans="1:22">
      <c r="A5160" s="553"/>
      <c r="B5160" s="225"/>
      <c r="C5160" s="223"/>
      <c r="D5160" s="1411"/>
      <c r="E5160" s="2123"/>
      <c r="F5160" s="1375"/>
      <c r="G5160" s="1375"/>
      <c r="H5160" s="1376"/>
      <c r="I5160" s="197" t="str">
        <f ca="1">IF(COUNT(H5160:O5160)=0,"",(SUM(H5160:O5160)/COUNT(H5160:O5160)))</f>
        <v/>
      </c>
      <c r="J5160" s="198"/>
      <c r="K5160" s="1307"/>
      <c r="L5160" s="1335"/>
      <c r="M5160" s="1619"/>
      <c r="N5160" s="1619"/>
      <c r="O5160" s="1290"/>
      <c r="P5160" s="1332"/>
      <c r="Q5160" s="3391"/>
      <c r="R5160" s="3363"/>
      <c r="S5160" s="17"/>
      <c r="T5160" s="17"/>
      <c r="U5160" s="16"/>
      <c r="V5160" s="16"/>
    </row>
    <row r="5161" spans="1:22">
      <c r="A5161" s="1042" t="s">
        <v>3764</v>
      </c>
      <c r="B5161" s="4325" t="s">
        <v>1716</v>
      </c>
      <c r="C5161" s="3350"/>
      <c r="D5161" s="4327" t="s">
        <v>1551</v>
      </c>
      <c r="E5161" s="4329" t="s">
        <v>1507</v>
      </c>
      <c r="F5161" s="4372" t="s">
        <v>1727</v>
      </c>
      <c r="G5161" s="4331" t="s">
        <v>1568</v>
      </c>
      <c r="H5161" s="4331" t="s">
        <v>1574</v>
      </c>
      <c r="I5161" s="1572" t="s">
        <v>1559</v>
      </c>
      <c r="J5161" s="1294" t="s">
        <v>1560</v>
      </c>
      <c r="K5161" s="1294" t="s">
        <v>1561</v>
      </c>
      <c r="L5161" s="4333" t="s">
        <v>3765</v>
      </c>
      <c r="M5161" s="4335" t="s">
        <v>1571</v>
      </c>
      <c r="N5161" s="4323" t="s">
        <v>1776</v>
      </c>
      <c r="O5161" s="3347" t="s">
        <v>1563</v>
      </c>
      <c r="P5161" s="1336" t="s">
        <v>1562</v>
      </c>
      <c r="Q5161" s="3389"/>
      <c r="R5161" s="1699" t="s">
        <v>1327</v>
      </c>
      <c r="S5161" s="16"/>
      <c r="T5161" s="16"/>
      <c r="U5161" s="16"/>
      <c r="V5161" s="16"/>
    </row>
    <row r="5162" spans="1:22">
      <c r="A5162" s="1662" t="s">
        <v>2790</v>
      </c>
      <c r="B5162" s="4326"/>
      <c r="C5162" s="3354"/>
      <c r="D5162" s="4328"/>
      <c r="E5162" s="4330"/>
      <c r="F5162" s="4363"/>
      <c r="G5162" s="4332"/>
      <c r="H5162" s="4332"/>
      <c r="I5162" s="1345">
        <v>0.64</v>
      </c>
      <c r="J5162" s="1307">
        <v>1</v>
      </c>
      <c r="K5162" s="1297">
        <f>I5162*J5162</f>
        <v>0.64</v>
      </c>
      <c r="L5162" s="4334"/>
      <c r="M5162" s="4335"/>
      <c r="N5162" s="4324"/>
      <c r="O5162" s="1298">
        <f>O5164+O5165+O5169</f>
        <v>4.4448000000000008</v>
      </c>
      <c r="P5162" s="1337">
        <f>O5162*K5162</f>
        <v>2.8446720000000005</v>
      </c>
      <c r="Q5162" s="3390"/>
      <c r="R5162" s="1721">
        <f>P5164+P5165+P5169</f>
        <v>2.8446720000000001</v>
      </c>
      <c r="S5162" s="16"/>
      <c r="T5162" s="16"/>
      <c r="U5162" s="16"/>
      <c r="V5162" s="16"/>
    </row>
    <row r="5163" spans="1:22">
      <c r="A5163" s="553"/>
      <c r="B5163" s="1949"/>
      <c r="C5163" s="18"/>
      <c r="D5163" s="1400"/>
      <c r="E5163" s="2121"/>
      <c r="F5163" s="1368" t="s">
        <v>1</v>
      </c>
      <c r="G5163" s="1368"/>
      <c r="H5163" s="1423"/>
      <c r="I5163" s="1667"/>
      <c r="J5163" s="1424"/>
      <c r="K5163" s="1425"/>
      <c r="L5163" s="1560"/>
      <c r="M5163" s="1426"/>
      <c r="N5163" s="1426"/>
      <c r="O5163" s="1427"/>
      <c r="P5163" s="1427"/>
      <c r="Q5163" s="3397"/>
      <c r="R5163" s="1296"/>
    </row>
    <row r="5164" spans="1:22">
      <c r="A5164" s="553"/>
      <c r="B5164" s="1599"/>
      <c r="C5164" s="1042"/>
      <c r="D5164" s="1610" t="s">
        <v>1728</v>
      </c>
      <c r="E5164" s="2154" t="s">
        <v>1504</v>
      </c>
      <c r="F5164" s="1598" t="s">
        <v>1729</v>
      </c>
      <c r="G5164" s="1995">
        <v>1</v>
      </c>
      <c r="H5164" s="1372"/>
      <c r="I5164" s="197"/>
      <c r="J5164" s="198"/>
      <c r="K5164" s="1350">
        <f>G5164*K5162</f>
        <v>0.64</v>
      </c>
      <c r="L5164" s="1335">
        <f t="shared" ref="L5164:L5165" si="646">K5164*$K$5063</f>
        <v>0</v>
      </c>
      <c r="M5164" s="1499">
        <v>1.22</v>
      </c>
      <c r="N5164" s="1700"/>
      <c r="O5164" s="1290">
        <f>G5164*M5164</f>
        <v>1.22</v>
      </c>
      <c r="P5164" s="1332">
        <f>M5164*K5164</f>
        <v>0.78080000000000005</v>
      </c>
      <c r="Q5164" s="3391"/>
      <c r="R5164" s="1296"/>
    </row>
    <row r="5165" spans="1:22">
      <c r="A5165" s="1978" t="s">
        <v>2838</v>
      </c>
      <c r="B5165" s="1599"/>
      <c r="C5165" s="1042"/>
      <c r="D5165" s="1610" t="s">
        <v>1082</v>
      </c>
      <c r="E5165" s="2154" t="s">
        <v>1504</v>
      </c>
      <c r="F5165" s="1598" t="s">
        <v>1541</v>
      </c>
      <c r="G5165" s="1995">
        <v>1</v>
      </c>
      <c r="H5165" s="1453"/>
      <c r="I5165" s="198"/>
      <c r="J5165" s="198"/>
      <c r="K5165" s="1350">
        <f>G5165*K5162</f>
        <v>0.64</v>
      </c>
      <c r="L5165" s="1335">
        <f t="shared" si="646"/>
        <v>0</v>
      </c>
      <c r="M5165" s="1499">
        <v>0.3</v>
      </c>
      <c r="N5165" s="1718"/>
      <c r="O5165" s="1290">
        <f>G5165*M5165</f>
        <v>0.3</v>
      </c>
      <c r="P5165" s="1332">
        <f>M5165*K5165</f>
        <v>0.192</v>
      </c>
      <c r="Q5165" s="3391"/>
      <c r="R5165" s="2337"/>
    </row>
    <row r="5166" spans="1:22">
      <c r="A5166" s="16"/>
      <c r="B5166" s="1599"/>
      <c r="C5166" s="1042"/>
      <c r="D5166" s="1396"/>
      <c r="E5166" s="1856"/>
      <c r="F5166" s="1421"/>
      <c r="G5166" s="1452"/>
      <c r="H5166" s="1453"/>
      <c r="I5166" s="1286"/>
      <c r="J5166" s="198"/>
      <c r="K5166" s="1307"/>
      <c r="L5166" s="1335"/>
      <c r="M5166" s="1717"/>
      <c r="N5166" s="1718"/>
      <c r="O5166" s="1719"/>
      <c r="P5166" s="1720"/>
      <c r="Q5166" s="3396"/>
      <c r="R5166" s="1296"/>
    </row>
    <row r="5167" spans="1:22">
      <c r="A5167" s="16"/>
      <c r="B5167" s="553"/>
      <c r="C5167" s="1320"/>
      <c r="D5167" s="1400"/>
      <c r="E5167" s="1856"/>
      <c r="F5167" s="1397"/>
      <c r="G5167" s="1416"/>
      <c r="H5167" s="1399"/>
      <c r="I5167" s="197"/>
      <c r="J5167" s="198"/>
      <c r="K5167" s="1732"/>
      <c r="L5167" s="1335"/>
      <c r="M5167" s="1499"/>
      <c r="N5167" s="1724"/>
      <c r="O5167" s="1290"/>
      <c r="P5167" s="1332"/>
      <c r="Q5167" s="3391"/>
      <c r="R5167" s="2337"/>
    </row>
    <row r="5168" spans="1:22">
      <c r="A5168" s="553"/>
      <c r="B5168" s="1599"/>
      <c r="C5168" s="1320"/>
      <c r="D5168" s="1642"/>
      <c r="E5168" s="2162"/>
      <c r="F5168" s="1643" t="s">
        <v>2</v>
      </c>
      <c r="G5168" s="1989"/>
      <c r="H5168" s="1408"/>
      <c r="I5168" s="1380"/>
      <c r="J5168" s="1381"/>
      <c r="K5168" s="1996"/>
      <c r="L5168" s="1680"/>
      <c r="M5168" s="1681"/>
      <c r="N5168" s="1713"/>
      <c r="O5168" s="1682"/>
      <c r="P5168" s="1683"/>
      <c r="Q5168" s="3391"/>
      <c r="R5168" s="1296"/>
    </row>
    <row r="5169" spans="1:22">
      <c r="A5169" s="16"/>
      <c r="B5169" s="553"/>
      <c r="C5169" s="1042"/>
      <c r="D5169" s="1402" t="s">
        <v>1067</v>
      </c>
      <c r="E5169" s="1857" t="s">
        <v>1508</v>
      </c>
      <c r="F5169" s="1403" t="s">
        <v>5</v>
      </c>
      <c r="G5169" s="1991">
        <v>0.16</v>
      </c>
      <c r="H5169" s="1408"/>
      <c r="I5169" s="1286"/>
      <c r="J5169" s="198"/>
      <c r="K5169" s="1350">
        <f>G5169*K5162</f>
        <v>0.1024</v>
      </c>
      <c r="L5169" s="1335">
        <f t="shared" ref="L5169" si="647">K5169*$K$5063</f>
        <v>0</v>
      </c>
      <c r="M5169" s="1302">
        <v>18.28</v>
      </c>
      <c r="N5169" s="1718"/>
      <c r="O5169" s="1290">
        <f>G5169*M5169</f>
        <v>2.9248000000000003</v>
      </c>
      <c r="P5169" s="1332">
        <f>M5169*K5169</f>
        <v>1.8718720000000002</v>
      </c>
      <c r="Q5169" s="3391"/>
      <c r="R5169" s="2337"/>
    </row>
    <row r="5170" spans="1:22">
      <c r="A5170" s="16"/>
      <c r="B5170" s="553"/>
      <c r="C5170" s="1042"/>
      <c r="D5170" s="1402"/>
      <c r="E5170" s="1857"/>
      <c r="F5170" s="1403"/>
      <c r="G5170" s="1991"/>
      <c r="H5170" s="1408"/>
      <c r="I5170" s="1286"/>
      <c r="J5170" s="198"/>
      <c r="K5170" s="1350"/>
      <c r="L5170" s="1335"/>
      <c r="M5170" s="1302"/>
      <c r="N5170" s="1718"/>
      <c r="O5170" s="1290"/>
      <c r="P5170" s="1332"/>
      <c r="Q5170" s="3391"/>
      <c r="R5170" s="2337"/>
    </row>
    <row r="5171" spans="1:22">
      <c r="A5171" s="16"/>
      <c r="B5171" s="553"/>
      <c r="C5171" s="1042"/>
      <c r="D5171" s="1402"/>
      <c r="E5171" s="1857"/>
      <c r="F5171" s="1403"/>
      <c r="G5171" s="1991"/>
      <c r="H5171" s="1408"/>
      <c r="I5171" s="197"/>
      <c r="J5171" s="198"/>
      <c r="K5171" s="1307"/>
      <c r="L5171" s="1335"/>
      <c r="M5171" s="1302"/>
      <c r="N5171" s="1718"/>
      <c r="O5171" s="1290"/>
      <c r="P5171" s="1332"/>
      <c r="Q5171" s="3391"/>
      <c r="R5171" s="2337"/>
    </row>
    <row r="5172" spans="1:22">
      <c r="A5172" s="1042"/>
      <c r="B5172" s="22"/>
      <c r="C5172" s="1042"/>
      <c r="D5172" s="1411"/>
      <c r="E5172" s="2123"/>
      <c r="F5172" s="1374" t="s">
        <v>3</v>
      </c>
      <c r="G5172" s="1374"/>
      <c r="H5172" s="1376"/>
      <c r="I5172" s="1382"/>
      <c r="J5172" s="1383"/>
      <c r="K5172" s="1684"/>
      <c r="L5172" s="1685"/>
      <c r="M5172" s="1597"/>
      <c r="N5172" s="1597"/>
      <c r="O5172" s="1687"/>
      <c r="P5172" s="1686"/>
      <c r="Q5172" s="3391"/>
      <c r="R5172" s="1173"/>
      <c r="S5172" s="16"/>
      <c r="T5172" s="16"/>
      <c r="U5172" s="16"/>
      <c r="V5172" s="16"/>
    </row>
    <row r="5173" spans="1:22">
      <c r="A5173" s="553"/>
      <c r="B5173" s="1599"/>
      <c r="C5173" s="1042"/>
      <c r="D5173" s="1411"/>
      <c r="E5173" s="2123"/>
      <c r="F5173" s="1375"/>
      <c r="G5173" s="1375"/>
      <c r="H5173" s="1505"/>
      <c r="I5173" s="197" t="str">
        <f ca="1">IF(COUNT(H5173:O5173)=0,"",(SUM(H5173:O5173)/COUNT(H5173:O5173)))</f>
        <v/>
      </c>
      <c r="J5173" s="198"/>
      <c r="K5173" s="1307"/>
      <c r="L5173" s="1335"/>
      <c r="M5173" s="1619"/>
      <c r="N5173" s="1619"/>
      <c r="O5173" s="1290"/>
      <c r="P5173" s="1332"/>
      <c r="Q5173" s="3391"/>
      <c r="R5173" s="3363"/>
    </row>
    <row r="5174" spans="1:22">
      <c r="A5174" s="553"/>
      <c r="B5174" s="1599"/>
      <c r="C5174" s="1042"/>
      <c r="D5174" s="1411"/>
      <c r="E5174" s="2123"/>
      <c r="F5174" s="1375"/>
      <c r="G5174" s="1375"/>
      <c r="H5174" s="1670"/>
      <c r="I5174" s="197" t="str">
        <f ca="1">IF(COUNT(H5174:O5174)=0,"",(SUM(H5174:O5174)/COUNT(H5174:O5174)))</f>
        <v/>
      </c>
      <c r="J5174" s="198"/>
      <c r="K5174" s="1307"/>
      <c r="L5174" s="1335"/>
      <c r="M5174" s="1619"/>
      <c r="N5174" s="1619"/>
      <c r="O5174" s="1290"/>
      <c r="P5174" s="1332"/>
      <c r="Q5174" s="3391"/>
      <c r="R5174" s="3363"/>
    </row>
    <row r="5175" spans="1:22">
      <c r="A5175" s="553"/>
      <c r="B5175" s="1765"/>
      <c r="C5175" s="223"/>
      <c r="D5175" s="1411"/>
      <c r="E5175" s="2123"/>
      <c r="F5175" s="1375"/>
      <c r="G5175" s="1375"/>
      <c r="H5175" s="1376"/>
      <c r="I5175" s="197" t="str">
        <f ca="1">IF(COUNT(H5175:O5175)=0,"",(SUM(H5175:O5175)/COUNT(H5175:O5175)))</f>
        <v/>
      </c>
      <c r="J5175" s="198"/>
      <c r="K5175" s="1307"/>
      <c r="L5175" s="1335"/>
      <c r="M5175" s="1619"/>
      <c r="N5175" s="1619"/>
      <c r="O5175" s="1290"/>
      <c r="P5175" s="1332"/>
      <c r="Q5175" s="3391"/>
      <c r="R5175" s="3363"/>
    </row>
    <row r="5177" spans="1:22" s="2327" customFormat="1" ht="21">
      <c r="A5177" s="4455" t="s">
        <v>192</v>
      </c>
      <c r="B5177" s="4456"/>
      <c r="C5177" s="4456"/>
      <c r="D5177" s="4456"/>
      <c r="E5177" s="2320" t="s">
        <v>1507</v>
      </c>
      <c r="F5177" s="2321" t="s">
        <v>2027</v>
      </c>
      <c r="G5177" s="2322"/>
      <c r="H5177" s="2322"/>
      <c r="I5177" s="2323"/>
      <c r="J5177" s="2322"/>
      <c r="K5177" s="2322"/>
      <c r="L5177" s="2323"/>
      <c r="M5177" s="2322"/>
      <c r="N5177" s="2322"/>
      <c r="O5177" s="2322"/>
      <c r="P5177" s="2324"/>
      <c r="Q5177" s="3392"/>
      <c r="R5177" s="2325"/>
    </row>
    <row r="5178" spans="1:22" ht="28.5">
      <c r="A5178" s="1304"/>
      <c r="B5178" s="1304"/>
      <c r="C5178" s="1304"/>
      <c r="D5178" s="1304"/>
      <c r="E5178" s="1304"/>
      <c r="F5178" s="1296"/>
      <c r="G5178" s="1296"/>
      <c r="H5178" s="1296"/>
      <c r="I5178" s="1558"/>
      <c r="J5178" s="1296"/>
      <c r="K5178" s="1296"/>
      <c r="L5178" s="2380" t="s">
        <v>2856</v>
      </c>
      <c r="M5178" s="1296"/>
      <c r="N5178" s="1296"/>
      <c r="O5178" s="1296"/>
      <c r="P5178" s="1296"/>
      <c r="Q5178" s="3386"/>
      <c r="R5178" s="1296"/>
    </row>
    <row r="5179" spans="1:22">
      <c r="A5179" s="4393" t="s">
        <v>162</v>
      </c>
      <c r="B5179" s="4394"/>
      <c r="C5179" s="4394"/>
      <c r="D5179" s="4395"/>
      <c r="E5179" s="4396" t="s">
        <v>1549</v>
      </c>
      <c r="F5179" s="4397" t="s">
        <v>1550</v>
      </c>
      <c r="G5179" s="4399" t="s">
        <v>1566</v>
      </c>
      <c r="H5179" s="4400"/>
      <c r="I5179" s="4400"/>
      <c r="J5179" s="4400"/>
      <c r="K5179" s="4400"/>
      <c r="L5179" s="4401"/>
      <c r="M5179" s="4405" t="s">
        <v>1567</v>
      </c>
      <c r="N5179" s="4405"/>
      <c r="O5179" s="4405"/>
      <c r="P5179" s="4405"/>
      <c r="Q5179" s="3395"/>
      <c r="R5179" s="1296"/>
    </row>
    <row r="5180" spans="1:22">
      <c r="A5180" s="1324" t="s">
        <v>3766</v>
      </c>
      <c r="B5180" s="1325" t="s">
        <v>1513</v>
      </c>
      <c r="C5180" s="1326" t="s">
        <v>1573</v>
      </c>
      <c r="D5180" s="1323" t="s">
        <v>1514</v>
      </c>
      <c r="E5180" s="4396"/>
      <c r="F5180" s="4398"/>
      <c r="G5180" s="4402"/>
      <c r="H5180" s="4403"/>
      <c r="I5180" s="4403"/>
      <c r="J5180" s="4403"/>
      <c r="K5180" s="4403"/>
      <c r="L5180" s="4404"/>
      <c r="M5180" s="4405"/>
      <c r="N5180" s="4405"/>
      <c r="O5180" s="4405"/>
      <c r="P5180" s="4405"/>
      <c r="Q5180" s="3395"/>
      <c r="R5180" s="1296"/>
    </row>
    <row r="5181" spans="1:22">
      <c r="A5181" s="4374" t="s">
        <v>2026</v>
      </c>
      <c r="B5181" s="4375"/>
      <c r="C5181" s="4375"/>
      <c r="D5181" s="4376"/>
      <c r="E5181" s="4380" t="s">
        <v>1507</v>
      </c>
      <c r="F5181" s="4382" t="s">
        <v>1979</v>
      </c>
      <c r="G5181" s="4493" t="s">
        <v>294</v>
      </c>
      <c r="H5181" s="4493"/>
      <c r="I5181" s="1665" t="s">
        <v>1565</v>
      </c>
      <c r="J5181" s="3348" t="s">
        <v>1575</v>
      </c>
      <c r="K5181" s="4493" t="s">
        <v>289</v>
      </c>
      <c r="L5181" s="4493"/>
      <c r="M5181" s="4408" t="s">
        <v>3349</v>
      </c>
      <c r="N5181" s="4408"/>
      <c r="O5181" s="4408"/>
      <c r="P5181" s="4408"/>
      <c r="Q5181" s="3394" t="s">
        <v>3950</v>
      </c>
      <c r="R5181" s="1296"/>
    </row>
    <row r="5182" spans="1:22" ht="21">
      <c r="A5182" s="4377"/>
      <c r="B5182" s="4378"/>
      <c r="C5182" s="4378"/>
      <c r="D5182" s="4379"/>
      <c r="E5182" s="4381"/>
      <c r="F5182" s="4383"/>
      <c r="G5182" s="4451">
        <f>IF('Seleccion proyecto HEREVEA02'!G45="Reparación faldón (superf.&gt;60%).Sustitución y reposición faldón completo. Rehab. energ. aislm.plancha EPS",'Seleccion proyecto HEREVEA02'!E44,0)</f>
        <v>0</v>
      </c>
      <c r="H5182" s="4452"/>
      <c r="I5182" s="3353">
        <f>IF('Seleccion proyecto HEREVEA02'!H45=0,0,IF('Seleccion proyecto HEREVEA02'!H45="61 a 100",1))</f>
        <v>0</v>
      </c>
      <c r="J5182" s="1351">
        <f>'Seleccion proyecto HEREVEA02'!L8</f>
        <v>11100.968999999999</v>
      </c>
      <c r="K5182" s="4358">
        <f>G5182*I5182*J5182</f>
        <v>0</v>
      </c>
      <c r="L5182" s="4359"/>
      <c r="M5182" s="4360">
        <f>P5184+P5199+P5216+P5236+P5256+P5277+P5298+P5317+P5331+P5355+P5370</f>
        <v>84.656241348800023</v>
      </c>
      <c r="N5182" s="4361"/>
      <c r="O5182" s="4361"/>
      <c r="P5182" s="4449"/>
      <c r="Q5182" s="3388">
        <f>M5182*K5182</f>
        <v>0</v>
      </c>
      <c r="R5182" s="2371" t="s">
        <v>2844</v>
      </c>
    </row>
    <row r="5183" spans="1:22">
      <c r="A5183" s="18" t="s">
        <v>3764</v>
      </c>
      <c r="B5183" s="4367" t="s">
        <v>2028</v>
      </c>
      <c r="C5183" s="3354"/>
      <c r="D5183" s="4368"/>
      <c r="E5183" s="4329" t="s">
        <v>1507</v>
      </c>
      <c r="F5183" s="4336" t="s">
        <v>2029</v>
      </c>
      <c r="G5183" s="4331" t="s">
        <v>1568</v>
      </c>
      <c r="H5183" s="4331" t="s">
        <v>1574</v>
      </c>
      <c r="I5183" s="1572" t="s">
        <v>1559</v>
      </c>
      <c r="J5183" s="1294" t="s">
        <v>1560</v>
      </c>
      <c r="K5183" s="1294" t="s">
        <v>1569</v>
      </c>
      <c r="L5183" s="4333" t="s">
        <v>3765</v>
      </c>
      <c r="M5183" s="4335" t="s">
        <v>1571</v>
      </c>
      <c r="N5183" s="4323" t="s">
        <v>1776</v>
      </c>
      <c r="O5183" s="3347" t="s">
        <v>1563</v>
      </c>
      <c r="P5183" s="1336" t="s">
        <v>1562</v>
      </c>
      <c r="Q5183" s="3389"/>
      <c r="R5183" s="1699" t="s">
        <v>1327</v>
      </c>
    </row>
    <row r="5184" spans="1:22">
      <c r="A5184" s="1662" t="s">
        <v>2026</v>
      </c>
      <c r="B5184" s="4369"/>
      <c r="C5184" s="3351"/>
      <c r="D5184" s="4328"/>
      <c r="E5184" s="4330"/>
      <c r="F5184" s="4336"/>
      <c r="G5184" s="4332"/>
      <c r="H5184" s="4332"/>
      <c r="I5184" s="1345">
        <v>688</v>
      </c>
      <c r="J5184" s="1307">
        <v>1E-3</v>
      </c>
      <c r="K5184" s="1297">
        <f>I5184*J5184</f>
        <v>0.68800000000000006</v>
      </c>
      <c r="L5184" s="4334"/>
      <c r="M5184" s="4335"/>
      <c r="N5184" s="4324"/>
      <c r="O5184" s="1298">
        <f>SUM(O5186:O5197)</f>
        <v>14.0425</v>
      </c>
      <c r="P5184" s="1337">
        <f>O5184*K5184</f>
        <v>9.6612400000000012</v>
      </c>
      <c r="Q5184" s="3390"/>
      <c r="R5184" s="1721">
        <f>P5190+P5191</f>
        <v>9.6612400000000029</v>
      </c>
    </row>
    <row r="5185" spans="1:22">
      <c r="A5185" s="1320"/>
      <c r="B5185" s="22"/>
      <c r="C5185" s="1327"/>
      <c r="D5185" s="1367"/>
      <c r="E5185" s="2121"/>
      <c r="F5185" s="1389" t="s">
        <v>1</v>
      </c>
      <c r="G5185" s="1389"/>
      <c r="H5185" s="1369"/>
      <c r="I5185" s="1409"/>
      <c r="J5185" s="1390"/>
      <c r="K5185" s="1391"/>
      <c r="L5185" s="1559"/>
      <c r="M5185" s="1369"/>
      <c r="N5185" s="1369"/>
      <c r="O5185" s="1369"/>
      <c r="P5185" s="1392"/>
      <c r="Q5185" s="3395"/>
      <c r="R5185" s="1296"/>
    </row>
    <row r="5186" spans="1:22">
      <c r="A5186" s="1042"/>
      <c r="B5186" s="22"/>
      <c r="C5186" s="1042"/>
      <c r="D5186" s="1672"/>
      <c r="E5186" s="2160"/>
      <c r="F5186" s="1675"/>
      <c r="G5186" s="1675"/>
      <c r="H5186" s="1674"/>
      <c r="I5186" s="1299" t="str">
        <f t="shared" ref="I5186:I5188" ca="1" si="648">IF(COUNT(H5186:O5186)=0,"",(SUM(H5186:O5186)/COUNT(H5186:O5186)))</f>
        <v/>
      </c>
      <c r="J5186" s="1300"/>
      <c r="K5186" s="1307" t="str">
        <f t="shared" ref="K5186:K5188" ca="1" si="649">IF(COUNT(I5186)=0,"",(I5186*J5186))</f>
        <v/>
      </c>
      <c r="L5186" s="1335"/>
      <c r="M5186" s="1302"/>
      <c r="N5186" s="1700"/>
      <c r="O5186" s="1290"/>
      <c r="P5186" s="1332"/>
      <c r="Q5186" s="3391"/>
      <c r="R5186" s="1296"/>
    </row>
    <row r="5187" spans="1:22">
      <c r="A5187" s="1042"/>
      <c r="B5187" s="22"/>
      <c r="C5187" s="1042"/>
      <c r="D5187" s="1367"/>
      <c r="E5187" s="2121"/>
      <c r="F5187" s="1436"/>
      <c r="G5187" s="1436"/>
      <c r="H5187" s="1369"/>
      <c r="I5187" s="1299" t="str">
        <f t="shared" ca="1" si="648"/>
        <v/>
      </c>
      <c r="J5187" s="1300"/>
      <c r="K5187" s="1307" t="str">
        <f t="shared" ca="1" si="649"/>
        <v/>
      </c>
      <c r="L5187" s="1335"/>
      <c r="M5187" s="1302"/>
      <c r="N5187" s="1700"/>
      <c r="O5187" s="1290"/>
      <c r="P5187" s="1332"/>
      <c r="Q5187" s="3391"/>
      <c r="R5187" s="1296"/>
    </row>
    <row r="5188" spans="1:22">
      <c r="A5188" s="1042"/>
      <c r="B5188" s="22"/>
      <c r="C5188" s="1042"/>
      <c r="D5188" s="1367"/>
      <c r="E5188" s="2121"/>
      <c r="F5188" s="1436"/>
      <c r="G5188" s="1436"/>
      <c r="H5188" s="1369"/>
      <c r="I5188" s="1299" t="str">
        <f t="shared" ca="1" si="648"/>
        <v/>
      </c>
      <c r="J5188" s="1300"/>
      <c r="K5188" s="1307" t="str">
        <f t="shared" ca="1" si="649"/>
        <v/>
      </c>
      <c r="L5188" s="1335"/>
      <c r="M5188" s="1302"/>
      <c r="N5188" s="1700"/>
      <c r="O5188" s="1290"/>
      <c r="P5188" s="1332"/>
      <c r="Q5188" s="3391"/>
      <c r="R5188" s="1296"/>
    </row>
    <row r="5189" spans="1:22">
      <c r="A5189" s="1042"/>
      <c r="B5189" s="22"/>
      <c r="C5189" s="1042"/>
      <c r="D5189" s="1359"/>
      <c r="E5189" s="1858"/>
      <c r="F5189" s="1360" t="s">
        <v>2</v>
      </c>
      <c r="G5189" s="1360"/>
      <c r="H5189" s="1362"/>
      <c r="I5189" s="1380"/>
      <c r="J5189" s="1381"/>
      <c r="K5189" s="1381"/>
      <c r="L5189" s="1458"/>
      <c r="M5189" s="1362"/>
      <c r="N5189" s="1362"/>
      <c r="O5189" s="1362"/>
      <c r="P5189" s="1359"/>
      <c r="Q5189" s="3387"/>
    </row>
    <row r="5190" spans="1:22">
      <c r="A5190" s="1321"/>
      <c r="B5190" s="1295"/>
      <c r="C5190" s="1321"/>
      <c r="D5190" s="1363" t="s">
        <v>1067</v>
      </c>
      <c r="E5190" s="2125" t="s">
        <v>1508</v>
      </c>
      <c r="F5190" s="1385" t="s">
        <v>1512</v>
      </c>
      <c r="G5190" s="2019">
        <v>0.4</v>
      </c>
      <c r="H5190" s="1386"/>
      <c r="I5190" s="1299"/>
      <c r="J5190" s="1300"/>
      <c r="K5190" s="1307">
        <f>G5190*K5184</f>
        <v>0.27520000000000006</v>
      </c>
      <c r="L5190" s="1335">
        <f>K5190*$K$5182</f>
        <v>0</v>
      </c>
      <c r="M5190" s="1302">
        <v>18.28</v>
      </c>
      <c r="N5190" s="1700"/>
      <c r="O5190" s="1290">
        <f>G5190*M5190</f>
        <v>7.3120000000000012</v>
      </c>
      <c r="P5190" s="1332">
        <f>M5190*K5190</f>
        <v>5.0306560000000013</v>
      </c>
      <c r="Q5190" s="3391"/>
    </row>
    <row r="5191" spans="1:22">
      <c r="A5191" s="16"/>
      <c r="B5191" s="1042"/>
      <c r="C5191" s="88"/>
      <c r="D5191" s="1430" t="s">
        <v>1077</v>
      </c>
      <c r="E5191" s="1857" t="s">
        <v>1508</v>
      </c>
      <c r="F5191" s="1403" t="s">
        <v>37</v>
      </c>
      <c r="G5191" s="1991">
        <v>0.35</v>
      </c>
      <c r="H5191" s="1408"/>
      <c r="I5191" s="197"/>
      <c r="J5191" s="198"/>
      <c r="K5191" s="1307">
        <f>G5191*K5184</f>
        <v>0.24080000000000001</v>
      </c>
      <c r="L5191" s="1335">
        <f>K5191*$K$5182</f>
        <v>0</v>
      </c>
      <c r="M5191" s="1302">
        <v>19.23</v>
      </c>
      <c r="N5191" s="1718"/>
      <c r="O5191" s="1290">
        <f>G5191*M5191</f>
        <v>6.7305000000000001</v>
      </c>
      <c r="P5191" s="1332">
        <f>M5191*K5191</f>
        <v>4.6305840000000007</v>
      </c>
      <c r="Q5191" s="3391"/>
      <c r="R5191" s="2337"/>
      <c r="S5191" s="16"/>
      <c r="T5191" s="16"/>
      <c r="U5191" s="16"/>
      <c r="V5191" s="16"/>
    </row>
    <row r="5192" spans="1:22">
      <c r="A5192" s="1320"/>
      <c r="B5192" s="22"/>
      <c r="C5192" s="1320"/>
      <c r="D5192" s="1359"/>
      <c r="E5192" s="1858"/>
      <c r="F5192" s="1404"/>
      <c r="G5192" s="1404"/>
      <c r="H5192" s="1359"/>
      <c r="I5192" s="1299"/>
      <c r="J5192" s="1300"/>
      <c r="K5192" s="1307"/>
      <c r="L5192" s="1335"/>
      <c r="M5192" s="1302"/>
      <c r="N5192" s="1700"/>
      <c r="O5192" s="1290"/>
      <c r="P5192" s="1332"/>
      <c r="Q5192" s="3391"/>
      <c r="R5192" s="1296"/>
    </row>
    <row r="5193" spans="1:22">
      <c r="A5193" s="1320"/>
      <c r="B5193" s="22"/>
      <c r="C5193" s="1320"/>
      <c r="D5193" s="1359"/>
      <c r="E5193" s="1858"/>
      <c r="F5193" s="1361"/>
      <c r="G5193" s="1361"/>
      <c r="H5193" s="1466"/>
      <c r="I5193" s="1299"/>
      <c r="J5193" s="1300"/>
      <c r="K5193" s="1307" t="str">
        <f>IF(COUNT(I5193)=0,"",(I5193*J5193))</f>
        <v/>
      </c>
      <c r="L5193" s="1335"/>
      <c r="M5193" s="1302"/>
      <c r="N5193" s="1700"/>
      <c r="O5193" s="1290"/>
      <c r="P5193" s="1332"/>
      <c r="Q5193" s="3391"/>
      <c r="R5193" s="1296"/>
    </row>
    <row r="5194" spans="1:22">
      <c r="A5194" s="1320"/>
      <c r="B5194" s="22"/>
      <c r="C5194" s="1320"/>
      <c r="D5194" s="1373"/>
      <c r="E5194" s="2123"/>
      <c r="F5194" s="1374" t="s">
        <v>3</v>
      </c>
      <c r="G5194" s="1375"/>
      <c r="H5194" s="1376"/>
      <c r="I5194" s="1382"/>
      <c r="J5194" s="1383"/>
      <c r="K5194" s="1383" t="str">
        <f>IF(COUNT(I5194)=0,"",(I5194*J5194))</f>
        <v/>
      </c>
      <c r="L5194" s="1413"/>
      <c r="M5194" s="1376"/>
      <c r="N5194" s="1376"/>
      <c r="O5194" s="1376"/>
      <c r="P5194" s="1373"/>
      <c r="Q5194" s="3387"/>
      <c r="R5194" s="1296"/>
    </row>
    <row r="5195" spans="1:22">
      <c r="A5195" s="1321"/>
      <c r="B5195" s="1295"/>
      <c r="C5195" s="1321"/>
      <c r="D5195" s="1377"/>
      <c r="E5195" s="2124"/>
      <c r="F5195" s="1378"/>
      <c r="G5195" s="1378"/>
      <c r="H5195" s="1379"/>
      <c r="I5195" s="1299"/>
      <c r="J5195" s="1300"/>
      <c r="K5195" s="1307"/>
      <c r="L5195" s="1335"/>
      <c r="M5195" s="1302"/>
      <c r="N5195" s="1700"/>
      <c r="O5195" s="1290"/>
      <c r="P5195" s="1332"/>
      <c r="Q5195" s="3391"/>
      <c r="R5195" s="1296"/>
    </row>
    <row r="5196" spans="1:22">
      <c r="A5196" s="1321"/>
      <c r="B5196" s="1295"/>
      <c r="C5196" s="1321"/>
      <c r="D5196" s="1377"/>
      <c r="E5196" s="2124"/>
      <c r="F5196" s="1378"/>
      <c r="G5196" s="1378"/>
      <c r="H5196" s="1379"/>
      <c r="I5196" s="1299"/>
      <c r="J5196" s="1300"/>
      <c r="K5196" s="1307"/>
      <c r="L5196" s="1335"/>
      <c r="M5196" s="1302"/>
      <c r="N5196" s="1700"/>
      <c r="O5196" s="1290"/>
      <c r="P5196" s="1333"/>
      <c r="Q5196" s="3391"/>
      <c r="R5196" s="1296"/>
    </row>
    <row r="5197" spans="1:22">
      <c r="A5197" s="1042"/>
      <c r="B5197" s="1765"/>
      <c r="C5197" s="223"/>
      <c r="D5197" s="1373"/>
      <c r="E5197" s="2161"/>
      <c r="F5197" s="1678"/>
      <c r="G5197" s="1678"/>
      <c r="H5197" s="1376"/>
      <c r="I5197" s="1299"/>
      <c r="J5197" s="1300"/>
      <c r="K5197" s="1307"/>
      <c r="L5197" s="1335"/>
      <c r="M5197" s="1302"/>
      <c r="N5197" s="1700"/>
      <c r="O5197" s="1290"/>
      <c r="P5197" s="1332"/>
      <c r="Q5197" s="3391"/>
      <c r="R5197" s="1296"/>
    </row>
    <row r="5198" spans="1:22">
      <c r="A5198" s="18" t="s">
        <v>3764</v>
      </c>
      <c r="B5198" s="4367" t="s">
        <v>2030</v>
      </c>
      <c r="C5198" s="3354"/>
      <c r="D5198" s="4368"/>
      <c r="E5198" s="4329" t="s">
        <v>1527</v>
      </c>
      <c r="F5198" s="4336" t="s">
        <v>2031</v>
      </c>
      <c r="G5198" s="4331" t="s">
        <v>1568</v>
      </c>
      <c r="H5198" s="4331" t="s">
        <v>1574</v>
      </c>
      <c r="I5198" s="1572" t="s">
        <v>1559</v>
      </c>
      <c r="J5198" s="1294" t="s">
        <v>1560</v>
      </c>
      <c r="K5198" s="1294" t="s">
        <v>1569</v>
      </c>
      <c r="L5198" s="4333" t="s">
        <v>3765</v>
      </c>
      <c r="M5198" s="4335" t="s">
        <v>1571</v>
      </c>
      <c r="N5198" s="4323" t="s">
        <v>1776</v>
      </c>
      <c r="O5198" s="3347" t="s">
        <v>1563</v>
      </c>
      <c r="P5198" s="1336" t="s">
        <v>1562</v>
      </c>
      <c r="Q5198" s="3389"/>
      <c r="R5198" s="1699" t="s">
        <v>1327</v>
      </c>
    </row>
    <row r="5199" spans="1:22">
      <c r="A5199" s="1662" t="s">
        <v>2026</v>
      </c>
      <c r="B5199" s="4369"/>
      <c r="C5199" s="3351"/>
      <c r="D5199" s="4328"/>
      <c r="E5199" s="4330"/>
      <c r="F5199" s="4336"/>
      <c r="G5199" s="4332"/>
      <c r="H5199" s="4332"/>
      <c r="I5199" s="1345">
        <v>252</v>
      </c>
      <c r="J5199" s="1307">
        <v>1E-3</v>
      </c>
      <c r="K5199" s="1297">
        <f>I5199*J5199</f>
        <v>0.252</v>
      </c>
      <c r="L5199" s="4334"/>
      <c r="M5199" s="4335"/>
      <c r="N5199" s="4324"/>
      <c r="O5199" s="1298">
        <f>SUM(O5201:O5207)</f>
        <v>13.478000000000002</v>
      </c>
      <c r="P5199" s="1337">
        <f>O5199*K5199</f>
        <v>3.3964560000000006</v>
      </c>
      <c r="Q5199" s="3390"/>
      <c r="R5199" s="1721">
        <f>P5201+P5202+P5203+P5207</f>
        <v>3.3964560000000001</v>
      </c>
    </row>
    <row r="5200" spans="1:22">
      <c r="A5200" s="1320"/>
      <c r="B5200" s="22"/>
      <c r="C5200" s="1327"/>
      <c r="D5200" s="1367"/>
      <c r="E5200" s="2121"/>
      <c r="F5200" s="1389" t="s">
        <v>1</v>
      </c>
      <c r="G5200" s="1389"/>
      <c r="H5200" s="1369"/>
      <c r="I5200" s="1409"/>
      <c r="J5200" s="1390"/>
      <c r="K5200" s="1391"/>
      <c r="L5200" s="1559"/>
      <c r="M5200" s="1369"/>
      <c r="N5200" s="1369"/>
      <c r="O5200" s="1369"/>
      <c r="P5200" s="1392"/>
      <c r="Q5200" s="3395"/>
      <c r="R5200" s="1296"/>
    </row>
    <row r="5201" spans="1:22">
      <c r="A5201" s="1042"/>
      <c r="B5201" s="22"/>
      <c r="C5201" s="1042"/>
      <c r="D5201" s="1598" t="s">
        <v>2032</v>
      </c>
      <c r="E5201" s="2154" t="s">
        <v>1527</v>
      </c>
      <c r="F5201" s="1598" t="s">
        <v>2033</v>
      </c>
      <c r="G5201" s="1612">
        <v>1.1000000000000001</v>
      </c>
      <c r="H5201" s="1674"/>
      <c r="I5201" s="1299"/>
      <c r="J5201" s="1300"/>
      <c r="K5201" s="1307">
        <f>G5201*K5199</f>
        <v>0.2772</v>
      </c>
      <c r="L5201" s="1335">
        <f t="shared" ref="L5201:L5203" si="650">K5201*$K$5182</f>
        <v>0</v>
      </c>
      <c r="M5201" s="1302">
        <v>2.66</v>
      </c>
      <c r="N5201" s="1700"/>
      <c r="O5201" s="1290">
        <f>G5201*M5201</f>
        <v>2.9260000000000006</v>
      </c>
      <c r="P5201" s="1332">
        <f>M5201*K5201</f>
        <v>0.73735200000000001</v>
      </c>
      <c r="Q5201" s="3391"/>
      <c r="R5201" s="1296"/>
    </row>
    <row r="5202" spans="1:22">
      <c r="A5202" s="1042"/>
      <c r="B5202" s="22"/>
      <c r="C5202" s="1042"/>
      <c r="D5202" s="1598" t="s">
        <v>1082</v>
      </c>
      <c r="E5202" s="2154" t="s">
        <v>1504</v>
      </c>
      <c r="F5202" s="1598" t="s">
        <v>1541</v>
      </c>
      <c r="G5202" s="1612">
        <v>1</v>
      </c>
      <c r="H5202" s="1674"/>
      <c r="I5202" s="1299"/>
      <c r="J5202" s="1300"/>
      <c r="K5202" s="1307">
        <f>G5202*K5199</f>
        <v>0.252</v>
      </c>
      <c r="L5202" s="1335">
        <f t="shared" si="650"/>
        <v>0</v>
      </c>
      <c r="M5202" s="1302">
        <v>0.3</v>
      </c>
      <c r="N5202" s="1700"/>
      <c r="O5202" s="1290">
        <f>G5202*M5202</f>
        <v>0.3</v>
      </c>
      <c r="P5202" s="1332">
        <f>M5202*K5202</f>
        <v>7.5600000000000001E-2</v>
      </c>
      <c r="Q5202" s="3391"/>
      <c r="R5202" s="1296"/>
    </row>
    <row r="5203" spans="1:22">
      <c r="A5203" s="1042"/>
      <c r="B5203" s="22"/>
      <c r="C5203" s="1042"/>
      <c r="D5203" s="1598" t="s">
        <v>1097</v>
      </c>
      <c r="E5203" s="2154" t="s">
        <v>1504</v>
      </c>
      <c r="F5203" s="1598" t="s">
        <v>1632</v>
      </c>
      <c r="G5203" s="1612">
        <v>5</v>
      </c>
      <c r="H5203" s="1674"/>
      <c r="I5203" s="1299"/>
      <c r="J5203" s="1300"/>
      <c r="K5203" s="1307">
        <f>G5203*K5199</f>
        <v>1.26</v>
      </c>
      <c r="L5203" s="1335">
        <f t="shared" si="650"/>
        <v>0</v>
      </c>
      <c r="M5203" s="1302">
        <v>0.55000000000000004</v>
      </c>
      <c r="N5203" s="1700"/>
      <c r="O5203" s="1290">
        <f>G5203*M5203</f>
        <v>2.75</v>
      </c>
      <c r="P5203" s="1332">
        <f>M5203*K5203</f>
        <v>0.69300000000000006</v>
      </c>
      <c r="Q5203" s="3391"/>
      <c r="R5203" s="1296"/>
    </row>
    <row r="5204" spans="1:22">
      <c r="A5204" s="1042"/>
      <c r="B5204" s="22"/>
      <c r="C5204" s="1042"/>
      <c r="D5204" s="1367"/>
      <c r="E5204" s="2121"/>
      <c r="F5204" s="1436"/>
      <c r="G5204" s="1436"/>
      <c r="H5204" s="1369"/>
      <c r="I5204" s="1299" t="str">
        <f t="shared" ref="I5204:I5205" ca="1" si="651">IF(COUNT(H5204:O5204)=0,"",(SUM(H5204:O5204)/COUNT(H5204:O5204)))</f>
        <v/>
      </c>
      <c r="J5204" s="1300"/>
      <c r="K5204" s="1307" t="str">
        <f t="shared" ref="K5204:K5205" ca="1" si="652">IF(COUNT(I5204)=0,"",(I5204*J5204))</f>
        <v/>
      </c>
      <c r="L5204" s="1335"/>
      <c r="M5204" s="1302"/>
      <c r="N5204" s="1700"/>
      <c r="O5204" s="1290"/>
      <c r="P5204" s="1332"/>
      <c r="Q5204" s="3391"/>
      <c r="R5204" s="1296"/>
    </row>
    <row r="5205" spans="1:22">
      <c r="A5205" s="1042"/>
      <c r="B5205" s="22"/>
      <c r="C5205" s="1042"/>
      <c r="D5205" s="1367"/>
      <c r="E5205" s="2121"/>
      <c r="F5205" s="1436"/>
      <c r="G5205" s="1436"/>
      <c r="H5205" s="1369"/>
      <c r="I5205" s="1299" t="str">
        <f t="shared" ca="1" si="651"/>
        <v/>
      </c>
      <c r="J5205" s="1300"/>
      <c r="K5205" s="1307" t="str">
        <f t="shared" ca="1" si="652"/>
        <v/>
      </c>
      <c r="L5205" s="1335"/>
      <c r="M5205" s="1302"/>
      <c r="N5205" s="1700"/>
      <c r="O5205" s="1290"/>
      <c r="P5205" s="1332"/>
      <c r="Q5205" s="3391"/>
      <c r="R5205" s="1296"/>
    </row>
    <row r="5206" spans="1:22">
      <c r="A5206" s="1042"/>
      <c r="B5206" s="22"/>
      <c r="C5206" s="1042"/>
      <c r="D5206" s="1359"/>
      <c r="E5206" s="1858"/>
      <c r="F5206" s="1360" t="s">
        <v>2</v>
      </c>
      <c r="G5206" s="1360"/>
      <c r="H5206" s="1362"/>
      <c r="I5206" s="1380"/>
      <c r="J5206" s="1381"/>
      <c r="K5206" s="1381"/>
      <c r="L5206" s="1458"/>
      <c r="M5206" s="1362"/>
      <c r="N5206" s="1362"/>
      <c r="O5206" s="1362"/>
      <c r="P5206" s="1359"/>
      <c r="Q5206" s="3387"/>
    </row>
    <row r="5207" spans="1:22">
      <c r="A5207" s="16"/>
      <c r="B5207" s="1042"/>
      <c r="C5207" s="1652" t="s">
        <v>1755</v>
      </c>
      <c r="D5207" s="1461"/>
      <c r="E5207" s="2163" t="s">
        <v>1508</v>
      </c>
      <c r="F5207" s="1648" t="s">
        <v>1524</v>
      </c>
      <c r="G5207" s="1990"/>
      <c r="H5207" s="1456">
        <v>0.2</v>
      </c>
      <c r="I5207" s="1444"/>
      <c r="J5207" s="1388"/>
      <c r="K5207" s="1445"/>
      <c r="L5207" s="1457"/>
      <c r="M5207" s="1447"/>
      <c r="N5207" s="1447">
        <f>SUM(N5208:N5209)</f>
        <v>37.510000000000005</v>
      </c>
      <c r="O5207" s="1447">
        <f>SUM(O5208:O5209)</f>
        <v>7.5020000000000007</v>
      </c>
      <c r="P5207" s="1447">
        <f>SUM(P5208:P5209)</f>
        <v>1.890504</v>
      </c>
      <c r="Q5207" s="3391"/>
      <c r="R5207" s="2337"/>
      <c r="S5207" s="16"/>
      <c r="T5207" s="16"/>
      <c r="U5207" s="16"/>
      <c r="V5207" s="16"/>
    </row>
    <row r="5208" spans="1:22">
      <c r="A5208" s="16"/>
      <c r="B5208" s="1042"/>
      <c r="C5208" s="88"/>
      <c r="D5208" s="1430" t="s">
        <v>1067</v>
      </c>
      <c r="E5208" s="1857" t="s">
        <v>1508</v>
      </c>
      <c r="F5208" s="1403" t="s">
        <v>5</v>
      </c>
      <c r="G5208" s="1991">
        <v>1</v>
      </c>
      <c r="H5208" s="1408">
        <f>G5208*$H$5207</f>
        <v>0.2</v>
      </c>
      <c r="I5208" s="1286"/>
      <c r="J5208" s="198"/>
      <c r="K5208" s="1307">
        <f>H5208*$K$5199</f>
        <v>5.04E-2</v>
      </c>
      <c r="L5208" s="1335">
        <f t="shared" ref="L5208:L5209" si="653">K5208*$K$5182</f>
        <v>0</v>
      </c>
      <c r="M5208" s="1302">
        <v>18.28</v>
      </c>
      <c r="N5208" s="1718">
        <f>G5208*M5208</f>
        <v>18.28</v>
      </c>
      <c r="O5208" s="1290">
        <f>H5208*M5208</f>
        <v>3.6560000000000006</v>
      </c>
      <c r="P5208" s="1332">
        <f>M5208*K5208</f>
        <v>0.92131200000000002</v>
      </c>
      <c r="Q5208" s="3391"/>
      <c r="R5208" s="2337"/>
      <c r="S5208" s="16"/>
      <c r="T5208" s="16"/>
      <c r="U5208" s="16"/>
      <c r="V5208" s="16"/>
    </row>
    <row r="5209" spans="1:22">
      <c r="A5209" s="16"/>
      <c r="B5209" s="1042"/>
      <c r="C5209" s="88"/>
      <c r="D5209" s="1430" t="s">
        <v>1077</v>
      </c>
      <c r="E5209" s="1857" t="s">
        <v>1508</v>
      </c>
      <c r="F5209" s="1403" t="s">
        <v>37</v>
      </c>
      <c r="G5209" s="1991">
        <v>1</v>
      </c>
      <c r="H5209" s="1408">
        <f>G5209*$H$5207</f>
        <v>0.2</v>
      </c>
      <c r="I5209" s="197"/>
      <c r="J5209" s="198"/>
      <c r="K5209" s="1307">
        <f>H5209*$K$5199</f>
        <v>5.04E-2</v>
      </c>
      <c r="L5209" s="1335">
        <f t="shared" si="653"/>
        <v>0</v>
      </c>
      <c r="M5209" s="1302">
        <v>19.23</v>
      </c>
      <c r="N5209" s="1718">
        <f>G5209*M5209</f>
        <v>19.23</v>
      </c>
      <c r="O5209" s="1290">
        <f>H5209*M5209</f>
        <v>3.8460000000000001</v>
      </c>
      <c r="P5209" s="1332">
        <f>M5209*K5209</f>
        <v>0.96919200000000005</v>
      </c>
      <c r="Q5209" s="3391"/>
      <c r="R5209" s="2337"/>
      <c r="S5209" s="16"/>
      <c r="T5209" s="16"/>
      <c r="U5209" s="16"/>
      <c r="V5209" s="16"/>
    </row>
    <row r="5210" spans="1:22">
      <c r="A5210" s="1320"/>
      <c r="B5210" s="22"/>
      <c r="C5210" s="1320"/>
      <c r="D5210" s="1359"/>
      <c r="E5210" s="1858"/>
      <c r="F5210" s="1361"/>
      <c r="G5210" s="1361"/>
      <c r="H5210" s="1466"/>
      <c r="I5210" s="1299"/>
      <c r="J5210" s="1300"/>
      <c r="K5210" s="1307" t="str">
        <f>IF(COUNT(I5210)=0,"",(I5210*J5210))</f>
        <v/>
      </c>
      <c r="L5210" s="1335"/>
      <c r="M5210" s="1302"/>
      <c r="N5210" s="1700"/>
      <c r="O5210" s="1290"/>
      <c r="P5210" s="1332"/>
      <c r="Q5210" s="3391"/>
      <c r="R5210" s="1296"/>
    </row>
    <row r="5211" spans="1:22">
      <c r="A5211" s="1320"/>
      <c r="B5211" s="22"/>
      <c r="C5211" s="1320"/>
      <c r="D5211" s="1373"/>
      <c r="E5211" s="2123"/>
      <c r="F5211" s="1374" t="s">
        <v>3</v>
      </c>
      <c r="G5211" s="1375"/>
      <c r="H5211" s="1376"/>
      <c r="I5211" s="1382"/>
      <c r="J5211" s="1383"/>
      <c r="K5211" s="1383" t="str">
        <f>IF(COUNT(I5211)=0,"",(I5211*J5211))</f>
        <v/>
      </c>
      <c r="L5211" s="1413"/>
      <c r="M5211" s="1376"/>
      <c r="N5211" s="1376"/>
      <c r="O5211" s="1376"/>
      <c r="P5211" s="1373"/>
      <c r="Q5211" s="3387"/>
      <c r="R5211" s="1296"/>
    </row>
    <row r="5212" spans="1:22">
      <c r="A5212" s="1321"/>
      <c r="B5212" s="1295"/>
      <c r="C5212" s="1321"/>
      <c r="D5212" s="1377"/>
      <c r="E5212" s="2124"/>
      <c r="F5212" s="1378"/>
      <c r="G5212" s="1378"/>
      <c r="H5212" s="1379"/>
      <c r="I5212" s="1299"/>
      <c r="J5212" s="1300"/>
      <c r="K5212" s="1307"/>
      <c r="L5212" s="1335"/>
      <c r="M5212" s="1302"/>
      <c r="N5212" s="1700"/>
      <c r="O5212" s="1290"/>
      <c r="P5212" s="1332"/>
      <c r="Q5212" s="3391"/>
      <c r="R5212" s="1296"/>
    </row>
    <row r="5213" spans="1:22">
      <c r="A5213" s="1321"/>
      <c r="B5213" s="1295"/>
      <c r="C5213" s="1321"/>
      <c r="D5213" s="1377"/>
      <c r="E5213" s="2124"/>
      <c r="F5213" s="1378"/>
      <c r="G5213" s="1378"/>
      <c r="H5213" s="1379"/>
      <c r="I5213" s="1299"/>
      <c r="J5213" s="1300"/>
      <c r="K5213" s="1307"/>
      <c r="L5213" s="1335"/>
      <c r="M5213" s="1302"/>
      <c r="N5213" s="1700"/>
      <c r="O5213" s="1290"/>
      <c r="P5213" s="1333"/>
      <c r="Q5213" s="3391"/>
      <c r="R5213" s="1296"/>
    </row>
    <row r="5214" spans="1:22">
      <c r="A5214" s="1042"/>
      <c r="B5214" s="1765"/>
      <c r="C5214" s="223"/>
      <c r="D5214" s="1373"/>
      <c r="E5214" s="2161"/>
      <c r="F5214" s="1678"/>
      <c r="G5214" s="1678"/>
      <c r="H5214" s="1376"/>
      <c r="I5214" s="1299"/>
      <c r="J5214" s="1300"/>
      <c r="K5214" s="1307"/>
      <c r="L5214" s="1335"/>
      <c r="M5214" s="1302"/>
      <c r="N5214" s="1700"/>
      <c r="O5214" s="1290"/>
      <c r="P5214" s="1332"/>
      <c r="Q5214" s="3391"/>
      <c r="R5214" s="1296"/>
    </row>
    <row r="5215" spans="1:22" ht="15" customHeight="1">
      <c r="A5215" s="18" t="s">
        <v>3764</v>
      </c>
      <c r="B5215" s="4367" t="s">
        <v>2034</v>
      </c>
      <c r="C5215" s="3354"/>
      <c r="D5215" s="4368"/>
      <c r="E5215" s="4329" t="s">
        <v>1527</v>
      </c>
      <c r="F5215" s="4336" t="s">
        <v>2035</v>
      </c>
      <c r="G5215" s="4331" t="s">
        <v>1568</v>
      </c>
      <c r="H5215" s="4331" t="s">
        <v>1574</v>
      </c>
      <c r="I5215" s="1572" t="s">
        <v>1559</v>
      </c>
      <c r="J5215" s="1294" t="s">
        <v>1560</v>
      </c>
      <c r="K5215" s="1294" t="s">
        <v>1569</v>
      </c>
      <c r="L5215" s="4333" t="s">
        <v>3765</v>
      </c>
      <c r="M5215" s="4335" t="s">
        <v>1571</v>
      </c>
      <c r="N5215" s="4323" t="s">
        <v>1776</v>
      </c>
      <c r="O5215" s="3347" t="s">
        <v>1563</v>
      </c>
      <c r="P5215" s="1336" t="s">
        <v>1562</v>
      </c>
      <c r="Q5215" s="3389"/>
      <c r="R5215" s="1699" t="s">
        <v>1327</v>
      </c>
    </row>
    <row r="5216" spans="1:22">
      <c r="A5216" s="1662" t="s">
        <v>2026</v>
      </c>
      <c r="B5216" s="4369"/>
      <c r="C5216" s="3354"/>
      <c r="D5216" s="4328"/>
      <c r="E5216" s="4330"/>
      <c r="F5216" s="4336"/>
      <c r="G5216" s="4332"/>
      <c r="H5216" s="4332"/>
      <c r="I5216" s="1345">
        <v>44</v>
      </c>
      <c r="J5216" s="1307">
        <v>1E-3</v>
      </c>
      <c r="K5216" s="1297">
        <f>I5216*J5216</f>
        <v>4.3999999999999997E-2</v>
      </c>
      <c r="L5216" s="4334"/>
      <c r="M5216" s="4335"/>
      <c r="N5216" s="4324"/>
      <c r="O5216" s="1298">
        <f>O5218+O5219+O5227</f>
        <v>15.717259080000002</v>
      </c>
      <c r="P5216" s="1337">
        <f>O5216*K5216</f>
        <v>0.69155939952000001</v>
      </c>
      <c r="Q5216" s="3390"/>
      <c r="R5216" s="1721">
        <f>P5218+P5219+P5227</f>
        <v>0.69155939952000001</v>
      </c>
    </row>
    <row r="5217" spans="1:22">
      <c r="A5217" s="1320"/>
      <c r="B5217" s="22"/>
      <c r="C5217" s="1327"/>
      <c r="D5217" s="1400"/>
      <c r="E5217" s="2121"/>
      <c r="F5217" s="1389" t="s">
        <v>1</v>
      </c>
      <c r="G5217" s="1389"/>
      <c r="H5217" s="1369"/>
      <c r="I5217" s="1409"/>
      <c r="J5217" s="1390"/>
      <c r="K5217" s="1391"/>
      <c r="L5217" s="1559"/>
      <c r="M5217" s="1369"/>
      <c r="N5217" s="1369"/>
      <c r="O5217" s="1369"/>
      <c r="P5217" s="1392"/>
      <c r="Q5217" s="3395"/>
      <c r="R5217" s="1296"/>
    </row>
    <row r="5218" spans="1:22">
      <c r="A5218" s="16"/>
      <c r="B5218" s="1599"/>
      <c r="C5218" s="225"/>
      <c r="D5218" s="1610" t="s">
        <v>1138</v>
      </c>
      <c r="E5218" s="2154" t="s">
        <v>1504</v>
      </c>
      <c r="F5218" s="1598" t="s">
        <v>2036</v>
      </c>
      <c r="G5218" s="1612">
        <v>5.4</v>
      </c>
      <c r="H5218" s="1390"/>
      <c r="I5218" s="1299"/>
      <c r="J5218" s="1300"/>
      <c r="K5218" s="1307">
        <f>G5218*K5216</f>
        <v>0.23760000000000001</v>
      </c>
      <c r="L5218" s="1335">
        <f>K5218*$K$5182</f>
        <v>0</v>
      </c>
      <c r="M5218" s="1302">
        <v>0.32</v>
      </c>
      <c r="N5218" s="1700"/>
      <c r="O5218" s="1290">
        <f>G5218*M5218</f>
        <v>1.7280000000000002</v>
      </c>
      <c r="P5218" s="1332">
        <f>M5218*K5218</f>
        <v>7.6032000000000002E-2</v>
      </c>
      <c r="Q5218" s="3391"/>
      <c r="R5218" s="1296"/>
    </row>
    <row r="5219" spans="1:22">
      <c r="A5219" s="16"/>
      <c r="B5219" s="1042"/>
      <c r="C5219" s="2020" t="s">
        <v>1137</v>
      </c>
      <c r="D5219" s="1311"/>
      <c r="E5219" s="2137" t="s">
        <v>1517</v>
      </c>
      <c r="F5219" s="1319" t="s">
        <v>2037</v>
      </c>
      <c r="G5219" s="1353"/>
      <c r="H5219" s="1456">
        <v>0.10299999999999999</v>
      </c>
      <c r="I5219" s="1444"/>
      <c r="J5219" s="1388"/>
      <c r="K5219" s="1445"/>
      <c r="L5219" s="1457"/>
      <c r="M5219" s="1447"/>
      <c r="N5219" s="1447">
        <f>SUM(N5220:N5223)</f>
        <v>44.774360000000001</v>
      </c>
      <c r="O5219" s="1447">
        <f>SUM(O5220:O5223)</f>
        <v>4.6117590800000006</v>
      </c>
      <c r="P5219" s="1446">
        <f>SUM(P5220:P5223)</f>
        <v>0.20291739951999999</v>
      </c>
      <c r="Q5219" s="3391"/>
      <c r="R5219" s="2337"/>
      <c r="S5219" s="16"/>
      <c r="T5219" s="16"/>
      <c r="U5219" s="16"/>
      <c r="V5219" s="16"/>
    </row>
    <row r="5220" spans="1:22">
      <c r="A5220" s="16"/>
      <c r="B5220" s="1042"/>
      <c r="C5220" s="1327"/>
      <c r="D5220" s="1400" t="s">
        <v>1069</v>
      </c>
      <c r="E5220" s="1856" t="s">
        <v>1517</v>
      </c>
      <c r="F5220" s="1397" t="s">
        <v>1578</v>
      </c>
      <c r="G5220" s="1416">
        <v>0.25800000000000001</v>
      </c>
      <c r="H5220" s="1399">
        <f>G5220*$H$5219</f>
        <v>2.6574E-2</v>
      </c>
      <c r="I5220" s="197"/>
      <c r="J5220" s="198"/>
      <c r="K5220" s="1307">
        <f>H5220*$K$5216</f>
        <v>1.169256E-3</v>
      </c>
      <c r="L5220" s="1335">
        <f t="shared" ref="L5220:L5223" si="654">K5220*$K$5182</f>
        <v>0</v>
      </c>
      <c r="M5220" s="1302">
        <v>0.55000000000000004</v>
      </c>
      <c r="N5220" s="1718">
        <f>G5220*M5220</f>
        <v>0.14190000000000003</v>
      </c>
      <c r="O5220" s="1290">
        <f>H5220*M5220</f>
        <v>1.4615700000000001E-2</v>
      </c>
      <c r="P5220" s="1332">
        <f>M5220*K5220</f>
        <v>6.4309080000000008E-4</v>
      </c>
      <c r="Q5220" s="3391"/>
      <c r="R5220" s="2337"/>
      <c r="S5220" s="16"/>
      <c r="T5220" s="16"/>
      <c r="U5220" s="16"/>
      <c r="V5220" s="16"/>
    </row>
    <row r="5221" spans="1:22">
      <c r="A5221" s="16"/>
      <c r="B5221" s="1042"/>
      <c r="C5221" s="1320"/>
      <c r="D5221" s="1400" t="s">
        <v>1394</v>
      </c>
      <c r="E5221" s="1856" t="s">
        <v>1577</v>
      </c>
      <c r="F5221" s="1397" t="s">
        <v>1579</v>
      </c>
      <c r="G5221" s="1416">
        <v>0.19600000000000001</v>
      </c>
      <c r="H5221" s="1399">
        <f t="shared" ref="H5221:H5223" si="655">G5221*$H$5219</f>
        <v>2.0188000000000001E-2</v>
      </c>
      <c r="I5221" s="197"/>
      <c r="J5221" s="198"/>
      <c r="K5221" s="1307">
        <f>H5221*$K$5216</f>
        <v>8.8827199999999995E-4</v>
      </c>
      <c r="L5221" s="1335">
        <f t="shared" si="654"/>
        <v>0</v>
      </c>
      <c r="M5221" s="1302">
        <v>92.54</v>
      </c>
      <c r="N5221" s="1718">
        <f>G5221*M5221</f>
        <v>18.137840000000001</v>
      </c>
      <c r="O5221" s="1290">
        <f>H5221*M5221</f>
        <v>1.8681975200000003</v>
      </c>
      <c r="P5221" s="1332">
        <f>M5221*K5221</f>
        <v>8.2200690879999996E-2</v>
      </c>
      <c r="Q5221" s="3391"/>
      <c r="R5221" s="2337"/>
      <c r="S5221" s="16"/>
      <c r="T5221" s="16"/>
      <c r="U5221" s="16"/>
      <c r="V5221" s="16"/>
    </row>
    <row r="5222" spans="1:22">
      <c r="A5222" s="16"/>
      <c r="B5222" s="1042"/>
      <c r="C5222" s="1320"/>
      <c r="D5222" s="1400" t="s">
        <v>1576</v>
      </c>
      <c r="E5222" s="1856" t="s">
        <v>1517</v>
      </c>
      <c r="F5222" s="1397" t="s">
        <v>1580</v>
      </c>
      <c r="G5222" s="1416">
        <v>1.1739999999999999</v>
      </c>
      <c r="H5222" s="1399">
        <f t="shared" si="655"/>
        <v>0.12092199999999999</v>
      </c>
      <c r="I5222" s="197"/>
      <c r="J5222" s="198"/>
      <c r="K5222" s="1307">
        <f>H5222*$K$5216</f>
        <v>5.3205679999999995E-3</v>
      </c>
      <c r="L5222" s="1335">
        <f t="shared" si="654"/>
        <v>0</v>
      </c>
      <c r="M5222" s="1302">
        <v>6.53</v>
      </c>
      <c r="N5222" s="1718">
        <f>G5222*M5222</f>
        <v>7.66622</v>
      </c>
      <c r="O5222" s="1290">
        <f>H5222*M5222</f>
        <v>0.78962065999999997</v>
      </c>
      <c r="P5222" s="1332">
        <f>M5222*K5222</f>
        <v>3.4743309039999996E-2</v>
      </c>
      <c r="Q5222" s="3391"/>
      <c r="R5222" s="2337"/>
      <c r="S5222" s="16"/>
      <c r="T5222" s="16"/>
      <c r="U5222" s="16"/>
      <c r="V5222" s="16"/>
    </row>
    <row r="5223" spans="1:22">
      <c r="A5223" s="16"/>
      <c r="B5223" s="1042"/>
      <c r="C5223" s="1320"/>
      <c r="D5223" s="1404" t="s">
        <v>1067</v>
      </c>
      <c r="E5223" s="1857" t="s">
        <v>1508</v>
      </c>
      <c r="F5223" s="1406" t="s">
        <v>1512</v>
      </c>
      <c r="G5223" s="1407">
        <v>1.03</v>
      </c>
      <c r="H5223" s="1408">
        <f t="shared" si="655"/>
        <v>0.10609</v>
      </c>
      <c r="I5223" s="197"/>
      <c r="J5223" s="198"/>
      <c r="K5223" s="1307">
        <f>H5223*$K$5216</f>
        <v>4.6679599999999996E-3</v>
      </c>
      <c r="L5223" s="1335">
        <f t="shared" si="654"/>
        <v>0</v>
      </c>
      <c r="M5223" s="1302">
        <v>18.28</v>
      </c>
      <c r="N5223" s="1718">
        <f>G5223*M5223</f>
        <v>18.828400000000002</v>
      </c>
      <c r="O5223" s="1290">
        <f>H5223*M5223</f>
        <v>1.9393252000000001</v>
      </c>
      <c r="P5223" s="1332">
        <f>M5223*K5223</f>
        <v>8.5330308800000004E-2</v>
      </c>
      <c r="Q5223" s="3391"/>
      <c r="R5223" s="2337"/>
      <c r="S5223" s="16"/>
      <c r="T5223" s="16"/>
      <c r="U5223" s="16"/>
      <c r="V5223" s="16"/>
    </row>
    <row r="5224" spans="1:22">
      <c r="A5224" s="1042"/>
      <c r="B5224" s="22"/>
      <c r="C5224" s="1042"/>
      <c r="D5224" s="1672"/>
      <c r="E5224" s="2160"/>
      <c r="F5224" s="1676"/>
      <c r="G5224" s="1676"/>
      <c r="H5224" s="1674"/>
      <c r="I5224" s="1299"/>
      <c r="J5224" s="1300"/>
      <c r="K5224" s="1307"/>
      <c r="L5224" s="1335"/>
      <c r="M5224" s="1302"/>
      <c r="N5224" s="1700"/>
      <c r="O5224" s="1290"/>
      <c r="P5224" s="1332"/>
      <c r="Q5224" s="3391"/>
      <c r="R5224" s="1296"/>
    </row>
    <row r="5225" spans="1:22">
      <c r="A5225" s="1042"/>
      <c r="B5225" s="22"/>
      <c r="C5225" s="1042"/>
      <c r="D5225" s="1367"/>
      <c r="E5225" s="2121"/>
      <c r="F5225" s="1436"/>
      <c r="G5225" s="1436"/>
      <c r="H5225" s="1369"/>
      <c r="I5225" s="1299" t="str">
        <f t="shared" ref="I5225" ca="1" si="656">IF(COUNT(H5225:O5225)=0,"",(SUM(H5225:O5225)/COUNT(H5225:O5225)))</f>
        <v/>
      </c>
      <c r="J5225" s="1300"/>
      <c r="K5225" s="1307" t="str">
        <f t="shared" ref="K5225" ca="1" si="657">IF(COUNT(I5225)=0,"",(I5225*J5225))</f>
        <v/>
      </c>
      <c r="L5225" s="1335"/>
      <c r="M5225" s="1302"/>
      <c r="N5225" s="1700"/>
      <c r="O5225" s="1290"/>
      <c r="P5225" s="1332"/>
      <c r="Q5225" s="3391"/>
      <c r="R5225" s="1296"/>
    </row>
    <row r="5226" spans="1:22">
      <c r="A5226" s="1042"/>
      <c r="B5226" s="22"/>
      <c r="C5226" s="1042"/>
      <c r="D5226" s="1359"/>
      <c r="E5226" s="1858"/>
      <c r="F5226" s="1360" t="s">
        <v>2</v>
      </c>
      <c r="G5226" s="1360"/>
      <c r="H5226" s="1362"/>
      <c r="I5226" s="1380"/>
      <c r="J5226" s="1381"/>
      <c r="K5226" s="1381"/>
      <c r="L5226" s="1458"/>
      <c r="M5226" s="1362"/>
      <c r="N5226" s="1362"/>
      <c r="O5226" s="1362"/>
      <c r="P5226" s="1359"/>
      <c r="Q5226" s="3387"/>
    </row>
    <row r="5227" spans="1:22">
      <c r="A5227" s="16"/>
      <c r="B5227" s="1042"/>
      <c r="C5227" s="1652" t="s">
        <v>1755</v>
      </c>
      <c r="D5227" s="1461"/>
      <c r="E5227" s="2163" t="s">
        <v>1508</v>
      </c>
      <c r="F5227" s="1648" t="s">
        <v>1524</v>
      </c>
      <c r="G5227" s="1990"/>
      <c r="H5227" s="1456">
        <v>0.25</v>
      </c>
      <c r="I5227" s="1444"/>
      <c r="J5227" s="1388"/>
      <c r="K5227" s="1445"/>
      <c r="L5227" s="1457"/>
      <c r="M5227" s="1447"/>
      <c r="N5227" s="1447">
        <f>SUM(N5228:N5229)</f>
        <v>37.510000000000005</v>
      </c>
      <c r="O5227" s="1447">
        <f>SUM(O5228:O5229)</f>
        <v>9.3775000000000013</v>
      </c>
      <c r="P5227" s="1447">
        <f>SUM(P5228:P5229)</f>
        <v>0.41261000000000003</v>
      </c>
      <c r="Q5227" s="3391"/>
      <c r="R5227" s="2337"/>
    </row>
    <row r="5228" spans="1:22">
      <c r="A5228" s="16"/>
      <c r="B5228" s="1042"/>
      <c r="C5228" s="88"/>
      <c r="D5228" s="1430" t="s">
        <v>1067</v>
      </c>
      <c r="E5228" s="1857" t="s">
        <v>1508</v>
      </c>
      <c r="F5228" s="1403" t="s">
        <v>5</v>
      </c>
      <c r="G5228" s="1991">
        <v>1</v>
      </c>
      <c r="H5228" s="1408">
        <f>G5228*$H$5227</f>
        <v>0.25</v>
      </c>
      <c r="I5228" s="1286"/>
      <c r="J5228" s="198"/>
      <c r="K5228" s="1307">
        <f>H5228*$K$5216</f>
        <v>1.0999999999999999E-2</v>
      </c>
      <c r="L5228" s="1335">
        <f t="shared" ref="L5228:L5229" si="658">K5228*$K$5182</f>
        <v>0</v>
      </c>
      <c r="M5228" s="1302">
        <v>18.28</v>
      </c>
      <c r="N5228" s="1718">
        <f>G5228*M5228</f>
        <v>18.28</v>
      </c>
      <c r="O5228" s="1290">
        <f>H5228*M5228</f>
        <v>4.57</v>
      </c>
      <c r="P5228" s="1332">
        <f>M5228*K5228</f>
        <v>0.20108000000000001</v>
      </c>
      <c r="Q5228" s="3391"/>
      <c r="R5228" s="2337"/>
    </row>
    <row r="5229" spans="1:22">
      <c r="A5229" s="16"/>
      <c r="B5229" s="1042"/>
      <c r="C5229" s="88"/>
      <c r="D5229" s="1430" t="s">
        <v>1077</v>
      </c>
      <c r="E5229" s="1857" t="s">
        <v>1508</v>
      </c>
      <c r="F5229" s="1403" t="s">
        <v>37</v>
      </c>
      <c r="G5229" s="1991">
        <v>1</v>
      </c>
      <c r="H5229" s="1408">
        <f>G5229*$H$5227</f>
        <v>0.25</v>
      </c>
      <c r="I5229" s="197"/>
      <c r="J5229" s="198"/>
      <c r="K5229" s="1307">
        <f>H5229*$K$5216</f>
        <v>1.0999999999999999E-2</v>
      </c>
      <c r="L5229" s="1335">
        <f t="shared" si="658"/>
        <v>0</v>
      </c>
      <c r="M5229" s="1302">
        <v>19.23</v>
      </c>
      <c r="N5229" s="1718">
        <f>G5229*M5229</f>
        <v>19.23</v>
      </c>
      <c r="O5229" s="1290">
        <f>H5229*M5229</f>
        <v>4.8075000000000001</v>
      </c>
      <c r="P5229" s="1332">
        <f>M5229*K5229</f>
        <v>0.21153</v>
      </c>
      <c r="Q5229" s="3391"/>
      <c r="R5229" s="2337"/>
    </row>
    <row r="5230" spans="1:22">
      <c r="A5230" s="1320"/>
      <c r="B5230" s="22"/>
      <c r="C5230" s="1320"/>
      <c r="D5230" s="1359"/>
      <c r="E5230" s="1858"/>
      <c r="F5230" s="1361"/>
      <c r="G5230" s="1361"/>
      <c r="H5230" s="1466"/>
      <c r="I5230" s="1299"/>
      <c r="J5230" s="1300"/>
      <c r="K5230" s="1307" t="str">
        <f>IF(COUNT(I5230)=0,"",(I5230*J5230))</f>
        <v/>
      </c>
      <c r="L5230" s="1335"/>
      <c r="M5230" s="1302"/>
      <c r="N5230" s="1700"/>
      <c r="O5230" s="1290"/>
      <c r="P5230" s="1332"/>
      <c r="Q5230" s="3391"/>
      <c r="R5230" s="1296"/>
    </row>
    <row r="5231" spans="1:22">
      <c r="A5231" s="1320"/>
      <c r="B5231" s="22"/>
      <c r="C5231" s="1320"/>
      <c r="D5231" s="1373"/>
      <c r="E5231" s="2123"/>
      <c r="F5231" s="1374" t="s">
        <v>3</v>
      </c>
      <c r="G5231" s="1375"/>
      <c r="H5231" s="1376"/>
      <c r="I5231" s="1382"/>
      <c r="J5231" s="1383"/>
      <c r="K5231" s="1383" t="str">
        <f>IF(COUNT(I5231)=0,"",(I5231*J5231))</f>
        <v/>
      </c>
      <c r="L5231" s="1413"/>
      <c r="M5231" s="1376"/>
      <c r="N5231" s="1376"/>
      <c r="O5231" s="1376"/>
      <c r="P5231" s="1373"/>
      <c r="Q5231" s="3387"/>
      <c r="R5231" s="1296"/>
    </row>
    <row r="5232" spans="1:22">
      <c r="A5232" s="1321"/>
      <c r="B5232" s="1295"/>
      <c r="C5232" s="1321"/>
      <c r="D5232" s="1377"/>
      <c r="E5232" s="2124"/>
      <c r="F5232" s="1378"/>
      <c r="G5232" s="1378"/>
      <c r="H5232" s="1379"/>
      <c r="I5232" s="1299"/>
      <c r="J5232" s="1300"/>
      <c r="K5232" s="1307"/>
      <c r="L5232" s="1335"/>
      <c r="M5232" s="1302"/>
      <c r="N5232" s="1700"/>
      <c r="O5232" s="1290"/>
      <c r="P5232" s="1332"/>
      <c r="Q5232" s="3391"/>
      <c r="R5232" s="1296"/>
    </row>
    <row r="5233" spans="1:18">
      <c r="A5233" s="1321"/>
      <c r="B5233" s="1295"/>
      <c r="C5233" s="1321"/>
      <c r="D5233" s="1377"/>
      <c r="E5233" s="2124"/>
      <c r="F5233" s="1378"/>
      <c r="G5233" s="1378"/>
      <c r="H5233" s="1379"/>
      <c r="I5233" s="1299"/>
      <c r="J5233" s="1300"/>
      <c r="K5233" s="1307"/>
      <c r="L5233" s="1335"/>
      <c r="M5233" s="1302"/>
      <c r="N5233" s="1700"/>
      <c r="O5233" s="1290"/>
      <c r="P5233" s="1333"/>
      <c r="Q5233" s="3391"/>
      <c r="R5233" s="1296"/>
    </row>
    <row r="5234" spans="1:18">
      <c r="A5234" s="223"/>
      <c r="B5234" s="1765"/>
      <c r="C5234" s="223"/>
      <c r="D5234" s="1373"/>
      <c r="E5234" s="2161"/>
      <c r="F5234" s="1678"/>
      <c r="G5234" s="1678"/>
      <c r="H5234" s="1376"/>
      <c r="I5234" s="1299"/>
      <c r="J5234" s="1300"/>
      <c r="K5234" s="1307"/>
      <c r="L5234" s="1335"/>
      <c r="M5234" s="1302"/>
      <c r="N5234" s="1700"/>
      <c r="O5234" s="1290"/>
      <c r="P5234" s="1332"/>
      <c r="Q5234" s="3391"/>
      <c r="R5234" s="1296"/>
    </row>
    <row r="5235" spans="1:18" s="16" customFormat="1">
      <c r="A5235" s="18" t="s">
        <v>3764</v>
      </c>
      <c r="B5235" s="4367" t="s">
        <v>2038</v>
      </c>
      <c r="C5235" s="3354"/>
      <c r="D5235" s="4368"/>
      <c r="E5235" s="4329" t="s">
        <v>1527</v>
      </c>
      <c r="F5235" s="4336" t="s">
        <v>2039</v>
      </c>
      <c r="G5235" s="4331" t="s">
        <v>1568</v>
      </c>
      <c r="H5235" s="4331" t="s">
        <v>1574</v>
      </c>
      <c r="I5235" s="1572" t="s">
        <v>1559</v>
      </c>
      <c r="J5235" s="1294" t="s">
        <v>1560</v>
      </c>
      <c r="K5235" s="1294" t="s">
        <v>1569</v>
      </c>
      <c r="L5235" s="4333" t="s">
        <v>3765</v>
      </c>
      <c r="M5235" s="4335" t="s">
        <v>1571</v>
      </c>
      <c r="N5235" s="4323" t="s">
        <v>1776</v>
      </c>
      <c r="O5235" s="3347" t="s">
        <v>1563</v>
      </c>
      <c r="P5235" s="1336" t="s">
        <v>1562</v>
      </c>
      <c r="Q5235" s="3389"/>
      <c r="R5235" s="1699" t="s">
        <v>1327</v>
      </c>
    </row>
    <row r="5236" spans="1:18" s="16" customFormat="1">
      <c r="A5236" s="1662" t="s">
        <v>2026</v>
      </c>
      <c r="B5236" s="4369"/>
      <c r="C5236" s="3354"/>
      <c r="D5236" s="4328"/>
      <c r="E5236" s="4330"/>
      <c r="F5236" s="4336"/>
      <c r="G5236" s="4332"/>
      <c r="H5236" s="4332"/>
      <c r="I5236" s="1345">
        <v>70</v>
      </c>
      <c r="J5236" s="1307">
        <v>1E-3</v>
      </c>
      <c r="K5236" s="1297">
        <f>I5236*J5236</f>
        <v>7.0000000000000007E-2</v>
      </c>
      <c r="L5236" s="4334"/>
      <c r="M5236" s="4335"/>
      <c r="N5236" s="4324"/>
      <c r="O5236" s="1298">
        <f>O5238+O5239+O5247</f>
        <v>12.045761560000003</v>
      </c>
      <c r="P5236" s="1337">
        <f>O5236*K5236</f>
        <v>0.84320330920000031</v>
      </c>
      <c r="Q5236" s="3390"/>
      <c r="R5236" s="1721">
        <f>P5238+P5239+P5247</f>
        <v>0.84320330920000008</v>
      </c>
    </row>
    <row r="5237" spans="1:18" s="16" customFormat="1">
      <c r="A5237" s="1320"/>
      <c r="B5237" s="22"/>
      <c r="C5237" s="1327"/>
      <c r="D5237" s="1400"/>
      <c r="E5237" s="2121"/>
      <c r="F5237" s="1389" t="s">
        <v>1</v>
      </c>
      <c r="G5237" s="1389"/>
      <c r="H5237" s="1369"/>
      <c r="I5237" s="1409"/>
      <c r="J5237" s="1390"/>
      <c r="K5237" s="1391"/>
      <c r="L5237" s="1559"/>
      <c r="M5237" s="1369"/>
      <c r="N5237" s="1369"/>
      <c r="O5237" s="1369"/>
      <c r="P5237" s="1392"/>
      <c r="Q5237" s="3395"/>
      <c r="R5237" s="1296"/>
    </row>
    <row r="5238" spans="1:18" s="16" customFormat="1">
      <c r="B5238" s="1599"/>
      <c r="C5238" s="225"/>
      <c r="D5238" s="1610" t="s">
        <v>1138</v>
      </c>
      <c r="E5238" s="2154" t="s">
        <v>1504</v>
      </c>
      <c r="F5238" s="1598" t="s">
        <v>2036</v>
      </c>
      <c r="G5238" s="1612">
        <v>5.4</v>
      </c>
      <c r="H5238" s="1390"/>
      <c r="I5238" s="1299"/>
      <c r="J5238" s="1300"/>
      <c r="K5238" s="1307">
        <f>G5238*K5236</f>
        <v>0.37800000000000006</v>
      </c>
      <c r="L5238" s="1335">
        <f>K5238*$K$5182</f>
        <v>0</v>
      </c>
      <c r="M5238" s="1302">
        <v>0.32</v>
      </c>
      <c r="N5238" s="1700"/>
      <c r="O5238" s="1290">
        <f>G5238*M5238</f>
        <v>1.7280000000000002</v>
      </c>
      <c r="P5238" s="1332">
        <f>M5238*K5238</f>
        <v>0.12096000000000003</v>
      </c>
      <c r="Q5238" s="3391"/>
      <c r="R5238" s="1296"/>
    </row>
    <row r="5239" spans="1:18" s="16" customFormat="1">
      <c r="B5239" s="1042"/>
      <c r="C5239" s="2020" t="s">
        <v>1137</v>
      </c>
      <c r="D5239" s="1311"/>
      <c r="E5239" s="2137" t="s">
        <v>1517</v>
      </c>
      <c r="F5239" s="1319" t="s">
        <v>2037</v>
      </c>
      <c r="G5239" s="1353"/>
      <c r="H5239" s="1456">
        <v>2.1000000000000001E-2</v>
      </c>
      <c r="I5239" s="1444"/>
      <c r="J5239" s="1388"/>
      <c r="K5239" s="1445"/>
      <c r="L5239" s="1457"/>
      <c r="M5239" s="1447"/>
      <c r="N5239" s="1447">
        <f>SUM(N5240:N5243)</f>
        <v>44.774360000000001</v>
      </c>
      <c r="O5239" s="1447">
        <f>SUM(O5240:O5243)</f>
        <v>0.94026156000000016</v>
      </c>
      <c r="P5239" s="1446">
        <f>SUM(P5240:P5243)</f>
        <v>6.5818309200000008E-2</v>
      </c>
      <c r="Q5239" s="3391"/>
      <c r="R5239" s="2337"/>
    </row>
    <row r="5240" spans="1:18">
      <c r="A5240" s="16"/>
      <c r="B5240" s="1042"/>
      <c r="C5240" s="1327"/>
      <c r="D5240" s="1400" t="s">
        <v>1069</v>
      </c>
      <c r="E5240" s="1856" t="s">
        <v>1517</v>
      </c>
      <c r="F5240" s="1397" t="s">
        <v>1578</v>
      </c>
      <c r="G5240" s="1416">
        <v>0.25800000000000001</v>
      </c>
      <c r="H5240" s="1399">
        <f>G5240*$H$5239</f>
        <v>5.4180000000000001E-3</v>
      </c>
      <c r="I5240" s="197"/>
      <c r="J5240" s="198"/>
      <c r="K5240" s="1307">
        <f>H5240*$K$5236</f>
        <v>3.7926000000000002E-4</v>
      </c>
      <c r="L5240" s="1335">
        <f t="shared" ref="L5240:L5243" si="659">K5240*$K$5182</f>
        <v>0</v>
      </c>
      <c r="M5240" s="1302">
        <v>0.55000000000000004</v>
      </c>
      <c r="N5240" s="1718">
        <f>G5240*M5240</f>
        <v>0.14190000000000003</v>
      </c>
      <c r="O5240" s="1290">
        <f>H5240*M5240</f>
        <v>2.9799000000000002E-3</v>
      </c>
      <c r="P5240" s="1332">
        <f>M5240*K5240</f>
        <v>2.0859300000000003E-4</v>
      </c>
      <c r="Q5240" s="3391"/>
      <c r="R5240" s="2337"/>
    </row>
    <row r="5241" spans="1:18">
      <c r="A5241" s="16"/>
      <c r="B5241" s="1042"/>
      <c r="C5241" s="1320"/>
      <c r="D5241" s="1400" t="s">
        <v>1394</v>
      </c>
      <c r="E5241" s="1856" t="s">
        <v>1577</v>
      </c>
      <c r="F5241" s="1397" t="s">
        <v>1579</v>
      </c>
      <c r="G5241" s="1416">
        <v>0.19600000000000001</v>
      </c>
      <c r="H5241" s="1399">
        <f t="shared" ref="H5241:H5243" si="660">G5241*$H$5239</f>
        <v>4.1160000000000007E-3</v>
      </c>
      <c r="I5241" s="197"/>
      <c r="J5241" s="198"/>
      <c r="K5241" s="1307">
        <f t="shared" ref="K5241:K5243" si="661">H5241*$K$5236</f>
        <v>2.8812000000000005E-4</v>
      </c>
      <c r="L5241" s="1335">
        <f t="shared" si="659"/>
        <v>0</v>
      </c>
      <c r="M5241" s="1302">
        <v>92.54</v>
      </c>
      <c r="N5241" s="1718">
        <f>G5241*M5241</f>
        <v>18.137840000000001</v>
      </c>
      <c r="O5241" s="1290">
        <f>H5241*M5241</f>
        <v>0.38089464000000012</v>
      </c>
      <c r="P5241" s="1332">
        <f>M5241*K5241</f>
        <v>2.6662624800000007E-2</v>
      </c>
      <c r="Q5241" s="3391"/>
      <c r="R5241" s="2337"/>
    </row>
    <row r="5242" spans="1:18">
      <c r="A5242" s="16"/>
      <c r="B5242" s="1042"/>
      <c r="C5242" s="1320"/>
      <c r="D5242" s="1400" t="s">
        <v>1576</v>
      </c>
      <c r="E5242" s="1856" t="s">
        <v>1517</v>
      </c>
      <c r="F5242" s="1397" t="s">
        <v>1580</v>
      </c>
      <c r="G5242" s="1416">
        <v>1.1739999999999999</v>
      </c>
      <c r="H5242" s="1399">
        <f t="shared" si="660"/>
        <v>2.4653999999999999E-2</v>
      </c>
      <c r="I5242" s="197"/>
      <c r="J5242" s="198"/>
      <c r="K5242" s="1307">
        <f t="shared" si="661"/>
        <v>1.7257800000000001E-3</v>
      </c>
      <c r="L5242" s="1335">
        <f t="shared" si="659"/>
        <v>0</v>
      </c>
      <c r="M5242" s="1302">
        <v>6.53</v>
      </c>
      <c r="N5242" s="1718">
        <f>G5242*M5242</f>
        <v>7.66622</v>
      </c>
      <c r="O5242" s="1290">
        <f>H5242*M5242</f>
        <v>0.16099062</v>
      </c>
      <c r="P5242" s="1332">
        <f>M5242*K5242</f>
        <v>1.1269343400000001E-2</v>
      </c>
      <c r="Q5242" s="3391"/>
      <c r="R5242" s="2337"/>
    </row>
    <row r="5243" spans="1:18">
      <c r="A5243" s="16"/>
      <c r="B5243" s="1042"/>
      <c r="C5243" s="1320"/>
      <c r="D5243" s="1404" t="s">
        <v>1067</v>
      </c>
      <c r="E5243" s="1857" t="s">
        <v>1508</v>
      </c>
      <c r="F5243" s="1406" t="s">
        <v>1512</v>
      </c>
      <c r="G5243" s="1407">
        <v>1.03</v>
      </c>
      <c r="H5243" s="1408">
        <f t="shared" si="660"/>
        <v>2.1630000000000003E-2</v>
      </c>
      <c r="I5243" s="197"/>
      <c r="J5243" s="198"/>
      <c r="K5243" s="1307">
        <f t="shared" si="661"/>
        <v>1.5141000000000004E-3</v>
      </c>
      <c r="L5243" s="1335">
        <f t="shared" si="659"/>
        <v>0</v>
      </c>
      <c r="M5243" s="1302">
        <v>18.28</v>
      </c>
      <c r="N5243" s="1718">
        <f>G5243*M5243</f>
        <v>18.828400000000002</v>
      </c>
      <c r="O5243" s="1290">
        <f>H5243*M5243</f>
        <v>0.39539640000000009</v>
      </c>
      <c r="P5243" s="1332">
        <f>M5243*K5243</f>
        <v>2.7677748000000009E-2</v>
      </c>
      <c r="Q5243" s="3391"/>
      <c r="R5243" s="2337"/>
    </row>
    <row r="5244" spans="1:18">
      <c r="A5244" s="1042"/>
      <c r="B5244" s="22"/>
      <c r="C5244" s="1042"/>
      <c r="D5244" s="1672"/>
      <c r="E5244" s="2160"/>
      <c r="F5244" s="1676"/>
      <c r="G5244" s="1676"/>
      <c r="H5244" s="1674"/>
      <c r="I5244" s="1299"/>
      <c r="J5244" s="1300"/>
      <c r="K5244" s="1307"/>
      <c r="L5244" s="1335"/>
      <c r="M5244" s="1302"/>
      <c r="N5244" s="1700"/>
      <c r="O5244" s="1290"/>
      <c r="P5244" s="1332"/>
      <c r="Q5244" s="3391"/>
      <c r="R5244" s="1296"/>
    </row>
    <row r="5245" spans="1:18">
      <c r="A5245" s="1042"/>
      <c r="B5245" s="22"/>
      <c r="C5245" s="1042"/>
      <c r="D5245" s="1672"/>
      <c r="E5245" s="2160"/>
      <c r="F5245" s="1675"/>
      <c r="G5245" s="1675"/>
      <c r="H5245" s="1674"/>
      <c r="I5245" s="1299" t="str">
        <f t="shared" ref="I5245" ca="1" si="662">IF(COUNT(H5245:O5245)=0,"",(SUM(H5245:O5245)/COUNT(H5245:O5245)))</f>
        <v/>
      </c>
      <c r="J5245" s="1300"/>
      <c r="K5245" s="1307" t="str">
        <f t="shared" ref="K5245" ca="1" si="663">IF(COUNT(I5245)=0,"",(I5245*J5245))</f>
        <v/>
      </c>
      <c r="L5245" s="1335"/>
      <c r="M5245" s="1302"/>
      <c r="N5245" s="1700"/>
      <c r="O5245" s="1290"/>
      <c r="P5245" s="1332"/>
      <c r="Q5245" s="3391"/>
      <c r="R5245" s="1296"/>
    </row>
    <row r="5246" spans="1:18">
      <c r="A5246" s="1042"/>
      <c r="B5246" s="22"/>
      <c r="C5246" s="1042"/>
      <c r="D5246" s="1359"/>
      <c r="E5246" s="1858"/>
      <c r="F5246" s="1360" t="s">
        <v>2</v>
      </c>
      <c r="G5246" s="1360"/>
      <c r="H5246" s="1362"/>
      <c r="I5246" s="1380"/>
      <c r="J5246" s="1381"/>
      <c r="K5246" s="1381"/>
      <c r="L5246" s="1458"/>
      <c r="M5246" s="1362"/>
      <c r="N5246" s="1362"/>
      <c r="O5246" s="1362"/>
      <c r="P5246" s="1359"/>
      <c r="Q5246" s="3387"/>
    </row>
    <row r="5247" spans="1:18">
      <c r="A5247" s="16"/>
      <c r="B5247" s="1042"/>
      <c r="C5247" s="1652" t="s">
        <v>1755</v>
      </c>
      <c r="D5247" s="1461"/>
      <c r="E5247" s="2163" t="s">
        <v>1508</v>
      </c>
      <c r="F5247" s="1648" t="s">
        <v>1524</v>
      </c>
      <c r="G5247" s="1990"/>
      <c r="H5247" s="1456">
        <v>0.25</v>
      </c>
      <c r="I5247" s="1444"/>
      <c r="J5247" s="1388"/>
      <c r="K5247" s="1445"/>
      <c r="L5247" s="1457"/>
      <c r="M5247" s="1447"/>
      <c r="N5247" s="1447">
        <f>SUM(N5248:N5249)</f>
        <v>37.510000000000005</v>
      </c>
      <c r="O5247" s="1447">
        <f>SUM(O5248:O5249)</f>
        <v>9.3775000000000013</v>
      </c>
      <c r="P5247" s="1447">
        <f>SUM(P5248:P5249)</f>
        <v>0.65642500000000004</v>
      </c>
      <c r="Q5247" s="3391"/>
      <c r="R5247" s="2337"/>
    </row>
    <row r="5248" spans="1:18">
      <c r="A5248" s="16"/>
      <c r="B5248" s="1042"/>
      <c r="C5248" s="88"/>
      <c r="D5248" s="1430" t="s">
        <v>1067</v>
      </c>
      <c r="E5248" s="1857" t="s">
        <v>1508</v>
      </c>
      <c r="F5248" s="1403" t="s">
        <v>5</v>
      </c>
      <c r="G5248" s="1991">
        <v>1</v>
      </c>
      <c r="H5248" s="1408">
        <f>G5248*$H$5227</f>
        <v>0.25</v>
      </c>
      <c r="I5248" s="1286"/>
      <c r="J5248" s="198"/>
      <c r="K5248" s="1307">
        <f>H5248*$K$5236</f>
        <v>1.7500000000000002E-2</v>
      </c>
      <c r="L5248" s="1335">
        <f t="shared" ref="L5248:L5249" si="664">K5248*$K$5182</f>
        <v>0</v>
      </c>
      <c r="M5248" s="1302">
        <v>18.28</v>
      </c>
      <c r="N5248" s="1718">
        <f>G5248*M5248</f>
        <v>18.28</v>
      </c>
      <c r="O5248" s="1290">
        <f>H5248*M5248</f>
        <v>4.57</v>
      </c>
      <c r="P5248" s="1332">
        <f>M5248*K5248</f>
        <v>0.31990000000000007</v>
      </c>
      <c r="Q5248" s="3391"/>
      <c r="R5248" s="2337"/>
    </row>
    <row r="5249" spans="1:18">
      <c r="A5249" s="16"/>
      <c r="B5249" s="1042"/>
      <c r="C5249" s="88"/>
      <c r="D5249" s="1430" t="s">
        <v>1077</v>
      </c>
      <c r="E5249" s="1857" t="s">
        <v>1508</v>
      </c>
      <c r="F5249" s="1403" t="s">
        <v>37</v>
      </c>
      <c r="G5249" s="1991">
        <v>1</v>
      </c>
      <c r="H5249" s="1408">
        <f>G5249*$H$5227</f>
        <v>0.25</v>
      </c>
      <c r="I5249" s="197"/>
      <c r="J5249" s="198"/>
      <c r="K5249" s="1307">
        <f>H5249*$K$5236</f>
        <v>1.7500000000000002E-2</v>
      </c>
      <c r="L5249" s="1335">
        <f t="shared" si="664"/>
        <v>0</v>
      </c>
      <c r="M5249" s="1302">
        <v>19.23</v>
      </c>
      <c r="N5249" s="1718">
        <f>G5249*M5249</f>
        <v>19.23</v>
      </c>
      <c r="O5249" s="1290">
        <f>H5249*M5249</f>
        <v>4.8075000000000001</v>
      </c>
      <c r="P5249" s="1332">
        <f>M5249*K5249</f>
        <v>0.33652500000000002</v>
      </c>
      <c r="Q5249" s="3391"/>
      <c r="R5249" s="2337"/>
    </row>
    <row r="5250" spans="1:18">
      <c r="A5250" s="1320"/>
      <c r="B5250" s="22"/>
      <c r="C5250" s="1320"/>
      <c r="D5250" s="1359"/>
      <c r="E5250" s="1858"/>
      <c r="F5250" s="1361"/>
      <c r="G5250" s="1361"/>
      <c r="H5250" s="1466"/>
      <c r="I5250" s="1299"/>
      <c r="J5250" s="1300"/>
      <c r="K5250" s="1307" t="str">
        <f>IF(COUNT(I5250)=0,"",(I5250*J5250))</f>
        <v/>
      </c>
      <c r="L5250" s="1335"/>
      <c r="M5250" s="1302"/>
      <c r="N5250" s="1700"/>
      <c r="O5250" s="1290"/>
      <c r="P5250" s="1332"/>
      <c r="Q5250" s="3391"/>
      <c r="R5250" s="1296"/>
    </row>
    <row r="5251" spans="1:18">
      <c r="A5251" s="1320"/>
      <c r="B5251" s="22"/>
      <c r="C5251" s="1320"/>
      <c r="D5251" s="1373"/>
      <c r="E5251" s="2123"/>
      <c r="F5251" s="1374" t="s">
        <v>3</v>
      </c>
      <c r="G5251" s="1375"/>
      <c r="H5251" s="1376"/>
      <c r="I5251" s="1382"/>
      <c r="J5251" s="1383"/>
      <c r="K5251" s="1383" t="str">
        <f>IF(COUNT(I5251)=0,"",(I5251*J5251))</f>
        <v/>
      </c>
      <c r="L5251" s="1413"/>
      <c r="M5251" s="1376"/>
      <c r="N5251" s="1376"/>
      <c r="O5251" s="1376"/>
      <c r="P5251" s="1373"/>
      <c r="Q5251" s="3387"/>
      <c r="R5251" s="1296"/>
    </row>
    <row r="5252" spans="1:18">
      <c r="A5252" s="1321"/>
      <c r="B5252" s="1295"/>
      <c r="C5252" s="1321"/>
      <c r="D5252" s="1377"/>
      <c r="E5252" s="2124"/>
      <c r="F5252" s="1378"/>
      <c r="G5252" s="1378"/>
      <c r="H5252" s="1379"/>
      <c r="I5252" s="1299"/>
      <c r="J5252" s="1300"/>
      <c r="K5252" s="1307"/>
      <c r="L5252" s="1335"/>
      <c r="M5252" s="1302"/>
      <c r="N5252" s="1700"/>
      <c r="O5252" s="1290"/>
      <c r="P5252" s="1332"/>
      <c r="Q5252" s="3391"/>
      <c r="R5252" s="1296"/>
    </row>
    <row r="5253" spans="1:18">
      <c r="A5253" s="1321"/>
      <c r="B5253" s="1295"/>
      <c r="C5253" s="1321"/>
      <c r="D5253" s="1377"/>
      <c r="E5253" s="2124"/>
      <c r="F5253" s="1378"/>
      <c r="G5253" s="1378"/>
      <c r="H5253" s="1379"/>
      <c r="I5253" s="1299"/>
      <c r="J5253" s="1300"/>
      <c r="K5253" s="1307"/>
      <c r="L5253" s="1335"/>
      <c r="M5253" s="1302"/>
      <c r="N5253" s="1700"/>
      <c r="O5253" s="1290"/>
      <c r="P5253" s="1333"/>
      <c r="Q5253" s="3391"/>
      <c r="R5253" s="1296"/>
    </row>
    <row r="5254" spans="1:18">
      <c r="A5254" s="1042"/>
      <c r="B5254" s="1765"/>
      <c r="C5254" s="223"/>
      <c r="D5254" s="1373"/>
      <c r="E5254" s="2161"/>
      <c r="F5254" s="1678"/>
      <c r="G5254" s="1678"/>
      <c r="H5254" s="1376"/>
      <c r="I5254" s="1299"/>
      <c r="J5254" s="1300"/>
      <c r="K5254" s="1307"/>
      <c r="L5254" s="1335"/>
      <c r="M5254" s="1302"/>
      <c r="N5254" s="1700"/>
      <c r="O5254" s="1290"/>
      <c r="P5254" s="1332"/>
      <c r="Q5254" s="3391"/>
      <c r="R5254" s="1296"/>
    </row>
    <row r="5255" spans="1:18">
      <c r="A5255" s="88" t="s">
        <v>3764</v>
      </c>
      <c r="B5255" s="4367" t="s">
        <v>2040</v>
      </c>
      <c r="C5255" s="3354"/>
      <c r="D5255" s="4368"/>
      <c r="E5255" s="4329" t="s">
        <v>1527</v>
      </c>
      <c r="F5255" s="4336" t="s">
        <v>2041</v>
      </c>
      <c r="G5255" s="4331" t="s">
        <v>1568</v>
      </c>
      <c r="H5255" s="4331" t="s">
        <v>1574</v>
      </c>
      <c r="I5255" s="1572" t="s">
        <v>1559</v>
      </c>
      <c r="J5255" s="1294" t="s">
        <v>1560</v>
      </c>
      <c r="K5255" s="1294" t="s">
        <v>1569</v>
      </c>
      <c r="L5255" s="4333" t="s">
        <v>3765</v>
      </c>
      <c r="M5255" s="4335" t="s">
        <v>1571</v>
      </c>
      <c r="N5255" s="4323" t="s">
        <v>1776</v>
      </c>
      <c r="O5255" s="3347" t="s">
        <v>1563</v>
      </c>
      <c r="P5255" s="1336" t="s">
        <v>1562</v>
      </c>
      <c r="Q5255" s="3389"/>
      <c r="R5255" s="1699" t="s">
        <v>1327</v>
      </c>
    </row>
    <row r="5256" spans="1:18">
      <c r="A5256" s="1662" t="s">
        <v>2026</v>
      </c>
      <c r="B5256" s="4326"/>
      <c r="C5256" s="3354"/>
      <c r="D5256" s="4328"/>
      <c r="E5256" s="4330"/>
      <c r="F5256" s="4336"/>
      <c r="G5256" s="4332"/>
      <c r="H5256" s="4332"/>
      <c r="I5256" s="1345">
        <v>70</v>
      </c>
      <c r="J5256" s="1307">
        <v>1E-3</v>
      </c>
      <c r="K5256" s="1297">
        <f>I5256*J5256</f>
        <v>7.0000000000000007E-2</v>
      </c>
      <c r="L5256" s="4334"/>
      <c r="M5256" s="4335"/>
      <c r="N5256" s="4324"/>
      <c r="O5256" s="1298">
        <f>O5258+O5259+O5260+O5268</f>
        <v>25.282455400000003</v>
      </c>
      <c r="P5256" s="1337">
        <f>O5256*K5256</f>
        <v>1.7697718780000005</v>
      </c>
      <c r="Q5256" s="3390"/>
      <c r="R5256" s="1721">
        <f>P5258+P5259+P5260+P5268</f>
        <v>1.7697718780000002</v>
      </c>
    </row>
    <row r="5257" spans="1:18">
      <c r="B5257" s="1327"/>
      <c r="C5257" s="1511"/>
      <c r="D5257" s="1400"/>
      <c r="E5257" s="2121"/>
      <c r="F5257" s="1389" t="s">
        <v>1</v>
      </c>
      <c r="G5257" s="1389"/>
      <c r="H5257" s="1369"/>
      <c r="I5257" s="1409"/>
      <c r="J5257" s="1390"/>
      <c r="K5257" s="1391"/>
      <c r="L5257" s="1559"/>
      <c r="M5257" s="1369"/>
      <c r="N5257" s="1369"/>
      <c r="O5257" s="1369"/>
      <c r="P5257" s="1392"/>
      <c r="Q5257" s="3395"/>
      <c r="R5257" s="1296"/>
    </row>
    <row r="5258" spans="1:18">
      <c r="B5258" s="1320"/>
      <c r="C5258" s="595"/>
      <c r="D5258" s="1769" t="s">
        <v>2042</v>
      </c>
      <c r="E5258" s="1850" t="s">
        <v>1507</v>
      </c>
      <c r="F5258" s="2022" t="s">
        <v>2043</v>
      </c>
      <c r="G5258" s="2023">
        <v>0.60599999999999998</v>
      </c>
      <c r="H5258" s="1390"/>
      <c r="I5258" s="1299"/>
      <c r="J5258" s="1300"/>
      <c r="K5258" s="1307">
        <f>G5258*K5256</f>
        <v>4.2420000000000006E-2</v>
      </c>
      <c r="L5258" s="1335">
        <f t="shared" ref="L5258:L5259" si="665">K5258*$K$5182</f>
        <v>0</v>
      </c>
      <c r="M5258" s="1302">
        <v>24.89</v>
      </c>
      <c r="N5258" s="1700"/>
      <c r="O5258" s="1290">
        <f>G5258*M5258</f>
        <v>15.08334</v>
      </c>
      <c r="P5258" s="1332">
        <f>M5258*K5258</f>
        <v>1.0558338000000003</v>
      </c>
      <c r="Q5258" s="3391"/>
      <c r="R5258" s="1296"/>
    </row>
    <row r="5259" spans="1:18">
      <c r="B5259" s="1599"/>
      <c r="C5259" s="225"/>
      <c r="D5259" s="1772" t="s">
        <v>1082</v>
      </c>
      <c r="E5259" s="2180" t="s">
        <v>1504</v>
      </c>
      <c r="F5259" s="2024" t="s">
        <v>1541</v>
      </c>
      <c r="G5259" s="2025">
        <v>0.5</v>
      </c>
      <c r="H5259" s="1390"/>
      <c r="I5259" s="1409"/>
      <c r="J5259" s="1390"/>
      <c r="K5259" s="1307">
        <f>G5259*K5256</f>
        <v>3.5000000000000003E-2</v>
      </c>
      <c r="L5259" s="1335">
        <f t="shared" si="665"/>
        <v>0</v>
      </c>
      <c r="M5259" s="1302">
        <v>0.3</v>
      </c>
      <c r="N5259" s="1700"/>
      <c r="O5259" s="1290">
        <f>G5259*M5259</f>
        <v>0.15</v>
      </c>
      <c r="P5259" s="1332">
        <f>M5259*K5259</f>
        <v>1.0500000000000001E-2</v>
      </c>
      <c r="Q5259" s="3391"/>
      <c r="R5259" s="1296"/>
    </row>
    <row r="5260" spans="1:18">
      <c r="B5260" s="1042"/>
      <c r="C5260" s="2020" t="s">
        <v>1137</v>
      </c>
      <c r="D5260" s="1585"/>
      <c r="E5260" s="2137" t="s">
        <v>1517</v>
      </c>
      <c r="F5260" s="1319" t="s">
        <v>2037</v>
      </c>
      <c r="G5260" s="1353"/>
      <c r="H5260" s="1456">
        <v>1.4999999999999999E-2</v>
      </c>
      <c r="I5260" s="1444"/>
      <c r="J5260" s="1388"/>
      <c r="K5260" s="1445"/>
      <c r="L5260" s="1457"/>
      <c r="M5260" s="1447"/>
      <c r="N5260" s="1447">
        <f>SUM(N5261:N5264)</f>
        <v>44.774360000000001</v>
      </c>
      <c r="O5260" s="1447">
        <f>SUM(O5261:O5264)</f>
        <v>0.67161540000000008</v>
      </c>
      <c r="P5260" s="1446">
        <f>SUM(P5261:P5264)</f>
        <v>4.7013078E-2</v>
      </c>
      <c r="Q5260" s="3391"/>
      <c r="R5260" s="2337"/>
    </row>
    <row r="5261" spans="1:18">
      <c r="B5261" s="1042"/>
      <c r="C5261" s="1511"/>
      <c r="D5261" s="1400" t="s">
        <v>1069</v>
      </c>
      <c r="E5261" s="1856" t="s">
        <v>1517</v>
      </c>
      <c r="F5261" s="1397" t="s">
        <v>1578</v>
      </c>
      <c r="G5261" s="1416">
        <v>0.25800000000000001</v>
      </c>
      <c r="H5261" s="1399">
        <f>G5261*$H$5260</f>
        <v>3.8700000000000002E-3</v>
      </c>
      <c r="I5261" s="197"/>
      <c r="J5261" s="198"/>
      <c r="K5261" s="1732">
        <f>H5261*$K$5256</f>
        <v>2.7090000000000003E-4</v>
      </c>
      <c r="L5261" s="1335">
        <f t="shared" ref="L5261:L5264" si="666">K5261*$K$5182</f>
        <v>0</v>
      </c>
      <c r="M5261" s="1302">
        <v>0.55000000000000004</v>
      </c>
      <c r="N5261" s="1718">
        <f>G5261*M5261</f>
        <v>0.14190000000000003</v>
      </c>
      <c r="O5261" s="1290">
        <f>H5261*M5261</f>
        <v>2.1285000000000002E-3</v>
      </c>
      <c r="P5261" s="1332">
        <f>M5261*K5261</f>
        <v>1.4899500000000002E-4</v>
      </c>
      <c r="Q5261" s="3391"/>
      <c r="R5261" s="2337"/>
    </row>
    <row r="5262" spans="1:18">
      <c r="B5262" s="1042"/>
      <c r="C5262" s="595"/>
      <c r="D5262" s="1400" t="s">
        <v>1394</v>
      </c>
      <c r="E5262" s="1856" t="s">
        <v>1577</v>
      </c>
      <c r="F5262" s="1397" t="s">
        <v>1579</v>
      </c>
      <c r="G5262" s="1416">
        <v>0.19600000000000001</v>
      </c>
      <c r="H5262" s="1399">
        <f t="shared" ref="H5262:H5264" si="667">G5262*$H$5260</f>
        <v>2.9399999999999999E-3</v>
      </c>
      <c r="I5262" s="197"/>
      <c r="J5262" s="198"/>
      <c r="K5262" s="1732">
        <f t="shared" ref="K5262:K5264" si="668">H5262*$K$5256</f>
        <v>2.0580000000000002E-4</v>
      </c>
      <c r="L5262" s="1335">
        <f t="shared" si="666"/>
        <v>0</v>
      </c>
      <c r="M5262" s="1302">
        <v>92.54</v>
      </c>
      <c r="N5262" s="1718">
        <f>G5262*M5262</f>
        <v>18.137840000000001</v>
      </c>
      <c r="O5262" s="1290">
        <f>H5262*M5262</f>
        <v>0.27206760000000002</v>
      </c>
      <c r="P5262" s="1332">
        <f>M5262*K5262</f>
        <v>1.9044732000000002E-2</v>
      </c>
      <c r="Q5262" s="3391"/>
      <c r="R5262" s="2337"/>
    </row>
    <row r="5263" spans="1:18">
      <c r="B5263" s="1042"/>
      <c r="C5263" s="595"/>
      <c r="D5263" s="1400" t="s">
        <v>1576</v>
      </c>
      <c r="E5263" s="1856" t="s">
        <v>1517</v>
      </c>
      <c r="F5263" s="1397" t="s">
        <v>1580</v>
      </c>
      <c r="G5263" s="1416">
        <v>1.1739999999999999</v>
      </c>
      <c r="H5263" s="1399">
        <f t="shared" si="667"/>
        <v>1.7609999999999997E-2</v>
      </c>
      <c r="I5263" s="197"/>
      <c r="J5263" s="198"/>
      <c r="K5263" s="1732">
        <f t="shared" si="668"/>
        <v>1.2327E-3</v>
      </c>
      <c r="L5263" s="1335">
        <f t="shared" si="666"/>
        <v>0</v>
      </c>
      <c r="M5263" s="1302">
        <v>6.53</v>
      </c>
      <c r="N5263" s="1718">
        <f>G5263*M5263</f>
        <v>7.66622</v>
      </c>
      <c r="O5263" s="1290">
        <f>H5263*M5263</f>
        <v>0.11499329999999999</v>
      </c>
      <c r="P5263" s="1332">
        <f>M5263*K5263</f>
        <v>8.0495310000000004E-3</v>
      </c>
      <c r="Q5263" s="3391"/>
      <c r="R5263" s="2337"/>
    </row>
    <row r="5264" spans="1:18">
      <c r="B5264" s="1042"/>
      <c r="C5264" s="595"/>
      <c r="D5264" s="1404" t="s">
        <v>1067</v>
      </c>
      <c r="E5264" s="1857" t="s">
        <v>1508</v>
      </c>
      <c r="F5264" s="1406" t="s">
        <v>1512</v>
      </c>
      <c r="G5264" s="1407">
        <v>1.03</v>
      </c>
      <c r="H5264" s="1408">
        <f t="shared" si="667"/>
        <v>1.545E-2</v>
      </c>
      <c r="I5264" s="197"/>
      <c r="J5264" s="198"/>
      <c r="K5264" s="1732">
        <f t="shared" si="668"/>
        <v>1.0815000000000002E-3</v>
      </c>
      <c r="L5264" s="1335">
        <f t="shared" si="666"/>
        <v>0</v>
      </c>
      <c r="M5264" s="1302">
        <v>18.28</v>
      </c>
      <c r="N5264" s="1718">
        <f>G5264*M5264</f>
        <v>18.828400000000002</v>
      </c>
      <c r="O5264" s="1290">
        <f>H5264*M5264</f>
        <v>0.28242600000000001</v>
      </c>
      <c r="P5264" s="1332">
        <f>M5264*K5264</f>
        <v>1.9769820000000004E-2</v>
      </c>
      <c r="Q5264" s="3391"/>
      <c r="R5264" s="2337"/>
    </row>
    <row r="5265" spans="1:18">
      <c r="B5265" s="1320"/>
      <c r="C5265" s="88"/>
      <c r="D5265" s="1672"/>
      <c r="E5265" s="2160"/>
      <c r="F5265" s="1676"/>
      <c r="G5265" s="1676"/>
      <c r="H5265" s="1674"/>
      <c r="I5265" s="1299"/>
      <c r="J5265" s="1300"/>
      <c r="K5265" s="1307"/>
      <c r="L5265" s="1335"/>
      <c r="M5265" s="1302"/>
      <c r="N5265" s="1700"/>
      <c r="O5265" s="1290"/>
      <c r="P5265" s="1332"/>
      <c r="Q5265" s="3391"/>
      <c r="R5265" s="1296"/>
    </row>
    <row r="5266" spans="1:18">
      <c r="B5266" s="1320"/>
      <c r="C5266" s="88"/>
      <c r="D5266" s="1367"/>
      <c r="E5266" s="2121"/>
      <c r="F5266" s="1436"/>
      <c r="G5266" s="1436"/>
      <c r="H5266" s="1369"/>
      <c r="I5266" s="1299" t="str">
        <f t="shared" ref="I5266" ca="1" si="669">IF(COUNT(H5266:O5266)=0,"",(SUM(H5266:O5266)/COUNT(H5266:O5266)))</f>
        <v/>
      </c>
      <c r="J5266" s="1300"/>
      <c r="K5266" s="1307" t="str">
        <f t="shared" ref="K5266" ca="1" si="670">IF(COUNT(I5266)=0,"",(I5266*J5266))</f>
        <v/>
      </c>
      <c r="L5266" s="1335"/>
      <c r="M5266" s="1302"/>
      <c r="N5266" s="1700"/>
      <c r="O5266" s="1290"/>
      <c r="P5266" s="1332"/>
      <c r="Q5266" s="3391"/>
      <c r="R5266" s="1296"/>
    </row>
    <row r="5267" spans="1:18">
      <c r="B5267" s="1320"/>
      <c r="C5267" s="88"/>
      <c r="D5267" s="1443"/>
      <c r="E5267" s="1858"/>
      <c r="F5267" s="1360" t="s">
        <v>2</v>
      </c>
      <c r="G5267" s="1360"/>
      <c r="H5267" s="1362"/>
      <c r="I5267" s="1380"/>
      <c r="J5267" s="1381"/>
      <c r="K5267" s="1381"/>
      <c r="L5267" s="1458"/>
      <c r="M5267" s="1362"/>
      <c r="N5267" s="1362"/>
      <c r="O5267" s="1362"/>
      <c r="P5267" s="1359"/>
      <c r="Q5267" s="3387"/>
    </row>
    <row r="5268" spans="1:18">
      <c r="B5268" s="1042"/>
      <c r="C5268" s="1356" t="s">
        <v>1755</v>
      </c>
      <c r="D5268" s="1311"/>
      <c r="E5268" s="2176" t="s">
        <v>1508</v>
      </c>
      <c r="F5268" s="1648" t="s">
        <v>1524</v>
      </c>
      <c r="G5268" s="1990"/>
      <c r="H5268" s="1456">
        <v>0.25</v>
      </c>
      <c r="I5268" s="1444"/>
      <c r="J5268" s="1388"/>
      <c r="K5268" s="1445"/>
      <c r="L5268" s="1457"/>
      <c r="M5268" s="1447"/>
      <c r="N5268" s="1447">
        <f>SUM(N5269:N5270)</f>
        <v>37.510000000000005</v>
      </c>
      <c r="O5268" s="1447">
        <f>SUM(O5269:O5270)</f>
        <v>9.3775000000000013</v>
      </c>
      <c r="P5268" s="1447">
        <f>SUM(P5269:P5270)</f>
        <v>0.65642500000000004</v>
      </c>
      <c r="Q5268" s="3391"/>
      <c r="R5268" s="2337"/>
    </row>
    <row r="5269" spans="1:18">
      <c r="B5269" s="1042"/>
      <c r="C5269" s="88"/>
      <c r="D5269" s="1430" t="s">
        <v>1067</v>
      </c>
      <c r="E5269" s="1857" t="s">
        <v>1508</v>
      </c>
      <c r="F5269" s="1403" t="s">
        <v>5</v>
      </c>
      <c r="G5269" s="1991">
        <v>1</v>
      </c>
      <c r="H5269" s="1408">
        <f>G5269*$H$5268</f>
        <v>0.25</v>
      </c>
      <c r="I5269" s="1286"/>
      <c r="J5269" s="198"/>
      <c r="K5269" s="1307">
        <f>H5269*$K$5256</f>
        <v>1.7500000000000002E-2</v>
      </c>
      <c r="L5269" s="1335">
        <f t="shared" ref="L5269:L5270" si="671">K5269*$K$5182</f>
        <v>0</v>
      </c>
      <c r="M5269" s="1302">
        <v>18.28</v>
      </c>
      <c r="N5269" s="1718">
        <f>G5269*M5269</f>
        <v>18.28</v>
      </c>
      <c r="O5269" s="1290">
        <f>H5269*M5269</f>
        <v>4.57</v>
      </c>
      <c r="P5269" s="1332">
        <f>M5269*K5269</f>
        <v>0.31990000000000007</v>
      </c>
      <c r="Q5269" s="3391"/>
      <c r="R5269" s="2337"/>
    </row>
    <row r="5270" spans="1:18">
      <c r="B5270" s="1042"/>
      <c r="C5270" s="88"/>
      <c r="D5270" s="1430" t="s">
        <v>1077</v>
      </c>
      <c r="E5270" s="1857" t="s">
        <v>1508</v>
      </c>
      <c r="F5270" s="1403" t="s">
        <v>37</v>
      </c>
      <c r="G5270" s="1991">
        <v>1</v>
      </c>
      <c r="H5270" s="1408">
        <f>G5270*$H$5268</f>
        <v>0.25</v>
      </c>
      <c r="I5270" s="197"/>
      <c r="J5270" s="198"/>
      <c r="K5270" s="1307">
        <f>H5270*$K$5256</f>
        <v>1.7500000000000002E-2</v>
      </c>
      <c r="L5270" s="1335">
        <f t="shared" si="671"/>
        <v>0</v>
      </c>
      <c r="M5270" s="1302">
        <v>19.23</v>
      </c>
      <c r="N5270" s="1718">
        <f>G5270*M5270</f>
        <v>19.23</v>
      </c>
      <c r="O5270" s="1290">
        <f>H5270*M5270</f>
        <v>4.8075000000000001</v>
      </c>
      <c r="P5270" s="1332">
        <f>M5270*K5270</f>
        <v>0.33652500000000002</v>
      </c>
      <c r="Q5270" s="3391"/>
      <c r="R5270" s="2337"/>
    </row>
    <row r="5271" spans="1:18">
      <c r="B5271" s="1320"/>
      <c r="C5271" s="595"/>
      <c r="D5271" s="1359"/>
      <c r="E5271" s="1858"/>
      <c r="F5271" s="1361"/>
      <c r="G5271" s="1361"/>
      <c r="H5271" s="1466"/>
      <c r="I5271" s="1299"/>
      <c r="J5271" s="1300"/>
      <c r="K5271" s="1307" t="str">
        <f>IF(COUNT(I5271)=0,"",(I5271*J5271))</f>
        <v/>
      </c>
      <c r="L5271" s="1335"/>
      <c r="M5271" s="1302"/>
      <c r="N5271" s="1700"/>
      <c r="O5271" s="1290"/>
      <c r="P5271" s="1332"/>
      <c r="Q5271" s="3391"/>
      <c r="R5271" s="1296"/>
    </row>
    <row r="5272" spans="1:18">
      <c r="B5272" s="1320"/>
      <c r="C5272" s="595"/>
      <c r="D5272" s="1373"/>
      <c r="E5272" s="2123"/>
      <c r="F5272" s="1374" t="s">
        <v>3</v>
      </c>
      <c r="G5272" s="1375"/>
      <c r="H5272" s="1376"/>
      <c r="I5272" s="1382"/>
      <c r="J5272" s="1383"/>
      <c r="K5272" s="1383" t="str">
        <f>IF(COUNT(I5272)=0,"",(I5272*J5272))</f>
        <v/>
      </c>
      <c r="L5272" s="1413"/>
      <c r="M5272" s="1376"/>
      <c r="N5272" s="1376"/>
      <c r="O5272" s="1376"/>
      <c r="P5272" s="1373"/>
      <c r="Q5272" s="3387"/>
      <c r="R5272" s="1296"/>
    </row>
    <row r="5273" spans="1:18">
      <c r="B5273" s="1321"/>
      <c r="C5273" s="2021"/>
      <c r="D5273" s="1377"/>
      <c r="E5273" s="2124"/>
      <c r="F5273" s="1378"/>
      <c r="G5273" s="1378"/>
      <c r="H5273" s="1379"/>
      <c r="I5273" s="1299"/>
      <c r="J5273" s="1300"/>
      <c r="K5273" s="1307"/>
      <c r="L5273" s="1335"/>
      <c r="M5273" s="1302"/>
      <c r="N5273" s="1700"/>
      <c r="O5273" s="1290"/>
      <c r="P5273" s="1332"/>
      <c r="Q5273" s="3391"/>
      <c r="R5273" s="1296"/>
    </row>
    <row r="5274" spans="1:18">
      <c r="B5274" s="1321"/>
      <c r="C5274" s="2021"/>
      <c r="D5274" s="1377"/>
      <c r="E5274" s="2124"/>
      <c r="F5274" s="1378"/>
      <c r="G5274" s="1378"/>
      <c r="H5274" s="1379"/>
      <c r="I5274" s="1299"/>
      <c r="J5274" s="1300"/>
      <c r="K5274" s="1307"/>
      <c r="L5274" s="1335"/>
      <c r="M5274" s="1302"/>
      <c r="N5274" s="1700"/>
      <c r="O5274" s="1290"/>
      <c r="P5274" s="1333"/>
      <c r="Q5274" s="3391"/>
      <c r="R5274" s="1296"/>
    </row>
    <row r="5275" spans="1:18">
      <c r="B5275" s="225"/>
      <c r="C5275" s="581"/>
      <c r="D5275" s="1373"/>
      <c r="E5275" s="2161"/>
      <c r="F5275" s="1678"/>
      <c r="G5275" s="1678"/>
      <c r="H5275" s="1376"/>
      <c r="I5275" s="1299"/>
      <c r="J5275" s="1300"/>
      <c r="K5275" s="1307"/>
      <c r="L5275" s="1335"/>
      <c r="M5275" s="1302"/>
      <c r="N5275" s="1700"/>
      <c r="O5275" s="1290"/>
      <c r="P5275" s="1332"/>
      <c r="Q5275" s="3391"/>
      <c r="R5275" s="1296"/>
    </row>
    <row r="5276" spans="1:18" ht="15" customHeight="1">
      <c r="A5276" s="2370" t="s">
        <v>2843</v>
      </c>
      <c r="B5276" s="4325" t="s">
        <v>2841</v>
      </c>
      <c r="C5276" s="3354"/>
      <c r="D5276" s="4368"/>
      <c r="E5276" s="4329" t="s">
        <v>1507</v>
      </c>
      <c r="F5276" s="4336" t="s">
        <v>2842</v>
      </c>
      <c r="G5276" s="4331" t="s">
        <v>1568</v>
      </c>
      <c r="H5276" s="4331" t="s">
        <v>1574</v>
      </c>
      <c r="I5276" s="1572" t="s">
        <v>1559</v>
      </c>
      <c r="J5276" s="1294" t="s">
        <v>1560</v>
      </c>
      <c r="K5276" s="1294" t="s">
        <v>1569</v>
      </c>
      <c r="L5276" s="4333" t="s">
        <v>3765</v>
      </c>
      <c r="M5276" s="4335" t="s">
        <v>1571</v>
      </c>
      <c r="N5276" s="4323" t="s">
        <v>1776</v>
      </c>
      <c r="O5276" s="3347" t="s">
        <v>1563</v>
      </c>
      <c r="P5276" s="1336" t="s">
        <v>1562</v>
      </c>
      <c r="Q5276" s="3389"/>
      <c r="R5276" s="1699" t="s">
        <v>1327</v>
      </c>
    </row>
    <row r="5277" spans="1:18">
      <c r="A5277" s="2370"/>
      <c r="B5277" s="4326"/>
      <c r="C5277" s="3354"/>
      <c r="D5277" s="4328"/>
      <c r="E5277" s="4330"/>
      <c r="F5277" s="4336"/>
      <c r="G5277" s="4332"/>
      <c r="H5277" s="4332"/>
      <c r="I5277" s="1345">
        <v>688</v>
      </c>
      <c r="J5277" s="1307">
        <v>1E-3</v>
      </c>
      <c r="K5277" s="1297">
        <f>I5277*J5277</f>
        <v>0.68800000000000006</v>
      </c>
      <c r="L5277" s="4334"/>
      <c r="M5277" s="4335"/>
      <c r="N5277" s="4324"/>
      <c r="O5277" s="1298">
        <f>O5279+O5280+O5281+O5289</f>
        <v>35.854500000000009</v>
      </c>
      <c r="P5277" s="1337">
        <f>O5277*K5277</f>
        <v>24.66789600000001</v>
      </c>
      <c r="Q5277" s="3390"/>
      <c r="R5277" s="1721">
        <f>P5279+P5280+P5281+P5289</f>
        <v>24.667896000000006</v>
      </c>
    </row>
    <row r="5278" spans="1:18">
      <c r="B5278" s="1949"/>
      <c r="C5278" s="1327"/>
      <c r="D5278" s="1400"/>
      <c r="E5278" s="2121"/>
      <c r="F5278" s="1389" t="s">
        <v>1</v>
      </c>
      <c r="G5278" s="1389"/>
      <c r="H5278" s="1369"/>
      <c r="I5278" s="1409"/>
      <c r="J5278" s="1390"/>
      <c r="K5278" s="1391"/>
      <c r="L5278" s="1559"/>
      <c r="M5278" s="1369"/>
      <c r="N5278" s="1369"/>
      <c r="O5278" s="1369"/>
      <c r="P5278" s="1392"/>
      <c r="Q5278" s="3395"/>
      <c r="R5278" s="1296"/>
    </row>
    <row r="5279" spans="1:18">
      <c r="B5279" s="1599"/>
      <c r="C5279" s="1320"/>
      <c r="D5279" s="1610" t="s">
        <v>1138</v>
      </c>
      <c r="E5279" s="2154" t="s">
        <v>1504</v>
      </c>
      <c r="F5279" s="1598" t="s">
        <v>2044</v>
      </c>
      <c r="G5279" s="1612">
        <v>43.2</v>
      </c>
      <c r="H5279" s="1390"/>
      <c r="I5279" s="1289"/>
      <c r="J5279" s="8"/>
      <c r="K5279" s="1307">
        <f>G5279*K5277</f>
        <v>29.721600000000006</v>
      </c>
      <c r="L5279" s="1335">
        <f t="shared" ref="L5279:L5281" si="672">K5279*$K$5182</f>
        <v>0</v>
      </c>
      <c r="M5279" s="1302">
        <v>0.32</v>
      </c>
      <c r="N5279" s="1700"/>
      <c r="O5279" s="1290">
        <f>G5279*M5279</f>
        <v>13.824000000000002</v>
      </c>
      <c r="P5279" s="1332">
        <f>M5279*K5279</f>
        <v>9.5109120000000029</v>
      </c>
      <c r="Q5279" s="3391"/>
      <c r="R5279" s="1296"/>
    </row>
    <row r="5280" spans="1:18">
      <c r="B5280" s="1599"/>
      <c r="C5280" s="1320"/>
      <c r="D5280" s="1610" t="s">
        <v>1082</v>
      </c>
      <c r="E5280" s="2154" t="s">
        <v>1504</v>
      </c>
      <c r="F5280" s="1598" t="s">
        <v>1541</v>
      </c>
      <c r="G5280" s="1612">
        <v>1</v>
      </c>
      <c r="H5280" s="1390"/>
      <c r="I5280" s="1289"/>
      <c r="J5280" s="2027"/>
      <c r="K5280" s="1307">
        <f>G5280*K5277</f>
        <v>0.68800000000000006</v>
      </c>
      <c r="L5280" s="1335">
        <f t="shared" si="672"/>
        <v>0</v>
      </c>
      <c r="M5280" s="1700">
        <v>0.3</v>
      </c>
      <c r="N5280" s="1700"/>
      <c r="O5280" s="1290">
        <f>G5280*M5280</f>
        <v>0.3</v>
      </c>
      <c r="P5280" s="1332">
        <f>M5280*K5280</f>
        <v>0.2064</v>
      </c>
      <c r="Q5280" s="3391"/>
      <c r="R5280" s="1296"/>
    </row>
    <row r="5281" spans="2:18">
      <c r="B5281" s="1599"/>
      <c r="C5281" s="1320"/>
      <c r="D5281" s="1610" t="s">
        <v>1097</v>
      </c>
      <c r="E5281" s="2154" t="s">
        <v>1504</v>
      </c>
      <c r="F5281" s="1598" t="s">
        <v>1632</v>
      </c>
      <c r="G5281" s="1612">
        <v>2</v>
      </c>
      <c r="H5281" s="1390"/>
      <c r="I5281" s="1289"/>
      <c r="J5281" s="2027"/>
      <c r="K5281" s="1307">
        <f>G5281*K5277</f>
        <v>1.3760000000000001</v>
      </c>
      <c r="L5281" s="1335">
        <f t="shared" si="672"/>
        <v>0</v>
      </c>
      <c r="M5281" s="1700">
        <v>0.55000000000000004</v>
      </c>
      <c r="N5281" s="1700"/>
      <c r="O5281" s="1290">
        <f>G5281*M5281</f>
        <v>1.1000000000000001</v>
      </c>
      <c r="P5281" s="1332">
        <f>M5281*K5281</f>
        <v>0.75680000000000014</v>
      </c>
      <c r="Q5281" s="3391"/>
      <c r="R5281" s="1296"/>
    </row>
    <row r="5282" spans="2:18">
      <c r="B5282" s="1320"/>
      <c r="C5282" s="2020" t="s">
        <v>1137</v>
      </c>
      <c r="D5282" s="1585"/>
      <c r="E5282" s="2137" t="s">
        <v>1517</v>
      </c>
      <c r="F5282" s="1319" t="s">
        <v>2037</v>
      </c>
      <c r="G5282" s="1353"/>
      <c r="H5282" s="1456">
        <v>3.1E-2</v>
      </c>
      <c r="I5282" s="1444"/>
      <c r="J5282" s="1388"/>
      <c r="K5282" s="1445"/>
      <c r="L5282" s="1457"/>
      <c r="M5282" s="1447"/>
      <c r="N5282" s="1447">
        <f>SUM(N5283:N5286)</f>
        <v>44.774360000000001</v>
      </c>
      <c r="O5282" s="1447">
        <f>SUM(O5283:O5286)</f>
        <v>1.3880051600000001</v>
      </c>
      <c r="P5282" s="1446">
        <f>SUM(P5283:P5286)</f>
        <v>0.95494755007999998</v>
      </c>
      <c r="Q5282" s="3391"/>
      <c r="R5282" s="2337"/>
    </row>
    <row r="5283" spans="2:18">
      <c r="B5283" s="1320"/>
      <c r="C5283" s="1511"/>
      <c r="D5283" s="1400" t="s">
        <v>1069</v>
      </c>
      <c r="E5283" s="1856" t="s">
        <v>1517</v>
      </c>
      <c r="F5283" s="1397" t="s">
        <v>1578</v>
      </c>
      <c r="G5283" s="1416">
        <v>0.25800000000000001</v>
      </c>
      <c r="H5283" s="1399">
        <f>G5283*H5282</f>
        <v>7.9979999999999999E-3</v>
      </c>
      <c r="I5283" s="197"/>
      <c r="J5283" s="198"/>
      <c r="K5283" s="1732">
        <f>H5283*K5277</f>
        <v>5.5026240000000002E-3</v>
      </c>
      <c r="L5283" s="1335">
        <f t="shared" ref="L5283:L5286" si="673">K5283*$K$5182</f>
        <v>0</v>
      </c>
      <c r="M5283" s="1302">
        <v>0.55000000000000004</v>
      </c>
      <c r="N5283" s="1718">
        <f>G5283*M5283</f>
        <v>0.14190000000000003</v>
      </c>
      <c r="O5283" s="1290">
        <f>H5283*M5283</f>
        <v>4.3989000000000007E-3</v>
      </c>
      <c r="P5283" s="1332">
        <f>M5283*K5283</f>
        <v>3.0264432000000003E-3</v>
      </c>
      <c r="Q5283" s="3391"/>
      <c r="R5283" s="2337"/>
    </row>
    <row r="5284" spans="2:18">
      <c r="B5284" s="1320"/>
      <c r="C5284" s="595"/>
      <c r="D5284" s="1400" t="s">
        <v>1394</v>
      </c>
      <c r="E5284" s="1856" t="s">
        <v>1577</v>
      </c>
      <c r="F5284" s="1397" t="s">
        <v>1579</v>
      </c>
      <c r="G5284" s="1416">
        <v>0.19600000000000001</v>
      </c>
      <c r="H5284" s="1399">
        <f>G5284*H5282</f>
        <v>6.0759999999999998E-3</v>
      </c>
      <c r="I5284" s="197"/>
      <c r="J5284" s="198"/>
      <c r="K5284" s="1732">
        <f>H5284*K5277</f>
        <v>4.1802879999999999E-3</v>
      </c>
      <c r="L5284" s="1335">
        <f t="shared" si="673"/>
        <v>0</v>
      </c>
      <c r="M5284" s="1302">
        <v>92.54</v>
      </c>
      <c r="N5284" s="1718">
        <f>G5284*M5284</f>
        <v>18.137840000000001</v>
      </c>
      <c r="O5284" s="1290">
        <f>H5284*M5284</f>
        <v>0.56227304</v>
      </c>
      <c r="P5284" s="1332">
        <f>M5284*K5284</f>
        <v>0.38684385152</v>
      </c>
      <c r="Q5284" s="3391"/>
      <c r="R5284" s="2337"/>
    </row>
    <row r="5285" spans="2:18">
      <c r="B5285" s="1320"/>
      <c r="C5285" s="595"/>
      <c r="D5285" s="1400" t="s">
        <v>1576</v>
      </c>
      <c r="E5285" s="1856" t="s">
        <v>1517</v>
      </c>
      <c r="F5285" s="1397" t="s">
        <v>1580</v>
      </c>
      <c r="G5285" s="1416">
        <v>1.1739999999999999</v>
      </c>
      <c r="H5285" s="1399">
        <f>G5285*H5282</f>
        <v>3.6393999999999996E-2</v>
      </c>
      <c r="I5285" s="197"/>
      <c r="J5285" s="198"/>
      <c r="K5285" s="1732">
        <f>H5285*K5277</f>
        <v>2.5039071999999999E-2</v>
      </c>
      <c r="L5285" s="1335">
        <f t="shared" si="673"/>
        <v>0</v>
      </c>
      <c r="M5285" s="1302">
        <v>6.53</v>
      </c>
      <c r="N5285" s="1718">
        <f>G5285*M5285</f>
        <v>7.66622</v>
      </c>
      <c r="O5285" s="1290">
        <f>H5285*M5285</f>
        <v>0.23765281999999999</v>
      </c>
      <c r="P5285" s="1332">
        <f>M5285*K5285</f>
        <v>0.16350514016000001</v>
      </c>
      <c r="Q5285" s="3391"/>
      <c r="R5285" s="2337"/>
    </row>
    <row r="5286" spans="2:18">
      <c r="B5286" s="1320"/>
      <c r="C5286" s="595"/>
      <c r="D5286" s="1404" t="s">
        <v>1067</v>
      </c>
      <c r="E5286" s="1857" t="s">
        <v>1508</v>
      </c>
      <c r="F5286" s="1406" t="s">
        <v>1512</v>
      </c>
      <c r="G5286" s="1407">
        <v>1.03</v>
      </c>
      <c r="H5286" s="1408">
        <f>G5286*H5282</f>
        <v>3.193E-2</v>
      </c>
      <c r="I5286" s="197"/>
      <c r="J5286" s="198"/>
      <c r="K5286" s="1732">
        <f>H5286*K5277</f>
        <v>2.1967840000000002E-2</v>
      </c>
      <c r="L5286" s="1335">
        <f t="shared" si="673"/>
        <v>0</v>
      </c>
      <c r="M5286" s="1302">
        <v>18.28</v>
      </c>
      <c r="N5286" s="1718">
        <f>G5286*M5286</f>
        <v>18.828400000000002</v>
      </c>
      <c r="O5286" s="1290">
        <f>H5286*M5286</f>
        <v>0.58368039999999999</v>
      </c>
      <c r="P5286" s="1332">
        <f>M5286*K5286</f>
        <v>0.40157211520000008</v>
      </c>
      <c r="Q5286" s="3391"/>
      <c r="R5286" s="2337"/>
    </row>
    <row r="5287" spans="2:18">
      <c r="B5287" s="1320"/>
      <c r="C5287" s="88"/>
      <c r="D5287" s="1367"/>
      <c r="E5287" s="2121"/>
      <c r="F5287" s="1436"/>
      <c r="G5287" s="1436"/>
      <c r="H5287" s="1369"/>
      <c r="I5287" s="1299" t="str">
        <f t="shared" ref="I5287" ca="1" si="674">IF(COUNT(H5287:O5287)=0,"",(SUM(H5287:O5287)/COUNT(H5287:O5287)))</f>
        <v/>
      </c>
      <c r="J5287" s="1300"/>
      <c r="K5287" s="1307" t="str">
        <f t="shared" ref="K5287" ca="1" si="675">IF(COUNT(I5287)=0,"",(I5287*J5287))</f>
        <v/>
      </c>
      <c r="L5287" s="1335"/>
      <c r="M5287" s="1302"/>
      <c r="N5287" s="1700"/>
      <c r="O5287" s="1290"/>
      <c r="P5287" s="1332"/>
      <c r="Q5287" s="3391"/>
      <c r="R5287" s="1296"/>
    </row>
    <row r="5288" spans="2:18">
      <c r="B5288" s="1320"/>
      <c r="C5288" s="88"/>
      <c r="D5288" s="1359"/>
      <c r="E5288" s="1858"/>
      <c r="F5288" s="1360" t="s">
        <v>2</v>
      </c>
      <c r="G5288" s="1360"/>
      <c r="H5288" s="1362"/>
      <c r="I5288" s="1380"/>
      <c r="J5288" s="1381"/>
      <c r="K5288" s="1381"/>
      <c r="L5288" s="1458"/>
      <c r="M5288" s="1362"/>
      <c r="N5288" s="1362"/>
      <c r="O5288" s="1362"/>
      <c r="P5288" s="1359"/>
      <c r="Q5288" s="3387"/>
    </row>
    <row r="5289" spans="2:18">
      <c r="B5289" s="1320"/>
      <c r="C5289" s="1764" t="s">
        <v>1755</v>
      </c>
      <c r="D5289" s="1461"/>
      <c r="E5289" s="2163" t="s">
        <v>1508</v>
      </c>
      <c r="F5289" s="1648" t="s">
        <v>1524</v>
      </c>
      <c r="G5289" s="1990"/>
      <c r="H5289" s="1456">
        <v>0.55000000000000004</v>
      </c>
      <c r="I5289" s="1444"/>
      <c r="J5289" s="1388"/>
      <c r="K5289" s="1445"/>
      <c r="L5289" s="1457"/>
      <c r="M5289" s="1447"/>
      <c r="N5289" s="1447">
        <f>SUM(N5290:N5291)</f>
        <v>37.510000000000005</v>
      </c>
      <c r="O5289" s="1447">
        <f>SUM(O5290:O5291)</f>
        <v>20.630500000000005</v>
      </c>
      <c r="P5289" s="1447">
        <f>SUM(P5290:P5291)</f>
        <v>14.193784000000003</v>
      </c>
      <c r="Q5289" s="3391"/>
      <c r="R5289" s="2337"/>
    </row>
    <row r="5290" spans="2:18">
      <c r="B5290" s="1320"/>
      <c r="C5290" s="88"/>
      <c r="D5290" s="1430" t="s">
        <v>1067</v>
      </c>
      <c r="E5290" s="1857" t="s">
        <v>1508</v>
      </c>
      <c r="F5290" s="1403" t="s">
        <v>5</v>
      </c>
      <c r="G5290" s="1991">
        <v>1</v>
      </c>
      <c r="H5290" s="1408">
        <f>G5290*$H$5289</f>
        <v>0.55000000000000004</v>
      </c>
      <c r="I5290" s="1286"/>
      <c r="J5290" s="198"/>
      <c r="K5290" s="1307">
        <f>H5290*$K$5277</f>
        <v>0.37840000000000007</v>
      </c>
      <c r="L5290" s="1335">
        <f t="shared" ref="L5290:L5291" si="676">K5290*$K$5182</f>
        <v>0</v>
      </c>
      <c r="M5290" s="1302">
        <v>18.28</v>
      </c>
      <c r="N5290" s="1718">
        <f>G5290*M5290</f>
        <v>18.28</v>
      </c>
      <c r="O5290" s="1290">
        <f>H5290*M5290</f>
        <v>10.054000000000002</v>
      </c>
      <c r="P5290" s="1332">
        <f>M5290*K5290</f>
        <v>6.9171520000000015</v>
      </c>
      <c r="Q5290" s="3391"/>
      <c r="R5290" s="2337"/>
    </row>
    <row r="5291" spans="2:18">
      <c r="B5291" s="1320"/>
      <c r="C5291" s="88"/>
      <c r="D5291" s="1430" t="s">
        <v>1077</v>
      </c>
      <c r="E5291" s="1857" t="s">
        <v>1508</v>
      </c>
      <c r="F5291" s="1403" t="s">
        <v>37</v>
      </c>
      <c r="G5291" s="1991">
        <v>1</v>
      </c>
      <c r="H5291" s="1408">
        <f>G5291*$H$5289</f>
        <v>0.55000000000000004</v>
      </c>
      <c r="I5291" s="197"/>
      <c r="J5291" s="198"/>
      <c r="K5291" s="1307">
        <f>H5291*$K$5277</f>
        <v>0.37840000000000007</v>
      </c>
      <c r="L5291" s="1335">
        <f t="shared" si="676"/>
        <v>0</v>
      </c>
      <c r="M5291" s="1302">
        <v>19.23</v>
      </c>
      <c r="N5291" s="1718">
        <f>G5291*M5291</f>
        <v>19.23</v>
      </c>
      <c r="O5291" s="1290">
        <f>H5291*M5291</f>
        <v>10.576500000000001</v>
      </c>
      <c r="P5291" s="1332">
        <f>M5291*K5291</f>
        <v>7.2766320000000011</v>
      </c>
      <c r="Q5291" s="3391"/>
      <c r="R5291" s="2337"/>
    </row>
    <row r="5292" spans="2:18">
      <c r="B5292" s="1320"/>
      <c r="C5292" s="595"/>
      <c r="D5292" s="1359"/>
      <c r="E5292" s="1858"/>
      <c r="F5292" s="1361"/>
      <c r="G5292" s="1361"/>
      <c r="H5292" s="1466"/>
      <c r="I5292" s="1299"/>
      <c r="J5292" s="1300"/>
      <c r="K5292" s="1307" t="str">
        <f>IF(COUNT(I5292)=0,"",(I5292*J5292))</f>
        <v/>
      </c>
      <c r="L5292" s="1335"/>
      <c r="M5292" s="1302"/>
      <c r="N5292" s="1700"/>
      <c r="O5292" s="1290"/>
      <c r="P5292" s="1332"/>
      <c r="Q5292" s="3391"/>
      <c r="R5292" s="1296"/>
    </row>
    <row r="5293" spans="2:18">
      <c r="B5293" s="1320"/>
      <c r="C5293" s="595"/>
      <c r="D5293" s="1373"/>
      <c r="E5293" s="2123"/>
      <c r="F5293" s="1374" t="s">
        <v>3</v>
      </c>
      <c r="G5293" s="1375"/>
      <c r="H5293" s="1376"/>
      <c r="I5293" s="1382"/>
      <c r="J5293" s="1383"/>
      <c r="K5293" s="1383" t="str">
        <f>IF(COUNT(I5293)=0,"",(I5293*J5293))</f>
        <v/>
      </c>
      <c r="L5293" s="1413"/>
      <c r="M5293" s="1376"/>
      <c r="N5293" s="1376"/>
      <c r="O5293" s="1376"/>
      <c r="P5293" s="1373"/>
      <c r="Q5293" s="3387"/>
      <c r="R5293" s="1296"/>
    </row>
    <row r="5294" spans="2:18">
      <c r="B5294" s="1321"/>
      <c r="C5294" s="2021"/>
      <c r="D5294" s="1377"/>
      <c r="E5294" s="2124"/>
      <c r="F5294" s="1378"/>
      <c r="G5294" s="1378"/>
      <c r="H5294" s="1379"/>
      <c r="I5294" s="1299"/>
      <c r="J5294" s="1300"/>
      <c r="K5294" s="1307"/>
      <c r="L5294" s="1335"/>
      <c r="M5294" s="1302"/>
      <c r="N5294" s="1700"/>
      <c r="O5294" s="1290"/>
      <c r="P5294" s="1332"/>
      <c r="Q5294" s="3391"/>
      <c r="R5294" s="1296"/>
    </row>
    <row r="5295" spans="2:18">
      <c r="B5295" s="1321"/>
      <c r="C5295" s="2021"/>
      <c r="D5295" s="1377"/>
      <c r="E5295" s="2124"/>
      <c r="F5295" s="1378"/>
      <c r="G5295" s="1378"/>
      <c r="H5295" s="1379"/>
      <c r="I5295" s="1299"/>
      <c r="J5295" s="1300"/>
      <c r="K5295" s="1307"/>
      <c r="L5295" s="1335"/>
      <c r="M5295" s="1302"/>
      <c r="N5295" s="1700"/>
      <c r="O5295" s="1290"/>
      <c r="P5295" s="1333"/>
      <c r="Q5295" s="3391"/>
      <c r="R5295" s="1296"/>
    </row>
    <row r="5296" spans="2:18">
      <c r="B5296" s="225"/>
      <c r="C5296" s="581"/>
      <c r="D5296" s="1373"/>
      <c r="E5296" s="2161"/>
      <c r="F5296" s="1678"/>
      <c r="G5296" s="1678"/>
      <c r="H5296" s="1376"/>
      <c r="I5296" s="1299"/>
      <c r="J5296" s="1300"/>
      <c r="K5296" s="1307"/>
      <c r="L5296" s="1335"/>
      <c r="M5296" s="1302"/>
      <c r="N5296" s="1700"/>
      <c r="O5296" s="1290"/>
      <c r="P5296" s="1332"/>
      <c r="Q5296" s="3391"/>
      <c r="R5296" s="1296"/>
    </row>
    <row r="5297" spans="1:18">
      <c r="A5297" s="88" t="s">
        <v>3764</v>
      </c>
      <c r="B5297" s="4325" t="s">
        <v>2049</v>
      </c>
      <c r="C5297" s="3354"/>
      <c r="D5297" s="4368"/>
      <c r="E5297" s="4329" t="s">
        <v>1527</v>
      </c>
      <c r="F5297" s="4336" t="s">
        <v>2050</v>
      </c>
      <c r="G5297" s="4331" t="s">
        <v>1568</v>
      </c>
      <c r="H5297" s="4331" t="s">
        <v>1574</v>
      </c>
      <c r="I5297" s="1572" t="s">
        <v>1559</v>
      </c>
      <c r="J5297" s="1294" t="s">
        <v>1560</v>
      </c>
      <c r="K5297" s="1294" t="s">
        <v>1569</v>
      </c>
      <c r="L5297" s="4333" t="s">
        <v>3765</v>
      </c>
      <c r="M5297" s="4335" t="s">
        <v>1571</v>
      </c>
      <c r="N5297" s="4323" t="s">
        <v>1776</v>
      </c>
      <c r="O5297" s="3347" t="s">
        <v>1563</v>
      </c>
      <c r="P5297" s="1336" t="s">
        <v>1562</v>
      </c>
      <c r="Q5297" s="3389"/>
      <c r="R5297" s="1699" t="s">
        <v>1327</v>
      </c>
    </row>
    <row r="5298" spans="1:18">
      <c r="A5298" s="1662" t="s">
        <v>2026</v>
      </c>
      <c r="B5298" s="4326"/>
      <c r="C5298" s="3354"/>
      <c r="D5298" s="4328"/>
      <c r="E5298" s="4330"/>
      <c r="F5298" s="4336"/>
      <c r="G5298" s="4332"/>
      <c r="H5298" s="4332"/>
      <c r="I5298" s="1345">
        <v>252</v>
      </c>
      <c r="J5298" s="1307">
        <v>1E-3</v>
      </c>
      <c r="K5298" s="1297">
        <f>I5298*J5298</f>
        <v>0.252</v>
      </c>
      <c r="L5298" s="4334"/>
      <c r="M5298" s="4335"/>
      <c r="N5298" s="4324"/>
      <c r="O5298" s="1298">
        <f>O5300+O5301+O5308</f>
        <v>19.867230800000002</v>
      </c>
      <c r="P5298" s="1337">
        <f>O5298*K5298</f>
        <v>5.0065421616000005</v>
      </c>
      <c r="Q5298" s="3390"/>
      <c r="R5298" s="1721">
        <f>P5300+P5301+P5308</f>
        <v>5.0065421616000005</v>
      </c>
    </row>
    <row r="5299" spans="1:18">
      <c r="B5299" s="1949"/>
      <c r="C5299" s="1327"/>
      <c r="D5299" s="1400"/>
      <c r="E5299" s="2121"/>
      <c r="F5299" s="1389" t="s">
        <v>1</v>
      </c>
      <c r="G5299" s="1389"/>
      <c r="H5299" s="1369"/>
      <c r="I5299" s="1409"/>
      <c r="J5299" s="1390"/>
      <c r="K5299" s="1391"/>
      <c r="L5299" s="1559"/>
      <c r="M5299" s="1369"/>
      <c r="N5299" s="1369"/>
      <c r="O5299" s="1369"/>
      <c r="P5299" s="1392"/>
      <c r="Q5299" s="3395"/>
      <c r="R5299" s="1296"/>
    </row>
    <row r="5300" spans="1:18">
      <c r="B5300" s="1599"/>
      <c r="C5300" s="1320"/>
      <c r="D5300" s="2026" t="s">
        <v>1138</v>
      </c>
      <c r="E5300" s="2154" t="s">
        <v>1504</v>
      </c>
      <c r="F5300" s="1598" t="s">
        <v>2044</v>
      </c>
      <c r="G5300" s="1612">
        <v>11</v>
      </c>
      <c r="H5300" s="1390"/>
      <c r="I5300" s="1289"/>
      <c r="J5300" s="8"/>
      <c r="K5300" s="1307">
        <f>G5300*K5298</f>
        <v>2.7720000000000002</v>
      </c>
      <c r="L5300" s="1335">
        <f>K5300*$K$5182</f>
        <v>0</v>
      </c>
      <c r="M5300" s="1302">
        <v>0.32</v>
      </c>
      <c r="N5300" s="1700"/>
      <c r="O5300" s="1290">
        <f>G5300*M5300</f>
        <v>3.52</v>
      </c>
      <c r="P5300" s="1332">
        <f>M5300*K5300</f>
        <v>0.88704000000000005</v>
      </c>
      <c r="Q5300" s="3391"/>
      <c r="R5300" s="1296"/>
    </row>
    <row r="5301" spans="1:18">
      <c r="B5301" s="1042"/>
      <c r="C5301" s="1356" t="s">
        <v>1137</v>
      </c>
      <c r="D5301" s="1311"/>
      <c r="E5301" s="2137" t="s">
        <v>1517</v>
      </c>
      <c r="F5301" s="1319" t="s">
        <v>2037</v>
      </c>
      <c r="G5301" s="1353"/>
      <c r="H5301" s="1456">
        <v>0.03</v>
      </c>
      <c r="I5301" s="1444"/>
      <c r="J5301" s="1388"/>
      <c r="K5301" s="1445"/>
      <c r="L5301" s="1457"/>
      <c r="M5301" s="1447"/>
      <c r="N5301" s="1447">
        <f>SUM(N5302:N5305)</f>
        <v>44.774360000000001</v>
      </c>
      <c r="O5301" s="1447">
        <f>SUM(O5302:O5305)</f>
        <v>1.3432308000000002</v>
      </c>
      <c r="P5301" s="1446">
        <f>SUM(P5302:P5305)</f>
        <v>0.33849416160000001</v>
      </c>
      <c r="Q5301" s="3391"/>
      <c r="R5301" s="2337"/>
    </row>
    <row r="5302" spans="1:18">
      <c r="B5302" s="1042"/>
      <c r="C5302" s="1511"/>
      <c r="D5302" s="1400" t="s">
        <v>1069</v>
      </c>
      <c r="E5302" s="1856" t="s">
        <v>1517</v>
      </c>
      <c r="F5302" s="1397" t="s">
        <v>1578</v>
      </c>
      <c r="G5302" s="1416">
        <v>0.25800000000000001</v>
      </c>
      <c r="H5302" s="1399">
        <f>G5302*$H$5301</f>
        <v>7.7400000000000004E-3</v>
      </c>
      <c r="I5302" s="197"/>
      <c r="J5302" s="198"/>
      <c r="K5302" s="1307">
        <f>H5302*$K$5298</f>
        <v>1.9504800000000001E-3</v>
      </c>
      <c r="L5302" s="1335">
        <f t="shared" ref="L5302:L5305" si="677">K5302*$K$5182</f>
        <v>0</v>
      </c>
      <c r="M5302" s="1302">
        <v>0.55000000000000004</v>
      </c>
      <c r="N5302" s="1718">
        <f>G5302*M5302</f>
        <v>0.14190000000000003</v>
      </c>
      <c r="O5302" s="1290">
        <f>H5302*M5302</f>
        <v>4.2570000000000004E-3</v>
      </c>
      <c r="P5302" s="1332">
        <f>M5302*K5302</f>
        <v>1.0727640000000001E-3</v>
      </c>
      <c r="Q5302" s="3391"/>
      <c r="R5302" s="2337"/>
    </row>
    <row r="5303" spans="1:18">
      <c r="B5303" s="1042"/>
      <c r="C5303" s="595"/>
      <c r="D5303" s="1400" t="s">
        <v>1394</v>
      </c>
      <c r="E5303" s="1856" t="s">
        <v>1577</v>
      </c>
      <c r="F5303" s="1397" t="s">
        <v>1579</v>
      </c>
      <c r="G5303" s="1416">
        <v>0.19600000000000001</v>
      </c>
      <c r="H5303" s="1399">
        <f t="shared" ref="H5303:H5305" si="678">G5303*$H$5301</f>
        <v>5.8799999999999998E-3</v>
      </c>
      <c r="I5303" s="197"/>
      <c r="J5303" s="198"/>
      <c r="K5303" s="1307">
        <f t="shared" ref="K5303:K5305" si="679">H5303*$K$5298</f>
        <v>1.4817599999999999E-3</v>
      </c>
      <c r="L5303" s="1335">
        <f t="shared" si="677"/>
        <v>0</v>
      </c>
      <c r="M5303" s="1302">
        <v>92.54</v>
      </c>
      <c r="N5303" s="1718">
        <f>G5303*M5303</f>
        <v>18.137840000000001</v>
      </c>
      <c r="O5303" s="1290">
        <f>H5303*M5303</f>
        <v>0.54413520000000004</v>
      </c>
      <c r="P5303" s="1332">
        <f>M5303*K5303</f>
        <v>0.13712207039999999</v>
      </c>
      <c r="Q5303" s="3391"/>
      <c r="R5303" s="2337"/>
    </row>
    <row r="5304" spans="1:18">
      <c r="B5304" s="1042"/>
      <c r="C5304" s="595"/>
      <c r="D5304" s="1400" t="s">
        <v>1576</v>
      </c>
      <c r="E5304" s="1856" t="s">
        <v>1517</v>
      </c>
      <c r="F5304" s="1397" t="s">
        <v>1580</v>
      </c>
      <c r="G5304" s="1416">
        <v>1.1739999999999999</v>
      </c>
      <c r="H5304" s="1399">
        <f t="shared" si="678"/>
        <v>3.5219999999999994E-2</v>
      </c>
      <c r="I5304" s="197"/>
      <c r="J5304" s="198"/>
      <c r="K5304" s="1307">
        <f t="shared" si="679"/>
        <v>8.8754399999999983E-3</v>
      </c>
      <c r="L5304" s="1335">
        <f t="shared" si="677"/>
        <v>0</v>
      </c>
      <c r="M5304" s="1302">
        <v>6.53</v>
      </c>
      <c r="N5304" s="1718">
        <f>G5304*M5304</f>
        <v>7.66622</v>
      </c>
      <c r="O5304" s="1290">
        <f>H5304*M5304</f>
        <v>0.22998659999999999</v>
      </c>
      <c r="P5304" s="1332">
        <f>M5304*K5304</f>
        <v>5.7956623199999995E-2</v>
      </c>
      <c r="Q5304" s="3391"/>
      <c r="R5304" s="2337"/>
    </row>
    <row r="5305" spans="1:18">
      <c r="B5305" s="1042"/>
      <c r="C5305" s="595"/>
      <c r="D5305" s="1393" t="s">
        <v>1067</v>
      </c>
      <c r="E5305" s="2129" t="s">
        <v>1508</v>
      </c>
      <c r="F5305" s="2040" t="s">
        <v>1512</v>
      </c>
      <c r="G5305" s="1829">
        <v>1.03</v>
      </c>
      <c r="H5305" s="1395">
        <f t="shared" si="678"/>
        <v>3.09E-2</v>
      </c>
      <c r="I5305" s="197"/>
      <c r="J5305" s="198"/>
      <c r="K5305" s="1307">
        <f t="shared" si="679"/>
        <v>7.7868E-3</v>
      </c>
      <c r="L5305" s="1335">
        <f t="shared" si="677"/>
        <v>0</v>
      </c>
      <c r="M5305" s="1302">
        <v>18.28</v>
      </c>
      <c r="N5305" s="1718">
        <f>G5305*M5305</f>
        <v>18.828400000000002</v>
      </c>
      <c r="O5305" s="1290">
        <f>H5305*M5305</f>
        <v>0.56485200000000002</v>
      </c>
      <c r="P5305" s="1332">
        <f>M5305*K5305</f>
        <v>0.14234270400000001</v>
      </c>
      <c r="Q5305" s="3391"/>
      <c r="R5305" s="2337"/>
    </row>
    <row r="5306" spans="1:18">
      <c r="B5306" s="1042"/>
      <c r="C5306" s="595"/>
      <c r="D5306" s="1367"/>
      <c r="E5306" s="1856"/>
      <c r="F5306" s="1421"/>
      <c r="G5306" s="1452"/>
      <c r="H5306" s="1399"/>
      <c r="I5306" s="197"/>
      <c r="J5306" s="198"/>
      <c r="K5306" s="1732"/>
      <c r="L5306" s="1335"/>
      <c r="M5306" s="1302"/>
      <c r="N5306" s="1718"/>
      <c r="O5306" s="1290"/>
      <c r="P5306" s="1332"/>
      <c r="Q5306" s="3391"/>
      <c r="R5306" s="2337"/>
    </row>
    <row r="5307" spans="1:18">
      <c r="B5307" s="1320"/>
      <c r="C5307" s="88"/>
      <c r="D5307" s="1443"/>
      <c r="E5307" s="1858"/>
      <c r="F5307" s="1360" t="s">
        <v>2</v>
      </c>
      <c r="G5307" s="1360"/>
      <c r="H5307" s="1362"/>
      <c r="I5307" s="1380"/>
      <c r="J5307" s="1381"/>
      <c r="K5307" s="1381"/>
      <c r="L5307" s="1458"/>
      <c r="M5307" s="1362"/>
      <c r="N5307" s="1362"/>
      <c r="O5307" s="1362"/>
      <c r="P5307" s="1359"/>
      <c r="Q5307" s="3387"/>
    </row>
    <row r="5308" spans="1:18">
      <c r="B5308" s="553"/>
      <c r="C5308" s="1938" t="s">
        <v>1755</v>
      </c>
      <c r="D5308" s="1311"/>
      <c r="E5308" s="2176" t="s">
        <v>1508</v>
      </c>
      <c r="F5308" s="1648" t="s">
        <v>1524</v>
      </c>
      <c r="G5308" s="1990"/>
      <c r="H5308" s="1456">
        <v>0.4</v>
      </c>
      <c r="I5308" s="1444"/>
      <c r="J5308" s="1388"/>
      <c r="K5308" s="1445"/>
      <c r="L5308" s="1457"/>
      <c r="M5308" s="1447"/>
      <c r="N5308" s="1447">
        <f>SUM(N5309:N5310)</f>
        <v>37.510000000000005</v>
      </c>
      <c r="O5308" s="1447">
        <f>SUM(O5309:O5310)</f>
        <v>15.004000000000001</v>
      </c>
      <c r="P5308" s="1447">
        <f>SUM(P5309:P5310)</f>
        <v>3.7810079999999999</v>
      </c>
      <c r="Q5308" s="3391"/>
      <c r="R5308" s="2337"/>
    </row>
    <row r="5309" spans="1:18">
      <c r="B5309" s="1042"/>
      <c r="C5309" s="88"/>
      <c r="D5309" s="1898" t="s">
        <v>1067</v>
      </c>
      <c r="E5309" s="1857" t="s">
        <v>1508</v>
      </c>
      <c r="F5309" s="1403" t="s">
        <v>5</v>
      </c>
      <c r="G5309" s="1991">
        <v>1</v>
      </c>
      <c r="H5309" s="1408">
        <f>G5309*$H$5308</f>
        <v>0.4</v>
      </c>
      <c r="I5309" s="1286"/>
      <c r="J5309" s="198"/>
      <c r="K5309" s="1307">
        <f>H5309*$K$5298</f>
        <v>0.1008</v>
      </c>
      <c r="L5309" s="1335">
        <f t="shared" ref="L5309:L5310" si="680">K5309*$K$5182</f>
        <v>0</v>
      </c>
      <c r="M5309" s="1302">
        <v>18.28</v>
      </c>
      <c r="N5309" s="1718">
        <f>G5309*M5309</f>
        <v>18.28</v>
      </c>
      <c r="O5309" s="1290">
        <f>H5309*M5309</f>
        <v>7.3120000000000012</v>
      </c>
      <c r="P5309" s="1332">
        <f>M5309*K5309</f>
        <v>1.842624</v>
      </c>
      <c r="Q5309" s="3391"/>
      <c r="R5309" s="2337"/>
    </row>
    <row r="5310" spans="1:18">
      <c r="B5310" s="1042"/>
      <c r="C5310" s="88"/>
      <c r="D5310" s="1430" t="s">
        <v>1077</v>
      </c>
      <c r="E5310" s="1857" t="s">
        <v>1508</v>
      </c>
      <c r="F5310" s="1403" t="s">
        <v>37</v>
      </c>
      <c r="G5310" s="1991">
        <v>1</v>
      </c>
      <c r="H5310" s="1408">
        <f>G5310*$H$5308</f>
        <v>0.4</v>
      </c>
      <c r="I5310" s="197"/>
      <c r="J5310" s="198"/>
      <c r="K5310" s="1307">
        <f>H5310*$K$5298</f>
        <v>0.1008</v>
      </c>
      <c r="L5310" s="1335">
        <f t="shared" si="680"/>
        <v>0</v>
      </c>
      <c r="M5310" s="1302">
        <v>19.23</v>
      </c>
      <c r="N5310" s="1718">
        <f>G5310*M5310</f>
        <v>19.23</v>
      </c>
      <c r="O5310" s="1290">
        <f>H5310*M5310</f>
        <v>7.6920000000000002</v>
      </c>
      <c r="P5310" s="1332">
        <f>M5310*K5310</f>
        <v>1.9383840000000001</v>
      </c>
      <c r="Q5310" s="3391"/>
      <c r="R5310" s="2337"/>
    </row>
    <row r="5311" spans="1:18">
      <c r="B5311" s="1320"/>
      <c r="C5311" s="595"/>
      <c r="D5311" s="1359"/>
      <c r="E5311" s="1858"/>
      <c r="F5311" s="1361"/>
      <c r="G5311" s="1361"/>
      <c r="H5311" s="1466"/>
      <c r="I5311" s="1299"/>
      <c r="J5311" s="1300"/>
      <c r="K5311" s="1307" t="str">
        <f>IF(COUNT(I5311)=0,"",(I5311*J5311))</f>
        <v/>
      </c>
      <c r="L5311" s="1335"/>
      <c r="M5311" s="1302"/>
      <c r="N5311" s="1700"/>
      <c r="O5311" s="1290"/>
      <c r="P5311" s="1332"/>
      <c r="Q5311" s="3391"/>
      <c r="R5311" s="1296"/>
    </row>
    <row r="5312" spans="1:18">
      <c r="B5312" s="1320"/>
      <c r="C5312" s="595"/>
      <c r="D5312" s="1373"/>
      <c r="E5312" s="2123"/>
      <c r="F5312" s="1374" t="s">
        <v>3</v>
      </c>
      <c r="G5312" s="1375"/>
      <c r="H5312" s="1376"/>
      <c r="I5312" s="1382"/>
      <c r="J5312" s="1383"/>
      <c r="K5312" s="1383" t="str">
        <f>IF(COUNT(I5312)=0,"",(I5312*J5312))</f>
        <v/>
      </c>
      <c r="L5312" s="1413"/>
      <c r="M5312" s="1376"/>
      <c r="N5312" s="1376"/>
      <c r="O5312" s="1376"/>
      <c r="P5312" s="1373"/>
      <c r="Q5312" s="3387"/>
      <c r="R5312" s="1296"/>
    </row>
    <row r="5313" spans="1:18">
      <c r="B5313" s="1321"/>
      <c r="C5313" s="2021"/>
      <c r="D5313" s="1377"/>
      <c r="E5313" s="2124"/>
      <c r="F5313" s="1378"/>
      <c r="G5313" s="1378"/>
      <c r="H5313" s="1379"/>
      <c r="I5313" s="1299"/>
      <c r="J5313" s="1300"/>
      <c r="K5313" s="1307"/>
      <c r="L5313" s="1335"/>
      <c r="M5313" s="1302"/>
      <c r="N5313" s="1700"/>
      <c r="O5313" s="1290"/>
      <c r="P5313" s="1332"/>
      <c r="Q5313" s="3391"/>
      <c r="R5313" s="1296"/>
    </row>
    <row r="5314" spans="1:18">
      <c r="B5314" s="1321"/>
      <c r="C5314" s="2021"/>
      <c r="D5314" s="1377"/>
      <c r="E5314" s="2124"/>
      <c r="F5314" s="1378"/>
      <c r="G5314" s="1378"/>
      <c r="H5314" s="1379"/>
      <c r="I5314" s="1299"/>
      <c r="J5314" s="1300"/>
      <c r="K5314" s="1307"/>
      <c r="L5314" s="1335"/>
      <c r="M5314" s="1302"/>
      <c r="N5314" s="1700"/>
      <c r="O5314" s="1290"/>
      <c r="P5314" s="1333"/>
      <c r="Q5314" s="3391"/>
      <c r="R5314" s="1296"/>
    </row>
    <row r="5315" spans="1:18">
      <c r="B5315" s="225"/>
      <c r="C5315" s="581"/>
      <c r="D5315" s="1373"/>
      <c r="E5315" s="2161"/>
      <c r="F5315" s="1678"/>
      <c r="G5315" s="1678"/>
      <c r="H5315" s="1376"/>
      <c r="I5315" s="1299"/>
      <c r="J5315" s="1300"/>
      <c r="K5315" s="1307"/>
      <c r="L5315" s="1335"/>
      <c r="M5315" s="1302"/>
      <c r="N5315" s="1700"/>
      <c r="O5315" s="1290"/>
      <c r="P5315" s="1332"/>
      <c r="Q5315" s="3391"/>
      <c r="R5315" s="1296"/>
    </row>
    <row r="5316" spans="1:18">
      <c r="A5316" s="88" t="s">
        <v>3764</v>
      </c>
      <c r="B5316" s="4325" t="s">
        <v>1989</v>
      </c>
      <c r="C5316" s="3354"/>
      <c r="D5316" s="4368"/>
      <c r="E5316" s="4329" t="s">
        <v>1507</v>
      </c>
      <c r="F5316" s="4336" t="s">
        <v>1990</v>
      </c>
      <c r="G5316" s="4331" t="s">
        <v>1568</v>
      </c>
      <c r="H5316" s="4331" t="s">
        <v>1574</v>
      </c>
      <c r="I5316" s="1572" t="s">
        <v>1559</v>
      </c>
      <c r="J5316" s="1294" t="s">
        <v>1560</v>
      </c>
      <c r="K5316" s="1294" t="s">
        <v>1569</v>
      </c>
      <c r="L5316" s="4333" t="s">
        <v>3765</v>
      </c>
      <c r="M5316" s="4335" t="s">
        <v>1571</v>
      </c>
      <c r="N5316" s="4323" t="s">
        <v>1776</v>
      </c>
      <c r="O5316" s="3347" t="s">
        <v>1563</v>
      </c>
      <c r="P5316" s="1336" t="s">
        <v>1562</v>
      </c>
      <c r="Q5316" s="3389"/>
      <c r="R5316" s="1699" t="s">
        <v>1327</v>
      </c>
    </row>
    <row r="5317" spans="1:18">
      <c r="A5317" s="1662" t="s">
        <v>2026</v>
      </c>
      <c r="B5317" s="4326"/>
      <c r="C5317" s="3354"/>
      <c r="D5317" s="4328"/>
      <c r="E5317" s="4330"/>
      <c r="F5317" s="4336"/>
      <c r="G5317" s="4332"/>
      <c r="H5317" s="4332"/>
      <c r="I5317" s="1345">
        <v>688</v>
      </c>
      <c r="J5317" s="1307">
        <v>1E-3</v>
      </c>
      <c r="K5317" s="1297">
        <f>I5317*J5317</f>
        <v>0.68800000000000006</v>
      </c>
      <c r="L5317" s="4334"/>
      <c r="M5317" s="4335"/>
      <c r="N5317" s="4324"/>
      <c r="O5317" s="1298">
        <f>O5319+O5323+O5324</f>
        <v>1.4168000000000001</v>
      </c>
      <c r="P5317" s="1337">
        <f>O5317*K5317</f>
        <v>0.97475840000000014</v>
      </c>
      <c r="Q5317" s="3390"/>
      <c r="R5317" s="1721">
        <f>P5319+P5323+P5324</f>
        <v>0.97475840000000002</v>
      </c>
    </row>
    <row r="5318" spans="1:18">
      <c r="B5318" s="1949"/>
      <c r="C5318" s="1327"/>
      <c r="D5318" s="1400"/>
      <c r="E5318" s="2121"/>
      <c r="F5318" s="1389" t="s">
        <v>1</v>
      </c>
      <c r="G5318" s="1389"/>
      <c r="H5318" s="1369"/>
      <c r="I5318" s="1409"/>
      <c r="J5318" s="1390"/>
      <c r="K5318" s="1391"/>
      <c r="L5318" s="1559"/>
      <c r="M5318" s="1369"/>
      <c r="N5318" s="1369"/>
      <c r="O5318" s="1369"/>
      <c r="P5318" s="1392"/>
      <c r="Q5318" s="3395"/>
      <c r="R5318" s="1296"/>
    </row>
    <row r="5319" spans="1:18">
      <c r="B5319" s="1599"/>
      <c r="C5319" s="1320"/>
      <c r="D5319" s="1610" t="s">
        <v>1159</v>
      </c>
      <c r="E5319" s="2154" t="s">
        <v>1507</v>
      </c>
      <c r="F5319" s="1598" t="s">
        <v>1991</v>
      </c>
      <c r="G5319" s="1612">
        <v>1.111</v>
      </c>
      <c r="H5319" s="1390"/>
      <c r="I5319" s="1289"/>
      <c r="J5319" s="8"/>
      <c r="K5319" s="1307">
        <f>G5319*K5317</f>
        <v>0.76436800000000005</v>
      </c>
      <c r="L5319" s="1335">
        <f>K5319*$K$5182</f>
        <v>0</v>
      </c>
      <c r="M5319" s="1302">
        <v>0.6</v>
      </c>
      <c r="N5319" s="1700"/>
      <c r="O5319" s="1290">
        <f>G5319*M5319</f>
        <v>0.66659999999999997</v>
      </c>
      <c r="P5319" s="1332">
        <f>M5319*K5319</f>
        <v>0.4586208</v>
      </c>
      <c r="Q5319" s="3391"/>
      <c r="R5319" s="1296"/>
    </row>
    <row r="5320" spans="1:18">
      <c r="B5320" s="1042"/>
      <c r="C5320" s="595"/>
      <c r="D5320" s="1656"/>
      <c r="E5320" s="2164"/>
      <c r="F5320" s="2044"/>
      <c r="G5320" s="2045"/>
      <c r="H5320" s="1657"/>
      <c r="I5320" s="197"/>
      <c r="J5320" s="198"/>
      <c r="K5320" s="1307"/>
      <c r="L5320" s="1335"/>
      <c r="M5320" s="1302"/>
      <c r="N5320" s="1718"/>
      <c r="O5320" s="1290"/>
      <c r="P5320" s="1332"/>
      <c r="Q5320" s="3391"/>
      <c r="R5320" s="2337"/>
    </row>
    <row r="5321" spans="1:18">
      <c r="B5321" s="1042"/>
      <c r="C5321" s="595"/>
      <c r="D5321" s="1367"/>
      <c r="E5321" s="1856"/>
      <c r="F5321" s="1421"/>
      <c r="G5321" s="1452"/>
      <c r="H5321" s="1399"/>
      <c r="I5321" s="197"/>
      <c r="J5321" s="198"/>
      <c r="K5321" s="1732"/>
      <c r="L5321" s="1335"/>
      <c r="M5321" s="1302"/>
      <c r="N5321" s="1718"/>
      <c r="O5321" s="1290"/>
      <c r="P5321" s="1332"/>
      <c r="Q5321" s="3391"/>
      <c r="R5321" s="2337"/>
    </row>
    <row r="5322" spans="1:18">
      <c r="B5322" s="1320"/>
      <c r="C5322" s="88"/>
      <c r="D5322" s="1359"/>
      <c r="E5322" s="2181"/>
      <c r="F5322" s="1360" t="s">
        <v>2</v>
      </c>
      <c r="G5322" s="1360"/>
      <c r="H5322" s="1362"/>
      <c r="I5322" s="1380"/>
      <c r="J5322" s="1381"/>
      <c r="K5322" s="1381"/>
      <c r="L5322" s="1458"/>
      <c r="M5322" s="1362"/>
      <c r="N5322" s="1362"/>
      <c r="O5322" s="1362"/>
      <c r="P5322" s="1359"/>
      <c r="Q5322" s="3387"/>
    </row>
    <row r="5323" spans="1:18">
      <c r="B5323" s="1042"/>
      <c r="C5323" s="88"/>
      <c r="D5323" s="1430" t="s">
        <v>1067</v>
      </c>
      <c r="E5323" s="2046" t="s">
        <v>1508</v>
      </c>
      <c r="F5323" s="1403" t="s">
        <v>5</v>
      </c>
      <c r="G5323" s="1991">
        <v>0.02</v>
      </c>
      <c r="H5323" s="1408"/>
      <c r="I5323" s="1286"/>
      <c r="J5323" s="198"/>
      <c r="K5323" s="1307">
        <f>G5323*K5317</f>
        <v>1.3760000000000001E-2</v>
      </c>
      <c r="L5323" s="1335">
        <f t="shared" ref="L5323:L5324" si="681">K5323*$K$5182</f>
        <v>0</v>
      </c>
      <c r="M5323" s="1302">
        <v>18.28</v>
      </c>
      <c r="N5323" s="1718"/>
      <c r="O5323" s="1290">
        <f>G5323*M5323</f>
        <v>0.36560000000000004</v>
      </c>
      <c r="P5323" s="1332">
        <f>M5323*K5323</f>
        <v>0.25153280000000006</v>
      </c>
      <c r="Q5323" s="3391"/>
      <c r="R5323" s="2337"/>
    </row>
    <row r="5324" spans="1:18">
      <c r="B5324" s="1042"/>
      <c r="C5324" s="88"/>
      <c r="D5324" s="1620" t="s">
        <v>1133</v>
      </c>
      <c r="E5324" s="2047" t="s">
        <v>1508</v>
      </c>
      <c r="F5324" s="1655" t="s">
        <v>1955</v>
      </c>
      <c r="G5324" s="1994">
        <v>0.02</v>
      </c>
      <c r="H5324" s="1408"/>
      <c r="I5324" s="197"/>
      <c r="J5324" s="198"/>
      <c r="K5324" s="1307">
        <f>G5324*K5317</f>
        <v>1.3760000000000001E-2</v>
      </c>
      <c r="L5324" s="1335">
        <f t="shared" si="681"/>
        <v>0</v>
      </c>
      <c r="M5324" s="1302">
        <v>19.23</v>
      </c>
      <c r="N5324" s="1718"/>
      <c r="O5324" s="1290">
        <f>G5324*M5324</f>
        <v>0.3846</v>
      </c>
      <c r="P5324" s="1332">
        <f>M5324*K5324</f>
        <v>0.26460480000000003</v>
      </c>
      <c r="Q5324" s="3391"/>
      <c r="R5324" s="2337"/>
    </row>
    <row r="5325" spans="1:18">
      <c r="B5325" s="1320"/>
      <c r="C5325" s="595"/>
      <c r="D5325" s="1359"/>
      <c r="E5325" s="1858"/>
      <c r="F5325" s="1361"/>
      <c r="G5325" s="1361"/>
      <c r="H5325" s="1466"/>
      <c r="I5325" s="1299"/>
      <c r="J5325" s="1300"/>
      <c r="K5325" s="1307" t="str">
        <f>IF(COUNT(I5325)=0,"",(I5325*J5325))</f>
        <v/>
      </c>
      <c r="L5325" s="1335"/>
      <c r="M5325" s="1302"/>
      <c r="N5325" s="1700"/>
      <c r="O5325" s="1290"/>
      <c r="P5325" s="1332"/>
      <c r="Q5325" s="3391"/>
      <c r="R5325" s="1296"/>
    </row>
    <row r="5326" spans="1:18">
      <c r="B5326" s="1320"/>
      <c r="C5326" s="595"/>
      <c r="D5326" s="1373"/>
      <c r="E5326" s="2123"/>
      <c r="F5326" s="1374" t="s">
        <v>3</v>
      </c>
      <c r="G5326" s="1375"/>
      <c r="H5326" s="1376"/>
      <c r="I5326" s="1382"/>
      <c r="J5326" s="1383"/>
      <c r="K5326" s="1383" t="str">
        <f>IF(COUNT(I5326)=0,"",(I5326*J5326))</f>
        <v/>
      </c>
      <c r="L5326" s="1413"/>
      <c r="M5326" s="1376"/>
      <c r="N5326" s="1376"/>
      <c r="O5326" s="1376"/>
      <c r="P5326" s="1373"/>
      <c r="Q5326" s="3387"/>
      <c r="R5326" s="1296"/>
    </row>
    <row r="5327" spans="1:18">
      <c r="B5327" s="1321"/>
      <c r="C5327" s="2021"/>
      <c r="D5327" s="1377"/>
      <c r="E5327" s="2124"/>
      <c r="F5327" s="1378"/>
      <c r="G5327" s="1378"/>
      <c r="H5327" s="1379"/>
      <c r="I5327" s="1299"/>
      <c r="J5327" s="1300"/>
      <c r="K5327" s="1307"/>
      <c r="L5327" s="1335"/>
      <c r="M5327" s="1302"/>
      <c r="N5327" s="1700"/>
      <c r="O5327" s="1290"/>
      <c r="P5327" s="1332"/>
      <c r="Q5327" s="3391"/>
      <c r="R5327" s="1296"/>
    </row>
    <row r="5328" spans="1:18">
      <c r="B5328" s="1321"/>
      <c r="C5328" s="2021"/>
      <c r="D5328" s="1377"/>
      <c r="E5328" s="2124"/>
      <c r="F5328" s="1378"/>
      <c r="G5328" s="1378"/>
      <c r="H5328" s="1379"/>
      <c r="I5328" s="1299"/>
      <c r="J5328" s="1300"/>
      <c r="K5328" s="1307"/>
      <c r="L5328" s="1335"/>
      <c r="M5328" s="1302"/>
      <c r="N5328" s="1700"/>
      <c r="O5328" s="1290"/>
      <c r="P5328" s="1333"/>
      <c r="Q5328" s="3391"/>
      <c r="R5328" s="1296"/>
    </row>
    <row r="5329" spans="1:22">
      <c r="B5329" s="225"/>
      <c r="C5329" s="581"/>
      <c r="D5329" s="1373"/>
      <c r="E5329" s="2161"/>
      <c r="F5329" s="1678"/>
      <c r="G5329" s="1678"/>
      <c r="H5329" s="1376"/>
      <c r="I5329" s="1299"/>
      <c r="J5329" s="1300"/>
      <c r="K5329" s="1307"/>
      <c r="L5329" s="1335"/>
      <c r="M5329" s="1302"/>
      <c r="N5329" s="1700"/>
      <c r="O5329" s="1290"/>
      <c r="P5329" s="1332"/>
      <c r="Q5329" s="3391"/>
      <c r="R5329" s="1296"/>
    </row>
    <row r="5330" spans="1:22" ht="15" customHeight="1">
      <c r="A5330" s="88" t="s">
        <v>3764</v>
      </c>
      <c r="B5330" s="4325" t="s">
        <v>2000</v>
      </c>
      <c r="C5330" s="3354"/>
      <c r="D5330" s="4368"/>
      <c r="E5330" s="4329" t="s">
        <v>1507</v>
      </c>
      <c r="F5330" s="4336" t="s">
        <v>2001</v>
      </c>
      <c r="G5330" s="4331" t="s">
        <v>1568</v>
      </c>
      <c r="H5330" s="4331" t="s">
        <v>1574</v>
      </c>
      <c r="I5330" s="1572" t="s">
        <v>1559</v>
      </c>
      <c r="J5330" s="1294" t="s">
        <v>1560</v>
      </c>
      <c r="K5330" s="1294" t="s">
        <v>1569</v>
      </c>
      <c r="L5330" s="4333" t="s">
        <v>3765</v>
      </c>
      <c r="M5330" s="4335" t="s">
        <v>1571</v>
      </c>
      <c r="N5330" s="4323" t="s">
        <v>1776</v>
      </c>
      <c r="O5330" s="3347" t="s">
        <v>1563</v>
      </c>
      <c r="P5330" s="1336" t="s">
        <v>1562</v>
      </c>
      <c r="Q5330" s="3389"/>
      <c r="R5330" s="1699" t="s">
        <v>1327</v>
      </c>
    </row>
    <row r="5331" spans="1:22">
      <c r="A5331" s="1662" t="s">
        <v>2026</v>
      </c>
      <c r="B5331" s="4326"/>
      <c r="C5331" s="3354"/>
      <c r="D5331" s="4328"/>
      <c r="E5331" s="4330"/>
      <c r="F5331" s="4336"/>
      <c r="G5331" s="4332"/>
      <c r="H5331" s="4332"/>
      <c r="I5331" s="1345">
        <v>688</v>
      </c>
      <c r="J5331" s="1307">
        <v>1E-3</v>
      </c>
      <c r="K5331" s="1297">
        <f>I5331*J5331</f>
        <v>0.68800000000000006</v>
      </c>
      <c r="L5331" s="4334"/>
      <c r="M5331" s="4335"/>
      <c r="N5331" s="4324"/>
      <c r="O5331" s="1298">
        <f>O5333+O5334+O5335+O5336+O5337+O5345+O5346</f>
        <v>34.853999709999997</v>
      </c>
      <c r="P5331" s="1337">
        <f>O5331*K5331</f>
        <v>23.979551800479999</v>
      </c>
      <c r="Q5331" s="3390"/>
      <c r="R5331" s="1721">
        <f>P5333+P5334+P5335+P5336+P5337+P5345+P5346</f>
        <v>23.979551800480007</v>
      </c>
    </row>
    <row r="5332" spans="1:22">
      <c r="B5332" s="1949"/>
      <c r="C5332" s="1327"/>
      <c r="D5332" s="1400"/>
      <c r="E5332" s="2121"/>
      <c r="F5332" s="1389" t="s">
        <v>1</v>
      </c>
      <c r="G5332" s="1389"/>
      <c r="H5332" s="1369"/>
      <c r="I5332" s="1409"/>
      <c r="J5332" s="1390"/>
      <c r="K5332" s="1391"/>
      <c r="L5332" s="1559"/>
      <c r="M5332" s="1369"/>
      <c r="N5332" s="1369"/>
      <c r="O5332" s="1369"/>
      <c r="P5332" s="1392"/>
      <c r="Q5332" s="3395"/>
      <c r="R5332" s="1296"/>
    </row>
    <row r="5333" spans="1:22">
      <c r="B5333" s="1599"/>
      <c r="C5333" s="1320"/>
      <c r="D5333" s="1598" t="s">
        <v>2002</v>
      </c>
      <c r="E5333" s="2154" t="s">
        <v>1507</v>
      </c>
      <c r="F5333" s="1598" t="s">
        <v>2003</v>
      </c>
      <c r="G5333" s="1612">
        <v>1.111</v>
      </c>
      <c r="H5333" s="1390"/>
      <c r="I5333" s="1289"/>
      <c r="J5333" s="8"/>
      <c r="K5333" s="1307">
        <f>G5333*K5331</f>
        <v>0.76436800000000005</v>
      </c>
      <c r="L5333" s="1335">
        <f t="shared" ref="L5333:L5336" si="682">K5333*$K$5182</f>
        <v>0</v>
      </c>
      <c r="M5333" s="1302">
        <v>8.4700000000000006</v>
      </c>
      <c r="N5333" s="1700"/>
      <c r="O5333" s="1290">
        <f>G5333*M5333</f>
        <v>9.4101700000000008</v>
      </c>
      <c r="P5333" s="1332">
        <f>M5333*K5333</f>
        <v>6.4741969600000013</v>
      </c>
      <c r="Q5333" s="3391"/>
      <c r="R5333" s="1296"/>
    </row>
    <row r="5334" spans="1:22">
      <c r="B5334" s="553"/>
      <c r="C5334" s="1320"/>
      <c r="D5334" s="1400" t="s">
        <v>2004</v>
      </c>
      <c r="E5334" s="1856" t="s">
        <v>1527</v>
      </c>
      <c r="F5334" s="1397" t="s">
        <v>2005</v>
      </c>
      <c r="G5334" s="1416">
        <v>1.111</v>
      </c>
      <c r="H5334" s="1399"/>
      <c r="I5334" s="197"/>
      <c r="J5334" s="198"/>
      <c r="K5334" s="1307">
        <f>G5334*K5331</f>
        <v>0.76436800000000005</v>
      </c>
      <c r="L5334" s="1335">
        <f t="shared" si="682"/>
        <v>0</v>
      </c>
      <c r="M5334" s="1302">
        <v>9.27</v>
      </c>
      <c r="N5334" s="1718"/>
      <c r="O5334" s="1290">
        <f>G5334*M5334</f>
        <v>10.298969999999999</v>
      </c>
      <c r="P5334" s="1332">
        <f>M5334*K5334</f>
        <v>7.0856913600000002</v>
      </c>
      <c r="Q5334" s="3391"/>
      <c r="R5334" s="2337"/>
    </row>
    <row r="5335" spans="1:22">
      <c r="B5335" s="1042"/>
      <c r="C5335" s="595"/>
      <c r="D5335" s="1598" t="s">
        <v>2006</v>
      </c>
      <c r="E5335" s="2154" t="s">
        <v>1507</v>
      </c>
      <c r="F5335" s="1598" t="s">
        <v>2007</v>
      </c>
      <c r="G5335" s="1612">
        <v>2.2000000000000002</v>
      </c>
      <c r="H5335" s="1399"/>
      <c r="I5335" s="197"/>
      <c r="J5335" s="198"/>
      <c r="K5335" s="1307">
        <f>G5335*K5331</f>
        <v>1.5136000000000003</v>
      </c>
      <c r="L5335" s="1335">
        <f t="shared" si="682"/>
        <v>0</v>
      </c>
      <c r="M5335" s="1302">
        <v>0.73</v>
      </c>
      <c r="N5335" s="1718"/>
      <c r="O5335" s="1290">
        <f>G5335*M5335</f>
        <v>1.6060000000000001</v>
      </c>
      <c r="P5335" s="1332">
        <f>M5335*K5335</f>
        <v>1.1049280000000001</v>
      </c>
      <c r="Q5335" s="3391"/>
      <c r="R5335" s="2337"/>
    </row>
    <row r="5336" spans="1:22">
      <c r="B5336" s="1042"/>
      <c r="C5336" s="595"/>
      <c r="D5336" s="1598" t="s">
        <v>1082</v>
      </c>
      <c r="E5336" s="2154" t="s">
        <v>1504</v>
      </c>
      <c r="F5336" s="1598" t="s">
        <v>1541</v>
      </c>
      <c r="G5336" s="1612">
        <v>0.4</v>
      </c>
      <c r="H5336" s="1399"/>
      <c r="I5336" s="197"/>
      <c r="J5336" s="198"/>
      <c r="K5336" s="1307">
        <f>G5336*K5331</f>
        <v>0.27520000000000006</v>
      </c>
      <c r="L5336" s="1335">
        <f t="shared" si="682"/>
        <v>0</v>
      </c>
      <c r="M5336" s="1302">
        <v>0.3</v>
      </c>
      <c r="N5336" s="1718"/>
      <c r="O5336" s="1290">
        <f>G5336*M5336</f>
        <v>0.12</v>
      </c>
      <c r="P5336" s="1332">
        <f>M5336*K5336</f>
        <v>8.2560000000000008E-2</v>
      </c>
      <c r="Q5336" s="3391"/>
      <c r="R5336" s="2337"/>
    </row>
    <row r="5337" spans="1:22">
      <c r="A5337" s="16"/>
      <c r="B5337" s="1042"/>
      <c r="C5337" s="1658" t="s">
        <v>1122</v>
      </c>
      <c r="D5337" s="1311"/>
      <c r="E5337" s="1855" t="s">
        <v>1517</v>
      </c>
      <c r="F5337" s="1647" t="s">
        <v>1681</v>
      </c>
      <c r="G5337" s="1689"/>
      <c r="H5337" s="1689">
        <v>4.1000000000000002E-2</v>
      </c>
      <c r="I5337" s="1444"/>
      <c r="J5337" s="1388"/>
      <c r="K5337" s="1841"/>
      <c r="L5337" s="1445"/>
      <c r="M5337" s="1500"/>
      <c r="N5337" s="1501">
        <f>SUM(N5338:N5342)</f>
        <v>51.667310000000001</v>
      </c>
      <c r="O5337" s="1501">
        <f>SUM(O5338:O5342)</f>
        <v>2.11835971</v>
      </c>
      <c r="P5337" s="1845">
        <f>SUM(P5338:P5342)</f>
        <v>1.4574314804800004</v>
      </c>
      <c r="Q5337" s="3391"/>
      <c r="R5337" s="2343"/>
      <c r="S5337" s="16"/>
      <c r="T5337" s="16"/>
      <c r="U5337" s="16"/>
      <c r="V5337" s="16"/>
    </row>
    <row r="5338" spans="1:22">
      <c r="A5338" s="16"/>
      <c r="B5338" s="1042"/>
      <c r="C5338" s="1042"/>
      <c r="D5338" s="1451" t="s">
        <v>1069</v>
      </c>
      <c r="E5338" s="1856" t="s">
        <v>1517</v>
      </c>
      <c r="F5338" s="1421" t="s">
        <v>1578</v>
      </c>
      <c r="G5338" s="1452">
        <v>0.26300000000000001</v>
      </c>
      <c r="H5338" s="1453">
        <f>$H$5337*G5338</f>
        <v>1.0783000000000001E-2</v>
      </c>
      <c r="I5338" s="197"/>
      <c r="J5338" s="198"/>
      <c r="K5338" s="1350">
        <f>H5338*K5331</f>
        <v>7.4187040000000017E-3</v>
      </c>
      <c r="L5338" s="1335">
        <f t="shared" ref="L5338:L5342" si="683">K5338*$K$5182</f>
        <v>0</v>
      </c>
      <c r="M5338" s="1499">
        <v>0.55000000000000004</v>
      </c>
      <c r="N5338" s="1724">
        <f>G5338*M5338</f>
        <v>0.14465000000000003</v>
      </c>
      <c r="O5338" s="1719">
        <f>H5338*M5338</f>
        <v>5.9306500000000009E-3</v>
      </c>
      <c r="P5338" s="1720">
        <f>K5338*M5338</f>
        <v>4.0802872000000011E-3</v>
      </c>
      <c r="Q5338" s="3396"/>
      <c r="R5338" s="2338"/>
      <c r="S5338" s="16"/>
      <c r="T5338" s="16"/>
      <c r="U5338" s="16"/>
      <c r="V5338" s="16"/>
    </row>
    <row r="5339" spans="1:22">
      <c r="A5339" s="16"/>
      <c r="B5339" s="1042"/>
      <c r="C5339" s="1320"/>
      <c r="D5339" s="1367" t="s">
        <v>1394</v>
      </c>
      <c r="E5339" s="1856" t="s">
        <v>1577</v>
      </c>
      <c r="F5339" s="1421" t="s">
        <v>1579</v>
      </c>
      <c r="G5339" s="1452">
        <v>0.25800000000000001</v>
      </c>
      <c r="H5339" s="1453">
        <f>G5339*H5337</f>
        <v>1.0578000000000001E-2</v>
      </c>
      <c r="I5339" s="197"/>
      <c r="J5339" s="198"/>
      <c r="K5339" s="1350">
        <f>H5339*K5331</f>
        <v>7.2776640000000014E-3</v>
      </c>
      <c r="L5339" s="1335">
        <f t="shared" si="683"/>
        <v>0</v>
      </c>
      <c r="M5339" s="1499">
        <v>92.54</v>
      </c>
      <c r="N5339" s="1724">
        <f>G5339*M5339</f>
        <v>23.875320000000002</v>
      </c>
      <c r="O5339" s="1719">
        <f>H5339*M5339</f>
        <v>0.97888812000000014</v>
      </c>
      <c r="P5339" s="1720">
        <f>K5339*M5339</f>
        <v>0.67347502656000013</v>
      </c>
      <c r="Q5339" s="3396"/>
      <c r="R5339" s="2338"/>
      <c r="S5339" s="16"/>
      <c r="T5339" s="16"/>
      <c r="U5339" s="16"/>
      <c r="V5339" s="16"/>
    </row>
    <row r="5340" spans="1:22">
      <c r="A5340" s="16"/>
      <c r="B5340" s="1042"/>
      <c r="C5340" s="1320"/>
      <c r="D5340" s="1603" t="s">
        <v>1682</v>
      </c>
      <c r="E5340" s="1856" t="s">
        <v>1683</v>
      </c>
      <c r="F5340" s="1421" t="s">
        <v>1684</v>
      </c>
      <c r="G5340" s="1452">
        <v>1.288</v>
      </c>
      <c r="H5340" s="1453">
        <f>G5340*H5337</f>
        <v>5.2808000000000001E-2</v>
      </c>
      <c r="I5340" s="197"/>
      <c r="J5340" s="198"/>
      <c r="K5340" s="1350">
        <f>H5340*K5331</f>
        <v>3.6331904000000005E-2</v>
      </c>
      <c r="L5340" s="1335">
        <f t="shared" si="683"/>
        <v>0</v>
      </c>
      <c r="M5340" s="1499">
        <v>1.26</v>
      </c>
      <c r="N5340" s="1724">
        <f>G5340*M5340</f>
        <v>1.6228800000000001</v>
      </c>
      <c r="O5340" s="1719">
        <f>H5340*M5340</f>
        <v>6.6538079999999999E-2</v>
      </c>
      <c r="P5340" s="1720">
        <f>K5340*M5340</f>
        <v>4.5778199040000009E-2</v>
      </c>
      <c r="Q5340" s="3396"/>
      <c r="R5340" s="2338"/>
      <c r="S5340" s="16"/>
      <c r="T5340" s="16"/>
      <c r="U5340" s="16"/>
      <c r="V5340" s="16"/>
    </row>
    <row r="5341" spans="1:22">
      <c r="A5341" s="16"/>
      <c r="B5341" s="1042"/>
      <c r="C5341" s="1320"/>
      <c r="D5341" s="1603" t="s">
        <v>1576</v>
      </c>
      <c r="E5341" s="1856" t="s">
        <v>1517</v>
      </c>
      <c r="F5341" s="1421" t="s">
        <v>1580</v>
      </c>
      <c r="G5341" s="1452">
        <v>1.1020000000000001</v>
      </c>
      <c r="H5341" s="1453">
        <f>G5341*H5337</f>
        <v>4.5182000000000007E-2</v>
      </c>
      <c r="I5341" s="197"/>
      <c r="J5341" s="198"/>
      <c r="K5341" s="1350">
        <f>H5341*K5331</f>
        <v>3.1085216000000006E-2</v>
      </c>
      <c r="L5341" s="1335">
        <f t="shared" si="683"/>
        <v>0</v>
      </c>
      <c r="M5341" s="1499">
        <v>6.53</v>
      </c>
      <c r="N5341" s="1724">
        <f>G5341*M5341</f>
        <v>7.196060000000001</v>
      </c>
      <c r="O5341" s="1719">
        <f>H5341*M5341</f>
        <v>0.29503846000000006</v>
      </c>
      <c r="P5341" s="1720">
        <f>K5341*M5341</f>
        <v>0.20298646048000005</v>
      </c>
      <c r="Q5341" s="3396"/>
      <c r="R5341" s="2338"/>
      <c r="S5341" s="16"/>
      <c r="T5341" s="16"/>
      <c r="U5341" s="16"/>
      <c r="V5341" s="16"/>
    </row>
    <row r="5342" spans="1:22">
      <c r="A5342" s="16"/>
      <c r="B5342" s="1042"/>
      <c r="C5342" s="1320"/>
      <c r="D5342" s="1443" t="s">
        <v>1067</v>
      </c>
      <c r="E5342" s="1857" t="s">
        <v>1508</v>
      </c>
      <c r="F5342" s="1430" t="s">
        <v>1512</v>
      </c>
      <c r="G5342" s="1431">
        <v>1.03</v>
      </c>
      <c r="H5342" s="1454">
        <f>G5342*H5337</f>
        <v>4.2230000000000004E-2</v>
      </c>
      <c r="I5342" s="197"/>
      <c r="J5342" s="198"/>
      <c r="K5342" s="1350">
        <f>H5342*K5331</f>
        <v>2.9054240000000005E-2</v>
      </c>
      <c r="L5342" s="1335">
        <f t="shared" si="683"/>
        <v>0</v>
      </c>
      <c r="M5342" s="1499">
        <v>18.28</v>
      </c>
      <c r="N5342" s="1724">
        <f>G5342*M5342</f>
        <v>18.828400000000002</v>
      </c>
      <c r="O5342" s="1719">
        <f>H5342*M5342</f>
        <v>0.77196440000000011</v>
      </c>
      <c r="P5342" s="1720">
        <f>K5342*M5342</f>
        <v>0.53111150720000011</v>
      </c>
      <c r="Q5342" s="3396"/>
      <c r="R5342" s="2338"/>
      <c r="S5342" s="16"/>
      <c r="T5342" s="16"/>
      <c r="U5342" s="16"/>
      <c r="V5342" s="16"/>
    </row>
    <row r="5343" spans="1:22">
      <c r="A5343" s="16"/>
      <c r="B5343" s="1042"/>
      <c r="C5343" s="595"/>
      <c r="D5343" s="1603"/>
      <c r="E5343" s="2271"/>
      <c r="F5343" s="1615"/>
      <c r="G5343" s="2272"/>
      <c r="H5343" s="1453"/>
      <c r="I5343" s="197"/>
      <c r="J5343" s="198"/>
      <c r="K5343" s="1350"/>
      <c r="L5343" s="1335"/>
      <c r="M5343" s="1499"/>
      <c r="N5343" s="1724"/>
      <c r="O5343" s="1719"/>
      <c r="P5343" s="1720"/>
      <c r="Q5343" s="3396"/>
      <c r="R5343" s="2338"/>
      <c r="S5343" s="16"/>
      <c r="T5343" s="16"/>
      <c r="U5343" s="16"/>
      <c r="V5343" s="16"/>
    </row>
    <row r="5344" spans="1:22">
      <c r="B5344" s="1320"/>
      <c r="C5344" s="88"/>
      <c r="D5344" s="1359"/>
      <c r="E5344" s="2181"/>
      <c r="F5344" s="1360" t="s">
        <v>2</v>
      </c>
      <c r="G5344" s="1360"/>
      <c r="H5344" s="1362"/>
      <c r="I5344" s="1380"/>
      <c r="J5344" s="1381"/>
      <c r="K5344" s="1381"/>
      <c r="L5344" s="1458"/>
      <c r="M5344" s="1362"/>
      <c r="N5344" s="1362"/>
      <c r="O5344" s="1362"/>
      <c r="P5344" s="1359"/>
      <c r="Q5344" s="3387"/>
    </row>
    <row r="5345" spans="1:18">
      <c r="B5345" s="1042"/>
      <c r="C5345" s="88"/>
      <c r="D5345" s="1620" t="s">
        <v>1133</v>
      </c>
      <c r="E5345" s="2047" t="s">
        <v>1508</v>
      </c>
      <c r="F5345" s="1655" t="s">
        <v>1955</v>
      </c>
      <c r="G5345" s="1994">
        <v>0.1</v>
      </c>
      <c r="H5345" s="1408"/>
      <c r="I5345" s="197"/>
      <c r="J5345" s="198"/>
      <c r="K5345" s="1307">
        <f>G5345*K5331</f>
        <v>6.8800000000000014E-2</v>
      </c>
      <c r="L5345" s="1335">
        <f>K5345*$K$5182</f>
        <v>0</v>
      </c>
      <c r="M5345" s="1302">
        <v>19.23</v>
      </c>
      <c r="N5345" s="1718"/>
      <c r="O5345" s="1290">
        <f>G5345*M5345</f>
        <v>1.923</v>
      </c>
      <c r="P5345" s="1332">
        <f>M5345*K5345</f>
        <v>1.3230240000000002</v>
      </c>
      <c r="Q5345" s="3391"/>
      <c r="R5345" s="2337"/>
    </row>
    <row r="5346" spans="1:18">
      <c r="B5346" s="1320"/>
      <c r="C5346" s="1764" t="s">
        <v>1755</v>
      </c>
      <c r="D5346" s="1461"/>
      <c r="E5346" s="2163" t="s">
        <v>1508</v>
      </c>
      <c r="F5346" s="1648" t="s">
        <v>1524</v>
      </c>
      <c r="G5346" s="1990"/>
      <c r="H5346" s="1456">
        <v>0.25</v>
      </c>
      <c r="I5346" s="1444"/>
      <c r="J5346" s="1388"/>
      <c r="K5346" s="1445"/>
      <c r="L5346" s="1457"/>
      <c r="M5346" s="1447"/>
      <c r="N5346" s="1447">
        <f>SUM(N5347:N5348)</f>
        <v>37.510000000000005</v>
      </c>
      <c r="O5346" s="1447">
        <f>SUM(O5347:O5348)</f>
        <v>9.3775000000000013</v>
      </c>
      <c r="P5346" s="1447">
        <f>SUM(P5347:P5348)</f>
        <v>6.4517200000000008</v>
      </c>
      <c r="Q5346" s="3391"/>
      <c r="R5346" s="2337"/>
    </row>
    <row r="5347" spans="1:18">
      <c r="B5347" s="1320"/>
      <c r="C5347" s="88"/>
      <c r="D5347" s="1430" t="s">
        <v>1067</v>
      </c>
      <c r="E5347" s="1857" t="s">
        <v>1508</v>
      </c>
      <c r="F5347" s="1403" t="s">
        <v>5</v>
      </c>
      <c r="G5347" s="1991">
        <v>1</v>
      </c>
      <c r="H5347" s="1408">
        <f>G5347*$H$5346</f>
        <v>0.25</v>
      </c>
      <c r="I5347" s="1286"/>
      <c r="J5347" s="198"/>
      <c r="K5347" s="1307">
        <f>H5347*$K$5331</f>
        <v>0.17200000000000001</v>
      </c>
      <c r="L5347" s="1335">
        <f t="shared" ref="L5347:L5348" si="684">K5347*$K$5182</f>
        <v>0</v>
      </c>
      <c r="M5347" s="1302">
        <v>18.28</v>
      </c>
      <c r="N5347" s="1718">
        <f>G5347*M5347</f>
        <v>18.28</v>
      </c>
      <c r="O5347" s="1290">
        <f>H5347*M5347</f>
        <v>4.57</v>
      </c>
      <c r="P5347" s="1332">
        <f>M5347*K5347</f>
        <v>3.1441600000000003</v>
      </c>
      <c r="Q5347" s="3391"/>
      <c r="R5347" s="2337"/>
    </row>
    <row r="5348" spans="1:18">
      <c r="B5348" s="1320"/>
      <c r="C5348" s="88"/>
      <c r="D5348" s="1430" t="s">
        <v>1077</v>
      </c>
      <c r="E5348" s="1857" t="s">
        <v>1508</v>
      </c>
      <c r="F5348" s="1403" t="s">
        <v>37</v>
      </c>
      <c r="G5348" s="1991">
        <v>1</v>
      </c>
      <c r="H5348" s="1408">
        <f>G5348*$H$5346</f>
        <v>0.25</v>
      </c>
      <c r="I5348" s="197"/>
      <c r="J5348" s="198"/>
      <c r="K5348" s="1307">
        <f>H5348*$K$5331</f>
        <v>0.17200000000000001</v>
      </c>
      <c r="L5348" s="1335">
        <f t="shared" si="684"/>
        <v>0</v>
      </c>
      <c r="M5348" s="1302">
        <v>19.23</v>
      </c>
      <c r="N5348" s="1718">
        <f>G5348*M5348</f>
        <v>19.23</v>
      </c>
      <c r="O5348" s="1290">
        <f>H5348*M5348</f>
        <v>4.8075000000000001</v>
      </c>
      <c r="P5348" s="1332">
        <f>M5348*K5348</f>
        <v>3.3075600000000005</v>
      </c>
      <c r="Q5348" s="3391"/>
      <c r="R5348" s="2337"/>
    </row>
    <row r="5349" spans="1:18">
      <c r="B5349" s="1320"/>
      <c r="C5349" s="88"/>
      <c r="D5349" s="1430"/>
      <c r="E5349" s="1857"/>
      <c r="F5349" s="1766"/>
      <c r="G5349" s="1991"/>
      <c r="H5349" s="1408"/>
      <c r="I5349" s="197"/>
      <c r="J5349" s="198"/>
      <c r="K5349" s="1307"/>
      <c r="L5349" s="1335"/>
      <c r="M5349" s="1302"/>
      <c r="N5349" s="1718"/>
      <c r="O5349" s="1290"/>
      <c r="P5349" s="1332"/>
      <c r="Q5349" s="3391"/>
      <c r="R5349" s="2337"/>
    </row>
    <row r="5350" spans="1:18">
      <c r="B5350" s="1320"/>
      <c r="C5350" s="595"/>
      <c r="D5350" s="1373"/>
      <c r="E5350" s="2123"/>
      <c r="F5350" s="1374" t="s">
        <v>3</v>
      </c>
      <c r="G5350" s="1375"/>
      <c r="H5350" s="1376"/>
      <c r="I5350" s="1382"/>
      <c r="J5350" s="1383"/>
      <c r="K5350" s="1383" t="str">
        <f>IF(COUNT(I5350)=0,"",(I5350*J5350))</f>
        <v/>
      </c>
      <c r="L5350" s="1413"/>
      <c r="M5350" s="1376"/>
      <c r="N5350" s="1376"/>
      <c r="O5350" s="1376"/>
      <c r="P5350" s="1373"/>
      <c r="Q5350" s="3387"/>
      <c r="R5350" s="1296"/>
    </row>
    <row r="5351" spans="1:18">
      <c r="B5351" s="1321"/>
      <c r="C5351" s="2021"/>
      <c r="D5351" s="1377"/>
      <c r="E5351" s="2124"/>
      <c r="F5351" s="1378"/>
      <c r="G5351" s="1378"/>
      <c r="H5351" s="1379"/>
      <c r="I5351" s="1299"/>
      <c r="J5351" s="1300"/>
      <c r="K5351" s="1307"/>
      <c r="L5351" s="1335"/>
      <c r="M5351" s="1302"/>
      <c r="N5351" s="1700"/>
      <c r="O5351" s="1290"/>
      <c r="P5351" s="1332"/>
      <c r="Q5351" s="3391"/>
      <c r="R5351" s="1296"/>
    </row>
    <row r="5352" spans="1:18">
      <c r="B5352" s="1321"/>
      <c r="C5352" s="2021"/>
      <c r="D5352" s="1377"/>
      <c r="E5352" s="2124"/>
      <c r="F5352" s="1378"/>
      <c r="G5352" s="1378"/>
      <c r="H5352" s="1379"/>
      <c r="I5352" s="1299"/>
      <c r="J5352" s="1300"/>
      <c r="K5352" s="1307"/>
      <c r="L5352" s="1335"/>
      <c r="M5352" s="1302"/>
      <c r="N5352" s="1700"/>
      <c r="O5352" s="1290"/>
      <c r="P5352" s="1333"/>
      <c r="Q5352" s="3391"/>
      <c r="R5352" s="1296"/>
    </row>
    <row r="5353" spans="1:18">
      <c r="B5353" s="225"/>
      <c r="C5353" s="581"/>
      <c r="D5353" s="1373"/>
      <c r="E5353" s="2161"/>
      <c r="F5353" s="1678"/>
      <c r="G5353" s="1678"/>
      <c r="H5353" s="1376"/>
      <c r="I5353" s="1299"/>
      <c r="J5353" s="1300"/>
      <c r="K5353" s="1307"/>
      <c r="L5353" s="1335"/>
      <c r="M5353" s="1302"/>
      <c r="N5353" s="1700"/>
      <c r="O5353" s="1290"/>
      <c r="P5353" s="1332"/>
      <c r="Q5353" s="3391"/>
      <c r="R5353" s="1296"/>
    </row>
    <row r="5354" spans="1:18">
      <c r="A5354" s="88" t="s">
        <v>3764</v>
      </c>
      <c r="B5354" s="4325" t="s">
        <v>1997</v>
      </c>
      <c r="C5354" s="3354"/>
      <c r="D5354" s="4368"/>
      <c r="E5354" s="4329" t="s">
        <v>1507</v>
      </c>
      <c r="F5354" s="4336" t="s">
        <v>1996</v>
      </c>
      <c r="G5354" s="4331" t="s">
        <v>1568</v>
      </c>
      <c r="H5354" s="4331" t="s">
        <v>1574</v>
      </c>
      <c r="I5354" s="1572" t="s">
        <v>1559</v>
      </c>
      <c r="J5354" s="1294" t="s">
        <v>1560</v>
      </c>
      <c r="K5354" s="1294" t="s">
        <v>1569</v>
      </c>
      <c r="L5354" s="4333" t="s">
        <v>3765</v>
      </c>
      <c r="M5354" s="4335" t="s">
        <v>1571</v>
      </c>
      <c r="N5354" s="4323" t="s">
        <v>1776</v>
      </c>
      <c r="O5354" s="3347" t="s">
        <v>1563</v>
      </c>
      <c r="P5354" s="1336" t="s">
        <v>1562</v>
      </c>
      <c r="Q5354" s="3389"/>
      <c r="R5354" s="1699" t="s">
        <v>1327</v>
      </c>
    </row>
    <row r="5355" spans="1:18">
      <c r="A5355" s="1662" t="s">
        <v>2026</v>
      </c>
      <c r="B5355" s="4326"/>
      <c r="C5355" s="3354"/>
      <c r="D5355" s="4328"/>
      <c r="E5355" s="4330"/>
      <c r="F5355" s="4336"/>
      <c r="G5355" s="4332"/>
      <c r="H5355" s="4332"/>
      <c r="I5355" s="1345">
        <v>688</v>
      </c>
      <c r="J5355" s="1307">
        <v>1E-3</v>
      </c>
      <c r="K5355" s="1297">
        <f>I5355*J5355</f>
        <v>0.68800000000000006</v>
      </c>
      <c r="L5355" s="4334"/>
      <c r="M5355" s="4335"/>
      <c r="N5355" s="4324"/>
      <c r="O5355" s="1298">
        <f>O5357+O5358+O5362+O5363</f>
        <v>15.417499999999999</v>
      </c>
      <c r="P5355" s="1337">
        <f>O5355*K5355</f>
        <v>10.607239999999999</v>
      </c>
      <c r="Q5355" s="3390"/>
      <c r="R5355" s="1721">
        <f>P5357+P5358+P5362+P5363</f>
        <v>10.607240000000001</v>
      </c>
    </row>
    <row r="5356" spans="1:18">
      <c r="B5356" s="1949"/>
      <c r="C5356" s="1327"/>
      <c r="D5356" s="1400"/>
      <c r="E5356" s="2121"/>
      <c r="F5356" s="1389" t="s">
        <v>1</v>
      </c>
      <c r="G5356" s="1389"/>
      <c r="H5356" s="1369"/>
      <c r="I5356" s="1409"/>
      <c r="J5356" s="1390"/>
      <c r="K5356" s="1391"/>
      <c r="L5356" s="1559"/>
      <c r="M5356" s="1369"/>
      <c r="N5356" s="1369"/>
      <c r="O5356" s="1369"/>
      <c r="P5356" s="1392"/>
      <c r="Q5356" s="3395"/>
      <c r="R5356" s="1296"/>
    </row>
    <row r="5357" spans="1:18">
      <c r="B5357" s="1599"/>
      <c r="C5357" s="1320"/>
      <c r="D5357" s="1598" t="s">
        <v>1998</v>
      </c>
      <c r="E5357" s="2154" t="s">
        <v>1517</v>
      </c>
      <c r="F5357" s="1598" t="s">
        <v>1999</v>
      </c>
      <c r="G5357" s="1612">
        <f>0.06</f>
        <v>0.06</v>
      </c>
      <c r="H5357" s="1390"/>
      <c r="I5357" s="1289"/>
      <c r="J5357" s="8"/>
      <c r="K5357" s="1307">
        <f>G5357*K5355</f>
        <v>4.1280000000000004E-2</v>
      </c>
      <c r="L5357" s="1335">
        <f t="shared" ref="L5357:L5358" si="685">K5357*$K$5182</f>
        <v>0</v>
      </c>
      <c r="M5357" s="1302">
        <v>223.2</v>
      </c>
      <c r="N5357" s="1700"/>
      <c r="O5357" s="1290">
        <f>G5357*M5357</f>
        <v>13.391999999999999</v>
      </c>
      <c r="P5357" s="1332">
        <f>M5357*K5357</f>
        <v>9.2136960000000006</v>
      </c>
      <c r="Q5357" s="3391"/>
      <c r="R5357" s="1296"/>
    </row>
    <row r="5358" spans="1:18">
      <c r="B5358" s="1042"/>
      <c r="C5358" s="595"/>
      <c r="D5358" s="1598" t="s">
        <v>1082</v>
      </c>
      <c r="E5358" s="2154" t="s">
        <v>1504</v>
      </c>
      <c r="F5358" s="1598" t="s">
        <v>1541</v>
      </c>
      <c r="G5358" s="1612">
        <v>0.5</v>
      </c>
      <c r="H5358" s="1399"/>
      <c r="I5358" s="197"/>
      <c r="J5358" s="198"/>
      <c r="K5358" s="1307">
        <f>G5358*K5355</f>
        <v>0.34400000000000003</v>
      </c>
      <c r="L5358" s="1335">
        <f t="shared" si="685"/>
        <v>0</v>
      </c>
      <c r="M5358" s="1302">
        <v>0.3</v>
      </c>
      <c r="N5358" s="1718"/>
      <c r="O5358" s="1290">
        <f>G5358*M5358</f>
        <v>0.15</v>
      </c>
      <c r="P5358" s="1332">
        <f>M5358*K5358</f>
        <v>0.1032</v>
      </c>
      <c r="Q5358" s="3391"/>
      <c r="R5358" s="2337"/>
    </row>
    <row r="5359" spans="1:18">
      <c r="A5359" s="16"/>
      <c r="B5359" s="1042"/>
      <c r="C5359" s="1042"/>
      <c r="D5359" s="1451"/>
      <c r="E5359" s="1856"/>
      <c r="F5359" s="1421"/>
      <c r="G5359" s="1452"/>
      <c r="H5359" s="1453"/>
      <c r="I5359" s="197"/>
      <c r="J5359" s="198"/>
      <c r="K5359" s="1350"/>
      <c r="L5359" s="1335"/>
      <c r="M5359" s="1499"/>
      <c r="N5359" s="1724"/>
      <c r="O5359" s="1719"/>
      <c r="P5359" s="1720"/>
      <c r="Q5359" s="3396"/>
      <c r="R5359" s="2338"/>
    </row>
    <row r="5360" spans="1:18">
      <c r="A5360" s="16"/>
      <c r="B5360" s="1042"/>
      <c r="C5360" s="1320"/>
      <c r="D5360" s="1603"/>
      <c r="E5360" s="1856"/>
      <c r="F5360" s="1421"/>
      <c r="G5360" s="1452"/>
      <c r="H5360" s="1453"/>
      <c r="I5360" s="197"/>
      <c r="J5360" s="198"/>
      <c r="K5360" s="1350"/>
      <c r="L5360" s="1335"/>
      <c r="M5360" s="1499"/>
      <c r="N5360" s="1724"/>
      <c r="O5360" s="1719"/>
      <c r="P5360" s="1720"/>
      <c r="Q5360" s="3396"/>
      <c r="R5360" s="2338"/>
    </row>
    <row r="5361" spans="1:18">
      <c r="B5361" s="1320"/>
      <c r="C5361" s="88"/>
      <c r="D5361" s="1359"/>
      <c r="E5361" s="2181"/>
      <c r="F5361" s="1360" t="s">
        <v>2</v>
      </c>
      <c r="G5361" s="1360"/>
      <c r="H5361" s="1362"/>
      <c r="I5361" s="1380"/>
      <c r="J5361" s="1381"/>
      <c r="K5361" s="1381"/>
      <c r="L5361" s="1458"/>
      <c r="M5361" s="1362"/>
      <c r="N5361" s="1362"/>
      <c r="O5361" s="1362"/>
      <c r="P5361" s="1359"/>
      <c r="Q5361" s="3387"/>
    </row>
    <row r="5362" spans="1:18">
      <c r="B5362" s="1042"/>
      <c r="C5362" s="88"/>
      <c r="D5362" s="1620" t="s">
        <v>1140</v>
      </c>
      <c r="E5362" s="2047" t="s">
        <v>1508</v>
      </c>
      <c r="F5362" s="1655" t="s">
        <v>1897</v>
      </c>
      <c r="G5362" s="1994">
        <v>0.05</v>
      </c>
      <c r="H5362" s="1408"/>
      <c r="I5362" s="197"/>
      <c r="J5362" s="198"/>
      <c r="K5362" s="1307">
        <f>G5362*K5355</f>
        <v>3.4400000000000007E-2</v>
      </c>
      <c r="L5362" s="1335">
        <f t="shared" ref="L5362:L5363" si="686">K5362*$K$5182</f>
        <v>0</v>
      </c>
      <c r="M5362" s="1302">
        <v>19.23</v>
      </c>
      <c r="N5362" s="1718"/>
      <c r="O5362" s="1290">
        <f>G5362*M5362</f>
        <v>0.96150000000000002</v>
      </c>
      <c r="P5362" s="1332">
        <f>M5362*K5362</f>
        <v>0.6615120000000001</v>
      </c>
      <c r="Q5362" s="3391"/>
      <c r="R5362" s="2337"/>
    </row>
    <row r="5363" spans="1:18">
      <c r="B5363" s="1320"/>
      <c r="C5363" s="88"/>
      <c r="D5363" s="1430" t="s">
        <v>1067</v>
      </c>
      <c r="E5363" s="1857" t="s">
        <v>1508</v>
      </c>
      <c r="F5363" s="1403" t="s">
        <v>5</v>
      </c>
      <c r="G5363" s="1991">
        <v>0.05</v>
      </c>
      <c r="H5363" s="1408"/>
      <c r="I5363" s="1286"/>
      <c r="J5363" s="198"/>
      <c r="K5363" s="1307">
        <f>G5363*K5355</f>
        <v>3.4400000000000007E-2</v>
      </c>
      <c r="L5363" s="1335">
        <f t="shared" si="686"/>
        <v>0</v>
      </c>
      <c r="M5363" s="1302">
        <v>18.28</v>
      </c>
      <c r="N5363" s="1718"/>
      <c r="O5363" s="1290">
        <f>G5363*M5363</f>
        <v>0.91400000000000015</v>
      </c>
      <c r="P5363" s="1332">
        <f>M5363*K5363</f>
        <v>0.62883200000000017</v>
      </c>
      <c r="Q5363" s="3391"/>
      <c r="R5363" s="2337"/>
    </row>
    <row r="5364" spans="1:18">
      <c r="B5364" s="1320"/>
      <c r="C5364" s="88"/>
      <c r="D5364" s="1430"/>
      <c r="E5364" s="1857"/>
      <c r="F5364" s="1403"/>
      <c r="G5364" s="1991"/>
      <c r="H5364" s="1408"/>
      <c r="I5364" s="197"/>
      <c r="J5364" s="198"/>
      <c r="K5364" s="1307"/>
      <c r="L5364" s="1335"/>
      <c r="M5364" s="1302"/>
      <c r="N5364" s="1718"/>
      <c r="O5364" s="1290"/>
      <c r="P5364" s="1332"/>
      <c r="Q5364" s="3391"/>
      <c r="R5364" s="2337"/>
    </row>
    <row r="5365" spans="1:18">
      <c r="B5365" s="1320"/>
      <c r="C5365" s="595"/>
      <c r="D5365" s="1373"/>
      <c r="E5365" s="2123"/>
      <c r="F5365" s="1374" t="s">
        <v>3</v>
      </c>
      <c r="G5365" s="1375"/>
      <c r="H5365" s="1376"/>
      <c r="I5365" s="1382"/>
      <c r="J5365" s="1383"/>
      <c r="K5365" s="1383" t="str">
        <f>IF(COUNT(I5365)=0,"",(I5365*J5365))</f>
        <v/>
      </c>
      <c r="L5365" s="1413"/>
      <c r="M5365" s="1376"/>
      <c r="N5365" s="1376"/>
      <c r="O5365" s="1376"/>
      <c r="P5365" s="1373"/>
      <c r="Q5365" s="3387"/>
      <c r="R5365" s="1296"/>
    </row>
    <row r="5366" spans="1:18">
      <c r="B5366" s="1321"/>
      <c r="C5366" s="2021"/>
      <c r="D5366" s="1377"/>
      <c r="E5366" s="2124"/>
      <c r="F5366" s="1378"/>
      <c r="G5366" s="1378"/>
      <c r="H5366" s="1379"/>
      <c r="I5366" s="1299"/>
      <c r="J5366" s="1300"/>
      <c r="K5366" s="1307"/>
      <c r="L5366" s="1335"/>
      <c r="M5366" s="1302"/>
      <c r="N5366" s="1700"/>
      <c r="O5366" s="1290"/>
      <c r="P5366" s="1332"/>
      <c r="Q5366" s="3391"/>
      <c r="R5366" s="1296"/>
    </row>
    <row r="5367" spans="1:18">
      <c r="B5367" s="1321"/>
      <c r="C5367" s="2021"/>
      <c r="D5367" s="1377"/>
      <c r="E5367" s="2124"/>
      <c r="F5367" s="1378"/>
      <c r="G5367" s="1378"/>
      <c r="H5367" s="1379"/>
      <c r="I5367" s="1299"/>
      <c r="J5367" s="1300"/>
      <c r="K5367" s="1307"/>
      <c r="L5367" s="1335"/>
      <c r="M5367" s="1302"/>
      <c r="N5367" s="1700"/>
      <c r="O5367" s="1290"/>
      <c r="P5367" s="1333"/>
      <c r="Q5367" s="3391"/>
      <c r="R5367" s="1296"/>
    </row>
    <row r="5368" spans="1:18">
      <c r="B5368" s="225"/>
      <c r="C5368" s="581"/>
      <c r="D5368" s="1373"/>
      <c r="E5368" s="2161"/>
      <c r="F5368" s="1678"/>
      <c r="G5368" s="1678"/>
      <c r="H5368" s="1376"/>
      <c r="I5368" s="1299"/>
      <c r="J5368" s="1300"/>
      <c r="K5368" s="1307"/>
      <c r="L5368" s="1335"/>
      <c r="M5368" s="1302"/>
      <c r="N5368" s="1700"/>
      <c r="O5368" s="1290"/>
      <c r="P5368" s="1332"/>
      <c r="Q5368" s="3391"/>
      <c r="R5368" s="1296"/>
    </row>
    <row r="5369" spans="1:18">
      <c r="A5369" s="88" t="s">
        <v>3764</v>
      </c>
      <c r="B5369" s="4325" t="s">
        <v>1716</v>
      </c>
      <c r="C5369" s="3354"/>
      <c r="D5369" s="4368"/>
      <c r="E5369" s="4329" t="s">
        <v>1507</v>
      </c>
      <c r="F5369" s="4336" t="s">
        <v>1727</v>
      </c>
      <c r="G5369" s="4331" t="s">
        <v>1568</v>
      </c>
      <c r="H5369" s="4331" t="s">
        <v>1574</v>
      </c>
      <c r="I5369" s="1572" t="s">
        <v>1559</v>
      </c>
      <c r="J5369" s="1294" t="s">
        <v>1560</v>
      </c>
      <c r="K5369" s="1294" t="s">
        <v>1569</v>
      </c>
      <c r="L5369" s="4333" t="s">
        <v>3765</v>
      </c>
      <c r="M5369" s="4335" t="s">
        <v>1571</v>
      </c>
      <c r="N5369" s="4323" t="s">
        <v>1776</v>
      </c>
      <c r="O5369" s="3347" t="s">
        <v>1563</v>
      </c>
      <c r="P5369" s="1336" t="s">
        <v>1562</v>
      </c>
      <c r="Q5369" s="3389"/>
      <c r="R5369" s="1699" t="s">
        <v>1327</v>
      </c>
    </row>
    <row r="5370" spans="1:18">
      <c r="A5370" s="1662" t="s">
        <v>2026</v>
      </c>
      <c r="B5370" s="4326"/>
      <c r="C5370" s="3354"/>
      <c r="D5370" s="4328"/>
      <c r="E5370" s="4330"/>
      <c r="F5370" s="4336"/>
      <c r="G5370" s="4332"/>
      <c r="H5370" s="4332"/>
      <c r="I5370" s="1345">
        <v>688</v>
      </c>
      <c r="J5370" s="1307">
        <v>1E-3</v>
      </c>
      <c r="K5370" s="1297">
        <f>I5370*J5370</f>
        <v>0.68800000000000006</v>
      </c>
      <c r="L5370" s="4334"/>
      <c r="M5370" s="4335"/>
      <c r="N5370" s="4324"/>
      <c r="O5370" s="1298">
        <f>O5372+O5373+O5377</f>
        <v>4.4448000000000008</v>
      </c>
      <c r="P5370" s="1337">
        <f>O5370*K5370</f>
        <v>3.0580224000000009</v>
      </c>
      <c r="Q5370" s="3390"/>
      <c r="R5370" s="1721">
        <f>P5372+P5373+P5377+P5378</f>
        <v>3.0580224000000005</v>
      </c>
    </row>
    <row r="5371" spans="1:18">
      <c r="B5371" s="1949"/>
      <c r="C5371" s="1327"/>
      <c r="D5371" s="1400"/>
      <c r="E5371" s="2121"/>
      <c r="F5371" s="1389" t="s">
        <v>1</v>
      </c>
      <c r="G5371" s="1389"/>
      <c r="H5371" s="1369"/>
      <c r="I5371" s="1409"/>
      <c r="J5371" s="1390"/>
      <c r="K5371" s="1391"/>
      <c r="L5371" s="1559"/>
      <c r="M5371" s="1369"/>
      <c r="N5371" s="1369"/>
      <c r="O5371" s="1369"/>
      <c r="P5371" s="1392"/>
      <c r="Q5371" s="3395"/>
      <c r="R5371" s="1296"/>
    </row>
    <row r="5372" spans="1:18">
      <c r="B5372" s="1599"/>
      <c r="C5372" s="1320"/>
      <c r="D5372" s="1598" t="s">
        <v>1728</v>
      </c>
      <c r="E5372" s="2154" t="s">
        <v>1504</v>
      </c>
      <c r="F5372" s="1598" t="s">
        <v>1729</v>
      </c>
      <c r="G5372" s="1612">
        <v>1</v>
      </c>
      <c r="H5372" s="1390"/>
      <c r="I5372" s="1289"/>
      <c r="J5372" s="8"/>
      <c r="K5372" s="1307">
        <f>G5372*K5370</f>
        <v>0.68800000000000006</v>
      </c>
      <c r="L5372" s="1335">
        <f t="shared" ref="L5372:L5373" si="687">K5372*$K$5182</f>
        <v>0</v>
      </c>
      <c r="M5372" s="1302">
        <v>1.22</v>
      </c>
      <c r="N5372" s="1700"/>
      <c r="O5372" s="1290">
        <f>G5372*M5372</f>
        <v>1.22</v>
      </c>
      <c r="P5372" s="1332">
        <f>M5372*K5372</f>
        <v>0.83935999999999999</v>
      </c>
      <c r="Q5372" s="3391"/>
      <c r="R5372" s="1296"/>
    </row>
    <row r="5373" spans="1:18">
      <c r="B5373" s="1042"/>
      <c r="C5373" s="595"/>
      <c r="D5373" s="1598" t="s">
        <v>1082</v>
      </c>
      <c r="E5373" s="2154" t="s">
        <v>1504</v>
      </c>
      <c r="F5373" s="1598" t="s">
        <v>1541</v>
      </c>
      <c r="G5373" s="1612">
        <v>1</v>
      </c>
      <c r="H5373" s="1399"/>
      <c r="I5373" s="197"/>
      <c r="J5373" s="198"/>
      <c r="K5373" s="1307">
        <f>G5373*K5370</f>
        <v>0.68800000000000006</v>
      </c>
      <c r="L5373" s="1335">
        <f t="shared" si="687"/>
        <v>0</v>
      </c>
      <c r="M5373" s="1302">
        <v>0.3</v>
      </c>
      <c r="N5373" s="1718"/>
      <c r="O5373" s="1290">
        <f>G5373*M5373</f>
        <v>0.3</v>
      </c>
      <c r="P5373" s="1332">
        <f>M5373*K5373</f>
        <v>0.2064</v>
      </c>
      <c r="Q5373" s="3391"/>
      <c r="R5373" s="2337"/>
    </row>
    <row r="5374" spans="1:18">
      <c r="A5374" s="16"/>
      <c r="B5374" s="1042"/>
      <c r="C5374" s="1042"/>
      <c r="D5374" s="1451"/>
      <c r="E5374" s="1856"/>
      <c r="F5374" s="1421"/>
      <c r="G5374" s="1452"/>
      <c r="H5374" s="1453"/>
      <c r="I5374" s="197"/>
      <c r="J5374" s="198"/>
      <c r="K5374" s="1350"/>
      <c r="L5374" s="1335"/>
      <c r="M5374" s="1499"/>
      <c r="N5374" s="1724"/>
      <c r="O5374" s="1719"/>
      <c r="P5374" s="1720"/>
      <c r="Q5374" s="3396"/>
      <c r="R5374" s="2338"/>
    </row>
    <row r="5375" spans="1:18">
      <c r="A5375" s="16"/>
      <c r="B5375" s="1042"/>
      <c r="C5375" s="1320"/>
      <c r="D5375" s="1603"/>
      <c r="E5375" s="1856"/>
      <c r="F5375" s="1421"/>
      <c r="G5375" s="1452"/>
      <c r="H5375" s="1453"/>
      <c r="I5375" s="197"/>
      <c r="J5375" s="198"/>
      <c r="K5375" s="1350"/>
      <c r="L5375" s="1335"/>
      <c r="M5375" s="1499"/>
      <c r="N5375" s="1724"/>
      <c r="O5375" s="1719"/>
      <c r="P5375" s="1720"/>
      <c r="Q5375" s="3396"/>
      <c r="R5375" s="2338"/>
    </row>
    <row r="5376" spans="1:18">
      <c r="B5376" s="1320"/>
      <c r="C5376" s="88"/>
      <c r="D5376" s="1359"/>
      <c r="E5376" s="2181"/>
      <c r="F5376" s="1360" t="s">
        <v>2</v>
      </c>
      <c r="G5376" s="1360"/>
      <c r="H5376" s="1362"/>
      <c r="I5376" s="1380"/>
      <c r="J5376" s="1381"/>
      <c r="K5376" s="1381"/>
      <c r="L5376" s="1458"/>
      <c r="M5376" s="1362"/>
      <c r="N5376" s="1362"/>
      <c r="O5376" s="1362"/>
      <c r="P5376" s="1359"/>
      <c r="Q5376" s="3387"/>
    </row>
    <row r="5377" spans="1:19">
      <c r="B5377" s="1320"/>
      <c r="C5377" s="88"/>
      <c r="D5377" s="1430" t="s">
        <v>1067</v>
      </c>
      <c r="E5377" s="1857" t="s">
        <v>1508</v>
      </c>
      <c r="F5377" s="1403" t="s">
        <v>5</v>
      </c>
      <c r="G5377" s="1991">
        <v>0.16</v>
      </c>
      <c r="H5377" s="1408"/>
      <c r="I5377" s="1286"/>
      <c r="J5377" s="198"/>
      <c r="K5377" s="1307">
        <f>G5377*K5370</f>
        <v>0.11008000000000001</v>
      </c>
      <c r="L5377" s="1335">
        <f>K5377*$K$5182</f>
        <v>0</v>
      </c>
      <c r="M5377" s="1302">
        <v>18.28</v>
      </c>
      <c r="N5377" s="1718"/>
      <c r="O5377" s="1290">
        <f>G5377*M5377</f>
        <v>2.9248000000000003</v>
      </c>
      <c r="P5377" s="1332">
        <f>M5377*K5377</f>
        <v>2.0122624000000005</v>
      </c>
      <c r="Q5377" s="3391"/>
      <c r="R5377" s="2337"/>
    </row>
    <row r="5378" spans="1:19">
      <c r="B5378" s="1320"/>
      <c r="C5378" s="88"/>
      <c r="D5378" s="1430"/>
      <c r="E5378" s="1857"/>
      <c r="F5378" s="1403"/>
      <c r="G5378" s="1991"/>
      <c r="H5378" s="1408"/>
      <c r="I5378" s="1286"/>
      <c r="J5378" s="198"/>
      <c r="K5378" s="1307"/>
      <c r="L5378" s="1335"/>
      <c r="M5378" s="1302"/>
      <c r="N5378" s="1718"/>
      <c r="O5378" s="1290"/>
      <c r="P5378" s="1332"/>
      <c r="Q5378" s="3391"/>
      <c r="R5378" s="2337"/>
    </row>
    <row r="5379" spans="1:19">
      <c r="B5379" s="1320"/>
      <c r="C5379" s="88"/>
      <c r="D5379" s="1430"/>
      <c r="E5379" s="1857"/>
      <c r="F5379" s="1403"/>
      <c r="G5379" s="1991"/>
      <c r="H5379" s="1408"/>
      <c r="I5379" s="197"/>
      <c r="J5379" s="198"/>
      <c r="K5379" s="1307"/>
      <c r="L5379" s="1335"/>
      <c r="M5379" s="1302"/>
      <c r="N5379" s="1718"/>
      <c r="O5379" s="1290"/>
      <c r="P5379" s="1332"/>
      <c r="Q5379" s="3391"/>
      <c r="R5379" s="2337"/>
    </row>
    <row r="5380" spans="1:19">
      <c r="B5380" s="1320"/>
      <c r="C5380" s="595"/>
      <c r="D5380" s="1373"/>
      <c r="E5380" s="2123"/>
      <c r="F5380" s="1374" t="s">
        <v>3</v>
      </c>
      <c r="G5380" s="1375"/>
      <c r="H5380" s="1376"/>
      <c r="I5380" s="1382"/>
      <c r="J5380" s="1383"/>
      <c r="K5380" s="1383" t="str">
        <f>IF(COUNT(I5380)=0,"",(I5380*J5380))</f>
        <v/>
      </c>
      <c r="L5380" s="1413"/>
      <c r="M5380" s="1376"/>
      <c r="N5380" s="1376"/>
      <c r="O5380" s="1376"/>
      <c r="P5380" s="1373"/>
      <c r="Q5380" s="3387"/>
      <c r="R5380" s="1296"/>
    </row>
    <row r="5381" spans="1:19">
      <c r="B5381" s="1321"/>
      <c r="C5381" s="2021"/>
      <c r="D5381" s="1377"/>
      <c r="E5381" s="2124"/>
      <c r="F5381" s="1378"/>
      <c r="G5381" s="1378"/>
      <c r="H5381" s="1379"/>
      <c r="I5381" s="1299"/>
      <c r="J5381" s="1300"/>
      <c r="K5381" s="1307"/>
      <c r="L5381" s="1335"/>
      <c r="M5381" s="1302"/>
      <c r="N5381" s="1700"/>
      <c r="O5381" s="1290"/>
      <c r="P5381" s="1332"/>
      <c r="Q5381" s="3391"/>
      <c r="R5381" s="1296"/>
    </row>
    <row r="5382" spans="1:19">
      <c r="B5382" s="1321"/>
      <c r="C5382" s="2021"/>
      <c r="D5382" s="1377"/>
      <c r="E5382" s="2124"/>
      <c r="F5382" s="1478"/>
      <c r="G5382" s="1478"/>
      <c r="H5382" s="1481"/>
      <c r="I5382" s="2280"/>
      <c r="J5382" s="3894"/>
      <c r="K5382" s="1307"/>
      <c r="L5382" s="1335"/>
      <c r="M5382" s="1302"/>
      <c r="N5382" s="1700"/>
      <c r="O5382" s="1290"/>
      <c r="P5382" s="1333"/>
      <c r="Q5382" s="3391"/>
      <c r="R5382" s="1296"/>
    </row>
    <row r="5383" spans="1:19">
      <c r="B5383" s="2108"/>
      <c r="C5383" s="2109"/>
      <c r="D5383" s="1377"/>
      <c r="E5383" s="2124"/>
      <c r="F5383" s="3935"/>
      <c r="G5383" s="3935"/>
      <c r="H5383" s="3937"/>
      <c r="I5383" s="3938"/>
      <c r="J5383" s="3939"/>
      <c r="K5383" s="1307"/>
      <c r="L5383" s="1335"/>
      <c r="M5383" s="1302"/>
      <c r="N5383" s="1700"/>
      <c r="O5383" s="1290"/>
      <c r="P5383" s="1333"/>
      <c r="Q5383" s="3391"/>
      <c r="R5383" s="1296"/>
    </row>
    <row r="5384" spans="1:19" s="22" customFormat="1" ht="15" thickBot="1">
      <c r="B5384" s="1295"/>
      <c r="C5384" s="1295"/>
      <c r="D5384" s="1295"/>
      <c r="E5384" s="2159"/>
      <c r="F5384" s="1295"/>
      <c r="G5384" s="1295"/>
      <c r="H5384" s="1638"/>
      <c r="I5384" s="1561"/>
      <c r="J5384" s="13"/>
      <c r="K5384" s="1639"/>
      <c r="L5384" s="1640"/>
      <c r="M5384" s="1292"/>
      <c r="N5384" s="1292"/>
      <c r="O5384" s="1292"/>
      <c r="P5384" s="1292"/>
      <c r="Q5384" s="3391"/>
      <c r="R5384" s="1296"/>
    </row>
    <row r="5385" spans="1:19" s="22" customFormat="1" ht="29">
      <c r="A5385" s="4374" t="s">
        <v>3854</v>
      </c>
      <c r="B5385" s="4375"/>
      <c r="C5385" s="4375"/>
      <c r="D5385" s="4376"/>
      <c r="E5385" s="4380" t="s">
        <v>1507</v>
      </c>
      <c r="F5385" s="4382" t="s">
        <v>3855</v>
      </c>
      <c r="G5385" s="4493" t="s">
        <v>294</v>
      </c>
      <c r="H5385" s="4493"/>
      <c r="I5385" s="1665" t="s">
        <v>1565</v>
      </c>
      <c r="J5385" s="4109" t="s">
        <v>1575</v>
      </c>
      <c r="K5385" s="4493" t="s">
        <v>289</v>
      </c>
      <c r="L5385" s="4493"/>
      <c r="M5385" s="4408" t="s">
        <v>3349</v>
      </c>
      <c r="N5385" s="4408"/>
      <c r="O5385" s="4408"/>
      <c r="P5385" s="4409"/>
      <c r="Q5385" s="4244" t="s">
        <v>3951</v>
      </c>
      <c r="R5385" s="1296"/>
      <c r="S5385" s="4159" t="s">
        <v>3864</v>
      </c>
    </row>
    <row r="5386" spans="1:19" s="22" customFormat="1" ht="21.5" thickBot="1">
      <c r="A5386" s="4377"/>
      <c r="B5386" s="4378"/>
      <c r="C5386" s="4378"/>
      <c r="D5386" s="4379"/>
      <c r="E5386" s="4381"/>
      <c r="F5386" s="4383"/>
      <c r="G5386" s="4451">
        <f>IF('Seleccion proyecto HEREVEA02'!G45="Reparación faldón (superf.&gt;60%).Sustitución y reposición faldón completo. Rehab. energ. aislm.lana de oveja",'Seleccion proyecto HEREVEA02'!E44,0)</f>
        <v>0</v>
      </c>
      <c r="H5386" s="4452"/>
      <c r="I5386" s="4110">
        <f>IF('Seleccion proyecto HEREVEA02'!H45=0,0,IF('Seleccion proyecto HEREVEA02'!H45="61 a 100",1))</f>
        <v>0</v>
      </c>
      <c r="J5386" s="1351">
        <f>'Seleccion proyecto HEREVEA02'!L8</f>
        <v>11100.968999999999</v>
      </c>
      <c r="K5386" s="4358">
        <f>G5386*I5386*J5386</f>
        <v>0</v>
      </c>
      <c r="L5386" s="4359"/>
      <c r="M5386" s="4360">
        <f>P5388+P5403+P5419+P5439+P5458+P5477+P5496+P5517+P5534+P5554+P5573+P5587+P5611</f>
        <v>130.855575901468</v>
      </c>
      <c r="N5386" s="4361"/>
      <c r="O5386" s="4361"/>
      <c r="P5386" s="4362"/>
      <c r="Q5386" s="4245">
        <f>M5386*K5386</f>
        <v>0</v>
      </c>
      <c r="R5386" s="2371" t="s">
        <v>2844</v>
      </c>
    </row>
    <row r="5387" spans="1:19" s="22" customFormat="1" ht="15" customHeight="1">
      <c r="A5387" s="18" t="s">
        <v>3764</v>
      </c>
      <c r="B5387" s="4367" t="s">
        <v>2028</v>
      </c>
      <c r="C5387" s="4112"/>
      <c r="D5387" s="4368"/>
      <c r="E5387" s="4329" t="s">
        <v>1507</v>
      </c>
      <c r="F5387" s="4336" t="s">
        <v>3856</v>
      </c>
      <c r="G5387" s="4331" t="s">
        <v>1568</v>
      </c>
      <c r="H5387" s="4331" t="s">
        <v>1574</v>
      </c>
      <c r="I5387" s="1572" t="s">
        <v>1559</v>
      </c>
      <c r="J5387" s="1294" t="s">
        <v>1560</v>
      </c>
      <c r="K5387" s="1294" t="s">
        <v>1569</v>
      </c>
      <c r="L5387" s="4333" t="s">
        <v>3765</v>
      </c>
      <c r="M5387" s="4335" t="s">
        <v>1571</v>
      </c>
      <c r="N5387" s="4323" t="s">
        <v>1776</v>
      </c>
      <c r="O5387" s="4108" t="s">
        <v>1563</v>
      </c>
      <c r="P5387" s="1336" t="s">
        <v>1562</v>
      </c>
      <c r="Q5387" s="3389"/>
      <c r="R5387" s="1699" t="s">
        <v>1327</v>
      </c>
    </row>
    <row r="5388" spans="1:19" s="22" customFormat="1">
      <c r="A5388" s="1662" t="s">
        <v>3854</v>
      </c>
      <c r="B5388" s="4369"/>
      <c r="C5388" s="4111"/>
      <c r="D5388" s="4328"/>
      <c r="E5388" s="4330"/>
      <c r="F5388" s="4336"/>
      <c r="G5388" s="4332"/>
      <c r="H5388" s="4332"/>
      <c r="I5388" s="1345">
        <v>91</v>
      </c>
      <c r="J5388" s="1307">
        <v>1.0999999999999999E-2</v>
      </c>
      <c r="K5388" s="1297">
        <f>I5388*J5388</f>
        <v>1.0009999999999999</v>
      </c>
      <c r="L5388" s="4334"/>
      <c r="M5388" s="4335"/>
      <c r="N5388" s="4324"/>
      <c r="O5388" s="1298">
        <f>SUM(O5390:O5401)</f>
        <v>11.7575</v>
      </c>
      <c r="P5388" s="1337">
        <f>O5388*K5388</f>
        <v>11.769257499999998</v>
      </c>
      <c r="Q5388" s="3390"/>
      <c r="R5388" s="1721">
        <f>P5394+P5395</f>
        <v>11.769257499999998</v>
      </c>
    </row>
    <row r="5389" spans="1:19" s="22" customFormat="1">
      <c r="A5389" s="1320"/>
      <c r="C5389" s="1327"/>
      <c r="D5389" s="1367"/>
      <c r="E5389" s="2121"/>
      <c r="F5389" s="1389" t="s">
        <v>1</v>
      </c>
      <c r="G5389" s="1389"/>
      <c r="H5389" s="1369"/>
      <c r="I5389" s="1409"/>
      <c r="J5389" s="1390"/>
      <c r="K5389" s="1391"/>
      <c r="L5389" s="1559"/>
      <c r="M5389" s="1369"/>
      <c r="N5389" s="1369"/>
      <c r="O5389" s="1369"/>
      <c r="P5389" s="1392"/>
      <c r="Q5389" s="3395"/>
      <c r="R5389" s="1296"/>
    </row>
    <row r="5390" spans="1:19" s="22" customFormat="1">
      <c r="A5390" s="1042"/>
      <c r="C5390" s="1042"/>
      <c r="D5390" s="1672"/>
      <c r="E5390" s="2160"/>
      <c r="F5390" s="1675"/>
      <c r="G5390" s="1675"/>
      <c r="H5390" s="1674"/>
      <c r="I5390" s="1299" t="str">
        <f t="shared" ref="I5390:I5392" ca="1" si="688">IF(COUNT(H5390:O5390)=0,"",(SUM(H5390:O5390)/COUNT(H5390:O5390)))</f>
        <v/>
      </c>
      <c r="J5390" s="1300"/>
      <c r="K5390" s="1307" t="str">
        <f t="shared" ref="K5390:K5392" ca="1" si="689">IF(COUNT(I5390)=0,"",(I5390*J5390))</f>
        <v/>
      </c>
      <c r="L5390" s="1335"/>
      <c r="M5390" s="1302"/>
      <c r="N5390" s="1700"/>
      <c r="O5390" s="1290"/>
      <c r="P5390" s="1332"/>
      <c r="Q5390" s="3391"/>
      <c r="R5390" s="1296"/>
    </row>
    <row r="5391" spans="1:19" s="22" customFormat="1">
      <c r="A5391" s="1042"/>
      <c r="C5391" s="1042"/>
      <c r="D5391" s="1367"/>
      <c r="E5391" s="2121"/>
      <c r="F5391" s="1436"/>
      <c r="G5391" s="1436"/>
      <c r="H5391" s="1369"/>
      <c r="I5391" s="1299" t="str">
        <f t="shared" ca="1" si="688"/>
        <v/>
      </c>
      <c r="J5391" s="1300"/>
      <c r="K5391" s="1307" t="str">
        <f t="shared" ca="1" si="689"/>
        <v/>
      </c>
      <c r="L5391" s="1335"/>
      <c r="M5391" s="1302"/>
      <c r="N5391" s="1700"/>
      <c r="O5391" s="1290"/>
      <c r="P5391" s="1332"/>
      <c r="Q5391" s="3391"/>
      <c r="R5391" s="1296"/>
    </row>
    <row r="5392" spans="1:19" s="22" customFormat="1">
      <c r="A5392" s="1042"/>
      <c r="C5392" s="1042"/>
      <c r="D5392" s="1367"/>
      <c r="E5392" s="2121"/>
      <c r="F5392" s="1436"/>
      <c r="G5392" s="1436"/>
      <c r="H5392" s="1369"/>
      <c r="I5392" s="1299" t="str">
        <f t="shared" ca="1" si="688"/>
        <v/>
      </c>
      <c r="J5392" s="1300"/>
      <c r="K5392" s="1307" t="str">
        <f t="shared" ca="1" si="689"/>
        <v/>
      </c>
      <c r="L5392" s="1335"/>
      <c r="M5392" s="1302"/>
      <c r="N5392" s="1700"/>
      <c r="O5392" s="1290"/>
      <c r="P5392" s="1332"/>
      <c r="Q5392" s="3391"/>
      <c r="R5392" s="1296"/>
    </row>
    <row r="5393" spans="1:18" s="22" customFormat="1">
      <c r="A5393" s="1042"/>
      <c r="C5393" s="1042"/>
      <c r="D5393" s="1359"/>
      <c r="E5393" s="1858"/>
      <c r="F5393" s="1360" t="s">
        <v>2</v>
      </c>
      <c r="G5393" s="1360"/>
      <c r="H5393" s="1362"/>
      <c r="I5393" s="1380"/>
      <c r="J5393" s="1381"/>
      <c r="K5393" s="1381"/>
      <c r="L5393" s="1458"/>
      <c r="M5393" s="1362"/>
      <c r="N5393" s="1362"/>
      <c r="O5393" s="1362"/>
      <c r="P5393" s="1359"/>
      <c r="Q5393" s="3387"/>
      <c r="R5393" s="2339"/>
    </row>
    <row r="5394" spans="1:18" s="22" customFormat="1">
      <c r="A5394" s="1321"/>
      <c r="B5394" s="1295"/>
      <c r="C5394" s="1321"/>
      <c r="D5394" s="1363" t="s">
        <v>1067</v>
      </c>
      <c r="E5394" s="2125" t="s">
        <v>1508</v>
      </c>
      <c r="F5394" s="1385" t="s">
        <v>1512</v>
      </c>
      <c r="G5394" s="2019">
        <v>0.27500000000000002</v>
      </c>
      <c r="H5394" s="1386"/>
      <c r="I5394" s="1299"/>
      <c r="J5394" s="1300"/>
      <c r="K5394" s="1307">
        <f>G5394*K5388</f>
        <v>0.27527499999999999</v>
      </c>
      <c r="L5394" s="1335">
        <f>K5394*$K$5386</f>
        <v>0</v>
      </c>
      <c r="M5394" s="1302">
        <v>18.28</v>
      </c>
      <c r="N5394" s="1700"/>
      <c r="O5394" s="1290">
        <f>G5394*M5394</f>
        <v>5.027000000000001</v>
      </c>
      <c r="P5394" s="1332">
        <f>M5394*K5394</f>
        <v>5.0320270000000002</v>
      </c>
      <c r="Q5394" s="3391"/>
      <c r="R5394" s="2339"/>
    </row>
    <row r="5395" spans="1:18" s="22" customFormat="1">
      <c r="A5395" s="16"/>
      <c r="B5395" s="1042"/>
      <c r="C5395" s="88"/>
      <c r="D5395" s="1430" t="s">
        <v>1077</v>
      </c>
      <c r="E5395" s="1857" t="s">
        <v>1508</v>
      </c>
      <c r="F5395" s="1403" t="s">
        <v>37</v>
      </c>
      <c r="G5395" s="1991">
        <v>0.35</v>
      </c>
      <c r="H5395" s="1408"/>
      <c r="I5395" s="197"/>
      <c r="J5395" s="198"/>
      <c r="K5395" s="1307">
        <f>G5395*K5388</f>
        <v>0.35034999999999994</v>
      </c>
      <c r="L5395" s="1335">
        <f>K5395*$K$5386</f>
        <v>0</v>
      </c>
      <c r="M5395" s="1302">
        <v>19.23</v>
      </c>
      <c r="N5395" s="1718"/>
      <c r="O5395" s="1290">
        <f>G5395*M5395</f>
        <v>6.7305000000000001</v>
      </c>
      <c r="P5395" s="1332">
        <f>M5395*K5395</f>
        <v>6.737230499999999</v>
      </c>
      <c r="Q5395" s="3391"/>
      <c r="R5395" s="2337"/>
    </row>
    <row r="5396" spans="1:18" s="22" customFormat="1">
      <c r="A5396" s="1320"/>
      <c r="C5396" s="1320"/>
      <c r="D5396" s="1359"/>
      <c r="E5396" s="1858"/>
      <c r="F5396" s="1404"/>
      <c r="G5396" s="1404"/>
      <c r="H5396" s="1359"/>
      <c r="I5396" s="1299"/>
      <c r="J5396" s="1300"/>
      <c r="K5396" s="1307"/>
      <c r="L5396" s="1335"/>
      <c r="M5396" s="1302"/>
      <c r="N5396" s="1700"/>
      <c r="O5396" s="1290"/>
      <c r="P5396" s="1332"/>
      <c r="Q5396" s="3391"/>
      <c r="R5396" s="1296"/>
    </row>
    <row r="5397" spans="1:18" s="22" customFormat="1">
      <c r="A5397" s="1320"/>
      <c r="C5397" s="1320"/>
      <c r="D5397" s="1359"/>
      <c r="E5397" s="1858"/>
      <c r="F5397" s="1361"/>
      <c r="G5397" s="1361"/>
      <c r="H5397" s="1466"/>
      <c r="I5397" s="1299"/>
      <c r="J5397" s="1300"/>
      <c r="K5397" s="1307" t="str">
        <f>IF(COUNT(I5397)=0,"",(I5397*J5397))</f>
        <v/>
      </c>
      <c r="L5397" s="1335"/>
      <c r="M5397" s="1302"/>
      <c r="N5397" s="1700"/>
      <c r="O5397" s="1290"/>
      <c r="P5397" s="1332"/>
      <c r="Q5397" s="3391"/>
      <c r="R5397" s="1296"/>
    </row>
    <row r="5398" spans="1:18" s="22" customFormat="1">
      <c r="A5398" s="1320"/>
      <c r="C5398" s="1320"/>
      <c r="D5398" s="1373"/>
      <c r="E5398" s="2123"/>
      <c r="F5398" s="1374" t="s">
        <v>3</v>
      </c>
      <c r="G5398" s="1375"/>
      <c r="H5398" s="1376"/>
      <c r="I5398" s="1382"/>
      <c r="J5398" s="1383"/>
      <c r="K5398" s="1383" t="str">
        <f>IF(COUNT(I5398)=0,"",(I5398*J5398))</f>
        <v/>
      </c>
      <c r="L5398" s="1413"/>
      <c r="M5398" s="1376"/>
      <c r="N5398" s="1376"/>
      <c r="O5398" s="1376"/>
      <c r="P5398" s="1373"/>
      <c r="Q5398" s="3387"/>
      <c r="R5398" s="1296"/>
    </row>
    <row r="5399" spans="1:18" s="22" customFormat="1">
      <c r="A5399" s="1321"/>
      <c r="B5399" s="1295"/>
      <c r="C5399" s="1321"/>
      <c r="D5399" s="1377"/>
      <c r="E5399" s="2124"/>
      <c r="F5399" s="1378"/>
      <c r="G5399" s="1378"/>
      <c r="H5399" s="1379"/>
      <c r="I5399" s="1299"/>
      <c r="J5399" s="1300"/>
      <c r="K5399" s="1307"/>
      <c r="L5399" s="1335"/>
      <c r="M5399" s="1302"/>
      <c r="N5399" s="1700"/>
      <c r="O5399" s="1290"/>
      <c r="P5399" s="1332"/>
      <c r="Q5399" s="3391"/>
      <c r="R5399" s="1296"/>
    </row>
    <row r="5400" spans="1:18" s="22" customFormat="1">
      <c r="A5400" s="1321"/>
      <c r="B5400" s="1295"/>
      <c r="C5400" s="1321"/>
      <c r="D5400" s="1377"/>
      <c r="E5400" s="2124"/>
      <c r="F5400" s="1378"/>
      <c r="G5400" s="1378"/>
      <c r="H5400" s="1379"/>
      <c r="I5400" s="1299"/>
      <c r="J5400" s="1300"/>
      <c r="K5400" s="1307"/>
      <c r="L5400" s="1335"/>
      <c r="M5400" s="1302"/>
      <c r="N5400" s="1700"/>
      <c r="O5400" s="1290"/>
      <c r="P5400" s="1333"/>
      <c r="Q5400" s="3391"/>
      <c r="R5400" s="1296"/>
    </row>
    <row r="5401" spans="1:18" s="22" customFormat="1">
      <c r="A5401" s="1042"/>
      <c r="B5401" s="1765"/>
      <c r="C5401" s="223"/>
      <c r="D5401" s="1373"/>
      <c r="E5401" s="2161"/>
      <c r="F5401" s="1678"/>
      <c r="G5401" s="1678"/>
      <c r="H5401" s="1376"/>
      <c r="I5401" s="1299"/>
      <c r="J5401" s="1300"/>
      <c r="K5401" s="1307"/>
      <c r="L5401" s="1335"/>
      <c r="M5401" s="1302"/>
      <c r="N5401" s="1700"/>
      <c r="O5401" s="1290"/>
      <c r="P5401" s="1332"/>
      <c r="Q5401" s="3391"/>
      <c r="R5401" s="1296"/>
    </row>
    <row r="5402" spans="1:18" s="22" customFormat="1" ht="15" customHeight="1">
      <c r="A5402" s="18" t="s">
        <v>3764</v>
      </c>
      <c r="B5402" s="4367" t="s">
        <v>3858</v>
      </c>
      <c r="C5402" s="4112"/>
      <c r="D5402" s="4368"/>
      <c r="E5402" s="4329" t="s">
        <v>1507</v>
      </c>
      <c r="F5402" s="4336" t="s">
        <v>3857</v>
      </c>
      <c r="G5402" s="4331" t="s">
        <v>1568</v>
      </c>
      <c r="H5402" s="4331" t="s">
        <v>1574</v>
      </c>
      <c r="I5402" s="1572" t="s">
        <v>1559</v>
      </c>
      <c r="J5402" s="1294" t="s">
        <v>1560</v>
      </c>
      <c r="K5402" s="1294" t="s">
        <v>1569</v>
      </c>
      <c r="L5402" s="4333" t="s">
        <v>3765</v>
      </c>
      <c r="M5402" s="4335" t="s">
        <v>1571</v>
      </c>
      <c r="N5402" s="4323" t="s">
        <v>1776</v>
      </c>
      <c r="O5402" s="4108" t="s">
        <v>1563</v>
      </c>
      <c r="P5402" s="1336" t="s">
        <v>1562</v>
      </c>
      <c r="Q5402" s="3389"/>
      <c r="R5402" s="1699" t="s">
        <v>1327</v>
      </c>
    </row>
    <row r="5403" spans="1:18" s="22" customFormat="1">
      <c r="A5403" s="1662" t="s">
        <v>3854</v>
      </c>
      <c r="B5403" s="4369"/>
      <c r="C5403" s="4111"/>
      <c r="D5403" s="4328"/>
      <c r="E5403" s="4330"/>
      <c r="F5403" s="4336"/>
      <c r="G5403" s="4332"/>
      <c r="H5403" s="4332"/>
      <c r="I5403" s="1345">
        <v>91</v>
      </c>
      <c r="J5403" s="1307">
        <v>1.0999999999999999E-2</v>
      </c>
      <c r="K5403" s="1297">
        <f>I5403*J5403</f>
        <v>1.0009999999999999</v>
      </c>
      <c r="L5403" s="4334"/>
      <c r="M5403" s="4335"/>
      <c r="N5403" s="4324"/>
      <c r="O5403" s="1298">
        <f>SUM(O5405:O5417)</f>
        <v>5.027000000000001</v>
      </c>
      <c r="P5403" s="1337">
        <f>O5403*K5403</f>
        <v>5.0320270000000002</v>
      </c>
      <c r="Q5403" s="3390"/>
      <c r="R5403" s="1721">
        <f>SUM(P5404:P5417)</f>
        <v>5.0320270000000002</v>
      </c>
    </row>
    <row r="5404" spans="1:18" s="22" customFormat="1">
      <c r="A5404" s="1320"/>
      <c r="C5404" s="1327"/>
      <c r="D5404" s="1367"/>
      <c r="E5404" s="2121"/>
      <c r="F5404" s="1389" t="s">
        <v>1</v>
      </c>
      <c r="G5404" s="1389"/>
      <c r="H5404" s="1369"/>
      <c r="I5404" s="1409"/>
      <c r="J5404" s="1390"/>
      <c r="K5404" s="1391"/>
      <c r="L5404" s="1559"/>
      <c r="M5404" s="1369"/>
      <c r="N5404" s="1369"/>
      <c r="O5404" s="1369"/>
      <c r="P5404" s="1392"/>
      <c r="Q5404" s="3395"/>
      <c r="R5404" s="1296"/>
    </row>
    <row r="5405" spans="1:18" s="22" customFormat="1">
      <c r="A5405" s="1042"/>
      <c r="C5405" s="1042"/>
      <c r="D5405" s="1598"/>
      <c r="E5405" s="2154"/>
      <c r="F5405" s="1598"/>
      <c r="G5405" s="1612"/>
      <c r="H5405" s="1674"/>
      <c r="I5405" s="1299"/>
      <c r="J5405" s="1300"/>
      <c r="K5405" s="1307"/>
      <c r="L5405" s="1335"/>
      <c r="M5405" s="1302"/>
      <c r="N5405" s="1700"/>
      <c r="O5405" s="1290"/>
      <c r="P5405" s="1332"/>
      <c r="Q5405" s="3391"/>
      <c r="R5405" s="1296"/>
    </row>
    <row r="5406" spans="1:18" s="22" customFormat="1">
      <c r="A5406" s="1042"/>
      <c r="C5406" s="1042"/>
      <c r="D5406" s="1598"/>
      <c r="E5406" s="2154"/>
      <c r="F5406" s="1598"/>
      <c r="G5406" s="1612"/>
      <c r="H5406" s="1674"/>
      <c r="I5406" s="1299"/>
      <c r="J5406" s="1300"/>
      <c r="K5406" s="1307"/>
      <c r="L5406" s="1335"/>
      <c r="M5406" s="1302"/>
      <c r="N5406" s="1700"/>
      <c r="O5406" s="1290"/>
      <c r="P5406" s="1332"/>
      <c r="Q5406" s="3391"/>
      <c r="R5406" s="1296"/>
    </row>
    <row r="5407" spans="1:18" s="22" customFormat="1">
      <c r="A5407" s="1042"/>
      <c r="C5407" s="1042"/>
      <c r="D5407" s="1598"/>
      <c r="E5407" s="2154"/>
      <c r="F5407" s="1598"/>
      <c r="G5407" s="1612"/>
      <c r="H5407" s="1674"/>
      <c r="I5407" s="1299"/>
      <c r="J5407" s="1300"/>
      <c r="K5407" s="1307"/>
      <c r="L5407" s="1335"/>
      <c r="M5407" s="1302"/>
      <c r="N5407" s="1700"/>
      <c r="O5407" s="1290"/>
      <c r="P5407" s="1332"/>
      <c r="Q5407" s="3391"/>
      <c r="R5407" s="1296"/>
    </row>
    <row r="5408" spans="1:18" s="22" customFormat="1">
      <c r="A5408" s="1042"/>
      <c r="C5408" s="1042"/>
      <c r="D5408" s="1367"/>
      <c r="E5408" s="2121"/>
      <c r="F5408" s="1436"/>
      <c r="G5408" s="1436"/>
      <c r="H5408" s="1369"/>
      <c r="I5408" s="1299"/>
      <c r="J5408" s="1300"/>
      <c r="K5408" s="1307"/>
      <c r="L5408" s="1335"/>
      <c r="M5408" s="1302"/>
      <c r="N5408" s="1700"/>
      <c r="O5408" s="1290"/>
      <c r="P5408" s="1332"/>
      <c r="Q5408" s="3391"/>
      <c r="R5408" s="1296"/>
    </row>
    <row r="5409" spans="1:22" s="22" customFormat="1">
      <c r="A5409" s="1042"/>
      <c r="C5409" s="1042"/>
      <c r="D5409" s="1367"/>
      <c r="E5409" s="2121"/>
      <c r="F5409" s="1436"/>
      <c r="G5409" s="1436"/>
      <c r="H5409" s="1369"/>
      <c r="I5409" s="1299" t="str">
        <f t="shared" ref="I5409" ca="1" si="690">IF(COUNT(H5409:O5409)=0,"",(SUM(H5409:O5409)/COUNT(H5409:O5409)))</f>
        <v/>
      </c>
      <c r="J5409" s="1300"/>
      <c r="K5409" s="1307" t="str">
        <f t="shared" ref="K5409" ca="1" si="691">IF(COUNT(I5409)=0,"",(I5409*J5409))</f>
        <v/>
      </c>
      <c r="L5409" s="1335"/>
      <c r="M5409" s="1302"/>
      <c r="N5409" s="1700"/>
      <c r="O5409" s="1290"/>
      <c r="P5409" s="1332"/>
      <c r="Q5409" s="3391"/>
      <c r="R5409" s="1296"/>
    </row>
    <row r="5410" spans="1:22" s="22" customFormat="1">
      <c r="A5410" s="1042"/>
      <c r="C5410" s="1042"/>
      <c r="D5410" s="1359"/>
      <c r="E5410" s="1858"/>
      <c r="F5410" s="1360" t="s">
        <v>2</v>
      </c>
      <c r="G5410" s="1360"/>
      <c r="H5410" s="1362"/>
      <c r="I5410" s="1380"/>
      <c r="J5410" s="1381"/>
      <c r="K5410" s="1381"/>
      <c r="L5410" s="1458"/>
      <c r="M5410" s="1362"/>
      <c r="N5410" s="1362"/>
      <c r="O5410" s="1362"/>
      <c r="P5410" s="1359"/>
      <c r="Q5410" s="3387"/>
      <c r="R5410" s="2339"/>
    </row>
    <row r="5411" spans="1:22" s="16" customFormat="1">
      <c r="B5411" s="1042"/>
      <c r="C5411" s="88"/>
      <c r="D5411" s="1430" t="s">
        <v>1067</v>
      </c>
      <c r="E5411" s="1857" t="s">
        <v>1508</v>
      </c>
      <c r="F5411" s="1403" t="s">
        <v>5</v>
      </c>
      <c r="G5411" s="1991">
        <v>0.27500000000000002</v>
      </c>
      <c r="H5411" s="1408"/>
      <c r="I5411" s="1286"/>
      <c r="J5411" s="198"/>
      <c r="K5411" s="1307">
        <f>G5411*K5403</f>
        <v>0.27527499999999999</v>
      </c>
      <c r="L5411" s="1335">
        <f t="shared" ref="L5411" si="692">K5411*$K$5386</f>
        <v>0</v>
      </c>
      <c r="M5411" s="1302">
        <v>18.28</v>
      </c>
      <c r="N5411" s="1718"/>
      <c r="O5411" s="1290">
        <f>G5411*M5411</f>
        <v>5.027000000000001</v>
      </c>
      <c r="P5411" s="1332">
        <f>M5411*K5411</f>
        <v>5.0320270000000002</v>
      </c>
      <c r="Q5411" s="3391"/>
      <c r="R5411" s="2337"/>
    </row>
    <row r="5412" spans="1:22" s="16" customFormat="1">
      <c r="B5412" s="1042"/>
      <c r="C5412" s="88"/>
      <c r="D5412" s="1430"/>
      <c r="E5412" s="1857"/>
      <c r="F5412" s="1403"/>
      <c r="G5412" s="1991"/>
      <c r="H5412" s="1408"/>
      <c r="I5412" s="197"/>
      <c r="J5412" s="198"/>
      <c r="K5412" s="1307"/>
      <c r="L5412" s="1335"/>
      <c r="M5412" s="1302"/>
      <c r="N5412" s="1718"/>
      <c r="O5412" s="1290"/>
      <c r="P5412" s="1332"/>
      <c r="Q5412" s="3391"/>
      <c r="R5412" s="2337"/>
    </row>
    <row r="5413" spans="1:22" s="16" customFormat="1">
      <c r="A5413" s="1320"/>
      <c r="B5413" s="22"/>
      <c r="C5413" s="1320"/>
      <c r="D5413" s="1359"/>
      <c r="E5413" s="1858"/>
      <c r="F5413" s="1361"/>
      <c r="G5413" s="1361"/>
      <c r="H5413" s="1466"/>
      <c r="I5413" s="1299"/>
      <c r="J5413" s="1300"/>
      <c r="K5413" s="1307" t="str">
        <f>IF(COUNT(I5413)=0,"",(I5413*J5413))</f>
        <v/>
      </c>
      <c r="L5413" s="1335"/>
      <c r="M5413" s="1302"/>
      <c r="N5413" s="1700"/>
      <c r="O5413" s="1290"/>
      <c r="P5413" s="1332"/>
      <c r="Q5413" s="3391"/>
      <c r="R5413" s="1296"/>
    </row>
    <row r="5414" spans="1:22" s="16" customFormat="1">
      <c r="A5414" s="1320"/>
      <c r="B5414" s="22"/>
      <c r="C5414" s="1320"/>
      <c r="D5414" s="1373"/>
      <c r="E5414" s="2123"/>
      <c r="F5414" s="1374" t="s">
        <v>3</v>
      </c>
      <c r="G5414" s="1375"/>
      <c r="H5414" s="1376"/>
      <c r="I5414" s="1382"/>
      <c r="J5414" s="1383"/>
      <c r="K5414" s="1383" t="str">
        <f>IF(COUNT(I5414)=0,"",(I5414*J5414))</f>
        <v/>
      </c>
      <c r="L5414" s="1413"/>
      <c r="M5414" s="1376"/>
      <c r="N5414" s="1376"/>
      <c r="O5414" s="1376"/>
      <c r="P5414" s="1373"/>
      <c r="Q5414" s="3387"/>
      <c r="R5414" s="1296"/>
    </row>
    <row r="5415" spans="1:22" s="16" customFormat="1">
      <c r="A5415" s="1321"/>
      <c r="B5415" s="1295"/>
      <c r="C5415" s="1321"/>
      <c r="D5415" s="1377"/>
      <c r="E5415" s="2124"/>
      <c r="F5415" s="1378"/>
      <c r="G5415" s="1378"/>
      <c r="H5415" s="1379"/>
      <c r="I5415" s="1299"/>
      <c r="J5415" s="1300"/>
      <c r="K5415" s="1307"/>
      <c r="L5415" s="1335"/>
      <c r="M5415" s="1302"/>
      <c r="N5415" s="1700"/>
      <c r="O5415" s="1290"/>
      <c r="P5415" s="1332"/>
      <c r="Q5415" s="3391"/>
      <c r="R5415" s="1296"/>
    </row>
    <row r="5416" spans="1:22" s="16" customFormat="1">
      <c r="A5416" s="1321"/>
      <c r="B5416" s="1295"/>
      <c r="C5416" s="1321"/>
      <c r="D5416" s="1377"/>
      <c r="E5416" s="2124"/>
      <c r="F5416" s="1378"/>
      <c r="G5416" s="1378"/>
      <c r="H5416" s="1379"/>
      <c r="I5416" s="1299"/>
      <c r="J5416" s="1300"/>
      <c r="K5416" s="1307"/>
      <c r="L5416" s="1335"/>
      <c r="M5416" s="1302"/>
      <c r="N5416" s="1700"/>
      <c r="O5416" s="1290"/>
      <c r="P5416" s="1333"/>
      <c r="Q5416" s="3391"/>
      <c r="R5416" s="1296"/>
    </row>
    <row r="5417" spans="1:22" s="16" customFormat="1">
      <c r="A5417" s="1042"/>
      <c r="B5417" s="1765"/>
      <c r="C5417" s="223"/>
      <c r="D5417" s="1373"/>
      <c r="E5417" s="2161"/>
      <c r="F5417" s="1678"/>
      <c r="G5417" s="1678"/>
      <c r="H5417" s="1376"/>
      <c r="I5417" s="1299"/>
      <c r="J5417" s="1300"/>
      <c r="K5417" s="1307"/>
      <c r="L5417" s="1335"/>
      <c r="M5417" s="1302"/>
      <c r="N5417" s="1700"/>
      <c r="O5417" s="1290"/>
      <c r="P5417" s="1332"/>
      <c r="Q5417" s="3391"/>
      <c r="R5417" s="1296"/>
    </row>
    <row r="5418" spans="1:22" s="22" customFormat="1" ht="15" customHeight="1">
      <c r="A5418" s="18" t="s">
        <v>3764</v>
      </c>
      <c r="B5418" s="4367" t="s">
        <v>3712</v>
      </c>
      <c r="C5418" s="4112"/>
      <c r="D5418" s="4368"/>
      <c r="E5418" s="4329" t="s">
        <v>1507</v>
      </c>
      <c r="F5418" s="4336" t="s">
        <v>3857</v>
      </c>
      <c r="G5418" s="4331" t="s">
        <v>1568</v>
      </c>
      <c r="H5418" s="4331" t="s">
        <v>1574</v>
      </c>
      <c r="I5418" s="1572" t="s">
        <v>1559</v>
      </c>
      <c r="J5418" s="1294" t="s">
        <v>1560</v>
      </c>
      <c r="K5418" s="1294" t="s">
        <v>1569</v>
      </c>
      <c r="L5418" s="4333" t="s">
        <v>3765</v>
      </c>
      <c r="M5418" s="4335" t="s">
        <v>1571</v>
      </c>
      <c r="N5418" s="4323" t="s">
        <v>1776</v>
      </c>
      <c r="O5418" s="4108" t="s">
        <v>1563</v>
      </c>
      <c r="P5418" s="1336" t="s">
        <v>1562</v>
      </c>
      <c r="Q5418" s="3389"/>
      <c r="R5418" s="1699" t="s">
        <v>1327</v>
      </c>
    </row>
    <row r="5419" spans="1:22" s="22" customFormat="1">
      <c r="A5419" s="1662" t="s">
        <v>3854</v>
      </c>
      <c r="B5419" s="4369"/>
      <c r="C5419" s="4111"/>
      <c r="D5419" s="4328"/>
      <c r="E5419" s="4330"/>
      <c r="F5419" s="4336"/>
      <c r="G5419" s="4332"/>
      <c r="H5419" s="4332"/>
      <c r="I5419" s="1345">
        <v>91</v>
      </c>
      <c r="J5419" s="1307">
        <v>1.0999999999999999E-2</v>
      </c>
      <c r="K5419" s="1297">
        <f>I5419*J5419</f>
        <v>1.0009999999999999</v>
      </c>
      <c r="L5419" s="4334"/>
      <c r="M5419" s="4335"/>
      <c r="N5419" s="4324"/>
      <c r="O5419" s="1298">
        <f>SUM(O5421:O5424)+O5431</f>
        <v>18.103643949999999</v>
      </c>
      <c r="P5419" s="1337">
        <f>O5419*K5419</f>
        <v>18.121747593949998</v>
      </c>
      <c r="Q5419" s="3390"/>
      <c r="R5419" s="1721">
        <f>SUM(P5420:P5424)+P5431</f>
        <v>18.121747593949998</v>
      </c>
    </row>
    <row r="5420" spans="1:22" s="22" customFormat="1">
      <c r="A5420" s="1320"/>
      <c r="C5420" s="1327"/>
      <c r="D5420" s="1367"/>
      <c r="E5420" s="2121"/>
      <c r="F5420" s="1389" t="s">
        <v>1</v>
      </c>
      <c r="G5420" s="1389"/>
      <c r="H5420" s="1369"/>
      <c r="I5420" s="1409"/>
      <c r="J5420" s="1390"/>
      <c r="K5420" s="1391"/>
      <c r="L5420" s="1559"/>
      <c r="M5420" s="1369"/>
      <c r="N5420" s="1369"/>
      <c r="O5420" s="1369"/>
      <c r="P5420" s="1392"/>
      <c r="Q5420" s="3395"/>
      <c r="R5420" s="1296"/>
    </row>
    <row r="5421" spans="1:22" s="22" customFormat="1">
      <c r="A5421" s="1042"/>
      <c r="C5421" s="1042"/>
      <c r="D5421" s="1598" t="s">
        <v>3714</v>
      </c>
      <c r="E5421" s="2154" t="s">
        <v>1504</v>
      </c>
      <c r="F5421" s="1598" t="s">
        <v>3715</v>
      </c>
      <c r="G5421" s="1612">
        <v>4.24</v>
      </c>
      <c r="H5421" s="1674"/>
      <c r="I5421" s="1299"/>
      <c r="J5421" s="1300"/>
      <c r="K5421" s="1307">
        <f>G5421*K5419</f>
        <v>4.2442399999999996</v>
      </c>
      <c r="L5421" s="1335">
        <f t="shared" ref="L5421:L5423" si="693">K5421*$K$5386</f>
        <v>0</v>
      </c>
      <c r="M5421" s="1302">
        <v>0.84</v>
      </c>
      <c r="N5421" s="1700"/>
      <c r="O5421" s="1290">
        <f t="shared" ref="O5421:O5423" si="694">G5421*M5421</f>
        <v>3.5615999999999999</v>
      </c>
      <c r="P5421" s="1332">
        <f>M5421*K5421</f>
        <v>3.5651615999999997</v>
      </c>
      <c r="Q5421" s="3391"/>
      <c r="R5421" s="1296"/>
    </row>
    <row r="5422" spans="1:22" s="22" customFormat="1">
      <c r="A5422" s="1042"/>
      <c r="C5422" s="1042"/>
      <c r="D5422" s="1598" t="s">
        <v>1097</v>
      </c>
      <c r="E5422" s="2154" t="s">
        <v>1504</v>
      </c>
      <c r="F5422" s="1598" t="s">
        <v>1632</v>
      </c>
      <c r="G5422" s="1612">
        <v>1</v>
      </c>
      <c r="H5422" s="1674"/>
      <c r="I5422" s="1299"/>
      <c r="J5422" s="1300"/>
      <c r="K5422" s="1307">
        <f>G5422*K5419</f>
        <v>1.0009999999999999</v>
      </c>
      <c r="L5422" s="1335">
        <f t="shared" si="693"/>
        <v>0</v>
      </c>
      <c r="M5422" s="1302">
        <v>0.55000000000000004</v>
      </c>
      <c r="N5422" s="1700"/>
      <c r="O5422" s="1290">
        <f t="shared" si="694"/>
        <v>0.55000000000000004</v>
      </c>
      <c r="P5422" s="1332">
        <f>M5422*K5422</f>
        <v>0.55054999999999998</v>
      </c>
      <c r="Q5422" s="3391"/>
      <c r="R5422" s="1296"/>
    </row>
    <row r="5423" spans="1:22" s="22" customFormat="1">
      <c r="A5423" s="1042"/>
      <c r="C5423" s="1042"/>
      <c r="D5423" s="1598" t="s">
        <v>1082</v>
      </c>
      <c r="E5423" s="2154" t="s">
        <v>1504</v>
      </c>
      <c r="F5423" s="1598" t="s">
        <v>1541</v>
      </c>
      <c r="G5423" s="1612">
        <v>2</v>
      </c>
      <c r="H5423" s="1674"/>
      <c r="I5423" s="1299"/>
      <c r="J5423" s="1300"/>
      <c r="K5423" s="1307">
        <f>G5423*K5419</f>
        <v>2.0019999999999998</v>
      </c>
      <c r="L5423" s="1335">
        <f t="shared" si="693"/>
        <v>0</v>
      </c>
      <c r="M5423" s="1302">
        <v>0.3</v>
      </c>
      <c r="N5423" s="1700"/>
      <c r="O5423" s="1290">
        <f t="shared" si="694"/>
        <v>0.6</v>
      </c>
      <c r="P5423" s="1332">
        <f>M5423*K5423</f>
        <v>0.60059999999999991</v>
      </c>
      <c r="Q5423" s="3391"/>
      <c r="R5423" s="1296"/>
    </row>
    <row r="5424" spans="1:22">
      <c r="A5424" s="16"/>
      <c r="B5424" s="1042"/>
      <c r="C5424" s="1658" t="s">
        <v>1122</v>
      </c>
      <c r="D5424" s="1311"/>
      <c r="E5424" s="1855" t="s">
        <v>1517</v>
      </c>
      <c r="F5424" s="1647" t="s">
        <v>1681</v>
      </c>
      <c r="G5424" s="1689"/>
      <c r="H5424" s="1689">
        <v>5.0000000000000001E-3</v>
      </c>
      <c r="I5424" s="1444"/>
      <c r="J5424" s="1388"/>
      <c r="K5424" s="1841"/>
      <c r="L5424" s="1445"/>
      <c r="M5424" s="1500"/>
      <c r="N5424" s="1501">
        <f>SUM(N5425:N5429)</f>
        <v>51.667310000000001</v>
      </c>
      <c r="O5424" s="1501">
        <f>SUM(O5425:O5429)</f>
        <v>0.26354394999999997</v>
      </c>
      <c r="P5424" s="1845">
        <f>SUM(P5425:P5429)</f>
        <v>0.26380749395000003</v>
      </c>
      <c r="Q5424" s="3391"/>
      <c r="R5424" s="2343"/>
      <c r="S5424" s="16"/>
      <c r="T5424" s="16"/>
      <c r="U5424" s="16"/>
      <c r="V5424" s="16"/>
    </row>
    <row r="5425" spans="1:22">
      <c r="A5425" s="16"/>
      <c r="B5425" s="1042"/>
      <c r="C5425" s="1042"/>
      <c r="D5425" s="1451" t="s">
        <v>1069</v>
      </c>
      <c r="E5425" s="1856" t="s">
        <v>1517</v>
      </c>
      <c r="F5425" s="1421" t="s">
        <v>1578</v>
      </c>
      <c r="G5425" s="1452">
        <v>0.26300000000000001</v>
      </c>
      <c r="H5425" s="1453">
        <f>$H$5337*G5425</f>
        <v>1.0783000000000001E-2</v>
      </c>
      <c r="I5425" s="197"/>
      <c r="J5425" s="198"/>
      <c r="K5425" s="1350">
        <f>H5425*K5419</f>
        <v>1.0793783E-2</v>
      </c>
      <c r="L5425" s="1335">
        <f t="shared" ref="L5425:L5429" si="695">K5425*$K$5386</f>
        <v>0</v>
      </c>
      <c r="M5425" s="1499">
        <v>0.55000000000000004</v>
      </c>
      <c r="N5425" s="1724">
        <f>G5425*M5425</f>
        <v>0.14465000000000003</v>
      </c>
      <c r="O5425" s="1719">
        <f>H5425*M5425</f>
        <v>5.9306500000000009E-3</v>
      </c>
      <c r="P5425" s="1720">
        <f>K5425*M5425</f>
        <v>5.9365806500000003E-3</v>
      </c>
      <c r="Q5425" s="3396"/>
      <c r="R5425" s="2338"/>
      <c r="S5425" s="16"/>
      <c r="T5425" s="16"/>
      <c r="U5425" s="16"/>
      <c r="V5425" s="16"/>
    </row>
    <row r="5426" spans="1:22">
      <c r="A5426" s="16"/>
      <c r="B5426" s="1042"/>
      <c r="C5426" s="1320"/>
      <c r="D5426" s="1367" t="s">
        <v>1394</v>
      </c>
      <c r="E5426" s="1856" t="s">
        <v>1577</v>
      </c>
      <c r="F5426" s="1421" t="s">
        <v>1579</v>
      </c>
      <c r="G5426" s="1452">
        <v>0.25800000000000001</v>
      </c>
      <c r="H5426" s="1453">
        <f>G5426*H5424</f>
        <v>1.2900000000000001E-3</v>
      </c>
      <c r="I5426" s="197"/>
      <c r="J5426" s="198"/>
      <c r="K5426" s="1350">
        <f>H5426*K5419</f>
        <v>1.2912900000000001E-3</v>
      </c>
      <c r="L5426" s="1335">
        <f t="shared" si="695"/>
        <v>0</v>
      </c>
      <c r="M5426" s="1499">
        <v>92.54</v>
      </c>
      <c r="N5426" s="1724">
        <f>G5426*M5426</f>
        <v>23.875320000000002</v>
      </c>
      <c r="O5426" s="1719">
        <f>H5426*M5426</f>
        <v>0.11937660000000001</v>
      </c>
      <c r="P5426" s="1720">
        <f>K5426*M5426</f>
        <v>0.11949597660000001</v>
      </c>
      <c r="Q5426" s="3396"/>
      <c r="R5426" s="2338"/>
      <c r="S5426" s="16"/>
      <c r="T5426" s="16"/>
      <c r="U5426" s="16"/>
      <c r="V5426" s="16"/>
    </row>
    <row r="5427" spans="1:22">
      <c r="A5427" s="16"/>
      <c r="B5427" s="1042"/>
      <c r="C5427" s="1320"/>
      <c r="D5427" s="1603" t="s">
        <v>1682</v>
      </c>
      <c r="E5427" s="1856" t="s">
        <v>1683</v>
      </c>
      <c r="F5427" s="1421" t="s">
        <v>1684</v>
      </c>
      <c r="G5427" s="1452">
        <v>1.288</v>
      </c>
      <c r="H5427" s="1453">
        <f>G5427*H5424</f>
        <v>6.4400000000000004E-3</v>
      </c>
      <c r="I5427" s="197"/>
      <c r="J5427" s="198"/>
      <c r="K5427" s="1350">
        <f>H5427*K5419</f>
        <v>6.4464399999999995E-3</v>
      </c>
      <c r="L5427" s="1335">
        <f t="shared" si="695"/>
        <v>0</v>
      </c>
      <c r="M5427" s="1499">
        <v>1.26</v>
      </c>
      <c r="N5427" s="1724">
        <f>G5427*M5427</f>
        <v>1.6228800000000001</v>
      </c>
      <c r="O5427" s="1719">
        <f>H5427*M5427</f>
        <v>8.1144000000000008E-3</v>
      </c>
      <c r="P5427" s="1720">
        <f>K5427*M5427</f>
        <v>8.1225143999999992E-3</v>
      </c>
      <c r="Q5427" s="3396"/>
      <c r="R5427" s="2338"/>
      <c r="S5427" s="16"/>
      <c r="T5427" s="16"/>
      <c r="U5427" s="16"/>
      <c r="V5427" s="16"/>
    </row>
    <row r="5428" spans="1:22">
      <c r="A5428" s="16"/>
      <c r="B5428" s="1042"/>
      <c r="C5428" s="1320"/>
      <c r="D5428" s="1603" t="s">
        <v>1576</v>
      </c>
      <c r="E5428" s="1856" t="s">
        <v>1517</v>
      </c>
      <c r="F5428" s="1421" t="s">
        <v>1580</v>
      </c>
      <c r="G5428" s="1452">
        <v>1.1020000000000001</v>
      </c>
      <c r="H5428" s="1453">
        <f>G5428*H5424</f>
        <v>5.5100000000000001E-3</v>
      </c>
      <c r="I5428" s="197"/>
      <c r="J5428" s="198"/>
      <c r="K5428" s="1350">
        <f>H5428*K5419</f>
        <v>5.5155099999999995E-3</v>
      </c>
      <c r="L5428" s="1335">
        <f t="shared" si="695"/>
        <v>0</v>
      </c>
      <c r="M5428" s="1499">
        <v>6.53</v>
      </c>
      <c r="N5428" s="1724">
        <f>G5428*M5428</f>
        <v>7.196060000000001</v>
      </c>
      <c r="O5428" s="1719">
        <f>H5428*M5428</f>
        <v>3.59803E-2</v>
      </c>
      <c r="P5428" s="1720">
        <f>K5428*M5428</f>
        <v>3.6016280299999995E-2</v>
      </c>
      <c r="Q5428" s="3396"/>
      <c r="R5428" s="2338"/>
      <c r="S5428" s="16"/>
      <c r="T5428" s="16"/>
      <c r="U5428" s="16"/>
      <c r="V5428" s="16"/>
    </row>
    <row r="5429" spans="1:22">
      <c r="A5429" s="16"/>
      <c r="B5429" s="1042"/>
      <c r="C5429" s="1320"/>
      <c r="D5429" s="1443" t="s">
        <v>1067</v>
      </c>
      <c r="E5429" s="1857" t="s">
        <v>1508</v>
      </c>
      <c r="F5429" s="1430" t="s">
        <v>1512</v>
      </c>
      <c r="G5429" s="1431">
        <v>1.03</v>
      </c>
      <c r="H5429" s="1454">
        <f>G5429*H5424</f>
        <v>5.1500000000000001E-3</v>
      </c>
      <c r="I5429" s="197"/>
      <c r="J5429" s="198"/>
      <c r="K5429" s="1350">
        <f>H5429*K5419</f>
        <v>5.1551499999999998E-3</v>
      </c>
      <c r="L5429" s="1335">
        <f t="shared" si="695"/>
        <v>0</v>
      </c>
      <c r="M5429" s="1499">
        <v>18.28</v>
      </c>
      <c r="N5429" s="1724">
        <f>G5429*M5429</f>
        <v>18.828400000000002</v>
      </c>
      <c r="O5429" s="1719">
        <f>H5429*M5429</f>
        <v>9.4142000000000003E-2</v>
      </c>
      <c r="P5429" s="1720">
        <f>K5429*M5429</f>
        <v>9.4236142000000009E-2</v>
      </c>
      <c r="Q5429" s="3396"/>
      <c r="R5429" s="2338"/>
      <c r="S5429" s="16"/>
      <c r="T5429" s="16"/>
      <c r="U5429" s="16"/>
      <c r="V5429" s="16"/>
    </row>
    <row r="5430" spans="1:22" s="22" customFormat="1">
      <c r="A5430" s="1042"/>
      <c r="C5430" s="1042"/>
      <c r="D5430" s="1359"/>
      <c r="E5430" s="1858"/>
      <c r="F5430" s="1360" t="s">
        <v>2</v>
      </c>
      <c r="G5430" s="1360"/>
      <c r="H5430" s="1362"/>
      <c r="I5430" s="1380"/>
      <c r="J5430" s="1381"/>
      <c r="K5430" s="1381"/>
      <c r="L5430" s="1458"/>
      <c r="M5430" s="1362"/>
      <c r="N5430" s="1362"/>
      <c r="O5430" s="1362"/>
      <c r="P5430" s="1359"/>
      <c r="Q5430" s="3387"/>
      <c r="R5430" s="2339"/>
    </row>
    <row r="5431" spans="1:22">
      <c r="B5431" s="1320"/>
      <c r="C5431" s="1764" t="s">
        <v>1755</v>
      </c>
      <c r="D5431" s="1461"/>
      <c r="E5431" s="2163" t="s">
        <v>1508</v>
      </c>
      <c r="F5431" s="1648" t="s">
        <v>1524</v>
      </c>
      <c r="G5431" s="1990"/>
      <c r="H5431" s="1456">
        <v>0.35</v>
      </c>
      <c r="I5431" s="1444"/>
      <c r="J5431" s="1388"/>
      <c r="K5431" s="1445"/>
      <c r="L5431" s="1457"/>
      <c r="M5431" s="1447"/>
      <c r="N5431" s="1447">
        <f>SUM(N5432:N5433)</f>
        <v>37.510000000000005</v>
      </c>
      <c r="O5431" s="1447">
        <f>SUM(O5432:O5433)</f>
        <v>13.128499999999999</v>
      </c>
      <c r="P5431" s="1447">
        <f>SUM(P5432:P5433)</f>
        <v>13.141628499999999</v>
      </c>
      <c r="Q5431" s="3391"/>
      <c r="R5431" s="2337"/>
    </row>
    <row r="5432" spans="1:22">
      <c r="B5432" s="1320"/>
      <c r="C5432" s="88"/>
      <c r="D5432" s="1430" t="s">
        <v>1067</v>
      </c>
      <c r="E5432" s="1857" t="s">
        <v>1508</v>
      </c>
      <c r="F5432" s="1403" t="s">
        <v>5</v>
      </c>
      <c r="G5432" s="1991">
        <v>1</v>
      </c>
      <c r="H5432" s="1937">
        <f>G5432*H5431</f>
        <v>0.35</v>
      </c>
      <c r="I5432" s="1286"/>
      <c r="J5432" s="198"/>
      <c r="K5432" s="1307">
        <f>H5432*K5419</f>
        <v>0.35034999999999994</v>
      </c>
      <c r="L5432" s="1335">
        <f t="shared" ref="L5432:L5433" si="696">K5432*$K$5386</f>
        <v>0</v>
      </c>
      <c r="M5432" s="1302">
        <v>18.28</v>
      </c>
      <c r="N5432" s="1718">
        <f>G5432*M5432</f>
        <v>18.28</v>
      </c>
      <c r="O5432" s="1290">
        <f>H5432*M5432</f>
        <v>6.3979999999999997</v>
      </c>
      <c r="P5432" s="1332">
        <f>M5432*K5432</f>
        <v>6.4043979999999996</v>
      </c>
      <c r="Q5432" s="3391"/>
      <c r="R5432" s="2337"/>
    </row>
    <row r="5433" spans="1:22">
      <c r="B5433" s="1320"/>
      <c r="C5433" s="88"/>
      <c r="D5433" s="1430" t="s">
        <v>1077</v>
      </c>
      <c r="E5433" s="1857" t="s">
        <v>1508</v>
      </c>
      <c r="F5433" s="1403" t="s">
        <v>37</v>
      </c>
      <c r="G5433" s="1991">
        <v>1</v>
      </c>
      <c r="H5433" s="1937">
        <f>G5433*H5431</f>
        <v>0.35</v>
      </c>
      <c r="I5433" s="197"/>
      <c r="J5433" s="198"/>
      <c r="K5433" s="1307">
        <f>H5433*K5419</f>
        <v>0.35034999999999994</v>
      </c>
      <c r="L5433" s="1335">
        <f t="shared" si="696"/>
        <v>0</v>
      </c>
      <c r="M5433" s="1302">
        <v>19.23</v>
      </c>
      <c r="N5433" s="1718">
        <f>G5433*M5433</f>
        <v>19.23</v>
      </c>
      <c r="O5433" s="1290">
        <f>H5433*M5433</f>
        <v>6.7305000000000001</v>
      </c>
      <c r="P5433" s="1332">
        <f>M5433*K5433</f>
        <v>6.737230499999999</v>
      </c>
      <c r="Q5433" s="3391"/>
      <c r="R5433" s="2337"/>
    </row>
    <row r="5434" spans="1:22" s="16" customFormat="1">
      <c r="A5434" s="1320"/>
      <c r="B5434" s="22"/>
      <c r="C5434" s="1320"/>
      <c r="D5434" s="1373"/>
      <c r="E5434" s="2123"/>
      <c r="F5434" s="1374" t="s">
        <v>3</v>
      </c>
      <c r="G5434" s="1375"/>
      <c r="H5434" s="1376"/>
      <c r="I5434" s="1382"/>
      <c r="J5434" s="1383"/>
      <c r="K5434" s="1383" t="str">
        <f>IF(COUNT(I5434)=0,"",(I5434*J5434))</f>
        <v/>
      </c>
      <c r="L5434" s="1413"/>
      <c r="M5434" s="1376"/>
      <c r="N5434" s="1376"/>
      <c r="O5434" s="1376"/>
      <c r="P5434" s="1373"/>
      <c r="Q5434" s="3387"/>
      <c r="R5434" s="1296"/>
    </row>
    <row r="5435" spans="1:22" s="16" customFormat="1">
      <c r="A5435" s="1321"/>
      <c r="B5435" s="1295"/>
      <c r="C5435" s="1321"/>
      <c r="D5435" s="1377"/>
      <c r="E5435" s="2124"/>
      <c r="F5435" s="1378"/>
      <c r="G5435" s="1378"/>
      <c r="H5435" s="1379"/>
      <c r="I5435" s="1299"/>
      <c r="J5435" s="1300"/>
      <c r="K5435" s="1307"/>
      <c r="L5435" s="1335"/>
      <c r="M5435" s="1302"/>
      <c r="N5435" s="1700"/>
      <c r="O5435" s="1290"/>
      <c r="P5435" s="1332"/>
      <c r="Q5435" s="3391"/>
      <c r="R5435" s="1296"/>
    </row>
    <row r="5436" spans="1:22" s="16" customFormat="1">
      <c r="A5436" s="1321"/>
      <c r="B5436" s="1295"/>
      <c r="C5436" s="1321"/>
      <c r="D5436" s="1377"/>
      <c r="E5436" s="2124"/>
      <c r="F5436" s="1378"/>
      <c r="G5436" s="1378"/>
      <c r="H5436" s="1379"/>
      <c r="I5436" s="1299"/>
      <c r="J5436" s="1300"/>
      <c r="K5436" s="1307"/>
      <c r="L5436" s="1335"/>
      <c r="M5436" s="1302"/>
      <c r="N5436" s="1700"/>
      <c r="O5436" s="1290"/>
      <c r="P5436" s="1333"/>
      <c r="Q5436" s="3391"/>
      <c r="R5436" s="1296"/>
    </row>
    <row r="5437" spans="1:22" s="16" customFormat="1">
      <c r="A5437" s="1042"/>
      <c r="B5437" s="1765"/>
      <c r="C5437" s="223"/>
      <c r="D5437" s="1373"/>
      <c r="E5437" s="2161"/>
      <c r="F5437" s="1678"/>
      <c r="G5437" s="1678"/>
      <c r="H5437" s="1376"/>
      <c r="I5437" s="1299"/>
      <c r="J5437" s="1300"/>
      <c r="K5437" s="1307"/>
      <c r="L5437" s="1335"/>
      <c r="M5437" s="1302"/>
      <c r="N5437" s="1700"/>
      <c r="O5437" s="1290"/>
      <c r="P5437" s="1332"/>
      <c r="Q5437" s="3391"/>
      <c r="R5437" s="1296"/>
    </row>
    <row r="5438" spans="1:22" s="16" customFormat="1" ht="15" customHeight="1">
      <c r="A5438" s="18" t="s">
        <v>3764</v>
      </c>
      <c r="B5438" s="4325" t="s">
        <v>2841</v>
      </c>
      <c r="C5438" s="4143"/>
      <c r="D5438" s="4368"/>
      <c r="E5438" s="4329" t="s">
        <v>1507</v>
      </c>
      <c r="F5438" s="4336" t="s">
        <v>2842</v>
      </c>
      <c r="G5438" s="4331" t="s">
        <v>1568</v>
      </c>
      <c r="H5438" s="4331" t="s">
        <v>1574</v>
      </c>
      <c r="I5438" s="1572" t="s">
        <v>1559</v>
      </c>
      <c r="J5438" s="1294" t="s">
        <v>1560</v>
      </c>
      <c r="K5438" s="1294" t="s">
        <v>1569</v>
      </c>
      <c r="L5438" s="4333" t="s">
        <v>3765</v>
      </c>
      <c r="M5438" s="4335" t="s">
        <v>1571</v>
      </c>
      <c r="N5438" s="4323" t="s">
        <v>1776</v>
      </c>
      <c r="O5438" s="4141" t="s">
        <v>1563</v>
      </c>
      <c r="P5438" s="1336" t="s">
        <v>1562</v>
      </c>
      <c r="Q5438" s="3389"/>
      <c r="R5438" s="1699" t="s">
        <v>1327</v>
      </c>
    </row>
    <row r="5439" spans="1:22" s="16" customFormat="1">
      <c r="A5439" s="1662" t="s">
        <v>3854</v>
      </c>
      <c r="B5439" s="4326"/>
      <c r="C5439" s="4143"/>
      <c r="D5439" s="4328"/>
      <c r="E5439" s="4330"/>
      <c r="F5439" s="4336"/>
      <c r="G5439" s="4332"/>
      <c r="H5439" s="4332"/>
      <c r="I5439" s="1345">
        <v>91</v>
      </c>
      <c r="J5439" s="1307">
        <v>1.0999999999999999E-2</v>
      </c>
      <c r="K5439" s="1297">
        <f>I5439*J5439</f>
        <v>1.0009999999999999</v>
      </c>
      <c r="L5439" s="4334"/>
      <c r="M5439" s="4335"/>
      <c r="N5439" s="4324"/>
      <c r="O5439" s="1298">
        <f>O5441+O5442+O5449</f>
        <v>35.842505160000009</v>
      </c>
      <c r="P5439" s="1337">
        <f>O5439*K5439</f>
        <v>35.878347665160007</v>
      </c>
      <c r="Q5439" s="3390"/>
      <c r="R5439" s="1721">
        <f>P5441+P5442+P5449</f>
        <v>35.87834766516</v>
      </c>
    </row>
    <row r="5440" spans="1:22" s="16" customFormat="1">
      <c r="A5440"/>
      <c r="B5440" s="1949"/>
      <c r="C5440" s="1327"/>
      <c r="D5440" s="1400"/>
      <c r="E5440" s="2121"/>
      <c r="F5440" s="1389" t="s">
        <v>1</v>
      </c>
      <c r="G5440" s="1389"/>
      <c r="H5440" s="1369"/>
      <c r="I5440" s="1409"/>
      <c r="J5440" s="1390"/>
      <c r="K5440" s="1391"/>
      <c r="L5440" s="1559"/>
      <c r="M5440" s="1369"/>
      <c r="N5440" s="1369"/>
      <c r="O5440" s="1369"/>
      <c r="P5440" s="1392"/>
      <c r="Q5440" s="3395"/>
      <c r="R5440" s="1296"/>
    </row>
    <row r="5441" spans="1:18" s="16" customFormat="1">
      <c r="A5441"/>
      <c r="B5441" s="1599"/>
      <c r="C5441" s="1320"/>
      <c r="D5441" s="1610" t="s">
        <v>1138</v>
      </c>
      <c r="E5441" s="2154" t="s">
        <v>1504</v>
      </c>
      <c r="F5441" s="1598" t="s">
        <v>2044</v>
      </c>
      <c r="G5441" s="1612">
        <v>43.2</v>
      </c>
      <c r="H5441" s="1390"/>
      <c r="I5441" s="1289"/>
      <c r="J5441" s="8"/>
      <c r="K5441" s="1307">
        <f>G5441*K5439</f>
        <v>43.243200000000002</v>
      </c>
      <c r="L5441" s="1335">
        <f t="shared" ref="L5441" si="697">K5441*$K$5386</f>
        <v>0</v>
      </c>
      <c r="M5441" s="1302">
        <v>0.32</v>
      </c>
      <c r="N5441" s="1700"/>
      <c r="O5441" s="1290">
        <f>G5441*M5441</f>
        <v>13.824000000000002</v>
      </c>
      <c r="P5441" s="1332">
        <f>M5441*K5441</f>
        <v>13.837824000000001</v>
      </c>
      <c r="Q5441" s="3391"/>
      <c r="R5441" s="1296"/>
    </row>
    <row r="5442" spans="1:18" s="16" customFormat="1">
      <c r="A5442"/>
      <c r="B5442" s="1320"/>
      <c r="C5442" s="2020" t="s">
        <v>1137</v>
      </c>
      <c r="D5442" s="1585"/>
      <c r="E5442" s="2137" t="s">
        <v>1517</v>
      </c>
      <c r="F5442" s="1319" t="s">
        <v>2037</v>
      </c>
      <c r="G5442" s="1353"/>
      <c r="H5442" s="1456">
        <v>3.1E-2</v>
      </c>
      <c r="I5442" s="1444"/>
      <c r="J5442" s="1388"/>
      <c r="K5442" s="1445"/>
      <c r="L5442" s="1457"/>
      <c r="M5442" s="1447"/>
      <c r="N5442" s="1447">
        <f>SUM(N5443:N5446)</f>
        <v>44.774360000000001</v>
      </c>
      <c r="O5442" s="1447">
        <f>SUM(O5443:O5446)</f>
        <v>1.3880051600000001</v>
      </c>
      <c r="P5442" s="1446">
        <f>SUM(P5443:P5446)</f>
        <v>1.38939316516</v>
      </c>
      <c r="Q5442" s="3391"/>
      <c r="R5442" s="2337"/>
    </row>
    <row r="5443" spans="1:18" s="16" customFormat="1">
      <c r="A5443"/>
      <c r="B5443" s="1320"/>
      <c r="C5443" s="1511"/>
      <c r="D5443" s="1400" t="s">
        <v>1069</v>
      </c>
      <c r="E5443" s="1856" t="s">
        <v>1517</v>
      </c>
      <c r="F5443" s="1397" t="s">
        <v>1578</v>
      </c>
      <c r="G5443" s="1416">
        <v>0.25800000000000001</v>
      </c>
      <c r="H5443" s="1399">
        <f>G5443*H5442</f>
        <v>7.9979999999999999E-3</v>
      </c>
      <c r="I5443" s="197"/>
      <c r="J5443" s="198"/>
      <c r="K5443" s="1732">
        <f>H5443*K5439</f>
        <v>8.0059979999999985E-3</v>
      </c>
      <c r="L5443" s="1335">
        <f t="shared" ref="L5443:L5446" si="698">K5443*$K$5386</f>
        <v>0</v>
      </c>
      <c r="M5443" s="1302">
        <v>0.55000000000000004</v>
      </c>
      <c r="N5443" s="1718">
        <f>G5443*M5443</f>
        <v>0.14190000000000003</v>
      </c>
      <c r="O5443" s="1290">
        <f>H5443*M5443</f>
        <v>4.3989000000000007E-3</v>
      </c>
      <c r="P5443" s="1332">
        <f>M5443*K5443</f>
        <v>4.4032988999999998E-3</v>
      </c>
      <c r="Q5443" s="3391"/>
      <c r="R5443" s="2337"/>
    </row>
    <row r="5444" spans="1:18" s="16" customFormat="1">
      <c r="A5444"/>
      <c r="B5444" s="1320"/>
      <c r="C5444" s="595"/>
      <c r="D5444" s="1400" t="s">
        <v>1394</v>
      </c>
      <c r="E5444" s="1856" t="s">
        <v>1577</v>
      </c>
      <c r="F5444" s="1397" t="s">
        <v>1579</v>
      </c>
      <c r="G5444" s="1416">
        <v>0.19600000000000001</v>
      </c>
      <c r="H5444" s="1399">
        <f>G5444*H5442</f>
        <v>6.0759999999999998E-3</v>
      </c>
      <c r="I5444" s="197"/>
      <c r="J5444" s="198"/>
      <c r="K5444" s="1732">
        <f>H5444*K5439</f>
        <v>6.0820759999999988E-3</v>
      </c>
      <c r="L5444" s="1335">
        <f t="shared" si="698"/>
        <v>0</v>
      </c>
      <c r="M5444" s="1302">
        <v>92.54</v>
      </c>
      <c r="N5444" s="1718">
        <f>G5444*M5444</f>
        <v>18.137840000000001</v>
      </c>
      <c r="O5444" s="1290">
        <f>H5444*M5444</f>
        <v>0.56227304</v>
      </c>
      <c r="P5444" s="1332">
        <f>M5444*K5444</f>
        <v>0.5628353130399999</v>
      </c>
      <c r="Q5444" s="3391"/>
      <c r="R5444" s="2337"/>
    </row>
    <row r="5445" spans="1:18" s="16" customFormat="1">
      <c r="A5445"/>
      <c r="B5445" s="1320"/>
      <c r="C5445" s="595"/>
      <c r="D5445" s="1400" t="s">
        <v>1576</v>
      </c>
      <c r="E5445" s="1856" t="s">
        <v>1517</v>
      </c>
      <c r="F5445" s="1397" t="s">
        <v>1580</v>
      </c>
      <c r="G5445" s="1416">
        <v>1.1739999999999999</v>
      </c>
      <c r="H5445" s="1399">
        <f>G5445*H5442</f>
        <v>3.6393999999999996E-2</v>
      </c>
      <c r="I5445" s="197"/>
      <c r="J5445" s="198"/>
      <c r="K5445" s="1732">
        <f>H5445*K5439</f>
        <v>3.6430393999999991E-2</v>
      </c>
      <c r="L5445" s="1335">
        <f t="shared" si="698"/>
        <v>0</v>
      </c>
      <c r="M5445" s="1302">
        <v>6.53</v>
      </c>
      <c r="N5445" s="1718">
        <f>G5445*M5445</f>
        <v>7.66622</v>
      </c>
      <c r="O5445" s="1290">
        <f>H5445*M5445</f>
        <v>0.23765281999999999</v>
      </c>
      <c r="P5445" s="1332">
        <f>M5445*K5445</f>
        <v>0.23789047281999995</v>
      </c>
      <c r="Q5445" s="3391"/>
      <c r="R5445" s="2337"/>
    </row>
    <row r="5446" spans="1:18" s="16" customFormat="1">
      <c r="A5446"/>
      <c r="B5446" s="1320"/>
      <c r="C5446" s="595"/>
      <c r="D5446" s="1404" t="s">
        <v>1067</v>
      </c>
      <c r="E5446" s="1857" t="s">
        <v>1508</v>
      </c>
      <c r="F5446" s="1406" t="s">
        <v>1512</v>
      </c>
      <c r="G5446" s="1407">
        <v>1.03</v>
      </c>
      <c r="H5446" s="1408">
        <f>G5446*H5442</f>
        <v>3.193E-2</v>
      </c>
      <c r="I5446" s="197"/>
      <c r="J5446" s="198"/>
      <c r="K5446" s="1732">
        <f>H5446*K5439</f>
        <v>3.196193E-2</v>
      </c>
      <c r="L5446" s="1335">
        <f t="shared" si="698"/>
        <v>0</v>
      </c>
      <c r="M5446" s="1302">
        <v>18.28</v>
      </c>
      <c r="N5446" s="1718">
        <f>G5446*M5446</f>
        <v>18.828400000000002</v>
      </c>
      <c r="O5446" s="1290">
        <f>H5446*M5446</f>
        <v>0.58368039999999999</v>
      </c>
      <c r="P5446" s="1332">
        <f>M5446*K5446</f>
        <v>0.5842640804</v>
      </c>
      <c r="Q5446" s="3391"/>
      <c r="R5446" s="2337"/>
    </row>
    <row r="5447" spans="1:18" s="16" customFormat="1">
      <c r="A5447"/>
      <c r="B5447" s="1320"/>
      <c r="C5447" s="88"/>
      <c r="D5447" s="1367"/>
      <c r="E5447" s="2121"/>
      <c r="F5447" s="1436"/>
      <c r="G5447" s="1436"/>
      <c r="H5447" s="1369"/>
      <c r="I5447" s="1299" t="str">
        <f t="shared" ref="I5447" ca="1" si="699">IF(COUNT(H5447:O5447)=0,"",(SUM(H5447:O5447)/COUNT(H5447:O5447)))</f>
        <v/>
      </c>
      <c r="J5447" s="1300"/>
      <c r="K5447" s="1307" t="str">
        <f t="shared" ref="K5447" ca="1" si="700">IF(COUNT(I5447)=0,"",(I5447*J5447))</f>
        <v/>
      </c>
      <c r="L5447" s="1335"/>
      <c r="M5447" s="1302"/>
      <c r="N5447" s="1700"/>
      <c r="O5447" s="1290"/>
      <c r="P5447" s="1332"/>
      <c r="Q5447" s="3391"/>
      <c r="R5447" s="1296"/>
    </row>
    <row r="5448" spans="1:18" s="16" customFormat="1">
      <c r="A5448"/>
      <c r="B5448" s="1320"/>
      <c r="C5448" s="88"/>
      <c r="D5448" s="1359"/>
      <c r="E5448" s="1858"/>
      <c r="F5448" s="1360" t="s">
        <v>2</v>
      </c>
      <c r="G5448" s="1360"/>
      <c r="H5448" s="1362"/>
      <c r="I5448" s="1380"/>
      <c r="J5448" s="1381"/>
      <c r="K5448" s="1381"/>
      <c r="L5448" s="1458"/>
      <c r="M5448" s="1362"/>
      <c r="N5448" s="1362"/>
      <c r="O5448" s="1362"/>
      <c r="P5448" s="1359"/>
      <c r="Q5448" s="3387"/>
      <c r="R5448" s="2339"/>
    </row>
    <row r="5449" spans="1:18" s="16" customFormat="1">
      <c r="A5449"/>
      <c r="B5449" s="1320"/>
      <c r="C5449" s="1764" t="s">
        <v>1755</v>
      </c>
      <c r="D5449" s="1461"/>
      <c r="E5449" s="2163" t="s">
        <v>1508</v>
      </c>
      <c r="F5449" s="1648" t="s">
        <v>1524</v>
      </c>
      <c r="G5449" s="1990"/>
      <c r="H5449" s="1456">
        <v>0.55000000000000004</v>
      </c>
      <c r="I5449" s="1444"/>
      <c r="J5449" s="1388"/>
      <c r="K5449" s="1445"/>
      <c r="L5449" s="1457"/>
      <c r="M5449" s="1447"/>
      <c r="N5449" s="1447">
        <f>SUM(N5450:N5451)</f>
        <v>37.510000000000005</v>
      </c>
      <c r="O5449" s="1447">
        <f>SUM(O5450:O5451)</f>
        <v>20.630500000000005</v>
      </c>
      <c r="P5449" s="1447">
        <f>SUM(P5450:P5451)</f>
        <v>20.651130500000001</v>
      </c>
      <c r="Q5449" s="3391"/>
      <c r="R5449" s="2337"/>
    </row>
    <row r="5450" spans="1:18" s="16" customFormat="1">
      <c r="A5450"/>
      <c r="B5450" s="1320"/>
      <c r="C5450" s="88"/>
      <c r="D5450" s="1430" t="s">
        <v>1067</v>
      </c>
      <c r="E5450" s="1857" t="s">
        <v>1508</v>
      </c>
      <c r="F5450" s="1403" t="s">
        <v>5</v>
      </c>
      <c r="G5450" s="1991">
        <v>1</v>
      </c>
      <c r="H5450" s="1408">
        <f>G5450*H5449</f>
        <v>0.55000000000000004</v>
      </c>
      <c r="I5450" s="1286"/>
      <c r="J5450" s="198"/>
      <c r="K5450" s="1307">
        <f>H5450*K5439</f>
        <v>0.55054999999999998</v>
      </c>
      <c r="L5450" s="1335">
        <f t="shared" ref="L5450:L5451" si="701">K5450*$K$5386</f>
        <v>0</v>
      </c>
      <c r="M5450" s="1302">
        <v>18.28</v>
      </c>
      <c r="N5450" s="1718">
        <f>G5450*M5450</f>
        <v>18.28</v>
      </c>
      <c r="O5450" s="1290">
        <f>H5450*M5450</f>
        <v>10.054000000000002</v>
      </c>
      <c r="P5450" s="1332">
        <f>M5450*K5450</f>
        <v>10.064054</v>
      </c>
      <c r="Q5450" s="3391"/>
      <c r="R5450" s="2337"/>
    </row>
    <row r="5451" spans="1:18" s="16" customFormat="1">
      <c r="A5451"/>
      <c r="B5451" s="1320"/>
      <c r="C5451" s="88"/>
      <c r="D5451" s="1430" t="s">
        <v>1077</v>
      </c>
      <c r="E5451" s="1857" t="s">
        <v>1508</v>
      </c>
      <c r="F5451" s="1403" t="s">
        <v>37</v>
      </c>
      <c r="G5451" s="1991">
        <v>1</v>
      </c>
      <c r="H5451" s="1408">
        <f>G5451*H5449</f>
        <v>0.55000000000000004</v>
      </c>
      <c r="I5451" s="197"/>
      <c r="J5451" s="198"/>
      <c r="K5451" s="1307">
        <f>H5451*K5439</f>
        <v>0.55054999999999998</v>
      </c>
      <c r="L5451" s="1335">
        <f t="shared" si="701"/>
        <v>0</v>
      </c>
      <c r="M5451" s="1302">
        <v>19.23</v>
      </c>
      <c r="N5451" s="1718">
        <f>G5451*M5451</f>
        <v>19.23</v>
      </c>
      <c r="O5451" s="1290">
        <f>H5451*M5451</f>
        <v>10.576500000000001</v>
      </c>
      <c r="P5451" s="1332">
        <f>M5451*K5451</f>
        <v>10.5870765</v>
      </c>
      <c r="Q5451" s="3391"/>
      <c r="R5451" s="2337"/>
    </row>
    <row r="5452" spans="1:18" s="16" customFormat="1">
      <c r="A5452"/>
      <c r="B5452" s="1320"/>
      <c r="C5452" s="595"/>
      <c r="D5452" s="1359"/>
      <c r="E5452" s="1858"/>
      <c r="F5452" s="1361"/>
      <c r="G5452" s="1361"/>
      <c r="H5452" s="1466"/>
      <c r="I5452" s="1299"/>
      <c r="J5452" s="1300"/>
      <c r="K5452" s="1307" t="str">
        <f>IF(COUNT(I5452)=0,"",(I5452*J5452))</f>
        <v/>
      </c>
      <c r="L5452" s="1335"/>
      <c r="M5452" s="1302"/>
      <c r="N5452" s="1700"/>
      <c r="O5452" s="1290"/>
      <c r="P5452" s="1332"/>
      <c r="Q5452" s="3391"/>
      <c r="R5452" s="1296"/>
    </row>
    <row r="5453" spans="1:18" s="16" customFormat="1">
      <c r="A5453"/>
      <c r="B5453" s="1320"/>
      <c r="C5453" s="595"/>
      <c r="D5453" s="1373"/>
      <c r="E5453" s="2123"/>
      <c r="F5453" s="1374" t="s">
        <v>3</v>
      </c>
      <c r="G5453" s="1375"/>
      <c r="H5453" s="1376"/>
      <c r="I5453" s="1382"/>
      <c r="J5453" s="1383"/>
      <c r="K5453" s="1383" t="str">
        <f>IF(COUNT(I5453)=0,"",(I5453*J5453))</f>
        <v/>
      </c>
      <c r="L5453" s="1413"/>
      <c r="M5453" s="1376"/>
      <c r="N5453" s="1376"/>
      <c r="O5453" s="1376"/>
      <c r="P5453" s="1373"/>
      <c r="Q5453" s="3387"/>
      <c r="R5453" s="1296"/>
    </row>
    <row r="5454" spans="1:18" s="16" customFormat="1">
      <c r="A5454"/>
      <c r="B5454" s="1321"/>
      <c r="C5454" s="2021"/>
      <c r="D5454" s="1377"/>
      <c r="E5454" s="2124"/>
      <c r="F5454" s="1378"/>
      <c r="G5454" s="1378"/>
      <c r="H5454" s="1379"/>
      <c r="I5454" s="1299"/>
      <c r="J5454" s="1300"/>
      <c r="K5454" s="1307"/>
      <c r="L5454" s="1335"/>
      <c r="M5454" s="1302"/>
      <c r="N5454" s="1700"/>
      <c r="O5454" s="1290"/>
      <c r="P5454" s="1332"/>
      <c r="Q5454" s="3391"/>
      <c r="R5454" s="1296"/>
    </row>
    <row r="5455" spans="1:18" s="16" customFormat="1">
      <c r="A5455"/>
      <c r="B5455" s="1321"/>
      <c r="C5455" s="2021"/>
      <c r="D5455" s="1377"/>
      <c r="E5455" s="2124"/>
      <c r="F5455" s="1378"/>
      <c r="G5455" s="1378"/>
      <c r="H5455" s="1379"/>
      <c r="I5455" s="1299"/>
      <c r="J5455" s="1300"/>
      <c r="K5455" s="1307"/>
      <c r="L5455" s="1335"/>
      <c r="M5455" s="1302"/>
      <c r="N5455" s="1700"/>
      <c r="O5455" s="1290"/>
      <c r="P5455" s="1333"/>
      <c r="Q5455" s="3391"/>
      <c r="R5455" s="1296"/>
    </row>
    <row r="5456" spans="1:18" s="16" customFormat="1">
      <c r="A5456"/>
      <c r="B5456" s="225"/>
      <c r="C5456" s="581"/>
      <c r="D5456" s="1373"/>
      <c r="E5456" s="2161"/>
      <c r="F5456" s="1678"/>
      <c r="G5456" s="1678"/>
      <c r="H5456" s="1376"/>
      <c r="I5456" s="1299"/>
      <c r="J5456" s="1300"/>
      <c r="K5456" s="1307"/>
      <c r="L5456" s="1335"/>
      <c r="M5456" s="1302"/>
      <c r="N5456" s="1700"/>
      <c r="O5456" s="1290"/>
      <c r="P5456" s="1332"/>
      <c r="Q5456" s="3391"/>
      <c r="R5456" s="1296"/>
    </row>
    <row r="5457" spans="1:18" s="16" customFormat="1">
      <c r="A5457" s="18" t="s">
        <v>3764</v>
      </c>
      <c r="B5457" s="4370" t="s">
        <v>2038</v>
      </c>
      <c r="C5457" s="3972"/>
      <c r="D5457" s="4371"/>
      <c r="E5457" s="4329" t="s">
        <v>1527</v>
      </c>
      <c r="F5457" s="4336" t="s">
        <v>2039</v>
      </c>
      <c r="G5457" s="4331" t="s">
        <v>1568</v>
      </c>
      <c r="H5457" s="4331" t="s">
        <v>1574</v>
      </c>
      <c r="I5457" s="1572" t="s">
        <v>1559</v>
      </c>
      <c r="J5457" s="1294" t="s">
        <v>1560</v>
      </c>
      <c r="K5457" s="1294" t="s">
        <v>1569</v>
      </c>
      <c r="L5457" s="4333" t="s">
        <v>3765</v>
      </c>
      <c r="M5457" s="4335" t="s">
        <v>1571</v>
      </c>
      <c r="N5457" s="4323" t="s">
        <v>1776</v>
      </c>
      <c r="O5457" s="4141" t="s">
        <v>1563</v>
      </c>
      <c r="P5457" s="1336" t="s">
        <v>1562</v>
      </c>
      <c r="Q5457" s="3389"/>
      <c r="R5457" s="1699" t="s">
        <v>1327</v>
      </c>
    </row>
    <row r="5458" spans="1:18" s="16" customFormat="1">
      <c r="A5458" s="1662" t="s">
        <v>3854</v>
      </c>
      <c r="B5458" s="4326"/>
      <c r="C5458" s="4142"/>
      <c r="D5458" s="4328"/>
      <c r="E5458" s="4330"/>
      <c r="F5458" s="4336"/>
      <c r="G5458" s="4332"/>
      <c r="H5458" s="4332"/>
      <c r="I5458" s="1345">
        <v>10</v>
      </c>
      <c r="J5458" s="1307">
        <v>1.0999999999999999E-2</v>
      </c>
      <c r="K5458" s="1297">
        <f>I5458*J5458</f>
        <v>0.10999999999999999</v>
      </c>
      <c r="L5458" s="4334"/>
      <c r="M5458" s="4335"/>
      <c r="N5458" s="4324"/>
      <c r="O5458" s="1298">
        <f>O5460+O5461+O5469</f>
        <v>12.045761560000003</v>
      </c>
      <c r="P5458" s="1337">
        <f>O5458*K5458</f>
        <v>1.3250337716</v>
      </c>
      <c r="Q5458" s="3390"/>
      <c r="R5458" s="1721">
        <f>P5460+P5461+P5469</f>
        <v>1.3250337715999998</v>
      </c>
    </row>
    <row r="5459" spans="1:18" s="16" customFormat="1">
      <c r="A5459" s="19"/>
      <c r="B5459" s="3952"/>
      <c r="C5459" s="3981"/>
      <c r="D5459" s="1400"/>
      <c r="E5459" s="2121"/>
      <c r="F5459" s="1389" t="s">
        <v>1</v>
      </c>
      <c r="G5459" s="1389"/>
      <c r="H5459" s="1369"/>
      <c r="I5459" s="1409"/>
      <c r="J5459" s="1390"/>
      <c r="K5459" s="1391"/>
      <c r="L5459" s="1559"/>
      <c r="M5459" s="1369"/>
      <c r="N5459" s="1369"/>
      <c r="O5459" s="1369"/>
      <c r="P5459" s="1392"/>
      <c r="Q5459" s="3395"/>
      <c r="R5459" s="1296"/>
    </row>
    <row r="5460" spans="1:18" s="16" customFormat="1">
      <c r="A5460" s="19"/>
      <c r="B5460" s="1320"/>
      <c r="C5460" s="1512"/>
      <c r="D5460" s="1610" t="s">
        <v>1138</v>
      </c>
      <c r="E5460" s="2154" t="s">
        <v>1504</v>
      </c>
      <c r="F5460" s="1598" t="s">
        <v>2036</v>
      </c>
      <c r="G5460" s="1612">
        <v>5.4</v>
      </c>
      <c r="H5460" s="1390"/>
      <c r="I5460" s="1299"/>
      <c r="J5460" s="1300"/>
      <c r="K5460" s="1307">
        <f>G5460*K5458</f>
        <v>0.59399999999999997</v>
      </c>
      <c r="L5460" s="1335">
        <f t="shared" ref="L5460" si="702">K5460*$K$5386</f>
        <v>0</v>
      </c>
      <c r="M5460" s="1302">
        <v>0.32</v>
      </c>
      <c r="N5460" s="1700"/>
      <c r="O5460" s="1290">
        <f>G5460*M5460</f>
        <v>1.7280000000000002</v>
      </c>
      <c r="P5460" s="1332">
        <f>M5460*K5460</f>
        <v>0.19008</v>
      </c>
      <c r="Q5460" s="3391"/>
      <c r="R5460" s="1296"/>
    </row>
    <row r="5461" spans="1:18" s="16" customFormat="1">
      <c r="A5461" s="19"/>
      <c r="B5461" s="1042"/>
      <c r="C5461" s="4147" t="s">
        <v>1137</v>
      </c>
      <c r="D5461" s="1311"/>
      <c r="E5461" s="2137" t="s">
        <v>1517</v>
      </c>
      <c r="F5461" s="1319" t="s">
        <v>2037</v>
      </c>
      <c r="G5461" s="1353"/>
      <c r="H5461" s="1456">
        <v>2.1000000000000001E-2</v>
      </c>
      <c r="I5461" s="1444"/>
      <c r="J5461" s="1388"/>
      <c r="K5461" s="1445"/>
      <c r="L5461" s="1457"/>
      <c r="M5461" s="1447"/>
      <c r="N5461" s="1447">
        <f>SUM(N5462:N5465)</f>
        <v>44.774360000000001</v>
      </c>
      <c r="O5461" s="1447">
        <f>SUM(O5462:O5465)</f>
        <v>0.94026156000000016</v>
      </c>
      <c r="P5461" s="1446">
        <f>SUM(P5462:P5465)</f>
        <v>0.10342877160000001</v>
      </c>
      <c r="Q5461" s="3391"/>
      <c r="R5461" s="2337"/>
    </row>
    <row r="5462" spans="1:18" s="16" customFormat="1">
      <c r="A5462" s="19"/>
      <c r="B5462" s="1042"/>
      <c r="C5462" s="3981"/>
      <c r="D5462" s="1400" t="s">
        <v>1069</v>
      </c>
      <c r="E5462" s="1856" t="s">
        <v>1517</v>
      </c>
      <c r="F5462" s="1397" t="s">
        <v>1578</v>
      </c>
      <c r="G5462" s="1416">
        <v>0.25800000000000001</v>
      </c>
      <c r="H5462" s="1399">
        <f>G5462*$H$5239</f>
        <v>5.4180000000000001E-3</v>
      </c>
      <c r="I5462" s="197"/>
      <c r="J5462" s="198"/>
      <c r="K5462" s="1307">
        <f>H5462*K5458</f>
        <v>5.9597999999999997E-4</v>
      </c>
      <c r="L5462" s="1335">
        <f t="shared" ref="L5462:L5465" si="703">K5462*$K$5386</f>
        <v>0</v>
      </c>
      <c r="M5462" s="1302">
        <v>0.55000000000000004</v>
      </c>
      <c r="N5462" s="1718">
        <f>G5462*M5462</f>
        <v>0.14190000000000003</v>
      </c>
      <c r="O5462" s="1290">
        <f>H5462*M5462</f>
        <v>2.9799000000000002E-3</v>
      </c>
      <c r="P5462" s="1332">
        <f>M5462*K5462</f>
        <v>3.2778899999999999E-4</v>
      </c>
      <c r="Q5462" s="3391"/>
      <c r="R5462" s="2337"/>
    </row>
    <row r="5463" spans="1:18" s="16" customFormat="1">
      <c r="B5463" s="1042"/>
      <c r="C5463" s="595"/>
      <c r="D5463" s="1400" t="s">
        <v>1394</v>
      </c>
      <c r="E5463" s="1856" t="s">
        <v>1577</v>
      </c>
      <c r="F5463" s="1397" t="s">
        <v>1579</v>
      </c>
      <c r="G5463" s="1416">
        <v>0.19600000000000001</v>
      </c>
      <c r="H5463" s="1399">
        <f t="shared" ref="H5463:H5465" si="704">G5463*$H$5239</f>
        <v>4.1160000000000007E-3</v>
      </c>
      <c r="I5463" s="197"/>
      <c r="J5463" s="198"/>
      <c r="K5463" s="1307">
        <f>H5463*K5458</f>
        <v>4.5276000000000002E-4</v>
      </c>
      <c r="L5463" s="1335">
        <f t="shared" si="703"/>
        <v>0</v>
      </c>
      <c r="M5463" s="1302">
        <v>92.54</v>
      </c>
      <c r="N5463" s="1718">
        <f>G5463*M5463</f>
        <v>18.137840000000001</v>
      </c>
      <c r="O5463" s="1290">
        <f>H5463*M5463</f>
        <v>0.38089464000000012</v>
      </c>
      <c r="P5463" s="1332">
        <f>M5463*K5463</f>
        <v>4.1898410400000002E-2</v>
      </c>
      <c r="Q5463" s="3391"/>
      <c r="R5463" s="2337"/>
    </row>
    <row r="5464" spans="1:18" s="16" customFormat="1">
      <c r="B5464" s="1042"/>
      <c r="C5464" s="595"/>
      <c r="D5464" s="1400" t="s">
        <v>1576</v>
      </c>
      <c r="E5464" s="1856" t="s">
        <v>1517</v>
      </c>
      <c r="F5464" s="1397" t="s">
        <v>1580</v>
      </c>
      <c r="G5464" s="1416">
        <v>1.1739999999999999</v>
      </c>
      <c r="H5464" s="1399">
        <f t="shared" si="704"/>
        <v>2.4653999999999999E-2</v>
      </c>
      <c r="I5464" s="197"/>
      <c r="J5464" s="198"/>
      <c r="K5464" s="1307">
        <f>H5464*K5458</f>
        <v>2.7119399999999995E-3</v>
      </c>
      <c r="L5464" s="1335">
        <f t="shared" si="703"/>
        <v>0</v>
      </c>
      <c r="M5464" s="1302">
        <v>6.53</v>
      </c>
      <c r="N5464" s="1718">
        <f>G5464*M5464</f>
        <v>7.66622</v>
      </c>
      <c r="O5464" s="1290">
        <f>H5464*M5464</f>
        <v>0.16099062</v>
      </c>
      <c r="P5464" s="1332">
        <f>M5464*K5464</f>
        <v>1.7708968199999998E-2</v>
      </c>
      <c r="Q5464" s="3391"/>
      <c r="R5464" s="2337"/>
    </row>
    <row r="5465" spans="1:18" s="16" customFormat="1">
      <c r="B5465" s="1042"/>
      <c r="C5465" s="595"/>
      <c r="D5465" s="1404" t="s">
        <v>1067</v>
      </c>
      <c r="E5465" s="1857" t="s">
        <v>1508</v>
      </c>
      <c r="F5465" s="1406" t="s">
        <v>1512</v>
      </c>
      <c r="G5465" s="1407">
        <v>1.03</v>
      </c>
      <c r="H5465" s="1408">
        <f t="shared" si="704"/>
        <v>2.1630000000000003E-2</v>
      </c>
      <c r="I5465" s="197"/>
      <c r="J5465" s="198"/>
      <c r="K5465" s="1307">
        <f>H5465*K5458</f>
        <v>2.3793E-3</v>
      </c>
      <c r="L5465" s="1335">
        <f t="shared" si="703"/>
        <v>0</v>
      </c>
      <c r="M5465" s="1302">
        <v>18.28</v>
      </c>
      <c r="N5465" s="1718">
        <f>G5465*M5465</f>
        <v>18.828400000000002</v>
      </c>
      <c r="O5465" s="1290">
        <f>H5465*M5465</f>
        <v>0.39539640000000009</v>
      </c>
      <c r="P5465" s="1332">
        <f>M5465*K5465</f>
        <v>4.3493604000000005E-2</v>
      </c>
      <c r="Q5465" s="3391"/>
      <c r="R5465" s="2337"/>
    </row>
    <row r="5466" spans="1:18" s="16" customFormat="1">
      <c r="B5466" s="1320"/>
      <c r="C5466" s="88"/>
      <c r="D5466" s="1672"/>
      <c r="E5466" s="2160"/>
      <c r="F5466" s="1676"/>
      <c r="G5466" s="1676"/>
      <c r="H5466" s="1674"/>
      <c r="I5466" s="1299"/>
      <c r="J5466" s="1300"/>
      <c r="K5466" s="1307"/>
      <c r="L5466" s="1335"/>
      <c r="M5466" s="1302"/>
      <c r="N5466" s="1700"/>
      <c r="O5466" s="1290"/>
      <c r="P5466" s="1332"/>
      <c r="Q5466" s="3391"/>
      <c r="R5466" s="1296"/>
    </row>
    <row r="5467" spans="1:18" s="16" customFormat="1">
      <c r="B5467" s="1320"/>
      <c r="C5467" s="88"/>
      <c r="D5467" s="1672"/>
      <c r="E5467" s="2160"/>
      <c r="F5467" s="1675"/>
      <c r="G5467" s="1675"/>
      <c r="H5467" s="1674"/>
      <c r="I5467" s="1299" t="str">
        <f t="shared" ref="I5467" ca="1" si="705">IF(COUNT(H5467:O5467)=0,"",(SUM(H5467:O5467)/COUNT(H5467:O5467)))</f>
        <v/>
      </c>
      <c r="J5467" s="1300"/>
      <c r="K5467" s="1307" t="str">
        <f t="shared" ref="K5467" ca="1" si="706">IF(COUNT(I5467)=0,"",(I5467*J5467))</f>
        <v/>
      </c>
      <c r="L5467" s="1335"/>
      <c r="M5467" s="1302"/>
      <c r="N5467" s="1700"/>
      <c r="O5467" s="1290"/>
      <c r="P5467" s="1332"/>
      <c r="Q5467" s="3391"/>
      <c r="R5467" s="1296"/>
    </row>
    <row r="5468" spans="1:18" s="16" customFormat="1">
      <c r="B5468" s="1320"/>
      <c r="C5468" s="88"/>
      <c r="D5468" s="1359"/>
      <c r="E5468" s="1858"/>
      <c r="F5468" s="1360" t="s">
        <v>2</v>
      </c>
      <c r="G5468" s="1360"/>
      <c r="H5468" s="1362"/>
      <c r="I5468" s="1380"/>
      <c r="J5468" s="1381"/>
      <c r="K5468" s="1381"/>
      <c r="L5468" s="1458"/>
      <c r="M5468" s="1362"/>
      <c r="N5468" s="1362"/>
      <c r="O5468" s="1362"/>
      <c r="P5468" s="1359"/>
      <c r="Q5468" s="3387"/>
      <c r="R5468" s="2339"/>
    </row>
    <row r="5469" spans="1:18" s="16" customFormat="1">
      <c r="B5469" s="1042"/>
      <c r="C5469" s="1764" t="s">
        <v>1755</v>
      </c>
      <c r="D5469" s="1461"/>
      <c r="E5469" s="2163" t="s">
        <v>1508</v>
      </c>
      <c r="F5469" s="1648" t="s">
        <v>1524</v>
      </c>
      <c r="G5469" s="1990"/>
      <c r="H5469" s="1456">
        <v>0.25</v>
      </c>
      <c r="I5469" s="1444"/>
      <c r="J5469" s="1388"/>
      <c r="K5469" s="1445"/>
      <c r="L5469" s="1457"/>
      <c r="M5469" s="1447"/>
      <c r="N5469" s="1447">
        <f>SUM(N5470:N5471)</f>
        <v>37.510000000000005</v>
      </c>
      <c r="O5469" s="1447">
        <f>SUM(O5470:O5471)</f>
        <v>9.3775000000000013</v>
      </c>
      <c r="P5469" s="1447">
        <f>SUM(P5470:P5471)</f>
        <v>1.0315249999999998</v>
      </c>
      <c r="Q5469" s="3391"/>
      <c r="R5469" s="2337"/>
    </row>
    <row r="5470" spans="1:18" s="16" customFormat="1">
      <c r="B5470" s="1042"/>
      <c r="C5470" s="88"/>
      <c r="D5470" s="1430" t="s">
        <v>1067</v>
      </c>
      <c r="E5470" s="1857" t="s">
        <v>1508</v>
      </c>
      <c r="F5470" s="1403" t="s">
        <v>5</v>
      </c>
      <c r="G5470" s="1991">
        <v>1</v>
      </c>
      <c r="H5470" s="1408">
        <f>G5470*$H$5227</f>
        <v>0.25</v>
      </c>
      <c r="I5470" s="1286"/>
      <c r="J5470" s="198"/>
      <c r="K5470" s="1307">
        <f>H5470*K5458</f>
        <v>2.7499999999999997E-2</v>
      </c>
      <c r="L5470" s="1335">
        <f t="shared" ref="L5470:L5471" si="707">K5470*$K$5386</f>
        <v>0</v>
      </c>
      <c r="M5470" s="1302">
        <v>18.28</v>
      </c>
      <c r="N5470" s="1718">
        <f>G5470*M5470</f>
        <v>18.28</v>
      </c>
      <c r="O5470" s="1290">
        <f>H5470*M5470</f>
        <v>4.57</v>
      </c>
      <c r="P5470" s="1332">
        <f>M5470*K5470</f>
        <v>0.50269999999999992</v>
      </c>
      <c r="Q5470" s="3391"/>
      <c r="R5470" s="2337"/>
    </row>
    <row r="5471" spans="1:18" s="16" customFormat="1">
      <c r="B5471" s="1042"/>
      <c r="C5471" s="88"/>
      <c r="D5471" s="1430" t="s">
        <v>1077</v>
      </c>
      <c r="E5471" s="1857" t="s">
        <v>1508</v>
      </c>
      <c r="F5471" s="1403" t="s">
        <v>37</v>
      </c>
      <c r="G5471" s="1991">
        <v>1</v>
      </c>
      <c r="H5471" s="1408">
        <f>G5471*$H$5227</f>
        <v>0.25</v>
      </c>
      <c r="I5471" s="197"/>
      <c r="J5471" s="198"/>
      <c r="K5471" s="1307">
        <f>H5471*K5458</f>
        <v>2.7499999999999997E-2</v>
      </c>
      <c r="L5471" s="1335">
        <f t="shared" si="707"/>
        <v>0</v>
      </c>
      <c r="M5471" s="1302">
        <v>19.23</v>
      </c>
      <c r="N5471" s="1718">
        <f>G5471*M5471</f>
        <v>19.23</v>
      </c>
      <c r="O5471" s="1290">
        <f>H5471*M5471</f>
        <v>4.8075000000000001</v>
      </c>
      <c r="P5471" s="1332">
        <f>M5471*K5471</f>
        <v>0.52882499999999999</v>
      </c>
      <c r="Q5471" s="3391"/>
      <c r="R5471" s="2337"/>
    </row>
    <row r="5472" spans="1:18" s="16" customFormat="1">
      <c r="B5472" s="1320"/>
      <c r="C5472" s="595"/>
      <c r="D5472" s="1359"/>
      <c r="E5472" s="1858"/>
      <c r="F5472" s="1361"/>
      <c r="G5472" s="1361"/>
      <c r="H5472" s="1466"/>
      <c r="I5472" s="1299"/>
      <c r="J5472" s="1300"/>
      <c r="K5472" s="1307" t="str">
        <f>IF(COUNT(I5472)=0,"",(I5472*J5472))</f>
        <v/>
      </c>
      <c r="L5472" s="1335"/>
      <c r="M5472" s="1302"/>
      <c r="N5472" s="1700"/>
      <c r="O5472" s="1290"/>
      <c r="P5472" s="1332"/>
      <c r="Q5472" s="3391"/>
      <c r="R5472" s="1296"/>
    </row>
    <row r="5473" spans="1:18" s="16" customFormat="1">
      <c r="B5473" s="1320"/>
      <c r="C5473" s="595"/>
      <c r="D5473" s="1373"/>
      <c r="E5473" s="2123"/>
      <c r="F5473" s="1374" t="s">
        <v>3</v>
      </c>
      <c r="G5473" s="1375"/>
      <c r="H5473" s="1376"/>
      <c r="I5473" s="1382"/>
      <c r="J5473" s="1383"/>
      <c r="K5473" s="1383" t="str">
        <f>IF(COUNT(I5473)=0,"",(I5473*J5473))</f>
        <v/>
      </c>
      <c r="L5473" s="1413"/>
      <c r="M5473" s="1376"/>
      <c r="N5473" s="1376"/>
      <c r="O5473" s="1376"/>
      <c r="P5473" s="1373"/>
      <c r="Q5473" s="3387"/>
      <c r="R5473" s="1296"/>
    </row>
    <row r="5474" spans="1:18" s="16" customFormat="1">
      <c r="B5474" s="1321"/>
      <c r="C5474" s="2021"/>
      <c r="D5474" s="1377"/>
      <c r="E5474" s="2124"/>
      <c r="F5474" s="1378"/>
      <c r="G5474" s="1378"/>
      <c r="H5474" s="1379"/>
      <c r="I5474" s="1299"/>
      <c r="J5474" s="1300"/>
      <c r="K5474" s="1307"/>
      <c r="L5474" s="1335"/>
      <c r="M5474" s="1302"/>
      <c r="N5474" s="1700"/>
      <c r="O5474" s="1290"/>
      <c r="P5474" s="1332"/>
      <c r="Q5474" s="3391"/>
      <c r="R5474" s="1296"/>
    </row>
    <row r="5475" spans="1:18" s="16" customFormat="1">
      <c r="B5475" s="2108"/>
      <c r="C5475" s="2021"/>
      <c r="D5475" s="4146"/>
      <c r="E5475" s="2124"/>
      <c r="F5475" s="1378"/>
      <c r="G5475" s="1378"/>
      <c r="H5475" s="1379"/>
      <c r="I5475" s="1299"/>
      <c r="J5475" s="1300"/>
      <c r="K5475" s="1307"/>
      <c r="L5475" s="1335"/>
      <c r="M5475" s="1302"/>
      <c r="N5475" s="1700"/>
      <c r="O5475" s="1290"/>
      <c r="P5475" s="1333"/>
      <c r="Q5475" s="3391"/>
      <c r="R5475" s="1296"/>
    </row>
    <row r="5476" spans="1:18" s="16" customFormat="1">
      <c r="A5476" s="18" t="s">
        <v>3764</v>
      </c>
      <c r="B5476" s="4370" t="s">
        <v>3859</v>
      </c>
      <c r="C5476" s="3972"/>
      <c r="D5476" s="4371"/>
      <c r="E5476" s="4329" t="s">
        <v>1527</v>
      </c>
      <c r="F5476" s="4336" t="s">
        <v>3863</v>
      </c>
      <c r="G5476" s="4331" t="s">
        <v>1568</v>
      </c>
      <c r="H5476" s="4331" t="s">
        <v>1574</v>
      </c>
      <c r="I5476" s="1572" t="s">
        <v>1559</v>
      </c>
      <c r="J5476" s="1294" t="s">
        <v>1560</v>
      </c>
      <c r="K5476" s="1294" t="s">
        <v>1569</v>
      </c>
      <c r="L5476" s="4333" t="s">
        <v>3765</v>
      </c>
      <c r="M5476" s="4335" t="s">
        <v>1571</v>
      </c>
      <c r="N5476" s="4323" t="s">
        <v>1776</v>
      </c>
      <c r="O5476" s="4141" t="s">
        <v>1563</v>
      </c>
      <c r="P5476" s="1336" t="s">
        <v>1562</v>
      </c>
      <c r="Q5476" s="3389"/>
      <c r="R5476" s="1699" t="s">
        <v>1327</v>
      </c>
    </row>
    <row r="5477" spans="1:18" s="16" customFormat="1">
      <c r="A5477" s="1662" t="s">
        <v>3854</v>
      </c>
      <c r="B5477" s="4326"/>
      <c r="C5477" s="4142"/>
      <c r="D5477" s="4328"/>
      <c r="E5477" s="4330"/>
      <c r="F5477" s="4336"/>
      <c r="G5477" s="4332"/>
      <c r="H5477" s="4332"/>
      <c r="I5477" s="1345">
        <v>10</v>
      </c>
      <c r="J5477" s="1307">
        <v>1.0999999999999999E-2</v>
      </c>
      <c r="K5477" s="1297">
        <f>I5477*J5477</f>
        <v>0.10999999999999999</v>
      </c>
      <c r="L5477" s="4334"/>
      <c r="M5477" s="4335"/>
      <c r="N5477" s="4324"/>
      <c r="O5477" s="1298">
        <f>O5479+O5480+O5488</f>
        <v>11.777115400000001</v>
      </c>
      <c r="P5477" s="1337">
        <f>O5477*K5477</f>
        <v>1.2954826939999999</v>
      </c>
      <c r="Q5477" s="3390"/>
      <c r="R5477" s="1721">
        <f>P5479+P5480+P5488</f>
        <v>1.2954826939999999</v>
      </c>
    </row>
    <row r="5478" spans="1:18" s="16" customFormat="1">
      <c r="A5478" s="19"/>
      <c r="B5478" s="3952"/>
      <c r="C5478" s="3981"/>
      <c r="D5478" s="1400"/>
      <c r="E5478" s="2121"/>
      <c r="F5478" s="1389" t="s">
        <v>1</v>
      </c>
      <c r="G5478" s="1389"/>
      <c r="H5478" s="1369"/>
      <c r="I5478" s="1409"/>
      <c r="J5478" s="1390"/>
      <c r="K5478" s="1391"/>
      <c r="L5478" s="1559"/>
      <c r="M5478" s="1369"/>
      <c r="N5478" s="1369"/>
      <c r="O5478" s="1369"/>
      <c r="P5478" s="1392"/>
      <c r="Q5478" s="3395"/>
      <c r="R5478" s="1296"/>
    </row>
    <row r="5479" spans="1:18" s="16" customFormat="1">
      <c r="A5479" s="19"/>
      <c r="B5479" s="1320"/>
      <c r="C5479" s="1512"/>
      <c r="D5479" s="1610" t="s">
        <v>1138</v>
      </c>
      <c r="E5479" s="2154" t="s">
        <v>1504</v>
      </c>
      <c r="F5479" s="1598" t="s">
        <v>2036</v>
      </c>
      <c r="G5479" s="1612">
        <v>5.4</v>
      </c>
      <c r="H5479" s="1390"/>
      <c r="I5479" s="1299"/>
      <c r="J5479" s="1300"/>
      <c r="K5479" s="1307">
        <f>G5479*K5477</f>
        <v>0.59399999999999997</v>
      </c>
      <c r="L5479" s="1335">
        <f t="shared" ref="L5479" si="708">K5479*$K$5386</f>
        <v>0</v>
      </c>
      <c r="M5479" s="1302">
        <v>0.32</v>
      </c>
      <c r="N5479" s="1700"/>
      <c r="O5479" s="1290">
        <f>G5479*M5479</f>
        <v>1.7280000000000002</v>
      </c>
      <c r="P5479" s="1332">
        <f>M5479*K5479</f>
        <v>0.19008</v>
      </c>
      <c r="Q5479" s="3391"/>
      <c r="R5479" s="1296"/>
    </row>
    <row r="5480" spans="1:18" s="16" customFormat="1">
      <c r="A5480" s="19"/>
      <c r="B5480" s="1042"/>
      <c r="C5480" s="4147" t="s">
        <v>1137</v>
      </c>
      <c r="D5480" s="1311"/>
      <c r="E5480" s="2137" t="s">
        <v>1517</v>
      </c>
      <c r="F5480" s="1319" t="s">
        <v>2037</v>
      </c>
      <c r="G5480" s="1353"/>
      <c r="H5480" s="1456">
        <v>1.4999999999999999E-2</v>
      </c>
      <c r="I5480" s="1444"/>
      <c r="J5480" s="1388"/>
      <c r="K5480" s="1445"/>
      <c r="L5480" s="1457"/>
      <c r="M5480" s="1447"/>
      <c r="N5480" s="1447">
        <f>SUM(N5481:N5484)</f>
        <v>44.774360000000001</v>
      </c>
      <c r="O5480" s="1447">
        <f>SUM(O5481:O5484)</f>
        <v>0.67161540000000008</v>
      </c>
      <c r="P5480" s="1446">
        <f>SUM(P5481:P5484)</f>
        <v>7.3877693999999994E-2</v>
      </c>
      <c r="Q5480" s="3391"/>
      <c r="R5480" s="2337"/>
    </row>
    <row r="5481" spans="1:18" s="16" customFormat="1">
      <c r="A5481" s="19"/>
      <c r="B5481" s="1042"/>
      <c r="C5481" s="3981"/>
      <c r="D5481" s="1400" t="s">
        <v>1069</v>
      </c>
      <c r="E5481" s="1856" t="s">
        <v>1517</v>
      </c>
      <c r="F5481" s="1397" t="s">
        <v>1578</v>
      </c>
      <c r="G5481" s="1416">
        <v>0.25800000000000001</v>
      </c>
      <c r="H5481" s="1399">
        <f>G5481*H5480</f>
        <v>3.8700000000000002E-3</v>
      </c>
      <c r="I5481" s="197"/>
      <c r="J5481" s="198"/>
      <c r="K5481" s="1732">
        <f>H5481*K5477</f>
        <v>4.2569999999999999E-4</v>
      </c>
      <c r="L5481" s="1335">
        <f t="shared" ref="L5481:L5484" si="709">K5481*$K$5386</f>
        <v>0</v>
      </c>
      <c r="M5481" s="1302">
        <v>0.55000000000000004</v>
      </c>
      <c r="N5481" s="1718">
        <f>G5481*M5481</f>
        <v>0.14190000000000003</v>
      </c>
      <c r="O5481" s="1290">
        <f>H5481*M5481</f>
        <v>2.1285000000000002E-3</v>
      </c>
      <c r="P5481" s="1332">
        <f>M5481*K5481</f>
        <v>2.3413500000000001E-4</v>
      </c>
      <c r="Q5481" s="3391"/>
      <c r="R5481" s="2337"/>
    </row>
    <row r="5482" spans="1:18" s="16" customFormat="1">
      <c r="B5482" s="1042"/>
      <c r="C5482" s="595"/>
      <c r="D5482" s="1400" t="s">
        <v>1394</v>
      </c>
      <c r="E5482" s="1856" t="s">
        <v>1577</v>
      </c>
      <c r="F5482" s="1397" t="s">
        <v>1579</v>
      </c>
      <c r="G5482" s="1416">
        <v>0.19600000000000001</v>
      </c>
      <c r="H5482" s="1399">
        <f>G5482*H5480</f>
        <v>2.9399999999999999E-3</v>
      </c>
      <c r="I5482" s="197"/>
      <c r="J5482" s="198"/>
      <c r="K5482" s="1732">
        <f>H5482*K5477</f>
        <v>3.2339999999999995E-4</v>
      </c>
      <c r="L5482" s="1335">
        <f t="shared" si="709"/>
        <v>0</v>
      </c>
      <c r="M5482" s="1302">
        <v>92.54</v>
      </c>
      <c r="N5482" s="1718">
        <f>G5482*M5482</f>
        <v>18.137840000000001</v>
      </c>
      <c r="O5482" s="1290">
        <f>H5482*M5482</f>
        <v>0.27206760000000002</v>
      </c>
      <c r="P5482" s="1332">
        <f>M5482*K5482</f>
        <v>2.9927435999999998E-2</v>
      </c>
      <c r="Q5482" s="3391"/>
      <c r="R5482" s="2337"/>
    </row>
    <row r="5483" spans="1:18" s="16" customFormat="1">
      <c r="B5483" s="1042"/>
      <c r="C5483" s="595"/>
      <c r="D5483" s="1400" t="s">
        <v>1576</v>
      </c>
      <c r="E5483" s="1856" t="s">
        <v>1517</v>
      </c>
      <c r="F5483" s="1397" t="s">
        <v>1580</v>
      </c>
      <c r="G5483" s="1416">
        <v>1.1739999999999999</v>
      </c>
      <c r="H5483" s="1399">
        <f>G5483*H5480</f>
        <v>1.7609999999999997E-2</v>
      </c>
      <c r="I5483" s="197"/>
      <c r="J5483" s="198"/>
      <c r="K5483" s="1307">
        <f>H5483*K5477</f>
        <v>1.9370999999999995E-3</v>
      </c>
      <c r="L5483" s="1335">
        <f t="shared" si="709"/>
        <v>0</v>
      </c>
      <c r="M5483" s="1302">
        <v>6.53</v>
      </c>
      <c r="N5483" s="1718">
        <f>G5483*M5483</f>
        <v>7.66622</v>
      </c>
      <c r="O5483" s="1290">
        <f>H5483*M5483</f>
        <v>0.11499329999999999</v>
      </c>
      <c r="P5483" s="1332">
        <f>M5483*K5483</f>
        <v>1.2649262999999997E-2</v>
      </c>
      <c r="Q5483" s="3391"/>
      <c r="R5483" s="2337"/>
    </row>
    <row r="5484" spans="1:18" s="16" customFormat="1">
      <c r="B5484" s="1042"/>
      <c r="C5484" s="595"/>
      <c r="D5484" s="1404" t="s">
        <v>1067</v>
      </c>
      <c r="E5484" s="1857" t="s">
        <v>1508</v>
      </c>
      <c r="F5484" s="1406" t="s">
        <v>1512</v>
      </c>
      <c r="G5484" s="1407">
        <v>1.03</v>
      </c>
      <c r="H5484" s="1408">
        <f>G5484*H5480</f>
        <v>1.545E-2</v>
      </c>
      <c r="I5484" s="197"/>
      <c r="J5484" s="198"/>
      <c r="K5484" s="1307">
        <f>H5484*K5477</f>
        <v>1.6994999999999998E-3</v>
      </c>
      <c r="L5484" s="1335">
        <f t="shared" si="709"/>
        <v>0</v>
      </c>
      <c r="M5484" s="1302">
        <v>18.28</v>
      </c>
      <c r="N5484" s="1718">
        <f>G5484*M5484</f>
        <v>18.828400000000002</v>
      </c>
      <c r="O5484" s="1290">
        <f>H5484*M5484</f>
        <v>0.28242600000000001</v>
      </c>
      <c r="P5484" s="1332">
        <f>M5484*K5484</f>
        <v>3.1066859999999998E-2</v>
      </c>
      <c r="Q5484" s="3391"/>
      <c r="R5484" s="2337"/>
    </row>
    <row r="5485" spans="1:18" s="16" customFormat="1">
      <c r="B5485" s="1320"/>
      <c r="C5485" s="88"/>
      <c r="D5485" s="1672"/>
      <c r="E5485" s="2160"/>
      <c r="F5485" s="1676"/>
      <c r="G5485" s="1676"/>
      <c r="H5485" s="1674"/>
      <c r="I5485" s="1299"/>
      <c r="J5485" s="1300"/>
      <c r="K5485" s="1307"/>
      <c r="L5485" s="1335"/>
      <c r="M5485" s="1302"/>
      <c r="N5485" s="1700"/>
      <c r="O5485" s="1290"/>
      <c r="P5485" s="1332"/>
      <c r="Q5485" s="3391"/>
      <c r="R5485" s="1296"/>
    </row>
    <row r="5486" spans="1:18" s="16" customFormat="1">
      <c r="B5486" s="1320"/>
      <c r="C5486" s="88"/>
      <c r="D5486" s="1672"/>
      <c r="E5486" s="2160"/>
      <c r="F5486" s="1675"/>
      <c r="G5486" s="1675"/>
      <c r="H5486" s="1674"/>
      <c r="I5486" s="1299" t="str">
        <f t="shared" ref="I5486" ca="1" si="710">IF(COUNT(H5486:O5486)=0,"",(SUM(H5486:O5486)/COUNT(H5486:O5486)))</f>
        <v/>
      </c>
      <c r="J5486" s="1300"/>
      <c r="K5486" s="1307" t="str">
        <f t="shared" ref="K5486" ca="1" si="711">IF(COUNT(I5486)=0,"",(I5486*J5486))</f>
        <v/>
      </c>
      <c r="L5486" s="1335"/>
      <c r="M5486" s="1302"/>
      <c r="N5486" s="1700"/>
      <c r="O5486" s="1290"/>
      <c r="P5486" s="1332"/>
      <c r="Q5486" s="3391"/>
      <c r="R5486" s="1296"/>
    </row>
    <row r="5487" spans="1:18" s="16" customFormat="1">
      <c r="B5487" s="1320"/>
      <c r="C5487" s="88"/>
      <c r="D5487" s="1359"/>
      <c r="E5487" s="1858"/>
      <c r="F5487" s="1360" t="s">
        <v>2</v>
      </c>
      <c r="G5487" s="1360"/>
      <c r="H5487" s="1362"/>
      <c r="I5487" s="1380"/>
      <c r="J5487" s="1381"/>
      <c r="K5487" s="1381"/>
      <c r="L5487" s="1458"/>
      <c r="M5487" s="1362"/>
      <c r="N5487" s="1362"/>
      <c r="O5487" s="1362"/>
      <c r="P5487" s="1359"/>
      <c r="Q5487" s="3387"/>
      <c r="R5487" s="2339"/>
    </row>
    <row r="5488" spans="1:18" s="16" customFormat="1">
      <c r="B5488" s="1042"/>
      <c r="C5488" s="4227" t="s">
        <v>1755</v>
      </c>
      <c r="D5488" s="1461"/>
      <c r="E5488" s="2163" t="s">
        <v>1508</v>
      </c>
      <c r="F5488" s="1648" t="s">
        <v>1524</v>
      </c>
      <c r="G5488" s="1990"/>
      <c r="H5488" s="1456">
        <v>0.25</v>
      </c>
      <c r="I5488" s="1444"/>
      <c r="J5488" s="1388"/>
      <c r="K5488" s="1445"/>
      <c r="L5488" s="1457"/>
      <c r="M5488" s="1447"/>
      <c r="N5488" s="1447">
        <f>SUM(N5489:N5490)</f>
        <v>37.510000000000005</v>
      </c>
      <c r="O5488" s="1447">
        <f>SUM(O5489:O5490)</f>
        <v>9.3775000000000013</v>
      </c>
      <c r="P5488" s="1447">
        <f>SUM(P5489:P5490)</f>
        <v>1.0315249999999998</v>
      </c>
      <c r="Q5488" s="3391"/>
      <c r="R5488" s="2337"/>
    </row>
    <row r="5489" spans="1:18" s="16" customFormat="1">
      <c r="B5489" s="1042"/>
      <c r="C5489" s="3954"/>
      <c r="D5489" s="1430" t="s">
        <v>1067</v>
      </c>
      <c r="E5489" s="1857" t="s">
        <v>1508</v>
      </c>
      <c r="F5489" s="1403" t="s">
        <v>5</v>
      </c>
      <c r="G5489" s="1991">
        <v>1</v>
      </c>
      <c r="H5489" s="1408">
        <f>G5489*$H$5227</f>
        <v>0.25</v>
      </c>
      <c r="I5489" s="1286"/>
      <c r="J5489" s="198"/>
      <c r="K5489" s="1307">
        <f>H5489*K5477</f>
        <v>2.7499999999999997E-2</v>
      </c>
      <c r="L5489" s="1335">
        <f t="shared" ref="L5489:L5490" si="712">K5489*$K$5386</f>
        <v>0</v>
      </c>
      <c r="M5489" s="1302">
        <v>18.28</v>
      </c>
      <c r="N5489" s="1718">
        <f>G5489*M5489</f>
        <v>18.28</v>
      </c>
      <c r="O5489" s="1290">
        <f>H5489*M5489</f>
        <v>4.57</v>
      </c>
      <c r="P5489" s="1332">
        <f>M5489*K5489</f>
        <v>0.50269999999999992</v>
      </c>
      <c r="Q5489" s="3391"/>
      <c r="R5489" s="2337"/>
    </row>
    <row r="5490" spans="1:18" s="16" customFormat="1">
      <c r="B5490" s="1042"/>
      <c r="C5490" s="1042"/>
      <c r="D5490" s="1430" t="s">
        <v>1077</v>
      </c>
      <c r="E5490" s="1857" t="s">
        <v>1508</v>
      </c>
      <c r="F5490" s="1403" t="s">
        <v>37</v>
      </c>
      <c r="G5490" s="1991">
        <v>1</v>
      </c>
      <c r="H5490" s="1408">
        <f>G5490*$H$5227</f>
        <v>0.25</v>
      </c>
      <c r="I5490" s="197"/>
      <c r="J5490" s="198"/>
      <c r="K5490" s="1307">
        <f>H5490*K5477</f>
        <v>2.7499999999999997E-2</v>
      </c>
      <c r="L5490" s="1335">
        <f t="shared" si="712"/>
        <v>0</v>
      </c>
      <c r="M5490" s="1302">
        <v>19.23</v>
      </c>
      <c r="N5490" s="1718">
        <f>G5490*M5490</f>
        <v>19.23</v>
      </c>
      <c r="O5490" s="1290">
        <f>H5490*M5490</f>
        <v>4.8075000000000001</v>
      </c>
      <c r="P5490" s="1332">
        <f>M5490*K5490</f>
        <v>0.52882499999999999</v>
      </c>
      <c r="Q5490" s="3391"/>
      <c r="R5490" s="2337"/>
    </row>
    <row r="5491" spans="1:18" s="16" customFormat="1">
      <c r="B5491" s="1320"/>
      <c r="C5491" s="1320"/>
      <c r="D5491" s="1359"/>
      <c r="E5491" s="1858"/>
      <c r="F5491" s="1361"/>
      <c r="G5491" s="1361"/>
      <c r="H5491" s="1466"/>
      <c r="I5491" s="1299"/>
      <c r="J5491" s="1300"/>
      <c r="K5491" s="1307" t="str">
        <f>IF(COUNT(I5491)=0,"",(I5491*J5491))</f>
        <v/>
      </c>
      <c r="L5491" s="1335"/>
      <c r="M5491" s="1302"/>
      <c r="N5491" s="1700"/>
      <c r="O5491" s="1290"/>
      <c r="P5491" s="1332"/>
      <c r="Q5491" s="3391"/>
      <c r="R5491" s="1296"/>
    </row>
    <row r="5492" spans="1:18" s="16" customFormat="1">
      <c r="B5492" s="1320"/>
      <c r="C5492" s="1320"/>
      <c r="D5492" s="1373"/>
      <c r="E5492" s="2123"/>
      <c r="F5492" s="1374" t="s">
        <v>3</v>
      </c>
      <c r="G5492" s="1375"/>
      <c r="H5492" s="1376"/>
      <c r="I5492" s="1382"/>
      <c r="J5492" s="1383"/>
      <c r="K5492" s="1383" t="str">
        <f>IF(COUNT(I5492)=0,"",(I5492*J5492))</f>
        <v/>
      </c>
      <c r="L5492" s="1413"/>
      <c r="M5492" s="1376"/>
      <c r="N5492" s="1376"/>
      <c r="O5492" s="1376"/>
      <c r="P5492" s="1373"/>
      <c r="Q5492" s="3387"/>
      <c r="R5492" s="1296"/>
    </row>
    <row r="5493" spans="1:18" s="16" customFormat="1">
      <c r="B5493" s="1321"/>
      <c r="C5493" s="1321"/>
      <c r="D5493" s="1377"/>
      <c r="E5493" s="2124"/>
      <c r="F5493" s="1378"/>
      <c r="G5493" s="1378"/>
      <c r="H5493" s="1379"/>
      <c r="I5493" s="1299"/>
      <c r="J5493" s="1300"/>
      <c r="K5493" s="1307"/>
      <c r="L5493" s="1335"/>
      <c r="M5493" s="1302"/>
      <c r="N5493" s="1700"/>
      <c r="O5493" s="1290"/>
      <c r="P5493" s="1332"/>
      <c r="Q5493" s="3391"/>
      <c r="R5493" s="1296"/>
    </row>
    <row r="5494" spans="1:18" s="16" customFormat="1">
      <c r="B5494" s="2108"/>
      <c r="C5494" s="2108"/>
      <c r="D5494" s="1377"/>
      <c r="E5494" s="2124"/>
      <c r="F5494" s="1378"/>
      <c r="G5494" s="1378"/>
      <c r="H5494" s="1379"/>
      <c r="I5494" s="1299"/>
      <c r="J5494" s="1300"/>
      <c r="K5494" s="1307"/>
      <c r="L5494" s="1335"/>
      <c r="M5494" s="1302"/>
      <c r="N5494" s="1700"/>
      <c r="O5494" s="1290"/>
      <c r="P5494" s="1333"/>
      <c r="Q5494" s="3391"/>
      <c r="R5494" s="1296"/>
    </row>
    <row r="5495" spans="1:18" s="16" customFormat="1" ht="15" customHeight="1">
      <c r="A5495" s="18" t="s">
        <v>3764</v>
      </c>
      <c r="B5495" s="4367" t="s">
        <v>2040</v>
      </c>
      <c r="C5495" s="4143"/>
      <c r="D5495" s="4368"/>
      <c r="E5495" s="4329" t="s">
        <v>1527</v>
      </c>
      <c r="F5495" s="4336" t="s">
        <v>2041</v>
      </c>
      <c r="G5495" s="4331" t="s">
        <v>1568</v>
      </c>
      <c r="H5495" s="4331" t="s">
        <v>1574</v>
      </c>
      <c r="I5495" s="1572" t="s">
        <v>1559</v>
      </c>
      <c r="J5495" s="1294" t="s">
        <v>1560</v>
      </c>
      <c r="K5495" s="1294" t="s">
        <v>1569</v>
      </c>
      <c r="L5495" s="4333" t="s">
        <v>3765</v>
      </c>
      <c r="M5495" s="4335" t="s">
        <v>1571</v>
      </c>
      <c r="N5495" s="4323" t="s">
        <v>1776</v>
      </c>
      <c r="O5495" s="4141" t="s">
        <v>1563</v>
      </c>
      <c r="P5495" s="1336" t="s">
        <v>1562</v>
      </c>
      <c r="Q5495" s="3389"/>
      <c r="R5495" s="1699" t="s">
        <v>1327</v>
      </c>
    </row>
    <row r="5496" spans="1:18" s="16" customFormat="1">
      <c r="A5496" s="1662" t="s">
        <v>3854</v>
      </c>
      <c r="B5496" s="4326"/>
      <c r="C5496" s="4143"/>
      <c r="D5496" s="4328"/>
      <c r="E5496" s="4330"/>
      <c r="F5496" s="4336"/>
      <c r="G5496" s="4332"/>
      <c r="H5496" s="4332"/>
      <c r="I5496" s="1345">
        <v>9.1</v>
      </c>
      <c r="J5496" s="1307">
        <v>1.0999999999999999E-2</v>
      </c>
      <c r="K5496" s="1297">
        <f>I5496*J5496</f>
        <v>0.10009999999999999</v>
      </c>
      <c r="L5496" s="4334"/>
      <c r="M5496" s="4335"/>
      <c r="N5496" s="4324"/>
      <c r="O5496" s="1298">
        <f>O5498+O5499+O5500+O5508</f>
        <v>25.282455400000003</v>
      </c>
      <c r="P5496" s="1337">
        <f>O5496*K5496</f>
        <v>2.5307737855400001</v>
      </c>
      <c r="Q5496" s="3390"/>
      <c r="R5496" s="1721">
        <f>P5498+P5499+P5500+P5508</f>
        <v>2.5307737855400001</v>
      </c>
    </row>
    <row r="5497" spans="1:18" s="16" customFormat="1">
      <c r="A5497" s="19"/>
      <c r="B5497" s="1327"/>
      <c r="C5497" s="1511"/>
      <c r="D5497" s="1400"/>
      <c r="E5497" s="2121"/>
      <c r="F5497" s="1389" t="s">
        <v>1</v>
      </c>
      <c r="G5497" s="1389"/>
      <c r="H5497" s="1369"/>
      <c r="I5497" s="1409"/>
      <c r="J5497" s="1390"/>
      <c r="K5497" s="1391"/>
      <c r="L5497" s="1559"/>
      <c r="M5497" s="1369"/>
      <c r="N5497" s="1369"/>
      <c r="O5497" s="1369"/>
      <c r="P5497" s="1392"/>
      <c r="Q5497" s="3395"/>
      <c r="R5497" s="1296"/>
    </row>
    <row r="5498" spans="1:18" s="16" customFormat="1">
      <c r="A5498" s="19"/>
      <c r="B5498" s="1320"/>
      <c r="C5498" s="595"/>
      <c r="D5498" s="1769" t="s">
        <v>2042</v>
      </c>
      <c r="E5498" s="1850" t="s">
        <v>1507</v>
      </c>
      <c r="F5498" s="2022" t="s">
        <v>2043</v>
      </c>
      <c r="G5498" s="2023">
        <v>0.60599999999999998</v>
      </c>
      <c r="H5498" s="1390"/>
      <c r="I5498" s="1299"/>
      <c r="J5498" s="1300"/>
      <c r="K5498" s="1307">
        <f>G5498*K5496</f>
        <v>6.0660599999999995E-2</v>
      </c>
      <c r="L5498" s="1335">
        <f t="shared" ref="L5498:L5499" si="713">K5498*$K$5386</f>
        <v>0</v>
      </c>
      <c r="M5498" s="1302">
        <v>24.89</v>
      </c>
      <c r="N5498" s="1700"/>
      <c r="O5498" s="1290">
        <f>G5498*M5498</f>
        <v>15.08334</v>
      </c>
      <c r="P5498" s="1332">
        <f>M5498*K5498</f>
        <v>1.509842334</v>
      </c>
      <c r="Q5498" s="3391"/>
      <c r="R5498" s="1296"/>
    </row>
    <row r="5499" spans="1:18" s="16" customFormat="1">
      <c r="A5499" s="19"/>
      <c r="B5499" s="1599"/>
      <c r="C5499" s="225"/>
      <c r="D5499" s="1772" t="s">
        <v>1082</v>
      </c>
      <c r="E5499" s="2180" t="s">
        <v>1504</v>
      </c>
      <c r="F5499" s="2024" t="s">
        <v>1541</v>
      </c>
      <c r="G5499" s="2025">
        <v>0.5</v>
      </c>
      <c r="H5499" s="1390"/>
      <c r="I5499" s="1409"/>
      <c r="J5499" s="1390"/>
      <c r="K5499" s="1307">
        <f>G5499*K5496</f>
        <v>5.0049999999999997E-2</v>
      </c>
      <c r="L5499" s="1335">
        <f t="shared" si="713"/>
        <v>0</v>
      </c>
      <c r="M5499" s="1302">
        <v>0.3</v>
      </c>
      <c r="N5499" s="1700"/>
      <c r="O5499" s="1290">
        <f>G5499*M5499</f>
        <v>0.15</v>
      </c>
      <c r="P5499" s="1332">
        <f>M5499*K5499</f>
        <v>1.5014999999999999E-2</v>
      </c>
      <c r="Q5499" s="3391"/>
      <c r="R5499" s="1296"/>
    </row>
    <row r="5500" spans="1:18" s="16" customFormat="1">
      <c r="A5500" s="19"/>
      <c r="B5500" s="1042"/>
      <c r="C5500" s="2020" t="s">
        <v>1137</v>
      </c>
      <c r="D5500" s="1585"/>
      <c r="E5500" s="2137" t="s">
        <v>1517</v>
      </c>
      <c r="F5500" s="1319" t="s">
        <v>2037</v>
      </c>
      <c r="G5500" s="1353"/>
      <c r="H5500" s="1456">
        <v>1.4999999999999999E-2</v>
      </c>
      <c r="I5500" s="1444"/>
      <c r="J5500" s="1388"/>
      <c r="K5500" s="1445"/>
      <c r="L5500" s="1457"/>
      <c r="M5500" s="1447"/>
      <c r="N5500" s="1447">
        <f>SUM(N5501:N5504)</f>
        <v>44.774360000000001</v>
      </c>
      <c r="O5500" s="1447">
        <f>SUM(O5501:O5504)</f>
        <v>0.67161540000000008</v>
      </c>
      <c r="P5500" s="1446">
        <f>SUM(P5501:P5504)</f>
        <v>6.7228701539999991E-2</v>
      </c>
      <c r="Q5500" s="3391"/>
      <c r="R5500" s="2337"/>
    </row>
    <row r="5501" spans="1:18" s="16" customFormat="1">
      <c r="B5501" s="1042"/>
      <c r="C5501" s="1511"/>
      <c r="D5501" s="1400" t="s">
        <v>1069</v>
      </c>
      <c r="E5501" s="1856" t="s">
        <v>1517</v>
      </c>
      <c r="F5501" s="1397" t="s">
        <v>1578</v>
      </c>
      <c r="G5501" s="1416">
        <v>0.25800000000000001</v>
      </c>
      <c r="H5501" s="1399">
        <f>G5501*$H$5260</f>
        <v>3.8700000000000002E-3</v>
      </c>
      <c r="I5501" s="197"/>
      <c r="J5501" s="198"/>
      <c r="K5501" s="1732">
        <f>H5501*K5496</f>
        <v>3.87387E-4</v>
      </c>
      <c r="L5501" s="1335">
        <f t="shared" ref="L5501:L5504" si="714">K5501*$K$5386</f>
        <v>0</v>
      </c>
      <c r="M5501" s="1302">
        <v>0.55000000000000004</v>
      </c>
      <c r="N5501" s="1718">
        <f>G5501*M5501</f>
        <v>0.14190000000000003</v>
      </c>
      <c r="O5501" s="1290">
        <f>H5501*M5501</f>
        <v>2.1285000000000002E-3</v>
      </c>
      <c r="P5501" s="1332">
        <f>M5501*K5501</f>
        <v>2.1306285000000002E-4</v>
      </c>
      <c r="Q5501" s="3391"/>
      <c r="R5501" s="2337"/>
    </row>
    <row r="5502" spans="1:18" s="16" customFormat="1">
      <c r="B5502" s="1042"/>
      <c r="C5502" s="595"/>
      <c r="D5502" s="1400" t="s">
        <v>1394</v>
      </c>
      <c r="E5502" s="1856" t="s">
        <v>1577</v>
      </c>
      <c r="F5502" s="1397" t="s">
        <v>1579</v>
      </c>
      <c r="G5502" s="1416">
        <v>0.19600000000000001</v>
      </c>
      <c r="H5502" s="1399">
        <f t="shared" ref="H5502:H5504" si="715">G5502*$H$5260</f>
        <v>2.9399999999999999E-3</v>
      </c>
      <c r="I5502" s="197"/>
      <c r="J5502" s="198"/>
      <c r="K5502" s="1732">
        <f>H5502*K5496</f>
        <v>2.9429399999999996E-4</v>
      </c>
      <c r="L5502" s="1335">
        <f t="shared" si="714"/>
        <v>0</v>
      </c>
      <c r="M5502" s="1302">
        <v>92.54</v>
      </c>
      <c r="N5502" s="1718">
        <f>G5502*M5502</f>
        <v>18.137840000000001</v>
      </c>
      <c r="O5502" s="1290">
        <f>H5502*M5502</f>
        <v>0.27206760000000002</v>
      </c>
      <c r="P5502" s="1332">
        <f>M5502*K5502</f>
        <v>2.7233966759999999E-2</v>
      </c>
      <c r="Q5502" s="3391"/>
      <c r="R5502" s="2337"/>
    </row>
    <row r="5503" spans="1:18" s="16" customFormat="1">
      <c r="B5503" s="1042"/>
      <c r="C5503" s="595"/>
      <c r="D5503" s="1400" t="s">
        <v>1576</v>
      </c>
      <c r="E5503" s="1856" t="s">
        <v>1517</v>
      </c>
      <c r="F5503" s="1397" t="s">
        <v>1580</v>
      </c>
      <c r="G5503" s="1416">
        <v>1.1739999999999999</v>
      </c>
      <c r="H5503" s="1399">
        <f t="shared" si="715"/>
        <v>1.7609999999999997E-2</v>
      </c>
      <c r="I5503" s="197"/>
      <c r="J5503" s="198"/>
      <c r="K5503" s="1732">
        <f>H5503*K5496</f>
        <v>1.7627609999999996E-3</v>
      </c>
      <c r="L5503" s="1335">
        <f t="shared" si="714"/>
        <v>0</v>
      </c>
      <c r="M5503" s="1302">
        <v>6.53</v>
      </c>
      <c r="N5503" s="1718">
        <f>G5503*M5503</f>
        <v>7.66622</v>
      </c>
      <c r="O5503" s="1290">
        <f>H5503*M5503</f>
        <v>0.11499329999999999</v>
      </c>
      <c r="P5503" s="1332">
        <f>M5503*K5503</f>
        <v>1.1510829329999998E-2</v>
      </c>
      <c r="Q5503" s="3391"/>
      <c r="R5503" s="2337"/>
    </row>
    <row r="5504" spans="1:18" s="16" customFormat="1">
      <c r="B5504" s="1042"/>
      <c r="C5504" s="595"/>
      <c r="D5504" s="1404" t="s">
        <v>1067</v>
      </c>
      <c r="E5504" s="1857" t="s">
        <v>1508</v>
      </c>
      <c r="F5504" s="1406" t="s">
        <v>1512</v>
      </c>
      <c r="G5504" s="1407">
        <v>1.03</v>
      </c>
      <c r="H5504" s="1408">
        <f t="shared" si="715"/>
        <v>1.545E-2</v>
      </c>
      <c r="I5504" s="197"/>
      <c r="J5504" s="198"/>
      <c r="K5504" s="1732">
        <f>H5504*K5496</f>
        <v>1.5465449999999999E-3</v>
      </c>
      <c r="L5504" s="1335">
        <f t="shared" si="714"/>
        <v>0</v>
      </c>
      <c r="M5504" s="1302">
        <v>18.28</v>
      </c>
      <c r="N5504" s="1718">
        <f>G5504*M5504</f>
        <v>18.828400000000002</v>
      </c>
      <c r="O5504" s="1290">
        <f>H5504*M5504</f>
        <v>0.28242600000000001</v>
      </c>
      <c r="P5504" s="1332">
        <f>M5504*K5504</f>
        <v>2.8270842599999998E-2</v>
      </c>
      <c r="Q5504" s="3391"/>
      <c r="R5504" s="2337"/>
    </row>
    <row r="5505" spans="1:18" s="16" customFormat="1">
      <c r="B5505" s="1320"/>
      <c r="C5505" s="88"/>
      <c r="D5505" s="1672"/>
      <c r="E5505" s="2160"/>
      <c r="F5505" s="1676"/>
      <c r="G5505" s="1676"/>
      <c r="H5505" s="1674"/>
      <c r="I5505" s="1299"/>
      <c r="J5505" s="1300"/>
      <c r="K5505" s="1307"/>
      <c r="L5505" s="1335"/>
      <c r="M5505" s="1302"/>
      <c r="N5505" s="1700"/>
      <c r="O5505" s="1290"/>
      <c r="P5505" s="1332"/>
      <c r="Q5505" s="3391"/>
      <c r="R5505" s="1296"/>
    </row>
    <row r="5506" spans="1:18" s="16" customFormat="1">
      <c r="B5506" s="1320"/>
      <c r="C5506" s="88"/>
      <c r="D5506" s="1367"/>
      <c r="E5506" s="2121"/>
      <c r="F5506" s="1436"/>
      <c r="G5506" s="1436"/>
      <c r="H5506" s="1369"/>
      <c r="I5506" s="1299" t="str">
        <f t="shared" ref="I5506" ca="1" si="716">IF(COUNT(H5506:O5506)=0,"",(SUM(H5506:O5506)/COUNT(H5506:O5506)))</f>
        <v/>
      </c>
      <c r="J5506" s="1300"/>
      <c r="K5506" s="1307" t="str">
        <f t="shared" ref="K5506" ca="1" si="717">IF(COUNT(I5506)=0,"",(I5506*J5506))</f>
        <v/>
      </c>
      <c r="L5506" s="1335"/>
      <c r="M5506" s="1302"/>
      <c r="N5506" s="1700"/>
      <c r="O5506" s="1290"/>
      <c r="P5506" s="1332"/>
      <c r="Q5506" s="3391"/>
      <c r="R5506" s="1296"/>
    </row>
    <row r="5507" spans="1:18" s="16" customFormat="1">
      <c r="B5507" s="1320"/>
      <c r="C5507" s="88"/>
      <c r="D5507" s="1443"/>
      <c r="E5507" s="1858"/>
      <c r="F5507" s="1360" t="s">
        <v>2</v>
      </c>
      <c r="G5507" s="1360"/>
      <c r="H5507" s="1362"/>
      <c r="I5507" s="1380"/>
      <c r="J5507" s="1381"/>
      <c r="K5507" s="1381"/>
      <c r="L5507" s="1458"/>
      <c r="M5507" s="1362"/>
      <c r="N5507" s="1362"/>
      <c r="O5507" s="1362"/>
      <c r="P5507" s="1359"/>
      <c r="Q5507" s="3387"/>
      <c r="R5507" s="2339"/>
    </row>
    <row r="5508" spans="1:18" s="16" customFormat="1">
      <c r="B5508" s="1042"/>
      <c r="C5508" s="1356" t="s">
        <v>1755</v>
      </c>
      <c r="D5508" s="1311"/>
      <c r="E5508" s="2176" t="s">
        <v>1508</v>
      </c>
      <c r="F5508" s="1648" t="s">
        <v>1524</v>
      </c>
      <c r="G5508" s="1990"/>
      <c r="H5508" s="1456">
        <v>0.25</v>
      </c>
      <c r="I5508" s="1444"/>
      <c r="J5508" s="1388"/>
      <c r="K5508" s="1445"/>
      <c r="L5508" s="1457"/>
      <c r="M5508" s="1447"/>
      <c r="N5508" s="1447">
        <f>SUM(N5509:N5510)</f>
        <v>37.510000000000005</v>
      </c>
      <c r="O5508" s="1447">
        <f>SUM(O5509:O5510)</f>
        <v>9.3775000000000013</v>
      </c>
      <c r="P5508" s="1447">
        <f>SUM(P5509:P5510)</f>
        <v>0.93868774999999993</v>
      </c>
      <c r="Q5508" s="3391"/>
      <c r="R5508" s="2337"/>
    </row>
    <row r="5509" spans="1:18" s="16" customFormat="1">
      <c r="B5509" s="1042"/>
      <c r="C5509" s="88"/>
      <c r="D5509" s="1430" t="s">
        <v>1067</v>
      </c>
      <c r="E5509" s="1857" t="s">
        <v>1508</v>
      </c>
      <c r="F5509" s="1403" t="s">
        <v>5</v>
      </c>
      <c r="G5509" s="1991">
        <v>1</v>
      </c>
      <c r="H5509" s="1408">
        <f>G5509*$H$5268</f>
        <v>0.25</v>
      </c>
      <c r="I5509" s="1286"/>
      <c r="J5509" s="198"/>
      <c r="K5509" s="1307">
        <f>H5509*K5496</f>
        <v>2.5024999999999999E-2</v>
      </c>
      <c r="L5509" s="1335">
        <f t="shared" ref="L5509:L5510" si="718">K5509*$K$5386</f>
        <v>0</v>
      </c>
      <c r="M5509" s="1302">
        <v>18.28</v>
      </c>
      <c r="N5509" s="1718">
        <f>G5509*M5509</f>
        <v>18.28</v>
      </c>
      <c r="O5509" s="1290">
        <f>H5509*M5509</f>
        <v>4.57</v>
      </c>
      <c r="P5509" s="1332">
        <f>M5509*K5509</f>
        <v>0.457457</v>
      </c>
      <c r="Q5509" s="3391"/>
      <c r="R5509" s="2337"/>
    </row>
    <row r="5510" spans="1:18" s="16" customFormat="1">
      <c r="B5510" s="1042"/>
      <c r="C5510" s="88"/>
      <c r="D5510" s="1430" t="s">
        <v>1077</v>
      </c>
      <c r="E5510" s="1857" t="s">
        <v>1508</v>
      </c>
      <c r="F5510" s="1403" t="s">
        <v>37</v>
      </c>
      <c r="G5510" s="1991">
        <v>1</v>
      </c>
      <c r="H5510" s="1408">
        <f>G5510*$H$5268</f>
        <v>0.25</v>
      </c>
      <c r="I5510" s="197"/>
      <c r="J5510" s="198"/>
      <c r="K5510" s="1307">
        <f>H5510*K5496</f>
        <v>2.5024999999999999E-2</v>
      </c>
      <c r="L5510" s="1335">
        <f t="shared" si="718"/>
        <v>0</v>
      </c>
      <c r="M5510" s="1302">
        <v>19.23</v>
      </c>
      <c r="N5510" s="1718">
        <f>G5510*M5510</f>
        <v>19.23</v>
      </c>
      <c r="O5510" s="1290">
        <f>H5510*M5510</f>
        <v>4.8075000000000001</v>
      </c>
      <c r="P5510" s="1332">
        <f>M5510*K5510</f>
        <v>0.48123074999999998</v>
      </c>
      <c r="Q5510" s="3391"/>
      <c r="R5510" s="2337"/>
    </row>
    <row r="5511" spans="1:18" s="16" customFormat="1">
      <c r="B5511" s="1320"/>
      <c r="C5511" s="595"/>
      <c r="D5511" s="1359"/>
      <c r="E5511" s="1858"/>
      <c r="F5511" s="1361"/>
      <c r="G5511" s="1361"/>
      <c r="H5511" s="1466"/>
      <c r="I5511" s="1299"/>
      <c r="J5511" s="1300"/>
      <c r="K5511" s="1307" t="str">
        <f>IF(COUNT(I5511)=0,"",(I5511*J5511))</f>
        <v/>
      </c>
      <c r="L5511" s="1335"/>
      <c r="M5511" s="1302"/>
      <c r="N5511" s="1700"/>
      <c r="O5511" s="1290"/>
      <c r="P5511" s="1332"/>
      <c r="Q5511" s="3391"/>
      <c r="R5511" s="1296"/>
    </row>
    <row r="5512" spans="1:18" s="16" customFormat="1">
      <c r="B5512" s="1320"/>
      <c r="C5512" s="595"/>
      <c r="D5512" s="1373"/>
      <c r="E5512" s="2123"/>
      <c r="F5512" s="1374" t="s">
        <v>3</v>
      </c>
      <c r="G5512" s="1375"/>
      <c r="H5512" s="1376"/>
      <c r="I5512" s="1382"/>
      <c r="J5512" s="1383"/>
      <c r="K5512" s="1383" t="str">
        <f>IF(COUNT(I5512)=0,"",(I5512*J5512))</f>
        <v/>
      </c>
      <c r="L5512" s="1413"/>
      <c r="M5512" s="1376"/>
      <c r="N5512" s="1376"/>
      <c r="O5512" s="1376"/>
      <c r="P5512" s="1373"/>
      <c r="Q5512" s="3387"/>
      <c r="R5512" s="1296"/>
    </row>
    <row r="5513" spans="1:18" s="16" customFormat="1">
      <c r="B5513" s="1321"/>
      <c r="C5513" s="2021"/>
      <c r="D5513" s="1377"/>
      <c r="E5513" s="2124"/>
      <c r="F5513" s="1378"/>
      <c r="G5513" s="1378"/>
      <c r="H5513" s="1379"/>
      <c r="I5513" s="1299"/>
      <c r="J5513" s="1300"/>
      <c r="K5513" s="1307"/>
      <c r="L5513" s="1335"/>
      <c r="M5513" s="1302"/>
      <c r="N5513" s="1700"/>
      <c r="O5513" s="1290"/>
      <c r="P5513" s="1332"/>
      <c r="Q5513" s="3391"/>
      <c r="R5513" s="1296"/>
    </row>
    <row r="5514" spans="1:18" s="16" customFormat="1">
      <c r="B5514" s="1321"/>
      <c r="C5514" s="2021"/>
      <c r="D5514" s="1377"/>
      <c r="E5514" s="2124"/>
      <c r="F5514" s="1378"/>
      <c r="G5514" s="1378"/>
      <c r="H5514" s="1379"/>
      <c r="I5514" s="1299"/>
      <c r="J5514" s="1300"/>
      <c r="K5514" s="1307"/>
      <c r="L5514" s="1335"/>
      <c r="M5514" s="1302"/>
      <c r="N5514" s="1700"/>
      <c r="O5514" s="1290"/>
      <c r="P5514" s="1333"/>
      <c r="Q5514" s="3391"/>
      <c r="R5514" s="1296"/>
    </row>
    <row r="5515" spans="1:18" s="16" customFormat="1">
      <c r="B5515" s="225"/>
      <c r="C5515" s="581"/>
      <c r="D5515" s="1373"/>
      <c r="E5515" s="2161"/>
      <c r="F5515" s="1678"/>
      <c r="G5515" s="1678"/>
      <c r="H5515" s="1376"/>
      <c r="I5515" s="1299"/>
      <c r="J5515" s="1300"/>
      <c r="K5515" s="1307"/>
      <c r="L5515" s="1335"/>
      <c r="M5515" s="1302"/>
      <c r="N5515" s="1700"/>
      <c r="O5515" s="1290"/>
      <c r="P5515" s="1332"/>
      <c r="Q5515" s="3391"/>
      <c r="R5515" s="1296"/>
    </row>
    <row r="5516" spans="1:18">
      <c r="A5516" s="18" t="s">
        <v>3764</v>
      </c>
      <c r="B5516" s="4367" t="s">
        <v>2030</v>
      </c>
      <c r="C5516" s="4143"/>
      <c r="D5516" s="4368"/>
      <c r="E5516" s="4329" t="s">
        <v>1527</v>
      </c>
      <c r="F5516" s="4336" t="s">
        <v>2031</v>
      </c>
      <c r="G5516" s="4331" t="s">
        <v>1568</v>
      </c>
      <c r="H5516" s="4331" t="s">
        <v>1574</v>
      </c>
      <c r="I5516" s="1572" t="s">
        <v>1559</v>
      </c>
      <c r="J5516" s="1294" t="s">
        <v>1560</v>
      </c>
      <c r="K5516" s="1294" t="s">
        <v>1569</v>
      </c>
      <c r="L5516" s="4333" t="s">
        <v>3765</v>
      </c>
      <c r="M5516" s="4335" t="s">
        <v>1571</v>
      </c>
      <c r="N5516" s="4323" t="s">
        <v>1776</v>
      </c>
      <c r="O5516" s="4141" t="s">
        <v>1563</v>
      </c>
      <c r="P5516" s="1336" t="s">
        <v>1562</v>
      </c>
      <c r="Q5516" s="3389"/>
      <c r="R5516" s="1699" t="s">
        <v>1327</v>
      </c>
    </row>
    <row r="5517" spans="1:18">
      <c r="A5517" s="1662" t="s">
        <v>3854</v>
      </c>
      <c r="B5517" s="4369"/>
      <c r="C5517" s="4142"/>
      <c r="D5517" s="4328"/>
      <c r="E5517" s="4330"/>
      <c r="F5517" s="4336"/>
      <c r="G5517" s="4332"/>
      <c r="H5517" s="4332"/>
      <c r="I5517" s="1345">
        <v>27</v>
      </c>
      <c r="J5517" s="1307">
        <v>1.0999999999999999E-2</v>
      </c>
      <c r="K5517" s="1297">
        <f>I5517*J5517</f>
        <v>0.29699999999999999</v>
      </c>
      <c r="L5517" s="4334"/>
      <c r="M5517" s="4335"/>
      <c r="N5517" s="4324"/>
      <c r="O5517" s="1298">
        <f>SUM(O5519:O5525)</f>
        <v>13.478000000000002</v>
      </c>
      <c r="P5517" s="1337">
        <f>O5517*K5517</f>
        <v>4.0029660000000007</v>
      </c>
      <c r="Q5517" s="3390"/>
      <c r="R5517" s="1721">
        <f>P5519+P5520+P5521+P5525</f>
        <v>4.0029660000000007</v>
      </c>
    </row>
    <row r="5518" spans="1:18">
      <c r="A5518" s="1320"/>
      <c r="B5518" s="22"/>
      <c r="C5518" s="1327"/>
      <c r="D5518" s="1367"/>
      <c r="E5518" s="2121"/>
      <c r="F5518" s="1389" t="s">
        <v>1</v>
      </c>
      <c r="G5518" s="1389"/>
      <c r="H5518" s="1369"/>
      <c r="I5518" s="1409"/>
      <c r="J5518" s="1390"/>
      <c r="K5518" s="1391"/>
      <c r="L5518" s="1559"/>
      <c r="M5518" s="1369"/>
      <c r="N5518" s="1369"/>
      <c r="O5518" s="1369"/>
      <c r="P5518" s="1392"/>
      <c r="Q5518" s="3395"/>
      <c r="R5518" s="1296"/>
    </row>
    <row r="5519" spans="1:18">
      <c r="A5519" s="1042"/>
      <c r="B5519" s="22"/>
      <c r="C5519" s="1042"/>
      <c r="D5519" s="1598" t="s">
        <v>2032</v>
      </c>
      <c r="E5519" s="2154" t="s">
        <v>1527</v>
      </c>
      <c r="F5519" s="1598" t="s">
        <v>2033</v>
      </c>
      <c r="G5519" s="1612">
        <v>1.1000000000000001</v>
      </c>
      <c r="H5519" s="1674"/>
      <c r="I5519" s="1299"/>
      <c r="J5519" s="1300"/>
      <c r="K5519" s="1307">
        <f>G5519*K5517</f>
        <v>0.32669999999999999</v>
      </c>
      <c r="L5519" s="1335">
        <f t="shared" ref="L5519:L5521" si="719">K5519*$K$5386</f>
        <v>0</v>
      </c>
      <c r="M5519" s="1302">
        <v>2.66</v>
      </c>
      <c r="N5519" s="1700"/>
      <c r="O5519" s="1290">
        <f>G5519*M5519</f>
        <v>2.9260000000000006</v>
      </c>
      <c r="P5519" s="1332">
        <f>M5519*K5519</f>
        <v>0.86902200000000007</v>
      </c>
      <c r="Q5519" s="3391"/>
      <c r="R5519" s="1296"/>
    </row>
    <row r="5520" spans="1:18">
      <c r="A5520" s="1042"/>
      <c r="B5520" s="22"/>
      <c r="C5520" s="1042"/>
      <c r="D5520" s="1598" t="s">
        <v>1082</v>
      </c>
      <c r="E5520" s="2154" t="s">
        <v>1504</v>
      </c>
      <c r="F5520" s="1598" t="s">
        <v>1541</v>
      </c>
      <c r="G5520" s="1612">
        <v>1</v>
      </c>
      <c r="H5520" s="1674"/>
      <c r="I5520" s="1299"/>
      <c r="J5520" s="1300"/>
      <c r="K5520" s="1307">
        <f>G5520*K5517</f>
        <v>0.29699999999999999</v>
      </c>
      <c r="L5520" s="1335">
        <f t="shared" si="719"/>
        <v>0</v>
      </c>
      <c r="M5520" s="1302">
        <v>0.3</v>
      </c>
      <c r="N5520" s="1700"/>
      <c r="O5520" s="1290">
        <f>G5520*M5520</f>
        <v>0.3</v>
      </c>
      <c r="P5520" s="1332">
        <f>M5520*K5520</f>
        <v>8.9099999999999999E-2</v>
      </c>
      <c r="Q5520" s="3391"/>
      <c r="R5520" s="1296"/>
    </row>
    <row r="5521" spans="1:22">
      <c r="A5521" s="1042"/>
      <c r="B5521" s="22"/>
      <c r="C5521" s="1042"/>
      <c r="D5521" s="1598" t="s">
        <v>1097</v>
      </c>
      <c r="E5521" s="2154" t="s">
        <v>1504</v>
      </c>
      <c r="F5521" s="1598" t="s">
        <v>1632</v>
      </c>
      <c r="G5521" s="1612">
        <v>5</v>
      </c>
      <c r="H5521" s="1674"/>
      <c r="I5521" s="1299"/>
      <c r="J5521" s="1300"/>
      <c r="K5521" s="1307">
        <f>G5521*K5517</f>
        <v>1.4849999999999999</v>
      </c>
      <c r="L5521" s="1335">
        <f t="shared" si="719"/>
        <v>0</v>
      </c>
      <c r="M5521" s="1302">
        <v>0.55000000000000004</v>
      </c>
      <c r="N5521" s="1700"/>
      <c r="O5521" s="1290">
        <f>G5521*M5521</f>
        <v>2.75</v>
      </c>
      <c r="P5521" s="1332">
        <f>M5521*K5521</f>
        <v>0.81674999999999998</v>
      </c>
      <c r="Q5521" s="3391"/>
      <c r="R5521" s="1296"/>
    </row>
    <row r="5522" spans="1:22">
      <c r="A5522" s="1042"/>
      <c r="B5522" s="22"/>
      <c r="C5522" s="1042"/>
      <c r="D5522" s="1367"/>
      <c r="E5522" s="2121"/>
      <c r="F5522" s="1436"/>
      <c r="G5522" s="1436"/>
      <c r="H5522" s="1369"/>
      <c r="I5522" s="1299" t="str">
        <f t="shared" ref="I5522:I5523" ca="1" si="720">IF(COUNT(H5522:O5522)=0,"",(SUM(H5522:O5522)/COUNT(H5522:O5522)))</f>
        <v/>
      </c>
      <c r="J5522" s="1300"/>
      <c r="K5522" s="1307" t="str">
        <f t="shared" ref="K5522:K5523" ca="1" si="721">IF(COUNT(I5522)=0,"",(I5522*J5522))</f>
        <v/>
      </c>
      <c r="L5522" s="1335"/>
      <c r="M5522" s="1302"/>
      <c r="N5522" s="1700"/>
      <c r="O5522" s="1290"/>
      <c r="P5522" s="1332"/>
      <c r="Q5522" s="3391"/>
      <c r="R5522" s="1296"/>
    </row>
    <row r="5523" spans="1:22">
      <c r="A5523" s="1042"/>
      <c r="B5523" s="22"/>
      <c r="C5523" s="1042"/>
      <c r="D5523" s="1367"/>
      <c r="E5523" s="2121"/>
      <c r="F5523" s="1436"/>
      <c r="G5523" s="1436"/>
      <c r="H5523" s="1369"/>
      <c r="I5523" s="1299" t="str">
        <f t="shared" ca="1" si="720"/>
        <v/>
      </c>
      <c r="J5523" s="1300"/>
      <c r="K5523" s="1307" t="str">
        <f t="shared" ca="1" si="721"/>
        <v/>
      </c>
      <c r="L5523" s="1335"/>
      <c r="M5523" s="1302"/>
      <c r="N5523" s="1700"/>
      <c r="O5523" s="1290"/>
      <c r="P5523" s="1332"/>
      <c r="Q5523" s="3391"/>
      <c r="R5523" s="1296"/>
    </row>
    <row r="5524" spans="1:22">
      <c r="A5524" s="1042"/>
      <c r="B5524" s="22"/>
      <c r="C5524" s="1042"/>
      <c r="D5524" s="1359"/>
      <c r="E5524" s="1858"/>
      <c r="F5524" s="1360" t="s">
        <v>2</v>
      </c>
      <c r="G5524" s="1360"/>
      <c r="H5524" s="1362"/>
      <c r="I5524" s="1380"/>
      <c r="J5524" s="1381"/>
      <c r="K5524" s="1381"/>
      <c r="L5524" s="1458"/>
      <c r="M5524" s="1362"/>
      <c r="N5524" s="1362"/>
      <c r="O5524" s="1362"/>
      <c r="P5524" s="1359"/>
      <c r="Q5524" s="3387"/>
    </row>
    <row r="5525" spans="1:22">
      <c r="A5525" s="16"/>
      <c r="B5525" s="1042"/>
      <c r="C5525" s="1652" t="s">
        <v>1755</v>
      </c>
      <c r="D5525" s="1461"/>
      <c r="E5525" s="2163" t="s">
        <v>1508</v>
      </c>
      <c r="F5525" s="1648" t="s">
        <v>1524</v>
      </c>
      <c r="G5525" s="1990"/>
      <c r="H5525" s="1456">
        <v>0.2</v>
      </c>
      <c r="I5525" s="1444"/>
      <c r="J5525" s="1388"/>
      <c r="K5525" s="1445"/>
      <c r="L5525" s="1457"/>
      <c r="M5525" s="1447"/>
      <c r="N5525" s="1447">
        <f>SUM(N5526:N5527)</f>
        <v>37.510000000000005</v>
      </c>
      <c r="O5525" s="1447">
        <f>SUM(O5526:O5527)</f>
        <v>7.5020000000000007</v>
      </c>
      <c r="P5525" s="1447">
        <f>SUM(P5526:P5527)</f>
        <v>2.2280940000000005</v>
      </c>
      <c r="Q5525" s="3391"/>
      <c r="R5525" s="2337"/>
      <c r="S5525" s="16"/>
      <c r="T5525" s="16"/>
      <c r="U5525" s="16"/>
      <c r="V5525" s="16"/>
    </row>
    <row r="5526" spans="1:22">
      <c r="A5526" s="16"/>
      <c r="B5526" s="1042"/>
      <c r="C5526" s="88"/>
      <c r="D5526" s="1430" t="s">
        <v>1067</v>
      </c>
      <c r="E5526" s="1857" t="s">
        <v>1508</v>
      </c>
      <c r="F5526" s="1403" t="s">
        <v>5</v>
      </c>
      <c r="G5526" s="1991">
        <v>1</v>
      </c>
      <c r="H5526" s="1408">
        <f>G5526*$H$5207</f>
        <v>0.2</v>
      </c>
      <c r="I5526" s="1286"/>
      <c r="J5526" s="198"/>
      <c r="K5526" s="1307">
        <f>H5526*K5517</f>
        <v>5.9400000000000001E-2</v>
      </c>
      <c r="L5526" s="1335">
        <f t="shared" ref="L5526:L5527" si="722">K5526*$K$5386</f>
        <v>0</v>
      </c>
      <c r="M5526" s="1302">
        <v>18.28</v>
      </c>
      <c r="N5526" s="1718">
        <f>G5526*M5526</f>
        <v>18.28</v>
      </c>
      <c r="O5526" s="1290">
        <f>H5526*M5526</f>
        <v>3.6560000000000006</v>
      </c>
      <c r="P5526" s="1332">
        <f>M5526*K5526</f>
        <v>1.0858320000000001</v>
      </c>
      <c r="Q5526" s="3391"/>
      <c r="R5526" s="2337"/>
      <c r="S5526" s="16"/>
      <c r="T5526" s="16"/>
      <c r="U5526" s="16"/>
      <c r="V5526" s="16"/>
    </row>
    <row r="5527" spans="1:22">
      <c r="A5527" s="16"/>
      <c r="B5527" s="1042"/>
      <c r="C5527" s="88"/>
      <c r="D5527" s="1430" t="s">
        <v>1077</v>
      </c>
      <c r="E5527" s="1857" t="s">
        <v>1508</v>
      </c>
      <c r="F5527" s="1403" t="s">
        <v>37</v>
      </c>
      <c r="G5527" s="1991">
        <v>1</v>
      </c>
      <c r="H5527" s="1408">
        <f>G5527*$H$5207</f>
        <v>0.2</v>
      </c>
      <c r="I5527" s="197"/>
      <c r="J5527" s="198"/>
      <c r="K5527" s="1307">
        <f>H5527*K5517</f>
        <v>5.9400000000000001E-2</v>
      </c>
      <c r="L5527" s="1335">
        <f t="shared" si="722"/>
        <v>0</v>
      </c>
      <c r="M5527" s="1302">
        <v>19.23</v>
      </c>
      <c r="N5527" s="1718">
        <f>G5527*M5527</f>
        <v>19.23</v>
      </c>
      <c r="O5527" s="1290">
        <f>H5527*M5527</f>
        <v>3.8460000000000001</v>
      </c>
      <c r="P5527" s="1332">
        <f>M5527*K5527</f>
        <v>1.1422620000000001</v>
      </c>
      <c r="Q5527" s="3391"/>
      <c r="R5527" s="2337"/>
      <c r="S5527" s="16"/>
      <c r="T5527" s="16"/>
      <c r="U5527" s="16"/>
      <c r="V5527" s="16"/>
    </row>
    <row r="5528" spans="1:22">
      <c r="A5528" s="1320"/>
      <c r="B5528" s="22"/>
      <c r="C5528" s="1320"/>
      <c r="D5528" s="1359"/>
      <c r="E5528" s="1858"/>
      <c r="F5528" s="1361"/>
      <c r="G5528" s="1361"/>
      <c r="H5528" s="1466"/>
      <c r="I5528" s="1299"/>
      <c r="J5528" s="1300"/>
      <c r="K5528" s="1307" t="str">
        <f>IF(COUNT(I5528)=0,"",(I5528*J5528))</f>
        <v/>
      </c>
      <c r="L5528" s="1335"/>
      <c r="M5528" s="1302"/>
      <c r="N5528" s="1700"/>
      <c r="O5528" s="1290"/>
      <c r="P5528" s="1332"/>
      <c r="Q5528" s="3391"/>
      <c r="R5528" s="1296"/>
    </row>
    <row r="5529" spans="1:22">
      <c r="A5529" s="1320"/>
      <c r="B5529" s="22"/>
      <c r="C5529" s="1320"/>
      <c r="D5529" s="1373"/>
      <c r="E5529" s="2123"/>
      <c r="F5529" s="1374" t="s">
        <v>3</v>
      </c>
      <c r="G5529" s="1375"/>
      <c r="H5529" s="1376"/>
      <c r="I5529" s="1382"/>
      <c r="J5529" s="1383"/>
      <c r="K5529" s="1383" t="str">
        <f>IF(COUNT(I5529)=0,"",(I5529*J5529))</f>
        <v/>
      </c>
      <c r="L5529" s="1413"/>
      <c r="M5529" s="1376"/>
      <c r="N5529" s="1376"/>
      <c r="O5529" s="1376"/>
      <c r="P5529" s="1373"/>
      <c r="Q5529" s="3387"/>
      <c r="R5529" s="1296"/>
    </row>
    <row r="5530" spans="1:22">
      <c r="A5530" s="1321"/>
      <c r="B5530" s="1295"/>
      <c r="C5530" s="1321"/>
      <c r="D5530" s="1377"/>
      <c r="E5530" s="2124"/>
      <c r="F5530" s="1378"/>
      <c r="G5530" s="1378"/>
      <c r="H5530" s="1379"/>
      <c r="I5530" s="1299"/>
      <c r="J5530" s="1300"/>
      <c r="K5530" s="1307"/>
      <c r="L5530" s="1335"/>
      <c r="M5530" s="1302"/>
      <c r="N5530" s="1700"/>
      <c r="O5530" s="1290"/>
      <c r="P5530" s="1332"/>
      <c r="Q5530" s="3391"/>
      <c r="R5530" s="1296"/>
    </row>
    <row r="5531" spans="1:22">
      <c r="A5531" s="1321"/>
      <c r="B5531" s="1295"/>
      <c r="C5531" s="1321"/>
      <c r="D5531" s="1377"/>
      <c r="E5531" s="2124"/>
      <c r="F5531" s="1378"/>
      <c r="G5531" s="1378"/>
      <c r="H5531" s="1379"/>
      <c r="I5531" s="1299"/>
      <c r="J5531" s="1300"/>
      <c r="K5531" s="1307"/>
      <c r="L5531" s="1335"/>
      <c r="M5531" s="1302"/>
      <c r="N5531" s="1700"/>
      <c r="O5531" s="1290"/>
      <c r="P5531" s="1333"/>
      <c r="Q5531" s="3391"/>
      <c r="R5531" s="1296"/>
    </row>
    <row r="5532" spans="1:22">
      <c r="A5532" s="1042"/>
      <c r="B5532" s="1765"/>
      <c r="C5532" s="223"/>
      <c r="D5532" s="1373"/>
      <c r="E5532" s="2161"/>
      <c r="F5532" s="1678"/>
      <c r="G5532" s="1678"/>
      <c r="H5532" s="1376"/>
      <c r="I5532" s="1299"/>
      <c r="J5532" s="1300"/>
      <c r="K5532" s="1307"/>
      <c r="L5532" s="1335"/>
      <c r="M5532" s="1302"/>
      <c r="N5532" s="1700"/>
      <c r="O5532" s="1290"/>
      <c r="P5532" s="1332"/>
      <c r="Q5532" s="3391"/>
      <c r="R5532" s="1296"/>
    </row>
    <row r="5533" spans="1:22" s="16" customFormat="1">
      <c r="A5533" s="18" t="s">
        <v>3764</v>
      </c>
      <c r="B5533" s="4370" t="s">
        <v>2034</v>
      </c>
      <c r="C5533" s="3972"/>
      <c r="D5533" s="4371"/>
      <c r="E5533" s="4329" t="s">
        <v>1527</v>
      </c>
      <c r="F5533" s="4336" t="s">
        <v>2035</v>
      </c>
      <c r="G5533" s="4331" t="s">
        <v>1568</v>
      </c>
      <c r="H5533" s="4331" t="s">
        <v>1574</v>
      </c>
      <c r="I5533" s="1572" t="s">
        <v>1559</v>
      </c>
      <c r="J5533" s="1294" t="s">
        <v>1560</v>
      </c>
      <c r="K5533" s="1294" t="s">
        <v>1569</v>
      </c>
      <c r="L5533" s="4333" t="s">
        <v>3765</v>
      </c>
      <c r="M5533" s="4335" t="s">
        <v>1571</v>
      </c>
      <c r="N5533" s="4323" t="s">
        <v>1776</v>
      </c>
      <c r="O5533" s="4141" t="s">
        <v>1563</v>
      </c>
      <c r="P5533" s="1336" t="s">
        <v>1562</v>
      </c>
      <c r="Q5533" s="3389"/>
      <c r="R5533" s="1699" t="s">
        <v>1327</v>
      </c>
    </row>
    <row r="5534" spans="1:22" s="16" customFormat="1">
      <c r="A5534" s="1662" t="s">
        <v>3854</v>
      </c>
      <c r="B5534" s="4326"/>
      <c r="C5534" s="4142"/>
      <c r="D5534" s="4328"/>
      <c r="E5534" s="4330"/>
      <c r="F5534" s="4336"/>
      <c r="G5534" s="4332"/>
      <c r="H5534" s="4332"/>
      <c r="I5534" s="1345">
        <v>9.1</v>
      </c>
      <c r="J5534" s="1307">
        <v>1.0999999999999999E-2</v>
      </c>
      <c r="K5534" s="1297">
        <f>I5534*J5534</f>
        <v>0.10009999999999999</v>
      </c>
      <c r="L5534" s="4334"/>
      <c r="M5534" s="4335"/>
      <c r="N5534" s="4324"/>
      <c r="O5534" s="1298">
        <f>O5536+O5537+O5545</f>
        <v>15.717259080000002</v>
      </c>
      <c r="P5534" s="1337">
        <f>O5534*K5534</f>
        <v>1.573297633908</v>
      </c>
      <c r="Q5534" s="3390"/>
      <c r="R5534" s="1721">
        <f>P5536+P5537+P5545</f>
        <v>1.573297633908</v>
      </c>
    </row>
    <row r="5535" spans="1:22" s="16" customFormat="1">
      <c r="B5535" s="3952"/>
      <c r="C5535" s="3981"/>
      <c r="D5535" s="1400"/>
      <c r="E5535" s="2121"/>
      <c r="F5535" s="1389" t="s">
        <v>1</v>
      </c>
      <c r="G5535" s="1389"/>
      <c r="H5535" s="1369"/>
      <c r="I5535" s="1409"/>
      <c r="J5535" s="1390"/>
      <c r="K5535" s="1391"/>
      <c r="L5535" s="1559"/>
      <c r="M5535" s="1369"/>
      <c r="N5535" s="1369"/>
      <c r="O5535" s="1369"/>
      <c r="P5535" s="1392"/>
      <c r="Q5535" s="3395"/>
      <c r="R5535" s="1296"/>
    </row>
    <row r="5536" spans="1:22" s="16" customFormat="1">
      <c r="B5536" s="1320"/>
      <c r="C5536" s="1512"/>
      <c r="D5536" s="1610" t="s">
        <v>1138</v>
      </c>
      <c r="E5536" s="2154" t="s">
        <v>1504</v>
      </c>
      <c r="F5536" s="1598" t="s">
        <v>2036</v>
      </c>
      <c r="G5536" s="1612">
        <v>5.4</v>
      </c>
      <c r="H5536" s="1390"/>
      <c r="I5536" s="1299"/>
      <c r="J5536" s="1300"/>
      <c r="K5536" s="1307">
        <f>G5536*K5534</f>
        <v>0.54054000000000002</v>
      </c>
      <c r="L5536" s="1335">
        <f t="shared" ref="L5536" si="723">K5536*$K$5386</f>
        <v>0</v>
      </c>
      <c r="M5536" s="1302">
        <v>0.32</v>
      </c>
      <c r="N5536" s="1700"/>
      <c r="O5536" s="1290">
        <f>G5536*M5536</f>
        <v>1.7280000000000002</v>
      </c>
      <c r="P5536" s="1332">
        <f>M5536*K5536</f>
        <v>0.17297280000000001</v>
      </c>
      <c r="Q5536" s="3391"/>
      <c r="R5536" s="1296"/>
    </row>
    <row r="5537" spans="2:18" s="16" customFormat="1">
      <c r="B5537" s="1042"/>
      <c r="C5537" s="4147" t="s">
        <v>1137</v>
      </c>
      <c r="D5537" s="1311"/>
      <c r="E5537" s="2137" t="s">
        <v>1517</v>
      </c>
      <c r="F5537" s="1319" t="s">
        <v>2037</v>
      </c>
      <c r="G5537" s="1353"/>
      <c r="H5537" s="1456">
        <v>0.10299999999999999</v>
      </c>
      <c r="I5537" s="1444"/>
      <c r="J5537" s="1388"/>
      <c r="K5537" s="1445"/>
      <c r="L5537" s="1457"/>
      <c r="M5537" s="1447"/>
      <c r="N5537" s="1447">
        <f>SUM(N5538:N5541)</f>
        <v>44.774360000000001</v>
      </c>
      <c r="O5537" s="1447">
        <f>SUM(O5538:O5541)</f>
        <v>4.6117590800000006</v>
      </c>
      <c r="P5537" s="1446">
        <f>SUM(P5538:P5541)</f>
        <v>0.46163708390800007</v>
      </c>
      <c r="Q5537" s="3391"/>
      <c r="R5537" s="2337"/>
    </row>
    <row r="5538" spans="2:18" s="16" customFormat="1">
      <c r="B5538" s="1042"/>
      <c r="C5538" s="3981"/>
      <c r="D5538" s="1400" t="s">
        <v>1069</v>
      </c>
      <c r="E5538" s="1856" t="s">
        <v>1517</v>
      </c>
      <c r="F5538" s="1397" t="s">
        <v>1578</v>
      </c>
      <c r="G5538" s="1416">
        <v>0.25800000000000001</v>
      </c>
      <c r="H5538" s="1399">
        <f>G5538*$H$5219</f>
        <v>2.6574E-2</v>
      </c>
      <c r="I5538" s="197"/>
      <c r="J5538" s="198"/>
      <c r="K5538" s="1307">
        <f>H5538*K5534</f>
        <v>2.6600574000000001E-3</v>
      </c>
      <c r="L5538" s="1335">
        <f t="shared" ref="L5538:L5541" si="724">K5538*$K$5386</f>
        <v>0</v>
      </c>
      <c r="M5538" s="1302">
        <v>0.55000000000000004</v>
      </c>
      <c r="N5538" s="1718">
        <f>G5538*M5538</f>
        <v>0.14190000000000003</v>
      </c>
      <c r="O5538" s="1290">
        <f>H5538*M5538</f>
        <v>1.4615700000000001E-2</v>
      </c>
      <c r="P5538" s="1332">
        <f>M5538*K5538</f>
        <v>1.4630315700000002E-3</v>
      </c>
      <c r="Q5538" s="3391"/>
      <c r="R5538" s="2337"/>
    </row>
    <row r="5539" spans="2:18" s="16" customFormat="1">
      <c r="B5539" s="1042"/>
      <c r="C5539" s="595"/>
      <c r="D5539" s="1400" t="s">
        <v>1394</v>
      </c>
      <c r="E5539" s="1856" t="s">
        <v>1577</v>
      </c>
      <c r="F5539" s="1397" t="s">
        <v>1579</v>
      </c>
      <c r="G5539" s="1416">
        <v>0.19600000000000001</v>
      </c>
      <c r="H5539" s="1399">
        <f t="shared" ref="H5539:H5541" si="725">G5539*$H$5219</f>
        <v>2.0188000000000001E-2</v>
      </c>
      <c r="I5539" s="197"/>
      <c r="J5539" s="198"/>
      <c r="K5539" s="1307">
        <f>H5539*K5534</f>
        <v>2.0208188E-3</v>
      </c>
      <c r="L5539" s="1335">
        <f t="shared" si="724"/>
        <v>0</v>
      </c>
      <c r="M5539" s="1302">
        <v>92.54</v>
      </c>
      <c r="N5539" s="1718">
        <f>G5539*M5539</f>
        <v>18.137840000000001</v>
      </c>
      <c r="O5539" s="1290">
        <f>H5539*M5539</f>
        <v>1.8681975200000003</v>
      </c>
      <c r="P5539" s="1332">
        <f>M5539*K5539</f>
        <v>0.18700657175200003</v>
      </c>
      <c r="Q5539" s="3391"/>
      <c r="R5539" s="2337"/>
    </row>
    <row r="5540" spans="2:18" s="16" customFormat="1">
      <c r="B5540" s="1042"/>
      <c r="C5540" s="595"/>
      <c r="D5540" s="1400" t="s">
        <v>1576</v>
      </c>
      <c r="E5540" s="1856" t="s">
        <v>1517</v>
      </c>
      <c r="F5540" s="1397" t="s">
        <v>1580</v>
      </c>
      <c r="G5540" s="1416">
        <v>1.1739999999999999</v>
      </c>
      <c r="H5540" s="1399">
        <f t="shared" si="725"/>
        <v>0.12092199999999999</v>
      </c>
      <c r="I5540" s="197"/>
      <c r="J5540" s="198"/>
      <c r="K5540" s="1307">
        <f>H5540*K5534</f>
        <v>1.2104292199999998E-2</v>
      </c>
      <c r="L5540" s="1335">
        <f t="shared" si="724"/>
        <v>0</v>
      </c>
      <c r="M5540" s="1302">
        <v>6.53</v>
      </c>
      <c r="N5540" s="1718">
        <f>G5540*M5540</f>
        <v>7.66622</v>
      </c>
      <c r="O5540" s="1290">
        <f>H5540*M5540</f>
        <v>0.78962065999999997</v>
      </c>
      <c r="P5540" s="1332">
        <f>M5540*K5540</f>
        <v>7.9041028065999996E-2</v>
      </c>
      <c r="Q5540" s="3391"/>
      <c r="R5540" s="2337"/>
    </row>
    <row r="5541" spans="2:18" s="16" customFormat="1">
      <c r="B5541" s="1042"/>
      <c r="C5541" s="595"/>
      <c r="D5541" s="1404" t="s">
        <v>1067</v>
      </c>
      <c r="E5541" s="1857" t="s">
        <v>1508</v>
      </c>
      <c r="F5541" s="1406" t="s">
        <v>1512</v>
      </c>
      <c r="G5541" s="1407">
        <v>1.03</v>
      </c>
      <c r="H5541" s="1408">
        <f t="shared" si="725"/>
        <v>0.10609</v>
      </c>
      <c r="I5541" s="197"/>
      <c r="J5541" s="198"/>
      <c r="K5541" s="1307">
        <f>H5541*K5534</f>
        <v>1.0619609E-2</v>
      </c>
      <c r="L5541" s="1335">
        <f t="shared" si="724"/>
        <v>0</v>
      </c>
      <c r="M5541" s="1302">
        <v>18.28</v>
      </c>
      <c r="N5541" s="1718">
        <f>G5541*M5541</f>
        <v>18.828400000000002</v>
      </c>
      <c r="O5541" s="1290">
        <f>H5541*M5541</f>
        <v>1.9393252000000001</v>
      </c>
      <c r="P5541" s="1332">
        <f>M5541*K5541</f>
        <v>0.19412645252000002</v>
      </c>
      <c r="Q5541" s="3391"/>
      <c r="R5541" s="2337"/>
    </row>
    <row r="5542" spans="2:18" s="16" customFormat="1">
      <c r="B5542" s="1320"/>
      <c r="C5542" s="88"/>
      <c r="D5542" s="1672"/>
      <c r="E5542" s="2160"/>
      <c r="F5542" s="1676"/>
      <c r="G5542" s="1676"/>
      <c r="H5542" s="1674"/>
      <c r="I5542" s="1299"/>
      <c r="J5542" s="1300"/>
      <c r="K5542" s="1307"/>
      <c r="L5542" s="1335"/>
      <c r="M5542" s="1302"/>
      <c r="N5542" s="1700"/>
      <c r="O5542" s="1290"/>
      <c r="P5542" s="1332"/>
      <c r="Q5542" s="3391"/>
      <c r="R5542" s="1296"/>
    </row>
    <row r="5543" spans="2:18" s="16" customFormat="1">
      <c r="B5543" s="1320"/>
      <c r="C5543" s="88"/>
      <c r="D5543" s="1367"/>
      <c r="E5543" s="2121"/>
      <c r="F5543" s="1436"/>
      <c r="G5543" s="1436"/>
      <c r="H5543" s="1369"/>
      <c r="I5543" s="1299" t="str">
        <f t="shared" ref="I5543" ca="1" si="726">IF(COUNT(H5543:O5543)=0,"",(SUM(H5543:O5543)/COUNT(H5543:O5543)))</f>
        <v/>
      </c>
      <c r="J5543" s="1300"/>
      <c r="K5543" s="1307" t="str">
        <f t="shared" ref="K5543" ca="1" si="727">IF(COUNT(I5543)=0,"",(I5543*J5543))</f>
        <v/>
      </c>
      <c r="L5543" s="1335"/>
      <c r="M5543" s="1302"/>
      <c r="N5543" s="1700"/>
      <c r="O5543" s="1290"/>
      <c r="P5543" s="1332"/>
      <c r="Q5543" s="3391"/>
      <c r="R5543" s="1296"/>
    </row>
    <row r="5544" spans="2:18" s="16" customFormat="1">
      <c r="B5544" s="1320"/>
      <c r="C5544" s="88"/>
      <c r="D5544" s="1359"/>
      <c r="E5544" s="1858"/>
      <c r="F5544" s="1360" t="s">
        <v>2</v>
      </c>
      <c r="G5544" s="1360"/>
      <c r="H5544" s="1362"/>
      <c r="I5544" s="1380"/>
      <c r="J5544" s="1381"/>
      <c r="K5544" s="1381"/>
      <c r="L5544" s="1458"/>
      <c r="M5544" s="1362"/>
      <c r="N5544" s="1362"/>
      <c r="O5544" s="1362"/>
      <c r="P5544" s="1359"/>
      <c r="Q5544" s="3387"/>
      <c r="R5544" s="2339"/>
    </row>
    <row r="5545" spans="2:18" s="16" customFormat="1">
      <c r="B5545" s="1042"/>
      <c r="C5545" s="1764" t="s">
        <v>1755</v>
      </c>
      <c r="D5545" s="1461"/>
      <c r="E5545" s="2163" t="s">
        <v>1508</v>
      </c>
      <c r="F5545" s="1648" t="s">
        <v>1524</v>
      </c>
      <c r="G5545" s="1990"/>
      <c r="H5545" s="1456">
        <v>0.25</v>
      </c>
      <c r="I5545" s="1444"/>
      <c r="J5545" s="1388"/>
      <c r="K5545" s="1445"/>
      <c r="L5545" s="1457"/>
      <c r="M5545" s="1447"/>
      <c r="N5545" s="1447">
        <f>SUM(N5546:N5547)</f>
        <v>37.510000000000005</v>
      </c>
      <c r="O5545" s="1447">
        <f>SUM(O5546:O5547)</f>
        <v>9.3775000000000013</v>
      </c>
      <c r="P5545" s="1447">
        <f>SUM(P5546:P5547)</f>
        <v>0.93868774999999993</v>
      </c>
      <c r="Q5545" s="3391"/>
      <c r="R5545" s="2337"/>
    </row>
    <row r="5546" spans="2:18" s="16" customFormat="1">
      <c r="B5546" s="1042"/>
      <c r="C5546" s="88"/>
      <c r="D5546" s="1430" t="s">
        <v>1067</v>
      </c>
      <c r="E5546" s="1857" t="s">
        <v>1508</v>
      </c>
      <c r="F5546" s="1403" t="s">
        <v>5</v>
      </c>
      <c r="G5546" s="1991">
        <v>1</v>
      </c>
      <c r="H5546" s="1408">
        <f>G5546*$H$5227</f>
        <v>0.25</v>
      </c>
      <c r="I5546" s="1286"/>
      <c r="J5546" s="198"/>
      <c r="K5546" s="1307">
        <f>H5546*K5534</f>
        <v>2.5024999999999999E-2</v>
      </c>
      <c r="L5546" s="1335">
        <f t="shared" ref="L5546:L5547" si="728">K5546*$K$5386</f>
        <v>0</v>
      </c>
      <c r="M5546" s="1302">
        <v>18.28</v>
      </c>
      <c r="N5546" s="1718">
        <f>G5546*M5546</f>
        <v>18.28</v>
      </c>
      <c r="O5546" s="1290">
        <f>H5546*M5546</f>
        <v>4.57</v>
      </c>
      <c r="P5546" s="1332">
        <f>M5546*K5546</f>
        <v>0.457457</v>
      </c>
      <c r="Q5546" s="3391"/>
      <c r="R5546" s="2337"/>
    </row>
    <row r="5547" spans="2:18" s="16" customFormat="1">
      <c r="B5547" s="1042"/>
      <c r="C5547" s="88"/>
      <c r="D5547" s="1430" t="s">
        <v>1077</v>
      </c>
      <c r="E5547" s="1857" t="s">
        <v>1508</v>
      </c>
      <c r="F5547" s="1403" t="s">
        <v>37</v>
      </c>
      <c r="G5547" s="1991">
        <v>1</v>
      </c>
      <c r="H5547" s="1408">
        <f>G5547*$H$5227</f>
        <v>0.25</v>
      </c>
      <c r="I5547" s="197"/>
      <c r="J5547" s="198"/>
      <c r="K5547" s="1307">
        <f>H5547*K5534</f>
        <v>2.5024999999999999E-2</v>
      </c>
      <c r="L5547" s="1335">
        <f t="shared" si="728"/>
        <v>0</v>
      </c>
      <c r="M5547" s="1302">
        <v>19.23</v>
      </c>
      <c r="N5547" s="1718">
        <f>G5547*M5547</f>
        <v>19.23</v>
      </c>
      <c r="O5547" s="1290">
        <f>H5547*M5547</f>
        <v>4.8075000000000001</v>
      </c>
      <c r="P5547" s="1332">
        <f>M5547*K5547</f>
        <v>0.48123074999999998</v>
      </c>
      <c r="Q5547" s="3391"/>
      <c r="R5547" s="2337"/>
    </row>
    <row r="5548" spans="2:18" s="16" customFormat="1">
      <c r="B5548" s="1320"/>
      <c r="C5548" s="595"/>
      <c r="D5548" s="1359"/>
      <c r="E5548" s="1858"/>
      <c r="F5548" s="1361"/>
      <c r="G5548" s="1361"/>
      <c r="H5548" s="1466"/>
      <c r="I5548" s="1299"/>
      <c r="J5548" s="1300"/>
      <c r="K5548" s="1307" t="str">
        <f>IF(COUNT(I5548)=0,"",(I5548*J5548))</f>
        <v/>
      </c>
      <c r="L5548" s="1335"/>
      <c r="M5548" s="1302"/>
      <c r="N5548" s="1700"/>
      <c r="O5548" s="1290"/>
      <c r="P5548" s="1332"/>
      <c r="Q5548" s="3391"/>
      <c r="R5548" s="1296"/>
    </row>
    <row r="5549" spans="2:18" s="16" customFormat="1">
      <c r="B5549" s="1320"/>
      <c r="C5549" s="595"/>
      <c r="D5549" s="1373"/>
      <c r="E5549" s="2123"/>
      <c r="F5549" s="1374" t="s">
        <v>3</v>
      </c>
      <c r="G5549" s="1375"/>
      <c r="H5549" s="1376"/>
      <c r="I5549" s="1382"/>
      <c r="J5549" s="1383"/>
      <c r="K5549" s="1383" t="str">
        <f>IF(COUNT(I5549)=0,"",(I5549*J5549))</f>
        <v/>
      </c>
      <c r="L5549" s="1413"/>
      <c r="M5549" s="1376"/>
      <c r="N5549" s="1376"/>
      <c r="O5549" s="1376"/>
      <c r="P5549" s="1373"/>
      <c r="Q5549" s="3387"/>
      <c r="R5549" s="1296"/>
    </row>
    <row r="5550" spans="2:18" s="16" customFormat="1">
      <c r="B5550" s="1321"/>
      <c r="C5550" s="2021"/>
      <c r="D5550" s="1377"/>
      <c r="E5550" s="2124"/>
      <c r="F5550" s="1378"/>
      <c r="G5550" s="1378"/>
      <c r="H5550" s="1379"/>
      <c r="I5550" s="1299"/>
      <c r="J5550" s="1300"/>
      <c r="K5550" s="1307"/>
      <c r="L5550" s="1335"/>
      <c r="M5550" s="1302"/>
      <c r="N5550" s="1700"/>
      <c r="O5550" s="1290"/>
      <c r="P5550" s="1332"/>
      <c r="Q5550" s="3391"/>
      <c r="R5550" s="1296"/>
    </row>
    <row r="5551" spans="2:18" s="16" customFormat="1">
      <c r="B5551" s="1321"/>
      <c r="C5551" s="2021"/>
      <c r="D5551" s="1377"/>
      <c r="E5551" s="2124"/>
      <c r="F5551" s="1378"/>
      <c r="G5551" s="1378"/>
      <c r="H5551" s="1379"/>
      <c r="I5551" s="1299"/>
      <c r="J5551" s="1300"/>
      <c r="K5551" s="1307"/>
      <c r="L5551" s="1335"/>
      <c r="M5551" s="1302"/>
      <c r="N5551" s="1700"/>
      <c r="O5551" s="1290"/>
      <c r="P5551" s="1333"/>
      <c r="Q5551" s="3391"/>
      <c r="R5551" s="1296"/>
    </row>
    <row r="5552" spans="2:18" s="16" customFormat="1">
      <c r="B5552" s="225"/>
      <c r="C5552" s="581"/>
      <c r="D5552" s="1373"/>
      <c r="E5552" s="2161"/>
      <c r="F5552" s="1678"/>
      <c r="G5552" s="1678"/>
      <c r="H5552" s="1376"/>
      <c r="I5552" s="1299"/>
      <c r="J5552" s="1300"/>
      <c r="K5552" s="1307"/>
      <c r="L5552" s="1335"/>
      <c r="M5552" s="1302"/>
      <c r="N5552" s="1700"/>
      <c r="O5552" s="1290"/>
      <c r="P5552" s="1332"/>
      <c r="Q5552" s="3391"/>
      <c r="R5552" s="1296"/>
    </row>
    <row r="5553" spans="1:18" s="16" customFormat="1" ht="15" customHeight="1">
      <c r="A5553" s="18" t="s">
        <v>3764</v>
      </c>
      <c r="B5553" s="4325" t="s">
        <v>2049</v>
      </c>
      <c r="C5553" s="4143"/>
      <c r="D5553" s="4368"/>
      <c r="E5553" s="4329" t="s">
        <v>1527</v>
      </c>
      <c r="F5553" s="4336" t="s">
        <v>2050</v>
      </c>
      <c r="G5553" s="4331" t="s">
        <v>1568</v>
      </c>
      <c r="H5553" s="4331" t="s">
        <v>1574</v>
      </c>
      <c r="I5553" s="1572" t="s">
        <v>1559</v>
      </c>
      <c r="J5553" s="1294" t="s">
        <v>1560</v>
      </c>
      <c r="K5553" s="1294" t="s">
        <v>1569</v>
      </c>
      <c r="L5553" s="4333" t="s">
        <v>3765</v>
      </c>
      <c r="M5553" s="4335" t="s">
        <v>1571</v>
      </c>
      <c r="N5553" s="4323" t="s">
        <v>1776</v>
      </c>
      <c r="O5553" s="4141" t="s">
        <v>1563</v>
      </c>
      <c r="P5553" s="1336" t="s">
        <v>1562</v>
      </c>
      <c r="Q5553" s="3389"/>
      <c r="R5553" s="1699" t="s">
        <v>1327</v>
      </c>
    </row>
    <row r="5554" spans="1:18" s="16" customFormat="1">
      <c r="A5554" s="1662" t="s">
        <v>3854</v>
      </c>
      <c r="B5554" s="4326"/>
      <c r="C5554" s="4143"/>
      <c r="D5554" s="4328"/>
      <c r="E5554" s="4330"/>
      <c r="F5554" s="4336"/>
      <c r="G5554" s="4332"/>
      <c r="H5554" s="4332"/>
      <c r="I5554" s="1345">
        <v>27</v>
      </c>
      <c r="J5554" s="1307">
        <v>1.0999999999999999E-2</v>
      </c>
      <c r="K5554" s="1297">
        <f>I5554*J5554</f>
        <v>0.29699999999999999</v>
      </c>
      <c r="L5554" s="4334"/>
      <c r="M5554" s="4335"/>
      <c r="N5554" s="4324"/>
      <c r="O5554" s="1298">
        <f>O5556+O5557+O5564</f>
        <v>19.867230800000002</v>
      </c>
      <c r="P5554" s="1337">
        <f>O5554*K5554</f>
        <v>5.9005675476000006</v>
      </c>
      <c r="Q5554" s="3390"/>
      <c r="R5554" s="1721">
        <f>P5556+P5557+P5564</f>
        <v>5.9005675476000015</v>
      </c>
    </row>
    <row r="5555" spans="1:18" s="16" customFormat="1">
      <c r="B5555" s="1949"/>
      <c r="C5555" s="1327"/>
      <c r="D5555" s="1400"/>
      <c r="E5555" s="2121"/>
      <c r="F5555" s="1389" t="s">
        <v>1</v>
      </c>
      <c r="G5555" s="1389"/>
      <c r="H5555" s="1369"/>
      <c r="I5555" s="1409"/>
      <c r="J5555" s="1390"/>
      <c r="K5555" s="1391"/>
      <c r="L5555" s="1559"/>
      <c r="M5555" s="1369"/>
      <c r="N5555" s="1369"/>
      <c r="O5555" s="1369"/>
      <c r="P5555" s="1392"/>
      <c r="Q5555" s="3395"/>
      <c r="R5555" s="1296"/>
    </row>
    <row r="5556" spans="1:18" s="16" customFormat="1">
      <c r="B5556" s="1599"/>
      <c r="C5556" s="1320"/>
      <c r="D5556" s="2026" t="s">
        <v>1138</v>
      </c>
      <c r="E5556" s="2154" t="s">
        <v>1504</v>
      </c>
      <c r="F5556" s="1598" t="s">
        <v>2044</v>
      </c>
      <c r="G5556" s="1612">
        <v>11</v>
      </c>
      <c r="H5556" s="1390"/>
      <c r="I5556" s="1289"/>
      <c r="J5556" s="8"/>
      <c r="K5556" s="1307">
        <f>G5556*K5554</f>
        <v>3.2669999999999999</v>
      </c>
      <c r="L5556" s="1335">
        <f t="shared" ref="L5556" si="729">K5556*$K$5386</f>
        <v>0</v>
      </c>
      <c r="M5556" s="1302">
        <v>0.32</v>
      </c>
      <c r="N5556" s="1700"/>
      <c r="O5556" s="1290">
        <f>G5556*M5556</f>
        <v>3.52</v>
      </c>
      <c r="P5556" s="1332">
        <f>M5556*K5556</f>
        <v>1.0454399999999999</v>
      </c>
      <c r="Q5556" s="3391"/>
      <c r="R5556" s="1296"/>
    </row>
    <row r="5557" spans="1:18" s="16" customFormat="1">
      <c r="B5557" s="1042"/>
      <c r="C5557" s="1356" t="s">
        <v>1137</v>
      </c>
      <c r="D5557" s="1311"/>
      <c r="E5557" s="2137" t="s">
        <v>1517</v>
      </c>
      <c r="F5557" s="1319" t="s">
        <v>2037</v>
      </c>
      <c r="G5557" s="1353"/>
      <c r="H5557" s="1456">
        <v>0.03</v>
      </c>
      <c r="I5557" s="1444"/>
      <c r="J5557" s="1388"/>
      <c r="K5557" s="1445"/>
      <c r="L5557" s="1457"/>
      <c r="M5557" s="1447"/>
      <c r="N5557" s="1447">
        <f>SUM(N5558:N5561)</f>
        <v>44.774360000000001</v>
      </c>
      <c r="O5557" s="1447">
        <f>SUM(O5558:O5561)</f>
        <v>1.3432308000000002</v>
      </c>
      <c r="P5557" s="1446">
        <f>SUM(P5558:P5561)</f>
        <v>0.39893954760000006</v>
      </c>
      <c r="Q5557" s="3391"/>
      <c r="R5557" s="2337"/>
    </row>
    <row r="5558" spans="1:18" s="16" customFormat="1">
      <c r="B5558" s="1042"/>
      <c r="C5558" s="1511"/>
      <c r="D5558" s="1400" t="s">
        <v>1069</v>
      </c>
      <c r="E5558" s="1856" t="s">
        <v>1517</v>
      </c>
      <c r="F5558" s="1397" t="s">
        <v>1578</v>
      </c>
      <c r="G5558" s="1416">
        <v>0.25800000000000001</v>
      </c>
      <c r="H5558" s="1399">
        <f>G5558*$H$5301</f>
        <v>7.7400000000000004E-3</v>
      </c>
      <c r="I5558" s="197"/>
      <c r="J5558" s="198"/>
      <c r="K5558" s="1307">
        <f>H5558*K5554</f>
        <v>2.2987799999999998E-3</v>
      </c>
      <c r="L5558" s="1335">
        <f t="shared" ref="L5558:L5561" si="730">K5558*$K$5386</f>
        <v>0</v>
      </c>
      <c r="M5558" s="1302">
        <v>0.55000000000000004</v>
      </c>
      <c r="N5558" s="1718">
        <f>G5558*M5558</f>
        <v>0.14190000000000003</v>
      </c>
      <c r="O5558" s="1290">
        <f>H5558*M5558</f>
        <v>4.2570000000000004E-3</v>
      </c>
      <c r="P5558" s="1332">
        <f>M5558*K5558</f>
        <v>1.264329E-3</v>
      </c>
      <c r="Q5558" s="3391"/>
      <c r="R5558" s="2337"/>
    </row>
    <row r="5559" spans="1:18" s="16" customFormat="1">
      <c r="B5559" s="1042"/>
      <c r="C5559" s="595"/>
      <c r="D5559" s="1400" t="s">
        <v>1394</v>
      </c>
      <c r="E5559" s="1856" t="s">
        <v>1577</v>
      </c>
      <c r="F5559" s="1397" t="s">
        <v>1579</v>
      </c>
      <c r="G5559" s="1416">
        <v>0.19600000000000001</v>
      </c>
      <c r="H5559" s="1399">
        <f t="shared" ref="H5559:H5561" si="731">G5559*$H$5301</f>
        <v>5.8799999999999998E-3</v>
      </c>
      <c r="I5559" s="197"/>
      <c r="J5559" s="198"/>
      <c r="K5559" s="1307">
        <f>H5559*K5554</f>
        <v>1.74636E-3</v>
      </c>
      <c r="L5559" s="1335">
        <f t="shared" si="730"/>
        <v>0</v>
      </c>
      <c r="M5559" s="1302">
        <v>92.54</v>
      </c>
      <c r="N5559" s="1718">
        <f>G5559*M5559</f>
        <v>18.137840000000001</v>
      </c>
      <c r="O5559" s="1290">
        <f>H5559*M5559</f>
        <v>0.54413520000000004</v>
      </c>
      <c r="P5559" s="1332">
        <f>M5559*K5559</f>
        <v>0.16160815440000001</v>
      </c>
      <c r="Q5559" s="3391"/>
      <c r="R5559" s="2337"/>
    </row>
    <row r="5560" spans="1:18" s="16" customFormat="1">
      <c r="B5560" s="1042"/>
      <c r="C5560" s="595"/>
      <c r="D5560" s="1400" t="s">
        <v>1576</v>
      </c>
      <c r="E5560" s="1856" t="s">
        <v>1517</v>
      </c>
      <c r="F5560" s="1397" t="s">
        <v>1580</v>
      </c>
      <c r="G5560" s="1416">
        <v>1.1739999999999999</v>
      </c>
      <c r="H5560" s="1399">
        <f t="shared" si="731"/>
        <v>3.5219999999999994E-2</v>
      </c>
      <c r="I5560" s="197"/>
      <c r="J5560" s="198"/>
      <c r="K5560" s="1307">
        <f>H5560*K5554</f>
        <v>1.0460339999999999E-2</v>
      </c>
      <c r="L5560" s="1335">
        <f t="shared" si="730"/>
        <v>0</v>
      </c>
      <c r="M5560" s="1302">
        <v>6.53</v>
      </c>
      <c r="N5560" s="1718">
        <f>G5560*M5560</f>
        <v>7.66622</v>
      </c>
      <c r="O5560" s="1290">
        <f>H5560*M5560</f>
        <v>0.22998659999999999</v>
      </c>
      <c r="P5560" s="1332">
        <f>M5560*K5560</f>
        <v>6.8306020199999998E-2</v>
      </c>
      <c r="Q5560" s="3391"/>
      <c r="R5560" s="2337"/>
    </row>
    <row r="5561" spans="1:18" s="16" customFormat="1">
      <c r="B5561" s="1042"/>
      <c r="C5561" s="595"/>
      <c r="D5561" s="1393" t="s">
        <v>1067</v>
      </c>
      <c r="E5561" s="2129" t="s">
        <v>1508</v>
      </c>
      <c r="F5561" s="2040" t="s">
        <v>1512</v>
      </c>
      <c r="G5561" s="1829">
        <v>1.03</v>
      </c>
      <c r="H5561" s="1395">
        <f t="shared" si="731"/>
        <v>3.09E-2</v>
      </c>
      <c r="I5561" s="197"/>
      <c r="J5561" s="198"/>
      <c r="K5561" s="1307">
        <f>H5561*K5554</f>
        <v>9.1772999999999993E-3</v>
      </c>
      <c r="L5561" s="1335">
        <f t="shared" si="730"/>
        <v>0</v>
      </c>
      <c r="M5561" s="1302">
        <v>18.28</v>
      </c>
      <c r="N5561" s="1718">
        <f>G5561*M5561</f>
        <v>18.828400000000002</v>
      </c>
      <c r="O5561" s="1290">
        <f>H5561*M5561</f>
        <v>0.56485200000000002</v>
      </c>
      <c r="P5561" s="1332">
        <f>M5561*K5561</f>
        <v>0.167761044</v>
      </c>
      <c r="Q5561" s="3391"/>
      <c r="R5561" s="2337"/>
    </row>
    <row r="5562" spans="1:18" s="16" customFormat="1">
      <c r="B5562" s="1042"/>
      <c r="C5562" s="595"/>
      <c r="D5562" s="1367"/>
      <c r="E5562" s="1856"/>
      <c r="F5562" s="1421"/>
      <c r="G5562" s="1452"/>
      <c r="H5562" s="1399"/>
      <c r="I5562" s="197"/>
      <c r="J5562" s="198"/>
      <c r="K5562" s="1732"/>
      <c r="L5562" s="1335"/>
      <c r="M5562" s="1302"/>
      <c r="N5562" s="1718"/>
      <c r="O5562" s="1290"/>
      <c r="P5562" s="1332"/>
      <c r="Q5562" s="3391"/>
      <c r="R5562" s="2337"/>
    </row>
    <row r="5563" spans="1:18" s="16" customFormat="1">
      <c r="B5563" s="1320"/>
      <c r="C5563" s="88"/>
      <c r="D5563" s="1443"/>
      <c r="E5563" s="1858"/>
      <c r="F5563" s="1360" t="s">
        <v>2</v>
      </c>
      <c r="G5563" s="1360"/>
      <c r="H5563" s="1362"/>
      <c r="I5563" s="1380"/>
      <c r="J5563" s="1381"/>
      <c r="K5563" s="1381"/>
      <c r="L5563" s="1458"/>
      <c r="M5563" s="1362"/>
      <c r="N5563" s="1362"/>
      <c r="O5563" s="1362"/>
      <c r="P5563" s="1359"/>
      <c r="Q5563" s="3387"/>
      <c r="R5563" s="2339"/>
    </row>
    <row r="5564" spans="1:18" s="16" customFormat="1">
      <c r="B5564" s="553"/>
      <c r="C5564" s="1938" t="s">
        <v>1755</v>
      </c>
      <c r="D5564" s="1311"/>
      <c r="E5564" s="2176" t="s">
        <v>1508</v>
      </c>
      <c r="F5564" s="1648" t="s">
        <v>1524</v>
      </c>
      <c r="G5564" s="1990"/>
      <c r="H5564" s="1456">
        <v>0.4</v>
      </c>
      <c r="I5564" s="1444"/>
      <c r="J5564" s="1388"/>
      <c r="K5564" s="1445"/>
      <c r="L5564" s="1457"/>
      <c r="M5564" s="1447"/>
      <c r="N5564" s="1447">
        <f>SUM(N5565:N5566)</f>
        <v>37.510000000000005</v>
      </c>
      <c r="O5564" s="1447">
        <f>SUM(O5565:O5566)</f>
        <v>15.004000000000001</v>
      </c>
      <c r="P5564" s="1447">
        <f>SUM(P5565:P5566)</f>
        <v>4.4561880000000009</v>
      </c>
      <c r="Q5564" s="3391"/>
      <c r="R5564" s="2337"/>
    </row>
    <row r="5565" spans="1:18" s="16" customFormat="1">
      <c r="B5565" s="1042"/>
      <c r="C5565" s="88"/>
      <c r="D5565" s="1898" t="s">
        <v>1067</v>
      </c>
      <c r="E5565" s="1857" t="s">
        <v>1508</v>
      </c>
      <c r="F5565" s="1403" t="s">
        <v>5</v>
      </c>
      <c r="G5565" s="1991">
        <v>1</v>
      </c>
      <c r="H5565" s="1408">
        <f>G5565*$H$5308</f>
        <v>0.4</v>
      </c>
      <c r="I5565" s="1286"/>
      <c r="J5565" s="198"/>
      <c r="K5565" s="1307">
        <f>H5565*K5554</f>
        <v>0.1188</v>
      </c>
      <c r="L5565" s="1335">
        <f t="shared" ref="L5565:L5566" si="732">K5565*$K$5386</f>
        <v>0</v>
      </c>
      <c r="M5565" s="1302">
        <v>18.28</v>
      </c>
      <c r="N5565" s="1718">
        <f>G5565*M5565</f>
        <v>18.28</v>
      </c>
      <c r="O5565" s="1290">
        <f>H5565*M5565</f>
        <v>7.3120000000000012</v>
      </c>
      <c r="P5565" s="1332">
        <f>M5565*K5565</f>
        <v>2.1716640000000003</v>
      </c>
      <c r="Q5565" s="3391"/>
      <c r="R5565" s="2337"/>
    </row>
    <row r="5566" spans="1:18" s="16" customFormat="1">
      <c r="B5566" s="1042"/>
      <c r="C5566" s="88"/>
      <c r="D5566" s="1430" t="s">
        <v>1077</v>
      </c>
      <c r="E5566" s="1857" t="s">
        <v>1508</v>
      </c>
      <c r="F5566" s="1403" t="s">
        <v>37</v>
      </c>
      <c r="G5566" s="1991">
        <v>1</v>
      </c>
      <c r="H5566" s="1408">
        <f>G5566*$H$5308</f>
        <v>0.4</v>
      </c>
      <c r="I5566" s="197"/>
      <c r="J5566" s="198"/>
      <c r="K5566" s="1307">
        <f>H5566*K5554</f>
        <v>0.1188</v>
      </c>
      <c r="L5566" s="1335">
        <f t="shared" si="732"/>
        <v>0</v>
      </c>
      <c r="M5566" s="1302">
        <v>19.23</v>
      </c>
      <c r="N5566" s="1718">
        <f>G5566*M5566</f>
        <v>19.23</v>
      </c>
      <c r="O5566" s="1290">
        <f>H5566*M5566</f>
        <v>7.6920000000000002</v>
      </c>
      <c r="P5566" s="1332">
        <f>M5566*K5566</f>
        <v>2.2845240000000002</v>
      </c>
      <c r="Q5566" s="3391"/>
      <c r="R5566" s="2337"/>
    </row>
    <row r="5567" spans="1:18" s="16" customFormat="1">
      <c r="B5567" s="1320"/>
      <c r="C5567" s="595"/>
      <c r="D5567" s="1359"/>
      <c r="E5567" s="1858"/>
      <c r="F5567" s="1361"/>
      <c r="G5567" s="1361"/>
      <c r="H5567" s="1466"/>
      <c r="I5567" s="1299"/>
      <c r="J5567" s="1300"/>
      <c r="K5567" s="1307" t="str">
        <f>IF(COUNT(I5567)=0,"",(I5567*J5567))</f>
        <v/>
      </c>
      <c r="L5567" s="1335"/>
      <c r="M5567" s="1302"/>
      <c r="N5567" s="1700"/>
      <c r="O5567" s="1290"/>
      <c r="P5567" s="1332"/>
      <c r="Q5567" s="3391"/>
      <c r="R5567" s="1296"/>
    </row>
    <row r="5568" spans="1:18" s="16" customFormat="1">
      <c r="B5568" s="1320"/>
      <c r="C5568" s="595"/>
      <c r="D5568" s="1373"/>
      <c r="E5568" s="2123"/>
      <c r="F5568" s="1374" t="s">
        <v>3</v>
      </c>
      <c r="G5568" s="1375"/>
      <c r="H5568" s="1376"/>
      <c r="I5568" s="1382"/>
      <c r="J5568" s="1383"/>
      <c r="K5568" s="1383" t="str">
        <f>IF(COUNT(I5568)=0,"",(I5568*J5568))</f>
        <v/>
      </c>
      <c r="L5568" s="1413"/>
      <c r="M5568" s="1376"/>
      <c r="N5568" s="1376"/>
      <c r="O5568" s="1376"/>
      <c r="P5568" s="1373"/>
      <c r="Q5568" s="3387"/>
      <c r="R5568" s="1296"/>
    </row>
    <row r="5569" spans="1:18" s="16" customFormat="1">
      <c r="B5569" s="1321"/>
      <c r="C5569" s="2021"/>
      <c r="D5569" s="1377"/>
      <c r="E5569" s="2124"/>
      <c r="F5569" s="1378"/>
      <c r="G5569" s="1378"/>
      <c r="H5569" s="1379"/>
      <c r="I5569" s="1299"/>
      <c r="J5569" s="1300"/>
      <c r="K5569" s="1307"/>
      <c r="L5569" s="1335"/>
      <c r="M5569" s="1302"/>
      <c r="N5569" s="1700"/>
      <c r="O5569" s="1290"/>
      <c r="P5569" s="1332"/>
      <c r="Q5569" s="3391"/>
      <c r="R5569" s="1296"/>
    </row>
    <row r="5570" spans="1:18" s="16" customFormat="1">
      <c r="B5570" s="1321"/>
      <c r="C5570" s="2021"/>
      <c r="D5570" s="1377"/>
      <c r="E5570" s="2124"/>
      <c r="F5570" s="1378"/>
      <c r="G5570" s="1378"/>
      <c r="H5570" s="1379"/>
      <c r="I5570" s="1299"/>
      <c r="J5570" s="1300"/>
      <c r="K5570" s="1307"/>
      <c r="L5570" s="1335"/>
      <c r="M5570" s="1302"/>
      <c r="N5570" s="1700"/>
      <c r="O5570" s="1290"/>
      <c r="P5570" s="1333"/>
      <c r="Q5570" s="3391"/>
      <c r="R5570" s="1296"/>
    </row>
    <row r="5571" spans="1:18" s="16" customFormat="1">
      <c r="B5571" s="225"/>
      <c r="C5571" s="581"/>
      <c r="D5571" s="1373"/>
      <c r="E5571" s="2161"/>
      <c r="F5571" s="1678"/>
      <c r="G5571" s="1678"/>
      <c r="H5571" s="1376"/>
      <c r="I5571" s="1299"/>
      <c r="J5571" s="1300"/>
      <c r="K5571" s="1307"/>
      <c r="L5571" s="1335"/>
      <c r="M5571" s="1302"/>
      <c r="N5571" s="1700"/>
      <c r="O5571" s="1290"/>
      <c r="P5571" s="1332"/>
      <c r="Q5571" s="3391"/>
      <c r="R5571" s="1296"/>
    </row>
    <row r="5572" spans="1:18" s="16" customFormat="1">
      <c r="A5572" s="18" t="s">
        <v>3764</v>
      </c>
      <c r="B5572" s="4325" t="s">
        <v>1989</v>
      </c>
      <c r="C5572" s="4145"/>
      <c r="D5572" s="4368"/>
      <c r="E5572" s="4329" t="s">
        <v>1507</v>
      </c>
      <c r="F5572" s="4336" t="s">
        <v>1990</v>
      </c>
      <c r="G5572" s="4331" t="s">
        <v>1568</v>
      </c>
      <c r="H5572" s="4331" t="s">
        <v>1574</v>
      </c>
      <c r="I5572" s="1572" t="s">
        <v>1559</v>
      </c>
      <c r="J5572" s="1294" t="s">
        <v>1560</v>
      </c>
      <c r="K5572" s="1294" t="s">
        <v>1569</v>
      </c>
      <c r="L5572" s="4333" t="s">
        <v>3765</v>
      </c>
      <c r="M5572" s="4335" t="s">
        <v>1571</v>
      </c>
      <c r="N5572" s="4323" t="s">
        <v>1776</v>
      </c>
      <c r="O5572" s="4144" t="s">
        <v>1563</v>
      </c>
      <c r="P5572" s="1336" t="s">
        <v>1562</v>
      </c>
      <c r="Q5572" s="3389"/>
      <c r="R5572" s="1699" t="s">
        <v>1327</v>
      </c>
    </row>
    <row r="5573" spans="1:18" s="16" customFormat="1">
      <c r="A5573" s="1662" t="s">
        <v>3854</v>
      </c>
      <c r="B5573" s="4326"/>
      <c r="C5573" s="4145"/>
      <c r="D5573" s="4328"/>
      <c r="E5573" s="4330"/>
      <c r="F5573" s="4336"/>
      <c r="G5573" s="4332"/>
      <c r="H5573" s="4332"/>
      <c r="I5573" s="1345">
        <v>70</v>
      </c>
      <c r="J5573" s="1307">
        <v>1.0999999999999999E-2</v>
      </c>
      <c r="K5573" s="1297">
        <f>I5573*J5573</f>
        <v>0.76999999999999991</v>
      </c>
      <c r="L5573" s="4334"/>
      <c r="M5573" s="4335"/>
      <c r="N5573" s="4324"/>
      <c r="O5573" s="1298">
        <f>O5575+O5579+O5580</f>
        <v>1.4168000000000001</v>
      </c>
      <c r="P5573" s="1337">
        <f>O5573*K5573</f>
        <v>1.0909359999999999</v>
      </c>
      <c r="Q5573" s="3390"/>
      <c r="R5573" s="1721">
        <f>P5575+P5579+P5580</f>
        <v>1.0909359999999999</v>
      </c>
    </row>
    <row r="5574" spans="1:18" s="16" customFormat="1">
      <c r="B5574" s="1949"/>
      <c r="C5574" s="1327"/>
      <c r="D5574" s="1400"/>
      <c r="E5574" s="2121"/>
      <c r="F5574" s="1389" t="s">
        <v>1</v>
      </c>
      <c r="G5574" s="1389"/>
      <c r="H5574" s="1369"/>
      <c r="I5574" s="1409"/>
      <c r="J5574" s="1390"/>
      <c r="K5574" s="1391"/>
      <c r="L5574" s="1559"/>
      <c r="M5574" s="1369"/>
      <c r="N5574" s="1369"/>
      <c r="O5574" s="1369"/>
      <c r="P5574" s="1392"/>
      <c r="Q5574" s="3395"/>
      <c r="R5574" s="1296"/>
    </row>
    <row r="5575" spans="1:18" s="16" customFormat="1">
      <c r="B5575" s="1599"/>
      <c r="C5575" s="1320"/>
      <c r="D5575" s="1610" t="s">
        <v>1159</v>
      </c>
      <c r="E5575" s="2154" t="s">
        <v>1507</v>
      </c>
      <c r="F5575" s="1598" t="s">
        <v>1991</v>
      </c>
      <c r="G5575" s="1612">
        <v>1.111</v>
      </c>
      <c r="H5575" s="1390"/>
      <c r="I5575" s="1289"/>
      <c r="J5575" s="8"/>
      <c r="K5575" s="1307">
        <f>G5575*K5573</f>
        <v>0.85546999999999984</v>
      </c>
      <c r="L5575" s="1335">
        <f t="shared" ref="L5575" si="733">K5575*$K$5386</f>
        <v>0</v>
      </c>
      <c r="M5575" s="1302">
        <v>0.6</v>
      </c>
      <c r="N5575" s="1700"/>
      <c r="O5575" s="1290">
        <f>G5575*M5575</f>
        <v>0.66659999999999997</v>
      </c>
      <c r="P5575" s="1332">
        <f>M5575*K5575</f>
        <v>0.5132819999999999</v>
      </c>
      <c r="Q5575" s="3391"/>
      <c r="R5575" s="1296"/>
    </row>
    <row r="5576" spans="1:18" s="16" customFormat="1">
      <c r="B5576" s="1042"/>
      <c r="C5576" s="595"/>
      <c r="D5576" s="1656"/>
      <c r="E5576" s="2164"/>
      <c r="F5576" s="2044"/>
      <c r="G5576" s="2045"/>
      <c r="H5576" s="1657"/>
      <c r="I5576" s="197"/>
      <c r="J5576" s="198"/>
      <c r="K5576" s="1307"/>
      <c r="L5576" s="1335"/>
      <c r="M5576" s="1302"/>
      <c r="N5576" s="1718"/>
      <c r="O5576" s="1290"/>
      <c r="P5576" s="1332"/>
      <c r="Q5576" s="3391"/>
      <c r="R5576" s="2337"/>
    </row>
    <row r="5577" spans="1:18" s="16" customFormat="1">
      <c r="B5577" s="1042"/>
      <c r="C5577" s="595"/>
      <c r="D5577" s="1367"/>
      <c r="E5577" s="1856"/>
      <c r="F5577" s="1421"/>
      <c r="G5577" s="1452"/>
      <c r="H5577" s="1399"/>
      <c r="I5577" s="197"/>
      <c r="J5577" s="198"/>
      <c r="K5577" s="1732"/>
      <c r="L5577" s="1335"/>
      <c r="M5577" s="1302"/>
      <c r="N5577" s="1718"/>
      <c r="O5577" s="1290"/>
      <c r="P5577" s="1332"/>
      <c r="Q5577" s="3391"/>
      <c r="R5577" s="2337"/>
    </row>
    <row r="5578" spans="1:18" s="16" customFormat="1">
      <c r="B5578" s="1320"/>
      <c r="C5578" s="88"/>
      <c r="D5578" s="1359"/>
      <c r="E5578" s="2181"/>
      <c r="F5578" s="1360" t="s">
        <v>2</v>
      </c>
      <c r="G5578" s="1360"/>
      <c r="H5578" s="1362"/>
      <c r="I5578" s="1380"/>
      <c r="J5578" s="1381"/>
      <c r="K5578" s="1381"/>
      <c r="L5578" s="1458"/>
      <c r="M5578" s="1362"/>
      <c r="N5578" s="1362"/>
      <c r="O5578" s="1362"/>
      <c r="P5578" s="1359"/>
      <c r="Q5578" s="3387"/>
      <c r="R5578" s="2339"/>
    </row>
    <row r="5579" spans="1:18" s="16" customFormat="1">
      <c r="B5579" s="1042"/>
      <c r="C5579" s="88"/>
      <c r="D5579" s="1430" t="s">
        <v>1067</v>
      </c>
      <c r="E5579" s="2046" t="s">
        <v>1508</v>
      </c>
      <c r="F5579" s="1403" t="s">
        <v>5</v>
      </c>
      <c r="G5579" s="1991">
        <v>0.02</v>
      </c>
      <c r="H5579" s="1408"/>
      <c r="I5579" s="1286"/>
      <c r="J5579" s="198"/>
      <c r="K5579" s="1307">
        <f>G5579*K5573</f>
        <v>1.5399999999999999E-2</v>
      </c>
      <c r="L5579" s="1335">
        <f t="shared" ref="L5579:L5580" si="734">K5579*$K$5386</f>
        <v>0</v>
      </c>
      <c r="M5579" s="1302">
        <v>18.28</v>
      </c>
      <c r="N5579" s="1718"/>
      <c r="O5579" s="1290">
        <f>G5579*M5579</f>
        <v>0.36560000000000004</v>
      </c>
      <c r="P5579" s="1332">
        <f>M5579*K5579</f>
        <v>0.28151199999999998</v>
      </c>
      <c r="Q5579" s="3391"/>
      <c r="R5579" s="2337"/>
    </row>
    <row r="5580" spans="1:18" s="16" customFormat="1">
      <c r="B5580" s="1042"/>
      <c r="C5580" s="88"/>
      <c r="D5580" s="1620" t="s">
        <v>1133</v>
      </c>
      <c r="E5580" s="2047" t="s">
        <v>1508</v>
      </c>
      <c r="F5580" s="1655" t="s">
        <v>1955</v>
      </c>
      <c r="G5580" s="1994">
        <v>0.02</v>
      </c>
      <c r="H5580" s="1408"/>
      <c r="I5580" s="4157"/>
      <c r="J5580" s="198"/>
      <c r="K5580" s="1307">
        <f>G5580*K5573</f>
        <v>1.5399999999999999E-2</v>
      </c>
      <c r="L5580" s="1335">
        <f t="shared" si="734"/>
        <v>0</v>
      </c>
      <c r="M5580" s="1302">
        <v>19.23</v>
      </c>
      <c r="N5580" s="1718"/>
      <c r="O5580" s="1290">
        <f>G5580*M5580</f>
        <v>0.3846</v>
      </c>
      <c r="P5580" s="1332">
        <f>M5580*K5580</f>
        <v>0.29614199999999996</v>
      </c>
      <c r="Q5580" s="3391"/>
      <c r="R5580" s="2337"/>
    </row>
    <row r="5581" spans="1:18" s="16" customFormat="1">
      <c r="B5581" s="1320"/>
      <c r="C5581" s="595"/>
      <c r="D5581" s="1359"/>
      <c r="E5581" s="1858"/>
      <c r="F5581" s="1361"/>
      <c r="G5581" s="1361"/>
      <c r="H5581" s="1466"/>
      <c r="I5581" s="4158"/>
      <c r="J5581" s="1300"/>
      <c r="K5581" s="1307" t="str">
        <f>IF(COUNT(I5581)=0,"",(I5581*J5581))</f>
        <v/>
      </c>
      <c r="L5581" s="1335"/>
      <c r="M5581" s="1302"/>
      <c r="N5581" s="1700"/>
      <c r="O5581" s="1290"/>
      <c r="P5581" s="1332"/>
      <c r="Q5581" s="3391"/>
      <c r="R5581" s="1296"/>
    </row>
    <row r="5582" spans="1:18" s="16" customFormat="1">
      <c r="B5582" s="1320"/>
      <c r="C5582" s="595"/>
      <c r="D5582" s="1373"/>
      <c r="E5582" s="2123"/>
      <c r="F5582" s="1374" t="s">
        <v>3</v>
      </c>
      <c r="G5582" s="1375"/>
      <c r="H5582" s="1376"/>
      <c r="I5582" s="1382"/>
      <c r="J5582" s="1383"/>
      <c r="K5582" s="1383" t="str">
        <f>IF(COUNT(I5582)=0,"",(I5582*J5582))</f>
        <v/>
      </c>
      <c r="L5582" s="1413"/>
      <c r="M5582" s="1376"/>
      <c r="N5582" s="1376"/>
      <c r="O5582" s="1376"/>
      <c r="P5582" s="1373"/>
      <c r="Q5582" s="3387"/>
      <c r="R5582" s="1296"/>
    </row>
    <row r="5583" spans="1:18" s="16" customFormat="1">
      <c r="B5583" s="1321"/>
      <c r="C5583" s="2021"/>
      <c r="D5583" s="1377"/>
      <c r="E5583" s="2124"/>
      <c r="F5583" s="1378"/>
      <c r="G5583" s="1378"/>
      <c r="H5583" s="1379"/>
      <c r="I5583" s="1299"/>
      <c r="J5583" s="1300"/>
      <c r="K5583" s="1307"/>
      <c r="L5583" s="1335"/>
      <c r="M5583" s="1302"/>
      <c r="N5583" s="1700"/>
      <c r="O5583" s="1290"/>
      <c r="P5583" s="1332"/>
      <c r="Q5583" s="3391"/>
      <c r="R5583" s="1296"/>
    </row>
    <row r="5584" spans="1:18" s="16" customFormat="1">
      <c r="B5584" s="1321"/>
      <c r="C5584" s="2021"/>
      <c r="D5584" s="1377"/>
      <c r="E5584" s="2124"/>
      <c r="F5584" s="1378"/>
      <c r="G5584" s="1378"/>
      <c r="H5584" s="1379"/>
      <c r="I5584" s="1299"/>
      <c r="J5584" s="1300"/>
      <c r="K5584" s="1307"/>
      <c r="L5584" s="1335"/>
      <c r="M5584" s="1302"/>
      <c r="N5584" s="1700"/>
      <c r="O5584" s="1290"/>
      <c r="P5584" s="1333"/>
      <c r="Q5584" s="3391"/>
      <c r="R5584" s="1296"/>
    </row>
    <row r="5585" spans="1:18" s="16" customFormat="1">
      <c r="B5585" s="225"/>
      <c r="C5585" s="581"/>
      <c r="D5585" s="1373"/>
      <c r="E5585" s="2161"/>
      <c r="F5585" s="1678"/>
      <c r="G5585" s="1678"/>
      <c r="H5585" s="1376"/>
      <c r="I5585" s="1299"/>
      <c r="J5585" s="1300"/>
      <c r="K5585" s="1307"/>
      <c r="L5585" s="1335"/>
      <c r="M5585" s="1302"/>
      <c r="N5585" s="1700"/>
      <c r="O5585" s="1290"/>
      <c r="P5585" s="1332"/>
      <c r="Q5585" s="3391"/>
      <c r="R5585" s="1296"/>
    </row>
    <row r="5586" spans="1:18" s="16" customFormat="1">
      <c r="A5586" s="18" t="s">
        <v>3764</v>
      </c>
      <c r="B5586" s="4325" t="s">
        <v>2000</v>
      </c>
      <c r="C5586" s="4145"/>
      <c r="D5586" s="4368"/>
      <c r="E5586" s="4329" t="s">
        <v>1507</v>
      </c>
      <c r="F5586" s="4336" t="s">
        <v>2001</v>
      </c>
      <c r="G5586" s="4331" t="s">
        <v>1568</v>
      </c>
      <c r="H5586" s="4331" t="s">
        <v>1574</v>
      </c>
      <c r="I5586" s="1572" t="s">
        <v>1559</v>
      </c>
      <c r="J5586" s="1294" t="s">
        <v>1560</v>
      </c>
      <c r="K5586" s="1294" t="s">
        <v>1569</v>
      </c>
      <c r="L5586" s="4333" t="s">
        <v>3765</v>
      </c>
      <c r="M5586" s="4335" t="s">
        <v>1571</v>
      </c>
      <c r="N5586" s="4323" t="s">
        <v>1776</v>
      </c>
      <c r="O5586" s="4144" t="s">
        <v>1563</v>
      </c>
      <c r="P5586" s="1336" t="s">
        <v>1562</v>
      </c>
      <c r="Q5586" s="3389"/>
      <c r="R5586" s="1699" t="s">
        <v>1327</v>
      </c>
    </row>
    <row r="5587" spans="1:18" s="16" customFormat="1">
      <c r="A5587" s="1662" t="s">
        <v>3854</v>
      </c>
      <c r="B5587" s="4326"/>
      <c r="C5587" s="4145"/>
      <c r="D5587" s="4328"/>
      <c r="E5587" s="4330"/>
      <c r="F5587" s="4336"/>
      <c r="G5587" s="4332"/>
      <c r="H5587" s="4332"/>
      <c r="I5587" s="1345">
        <v>91</v>
      </c>
      <c r="J5587" s="1307">
        <v>1.0999999999999999E-2</v>
      </c>
      <c r="K5587" s="1297">
        <f>I5587*J5587</f>
        <v>1.0009999999999999</v>
      </c>
      <c r="L5587" s="4334"/>
      <c r="M5587" s="4335"/>
      <c r="N5587" s="4324"/>
      <c r="O5587" s="1298">
        <f>O5589+O5590+O5591+O5592+O5593+O5601+O5602</f>
        <v>34.853999709999997</v>
      </c>
      <c r="P5587" s="1337">
        <f>O5587*K5587</f>
        <v>34.888853709709991</v>
      </c>
      <c r="Q5587" s="3390"/>
      <c r="R5587" s="1721">
        <f>P5589+P5590+P5591+P5592+P5593+P5601+P5602</f>
        <v>34.888853709709998</v>
      </c>
    </row>
    <row r="5588" spans="1:18" s="16" customFormat="1">
      <c r="B5588" s="1949"/>
      <c r="C5588" s="1327"/>
      <c r="D5588" s="1400"/>
      <c r="E5588" s="2121"/>
      <c r="F5588" s="1389" t="s">
        <v>1</v>
      </c>
      <c r="G5588" s="1389"/>
      <c r="H5588" s="1369"/>
      <c r="I5588" s="1409"/>
      <c r="J5588" s="1390"/>
      <c r="K5588" s="1391"/>
      <c r="L5588" s="1559"/>
      <c r="M5588" s="1369"/>
      <c r="N5588" s="1369"/>
      <c r="O5588" s="1369"/>
      <c r="P5588" s="1392"/>
      <c r="Q5588" s="3395"/>
      <c r="R5588" s="1296"/>
    </row>
    <row r="5589" spans="1:18" s="16" customFormat="1">
      <c r="B5589" s="1599"/>
      <c r="C5589" s="1320"/>
      <c r="D5589" s="1598" t="s">
        <v>2002</v>
      </c>
      <c r="E5589" s="2154" t="s">
        <v>1507</v>
      </c>
      <c r="F5589" s="1598" t="s">
        <v>2003</v>
      </c>
      <c r="G5589" s="1612">
        <v>1.111</v>
      </c>
      <c r="H5589" s="1390"/>
      <c r="I5589" s="1289"/>
      <c r="J5589" s="8"/>
      <c r="K5589" s="1307">
        <f>G5589*K5587</f>
        <v>1.1121109999999998</v>
      </c>
      <c r="L5589" s="1335">
        <f t="shared" ref="L5589:L5592" si="735">K5589*$K$5182</f>
        <v>0</v>
      </c>
      <c r="M5589" s="1302">
        <v>8.4700000000000006</v>
      </c>
      <c r="N5589" s="1700"/>
      <c r="O5589" s="1290">
        <f>G5589*M5589</f>
        <v>9.4101700000000008</v>
      </c>
      <c r="P5589" s="1332">
        <f>M5589*K5589</f>
        <v>9.4195801699999997</v>
      </c>
      <c r="Q5589" s="3391"/>
      <c r="R5589" s="1296"/>
    </row>
    <row r="5590" spans="1:18" s="16" customFormat="1">
      <c r="B5590" s="553"/>
      <c r="C5590" s="1320"/>
      <c r="D5590" s="1400" t="s">
        <v>2004</v>
      </c>
      <c r="E5590" s="1856" t="s">
        <v>1527</v>
      </c>
      <c r="F5590" s="1397" t="s">
        <v>2005</v>
      </c>
      <c r="G5590" s="1416">
        <v>1.111</v>
      </c>
      <c r="H5590" s="1399"/>
      <c r="I5590" s="197"/>
      <c r="J5590" s="198"/>
      <c r="K5590" s="1307">
        <f>G5590*K5587</f>
        <v>1.1121109999999998</v>
      </c>
      <c r="L5590" s="1335">
        <f t="shared" si="735"/>
        <v>0</v>
      </c>
      <c r="M5590" s="1302">
        <v>9.27</v>
      </c>
      <c r="N5590" s="1718"/>
      <c r="O5590" s="1290">
        <f>G5590*M5590</f>
        <v>10.298969999999999</v>
      </c>
      <c r="P5590" s="1332">
        <f>M5590*K5590</f>
        <v>10.309268969999998</v>
      </c>
      <c r="Q5590" s="3391"/>
      <c r="R5590" s="2337"/>
    </row>
    <row r="5591" spans="1:18" s="16" customFormat="1">
      <c r="B5591" s="1042"/>
      <c r="C5591" s="595"/>
      <c r="D5591" s="1598" t="s">
        <v>2006</v>
      </c>
      <c r="E5591" s="2154" t="s">
        <v>1507</v>
      </c>
      <c r="F5591" s="1598" t="s">
        <v>2007</v>
      </c>
      <c r="G5591" s="1612">
        <v>2.2000000000000002</v>
      </c>
      <c r="H5591" s="1399"/>
      <c r="I5591" s="197"/>
      <c r="J5591" s="198"/>
      <c r="K5591" s="1307">
        <f>G5591*K5587</f>
        <v>2.2021999999999999</v>
      </c>
      <c r="L5591" s="1335">
        <f t="shared" si="735"/>
        <v>0</v>
      </c>
      <c r="M5591" s="1302">
        <v>0.73</v>
      </c>
      <c r="N5591" s="1718"/>
      <c r="O5591" s="1290">
        <f>G5591*M5591</f>
        <v>1.6060000000000001</v>
      </c>
      <c r="P5591" s="1332">
        <f>M5591*K5591</f>
        <v>1.6076059999999999</v>
      </c>
      <c r="Q5591" s="3391"/>
      <c r="R5591" s="2337"/>
    </row>
    <row r="5592" spans="1:18" s="16" customFormat="1">
      <c r="B5592" s="1042"/>
      <c r="C5592" s="595"/>
      <c r="D5592" s="1598" t="s">
        <v>1082</v>
      </c>
      <c r="E5592" s="2154" t="s">
        <v>1504</v>
      </c>
      <c r="F5592" s="1598" t="s">
        <v>1541</v>
      </c>
      <c r="G5592" s="1612">
        <v>0.4</v>
      </c>
      <c r="H5592" s="1399"/>
      <c r="I5592" s="197"/>
      <c r="J5592" s="198"/>
      <c r="K5592" s="1307">
        <f>G5592*K5587</f>
        <v>0.40039999999999998</v>
      </c>
      <c r="L5592" s="1335">
        <f t="shared" si="735"/>
        <v>0</v>
      </c>
      <c r="M5592" s="1302">
        <v>0.3</v>
      </c>
      <c r="N5592" s="1718"/>
      <c r="O5592" s="1290">
        <f>G5592*M5592</f>
        <v>0.12</v>
      </c>
      <c r="P5592" s="1332">
        <f>M5592*K5592</f>
        <v>0.12011999999999999</v>
      </c>
      <c r="Q5592" s="3391"/>
      <c r="R5592" s="2337"/>
    </row>
    <row r="5593" spans="1:18" s="16" customFormat="1">
      <c r="B5593" s="1042"/>
      <c r="C5593" s="1658" t="s">
        <v>1122</v>
      </c>
      <c r="D5593" s="1311"/>
      <c r="E5593" s="1855" t="s">
        <v>1517</v>
      </c>
      <c r="F5593" s="1647" t="s">
        <v>1681</v>
      </c>
      <c r="G5593" s="1689"/>
      <c r="H5593" s="1689">
        <v>4.1000000000000002E-2</v>
      </c>
      <c r="I5593" s="1444"/>
      <c r="J5593" s="1388"/>
      <c r="K5593" s="1841"/>
      <c r="L5593" s="1445"/>
      <c r="M5593" s="1500"/>
      <c r="N5593" s="1501">
        <f>SUM(N5594:N5598)</f>
        <v>51.667310000000001</v>
      </c>
      <c r="O5593" s="1501">
        <f>SUM(O5594:O5598)</f>
        <v>2.11835971</v>
      </c>
      <c r="P5593" s="1845">
        <f>SUM(P5594:P5598)</f>
        <v>2.1204780697099999</v>
      </c>
      <c r="Q5593" s="3391"/>
      <c r="R5593" s="2343"/>
    </row>
    <row r="5594" spans="1:18" s="16" customFormat="1">
      <c r="B5594" s="1042"/>
      <c r="C5594" s="1042"/>
      <c r="D5594" s="1451" t="s">
        <v>1069</v>
      </c>
      <c r="E5594" s="1856" t="s">
        <v>1517</v>
      </c>
      <c r="F5594" s="1421" t="s">
        <v>1578</v>
      </c>
      <c r="G5594" s="1452">
        <v>0.26300000000000001</v>
      </c>
      <c r="H5594" s="1453">
        <f>$H$5337*G5594</f>
        <v>1.0783000000000001E-2</v>
      </c>
      <c r="I5594" s="197"/>
      <c r="J5594" s="198"/>
      <c r="K5594" s="1350">
        <f>H5594*K5587</f>
        <v>1.0793783E-2</v>
      </c>
      <c r="L5594" s="1335">
        <f t="shared" ref="L5594:L5598" si="736">K5594*$K$5182</f>
        <v>0</v>
      </c>
      <c r="M5594" s="1499">
        <v>0.55000000000000004</v>
      </c>
      <c r="N5594" s="1724">
        <f>G5594*M5594</f>
        <v>0.14465000000000003</v>
      </c>
      <c r="O5594" s="1719">
        <f>H5594*M5594</f>
        <v>5.9306500000000009E-3</v>
      </c>
      <c r="P5594" s="1720">
        <f>K5594*M5594</f>
        <v>5.9365806500000003E-3</v>
      </c>
      <c r="Q5594" s="3396"/>
      <c r="R5594" s="2338"/>
    </row>
    <row r="5595" spans="1:18" s="16" customFormat="1">
      <c r="B5595" s="1042"/>
      <c r="C5595" s="1320"/>
      <c r="D5595" s="1367" t="s">
        <v>1394</v>
      </c>
      <c r="E5595" s="1856" t="s">
        <v>1577</v>
      </c>
      <c r="F5595" s="1421" t="s">
        <v>1579</v>
      </c>
      <c r="G5595" s="1452">
        <v>0.25800000000000001</v>
      </c>
      <c r="H5595" s="1453">
        <f>G5595*H5593</f>
        <v>1.0578000000000001E-2</v>
      </c>
      <c r="I5595" s="197"/>
      <c r="J5595" s="198"/>
      <c r="K5595" s="1350">
        <f>H5595*K5587</f>
        <v>1.0588578E-2</v>
      </c>
      <c r="L5595" s="1335">
        <f t="shared" si="736"/>
        <v>0</v>
      </c>
      <c r="M5595" s="1499">
        <v>92.54</v>
      </c>
      <c r="N5595" s="1724">
        <f>G5595*M5595</f>
        <v>23.875320000000002</v>
      </c>
      <c r="O5595" s="1719">
        <f>H5595*M5595</f>
        <v>0.97888812000000014</v>
      </c>
      <c r="P5595" s="1720">
        <f>K5595*M5595</f>
        <v>0.97986700812000005</v>
      </c>
      <c r="Q5595" s="3396"/>
      <c r="R5595" s="2338"/>
    </row>
    <row r="5596" spans="1:18" s="16" customFormat="1">
      <c r="B5596" s="1042"/>
      <c r="C5596" s="1320"/>
      <c r="D5596" s="1603" t="s">
        <v>1682</v>
      </c>
      <c r="E5596" s="1856" t="s">
        <v>1683</v>
      </c>
      <c r="F5596" s="1421" t="s">
        <v>1684</v>
      </c>
      <c r="G5596" s="1452">
        <v>1.288</v>
      </c>
      <c r="H5596" s="1453">
        <f>G5596*H5593</f>
        <v>5.2808000000000001E-2</v>
      </c>
      <c r="I5596" s="197"/>
      <c r="J5596" s="198"/>
      <c r="K5596" s="1350">
        <f>H5596*K5587</f>
        <v>5.2860807999999995E-2</v>
      </c>
      <c r="L5596" s="1335">
        <f t="shared" si="736"/>
        <v>0</v>
      </c>
      <c r="M5596" s="1499">
        <v>1.26</v>
      </c>
      <c r="N5596" s="1724">
        <f>G5596*M5596</f>
        <v>1.6228800000000001</v>
      </c>
      <c r="O5596" s="1719">
        <f>H5596*M5596</f>
        <v>6.6538079999999999E-2</v>
      </c>
      <c r="P5596" s="1720">
        <f>K5596*M5596</f>
        <v>6.6604618079999997E-2</v>
      </c>
      <c r="Q5596" s="3396"/>
      <c r="R5596" s="2338"/>
    </row>
    <row r="5597" spans="1:18" s="16" customFormat="1">
      <c r="B5597" s="1042"/>
      <c r="C5597" s="1320"/>
      <c r="D5597" s="1603" t="s">
        <v>1576</v>
      </c>
      <c r="E5597" s="1856" t="s">
        <v>1517</v>
      </c>
      <c r="F5597" s="1421" t="s">
        <v>1580</v>
      </c>
      <c r="G5597" s="1452">
        <v>1.1020000000000001</v>
      </c>
      <c r="H5597" s="1453">
        <f>G5597*H5593</f>
        <v>4.5182000000000007E-2</v>
      </c>
      <c r="I5597" s="197"/>
      <c r="J5597" s="198"/>
      <c r="K5597" s="1350">
        <f>H5597*K5587</f>
        <v>4.5227182000000005E-2</v>
      </c>
      <c r="L5597" s="1335">
        <f t="shared" si="736"/>
        <v>0</v>
      </c>
      <c r="M5597" s="1499">
        <v>6.53</v>
      </c>
      <c r="N5597" s="1724">
        <f>G5597*M5597</f>
        <v>7.196060000000001</v>
      </c>
      <c r="O5597" s="1719">
        <f>H5597*M5597</f>
        <v>0.29503846000000006</v>
      </c>
      <c r="P5597" s="1720">
        <f>K5597*M5597</f>
        <v>0.29533349846000007</v>
      </c>
      <c r="Q5597" s="3396"/>
      <c r="R5597" s="2338"/>
    </row>
    <row r="5598" spans="1:18" s="16" customFormat="1">
      <c r="B5598" s="1042"/>
      <c r="C5598" s="1320"/>
      <c r="D5598" s="1443" t="s">
        <v>1067</v>
      </c>
      <c r="E5598" s="1857" t="s">
        <v>1508</v>
      </c>
      <c r="F5598" s="1430" t="s">
        <v>1512</v>
      </c>
      <c r="G5598" s="1431">
        <v>1.03</v>
      </c>
      <c r="H5598" s="1454">
        <f>G5598*H5593</f>
        <v>4.2230000000000004E-2</v>
      </c>
      <c r="I5598" s="197"/>
      <c r="J5598" s="198"/>
      <c r="K5598" s="1350">
        <f>H5598*K5587</f>
        <v>4.2272230000000001E-2</v>
      </c>
      <c r="L5598" s="1335">
        <f t="shared" si="736"/>
        <v>0</v>
      </c>
      <c r="M5598" s="1499">
        <v>18.28</v>
      </c>
      <c r="N5598" s="1724">
        <f>G5598*M5598</f>
        <v>18.828400000000002</v>
      </c>
      <c r="O5598" s="1719">
        <f>H5598*M5598</f>
        <v>0.77196440000000011</v>
      </c>
      <c r="P5598" s="1720">
        <f>K5598*M5598</f>
        <v>0.77273636440000004</v>
      </c>
      <c r="Q5598" s="3396"/>
      <c r="R5598" s="2338"/>
    </row>
    <row r="5599" spans="1:18" s="16" customFormat="1">
      <c r="B5599" s="1042"/>
      <c r="C5599" s="595"/>
      <c r="D5599" s="1603"/>
      <c r="E5599" s="2271"/>
      <c r="F5599" s="1615"/>
      <c r="G5599" s="2272"/>
      <c r="H5599" s="1453"/>
      <c r="I5599" s="197"/>
      <c r="J5599" s="198"/>
      <c r="K5599" s="1350"/>
      <c r="L5599" s="1335"/>
      <c r="M5599" s="1499"/>
      <c r="N5599" s="1724"/>
      <c r="O5599" s="1719"/>
      <c r="P5599" s="1720"/>
      <c r="Q5599" s="3396"/>
      <c r="R5599" s="2338"/>
    </row>
    <row r="5600" spans="1:18" s="16" customFormat="1">
      <c r="B5600" s="1320"/>
      <c r="C5600" s="88"/>
      <c r="D5600" s="1359"/>
      <c r="E5600" s="2181"/>
      <c r="F5600" s="1360" t="s">
        <v>2</v>
      </c>
      <c r="G5600" s="1360"/>
      <c r="H5600" s="1362"/>
      <c r="I5600" s="1380"/>
      <c r="J5600" s="1381"/>
      <c r="K5600" s="1381"/>
      <c r="L5600" s="1458"/>
      <c r="M5600" s="1362"/>
      <c r="N5600" s="1362"/>
      <c r="O5600" s="1362"/>
      <c r="P5600" s="1359"/>
      <c r="Q5600" s="3387"/>
      <c r="R5600" s="2339"/>
    </row>
    <row r="5601" spans="1:18" s="16" customFormat="1">
      <c r="B5601" s="1042"/>
      <c r="C5601" s="88"/>
      <c r="D5601" s="1620" t="s">
        <v>1133</v>
      </c>
      <c r="E5601" s="2047" t="s">
        <v>1508</v>
      </c>
      <c r="F5601" s="1655" t="s">
        <v>1955</v>
      </c>
      <c r="G5601" s="1994">
        <v>0.1</v>
      </c>
      <c r="H5601" s="1408"/>
      <c r="I5601" s="197"/>
      <c r="J5601" s="198"/>
      <c r="K5601" s="1307">
        <f>G5601*K5587</f>
        <v>0.10009999999999999</v>
      </c>
      <c r="L5601" s="1335">
        <f>K5601*$K$5182</f>
        <v>0</v>
      </c>
      <c r="M5601" s="1302">
        <v>19.23</v>
      </c>
      <c r="N5601" s="1718"/>
      <c r="O5601" s="1290">
        <f>G5601*M5601</f>
        <v>1.923</v>
      </c>
      <c r="P5601" s="1332">
        <f>M5601*K5601</f>
        <v>1.9249229999999999</v>
      </c>
      <c r="Q5601" s="3391"/>
      <c r="R5601" s="2337"/>
    </row>
    <row r="5602" spans="1:18" s="16" customFormat="1">
      <c r="B5602" s="1320"/>
      <c r="C5602" s="1764" t="s">
        <v>1755</v>
      </c>
      <c r="D5602" s="1461"/>
      <c r="E5602" s="2163" t="s">
        <v>1508</v>
      </c>
      <c r="F5602" s="1648" t="s">
        <v>1524</v>
      </c>
      <c r="G5602" s="1990"/>
      <c r="H5602" s="1456">
        <v>0.25</v>
      </c>
      <c r="I5602" s="1444"/>
      <c r="J5602" s="1388"/>
      <c r="K5602" s="1445"/>
      <c r="L5602" s="1457"/>
      <c r="M5602" s="1447"/>
      <c r="N5602" s="1447">
        <f>SUM(N5603:N5604)</f>
        <v>37.510000000000005</v>
      </c>
      <c r="O5602" s="1447">
        <f>SUM(O5603:O5604)</f>
        <v>9.3775000000000013</v>
      </c>
      <c r="P5602" s="1447">
        <f>SUM(P5603:P5604)</f>
        <v>9.3868774999999989</v>
      </c>
      <c r="Q5602" s="3391"/>
      <c r="R5602" s="2337"/>
    </row>
    <row r="5603" spans="1:18" s="16" customFormat="1">
      <c r="B5603" s="1320"/>
      <c r="C5603" s="88"/>
      <c r="D5603" s="1430" t="s">
        <v>1067</v>
      </c>
      <c r="E5603" s="1857" t="s">
        <v>1508</v>
      </c>
      <c r="F5603" s="1403" t="s">
        <v>5</v>
      </c>
      <c r="G5603" s="1991">
        <v>1</v>
      </c>
      <c r="H5603" s="1408">
        <f>G5603*$H$5346</f>
        <v>0.25</v>
      </c>
      <c r="I5603" s="1286"/>
      <c r="J5603" s="198"/>
      <c r="K5603" s="1307">
        <f>H5603*K5587</f>
        <v>0.25024999999999997</v>
      </c>
      <c r="L5603" s="1335">
        <f t="shared" ref="L5603:L5604" si="737">K5603*$K$5182</f>
        <v>0</v>
      </c>
      <c r="M5603" s="1302">
        <v>18.28</v>
      </c>
      <c r="N5603" s="1718">
        <f>G5603*M5603</f>
        <v>18.28</v>
      </c>
      <c r="O5603" s="1290">
        <f>H5603*M5603</f>
        <v>4.57</v>
      </c>
      <c r="P5603" s="1332">
        <f>M5603*K5603</f>
        <v>4.5745699999999996</v>
      </c>
      <c r="Q5603" s="3391"/>
      <c r="R5603" s="2337"/>
    </row>
    <row r="5604" spans="1:18" s="16" customFormat="1">
      <c r="B5604" s="1320"/>
      <c r="C5604" s="88"/>
      <c r="D5604" s="1430" t="s">
        <v>1077</v>
      </c>
      <c r="E5604" s="1857" t="s">
        <v>1508</v>
      </c>
      <c r="F5604" s="1403" t="s">
        <v>37</v>
      </c>
      <c r="G5604" s="1991">
        <v>1</v>
      </c>
      <c r="H5604" s="1408">
        <f>G5604*$H$5346</f>
        <v>0.25</v>
      </c>
      <c r="I5604" s="197"/>
      <c r="J5604" s="198"/>
      <c r="K5604" s="1307">
        <f>H5604*K5587</f>
        <v>0.25024999999999997</v>
      </c>
      <c r="L5604" s="1335">
        <f t="shared" si="737"/>
        <v>0</v>
      </c>
      <c r="M5604" s="1302">
        <v>19.23</v>
      </c>
      <c r="N5604" s="1718">
        <f>G5604*M5604</f>
        <v>19.23</v>
      </c>
      <c r="O5604" s="1290">
        <f>H5604*M5604</f>
        <v>4.8075000000000001</v>
      </c>
      <c r="P5604" s="1332">
        <f>M5604*K5604</f>
        <v>4.8123074999999993</v>
      </c>
      <c r="Q5604" s="3391"/>
      <c r="R5604" s="2337"/>
    </row>
    <row r="5605" spans="1:18" s="16" customFormat="1">
      <c r="B5605" s="1320"/>
      <c r="C5605" s="88"/>
      <c r="D5605" s="1430"/>
      <c r="E5605" s="1857"/>
      <c r="F5605" s="1766"/>
      <c r="G5605" s="1991"/>
      <c r="H5605" s="1408"/>
      <c r="I5605" s="197"/>
      <c r="J5605" s="198"/>
      <c r="K5605" s="1307"/>
      <c r="L5605" s="1335"/>
      <c r="M5605" s="1302"/>
      <c r="N5605" s="1718"/>
      <c r="O5605" s="1290"/>
      <c r="P5605" s="1332"/>
      <c r="Q5605" s="3391"/>
      <c r="R5605" s="2337"/>
    </row>
    <row r="5606" spans="1:18" s="16" customFormat="1">
      <c r="B5606" s="1320"/>
      <c r="C5606" s="595"/>
      <c r="D5606" s="1373"/>
      <c r="E5606" s="2123"/>
      <c r="F5606" s="1374" t="s">
        <v>3</v>
      </c>
      <c r="G5606" s="1375"/>
      <c r="H5606" s="1376"/>
      <c r="I5606" s="1382"/>
      <c r="J5606" s="1383"/>
      <c r="K5606" s="1383" t="str">
        <f>IF(COUNT(I5606)=0,"",(I5606*J5606))</f>
        <v/>
      </c>
      <c r="L5606" s="1413"/>
      <c r="M5606" s="1376"/>
      <c r="N5606" s="1376"/>
      <c r="O5606" s="1376"/>
      <c r="P5606" s="1373"/>
      <c r="Q5606" s="3387"/>
      <c r="R5606" s="1296"/>
    </row>
    <row r="5607" spans="1:18" s="16" customFormat="1">
      <c r="B5607" s="1321"/>
      <c r="C5607" s="2021"/>
      <c r="D5607" s="1377"/>
      <c r="E5607" s="2124"/>
      <c r="F5607" s="1378"/>
      <c r="G5607" s="1378"/>
      <c r="H5607" s="1379"/>
      <c r="I5607" s="1299"/>
      <c r="J5607" s="1300"/>
      <c r="K5607" s="1307"/>
      <c r="L5607" s="1335"/>
      <c r="M5607" s="1302"/>
      <c r="N5607" s="1700"/>
      <c r="O5607" s="1290"/>
      <c r="P5607" s="1332"/>
      <c r="Q5607" s="3391"/>
      <c r="R5607" s="1296"/>
    </row>
    <row r="5608" spans="1:18" s="16" customFormat="1">
      <c r="B5608" s="1321"/>
      <c r="C5608" s="2021"/>
      <c r="D5608" s="1377"/>
      <c r="E5608" s="2124"/>
      <c r="F5608" s="1378"/>
      <c r="G5608" s="1378"/>
      <c r="H5608" s="1379"/>
      <c r="I5608" s="1299"/>
      <c r="J5608" s="1300"/>
      <c r="K5608" s="1307"/>
      <c r="L5608" s="1335"/>
      <c r="M5608" s="1302"/>
      <c r="N5608" s="1700"/>
      <c r="O5608" s="1290"/>
      <c r="P5608" s="1333"/>
      <c r="Q5608" s="3391"/>
      <c r="R5608" s="1296"/>
    </row>
    <row r="5609" spans="1:18" s="16" customFormat="1">
      <c r="B5609" s="225"/>
      <c r="C5609" s="581"/>
      <c r="D5609" s="1373"/>
      <c r="E5609" s="2161"/>
      <c r="F5609" s="1678"/>
      <c r="G5609" s="1678"/>
      <c r="H5609" s="1376"/>
      <c r="I5609" s="1299"/>
      <c r="J5609" s="1300"/>
      <c r="K5609" s="1307"/>
      <c r="L5609" s="1335"/>
      <c r="M5609" s="1302"/>
      <c r="N5609" s="1700"/>
      <c r="O5609" s="1290"/>
      <c r="P5609" s="1332"/>
      <c r="Q5609" s="3391"/>
      <c r="R5609" s="1296"/>
    </row>
    <row r="5610" spans="1:18" s="16" customFormat="1">
      <c r="A5610" s="18" t="s">
        <v>3764</v>
      </c>
      <c r="B5610" s="4325" t="s">
        <v>3860</v>
      </c>
      <c r="C5610" s="4145"/>
      <c r="D5610" s="4368"/>
      <c r="E5610" s="4329" t="s">
        <v>1507</v>
      </c>
      <c r="F5610" s="4336" t="s">
        <v>3861</v>
      </c>
      <c r="G5610" s="4331" t="s">
        <v>1568</v>
      </c>
      <c r="H5610" s="4331" t="s">
        <v>1574</v>
      </c>
      <c r="I5610" s="1572" t="s">
        <v>1559</v>
      </c>
      <c r="J5610" s="1294" t="s">
        <v>1560</v>
      </c>
      <c r="K5610" s="1294" t="s">
        <v>1569</v>
      </c>
      <c r="L5610" s="4333" t="s">
        <v>3765</v>
      </c>
      <c r="M5610" s="4335" t="s">
        <v>1571</v>
      </c>
      <c r="N5610" s="4323" t="s">
        <v>1776</v>
      </c>
      <c r="O5610" s="4144" t="s">
        <v>1563</v>
      </c>
      <c r="P5610" s="1336" t="s">
        <v>1562</v>
      </c>
      <c r="Q5610" s="3389"/>
      <c r="R5610" s="1699" t="s">
        <v>1327</v>
      </c>
    </row>
    <row r="5611" spans="1:18" s="16" customFormat="1">
      <c r="A5611" s="1662" t="s">
        <v>3854</v>
      </c>
      <c r="B5611" s="4326"/>
      <c r="C5611" s="4145"/>
      <c r="D5611" s="4328"/>
      <c r="E5611" s="4330"/>
      <c r="F5611" s="4336"/>
      <c r="G5611" s="4332"/>
      <c r="H5611" s="4332"/>
      <c r="I5611" s="1345">
        <v>70</v>
      </c>
      <c r="J5611" s="1307">
        <v>1.0999999999999999E-2</v>
      </c>
      <c r="K5611" s="1297">
        <f>I5611*J5611</f>
        <v>0.76999999999999991</v>
      </c>
      <c r="L5611" s="4334"/>
      <c r="M5611" s="4335"/>
      <c r="N5611" s="4324"/>
      <c r="O5611" s="1298">
        <f>O5613+O5614+O5617+O5618</f>
        <v>9.6705000000000005</v>
      </c>
      <c r="P5611" s="1337">
        <f>O5611*K5611</f>
        <v>7.4462849999999996</v>
      </c>
      <c r="Q5611" s="3390"/>
      <c r="R5611" s="1721">
        <f>P5613+P5614+P5617+P5618</f>
        <v>7.4462850000000005</v>
      </c>
    </row>
    <row r="5612" spans="1:18" s="16" customFormat="1">
      <c r="B5612" s="1949"/>
      <c r="C5612" s="1327"/>
      <c r="D5612" s="1400"/>
      <c r="E5612" s="2121"/>
      <c r="F5612" s="1389" t="s">
        <v>1</v>
      </c>
      <c r="G5612" s="1389"/>
      <c r="H5612" s="1369"/>
      <c r="I5612" s="1409"/>
      <c r="J5612" s="1390"/>
      <c r="K5612" s="1391"/>
      <c r="L5612" s="1559"/>
      <c r="M5612" s="1369"/>
      <c r="N5612" s="1369"/>
      <c r="O5612" s="1369"/>
      <c r="P5612" s="1392"/>
      <c r="Q5612" s="3395"/>
      <c r="R5612" s="1296"/>
    </row>
    <row r="5613" spans="1:18" s="16" customFormat="1">
      <c r="B5613" s="1599"/>
      <c r="C5613" s="1320"/>
      <c r="D5613" s="1610" t="s">
        <v>3831</v>
      </c>
      <c r="E5613" s="2154" t="s">
        <v>1507</v>
      </c>
      <c r="F5613" s="1598" t="s">
        <v>3832</v>
      </c>
      <c r="G5613" s="1612">
        <v>1.1000000000000001</v>
      </c>
      <c r="H5613" s="1390"/>
      <c r="I5613" s="1289"/>
      <c r="J5613" s="8"/>
      <c r="K5613" s="1307">
        <f>G5613*K5611</f>
        <v>0.84699999999999998</v>
      </c>
      <c r="L5613" s="1335">
        <f t="shared" ref="L5613:L5614" si="738">K5613*$K$5386</f>
        <v>0</v>
      </c>
      <c r="M5613" s="1302">
        <v>6.95</v>
      </c>
      <c r="N5613" s="1700"/>
      <c r="O5613" s="1290">
        <f>G5613*M5613</f>
        <v>7.6450000000000005</v>
      </c>
      <c r="P5613" s="1332">
        <f>M5613*K5613</f>
        <v>5.8866500000000004</v>
      </c>
      <c r="Q5613" s="3391"/>
      <c r="R5613" s="1296"/>
    </row>
    <row r="5614" spans="1:18" s="16" customFormat="1">
      <c r="B5614" s="1042"/>
      <c r="C5614" s="595"/>
      <c r="D5614" s="1656" t="s">
        <v>3862</v>
      </c>
      <c r="E5614" s="2164" t="s">
        <v>1504</v>
      </c>
      <c r="F5614" s="2044" t="s">
        <v>1541</v>
      </c>
      <c r="G5614" s="2045">
        <v>0.5</v>
      </c>
      <c r="H5614" s="1657"/>
      <c r="I5614" s="197"/>
      <c r="J5614" s="198"/>
      <c r="K5614" s="1307">
        <f>G5614*K5611</f>
        <v>0.38499999999999995</v>
      </c>
      <c r="L5614" s="1335">
        <f t="shared" si="738"/>
        <v>0</v>
      </c>
      <c r="M5614" s="1302">
        <v>0.3</v>
      </c>
      <c r="N5614" s="1718"/>
      <c r="O5614" s="1290">
        <f>G5614*M5614</f>
        <v>0.15</v>
      </c>
      <c r="P5614" s="1332">
        <f>M5614*K5614</f>
        <v>0.11549999999999998</v>
      </c>
      <c r="Q5614" s="3391"/>
      <c r="R5614" s="2337"/>
    </row>
    <row r="5615" spans="1:18" s="16" customFormat="1">
      <c r="B5615" s="1042"/>
      <c r="C5615" s="595"/>
      <c r="D5615" s="1367"/>
      <c r="E5615" s="1856"/>
      <c r="F5615" s="1421"/>
      <c r="G5615" s="1452"/>
      <c r="H5615" s="1399"/>
      <c r="I5615" s="197"/>
      <c r="J5615" s="198"/>
      <c r="K5615" s="1732"/>
      <c r="L5615" s="1335"/>
      <c r="M5615" s="1302"/>
      <c r="N5615" s="1718"/>
      <c r="O5615" s="1290"/>
      <c r="P5615" s="1332"/>
      <c r="Q5615" s="3391"/>
      <c r="R5615" s="2337"/>
    </row>
    <row r="5616" spans="1:18" s="16" customFormat="1">
      <c r="B5616" s="1320"/>
      <c r="C5616" s="88"/>
      <c r="D5616" s="1359"/>
      <c r="E5616" s="2181"/>
      <c r="F5616" s="1360" t="s">
        <v>2</v>
      </c>
      <c r="G5616" s="1360"/>
      <c r="H5616" s="1362"/>
      <c r="I5616" s="1380"/>
      <c r="J5616" s="1381"/>
      <c r="K5616" s="1381"/>
      <c r="L5616" s="1458"/>
      <c r="M5616" s="1362"/>
      <c r="N5616" s="1362"/>
      <c r="O5616" s="1362"/>
      <c r="P5616" s="1359"/>
      <c r="Q5616" s="3387"/>
      <c r="R5616" s="2339"/>
    </row>
    <row r="5617" spans="1:18" s="16" customFormat="1">
      <c r="B5617" s="1042"/>
      <c r="C5617" s="88"/>
      <c r="D5617" s="1430" t="s">
        <v>1067</v>
      </c>
      <c r="E5617" s="2046" t="s">
        <v>1508</v>
      </c>
      <c r="F5617" s="1403" t="s">
        <v>5</v>
      </c>
      <c r="G5617" s="1991">
        <v>0.05</v>
      </c>
      <c r="H5617" s="1408"/>
      <c r="I5617" s="1286"/>
      <c r="J5617" s="198"/>
      <c r="K5617" s="1307">
        <f>G5617*K5611</f>
        <v>3.85E-2</v>
      </c>
      <c r="L5617" s="1335">
        <f t="shared" ref="L5617:L5618" si="739">K5617*$K$5386</f>
        <v>0</v>
      </c>
      <c r="M5617" s="1302">
        <v>18.28</v>
      </c>
      <c r="N5617" s="1718"/>
      <c r="O5617" s="1290">
        <f>G5617*M5617</f>
        <v>0.91400000000000015</v>
      </c>
      <c r="P5617" s="1332">
        <f>M5617*K5617</f>
        <v>0.70378000000000007</v>
      </c>
      <c r="Q5617" s="3391"/>
      <c r="R5617" s="2337"/>
    </row>
    <row r="5618" spans="1:18" s="16" customFormat="1">
      <c r="B5618" s="1042"/>
      <c r="C5618" s="88"/>
      <c r="D5618" s="1620" t="s">
        <v>1140</v>
      </c>
      <c r="E5618" s="2047" t="s">
        <v>1508</v>
      </c>
      <c r="F5618" s="1655" t="s">
        <v>1897</v>
      </c>
      <c r="G5618" s="1994">
        <v>0.05</v>
      </c>
      <c r="H5618" s="1408"/>
      <c r="I5618" s="197"/>
      <c r="J5618" s="198"/>
      <c r="K5618" s="1307">
        <f>G5618*K5611</f>
        <v>3.85E-2</v>
      </c>
      <c r="L5618" s="1335">
        <f t="shared" si="739"/>
        <v>0</v>
      </c>
      <c r="M5618" s="1302">
        <v>19.23</v>
      </c>
      <c r="N5618" s="1718"/>
      <c r="O5618" s="1290">
        <f>G5618*M5618</f>
        <v>0.96150000000000002</v>
      </c>
      <c r="P5618" s="1332">
        <f>M5618*K5618</f>
        <v>0.74035499999999999</v>
      </c>
      <c r="Q5618" s="3391"/>
      <c r="R5618" s="2337"/>
    </row>
    <row r="5619" spans="1:18" s="16" customFormat="1">
      <c r="B5619" s="1320"/>
      <c r="C5619" s="595"/>
      <c r="D5619" s="1359"/>
      <c r="E5619" s="1858"/>
      <c r="F5619" s="1361"/>
      <c r="G5619" s="1361"/>
      <c r="H5619" s="1466"/>
      <c r="I5619" s="1299"/>
      <c r="J5619" s="1300"/>
      <c r="K5619" s="1307" t="str">
        <f>IF(COUNT(I5619)=0,"",(I5619*J5619))</f>
        <v/>
      </c>
      <c r="L5619" s="1335"/>
      <c r="M5619" s="1302"/>
      <c r="N5619" s="1700"/>
      <c r="O5619" s="1290"/>
      <c r="P5619" s="1332"/>
      <c r="Q5619" s="3391"/>
      <c r="R5619" s="1296"/>
    </row>
    <row r="5620" spans="1:18" s="16" customFormat="1">
      <c r="B5620" s="1320"/>
      <c r="C5620" s="595"/>
      <c r="D5620" s="1373"/>
      <c r="E5620" s="2123"/>
      <c r="F5620" s="1374" t="s">
        <v>3</v>
      </c>
      <c r="G5620" s="1375"/>
      <c r="H5620" s="1376"/>
      <c r="I5620" s="1382"/>
      <c r="J5620" s="1383"/>
      <c r="K5620" s="1383" t="str">
        <f>IF(COUNT(I5620)=0,"",(I5620*J5620))</f>
        <v/>
      </c>
      <c r="L5620" s="1413"/>
      <c r="M5620" s="1376"/>
      <c r="N5620" s="1376"/>
      <c r="O5620" s="1376"/>
      <c r="P5620" s="1373"/>
      <c r="Q5620" s="3387"/>
      <c r="R5620" s="1296"/>
    </row>
    <row r="5621" spans="1:18" s="16" customFormat="1">
      <c r="B5621" s="1321"/>
      <c r="C5621" s="2021"/>
      <c r="D5621" s="1377"/>
      <c r="E5621" s="2124"/>
      <c r="F5621" s="1378"/>
      <c r="G5621" s="1378"/>
      <c r="H5621" s="1379"/>
      <c r="I5621" s="1299"/>
      <c r="J5621" s="1300"/>
      <c r="K5621" s="1307"/>
      <c r="L5621" s="1335"/>
      <c r="M5621" s="1302"/>
      <c r="N5621" s="1700"/>
      <c r="O5621" s="1290"/>
      <c r="P5621" s="1332"/>
      <c r="Q5621" s="3391"/>
      <c r="R5621" s="1296"/>
    </row>
    <row r="5622" spans="1:18" s="16" customFormat="1">
      <c r="B5622" s="1321"/>
      <c r="C5622" s="2021"/>
      <c r="D5622" s="1377"/>
      <c r="E5622" s="2124"/>
      <c r="F5622" s="1378"/>
      <c r="G5622" s="1378"/>
      <c r="H5622" s="1379"/>
      <c r="I5622" s="1299"/>
      <c r="J5622" s="1300"/>
      <c r="K5622" s="1307"/>
      <c r="L5622" s="1335"/>
      <c r="M5622" s="1302"/>
      <c r="N5622" s="1700"/>
      <c r="O5622" s="1290"/>
      <c r="P5622" s="1333"/>
      <c r="Q5622" s="3391"/>
      <c r="R5622" s="1296"/>
    </row>
    <row r="5623" spans="1:18" s="16" customFormat="1">
      <c r="B5623" s="225"/>
      <c r="C5623" s="581"/>
      <c r="D5623" s="1373"/>
      <c r="E5623" s="2161"/>
      <c r="F5623" s="1678"/>
      <c r="G5623" s="1678"/>
      <c r="H5623" s="1376"/>
      <c r="I5623" s="1299"/>
      <c r="J5623" s="1300"/>
      <c r="K5623" s="1307"/>
      <c r="L5623" s="1335"/>
      <c r="M5623" s="1302"/>
      <c r="N5623" s="1700"/>
      <c r="O5623" s="1290"/>
      <c r="P5623" s="1332"/>
      <c r="Q5623" s="3391"/>
      <c r="R5623" s="1296"/>
    </row>
    <row r="5624" spans="1:18" s="16" customFormat="1">
      <c r="E5624" s="2182"/>
      <c r="F5624" s="2080"/>
      <c r="G5624" s="2080"/>
      <c r="H5624" s="13"/>
      <c r="I5624" s="1561"/>
      <c r="J5624" s="13"/>
      <c r="K5624" s="1639"/>
      <c r="L5624" s="1640"/>
      <c r="M5624" s="1292"/>
      <c r="N5624" s="1292"/>
      <c r="O5624" s="1292"/>
      <c r="P5624" s="1292"/>
      <c r="Q5624" s="3391"/>
      <c r="R5624" s="1296"/>
    </row>
    <row r="5625" spans="1:18" s="16" customFormat="1" ht="29" thickBot="1">
      <c r="E5625" s="2182"/>
      <c r="F5625" s="2080"/>
      <c r="G5625" s="2080"/>
      <c r="H5625" s="13"/>
      <c r="I5625" s="1561"/>
      <c r="J5625" s="13"/>
      <c r="K5625" s="1639"/>
      <c r="L5625" s="2375" t="s">
        <v>2856</v>
      </c>
      <c r="M5625" s="1292"/>
      <c r="N5625" s="1292"/>
      <c r="O5625" s="1292"/>
      <c r="P5625" s="1292"/>
      <c r="Q5625" s="3391"/>
      <c r="R5625" s="1296"/>
    </row>
    <row r="5626" spans="1:18">
      <c r="A5626" s="4490" t="s">
        <v>2051</v>
      </c>
      <c r="B5626" s="4491"/>
      <c r="C5626" s="4491"/>
      <c r="D5626" s="4492"/>
      <c r="E5626" s="4483" t="s">
        <v>1507</v>
      </c>
      <c r="F5626" s="4484" t="s">
        <v>2845</v>
      </c>
      <c r="G5626" s="4384" t="s">
        <v>294</v>
      </c>
      <c r="H5626" s="4384"/>
      <c r="I5626" s="4166" t="s">
        <v>1565</v>
      </c>
      <c r="J5626" s="4172" t="s">
        <v>1575</v>
      </c>
      <c r="K5626" s="4384" t="s">
        <v>289</v>
      </c>
      <c r="L5626" s="4384"/>
      <c r="M5626" s="4385" t="s">
        <v>3349</v>
      </c>
      <c r="N5626" s="4385"/>
      <c r="O5626" s="4385"/>
      <c r="P5626" s="4385"/>
      <c r="Q5626" s="4248" t="s">
        <v>3952</v>
      </c>
      <c r="R5626" s="1296"/>
    </row>
    <row r="5627" spans="1:18" ht="21.5" thickBot="1">
      <c r="A5627" s="4377"/>
      <c r="B5627" s="4378"/>
      <c r="C5627" s="4378"/>
      <c r="D5627" s="4379"/>
      <c r="E5627" s="4381"/>
      <c r="F5627" s="4383"/>
      <c r="G5627" s="4451">
        <f>IF('Seleccion proyecto HEREVEA02'!G46="Reparación faldón ≤60%",'Seleccion proyecto HEREVEA02'!E44,0)</f>
        <v>0</v>
      </c>
      <c r="H5627" s="4452"/>
      <c r="I5627" s="4220">
        <f>IF('Seleccion proyecto HEREVEA02'!H46=0,0,IF('Seleccion proyecto HEREVEA02'!H46="1 a 60",0.6))</f>
        <v>0</v>
      </c>
      <c r="J5627" s="4170">
        <f>'Seleccion proyecto HEREVEA02'!L8</f>
        <v>11100.968999999999</v>
      </c>
      <c r="K5627" s="4358">
        <f>G5627*I5627*J5627</f>
        <v>0</v>
      </c>
      <c r="L5627" s="4359"/>
      <c r="M5627" s="4423">
        <f>P5629+P5644+P5665+P5679+P5703</f>
        <v>90.612599709999998</v>
      </c>
      <c r="N5627" s="4362"/>
      <c r="O5627" s="4362"/>
      <c r="P5627" s="4424"/>
      <c r="Q5627" s="4249">
        <f>M5627*K5627</f>
        <v>0</v>
      </c>
      <c r="R5627" s="2371" t="s">
        <v>2844</v>
      </c>
    </row>
    <row r="5628" spans="1:18">
      <c r="A5628" s="18" t="s">
        <v>3764</v>
      </c>
      <c r="B5628" s="4367" t="s">
        <v>2028</v>
      </c>
      <c r="C5628" s="3354"/>
      <c r="D5628" s="4368"/>
      <c r="E5628" s="4329" t="s">
        <v>1507</v>
      </c>
      <c r="F5628" s="4336" t="s">
        <v>2029</v>
      </c>
      <c r="G5628" s="4331" t="s">
        <v>1568</v>
      </c>
      <c r="H5628" s="4331" t="s">
        <v>1574</v>
      </c>
      <c r="I5628" s="1572" t="s">
        <v>1559</v>
      </c>
      <c r="J5628" s="1294" t="s">
        <v>1560</v>
      </c>
      <c r="K5628" s="1294" t="s">
        <v>1569</v>
      </c>
      <c r="L5628" s="4333" t="s">
        <v>3765</v>
      </c>
      <c r="M5628" s="4335" t="s">
        <v>1571</v>
      </c>
      <c r="N5628" s="4323" t="s">
        <v>1776</v>
      </c>
      <c r="O5628" s="3347" t="s">
        <v>1563</v>
      </c>
      <c r="P5628" s="1336" t="s">
        <v>1562</v>
      </c>
      <c r="Q5628" s="3389"/>
      <c r="R5628" s="1699" t="s">
        <v>1327</v>
      </c>
    </row>
    <row r="5629" spans="1:18">
      <c r="A5629" s="1662" t="s">
        <v>2051</v>
      </c>
      <c r="B5629" s="4369"/>
      <c r="C5629" s="3351"/>
      <c r="D5629" s="4328"/>
      <c r="E5629" s="4330"/>
      <c r="F5629" s="4336"/>
      <c r="G5629" s="4332"/>
      <c r="H5629" s="4332"/>
      <c r="I5629" s="1345">
        <v>1</v>
      </c>
      <c r="J5629" s="1307">
        <v>1</v>
      </c>
      <c r="K5629" s="1297">
        <f>I5629*J5629</f>
        <v>1</v>
      </c>
      <c r="L5629" s="4334"/>
      <c r="M5629" s="4335"/>
      <c r="N5629" s="4324"/>
      <c r="O5629" s="1298">
        <f>SUM(O5631:O5642)</f>
        <v>14.0425</v>
      </c>
      <c r="P5629" s="1337">
        <f>O5629*K5629</f>
        <v>14.0425</v>
      </c>
      <c r="Q5629" s="3390"/>
      <c r="R5629" s="1721">
        <f>P5635+P5636</f>
        <v>14.0425</v>
      </c>
    </row>
    <row r="5630" spans="1:18">
      <c r="A5630" s="1320"/>
      <c r="B5630" s="22"/>
      <c r="C5630" s="1327"/>
      <c r="D5630" s="1367"/>
      <c r="E5630" s="2121"/>
      <c r="F5630" s="1389" t="s">
        <v>1</v>
      </c>
      <c r="G5630" s="1389"/>
      <c r="H5630" s="1369"/>
      <c r="I5630" s="1409"/>
      <c r="J5630" s="1390"/>
      <c r="K5630" s="1391"/>
      <c r="L5630" s="1559"/>
      <c r="M5630" s="1369"/>
      <c r="N5630" s="1369"/>
      <c r="O5630" s="1369"/>
      <c r="P5630" s="1392"/>
      <c r="Q5630" s="3395"/>
      <c r="R5630" s="1296"/>
    </row>
    <row r="5631" spans="1:18">
      <c r="A5631" s="1042"/>
      <c r="B5631" s="22"/>
      <c r="C5631" s="1042"/>
      <c r="D5631" s="1672"/>
      <c r="E5631" s="2160"/>
      <c r="F5631" s="1675"/>
      <c r="G5631" s="1675"/>
      <c r="H5631" s="1674"/>
      <c r="I5631" s="1299" t="str">
        <f t="shared" ref="I5631:I5633" ca="1" si="740">IF(COUNT(H5631:O5631)=0,"",(SUM(H5631:O5631)/COUNT(H5631:O5631)))</f>
        <v/>
      </c>
      <c r="J5631" s="1300"/>
      <c r="K5631" s="1307" t="str">
        <f t="shared" ref="K5631:K5633" ca="1" si="741">IF(COUNT(I5631)=0,"",(I5631*J5631))</f>
        <v/>
      </c>
      <c r="L5631" s="1335"/>
      <c r="M5631" s="1302"/>
      <c r="N5631" s="1700"/>
      <c r="O5631" s="1290"/>
      <c r="P5631" s="1332"/>
      <c r="Q5631" s="3391"/>
      <c r="R5631" s="1296"/>
    </row>
    <row r="5632" spans="1:18">
      <c r="A5632" s="1042"/>
      <c r="B5632" s="22"/>
      <c r="C5632" s="1042"/>
      <c r="D5632" s="1367"/>
      <c r="E5632" s="2121"/>
      <c r="F5632" s="1436"/>
      <c r="G5632" s="1436"/>
      <c r="H5632" s="1369"/>
      <c r="I5632" s="1299" t="str">
        <f t="shared" ca="1" si="740"/>
        <v/>
      </c>
      <c r="J5632" s="1300"/>
      <c r="K5632" s="1307" t="str">
        <f t="shared" ca="1" si="741"/>
        <v/>
      </c>
      <c r="L5632" s="1335"/>
      <c r="M5632" s="1302"/>
      <c r="N5632" s="1700"/>
      <c r="O5632" s="1290"/>
      <c r="P5632" s="1332"/>
      <c r="Q5632" s="3391"/>
      <c r="R5632" s="1296"/>
    </row>
    <row r="5633" spans="1:18">
      <c r="A5633" s="1042"/>
      <c r="B5633" s="22"/>
      <c r="C5633" s="1042"/>
      <c r="D5633" s="1367"/>
      <c r="E5633" s="2121"/>
      <c r="F5633" s="1436"/>
      <c r="G5633" s="1436"/>
      <c r="H5633" s="1369"/>
      <c r="I5633" s="1299" t="str">
        <f t="shared" ca="1" si="740"/>
        <v/>
      </c>
      <c r="J5633" s="1300"/>
      <c r="K5633" s="1307" t="str">
        <f t="shared" ca="1" si="741"/>
        <v/>
      </c>
      <c r="L5633" s="1335"/>
      <c r="M5633" s="1302"/>
      <c r="N5633" s="1700"/>
      <c r="O5633" s="1290"/>
      <c r="P5633" s="1332"/>
      <c r="Q5633" s="3391"/>
      <c r="R5633" s="1296"/>
    </row>
    <row r="5634" spans="1:18">
      <c r="A5634" s="1042"/>
      <c r="B5634" s="22"/>
      <c r="C5634" s="1042"/>
      <c r="D5634" s="1359"/>
      <c r="E5634" s="1858"/>
      <c r="F5634" s="1360" t="s">
        <v>2</v>
      </c>
      <c r="G5634" s="1360"/>
      <c r="H5634" s="1362"/>
      <c r="I5634" s="1380"/>
      <c r="J5634" s="1381"/>
      <c r="K5634" s="1381"/>
      <c r="L5634" s="1458" t="str">
        <f ca="1">IF(COUNT(K5633)=0,"",IF(#REF!="","",(K5633*#REF!)))</f>
        <v/>
      </c>
      <c r="M5634" s="1362"/>
      <c r="N5634" s="1362"/>
      <c r="O5634" s="1362"/>
      <c r="P5634" s="1359"/>
      <c r="Q5634" s="3387"/>
    </row>
    <row r="5635" spans="1:18">
      <c r="A5635" s="1321"/>
      <c r="B5635" s="1295"/>
      <c r="C5635" s="1321"/>
      <c r="D5635" s="1363" t="s">
        <v>1067</v>
      </c>
      <c r="E5635" s="2125" t="s">
        <v>1508</v>
      </c>
      <c r="F5635" s="1385" t="s">
        <v>1512</v>
      </c>
      <c r="G5635" s="2019">
        <v>0.4</v>
      </c>
      <c r="H5635" s="1386"/>
      <c r="I5635" s="1299"/>
      <c r="J5635" s="1300"/>
      <c r="K5635" s="1307">
        <f>G5635*K5629</f>
        <v>0.4</v>
      </c>
      <c r="L5635" s="1335">
        <f>K5635*$K$5627</f>
        <v>0</v>
      </c>
      <c r="M5635" s="1302">
        <v>18.28</v>
      </c>
      <c r="N5635" s="1700"/>
      <c r="O5635" s="1290">
        <f>G5635*M5635</f>
        <v>7.3120000000000012</v>
      </c>
      <c r="P5635" s="1332">
        <f>M5635*K5635</f>
        <v>7.3120000000000012</v>
      </c>
      <c r="Q5635" s="3391"/>
    </row>
    <row r="5636" spans="1:18">
      <c r="A5636" s="16"/>
      <c r="B5636" s="1042"/>
      <c r="C5636" s="88"/>
      <c r="D5636" s="1430" t="s">
        <v>1077</v>
      </c>
      <c r="E5636" s="1857" t="s">
        <v>1508</v>
      </c>
      <c r="F5636" s="1403" t="s">
        <v>37</v>
      </c>
      <c r="G5636" s="1991">
        <v>0.35</v>
      </c>
      <c r="H5636" s="1408"/>
      <c r="I5636" s="197">
        <f ca="1">IF(COUNT(H5636:L5636)=0,"",(SUM(H5636:L5636)/COUNT(H5636:L5636)))</f>
        <v>0.17499999999999996</v>
      </c>
      <c r="J5636" s="198"/>
      <c r="K5636" s="1307">
        <f>G5636*K5629</f>
        <v>0.35</v>
      </c>
      <c r="L5636" s="1335">
        <f>K5636*$K$5627</f>
        <v>0</v>
      </c>
      <c r="M5636" s="1302">
        <v>19.23</v>
      </c>
      <c r="N5636" s="1718"/>
      <c r="O5636" s="1290">
        <f>G5636*M5636</f>
        <v>6.7305000000000001</v>
      </c>
      <c r="P5636" s="1332">
        <f>M5636*K5636</f>
        <v>6.7305000000000001</v>
      </c>
      <c r="Q5636" s="3391"/>
      <c r="R5636" s="2337"/>
    </row>
    <row r="5637" spans="1:18">
      <c r="A5637" s="1320"/>
      <c r="B5637" s="22"/>
      <c r="C5637" s="1320"/>
      <c r="D5637" s="1359"/>
      <c r="E5637" s="1858"/>
      <c r="F5637" s="1404"/>
      <c r="G5637" s="1404"/>
      <c r="H5637" s="1359"/>
      <c r="I5637" s="1299"/>
      <c r="J5637" s="1300"/>
      <c r="K5637" s="1307"/>
      <c r="L5637" s="1335"/>
      <c r="M5637" s="1302"/>
      <c r="N5637" s="1700"/>
      <c r="O5637" s="1290"/>
      <c r="P5637" s="1332"/>
      <c r="Q5637" s="3391"/>
      <c r="R5637" s="1296"/>
    </row>
    <row r="5638" spans="1:18">
      <c r="A5638" s="1320"/>
      <c r="B5638" s="22"/>
      <c r="C5638" s="1320"/>
      <c r="D5638" s="1359"/>
      <c r="E5638" s="1858"/>
      <c r="F5638" s="1361"/>
      <c r="G5638" s="1361"/>
      <c r="H5638" s="1466"/>
      <c r="I5638" s="1299"/>
      <c r="J5638" s="1300"/>
      <c r="K5638" s="1307" t="str">
        <f>IF(COUNT(I5638)=0,"",(I5638*J5638))</f>
        <v/>
      </c>
      <c r="L5638" s="1335"/>
      <c r="M5638" s="1302"/>
      <c r="N5638" s="1700"/>
      <c r="O5638" s="1290"/>
      <c r="P5638" s="1332"/>
      <c r="Q5638" s="3391"/>
      <c r="R5638" s="1296"/>
    </row>
    <row r="5639" spans="1:18">
      <c r="A5639" s="1320"/>
      <c r="B5639" s="22"/>
      <c r="C5639" s="1320"/>
      <c r="D5639" s="1373"/>
      <c r="E5639" s="2123"/>
      <c r="F5639" s="1374" t="s">
        <v>3</v>
      </c>
      <c r="G5639" s="1375"/>
      <c r="H5639" s="1376"/>
      <c r="I5639" s="1382"/>
      <c r="J5639" s="1383"/>
      <c r="K5639" s="1383" t="str">
        <f>IF(COUNT(I5639)=0,"",(I5639*J5639))</f>
        <v/>
      </c>
      <c r="L5639" s="1413"/>
      <c r="M5639" s="1376"/>
      <c r="N5639" s="1376"/>
      <c r="O5639" s="1376"/>
      <c r="P5639" s="1373"/>
      <c r="Q5639" s="3387"/>
      <c r="R5639" s="1296"/>
    </row>
    <row r="5640" spans="1:18">
      <c r="A5640" s="1321"/>
      <c r="B5640" s="1295"/>
      <c r="C5640" s="1321"/>
      <c r="D5640" s="1377"/>
      <c r="E5640" s="2124"/>
      <c r="F5640" s="1378"/>
      <c r="G5640" s="1378"/>
      <c r="H5640" s="1379"/>
      <c r="I5640" s="1299"/>
      <c r="J5640" s="1300"/>
      <c r="K5640" s="1307"/>
      <c r="L5640" s="1335"/>
      <c r="M5640" s="1302"/>
      <c r="N5640" s="1700"/>
      <c r="O5640" s="1290"/>
      <c r="P5640" s="1332"/>
      <c r="Q5640" s="3391"/>
      <c r="R5640" s="1296"/>
    </row>
    <row r="5641" spans="1:18">
      <c r="A5641" s="1321"/>
      <c r="B5641" s="1295"/>
      <c r="C5641" s="1321"/>
      <c r="D5641" s="1377"/>
      <c r="E5641" s="2124"/>
      <c r="F5641" s="1378"/>
      <c r="G5641" s="1378"/>
      <c r="H5641" s="1379"/>
      <c r="I5641" s="1299"/>
      <c r="J5641" s="1300"/>
      <c r="K5641" s="1307"/>
      <c r="L5641" s="1335"/>
      <c r="M5641" s="1302"/>
      <c r="N5641" s="1700"/>
      <c r="O5641" s="1290"/>
      <c r="P5641" s="1333"/>
      <c r="Q5641" s="3391"/>
      <c r="R5641" s="1296"/>
    </row>
    <row r="5642" spans="1:18">
      <c r="A5642" s="1042"/>
      <c r="B5642" s="1765"/>
      <c r="C5642" s="223"/>
      <c r="D5642" s="1373"/>
      <c r="E5642" s="2161"/>
      <c r="F5642" s="1678"/>
      <c r="G5642" s="1678"/>
      <c r="H5642" s="1376"/>
      <c r="I5642" s="1299"/>
      <c r="J5642" s="1300"/>
      <c r="K5642" s="1307"/>
      <c r="L5642" s="1335"/>
      <c r="M5642" s="1302"/>
      <c r="N5642" s="1700"/>
      <c r="O5642" s="1290"/>
      <c r="P5642" s="1332"/>
      <c r="Q5642" s="3391"/>
      <c r="R5642" s="1296"/>
    </row>
    <row r="5643" spans="1:18" ht="15" customHeight="1">
      <c r="A5643" s="2370" t="s">
        <v>2843</v>
      </c>
      <c r="B5643" s="4325" t="s">
        <v>2841</v>
      </c>
      <c r="C5643" s="3354"/>
      <c r="D5643" s="4368"/>
      <c r="E5643" s="4329" t="s">
        <v>1507</v>
      </c>
      <c r="F5643" s="4336" t="s">
        <v>2842</v>
      </c>
      <c r="G5643" s="4331" t="s">
        <v>1568</v>
      </c>
      <c r="H5643" s="4331" t="s">
        <v>1574</v>
      </c>
      <c r="I5643" s="1572" t="s">
        <v>1559</v>
      </c>
      <c r="J5643" s="1294" t="s">
        <v>1560</v>
      </c>
      <c r="K5643" s="1294" t="s">
        <v>1569</v>
      </c>
      <c r="L5643" s="4333" t="s">
        <v>3765</v>
      </c>
      <c r="M5643" s="4335" t="s">
        <v>1571</v>
      </c>
      <c r="N5643" s="4323" t="s">
        <v>1776</v>
      </c>
      <c r="O5643" s="3347" t="s">
        <v>1563</v>
      </c>
      <c r="P5643" s="1336" t="s">
        <v>1562</v>
      </c>
      <c r="Q5643" s="3389"/>
      <c r="R5643" s="1699" t="s">
        <v>1327</v>
      </c>
    </row>
    <row r="5644" spans="1:18">
      <c r="A5644" s="2370"/>
      <c r="B5644" s="4326"/>
      <c r="C5644" s="3354"/>
      <c r="D5644" s="4328"/>
      <c r="E5644" s="4330"/>
      <c r="F5644" s="4336"/>
      <c r="G5644" s="4332"/>
      <c r="H5644" s="4332"/>
      <c r="I5644" s="1345">
        <v>1</v>
      </c>
      <c r="J5644" s="1307">
        <v>1</v>
      </c>
      <c r="K5644" s="1297">
        <f>I5644*J5644</f>
        <v>1</v>
      </c>
      <c r="L5644" s="4334"/>
      <c r="M5644" s="4335"/>
      <c r="N5644" s="4324"/>
      <c r="O5644" s="1298">
        <f>O5646+O5647+O5648+O5656</f>
        <v>35.854500000000009</v>
      </c>
      <c r="P5644" s="1337">
        <f>O5644*K5644</f>
        <v>35.854500000000009</v>
      </c>
      <c r="Q5644" s="3390"/>
      <c r="R5644" s="1721">
        <f>P5646+P5647+P5648+P5656</f>
        <v>29.417784000000005</v>
      </c>
    </row>
    <row r="5645" spans="1:18">
      <c r="B5645" s="1949"/>
      <c r="C5645" s="1327"/>
      <c r="D5645" s="1400"/>
      <c r="E5645" s="2121"/>
      <c r="F5645" s="1389" t="s">
        <v>1</v>
      </c>
      <c r="G5645" s="1389"/>
      <c r="H5645" s="1369"/>
      <c r="I5645" s="1409"/>
      <c r="J5645" s="1390"/>
      <c r="K5645" s="1391"/>
      <c r="L5645" s="1559"/>
      <c r="M5645" s="1369"/>
      <c r="N5645" s="1369"/>
      <c r="O5645" s="1369"/>
      <c r="P5645" s="1392"/>
      <c r="Q5645" s="3395"/>
      <c r="R5645" s="1296"/>
    </row>
    <row r="5646" spans="1:18">
      <c r="B5646" s="1599"/>
      <c r="C5646" s="1320"/>
      <c r="D5646" s="1610" t="s">
        <v>1138</v>
      </c>
      <c r="E5646" s="2154" t="s">
        <v>1504</v>
      </c>
      <c r="F5646" s="1598" t="s">
        <v>2044</v>
      </c>
      <c r="G5646" s="1612">
        <v>43.2</v>
      </c>
      <c r="H5646" s="1390"/>
      <c r="I5646" s="1289"/>
      <c r="J5646" s="8"/>
      <c r="K5646" s="1307">
        <f>G5646*K5644</f>
        <v>43.2</v>
      </c>
      <c r="L5646" s="1335">
        <f t="shared" ref="L5646:L5653" si="742">K5646*$K$5627</f>
        <v>0</v>
      </c>
      <c r="M5646" s="1302">
        <v>0.32</v>
      </c>
      <c r="N5646" s="1700"/>
      <c r="O5646" s="1290">
        <f>G5646*M5646</f>
        <v>13.824000000000002</v>
      </c>
      <c r="P5646" s="1332">
        <f>M5646*K5646</f>
        <v>13.824000000000002</v>
      </c>
      <c r="Q5646" s="3391"/>
      <c r="R5646" s="1296"/>
    </row>
    <row r="5647" spans="1:18">
      <c r="B5647" s="1599"/>
      <c r="C5647" s="1320"/>
      <c r="D5647" s="1610" t="s">
        <v>1082</v>
      </c>
      <c r="E5647" s="2154" t="s">
        <v>1504</v>
      </c>
      <c r="F5647" s="1598" t="s">
        <v>1541</v>
      </c>
      <c r="G5647" s="1612">
        <v>1</v>
      </c>
      <c r="H5647" s="1390"/>
      <c r="I5647" s="1289"/>
      <c r="J5647" s="2027"/>
      <c r="K5647" s="1307">
        <f>G5647*K5644</f>
        <v>1</v>
      </c>
      <c r="L5647" s="1335">
        <f t="shared" si="742"/>
        <v>0</v>
      </c>
      <c r="M5647" s="1700">
        <v>0.3</v>
      </c>
      <c r="N5647" s="1700"/>
      <c r="O5647" s="1290">
        <f>G5647*M5647</f>
        <v>0.3</v>
      </c>
      <c r="P5647" s="1332">
        <f>M5647*K5647</f>
        <v>0.3</v>
      </c>
      <c r="Q5647" s="3391"/>
      <c r="R5647" s="1296"/>
    </row>
    <row r="5648" spans="1:18">
      <c r="B5648" s="1599"/>
      <c r="C5648" s="1320"/>
      <c r="D5648" s="1610" t="s">
        <v>1097</v>
      </c>
      <c r="E5648" s="2154" t="s">
        <v>1504</v>
      </c>
      <c r="F5648" s="1598" t="s">
        <v>1632</v>
      </c>
      <c r="G5648" s="1612">
        <v>2</v>
      </c>
      <c r="H5648" s="1390"/>
      <c r="I5648" s="1289"/>
      <c r="J5648" s="2027"/>
      <c r="K5648" s="1307">
        <f>G5648*K5644</f>
        <v>2</v>
      </c>
      <c r="L5648" s="1335">
        <f t="shared" si="742"/>
        <v>0</v>
      </c>
      <c r="M5648" s="1700">
        <v>0.55000000000000004</v>
      </c>
      <c r="N5648" s="1700"/>
      <c r="O5648" s="1290">
        <f>G5648*M5648</f>
        <v>1.1000000000000001</v>
      </c>
      <c r="P5648" s="1332">
        <f>M5648*K5648</f>
        <v>1.1000000000000001</v>
      </c>
      <c r="Q5648" s="3391"/>
      <c r="R5648" s="1296"/>
    </row>
    <row r="5649" spans="1:18">
      <c r="B5649" s="1320"/>
      <c r="C5649" s="2020" t="s">
        <v>1137</v>
      </c>
      <c r="D5649" s="1585"/>
      <c r="E5649" s="2137" t="s">
        <v>1517</v>
      </c>
      <c r="F5649" s="1319" t="s">
        <v>2037</v>
      </c>
      <c r="G5649" s="1353"/>
      <c r="H5649" s="1456">
        <v>3.1E-2</v>
      </c>
      <c r="I5649" s="1444"/>
      <c r="J5649" s="1388"/>
      <c r="K5649" s="1445"/>
      <c r="L5649" s="1457"/>
      <c r="M5649" s="1447"/>
      <c r="N5649" s="1447">
        <f>SUM(N5650:N5653)</f>
        <v>44.774360000000001</v>
      </c>
      <c r="O5649" s="1447">
        <f>SUM(O5650:O5653)</f>
        <v>1.3880051600000001</v>
      </c>
      <c r="P5649" s="1446">
        <f>SUM(P5650:P5653)</f>
        <v>1.3880051600000001</v>
      </c>
      <c r="Q5649" s="3391"/>
      <c r="R5649" s="2337"/>
    </row>
    <row r="5650" spans="1:18">
      <c r="B5650" s="1320"/>
      <c r="C5650" s="1511"/>
      <c r="D5650" s="1400" t="s">
        <v>1069</v>
      </c>
      <c r="E5650" s="1856" t="s">
        <v>1517</v>
      </c>
      <c r="F5650" s="1397" t="s">
        <v>1578</v>
      </c>
      <c r="G5650" s="1416">
        <v>0.25800000000000001</v>
      </c>
      <c r="H5650" s="1399">
        <f>G5650*H5649</f>
        <v>7.9979999999999999E-3</v>
      </c>
      <c r="I5650" s="197"/>
      <c r="J5650" s="198"/>
      <c r="K5650" s="1732">
        <f>H5650*K5644</f>
        <v>7.9979999999999999E-3</v>
      </c>
      <c r="L5650" s="1335">
        <f t="shared" si="742"/>
        <v>0</v>
      </c>
      <c r="M5650" s="1302">
        <v>0.55000000000000004</v>
      </c>
      <c r="N5650" s="1718">
        <f>G5650*M5650</f>
        <v>0.14190000000000003</v>
      </c>
      <c r="O5650" s="1290">
        <f>H5650*M5650</f>
        <v>4.3989000000000007E-3</v>
      </c>
      <c r="P5650" s="1332">
        <f>M5650*K5650</f>
        <v>4.3989000000000007E-3</v>
      </c>
      <c r="Q5650" s="3391"/>
      <c r="R5650" s="2337"/>
    </row>
    <row r="5651" spans="1:18">
      <c r="B5651" s="1320"/>
      <c r="C5651" s="595"/>
      <c r="D5651" s="1400" t="s">
        <v>1394</v>
      </c>
      <c r="E5651" s="1856" t="s">
        <v>1577</v>
      </c>
      <c r="F5651" s="1397" t="s">
        <v>1579</v>
      </c>
      <c r="G5651" s="1416">
        <v>0.19600000000000001</v>
      </c>
      <c r="H5651" s="1399">
        <f>G5651*H5649</f>
        <v>6.0759999999999998E-3</v>
      </c>
      <c r="I5651" s="197"/>
      <c r="J5651" s="198"/>
      <c r="K5651" s="1732">
        <f>H5651*K5644</f>
        <v>6.0759999999999998E-3</v>
      </c>
      <c r="L5651" s="1335">
        <f t="shared" si="742"/>
        <v>0</v>
      </c>
      <c r="M5651" s="1302">
        <v>92.54</v>
      </c>
      <c r="N5651" s="1718">
        <f>G5651*M5651</f>
        <v>18.137840000000001</v>
      </c>
      <c r="O5651" s="1290">
        <f>H5651*M5651</f>
        <v>0.56227304</v>
      </c>
      <c r="P5651" s="1332">
        <f>M5651*K5651</f>
        <v>0.56227304</v>
      </c>
      <c r="Q5651" s="3391"/>
      <c r="R5651" s="2337"/>
    </row>
    <row r="5652" spans="1:18">
      <c r="B5652" s="1320"/>
      <c r="C5652" s="595"/>
      <c r="D5652" s="1400" t="s">
        <v>1576</v>
      </c>
      <c r="E5652" s="1856" t="s">
        <v>1517</v>
      </c>
      <c r="F5652" s="1397" t="s">
        <v>1580</v>
      </c>
      <c r="G5652" s="1416">
        <v>1.1739999999999999</v>
      </c>
      <c r="H5652" s="1399">
        <f>G5652*H5649</f>
        <v>3.6393999999999996E-2</v>
      </c>
      <c r="I5652" s="197"/>
      <c r="J5652" s="198"/>
      <c r="K5652" s="1732">
        <f>H5652*K5644</f>
        <v>3.6393999999999996E-2</v>
      </c>
      <c r="L5652" s="1335">
        <f t="shared" si="742"/>
        <v>0</v>
      </c>
      <c r="M5652" s="1302">
        <v>6.53</v>
      </c>
      <c r="N5652" s="1718">
        <f>G5652*M5652</f>
        <v>7.66622</v>
      </c>
      <c r="O5652" s="1290">
        <f>H5652*M5652</f>
        <v>0.23765281999999999</v>
      </c>
      <c r="P5652" s="1332">
        <f>M5652*K5652</f>
        <v>0.23765281999999999</v>
      </c>
      <c r="Q5652" s="3391"/>
      <c r="R5652" s="2337"/>
    </row>
    <row r="5653" spans="1:18">
      <c r="B5653" s="1320"/>
      <c r="C5653" s="595"/>
      <c r="D5653" s="1404" t="s">
        <v>1067</v>
      </c>
      <c r="E5653" s="1857" t="s">
        <v>1508</v>
      </c>
      <c r="F5653" s="1406" t="s">
        <v>1512</v>
      </c>
      <c r="G5653" s="1407">
        <v>1.03</v>
      </c>
      <c r="H5653" s="1408">
        <f>G5653*H5649</f>
        <v>3.193E-2</v>
      </c>
      <c r="I5653" s="197"/>
      <c r="J5653" s="198"/>
      <c r="K5653" s="1732">
        <f>H5653*K5644</f>
        <v>3.193E-2</v>
      </c>
      <c r="L5653" s="1335">
        <f t="shared" si="742"/>
        <v>0</v>
      </c>
      <c r="M5653" s="1302">
        <v>18.28</v>
      </c>
      <c r="N5653" s="1718">
        <f>G5653*M5653</f>
        <v>18.828400000000002</v>
      </c>
      <c r="O5653" s="1290">
        <f>H5653*M5653</f>
        <v>0.58368039999999999</v>
      </c>
      <c r="P5653" s="1332">
        <f>M5653*K5653</f>
        <v>0.58368039999999999</v>
      </c>
      <c r="Q5653" s="3391"/>
      <c r="R5653" s="2337"/>
    </row>
    <row r="5654" spans="1:18">
      <c r="B5654" s="1320"/>
      <c r="C5654" s="88"/>
      <c r="D5654" s="1367"/>
      <c r="E5654" s="2121"/>
      <c r="F5654" s="1436"/>
      <c r="G5654" s="1436"/>
      <c r="H5654" s="1369"/>
      <c r="I5654" s="1299" t="str">
        <f t="shared" ref="I5654" ca="1" si="743">IF(COUNT(H5654:O5654)=0,"",(SUM(H5654:O5654)/COUNT(H5654:O5654)))</f>
        <v/>
      </c>
      <c r="J5654" s="1300"/>
      <c r="K5654" s="1307" t="str">
        <f t="shared" ref="K5654" ca="1" si="744">IF(COUNT(I5654)=0,"",(I5654*J5654))</f>
        <v/>
      </c>
      <c r="L5654" s="1335"/>
      <c r="M5654" s="1302"/>
      <c r="N5654" s="1700"/>
      <c r="O5654" s="1290"/>
      <c r="P5654" s="1332"/>
      <c r="Q5654" s="3391"/>
      <c r="R5654" s="1296"/>
    </row>
    <row r="5655" spans="1:18">
      <c r="B5655" s="1320"/>
      <c r="C5655" s="88"/>
      <c r="D5655" s="1359"/>
      <c r="E5655" s="1858"/>
      <c r="F5655" s="1360" t="s">
        <v>2</v>
      </c>
      <c r="G5655" s="1360"/>
      <c r="H5655" s="1362"/>
      <c r="I5655" s="1380"/>
      <c r="J5655" s="1381"/>
      <c r="K5655" s="1381"/>
      <c r="L5655" s="1458"/>
      <c r="M5655" s="1362"/>
      <c r="N5655" s="1362"/>
      <c r="O5655" s="1362"/>
      <c r="P5655" s="1359"/>
      <c r="Q5655" s="3387"/>
    </row>
    <row r="5656" spans="1:18">
      <c r="B5656" s="1320"/>
      <c r="C5656" s="1764" t="s">
        <v>1755</v>
      </c>
      <c r="D5656" s="1461"/>
      <c r="E5656" s="2163" t="s">
        <v>1508</v>
      </c>
      <c r="F5656" s="1648" t="s">
        <v>1524</v>
      </c>
      <c r="G5656" s="1990"/>
      <c r="H5656" s="1456">
        <v>0.55000000000000004</v>
      </c>
      <c r="I5656" s="1444"/>
      <c r="J5656" s="1388"/>
      <c r="K5656" s="1445"/>
      <c r="L5656" s="1457"/>
      <c r="M5656" s="1447"/>
      <c r="N5656" s="1447">
        <f>SUM(N5657:N5658)</f>
        <v>37.510000000000005</v>
      </c>
      <c r="O5656" s="1447">
        <f>SUM(O5657:O5658)</f>
        <v>20.630500000000005</v>
      </c>
      <c r="P5656" s="1447">
        <f>SUM(P5657:P5658)</f>
        <v>14.193784000000003</v>
      </c>
      <c r="Q5656" s="3391"/>
      <c r="R5656" s="2337"/>
    </row>
    <row r="5657" spans="1:18">
      <c r="B5657" s="1320"/>
      <c r="C5657" s="88"/>
      <c r="D5657" s="1430" t="s">
        <v>1067</v>
      </c>
      <c r="E5657" s="1857" t="s">
        <v>1508</v>
      </c>
      <c r="F5657" s="1403" t="s">
        <v>5</v>
      </c>
      <c r="G5657" s="1991">
        <v>1</v>
      </c>
      <c r="H5657" s="1408">
        <f>G5657*$H$5289</f>
        <v>0.55000000000000004</v>
      </c>
      <c r="I5657" s="1286"/>
      <c r="J5657" s="198"/>
      <c r="K5657" s="1307">
        <f>H5657*$K$5277</f>
        <v>0.37840000000000007</v>
      </c>
      <c r="L5657" s="1335">
        <f t="shared" ref="L5657:L5658" si="745">K5657*$K$5627</f>
        <v>0</v>
      </c>
      <c r="M5657" s="1302">
        <v>18.28</v>
      </c>
      <c r="N5657" s="1718">
        <f>G5657*M5657</f>
        <v>18.28</v>
      </c>
      <c r="O5657" s="1290">
        <f>H5657*M5657</f>
        <v>10.054000000000002</v>
      </c>
      <c r="P5657" s="1332">
        <f>M5657*K5657</f>
        <v>6.9171520000000015</v>
      </c>
      <c r="Q5657" s="3391"/>
      <c r="R5657" s="2337"/>
    </row>
    <row r="5658" spans="1:18">
      <c r="B5658" s="1320"/>
      <c r="C5658" s="88"/>
      <c r="D5658" s="1430" t="s">
        <v>1077</v>
      </c>
      <c r="E5658" s="1857" t="s">
        <v>1508</v>
      </c>
      <c r="F5658" s="1403" t="s">
        <v>37</v>
      </c>
      <c r="G5658" s="1991">
        <v>1</v>
      </c>
      <c r="H5658" s="1408">
        <f>G5658*$H$5289</f>
        <v>0.55000000000000004</v>
      </c>
      <c r="I5658" s="197">
        <f ca="1">IF(COUNT(H5658:L5658)=0,"",(SUM(H5658:L5658)/COUNT(H5658:L5658)))</f>
        <v>0.30946677398681643</v>
      </c>
      <c r="J5658" s="198"/>
      <c r="K5658" s="1307">
        <f>H5658*$K$5277</f>
        <v>0.37840000000000007</v>
      </c>
      <c r="L5658" s="1335">
        <f t="shared" si="745"/>
        <v>0</v>
      </c>
      <c r="M5658" s="1302">
        <v>19.23</v>
      </c>
      <c r="N5658" s="1718">
        <f>G5658*M5658</f>
        <v>19.23</v>
      </c>
      <c r="O5658" s="1290">
        <f>H5658*M5658</f>
        <v>10.576500000000001</v>
      </c>
      <c r="P5658" s="1332">
        <f>M5658*K5658</f>
        <v>7.2766320000000011</v>
      </c>
      <c r="Q5658" s="3391"/>
      <c r="R5658" s="2337"/>
    </row>
    <row r="5659" spans="1:18">
      <c r="B5659" s="1320"/>
      <c r="C5659" s="595"/>
      <c r="D5659" s="1359"/>
      <c r="E5659" s="1858"/>
      <c r="F5659" s="1361"/>
      <c r="G5659" s="1361"/>
      <c r="H5659" s="1466"/>
      <c r="I5659" s="1299"/>
      <c r="J5659" s="1300"/>
      <c r="K5659" s="1307" t="str">
        <f>IF(COUNT(I5659)=0,"",(I5659*J5659))</f>
        <v/>
      </c>
      <c r="L5659" s="1335"/>
      <c r="M5659" s="1302"/>
      <c r="N5659" s="1700"/>
      <c r="O5659" s="1290"/>
      <c r="P5659" s="1332"/>
      <c r="Q5659" s="3391"/>
      <c r="R5659" s="1296"/>
    </row>
    <row r="5660" spans="1:18">
      <c r="B5660" s="1320"/>
      <c r="C5660" s="595"/>
      <c r="D5660" s="1373"/>
      <c r="E5660" s="2123"/>
      <c r="F5660" s="1374" t="s">
        <v>3</v>
      </c>
      <c r="G5660" s="1375"/>
      <c r="H5660" s="1376"/>
      <c r="I5660" s="1382"/>
      <c r="J5660" s="1383"/>
      <c r="K5660" s="1383" t="str">
        <f>IF(COUNT(I5660)=0,"",(I5660*J5660))</f>
        <v/>
      </c>
      <c r="L5660" s="1413"/>
      <c r="M5660" s="1376"/>
      <c r="N5660" s="1376"/>
      <c r="O5660" s="1376"/>
      <c r="P5660" s="1373"/>
      <c r="Q5660" s="3387"/>
      <c r="R5660" s="1296"/>
    </row>
    <row r="5661" spans="1:18">
      <c r="B5661" s="1321"/>
      <c r="C5661" s="2021"/>
      <c r="D5661" s="1377"/>
      <c r="E5661" s="2124"/>
      <c r="F5661" s="1378"/>
      <c r="G5661" s="1378"/>
      <c r="H5661" s="1379"/>
      <c r="I5661" s="1299"/>
      <c r="J5661" s="1300"/>
      <c r="K5661" s="1307"/>
      <c r="L5661" s="1335"/>
      <c r="M5661" s="1302"/>
      <c r="N5661" s="1700"/>
      <c r="O5661" s="1290"/>
      <c r="P5661" s="1332"/>
      <c r="Q5661" s="3391"/>
      <c r="R5661" s="1296"/>
    </row>
    <row r="5662" spans="1:18">
      <c r="B5662" s="1321"/>
      <c r="C5662" s="2021"/>
      <c r="D5662" s="1377"/>
      <c r="E5662" s="2124"/>
      <c r="F5662" s="1378"/>
      <c r="G5662" s="1378"/>
      <c r="H5662" s="1379"/>
      <c r="I5662" s="1299"/>
      <c r="J5662" s="1300"/>
      <c r="K5662" s="1307"/>
      <c r="L5662" s="1335"/>
      <c r="M5662" s="1302"/>
      <c r="N5662" s="1700"/>
      <c r="O5662" s="1290"/>
      <c r="P5662" s="1333"/>
      <c r="Q5662" s="3391"/>
      <c r="R5662" s="1296"/>
    </row>
    <row r="5663" spans="1:18">
      <c r="B5663" s="225"/>
      <c r="C5663" s="581"/>
      <c r="D5663" s="1373"/>
      <c r="E5663" s="2161"/>
      <c r="F5663" s="1678"/>
      <c r="G5663" s="1678"/>
      <c r="H5663" s="1376"/>
      <c r="I5663" s="1299"/>
      <c r="J5663" s="1300"/>
      <c r="K5663" s="1307"/>
      <c r="L5663" s="1335"/>
      <c r="M5663" s="1302"/>
      <c r="N5663" s="1700"/>
      <c r="O5663" s="1290"/>
      <c r="P5663" s="1332"/>
      <c r="Q5663" s="3391"/>
      <c r="R5663" s="1296"/>
    </row>
    <row r="5664" spans="1:18">
      <c r="A5664" s="88" t="s">
        <v>3764</v>
      </c>
      <c r="B5664" s="4325" t="s">
        <v>1989</v>
      </c>
      <c r="C5664" s="3354"/>
      <c r="D5664" s="4368"/>
      <c r="E5664" s="4329" t="s">
        <v>1507</v>
      </c>
      <c r="F5664" s="4336" t="s">
        <v>1990</v>
      </c>
      <c r="G5664" s="4331" t="s">
        <v>1568</v>
      </c>
      <c r="H5664" s="4331" t="s">
        <v>1574</v>
      </c>
      <c r="I5664" s="1572" t="s">
        <v>1559</v>
      </c>
      <c r="J5664" s="1294" t="s">
        <v>1560</v>
      </c>
      <c r="K5664" s="1294" t="s">
        <v>1569</v>
      </c>
      <c r="L5664" s="4333" t="s">
        <v>3765</v>
      </c>
      <c r="M5664" s="4335" t="s">
        <v>1571</v>
      </c>
      <c r="N5664" s="4323" t="s">
        <v>1776</v>
      </c>
      <c r="O5664" s="3347" t="s">
        <v>1563</v>
      </c>
      <c r="P5664" s="1336" t="s">
        <v>1562</v>
      </c>
      <c r="Q5664" s="3389"/>
      <c r="R5664" s="1699" t="s">
        <v>1327</v>
      </c>
    </row>
    <row r="5665" spans="1:18">
      <c r="A5665" s="1662" t="s">
        <v>2051</v>
      </c>
      <c r="B5665" s="4326"/>
      <c r="C5665" s="3354"/>
      <c r="D5665" s="4328"/>
      <c r="E5665" s="4330"/>
      <c r="F5665" s="4336"/>
      <c r="G5665" s="4332"/>
      <c r="H5665" s="4332"/>
      <c r="I5665" s="1345">
        <v>1</v>
      </c>
      <c r="J5665" s="1307">
        <v>1</v>
      </c>
      <c r="K5665" s="1297">
        <f>I5665*J5665</f>
        <v>1</v>
      </c>
      <c r="L5665" s="4334"/>
      <c r="M5665" s="4335"/>
      <c r="N5665" s="4324"/>
      <c r="O5665" s="1298">
        <f>O5667+O5671+O5672</f>
        <v>1.4168000000000001</v>
      </c>
      <c r="P5665" s="1337">
        <f>O5665*K5665</f>
        <v>1.4168000000000001</v>
      </c>
      <c r="Q5665" s="3390"/>
      <c r="R5665" s="1721">
        <f>P5667+P5671+P5672</f>
        <v>1.4168000000000001</v>
      </c>
    </row>
    <row r="5666" spans="1:18">
      <c r="B5666" s="1949"/>
      <c r="C5666" s="1327"/>
      <c r="D5666" s="1400"/>
      <c r="E5666" s="2121"/>
      <c r="F5666" s="1389" t="s">
        <v>1</v>
      </c>
      <c r="G5666" s="1389"/>
      <c r="H5666" s="1369"/>
      <c r="I5666" s="1409"/>
      <c r="J5666" s="1390"/>
      <c r="K5666" s="1391"/>
      <c r="L5666" s="1559"/>
      <c r="M5666" s="1369"/>
      <c r="N5666" s="1369"/>
      <c r="O5666" s="1369"/>
      <c r="P5666" s="1392"/>
      <c r="Q5666" s="3395"/>
      <c r="R5666" s="1296"/>
    </row>
    <row r="5667" spans="1:18">
      <c r="B5667" s="1599"/>
      <c r="C5667" s="1320"/>
      <c r="D5667" s="1610" t="s">
        <v>1159</v>
      </c>
      <c r="E5667" s="2154" t="s">
        <v>1507</v>
      </c>
      <c r="F5667" s="1598" t="s">
        <v>1991</v>
      </c>
      <c r="G5667" s="1612">
        <v>1.111</v>
      </c>
      <c r="H5667" s="1390"/>
      <c r="I5667" s="1289"/>
      <c r="J5667" s="8"/>
      <c r="K5667" s="1307">
        <f>G5667*K5665</f>
        <v>1.111</v>
      </c>
      <c r="L5667" s="1335">
        <f>K5667*$K$5627</f>
        <v>0</v>
      </c>
      <c r="M5667" s="1302">
        <v>0.6</v>
      </c>
      <c r="N5667" s="1700"/>
      <c r="O5667" s="1290">
        <f>G5667*M5667</f>
        <v>0.66659999999999997</v>
      </c>
      <c r="P5667" s="1332">
        <f>M5667*K5667</f>
        <v>0.66659999999999997</v>
      </c>
      <c r="Q5667" s="3391"/>
      <c r="R5667" s="1296"/>
    </row>
    <row r="5668" spans="1:18">
      <c r="B5668" s="553"/>
      <c r="C5668" s="1320"/>
      <c r="D5668" s="1400"/>
      <c r="E5668" s="1856"/>
      <c r="F5668" s="1397"/>
      <c r="G5668" s="1416"/>
      <c r="H5668" s="1399"/>
      <c r="I5668" s="197"/>
      <c r="J5668" s="198"/>
      <c r="K5668" s="1307"/>
      <c r="L5668" s="1335"/>
      <c r="M5668" s="1302"/>
      <c r="N5668" s="1718"/>
      <c r="O5668" s="1290"/>
      <c r="P5668" s="1332"/>
      <c r="Q5668" s="3391"/>
      <c r="R5668" s="2337"/>
    </row>
    <row r="5669" spans="1:18">
      <c r="B5669" s="1042"/>
      <c r="C5669" s="595"/>
      <c r="D5669" s="1367"/>
      <c r="E5669" s="1856"/>
      <c r="F5669" s="1421"/>
      <c r="G5669" s="1452"/>
      <c r="H5669" s="1399"/>
      <c r="I5669" s="197"/>
      <c r="J5669" s="198"/>
      <c r="K5669" s="1732"/>
      <c r="L5669" s="1335"/>
      <c r="M5669" s="1302"/>
      <c r="N5669" s="1718"/>
      <c r="O5669" s="1290"/>
      <c r="P5669" s="1332"/>
      <c r="Q5669" s="3391"/>
      <c r="R5669" s="2337"/>
    </row>
    <row r="5670" spans="1:18">
      <c r="B5670" s="1320"/>
      <c r="C5670" s="88"/>
      <c r="D5670" s="1359"/>
      <c r="E5670" s="2181"/>
      <c r="F5670" s="1360" t="s">
        <v>2</v>
      </c>
      <c r="G5670" s="1360"/>
      <c r="H5670" s="1362"/>
      <c r="I5670" s="1380"/>
      <c r="J5670" s="1381"/>
      <c r="K5670" s="1381"/>
      <c r="L5670" s="1458"/>
      <c r="M5670" s="1362"/>
      <c r="N5670" s="1362"/>
      <c r="O5670" s="1362"/>
      <c r="P5670" s="1359"/>
      <c r="Q5670" s="3387"/>
    </row>
    <row r="5671" spans="1:18">
      <c r="B5671" s="1042"/>
      <c r="C5671" s="88"/>
      <c r="D5671" s="1430" t="s">
        <v>1067</v>
      </c>
      <c r="E5671" s="2046" t="s">
        <v>1508</v>
      </c>
      <c r="F5671" s="1403" t="s">
        <v>5</v>
      </c>
      <c r="G5671" s="1991">
        <v>0.02</v>
      </c>
      <c r="H5671" s="1408"/>
      <c r="I5671" s="1286"/>
      <c r="J5671" s="198"/>
      <c r="K5671" s="1307">
        <f>G5671*K5665</f>
        <v>0.02</v>
      </c>
      <c r="L5671" s="1335">
        <f t="shared" ref="L5671:L5672" si="746">K5671*$K$5627</f>
        <v>0</v>
      </c>
      <c r="M5671" s="1302">
        <v>18.28</v>
      </c>
      <c r="N5671" s="1718"/>
      <c r="O5671" s="1290">
        <f>G5671*M5671</f>
        <v>0.36560000000000004</v>
      </c>
      <c r="P5671" s="1332">
        <f>M5671*K5671</f>
        <v>0.36560000000000004</v>
      </c>
      <c r="Q5671" s="3391"/>
      <c r="R5671" s="2337"/>
    </row>
    <row r="5672" spans="1:18">
      <c r="B5672" s="1042"/>
      <c r="C5672" s="88"/>
      <c r="D5672" s="1620" t="s">
        <v>1133</v>
      </c>
      <c r="E5672" s="2047" t="s">
        <v>1508</v>
      </c>
      <c r="F5672" s="1655" t="s">
        <v>1955</v>
      </c>
      <c r="G5672" s="1994">
        <v>0.02</v>
      </c>
      <c r="H5672" s="1408"/>
      <c r="I5672" s="197"/>
      <c r="J5672" s="198"/>
      <c r="K5672" s="1307">
        <f>G5672*K5665</f>
        <v>0.02</v>
      </c>
      <c r="L5672" s="1335">
        <f t="shared" si="746"/>
        <v>0</v>
      </c>
      <c r="M5672" s="1302">
        <v>19.23</v>
      </c>
      <c r="N5672" s="1718"/>
      <c r="O5672" s="1290">
        <f>G5672*M5672</f>
        <v>0.3846</v>
      </c>
      <c r="P5672" s="1332">
        <f>M5672*K5672</f>
        <v>0.3846</v>
      </c>
      <c r="Q5672" s="3391"/>
      <c r="R5672" s="2337"/>
    </row>
    <row r="5673" spans="1:18">
      <c r="B5673" s="1320"/>
      <c r="C5673" s="595"/>
      <c r="D5673" s="1359"/>
      <c r="E5673" s="1858"/>
      <c r="F5673" s="1361"/>
      <c r="G5673" s="1361"/>
      <c r="H5673" s="1466"/>
      <c r="I5673" s="1299"/>
      <c r="J5673" s="1300"/>
      <c r="K5673" s="1307" t="str">
        <f>IF(COUNT(I5673)=0,"",(I5673*J5673))</f>
        <v/>
      </c>
      <c r="L5673" s="1335"/>
      <c r="M5673" s="1302"/>
      <c r="N5673" s="1700"/>
      <c r="O5673" s="1290"/>
      <c r="P5673" s="1332"/>
      <c r="Q5673" s="3391"/>
      <c r="R5673" s="1296"/>
    </row>
    <row r="5674" spans="1:18">
      <c r="B5674" s="1320"/>
      <c r="C5674" s="595"/>
      <c r="D5674" s="1373"/>
      <c r="E5674" s="2123"/>
      <c r="F5674" s="1374" t="s">
        <v>3</v>
      </c>
      <c r="G5674" s="1375"/>
      <c r="H5674" s="1376"/>
      <c r="I5674" s="1382"/>
      <c r="J5674" s="1383"/>
      <c r="K5674" s="1383" t="str">
        <f>IF(COUNT(I5674)=0,"",(I5674*J5674))</f>
        <v/>
      </c>
      <c r="L5674" s="1413"/>
      <c r="M5674" s="1376"/>
      <c r="N5674" s="1376"/>
      <c r="O5674" s="1376"/>
      <c r="P5674" s="1373"/>
      <c r="Q5674" s="3387"/>
      <c r="R5674" s="1296"/>
    </row>
    <row r="5675" spans="1:18">
      <c r="B5675" s="1321"/>
      <c r="C5675" s="2021"/>
      <c r="D5675" s="1377"/>
      <c r="E5675" s="2124"/>
      <c r="F5675" s="1378"/>
      <c r="G5675" s="1378"/>
      <c r="H5675" s="1379"/>
      <c r="I5675" s="1299"/>
      <c r="J5675" s="1300"/>
      <c r="K5675" s="1307"/>
      <c r="L5675" s="1335"/>
      <c r="M5675" s="1302"/>
      <c r="N5675" s="1700"/>
      <c r="O5675" s="1290"/>
      <c r="P5675" s="1332"/>
      <c r="Q5675" s="3391"/>
      <c r="R5675" s="1296"/>
    </row>
    <row r="5676" spans="1:18">
      <c r="B5676" s="1321"/>
      <c r="C5676" s="2021"/>
      <c r="D5676" s="1377"/>
      <c r="E5676" s="2124"/>
      <c r="F5676" s="1378"/>
      <c r="G5676" s="1378"/>
      <c r="H5676" s="1379"/>
      <c r="I5676" s="1299"/>
      <c r="J5676" s="1300"/>
      <c r="K5676" s="1307"/>
      <c r="L5676" s="1335"/>
      <c r="M5676" s="1302"/>
      <c r="N5676" s="1700"/>
      <c r="O5676" s="1290"/>
      <c r="P5676" s="1333"/>
      <c r="Q5676" s="3391"/>
      <c r="R5676" s="1296"/>
    </row>
    <row r="5677" spans="1:18">
      <c r="B5677" s="225"/>
      <c r="C5677" s="581"/>
      <c r="D5677" s="1373"/>
      <c r="E5677" s="2161"/>
      <c r="F5677" s="1678"/>
      <c r="G5677" s="1678"/>
      <c r="H5677" s="1376"/>
      <c r="I5677" s="1299"/>
      <c r="J5677" s="1300"/>
      <c r="K5677" s="1307"/>
      <c r="L5677" s="1335"/>
      <c r="M5677" s="1302"/>
      <c r="N5677" s="1700"/>
      <c r="O5677" s="1290"/>
      <c r="P5677" s="1332"/>
      <c r="Q5677" s="3391"/>
      <c r="R5677" s="1296"/>
    </row>
    <row r="5678" spans="1:18">
      <c r="A5678" s="88" t="s">
        <v>3764</v>
      </c>
      <c r="B5678" s="4325" t="s">
        <v>2000</v>
      </c>
      <c r="C5678" s="3354"/>
      <c r="D5678" s="4368"/>
      <c r="E5678" s="4329" t="s">
        <v>1507</v>
      </c>
      <c r="F5678" s="4336" t="s">
        <v>2001</v>
      </c>
      <c r="G5678" s="4331" t="s">
        <v>1568</v>
      </c>
      <c r="H5678" s="4331" t="s">
        <v>1574</v>
      </c>
      <c r="I5678" s="1572" t="s">
        <v>1559</v>
      </c>
      <c r="J5678" s="1294" t="s">
        <v>1560</v>
      </c>
      <c r="K5678" s="1294" t="s">
        <v>1569</v>
      </c>
      <c r="L5678" s="4333" t="s">
        <v>3765</v>
      </c>
      <c r="M5678" s="4335" t="s">
        <v>1571</v>
      </c>
      <c r="N5678" s="4323" t="s">
        <v>1776</v>
      </c>
      <c r="O5678" s="3347" t="s">
        <v>1563</v>
      </c>
      <c r="P5678" s="1336" t="s">
        <v>1562</v>
      </c>
      <c r="Q5678" s="3389"/>
      <c r="R5678" s="1699" t="s">
        <v>1327</v>
      </c>
    </row>
    <row r="5679" spans="1:18">
      <c r="A5679" s="1662" t="s">
        <v>2051</v>
      </c>
      <c r="B5679" s="4326"/>
      <c r="C5679" s="3354"/>
      <c r="D5679" s="4328"/>
      <c r="E5679" s="4330"/>
      <c r="F5679" s="4336"/>
      <c r="G5679" s="4332"/>
      <c r="H5679" s="4332"/>
      <c r="I5679" s="1345">
        <v>1</v>
      </c>
      <c r="J5679" s="1307">
        <v>1</v>
      </c>
      <c r="K5679" s="1297">
        <f>I5679*J5679</f>
        <v>1</v>
      </c>
      <c r="L5679" s="4334"/>
      <c r="M5679" s="4335"/>
      <c r="N5679" s="4324"/>
      <c r="O5679" s="1298">
        <f>O5681+O5682+O5683+O5684+O5685+O5693+O5694</f>
        <v>34.853999709999997</v>
      </c>
      <c r="P5679" s="1337">
        <f>O5679*K5679</f>
        <v>34.853999709999997</v>
      </c>
      <c r="Q5679" s="3390"/>
      <c r="R5679" s="1721">
        <f>P5681+P5682+P5683+P5684+P5685+P5693+P5694</f>
        <v>34.853999709999997</v>
      </c>
    </row>
    <row r="5680" spans="1:18">
      <c r="B5680" s="1949"/>
      <c r="C5680" s="1327"/>
      <c r="D5680" s="1400"/>
      <c r="E5680" s="2121"/>
      <c r="F5680" s="1389" t="s">
        <v>1</v>
      </c>
      <c r="G5680" s="1389"/>
      <c r="H5680" s="1369"/>
      <c r="I5680" s="1409"/>
      <c r="J5680" s="1390"/>
      <c r="K5680" s="1391"/>
      <c r="L5680" s="1559"/>
      <c r="M5680" s="1369"/>
      <c r="N5680" s="1369"/>
      <c r="O5680" s="1369"/>
      <c r="P5680" s="1392"/>
      <c r="Q5680" s="3395"/>
      <c r="R5680" s="1296"/>
    </row>
    <row r="5681" spans="1:18">
      <c r="B5681" s="1599"/>
      <c r="C5681" s="1320"/>
      <c r="D5681" s="1598" t="s">
        <v>2002</v>
      </c>
      <c r="E5681" s="2154" t="s">
        <v>1507</v>
      </c>
      <c r="F5681" s="1598" t="s">
        <v>2003</v>
      </c>
      <c r="G5681" s="1612">
        <v>1.111</v>
      </c>
      <c r="H5681" s="1390"/>
      <c r="I5681" s="1289"/>
      <c r="J5681" s="8"/>
      <c r="K5681" s="1307">
        <f>G5681*K5679</f>
        <v>1.111</v>
      </c>
      <c r="L5681" s="1335">
        <f t="shared" ref="L5681:L5684" si="747">K5681*$K$5627</f>
        <v>0</v>
      </c>
      <c r="M5681" s="1302">
        <v>8.4700000000000006</v>
      </c>
      <c r="N5681" s="1700"/>
      <c r="O5681" s="1290">
        <f>G5681*M5681</f>
        <v>9.4101700000000008</v>
      </c>
      <c r="P5681" s="1332">
        <f>M5681*K5681</f>
        <v>9.4101700000000008</v>
      </c>
      <c r="Q5681" s="3391"/>
      <c r="R5681" s="1296"/>
    </row>
    <row r="5682" spans="1:18">
      <c r="B5682" s="553"/>
      <c r="C5682" s="1320"/>
      <c r="D5682" s="1400" t="s">
        <v>2004</v>
      </c>
      <c r="E5682" s="1856" t="s">
        <v>1527</v>
      </c>
      <c r="F5682" s="1397" t="s">
        <v>2005</v>
      </c>
      <c r="G5682" s="1416">
        <v>1.111</v>
      </c>
      <c r="H5682" s="1399"/>
      <c r="I5682" s="197"/>
      <c r="J5682" s="198"/>
      <c r="K5682" s="1307">
        <f>G5682*K5679</f>
        <v>1.111</v>
      </c>
      <c r="L5682" s="1335">
        <f>K5682*$K$5627</f>
        <v>0</v>
      </c>
      <c r="M5682" s="1302">
        <v>9.27</v>
      </c>
      <c r="N5682" s="1718"/>
      <c r="O5682" s="1290">
        <f>G5682*M5682</f>
        <v>10.298969999999999</v>
      </c>
      <c r="P5682" s="1332">
        <f>M5682*K5682</f>
        <v>10.298969999999999</v>
      </c>
      <c r="Q5682" s="3391"/>
      <c r="R5682" s="2337"/>
    </row>
    <row r="5683" spans="1:18">
      <c r="B5683" s="1042"/>
      <c r="C5683" s="595"/>
      <c r="D5683" s="1598" t="s">
        <v>2006</v>
      </c>
      <c r="E5683" s="2154" t="s">
        <v>1507</v>
      </c>
      <c r="F5683" s="1598" t="s">
        <v>2007</v>
      </c>
      <c r="G5683" s="1612">
        <v>2.2000000000000002</v>
      </c>
      <c r="H5683" s="1399"/>
      <c r="I5683" s="197"/>
      <c r="J5683" s="198"/>
      <c r="K5683" s="1307">
        <f>G5683*K5679</f>
        <v>2.2000000000000002</v>
      </c>
      <c r="L5683" s="1335">
        <f t="shared" si="747"/>
        <v>0</v>
      </c>
      <c r="M5683" s="1302">
        <v>0.73</v>
      </c>
      <c r="N5683" s="1718"/>
      <c r="O5683" s="1290">
        <f>G5683*M5683</f>
        <v>1.6060000000000001</v>
      </c>
      <c r="P5683" s="1332">
        <f>M5683*K5683</f>
        <v>1.6060000000000001</v>
      </c>
      <c r="Q5683" s="3391"/>
      <c r="R5683" s="2337"/>
    </row>
    <row r="5684" spans="1:18">
      <c r="B5684" s="1042"/>
      <c r="C5684" s="595"/>
      <c r="D5684" s="1598" t="s">
        <v>1082</v>
      </c>
      <c r="E5684" s="2154" t="s">
        <v>1504</v>
      </c>
      <c r="F5684" s="1598" t="s">
        <v>1541</v>
      </c>
      <c r="G5684" s="1612">
        <v>0.4</v>
      </c>
      <c r="H5684" s="1399"/>
      <c r="I5684" s="197"/>
      <c r="J5684" s="198"/>
      <c r="K5684" s="1307">
        <f>G5684*K5679</f>
        <v>0.4</v>
      </c>
      <c r="L5684" s="1335">
        <f t="shared" si="747"/>
        <v>0</v>
      </c>
      <c r="M5684" s="1302">
        <v>0.3</v>
      </c>
      <c r="N5684" s="1718"/>
      <c r="O5684" s="1290">
        <f>G5684*M5684</f>
        <v>0.12</v>
      </c>
      <c r="P5684" s="1332">
        <f>M5684*K5684</f>
        <v>0.12</v>
      </c>
      <c r="Q5684" s="3391"/>
      <c r="R5684" s="2337"/>
    </row>
    <row r="5685" spans="1:18">
      <c r="A5685" s="16"/>
      <c r="B5685" s="1042"/>
      <c r="C5685" s="1658" t="s">
        <v>1122</v>
      </c>
      <c r="D5685" s="1311"/>
      <c r="E5685" s="1855" t="s">
        <v>1517</v>
      </c>
      <c r="F5685" s="1647" t="s">
        <v>1681</v>
      </c>
      <c r="G5685" s="1689"/>
      <c r="H5685" s="1689">
        <v>4.1000000000000002E-2</v>
      </c>
      <c r="I5685" s="1444"/>
      <c r="J5685" s="1388"/>
      <c r="K5685" s="1841"/>
      <c r="L5685" s="1445"/>
      <c r="M5685" s="1500"/>
      <c r="N5685" s="1501">
        <f>SUM(N5686:N5690)</f>
        <v>51.667310000000001</v>
      </c>
      <c r="O5685" s="1501">
        <f>SUM(O5686:O5690)</f>
        <v>2.11835971</v>
      </c>
      <c r="P5685" s="1845">
        <f>SUM(P5686:P5690)</f>
        <v>2.11835971</v>
      </c>
      <c r="Q5685" s="3391"/>
      <c r="R5685" s="2343"/>
    </row>
    <row r="5686" spans="1:18">
      <c r="A5686" s="16"/>
      <c r="B5686" s="1042"/>
      <c r="C5686" s="1042"/>
      <c r="D5686" s="1451" t="s">
        <v>1069</v>
      </c>
      <c r="E5686" s="1856" t="s">
        <v>1517</v>
      </c>
      <c r="F5686" s="1421" t="s">
        <v>1578</v>
      </c>
      <c r="G5686" s="1452">
        <v>0.26300000000000001</v>
      </c>
      <c r="H5686" s="1453">
        <f>$H$5337*G5686</f>
        <v>1.0783000000000001E-2</v>
      </c>
      <c r="I5686" s="197"/>
      <c r="J5686" s="198"/>
      <c r="K5686" s="1350">
        <f>H5686*K5679</f>
        <v>1.0783000000000001E-2</v>
      </c>
      <c r="L5686" s="1335">
        <f>K5686*$K$5627</f>
        <v>0</v>
      </c>
      <c r="M5686" s="1499">
        <v>0.55000000000000004</v>
      </c>
      <c r="N5686" s="1724">
        <f>G5686*M5686</f>
        <v>0.14465000000000003</v>
      </c>
      <c r="O5686" s="1719">
        <f>H5686*M5686</f>
        <v>5.9306500000000009E-3</v>
      </c>
      <c r="P5686" s="1720">
        <f>K5686*M5686</f>
        <v>5.9306500000000009E-3</v>
      </c>
      <c r="Q5686" s="3396"/>
      <c r="R5686" s="2338"/>
    </row>
    <row r="5687" spans="1:18">
      <c r="A5687" s="16"/>
      <c r="B5687" s="1042"/>
      <c r="C5687" s="1320"/>
      <c r="D5687" s="1367" t="s">
        <v>1394</v>
      </c>
      <c r="E5687" s="1856" t="s">
        <v>1577</v>
      </c>
      <c r="F5687" s="1421" t="s">
        <v>1579</v>
      </c>
      <c r="G5687" s="1452">
        <v>0.25800000000000001</v>
      </c>
      <c r="H5687" s="1453">
        <f>G5687*H5685</f>
        <v>1.0578000000000001E-2</v>
      </c>
      <c r="I5687" s="197"/>
      <c r="J5687" s="198"/>
      <c r="K5687" s="1350">
        <f>H5687*K5679</f>
        <v>1.0578000000000001E-2</v>
      </c>
      <c r="L5687" s="1335">
        <f t="shared" ref="L5687:L5690" si="748">K5687*$K$5627</f>
        <v>0</v>
      </c>
      <c r="M5687" s="1499">
        <v>92.54</v>
      </c>
      <c r="N5687" s="1724">
        <f>G5687*M5687</f>
        <v>23.875320000000002</v>
      </c>
      <c r="O5687" s="1719">
        <f>H5687*M5687</f>
        <v>0.97888812000000014</v>
      </c>
      <c r="P5687" s="1720">
        <f>K5687*M5687</f>
        <v>0.97888812000000014</v>
      </c>
      <c r="Q5687" s="3396"/>
      <c r="R5687" s="2338"/>
    </row>
    <row r="5688" spans="1:18">
      <c r="A5688" s="16"/>
      <c r="B5688" s="1042"/>
      <c r="C5688" s="1320"/>
      <c r="D5688" s="1603" t="s">
        <v>1682</v>
      </c>
      <c r="E5688" s="1856" t="s">
        <v>1683</v>
      </c>
      <c r="F5688" s="1421" t="s">
        <v>1684</v>
      </c>
      <c r="G5688" s="1452">
        <v>1.288</v>
      </c>
      <c r="H5688" s="1453">
        <f>G5688*H5685</f>
        <v>5.2808000000000001E-2</v>
      </c>
      <c r="I5688" s="197"/>
      <c r="J5688" s="198"/>
      <c r="K5688" s="1350">
        <f>H5688*K5679</f>
        <v>5.2808000000000001E-2</v>
      </c>
      <c r="L5688" s="1335">
        <f t="shared" si="748"/>
        <v>0</v>
      </c>
      <c r="M5688" s="1499">
        <v>1.26</v>
      </c>
      <c r="N5688" s="1724">
        <f>G5688*M5688</f>
        <v>1.6228800000000001</v>
      </c>
      <c r="O5688" s="1719">
        <f>H5688*M5688</f>
        <v>6.6538079999999999E-2</v>
      </c>
      <c r="P5688" s="1720">
        <f>K5688*M5688</f>
        <v>6.6538079999999999E-2</v>
      </c>
      <c r="Q5688" s="3396"/>
      <c r="R5688" s="2338"/>
    </row>
    <row r="5689" spans="1:18">
      <c r="A5689" s="16"/>
      <c r="B5689" s="1042"/>
      <c r="C5689" s="1320"/>
      <c r="D5689" s="1603" t="s">
        <v>1576</v>
      </c>
      <c r="E5689" s="1856" t="s">
        <v>1517</v>
      </c>
      <c r="F5689" s="1421" t="s">
        <v>1580</v>
      </c>
      <c r="G5689" s="1452">
        <v>1.1020000000000001</v>
      </c>
      <c r="H5689" s="1453">
        <f>G5689*H5685</f>
        <v>4.5182000000000007E-2</v>
      </c>
      <c r="I5689" s="197"/>
      <c r="J5689" s="198"/>
      <c r="K5689" s="1350">
        <f>H5689*K5679</f>
        <v>4.5182000000000007E-2</v>
      </c>
      <c r="L5689" s="1335">
        <f t="shared" si="748"/>
        <v>0</v>
      </c>
      <c r="M5689" s="1499">
        <v>6.53</v>
      </c>
      <c r="N5689" s="1724">
        <f>G5689*M5689</f>
        <v>7.196060000000001</v>
      </c>
      <c r="O5689" s="1719">
        <f>H5689*M5689</f>
        <v>0.29503846000000006</v>
      </c>
      <c r="P5689" s="1720">
        <f>K5689*M5689</f>
        <v>0.29503846000000006</v>
      </c>
      <c r="Q5689" s="3396"/>
      <c r="R5689" s="2338"/>
    </row>
    <row r="5690" spans="1:18">
      <c r="A5690" s="16"/>
      <c r="B5690" s="1042"/>
      <c r="C5690" s="1320"/>
      <c r="D5690" s="1443" t="s">
        <v>1067</v>
      </c>
      <c r="E5690" s="1857" t="s">
        <v>1508</v>
      </c>
      <c r="F5690" s="1430" t="s">
        <v>1512</v>
      </c>
      <c r="G5690" s="1431">
        <v>1.03</v>
      </c>
      <c r="H5690" s="1454">
        <f>G5690*H5685</f>
        <v>4.2230000000000004E-2</v>
      </c>
      <c r="I5690" s="197"/>
      <c r="J5690" s="198"/>
      <c r="K5690" s="1350">
        <f>H5690*K5679</f>
        <v>4.2230000000000004E-2</v>
      </c>
      <c r="L5690" s="1335">
        <f t="shared" si="748"/>
        <v>0</v>
      </c>
      <c r="M5690" s="1499">
        <v>18.28</v>
      </c>
      <c r="N5690" s="1724">
        <f>G5690*M5690</f>
        <v>18.828400000000002</v>
      </c>
      <c r="O5690" s="1719">
        <f>H5690*M5690</f>
        <v>0.77196440000000011</v>
      </c>
      <c r="P5690" s="1720">
        <f>K5690*M5690</f>
        <v>0.77196440000000011</v>
      </c>
      <c r="Q5690" s="3396"/>
      <c r="R5690" s="2338"/>
    </row>
    <row r="5691" spans="1:18">
      <c r="A5691" s="16"/>
      <c r="B5691" s="1042"/>
      <c r="C5691" s="595"/>
      <c r="D5691" s="1603"/>
      <c r="E5691" s="2271"/>
      <c r="F5691" s="1615"/>
      <c r="G5691" s="2272"/>
      <c r="H5691" s="1453"/>
      <c r="I5691" s="197"/>
      <c r="J5691" s="198"/>
      <c r="K5691" s="1350"/>
      <c r="L5691" s="1335"/>
      <c r="M5691" s="1499"/>
      <c r="N5691" s="1724"/>
      <c r="O5691" s="1719"/>
      <c r="P5691" s="1720"/>
      <c r="Q5691" s="3396"/>
      <c r="R5691" s="2338"/>
    </row>
    <row r="5692" spans="1:18">
      <c r="B5692" s="1320"/>
      <c r="C5692" s="88"/>
      <c r="D5692" s="1359"/>
      <c r="E5692" s="2181"/>
      <c r="F5692" s="1360" t="s">
        <v>2</v>
      </c>
      <c r="G5692" s="1360"/>
      <c r="H5692" s="1362"/>
      <c r="I5692" s="1380"/>
      <c r="J5692" s="1381"/>
      <c r="K5692" s="1381"/>
      <c r="L5692" s="1458"/>
      <c r="M5692" s="1362"/>
      <c r="N5692" s="1362"/>
      <c r="O5692" s="1362"/>
      <c r="P5692" s="1359"/>
      <c r="Q5692" s="3387"/>
    </row>
    <row r="5693" spans="1:18">
      <c r="B5693" s="1042"/>
      <c r="C5693" s="88"/>
      <c r="D5693" s="1620" t="s">
        <v>1133</v>
      </c>
      <c r="E5693" s="2047" t="s">
        <v>1508</v>
      </c>
      <c r="F5693" s="1655" t="s">
        <v>1955</v>
      </c>
      <c r="G5693" s="1994">
        <v>0.1</v>
      </c>
      <c r="H5693" s="1408"/>
      <c r="I5693" s="197">
        <f ca="1">IF(COUNT(H5693:L5693)=0,"",(SUM(H5693:L5693)/COUNT(H5693:L5693)))</f>
        <v>5.000000000000001E-2</v>
      </c>
      <c r="J5693" s="198"/>
      <c r="K5693" s="1307">
        <f>G5693*K5679</f>
        <v>0.1</v>
      </c>
      <c r="L5693" s="1335">
        <f>K5693*$K$5627</f>
        <v>0</v>
      </c>
      <c r="M5693" s="1302">
        <v>19.23</v>
      </c>
      <c r="N5693" s="1718"/>
      <c r="O5693" s="1290">
        <f>G5693*M5693</f>
        <v>1.923</v>
      </c>
      <c r="P5693" s="1332">
        <f>M5693*K5693</f>
        <v>1.923</v>
      </c>
      <c r="Q5693" s="3391"/>
      <c r="R5693" s="2337"/>
    </row>
    <row r="5694" spans="1:18">
      <c r="B5694" s="1320"/>
      <c r="C5694" s="1764" t="s">
        <v>1755</v>
      </c>
      <c r="D5694" s="1461"/>
      <c r="E5694" s="2163" t="s">
        <v>1508</v>
      </c>
      <c r="F5694" s="1648" t="s">
        <v>1524</v>
      </c>
      <c r="G5694" s="1990"/>
      <c r="H5694" s="1456">
        <v>0.25</v>
      </c>
      <c r="I5694" s="1444"/>
      <c r="J5694" s="1388"/>
      <c r="K5694" s="1445"/>
      <c r="L5694" s="1457"/>
      <c r="M5694" s="1447"/>
      <c r="N5694" s="1447">
        <f>SUM(N5695:N5696)</f>
        <v>37.510000000000005</v>
      </c>
      <c r="O5694" s="1447">
        <f>SUM(O5695:O5696)</f>
        <v>9.3775000000000013</v>
      </c>
      <c r="P5694" s="1447">
        <f>SUM(P5695:P5696)</f>
        <v>9.3775000000000013</v>
      </c>
      <c r="Q5694" s="3391"/>
      <c r="R5694" s="2337"/>
    </row>
    <row r="5695" spans="1:18">
      <c r="B5695" s="1320"/>
      <c r="C5695" s="88"/>
      <c r="D5695" s="1430" t="s">
        <v>1067</v>
      </c>
      <c r="E5695" s="1857" t="s">
        <v>1508</v>
      </c>
      <c r="F5695" s="1403" t="s">
        <v>5</v>
      </c>
      <c r="G5695" s="1991">
        <v>1</v>
      </c>
      <c r="H5695" s="1408">
        <f>G5695*$H$5346</f>
        <v>0.25</v>
      </c>
      <c r="I5695" s="1286"/>
      <c r="J5695" s="198"/>
      <c r="K5695" s="1307">
        <f>H5695*$K$5679</f>
        <v>0.25</v>
      </c>
      <c r="L5695" s="1335">
        <f t="shared" ref="L5695:L5696" si="749">K5695*$K$5627</f>
        <v>0</v>
      </c>
      <c r="M5695" s="1302">
        <v>18.28</v>
      </c>
      <c r="N5695" s="1718">
        <f>G5695*M5695</f>
        <v>18.28</v>
      </c>
      <c r="O5695" s="1290">
        <f>H5695*M5695</f>
        <v>4.57</v>
      </c>
      <c r="P5695" s="1332">
        <f>M5695*K5695</f>
        <v>4.57</v>
      </c>
      <c r="Q5695" s="3391"/>
      <c r="R5695" s="2337"/>
    </row>
    <row r="5696" spans="1:18">
      <c r="B5696" s="1320"/>
      <c r="C5696" s="88"/>
      <c r="D5696" s="1430" t="s">
        <v>1077</v>
      </c>
      <c r="E5696" s="1857" t="s">
        <v>1508</v>
      </c>
      <c r="F5696" s="1403" t="s">
        <v>37</v>
      </c>
      <c r="G5696" s="1991">
        <v>1</v>
      </c>
      <c r="H5696" s="1408">
        <f>G5696*$H$5346</f>
        <v>0.25</v>
      </c>
      <c r="I5696" s="197">
        <f ca="1">IF(COUNT(H5696:L5696)=0,"",(SUM(H5696:L5696)/COUNT(H5696:L5696)))</f>
        <v>0.16666666666666666</v>
      </c>
      <c r="J5696" s="198"/>
      <c r="K5696" s="1307">
        <f>H5696*$K$5679</f>
        <v>0.25</v>
      </c>
      <c r="L5696" s="1335">
        <f t="shared" si="749"/>
        <v>0</v>
      </c>
      <c r="M5696" s="1302">
        <v>19.23</v>
      </c>
      <c r="N5696" s="1718">
        <f>G5696*M5696</f>
        <v>19.23</v>
      </c>
      <c r="O5696" s="1290">
        <f>H5696*M5696</f>
        <v>4.8075000000000001</v>
      </c>
      <c r="P5696" s="1332">
        <f>M5696*K5696</f>
        <v>4.8075000000000001</v>
      </c>
      <c r="Q5696" s="3391"/>
      <c r="R5696" s="2337"/>
    </row>
    <row r="5697" spans="1:18">
      <c r="B5697" s="1320"/>
      <c r="C5697" s="88"/>
      <c r="D5697" s="1430"/>
      <c r="E5697" s="1857"/>
      <c r="F5697" s="1766"/>
      <c r="G5697" s="1991"/>
      <c r="H5697" s="1408"/>
      <c r="I5697" s="197"/>
      <c r="J5697" s="198"/>
      <c r="K5697" s="1307"/>
      <c r="L5697" s="1335"/>
      <c r="M5697" s="1302"/>
      <c r="N5697" s="1718"/>
      <c r="O5697" s="1290"/>
      <c r="P5697" s="1332"/>
      <c r="Q5697" s="3391"/>
      <c r="R5697" s="2337"/>
    </row>
    <row r="5698" spans="1:18">
      <c r="B5698" s="1320"/>
      <c r="C5698" s="595"/>
      <c r="D5698" s="1373"/>
      <c r="E5698" s="2123"/>
      <c r="F5698" s="1374" t="s">
        <v>3</v>
      </c>
      <c r="G5698" s="1375"/>
      <c r="H5698" s="1376"/>
      <c r="I5698" s="1382"/>
      <c r="J5698" s="1383"/>
      <c r="K5698" s="1383" t="str">
        <f>IF(COUNT(I5698)=0,"",(I5698*J5698))</f>
        <v/>
      </c>
      <c r="L5698" s="1413"/>
      <c r="M5698" s="1376"/>
      <c r="N5698" s="1376"/>
      <c r="O5698" s="1376"/>
      <c r="P5698" s="1373"/>
      <c r="Q5698" s="3387"/>
      <c r="R5698" s="1296"/>
    </row>
    <row r="5699" spans="1:18">
      <c r="B5699" s="1321"/>
      <c r="C5699" s="2021"/>
      <c r="D5699" s="1377"/>
      <c r="E5699" s="2124"/>
      <c r="F5699" s="1378"/>
      <c r="G5699" s="1378"/>
      <c r="H5699" s="1379"/>
      <c r="I5699" s="1299"/>
      <c r="J5699" s="1300"/>
      <c r="K5699" s="1307"/>
      <c r="L5699" s="1335"/>
      <c r="M5699" s="1302"/>
      <c r="N5699" s="1700"/>
      <c r="O5699" s="1290"/>
      <c r="P5699" s="1332"/>
      <c r="Q5699" s="3391"/>
      <c r="R5699" s="1296"/>
    </row>
    <row r="5700" spans="1:18">
      <c r="B5700" s="1321"/>
      <c r="C5700" s="2021"/>
      <c r="D5700" s="1377"/>
      <c r="E5700" s="2124"/>
      <c r="F5700" s="1378"/>
      <c r="G5700" s="1378"/>
      <c r="H5700" s="1379"/>
      <c r="I5700" s="1299"/>
      <c r="J5700" s="1300"/>
      <c r="K5700" s="1307"/>
      <c r="L5700" s="1335"/>
      <c r="M5700" s="1302"/>
      <c r="N5700" s="1700"/>
      <c r="O5700" s="1290"/>
      <c r="P5700" s="1333"/>
      <c r="Q5700" s="3391"/>
      <c r="R5700" s="1296"/>
    </row>
    <row r="5701" spans="1:18">
      <c r="B5701" s="225"/>
      <c r="C5701" s="581"/>
      <c r="D5701" s="1373"/>
      <c r="E5701" s="2161"/>
      <c r="F5701" s="1678"/>
      <c r="G5701" s="1678"/>
      <c r="H5701" s="1376"/>
      <c r="I5701" s="1299"/>
      <c r="J5701" s="1300"/>
      <c r="K5701" s="1307"/>
      <c r="L5701" s="1335"/>
      <c r="M5701" s="1302"/>
      <c r="N5701" s="1700"/>
      <c r="O5701" s="1290"/>
      <c r="P5701" s="1332"/>
      <c r="Q5701" s="3391"/>
      <c r="R5701" s="1296"/>
    </row>
    <row r="5702" spans="1:18" ht="15" customHeight="1">
      <c r="A5702" s="88" t="s">
        <v>3764</v>
      </c>
      <c r="B5702" s="4325" t="s">
        <v>1716</v>
      </c>
      <c r="C5702" s="3354"/>
      <c r="D5702" s="4368"/>
      <c r="E5702" s="4329" t="s">
        <v>1507</v>
      </c>
      <c r="F5702" s="4336" t="s">
        <v>1727</v>
      </c>
      <c r="G5702" s="4331" t="s">
        <v>1568</v>
      </c>
      <c r="H5702" s="4331" t="s">
        <v>1574</v>
      </c>
      <c r="I5702" s="1572" t="s">
        <v>1559</v>
      </c>
      <c r="J5702" s="1294" t="s">
        <v>1560</v>
      </c>
      <c r="K5702" s="1294" t="s">
        <v>1569</v>
      </c>
      <c r="L5702" s="4333" t="s">
        <v>3765</v>
      </c>
      <c r="M5702" s="4335" t="s">
        <v>1571</v>
      </c>
      <c r="N5702" s="4323" t="s">
        <v>1776</v>
      </c>
      <c r="O5702" s="3347" t="s">
        <v>1563</v>
      </c>
      <c r="P5702" s="1336" t="s">
        <v>1562</v>
      </c>
      <c r="Q5702" s="3389"/>
      <c r="R5702" s="1699" t="s">
        <v>1327</v>
      </c>
    </row>
    <row r="5703" spans="1:18">
      <c r="A5703" s="1662" t="s">
        <v>2051</v>
      </c>
      <c r="B5703" s="4326"/>
      <c r="C5703" s="3354"/>
      <c r="D5703" s="4328"/>
      <c r="E5703" s="4330"/>
      <c r="F5703" s="4336"/>
      <c r="G5703" s="4332"/>
      <c r="H5703" s="4332"/>
      <c r="I5703" s="1345">
        <v>1</v>
      </c>
      <c r="J5703" s="1307">
        <v>1</v>
      </c>
      <c r="K5703" s="1297">
        <f>I5703*J5703</f>
        <v>1</v>
      </c>
      <c r="L5703" s="4334"/>
      <c r="M5703" s="4335"/>
      <c r="N5703" s="4324"/>
      <c r="O5703" s="1298">
        <f>O5705+O5706+O5710</f>
        <v>4.4448000000000008</v>
      </c>
      <c r="P5703" s="1337">
        <f>O5703*K5703</f>
        <v>4.4448000000000008</v>
      </c>
      <c r="Q5703" s="3390"/>
      <c r="R5703" s="1721">
        <f>P5705+P5706+P5710+P5711</f>
        <v>4.4448000000000008</v>
      </c>
    </row>
    <row r="5704" spans="1:18">
      <c r="B5704" s="1949"/>
      <c r="C5704" s="1327"/>
      <c r="D5704" s="1400"/>
      <c r="E5704" s="2121"/>
      <c r="F5704" s="1389" t="s">
        <v>1</v>
      </c>
      <c r="G5704" s="1389"/>
      <c r="H5704" s="1369"/>
      <c r="I5704" s="1409"/>
      <c r="J5704" s="1390"/>
      <c r="K5704" s="1391"/>
      <c r="L5704" s="1559"/>
      <c r="M5704" s="1369"/>
      <c r="N5704" s="1369"/>
      <c r="O5704" s="1369"/>
      <c r="P5704" s="1392"/>
      <c r="Q5704" s="3395"/>
      <c r="R5704" s="1296"/>
    </row>
    <row r="5705" spans="1:18">
      <c r="B5705" s="1599"/>
      <c r="C5705" s="1320"/>
      <c r="D5705" s="1598" t="s">
        <v>1728</v>
      </c>
      <c r="E5705" s="2154" t="s">
        <v>1504</v>
      </c>
      <c r="F5705" s="1598" t="s">
        <v>1729</v>
      </c>
      <c r="G5705" s="1612">
        <v>1</v>
      </c>
      <c r="H5705" s="1390"/>
      <c r="I5705" s="1289"/>
      <c r="J5705" s="8"/>
      <c r="K5705" s="1307">
        <f>G5705*K5703</f>
        <v>1</v>
      </c>
      <c r="L5705" s="1335">
        <f t="shared" ref="L5705:L5706" si="750">K5705*$K$5627</f>
        <v>0</v>
      </c>
      <c r="M5705" s="1302">
        <v>1.22</v>
      </c>
      <c r="N5705" s="1700"/>
      <c r="O5705" s="1290">
        <f>G5705*M5705</f>
        <v>1.22</v>
      </c>
      <c r="P5705" s="1332">
        <f>M5705*K5705</f>
        <v>1.22</v>
      </c>
      <c r="Q5705" s="3391"/>
      <c r="R5705" s="1296"/>
    </row>
    <row r="5706" spans="1:18">
      <c r="B5706" s="1042"/>
      <c r="C5706" s="595"/>
      <c r="D5706" s="1598" t="s">
        <v>1082</v>
      </c>
      <c r="E5706" s="2154" t="s">
        <v>1504</v>
      </c>
      <c r="F5706" s="1598" t="s">
        <v>1541</v>
      </c>
      <c r="G5706" s="1612">
        <v>1</v>
      </c>
      <c r="H5706" s="1399"/>
      <c r="I5706" s="197"/>
      <c r="J5706" s="198"/>
      <c r="K5706" s="1307">
        <f>G5706*K5703</f>
        <v>1</v>
      </c>
      <c r="L5706" s="1335">
        <f t="shared" si="750"/>
        <v>0</v>
      </c>
      <c r="M5706" s="1302">
        <v>0.3</v>
      </c>
      <c r="N5706" s="1718"/>
      <c r="O5706" s="1290">
        <f>G5706*M5706</f>
        <v>0.3</v>
      </c>
      <c r="P5706" s="1332">
        <f>M5706*K5706</f>
        <v>0.3</v>
      </c>
      <c r="Q5706" s="3391"/>
      <c r="R5706" s="2337"/>
    </row>
    <row r="5707" spans="1:18">
      <c r="A5707" s="16"/>
      <c r="B5707" s="1042"/>
      <c r="C5707" s="1042"/>
      <c r="D5707" s="1451"/>
      <c r="E5707" s="1856"/>
      <c r="F5707" s="1421"/>
      <c r="G5707" s="1452"/>
      <c r="H5707" s="1453"/>
      <c r="I5707" s="197"/>
      <c r="J5707" s="198"/>
      <c r="K5707" s="1350"/>
      <c r="L5707" s="1335"/>
      <c r="M5707" s="1499"/>
      <c r="N5707" s="1724"/>
      <c r="O5707" s="1719"/>
      <c r="P5707" s="1720"/>
      <c r="Q5707" s="3396"/>
      <c r="R5707" s="2338"/>
    </row>
    <row r="5708" spans="1:18">
      <c r="A5708" s="16"/>
      <c r="B5708" s="1042"/>
      <c r="C5708" s="1320"/>
      <c r="D5708" s="1603"/>
      <c r="E5708" s="1856"/>
      <c r="F5708" s="1421"/>
      <c r="G5708" s="1452"/>
      <c r="H5708" s="1453"/>
      <c r="I5708" s="197"/>
      <c r="J5708" s="198"/>
      <c r="K5708" s="1350"/>
      <c r="L5708" s="1335"/>
      <c r="M5708" s="1499"/>
      <c r="N5708" s="1724"/>
      <c r="O5708" s="1719"/>
      <c r="P5708" s="1720"/>
      <c r="Q5708" s="3396"/>
      <c r="R5708" s="2338"/>
    </row>
    <row r="5709" spans="1:18">
      <c r="B5709" s="1320"/>
      <c r="C5709" s="88"/>
      <c r="D5709" s="1359"/>
      <c r="E5709" s="2181"/>
      <c r="F5709" s="1360" t="s">
        <v>2</v>
      </c>
      <c r="G5709" s="1360"/>
      <c r="H5709" s="1362"/>
      <c r="I5709" s="1380"/>
      <c r="J5709" s="1381"/>
      <c r="K5709" s="1381"/>
      <c r="L5709" s="1458"/>
      <c r="M5709" s="1362"/>
      <c r="N5709" s="1362"/>
      <c r="O5709" s="1362"/>
      <c r="P5709" s="1359"/>
      <c r="Q5709" s="3387"/>
    </row>
    <row r="5710" spans="1:18">
      <c r="B5710" s="1320"/>
      <c r="C5710" s="88"/>
      <c r="D5710" s="1430" t="s">
        <v>1067</v>
      </c>
      <c r="E5710" s="1857" t="s">
        <v>1508</v>
      </c>
      <c r="F5710" s="1403" t="s">
        <v>5</v>
      </c>
      <c r="G5710" s="1991">
        <v>0.16</v>
      </c>
      <c r="H5710" s="1408"/>
      <c r="I5710" s="1286"/>
      <c r="J5710" s="198"/>
      <c r="K5710" s="1307">
        <f>G5710*K5703</f>
        <v>0.16</v>
      </c>
      <c r="L5710" s="1335">
        <f>K5710*$K$5627</f>
        <v>0</v>
      </c>
      <c r="M5710" s="1302">
        <v>18.28</v>
      </c>
      <c r="N5710" s="1718"/>
      <c r="O5710" s="1290">
        <f>G5710*M5710</f>
        <v>2.9248000000000003</v>
      </c>
      <c r="P5710" s="1332">
        <f>M5710*K5710</f>
        <v>2.9248000000000003</v>
      </c>
      <c r="Q5710" s="3391"/>
      <c r="R5710" s="2337"/>
    </row>
    <row r="5711" spans="1:18">
      <c r="B5711" s="1320"/>
      <c r="C5711" s="88"/>
      <c r="D5711" s="1430"/>
      <c r="E5711" s="1857"/>
      <c r="F5711" s="1403"/>
      <c r="G5711" s="1991"/>
      <c r="H5711" s="1408"/>
      <c r="I5711" s="1286"/>
      <c r="J5711" s="198"/>
      <c r="K5711" s="1307"/>
      <c r="L5711" s="1335"/>
      <c r="M5711" s="1302"/>
      <c r="N5711" s="1718"/>
      <c r="O5711" s="1290"/>
      <c r="P5711" s="1332"/>
      <c r="Q5711" s="3391"/>
      <c r="R5711" s="2337"/>
    </row>
    <row r="5712" spans="1:18">
      <c r="B5712" s="1320"/>
      <c r="C5712" s="88"/>
      <c r="D5712" s="1430"/>
      <c r="E5712" s="1857"/>
      <c r="F5712" s="1403"/>
      <c r="G5712" s="1991"/>
      <c r="H5712" s="1408"/>
      <c r="I5712" s="197"/>
      <c r="J5712" s="198"/>
      <c r="K5712" s="1307"/>
      <c r="L5712" s="1335"/>
      <c r="M5712" s="1302"/>
      <c r="N5712" s="1718"/>
      <c r="O5712" s="1290"/>
      <c r="P5712" s="1332"/>
      <c r="Q5712" s="3391"/>
      <c r="R5712" s="2337"/>
    </row>
    <row r="5713" spans="1:20">
      <c r="B5713" s="1320"/>
      <c r="C5713" s="595"/>
      <c r="D5713" s="1373"/>
      <c r="E5713" s="2123"/>
      <c r="F5713" s="1374" t="s">
        <v>3</v>
      </c>
      <c r="G5713" s="1375"/>
      <c r="H5713" s="1376"/>
      <c r="I5713" s="1382"/>
      <c r="J5713" s="1383"/>
      <c r="K5713" s="1383" t="str">
        <f>IF(COUNT(I5713)=0,"",(I5713*J5713))</f>
        <v/>
      </c>
      <c r="L5713" s="1413"/>
      <c r="M5713" s="1376"/>
      <c r="N5713" s="1376"/>
      <c r="O5713" s="1376"/>
      <c r="P5713" s="1373"/>
      <c r="Q5713" s="3387"/>
      <c r="R5713" s="1296"/>
    </row>
    <row r="5714" spans="1:20">
      <c r="B5714" s="1321"/>
      <c r="C5714" s="2021"/>
      <c r="D5714" s="1377"/>
      <c r="E5714" s="2124"/>
      <c r="F5714" s="1378"/>
      <c r="G5714" s="1378"/>
      <c r="H5714" s="1379"/>
      <c r="I5714" s="1299"/>
      <c r="J5714" s="1300"/>
      <c r="K5714" s="1307"/>
      <c r="L5714" s="1335"/>
      <c r="M5714" s="1302"/>
      <c r="N5714" s="1700"/>
      <c r="O5714" s="1290"/>
      <c r="P5714" s="1332"/>
      <c r="Q5714" s="3391"/>
      <c r="R5714" s="1296"/>
    </row>
    <row r="5715" spans="1:20">
      <c r="B5715" s="1321"/>
      <c r="C5715" s="2021"/>
      <c r="D5715" s="1377"/>
      <c r="E5715" s="2124"/>
      <c r="F5715" s="1378"/>
      <c r="G5715" s="1378"/>
      <c r="H5715" s="1379"/>
      <c r="I5715" s="1299"/>
      <c r="J5715" s="1300"/>
      <c r="K5715" s="1307"/>
      <c r="L5715" s="1335"/>
      <c r="M5715" s="1302"/>
      <c r="N5715" s="1700"/>
      <c r="O5715" s="1290"/>
      <c r="P5715" s="1333"/>
      <c r="Q5715" s="3391"/>
      <c r="R5715" s="1296"/>
    </row>
    <row r="5716" spans="1:20">
      <c r="B5716" s="1320"/>
      <c r="C5716" s="88"/>
      <c r="D5716" s="1677"/>
      <c r="E5716" s="2278"/>
      <c r="F5716" s="2279"/>
      <c r="G5716" s="2279"/>
      <c r="H5716" s="2264"/>
      <c r="I5716" s="2280"/>
      <c r="J5716" s="2281"/>
      <c r="K5716" s="2236"/>
      <c r="L5716" s="1594"/>
      <c r="M5716" s="2282"/>
      <c r="N5716" s="2283"/>
      <c r="O5716" s="2237"/>
      <c r="P5716" s="2238"/>
      <c r="Q5716" s="3391"/>
      <c r="R5716" s="1296"/>
    </row>
    <row r="5717" spans="1:20" s="22" customFormat="1" ht="29" thickBot="1">
      <c r="B5717" s="2239"/>
      <c r="C5717" s="2239"/>
      <c r="D5717" s="2239"/>
      <c r="E5717" s="2284"/>
      <c r="F5717" s="2285"/>
      <c r="G5717" s="2285"/>
      <c r="H5717" s="1707"/>
      <c r="I5717" s="1962"/>
      <c r="J5717" s="1707"/>
      <c r="K5717" s="2241"/>
      <c r="L5717" s="2380" t="s">
        <v>2856</v>
      </c>
      <c r="M5717" s="1965"/>
      <c r="N5717" s="1965"/>
      <c r="O5717" s="1965"/>
      <c r="P5717" s="1965"/>
      <c r="Q5717" s="3391"/>
      <c r="R5717" s="1296"/>
    </row>
    <row r="5718" spans="1:20">
      <c r="A5718" s="4374" t="s">
        <v>2052</v>
      </c>
      <c r="B5718" s="4458"/>
      <c r="C5718" s="4458"/>
      <c r="D5718" s="4485"/>
      <c r="E5718" s="4486" t="s">
        <v>1527</v>
      </c>
      <c r="F5718" s="4487" t="s">
        <v>3865</v>
      </c>
      <c r="G5718" s="4488" t="s">
        <v>294</v>
      </c>
      <c r="H5718" s="4488"/>
      <c r="I5718" s="1664" t="s">
        <v>1565</v>
      </c>
      <c r="J5718" s="3346" t="s">
        <v>1575</v>
      </c>
      <c r="K5718" s="4488" t="s">
        <v>289</v>
      </c>
      <c r="L5718" s="4488"/>
      <c r="M5718" s="4381" t="s">
        <v>3349</v>
      </c>
      <c r="N5718" s="4381"/>
      <c r="O5718" s="4381"/>
      <c r="P5718" s="4489"/>
      <c r="Q5718" s="4244" t="s">
        <v>3953</v>
      </c>
      <c r="R5718" s="1296"/>
      <c r="S5718" s="4159" t="s">
        <v>3871</v>
      </c>
      <c r="T5718" s="1661"/>
    </row>
    <row r="5719" spans="1:20" ht="21.5" thickBot="1">
      <c r="A5719" s="4377"/>
      <c r="B5719" s="4378"/>
      <c r="C5719" s="4378"/>
      <c r="D5719" s="4379"/>
      <c r="E5719" s="4381"/>
      <c r="F5719" s="4383"/>
      <c r="G5719" s="4451">
        <f>IF('Seleccion proyecto HEREVEA02'!G47="Reparación de remates",'Seleccion proyecto HEREVEA02'!E44,0)</f>
        <v>0</v>
      </c>
      <c r="H5719" s="4452"/>
      <c r="I5719" s="3353">
        <f>IF('Seleccion proyecto HEREVEA02'!H47=0,0,IF('Seleccion proyecto HEREVEA02'!H47="1 a 30",0.3,IF('Seleccion proyecto HEREVEA02'!H47="31 a 60",0.6,IF('Seleccion proyecto HEREVEA02'!H47="61 a 100",1))))</f>
        <v>0</v>
      </c>
      <c r="J5719" s="1351">
        <f>'Seleccion proyecto HEREVEA02'!L8</f>
        <v>11100.968999999999</v>
      </c>
      <c r="K5719" s="4358">
        <f>G5719*I5719*J5719</f>
        <v>0</v>
      </c>
      <c r="L5719" s="4359"/>
      <c r="M5719" s="4360">
        <f>P5721+P5736+P5753+P5773+P5793+P5814</f>
        <v>34.740185910299999</v>
      </c>
      <c r="N5719" s="4361"/>
      <c r="O5719" s="4361"/>
      <c r="P5719" s="4362"/>
      <c r="Q5719" s="4245">
        <f>M5719*K5719</f>
        <v>0</v>
      </c>
      <c r="R5719" s="2371" t="s">
        <v>2844</v>
      </c>
      <c r="S5719" s="4159" t="s">
        <v>3872</v>
      </c>
      <c r="T5719" s="1661"/>
    </row>
    <row r="5720" spans="1:20">
      <c r="A5720" s="18" t="s">
        <v>3764</v>
      </c>
      <c r="B5720" s="4367" t="s">
        <v>2053</v>
      </c>
      <c r="C5720" s="3354"/>
      <c r="D5720" s="4368"/>
      <c r="E5720" s="4329" t="s">
        <v>1527</v>
      </c>
      <c r="F5720" s="4336" t="s">
        <v>3866</v>
      </c>
      <c r="G5720" s="4331" t="s">
        <v>1568</v>
      </c>
      <c r="H5720" s="4331" t="s">
        <v>1574</v>
      </c>
      <c r="I5720" s="1572" t="s">
        <v>1559</v>
      </c>
      <c r="J5720" s="1294" t="s">
        <v>1560</v>
      </c>
      <c r="K5720" s="1294" t="s">
        <v>1569</v>
      </c>
      <c r="L5720" s="4333" t="s">
        <v>3765</v>
      </c>
      <c r="M5720" s="4335" t="s">
        <v>1571</v>
      </c>
      <c r="N5720" s="4323" t="s">
        <v>1776</v>
      </c>
      <c r="O5720" s="3347" t="s">
        <v>1563</v>
      </c>
      <c r="P5720" s="1336" t="s">
        <v>1562</v>
      </c>
      <c r="Q5720" s="3389"/>
      <c r="R5720" s="1699" t="s">
        <v>1327</v>
      </c>
    </row>
    <row r="5721" spans="1:20">
      <c r="A5721" s="1662" t="s">
        <v>2052</v>
      </c>
      <c r="B5721" s="4369"/>
      <c r="C5721" s="3351"/>
      <c r="D5721" s="4328"/>
      <c r="E5721" s="4330"/>
      <c r="F5721" s="4336"/>
      <c r="G5721" s="4332"/>
      <c r="H5721" s="4332"/>
      <c r="I5721" s="1345">
        <v>65.2</v>
      </c>
      <c r="J5721" s="1307">
        <v>1.4999999999999999E-2</v>
      </c>
      <c r="K5721" s="1297">
        <f>I5721*J5721</f>
        <v>0.97799999999999998</v>
      </c>
      <c r="L5721" s="4334"/>
      <c r="M5721" s="4335"/>
      <c r="N5721" s="4324"/>
      <c r="O5721" s="1298">
        <f>SUM(O5723:O5734)</f>
        <v>19.984900000000003</v>
      </c>
      <c r="P5721" s="1337">
        <f>O5721*K5721</f>
        <v>19.545232200000004</v>
      </c>
      <c r="Q5721" s="3390"/>
      <c r="R5721" s="1721">
        <f>P5727+P5728+P5732</f>
        <v>19.545232200000001</v>
      </c>
    </row>
    <row r="5722" spans="1:20">
      <c r="A5722" s="1320"/>
      <c r="B5722" s="22"/>
      <c r="C5722" s="1327"/>
      <c r="D5722" s="1367"/>
      <c r="E5722" s="2121"/>
      <c r="F5722" s="1389" t="s">
        <v>1</v>
      </c>
      <c r="G5722" s="1389"/>
      <c r="H5722" s="1369"/>
      <c r="I5722" s="1409"/>
      <c r="J5722" s="1390"/>
      <c r="K5722" s="1391"/>
      <c r="L5722" s="1559"/>
      <c r="M5722" s="1369"/>
      <c r="N5722" s="1369"/>
      <c r="O5722" s="1369"/>
      <c r="P5722" s="1392"/>
      <c r="Q5722" s="3395"/>
      <c r="R5722" s="1296"/>
    </row>
    <row r="5723" spans="1:20">
      <c r="A5723" s="1042"/>
      <c r="B5723" s="22"/>
      <c r="C5723" s="1042"/>
      <c r="D5723" s="1672"/>
      <c r="E5723" s="2160"/>
      <c r="F5723" s="1675"/>
      <c r="G5723" s="1675"/>
      <c r="H5723" s="1674"/>
      <c r="I5723" s="1299" t="str">
        <f t="shared" ref="I5723:I5725" ca="1" si="751">IF(COUNT(H5723:O5723)=0,"",(SUM(H5723:O5723)/COUNT(H5723:O5723)))</f>
        <v/>
      </c>
      <c r="J5723" s="1300"/>
      <c r="K5723" s="1307" t="str">
        <f t="shared" ref="K5723:K5725" ca="1" si="752">IF(COUNT(I5723)=0,"",(I5723*J5723))</f>
        <v/>
      </c>
      <c r="L5723" s="1335"/>
      <c r="M5723" s="1302"/>
      <c r="N5723" s="1700"/>
      <c r="O5723" s="1290"/>
      <c r="P5723" s="1332"/>
      <c r="Q5723" s="3391"/>
      <c r="R5723" s="1296"/>
    </row>
    <row r="5724" spans="1:20">
      <c r="A5724" s="1042"/>
      <c r="B5724" s="22"/>
      <c r="C5724" s="1042"/>
      <c r="D5724" s="1367"/>
      <c r="E5724" s="2121"/>
      <c r="F5724" s="1436"/>
      <c r="G5724" s="1436"/>
      <c r="H5724" s="1369"/>
      <c r="I5724" s="1299" t="str">
        <f t="shared" ca="1" si="751"/>
        <v/>
      </c>
      <c r="J5724" s="1300"/>
      <c r="K5724" s="1307" t="str">
        <f t="shared" ca="1" si="752"/>
        <v/>
      </c>
      <c r="L5724" s="1335"/>
      <c r="M5724" s="1302"/>
      <c r="N5724" s="1700"/>
      <c r="O5724" s="1290"/>
      <c r="P5724" s="1332"/>
      <c r="Q5724" s="3391"/>
      <c r="R5724" s="1296"/>
    </row>
    <row r="5725" spans="1:20">
      <c r="A5725" s="1042"/>
      <c r="B5725" s="22"/>
      <c r="C5725" s="1042"/>
      <c r="D5725" s="1367"/>
      <c r="E5725" s="2121"/>
      <c r="F5725" s="1436"/>
      <c r="G5725" s="1436"/>
      <c r="H5725" s="1369"/>
      <c r="I5725" s="1299" t="str">
        <f t="shared" ca="1" si="751"/>
        <v/>
      </c>
      <c r="J5725" s="1300"/>
      <c r="K5725" s="1307" t="str">
        <f t="shared" ca="1" si="752"/>
        <v/>
      </c>
      <c r="L5725" s="1335"/>
      <c r="M5725" s="1302"/>
      <c r="N5725" s="1700"/>
      <c r="O5725" s="1290"/>
      <c r="P5725" s="1332"/>
      <c r="Q5725" s="3391"/>
      <c r="R5725" s="1296"/>
    </row>
    <row r="5726" spans="1:20">
      <c r="A5726" s="1042"/>
      <c r="B5726" s="22"/>
      <c r="C5726" s="1042"/>
      <c r="D5726" s="1359"/>
      <c r="E5726" s="1858"/>
      <c r="F5726" s="1360" t="s">
        <v>2</v>
      </c>
      <c r="G5726" s="1360"/>
      <c r="H5726" s="1362"/>
      <c r="I5726" s="1380"/>
      <c r="J5726" s="1381"/>
      <c r="K5726" s="1381"/>
      <c r="L5726" s="1458"/>
      <c r="M5726" s="1362"/>
      <c r="N5726" s="1362"/>
      <c r="O5726" s="1362"/>
      <c r="P5726" s="1359"/>
      <c r="Q5726" s="3387"/>
    </row>
    <row r="5727" spans="1:20">
      <c r="A5727" s="1321"/>
      <c r="B5727" s="1295"/>
      <c r="C5727" s="1321"/>
      <c r="D5727" s="1363" t="s">
        <v>1067</v>
      </c>
      <c r="E5727" s="2125" t="s">
        <v>1508</v>
      </c>
      <c r="F5727" s="1385" t="s">
        <v>1512</v>
      </c>
      <c r="G5727" s="2019">
        <v>0.55000000000000004</v>
      </c>
      <c r="H5727" s="1386"/>
      <c r="I5727" s="1299"/>
      <c r="J5727" s="1300"/>
      <c r="K5727" s="1307">
        <f>G5727*K5721</f>
        <v>0.53790000000000004</v>
      </c>
      <c r="L5727" s="1335">
        <f>K5727*$K$5719</f>
        <v>0</v>
      </c>
      <c r="M5727" s="1302">
        <v>18.28</v>
      </c>
      <c r="N5727" s="1700"/>
      <c r="O5727" s="1290">
        <f>G5727*M5727</f>
        <v>10.054000000000002</v>
      </c>
      <c r="P5727" s="1332">
        <f>M5727*K5727</f>
        <v>9.8328120000000006</v>
      </c>
      <c r="Q5727" s="3391"/>
    </row>
    <row r="5728" spans="1:20">
      <c r="A5728" s="16"/>
      <c r="B5728" s="1042"/>
      <c r="C5728" s="88"/>
      <c r="D5728" s="1430" t="s">
        <v>1077</v>
      </c>
      <c r="E5728" s="1857" t="s">
        <v>1508</v>
      </c>
      <c r="F5728" s="1403" t="s">
        <v>37</v>
      </c>
      <c r="G5728" s="1991">
        <v>0.33</v>
      </c>
      <c r="H5728" s="1408"/>
      <c r="I5728" s="197">
        <f ca="1">IF(COUNT(H5728:L5728)=0,"",(SUM(H5728:L5728)/COUNT(H5728:L5728)))</f>
        <v>0.11352000000000001</v>
      </c>
      <c r="J5728" s="198"/>
      <c r="K5728" s="1307">
        <f>G5728*K5721</f>
        <v>0.32274000000000003</v>
      </c>
      <c r="L5728" s="1335">
        <f>K5728*$K$5719</f>
        <v>0</v>
      </c>
      <c r="M5728" s="1302">
        <v>19.23</v>
      </c>
      <c r="N5728" s="1718"/>
      <c r="O5728" s="1290">
        <f>G5728*M5728</f>
        <v>6.3459000000000003</v>
      </c>
      <c r="P5728" s="1332">
        <f>M5728*K5728</f>
        <v>6.2062902000000006</v>
      </c>
      <c r="Q5728" s="3391"/>
      <c r="R5728" s="2337"/>
    </row>
    <row r="5729" spans="1:18">
      <c r="A5729" s="1320"/>
      <c r="B5729" s="22"/>
      <c r="C5729" s="1320"/>
      <c r="D5729" s="1359"/>
      <c r="E5729" s="1858"/>
      <c r="F5729" s="1404"/>
      <c r="G5729" s="1404"/>
      <c r="H5729" s="1359"/>
      <c r="I5729" s="1299"/>
      <c r="J5729" s="1300"/>
      <c r="K5729" s="1307"/>
      <c r="L5729" s="1335"/>
      <c r="M5729" s="1302"/>
      <c r="N5729" s="1700"/>
      <c r="O5729" s="1290"/>
      <c r="P5729" s="1332"/>
      <c r="Q5729" s="3391"/>
      <c r="R5729" s="1296"/>
    </row>
    <row r="5730" spans="1:18">
      <c r="A5730" s="1320"/>
      <c r="B5730" s="22"/>
      <c r="C5730" s="1320"/>
      <c r="D5730" s="1359"/>
      <c r="E5730" s="1858"/>
      <c r="F5730" s="1361"/>
      <c r="G5730" s="1361"/>
      <c r="H5730" s="1466"/>
      <c r="I5730" s="1299"/>
      <c r="J5730" s="1300"/>
      <c r="K5730" s="1307" t="str">
        <f>IF(COUNT(I5730)=0,"",(I5730*J5730))</f>
        <v/>
      </c>
      <c r="L5730" s="1335"/>
      <c r="M5730" s="1302"/>
      <c r="N5730" s="1700"/>
      <c r="O5730" s="1290"/>
      <c r="P5730" s="1332"/>
      <c r="Q5730" s="3391"/>
      <c r="R5730" s="1296"/>
    </row>
    <row r="5731" spans="1:18">
      <c r="A5731" s="1320"/>
      <c r="B5731" s="22"/>
      <c r="C5731" s="1320"/>
      <c r="D5731" s="1373"/>
      <c r="E5731" s="2123"/>
      <c r="F5731" s="1374" t="s">
        <v>3</v>
      </c>
      <c r="G5731" s="1375"/>
      <c r="H5731" s="1376"/>
      <c r="I5731" s="1382"/>
      <c r="J5731" s="1383"/>
      <c r="K5731" s="1383" t="str">
        <f>IF(COUNT(I5731)=0,"",(I5731*J5731))</f>
        <v/>
      </c>
      <c r="L5731" s="1413"/>
      <c r="M5731" s="1376"/>
      <c r="N5731" s="1376"/>
      <c r="O5731" s="1376"/>
      <c r="P5731" s="1373"/>
      <c r="Q5731" s="3387"/>
      <c r="R5731" s="1296"/>
    </row>
    <row r="5732" spans="1:18">
      <c r="A5732" s="1321"/>
      <c r="B5732" s="1295"/>
      <c r="C5732" s="1321"/>
      <c r="D5732" s="1592" t="s">
        <v>1686</v>
      </c>
      <c r="E5732" s="2145" t="s">
        <v>1803</v>
      </c>
      <c r="F5732" s="1592" t="s">
        <v>1688</v>
      </c>
      <c r="G5732" s="1593">
        <v>0.47799999999999998</v>
      </c>
      <c r="H5732" s="1379"/>
      <c r="I5732" s="1299"/>
      <c r="J5732" s="1300"/>
      <c r="K5732" s="1307">
        <f>G5732*K5721</f>
        <v>0.46748399999999996</v>
      </c>
      <c r="L5732" s="1335">
        <f>K5732*$K$5719</f>
        <v>0</v>
      </c>
      <c r="M5732" s="1302">
        <v>7.5</v>
      </c>
      <c r="N5732" s="1700"/>
      <c r="O5732" s="1290">
        <f>G5732*M5732</f>
        <v>3.585</v>
      </c>
      <c r="P5732" s="1739">
        <f>M5732*K5732</f>
        <v>3.5061299999999997</v>
      </c>
      <c r="Q5732" s="3391"/>
      <c r="R5732" s="1296"/>
    </row>
    <row r="5733" spans="1:18">
      <c r="A5733" s="1321"/>
      <c r="B5733" s="1295"/>
      <c r="C5733" s="1321"/>
      <c r="D5733" s="1377"/>
      <c r="E5733" s="2124"/>
      <c r="F5733" s="1378"/>
      <c r="G5733" s="1378"/>
      <c r="H5733" s="1379"/>
      <c r="I5733" s="1299"/>
      <c r="J5733" s="1300"/>
      <c r="K5733" s="1307"/>
      <c r="L5733" s="1335"/>
      <c r="M5733" s="1302"/>
      <c r="N5733" s="1700"/>
      <c r="O5733" s="1290"/>
      <c r="P5733" s="1333"/>
      <c r="Q5733" s="3391"/>
      <c r="R5733" s="1296"/>
    </row>
    <row r="5734" spans="1:18">
      <c r="A5734" s="1042"/>
      <c r="B5734" s="1765"/>
      <c r="C5734" s="223"/>
      <c r="D5734" s="1373"/>
      <c r="E5734" s="2161"/>
      <c r="F5734" s="1678"/>
      <c r="G5734" s="1678"/>
      <c r="H5734" s="1376"/>
      <c r="I5734" s="1299"/>
      <c r="J5734" s="1300"/>
      <c r="K5734" s="1307"/>
      <c r="L5734" s="1335"/>
      <c r="M5734" s="1302"/>
      <c r="N5734" s="1700"/>
      <c r="O5734" s="1290"/>
      <c r="P5734" s="1332"/>
      <c r="Q5734" s="3391"/>
      <c r="R5734" s="1296"/>
    </row>
    <row r="5735" spans="1:18">
      <c r="A5735" s="18" t="s">
        <v>3764</v>
      </c>
      <c r="B5735" s="4367" t="s">
        <v>2030</v>
      </c>
      <c r="C5735" s="3354"/>
      <c r="D5735" s="4368"/>
      <c r="E5735" s="4329" t="s">
        <v>1527</v>
      </c>
      <c r="F5735" s="4336" t="s">
        <v>2031</v>
      </c>
      <c r="G5735" s="4331" t="s">
        <v>1568</v>
      </c>
      <c r="H5735" s="4331" t="s">
        <v>1574</v>
      </c>
      <c r="I5735" s="1572" t="s">
        <v>1559</v>
      </c>
      <c r="J5735" s="1294" t="s">
        <v>1560</v>
      </c>
      <c r="K5735" s="1294" t="s">
        <v>1569</v>
      </c>
      <c r="L5735" s="4333" t="s">
        <v>3765</v>
      </c>
      <c r="M5735" s="4335" t="s">
        <v>1571</v>
      </c>
      <c r="N5735" s="4323" t="s">
        <v>1776</v>
      </c>
      <c r="O5735" s="3347" t="s">
        <v>1563</v>
      </c>
      <c r="P5735" s="1336" t="s">
        <v>1562</v>
      </c>
      <c r="Q5735" s="3389"/>
      <c r="R5735" s="1699" t="s">
        <v>1327</v>
      </c>
    </row>
    <row r="5736" spans="1:18">
      <c r="A5736" s="1662" t="s">
        <v>2052</v>
      </c>
      <c r="B5736" s="4369"/>
      <c r="C5736" s="3351"/>
      <c r="D5736" s="4328"/>
      <c r="E5736" s="4330"/>
      <c r="F5736" s="4336"/>
      <c r="G5736" s="4332"/>
      <c r="H5736" s="4332"/>
      <c r="I5736" s="1345">
        <v>27</v>
      </c>
      <c r="J5736" s="1307">
        <v>1.4999999999999999E-2</v>
      </c>
      <c r="K5736" s="1297">
        <f>I5736*J5736</f>
        <v>0.40499999999999997</v>
      </c>
      <c r="L5736" s="4334"/>
      <c r="M5736" s="4335"/>
      <c r="N5736" s="4324"/>
      <c r="O5736" s="1298">
        <f>SUM(O5738:O5744)</f>
        <v>13.478000000000002</v>
      </c>
      <c r="P5736" s="1337">
        <f>O5736*K5736</f>
        <v>5.4585900000000001</v>
      </c>
      <c r="Q5736" s="3390"/>
      <c r="R5736" s="1721">
        <f>P5738+P5739+P5740+P5744</f>
        <v>5.4585900000000001</v>
      </c>
    </row>
    <row r="5737" spans="1:18">
      <c r="A5737" s="1320"/>
      <c r="B5737" s="22"/>
      <c r="C5737" s="1327"/>
      <c r="D5737" s="1367"/>
      <c r="E5737" s="2121"/>
      <c r="F5737" s="1389" t="s">
        <v>1</v>
      </c>
      <c r="G5737" s="1389"/>
      <c r="H5737" s="1369"/>
      <c r="I5737" s="1409"/>
      <c r="J5737" s="1390"/>
      <c r="K5737" s="1391"/>
      <c r="L5737" s="1559"/>
      <c r="M5737" s="1369"/>
      <c r="N5737" s="1369"/>
      <c r="O5737" s="1369"/>
      <c r="P5737" s="1392"/>
      <c r="Q5737" s="3395"/>
      <c r="R5737" s="1296"/>
    </row>
    <row r="5738" spans="1:18">
      <c r="A5738" s="1042"/>
      <c r="B5738" s="22"/>
      <c r="C5738" s="1042"/>
      <c r="D5738" s="1598" t="s">
        <v>2032</v>
      </c>
      <c r="E5738" s="2154" t="s">
        <v>1527</v>
      </c>
      <c r="F5738" s="1598" t="s">
        <v>2033</v>
      </c>
      <c r="G5738" s="1612">
        <v>1.1000000000000001</v>
      </c>
      <c r="H5738" s="1674"/>
      <c r="I5738" s="1299"/>
      <c r="J5738" s="1300"/>
      <c r="K5738" s="1307">
        <f>G5738*K5736</f>
        <v>0.44550000000000001</v>
      </c>
      <c r="L5738" s="1335">
        <f>K5738*$K$5719</f>
        <v>0</v>
      </c>
      <c r="M5738" s="1302">
        <v>2.66</v>
      </c>
      <c r="N5738" s="1700"/>
      <c r="O5738" s="1290">
        <f>G5738*M5738</f>
        <v>2.9260000000000006</v>
      </c>
      <c r="P5738" s="1332">
        <f>M5738*K5738</f>
        <v>1.18503</v>
      </c>
      <c r="Q5738" s="3391"/>
      <c r="R5738" s="1296"/>
    </row>
    <row r="5739" spans="1:18">
      <c r="A5739" s="1042"/>
      <c r="B5739" s="22"/>
      <c r="C5739" s="1042"/>
      <c r="D5739" s="1598" t="s">
        <v>1082</v>
      </c>
      <c r="E5739" s="2154" t="s">
        <v>1504</v>
      </c>
      <c r="F5739" s="1598" t="s">
        <v>1541</v>
      </c>
      <c r="G5739" s="1612">
        <v>1</v>
      </c>
      <c r="H5739" s="1674"/>
      <c r="I5739" s="1299"/>
      <c r="J5739" s="1300"/>
      <c r="K5739" s="1307">
        <f>G5739*K5736</f>
        <v>0.40499999999999997</v>
      </c>
      <c r="L5739" s="1335">
        <f>K5739*$K$5719</f>
        <v>0</v>
      </c>
      <c r="M5739" s="1302">
        <v>0.3</v>
      </c>
      <c r="N5739" s="1700"/>
      <c r="O5739" s="1290">
        <f>G5739*M5739</f>
        <v>0.3</v>
      </c>
      <c r="P5739" s="1332">
        <f>M5739*K5739</f>
        <v>0.12149999999999998</v>
      </c>
      <c r="Q5739" s="3391"/>
      <c r="R5739" s="1296"/>
    </row>
    <row r="5740" spans="1:18">
      <c r="A5740" s="1042"/>
      <c r="B5740" s="22"/>
      <c r="C5740" s="1042"/>
      <c r="D5740" s="1598" t="s">
        <v>1097</v>
      </c>
      <c r="E5740" s="2154" t="s">
        <v>1504</v>
      </c>
      <c r="F5740" s="1598" t="s">
        <v>1632</v>
      </c>
      <c r="G5740" s="1612">
        <v>5</v>
      </c>
      <c r="H5740" s="1674"/>
      <c r="I5740" s="1299"/>
      <c r="J5740" s="1300"/>
      <c r="K5740" s="1307">
        <f>G5740*K5736</f>
        <v>2.0249999999999999</v>
      </c>
      <c r="L5740" s="1335">
        <f>K5740*$K$5719</f>
        <v>0</v>
      </c>
      <c r="M5740" s="1302">
        <v>0.55000000000000004</v>
      </c>
      <c r="N5740" s="1700"/>
      <c r="O5740" s="1290">
        <f>G5740*M5740</f>
        <v>2.75</v>
      </c>
      <c r="P5740" s="1332">
        <f>M5740*K5740</f>
        <v>1.11375</v>
      </c>
      <c r="Q5740" s="3391"/>
      <c r="R5740" s="1296"/>
    </row>
    <row r="5741" spans="1:18">
      <c r="A5741" s="1042"/>
      <c r="B5741" s="22"/>
      <c r="C5741" s="1042"/>
      <c r="D5741" s="1672"/>
      <c r="E5741" s="2160"/>
      <c r="F5741" s="1675"/>
      <c r="G5741" s="1675"/>
      <c r="H5741" s="1674"/>
      <c r="I5741" s="1299"/>
      <c r="J5741" s="1300"/>
      <c r="K5741" s="1307" t="str">
        <f t="shared" ref="K5741:K5742" si="753">IF(COUNT(I5741)=0,"",(I5741*J5741))</f>
        <v/>
      </c>
      <c r="L5741" s="1335"/>
      <c r="M5741" s="1302"/>
      <c r="N5741" s="1700"/>
      <c r="O5741" s="1290"/>
      <c r="P5741" s="1332"/>
      <c r="Q5741" s="3391"/>
      <c r="R5741" s="1296"/>
    </row>
    <row r="5742" spans="1:18">
      <c r="A5742" s="1042"/>
      <c r="B5742" s="22"/>
      <c r="C5742" s="1042"/>
      <c r="D5742" s="1367"/>
      <c r="E5742" s="2121"/>
      <c r="F5742" s="1436"/>
      <c r="G5742" s="1436"/>
      <c r="H5742" s="1369"/>
      <c r="I5742" s="1299"/>
      <c r="J5742" s="1300"/>
      <c r="K5742" s="1307" t="str">
        <f t="shared" si="753"/>
        <v/>
      </c>
      <c r="L5742" s="1335"/>
      <c r="M5742" s="1302"/>
      <c r="N5742" s="1700"/>
      <c r="O5742" s="1290"/>
      <c r="P5742" s="1332"/>
      <c r="Q5742" s="3391"/>
      <c r="R5742" s="1296"/>
    </row>
    <row r="5743" spans="1:18">
      <c r="A5743" s="1042"/>
      <c r="B5743" s="22"/>
      <c r="C5743" s="1042"/>
      <c r="D5743" s="1359"/>
      <c r="E5743" s="1858"/>
      <c r="F5743" s="1360" t="s">
        <v>2</v>
      </c>
      <c r="G5743" s="1360"/>
      <c r="H5743" s="1362"/>
      <c r="I5743" s="1380"/>
      <c r="J5743" s="1381"/>
      <c r="K5743" s="1381"/>
      <c r="L5743" s="1458"/>
      <c r="M5743" s="1362"/>
      <c r="N5743" s="1362"/>
      <c r="O5743" s="1362"/>
      <c r="P5743" s="1359"/>
      <c r="Q5743" s="3387"/>
    </row>
    <row r="5744" spans="1:18">
      <c r="A5744" s="16"/>
      <c r="B5744" s="1042"/>
      <c r="C5744" s="1652" t="s">
        <v>1755</v>
      </c>
      <c r="D5744" s="1461"/>
      <c r="E5744" s="2163" t="s">
        <v>1508</v>
      </c>
      <c r="F5744" s="1648" t="s">
        <v>1524</v>
      </c>
      <c r="G5744" s="1990"/>
      <c r="H5744" s="1456">
        <v>0.2</v>
      </c>
      <c r="I5744" s="1444"/>
      <c r="J5744" s="1388"/>
      <c r="K5744" s="1445"/>
      <c r="L5744" s="1457"/>
      <c r="M5744" s="1447"/>
      <c r="N5744" s="1447">
        <f>SUM(N5745:N5746)</f>
        <v>37.510000000000005</v>
      </c>
      <c r="O5744" s="1447">
        <f>SUM(O5745:O5746)</f>
        <v>7.5020000000000007</v>
      </c>
      <c r="P5744" s="1447">
        <f>SUM(P5745:P5746)</f>
        <v>3.0383100000000001</v>
      </c>
      <c r="Q5744" s="3391"/>
      <c r="R5744" s="2337"/>
    </row>
    <row r="5745" spans="1:18">
      <c r="A5745" s="16"/>
      <c r="B5745" s="1042"/>
      <c r="C5745" s="88"/>
      <c r="D5745" s="1430" t="s">
        <v>1067</v>
      </c>
      <c r="E5745" s="1857" t="s">
        <v>1508</v>
      </c>
      <c r="F5745" s="1403" t="s">
        <v>5</v>
      </c>
      <c r="G5745" s="1991">
        <v>1</v>
      </c>
      <c r="H5745" s="1408">
        <f>G5745*$H$5744</f>
        <v>0.2</v>
      </c>
      <c r="I5745" s="1286"/>
      <c r="J5745" s="198"/>
      <c r="K5745" s="1307">
        <f>H5745*$K$5736</f>
        <v>8.1000000000000003E-2</v>
      </c>
      <c r="L5745" s="1335">
        <f>K5745*$K$5719</f>
        <v>0</v>
      </c>
      <c r="M5745" s="1302">
        <v>18.28</v>
      </c>
      <c r="N5745" s="1718">
        <f>G5745*M5745</f>
        <v>18.28</v>
      </c>
      <c r="O5745" s="1290">
        <f>H5745*M5745</f>
        <v>3.6560000000000006</v>
      </c>
      <c r="P5745" s="1332">
        <f>M5745*K5745</f>
        <v>1.4806800000000002</v>
      </c>
      <c r="Q5745" s="3391"/>
      <c r="R5745" s="2337"/>
    </row>
    <row r="5746" spans="1:18">
      <c r="A5746" s="16"/>
      <c r="B5746" s="1042"/>
      <c r="C5746" s="88"/>
      <c r="D5746" s="1430" t="s">
        <v>1077</v>
      </c>
      <c r="E5746" s="1857" t="s">
        <v>1508</v>
      </c>
      <c r="F5746" s="1403" t="s">
        <v>37</v>
      </c>
      <c r="G5746" s="1991">
        <v>1</v>
      </c>
      <c r="H5746" s="1408">
        <f>G5746*$H$5744</f>
        <v>0.2</v>
      </c>
      <c r="I5746" s="197"/>
      <c r="J5746" s="198"/>
      <c r="K5746" s="1307">
        <f>H5746*$K$5736</f>
        <v>8.1000000000000003E-2</v>
      </c>
      <c r="L5746" s="1335">
        <f>K5746*$K$5719</f>
        <v>0</v>
      </c>
      <c r="M5746" s="1302">
        <v>19.23</v>
      </c>
      <c r="N5746" s="1718">
        <f>G5746*M5746</f>
        <v>19.23</v>
      </c>
      <c r="O5746" s="1290">
        <f>H5746*M5746</f>
        <v>3.8460000000000001</v>
      </c>
      <c r="P5746" s="1332">
        <f>M5746*K5746</f>
        <v>1.5576300000000001</v>
      </c>
      <c r="Q5746" s="3391"/>
      <c r="R5746" s="2337"/>
    </row>
    <row r="5747" spans="1:18">
      <c r="A5747" s="1320"/>
      <c r="B5747" s="22"/>
      <c r="C5747" s="1320"/>
      <c r="D5747" s="1359"/>
      <c r="E5747" s="1858"/>
      <c r="F5747" s="1361"/>
      <c r="G5747" s="1361"/>
      <c r="H5747" s="1466"/>
      <c r="I5747" s="1299"/>
      <c r="J5747" s="1300"/>
      <c r="K5747" s="1307" t="str">
        <f>IF(COUNT(I5747)=0,"",(I5747*J5747))</f>
        <v/>
      </c>
      <c r="L5747" s="1335"/>
      <c r="M5747" s="1302"/>
      <c r="N5747" s="1700"/>
      <c r="O5747" s="1290"/>
      <c r="P5747" s="1332"/>
      <c r="Q5747" s="3391"/>
      <c r="R5747" s="1296"/>
    </row>
    <row r="5748" spans="1:18">
      <c r="A5748" s="1320"/>
      <c r="B5748" s="22"/>
      <c r="C5748" s="1320"/>
      <c r="D5748" s="1373"/>
      <c r="E5748" s="2123"/>
      <c r="F5748" s="1374" t="s">
        <v>3</v>
      </c>
      <c r="G5748" s="1375"/>
      <c r="H5748" s="1376"/>
      <c r="I5748" s="1382"/>
      <c r="J5748" s="1383"/>
      <c r="K5748" s="1383" t="str">
        <f>IF(COUNT(I5748)=0,"",(I5748*J5748))</f>
        <v/>
      </c>
      <c r="L5748" s="1413"/>
      <c r="M5748" s="1376"/>
      <c r="N5748" s="1376"/>
      <c r="O5748" s="1376"/>
      <c r="P5748" s="1373"/>
      <c r="Q5748" s="3387"/>
      <c r="R5748" s="1296"/>
    </row>
    <row r="5749" spans="1:18">
      <c r="A5749" s="1321"/>
      <c r="B5749" s="1295"/>
      <c r="C5749" s="1321"/>
      <c r="D5749" s="1377"/>
      <c r="E5749" s="2124"/>
      <c r="F5749" s="1378"/>
      <c r="G5749" s="1378"/>
      <c r="H5749" s="1379"/>
      <c r="I5749" s="1299"/>
      <c r="J5749" s="1300"/>
      <c r="K5749" s="1307"/>
      <c r="L5749" s="1335"/>
      <c r="M5749" s="1302"/>
      <c r="N5749" s="1700"/>
      <c r="O5749" s="1290"/>
      <c r="P5749" s="1332"/>
      <c r="Q5749" s="3391"/>
      <c r="R5749" s="1296"/>
    </row>
    <row r="5750" spans="1:18">
      <c r="A5750" s="1321"/>
      <c r="B5750" s="1295"/>
      <c r="C5750" s="1321"/>
      <c r="D5750" s="1377"/>
      <c r="E5750" s="2124"/>
      <c r="F5750" s="1378"/>
      <c r="G5750" s="1378"/>
      <c r="H5750" s="1379"/>
      <c r="I5750" s="1299"/>
      <c r="J5750" s="1300"/>
      <c r="K5750" s="1307"/>
      <c r="L5750" s="1335"/>
      <c r="M5750" s="1302"/>
      <c r="N5750" s="1700"/>
      <c r="O5750" s="1290"/>
      <c r="P5750" s="1333"/>
      <c r="Q5750" s="3391"/>
      <c r="R5750" s="1296"/>
    </row>
    <row r="5751" spans="1:18">
      <c r="A5751" s="1042"/>
      <c r="B5751" s="1765"/>
      <c r="C5751" s="223"/>
      <c r="D5751" s="1373"/>
      <c r="E5751" s="2161"/>
      <c r="F5751" s="1678"/>
      <c r="G5751" s="1678"/>
      <c r="H5751" s="1376"/>
      <c r="I5751" s="1299"/>
      <c r="J5751" s="1300"/>
      <c r="K5751" s="1307"/>
      <c r="L5751" s="1335"/>
      <c r="M5751" s="1302"/>
      <c r="N5751" s="1700"/>
      <c r="O5751" s="1290"/>
      <c r="P5751" s="1332"/>
      <c r="Q5751" s="3391"/>
      <c r="R5751" s="1296"/>
    </row>
    <row r="5752" spans="1:18">
      <c r="A5752" s="18" t="s">
        <v>3764</v>
      </c>
      <c r="B5752" s="4367" t="s">
        <v>2038</v>
      </c>
      <c r="C5752" s="3354"/>
      <c r="D5752" s="4368"/>
      <c r="E5752" s="4329" t="s">
        <v>1527</v>
      </c>
      <c r="F5752" s="4336" t="s">
        <v>2039</v>
      </c>
      <c r="G5752" s="4331" t="s">
        <v>1568</v>
      </c>
      <c r="H5752" s="4331" t="s">
        <v>1574</v>
      </c>
      <c r="I5752" s="1572" t="s">
        <v>1559</v>
      </c>
      <c r="J5752" s="1294" t="s">
        <v>1560</v>
      </c>
      <c r="K5752" s="1294" t="s">
        <v>1569</v>
      </c>
      <c r="L5752" s="4333" t="s">
        <v>3765</v>
      </c>
      <c r="M5752" s="4335" t="s">
        <v>1571</v>
      </c>
      <c r="N5752" s="4323" t="s">
        <v>1776</v>
      </c>
      <c r="O5752" s="3347" t="s">
        <v>1563</v>
      </c>
      <c r="P5752" s="1336" t="s">
        <v>1562</v>
      </c>
      <c r="Q5752" s="3389"/>
      <c r="R5752" s="1699" t="s">
        <v>1327</v>
      </c>
    </row>
    <row r="5753" spans="1:18">
      <c r="A5753" s="1662" t="s">
        <v>2052</v>
      </c>
      <c r="B5753" s="4369"/>
      <c r="C5753" s="3354"/>
      <c r="D5753" s="4328"/>
      <c r="E5753" s="4330"/>
      <c r="F5753" s="4336"/>
      <c r="G5753" s="4332"/>
      <c r="H5753" s="4332"/>
      <c r="I5753" s="1345">
        <v>10</v>
      </c>
      <c r="J5753" s="1307">
        <v>1.4999999999999999E-2</v>
      </c>
      <c r="K5753" s="1297">
        <f>I5753*J5753</f>
        <v>0.15</v>
      </c>
      <c r="L5753" s="4334"/>
      <c r="M5753" s="4335"/>
      <c r="N5753" s="4324"/>
      <c r="O5753" s="1298">
        <f>O5755+O5756+O5764</f>
        <v>12.045761560000003</v>
      </c>
      <c r="P5753" s="1337">
        <f>O5753*K5753</f>
        <v>1.8068642340000003</v>
      </c>
      <c r="Q5753" s="3390"/>
      <c r="R5753" s="1721">
        <f>P5755+P5756+P5764</f>
        <v>1.8068642340000001</v>
      </c>
    </row>
    <row r="5754" spans="1:18">
      <c r="A5754" s="1320"/>
      <c r="B5754" s="22"/>
      <c r="C5754" s="1327"/>
      <c r="D5754" s="1400"/>
      <c r="E5754" s="2121"/>
      <c r="F5754" s="1389" t="s">
        <v>1</v>
      </c>
      <c r="G5754" s="1389"/>
      <c r="H5754" s="1369"/>
      <c r="I5754" s="1409"/>
      <c r="J5754" s="1390"/>
      <c r="K5754" s="1391"/>
      <c r="L5754" s="1559"/>
      <c r="M5754" s="1369"/>
      <c r="N5754" s="1369"/>
      <c r="O5754" s="1369"/>
      <c r="P5754" s="1392"/>
      <c r="Q5754" s="3395"/>
      <c r="R5754" s="1296"/>
    </row>
    <row r="5755" spans="1:18">
      <c r="A5755" s="16"/>
      <c r="B5755" s="1599"/>
      <c r="C5755" s="225"/>
      <c r="D5755" s="1610" t="s">
        <v>1138</v>
      </c>
      <c r="E5755" s="2154" t="s">
        <v>1504</v>
      </c>
      <c r="F5755" s="1598" t="s">
        <v>2036</v>
      </c>
      <c r="G5755" s="1612">
        <v>5.4</v>
      </c>
      <c r="H5755" s="1390"/>
      <c r="I5755" s="1299"/>
      <c r="J5755" s="1300"/>
      <c r="K5755" s="1307">
        <f>G5755*K5753</f>
        <v>0.81</v>
      </c>
      <c r="L5755" s="1335">
        <f>K5755*$K$5719</f>
        <v>0</v>
      </c>
      <c r="M5755" s="1302">
        <v>0.32</v>
      </c>
      <c r="N5755" s="1700"/>
      <c r="O5755" s="1290">
        <f>G5755*M5755</f>
        <v>1.7280000000000002</v>
      </c>
      <c r="P5755" s="1332">
        <f>M5755*K5755</f>
        <v>0.25920000000000004</v>
      </c>
      <c r="Q5755" s="3391"/>
      <c r="R5755" s="1296"/>
    </row>
    <row r="5756" spans="1:18">
      <c r="A5756" s="16"/>
      <c r="B5756" s="1042"/>
      <c r="C5756" s="2020" t="s">
        <v>1137</v>
      </c>
      <c r="D5756" s="1311"/>
      <c r="E5756" s="2137" t="s">
        <v>1517</v>
      </c>
      <c r="F5756" s="1319" t="s">
        <v>2037</v>
      </c>
      <c r="G5756" s="1353"/>
      <c r="H5756" s="1456">
        <v>2.1000000000000001E-2</v>
      </c>
      <c r="I5756" s="1444"/>
      <c r="J5756" s="1388"/>
      <c r="K5756" s="1445"/>
      <c r="L5756" s="1457"/>
      <c r="M5756" s="1447"/>
      <c r="N5756" s="1447">
        <f>SUM(N5757:N5760)</f>
        <v>44.774360000000001</v>
      </c>
      <c r="O5756" s="1447">
        <f>SUM(O5757:O5760)</f>
        <v>0.94026156000000016</v>
      </c>
      <c r="P5756" s="1446">
        <f>SUM(P5757:P5760)</f>
        <v>0.14103923400000001</v>
      </c>
      <c r="Q5756" s="3391"/>
      <c r="R5756" s="2337"/>
    </row>
    <row r="5757" spans="1:18">
      <c r="A5757" s="16"/>
      <c r="B5757" s="1042"/>
      <c r="C5757" s="1327"/>
      <c r="D5757" s="1400" t="s">
        <v>1069</v>
      </c>
      <c r="E5757" s="1856" t="s">
        <v>1517</v>
      </c>
      <c r="F5757" s="1397" t="s">
        <v>1578</v>
      </c>
      <c r="G5757" s="1416">
        <v>0.25800000000000001</v>
      </c>
      <c r="H5757" s="1399">
        <f>G5757*$H$5756</f>
        <v>5.4180000000000001E-3</v>
      </c>
      <c r="I5757" s="197"/>
      <c r="J5757" s="198"/>
      <c r="K5757" s="1307">
        <f>H5757*K5753</f>
        <v>8.1269999999999997E-4</v>
      </c>
      <c r="L5757" s="1335">
        <f>K5757*$K$5719</f>
        <v>0</v>
      </c>
      <c r="M5757" s="1302">
        <v>0.55000000000000004</v>
      </c>
      <c r="N5757" s="1718">
        <f>G5757*M5757</f>
        <v>0.14190000000000003</v>
      </c>
      <c r="O5757" s="1290">
        <f>H5757*M5757</f>
        <v>2.9799000000000002E-3</v>
      </c>
      <c r="P5757" s="1332">
        <f>M5757*K5757</f>
        <v>4.46985E-4</v>
      </c>
      <c r="Q5757" s="3391"/>
      <c r="R5757" s="2337"/>
    </row>
    <row r="5758" spans="1:18">
      <c r="A5758" s="16"/>
      <c r="B5758" s="1042"/>
      <c r="C5758" s="1320"/>
      <c r="D5758" s="1400" t="s">
        <v>1394</v>
      </c>
      <c r="E5758" s="1856" t="s">
        <v>1577</v>
      </c>
      <c r="F5758" s="1397" t="s">
        <v>1579</v>
      </c>
      <c r="G5758" s="1416">
        <v>0.19600000000000001</v>
      </c>
      <c r="H5758" s="1399">
        <f t="shared" ref="H5758:H5760" si="754">G5758*$H$5756</f>
        <v>4.1160000000000007E-3</v>
      </c>
      <c r="I5758" s="197"/>
      <c r="J5758" s="198"/>
      <c r="K5758" s="1307">
        <f>H5758*K5753</f>
        <v>6.1740000000000005E-4</v>
      </c>
      <c r="L5758" s="1335">
        <f>K5758*$K$5719</f>
        <v>0</v>
      </c>
      <c r="M5758" s="1302">
        <v>92.54</v>
      </c>
      <c r="N5758" s="1718">
        <f>G5758*M5758</f>
        <v>18.137840000000001</v>
      </c>
      <c r="O5758" s="1290">
        <f>H5758*M5758</f>
        <v>0.38089464000000012</v>
      </c>
      <c r="P5758" s="1332">
        <f>M5758*K5758</f>
        <v>5.7134196000000005E-2</v>
      </c>
      <c r="Q5758" s="3391"/>
      <c r="R5758" s="2337"/>
    </row>
    <row r="5759" spans="1:18">
      <c r="A5759" s="16"/>
      <c r="B5759" s="1042"/>
      <c r="C5759" s="1320"/>
      <c r="D5759" s="1400" t="s">
        <v>1576</v>
      </c>
      <c r="E5759" s="1856" t="s">
        <v>1517</v>
      </c>
      <c r="F5759" s="1397" t="s">
        <v>1580</v>
      </c>
      <c r="G5759" s="1416">
        <v>1.1739999999999999</v>
      </c>
      <c r="H5759" s="1399">
        <f t="shared" si="754"/>
        <v>2.4653999999999999E-2</v>
      </c>
      <c r="I5759" s="197"/>
      <c r="J5759" s="198"/>
      <c r="K5759" s="1307">
        <f>H5759*K5753</f>
        <v>3.6980999999999997E-3</v>
      </c>
      <c r="L5759" s="1335">
        <f>K5759*$K$5719</f>
        <v>0</v>
      </c>
      <c r="M5759" s="1302">
        <v>6.53</v>
      </c>
      <c r="N5759" s="1718">
        <f>G5759*M5759</f>
        <v>7.66622</v>
      </c>
      <c r="O5759" s="1290">
        <f>H5759*M5759</f>
        <v>0.16099062</v>
      </c>
      <c r="P5759" s="1332">
        <f>M5759*K5759</f>
        <v>2.4148592999999999E-2</v>
      </c>
      <c r="Q5759" s="3391"/>
      <c r="R5759" s="2337"/>
    </row>
    <row r="5760" spans="1:18">
      <c r="A5760" s="16"/>
      <c r="B5760" s="1042"/>
      <c r="C5760" s="1320"/>
      <c r="D5760" s="1404" t="s">
        <v>1067</v>
      </c>
      <c r="E5760" s="1857" t="s">
        <v>1508</v>
      </c>
      <c r="F5760" s="1406" t="s">
        <v>1512</v>
      </c>
      <c r="G5760" s="1407">
        <v>1.03</v>
      </c>
      <c r="H5760" s="1408">
        <f t="shared" si="754"/>
        <v>2.1630000000000003E-2</v>
      </c>
      <c r="I5760" s="197"/>
      <c r="J5760" s="198"/>
      <c r="K5760" s="1307">
        <f>H5760*K5753</f>
        <v>3.2445000000000004E-3</v>
      </c>
      <c r="L5760" s="1335">
        <f>K5760*$K$5719</f>
        <v>0</v>
      </c>
      <c r="M5760" s="1302">
        <v>18.28</v>
      </c>
      <c r="N5760" s="1718">
        <f>G5760*M5760</f>
        <v>18.828400000000002</v>
      </c>
      <c r="O5760" s="1290">
        <f>H5760*M5760</f>
        <v>0.39539640000000009</v>
      </c>
      <c r="P5760" s="1332">
        <f>M5760*K5760</f>
        <v>5.9309460000000008E-2</v>
      </c>
      <c r="Q5760" s="3391"/>
      <c r="R5760" s="2337"/>
    </row>
    <row r="5761" spans="1:18">
      <c r="A5761" s="1042"/>
      <c r="B5761" s="22"/>
      <c r="C5761" s="1042"/>
      <c r="D5761" s="1672"/>
      <c r="E5761" s="2160"/>
      <c r="F5761" s="1676"/>
      <c r="G5761" s="1676"/>
      <c r="H5761" s="1674"/>
      <c r="I5761" s="1299"/>
      <c r="J5761" s="1300"/>
      <c r="K5761" s="1307"/>
      <c r="L5761" s="1335"/>
      <c r="M5761" s="1302"/>
      <c r="N5761" s="1700"/>
      <c r="O5761" s="1290"/>
      <c r="P5761" s="1332"/>
      <c r="Q5761" s="3391"/>
      <c r="R5761" s="1296"/>
    </row>
    <row r="5762" spans="1:18">
      <c r="A5762" s="1042"/>
      <c r="B5762" s="22"/>
      <c r="C5762" s="1042"/>
      <c r="D5762" s="1367"/>
      <c r="E5762" s="2121"/>
      <c r="F5762" s="1436"/>
      <c r="G5762" s="1436"/>
      <c r="H5762" s="1369"/>
      <c r="I5762" s="1299" t="str">
        <f t="shared" ref="I5762" ca="1" si="755">IF(COUNT(H5762:O5762)=0,"",(SUM(H5762:O5762)/COUNT(H5762:O5762)))</f>
        <v/>
      </c>
      <c r="J5762" s="1300"/>
      <c r="K5762" s="1307" t="str">
        <f t="shared" ref="K5762" ca="1" si="756">IF(COUNT(I5762)=0,"",(I5762*J5762))</f>
        <v/>
      </c>
      <c r="L5762" s="1335"/>
      <c r="M5762" s="1302"/>
      <c r="N5762" s="1700"/>
      <c r="O5762" s="1290"/>
      <c r="P5762" s="1332"/>
      <c r="Q5762" s="3391"/>
      <c r="R5762" s="1296"/>
    </row>
    <row r="5763" spans="1:18">
      <c r="A5763" s="1042"/>
      <c r="B5763" s="22"/>
      <c r="C5763" s="1042"/>
      <c r="D5763" s="1359"/>
      <c r="E5763" s="1858"/>
      <c r="F5763" s="1360" t="s">
        <v>2</v>
      </c>
      <c r="G5763" s="1360"/>
      <c r="H5763" s="1362"/>
      <c r="I5763" s="1380"/>
      <c r="J5763" s="1381"/>
      <c r="K5763" s="1381"/>
      <c r="L5763" s="1458"/>
      <c r="M5763" s="1362"/>
      <c r="N5763" s="1362"/>
      <c r="O5763" s="1362"/>
      <c r="P5763" s="1359"/>
      <c r="Q5763" s="3387"/>
    </row>
    <row r="5764" spans="1:18">
      <c r="A5764" s="16"/>
      <c r="B5764" s="1042"/>
      <c r="C5764" s="1652" t="s">
        <v>1755</v>
      </c>
      <c r="D5764" s="1461"/>
      <c r="E5764" s="2163" t="s">
        <v>1508</v>
      </c>
      <c r="F5764" s="1648" t="s">
        <v>1524</v>
      </c>
      <c r="G5764" s="1990"/>
      <c r="H5764" s="1456">
        <v>0.25</v>
      </c>
      <c r="I5764" s="1444"/>
      <c r="J5764" s="1388"/>
      <c r="K5764" s="1445"/>
      <c r="L5764" s="1457"/>
      <c r="M5764" s="1447"/>
      <c r="N5764" s="1447">
        <f>SUM(N5765:N5766)</f>
        <v>37.510000000000005</v>
      </c>
      <c r="O5764" s="1447">
        <f>SUM(O5765:O5766)</f>
        <v>9.3775000000000013</v>
      </c>
      <c r="P5764" s="1447">
        <f>SUM(P5765:P5766)</f>
        <v>1.406625</v>
      </c>
      <c r="Q5764" s="3391"/>
      <c r="R5764" s="2337"/>
    </row>
    <row r="5765" spans="1:18">
      <c r="A5765" s="16"/>
      <c r="B5765" s="1042"/>
      <c r="C5765" s="88"/>
      <c r="D5765" s="1430" t="s">
        <v>1067</v>
      </c>
      <c r="E5765" s="1857" t="s">
        <v>1508</v>
      </c>
      <c r="F5765" s="1403" t="s">
        <v>5</v>
      </c>
      <c r="G5765" s="1991">
        <v>1</v>
      </c>
      <c r="H5765" s="1408">
        <f>G5765*$H$5764</f>
        <v>0.25</v>
      </c>
      <c r="I5765" s="1286"/>
      <c r="J5765" s="198"/>
      <c r="K5765" s="1307">
        <f>H5765*K5753</f>
        <v>3.7499999999999999E-2</v>
      </c>
      <c r="L5765" s="1335">
        <f>K5765*$K$5719</f>
        <v>0</v>
      </c>
      <c r="M5765" s="1302">
        <v>18.28</v>
      </c>
      <c r="N5765" s="1718">
        <f>G5765*M5765</f>
        <v>18.28</v>
      </c>
      <c r="O5765" s="1290">
        <f>H5765*M5765</f>
        <v>4.57</v>
      </c>
      <c r="P5765" s="1332">
        <f>M5765*K5765</f>
        <v>0.6855</v>
      </c>
      <c r="Q5765" s="3391"/>
      <c r="R5765" s="2337"/>
    </row>
    <row r="5766" spans="1:18">
      <c r="A5766" s="16"/>
      <c r="B5766" s="1042"/>
      <c r="C5766" s="88"/>
      <c r="D5766" s="1430" t="s">
        <v>1077</v>
      </c>
      <c r="E5766" s="1857" t="s">
        <v>1508</v>
      </c>
      <c r="F5766" s="1403" t="s">
        <v>37</v>
      </c>
      <c r="G5766" s="1991">
        <v>1</v>
      </c>
      <c r="H5766" s="1408">
        <f>G5766*$H$5764</f>
        <v>0.25</v>
      </c>
      <c r="I5766" s="197"/>
      <c r="J5766" s="198"/>
      <c r="K5766" s="1307">
        <f>H5766*K5753</f>
        <v>3.7499999999999999E-2</v>
      </c>
      <c r="L5766" s="1335">
        <f>K5766*$K$5719</f>
        <v>0</v>
      </c>
      <c r="M5766" s="1302">
        <v>19.23</v>
      </c>
      <c r="N5766" s="1718">
        <f>G5766*M5766</f>
        <v>19.23</v>
      </c>
      <c r="O5766" s="1290">
        <f>H5766*M5766</f>
        <v>4.8075000000000001</v>
      </c>
      <c r="P5766" s="1332">
        <f>M5766*K5766</f>
        <v>0.72112500000000002</v>
      </c>
      <c r="Q5766" s="3391"/>
      <c r="R5766" s="2337"/>
    </row>
    <row r="5767" spans="1:18">
      <c r="A5767" s="1320"/>
      <c r="B5767" s="22"/>
      <c r="C5767" s="1320"/>
      <c r="D5767" s="1359"/>
      <c r="E5767" s="1858"/>
      <c r="F5767" s="1361"/>
      <c r="G5767" s="1361"/>
      <c r="H5767" s="1466"/>
      <c r="I5767" s="1299"/>
      <c r="J5767" s="1300"/>
      <c r="K5767" s="1307" t="str">
        <f>IF(COUNT(I5767)=0,"",(I5767*J5767))</f>
        <v/>
      </c>
      <c r="L5767" s="1335"/>
      <c r="M5767" s="1302"/>
      <c r="N5767" s="1700"/>
      <c r="O5767" s="1290"/>
      <c r="P5767" s="1332"/>
      <c r="Q5767" s="3391"/>
      <c r="R5767" s="1296"/>
    </row>
    <row r="5768" spans="1:18">
      <c r="A5768" s="1320"/>
      <c r="B5768" s="22"/>
      <c r="C5768" s="1320"/>
      <c r="D5768" s="1373"/>
      <c r="E5768" s="2123"/>
      <c r="F5768" s="1374" t="s">
        <v>3</v>
      </c>
      <c r="G5768" s="1375"/>
      <c r="H5768" s="1376"/>
      <c r="I5768" s="1382"/>
      <c r="J5768" s="1383"/>
      <c r="K5768" s="1383" t="str">
        <f>IF(COUNT(I5768)=0,"",(I5768*J5768))</f>
        <v/>
      </c>
      <c r="L5768" s="1413"/>
      <c r="M5768" s="1376"/>
      <c r="N5768" s="1376"/>
      <c r="O5768" s="1376"/>
      <c r="P5768" s="1373"/>
      <c r="Q5768" s="3387"/>
      <c r="R5768" s="1296"/>
    </row>
    <row r="5769" spans="1:18">
      <c r="A5769" s="1321"/>
      <c r="B5769" s="1295"/>
      <c r="C5769" s="1321"/>
      <c r="D5769" s="1377"/>
      <c r="E5769" s="2124"/>
      <c r="F5769" s="1378"/>
      <c r="G5769" s="1378"/>
      <c r="H5769" s="1379"/>
      <c r="I5769" s="1299"/>
      <c r="J5769" s="1300"/>
      <c r="K5769" s="1307"/>
      <c r="L5769" s="1335"/>
      <c r="M5769" s="1302"/>
      <c r="N5769" s="1700"/>
      <c r="O5769" s="1290"/>
      <c r="P5769" s="1332"/>
      <c r="Q5769" s="3391"/>
      <c r="R5769" s="1296"/>
    </row>
    <row r="5770" spans="1:18">
      <c r="A5770" s="1321"/>
      <c r="B5770" s="1295"/>
      <c r="C5770" s="1321"/>
      <c r="D5770" s="1377"/>
      <c r="E5770" s="2124"/>
      <c r="F5770" s="1378"/>
      <c r="G5770" s="1378"/>
      <c r="H5770" s="1379"/>
      <c r="I5770" s="1299"/>
      <c r="J5770" s="1300"/>
      <c r="K5770" s="1307"/>
      <c r="L5770" s="1335"/>
      <c r="M5770" s="1302"/>
      <c r="N5770" s="1700"/>
      <c r="O5770" s="1290"/>
      <c r="P5770" s="1333"/>
      <c r="Q5770" s="3391"/>
      <c r="R5770" s="1296"/>
    </row>
    <row r="5771" spans="1:18">
      <c r="A5771" s="1042"/>
      <c r="B5771" s="1765"/>
      <c r="C5771" s="223"/>
      <c r="D5771" s="1373"/>
      <c r="E5771" s="2161"/>
      <c r="F5771" s="1678"/>
      <c r="G5771" s="1678"/>
      <c r="H5771" s="1376"/>
      <c r="I5771" s="1299"/>
      <c r="J5771" s="1300"/>
      <c r="K5771" s="1307"/>
      <c r="L5771" s="1335"/>
      <c r="M5771" s="1302"/>
      <c r="N5771" s="1700"/>
      <c r="O5771" s="1290"/>
      <c r="P5771" s="1332"/>
      <c r="Q5771" s="3391"/>
      <c r="R5771" s="1296"/>
    </row>
    <row r="5772" spans="1:18">
      <c r="A5772" s="88" t="s">
        <v>3764</v>
      </c>
      <c r="B5772" s="4367" t="s">
        <v>3859</v>
      </c>
      <c r="C5772" s="4154"/>
      <c r="D5772" s="4368"/>
      <c r="E5772" s="4329" t="s">
        <v>1527</v>
      </c>
      <c r="F5772" s="4336" t="s">
        <v>3870</v>
      </c>
      <c r="G5772" s="4331" t="s">
        <v>1568</v>
      </c>
      <c r="H5772" s="4331" t="s">
        <v>1574</v>
      </c>
      <c r="I5772" s="1572" t="s">
        <v>1559</v>
      </c>
      <c r="J5772" s="1294" t="s">
        <v>1560</v>
      </c>
      <c r="K5772" s="1294" t="s">
        <v>1569</v>
      </c>
      <c r="L5772" s="4333" t="s">
        <v>3765</v>
      </c>
      <c r="M5772" s="4335" t="s">
        <v>1571</v>
      </c>
      <c r="N5772" s="4323" t="s">
        <v>1776</v>
      </c>
      <c r="O5772" s="4148" t="s">
        <v>1563</v>
      </c>
      <c r="P5772" s="1336" t="s">
        <v>1562</v>
      </c>
      <c r="Q5772" s="3389"/>
      <c r="R5772" s="1699" t="s">
        <v>1327</v>
      </c>
    </row>
    <row r="5773" spans="1:18">
      <c r="A5773" s="1662" t="s">
        <v>2052</v>
      </c>
      <c r="B5773" s="4326"/>
      <c r="C5773" s="4154"/>
      <c r="D5773" s="4328"/>
      <c r="E5773" s="4330"/>
      <c r="F5773" s="4336"/>
      <c r="G5773" s="4332"/>
      <c r="H5773" s="4332"/>
      <c r="I5773" s="1345">
        <v>10</v>
      </c>
      <c r="J5773" s="1307">
        <v>1.4999999999999999E-2</v>
      </c>
      <c r="K5773" s="1297">
        <f>I5773*J5773</f>
        <v>0.15</v>
      </c>
      <c r="L5773" s="4334"/>
      <c r="M5773" s="4335"/>
      <c r="N5773" s="4324"/>
      <c r="O5773" s="1298">
        <f>O5775+O5776+O5784</f>
        <v>11.777115400000001</v>
      </c>
      <c r="P5773" s="1337">
        <f>O5773*K5773</f>
        <v>1.7665673100000001</v>
      </c>
      <c r="Q5773" s="3390"/>
      <c r="R5773" s="1721">
        <f>P5775+P5776+P5784</f>
        <v>1.7665673100000001</v>
      </c>
    </row>
    <row r="5774" spans="1:18">
      <c r="B5774" s="1327"/>
      <c r="C5774" s="1511"/>
      <c r="D5774" s="1400"/>
      <c r="E5774" s="2121"/>
      <c r="F5774" s="1389" t="s">
        <v>1</v>
      </c>
      <c r="G5774" s="1389"/>
      <c r="H5774" s="1369"/>
      <c r="I5774" s="1409"/>
      <c r="J5774" s="1390"/>
      <c r="K5774" s="1391"/>
      <c r="L5774" s="1559"/>
      <c r="M5774" s="1369"/>
      <c r="N5774" s="1369"/>
      <c r="O5774" s="1369"/>
      <c r="P5774" s="1392"/>
      <c r="Q5774" s="3395"/>
      <c r="R5774" s="1296"/>
    </row>
    <row r="5775" spans="1:18">
      <c r="B5775" s="1599"/>
      <c r="C5775" s="1320"/>
      <c r="D5775" s="2026" t="s">
        <v>1138</v>
      </c>
      <c r="E5775" s="2154" t="s">
        <v>1504</v>
      </c>
      <c r="F5775" s="1598" t="s">
        <v>2044</v>
      </c>
      <c r="G5775" s="1612">
        <v>5.4</v>
      </c>
      <c r="H5775" s="1390"/>
      <c r="I5775" s="1289"/>
      <c r="J5775" s="8"/>
      <c r="K5775" s="1307">
        <f>G5775*K5773</f>
        <v>0.81</v>
      </c>
      <c r="L5775" s="1335">
        <f>K5775*$K$5719</f>
        <v>0</v>
      </c>
      <c r="M5775" s="1302">
        <v>0.32</v>
      </c>
      <c r="N5775" s="1700"/>
      <c r="O5775" s="1290">
        <f>G5775*M5775</f>
        <v>1.7280000000000002</v>
      </c>
      <c r="P5775" s="1332">
        <f>M5775*K5775</f>
        <v>0.25920000000000004</v>
      </c>
      <c r="Q5775" s="3391"/>
      <c r="R5775" s="1296"/>
    </row>
    <row r="5776" spans="1:18">
      <c r="B5776" s="1042"/>
      <c r="C5776" s="2020" t="s">
        <v>1137</v>
      </c>
      <c r="D5776" s="1585"/>
      <c r="E5776" s="2137" t="s">
        <v>1517</v>
      </c>
      <c r="F5776" s="1319" t="s">
        <v>2037</v>
      </c>
      <c r="G5776" s="1353"/>
      <c r="H5776" s="1456">
        <v>1.4999999999999999E-2</v>
      </c>
      <c r="I5776" s="1444"/>
      <c r="J5776" s="1388"/>
      <c r="K5776" s="1445"/>
      <c r="L5776" s="1457"/>
      <c r="M5776" s="1447"/>
      <c r="N5776" s="1447">
        <f>SUM(N5777:N5780)</f>
        <v>44.774360000000001</v>
      </c>
      <c r="O5776" s="1447">
        <f>SUM(O5777:O5780)</f>
        <v>0.67161540000000008</v>
      </c>
      <c r="P5776" s="1446">
        <f>SUM(P5777:P5780)</f>
        <v>0.10074231</v>
      </c>
      <c r="Q5776" s="3391"/>
      <c r="R5776" s="2337"/>
    </row>
    <row r="5777" spans="1:18">
      <c r="B5777" s="1042"/>
      <c r="C5777" s="1511"/>
      <c r="D5777" s="1400" t="s">
        <v>1069</v>
      </c>
      <c r="E5777" s="1856" t="s">
        <v>1517</v>
      </c>
      <c r="F5777" s="1397" t="s">
        <v>1578</v>
      </c>
      <c r="G5777" s="1416">
        <v>0.25800000000000001</v>
      </c>
      <c r="H5777" s="1399">
        <f>G5777*H5776</f>
        <v>3.8700000000000002E-3</v>
      </c>
      <c r="I5777" s="197"/>
      <c r="J5777" s="198"/>
      <c r="K5777" s="1732">
        <f>H5777*K5773</f>
        <v>5.8049999999999996E-4</v>
      </c>
      <c r="L5777" s="1335">
        <f>K5777*$K$5719</f>
        <v>0</v>
      </c>
      <c r="M5777" s="1302">
        <v>0.55000000000000004</v>
      </c>
      <c r="N5777" s="1718">
        <f>G5777*M5777</f>
        <v>0.14190000000000003</v>
      </c>
      <c r="O5777" s="1290">
        <f>H5777*M5777</f>
        <v>2.1285000000000002E-3</v>
      </c>
      <c r="P5777" s="1332">
        <f>M5777*K5777</f>
        <v>3.19275E-4</v>
      </c>
      <c r="Q5777" s="3391"/>
      <c r="R5777" s="2337"/>
    </row>
    <row r="5778" spans="1:18">
      <c r="B5778" s="1042"/>
      <c r="C5778" s="595"/>
      <c r="D5778" s="1400" t="s">
        <v>1394</v>
      </c>
      <c r="E5778" s="1856" t="s">
        <v>1577</v>
      </c>
      <c r="F5778" s="1397" t="s">
        <v>1579</v>
      </c>
      <c r="G5778" s="1416">
        <v>0.19600000000000001</v>
      </c>
      <c r="H5778" s="1399">
        <f>G5778*H5776</f>
        <v>2.9399999999999999E-3</v>
      </c>
      <c r="I5778" s="197"/>
      <c r="J5778" s="198"/>
      <c r="K5778" s="1732">
        <f>H5778*K5773</f>
        <v>4.4099999999999999E-4</v>
      </c>
      <c r="L5778" s="1335">
        <f>K5778*$K$5719</f>
        <v>0</v>
      </c>
      <c r="M5778" s="1302">
        <v>92.54</v>
      </c>
      <c r="N5778" s="1718">
        <f>G5778*M5778</f>
        <v>18.137840000000001</v>
      </c>
      <c r="O5778" s="1290">
        <f>H5778*M5778</f>
        <v>0.27206760000000002</v>
      </c>
      <c r="P5778" s="1332">
        <f>M5778*K5778</f>
        <v>4.0810140000000002E-2</v>
      </c>
      <c r="Q5778" s="3391"/>
      <c r="R5778" s="2337"/>
    </row>
    <row r="5779" spans="1:18">
      <c r="B5779" s="1042"/>
      <c r="C5779" s="595"/>
      <c r="D5779" s="1400" t="s">
        <v>1576</v>
      </c>
      <c r="E5779" s="1856" t="s">
        <v>1517</v>
      </c>
      <c r="F5779" s="1397" t="s">
        <v>1580</v>
      </c>
      <c r="G5779" s="1416">
        <v>1.1739999999999999</v>
      </c>
      <c r="H5779" s="1399">
        <f>G5779*H5776</f>
        <v>1.7609999999999997E-2</v>
      </c>
      <c r="I5779" s="197"/>
      <c r="J5779" s="198"/>
      <c r="K5779" s="1732">
        <f>H5779*K5773</f>
        <v>2.6414999999999993E-3</v>
      </c>
      <c r="L5779" s="1335">
        <f>K5779*$K$5719</f>
        <v>0</v>
      </c>
      <c r="M5779" s="1302">
        <v>6.53</v>
      </c>
      <c r="N5779" s="1718">
        <f>G5779*M5779</f>
        <v>7.66622</v>
      </c>
      <c r="O5779" s="1290">
        <f>H5779*M5779</f>
        <v>0.11499329999999999</v>
      </c>
      <c r="P5779" s="1332">
        <f>M5779*K5779</f>
        <v>1.7248994999999996E-2</v>
      </c>
      <c r="Q5779" s="3391"/>
      <c r="R5779" s="2337"/>
    </row>
    <row r="5780" spans="1:18">
      <c r="B5780" s="1042"/>
      <c r="C5780" s="595"/>
      <c r="D5780" s="1404" t="s">
        <v>1067</v>
      </c>
      <c r="E5780" s="1857" t="s">
        <v>1508</v>
      </c>
      <c r="F5780" s="1406" t="s">
        <v>1512</v>
      </c>
      <c r="G5780" s="1407">
        <v>1.03</v>
      </c>
      <c r="H5780" s="1408">
        <f>G5780*H5776</f>
        <v>1.545E-2</v>
      </c>
      <c r="I5780" s="197"/>
      <c r="J5780" s="198"/>
      <c r="K5780" s="1732">
        <f>H5780*K5773</f>
        <v>2.3175000000000001E-3</v>
      </c>
      <c r="L5780" s="1335">
        <f t="shared" ref="L5780" si="757">K5780*$K$5719</f>
        <v>0</v>
      </c>
      <c r="M5780" s="1302">
        <v>18.28</v>
      </c>
      <c r="N5780" s="1718">
        <f>G5780*M5780</f>
        <v>18.828400000000002</v>
      </c>
      <c r="O5780" s="1290">
        <f>H5780*M5780</f>
        <v>0.28242600000000001</v>
      </c>
      <c r="P5780" s="1332">
        <f>M5780*K5780</f>
        <v>4.2363900000000003E-2</v>
      </c>
      <c r="Q5780" s="3391"/>
      <c r="R5780" s="2337"/>
    </row>
    <row r="5781" spans="1:18">
      <c r="B5781" s="1320"/>
      <c r="C5781" s="88"/>
      <c r="D5781" s="1367"/>
      <c r="E5781" s="2121"/>
      <c r="F5781" s="1436"/>
      <c r="G5781" s="1436"/>
      <c r="H5781" s="1369"/>
      <c r="I5781" s="1299"/>
      <c r="J5781" s="1300"/>
      <c r="K5781" s="1307" t="str">
        <f t="shared" ref="K5781:K5782" si="758">IF(COUNT(I5781)=0,"",(I5781*J5781))</f>
        <v/>
      </c>
      <c r="L5781" s="1335"/>
      <c r="M5781" s="1302"/>
      <c r="N5781" s="1700"/>
      <c r="O5781" s="1290"/>
      <c r="P5781" s="1332"/>
      <c r="Q5781" s="3391"/>
      <c r="R5781" s="1296"/>
    </row>
    <row r="5782" spans="1:18">
      <c r="B5782" s="1320"/>
      <c r="C5782" s="88"/>
      <c r="D5782" s="1367"/>
      <c r="E5782" s="2121"/>
      <c r="F5782" s="1436"/>
      <c r="G5782" s="1436"/>
      <c r="H5782" s="1369"/>
      <c r="I5782" s="1299"/>
      <c r="J5782" s="1300"/>
      <c r="K5782" s="1307" t="str">
        <f t="shared" si="758"/>
        <v/>
      </c>
      <c r="L5782" s="1335"/>
      <c r="M5782" s="1302"/>
      <c r="N5782" s="1700"/>
      <c r="O5782" s="1290"/>
      <c r="P5782" s="1332"/>
      <c r="Q5782" s="3391"/>
      <c r="R5782" s="1296"/>
    </row>
    <row r="5783" spans="1:18">
      <c r="B5783" s="1320"/>
      <c r="C5783" s="88"/>
      <c r="D5783" s="1443"/>
      <c r="E5783" s="1858"/>
      <c r="F5783" s="1360" t="s">
        <v>2</v>
      </c>
      <c r="G5783" s="1360"/>
      <c r="H5783" s="1362"/>
      <c r="I5783" s="1380"/>
      <c r="J5783" s="1381"/>
      <c r="K5783" s="1381"/>
      <c r="L5783" s="1458"/>
      <c r="M5783" s="1362"/>
      <c r="N5783" s="1362"/>
      <c r="O5783" s="1362"/>
      <c r="P5783" s="1359"/>
      <c r="Q5783" s="3387"/>
    </row>
    <row r="5784" spans="1:18">
      <c r="B5784" s="1042"/>
      <c r="C5784" s="1356" t="s">
        <v>1755</v>
      </c>
      <c r="D5784" s="1311"/>
      <c r="E5784" s="2176" t="s">
        <v>1508</v>
      </c>
      <c r="F5784" s="1648" t="s">
        <v>1524</v>
      </c>
      <c r="G5784" s="1990"/>
      <c r="H5784" s="1456">
        <v>0.25</v>
      </c>
      <c r="I5784" s="1444"/>
      <c r="J5784" s="1388"/>
      <c r="K5784" s="1445"/>
      <c r="L5784" s="1457"/>
      <c r="M5784" s="1447"/>
      <c r="N5784" s="1447">
        <f>SUM(N5785:N5786)</f>
        <v>37.510000000000005</v>
      </c>
      <c r="O5784" s="1447">
        <f>SUM(O5785:O5786)</f>
        <v>9.3775000000000013</v>
      </c>
      <c r="P5784" s="1447">
        <f>SUM(P5785:P5786)</f>
        <v>1.406625</v>
      </c>
      <c r="Q5784" s="3391"/>
      <c r="R5784" s="2337"/>
    </row>
    <row r="5785" spans="1:18">
      <c r="B5785" s="1042"/>
      <c r="C5785" s="88"/>
      <c r="D5785" s="1430" t="s">
        <v>1067</v>
      </c>
      <c r="E5785" s="1857" t="s">
        <v>1508</v>
      </c>
      <c r="F5785" s="1403" t="s">
        <v>5</v>
      </c>
      <c r="G5785" s="1991">
        <v>1</v>
      </c>
      <c r="H5785" s="1408">
        <f>G5785*H5784</f>
        <v>0.25</v>
      </c>
      <c r="I5785" s="1286"/>
      <c r="J5785" s="198"/>
      <c r="K5785" s="1307">
        <f>H5785*$K$5773</f>
        <v>3.7499999999999999E-2</v>
      </c>
      <c r="L5785" s="1335">
        <f t="shared" ref="L5785:L5786" si="759">K5785*$K$5719</f>
        <v>0</v>
      </c>
      <c r="M5785" s="1302">
        <v>18.28</v>
      </c>
      <c r="N5785" s="1718">
        <f>G5785*M5785</f>
        <v>18.28</v>
      </c>
      <c r="O5785" s="1290">
        <f>H5785*M5785</f>
        <v>4.57</v>
      </c>
      <c r="P5785" s="1332">
        <f>M5785*K5785</f>
        <v>0.6855</v>
      </c>
      <c r="Q5785" s="3391"/>
      <c r="R5785" s="2337"/>
    </row>
    <row r="5786" spans="1:18">
      <c r="B5786" s="1042"/>
      <c r="C5786" s="88"/>
      <c r="D5786" s="1430" t="s">
        <v>1077</v>
      </c>
      <c r="E5786" s="1857" t="s">
        <v>1508</v>
      </c>
      <c r="F5786" s="1403" t="s">
        <v>37</v>
      </c>
      <c r="G5786" s="1991">
        <v>1</v>
      </c>
      <c r="H5786" s="1408">
        <f>G5786*H5784</f>
        <v>0.25</v>
      </c>
      <c r="I5786" s="197"/>
      <c r="J5786" s="198"/>
      <c r="K5786" s="1307">
        <f>H5786*$K$5773</f>
        <v>3.7499999999999999E-2</v>
      </c>
      <c r="L5786" s="1335">
        <f t="shared" si="759"/>
        <v>0</v>
      </c>
      <c r="M5786" s="1302">
        <v>19.23</v>
      </c>
      <c r="N5786" s="1718">
        <f>G5786*M5786</f>
        <v>19.23</v>
      </c>
      <c r="O5786" s="1290">
        <f>H5786*M5786</f>
        <v>4.8075000000000001</v>
      </c>
      <c r="P5786" s="1332">
        <f>M5786*K5786</f>
        <v>0.72112500000000002</v>
      </c>
      <c r="Q5786" s="3391"/>
      <c r="R5786" s="2337"/>
    </row>
    <row r="5787" spans="1:18">
      <c r="B5787" s="1320"/>
      <c r="C5787" s="595"/>
      <c r="D5787" s="1359"/>
      <c r="E5787" s="1858"/>
      <c r="F5787" s="1361"/>
      <c r="G5787" s="1361"/>
      <c r="H5787" s="1466"/>
      <c r="I5787" s="1299"/>
      <c r="J5787" s="1300"/>
      <c r="K5787" s="1307" t="str">
        <f>IF(COUNT(I5787)=0,"",(I5787*J5787))</f>
        <v/>
      </c>
      <c r="L5787" s="1335"/>
      <c r="M5787" s="1302"/>
      <c r="N5787" s="1700"/>
      <c r="O5787" s="1290"/>
      <c r="P5787" s="1332"/>
      <c r="Q5787" s="3391"/>
      <c r="R5787" s="1296"/>
    </row>
    <row r="5788" spans="1:18">
      <c r="B5788" s="1320"/>
      <c r="C5788" s="595"/>
      <c r="D5788" s="1373"/>
      <c r="E5788" s="2123"/>
      <c r="F5788" s="1374" t="s">
        <v>3</v>
      </c>
      <c r="G5788" s="1375"/>
      <c r="H5788" s="1376"/>
      <c r="I5788" s="1382"/>
      <c r="J5788" s="1383"/>
      <c r="K5788" s="1383" t="str">
        <f>IF(COUNT(I5788)=0,"",(I5788*J5788))</f>
        <v/>
      </c>
      <c r="L5788" s="1413"/>
      <c r="M5788" s="1376"/>
      <c r="N5788" s="1376"/>
      <c r="O5788" s="1376"/>
      <c r="P5788" s="1373"/>
      <c r="Q5788" s="3387"/>
      <c r="R5788" s="1296"/>
    </row>
    <row r="5789" spans="1:18">
      <c r="B5789" s="1321"/>
      <c r="C5789" s="2021"/>
      <c r="D5789" s="1377"/>
      <c r="E5789" s="2124"/>
      <c r="F5789" s="1378"/>
      <c r="G5789" s="1378"/>
      <c r="H5789" s="1379"/>
      <c r="I5789" s="1299"/>
      <c r="J5789" s="1300"/>
      <c r="K5789" s="1307"/>
      <c r="L5789" s="1335"/>
      <c r="M5789" s="1302"/>
      <c r="N5789" s="1700"/>
      <c r="O5789" s="1290"/>
      <c r="P5789" s="1332"/>
      <c r="Q5789" s="3391"/>
      <c r="R5789" s="1296"/>
    </row>
    <row r="5790" spans="1:18">
      <c r="B5790" s="1321"/>
      <c r="C5790" s="2021"/>
      <c r="D5790" s="1377"/>
      <c r="E5790" s="2124"/>
      <c r="F5790" s="1378"/>
      <c r="G5790" s="1378"/>
      <c r="H5790" s="1379"/>
      <c r="I5790" s="1299"/>
      <c r="J5790" s="1300"/>
      <c r="K5790" s="1307"/>
      <c r="L5790" s="1335"/>
      <c r="M5790" s="1302"/>
      <c r="N5790" s="1700"/>
      <c r="O5790" s="1290"/>
      <c r="P5790" s="1333"/>
      <c r="Q5790" s="3391"/>
      <c r="R5790" s="1296"/>
    </row>
    <row r="5791" spans="1:18">
      <c r="B5791" s="225"/>
      <c r="C5791" s="581"/>
      <c r="D5791" s="1373"/>
      <c r="E5791" s="2161"/>
      <c r="F5791" s="1678"/>
      <c r="G5791" s="1678"/>
      <c r="H5791" s="1376"/>
      <c r="I5791" s="1299"/>
      <c r="J5791" s="1300"/>
      <c r="K5791" s="1307"/>
      <c r="L5791" s="1335"/>
      <c r="M5791" s="1302"/>
      <c r="N5791" s="1700"/>
      <c r="O5791" s="1290"/>
      <c r="P5791" s="1332"/>
      <c r="Q5791" s="3391"/>
      <c r="R5791" s="1296"/>
    </row>
    <row r="5792" spans="1:18">
      <c r="A5792" s="88" t="s">
        <v>3764</v>
      </c>
      <c r="B5792" s="4367" t="s">
        <v>2040</v>
      </c>
      <c r="C5792" s="3354"/>
      <c r="D5792" s="4368"/>
      <c r="E5792" s="4329" t="s">
        <v>1527</v>
      </c>
      <c r="F5792" s="4336" t="s">
        <v>2041</v>
      </c>
      <c r="G5792" s="4331" t="s">
        <v>1568</v>
      </c>
      <c r="H5792" s="4331" t="s">
        <v>1574</v>
      </c>
      <c r="I5792" s="1572" t="s">
        <v>1559</v>
      </c>
      <c r="J5792" s="1294" t="s">
        <v>1560</v>
      </c>
      <c r="K5792" s="1294" t="s">
        <v>1569</v>
      </c>
      <c r="L5792" s="4333" t="s">
        <v>3765</v>
      </c>
      <c r="M5792" s="4335" t="s">
        <v>1571</v>
      </c>
      <c r="N5792" s="4323" t="s">
        <v>1776</v>
      </c>
      <c r="O5792" s="3347" t="s">
        <v>1563</v>
      </c>
      <c r="P5792" s="1336" t="s">
        <v>1562</v>
      </c>
      <c r="Q5792" s="3389"/>
      <c r="R5792" s="1699" t="s">
        <v>1327</v>
      </c>
    </row>
    <row r="5793" spans="1:18">
      <c r="A5793" s="1662" t="s">
        <v>2052</v>
      </c>
      <c r="B5793" s="4326"/>
      <c r="C5793" s="3354"/>
      <c r="D5793" s="4328"/>
      <c r="E5793" s="4330"/>
      <c r="F5793" s="4336"/>
      <c r="G5793" s="4332"/>
      <c r="H5793" s="4332"/>
      <c r="I5793" s="1345">
        <v>9.1</v>
      </c>
      <c r="J5793" s="1307">
        <v>1.4999999999999999E-2</v>
      </c>
      <c r="K5793" s="1297">
        <f>I5793*J5793</f>
        <v>0.13649999999999998</v>
      </c>
      <c r="L5793" s="4334"/>
      <c r="M5793" s="4335"/>
      <c r="N5793" s="4324"/>
      <c r="O5793" s="1298">
        <f>O5795+O5796+O5797+O5805</f>
        <v>25.282455400000003</v>
      </c>
      <c r="P5793" s="1337">
        <f>O5793*K5793</f>
        <v>3.4510551620999999</v>
      </c>
      <c r="Q5793" s="3390"/>
      <c r="R5793" s="1721">
        <f>P5795+P5796+P5797+P5805</f>
        <v>3.4510551620999994</v>
      </c>
    </row>
    <row r="5794" spans="1:18">
      <c r="B5794" s="1327"/>
      <c r="C5794" s="1511"/>
      <c r="D5794" s="1400"/>
      <c r="E5794" s="2121"/>
      <c r="F5794" s="1389" t="s">
        <v>1</v>
      </c>
      <c r="G5794" s="1389"/>
      <c r="H5794" s="1369"/>
      <c r="I5794" s="1409"/>
      <c r="J5794" s="1390"/>
      <c r="K5794" s="1391"/>
      <c r="L5794" s="1559"/>
      <c r="M5794" s="1369"/>
      <c r="N5794" s="1369"/>
      <c r="O5794" s="1369"/>
      <c r="P5794" s="1392"/>
      <c r="Q5794" s="3395"/>
      <c r="R5794" s="1296"/>
    </row>
    <row r="5795" spans="1:18">
      <c r="B5795" s="1320"/>
      <c r="C5795" s="595"/>
      <c r="D5795" s="1769" t="s">
        <v>2042</v>
      </c>
      <c r="E5795" s="1850" t="s">
        <v>1507</v>
      </c>
      <c r="F5795" s="2022" t="s">
        <v>2043</v>
      </c>
      <c r="G5795" s="2023">
        <v>0.60599999999999998</v>
      </c>
      <c r="H5795" s="1390"/>
      <c r="I5795" s="1299"/>
      <c r="J5795" s="1300"/>
      <c r="K5795" s="1307">
        <f>G5795*K5793</f>
        <v>8.2718999999999987E-2</v>
      </c>
      <c r="L5795" s="1335">
        <f t="shared" ref="L5795:L5796" si="760">K5795*$K$5719</f>
        <v>0</v>
      </c>
      <c r="M5795" s="1302">
        <v>24.89</v>
      </c>
      <c r="N5795" s="1700"/>
      <c r="O5795" s="1290">
        <f>G5795*M5795</f>
        <v>15.08334</v>
      </c>
      <c r="P5795" s="1332">
        <f>M5795*K5795</f>
        <v>2.0588759099999998</v>
      </c>
      <c r="Q5795" s="3391"/>
      <c r="R5795" s="1296"/>
    </row>
    <row r="5796" spans="1:18">
      <c r="B5796" s="1599"/>
      <c r="C5796" s="225"/>
      <c r="D5796" s="1772" t="s">
        <v>1082</v>
      </c>
      <c r="E5796" s="2180" t="s">
        <v>1504</v>
      </c>
      <c r="F5796" s="2024" t="s">
        <v>1541</v>
      </c>
      <c r="G5796" s="2025">
        <v>0.5</v>
      </c>
      <c r="H5796" s="1390"/>
      <c r="I5796" s="1409"/>
      <c r="J5796" s="1390"/>
      <c r="K5796" s="1307">
        <f>G5796*K5793</f>
        <v>6.8249999999999991E-2</v>
      </c>
      <c r="L5796" s="1335">
        <f t="shared" si="760"/>
        <v>0</v>
      </c>
      <c r="M5796" s="1302">
        <v>0.3</v>
      </c>
      <c r="N5796" s="1700"/>
      <c r="O5796" s="1290">
        <f>G5796*M5796</f>
        <v>0.15</v>
      </c>
      <c r="P5796" s="1332">
        <f>M5796*K5796</f>
        <v>2.0474999999999997E-2</v>
      </c>
      <c r="Q5796" s="3391"/>
      <c r="R5796" s="1296"/>
    </row>
    <row r="5797" spans="1:18">
      <c r="B5797" s="1042"/>
      <c r="C5797" s="2020" t="s">
        <v>1137</v>
      </c>
      <c r="D5797" s="1585"/>
      <c r="E5797" s="2137" t="s">
        <v>1517</v>
      </c>
      <c r="F5797" s="1319" t="s">
        <v>2037</v>
      </c>
      <c r="G5797" s="1353"/>
      <c r="H5797" s="1456">
        <v>1.4999999999999999E-2</v>
      </c>
      <c r="I5797" s="1444"/>
      <c r="J5797" s="1388"/>
      <c r="K5797" s="1445"/>
      <c r="L5797" s="1457"/>
      <c r="M5797" s="1447"/>
      <c r="N5797" s="1447">
        <f>SUM(N5798:N5801)</f>
        <v>44.774360000000001</v>
      </c>
      <c r="O5797" s="1447">
        <f>SUM(O5798:O5801)</f>
        <v>0.67161540000000008</v>
      </c>
      <c r="P5797" s="1446">
        <f>SUM(P5798:P5801)</f>
        <v>9.1675502099999986E-2</v>
      </c>
      <c r="Q5797" s="3391"/>
      <c r="R5797" s="2337"/>
    </row>
    <row r="5798" spans="1:18">
      <c r="B5798" s="1042"/>
      <c r="C5798" s="1511"/>
      <c r="D5798" s="1400" t="s">
        <v>1069</v>
      </c>
      <c r="E5798" s="1856" t="s">
        <v>1517</v>
      </c>
      <c r="F5798" s="1397" t="s">
        <v>1578</v>
      </c>
      <c r="G5798" s="1416">
        <v>0.25800000000000001</v>
      </c>
      <c r="H5798" s="1399">
        <f>G5798*$H$5797</f>
        <v>3.8700000000000002E-3</v>
      </c>
      <c r="I5798" s="197"/>
      <c r="J5798" s="198"/>
      <c r="K5798" s="1732">
        <f>H5798*$K$5793</f>
        <v>5.2825499999999994E-4</v>
      </c>
      <c r="L5798" s="1335">
        <f t="shared" ref="L5798:L5801" si="761">K5798*$K$5719</f>
        <v>0</v>
      </c>
      <c r="M5798" s="1302">
        <v>0.55000000000000004</v>
      </c>
      <c r="N5798" s="1718">
        <f>G5798*M5798</f>
        <v>0.14190000000000003</v>
      </c>
      <c r="O5798" s="1290">
        <f>H5798*M5798</f>
        <v>2.1285000000000002E-3</v>
      </c>
      <c r="P5798" s="1332">
        <f>M5798*K5798</f>
        <v>2.9054024999999997E-4</v>
      </c>
      <c r="Q5798" s="3391"/>
      <c r="R5798" s="2337"/>
    </row>
    <row r="5799" spans="1:18">
      <c r="B5799" s="1042"/>
      <c r="C5799" s="595"/>
      <c r="D5799" s="1400" t="s">
        <v>1394</v>
      </c>
      <c r="E5799" s="1856" t="s">
        <v>1577</v>
      </c>
      <c r="F5799" s="1397" t="s">
        <v>1579</v>
      </c>
      <c r="G5799" s="1416">
        <v>0.19600000000000001</v>
      </c>
      <c r="H5799" s="1399">
        <f t="shared" ref="H5799:H5801" si="762">G5799*$H$5797</f>
        <v>2.9399999999999999E-3</v>
      </c>
      <c r="I5799" s="197"/>
      <c r="J5799" s="198"/>
      <c r="K5799" s="1732">
        <f t="shared" ref="K5799:K5801" si="763">H5799*$K$5793</f>
        <v>4.0130999999999994E-4</v>
      </c>
      <c r="L5799" s="1335">
        <f t="shared" si="761"/>
        <v>0</v>
      </c>
      <c r="M5799" s="1302">
        <v>92.54</v>
      </c>
      <c r="N5799" s="1718">
        <f>G5799*M5799</f>
        <v>18.137840000000001</v>
      </c>
      <c r="O5799" s="1290">
        <f>H5799*M5799</f>
        <v>0.27206760000000002</v>
      </c>
      <c r="P5799" s="1332">
        <f>M5799*K5799</f>
        <v>3.7137227399999993E-2</v>
      </c>
      <c r="Q5799" s="3391"/>
      <c r="R5799" s="2337"/>
    </row>
    <row r="5800" spans="1:18">
      <c r="B5800" s="1042"/>
      <c r="C5800" s="595"/>
      <c r="D5800" s="1400" t="s">
        <v>1576</v>
      </c>
      <c r="E5800" s="1856" t="s">
        <v>1517</v>
      </c>
      <c r="F5800" s="1397" t="s">
        <v>1580</v>
      </c>
      <c r="G5800" s="1416">
        <v>1.1739999999999999</v>
      </c>
      <c r="H5800" s="1399">
        <f t="shared" si="762"/>
        <v>1.7609999999999997E-2</v>
      </c>
      <c r="I5800" s="197"/>
      <c r="J5800" s="198"/>
      <c r="K5800" s="1732">
        <f t="shared" si="763"/>
        <v>2.4037649999999991E-3</v>
      </c>
      <c r="L5800" s="1335">
        <f t="shared" si="761"/>
        <v>0</v>
      </c>
      <c r="M5800" s="1302">
        <v>6.53</v>
      </c>
      <c r="N5800" s="1718">
        <f>G5800*M5800</f>
        <v>7.66622</v>
      </c>
      <c r="O5800" s="1290">
        <f>H5800*M5800</f>
        <v>0.11499329999999999</v>
      </c>
      <c r="P5800" s="1332">
        <f>M5800*K5800</f>
        <v>1.5696585449999995E-2</v>
      </c>
      <c r="Q5800" s="3391"/>
      <c r="R5800" s="2337"/>
    </row>
    <row r="5801" spans="1:18">
      <c r="B5801" s="1042"/>
      <c r="C5801" s="595"/>
      <c r="D5801" s="1404" t="s">
        <v>1067</v>
      </c>
      <c r="E5801" s="1857" t="s">
        <v>1508</v>
      </c>
      <c r="F5801" s="1406" t="s">
        <v>1512</v>
      </c>
      <c r="G5801" s="1407">
        <v>1.03</v>
      </c>
      <c r="H5801" s="1408">
        <f t="shared" si="762"/>
        <v>1.545E-2</v>
      </c>
      <c r="I5801" s="197"/>
      <c r="J5801" s="198"/>
      <c r="K5801" s="1732">
        <f t="shared" si="763"/>
        <v>2.1089249999999998E-3</v>
      </c>
      <c r="L5801" s="1335">
        <f t="shared" si="761"/>
        <v>0</v>
      </c>
      <c r="M5801" s="1302">
        <v>18.28</v>
      </c>
      <c r="N5801" s="1718">
        <f>G5801*M5801</f>
        <v>18.828400000000002</v>
      </c>
      <c r="O5801" s="1290">
        <f>H5801*M5801</f>
        <v>0.28242600000000001</v>
      </c>
      <c r="P5801" s="1332">
        <f>M5801*K5801</f>
        <v>3.8551149E-2</v>
      </c>
      <c r="Q5801" s="3391"/>
      <c r="R5801" s="2337"/>
    </row>
    <row r="5802" spans="1:18">
      <c r="B5802" s="1320"/>
      <c r="C5802" s="88"/>
      <c r="D5802" s="1367"/>
      <c r="E5802" s="2121"/>
      <c r="F5802" s="1436"/>
      <c r="G5802" s="1436"/>
      <c r="H5802" s="1369"/>
      <c r="I5802" s="1299"/>
      <c r="J5802" s="1300"/>
      <c r="K5802" s="1307" t="str">
        <f t="shared" ref="K5802:K5803" si="764">IF(COUNT(I5802)=0,"",(I5802*J5802))</f>
        <v/>
      </c>
      <c r="L5802" s="1335"/>
      <c r="M5802" s="1302"/>
      <c r="N5802" s="1700"/>
      <c r="O5802" s="1290"/>
      <c r="P5802" s="1332"/>
      <c r="Q5802" s="3391"/>
      <c r="R5802" s="1296"/>
    </row>
    <row r="5803" spans="1:18">
      <c r="B5803" s="1320"/>
      <c r="C5803" s="88"/>
      <c r="D5803" s="1367"/>
      <c r="E5803" s="2121"/>
      <c r="F5803" s="1436"/>
      <c r="G5803" s="1436"/>
      <c r="H5803" s="1369"/>
      <c r="I5803" s="1299"/>
      <c r="J5803" s="1300"/>
      <c r="K5803" s="1307" t="str">
        <f t="shared" si="764"/>
        <v/>
      </c>
      <c r="L5803" s="1335"/>
      <c r="M5803" s="1302"/>
      <c r="N5803" s="1700"/>
      <c r="O5803" s="1290"/>
      <c r="P5803" s="1332"/>
      <c r="Q5803" s="3391"/>
      <c r="R5803" s="1296"/>
    </row>
    <row r="5804" spans="1:18">
      <c r="B5804" s="1320"/>
      <c r="C5804" s="88"/>
      <c r="D5804" s="1443"/>
      <c r="E5804" s="1858"/>
      <c r="F5804" s="1360" t="s">
        <v>2</v>
      </c>
      <c r="G5804" s="1360"/>
      <c r="H5804" s="1362"/>
      <c r="I5804" s="1380"/>
      <c r="J5804" s="1381"/>
      <c r="K5804" s="1381"/>
      <c r="L5804" s="1458"/>
      <c r="M5804" s="1362"/>
      <c r="N5804" s="1362"/>
      <c r="O5804" s="1362"/>
      <c r="P5804" s="1359"/>
      <c r="Q5804" s="3387"/>
    </row>
    <row r="5805" spans="1:18">
      <c r="B5805" s="1042"/>
      <c r="C5805" s="1356" t="s">
        <v>1755</v>
      </c>
      <c r="D5805" s="1311"/>
      <c r="E5805" s="2176" t="s">
        <v>1508</v>
      </c>
      <c r="F5805" s="1648" t="s">
        <v>1524</v>
      </c>
      <c r="G5805" s="1990"/>
      <c r="H5805" s="1456">
        <v>0.25</v>
      </c>
      <c r="I5805" s="1444"/>
      <c r="J5805" s="1388"/>
      <c r="K5805" s="1445"/>
      <c r="L5805" s="1457"/>
      <c r="M5805" s="1447"/>
      <c r="N5805" s="1447">
        <f>SUM(N5806:N5807)</f>
        <v>37.510000000000005</v>
      </c>
      <c r="O5805" s="1447">
        <f>SUM(O5806:O5807)</f>
        <v>9.3775000000000013</v>
      </c>
      <c r="P5805" s="1447">
        <f>SUM(P5806:P5807)</f>
        <v>1.2800287499999998</v>
      </c>
      <c r="Q5805" s="3391"/>
      <c r="R5805" s="2337"/>
    </row>
    <row r="5806" spans="1:18">
      <c r="B5806" s="1042"/>
      <c r="C5806" s="88"/>
      <c r="D5806" s="1430" t="s">
        <v>1067</v>
      </c>
      <c r="E5806" s="1857" t="s">
        <v>1508</v>
      </c>
      <c r="F5806" s="1403" t="s">
        <v>5</v>
      </c>
      <c r="G5806" s="1991">
        <v>1</v>
      </c>
      <c r="H5806" s="1408">
        <f>G5806*$H$5805</f>
        <v>0.25</v>
      </c>
      <c r="I5806" s="1286"/>
      <c r="J5806" s="198"/>
      <c r="K5806" s="1307">
        <f>H5806*$K$5793</f>
        <v>3.4124999999999996E-2</v>
      </c>
      <c r="L5806" s="1335">
        <f t="shared" ref="L5806:L5807" si="765">K5806*$K$5719</f>
        <v>0</v>
      </c>
      <c r="M5806" s="1302">
        <v>18.28</v>
      </c>
      <c r="N5806" s="1718">
        <f>G5806*M5806</f>
        <v>18.28</v>
      </c>
      <c r="O5806" s="1290">
        <f>H5806*M5806</f>
        <v>4.57</v>
      </c>
      <c r="P5806" s="1332">
        <f>M5806*K5806</f>
        <v>0.62380499999999994</v>
      </c>
      <c r="Q5806" s="3391"/>
      <c r="R5806" s="2337"/>
    </row>
    <row r="5807" spans="1:18">
      <c r="B5807" s="1042"/>
      <c r="C5807" s="88"/>
      <c r="D5807" s="1430" t="s">
        <v>1077</v>
      </c>
      <c r="E5807" s="1857" t="s">
        <v>1508</v>
      </c>
      <c r="F5807" s="1403" t="s">
        <v>37</v>
      </c>
      <c r="G5807" s="1991">
        <v>1</v>
      </c>
      <c r="H5807" s="1408">
        <f>G5807*$H$5805</f>
        <v>0.25</v>
      </c>
      <c r="I5807" s="197"/>
      <c r="J5807" s="198"/>
      <c r="K5807" s="1307">
        <f>H5807*$K$5793</f>
        <v>3.4124999999999996E-2</v>
      </c>
      <c r="L5807" s="1335">
        <f t="shared" si="765"/>
        <v>0</v>
      </c>
      <c r="M5807" s="1302">
        <v>19.23</v>
      </c>
      <c r="N5807" s="1718">
        <f>G5807*M5807</f>
        <v>19.23</v>
      </c>
      <c r="O5807" s="1290">
        <f>H5807*M5807</f>
        <v>4.8075000000000001</v>
      </c>
      <c r="P5807" s="1332">
        <f>M5807*K5807</f>
        <v>0.65622374999999988</v>
      </c>
      <c r="Q5807" s="3391"/>
      <c r="R5807" s="2337"/>
    </row>
    <row r="5808" spans="1:18">
      <c r="B5808" s="1320"/>
      <c r="C5808" s="595"/>
      <c r="D5808" s="1359"/>
      <c r="E5808" s="1858"/>
      <c r="F5808" s="1361"/>
      <c r="G5808" s="1361"/>
      <c r="H5808" s="1466"/>
      <c r="I5808" s="1299"/>
      <c r="J5808" s="1300"/>
      <c r="K5808" s="1307" t="str">
        <f>IF(COUNT(I5808)=0,"",(I5808*J5808))</f>
        <v/>
      </c>
      <c r="L5808" s="1335"/>
      <c r="M5808" s="1302"/>
      <c r="N5808" s="1700"/>
      <c r="O5808" s="1290"/>
      <c r="P5808" s="1332"/>
      <c r="Q5808" s="3391"/>
      <c r="R5808" s="1296"/>
    </row>
    <row r="5809" spans="1:18">
      <c r="B5809" s="1320"/>
      <c r="C5809" s="595"/>
      <c r="D5809" s="1373"/>
      <c r="E5809" s="2123"/>
      <c r="F5809" s="1374" t="s">
        <v>3</v>
      </c>
      <c r="G5809" s="1375"/>
      <c r="H5809" s="1376"/>
      <c r="I5809" s="1382"/>
      <c r="J5809" s="1383"/>
      <c r="K5809" s="1383" t="str">
        <f>IF(COUNT(I5809)=0,"",(I5809*J5809))</f>
        <v/>
      </c>
      <c r="L5809" s="1413"/>
      <c r="M5809" s="1376"/>
      <c r="N5809" s="1376"/>
      <c r="O5809" s="1376"/>
      <c r="P5809" s="1373"/>
      <c r="Q5809" s="3387"/>
      <c r="R5809" s="1296"/>
    </row>
    <row r="5810" spans="1:18">
      <c r="B5810" s="1321"/>
      <c r="C5810" s="2021"/>
      <c r="D5810" s="1377"/>
      <c r="E5810" s="2124"/>
      <c r="F5810" s="1378"/>
      <c r="G5810" s="1378"/>
      <c r="H5810" s="1379"/>
      <c r="I5810" s="1299"/>
      <c r="J5810" s="1300"/>
      <c r="K5810" s="1307"/>
      <c r="L5810" s="1335"/>
      <c r="M5810" s="1302"/>
      <c r="N5810" s="1700"/>
      <c r="O5810" s="1290"/>
      <c r="P5810" s="1332"/>
      <c r="Q5810" s="3391"/>
      <c r="R5810" s="1296"/>
    </row>
    <row r="5811" spans="1:18">
      <c r="B5811" s="1321"/>
      <c r="C5811" s="2021"/>
      <c r="D5811" s="1377"/>
      <c r="E5811" s="2124"/>
      <c r="F5811" s="1378"/>
      <c r="G5811" s="1378"/>
      <c r="H5811" s="1379"/>
      <c r="I5811" s="1299"/>
      <c r="J5811" s="1300"/>
      <c r="K5811" s="1307"/>
      <c r="L5811" s="1335"/>
      <c r="M5811" s="1302"/>
      <c r="N5811" s="1700"/>
      <c r="O5811" s="1290"/>
      <c r="P5811" s="1333"/>
      <c r="Q5811" s="3391"/>
      <c r="R5811" s="1296"/>
    </row>
    <row r="5812" spans="1:18">
      <c r="B5812" s="225"/>
      <c r="C5812" s="581"/>
      <c r="D5812" s="1373"/>
      <c r="E5812" s="2161"/>
      <c r="F5812" s="1678"/>
      <c r="G5812" s="1678"/>
      <c r="H5812" s="1376"/>
      <c r="I5812" s="1299"/>
      <c r="J5812" s="1300"/>
      <c r="K5812" s="1307"/>
      <c r="L5812" s="1335"/>
      <c r="M5812" s="1302"/>
      <c r="N5812" s="1700"/>
      <c r="O5812" s="1290"/>
      <c r="P5812" s="1332"/>
      <c r="Q5812" s="3391"/>
      <c r="R5812" s="1296"/>
    </row>
    <row r="5813" spans="1:18">
      <c r="A5813" s="88" t="s">
        <v>3764</v>
      </c>
      <c r="B5813" s="4325" t="s">
        <v>2049</v>
      </c>
      <c r="C5813" s="3354"/>
      <c r="D5813" s="4368"/>
      <c r="E5813" s="4329" t="s">
        <v>1527</v>
      </c>
      <c r="F5813" s="4336" t="s">
        <v>2050</v>
      </c>
      <c r="G5813" s="4331" t="s">
        <v>1568</v>
      </c>
      <c r="H5813" s="4331" t="s">
        <v>1574</v>
      </c>
      <c r="I5813" s="1572" t="s">
        <v>1559</v>
      </c>
      <c r="J5813" s="1294" t="s">
        <v>1560</v>
      </c>
      <c r="K5813" s="1294" t="s">
        <v>1569</v>
      </c>
      <c r="L5813" s="4333" t="s">
        <v>3765</v>
      </c>
      <c r="M5813" s="4335" t="s">
        <v>1571</v>
      </c>
      <c r="N5813" s="4323" t="s">
        <v>1776</v>
      </c>
      <c r="O5813" s="3347" t="s">
        <v>1563</v>
      </c>
      <c r="P5813" s="1336" t="s">
        <v>1562</v>
      </c>
      <c r="Q5813" s="3389"/>
      <c r="R5813" s="1699" t="s">
        <v>1327</v>
      </c>
    </row>
    <row r="5814" spans="1:18">
      <c r="A5814" s="1662" t="s">
        <v>2052</v>
      </c>
      <c r="B5814" s="4326"/>
      <c r="C5814" s="3354"/>
      <c r="D5814" s="4328"/>
      <c r="E5814" s="4330"/>
      <c r="F5814" s="4336"/>
      <c r="G5814" s="4332"/>
      <c r="H5814" s="4332"/>
      <c r="I5814" s="1345">
        <v>9.1</v>
      </c>
      <c r="J5814" s="1307">
        <v>1.4999999999999999E-2</v>
      </c>
      <c r="K5814" s="1297">
        <f>I5814*J5814</f>
        <v>0.13649999999999998</v>
      </c>
      <c r="L5814" s="4334"/>
      <c r="M5814" s="4335"/>
      <c r="N5814" s="4324"/>
      <c r="O5814" s="1298">
        <f>O5816+O5817+O5824</f>
        <v>19.867230800000002</v>
      </c>
      <c r="P5814" s="1337">
        <f>O5814*K5814</f>
        <v>2.7118770041999998</v>
      </c>
      <c r="Q5814" s="3390"/>
      <c r="R5814" s="1721">
        <f>P5816+P5817+P5824</f>
        <v>2.7118770041999998</v>
      </c>
    </row>
    <row r="5815" spans="1:18">
      <c r="B5815" s="1949"/>
      <c r="C5815" s="1327"/>
      <c r="D5815" s="1400"/>
      <c r="E5815" s="2121"/>
      <c r="F5815" s="1389" t="s">
        <v>1</v>
      </c>
      <c r="G5815" s="1389"/>
      <c r="H5815" s="1369"/>
      <c r="I5815" s="1409"/>
      <c r="J5815" s="1390"/>
      <c r="K5815" s="1391"/>
      <c r="L5815" s="1559"/>
      <c r="M5815" s="1369"/>
      <c r="N5815" s="1369"/>
      <c r="O5815" s="1369"/>
      <c r="P5815" s="1392"/>
      <c r="Q5815" s="3395"/>
      <c r="R5815" s="1296"/>
    </row>
    <row r="5816" spans="1:18">
      <c r="B5816" s="1599"/>
      <c r="C5816" s="1320"/>
      <c r="D5816" s="2026" t="s">
        <v>1138</v>
      </c>
      <c r="E5816" s="2154" t="s">
        <v>1504</v>
      </c>
      <c r="F5816" s="1598" t="s">
        <v>2044</v>
      </c>
      <c r="G5816" s="1612">
        <v>11</v>
      </c>
      <c r="H5816" s="1390"/>
      <c r="I5816" s="1289"/>
      <c r="J5816" s="8"/>
      <c r="K5816" s="1307">
        <f>G5816*K5814</f>
        <v>1.5014999999999998</v>
      </c>
      <c r="L5816" s="1335">
        <f t="shared" ref="L5816" si="766">K5816*$K$5719</f>
        <v>0</v>
      </c>
      <c r="M5816" s="1302">
        <v>0.32</v>
      </c>
      <c r="N5816" s="1700"/>
      <c r="O5816" s="1290">
        <f>G5816*M5816</f>
        <v>3.52</v>
      </c>
      <c r="P5816" s="1332">
        <f>M5816*K5816</f>
        <v>0.48047999999999996</v>
      </c>
      <c r="Q5816" s="3391"/>
      <c r="R5816" s="1296"/>
    </row>
    <row r="5817" spans="1:18">
      <c r="B5817" s="1042"/>
      <c r="C5817" s="1356" t="s">
        <v>1137</v>
      </c>
      <c r="D5817" s="1311"/>
      <c r="E5817" s="2137" t="s">
        <v>1517</v>
      </c>
      <c r="F5817" s="1319" t="s">
        <v>2037</v>
      </c>
      <c r="G5817" s="1353"/>
      <c r="H5817" s="1456">
        <v>0.03</v>
      </c>
      <c r="I5817" s="1444"/>
      <c r="J5817" s="1388"/>
      <c r="K5817" s="1445"/>
      <c r="L5817" s="1457"/>
      <c r="M5817" s="1447"/>
      <c r="N5817" s="1447">
        <f>SUM(N5818:N5821)</f>
        <v>44.774360000000001</v>
      </c>
      <c r="O5817" s="1447">
        <f>SUM(O5818:O5821)</f>
        <v>1.3432308000000002</v>
      </c>
      <c r="P5817" s="1446">
        <f>SUM(P5818:P5821)</f>
        <v>0.18335100419999997</v>
      </c>
      <c r="Q5817" s="3391"/>
      <c r="R5817" s="2337"/>
    </row>
    <row r="5818" spans="1:18">
      <c r="B5818" s="1042"/>
      <c r="C5818" s="1511"/>
      <c r="D5818" s="1400" t="s">
        <v>1069</v>
      </c>
      <c r="E5818" s="1856" t="s">
        <v>1517</v>
      </c>
      <c r="F5818" s="1397" t="s">
        <v>1578</v>
      </c>
      <c r="G5818" s="1416">
        <v>0.25800000000000001</v>
      </c>
      <c r="H5818" s="1399">
        <f>G5818*$H$5817</f>
        <v>7.7400000000000004E-3</v>
      </c>
      <c r="I5818" s="197"/>
      <c r="J5818" s="198"/>
      <c r="K5818" s="1307">
        <f>H5818*$K$5814</f>
        <v>1.0565099999999999E-3</v>
      </c>
      <c r="L5818" s="1335">
        <f t="shared" ref="L5818:L5821" si="767">K5818*$K$5719</f>
        <v>0</v>
      </c>
      <c r="M5818" s="1302">
        <v>0.55000000000000004</v>
      </c>
      <c r="N5818" s="1718">
        <f>G5818*M5818</f>
        <v>0.14190000000000003</v>
      </c>
      <c r="O5818" s="1290">
        <f>H5818*M5818</f>
        <v>4.2570000000000004E-3</v>
      </c>
      <c r="P5818" s="1332">
        <f>M5818*K5818</f>
        <v>5.8108049999999994E-4</v>
      </c>
      <c r="Q5818" s="3391"/>
      <c r="R5818" s="2337"/>
    </row>
    <row r="5819" spans="1:18">
      <c r="B5819" s="1042"/>
      <c r="C5819" s="595"/>
      <c r="D5819" s="1400" t="s">
        <v>1394</v>
      </c>
      <c r="E5819" s="1856" t="s">
        <v>1577</v>
      </c>
      <c r="F5819" s="1397" t="s">
        <v>1579</v>
      </c>
      <c r="G5819" s="1416">
        <v>0.19600000000000001</v>
      </c>
      <c r="H5819" s="1399">
        <f>G5819*$H$5817</f>
        <v>5.8799999999999998E-3</v>
      </c>
      <c r="I5819" s="197"/>
      <c r="J5819" s="198"/>
      <c r="K5819" s="1307">
        <f>H5819*$K$5814</f>
        <v>8.0261999999999987E-4</v>
      </c>
      <c r="L5819" s="1335">
        <f t="shared" si="767"/>
        <v>0</v>
      </c>
      <c r="M5819" s="1302">
        <v>92.54</v>
      </c>
      <c r="N5819" s="1718">
        <f>G5819*M5819</f>
        <v>18.137840000000001</v>
      </c>
      <c r="O5819" s="1290">
        <f>H5819*M5819</f>
        <v>0.54413520000000004</v>
      </c>
      <c r="P5819" s="1332">
        <f>M5819*K5819</f>
        <v>7.4274454799999987E-2</v>
      </c>
      <c r="Q5819" s="3391"/>
      <c r="R5819" s="2337"/>
    </row>
    <row r="5820" spans="1:18">
      <c r="B5820" s="1042"/>
      <c r="C5820" s="595"/>
      <c r="D5820" s="1400" t="s">
        <v>1576</v>
      </c>
      <c r="E5820" s="1856" t="s">
        <v>1517</v>
      </c>
      <c r="F5820" s="1397" t="s">
        <v>1580</v>
      </c>
      <c r="G5820" s="1416">
        <v>1.1739999999999999</v>
      </c>
      <c r="H5820" s="1399">
        <f>G5820*$H$5817</f>
        <v>3.5219999999999994E-2</v>
      </c>
      <c r="I5820" s="197"/>
      <c r="J5820" s="198"/>
      <c r="K5820" s="1307">
        <f>H5820*$K$5814</f>
        <v>4.8075299999999982E-3</v>
      </c>
      <c r="L5820" s="1335">
        <f t="shared" si="767"/>
        <v>0</v>
      </c>
      <c r="M5820" s="1302">
        <v>6.53</v>
      </c>
      <c r="N5820" s="1718">
        <f>G5820*M5820</f>
        <v>7.66622</v>
      </c>
      <c r="O5820" s="1290">
        <f>H5820*M5820</f>
        <v>0.22998659999999999</v>
      </c>
      <c r="P5820" s="1332">
        <f>M5820*K5820</f>
        <v>3.1393170899999989E-2</v>
      </c>
      <c r="Q5820" s="3391"/>
      <c r="R5820" s="2337"/>
    </row>
    <row r="5821" spans="1:18">
      <c r="B5821" s="1042"/>
      <c r="C5821" s="595"/>
      <c r="D5821" s="1393" t="s">
        <v>1067</v>
      </c>
      <c r="E5821" s="2129" t="s">
        <v>1508</v>
      </c>
      <c r="F5821" s="2040" t="s">
        <v>1512</v>
      </c>
      <c r="G5821" s="1829">
        <v>1.03</v>
      </c>
      <c r="H5821" s="1408">
        <f>G5821*$H$5817</f>
        <v>3.09E-2</v>
      </c>
      <c r="I5821" s="197"/>
      <c r="J5821" s="198"/>
      <c r="K5821" s="1307">
        <f>H5821*$K$5814</f>
        <v>4.2178499999999996E-3</v>
      </c>
      <c r="L5821" s="1335">
        <f t="shared" si="767"/>
        <v>0</v>
      </c>
      <c r="M5821" s="1302">
        <v>18.28</v>
      </c>
      <c r="N5821" s="1718">
        <f>G5821*M5821</f>
        <v>18.828400000000002</v>
      </c>
      <c r="O5821" s="1290">
        <f>H5821*M5821</f>
        <v>0.56485200000000002</v>
      </c>
      <c r="P5821" s="1332">
        <f>M5821*K5821</f>
        <v>7.7102298E-2</v>
      </c>
      <c r="Q5821" s="3391"/>
      <c r="R5821" s="2337"/>
    </row>
    <row r="5822" spans="1:18">
      <c r="B5822" s="1042"/>
      <c r="C5822" s="595"/>
      <c r="D5822" s="1367"/>
      <c r="E5822" s="1856"/>
      <c r="F5822" s="1421"/>
      <c r="G5822" s="1452"/>
      <c r="H5822" s="1399"/>
      <c r="I5822" s="197"/>
      <c r="J5822" s="198"/>
      <c r="K5822" s="1732"/>
      <c r="L5822" s="1335"/>
      <c r="M5822" s="1302"/>
      <c r="N5822" s="1718"/>
      <c r="O5822" s="1290"/>
      <c r="P5822" s="1332"/>
      <c r="Q5822" s="3391"/>
      <c r="R5822" s="2337"/>
    </row>
    <row r="5823" spans="1:18">
      <c r="B5823" s="1320"/>
      <c r="C5823" s="88"/>
      <c r="D5823" s="1443"/>
      <c r="E5823" s="1858"/>
      <c r="F5823" s="1360" t="s">
        <v>2</v>
      </c>
      <c r="G5823" s="1360"/>
      <c r="H5823" s="1362"/>
      <c r="I5823" s="1380"/>
      <c r="J5823" s="1381"/>
      <c r="K5823" s="1381"/>
      <c r="L5823" s="1458"/>
      <c r="M5823" s="1362"/>
      <c r="N5823" s="1362"/>
      <c r="O5823" s="1362"/>
      <c r="P5823" s="1359"/>
      <c r="Q5823" s="3387"/>
    </row>
    <row r="5824" spans="1:18">
      <c r="B5824" s="553"/>
      <c r="C5824" s="1938" t="s">
        <v>1755</v>
      </c>
      <c r="D5824" s="1311"/>
      <c r="E5824" s="2176" t="s">
        <v>1508</v>
      </c>
      <c r="F5824" s="1648" t="s">
        <v>1524</v>
      </c>
      <c r="G5824" s="1990"/>
      <c r="H5824" s="1456">
        <v>0.4</v>
      </c>
      <c r="I5824" s="1444"/>
      <c r="J5824" s="1388"/>
      <c r="K5824" s="1445"/>
      <c r="L5824" s="1457"/>
      <c r="M5824" s="1447"/>
      <c r="N5824" s="1447">
        <f>SUM(N5825:N5826)</f>
        <v>37.510000000000005</v>
      </c>
      <c r="O5824" s="1447">
        <f>SUM(O5825:O5826)</f>
        <v>15.004000000000001</v>
      </c>
      <c r="P5824" s="1447">
        <f>SUM(P5825:P5826)</f>
        <v>2.0480459999999998</v>
      </c>
      <c r="Q5824" s="3391"/>
      <c r="R5824" s="2337"/>
    </row>
    <row r="5825" spans="1:19">
      <c r="B5825" s="1042"/>
      <c r="C5825" s="88"/>
      <c r="D5825" s="1898" t="s">
        <v>1067</v>
      </c>
      <c r="E5825" s="1857" t="s">
        <v>1508</v>
      </c>
      <c r="F5825" s="1403" t="s">
        <v>5</v>
      </c>
      <c r="G5825" s="1991">
        <v>1</v>
      </c>
      <c r="H5825" s="1408">
        <f>G5825*$H$5824</f>
        <v>0.4</v>
      </c>
      <c r="I5825" s="1286"/>
      <c r="J5825" s="198"/>
      <c r="K5825" s="1307">
        <f>H5825*$K$5814</f>
        <v>5.4599999999999996E-2</v>
      </c>
      <c r="L5825" s="1335">
        <f t="shared" ref="L5825:L5826" si="768">K5825*$K$5719</f>
        <v>0</v>
      </c>
      <c r="M5825" s="1302">
        <v>18.28</v>
      </c>
      <c r="N5825" s="1718">
        <f>G5825*M5825</f>
        <v>18.28</v>
      </c>
      <c r="O5825" s="1290">
        <f>H5825*M5825</f>
        <v>7.3120000000000012</v>
      </c>
      <c r="P5825" s="1332">
        <f>M5825*K5825</f>
        <v>0.99808799999999998</v>
      </c>
      <c r="Q5825" s="3391"/>
      <c r="R5825" s="2337"/>
    </row>
    <row r="5826" spans="1:19">
      <c r="B5826" s="1042"/>
      <c r="C5826" s="88"/>
      <c r="D5826" s="1430" t="s">
        <v>1077</v>
      </c>
      <c r="E5826" s="1857" t="s">
        <v>1508</v>
      </c>
      <c r="F5826" s="1403" t="s">
        <v>37</v>
      </c>
      <c r="G5826" s="1991">
        <v>1</v>
      </c>
      <c r="H5826" s="1408">
        <f>G5826*$H$5824</f>
        <v>0.4</v>
      </c>
      <c r="I5826" s="197"/>
      <c r="J5826" s="198"/>
      <c r="K5826" s="1307">
        <f>H5826*$K$5814</f>
        <v>5.4599999999999996E-2</v>
      </c>
      <c r="L5826" s="1335">
        <f t="shared" si="768"/>
        <v>0</v>
      </c>
      <c r="M5826" s="1302">
        <v>19.23</v>
      </c>
      <c r="N5826" s="1718">
        <f>G5826*M5826</f>
        <v>19.23</v>
      </c>
      <c r="O5826" s="1290">
        <f>H5826*M5826</f>
        <v>7.6920000000000002</v>
      </c>
      <c r="P5826" s="1332">
        <f>M5826*K5826</f>
        <v>1.0499579999999999</v>
      </c>
      <c r="Q5826" s="3391"/>
      <c r="R5826" s="2337"/>
    </row>
    <row r="5827" spans="1:19">
      <c r="B5827" s="1320"/>
      <c r="C5827" s="595"/>
      <c r="D5827" s="1359"/>
      <c r="E5827" s="1858"/>
      <c r="F5827" s="1361"/>
      <c r="G5827" s="1361"/>
      <c r="H5827" s="1466"/>
      <c r="I5827" s="1299"/>
      <c r="J5827" s="1300"/>
      <c r="K5827" s="1307" t="str">
        <f>IF(COUNT(I5827)=0,"",(I5827*J5827))</f>
        <v/>
      </c>
      <c r="L5827" s="1335"/>
      <c r="M5827" s="1302"/>
      <c r="N5827" s="1700"/>
      <c r="O5827" s="1290"/>
      <c r="P5827" s="1332"/>
      <c r="Q5827" s="3391"/>
      <c r="R5827" s="1296"/>
    </row>
    <row r="5828" spans="1:19">
      <c r="B5828" s="1320"/>
      <c r="C5828" s="595"/>
      <c r="D5828" s="1373"/>
      <c r="E5828" s="2123"/>
      <c r="F5828" s="1374" t="s">
        <v>3</v>
      </c>
      <c r="G5828" s="1375"/>
      <c r="H5828" s="1376"/>
      <c r="I5828" s="1382"/>
      <c r="J5828" s="1383"/>
      <c r="K5828" s="1383" t="str">
        <f>IF(COUNT(I5828)=0,"",(I5828*J5828))</f>
        <v/>
      </c>
      <c r="L5828" s="1413"/>
      <c r="M5828" s="1376"/>
      <c r="N5828" s="1376"/>
      <c r="O5828" s="1376"/>
      <c r="P5828" s="1373"/>
      <c r="Q5828" s="3387"/>
      <c r="R5828" s="1296"/>
    </row>
    <row r="5829" spans="1:19">
      <c r="B5829" s="1321"/>
      <c r="C5829" s="2021"/>
      <c r="D5829" s="1377"/>
      <c r="E5829" s="2124"/>
      <c r="F5829" s="1378"/>
      <c r="G5829" s="1378"/>
      <c r="H5829" s="1379"/>
      <c r="I5829" s="1299"/>
      <c r="J5829" s="1300"/>
      <c r="K5829" s="1307"/>
      <c r="L5829" s="1335"/>
      <c r="M5829" s="1302"/>
      <c r="N5829" s="1700"/>
      <c r="O5829" s="1290"/>
      <c r="P5829" s="1332"/>
      <c r="Q5829" s="3391"/>
      <c r="R5829" s="1296"/>
    </row>
    <row r="5830" spans="1:19">
      <c r="B5830" s="1321"/>
      <c r="C5830" s="2021"/>
      <c r="D5830" s="1377"/>
      <c r="E5830" s="2124"/>
      <c r="F5830" s="1378"/>
      <c r="G5830" s="1378"/>
      <c r="H5830" s="1379"/>
      <c r="I5830" s="1299"/>
      <c r="J5830" s="1300"/>
      <c r="K5830" s="1307"/>
      <c r="L5830" s="1335"/>
      <c r="M5830" s="1302"/>
      <c r="N5830" s="1700"/>
      <c r="O5830" s="1290"/>
      <c r="P5830" s="1333"/>
      <c r="Q5830" s="3391"/>
      <c r="R5830" s="1296"/>
    </row>
    <row r="5831" spans="1:19">
      <c r="B5831" s="225"/>
      <c r="C5831" s="581"/>
      <c r="D5831" s="1373"/>
      <c r="E5831" s="2161"/>
      <c r="F5831" s="1678"/>
      <c r="G5831" s="1678"/>
      <c r="H5831" s="1376"/>
      <c r="I5831" s="1299"/>
      <c r="J5831" s="1300"/>
      <c r="K5831" s="1307"/>
      <c r="L5831" s="1335"/>
      <c r="M5831" s="1302"/>
      <c r="N5831" s="1700"/>
      <c r="O5831" s="1290"/>
      <c r="P5831" s="1332"/>
      <c r="Q5831" s="3391"/>
      <c r="R5831" s="1296"/>
    </row>
    <row r="5832" spans="1:19" s="22" customFormat="1" ht="15" thickBot="1">
      <c r="B5832" s="16"/>
      <c r="C5832" s="16"/>
      <c r="D5832" s="16"/>
      <c r="E5832" s="2182"/>
      <c r="F5832" s="2080"/>
      <c r="G5832" s="2080"/>
      <c r="H5832" s="13"/>
      <c r="I5832" s="1561"/>
      <c r="J5832" s="13"/>
      <c r="K5832" s="1639"/>
      <c r="L5832" s="1640"/>
      <c r="M5832" s="1292"/>
      <c r="N5832" s="1292"/>
      <c r="O5832" s="1292"/>
      <c r="P5832" s="1292"/>
      <c r="Q5832" s="3391"/>
      <c r="R5832" s="1296"/>
    </row>
    <row r="5833" spans="1:19" ht="29">
      <c r="A5833" s="4477" t="s">
        <v>3867</v>
      </c>
      <c r="B5833" s="4478"/>
      <c r="C5833" s="4478"/>
      <c r="D5833" s="4479"/>
      <c r="E5833" s="4483" t="s">
        <v>1527</v>
      </c>
      <c r="F5833" s="4484" t="s">
        <v>2054</v>
      </c>
      <c r="G5833" s="4384" t="s">
        <v>294</v>
      </c>
      <c r="H5833" s="4384"/>
      <c r="I5833" s="4166" t="s">
        <v>1565</v>
      </c>
      <c r="J5833" s="4167" t="s">
        <v>1575</v>
      </c>
      <c r="K5833" s="4384" t="s">
        <v>289</v>
      </c>
      <c r="L5833" s="4384"/>
      <c r="M5833" s="4385" t="s">
        <v>3349</v>
      </c>
      <c r="N5833" s="4385"/>
      <c r="O5833" s="4385"/>
      <c r="P5833" s="4409"/>
      <c r="Q5833" s="4244" t="s">
        <v>3954</v>
      </c>
      <c r="R5833" s="1296"/>
      <c r="S5833" s="4159" t="s">
        <v>3871</v>
      </c>
    </row>
    <row r="5834" spans="1:19" ht="21.5" thickBot="1">
      <c r="A5834" s="4480"/>
      <c r="B5834" s="4481"/>
      <c r="C5834" s="4481"/>
      <c r="D5834" s="4482"/>
      <c r="E5834" s="4381"/>
      <c r="F5834" s="4383"/>
      <c r="G5834" s="4451">
        <f>IF('Seleccion proyecto HEREVEA02'!G48="Reparación de encuentros con paramentos verticales",'Seleccion proyecto HEREVEA02'!E44,0)</f>
        <v>0</v>
      </c>
      <c r="H5834" s="4452"/>
      <c r="I5834" s="4169">
        <f>IF('Seleccion proyecto HEREVEA02'!H48=0,0,IF('Seleccion proyecto HEREVEA02'!H48="1 a 30",0.3,IF('Seleccion proyecto HEREVEA02'!H48="31 a 60",0.6,IF('Seleccion proyecto HEREVEA02'!H48="61 a 100",1))))</f>
        <v>0</v>
      </c>
      <c r="J5834" s="4170">
        <f>'Seleccion proyecto HEREVEA02'!L8</f>
        <v>11100.968999999999</v>
      </c>
      <c r="K5834" s="4358">
        <f>G5834*I5834*J5834</f>
        <v>0</v>
      </c>
      <c r="L5834" s="4359"/>
      <c r="M5834" s="4423">
        <f>P5836+P5851</f>
        <v>38.962682839080003</v>
      </c>
      <c r="N5834" s="4362"/>
      <c r="O5834" s="4362"/>
      <c r="P5834" s="4362"/>
      <c r="Q5834" s="4245">
        <f>M5834*K5834</f>
        <v>0</v>
      </c>
      <c r="R5834" s="2371" t="s">
        <v>2844</v>
      </c>
      <c r="S5834" s="4159" t="s">
        <v>3909</v>
      </c>
    </row>
    <row r="5835" spans="1:19">
      <c r="B5835" s="4370" t="s">
        <v>3868</v>
      </c>
      <c r="C5835" s="3972"/>
      <c r="D5835" s="4371"/>
      <c r="E5835" s="4389" t="s">
        <v>1527</v>
      </c>
      <c r="F5835" s="4363" t="s">
        <v>3869</v>
      </c>
      <c r="G5835" s="4364" t="s">
        <v>1568</v>
      </c>
      <c r="H5835" s="4364" t="s">
        <v>1574</v>
      </c>
      <c r="I5835" s="1835" t="s">
        <v>1559</v>
      </c>
      <c r="J5835" s="1836" t="s">
        <v>1560</v>
      </c>
      <c r="K5835" s="1836" t="s">
        <v>1569</v>
      </c>
      <c r="L5835" s="4365" t="s">
        <v>3765</v>
      </c>
      <c r="M5835" s="4324" t="s">
        <v>1571</v>
      </c>
      <c r="N5835" s="4366" t="s">
        <v>1776</v>
      </c>
      <c r="O5835" s="4149" t="s">
        <v>1563</v>
      </c>
      <c r="P5835" s="4152" t="s">
        <v>1562</v>
      </c>
      <c r="Q5835" s="3389"/>
      <c r="R5835" s="1699" t="s">
        <v>1327</v>
      </c>
    </row>
    <row r="5836" spans="1:19">
      <c r="B5836" s="4326"/>
      <c r="C5836" s="4151"/>
      <c r="D5836" s="4328"/>
      <c r="E5836" s="4330"/>
      <c r="F5836" s="4336"/>
      <c r="G5836" s="4332"/>
      <c r="H5836" s="4332"/>
      <c r="I5836" s="1345">
        <v>9.1</v>
      </c>
      <c r="J5836" s="1307">
        <v>0.11</v>
      </c>
      <c r="K5836" s="1297">
        <f>I5836*J5836</f>
        <v>1.0009999999999999</v>
      </c>
      <c r="L5836" s="4334"/>
      <c r="M5836" s="4335"/>
      <c r="N5836" s="4324"/>
      <c r="O5836" s="1298">
        <f>SUM(O5838:O5849)</f>
        <v>23.206500000000002</v>
      </c>
      <c r="P5836" s="1337">
        <f>O5836*K5836</f>
        <v>23.229706499999999</v>
      </c>
      <c r="Q5836" s="3390"/>
      <c r="R5836" s="1721">
        <f>P5842+P5843+P5847</f>
        <v>23.229706499999995</v>
      </c>
    </row>
    <row r="5837" spans="1:19">
      <c r="B5837" s="3952"/>
      <c r="C5837" s="1327"/>
      <c r="D5837" s="1367"/>
      <c r="E5837" s="2121"/>
      <c r="F5837" s="1389" t="s">
        <v>1</v>
      </c>
      <c r="G5837" s="1389"/>
      <c r="H5837" s="1369"/>
      <c r="I5837" s="1409"/>
      <c r="J5837" s="1390"/>
      <c r="K5837" s="1391"/>
      <c r="L5837" s="1559"/>
      <c r="M5837" s="1369"/>
      <c r="N5837" s="1369"/>
      <c r="O5837" s="1369"/>
      <c r="P5837" s="1392"/>
      <c r="Q5837" s="3395"/>
      <c r="R5837" s="1296"/>
    </row>
    <row r="5838" spans="1:19">
      <c r="B5838" s="1320"/>
      <c r="C5838" s="1042"/>
      <c r="D5838" s="1672"/>
      <c r="E5838" s="2160"/>
      <c r="F5838" s="1675"/>
      <c r="G5838" s="1675"/>
      <c r="H5838" s="1674"/>
      <c r="I5838" s="1299"/>
      <c r="J5838" s="1300"/>
      <c r="K5838" s="1307" t="str">
        <f t="shared" ref="K5838:K5840" si="769">IF(COUNT(I5838)=0,"",(I5838*J5838))</f>
        <v/>
      </c>
      <c r="L5838" s="1335"/>
      <c r="M5838" s="1302"/>
      <c r="N5838" s="1700"/>
      <c r="O5838" s="1290"/>
      <c r="P5838" s="1332"/>
      <c r="Q5838" s="3391"/>
      <c r="R5838" s="1296"/>
    </row>
    <row r="5839" spans="1:19">
      <c r="B5839" s="1320"/>
      <c r="C5839" s="1042"/>
      <c r="D5839" s="1367"/>
      <c r="E5839" s="2121"/>
      <c r="F5839" s="1436"/>
      <c r="G5839" s="1436"/>
      <c r="H5839" s="1369"/>
      <c r="I5839" s="1299"/>
      <c r="J5839" s="1300"/>
      <c r="K5839" s="1307" t="str">
        <f t="shared" si="769"/>
        <v/>
      </c>
      <c r="L5839" s="1335"/>
      <c r="M5839" s="1302"/>
      <c r="N5839" s="1700"/>
      <c r="O5839" s="1290"/>
      <c r="P5839" s="1332"/>
      <c r="Q5839" s="3391"/>
      <c r="R5839" s="1296"/>
    </row>
    <row r="5840" spans="1:19">
      <c r="B5840" s="1320"/>
      <c r="C5840" s="1042"/>
      <c r="D5840" s="1367"/>
      <c r="E5840" s="2121"/>
      <c r="F5840" s="1436"/>
      <c r="G5840" s="1436"/>
      <c r="H5840" s="1369"/>
      <c r="I5840" s="1299"/>
      <c r="J5840" s="1300"/>
      <c r="K5840" s="1307" t="str">
        <f t="shared" si="769"/>
        <v/>
      </c>
      <c r="L5840" s="1335"/>
      <c r="M5840" s="1302"/>
      <c r="N5840" s="1700"/>
      <c r="O5840" s="1290"/>
      <c r="P5840" s="1332"/>
      <c r="Q5840" s="3391"/>
      <c r="R5840" s="1296"/>
    </row>
    <row r="5841" spans="1:18">
      <c r="B5841" s="1320"/>
      <c r="C5841" s="1042"/>
      <c r="D5841" s="1359"/>
      <c r="E5841" s="1858"/>
      <c r="F5841" s="1360" t="s">
        <v>2</v>
      </c>
      <c r="G5841" s="1360"/>
      <c r="H5841" s="1362"/>
      <c r="I5841" s="1380"/>
      <c r="J5841" s="1381"/>
      <c r="K5841" s="1381"/>
      <c r="L5841" s="1458"/>
      <c r="M5841" s="1362"/>
      <c r="N5841" s="1362"/>
      <c r="O5841" s="1362"/>
      <c r="P5841" s="1359"/>
      <c r="Q5841" s="3387"/>
    </row>
    <row r="5842" spans="1:18">
      <c r="B5842" s="1321"/>
      <c r="C5842" s="1321"/>
      <c r="D5842" s="1363" t="s">
        <v>1067</v>
      </c>
      <c r="E5842" s="2125" t="s">
        <v>1508</v>
      </c>
      <c r="F5842" s="1385" t="s">
        <v>1512</v>
      </c>
      <c r="G5842" s="1998">
        <v>0.6</v>
      </c>
      <c r="H5842" s="1386"/>
      <c r="I5842" s="1299"/>
      <c r="J5842" s="1300"/>
      <c r="K5842" s="1307">
        <f>G5842*K5836</f>
        <v>0.60059999999999991</v>
      </c>
      <c r="L5842" s="1335">
        <f>K5842*$K$5834</f>
        <v>0</v>
      </c>
      <c r="M5842" s="1302">
        <v>18.28</v>
      </c>
      <c r="N5842" s="1700"/>
      <c r="O5842" s="1290">
        <f>G5842*M5842</f>
        <v>10.968</v>
      </c>
      <c r="P5842" s="1332">
        <f>M5842*K5842</f>
        <v>10.978967999999998</v>
      </c>
      <c r="Q5842" s="3391"/>
    </row>
    <row r="5843" spans="1:18">
      <c r="B5843" s="1042"/>
      <c r="C5843" s="88"/>
      <c r="D5843" s="1430" t="s">
        <v>1077</v>
      </c>
      <c r="E5843" s="1857" t="s">
        <v>1508</v>
      </c>
      <c r="F5843" s="1403" t="s">
        <v>37</v>
      </c>
      <c r="G5843" s="1991">
        <v>0.45</v>
      </c>
      <c r="H5843" s="1408"/>
      <c r="I5843" s="197"/>
      <c r="J5843" s="198"/>
      <c r="K5843" s="1307">
        <f>G5843*K5836</f>
        <v>0.45044999999999996</v>
      </c>
      <c r="L5843" s="1335">
        <f>K5843*$K$5834</f>
        <v>0</v>
      </c>
      <c r="M5843" s="1302">
        <v>19.23</v>
      </c>
      <c r="N5843" s="1718"/>
      <c r="O5843" s="1290">
        <f>G5843*M5843</f>
        <v>8.6535000000000011</v>
      </c>
      <c r="P5843" s="1332">
        <f>M5843*K5843</f>
        <v>8.6621534999999987</v>
      </c>
      <c r="Q5843" s="3391"/>
      <c r="R5843" s="2337"/>
    </row>
    <row r="5844" spans="1:18">
      <c r="B5844" s="1320"/>
      <c r="C5844" s="1320"/>
      <c r="D5844" s="1359"/>
      <c r="E5844" s="1858"/>
      <c r="F5844" s="1404"/>
      <c r="G5844" s="1404"/>
      <c r="H5844" s="1359"/>
      <c r="I5844" s="1299"/>
      <c r="J5844" s="1300"/>
      <c r="K5844" s="1307"/>
      <c r="L5844" s="1335"/>
      <c r="M5844" s="1302"/>
      <c r="N5844" s="1700"/>
      <c r="O5844" s="1290"/>
      <c r="P5844" s="1332"/>
      <c r="Q5844" s="3391"/>
      <c r="R5844" s="1296"/>
    </row>
    <row r="5845" spans="1:18">
      <c r="B5845" s="1320"/>
      <c r="C5845" s="1320"/>
      <c r="D5845" s="1359"/>
      <c r="E5845" s="1858"/>
      <c r="F5845" s="1361"/>
      <c r="G5845" s="1361"/>
      <c r="H5845" s="1466"/>
      <c r="I5845" s="1299"/>
      <c r="J5845" s="1300"/>
      <c r="K5845" s="1307" t="str">
        <f>IF(COUNT(I5845)=0,"",(I5845*J5845))</f>
        <v/>
      </c>
      <c r="L5845" s="1335"/>
      <c r="M5845" s="1302"/>
      <c r="N5845" s="1700"/>
      <c r="O5845" s="1290"/>
      <c r="P5845" s="1332"/>
      <c r="Q5845" s="3391"/>
      <c r="R5845" s="1296"/>
    </row>
    <row r="5846" spans="1:18">
      <c r="B5846" s="1320"/>
      <c r="C5846" s="1320"/>
      <c r="D5846" s="1373"/>
      <c r="E5846" s="2123"/>
      <c r="F5846" s="1374" t="s">
        <v>3</v>
      </c>
      <c r="G5846" s="1375"/>
      <c r="H5846" s="1376"/>
      <c r="I5846" s="1382"/>
      <c r="J5846" s="1383"/>
      <c r="K5846" s="1383" t="str">
        <f>IF(COUNT(I5846)=0,"",(I5846*J5846))</f>
        <v/>
      </c>
      <c r="L5846" s="1413"/>
      <c r="M5846" s="1376"/>
      <c r="N5846" s="1376"/>
      <c r="O5846" s="1376"/>
      <c r="P5846" s="1373"/>
      <c r="Q5846" s="3387"/>
      <c r="R5846" s="1296"/>
    </row>
    <row r="5847" spans="1:18">
      <c r="B5847" s="1321"/>
      <c r="C5847" s="1321"/>
      <c r="D5847" s="1592" t="s">
        <v>1686</v>
      </c>
      <c r="E5847" s="2145" t="s">
        <v>1803</v>
      </c>
      <c r="F5847" s="1592" t="s">
        <v>1688</v>
      </c>
      <c r="G5847" s="1593">
        <v>0.47799999999999998</v>
      </c>
      <c r="H5847" s="1379"/>
      <c r="I5847" s="1299"/>
      <c r="J5847" s="1300"/>
      <c r="K5847" s="1307">
        <f>G5847*K5836</f>
        <v>0.4784779999999999</v>
      </c>
      <c r="L5847" s="1335">
        <f>K5847*$K$5834</f>
        <v>0</v>
      </c>
      <c r="M5847" s="1302">
        <v>7.5</v>
      </c>
      <c r="N5847" s="1700"/>
      <c r="O5847" s="1290">
        <f>G5847*M5847</f>
        <v>3.585</v>
      </c>
      <c r="P5847" s="1739">
        <f>M5847*K5847</f>
        <v>3.5885849999999992</v>
      </c>
      <c r="Q5847" s="3391"/>
      <c r="R5847" s="1296"/>
    </row>
    <row r="5848" spans="1:18">
      <c r="B5848" s="1321"/>
      <c r="C5848" s="1321"/>
      <c r="D5848" s="1377"/>
      <c r="E5848" s="2124"/>
      <c r="F5848" s="1378"/>
      <c r="G5848" s="1378"/>
      <c r="H5848" s="1379"/>
      <c r="I5848" s="1299"/>
      <c r="J5848" s="1300"/>
      <c r="K5848" s="1307"/>
      <c r="L5848" s="1335"/>
      <c r="M5848" s="1302"/>
      <c r="N5848" s="1700"/>
      <c r="O5848" s="1290"/>
      <c r="P5848" s="1333"/>
      <c r="Q5848" s="3391"/>
      <c r="R5848" s="1296"/>
    </row>
    <row r="5849" spans="1:18">
      <c r="B5849" s="225"/>
      <c r="C5849" s="223"/>
      <c r="D5849" s="1373"/>
      <c r="E5849" s="2161"/>
      <c r="F5849" s="1678"/>
      <c r="G5849" s="1678"/>
      <c r="H5849" s="1376"/>
      <c r="I5849" s="1299"/>
      <c r="J5849" s="1300"/>
      <c r="K5849" s="1307"/>
      <c r="L5849" s="1335"/>
      <c r="M5849" s="1302"/>
      <c r="N5849" s="1700"/>
      <c r="O5849" s="1290"/>
      <c r="P5849" s="1332"/>
      <c r="Q5849" s="3391"/>
      <c r="R5849" s="1296"/>
    </row>
    <row r="5850" spans="1:18">
      <c r="A5850" s="18" t="s">
        <v>3764</v>
      </c>
      <c r="B5850" s="4367" t="s">
        <v>2034</v>
      </c>
      <c r="C5850" s="3354"/>
      <c r="D5850" s="4368"/>
      <c r="E5850" s="4329" t="s">
        <v>1527</v>
      </c>
      <c r="F5850" s="4336" t="s">
        <v>2035</v>
      </c>
      <c r="G5850" s="4331" t="s">
        <v>1568</v>
      </c>
      <c r="H5850" s="4331" t="s">
        <v>1574</v>
      </c>
      <c r="I5850" s="1572" t="s">
        <v>1559</v>
      </c>
      <c r="J5850" s="1294" t="s">
        <v>1560</v>
      </c>
      <c r="K5850" s="1294" t="s">
        <v>1569</v>
      </c>
      <c r="L5850" s="4333" t="s">
        <v>3765</v>
      </c>
      <c r="M5850" s="4335" t="s">
        <v>1571</v>
      </c>
      <c r="N5850" s="4323" t="s">
        <v>1776</v>
      </c>
      <c r="O5850" s="3347" t="s">
        <v>1563</v>
      </c>
      <c r="P5850" s="1336" t="s">
        <v>1562</v>
      </c>
      <c r="Q5850" s="3389"/>
      <c r="R5850" s="1699" t="s">
        <v>1327</v>
      </c>
    </row>
    <row r="5851" spans="1:18">
      <c r="A5851" s="1662" t="s">
        <v>3867</v>
      </c>
      <c r="B5851" s="4369"/>
      <c r="C5851" s="3354"/>
      <c r="D5851" s="4328"/>
      <c r="E5851" s="4330"/>
      <c r="F5851" s="4336"/>
      <c r="G5851" s="4332"/>
      <c r="H5851" s="4332"/>
      <c r="I5851" s="1345">
        <v>9.1</v>
      </c>
      <c r="J5851" s="1307">
        <v>0.11</v>
      </c>
      <c r="K5851" s="1297">
        <f>I5851*J5851</f>
        <v>1.0009999999999999</v>
      </c>
      <c r="L5851" s="4334"/>
      <c r="M5851" s="4335"/>
      <c r="N5851" s="4324"/>
      <c r="O5851" s="1298">
        <f>O5853+O5854+O5862</f>
        <v>15.717259080000002</v>
      </c>
      <c r="P5851" s="1337">
        <f>O5851*K5851</f>
        <v>15.73297633908</v>
      </c>
      <c r="Q5851" s="3390"/>
      <c r="R5851" s="1721">
        <f>P5853+P5854+P5862</f>
        <v>15.732976339079999</v>
      </c>
    </row>
    <row r="5852" spans="1:18">
      <c r="A5852" s="1320"/>
      <c r="B5852" s="22"/>
      <c r="C5852" s="1327"/>
      <c r="D5852" s="1400"/>
      <c r="E5852" s="2121"/>
      <c r="F5852" s="1389" t="s">
        <v>1</v>
      </c>
      <c r="G5852" s="1389"/>
      <c r="H5852" s="1369"/>
      <c r="I5852" s="1409"/>
      <c r="J5852" s="1390"/>
      <c r="K5852" s="1391"/>
      <c r="L5852" s="1559"/>
      <c r="M5852" s="1369"/>
      <c r="N5852" s="1369"/>
      <c r="O5852" s="1369"/>
      <c r="P5852" s="1392"/>
      <c r="Q5852" s="3395"/>
      <c r="R5852" s="1296"/>
    </row>
    <row r="5853" spans="1:18">
      <c r="A5853" s="16"/>
      <c r="B5853" s="1599"/>
      <c r="C5853" s="225"/>
      <c r="D5853" s="1610" t="s">
        <v>1138</v>
      </c>
      <c r="E5853" s="2154" t="s">
        <v>1504</v>
      </c>
      <c r="F5853" s="1598" t="s">
        <v>2036</v>
      </c>
      <c r="G5853" s="1612">
        <v>5.4</v>
      </c>
      <c r="H5853" s="1390"/>
      <c r="I5853" s="1299"/>
      <c r="J5853" s="1300"/>
      <c r="K5853" s="1307">
        <f>G5853*K5851</f>
        <v>5.4054000000000002</v>
      </c>
      <c r="L5853" s="1335">
        <f>K5853*$K$5834</f>
        <v>0</v>
      </c>
      <c r="M5853" s="1302">
        <v>0.32</v>
      </c>
      <c r="N5853" s="1700"/>
      <c r="O5853" s="1290">
        <f>G5853*M5853</f>
        <v>1.7280000000000002</v>
      </c>
      <c r="P5853" s="1332">
        <f>M5853*K5853</f>
        <v>1.7297280000000002</v>
      </c>
      <c r="Q5853" s="3391"/>
      <c r="R5853" s="1296"/>
    </row>
    <row r="5854" spans="1:18">
      <c r="A5854" s="16"/>
      <c r="B5854" s="1042"/>
      <c r="C5854" s="2020" t="s">
        <v>1137</v>
      </c>
      <c r="D5854" s="1311"/>
      <c r="E5854" s="2137" t="s">
        <v>1517</v>
      </c>
      <c r="F5854" s="1319" t="s">
        <v>2037</v>
      </c>
      <c r="G5854" s="1353"/>
      <c r="H5854" s="1456">
        <v>0.10299999999999999</v>
      </c>
      <c r="I5854" s="1444"/>
      <c r="J5854" s="1388"/>
      <c r="K5854" s="1445"/>
      <c r="L5854" s="1457"/>
      <c r="M5854" s="1447"/>
      <c r="N5854" s="1447">
        <f>SUM(N5855:N5858)</f>
        <v>44.774360000000001</v>
      </c>
      <c r="O5854" s="1447">
        <f>SUM(O5855:O5858)</f>
        <v>4.6117590800000006</v>
      </c>
      <c r="P5854" s="1446">
        <f>SUM(P5855:P5858)</f>
        <v>4.61637083908</v>
      </c>
      <c r="Q5854" s="3391"/>
      <c r="R5854" s="2337"/>
    </row>
    <row r="5855" spans="1:18">
      <c r="A5855" s="16"/>
      <c r="B5855" s="1042"/>
      <c r="C5855" s="1327"/>
      <c r="D5855" s="1400" t="s">
        <v>1069</v>
      </c>
      <c r="E5855" s="1856" t="s">
        <v>1517</v>
      </c>
      <c r="F5855" s="1397" t="s">
        <v>1578</v>
      </c>
      <c r="G5855" s="1416">
        <v>0.25800000000000001</v>
      </c>
      <c r="H5855" s="1399">
        <f>G5855*$H$5854</f>
        <v>2.6574E-2</v>
      </c>
      <c r="I5855" s="197"/>
      <c r="J5855" s="198"/>
      <c r="K5855" s="1307">
        <f>H5855*$K$5851</f>
        <v>2.6600573999999998E-2</v>
      </c>
      <c r="L5855" s="1335">
        <f t="shared" ref="L5855:L5858" si="770">K5855*$K$5834</f>
        <v>0</v>
      </c>
      <c r="M5855" s="1302">
        <v>0.55000000000000004</v>
      </c>
      <c r="N5855" s="1718">
        <f>G5855*M5855</f>
        <v>0.14190000000000003</v>
      </c>
      <c r="O5855" s="1290">
        <f>H5855*M5855</f>
        <v>1.4615700000000001E-2</v>
      </c>
      <c r="P5855" s="1332">
        <f>M5855*K5855</f>
        <v>1.46303157E-2</v>
      </c>
      <c r="Q5855" s="3391"/>
      <c r="R5855" s="2337"/>
    </row>
    <row r="5856" spans="1:18">
      <c r="A5856" s="16"/>
      <c r="B5856" s="1042"/>
      <c r="C5856" s="1320"/>
      <c r="D5856" s="1400" t="s">
        <v>1394</v>
      </c>
      <c r="E5856" s="1856" t="s">
        <v>1577</v>
      </c>
      <c r="F5856" s="1397" t="s">
        <v>1579</v>
      </c>
      <c r="G5856" s="1416">
        <v>0.19600000000000001</v>
      </c>
      <c r="H5856" s="1399">
        <f>G5856*$H$5854</f>
        <v>2.0188000000000001E-2</v>
      </c>
      <c r="I5856" s="197"/>
      <c r="J5856" s="198"/>
      <c r="K5856" s="1307">
        <f>H5856*$K$5851</f>
        <v>2.0208187999999998E-2</v>
      </c>
      <c r="L5856" s="1335">
        <f t="shared" si="770"/>
        <v>0</v>
      </c>
      <c r="M5856" s="1302">
        <v>92.54</v>
      </c>
      <c r="N5856" s="1718">
        <f>G5856*M5856</f>
        <v>18.137840000000001</v>
      </c>
      <c r="O5856" s="1290">
        <f>H5856*M5856</f>
        <v>1.8681975200000003</v>
      </c>
      <c r="P5856" s="1332">
        <f>M5856*K5856</f>
        <v>1.8700657175199999</v>
      </c>
      <c r="Q5856" s="3391"/>
      <c r="R5856" s="2337"/>
    </row>
    <row r="5857" spans="1:20">
      <c r="A5857" s="16"/>
      <c r="B5857" s="1042"/>
      <c r="C5857" s="1320"/>
      <c r="D5857" s="1400" t="s">
        <v>1576</v>
      </c>
      <c r="E5857" s="1856" t="s">
        <v>1517</v>
      </c>
      <c r="F5857" s="1397" t="s">
        <v>1580</v>
      </c>
      <c r="G5857" s="1416">
        <v>1.1739999999999999</v>
      </c>
      <c r="H5857" s="1399">
        <f>G5857*$H$5854</f>
        <v>0.12092199999999999</v>
      </c>
      <c r="I5857" s="197"/>
      <c r="J5857" s="198"/>
      <c r="K5857" s="1307">
        <f>H5857*$K$5851</f>
        <v>0.12104292199999997</v>
      </c>
      <c r="L5857" s="1335">
        <f t="shared" si="770"/>
        <v>0</v>
      </c>
      <c r="M5857" s="1302">
        <v>6.53</v>
      </c>
      <c r="N5857" s="1718">
        <f>G5857*M5857</f>
        <v>7.66622</v>
      </c>
      <c r="O5857" s="1290">
        <f>H5857*M5857</f>
        <v>0.78962065999999997</v>
      </c>
      <c r="P5857" s="1332">
        <f>M5857*K5857</f>
        <v>0.79041028065999985</v>
      </c>
      <c r="Q5857" s="3391"/>
      <c r="R5857" s="2337"/>
    </row>
    <row r="5858" spans="1:20">
      <c r="A5858" s="16"/>
      <c r="B5858" s="1042"/>
      <c r="C5858" s="1320"/>
      <c r="D5858" s="1404" t="s">
        <v>1067</v>
      </c>
      <c r="E5858" s="1857" t="s">
        <v>1508</v>
      </c>
      <c r="F5858" s="1406" t="s">
        <v>1512</v>
      </c>
      <c r="G5858" s="1407">
        <v>1.03</v>
      </c>
      <c r="H5858" s="1408">
        <f>G5858*$H$5854</f>
        <v>0.10609</v>
      </c>
      <c r="I5858" s="197"/>
      <c r="J5858" s="198"/>
      <c r="K5858" s="1307">
        <f>H5858*$K$5851</f>
        <v>0.10619608999999999</v>
      </c>
      <c r="L5858" s="1335">
        <f t="shared" si="770"/>
        <v>0</v>
      </c>
      <c r="M5858" s="1302">
        <v>18.28</v>
      </c>
      <c r="N5858" s="1718">
        <f>G5858*M5858</f>
        <v>18.828400000000002</v>
      </c>
      <c r="O5858" s="1290">
        <f>H5858*M5858</f>
        <v>1.9393252000000001</v>
      </c>
      <c r="P5858" s="1332">
        <f>M5858*K5858</f>
        <v>1.9412645252</v>
      </c>
      <c r="Q5858" s="3391"/>
      <c r="R5858" s="2337"/>
    </row>
    <row r="5859" spans="1:20">
      <c r="A5859" s="1042"/>
      <c r="B5859" s="22"/>
      <c r="C5859" s="1042"/>
      <c r="D5859" s="1672"/>
      <c r="E5859" s="2160"/>
      <c r="F5859" s="1676"/>
      <c r="G5859" s="1676"/>
      <c r="H5859" s="1674"/>
      <c r="I5859" s="1299"/>
      <c r="J5859" s="1300"/>
      <c r="K5859" s="1307"/>
      <c r="L5859" s="1335"/>
      <c r="M5859" s="1302"/>
      <c r="N5859" s="1700"/>
      <c r="O5859" s="1290"/>
      <c r="P5859" s="1332"/>
      <c r="Q5859" s="3391"/>
      <c r="R5859" s="1296"/>
    </row>
    <row r="5860" spans="1:20">
      <c r="A5860" s="1042"/>
      <c r="B5860" s="22"/>
      <c r="C5860" s="1042"/>
      <c r="D5860" s="1367"/>
      <c r="E5860" s="2121"/>
      <c r="F5860" s="1436"/>
      <c r="G5860" s="1436"/>
      <c r="H5860" s="1369"/>
      <c r="I5860" s="1299"/>
      <c r="J5860" s="1300"/>
      <c r="K5860" s="1307" t="str">
        <f t="shared" ref="K5860" si="771">IF(COUNT(I5860)=0,"",(I5860*J5860))</f>
        <v/>
      </c>
      <c r="L5860" s="1335"/>
      <c r="M5860" s="1302"/>
      <c r="N5860" s="1700"/>
      <c r="O5860" s="1290"/>
      <c r="P5860" s="1332"/>
      <c r="Q5860" s="3391"/>
      <c r="R5860" s="1296"/>
    </row>
    <row r="5861" spans="1:20">
      <c r="A5861" s="1042"/>
      <c r="B5861" s="22"/>
      <c r="C5861" s="1042"/>
      <c r="D5861" s="1359"/>
      <c r="E5861" s="1858"/>
      <c r="F5861" s="1360" t="s">
        <v>2</v>
      </c>
      <c r="G5861" s="1360"/>
      <c r="H5861" s="1362"/>
      <c r="I5861" s="1380"/>
      <c r="J5861" s="1381"/>
      <c r="K5861" s="1381"/>
      <c r="L5861" s="1458"/>
      <c r="M5861" s="1362"/>
      <c r="N5861" s="1362"/>
      <c r="O5861" s="1362"/>
      <c r="P5861" s="1359"/>
      <c r="Q5861" s="3387"/>
    </row>
    <row r="5862" spans="1:20">
      <c r="A5862" s="16"/>
      <c r="B5862" s="1042"/>
      <c r="C5862" s="1652" t="s">
        <v>1755</v>
      </c>
      <c r="D5862" s="1461"/>
      <c r="E5862" s="2163" t="s">
        <v>1508</v>
      </c>
      <c r="F5862" s="1648" t="s">
        <v>1524</v>
      </c>
      <c r="G5862" s="1990"/>
      <c r="H5862" s="1456">
        <v>0.25</v>
      </c>
      <c r="I5862" s="1444"/>
      <c r="J5862" s="1388"/>
      <c r="K5862" s="1445"/>
      <c r="L5862" s="1457"/>
      <c r="M5862" s="1447"/>
      <c r="N5862" s="1447">
        <f>SUM(N5863:N5864)</f>
        <v>37.510000000000005</v>
      </c>
      <c r="O5862" s="1447">
        <f>SUM(O5863:O5864)</f>
        <v>9.3775000000000013</v>
      </c>
      <c r="P5862" s="1447">
        <f>SUM(P5863:P5864)</f>
        <v>9.3868774999999989</v>
      </c>
      <c r="Q5862" s="3391"/>
      <c r="R5862" s="2337"/>
    </row>
    <row r="5863" spans="1:20">
      <c r="A5863" s="16"/>
      <c r="B5863" s="1042"/>
      <c r="C5863" s="88"/>
      <c r="D5863" s="1430" t="s">
        <v>1067</v>
      </c>
      <c r="E5863" s="1857" t="s">
        <v>1508</v>
      </c>
      <c r="F5863" s="1403" t="s">
        <v>5</v>
      </c>
      <c r="G5863" s="1991">
        <v>1</v>
      </c>
      <c r="H5863" s="1408">
        <f>G5863*$H$5862</f>
        <v>0.25</v>
      </c>
      <c r="I5863" s="1286"/>
      <c r="J5863" s="198"/>
      <c r="K5863" s="1307">
        <f>H5863*$K$5851</f>
        <v>0.25024999999999997</v>
      </c>
      <c r="L5863" s="1335">
        <f t="shared" ref="L5863:L5864" si="772">K5863*$K$5834</f>
        <v>0</v>
      </c>
      <c r="M5863" s="1302">
        <v>18.28</v>
      </c>
      <c r="N5863" s="1718">
        <f>G5863*M5863</f>
        <v>18.28</v>
      </c>
      <c r="O5863" s="1290">
        <f>H5863*M5863</f>
        <v>4.57</v>
      </c>
      <c r="P5863" s="1332">
        <f>M5863*K5863</f>
        <v>4.5745699999999996</v>
      </c>
      <c r="Q5863" s="3391"/>
      <c r="R5863" s="2337"/>
    </row>
    <row r="5864" spans="1:20">
      <c r="A5864" s="16"/>
      <c r="B5864" s="1042"/>
      <c r="C5864" s="88"/>
      <c r="D5864" s="1430" t="s">
        <v>1077</v>
      </c>
      <c r="E5864" s="1857" t="s">
        <v>1508</v>
      </c>
      <c r="F5864" s="1403" t="s">
        <v>37</v>
      </c>
      <c r="G5864" s="1991">
        <v>1</v>
      </c>
      <c r="H5864" s="1408">
        <f>G5864*$H$5862</f>
        <v>0.25</v>
      </c>
      <c r="I5864" s="197"/>
      <c r="J5864" s="198"/>
      <c r="K5864" s="1307">
        <f>H5864*$K$5851</f>
        <v>0.25024999999999997</v>
      </c>
      <c r="L5864" s="1335">
        <f t="shared" si="772"/>
        <v>0</v>
      </c>
      <c r="M5864" s="1302">
        <v>19.23</v>
      </c>
      <c r="N5864" s="1718">
        <f>G5864*M5864</f>
        <v>19.23</v>
      </c>
      <c r="O5864" s="1290">
        <f>H5864*M5864</f>
        <v>4.8075000000000001</v>
      </c>
      <c r="P5864" s="1332">
        <f>M5864*K5864</f>
        <v>4.8123074999999993</v>
      </c>
      <c r="Q5864" s="3391"/>
      <c r="R5864" s="2337"/>
    </row>
    <row r="5865" spans="1:20">
      <c r="A5865" s="1320"/>
      <c r="B5865" s="22"/>
      <c r="C5865" s="1320"/>
      <c r="D5865" s="1359"/>
      <c r="E5865" s="1858"/>
      <c r="F5865" s="1361"/>
      <c r="G5865" s="1361"/>
      <c r="H5865" s="1466"/>
      <c r="I5865" s="1299"/>
      <c r="J5865" s="1300"/>
      <c r="K5865" s="1307" t="str">
        <f>IF(COUNT(I5865)=0,"",(I5865*J5865))</f>
        <v/>
      </c>
      <c r="L5865" s="1335"/>
      <c r="M5865" s="1302"/>
      <c r="N5865" s="1700"/>
      <c r="O5865" s="1290"/>
      <c r="P5865" s="1332"/>
      <c r="Q5865" s="3391"/>
      <c r="R5865" s="1296"/>
    </row>
    <row r="5866" spans="1:20">
      <c r="A5866" s="1320"/>
      <c r="B5866" s="22"/>
      <c r="C5866" s="1320"/>
      <c r="D5866" s="1373"/>
      <c r="E5866" s="2123"/>
      <c r="F5866" s="1374" t="s">
        <v>3</v>
      </c>
      <c r="G5866" s="1375"/>
      <c r="H5866" s="1376"/>
      <c r="I5866" s="1382"/>
      <c r="J5866" s="1383"/>
      <c r="K5866" s="1383" t="str">
        <f>IF(COUNT(I5866)=0,"",(I5866*J5866))</f>
        <v/>
      </c>
      <c r="L5866" s="1413"/>
      <c r="M5866" s="1376"/>
      <c r="N5866" s="1376"/>
      <c r="O5866" s="1376"/>
      <c r="P5866" s="1373"/>
      <c r="Q5866" s="3387"/>
      <c r="R5866" s="1296"/>
    </row>
    <row r="5867" spans="1:20">
      <c r="A5867" s="1321"/>
      <c r="B5867" s="1295"/>
      <c r="C5867" s="1321"/>
      <c r="D5867" s="1377"/>
      <c r="E5867" s="2124"/>
      <c r="F5867" s="1378"/>
      <c r="G5867" s="1378"/>
      <c r="H5867" s="1379"/>
      <c r="I5867" s="1299"/>
      <c r="J5867" s="1300"/>
      <c r="K5867" s="1307"/>
      <c r="L5867" s="1335"/>
      <c r="M5867" s="1302"/>
      <c r="N5867" s="1700"/>
      <c r="O5867" s="1290"/>
      <c r="P5867" s="1332"/>
      <c r="Q5867" s="3391"/>
      <c r="R5867" s="1296"/>
    </row>
    <row r="5868" spans="1:20">
      <c r="A5868" s="1321"/>
      <c r="B5868" s="1295"/>
      <c r="C5868" s="1321"/>
      <c r="D5868" s="1377"/>
      <c r="E5868" s="2124"/>
      <c r="F5868" s="1378"/>
      <c r="G5868" s="1378"/>
      <c r="H5868" s="1379"/>
      <c r="I5868" s="1299"/>
      <c r="J5868" s="1300"/>
      <c r="K5868" s="1307"/>
      <c r="L5868" s="1335"/>
      <c r="M5868" s="1302"/>
      <c r="N5868" s="1700"/>
      <c r="O5868" s="1290"/>
      <c r="P5868" s="1333"/>
      <c r="Q5868" s="3391"/>
      <c r="R5868" s="1296"/>
    </row>
    <row r="5869" spans="1:20">
      <c r="A5869" s="223"/>
      <c r="B5869" s="1765"/>
      <c r="C5869" s="223"/>
      <c r="D5869" s="1373"/>
      <c r="E5869" s="2161"/>
      <c r="F5869" s="1678"/>
      <c r="G5869" s="1678"/>
      <c r="H5869" s="1376"/>
      <c r="I5869" s="1299"/>
      <c r="J5869" s="1300"/>
      <c r="K5869" s="1307"/>
      <c r="L5869" s="1335"/>
      <c r="M5869" s="1302"/>
      <c r="N5869" s="1700"/>
      <c r="O5869" s="1290"/>
      <c r="P5869" s="1332"/>
      <c r="Q5869" s="3391"/>
      <c r="R5869" s="1296"/>
    </row>
    <row r="5870" spans="1:20" s="22" customFormat="1">
      <c r="B5870" s="16"/>
      <c r="C5870" s="16"/>
      <c r="D5870" s="16"/>
      <c r="E5870" s="2182"/>
      <c r="F5870" s="2080"/>
      <c r="G5870" s="2080"/>
      <c r="H5870" s="13"/>
      <c r="I5870" s="1561"/>
      <c r="J5870" s="13"/>
      <c r="K5870" s="1639"/>
      <c r="L5870" s="1640"/>
      <c r="M5870" s="1292"/>
      <c r="N5870" s="1292"/>
      <c r="O5870" s="1292"/>
      <c r="P5870" s="1292"/>
      <c r="Q5870" s="3391"/>
      <c r="R5870" s="1296"/>
    </row>
    <row r="5871" spans="1:20" s="16" customFormat="1" ht="15" thickBot="1">
      <c r="E5871" s="2182"/>
      <c r="F5871" s="2080"/>
      <c r="G5871" s="2080"/>
      <c r="H5871" s="13"/>
      <c r="I5871" s="1561"/>
      <c r="J5871" s="13"/>
      <c r="K5871" s="1639"/>
      <c r="L5871" s="1640"/>
      <c r="M5871" s="1292"/>
      <c r="N5871" s="1292"/>
      <c r="O5871" s="1292"/>
      <c r="P5871" s="1292"/>
      <c r="Q5871" s="3391"/>
      <c r="R5871" s="1296"/>
    </row>
    <row r="5872" spans="1:20" s="16" customFormat="1" ht="24" customHeight="1" thickBot="1">
      <c r="A5872" s="4475" t="s">
        <v>892</v>
      </c>
      <c r="B5872" s="4476"/>
      <c r="C5872" s="4476"/>
      <c r="D5872" s="4476"/>
      <c r="E5872" s="4476"/>
      <c r="F5872" s="4476"/>
      <c r="G5872" s="4476"/>
      <c r="H5872" s="4476"/>
      <c r="I5872" s="4476"/>
      <c r="J5872" s="4476"/>
      <c r="K5872" s="4476"/>
      <c r="L5872" s="4476"/>
      <c r="M5872" s="4476"/>
      <c r="N5872" s="4476"/>
      <c r="O5872" s="4476"/>
      <c r="P5872" s="4476"/>
      <c r="Q5872" s="4251"/>
      <c r="R5872" s="4250" t="s">
        <v>3353</v>
      </c>
      <c r="T5872" s="2081">
        <v>42157</v>
      </c>
    </row>
    <row r="5873" spans="1:27" s="16" customFormat="1" ht="29">
      <c r="A5873"/>
      <c r="B5873"/>
      <c r="C5873"/>
      <c r="D5873"/>
      <c r="E5873" s="3358"/>
      <c r="F5873" s="1"/>
      <c r="G5873" s="1"/>
      <c r="H5873" s="1"/>
      <c r="I5873" s="199"/>
      <c r="J5873" s="1"/>
      <c r="K5873" s="1"/>
      <c r="L5873" s="199"/>
      <c r="M5873" s="1"/>
      <c r="N5873" s="1"/>
      <c r="O5873"/>
      <c r="P5873"/>
      <c r="Q5873" s="4241" t="s">
        <v>3429</v>
      </c>
      <c r="R5873" s="2339"/>
    </row>
    <row r="5874" spans="1:27" s="16" customFormat="1" ht="20.25" customHeight="1" thickBot="1">
      <c r="A5874"/>
      <c r="B5874"/>
      <c r="C5874"/>
      <c r="D5874"/>
      <c r="E5874" s="4234"/>
      <c r="F5874" s="1"/>
      <c r="G5874" s="1"/>
      <c r="H5874" s="1"/>
      <c r="I5874" s="199"/>
      <c r="J5874" s="1"/>
      <c r="K5874" s="1"/>
      <c r="L5874" s="199"/>
      <c r="M5874" s="1"/>
      <c r="N5874" s="1"/>
      <c r="O5874"/>
      <c r="P5874"/>
      <c r="Q5874" s="4242">
        <f>SUM(Q5878:Q9060)</f>
        <v>777010.2540472137</v>
      </c>
      <c r="R5874" s="2339"/>
    </row>
    <row r="5875" spans="1:27" s="16" customFormat="1" ht="15.5">
      <c r="A5875" s="22"/>
      <c r="B5875" s="22"/>
      <c r="C5875" s="22"/>
      <c r="D5875" s="22"/>
      <c r="E5875" s="2120"/>
      <c r="F5875" s="117"/>
      <c r="G5875" s="117"/>
      <c r="H5875" s="117"/>
      <c r="I5875" s="3336"/>
      <c r="J5875" s="117"/>
      <c r="K5875" s="117"/>
      <c r="L5875" s="3336"/>
      <c r="M5875" s="117"/>
      <c r="N5875" s="117"/>
      <c r="O5875" s="22"/>
      <c r="P5875" s="22"/>
      <c r="Q5875" s="4239"/>
      <c r="R5875" s="2344"/>
    </row>
    <row r="5876" spans="1:27" s="2326" customFormat="1" ht="21">
      <c r="A5876" s="4455" t="s">
        <v>69</v>
      </c>
      <c r="B5876" s="4456"/>
      <c r="C5876" s="4456"/>
      <c r="D5876" s="4456"/>
      <c r="E5876" s="2320" t="s">
        <v>1504</v>
      </c>
      <c r="F5876" s="2321" t="s">
        <v>2135</v>
      </c>
      <c r="G5876" s="2322"/>
      <c r="H5876" s="2322"/>
      <c r="I5876" s="2323"/>
      <c r="J5876" s="2322"/>
      <c r="K5876" s="2322"/>
      <c r="L5876" s="2323"/>
      <c r="M5876" s="2322"/>
      <c r="N5876" s="2322"/>
      <c r="O5876" s="2322"/>
      <c r="P5876" s="2324"/>
      <c r="Q5876" s="3392"/>
      <c r="R5876" s="2348"/>
    </row>
    <row r="5877" spans="1:27" s="16" customFormat="1" ht="28.5">
      <c r="A5877" s="1304"/>
      <c r="B5877" s="1304"/>
      <c r="C5877" s="1304"/>
      <c r="D5877" s="1304"/>
      <c r="E5877" s="1304"/>
      <c r="F5877" s="1296"/>
      <c r="G5877" s="1296"/>
      <c r="H5877" s="1296"/>
      <c r="I5877" s="1558"/>
      <c r="J5877" s="1296"/>
      <c r="K5877" s="1296"/>
      <c r="L5877" s="2375" t="s">
        <v>2856</v>
      </c>
      <c r="M5877" s="1296"/>
      <c r="N5877" s="1296"/>
      <c r="O5877" s="1296"/>
      <c r="P5877" s="1296"/>
      <c r="Q5877" s="3386"/>
      <c r="R5877" s="2339"/>
    </row>
    <row r="5878" spans="1:27" s="16" customFormat="1">
      <c r="A5878" s="4393" t="s">
        <v>162</v>
      </c>
      <c r="B5878" s="4394"/>
      <c r="C5878" s="4394"/>
      <c r="D5878" s="4395"/>
      <c r="E5878" s="4396" t="s">
        <v>1549</v>
      </c>
      <c r="F5878" s="4397" t="s">
        <v>1550</v>
      </c>
      <c r="G5878" s="4399" t="s">
        <v>1566</v>
      </c>
      <c r="H5878" s="4400"/>
      <c r="I5878" s="4400"/>
      <c r="J5878" s="4400"/>
      <c r="K5878" s="4400"/>
      <c r="L5878" s="4401"/>
      <c r="M5878" s="4405" t="s">
        <v>1567</v>
      </c>
      <c r="N5878" s="4405"/>
      <c r="O5878" s="4405"/>
      <c r="P5878" s="4405"/>
      <c r="R5878" s="3406" t="s">
        <v>3899</v>
      </c>
      <c r="S5878" s="1978"/>
      <c r="T5878" s="1978"/>
      <c r="U5878" s="1978"/>
      <c r="V5878" s="1978"/>
      <c r="W5878" s="1978"/>
      <c r="X5878" s="1978"/>
      <c r="Y5878" s="1978"/>
      <c r="Z5878" s="1978"/>
      <c r="AA5878" s="1978"/>
    </row>
    <row r="5879" spans="1:27" s="16" customFormat="1" ht="15" thickBot="1">
      <c r="A5879" s="1324" t="s">
        <v>3766</v>
      </c>
      <c r="B5879" s="1325" t="s">
        <v>1513</v>
      </c>
      <c r="C5879" s="1326" t="s">
        <v>1573</v>
      </c>
      <c r="D5879" s="1323" t="s">
        <v>1514</v>
      </c>
      <c r="E5879" s="4396"/>
      <c r="F5879" s="4398"/>
      <c r="G5879" s="4402"/>
      <c r="H5879" s="4403"/>
      <c r="I5879" s="4403"/>
      <c r="J5879" s="4403"/>
      <c r="K5879" s="4403"/>
      <c r="L5879" s="4404"/>
      <c r="M5879" s="4405"/>
      <c r="N5879" s="4405"/>
      <c r="O5879" s="4405"/>
      <c r="P5879" s="4405"/>
      <c r="Q5879" s="3395"/>
      <c r="R5879" s="2339"/>
    </row>
    <row r="5880" spans="1:27" s="16" customFormat="1">
      <c r="A5880" s="4374" t="s">
        <v>3900</v>
      </c>
      <c r="B5880" s="4375"/>
      <c r="C5880" s="4375"/>
      <c r="D5880" s="4376"/>
      <c r="E5880" s="4380" t="s">
        <v>1504</v>
      </c>
      <c r="F5880" s="4469" t="s">
        <v>3354</v>
      </c>
      <c r="G5880" s="4406" t="s">
        <v>294</v>
      </c>
      <c r="H5880" s="4407"/>
      <c r="I5880" s="1665" t="s">
        <v>1565</v>
      </c>
      <c r="J5880" s="3348" t="s">
        <v>1575</v>
      </c>
      <c r="K5880" s="4406" t="s">
        <v>289</v>
      </c>
      <c r="L5880" s="4407"/>
      <c r="M5880" s="4408" t="s">
        <v>3349</v>
      </c>
      <c r="N5880" s="4408"/>
      <c r="O5880" s="4408"/>
      <c r="P5880" s="4409"/>
      <c r="Q5880" s="4244" t="s">
        <v>3955</v>
      </c>
      <c r="R5880" s="2339"/>
    </row>
    <row r="5881" spans="1:27" s="16" customFormat="1" ht="21" customHeight="1" thickBot="1">
      <c r="A5881" s="4377"/>
      <c r="B5881" s="4378"/>
      <c r="C5881" s="4378"/>
      <c r="D5881" s="4379"/>
      <c r="E5881" s="4381"/>
      <c r="F5881" s="4470"/>
      <c r="G5881" s="4451">
        <f>IF('Seleccion proyecto HEREVEA02'!G50="Nueva instalación",'Seleccion proyecto HEREVEA02'!E50,0)</f>
        <v>0.01</v>
      </c>
      <c r="H5881" s="4452"/>
      <c r="I5881" s="3353">
        <f>IF('Seleccion proyecto HEREVEA02'!H50=0,0,IF('Seleccion proyecto HEREVEA02'!H50=100,1))</f>
        <v>1</v>
      </c>
      <c r="J5881" s="1351">
        <f>'Seleccion proyecto HEREVEA02'!L8</f>
        <v>11100.968999999999</v>
      </c>
      <c r="K5881" s="4358">
        <f>G5881*I5881*J5881</f>
        <v>111.00968999999999</v>
      </c>
      <c r="L5881" s="4359"/>
      <c r="M5881" s="4360">
        <f>P5883+P5901+P5919+P5937+P5958+P5974+P5990+P6005</f>
        <v>6999.4813430000004</v>
      </c>
      <c r="N5881" s="4361"/>
      <c r="O5881" s="4361"/>
      <c r="P5881" s="4362"/>
      <c r="Q5881" s="4245">
        <f>M5881*K5881</f>
        <v>777010.2540472137</v>
      </c>
      <c r="R5881" s="2339"/>
    </row>
    <row r="5882" spans="1:27" s="16" customFormat="1" ht="15" customHeight="1">
      <c r="A5882" s="18" t="s">
        <v>3764</v>
      </c>
      <c r="B5882" s="4325" t="s">
        <v>2729</v>
      </c>
      <c r="C5882" s="3354"/>
      <c r="D5882" s="4327"/>
      <c r="E5882" s="4329" t="s">
        <v>1504</v>
      </c>
      <c r="F5882" s="4336" t="s">
        <v>2730</v>
      </c>
      <c r="G5882" s="4331" t="s">
        <v>1568</v>
      </c>
      <c r="H5882" s="4331" t="s">
        <v>1574</v>
      </c>
      <c r="I5882" s="1572" t="s">
        <v>1559</v>
      </c>
      <c r="J5882" s="1294" t="s">
        <v>1560</v>
      </c>
      <c r="K5882" s="1294" t="s">
        <v>1569</v>
      </c>
      <c r="L5882" s="4333" t="s">
        <v>3765</v>
      </c>
      <c r="M5882" s="4335" t="s">
        <v>1571</v>
      </c>
      <c r="N5882" s="4323" t="s">
        <v>1776</v>
      </c>
      <c r="O5882" s="3347" t="s">
        <v>1563</v>
      </c>
      <c r="P5882" s="1336" t="s">
        <v>1562</v>
      </c>
      <c r="Q5882" s="3389"/>
      <c r="R5882" s="1699" t="s">
        <v>1327</v>
      </c>
    </row>
    <row r="5883" spans="1:27" s="16" customFormat="1">
      <c r="A5883" s="1662" t="s">
        <v>3900</v>
      </c>
      <c r="B5883" s="4326"/>
      <c r="C5883" s="3351"/>
      <c r="D5883" s="4328"/>
      <c r="E5883" s="4330"/>
      <c r="F5883" s="4336"/>
      <c r="G5883" s="4332"/>
      <c r="H5883" s="4332"/>
      <c r="I5883" s="1345">
        <v>4</v>
      </c>
      <c r="J5883" s="1307">
        <v>0.25</v>
      </c>
      <c r="K5883" s="1297">
        <f>I5883*J5883</f>
        <v>1</v>
      </c>
      <c r="L5883" s="4334"/>
      <c r="M5883" s="4335"/>
      <c r="N5883" s="4324"/>
      <c r="O5883" s="1298">
        <f>SUM(O5885:O5899)</f>
        <v>2037.8309999999999</v>
      </c>
      <c r="P5883" s="1337">
        <f>O5883*K5883</f>
        <v>2037.8309999999999</v>
      </c>
      <c r="Q5883" s="3390"/>
      <c r="R5883" s="1721">
        <f>SUM(P5885:P5894)</f>
        <v>2037.8309999999999</v>
      </c>
    </row>
    <row r="5884" spans="1:27" s="16" customFormat="1">
      <c r="A5884" s="1320"/>
      <c r="B5884" s="22"/>
      <c r="C5884" s="1327"/>
      <c r="D5884" s="1367"/>
      <c r="E5884" s="2121"/>
      <c r="F5884" s="1389" t="s">
        <v>1</v>
      </c>
      <c r="G5884" s="1389"/>
      <c r="H5884" s="1369"/>
      <c r="I5884" s="1409"/>
      <c r="J5884" s="1390"/>
      <c r="K5884" s="1391"/>
      <c r="L5884" s="1559"/>
      <c r="M5884" s="1369"/>
      <c r="N5884" s="1369"/>
      <c r="O5884" s="1369"/>
      <c r="P5884" s="1392"/>
      <c r="Q5884" s="3395"/>
      <c r="R5884" s="2339"/>
    </row>
    <row r="5885" spans="1:27" s="16" customFormat="1">
      <c r="A5885" s="4474" t="s">
        <v>2846</v>
      </c>
      <c r="B5885" s="22"/>
      <c r="C5885" s="1042"/>
      <c r="D5885" s="2286" t="s">
        <v>2731</v>
      </c>
      <c r="E5885" s="2287" t="s">
        <v>1504</v>
      </c>
      <c r="F5885" s="2288" t="s">
        <v>2732</v>
      </c>
      <c r="G5885" s="1630">
        <v>1</v>
      </c>
      <c r="H5885" s="1674"/>
      <c r="I5885" s="1299"/>
      <c r="J5885" s="1300"/>
      <c r="K5885" s="1350">
        <f>G5885*K5883</f>
        <v>1</v>
      </c>
      <c r="L5885" s="1335">
        <f>$K$5881*K5885</f>
        <v>111.00968999999999</v>
      </c>
      <c r="M5885" s="1302">
        <v>1555</v>
      </c>
      <c r="N5885" s="1700"/>
      <c r="O5885" s="1290">
        <f>G5885*M5885</f>
        <v>1555</v>
      </c>
      <c r="P5885" s="1332">
        <f>M5885*K5885</f>
        <v>1555</v>
      </c>
      <c r="Q5885" s="3391"/>
      <c r="R5885" s="2339"/>
    </row>
    <row r="5886" spans="1:27" s="16" customFormat="1">
      <c r="A5886" s="4474"/>
      <c r="B5886" s="22"/>
      <c r="C5886" s="1042"/>
      <c r="D5886" s="2286" t="s">
        <v>2733</v>
      </c>
      <c r="E5886" s="2287" t="s">
        <v>1357</v>
      </c>
      <c r="F5886" s="2288" t="s">
        <v>2734</v>
      </c>
      <c r="G5886" s="2088">
        <v>10</v>
      </c>
      <c r="H5886" s="1369"/>
      <c r="I5886" s="1299"/>
      <c r="J5886" s="1300"/>
      <c r="K5886" s="1350">
        <f>G5886*K5883</f>
        <v>10</v>
      </c>
      <c r="L5886" s="1335">
        <f t="shared" ref="L5886:L5888" si="773">$K$5881*K5886</f>
        <v>1110.0969</v>
      </c>
      <c r="M5886" s="1302">
        <v>9.33</v>
      </c>
      <c r="N5886" s="1700"/>
      <c r="O5886" s="1290">
        <f>G5886*M5886</f>
        <v>93.3</v>
      </c>
      <c r="P5886" s="1332">
        <f>M5886*K5886</f>
        <v>93.3</v>
      </c>
      <c r="Q5886" s="3391"/>
      <c r="R5886" s="2339"/>
    </row>
    <row r="5887" spans="1:27" s="16" customFormat="1">
      <c r="A5887" s="4474"/>
      <c r="B5887" s="22"/>
      <c r="C5887" s="1042"/>
      <c r="D5887" s="1367" t="s">
        <v>1097</v>
      </c>
      <c r="E5887" s="2121" t="s">
        <v>1504</v>
      </c>
      <c r="F5887" s="1436" t="s">
        <v>1632</v>
      </c>
      <c r="G5887" s="2088">
        <v>130</v>
      </c>
      <c r="H5887" s="1369"/>
      <c r="I5887" s="1299"/>
      <c r="J5887" s="1300"/>
      <c r="K5887" s="1350">
        <f>G5887*K5883</f>
        <v>130</v>
      </c>
      <c r="L5887" s="1335">
        <f t="shared" si="773"/>
        <v>14431.259699999999</v>
      </c>
      <c r="M5887" s="1302">
        <v>0.55000000000000004</v>
      </c>
      <c r="N5887" s="1700"/>
      <c r="O5887" s="1290">
        <f>G5887*M5887</f>
        <v>71.5</v>
      </c>
      <c r="P5887" s="1332">
        <f>M5887*K5887</f>
        <v>71.5</v>
      </c>
      <c r="Q5887" s="3391"/>
      <c r="R5887" s="2339"/>
    </row>
    <row r="5888" spans="1:27" s="16" customFormat="1" ht="16.5" customHeight="1">
      <c r="A5888" s="4474"/>
      <c r="B5888" s="22"/>
      <c r="C5888" s="1042"/>
      <c r="D5888" s="1367" t="s">
        <v>1082</v>
      </c>
      <c r="E5888" s="2121" t="s">
        <v>1504</v>
      </c>
      <c r="F5888" s="1436" t="s">
        <v>1541</v>
      </c>
      <c r="G5888" s="2088">
        <v>35</v>
      </c>
      <c r="H5888" s="1369"/>
      <c r="I5888" s="1299"/>
      <c r="J5888" s="1300"/>
      <c r="K5888" s="1350">
        <f>G5888*K5885</f>
        <v>35</v>
      </c>
      <c r="L5888" s="1335">
        <f t="shared" si="773"/>
        <v>3885.3391499999998</v>
      </c>
      <c r="M5888" s="1302">
        <v>0.3</v>
      </c>
      <c r="N5888" s="1700"/>
      <c r="O5888" s="1290">
        <f>G5888*M5888</f>
        <v>10.5</v>
      </c>
      <c r="P5888" s="1332">
        <f>M5888*K5888</f>
        <v>10.5</v>
      </c>
      <c r="Q5888" s="3391"/>
      <c r="R5888" s="2339"/>
    </row>
    <row r="5889" spans="1:18" s="16" customFormat="1">
      <c r="A5889" s="4474"/>
      <c r="B5889" s="22"/>
      <c r="C5889" s="1042"/>
      <c r="D5889" s="1367"/>
      <c r="E5889" s="2121"/>
      <c r="F5889" s="1436"/>
      <c r="G5889" s="2088"/>
      <c r="H5889" s="1369"/>
      <c r="I5889" s="1299"/>
      <c r="J5889" s="1300"/>
      <c r="K5889" s="1307"/>
      <c r="L5889" s="1335"/>
      <c r="M5889" s="1302"/>
      <c r="N5889" s="1700"/>
      <c r="O5889" s="1290"/>
      <c r="P5889" s="1332"/>
      <c r="Q5889" s="3391"/>
      <c r="R5889" s="2339"/>
    </row>
    <row r="5890" spans="1:18" s="16" customFormat="1">
      <c r="A5890" s="4474"/>
      <c r="B5890" s="22"/>
      <c r="C5890" s="1042"/>
      <c r="D5890" s="1359"/>
      <c r="E5890" s="1858"/>
      <c r="F5890" s="1360" t="s">
        <v>2</v>
      </c>
      <c r="G5890" s="1360"/>
      <c r="H5890" s="1362"/>
      <c r="I5890" s="1380"/>
      <c r="J5890" s="1381"/>
      <c r="K5890" s="1381"/>
      <c r="L5890" s="1458"/>
      <c r="M5890" s="1362"/>
      <c r="N5890" s="1362"/>
      <c r="O5890" s="1362"/>
      <c r="P5890" s="1359"/>
      <c r="Q5890" s="3387"/>
      <c r="R5890" s="2339"/>
    </row>
    <row r="5891" spans="1:18" s="16" customFormat="1">
      <c r="A5891" s="4474"/>
      <c r="B5891" s="1295"/>
      <c r="C5891" s="1321"/>
      <c r="D5891" s="1363" t="s">
        <v>1110</v>
      </c>
      <c r="E5891" s="2125" t="s">
        <v>1508</v>
      </c>
      <c r="F5891" s="1363" t="s">
        <v>2281</v>
      </c>
      <c r="G5891" s="1408">
        <v>2</v>
      </c>
      <c r="H5891" s="1408"/>
      <c r="I5891" s="1299"/>
      <c r="J5891" s="1300"/>
      <c r="K5891" s="1307">
        <f>G5891*K5883</f>
        <v>2</v>
      </c>
      <c r="L5891" s="1335">
        <f t="shared" ref="L5891:L5894" si="774">$K$5881*K5891</f>
        <v>222.01937999999998</v>
      </c>
      <c r="M5891" s="1302">
        <v>18.420000000000002</v>
      </c>
      <c r="N5891" s="1700"/>
      <c r="O5891" s="1290">
        <f>G5891*M5891</f>
        <v>36.840000000000003</v>
      </c>
      <c r="P5891" s="1332">
        <f>M5891*K5891</f>
        <v>36.840000000000003</v>
      </c>
      <c r="Q5891" s="3391"/>
      <c r="R5891" s="2339"/>
    </row>
    <row r="5892" spans="1:18" s="16" customFormat="1">
      <c r="A5892" s="4474"/>
      <c r="B5892" s="1295"/>
      <c r="C5892" s="1321"/>
      <c r="D5892" s="1363" t="s">
        <v>1592</v>
      </c>
      <c r="E5892" s="2125" t="s">
        <v>1508</v>
      </c>
      <c r="F5892" s="1363" t="s">
        <v>2659</v>
      </c>
      <c r="G5892" s="1408">
        <v>11</v>
      </c>
      <c r="H5892" s="1408"/>
      <c r="I5892" s="1299"/>
      <c r="J5892" s="1300"/>
      <c r="K5892" s="1307">
        <f>G5892*K5883</f>
        <v>11</v>
      </c>
      <c r="L5892" s="1335">
        <f t="shared" si="774"/>
        <v>1221.1065899999999</v>
      </c>
      <c r="M5892" s="1302">
        <v>19.23</v>
      </c>
      <c r="N5892" s="1700"/>
      <c r="O5892" s="1290">
        <f>G5892*M5892</f>
        <v>211.53</v>
      </c>
      <c r="P5892" s="1332">
        <f>M5892*K5892</f>
        <v>211.53</v>
      </c>
      <c r="Q5892" s="3391"/>
      <c r="R5892" s="2339"/>
    </row>
    <row r="5893" spans="1:18" s="16" customFormat="1">
      <c r="A5893" s="1321" t="s">
        <v>3355</v>
      </c>
      <c r="B5893" s="1295"/>
      <c r="C5893" s="1321"/>
      <c r="D5893" s="1363" t="s">
        <v>1077</v>
      </c>
      <c r="E5893" s="2125" t="s">
        <v>1508</v>
      </c>
      <c r="F5893" s="1363" t="s">
        <v>1539</v>
      </c>
      <c r="G5893" s="1408">
        <v>0.7</v>
      </c>
      <c r="H5893" s="1408"/>
      <c r="I5893" s="1299"/>
      <c r="J5893" s="1300"/>
      <c r="K5893" s="1307">
        <f>G5893*K5883</f>
        <v>0.7</v>
      </c>
      <c r="L5893" s="1335">
        <f t="shared" si="774"/>
        <v>77.706782999999987</v>
      </c>
      <c r="M5893" s="1302">
        <v>19.23</v>
      </c>
      <c r="N5893" s="1700"/>
      <c r="O5893" s="1290">
        <f>G5893*M5893</f>
        <v>13.461</v>
      </c>
      <c r="P5893" s="1332">
        <f>M5893*K5893</f>
        <v>13.461</v>
      </c>
      <c r="Q5893" s="3391"/>
      <c r="R5893" s="2339"/>
    </row>
    <row r="5894" spans="1:18" s="16" customFormat="1">
      <c r="A5894" s="1320"/>
      <c r="B5894" s="22"/>
      <c r="C5894" s="1320"/>
      <c r="D5894" s="1359" t="s">
        <v>1067</v>
      </c>
      <c r="E5894" s="1858" t="s">
        <v>1508</v>
      </c>
      <c r="F5894" s="1404" t="s">
        <v>1512</v>
      </c>
      <c r="G5894" s="1404">
        <v>2.5</v>
      </c>
      <c r="H5894" s="1359"/>
      <c r="I5894" s="1299"/>
      <c r="J5894" s="1300"/>
      <c r="K5894" s="1307">
        <f>G5894*K5883</f>
        <v>2.5</v>
      </c>
      <c r="L5894" s="1335">
        <f t="shared" si="774"/>
        <v>277.524225</v>
      </c>
      <c r="M5894" s="1302">
        <v>18.28</v>
      </c>
      <c r="N5894" s="1700"/>
      <c r="O5894" s="1290">
        <f>G5894*M5894</f>
        <v>45.7</v>
      </c>
      <c r="P5894" s="1332">
        <f>M5894*K5894</f>
        <v>45.7</v>
      </c>
      <c r="Q5894" s="3391"/>
      <c r="R5894" s="2339"/>
    </row>
    <row r="5895" spans="1:18" s="16" customFormat="1">
      <c r="A5895" s="1320"/>
      <c r="B5895" s="22"/>
      <c r="C5895" s="1320"/>
      <c r="D5895" s="1359"/>
      <c r="E5895" s="1858"/>
      <c r="F5895" s="1361"/>
      <c r="G5895" s="1361"/>
      <c r="H5895" s="1466"/>
      <c r="I5895" s="1299"/>
      <c r="J5895" s="1300"/>
      <c r="K5895" s="1307" t="str">
        <f>IF(COUNT(I5895)=0,"",(I5895*J5895))</f>
        <v/>
      </c>
      <c r="L5895" s="1335"/>
      <c r="M5895" s="1302"/>
      <c r="N5895" s="1700"/>
      <c r="O5895" s="1290"/>
      <c r="P5895" s="1332"/>
      <c r="Q5895" s="3391"/>
      <c r="R5895" s="2339"/>
    </row>
    <row r="5896" spans="1:18" s="16" customFormat="1">
      <c r="A5896" s="1320"/>
      <c r="B5896" s="22"/>
      <c r="C5896" s="1320"/>
      <c r="D5896" s="1373"/>
      <c r="E5896" s="2123"/>
      <c r="F5896" s="1374" t="s">
        <v>3</v>
      </c>
      <c r="G5896" s="1375"/>
      <c r="H5896" s="1376"/>
      <c r="I5896" s="1382"/>
      <c r="J5896" s="1383"/>
      <c r="K5896" s="1383" t="str">
        <f>IF(COUNT(I5896)=0,"",(I5896*J5896))</f>
        <v/>
      </c>
      <c r="L5896" s="1413"/>
      <c r="M5896" s="1376"/>
      <c r="N5896" s="1376"/>
      <c r="O5896" s="1376"/>
      <c r="P5896" s="1373"/>
      <c r="Q5896" s="3387"/>
      <c r="R5896" s="2339"/>
    </row>
    <row r="5897" spans="1:18" s="16" customFormat="1">
      <c r="A5897" s="1321"/>
      <c r="B5897" s="1295"/>
      <c r="C5897" s="1321"/>
      <c r="D5897" s="1377"/>
      <c r="E5897" s="2124"/>
      <c r="F5897" s="1378"/>
      <c r="G5897" s="1378"/>
      <c r="H5897" s="1379"/>
      <c r="I5897" s="1299"/>
      <c r="J5897" s="1300"/>
      <c r="K5897" s="1307"/>
      <c r="L5897" s="1335"/>
      <c r="M5897" s="1302"/>
      <c r="N5897" s="1700"/>
      <c r="O5897" s="1290"/>
      <c r="P5897" s="1332"/>
      <c r="Q5897" s="3391"/>
      <c r="R5897" s="2339"/>
    </row>
    <row r="5898" spans="1:18" s="16" customFormat="1">
      <c r="A5898" s="1321"/>
      <c r="B5898" s="1295"/>
      <c r="C5898" s="1321"/>
      <c r="D5898" s="1377"/>
      <c r="E5898" s="2124"/>
      <c r="F5898" s="1378"/>
      <c r="G5898" s="1378"/>
      <c r="H5898" s="1379"/>
      <c r="I5898" s="1299"/>
      <c r="J5898" s="1300"/>
      <c r="K5898" s="1307"/>
      <c r="L5898" s="1335"/>
      <c r="M5898" s="1302"/>
      <c r="N5898" s="1700"/>
      <c r="O5898" s="1290"/>
      <c r="P5898" s="1333"/>
      <c r="Q5898" s="3391"/>
      <c r="R5898" s="2339"/>
    </row>
    <row r="5899" spans="1:18" s="16" customFormat="1">
      <c r="A5899" s="1042"/>
      <c r="B5899" s="1765"/>
      <c r="C5899" s="223"/>
      <c r="D5899" s="1373"/>
      <c r="E5899" s="2161"/>
      <c r="F5899" s="1678"/>
      <c r="G5899" s="1678"/>
      <c r="H5899" s="1376"/>
      <c r="I5899" s="1299"/>
      <c r="J5899" s="1300"/>
      <c r="K5899" s="1307"/>
      <c r="L5899" s="1335"/>
      <c r="M5899" s="1302"/>
      <c r="N5899" s="1700"/>
      <c r="O5899" s="1290"/>
      <c r="P5899" s="1332"/>
      <c r="Q5899" s="3391"/>
      <c r="R5899" s="2339"/>
    </row>
    <row r="5900" spans="1:18" s="16" customFormat="1">
      <c r="A5900" s="18" t="s">
        <v>3764</v>
      </c>
      <c r="B5900" s="4325" t="s">
        <v>2735</v>
      </c>
      <c r="C5900" s="3354"/>
      <c r="D5900" s="4327"/>
      <c r="E5900" s="4329" t="s">
        <v>1504</v>
      </c>
      <c r="F5900" s="4336" t="s">
        <v>2736</v>
      </c>
      <c r="G5900" s="4331" t="s">
        <v>1568</v>
      </c>
      <c r="H5900" s="4331" t="s">
        <v>1574</v>
      </c>
      <c r="I5900" s="1572" t="s">
        <v>1559</v>
      </c>
      <c r="J5900" s="1294" t="s">
        <v>1560</v>
      </c>
      <c r="K5900" s="1294" t="s">
        <v>1569</v>
      </c>
      <c r="L5900" s="4333" t="s">
        <v>3765</v>
      </c>
      <c r="M5900" s="4335" t="s">
        <v>1571</v>
      </c>
      <c r="N5900" s="4323" t="s">
        <v>1776</v>
      </c>
      <c r="O5900" s="3347" t="s">
        <v>1563</v>
      </c>
      <c r="P5900" s="1336" t="s">
        <v>1562</v>
      </c>
      <c r="Q5900" s="3389"/>
      <c r="R5900" s="1699" t="s">
        <v>1327</v>
      </c>
    </row>
    <row r="5901" spans="1:18" s="16" customFormat="1">
      <c r="A5901" s="1662" t="s">
        <v>3900</v>
      </c>
      <c r="B5901" s="4326"/>
      <c r="C5901" s="3351"/>
      <c r="D5901" s="4328"/>
      <c r="E5901" s="4330"/>
      <c r="F5901" s="4336"/>
      <c r="G5901" s="4332"/>
      <c r="H5901" s="4332"/>
      <c r="I5901" s="1345">
        <v>8</v>
      </c>
      <c r="J5901" s="1307">
        <v>0.25</v>
      </c>
      <c r="K5901" s="1297">
        <f>I5901*J5901</f>
        <v>2</v>
      </c>
      <c r="L5901" s="4334"/>
      <c r="M5901" s="4335"/>
      <c r="N5901" s="4324"/>
      <c r="O5901" s="1298">
        <f>SUM(O5903:O5917)</f>
        <v>1117.585</v>
      </c>
      <c r="P5901" s="1337">
        <f>O5901*K5901</f>
        <v>2235.17</v>
      </c>
      <c r="Q5901" s="3390"/>
      <c r="R5901" s="1721">
        <f>SUM(P5903:P5912)</f>
        <v>2235.17</v>
      </c>
    </row>
    <row r="5902" spans="1:18" s="16" customFormat="1">
      <c r="A5902" s="1320"/>
      <c r="B5902" s="22"/>
      <c r="C5902" s="1327"/>
      <c r="D5902" s="1367"/>
      <c r="E5902" s="2121"/>
      <c r="F5902" s="1389" t="s">
        <v>1</v>
      </c>
      <c r="G5902" s="1389"/>
      <c r="H5902" s="1369"/>
      <c r="I5902" s="1409"/>
      <c r="J5902" s="1390"/>
      <c r="K5902" s="1391"/>
      <c r="L5902" s="1559"/>
      <c r="M5902" s="1369"/>
      <c r="N5902" s="1369"/>
      <c r="O5902" s="1369"/>
      <c r="P5902" s="1392"/>
      <c r="Q5902" s="3395"/>
      <c r="R5902" s="2339"/>
    </row>
    <row r="5903" spans="1:18" s="16" customFormat="1">
      <c r="A5903" s="1042"/>
      <c r="B5903" s="22"/>
      <c r="C5903" s="1042"/>
      <c r="D5903" s="2286" t="s">
        <v>2737</v>
      </c>
      <c r="E5903" s="2287" t="s">
        <v>1504</v>
      </c>
      <c r="F5903" s="2288" t="s">
        <v>2738</v>
      </c>
      <c r="G5903" s="1630">
        <v>1</v>
      </c>
      <c r="H5903" s="1674"/>
      <c r="I5903" s="1299"/>
      <c r="J5903" s="1300"/>
      <c r="K5903" s="1350">
        <f>G5903*K5901</f>
        <v>2</v>
      </c>
      <c r="L5903" s="1335">
        <f t="shared" ref="L5903:L5905" si="775">$K$5881*K5903</f>
        <v>222.01937999999998</v>
      </c>
      <c r="M5903" s="1302">
        <v>919</v>
      </c>
      <c r="N5903" s="1700"/>
      <c r="O5903" s="1290">
        <f>G5903*M5903</f>
        <v>919</v>
      </c>
      <c r="P5903" s="1332">
        <f>M5903*K5903</f>
        <v>1838</v>
      </c>
      <c r="Q5903" s="3391"/>
      <c r="R5903" s="2339"/>
    </row>
    <row r="5904" spans="1:18" s="16" customFormat="1">
      <c r="A5904" s="1042"/>
      <c r="B5904" s="22"/>
      <c r="C5904" s="1042"/>
      <c r="D5904" s="1367" t="s">
        <v>1097</v>
      </c>
      <c r="E5904" s="2121" t="s">
        <v>1504</v>
      </c>
      <c r="F5904" s="1436" t="s">
        <v>1632</v>
      </c>
      <c r="G5904" s="2088">
        <v>90</v>
      </c>
      <c r="H5904" s="1369"/>
      <c r="I5904" s="1299"/>
      <c r="J5904" s="1300"/>
      <c r="K5904" s="1350">
        <f>G5904*K5901</f>
        <v>180</v>
      </c>
      <c r="L5904" s="1335">
        <f t="shared" si="775"/>
        <v>19981.744199999997</v>
      </c>
      <c r="M5904" s="1302">
        <v>0.55000000000000004</v>
      </c>
      <c r="N5904" s="1700"/>
      <c r="O5904" s="1290">
        <f>G5904*M5904</f>
        <v>49.500000000000007</v>
      </c>
      <c r="P5904" s="1332">
        <f>M5904*K5904</f>
        <v>99.000000000000014</v>
      </c>
      <c r="Q5904" s="3391"/>
      <c r="R5904" s="2339"/>
    </row>
    <row r="5905" spans="1:18" s="16" customFormat="1" ht="16.5" customHeight="1">
      <c r="A5905" s="1042"/>
      <c r="B5905" s="22"/>
      <c r="C5905" s="1042"/>
      <c r="D5905" s="1367" t="s">
        <v>1082</v>
      </c>
      <c r="E5905" s="2121" t="s">
        <v>1504</v>
      </c>
      <c r="F5905" s="1436" t="s">
        <v>1541</v>
      </c>
      <c r="G5905" s="2088">
        <v>25</v>
      </c>
      <c r="H5905" s="1369"/>
      <c r="I5905" s="1299"/>
      <c r="J5905" s="1300"/>
      <c r="K5905" s="1350">
        <f>G5905*K5901</f>
        <v>50</v>
      </c>
      <c r="L5905" s="1335">
        <f t="shared" si="775"/>
        <v>5550.4844999999996</v>
      </c>
      <c r="M5905" s="1302">
        <v>0.3</v>
      </c>
      <c r="N5905" s="1700"/>
      <c r="O5905" s="1290">
        <f>G5905*M5905</f>
        <v>7.5</v>
      </c>
      <c r="P5905" s="1332">
        <f>M5905*K5905</f>
        <v>15</v>
      </c>
      <c r="Q5905" s="3391"/>
      <c r="R5905" s="2339"/>
    </row>
    <row r="5906" spans="1:18" s="16" customFormat="1">
      <c r="A5906" s="1042"/>
      <c r="B5906" s="22"/>
      <c r="C5906" s="1042"/>
      <c r="D5906" s="1367"/>
      <c r="E5906" s="2121"/>
      <c r="F5906" s="1436"/>
      <c r="G5906" s="2088"/>
      <c r="H5906" s="1369"/>
      <c r="I5906" s="1299"/>
      <c r="J5906" s="1300"/>
      <c r="K5906" s="1350"/>
      <c r="L5906" s="1335"/>
      <c r="M5906" s="1302"/>
      <c r="N5906" s="1700"/>
      <c r="O5906" s="1290"/>
      <c r="P5906" s="1332"/>
      <c r="Q5906" s="3391"/>
      <c r="R5906" s="2339"/>
    </row>
    <row r="5907" spans="1:18" s="16" customFormat="1">
      <c r="A5907" s="1042"/>
      <c r="B5907" s="22"/>
      <c r="C5907" s="1042"/>
      <c r="D5907" s="1367"/>
      <c r="E5907" s="2121"/>
      <c r="F5907" s="1436"/>
      <c r="G5907" s="2088"/>
      <c r="H5907" s="1369"/>
      <c r="I5907" s="1299"/>
      <c r="J5907" s="1300"/>
      <c r="K5907" s="1307"/>
      <c r="L5907" s="1335"/>
      <c r="M5907" s="1302"/>
      <c r="N5907" s="1700"/>
      <c r="O5907" s="1290"/>
      <c r="P5907" s="1332"/>
      <c r="Q5907" s="3391"/>
      <c r="R5907" s="2339"/>
    </row>
    <row r="5908" spans="1:18" s="16" customFormat="1">
      <c r="A5908" s="1042"/>
      <c r="B5908" s="22"/>
      <c r="C5908" s="1042"/>
      <c r="D5908" s="1359"/>
      <c r="E5908" s="1858"/>
      <c r="F5908" s="1360" t="s">
        <v>2</v>
      </c>
      <c r="G5908" s="1360"/>
      <c r="H5908" s="1362"/>
      <c r="I5908" s="1380"/>
      <c r="J5908" s="1381"/>
      <c r="K5908" s="1381"/>
      <c r="L5908" s="1458"/>
      <c r="M5908" s="1362"/>
      <c r="N5908" s="1362"/>
      <c r="O5908" s="1362"/>
      <c r="P5908" s="1359"/>
      <c r="Q5908" s="3387"/>
      <c r="R5908" s="2339"/>
    </row>
    <row r="5909" spans="1:18" s="16" customFormat="1">
      <c r="A5909" s="1321"/>
      <c r="B5909" s="1295"/>
      <c r="C5909" s="1321"/>
      <c r="D5909" s="1363" t="s">
        <v>1110</v>
      </c>
      <c r="E5909" s="2125" t="s">
        <v>1508</v>
      </c>
      <c r="F5909" s="1363" t="s">
        <v>2281</v>
      </c>
      <c r="G5909" s="1408">
        <v>1.5</v>
      </c>
      <c r="H5909" s="1408"/>
      <c r="I5909" s="1299"/>
      <c r="J5909" s="1300"/>
      <c r="K5909" s="1307">
        <f>G5909*K5901</f>
        <v>3</v>
      </c>
      <c r="L5909" s="1335">
        <f t="shared" ref="L5909:L5912" si="776">$K$5881*K5909</f>
        <v>333.02906999999999</v>
      </c>
      <c r="M5909" s="1302">
        <v>18.420000000000002</v>
      </c>
      <c r="N5909" s="1700"/>
      <c r="O5909" s="1290">
        <f>G5909*M5909</f>
        <v>27.630000000000003</v>
      </c>
      <c r="P5909" s="1332">
        <f>M5909*K5909</f>
        <v>55.260000000000005</v>
      </c>
      <c r="Q5909" s="3391"/>
      <c r="R5909" s="2339"/>
    </row>
    <row r="5910" spans="1:18" s="16" customFormat="1">
      <c r="A5910" s="1321"/>
      <c r="B5910" s="1295"/>
      <c r="C5910" s="1321"/>
      <c r="D5910" s="1363" t="s">
        <v>1592</v>
      </c>
      <c r="E5910" s="2125" t="s">
        <v>1508</v>
      </c>
      <c r="F5910" s="1363" t="s">
        <v>2659</v>
      </c>
      <c r="G5910" s="1408">
        <v>4</v>
      </c>
      <c r="H5910" s="1408"/>
      <c r="I5910" s="1299"/>
      <c r="J5910" s="1300"/>
      <c r="K5910" s="1307">
        <f>G5910*K5901</f>
        <v>8</v>
      </c>
      <c r="L5910" s="1335">
        <f t="shared" si="776"/>
        <v>888.07751999999994</v>
      </c>
      <c r="M5910" s="1302">
        <v>19.23</v>
      </c>
      <c r="N5910" s="1700"/>
      <c r="O5910" s="1290">
        <f>G5910*M5910</f>
        <v>76.92</v>
      </c>
      <c r="P5910" s="1332">
        <f>M5910*K5910</f>
        <v>153.84</v>
      </c>
      <c r="Q5910" s="3391"/>
      <c r="R5910" s="2339"/>
    </row>
    <row r="5911" spans="1:18" s="16" customFormat="1">
      <c r="A5911" s="1321"/>
      <c r="B5911" s="1295"/>
      <c r="C5911" s="1321"/>
      <c r="D5911" s="1363" t="s">
        <v>1077</v>
      </c>
      <c r="E5911" s="2125" t="s">
        <v>1508</v>
      </c>
      <c r="F5911" s="1363" t="s">
        <v>1539</v>
      </c>
      <c r="G5911" s="1408">
        <v>0.5</v>
      </c>
      <c r="H5911" s="1408"/>
      <c r="I5911" s="1299"/>
      <c r="J5911" s="1300"/>
      <c r="K5911" s="1307">
        <f>G5911*K5901</f>
        <v>1</v>
      </c>
      <c r="L5911" s="1335">
        <f t="shared" si="776"/>
        <v>111.00968999999999</v>
      </c>
      <c r="M5911" s="1302">
        <v>19.23</v>
      </c>
      <c r="N5911" s="1700"/>
      <c r="O5911" s="1290">
        <f>G5911*M5911</f>
        <v>9.6150000000000002</v>
      </c>
      <c r="P5911" s="1332">
        <f>M5911*K5911</f>
        <v>19.23</v>
      </c>
      <c r="Q5911" s="3391"/>
      <c r="R5911" s="2339"/>
    </row>
    <row r="5912" spans="1:18" s="16" customFormat="1">
      <c r="A5912" s="1320"/>
      <c r="B5912" s="22"/>
      <c r="C5912" s="1320"/>
      <c r="D5912" s="1359" t="s">
        <v>1067</v>
      </c>
      <c r="E5912" s="1858" t="s">
        <v>1508</v>
      </c>
      <c r="F5912" s="1404" t="s">
        <v>1512</v>
      </c>
      <c r="G5912" s="1404">
        <v>1.5</v>
      </c>
      <c r="H5912" s="1359"/>
      <c r="I5912" s="1299"/>
      <c r="J5912" s="1300"/>
      <c r="K5912" s="1307">
        <f>G5912*K5901</f>
        <v>3</v>
      </c>
      <c r="L5912" s="1335">
        <f t="shared" si="776"/>
        <v>333.02906999999999</v>
      </c>
      <c r="M5912" s="1302">
        <v>18.28</v>
      </c>
      <c r="N5912" s="1700"/>
      <c r="O5912" s="1290">
        <f>G5912*M5912</f>
        <v>27.42</v>
      </c>
      <c r="P5912" s="1332">
        <f>M5912*K5912</f>
        <v>54.84</v>
      </c>
      <c r="Q5912" s="3391"/>
      <c r="R5912" s="2339"/>
    </row>
    <row r="5913" spans="1:18" s="16" customFormat="1">
      <c r="A5913" s="1320"/>
      <c r="B5913" s="22"/>
      <c r="C5913" s="1320"/>
      <c r="D5913" s="1359"/>
      <c r="E5913" s="1858"/>
      <c r="F5913" s="1361"/>
      <c r="G5913" s="1361"/>
      <c r="H5913" s="1466"/>
      <c r="I5913" s="1299"/>
      <c r="J5913" s="1300"/>
      <c r="K5913" s="1307" t="str">
        <f>IF(COUNT(I5913)=0,"",(I5913*J5913))</f>
        <v/>
      </c>
      <c r="L5913" s="1335"/>
      <c r="M5913" s="1302"/>
      <c r="N5913" s="1700"/>
      <c r="O5913" s="1290"/>
      <c r="P5913" s="1332"/>
      <c r="Q5913" s="3391"/>
      <c r="R5913" s="2339"/>
    </row>
    <row r="5914" spans="1:18" s="16" customFormat="1">
      <c r="A5914" s="1320"/>
      <c r="B5914" s="22"/>
      <c r="C5914" s="1320"/>
      <c r="D5914" s="1373"/>
      <c r="E5914" s="2123"/>
      <c r="F5914" s="1374" t="s">
        <v>3</v>
      </c>
      <c r="G5914" s="1375"/>
      <c r="H5914" s="1376"/>
      <c r="I5914" s="1382"/>
      <c r="J5914" s="1383"/>
      <c r="K5914" s="1383" t="str">
        <f>IF(COUNT(I5914)=0,"",(I5914*J5914))</f>
        <v/>
      </c>
      <c r="L5914" s="1413"/>
      <c r="M5914" s="1376"/>
      <c r="N5914" s="1376"/>
      <c r="O5914" s="1376"/>
      <c r="P5914" s="1373"/>
      <c r="Q5914" s="3387"/>
      <c r="R5914" s="2339"/>
    </row>
    <row r="5915" spans="1:18" s="16" customFormat="1">
      <c r="A5915" s="1321"/>
      <c r="B5915" s="1295"/>
      <c r="C5915" s="1321"/>
      <c r="D5915" s="1377"/>
      <c r="E5915" s="2124"/>
      <c r="F5915" s="1378"/>
      <c r="G5915" s="1378"/>
      <c r="H5915" s="1379"/>
      <c r="I5915" s="1299"/>
      <c r="J5915" s="1300"/>
      <c r="K5915" s="1307"/>
      <c r="L5915" s="1335"/>
      <c r="M5915" s="1302"/>
      <c r="N5915" s="1700"/>
      <c r="O5915" s="1290"/>
      <c r="P5915" s="1332"/>
      <c r="Q5915" s="3391"/>
      <c r="R5915" s="2339"/>
    </row>
    <row r="5916" spans="1:18" s="16" customFormat="1">
      <c r="A5916" s="1321"/>
      <c r="B5916" s="1295"/>
      <c r="C5916" s="1321"/>
      <c r="D5916" s="1377"/>
      <c r="E5916" s="2124"/>
      <c r="F5916" s="1378"/>
      <c r="G5916" s="1378"/>
      <c r="H5916" s="1379"/>
      <c r="I5916" s="1299"/>
      <c r="J5916" s="1300"/>
      <c r="K5916" s="1307"/>
      <c r="L5916" s="1335"/>
      <c r="M5916" s="1302"/>
      <c r="N5916" s="1700"/>
      <c r="O5916" s="1290"/>
      <c r="P5916" s="1333"/>
      <c r="Q5916" s="3391"/>
      <c r="R5916" s="2339"/>
    </row>
    <row r="5917" spans="1:18" s="16" customFormat="1">
      <c r="A5917" s="1042"/>
      <c r="B5917" s="1765"/>
      <c r="C5917" s="223"/>
      <c r="D5917" s="1373"/>
      <c r="E5917" s="2161"/>
      <c r="F5917" s="1678"/>
      <c r="G5917" s="1678"/>
      <c r="H5917" s="1376"/>
      <c r="I5917" s="1299"/>
      <c r="J5917" s="1300"/>
      <c r="K5917" s="1307"/>
      <c r="L5917" s="1335"/>
      <c r="M5917" s="1302"/>
      <c r="N5917" s="1700"/>
      <c r="O5917" s="1290"/>
      <c r="P5917" s="1332"/>
      <c r="Q5917" s="3391"/>
      <c r="R5917" s="2339"/>
    </row>
    <row r="5918" spans="1:18" s="16" customFormat="1">
      <c r="A5918" s="18" t="s">
        <v>3764</v>
      </c>
      <c r="B5918" s="4325" t="s">
        <v>2739</v>
      </c>
      <c r="C5918" s="3354"/>
      <c r="D5918" s="4327"/>
      <c r="E5918" s="4329" t="s">
        <v>1504</v>
      </c>
      <c r="F5918" s="4336" t="s">
        <v>2740</v>
      </c>
      <c r="G5918" s="4331" t="s">
        <v>1568</v>
      </c>
      <c r="H5918" s="4331" t="s">
        <v>1574</v>
      </c>
      <c r="I5918" s="1572" t="s">
        <v>1559</v>
      </c>
      <c r="J5918" s="1294" t="s">
        <v>1560</v>
      </c>
      <c r="K5918" s="1294" t="s">
        <v>1569</v>
      </c>
      <c r="L5918" s="4333" t="s">
        <v>3765</v>
      </c>
      <c r="M5918" s="4335" t="s">
        <v>1571</v>
      </c>
      <c r="N5918" s="4323" t="s">
        <v>1776</v>
      </c>
      <c r="O5918" s="3347" t="s">
        <v>1563</v>
      </c>
      <c r="P5918" s="1336" t="s">
        <v>1562</v>
      </c>
      <c r="Q5918" s="3389"/>
      <c r="R5918" s="1699" t="s">
        <v>1327</v>
      </c>
    </row>
    <row r="5919" spans="1:18" s="16" customFormat="1">
      <c r="A5919" s="1662" t="s">
        <v>3900</v>
      </c>
      <c r="B5919" s="4326"/>
      <c r="C5919" s="3351"/>
      <c r="D5919" s="4328"/>
      <c r="E5919" s="4330"/>
      <c r="F5919" s="4336"/>
      <c r="G5919" s="4332"/>
      <c r="H5919" s="4332"/>
      <c r="I5919" s="1345">
        <v>4</v>
      </c>
      <c r="J5919" s="1307">
        <v>0.25</v>
      </c>
      <c r="K5919" s="1297">
        <f>I5919*J5919</f>
        <v>1</v>
      </c>
      <c r="L5919" s="4334"/>
      <c r="M5919" s="4335"/>
      <c r="N5919" s="4324"/>
      <c r="O5919" s="1298">
        <f>SUM(O5921:O5935)</f>
        <v>2017.56</v>
      </c>
      <c r="P5919" s="1337">
        <f>O5919*K5919</f>
        <v>2017.56</v>
      </c>
      <c r="Q5919" s="3390"/>
      <c r="R5919" s="1721">
        <f>SUM(P5921:P5930)</f>
        <v>2017.56</v>
      </c>
    </row>
    <row r="5920" spans="1:18" s="16" customFormat="1">
      <c r="A5920" s="1320"/>
      <c r="B5920" s="22"/>
      <c r="C5920" s="1327"/>
      <c r="D5920" s="1367"/>
      <c r="E5920" s="2121"/>
      <c r="F5920" s="1389" t="s">
        <v>1</v>
      </c>
      <c r="G5920" s="1389"/>
      <c r="H5920" s="1369"/>
      <c r="I5920" s="1409"/>
      <c r="J5920" s="1390"/>
      <c r="K5920" s="1391"/>
      <c r="L5920" s="1559"/>
      <c r="M5920" s="1369"/>
      <c r="N5920" s="1369"/>
      <c r="O5920" s="1369"/>
      <c r="P5920" s="1392"/>
      <c r="Q5920" s="3395"/>
      <c r="R5920" s="2339"/>
    </row>
    <row r="5921" spans="1:18" s="16" customFormat="1">
      <c r="A5921" s="1042"/>
      <c r="B5921" s="22"/>
      <c r="C5921" s="1042"/>
      <c r="D5921" s="2286" t="s">
        <v>2741</v>
      </c>
      <c r="E5921" s="2287" t="s">
        <v>1504</v>
      </c>
      <c r="F5921" s="2288" t="s">
        <v>2742</v>
      </c>
      <c r="G5921" s="1630">
        <v>1</v>
      </c>
      <c r="H5921" s="1674"/>
      <c r="I5921" s="1299"/>
      <c r="J5921" s="1300"/>
      <c r="K5921" s="1350">
        <f>G5921*K5919</f>
        <v>1</v>
      </c>
      <c r="L5921" s="1335">
        <f t="shared" ref="L5921:L5923" si="777">$K$5881*K5921</f>
        <v>111.00968999999999</v>
      </c>
      <c r="M5921" s="1302">
        <v>1719</v>
      </c>
      <c r="N5921" s="1700"/>
      <c r="O5921" s="1290">
        <f>G5921*M5921</f>
        <v>1719</v>
      </c>
      <c r="P5921" s="1332">
        <f>M5921*K5921</f>
        <v>1719</v>
      </c>
      <c r="Q5921" s="3391"/>
      <c r="R5921" s="2339"/>
    </row>
    <row r="5922" spans="1:18" s="16" customFormat="1">
      <c r="A5922" s="1042"/>
      <c r="B5922" s="22"/>
      <c r="C5922" s="1042"/>
      <c r="D5922" s="1367" t="s">
        <v>1097</v>
      </c>
      <c r="E5922" s="2121" t="s">
        <v>1504</v>
      </c>
      <c r="F5922" s="1436" t="s">
        <v>1632</v>
      </c>
      <c r="G5922" s="2088">
        <v>150</v>
      </c>
      <c r="H5922" s="1369"/>
      <c r="I5922" s="1299"/>
      <c r="J5922" s="1300"/>
      <c r="K5922" s="1350">
        <f>G5922*K5919</f>
        <v>150</v>
      </c>
      <c r="L5922" s="1335">
        <f t="shared" si="777"/>
        <v>16651.4535</v>
      </c>
      <c r="M5922" s="1302">
        <v>0.55000000000000004</v>
      </c>
      <c r="N5922" s="1700"/>
      <c r="O5922" s="1290">
        <f>G5922*M5922</f>
        <v>82.5</v>
      </c>
      <c r="P5922" s="1332">
        <f>M5922*K5922</f>
        <v>82.5</v>
      </c>
      <c r="Q5922" s="3391"/>
      <c r="R5922" s="2339"/>
    </row>
    <row r="5923" spans="1:18" s="16" customFormat="1">
      <c r="A5923" s="1042"/>
      <c r="B5923" s="22"/>
      <c r="C5923" s="1042"/>
      <c r="D5923" s="1367" t="s">
        <v>1082</v>
      </c>
      <c r="E5923" s="2121" t="s">
        <v>1504</v>
      </c>
      <c r="F5923" s="1436" t="s">
        <v>1541</v>
      </c>
      <c r="G5923" s="2088">
        <v>30</v>
      </c>
      <c r="H5923" s="1369"/>
      <c r="I5923" s="1299"/>
      <c r="J5923" s="1300"/>
      <c r="K5923" s="1350">
        <f>G5923*K5919</f>
        <v>30</v>
      </c>
      <c r="L5923" s="1335">
        <f t="shared" si="777"/>
        <v>3330.2906999999996</v>
      </c>
      <c r="M5923" s="1302">
        <v>0.3</v>
      </c>
      <c r="N5923" s="1700"/>
      <c r="O5923" s="1290">
        <f>G5923*M5923</f>
        <v>9</v>
      </c>
      <c r="P5923" s="1332">
        <f>M5923*K5923</f>
        <v>9</v>
      </c>
      <c r="Q5923" s="3391"/>
      <c r="R5923" s="2339"/>
    </row>
    <row r="5924" spans="1:18" s="16" customFormat="1">
      <c r="A5924" s="1042"/>
      <c r="B5924" s="22"/>
      <c r="C5924" s="1042"/>
      <c r="D5924" s="1367"/>
      <c r="E5924" s="2121"/>
      <c r="F5924" s="1436"/>
      <c r="G5924" s="2088"/>
      <c r="H5924" s="1369"/>
      <c r="I5924" s="1299"/>
      <c r="J5924" s="1300"/>
      <c r="K5924" s="1350"/>
      <c r="L5924" s="1335"/>
      <c r="M5924" s="1302"/>
      <c r="N5924" s="1700"/>
      <c r="O5924" s="1290"/>
      <c r="P5924" s="1332"/>
      <c r="Q5924" s="3391"/>
      <c r="R5924" s="2339"/>
    </row>
    <row r="5925" spans="1:18" s="16" customFormat="1">
      <c r="A5925" s="1042"/>
      <c r="B5925" s="22"/>
      <c r="C5925" s="1042"/>
      <c r="D5925" s="1367"/>
      <c r="E5925" s="2121"/>
      <c r="F5925" s="1436"/>
      <c r="G5925" s="2088"/>
      <c r="H5925" s="1369"/>
      <c r="I5925" s="1299"/>
      <c r="J5925" s="1300"/>
      <c r="K5925" s="1307"/>
      <c r="L5925" s="1335"/>
      <c r="M5925" s="1302"/>
      <c r="N5925" s="1700"/>
      <c r="O5925" s="1290"/>
      <c r="P5925" s="1332"/>
      <c r="Q5925" s="3391"/>
      <c r="R5925" s="2339"/>
    </row>
    <row r="5926" spans="1:18" s="16" customFormat="1">
      <c r="A5926" s="1042"/>
      <c r="B5926" s="22"/>
      <c r="C5926" s="1042"/>
      <c r="D5926" s="1359"/>
      <c r="E5926" s="1858"/>
      <c r="F5926" s="1360" t="s">
        <v>2</v>
      </c>
      <c r="G5926" s="1360"/>
      <c r="H5926" s="1362"/>
      <c r="I5926" s="1380"/>
      <c r="J5926" s="1381"/>
      <c r="K5926" s="1381"/>
      <c r="L5926" s="1458"/>
      <c r="M5926" s="1362"/>
      <c r="N5926" s="1362"/>
      <c r="O5926" s="1362"/>
      <c r="P5926" s="1359"/>
      <c r="Q5926" s="3387"/>
      <c r="R5926" s="2339"/>
    </row>
    <row r="5927" spans="1:18" s="16" customFormat="1">
      <c r="A5927" s="1321"/>
      <c r="B5927" s="1295"/>
      <c r="C5927" s="1321"/>
      <c r="D5927" s="1363" t="s">
        <v>1110</v>
      </c>
      <c r="E5927" s="2125" t="s">
        <v>1508</v>
      </c>
      <c r="F5927" s="1363" t="s">
        <v>2281</v>
      </c>
      <c r="G5927" s="1937">
        <v>2</v>
      </c>
      <c r="H5927" s="1408"/>
      <c r="I5927" s="1299"/>
      <c r="J5927" s="1300"/>
      <c r="K5927" s="1307">
        <f>G5927*K5919</f>
        <v>2</v>
      </c>
      <c r="L5927" s="1335">
        <f t="shared" ref="L5927:L5930" si="778">$K$5881*K5927</f>
        <v>222.01937999999998</v>
      </c>
      <c r="M5927" s="1302">
        <v>18.420000000000002</v>
      </c>
      <c r="N5927" s="1700"/>
      <c r="O5927" s="1290">
        <f>G5927*M5927</f>
        <v>36.840000000000003</v>
      </c>
      <c r="P5927" s="1332">
        <f>M5927*K5927</f>
        <v>36.840000000000003</v>
      </c>
      <c r="Q5927" s="3391"/>
      <c r="R5927" s="2339"/>
    </row>
    <row r="5928" spans="1:18" s="16" customFormat="1">
      <c r="A5928" s="1321"/>
      <c r="B5928" s="1295"/>
      <c r="C5928" s="1321"/>
      <c r="D5928" s="1363" t="s">
        <v>1592</v>
      </c>
      <c r="E5928" s="2125" t="s">
        <v>1508</v>
      </c>
      <c r="F5928" s="1363" t="s">
        <v>2659</v>
      </c>
      <c r="G5928" s="1937">
        <v>5</v>
      </c>
      <c r="H5928" s="1408"/>
      <c r="I5928" s="1299"/>
      <c r="J5928" s="1300"/>
      <c r="K5928" s="1307">
        <f>G5928*K5919</f>
        <v>5</v>
      </c>
      <c r="L5928" s="1335">
        <f t="shared" si="778"/>
        <v>555.04845</v>
      </c>
      <c r="M5928" s="1302">
        <v>19.23</v>
      </c>
      <c r="N5928" s="1700"/>
      <c r="O5928" s="1290">
        <f>G5928*M5928</f>
        <v>96.15</v>
      </c>
      <c r="P5928" s="1332">
        <f>M5928*K5928</f>
        <v>96.15</v>
      </c>
      <c r="Q5928" s="3391"/>
      <c r="R5928" s="2339"/>
    </row>
    <row r="5929" spans="1:18" s="16" customFormat="1">
      <c r="A5929" s="1321"/>
      <c r="B5929" s="1295"/>
      <c r="C5929" s="1321"/>
      <c r="D5929" s="1363" t="s">
        <v>1077</v>
      </c>
      <c r="E5929" s="2125" t="s">
        <v>1508</v>
      </c>
      <c r="F5929" s="1363" t="s">
        <v>1539</v>
      </c>
      <c r="G5929" s="1937">
        <v>1</v>
      </c>
      <c r="H5929" s="1408"/>
      <c r="I5929" s="1299"/>
      <c r="J5929" s="1300"/>
      <c r="K5929" s="1307">
        <f>G5929*K5919</f>
        <v>1</v>
      </c>
      <c r="L5929" s="1335">
        <f t="shared" si="778"/>
        <v>111.00968999999999</v>
      </c>
      <c r="M5929" s="1302">
        <v>19.23</v>
      </c>
      <c r="N5929" s="1700"/>
      <c r="O5929" s="1290">
        <f>G5929*M5929</f>
        <v>19.23</v>
      </c>
      <c r="P5929" s="1332">
        <f>M5929*K5929</f>
        <v>19.23</v>
      </c>
      <c r="Q5929" s="3391"/>
      <c r="R5929" s="2339"/>
    </row>
    <row r="5930" spans="1:18" s="16" customFormat="1">
      <c r="A5930" s="1320"/>
      <c r="B5930" s="22"/>
      <c r="C5930" s="1320"/>
      <c r="D5930" s="1359" t="s">
        <v>1067</v>
      </c>
      <c r="E5930" s="1858" t="s">
        <v>1508</v>
      </c>
      <c r="F5930" s="1404" t="s">
        <v>1512</v>
      </c>
      <c r="G5930" s="2096">
        <v>3</v>
      </c>
      <c r="H5930" s="1359"/>
      <c r="I5930" s="1299"/>
      <c r="J5930" s="1300"/>
      <c r="K5930" s="1307">
        <f>G5930*K5919</f>
        <v>3</v>
      </c>
      <c r="L5930" s="1335">
        <f t="shared" si="778"/>
        <v>333.02906999999999</v>
      </c>
      <c r="M5930" s="1302">
        <v>18.28</v>
      </c>
      <c r="N5930" s="1700"/>
      <c r="O5930" s="1290">
        <f>G5930*M5930</f>
        <v>54.84</v>
      </c>
      <c r="P5930" s="1332">
        <f>M5930*K5930</f>
        <v>54.84</v>
      </c>
      <c r="Q5930" s="3391"/>
      <c r="R5930" s="2339"/>
    </row>
    <row r="5931" spans="1:18" s="16" customFormat="1">
      <c r="A5931" s="1320"/>
      <c r="B5931" s="22"/>
      <c r="C5931" s="1320"/>
      <c r="D5931" s="1359"/>
      <c r="E5931" s="1858"/>
      <c r="F5931" s="1361"/>
      <c r="G5931" s="1361"/>
      <c r="H5931" s="1466"/>
      <c r="I5931" s="1299"/>
      <c r="J5931" s="1300"/>
      <c r="K5931" s="1307" t="str">
        <f>IF(COUNT(I5931)=0,"",(I5931*J5931))</f>
        <v/>
      </c>
      <c r="L5931" s="1335"/>
      <c r="M5931" s="1302"/>
      <c r="N5931" s="1700"/>
      <c r="O5931" s="1290"/>
      <c r="P5931" s="1332"/>
      <c r="Q5931" s="3391"/>
      <c r="R5931" s="2339"/>
    </row>
    <row r="5932" spans="1:18" s="16" customFormat="1">
      <c r="A5932" s="1320"/>
      <c r="B5932" s="22"/>
      <c r="C5932" s="1320"/>
      <c r="D5932" s="1373"/>
      <c r="E5932" s="2123"/>
      <c r="F5932" s="1374" t="s">
        <v>3</v>
      </c>
      <c r="G5932" s="1375"/>
      <c r="H5932" s="1376"/>
      <c r="I5932" s="1382"/>
      <c r="J5932" s="1383"/>
      <c r="K5932" s="1383" t="str">
        <f>IF(COUNT(I5932)=0,"",(I5932*J5932))</f>
        <v/>
      </c>
      <c r="L5932" s="1413"/>
      <c r="M5932" s="1376"/>
      <c r="N5932" s="1376"/>
      <c r="O5932" s="1376"/>
      <c r="P5932" s="1373"/>
      <c r="Q5932" s="3387"/>
      <c r="R5932" s="2339"/>
    </row>
    <row r="5933" spans="1:18" s="16" customFormat="1">
      <c r="A5933" s="1321"/>
      <c r="B5933" s="1295"/>
      <c r="C5933" s="1321"/>
      <c r="D5933" s="1377"/>
      <c r="E5933" s="2124"/>
      <c r="F5933" s="1378"/>
      <c r="G5933" s="1378"/>
      <c r="H5933" s="1379"/>
      <c r="I5933" s="1299"/>
      <c r="J5933" s="1300"/>
      <c r="K5933" s="1307"/>
      <c r="L5933" s="1335"/>
      <c r="M5933" s="1302"/>
      <c r="N5933" s="1700"/>
      <c r="O5933" s="1290"/>
      <c r="P5933" s="1332"/>
      <c r="Q5933" s="3391"/>
      <c r="R5933" s="2339"/>
    </row>
    <row r="5934" spans="1:18" s="16" customFormat="1">
      <c r="A5934" s="1321"/>
      <c r="B5934" s="1295"/>
      <c r="C5934" s="1321"/>
      <c r="D5934" s="1377"/>
      <c r="E5934" s="2124"/>
      <c r="F5934" s="1378"/>
      <c r="G5934" s="1378"/>
      <c r="H5934" s="1379"/>
      <c r="I5934" s="1299"/>
      <c r="J5934" s="1300"/>
      <c r="K5934" s="1307"/>
      <c r="L5934" s="1335"/>
      <c r="M5934" s="1302"/>
      <c r="N5934" s="1700"/>
      <c r="O5934" s="1290"/>
      <c r="P5934" s="1333"/>
      <c r="Q5934" s="3391"/>
      <c r="R5934" s="2339"/>
    </row>
    <row r="5935" spans="1:18" s="16" customFormat="1">
      <c r="A5935" s="1042"/>
      <c r="B5935" s="1765"/>
      <c r="C5935" s="223"/>
      <c r="D5935" s="1373"/>
      <c r="E5935" s="2161"/>
      <c r="F5935" s="1678"/>
      <c r="G5935" s="1678"/>
      <c r="H5935" s="1376"/>
      <c r="I5935" s="1299"/>
      <c r="J5935" s="1300"/>
      <c r="K5935" s="1307"/>
      <c r="L5935" s="1335"/>
      <c r="M5935" s="1302"/>
      <c r="N5935" s="1700"/>
      <c r="O5935" s="1290"/>
      <c r="P5935" s="1332"/>
      <c r="Q5935" s="3391"/>
      <c r="R5935" s="2339"/>
    </row>
    <row r="5936" spans="1:18" s="16" customFormat="1">
      <c r="A5936" s="18" t="s">
        <v>3764</v>
      </c>
      <c r="B5936" s="4325" t="s">
        <v>2743</v>
      </c>
      <c r="C5936" s="3354"/>
      <c r="D5936" s="4327"/>
      <c r="E5936" s="4329" t="s">
        <v>1527</v>
      </c>
      <c r="F5936" s="4336" t="s">
        <v>2744</v>
      </c>
      <c r="G5936" s="4331" t="s">
        <v>1568</v>
      </c>
      <c r="H5936" s="4331" t="s">
        <v>1574</v>
      </c>
      <c r="I5936" s="1572" t="s">
        <v>1559</v>
      </c>
      <c r="J5936" s="1294" t="s">
        <v>1560</v>
      </c>
      <c r="K5936" s="1294" t="s">
        <v>1569</v>
      </c>
      <c r="L5936" s="4333" t="s">
        <v>3765</v>
      </c>
      <c r="M5936" s="4335" t="s">
        <v>1571</v>
      </c>
      <c r="N5936" s="4323" t="s">
        <v>1776</v>
      </c>
      <c r="O5936" s="3347" t="s">
        <v>1563</v>
      </c>
      <c r="P5936" s="1336" t="s">
        <v>1562</v>
      </c>
      <c r="Q5936" s="3389"/>
      <c r="R5936" s="1699" t="s">
        <v>1327</v>
      </c>
    </row>
    <row r="5937" spans="1:18" s="16" customFormat="1">
      <c r="A5937" s="1662" t="s">
        <v>3900</v>
      </c>
      <c r="B5937" s="4326"/>
      <c r="C5937" s="3351"/>
      <c r="D5937" s="4328"/>
      <c r="E5937" s="4330"/>
      <c r="F5937" s="4336"/>
      <c r="G5937" s="4332"/>
      <c r="H5937" s="4332"/>
      <c r="I5937" s="1345">
        <v>114</v>
      </c>
      <c r="J5937" s="1307">
        <v>0.25</v>
      </c>
      <c r="K5937" s="1297">
        <f>I5937*J5937</f>
        <v>28.5</v>
      </c>
      <c r="L5937" s="4334"/>
      <c r="M5937" s="4335"/>
      <c r="N5937" s="4324"/>
      <c r="O5937" s="1298">
        <f>SUM(O5939:O5946)+O5949</f>
        <v>16.3596</v>
      </c>
      <c r="P5937" s="1337">
        <f>O5937*K5937</f>
        <v>466.24860000000001</v>
      </c>
      <c r="Q5937" s="3390"/>
      <c r="R5937" s="1721">
        <f>P5939+P5940+P5941+P5942+P5943+P5946+P5949</f>
        <v>466.24860000000007</v>
      </c>
    </row>
    <row r="5938" spans="1:18" s="16" customFormat="1">
      <c r="A5938" s="1320"/>
      <c r="B5938" s="22"/>
      <c r="C5938" s="1327"/>
      <c r="D5938" s="1367"/>
      <c r="E5938" s="2121"/>
      <c r="F5938" s="1389" t="s">
        <v>1</v>
      </c>
      <c r="G5938" s="1389"/>
      <c r="H5938" s="1369"/>
      <c r="I5938" s="1409"/>
      <c r="J5938" s="1390"/>
      <c r="K5938" s="1391"/>
      <c r="L5938" s="1559"/>
      <c r="M5938" s="1369"/>
      <c r="N5938" s="1369"/>
      <c r="O5938" s="1369"/>
      <c r="P5938" s="1392"/>
      <c r="Q5938" s="3395"/>
      <c r="R5938" s="2339"/>
    </row>
    <row r="5939" spans="1:18" s="16" customFormat="1">
      <c r="A5939" s="1042"/>
      <c r="B5939" s="22"/>
      <c r="C5939" s="1042"/>
      <c r="D5939" s="2286" t="s">
        <v>2745</v>
      </c>
      <c r="E5939" s="2287" t="s">
        <v>1527</v>
      </c>
      <c r="F5939" s="2288" t="s">
        <v>2746</v>
      </c>
      <c r="G5939" s="1630">
        <v>1</v>
      </c>
      <c r="H5939" s="1674"/>
      <c r="I5939" s="1299"/>
      <c r="J5939" s="1300"/>
      <c r="K5939" s="1350">
        <f>G5939*K5937</f>
        <v>28.5</v>
      </c>
      <c r="L5939" s="1335">
        <f t="shared" ref="L5939:L5943" si="779">$K$5881*K5939</f>
        <v>3163.7761649999998</v>
      </c>
      <c r="M5939" s="1302">
        <v>2.72</v>
      </c>
      <c r="N5939" s="1700"/>
      <c r="O5939" s="1290">
        <f>G5939*M5939</f>
        <v>2.72</v>
      </c>
      <c r="P5939" s="1332">
        <f>M5939*K5939</f>
        <v>77.52000000000001</v>
      </c>
      <c r="Q5939" s="3391"/>
      <c r="R5939" s="2339"/>
    </row>
    <row r="5940" spans="1:18" s="16" customFormat="1">
      <c r="A5940" s="1042"/>
      <c r="B5940" s="22"/>
      <c r="C5940" s="1042"/>
      <c r="D5940" s="1367" t="s">
        <v>2747</v>
      </c>
      <c r="E5940" s="2121" t="s">
        <v>1527</v>
      </c>
      <c r="F5940" s="1436" t="s">
        <v>2748</v>
      </c>
      <c r="G5940" s="2088">
        <v>1</v>
      </c>
      <c r="H5940" s="1369"/>
      <c r="I5940" s="1299"/>
      <c r="J5940" s="1300"/>
      <c r="K5940" s="1350">
        <f>G5940*K5937</f>
        <v>28.5</v>
      </c>
      <c r="L5940" s="1335">
        <f t="shared" si="779"/>
        <v>3163.7761649999998</v>
      </c>
      <c r="M5940" s="1302">
        <v>3.49</v>
      </c>
      <c r="N5940" s="1700"/>
      <c r="O5940" s="1290">
        <f>G5940*M5940</f>
        <v>3.49</v>
      </c>
      <c r="P5940" s="1332">
        <f>M5940*K5940</f>
        <v>99.465000000000003</v>
      </c>
      <c r="Q5940" s="3391"/>
      <c r="R5940" s="2339"/>
    </row>
    <row r="5941" spans="1:18" s="16" customFormat="1">
      <c r="A5941" s="1042"/>
      <c r="B5941" s="22"/>
      <c r="C5941" s="1042"/>
      <c r="D5941" s="1367" t="s">
        <v>2749</v>
      </c>
      <c r="E5941" s="2121" t="s">
        <v>1527</v>
      </c>
      <c r="F5941" s="1436" t="s">
        <v>2750</v>
      </c>
      <c r="G5941" s="2088">
        <v>1.01</v>
      </c>
      <c r="H5941" s="1369"/>
      <c r="I5941" s="1299"/>
      <c r="J5941" s="1300"/>
      <c r="K5941" s="1350">
        <f>G5941*K5937</f>
        <v>28.785</v>
      </c>
      <c r="L5941" s="1335">
        <f t="shared" si="779"/>
        <v>3195.4139266499997</v>
      </c>
      <c r="M5941" s="1302">
        <v>1.44</v>
      </c>
      <c r="N5941" s="1700"/>
      <c r="O5941" s="1290">
        <f>G5941*M5941</f>
        <v>1.4543999999999999</v>
      </c>
      <c r="P5941" s="1332">
        <f>M5941*K5941</f>
        <v>41.450400000000002</v>
      </c>
      <c r="Q5941" s="3391"/>
      <c r="R5941" s="2339"/>
    </row>
    <row r="5942" spans="1:18" s="16" customFormat="1">
      <c r="A5942" s="1042"/>
      <c r="B5942" s="22"/>
      <c r="C5942" s="1042"/>
      <c r="D5942" s="1367" t="s">
        <v>1097</v>
      </c>
      <c r="E5942" s="2121" t="s">
        <v>1504</v>
      </c>
      <c r="F5942" s="1436" t="s">
        <v>1632</v>
      </c>
      <c r="G5942" s="2088">
        <v>0.9</v>
      </c>
      <c r="H5942" s="1369"/>
      <c r="I5942" s="1299"/>
      <c r="J5942" s="1300"/>
      <c r="K5942" s="1350">
        <f>G5942*K5937</f>
        <v>25.650000000000002</v>
      </c>
      <c r="L5942" s="1335">
        <f t="shared" si="779"/>
        <v>2847.3985484999998</v>
      </c>
      <c r="M5942" s="1302">
        <v>0.55000000000000004</v>
      </c>
      <c r="N5942" s="1700"/>
      <c r="O5942" s="1290">
        <f>G5942*M5942</f>
        <v>0.49500000000000005</v>
      </c>
      <c r="P5942" s="1332">
        <f>M5942*K5942</f>
        <v>14.107500000000002</v>
      </c>
      <c r="Q5942" s="3391"/>
      <c r="R5942" s="2339"/>
    </row>
    <row r="5943" spans="1:18" s="16" customFormat="1">
      <c r="A5943" s="1042"/>
      <c r="B5943" s="22"/>
      <c r="C5943" s="1042"/>
      <c r="D5943" s="1367" t="s">
        <v>1082</v>
      </c>
      <c r="E5943" s="2121" t="s">
        <v>1504</v>
      </c>
      <c r="F5943" s="1436" t="s">
        <v>1541</v>
      </c>
      <c r="G5943" s="2088">
        <v>1</v>
      </c>
      <c r="H5943" s="1369"/>
      <c r="I5943" s="1299"/>
      <c r="J5943" s="1300"/>
      <c r="K5943" s="1350">
        <f>G5943*K5937</f>
        <v>28.5</v>
      </c>
      <c r="L5943" s="1335">
        <f t="shared" si="779"/>
        <v>3163.7761649999998</v>
      </c>
      <c r="M5943" s="1302">
        <v>0.3</v>
      </c>
      <c r="N5943" s="1700"/>
      <c r="O5943" s="1290">
        <f>G5943*M5943</f>
        <v>0.3</v>
      </c>
      <c r="P5943" s="1332">
        <f>M5943*K5943</f>
        <v>8.5499999999999989</v>
      </c>
      <c r="Q5943" s="3391"/>
      <c r="R5943" s="2339"/>
    </row>
    <row r="5944" spans="1:18" s="16" customFormat="1">
      <c r="A5944" s="1042"/>
      <c r="B5944" s="22"/>
      <c r="C5944" s="1042"/>
      <c r="D5944" s="1367"/>
      <c r="E5944" s="2121"/>
      <c r="F5944" s="1436"/>
      <c r="G5944" s="2088"/>
      <c r="H5944" s="1369"/>
      <c r="I5944" s="1299"/>
      <c r="J5944" s="1300"/>
      <c r="K5944" s="1350"/>
      <c r="L5944" s="1335"/>
      <c r="M5944" s="1302"/>
      <c r="N5944" s="1700"/>
      <c r="O5944" s="1290"/>
      <c r="P5944" s="1332"/>
      <c r="Q5944" s="3391"/>
      <c r="R5944" s="2339"/>
    </row>
    <row r="5945" spans="1:18" s="16" customFormat="1">
      <c r="A5945" s="1042"/>
      <c r="B5945" s="22"/>
      <c r="C5945" s="1042"/>
      <c r="D5945" s="1359"/>
      <c r="E5945" s="1858"/>
      <c r="F5945" s="1360" t="s">
        <v>2</v>
      </c>
      <c r="G5945" s="1360"/>
      <c r="H5945" s="1362"/>
      <c r="I5945" s="1380"/>
      <c r="J5945" s="1381"/>
      <c r="K5945" s="1381"/>
      <c r="L5945" s="1458"/>
      <c r="M5945" s="1362"/>
      <c r="N5945" s="1362"/>
      <c r="O5945" s="1362"/>
      <c r="P5945" s="1359"/>
      <c r="Q5945" s="3387"/>
      <c r="R5945" s="2339"/>
    </row>
    <row r="5946" spans="1:18" s="16" customFormat="1">
      <c r="A5946"/>
      <c r="B5946" s="1042"/>
      <c r="C5946" s="2086" t="s">
        <v>2282</v>
      </c>
      <c r="D5946" s="1311"/>
      <c r="E5946" s="2176" t="s">
        <v>1508</v>
      </c>
      <c r="F5946" s="1648" t="s">
        <v>2283</v>
      </c>
      <c r="G5946" s="1990"/>
      <c r="H5946" s="1954">
        <v>0.01</v>
      </c>
      <c r="I5946" s="1444"/>
      <c r="J5946" s="1388"/>
      <c r="K5946" s="1445"/>
      <c r="L5946" s="1457"/>
      <c r="M5946" s="1447"/>
      <c r="N5946" s="1447">
        <f>SUM(N5947:N5948)</f>
        <v>37.019999999999996</v>
      </c>
      <c r="O5946" s="1447">
        <f>SUM(O5947:O5948)</f>
        <v>0.37019999999999997</v>
      </c>
      <c r="P5946" s="1447">
        <f>SUM(P5947:P5948)</f>
        <v>10.550700000000003</v>
      </c>
      <c r="Q5946" s="3391"/>
      <c r="R5946" s="2337"/>
    </row>
    <row r="5947" spans="1:18" s="16" customFormat="1">
      <c r="A5947"/>
      <c r="B5947" s="1042"/>
      <c r="C5947" s="19"/>
      <c r="D5947" s="1430" t="s">
        <v>1067</v>
      </c>
      <c r="E5947" s="1857" t="s">
        <v>1508</v>
      </c>
      <c r="F5947" s="1403" t="s">
        <v>5</v>
      </c>
      <c r="G5947" s="1991">
        <v>1</v>
      </c>
      <c r="H5947" s="1937">
        <f>G5947*H5946</f>
        <v>0.01</v>
      </c>
      <c r="I5947" s="1286"/>
      <c r="J5947" s="198"/>
      <c r="K5947" s="1307">
        <f>H5947*K5937</f>
        <v>0.28500000000000003</v>
      </c>
      <c r="L5947" s="1335">
        <f t="shared" ref="L5947:L5948" si="780">$K$5881*K5947</f>
        <v>31.637761650000002</v>
      </c>
      <c r="M5947" s="1302">
        <v>18.28</v>
      </c>
      <c r="N5947" s="1718">
        <f>G5947*M5947</f>
        <v>18.28</v>
      </c>
      <c r="O5947" s="1290">
        <f>H5947*M5947</f>
        <v>0.18280000000000002</v>
      </c>
      <c r="P5947" s="1720">
        <f>M5947*K5947</f>
        <v>5.2098000000000013</v>
      </c>
      <c r="Q5947" s="3396"/>
      <c r="R5947" s="2337"/>
    </row>
    <row r="5948" spans="1:18" s="16" customFormat="1">
      <c r="A5948"/>
      <c r="B5948" s="1042"/>
      <c r="C5948" s="19"/>
      <c r="D5948" s="1430" t="s">
        <v>1165</v>
      </c>
      <c r="E5948" s="1857" t="s">
        <v>1508</v>
      </c>
      <c r="F5948" s="1403" t="s">
        <v>114</v>
      </c>
      <c r="G5948" s="1991">
        <v>1</v>
      </c>
      <c r="H5948" s="1937">
        <f>G5948*H5946</f>
        <v>0.01</v>
      </c>
      <c r="I5948" s="197"/>
      <c r="J5948" s="198"/>
      <c r="K5948" s="1307">
        <f>H5948*K5937</f>
        <v>0.28500000000000003</v>
      </c>
      <c r="L5948" s="1335">
        <f t="shared" si="780"/>
        <v>31.637761650000002</v>
      </c>
      <c r="M5948" s="1302">
        <v>18.739999999999998</v>
      </c>
      <c r="N5948" s="1718">
        <f>G5948*M5948</f>
        <v>18.739999999999998</v>
      </c>
      <c r="O5948" s="1290">
        <f>H5948*M5948</f>
        <v>0.18739999999999998</v>
      </c>
      <c r="P5948" s="1720">
        <f>M5948*K5948</f>
        <v>5.3409000000000004</v>
      </c>
      <c r="Q5948" s="3396"/>
      <c r="R5948" s="2337"/>
    </row>
    <row r="5949" spans="1:18" s="16" customFormat="1">
      <c r="A5949" s="22"/>
      <c r="B5949" s="1599"/>
      <c r="C5949" s="1938" t="s">
        <v>2649</v>
      </c>
      <c r="D5949" s="1311"/>
      <c r="E5949" s="2176" t="s">
        <v>1508</v>
      </c>
      <c r="F5949" s="1648" t="s">
        <v>2650</v>
      </c>
      <c r="G5949" s="1990"/>
      <c r="H5949" s="1954">
        <v>0.2</v>
      </c>
      <c r="I5949" s="1444"/>
      <c r="J5949" s="1388"/>
      <c r="K5949" s="1445"/>
      <c r="L5949" s="1457"/>
      <c r="M5949" s="1447"/>
      <c r="N5949" s="1447">
        <f>SUM(N5950:N5951)</f>
        <v>37.650000000000006</v>
      </c>
      <c r="O5949" s="1447">
        <f>SUM(O5950:O5951)</f>
        <v>7.5300000000000011</v>
      </c>
      <c r="P5949" s="1447">
        <f>SUM(P5950:P5951)</f>
        <v>214.60500000000002</v>
      </c>
      <c r="Q5949" s="3391"/>
      <c r="R5949" s="2337"/>
    </row>
    <row r="5950" spans="1:18" s="16" customFormat="1">
      <c r="A5950" s="22"/>
      <c r="B5950" s="1599"/>
      <c r="C5950" s="1327"/>
      <c r="D5950" s="1430" t="s">
        <v>2691</v>
      </c>
      <c r="E5950" s="1857" t="s">
        <v>1508</v>
      </c>
      <c r="F5950" s="1403" t="s">
        <v>2692</v>
      </c>
      <c r="G5950" s="1991">
        <v>1</v>
      </c>
      <c r="H5950" s="1937">
        <f>G5950*H5949</f>
        <v>0.2</v>
      </c>
      <c r="I5950" s="1286"/>
      <c r="J5950" s="198"/>
      <c r="K5950" s="1307">
        <f>H5950*K5937</f>
        <v>5.7</v>
      </c>
      <c r="L5950" s="1335">
        <f t="shared" ref="L5950:L5951" si="781">$K$5881*K5950</f>
        <v>632.75523299999998</v>
      </c>
      <c r="M5950" s="1302">
        <v>19.23</v>
      </c>
      <c r="N5950" s="1718">
        <f>G5950*M5950</f>
        <v>19.23</v>
      </c>
      <c r="O5950" s="1290">
        <f>H5950*M5950</f>
        <v>3.8460000000000001</v>
      </c>
      <c r="P5950" s="1720">
        <f>M5950*K5950</f>
        <v>109.611</v>
      </c>
      <c r="Q5950" s="3396"/>
      <c r="R5950" s="2337"/>
    </row>
    <row r="5951" spans="1:18" s="16" customFormat="1">
      <c r="A5951" s="22"/>
      <c r="B5951" s="1599"/>
      <c r="C5951" s="1320"/>
      <c r="D5951" s="1430" t="s">
        <v>1110</v>
      </c>
      <c r="E5951" s="1857" t="s">
        <v>1508</v>
      </c>
      <c r="F5951" s="1403" t="s">
        <v>2281</v>
      </c>
      <c r="G5951" s="1991">
        <v>1</v>
      </c>
      <c r="H5951" s="1937">
        <f>G5951*H5949</f>
        <v>0.2</v>
      </c>
      <c r="I5951" s="197"/>
      <c r="J5951" s="198"/>
      <c r="K5951" s="1307">
        <f>H5951*K5937</f>
        <v>5.7</v>
      </c>
      <c r="L5951" s="1335">
        <f t="shared" si="781"/>
        <v>632.75523299999998</v>
      </c>
      <c r="M5951" s="1302">
        <v>18.420000000000002</v>
      </c>
      <c r="N5951" s="1718">
        <f>G5951*M5951</f>
        <v>18.420000000000002</v>
      </c>
      <c r="O5951" s="1290">
        <f>H5951*M5951</f>
        <v>3.6840000000000006</v>
      </c>
      <c r="P5951" s="1720">
        <f>M5951*K5951</f>
        <v>104.99400000000001</v>
      </c>
      <c r="Q5951" s="3396"/>
      <c r="R5951" s="2337"/>
    </row>
    <row r="5952" spans="1:18" s="16" customFormat="1">
      <c r="A5952" s="1320"/>
      <c r="B5952" s="22"/>
      <c r="C5952" s="1320"/>
      <c r="D5952" s="1359"/>
      <c r="E5952" s="1858"/>
      <c r="F5952" s="1361"/>
      <c r="G5952" s="1361"/>
      <c r="H5952" s="1466"/>
      <c r="I5952" s="1299"/>
      <c r="J5952" s="1300"/>
      <c r="K5952" s="1307" t="str">
        <f>IF(COUNT(I5952)=0,"",(I5952*J5952))</f>
        <v/>
      </c>
      <c r="L5952" s="1335"/>
      <c r="M5952" s="1302"/>
      <c r="N5952" s="1700"/>
      <c r="O5952" s="1290"/>
      <c r="P5952" s="1332"/>
      <c r="Q5952" s="3391"/>
      <c r="R5952" s="2339"/>
    </row>
    <row r="5953" spans="1:18" s="16" customFormat="1">
      <c r="A5953" s="1320"/>
      <c r="B5953" s="22"/>
      <c r="C5953" s="1320"/>
      <c r="D5953" s="1373"/>
      <c r="E5953" s="2123"/>
      <c r="F5953" s="1374" t="s">
        <v>3</v>
      </c>
      <c r="G5953" s="1375"/>
      <c r="H5953" s="1376"/>
      <c r="I5953" s="1382"/>
      <c r="J5953" s="1383"/>
      <c r="K5953" s="1383" t="str">
        <f>IF(COUNT(I5953)=0,"",(I5953*J5953))</f>
        <v/>
      </c>
      <c r="L5953" s="1413"/>
      <c r="M5953" s="1376"/>
      <c r="N5953" s="1376"/>
      <c r="O5953" s="1376"/>
      <c r="P5953" s="1373"/>
      <c r="Q5953" s="3387"/>
      <c r="R5953" s="2339"/>
    </row>
    <row r="5954" spans="1:18" s="16" customFormat="1">
      <c r="A5954" s="1321"/>
      <c r="B5954" s="1295"/>
      <c r="C5954" s="1321"/>
      <c r="D5954" s="1377"/>
      <c r="E5954" s="2124"/>
      <c r="F5954" s="1378"/>
      <c r="G5954" s="1378"/>
      <c r="H5954" s="1379"/>
      <c r="I5954" s="1299"/>
      <c r="J5954" s="1300"/>
      <c r="K5954" s="1307"/>
      <c r="L5954" s="1335"/>
      <c r="M5954" s="1302"/>
      <c r="N5954" s="1700"/>
      <c r="O5954" s="1290"/>
      <c r="P5954" s="1333"/>
      <c r="Q5954" s="3391"/>
      <c r="R5954" s="2339"/>
    </row>
    <row r="5955" spans="1:18" s="16" customFormat="1">
      <c r="A5955" s="1321"/>
      <c r="B5955" s="1295"/>
      <c r="C5955" s="1321"/>
      <c r="D5955" s="1377"/>
      <c r="E5955" s="2124"/>
      <c r="F5955" s="1378"/>
      <c r="G5955" s="1378"/>
      <c r="H5955" s="1379"/>
      <c r="I5955" s="1299"/>
      <c r="J5955" s="1300"/>
      <c r="K5955" s="1307"/>
      <c r="L5955" s="1335"/>
      <c r="M5955" s="1302"/>
      <c r="N5955" s="1700"/>
      <c r="O5955" s="1290"/>
      <c r="P5955" s="1333"/>
      <c r="Q5955" s="3391"/>
      <c r="R5955" s="2339"/>
    </row>
    <row r="5956" spans="1:18" s="16" customFormat="1">
      <c r="A5956" s="1042"/>
      <c r="B5956" s="1765"/>
      <c r="C5956" s="223"/>
      <c r="D5956" s="1373"/>
      <c r="E5956" s="2161"/>
      <c r="F5956" s="1678"/>
      <c r="G5956" s="1678"/>
      <c r="H5956" s="1376"/>
      <c r="I5956" s="1299"/>
      <c r="J5956" s="1300"/>
      <c r="K5956" s="1307"/>
      <c r="L5956" s="1335"/>
      <c r="M5956" s="1302"/>
      <c r="N5956" s="1700"/>
      <c r="O5956" s="1290"/>
      <c r="P5956" s="1332"/>
      <c r="Q5956" s="3391"/>
      <c r="R5956" s="2339"/>
    </row>
    <row r="5957" spans="1:18" s="16" customFormat="1">
      <c r="A5957" s="18" t="s">
        <v>3764</v>
      </c>
      <c r="B5957" s="4325" t="s">
        <v>2751</v>
      </c>
      <c r="C5957" s="3354"/>
      <c r="D5957" s="4327"/>
      <c r="E5957" s="4329" t="s">
        <v>1527</v>
      </c>
      <c r="F5957" s="4336" t="s">
        <v>2752</v>
      </c>
      <c r="G5957" s="4331" t="s">
        <v>1568</v>
      </c>
      <c r="H5957" s="4331" t="s">
        <v>1574</v>
      </c>
      <c r="I5957" s="1572" t="s">
        <v>1559</v>
      </c>
      <c r="J5957" s="1294" t="s">
        <v>1560</v>
      </c>
      <c r="K5957" s="1294" t="s">
        <v>1569</v>
      </c>
      <c r="L5957" s="4333" t="s">
        <v>3765</v>
      </c>
      <c r="M5957" s="4335" t="s">
        <v>1571</v>
      </c>
      <c r="N5957" s="4323" t="s">
        <v>1776</v>
      </c>
      <c r="O5957" s="3347" t="s">
        <v>1563</v>
      </c>
      <c r="P5957" s="1336" t="s">
        <v>1562</v>
      </c>
      <c r="Q5957" s="3389"/>
      <c r="R5957" s="1699" t="s">
        <v>1327</v>
      </c>
    </row>
    <row r="5958" spans="1:18" s="16" customFormat="1">
      <c r="A5958" s="1662" t="s">
        <v>3900</v>
      </c>
      <c r="B5958" s="4326"/>
      <c r="C5958" s="3351"/>
      <c r="D5958" s="4328"/>
      <c r="E5958" s="4330"/>
      <c r="F5958" s="4336"/>
      <c r="G5958" s="4332"/>
      <c r="H5958" s="4332"/>
      <c r="I5958" s="1345">
        <v>114</v>
      </c>
      <c r="J5958" s="1307">
        <v>0.25</v>
      </c>
      <c r="K5958" s="1297">
        <f>I5958*J5958</f>
        <v>28.5</v>
      </c>
      <c r="L5958" s="4334"/>
      <c r="M5958" s="4335"/>
      <c r="N5958" s="4324"/>
      <c r="O5958" s="1298">
        <f>SUM(O5960:O5967)</f>
        <v>3.6596000000000002</v>
      </c>
      <c r="P5958" s="1337">
        <f>O5958*K5958</f>
        <v>104.29860000000001</v>
      </c>
      <c r="Q5958" s="3390"/>
      <c r="R5958" s="1721">
        <f>SUM(P5960:P5967)</f>
        <v>104.29859999999999</v>
      </c>
    </row>
    <row r="5959" spans="1:18" s="16" customFormat="1">
      <c r="A5959" s="1320"/>
      <c r="B5959" s="22"/>
      <c r="C5959" s="1327"/>
      <c r="D5959" s="1367"/>
      <c r="E5959" s="2121"/>
      <c r="F5959" s="1389" t="s">
        <v>1</v>
      </c>
      <c r="G5959" s="1389"/>
      <c r="H5959" s="1369"/>
      <c r="I5959" s="1409"/>
      <c r="J5959" s="1390"/>
      <c r="K5959" s="1391"/>
      <c r="L5959" s="1559"/>
      <c r="M5959" s="1369"/>
      <c r="N5959" s="1369"/>
      <c r="O5959" s="1369"/>
      <c r="P5959" s="1392"/>
      <c r="Q5959" s="3395"/>
      <c r="R5959" s="2339"/>
    </row>
    <row r="5960" spans="1:18" s="16" customFormat="1">
      <c r="A5960" s="1042"/>
      <c r="B5960" s="22"/>
      <c r="C5960" s="1042"/>
      <c r="D5960" s="2286" t="s">
        <v>1245</v>
      </c>
      <c r="E5960" s="2287" t="s">
        <v>1527</v>
      </c>
      <c r="F5960" s="2288" t="s">
        <v>2169</v>
      </c>
      <c r="G5960" s="1630">
        <v>3</v>
      </c>
      <c r="H5960" s="1674"/>
      <c r="I5960" s="1299"/>
      <c r="J5960" s="1300"/>
      <c r="K5960" s="1350">
        <f>G5960*K5958</f>
        <v>85.5</v>
      </c>
      <c r="L5960" s="1335">
        <f t="shared" ref="L5960:L5963" si="782">$K$5881*K5960</f>
        <v>9491.3284949999997</v>
      </c>
      <c r="M5960" s="1302">
        <v>0.42</v>
      </c>
      <c r="N5960" s="1700"/>
      <c r="O5960" s="1290">
        <f>G5960*M5960</f>
        <v>1.26</v>
      </c>
      <c r="P5960" s="1332">
        <f>M5960*K5960</f>
        <v>35.909999999999997</v>
      </c>
      <c r="Q5960" s="3391"/>
      <c r="R5960" s="2339"/>
    </row>
    <row r="5961" spans="1:18" s="16" customFormat="1">
      <c r="A5961" s="1042"/>
      <c r="B5961" s="22"/>
      <c r="C5961" s="1042"/>
      <c r="D5961" s="1367" t="s">
        <v>1252</v>
      </c>
      <c r="E5961" s="2121" t="s">
        <v>1527</v>
      </c>
      <c r="F5961" s="1436" t="s">
        <v>2168</v>
      </c>
      <c r="G5961" s="2088">
        <v>1.01</v>
      </c>
      <c r="H5961" s="1369"/>
      <c r="I5961" s="1299"/>
      <c r="J5961" s="1300"/>
      <c r="K5961" s="1350">
        <f>G5961*K5958</f>
        <v>28.785</v>
      </c>
      <c r="L5961" s="1335">
        <f t="shared" si="782"/>
        <v>3195.4139266499997</v>
      </c>
      <c r="M5961" s="1302">
        <v>0.16</v>
      </c>
      <c r="N5961" s="1700"/>
      <c r="O5961" s="1290">
        <f>G5961*M5961</f>
        <v>0.16159999999999999</v>
      </c>
      <c r="P5961" s="1332">
        <f>M5961*K5961</f>
        <v>4.6055999999999999</v>
      </c>
      <c r="Q5961" s="3391"/>
      <c r="R5961" s="2339"/>
    </row>
    <row r="5962" spans="1:18" s="16" customFormat="1">
      <c r="A5962" s="1042"/>
      <c r="B5962" s="22"/>
      <c r="C5962" s="1042"/>
      <c r="D5962" s="1367" t="s">
        <v>1097</v>
      </c>
      <c r="E5962" s="2121" t="s">
        <v>1504</v>
      </c>
      <c r="F5962" s="1436" t="s">
        <v>1632</v>
      </c>
      <c r="G5962" s="2088">
        <v>0.3</v>
      </c>
      <c r="H5962" s="1369"/>
      <c r="I5962" s="1299"/>
      <c r="J5962" s="1300"/>
      <c r="K5962" s="1350">
        <f>G5962*K5958</f>
        <v>8.5499999999999989</v>
      </c>
      <c r="L5962" s="1335">
        <f t="shared" si="782"/>
        <v>949.13284949999979</v>
      </c>
      <c r="M5962" s="1302">
        <v>0.55000000000000004</v>
      </c>
      <c r="N5962" s="1700"/>
      <c r="O5962" s="1290">
        <f>G5962*M5962</f>
        <v>0.16500000000000001</v>
      </c>
      <c r="P5962" s="1332">
        <f>M5962*K5962</f>
        <v>4.7024999999999997</v>
      </c>
      <c r="Q5962" s="3391"/>
      <c r="R5962" s="2339"/>
    </row>
    <row r="5963" spans="1:18" s="16" customFormat="1">
      <c r="A5963" s="1042"/>
      <c r="B5963" s="22"/>
      <c r="C5963" s="1042"/>
      <c r="D5963" s="1367" t="s">
        <v>1082</v>
      </c>
      <c r="E5963" s="2121" t="s">
        <v>1504</v>
      </c>
      <c r="F5963" s="1436" t="s">
        <v>1541</v>
      </c>
      <c r="G5963" s="2088">
        <v>0.5</v>
      </c>
      <c r="H5963" s="1369"/>
      <c r="I5963" s="1299"/>
      <c r="J5963" s="1300"/>
      <c r="K5963" s="1350">
        <f>G5963*K5958</f>
        <v>14.25</v>
      </c>
      <c r="L5963" s="1335">
        <f t="shared" si="782"/>
        <v>1581.8880824999999</v>
      </c>
      <c r="M5963" s="1302">
        <v>0.3</v>
      </c>
      <c r="N5963" s="1700"/>
      <c r="O5963" s="1290">
        <f>G5963*M5963</f>
        <v>0.15</v>
      </c>
      <c r="P5963" s="1332">
        <f>M5963*K5963</f>
        <v>4.2749999999999995</v>
      </c>
      <c r="Q5963" s="3391"/>
      <c r="R5963" s="2339"/>
    </row>
    <row r="5964" spans="1:18" s="16" customFormat="1">
      <c r="A5964" s="1042"/>
      <c r="B5964" s="22"/>
      <c r="C5964" s="1042"/>
      <c r="D5964" s="1367"/>
      <c r="E5964" s="2121"/>
      <c r="F5964" s="1436"/>
      <c r="G5964" s="2088"/>
      <c r="H5964" s="1369"/>
      <c r="I5964" s="1299"/>
      <c r="J5964" s="1300"/>
      <c r="K5964" s="1350"/>
      <c r="L5964" s="1335"/>
      <c r="M5964" s="1302"/>
      <c r="N5964" s="1700"/>
      <c r="O5964" s="1290"/>
      <c r="P5964" s="1332"/>
      <c r="Q5964" s="3391"/>
      <c r="R5964" s="2339"/>
    </row>
    <row r="5965" spans="1:18" s="16" customFormat="1">
      <c r="A5965" s="1042"/>
      <c r="B5965" s="22"/>
      <c r="C5965" s="1042"/>
      <c r="D5965" s="1359"/>
      <c r="E5965" s="1858"/>
      <c r="F5965" s="1360" t="s">
        <v>2</v>
      </c>
      <c r="G5965" s="1360"/>
      <c r="H5965" s="1362"/>
      <c r="I5965" s="1380"/>
      <c r="J5965" s="1381"/>
      <c r="K5965" s="1381"/>
      <c r="L5965" s="1458"/>
      <c r="M5965" s="1362"/>
      <c r="N5965" s="1362"/>
      <c r="O5965" s="1362"/>
      <c r="P5965" s="1359"/>
      <c r="Q5965" s="3387"/>
      <c r="R5965" s="2339"/>
    </row>
    <row r="5966" spans="1:18" s="16" customFormat="1">
      <c r="A5966" s="1321"/>
      <c r="B5966" s="1295"/>
      <c r="C5966" s="1321"/>
      <c r="D5966" s="1363" t="s">
        <v>1077</v>
      </c>
      <c r="E5966" s="2125" t="s">
        <v>1508</v>
      </c>
      <c r="F5966" s="1363" t="s">
        <v>1539</v>
      </c>
      <c r="G5966" s="1937">
        <v>0.05</v>
      </c>
      <c r="H5966" s="1408"/>
      <c r="I5966" s="1299"/>
      <c r="J5966" s="1300"/>
      <c r="K5966" s="1307">
        <f>G5966*K5958</f>
        <v>1.425</v>
      </c>
      <c r="L5966" s="1335">
        <f t="shared" ref="L5966:L5967" si="783">$K$5881*K5966</f>
        <v>158.18880824999999</v>
      </c>
      <c r="M5966" s="1302">
        <v>19.23</v>
      </c>
      <c r="N5966" s="1700"/>
      <c r="O5966" s="1290">
        <f>G5966*M5966</f>
        <v>0.96150000000000002</v>
      </c>
      <c r="P5966" s="1332">
        <f>M5966*K5966</f>
        <v>27.402750000000001</v>
      </c>
      <c r="Q5966" s="3391"/>
      <c r="R5966" s="2339"/>
    </row>
    <row r="5967" spans="1:18" s="16" customFormat="1">
      <c r="A5967" s="1321"/>
      <c r="B5967" s="1295"/>
      <c r="C5967" s="1321"/>
      <c r="D5967" s="1363" t="s">
        <v>1593</v>
      </c>
      <c r="E5967" s="2125" t="s">
        <v>1508</v>
      </c>
      <c r="F5967" s="1363" t="s">
        <v>2280</v>
      </c>
      <c r="G5967" s="1937">
        <v>0.05</v>
      </c>
      <c r="H5967" s="1408"/>
      <c r="I5967" s="1299"/>
      <c r="J5967" s="1300"/>
      <c r="K5967" s="1307">
        <f>G5967*K5958</f>
        <v>1.425</v>
      </c>
      <c r="L5967" s="1335">
        <f t="shared" si="783"/>
        <v>158.18880824999999</v>
      </c>
      <c r="M5967" s="1302">
        <v>19.23</v>
      </c>
      <c r="N5967" s="1700"/>
      <c r="O5967" s="1290">
        <f>G5967*M5967</f>
        <v>0.96150000000000002</v>
      </c>
      <c r="P5967" s="1332">
        <f>M5967*K5967</f>
        <v>27.402750000000001</v>
      </c>
      <c r="Q5967" s="3391"/>
      <c r="R5967" s="2339"/>
    </row>
    <row r="5968" spans="1:18" s="16" customFormat="1">
      <c r="A5968" s="1320"/>
      <c r="B5968" s="22"/>
      <c r="C5968" s="1320"/>
      <c r="D5968" s="1359"/>
      <c r="E5968" s="1858"/>
      <c r="F5968" s="1361"/>
      <c r="G5968" s="1361"/>
      <c r="H5968" s="1466"/>
      <c r="I5968" s="1299"/>
      <c r="J5968" s="1300"/>
      <c r="K5968" s="1307" t="str">
        <f>IF(COUNT(I5968)=0,"",(I5968*J5968))</f>
        <v/>
      </c>
      <c r="L5968" s="1335"/>
      <c r="M5968" s="1302"/>
      <c r="N5968" s="1700"/>
      <c r="O5968" s="1290"/>
      <c r="P5968" s="1332"/>
      <c r="Q5968" s="3391"/>
      <c r="R5968" s="2339"/>
    </row>
    <row r="5969" spans="1:18" s="16" customFormat="1">
      <c r="A5969" s="1320"/>
      <c r="B5969" s="22"/>
      <c r="C5969" s="1320"/>
      <c r="D5969" s="1373"/>
      <c r="E5969" s="2123"/>
      <c r="F5969" s="1374" t="s">
        <v>3</v>
      </c>
      <c r="G5969" s="1375"/>
      <c r="H5969" s="1376"/>
      <c r="I5969" s="1382"/>
      <c r="J5969" s="1383"/>
      <c r="K5969" s="1383" t="str">
        <f>IF(COUNT(I5969)=0,"",(I5969*J5969))</f>
        <v/>
      </c>
      <c r="L5969" s="1413"/>
      <c r="M5969" s="1376"/>
      <c r="N5969" s="1376"/>
      <c r="O5969" s="1376"/>
      <c r="P5969" s="1373"/>
      <c r="Q5969" s="3387"/>
      <c r="R5969" s="2339"/>
    </row>
    <row r="5970" spans="1:18" s="16" customFormat="1">
      <c r="A5970" s="1321"/>
      <c r="B5970" s="1295"/>
      <c r="C5970" s="1321"/>
      <c r="D5970" s="1377"/>
      <c r="E5970" s="2124"/>
      <c r="F5970" s="1378"/>
      <c r="G5970" s="1378"/>
      <c r="H5970" s="1379"/>
      <c r="I5970" s="1299"/>
      <c r="J5970" s="1300"/>
      <c r="K5970" s="1307"/>
      <c r="L5970" s="1335"/>
      <c r="M5970" s="1302"/>
      <c r="N5970" s="1700"/>
      <c r="O5970" s="1290"/>
      <c r="P5970" s="1333"/>
      <c r="Q5970" s="3391"/>
      <c r="R5970" s="2339"/>
    </row>
    <row r="5971" spans="1:18" s="16" customFormat="1">
      <c r="A5971" s="1321"/>
      <c r="B5971" s="1295"/>
      <c r="C5971" s="1321"/>
      <c r="D5971" s="1377"/>
      <c r="E5971" s="2124"/>
      <c r="F5971" s="1378"/>
      <c r="G5971" s="1378"/>
      <c r="H5971" s="1379"/>
      <c r="I5971" s="1299"/>
      <c r="J5971" s="1300"/>
      <c r="K5971" s="1307"/>
      <c r="L5971" s="1335"/>
      <c r="M5971" s="1302"/>
      <c r="N5971" s="1700"/>
      <c r="O5971" s="1290"/>
      <c r="P5971" s="1333"/>
      <c r="Q5971" s="3391"/>
      <c r="R5971" s="2339"/>
    </row>
    <row r="5972" spans="1:18" s="16" customFormat="1">
      <c r="A5972" s="1042"/>
      <c r="B5972" s="1765"/>
      <c r="C5972" s="223"/>
      <c r="D5972" s="1373"/>
      <c r="E5972" s="2161"/>
      <c r="F5972" s="1678"/>
      <c r="G5972" s="1678"/>
      <c r="H5972" s="1376"/>
      <c r="I5972" s="1299"/>
      <c r="J5972" s="1300"/>
      <c r="K5972" s="1307"/>
      <c r="L5972" s="1335"/>
      <c r="M5972" s="1302"/>
      <c r="N5972" s="1700"/>
      <c r="O5972" s="1290"/>
      <c r="P5972" s="1332"/>
      <c r="Q5972" s="3391"/>
      <c r="R5972" s="2339"/>
    </row>
    <row r="5973" spans="1:18" s="16" customFormat="1">
      <c r="A5973" s="18" t="s">
        <v>3764</v>
      </c>
      <c r="B5973" s="4325" t="s">
        <v>2690</v>
      </c>
      <c r="C5973" s="3354"/>
      <c r="D5973" s="4368"/>
      <c r="E5973" s="4329" t="s">
        <v>1527</v>
      </c>
      <c r="F5973" s="4336" t="s">
        <v>2693</v>
      </c>
      <c r="G5973" s="4331" t="s">
        <v>1568</v>
      </c>
      <c r="H5973" s="4331" t="s">
        <v>1574</v>
      </c>
      <c r="I5973" s="1572" t="s">
        <v>1559</v>
      </c>
      <c r="J5973" s="1294" t="s">
        <v>1560</v>
      </c>
      <c r="K5973" s="1294" t="s">
        <v>1569</v>
      </c>
      <c r="L5973" s="4333" t="s">
        <v>3765</v>
      </c>
      <c r="M5973" s="4335" t="s">
        <v>1571</v>
      </c>
      <c r="N5973" s="4323" t="s">
        <v>1776</v>
      </c>
      <c r="O5973" s="3347" t="s">
        <v>1563</v>
      </c>
      <c r="P5973" s="1336" t="s">
        <v>1562</v>
      </c>
      <c r="Q5973" s="3389"/>
      <c r="R5973" s="1699" t="s">
        <v>1327</v>
      </c>
    </row>
    <row r="5974" spans="1:18" s="16" customFormat="1">
      <c r="A5974" s="1662" t="s">
        <v>3900</v>
      </c>
      <c r="B5974" s="4326"/>
      <c r="C5974" s="3354"/>
      <c r="D5974" s="4328"/>
      <c r="E5974" s="4330"/>
      <c r="F5974" s="4336"/>
      <c r="G5974" s="4332"/>
      <c r="H5974" s="4332"/>
      <c r="I5974" s="3405">
        <v>114</v>
      </c>
      <c r="J5974" s="1307">
        <v>0.25</v>
      </c>
      <c r="K5974" s="1297">
        <f>I5974*J5974</f>
        <v>28.5</v>
      </c>
      <c r="L5974" s="4334"/>
      <c r="M5974" s="4335"/>
      <c r="N5974" s="4324"/>
      <c r="O5974" s="1298">
        <f>SUM(O5976:O5982)</f>
        <v>1.4831000000000001</v>
      </c>
      <c r="P5974" s="1337">
        <f>O5974*K5974</f>
        <v>42.268350000000005</v>
      </c>
      <c r="Q5974" s="3390"/>
      <c r="R5974" s="1721">
        <f>SUM(P5976:P5982)</f>
        <v>42.268350000000005</v>
      </c>
    </row>
    <row r="5975" spans="1:18" s="16" customFormat="1">
      <c r="A5975" s="22"/>
      <c r="B5975" s="1949"/>
      <c r="C5975" s="1327"/>
      <c r="D5975" s="1400"/>
      <c r="E5975" s="2121"/>
      <c r="F5975" s="1389" t="s">
        <v>1</v>
      </c>
      <c r="G5975" s="1389"/>
      <c r="H5975" s="1369"/>
      <c r="I5975" s="1409"/>
      <c r="J5975" s="1390"/>
      <c r="K5975" s="1391"/>
      <c r="L5975" s="1559"/>
      <c r="M5975" s="1369"/>
      <c r="N5975" s="1369"/>
      <c r="O5975" s="1369"/>
      <c r="P5975" s="1392"/>
      <c r="Q5975" s="3395"/>
      <c r="R5975" s="1296"/>
    </row>
    <row r="5976" spans="1:18" s="16" customFormat="1">
      <c r="A5976" s="22"/>
      <c r="B5976" s="1320"/>
      <c r="C5976" s="595"/>
      <c r="D5976" s="1598" t="s">
        <v>2336</v>
      </c>
      <c r="E5976" s="2154" t="s">
        <v>1527</v>
      </c>
      <c r="F5976" s="1598" t="s">
        <v>2337</v>
      </c>
      <c r="G5976" s="2185">
        <v>1.01</v>
      </c>
      <c r="H5976" s="1399"/>
      <c r="I5976" s="197"/>
      <c r="J5976" s="198"/>
      <c r="K5976" s="1307">
        <f>G5976*K5974</f>
        <v>28.785</v>
      </c>
      <c r="L5976" s="1335">
        <f t="shared" ref="L5976:L5977" si="784">$K$5881*K5976</f>
        <v>3195.4139266499997</v>
      </c>
      <c r="M5976" s="1302">
        <v>0.8</v>
      </c>
      <c r="N5976" s="1718"/>
      <c r="O5976" s="1290">
        <f>G5976*M5976</f>
        <v>0.80800000000000005</v>
      </c>
      <c r="P5976" s="1332">
        <f>M5976*K5976</f>
        <v>23.028000000000002</v>
      </c>
      <c r="Q5976" s="3391"/>
      <c r="R5976" s="2337"/>
    </row>
    <row r="5977" spans="1:18" s="16" customFormat="1">
      <c r="A5977" s="4471"/>
      <c r="B5977" s="1320"/>
      <c r="C5977" s="595"/>
      <c r="D5977" s="1400" t="s">
        <v>1082</v>
      </c>
      <c r="E5977" s="1856" t="s">
        <v>1504</v>
      </c>
      <c r="F5977" s="2044" t="s">
        <v>1541</v>
      </c>
      <c r="G5977" s="1416">
        <v>1</v>
      </c>
      <c r="H5977" s="1399"/>
      <c r="I5977" s="197"/>
      <c r="J5977" s="198"/>
      <c r="K5977" s="1307">
        <f>G5977*K5974</f>
        <v>28.5</v>
      </c>
      <c r="L5977" s="1335">
        <f t="shared" si="784"/>
        <v>3163.7761649999998</v>
      </c>
      <c r="M5977" s="1302">
        <v>0.3</v>
      </c>
      <c r="N5977" s="1718"/>
      <c r="O5977" s="1290">
        <f>G5977*M5977</f>
        <v>0.3</v>
      </c>
      <c r="P5977" s="1332">
        <f>M5977*K5977</f>
        <v>8.5499999999999989</v>
      </c>
      <c r="Q5977" s="3391"/>
      <c r="R5977" s="2337"/>
    </row>
    <row r="5978" spans="1:18" s="16" customFormat="1">
      <c r="A5978" s="4471"/>
      <c r="B5978" s="1320"/>
      <c r="C5978" s="595"/>
      <c r="D5978" s="1400"/>
      <c r="E5978" s="1856"/>
      <c r="F5978" s="1421"/>
      <c r="G5978" s="2289"/>
      <c r="H5978" s="1399"/>
      <c r="I5978" s="197"/>
      <c r="J5978" s="198"/>
      <c r="K5978" s="1307"/>
      <c r="L5978" s="1335"/>
      <c r="M5978" s="1302"/>
      <c r="N5978" s="1718"/>
      <c r="O5978" s="1290"/>
      <c r="P5978" s="1332"/>
      <c r="Q5978" s="3391"/>
      <c r="R5978" s="2337"/>
    </row>
    <row r="5979" spans="1:18" s="16" customFormat="1">
      <c r="A5979" s="4471"/>
      <c r="B5979" s="1320"/>
      <c r="C5979" s="595"/>
      <c r="D5979" s="1367"/>
      <c r="E5979" s="1856"/>
      <c r="F5979" s="1421"/>
      <c r="G5979" s="1452"/>
      <c r="H5979" s="1399"/>
      <c r="I5979" s="197"/>
      <c r="J5979" s="198"/>
      <c r="K5979" s="1732"/>
      <c r="L5979" s="1335"/>
      <c r="M5979" s="1302"/>
      <c r="N5979" s="1718"/>
      <c r="O5979" s="1290"/>
      <c r="P5979" s="1332"/>
      <c r="Q5979" s="3391"/>
      <c r="R5979" s="2337"/>
    </row>
    <row r="5980" spans="1:18" s="16" customFormat="1">
      <c r="A5980" s="22"/>
      <c r="B5980" s="1320"/>
      <c r="C5980" s="88"/>
      <c r="D5980" s="1443"/>
      <c r="E5980" s="1858"/>
      <c r="F5980" s="1360" t="s">
        <v>2</v>
      </c>
      <c r="G5980" s="1360"/>
      <c r="H5980" s="1362"/>
      <c r="I5980" s="1380"/>
      <c r="J5980" s="1381"/>
      <c r="K5980" s="1381"/>
      <c r="L5980" s="1458"/>
      <c r="M5980" s="1362"/>
      <c r="N5980" s="1362"/>
      <c r="O5980" s="1362"/>
      <c r="P5980" s="1359"/>
      <c r="Q5980" s="3387"/>
      <c r="R5980" s="2339"/>
    </row>
    <row r="5981" spans="1:18" s="16" customFormat="1">
      <c r="A5981"/>
      <c r="B5981" s="1042"/>
      <c r="C5981" s="19"/>
      <c r="D5981" s="1430" t="s">
        <v>1067</v>
      </c>
      <c r="E5981" s="1857" t="s">
        <v>1508</v>
      </c>
      <c r="F5981" s="1403" t="s">
        <v>1512</v>
      </c>
      <c r="G5981" s="1991">
        <v>0.01</v>
      </c>
      <c r="H5981" s="1937"/>
      <c r="I5981" s="1286"/>
      <c r="J5981" s="198"/>
      <c r="K5981" s="1307">
        <f>G5981*K5974</f>
        <v>0.28500000000000003</v>
      </c>
      <c r="L5981" s="1335">
        <f t="shared" ref="L5981:L5982" si="785">$K$5881*K5981</f>
        <v>31.637761650000002</v>
      </c>
      <c r="M5981" s="1302">
        <v>18.28</v>
      </c>
      <c r="N5981" s="1718"/>
      <c r="O5981" s="1290">
        <f>G5981*M5981</f>
        <v>0.18280000000000002</v>
      </c>
      <c r="P5981" s="1332">
        <f>M5981*K5981</f>
        <v>5.2098000000000013</v>
      </c>
      <c r="Q5981" s="3391"/>
      <c r="R5981" s="2337"/>
    </row>
    <row r="5982" spans="1:18" s="16" customFormat="1">
      <c r="A5982"/>
      <c r="B5982" s="1042"/>
      <c r="C5982" s="19"/>
      <c r="D5982" s="1430" t="s">
        <v>1140</v>
      </c>
      <c r="E5982" s="1857" t="s">
        <v>1508</v>
      </c>
      <c r="F5982" s="1403" t="s">
        <v>1897</v>
      </c>
      <c r="G5982" s="1991">
        <v>0.01</v>
      </c>
      <c r="H5982" s="1937"/>
      <c r="I5982" s="197"/>
      <c r="J5982" s="198"/>
      <c r="K5982" s="1307">
        <f>G5982*K5974</f>
        <v>0.28500000000000003</v>
      </c>
      <c r="L5982" s="1335">
        <f t="shared" si="785"/>
        <v>31.637761650000002</v>
      </c>
      <c r="M5982" s="1302">
        <v>19.23</v>
      </c>
      <c r="N5982" s="1718"/>
      <c r="O5982" s="1290">
        <f>G5982*M5982</f>
        <v>0.1923</v>
      </c>
      <c r="P5982" s="1332">
        <f>M5982*K5982</f>
        <v>5.4805500000000009</v>
      </c>
      <c r="Q5982" s="3391"/>
      <c r="R5982" s="2337"/>
    </row>
    <row r="5983" spans="1:18" s="16" customFormat="1">
      <c r="A5983" s="22"/>
      <c r="B5983" s="1599"/>
      <c r="C5983" s="1320"/>
      <c r="D5983" s="1430"/>
      <c r="E5983" s="1857"/>
      <c r="F5983" s="1403"/>
      <c r="G5983" s="1991"/>
      <c r="H5983" s="1937"/>
      <c r="I5983" s="197"/>
      <c r="J5983" s="198"/>
      <c r="K5983" s="1307"/>
      <c r="L5983" s="1335"/>
      <c r="M5983" s="1302"/>
      <c r="N5983" s="1718"/>
      <c r="O5983" s="1290"/>
      <c r="P5983" s="1720"/>
      <c r="Q5983" s="3396"/>
      <c r="R5983" s="2337"/>
    </row>
    <row r="5984" spans="1:18" s="16" customFormat="1">
      <c r="A5984" s="1320"/>
      <c r="B5984" s="22"/>
      <c r="C5984" s="1320"/>
      <c r="D5984" s="1359"/>
      <c r="E5984" s="1858"/>
      <c r="F5984" s="1361"/>
      <c r="G5984" s="1361"/>
      <c r="H5984" s="1466"/>
      <c r="I5984" s="1299"/>
      <c r="J5984" s="1300"/>
      <c r="K5984" s="1307" t="str">
        <f>IF(COUNT(I5984)=0,"",(I5984*J5984))</f>
        <v/>
      </c>
      <c r="L5984" s="1335"/>
      <c r="M5984" s="1302"/>
      <c r="N5984" s="1700"/>
      <c r="O5984" s="1290"/>
      <c r="P5984" s="1332"/>
      <c r="Q5984" s="3391"/>
      <c r="R5984" s="2339"/>
    </row>
    <row r="5985" spans="1:18" s="16" customFormat="1">
      <c r="A5985" s="22"/>
      <c r="B5985" s="1320"/>
      <c r="C5985" s="595"/>
      <c r="D5985" s="1373"/>
      <c r="E5985" s="2123"/>
      <c r="F5985" s="1374" t="s">
        <v>3</v>
      </c>
      <c r="G5985" s="1375"/>
      <c r="H5985" s="1376"/>
      <c r="I5985" s="1382"/>
      <c r="J5985" s="1383"/>
      <c r="K5985" s="1383" t="str">
        <f>IF(COUNT(I5985)=0,"",(I5985*J5985))</f>
        <v/>
      </c>
      <c r="L5985" s="1413"/>
      <c r="M5985" s="1376"/>
      <c r="N5985" s="1376"/>
      <c r="O5985" s="1376"/>
      <c r="P5985" s="1373"/>
      <c r="Q5985" s="3387"/>
      <c r="R5985" s="1296"/>
    </row>
    <row r="5986" spans="1:18" s="16" customFormat="1">
      <c r="A5986" s="22"/>
      <c r="B5986" s="1321"/>
      <c r="C5986" s="2021"/>
      <c r="D5986" s="1377"/>
      <c r="E5986" s="2124"/>
      <c r="F5986" s="1378"/>
      <c r="G5986" s="1378"/>
      <c r="H5986" s="1379"/>
      <c r="I5986" s="1299"/>
      <c r="J5986" s="1300"/>
      <c r="K5986" s="1307"/>
      <c r="L5986" s="1335"/>
      <c r="M5986" s="1302"/>
      <c r="N5986" s="1700"/>
      <c r="O5986" s="1290"/>
      <c r="P5986" s="1332"/>
      <c r="Q5986" s="3391"/>
      <c r="R5986" s="1296"/>
    </row>
    <row r="5987" spans="1:18" s="16" customFormat="1">
      <c r="A5987" s="22"/>
      <c r="B5987" s="1321"/>
      <c r="C5987" s="2021"/>
      <c r="D5987" s="1377"/>
      <c r="E5987" s="2124"/>
      <c r="F5987" s="1378"/>
      <c r="G5987" s="1378"/>
      <c r="H5987" s="1379"/>
      <c r="I5987" s="1299"/>
      <c r="J5987" s="1300"/>
      <c r="K5987" s="1307"/>
      <c r="L5987" s="1335"/>
      <c r="M5987" s="1302"/>
      <c r="N5987" s="1700"/>
      <c r="O5987" s="1290"/>
      <c r="P5987" s="1333"/>
      <c r="Q5987" s="3391"/>
      <c r="R5987" s="1296"/>
    </row>
    <row r="5988" spans="1:18" s="16" customFormat="1">
      <c r="A5988" s="22"/>
      <c r="B5988" s="225"/>
      <c r="C5988" s="581"/>
      <c r="D5988" s="1373"/>
      <c r="E5988" s="2161"/>
      <c r="F5988" s="1678"/>
      <c r="G5988" s="1678"/>
      <c r="H5988" s="1376"/>
      <c r="I5988" s="1299"/>
      <c r="J5988" s="1300"/>
      <c r="K5988" s="1307"/>
      <c r="L5988" s="1335"/>
      <c r="M5988" s="1302"/>
      <c r="N5988" s="1700"/>
      <c r="O5988" s="1290"/>
      <c r="P5988" s="1332"/>
      <c r="Q5988" s="3391"/>
      <c r="R5988" s="1296"/>
    </row>
    <row r="5989" spans="1:18" s="16" customFormat="1">
      <c r="A5989" s="18" t="s">
        <v>3764</v>
      </c>
      <c r="B5989" s="4325" t="s">
        <v>1712</v>
      </c>
      <c r="C5989" s="3354"/>
      <c r="D5989" s="4327"/>
      <c r="E5989" s="4337" t="s">
        <v>1507</v>
      </c>
      <c r="F5989" s="4338" t="s">
        <v>1714</v>
      </c>
      <c r="G5989" s="4331" t="s">
        <v>1568</v>
      </c>
      <c r="H5989" s="4331" t="s">
        <v>1574</v>
      </c>
      <c r="I5989" s="1572" t="s">
        <v>1559</v>
      </c>
      <c r="J5989" s="1294" t="s">
        <v>1560</v>
      </c>
      <c r="K5989" s="1294" t="s">
        <v>1561</v>
      </c>
      <c r="L5989" s="4333" t="s">
        <v>3765</v>
      </c>
      <c r="M5989" s="4335" t="s">
        <v>1571</v>
      </c>
      <c r="N5989" s="4323" t="s">
        <v>1776</v>
      </c>
      <c r="O5989" s="3347" t="s">
        <v>1563</v>
      </c>
      <c r="P5989" s="1336" t="s">
        <v>1562</v>
      </c>
      <c r="Q5989" s="3389"/>
      <c r="R5989" s="1699" t="s">
        <v>1327</v>
      </c>
    </row>
    <row r="5990" spans="1:18" s="16" customFormat="1">
      <c r="A5990" s="1662" t="s">
        <v>3900</v>
      </c>
      <c r="B5990" s="4326"/>
      <c r="C5990" s="3351"/>
      <c r="D5990" s="4328"/>
      <c r="E5990" s="4337"/>
      <c r="F5990" s="4338"/>
      <c r="G5990" s="4332"/>
      <c r="H5990" s="4332"/>
      <c r="I5990" s="1345">
        <v>22.8</v>
      </c>
      <c r="J5990" s="1307">
        <v>0.25</v>
      </c>
      <c r="K5990" s="1297">
        <f>I5990*J5990</f>
        <v>5.7</v>
      </c>
      <c r="L5990" s="4334"/>
      <c r="M5990" s="4335"/>
      <c r="N5990" s="4324"/>
      <c r="O5990" s="1298">
        <f>SUM(O5992:O6002)</f>
        <v>7.8734500000000001</v>
      </c>
      <c r="P5990" s="1337">
        <f>K5990*O5990</f>
        <v>44.878665000000005</v>
      </c>
      <c r="Q5990" s="3390"/>
      <c r="R5990" s="1721">
        <f>SUM(P5992:P6003)</f>
        <v>44.878664999999998</v>
      </c>
    </row>
    <row r="5991" spans="1:18" s="16" customFormat="1">
      <c r="A5991" s="19"/>
      <c r="B5991" s="551"/>
      <c r="C5991" s="18"/>
      <c r="D5991" s="1400"/>
      <c r="E5991" s="2121"/>
      <c r="F5991" s="1389" t="s">
        <v>1</v>
      </c>
      <c r="G5991" s="1472"/>
      <c r="H5991" s="1369"/>
      <c r="I5991" s="1391"/>
      <c r="J5991" s="1369"/>
      <c r="K5991" s="1369"/>
      <c r="L5991" s="1554"/>
      <c r="M5991" s="1487"/>
      <c r="N5991" s="1487"/>
      <c r="O5991" s="1487"/>
      <c r="P5991" s="1367"/>
      <c r="Q5991" s="3387"/>
      <c r="R5991" s="2338"/>
    </row>
    <row r="5992" spans="1:18" s="16" customFormat="1">
      <c r="A5992" s="19"/>
      <c r="B5992" s="553"/>
      <c r="C5992" s="1042"/>
      <c r="D5992" s="1615" t="s">
        <v>1128</v>
      </c>
      <c r="E5992" s="1856" t="s">
        <v>1517</v>
      </c>
      <c r="F5992" s="1421" t="s">
        <v>1695</v>
      </c>
      <c r="G5992" s="1604">
        <v>1.4999999999999999E-2</v>
      </c>
      <c r="H5992" s="1604"/>
      <c r="I5992" s="1342"/>
      <c r="J5992" s="198"/>
      <c r="K5992" s="1307">
        <f>G5992*K5990</f>
        <v>8.5499999999999993E-2</v>
      </c>
      <c r="L5992" s="1335">
        <f t="shared" ref="L5992:L5993" si="786">$K$5881*K5992</f>
        <v>9.4913284949999976</v>
      </c>
      <c r="M5992" s="1302">
        <v>104.28</v>
      </c>
      <c r="N5992" s="1700"/>
      <c r="O5992" s="1290">
        <f>(G5992*M5992)</f>
        <v>1.5642</v>
      </c>
      <c r="P5992" s="1332">
        <f>M5992*K5992</f>
        <v>8.9159399999999991</v>
      </c>
      <c r="Q5992" s="3391"/>
      <c r="R5992" s="2338"/>
    </row>
    <row r="5993" spans="1:18" s="16" customFormat="1">
      <c r="A5993" s="19"/>
      <c r="B5993" s="553"/>
      <c r="C5993" s="1042"/>
      <c r="D5993" s="1428" t="s">
        <v>1152</v>
      </c>
      <c r="E5993" s="2122" t="s">
        <v>1517</v>
      </c>
      <c r="F5993" s="1370" t="s">
        <v>1696</v>
      </c>
      <c r="G5993" s="1452">
        <v>5.0000000000000001E-3</v>
      </c>
      <c r="H5993" s="1452"/>
      <c r="I5993" s="1286"/>
      <c r="J5993" s="198"/>
      <c r="K5993" s="1307">
        <f>G5993*K5990</f>
        <v>2.8500000000000001E-2</v>
      </c>
      <c r="L5993" s="1335">
        <f t="shared" si="786"/>
        <v>3.1637761649999998</v>
      </c>
      <c r="M5993" s="1302">
        <v>108.05</v>
      </c>
      <c r="N5993" s="1700"/>
      <c r="O5993" s="1290">
        <f>(G5993*M5993)</f>
        <v>0.54025000000000001</v>
      </c>
      <c r="P5993" s="1332">
        <f>M5993*K5993</f>
        <v>3.0794250000000001</v>
      </c>
      <c r="Q5993" s="3391"/>
      <c r="R5993" s="2338"/>
    </row>
    <row r="5994" spans="1:18" s="16" customFormat="1">
      <c r="A5994" s="19"/>
      <c r="B5994" s="553"/>
      <c r="C5994" s="1320"/>
      <c r="D5994" s="1396"/>
      <c r="E5994" s="1856"/>
      <c r="F5994" s="1421"/>
      <c r="G5994" s="1452"/>
      <c r="H5994" s="1453"/>
      <c r="I5994" s="1286"/>
      <c r="J5994" s="198"/>
      <c r="K5994" s="1307"/>
      <c r="L5994" s="1335"/>
      <c r="M5994" s="1302"/>
      <c r="N5994" s="1700"/>
      <c r="O5994" s="1290"/>
      <c r="P5994" s="1332"/>
      <c r="Q5994" s="3391"/>
      <c r="R5994" s="2338"/>
    </row>
    <row r="5995" spans="1:18" s="16" customFormat="1">
      <c r="A5995" s="19"/>
      <c r="B5995" s="553"/>
      <c r="C5995" s="1042"/>
      <c r="D5995" s="1400"/>
      <c r="E5995" s="1856"/>
      <c r="F5995" s="1397"/>
      <c r="G5995" s="1416"/>
      <c r="H5995" s="1399"/>
      <c r="I5995" s="197"/>
      <c r="J5995" s="198"/>
      <c r="K5995" s="1307" t="s">
        <v>506</v>
      </c>
      <c r="L5995" s="1335"/>
      <c r="M5995" s="1302"/>
      <c r="N5995" s="1700"/>
      <c r="O5995" s="1290"/>
      <c r="P5995" s="1332"/>
      <c r="Q5995" s="3391"/>
      <c r="R5995" s="2338"/>
    </row>
    <row r="5996" spans="1:18" s="16" customFormat="1">
      <c r="A5996" s="19"/>
      <c r="B5996" s="553"/>
      <c r="C5996" s="1042"/>
      <c r="D5996" s="1404"/>
      <c r="E5996" s="1858"/>
      <c r="F5996" s="1465" t="s">
        <v>2</v>
      </c>
      <c r="G5996" s="1466"/>
      <c r="H5996" s="1362"/>
      <c r="I5996" s="1381"/>
      <c r="J5996" s="1381"/>
      <c r="K5996" s="1359"/>
      <c r="L5996" s="1458"/>
      <c r="M5996" s="1498"/>
      <c r="N5996" s="1498"/>
      <c r="O5996" s="1498"/>
      <c r="P5996" s="1359"/>
      <c r="Q5996" s="3387"/>
      <c r="R5996" s="2338"/>
    </row>
    <row r="5997" spans="1:18" s="16" customFormat="1">
      <c r="A5997" s="19"/>
      <c r="B5997" s="553"/>
      <c r="C5997" s="1042"/>
      <c r="D5997" s="1622" t="s">
        <v>1153</v>
      </c>
      <c r="E5997" s="2125" t="s">
        <v>1508</v>
      </c>
      <c r="F5997" s="1363" t="s">
        <v>1697</v>
      </c>
      <c r="G5997" s="1408">
        <v>0.3</v>
      </c>
      <c r="H5997" s="1408"/>
      <c r="I5997" s="1340"/>
      <c r="J5997" s="198"/>
      <c r="K5997" s="1307">
        <f>G5997*K5990</f>
        <v>1.71</v>
      </c>
      <c r="L5997" s="1335">
        <f t="shared" ref="L5997" si="787">$K$5881*K5997</f>
        <v>189.82656989999998</v>
      </c>
      <c r="M5997" s="1302">
        <v>19.23</v>
      </c>
      <c r="N5997" s="1700"/>
      <c r="O5997" s="1290">
        <f>(G5997*M5997)</f>
        <v>5.7690000000000001</v>
      </c>
      <c r="P5997" s="1332">
        <f>M5997*K5997</f>
        <v>32.883299999999998</v>
      </c>
      <c r="Q5997" s="3391"/>
      <c r="R5997" s="2338"/>
    </row>
    <row r="5998" spans="1:18" s="16" customFormat="1">
      <c r="A5998" s="19"/>
      <c r="B5998" s="553"/>
      <c r="C5998" s="1042"/>
      <c r="D5998" s="1622"/>
      <c r="E5998" s="2125"/>
      <c r="F5998" s="1363"/>
      <c r="G5998" s="1474"/>
      <c r="H5998" s="1408"/>
      <c r="I5998" s="1340"/>
      <c r="J5998" s="198"/>
      <c r="K5998" s="1307"/>
      <c r="L5998" s="1335"/>
      <c r="M5998" s="1302"/>
      <c r="N5998" s="1700"/>
      <c r="O5998" s="1290"/>
      <c r="P5998" s="1332"/>
      <c r="Q5998" s="3391"/>
      <c r="R5998" s="2338"/>
    </row>
    <row r="5999" spans="1:18" s="16" customFormat="1">
      <c r="A5999" s="19"/>
      <c r="B5999" s="553"/>
      <c r="C5999" s="1042"/>
      <c r="D5999" s="1622"/>
      <c r="E5999" s="2125"/>
      <c r="F5999" s="1363"/>
      <c r="G5999" s="1474"/>
      <c r="H5999" s="1408"/>
      <c r="I5999" s="1340"/>
      <c r="J5999" s="198"/>
      <c r="K5999" s="1307"/>
      <c r="L5999" s="1335"/>
      <c r="M5999" s="1302"/>
      <c r="N5999" s="1700"/>
      <c r="O5999" s="1290"/>
      <c r="P5999" s="1332"/>
      <c r="Q5999" s="3391"/>
      <c r="R5999" s="2338"/>
    </row>
    <row r="6000" spans="1:18" s="16" customFormat="1">
      <c r="A6000" s="19"/>
      <c r="B6000" s="553"/>
      <c r="C6000" s="1042"/>
      <c r="D6000" s="1411"/>
      <c r="E6000" s="2123"/>
      <c r="F6000" s="1475" t="s">
        <v>3</v>
      </c>
      <c r="G6000" s="1377"/>
      <c r="H6000" s="1376"/>
      <c r="I6000" s="1383" t="s">
        <v>506</v>
      </c>
      <c r="J6000" s="1383"/>
      <c r="K6000" s="1383"/>
      <c r="L6000" s="1413"/>
      <c r="M6000" s="1376"/>
      <c r="N6000" s="1376"/>
      <c r="O6000" s="1376"/>
      <c r="P6000" s="1373"/>
      <c r="Q6000" s="3387"/>
      <c r="R6000" s="2338"/>
    </row>
    <row r="6001" spans="1:18" s="16" customFormat="1">
      <c r="A6001" s="19"/>
      <c r="B6001" s="553"/>
      <c r="C6001" s="1042"/>
      <c r="D6001" s="1440"/>
      <c r="E6001" s="2132"/>
      <c r="F6001" s="1441"/>
      <c r="G6001" s="1441"/>
      <c r="H6001" s="1442"/>
      <c r="I6001" s="197" t="s">
        <v>506</v>
      </c>
      <c r="J6001" s="198"/>
      <c r="K6001" s="1307"/>
      <c r="L6001" s="1335" t="s">
        <v>506</v>
      </c>
      <c r="M6001" s="1499"/>
      <c r="N6001" s="1701"/>
      <c r="O6001" s="1290"/>
      <c r="P6001" s="1332"/>
      <c r="Q6001" s="3391"/>
      <c r="R6001" s="2338"/>
    </row>
    <row r="6002" spans="1:18" s="16" customFormat="1">
      <c r="B6002" s="553"/>
      <c r="C6002" s="1042"/>
      <c r="D6002" s="1440"/>
      <c r="E6002" s="2132"/>
      <c r="F6002" s="1441"/>
      <c r="G6002" s="1441"/>
      <c r="H6002" s="1442"/>
      <c r="I6002" s="197" t="s">
        <v>506</v>
      </c>
      <c r="J6002" s="198"/>
      <c r="K6002" s="1307"/>
      <c r="L6002" s="1335" t="s">
        <v>506</v>
      </c>
      <c r="M6002" s="1499"/>
      <c r="N6002" s="1701"/>
      <c r="O6002" s="1290"/>
      <c r="P6002" s="1332"/>
      <c r="Q6002" s="3391"/>
      <c r="R6002" s="2338"/>
    </row>
    <row r="6003" spans="1:18" s="16" customFormat="1">
      <c r="B6003" s="554"/>
      <c r="C6003" s="223"/>
      <c r="D6003" s="1440"/>
      <c r="E6003" s="2132"/>
      <c r="F6003" s="1441"/>
      <c r="G6003" s="1441"/>
      <c r="H6003" s="1442"/>
      <c r="I6003" s="197"/>
      <c r="J6003" s="198"/>
      <c r="K6003" s="1307"/>
      <c r="L6003" s="1335"/>
      <c r="M6003" s="1499"/>
      <c r="N6003" s="1701"/>
      <c r="O6003" s="1290"/>
      <c r="P6003" s="1332"/>
      <c r="Q6003" s="3391"/>
      <c r="R6003" s="2338"/>
    </row>
    <row r="6004" spans="1:18" s="16" customFormat="1">
      <c r="A6004" s="18" t="s">
        <v>3764</v>
      </c>
      <c r="B6004" s="4325" t="s">
        <v>1661</v>
      </c>
      <c r="C6004" s="3350"/>
      <c r="D6004" s="4327"/>
      <c r="E6004" s="4337" t="s">
        <v>1507</v>
      </c>
      <c r="F6004" s="4338" t="s">
        <v>1706</v>
      </c>
      <c r="G6004" s="4331" t="s">
        <v>1568</v>
      </c>
      <c r="H6004" s="4331" t="s">
        <v>1574</v>
      </c>
      <c r="I6004" s="1572" t="s">
        <v>1559</v>
      </c>
      <c r="J6004" s="1294" t="s">
        <v>1560</v>
      </c>
      <c r="K6004" s="1294" t="s">
        <v>1561</v>
      </c>
      <c r="L6004" s="4333" t="s">
        <v>3765</v>
      </c>
      <c r="M6004" s="4335" t="s">
        <v>1571</v>
      </c>
      <c r="N6004" s="4323" t="s">
        <v>1776</v>
      </c>
      <c r="O6004" s="3347" t="s">
        <v>1563</v>
      </c>
      <c r="P6004" s="1336" t="s">
        <v>1562</v>
      </c>
      <c r="Q6004" s="3389"/>
      <c r="R6004" s="1699" t="s">
        <v>1327</v>
      </c>
    </row>
    <row r="6005" spans="1:18" s="16" customFormat="1">
      <c r="A6005" s="1662" t="s">
        <v>3900</v>
      </c>
      <c r="B6005" s="4326"/>
      <c r="C6005" s="3354"/>
      <c r="D6005" s="4328"/>
      <c r="E6005" s="4337"/>
      <c r="F6005" s="4338"/>
      <c r="G6005" s="4332"/>
      <c r="H6005" s="4332"/>
      <c r="I6005" s="1345">
        <v>22.8</v>
      </c>
      <c r="J6005" s="1307">
        <v>0.25</v>
      </c>
      <c r="K6005" s="1297">
        <f>I6005*J6005</f>
        <v>5.7</v>
      </c>
      <c r="L6005" s="4334"/>
      <c r="M6005" s="4335"/>
      <c r="N6005" s="4324"/>
      <c r="O6005" s="1298">
        <f>SUM(O6007:O6019)</f>
        <v>8.9870400000000004</v>
      </c>
      <c r="P6005" s="1337">
        <f>K6005*O6005</f>
        <v>51.226128000000003</v>
      </c>
      <c r="Q6005" s="3390"/>
      <c r="R6005" s="1721">
        <f>SUM(P6007:P6019)</f>
        <v>51.226128000000003</v>
      </c>
    </row>
    <row r="6006" spans="1:18" s="16" customFormat="1">
      <c r="A6006" s="19"/>
      <c r="B6006" s="551"/>
      <c r="C6006" s="18"/>
      <c r="D6006" s="1400"/>
      <c r="E6006" s="2121"/>
      <c r="F6006" s="1389" t="s">
        <v>1</v>
      </c>
      <c r="G6006" s="2100"/>
      <c r="H6006" s="1369"/>
      <c r="I6006" s="2088"/>
      <c r="J6006" s="1369"/>
      <c r="K6006" s="1369"/>
      <c r="L6006" s="1554"/>
      <c r="M6006" s="1487"/>
      <c r="N6006" s="1487"/>
      <c r="O6006" s="1487"/>
      <c r="P6006" s="1367"/>
      <c r="Q6006" s="3387"/>
      <c r="R6006" s="2338"/>
    </row>
    <row r="6007" spans="1:18" s="16" customFormat="1">
      <c r="A6007" s="19"/>
      <c r="B6007" s="553"/>
      <c r="C6007" s="1042"/>
      <c r="D6007" s="1615" t="s">
        <v>1698</v>
      </c>
      <c r="E6007" s="1856" t="s">
        <v>1357</v>
      </c>
      <c r="F6007" s="1421" t="s">
        <v>1699</v>
      </c>
      <c r="G6007" s="2101">
        <v>0.45</v>
      </c>
      <c r="H6007" s="1367"/>
      <c r="I6007" s="1617"/>
      <c r="J6007" s="198"/>
      <c r="K6007" s="1307">
        <f>G6007*K6005</f>
        <v>2.5649999999999999</v>
      </c>
      <c r="L6007" s="1335">
        <f t="shared" ref="L6007:L6009" si="788">$K$5881*K6007</f>
        <v>284.73985484999997</v>
      </c>
      <c r="M6007" s="1302">
        <v>1.7</v>
      </c>
      <c r="N6007" s="1700"/>
      <c r="O6007" s="1290">
        <f>(G6007*M6007)</f>
        <v>0.76500000000000001</v>
      </c>
      <c r="P6007" s="1332">
        <f>M6007*K6007</f>
        <v>4.3605</v>
      </c>
      <c r="Q6007" s="3391"/>
      <c r="R6007" s="2338"/>
    </row>
    <row r="6008" spans="1:18" s="16" customFormat="1">
      <c r="A6008" s="19"/>
      <c r="B6008" s="553"/>
      <c r="C6008" s="1042"/>
      <c r="D6008" s="1615" t="s">
        <v>1214</v>
      </c>
      <c r="E6008" s="1856" t="s">
        <v>1357</v>
      </c>
      <c r="F6008" s="1421" t="s">
        <v>1700</v>
      </c>
      <c r="G6008" s="2102">
        <v>0.35</v>
      </c>
      <c r="H6008" s="1367"/>
      <c r="I6008" s="1286"/>
      <c r="J6008" s="198"/>
      <c r="K6008" s="1307">
        <f>G6008*K6005</f>
        <v>1.9949999999999999</v>
      </c>
      <c r="L6008" s="1335">
        <f t="shared" si="788"/>
        <v>221.46433154999997</v>
      </c>
      <c r="M6008" s="1302">
        <v>4.2</v>
      </c>
      <c r="N6008" s="1700"/>
      <c r="O6008" s="1290">
        <f>(G6008*M6008)</f>
        <v>1.47</v>
      </c>
      <c r="P6008" s="1332">
        <f>M6008*K6008</f>
        <v>8.3789999999999996</v>
      </c>
      <c r="Q6008" s="3391"/>
      <c r="R6008" s="3363"/>
    </row>
    <row r="6009" spans="1:18" s="16" customFormat="1">
      <c r="A6009" s="19"/>
      <c r="B6009" s="553"/>
      <c r="C6009" s="1320"/>
      <c r="D6009" s="1400" t="s">
        <v>1701</v>
      </c>
      <c r="E6009" s="1856" t="s">
        <v>1504</v>
      </c>
      <c r="F6009" s="1421" t="s">
        <v>1541</v>
      </c>
      <c r="G6009" s="2103">
        <v>0.2</v>
      </c>
      <c r="H6009" s="1367"/>
      <c r="I6009" s="2104"/>
      <c r="J6009" s="1341"/>
      <c r="K6009" s="1307">
        <f>G6009*K6005</f>
        <v>1.1400000000000001</v>
      </c>
      <c r="L6009" s="1335">
        <f t="shared" si="788"/>
        <v>126.55104660000001</v>
      </c>
      <c r="M6009" s="1302">
        <v>0.3</v>
      </c>
      <c r="N6009" s="1700"/>
      <c r="O6009" s="1290">
        <f>(G6009*M6009)</f>
        <v>0.06</v>
      </c>
      <c r="P6009" s="1332">
        <f>M6009*K6009</f>
        <v>0.34200000000000003</v>
      </c>
      <c r="Q6009" s="3391"/>
      <c r="R6009" s="3363"/>
    </row>
    <row r="6010" spans="1:18" s="16" customFormat="1">
      <c r="A6010" s="19"/>
      <c r="B6010" s="553"/>
      <c r="C6010" s="1320"/>
      <c r="D6010" s="1400"/>
      <c r="E6010" s="1856"/>
      <c r="F6010" s="1421"/>
      <c r="G6010" s="2103"/>
      <c r="H6010" s="1367"/>
      <c r="I6010" s="2104"/>
      <c r="J6010" s="1341"/>
      <c r="K6010" s="1307"/>
      <c r="L6010" s="1335"/>
      <c r="M6010" s="1302"/>
      <c r="N6010" s="1700"/>
      <c r="O6010" s="1290"/>
      <c r="P6010" s="1332"/>
      <c r="Q6010" s="3391"/>
      <c r="R6010" s="3363"/>
    </row>
    <row r="6011" spans="1:18" s="16" customFormat="1">
      <c r="A6011" s="19"/>
      <c r="B6011" s="553"/>
      <c r="C6011" s="1042"/>
      <c r="D6011" s="1400"/>
      <c r="E6011" s="1856"/>
      <c r="F6011" s="1421"/>
      <c r="G6011" s="2103"/>
      <c r="H6011" s="1367"/>
      <c r="I6011" s="2104"/>
      <c r="J6011" s="1341"/>
      <c r="K6011" s="1307" t="s">
        <v>506</v>
      </c>
      <c r="L6011" s="1335"/>
      <c r="M6011" s="1302"/>
      <c r="N6011" s="1700"/>
      <c r="O6011" s="1290"/>
      <c r="P6011" s="1332"/>
      <c r="Q6011" s="3391"/>
      <c r="R6011" s="3363"/>
    </row>
    <row r="6012" spans="1:18" s="16" customFormat="1">
      <c r="A6012" s="19"/>
      <c r="B6012" s="553"/>
      <c r="C6012" s="1042"/>
      <c r="D6012" s="1404"/>
      <c r="E6012" s="1858"/>
      <c r="F6012" s="1465" t="s">
        <v>2</v>
      </c>
      <c r="G6012" s="1429"/>
      <c r="H6012" s="1359"/>
      <c r="I6012" s="2105"/>
      <c r="J6012" s="1381"/>
      <c r="K6012" s="1359"/>
      <c r="L6012" s="1458"/>
      <c r="M6012" s="1498"/>
      <c r="N6012" s="1498"/>
      <c r="O6012" s="1498"/>
      <c r="P6012" s="1359"/>
      <c r="Q6012" s="3387"/>
      <c r="R6012" s="3363"/>
    </row>
    <row r="6013" spans="1:18" s="16" customFormat="1">
      <c r="A6013" s="19"/>
      <c r="B6013" s="553"/>
      <c r="C6013" s="1042"/>
      <c r="D6013" s="1623" t="s">
        <v>1702</v>
      </c>
      <c r="E6013" s="2158" t="s">
        <v>1508</v>
      </c>
      <c r="F6013" s="1801" t="s">
        <v>1703</v>
      </c>
      <c r="G6013" s="1822">
        <v>0.34799999999999998</v>
      </c>
      <c r="H6013" s="1359"/>
      <c r="I6013" s="2106"/>
      <c r="J6013" s="198"/>
      <c r="K6013" s="1307">
        <f>G6013*K6005</f>
        <v>1.9836</v>
      </c>
      <c r="L6013" s="1335">
        <f t="shared" ref="L6013" si="789">$K$5881*K6013</f>
        <v>220.19882108399997</v>
      </c>
      <c r="M6013" s="1302">
        <v>19.23</v>
      </c>
      <c r="N6013" s="1700"/>
      <c r="O6013" s="1290">
        <f>(G6013*M6013)</f>
        <v>6.6920399999999995</v>
      </c>
      <c r="P6013" s="1332">
        <f>M6013*K6013</f>
        <v>38.144628000000004</v>
      </c>
      <c r="Q6013" s="3391"/>
      <c r="R6013" s="3363"/>
    </row>
    <row r="6014" spans="1:18" s="16" customFormat="1">
      <c r="A6014"/>
      <c r="B6014" s="553"/>
      <c r="C6014" s="1042"/>
      <c r="D6014" s="1623"/>
      <c r="E6014" s="2158"/>
      <c r="F6014" s="1801"/>
      <c r="G6014" s="1822"/>
      <c r="H6014" s="1359"/>
      <c r="I6014" s="2106"/>
      <c r="J6014" s="198"/>
      <c r="K6014" s="1307"/>
      <c r="L6014" s="1335"/>
      <c r="M6014" s="1302"/>
      <c r="N6014" s="1700"/>
      <c r="O6014" s="1290"/>
      <c r="P6014" s="1332"/>
      <c r="Q6014" s="3391"/>
      <c r="R6014" s="2344"/>
    </row>
    <row r="6015" spans="1:18" s="16" customFormat="1">
      <c r="A6015"/>
      <c r="B6015" s="553"/>
      <c r="C6015" s="1042"/>
      <c r="D6015" s="1623"/>
      <c r="E6015" s="2158"/>
      <c r="F6015" s="1801"/>
      <c r="G6015" s="1822"/>
      <c r="H6015" s="1359"/>
      <c r="I6015" s="2106"/>
      <c r="J6015" s="198"/>
      <c r="K6015" s="1307"/>
      <c r="L6015" s="1335"/>
      <c r="M6015" s="1302"/>
      <c r="N6015" s="1700"/>
      <c r="O6015" s="1290"/>
      <c r="P6015" s="1332"/>
      <c r="Q6015" s="3391"/>
      <c r="R6015" s="3363"/>
    </row>
    <row r="6016" spans="1:18" s="16" customFormat="1">
      <c r="A6016"/>
      <c r="B6016" s="553"/>
      <c r="C6016" s="1042"/>
      <c r="D6016" s="1411"/>
      <c r="E6016" s="2123"/>
      <c r="F6016" s="1475" t="s">
        <v>3</v>
      </c>
      <c r="G6016" s="1377"/>
      <c r="H6016" s="1376"/>
      <c r="I6016" s="1383" t="s">
        <v>506</v>
      </c>
      <c r="J6016" s="1383"/>
      <c r="K6016" s="1383"/>
      <c r="L6016" s="1413" t="s">
        <v>506</v>
      </c>
      <c r="M6016" s="1376"/>
      <c r="N6016" s="1376"/>
      <c r="O6016" s="1376"/>
      <c r="P6016" s="1373"/>
      <c r="Q6016" s="3387"/>
      <c r="R6016" s="3363"/>
    </row>
    <row r="6017" spans="1:18" s="16" customFormat="1">
      <c r="A6017"/>
      <c r="B6017" s="553"/>
      <c r="C6017" s="1042"/>
      <c r="D6017" s="1440"/>
      <c r="E6017" s="2132"/>
      <c r="F6017" s="1441"/>
      <c r="G6017" s="1441"/>
      <c r="H6017" s="1442"/>
      <c r="I6017" s="197" t="s">
        <v>506</v>
      </c>
      <c r="J6017" s="198"/>
      <c r="K6017" s="1307"/>
      <c r="L6017" s="1335" t="s">
        <v>506</v>
      </c>
      <c r="M6017" s="1499"/>
      <c r="N6017" s="1701"/>
      <c r="O6017" s="1290"/>
      <c r="P6017" s="1332"/>
      <c r="Q6017" s="3391"/>
      <c r="R6017" s="1173"/>
    </row>
    <row r="6018" spans="1:18" s="16" customFormat="1">
      <c r="A6018"/>
      <c r="B6018" s="553"/>
      <c r="C6018" s="1042"/>
      <c r="D6018" s="1440"/>
      <c r="E6018" s="2132"/>
      <c r="F6018" s="1441"/>
      <c r="G6018" s="1441"/>
      <c r="H6018" s="1442"/>
      <c r="I6018" s="197" t="s">
        <v>506</v>
      </c>
      <c r="J6018" s="198"/>
      <c r="K6018" s="1307"/>
      <c r="L6018" s="1335" t="s">
        <v>506</v>
      </c>
      <c r="M6018" s="1499"/>
      <c r="N6018" s="1701"/>
      <c r="O6018" s="1290"/>
      <c r="P6018" s="1332"/>
      <c r="Q6018" s="3391"/>
      <c r="R6018" s="2338"/>
    </row>
    <row r="6019" spans="1:18" s="16" customFormat="1">
      <c r="A6019" s="3359"/>
      <c r="B6019" s="554"/>
      <c r="C6019" s="223"/>
      <c r="D6019" s="1440"/>
      <c r="E6019" s="2132"/>
      <c r="F6019" s="1955"/>
      <c r="G6019" s="1955"/>
      <c r="H6019" s="1956"/>
      <c r="I6019" s="197"/>
      <c r="J6019" s="198"/>
      <c r="K6019" s="1307"/>
      <c r="L6019" s="1335"/>
      <c r="M6019" s="1499"/>
      <c r="N6019" s="1701"/>
      <c r="O6019" s="1290"/>
      <c r="P6019" s="1332"/>
      <c r="Q6019" s="3391"/>
      <c r="R6019" s="2338"/>
    </row>
    <row r="6020" spans="1:18" s="16" customFormat="1">
      <c r="E6020" s="2182"/>
      <c r="F6020" s="2080"/>
      <c r="G6020" s="2080"/>
      <c r="H6020" s="13"/>
      <c r="I6020" s="1561"/>
      <c r="J6020" s="13"/>
      <c r="K6020" s="1639"/>
      <c r="L6020" s="1640"/>
      <c r="M6020" s="1292"/>
      <c r="N6020" s="1292"/>
      <c r="O6020" s="1292"/>
      <c r="P6020" s="1292"/>
      <c r="Q6020" s="3391"/>
      <c r="R6020" s="1296"/>
    </row>
    <row r="6021" spans="1:18" s="16" customFormat="1">
      <c r="E6021" s="2182"/>
      <c r="F6021" s="2080"/>
      <c r="G6021" s="2080"/>
      <c r="H6021" s="13"/>
      <c r="I6021" s="1561"/>
      <c r="J6021" s="13"/>
      <c r="K6021" s="1639"/>
      <c r="L6021" s="1640"/>
      <c r="M6021" s="1292"/>
      <c r="N6021" s="1292"/>
      <c r="O6021" s="1292"/>
      <c r="P6021" s="1292"/>
      <c r="Q6021" s="3391"/>
      <c r="R6021" s="1296"/>
    </row>
    <row r="6022" spans="1:18" s="16" customFormat="1">
      <c r="E6022" s="2182"/>
      <c r="F6022" s="2080"/>
      <c r="G6022" s="2080"/>
      <c r="H6022" s="13"/>
      <c r="I6022" s="1561"/>
      <c r="J6022" s="13"/>
      <c r="K6022" s="1639"/>
      <c r="L6022" s="1640"/>
      <c r="M6022" s="1292"/>
      <c r="N6022" s="1292"/>
      <c r="O6022" s="1292"/>
      <c r="P6022" s="1292"/>
      <c r="Q6022" s="3391"/>
      <c r="R6022" s="1296"/>
    </row>
    <row r="6023" spans="1:18" s="16" customFormat="1" ht="21">
      <c r="A6023" s="4455" t="s">
        <v>71</v>
      </c>
      <c r="B6023" s="4456"/>
      <c r="C6023" s="4456"/>
      <c r="D6023" s="4456"/>
      <c r="E6023" s="2320" t="s">
        <v>2138</v>
      </c>
      <c r="F6023" s="2321" t="s">
        <v>2137</v>
      </c>
      <c r="G6023" s="1288"/>
      <c r="H6023" s="1288"/>
      <c r="I6023" s="1557"/>
      <c r="J6023" s="1288"/>
      <c r="K6023" s="1288"/>
      <c r="L6023" s="1557"/>
      <c r="M6023" s="1288"/>
      <c r="N6023" s="1288"/>
      <c r="O6023" s="1288"/>
      <c r="P6023" s="1283"/>
      <c r="Q6023" s="3386"/>
      <c r="R6023" s="2339"/>
    </row>
    <row r="6024" spans="1:18" s="16" customFormat="1">
      <c r="E6024" s="2182"/>
      <c r="F6024" s="2080"/>
      <c r="G6024" s="2080"/>
      <c r="H6024" s="13"/>
      <c r="I6024" s="1561"/>
      <c r="J6024" s="13"/>
      <c r="K6024" s="1639"/>
      <c r="L6024" s="1640"/>
      <c r="M6024" s="1292"/>
      <c r="N6024" s="1292"/>
      <c r="O6024" s="1292"/>
      <c r="P6024" s="1292"/>
      <c r="Q6024" s="3391"/>
      <c r="R6024" s="1296"/>
    </row>
    <row r="6025" spans="1:18" s="16" customFormat="1" ht="28.5">
      <c r="E6025" s="2182"/>
      <c r="F6025" s="2080"/>
      <c r="G6025" s="2080"/>
      <c r="H6025" s="13"/>
      <c r="I6025" s="1561"/>
      <c r="J6025" s="13"/>
      <c r="K6025" s="1639"/>
      <c r="L6025" s="2375" t="s">
        <v>2856</v>
      </c>
      <c r="M6025" s="1292"/>
      <c r="N6025" s="1292"/>
      <c r="O6025" s="1292"/>
      <c r="P6025" s="1292"/>
      <c r="Q6025" s="3391"/>
      <c r="R6025" s="1296"/>
    </row>
    <row r="6026" spans="1:18" s="16" customFormat="1">
      <c r="A6026" s="4393" t="s">
        <v>162</v>
      </c>
      <c r="B6026" s="4394"/>
      <c r="C6026" s="4394"/>
      <c r="D6026" s="4395"/>
      <c r="E6026" s="4396" t="s">
        <v>1549</v>
      </c>
      <c r="F6026" s="4397" t="s">
        <v>1550</v>
      </c>
      <c r="G6026" s="4399" t="s">
        <v>1566</v>
      </c>
      <c r="H6026" s="4400"/>
      <c r="I6026" s="4400"/>
      <c r="J6026" s="4400"/>
      <c r="K6026" s="4400"/>
      <c r="L6026" s="4401"/>
      <c r="M6026" s="4405" t="s">
        <v>1567</v>
      </c>
      <c r="N6026" s="4405"/>
      <c r="O6026" s="4405"/>
      <c r="P6026" s="4405"/>
      <c r="Q6026" s="3395"/>
      <c r="R6026" s="2339"/>
    </row>
    <row r="6027" spans="1:18" s="16" customFormat="1">
      <c r="A6027" s="1324" t="s">
        <v>3766</v>
      </c>
      <c r="B6027" s="1325" t="s">
        <v>1513</v>
      </c>
      <c r="C6027" s="1326" t="s">
        <v>1573</v>
      </c>
      <c r="D6027" s="1323" t="s">
        <v>1514</v>
      </c>
      <c r="E6027" s="4396"/>
      <c r="F6027" s="4398"/>
      <c r="G6027" s="4402"/>
      <c r="H6027" s="4403"/>
      <c r="I6027" s="4403"/>
      <c r="J6027" s="4403"/>
      <c r="K6027" s="4403"/>
      <c r="L6027" s="4404"/>
      <c r="M6027" s="4405"/>
      <c r="N6027" s="4405"/>
      <c r="O6027" s="4405"/>
      <c r="P6027" s="4405"/>
      <c r="Q6027" s="3407" t="s">
        <v>3357</v>
      </c>
      <c r="R6027" s="2339"/>
    </row>
    <row r="6028" spans="1:18" s="16" customFormat="1" ht="29">
      <c r="A6028" s="4374" t="s">
        <v>3901</v>
      </c>
      <c r="B6028" s="4375"/>
      <c r="C6028" s="4375"/>
      <c r="D6028" s="4376"/>
      <c r="E6028" s="4380" t="s">
        <v>1507</v>
      </c>
      <c r="F6028" s="4469" t="s">
        <v>3356</v>
      </c>
      <c r="G6028" s="4406" t="s">
        <v>294</v>
      </c>
      <c r="H6028" s="4407"/>
      <c r="I6028" s="1665" t="s">
        <v>1565</v>
      </c>
      <c r="J6028" s="3348" t="s">
        <v>1575</v>
      </c>
      <c r="K6028" s="4406" t="s">
        <v>289</v>
      </c>
      <c r="L6028" s="4407"/>
      <c r="M6028" s="4408" t="s">
        <v>3349</v>
      </c>
      <c r="N6028" s="4408"/>
      <c r="O6028" s="4408"/>
      <c r="P6028" s="4408"/>
      <c r="Q6028" s="3394" t="s">
        <v>3956</v>
      </c>
      <c r="R6028" s="2339"/>
    </row>
    <row r="6029" spans="1:18" s="16" customFormat="1" ht="21">
      <c r="A6029" s="4377"/>
      <c r="B6029" s="4378"/>
      <c r="C6029" s="4378"/>
      <c r="D6029" s="4379"/>
      <c r="E6029" s="4381"/>
      <c r="F6029" s="4470"/>
      <c r="G6029" s="4451">
        <f>IF('Seleccion proyecto HEREVEA02'!G51="Nueva instalación",'Seleccion proyecto HEREVEA02'!E51,0)</f>
        <v>0</v>
      </c>
      <c r="H6029" s="4452"/>
      <c r="I6029" s="3353">
        <f>IF('Seleccion proyecto HEREVEA02'!H51=0,0,IF('Seleccion proyecto HEREVEA02'!H51=100,1))</f>
        <v>0</v>
      </c>
      <c r="J6029" s="1351">
        <f>'Seleccion proyecto HEREVEA02'!L8</f>
        <v>11100.968999999999</v>
      </c>
      <c r="K6029" s="4358">
        <f>G6029*I6029*J6029</f>
        <v>0</v>
      </c>
      <c r="L6029" s="4359"/>
      <c r="M6029" s="4360">
        <f>P6031+P6050+P6069+P6083+P6098+P6117+P6136+P6155+P6170+P6185+P6201+P6216</f>
        <v>1165.4438869200003</v>
      </c>
      <c r="N6029" s="4361"/>
      <c r="O6029" s="4361"/>
      <c r="P6029" s="4449"/>
      <c r="Q6029" s="3388">
        <f>M6029*K6029</f>
        <v>0</v>
      </c>
      <c r="R6029" s="2372" t="s">
        <v>2844</v>
      </c>
    </row>
    <row r="6030" spans="1:18" s="16" customFormat="1">
      <c r="A6030" s="88" t="s">
        <v>3764</v>
      </c>
      <c r="B6030" s="4325" t="s">
        <v>2651</v>
      </c>
      <c r="C6030" s="3354"/>
      <c r="D6030" s="4368"/>
      <c r="E6030" s="4329" t="s">
        <v>1504</v>
      </c>
      <c r="F6030" s="4336" t="s">
        <v>2652</v>
      </c>
      <c r="G6030" s="4331" t="s">
        <v>1568</v>
      </c>
      <c r="H6030" s="4331" t="s">
        <v>1574</v>
      </c>
      <c r="I6030" s="1572" t="s">
        <v>1559</v>
      </c>
      <c r="J6030" s="1294" t="s">
        <v>1560</v>
      </c>
      <c r="K6030" s="1294" t="s">
        <v>1569</v>
      </c>
      <c r="L6030" s="4333" t="s">
        <v>3765</v>
      </c>
      <c r="M6030" s="4335" t="s">
        <v>1571</v>
      </c>
      <c r="N6030" s="4323" t="s">
        <v>1776</v>
      </c>
      <c r="O6030" s="3347" t="s">
        <v>1563</v>
      </c>
      <c r="P6030" s="1336" t="s">
        <v>1562</v>
      </c>
      <c r="Q6030" s="3389"/>
      <c r="R6030" s="1699" t="s">
        <v>1327</v>
      </c>
    </row>
    <row r="6031" spans="1:18" s="16" customFormat="1">
      <c r="A6031" s="1662" t="s">
        <v>3901</v>
      </c>
      <c r="B6031" s="4326"/>
      <c r="C6031" s="3354"/>
      <c r="D6031" s="4328"/>
      <c r="E6031" s="4330"/>
      <c r="F6031" s="4336"/>
      <c r="G6031" s="4332"/>
      <c r="H6031" s="4332"/>
      <c r="I6031" s="1345">
        <v>2</v>
      </c>
      <c r="J6031" s="1307">
        <v>0.51</v>
      </c>
      <c r="K6031" s="1297">
        <f>I6031*J6031</f>
        <v>1.02</v>
      </c>
      <c r="L6031" s="4334"/>
      <c r="M6031" s="4335"/>
      <c r="N6031" s="4324"/>
      <c r="O6031" s="1298">
        <f>SUM(O6033:O6041)</f>
        <v>132.899</v>
      </c>
      <c r="P6031" s="1337">
        <f>O6031*K6031</f>
        <v>135.55698000000001</v>
      </c>
      <c r="Q6031" s="3390"/>
      <c r="R6031" s="1721">
        <f>P6033+P6034+P6035+P6036+P6037+P6040+P6041</f>
        <v>135.55698000000001</v>
      </c>
    </row>
    <row r="6032" spans="1:18" s="16" customFormat="1">
      <c r="A6032" s="22"/>
      <c r="B6032" s="1949"/>
      <c r="C6032" s="1327"/>
      <c r="D6032" s="1400"/>
      <c r="E6032" s="2121"/>
      <c r="F6032" s="1389" t="s">
        <v>1</v>
      </c>
      <c r="G6032" s="1389"/>
      <c r="H6032" s="1369"/>
      <c r="I6032" s="1409"/>
      <c r="J6032" s="1390"/>
      <c r="K6032" s="1391"/>
      <c r="L6032" s="1559"/>
      <c r="M6032" s="1369"/>
      <c r="N6032" s="1369"/>
      <c r="O6032" s="1369"/>
      <c r="P6032" s="1392"/>
      <c r="Q6032" s="3395"/>
      <c r="R6032" s="1296"/>
    </row>
    <row r="6033" spans="1:18" s="16" customFormat="1">
      <c r="A6033" s="22"/>
      <c r="B6033" s="1320"/>
      <c r="C6033" s="595"/>
      <c r="D6033" s="1400" t="s">
        <v>2657</v>
      </c>
      <c r="E6033" s="1856" t="s">
        <v>1504</v>
      </c>
      <c r="F6033" s="1397" t="s">
        <v>2658</v>
      </c>
      <c r="G6033" s="1416">
        <v>6</v>
      </c>
      <c r="H6033" s="1399"/>
      <c r="I6033" s="197"/>
      <c r="J6033" s="198"/>
      <c r="K6033" s="1307">
        <f>G6033*K6031</f>
        <v>6.12</v>
      </c>
      <c r="L6033" s="1335">
        <f t="shared" ref="L6033:L6037" si="790">K6033*$K$6029</f>
        <v>0</v>
      </c>
      <c r="M6033" s="1302">
        <v>12.47</v>
      </c>
      <c r="N6033" s="1718"/>
      <c r="O6033" s="1290">
        <f>G6033*M6033</f>
        <v>74.820000000000007</v>
      </c>
      <c r="P6033" s="1332">
        <f>M6033*K6033</f>
        <v>76.316400000000002</v>
      </c>
      <c r="Q6033" s="3391"/>
      <c r="R6033" s="2337"/>
    </row>
    <row r="6034" spans="1:18" s="16" customFormat="1" ht="21" customHeight="1">
      <c r="A6034" s="2294"/>
      <c r="B6034" s="1320"/>
      <c r="C6034" s="595"/>
      <c r="D6034" s="1400" t="s">
        <v>2653</v>
      </c>
      <c r="E6034" s="1856" t="s">
        <v>1504</v>
      </c>
      <c r="F6034" s="1397" t="s">
        <v>2654</v>
      </c>
      <c r="G6034" s="1416">
        <v>1</v>
      </c>
      <c r="H6034" s="1399"/>
      <c r="I6034" s="197"/>
      <c r="J6034" s="198"/>
      <c r="K6034" s="1307">
        <f>G6034*K6031</f>
        <v>1.02</v>
      </c>
      <c r="L6034" s="1335">
        <f t="shared" si="790"/>
        <v>0</v>
      </c>
      <c r="M6034" s="1302">
        <v>0.68</v>
      </c>
      <c r="N6034" s="1718"/>
      <c r="O6034" s="1290">
        <f>G6034*M6034</f>
        <v>0.68</v>
      </c>
      <c r="P6034" s="1332">
        <f>M6034*K6034</f>
        <v>0.69360000000000011</v>
      </c>
      <c r="Q6034" s="3391"/>
      <c r="R6034" s="2337"/>
    </row>
    <row r="6035" spans="1:18" s="16" customFormat="1" ht="15" customHeight="1">
      <c r="A6035" s="2294"/>
      <c r="B6035" s="1320"/>
      <c r="C6035" s="595"/>
      <c r="D6035" s="1400" t="s">
        <v>2655</v>
      </c>
      <c r="E6035" s="1856" t="s">
        <v>1504</v>
      </c>
      <c r="F6035" s="1397" t="s">
        <v>2656</v>
      </c>
      <c r="G6035" s="1416">
        <v>1</v>
      </c>
      <c r="H6035" s="1399"/>
      <c r="I6035" s="197"/>
      <c r="J6035" s="198"/>
      <c r="K6035" s="1307">
        <f>G6035*K6031</f>
        <v>1.02</v>
      </c>
      <c r="L6035" s="1335">
        <f t="shared" si="790"/>
        <v>0</v>
      </c>
      <c r="M6035" s="1302">
        <v>4.49</v>
      </c>
      <c r="N6035" s="1718"/>
      <c r="O6035" s="1290">
        <f>G6035*M6035</f>
        <v>4.49</v>
      </c>
      <c r="P6035" s="1332">
        <f>M6035*K6035</f>
        <v>4.5798000000000005</v>
      </c>
      <c r="Q6035" s="3391"/>
      <c r="R6035" s="2337"/>
    </row>
    <row r="6036" spans="1:18" s="16" customFormat="1" ht="15" customHeight="1">
      <c r="A6036" s="2294"/>
      <c r="B6036" s="1599"/>
      <c r="C6036" s="1320"/>
      <c r="D6036" s="2026" t="s">
        <v>1082</v>
      </c>
      <c r="E6036" s="2154" t="s">
        <v>1504</v>
      </c>
      <c r="F6036" s="1598" t="s">
        <v>1541</v>
      </c>
      <c r="G6036" s="1612">
        <v>2</v>
      </c>
      <c r="H6036" s="1390"/>
      <c r="I6036" s="1289"/>
      <c r="J6036" s="8"/>
      <c r="K6036" s="1307">
        <f>G6036*K6031</f>
        <v>2.04</v>
      </c>
      <c r="L6036" s="1335">
        <f t="shared" si="790"/>
        <v>0</v>
      </c>
      <c r="M6036" s="1302">
        <v>0.3</v>
      </c>
      <c r="N6036" s="1700"/>
      <c r="O6036" s="1290">
        <f>G6036*M6036</f>
        <v>0.6</v>
      </c>
      <c r="P6036" s="1332">
        <f>M6036*K6036</f>
        <v>0.61199999999999999</v>
      </c>
      <c r="Q6036" s="3391"/>
      <c r="R6036" s="1296"/>
    </row>
    <row r="6037" spans="1:18" s="16" customFormat="1" ht="15" customHeight="1">
      <c r="A6037" s="2294"/>
      <c r="B6037" s="1320"/>
      <c r="C6037" s="595"/>
      <c r="D6037" s="1400" t="s">
        <v>1097</v>
      </c>
      <c r="E6037" s="1856" t="s">
        <v>1504</v>
      </c>
      <c r="F6037" s="1397" t="s">
        <v>1632</v>
      </c>
      <c r="G6037" s="1416">
        <v>16</v>
      </c>
      <c r="H6037" s="1399"/>
      <c r="I6037" s="197"/>
      <c r="J6037" s="198"/>
      <c r="K6037" s="1307">
        <f>G6037*K6031</f>
        <v>16.32</v>
      </c>
      <c r="L6037" s="1335">
        <f t="shared" si="790"/>
        <v>0</v>
      </c>
      <c r="M6037" s="1302">
        <v>0.55000000000000004</v>
      </c>
      <c r="N6037" s="1718"/>
      <c r="O6037" s="1290">
        <f>G6037*M6037</f>
        <v>8.8000000000000007</v>
      </c>
      <c r="P6037" s="1332">
        <f>M6037*K6037</f>
        <v>8.9760000000000009</v>
      </c>
      <c r="Q6037" s="3391"/>
      <c r="R6037" s="2337"/>
    </row>
    <row r="6038" spans="1:18" s="16" customFormat="1">
      <c r="A6038" s="22"/>
      <c r="B6038" s="1320"/>
      <c r="C6038" s="595"/>
      <c r="D6038" s="1367"/>
      <c r="E6038" s="1856"/>
      <c r="F6038" s="1421"/>
      <c r="G6038" s="1452"/>
      <c r="H6038" s="1399"/>
      <c r="I6038" s="197"/>
      <c r="J6038" s="198"/>
      <c r="K6038" s="1732"/>
      <c r="L6038" s="1335"/>
      <c r="M6038" s="1302"/>
      <c r="N6038" s="1718"/>
      <c r="O6038" s="1290"/>
      <c r="P6038" s="1332"/>
      <c r="Q6038" s="3391"/>
      <c r="R6038" s="2337"/>
    </row>
    <row r="6039" spans="1:18" s="16" customFormat="1">
      <c r="A6039" s="22"/>
      <c r="B6039" s="1320"/>
      <c r="C6039" s="88"/>
      <c r="D6039" s="1443"/>
      <c r="E6039" s="1858"/>
      <c r="F6039" s="1360" t="s">
        <v>2</v>
      </c>
      <c r="G6039" s="1360"/>
      <c r="H6039" s="1362"/>
      <c r="I6039" s="1380"/>
      <c r="J6039" s="1381"/>
      <c r="K6039" s="1381"/>
      <c r="L6039" s="1458"/>
      <c r="M6039" s="1362"/>
      <c r="N6039" s="1362"/>
      <c r="O6039" s="1362"/>
      <c r="P6039" s="1359"/>
      <c r="Q6039" s="3387"/>
      <c r="R6039" s="2339"/>
    </row>
    <row r="6040" spans="1:18" s="16" customFormat="1">
      <c r="A6040" s="22"/>
      <c r="B6040" s="1320"/>
      <c r="C6040" s="595"/>
      <c r="D6040" s="1655" t="s">
        <v>1592</v>
      </c>
      <c r="E6040" s="2299" t="s">
        <v>1508</v>
      </c>
      <c r="F6040" s="1655" t="s">
        <v>2659</v>
      </c>
      <c r="G6040" s="1809">
        <v>1.3</v>
      </c>
      <c r="H6040" s="1466"/>
      <c r="I6040" s="1299"/>
      <c r="J6040" s="1300"/>
      <c r="K6040" s="1307">
        <f>G6040*K6031</f>
        <v>1.3260000000000001</v>
      </c>
      <c r="L6040" s="1335">
        <f t="shared" ref="L6040" si="791">K6040*$K$6029</f>
        <v>0</v>
      </c>
      <c r="M6040" s="1302">
        <v>19.23</v>
      </c>
      <c r="N6040" s="1700"/>
      <c r="O6040" s="1290">
        <f>G6040*M6040</f>
        <v>24.999000000000002</v>
      </c>
      <c r="P6040" s="1332">
        <f>M6040*K6040</f>
        <v>25.498980000000003</v>
      </c>
      <c r="Q6040" s="3391"/>
      <c r="R6040" s="1296"/>
    </row>
    <row r="6041" spans="1:18" s="16" customFormat="1">
      <c r="A6041" s="22"/>
      <c r="B6041" s="1320"/>
      <c r="C6041" s="2086" t="s">
        <v>2282</v>
      </c>
      <c r="D6041" s="1311"/>
      <c r="E6041" s="2176" t="s">
        <v>1508</v>
      </c>
      <c r="F6041" s="1648" t="s">
        <v>2283</v>
      </c>
      <c r="G6041" s="1990"/>
      <c r="H6041" s="1954">
        <v>0.5</v>
      </c>
      <c r="I6041" s="1444"/>
      <c r="J6041" s="1388"/>
      <c r="K6041" s="1445"/>
      <c r="L6041" s="1457"/>
      <c r="M6041" s="1447"/>
      <c r="N6041" s="1447">
        <f>SUM(N6042:N6043)</f>
        <v>37.019999999999996</v>
      </c>
      <c r="O6041" s="1447">
        <f>SUM(O6042:O6043)</f>
        <v>18.509999999999998</v>
      </c>
      <c r="P6041" s="1447">
        <f>SUM(P6042:P6043)</f>
        <v>18.880200000000002</v>
      </c>
      <c r="Q6041" s="3391"/>
      <c r="R6041" s="2337"/>
    </row>
    <row r="6042" spans="1:18" s="16" customFormat="1">
      <c r="A6042" s="22"/>
      <c r="B6042" s="1320"/>
      <c r="C6042" s="19"/>
      <c r="D6042" s="1430" t="s">
        <v>1067</v>
      </c>
      <c r="E6042" s="1857" t="s">
        <v>1508</v>
      </c>
      <c r="F6042" s="1403" t="s">
        <v>5</v>
      </c>
      <c r="G6042" s="1991">
        <v>1</v>
      </c>
      <c r="H6042" s="1937">
        <f>G6042*H6041</f>
        <v>0.5</v>
      </c>
      <c r="I6042" s="1286"/>
      <c r="J6042" s="198"/>
      <c r="K6042" s="1307">
        <f>H6042*K6031</f>
        <v>0.51</v>
      </c>
      <c r="L6042" s="1335">
        <f t="shared" ref="L6042:L6043" si="792">K6042*$K$6029</f>
        <v>0</v>
      </c>
      <c r="M6042" s="1302">
        <v>18.28</v>
      </c>
      <c r="N6042" s="1718">
        <f>G6042*M6042</f>
        <v>18.28</v>
      </c>
      <c r="O6042" s="1290">
        <f>H6042*M6042</f>
        <v>9.14</v>
      </c>
      <c r="P6042" s="1720">
        <f>M6042*K6042</f>
        <v>9.3228000000000009</v>
      </c>
      <c r="Q6042" s="3396"/>
      <c r="R6042" s="2337"/>
    </row>
    <row r="6043" spans="1:18" s="16" customFormat="1">
      <c r="A6043" s="22"/>
      <c r="B6043" s="1320"/>
      <c r="C6043" s="19"/>
      <c r="D6043" s="1430" t="s">
        <v>1165</v>
      </c>
      <c r="E6043" s="1857" t="s">
        <v>1508</v>
      </c>
      <c r="F6043" s="1403" t="s">
        <v>114</v>
      </c>
      <c r="G6043" s="1991">
        <v>1</v>
      </c>
      <c r="H6043" s="1937">
        <f>G6043*H6041</f>
        <v>0.5</v>
      </c>
      <c r="I6043" s="197"/>
      <c r="J6043" s="198"/>
      <c r="K6043" s="1307">
        <f>H6043*K6031</f>
        <v>0.51</v>
      </c>
      <c r="L6043" s="1335">
        <f t="shared" si="792"/>
        <v>0</v>
      </c>
      <c r="M6043" s="1302">
        <v>18.739999999999998</v>
      </c>
      <c r="N6043" s="1718">
        <f>G6043*M6043</f>
        <v>18.739999999999998</v>
      </c>
      <c r="O6043" s="1290">
        <f>H6043*M6043</f>
        <v>9.3699999999999992</v>
      </c>
      <c r="P6043" s="1720">
        <f>M6043*K6043</f>
        <v>9.5573999999999995</v>
      </c>
      <c r="Q6043" s="3396"/>
      <c r="R6043" s="2337"/>
    </row>
    <row r="6044" spans="1:18" s="16" customFormat="1">
      <c r="A6044" s="22"/>
      <c r="B6044" s="1320"/>
      <c r="C6044" s="595"/>
      <c r="D6044" s="1655"/>
      <c r="E6044" s="2299"/>
      <c r="F6044" s="1655"/>
      <c r="G6044" s="1809"/>
      <c r="H6044" s="1466"/>
      <c r="I6044" s="1299"/>
      <c r="J6044" s="1300"/>
      <c r="K6044" s="1307"/>
      <c r="L6044" s="1335"/>
      <c r="M6044" s="1302"/>
      <c r="N6044" s="1700"/>
      <c r="O6044" s="1290"/>
      <c r="P6044" s="1332"/>
      <c r="Q6044" s="3391"/>
      <c r="R6044" s="1296"/>
    </row>
    <row r="6045" spans="1:18" s="16" customFormat="1">
      <c r="A6045" s="22"/>
      <c r="B6045" s="1320"/>
      <c r="C6045" s="595"/>
      <c r="D6045" s="1373"/>
      <c r="E6045" s="2123"/>
      <c r="F6045" s="1374" t="s">
        <v>3</v>
      </c>
      <c r="G6045" s="1375"/>
      <c r="H6045" s="1376"/>
      <c r="I6045" s="1382"/>
      <c r="J6045" s="1383"/>
      <c r="K6045" s="1383" t="str">
        <f>IF(COUNT(I6045)=0,"",(I6045*J6045))</f>
        <v/>
      </c>
      <c r="L6045" s="1413"/>
      <c r="M6045" s="1376"/>
      <c r="N6045" s="1376"/>
      <c r="O6045" s="1376"/>
      <c r="P6045" s="1373"/>
      <c r="Q6045" s="3387"/>
      <c r="R6045" s="1296"/>
    </row>
    <row r="6046" spans="1:18" s="16" customFormat="1">
      <c r="A6046" s="22"/>
      <c r="B6046" s="1321"/>
      <c r="C6046" s="2021"/>
      <c r="D6046" s="1377"/>
      <c r="E6046" s="2124"/>
      <c r="F6046" s="1378"/>
      <c r="G6046" s="1378"/>
      <c r="H6046" s="1379"/>
      <c r="I6046" s="1299"/>
      <c r="J6046" s="1300"/>
      <c r="K6046" s="1307"/>
      <c r="L6046" s="1335"/>
      <c r="M6046" s="1302"/>
      <c r="N6046" s="1700"/>
      <c r="O6046" s="1290"/>
      <c r="P6046" s="1332"/>
      <c r="Q6046" s="3391"/>
      <c r="R6046" s="1296"/>
    </row>
    <row r="6047" spans="1:18" s="16" customFormat="1">
      <c r="A6047" s="22"/>
      <c r="B6047" s="1321"/>
      <c r="C6047" s="2021"/>
      <c r="D6047" s="1377"/>
      <c r="E6047" s="2124"/>
      <c r="F6047" s="1378"/>
      <c r="G6047" s="1378"/>
      <c r="H6047" s="1379"/>
      <c r="I6047" s="1299"/>
      <c r="J6047" s="1300"/>
      <c r="K6047" s="1307"/>
      <c r="L6047" s="1335"/>
      <c r="M6047" s="1302"/>
      <c r="N6047" s="1700"/>
      <c r="O6047" s="1290"/>
      <c r="P6047" s="1333"/>
      <c r="Q6047" s="3391"/>
      <c r="R6047" s="1296"/>
    </row>
    <row r="6048" spans="1:18" s="16" customFormat="1">
      <c r="A6048" s="22"/>
      <c r="B6048" s="225"/>
      <c r="C6048" s="581"/>
      <c r="D6048" s="1373"/>
      <c r="E6048" s="2161"/>
      <c r="F6048" s="1678"/>
      <c r="G6048" s="1678"/>
      <c r="H6048" s="1376"/>
      <c r="I6048" s="1299"/>
      <c r="J6048" s="1300"/>
      <c r="K6048" s="1307"/>
      <c r="L6048" s="1335"/>
      <c r="M6048" s="1302"/>
      <c r="N6048" s="1700"/>
      <c r="O6048" s="1290"/>
      <c r="P6048" s="1332"/>
      <c r="Q6048" s="3391"/>
      <c r="R6048" s="1296"/>
    </row>
    <row r="6049" spans="1:18" s="16" customFormat="1">
      <c r="A6049" s="88" t="s">
        <v>3764</v>
      </c>
      <c r="B6049" s="4325" t="s">
        <v>2660</v>
      </c>
      <c r="C6049" s="3354"/>
      <c r="D6049" s="4368"/>
      <c r="E6049" s="4329" t="s">
        <v>1504</v>
      </c>
      <c r="F6049" s="4336" t="s">
        <v>2661</v>
      </c>
      <c r="G6049" s="4331" t="s">
        <v>1568</v>
      </c>
      <c r="H6049" s="4331" t="s">
        <v>1574</v>
      </c>
      <c r="I6049" s="1572" t="s">
        <v>1559</v>
      </c>
      <c r="J6049" s="1294" t="s">
        <v>1560</v>
      </c>
      <c r="K6049" s="1294" t="s">
        <v>1569</v>
      </c>
      <c r="L6049" s="4333" t="s">
        <v>3765</v>
      </c>
      <c r="M6049" s="4335" t="s">
        <v>1571</v>
      </c>
      <c r="N6049" s="4323" t="s">
        <v>1776</v>
      </c>
      <c r="O6049" s="3347" t="s">
        <v>1563</v>
      </c>
      <c r="P6049" s="1336" t="s">
        <v>1562</v>
      </c>
      <c r="Q6049" s="3389"/>
      <c r="R6049" s="1699" t="s">
        <v>1327</v>
      </c>
    </row>
    <row r="6050" spans="1:18" s="16" customFormat="1">
      <c r="A6050" s="1662" t="s">
        <v>3901</v>
      </c>
      <c r="B6050" s="4326"/>
      <c r="C6050" s="3354"/>
      <c r="D6050" s="4328"/>
      <c r="E6050" s="4330"/>
      <c r="F6050" s="4336"/>
      <c r="G6050" s="4332"/>
      <c r="H6050" s="4332"/>
      <c r="I6050" s="1345">
        <v>3</v>
      </c>
      <c r="J6050" s="1307">
        <v>0.51</v>
      </c>
      <c r="K6050" s="1297">
        <f>I6050*J6050</f>
        <v>1.53</v>
      </c>
      <c r="L6050" s="4334"/>
      <c r="M6050" s="4335"/>
      <c r="N6050" s="4324"/>
      <c r="O6050" s="1298">
        <f>SUM(O6052:O6060)</f>
        <v>249.55500000000001</v>
      </c>
      <c r="P6050" s="1337">
        <f>O6050*K6050</f>
        <v>381.81915000000004</v>
      </c>
      <c r="Q6050" s="3390"/>
      <c r="R6050" s="1721">
        <f>P6052+P6053+P6054+P6055+P6056+P6059+P6060</f>
        <v>381.81914999999998</v>
      </c>
    </row>
    <row r="6051" spans="1:18" s="16" customFormat="1">
      <c r="A6051" s="22"/>
      <c r="B6051" s="1949"/>
      <c r="C6051" s="1327"/>
      <c r="D6051" s="1400"/>
      <c r="E6051" s="2121"/>
      <c r="F6051" s="1389" t="s">
        <v>1</v>
      </c>
      <c r="G6051" s="1389"/>
      <c r="H6051" s="1369"/>
      <c r="I6051" s="1409"/>
      <c r="J6051" s="1390"/>
      <c r="K6051" s="1391"/>
      <c r="L6051" s="1559"/>
      <c r="M6051" s="1369"/>
      <c r="N6051" s="1369"/>
      <c r="O6051" s="1369"/>
      <c r="P6051" s="1392"/>
      <c r="Q6051" s="3395"/>
      <c r="R6051" s="1296"/>
    </row>
    <row r="6052" spans="1:18" s="16" customFormat="1">
      <c r="A6052" s="22"/>
      <c r="B6052" s="1320"/>
      <c r="C6052" s="595"/>
      <c r="D6052" s="1400" t="s">
        <v>2657</v>
      </c>
      <c r="E6052" s="1856" t="s">
        <v>1504</v>
      </c>
      <c r="F6052" s="1397" t="s">
        <v>2658</v>
      </c>
      <c r="G6052" s="1416">
        <v>15</v>
      </c>
      <c r="H6052" s="1399"/>
      <c r="I6052" s="197"/>
      <c r="J6052" s="198"/>
      <c r="K6052" s="1307">
        <f>G6052*K6050</f>
        <v>22.95</v>
      </c>
      <c r="L6052" s="1335">
        <f t="shared" ref="L6052" si="793">K6052*$K$5182</f>
        <v>0</v>
      </c>
      <c r="M6052" s="1302">
        <v>12.47</v>
      </c>
      <c r="N6052" s="1718"/>
      <c r="O6052" s="1290">
        <f>G6052*M6052</f>
        <v>187.05</v>
      </c>
      <c r="P6052" s="1332">
        <f>M6052*K6052</f>
        <v>286.18650000000002</v>
      </c>
      <c r="Q6052" s="3391"/>
      <c r="R6052" s="2337"/>
    </row>
    <row r="6053" spans="1:18" s="16" customFormat="1">
      <c r="A6053" s="22"/>
      <c r="B6053" s="1320"/>
      <c r="C6053" s="595"/>
      <c r="D6053" s="1400" t="s">
        <v>2653</v>
      </c>
      <c r="E6053" s="1856" t="s">
        <v>1504</v>
      </c>
      <c r="F6053" s="1397" t="s">
        <v>2654</v>
      </c>
      <c r="G6053" s="1416">
        <v>1</v>
      </c>
      <c r="H6053" s="1399"/>
      <c r="I6053" s="197"/>
      <c r="J6053" s="198"/>
      <c r="K6053" s="1307">
        <f>G6053*K6050</f>
        <v>1.53</v>
      </c>
      <c r="L6053" s="1335">
        <f t="shared" ref="L6053:L6056" si="794">K6053*$K$6029</f>
        <v>0</v>
      </c>
      <c r="M6053" s="1302">
        <v>0.68</v>
      </c>
      <c r="N6053" s="1718"/>
      <c r="O6053" s="1290">
        <f>G6053*M6053</f>
        <v>0.68</v>
      </c>
      <c r="P6053" s="1332">
        <f>M6053*K6053</f>
        <v>1.0404</v>
      </c>
      <c r="Q6053" s="3391"/>
      <c r="R6053" s="2337"/>
    </row>
    <row r="6054" spans="1:18" s="16" customFormat="1" ht="15" customHeight="1">
      <c r="A6054" s="2294"/>
      <c r="B6054" s="1320"/>
      <c r="C6054" s="595"/>
      <c r="D6054" s="1400" t="s">
        <v>2662</v>
      </c>
      <c r="E6054" s="1856" t="s">
        <v>1504</v>
      </c>
      <c r="F6054" s="1397" t="s">
        <v>2663</v>
      </c>
      <c r="G6054" s="1416">
        <v>1</v>
      </c>
      <c r="H6054" s="1399"/>
      <c r="I6054" s="197"/>
      <c r="J6054" s="198"/>
      <c r="K6054" s="1307">
        <f>G6054*K6050</f>
        <v>1.53</v>
      </c>
      <c r="L6054" s="1335">
        <f t="shared" si="794"/>
        <v>0</v>
      </c>
      <c r="M6054" s="1302">
        <v>5.07</v>
      </c>
      <c r="N6054" s="1718"/>
      <c r="O6054" s="1290">
        <f>G6054*M6054</f>
        <v>5.07</v>
      </c>
      <c r="P6054" s="1332">
        <f>M6054*K6054</f>
        <v>7.7571000000000003</v>
      </c>
      <c r="Q6054" s="3391"/>
      <c r="R6054" s="2337"/>
    </row>
    <row r="6055" spans="1:18" s="16" customFormat="1" ht="15" customHeight="1">
      <c r="A6055" s="2294"/>
      <c r="B6055" s="1599"/>
      <c r="C6055" s="1320"/>
      <c r="D6055" s="2026" t="s">
        <v>1082</v>
      </c>
      <c r="E6055" s="2154" t="s">
        <v>1504</v>
      </c>
      <c r="F6055" s="1598" t="s">
        <v>1541</v>
      </c>
      <c r="G6055" s="1612">
        <v>2</v>
      </c>
      <c r="H6055" s="1390"/>
      <c r="I6055" s="1289"/>
      <c r="J6055" s="8"/>
      <c r="K6055" s="1307">
        <f>G6055*K6050</f>
        <v>3.06</v>
      </c>
      <c r="L6055" s="1335">
        <f t="shared" si="794"/>
        <v>0</v>
      </c>
      <c r="M6055" s="1302">
        <v>0.3</v>
      </c>
      <c r="N6055" s="1700"/>
      <c r="O6055" s="1290">
        <f>G6055*M6055</f>
        <v>0.6</v>
      </c>
      <c r="P6055" s="1332">
        <f>M6055*K6055</f>
        <v>0.91799999999999993</v>
      </c>
      <c r="Q6055" s="3391"/>
      <c r="R6055" s="1296"/>
    </row>
    <row r="6056" spans="1:18" s="16" customFormat="1" ht="15" customHeight="1">
      <c r="A6056" s="2294"/>
      <c r="B6056" s="1320"/>
      <c r="C6056" s="595"/>
      <c r="D6056" s="1400" t="s">
        <v>1097</v>
      </c>
      <c r="E6056" s="1856" t="s">
        <v>1504</v>
      </c>
      <c r="F6056" s="1397" t="s">
        <v>1632</v>
      </c>
      <c r="G6056" s="1416">
        <v>16</v>
      </c>
      <c r="H6056" s="1399"/>
      <c r="I6056" s="197"/>
      <c r="J6056" s="198"/>
      <c r="K6056" s="1307">
        <f>G6056*K6050</f>
        <v>24.48</v>
      </c>
      <c r="L6056" s="1335">
        <f t="shared" si="794"/>
        <v>0</v>
      </c>
      <c r="M6056" s="1302">
        <v>0.55000000000000004</v>
      </c>
      <c r="N6056" s="1718"/>
      <c r="O6056" s="1290">
        <f>G6056*M6056</f>
        <v>8.8000000000000007</v>
      </c>
      <c r="P6056" s="1332">
        <f>M6056*K6056</f>
        <v>13.464000000000002</v>
      </c>
      <c r="Q6056" s="3391"/>
      <c r="R6056" s="2337"/>
    </row>
    <row r="6057" spans="1:18" s="16" customFormat="1" ht="15" customHeight="1">
      <c r="A6057" s="2294"/>
      <c r="B6057" s="1320"/>
      <c r="C6057" s="595"/>
      <c r="D6057" s="1367"/>
      <c r="E6057" s="1856"/>
      <c r="F6057" s="1421"/>
      <c r="G6057" s="1452"/>
      <c r="H6057" s="1399"/>
      <c r="I6057" s="197"/>
      <c r="J6057" s="198"/>
      <c r="K6057" s="1732"/>
      <c r="L6057" s="1335"/>
      <c r="M6057" s="1302"/>
      <c r="N6057" s="1718"/>
      <c r="O6057" s="1290"/>
      <c r="P6057" s="1332"/>
      <c r="Q6057" s="3391"/>
      <c r="R6057" s="2337"/>
    </row>
    <row r="6058" spans="1:18" s="16" customFormat="1">
      <c r="A6058" s="22"/>
      <c r="B6058" s="1320"/>
      <c r="C6058" s="88"/>
      <c r="D6058" s="1443"/>
      <c r="E6058" s="1858"/>
      <c r="F6058" s="1360" t="s">
        <v>2</v>
      </c>
      <c r="G6058" s="1360"/>
      <c r="H6058" s="1362"/>
      <c r="I6058" s="1380"/>
      <c r="J6058" s="1381"/>
      <c r="K6058" s="1381"/>
      <c r="L6058" s="1458"/>
      <c r="M6058" s="1362"/>
      <c r="N6058" s="1362"/>
      <c r="O6058" s="1362"/>
      <c r="P6058" s="1359"/>
      <c r="Q6058" s="3387"/>
      <c r="R6058" s="2339"/>
    </row>
    <row r="6059" spans="1:18" s="16" customFormat="1">
      <c r="A6059" s="22"/>
      <c r="B6059" s="1320"/>
      <c r="C6059" s="595"/>
      <c r="D6059" s="1655" t="s">
        <v>1592</v>
      </c>
      <c r="E6059" s="2299" t="s">
        <v>1508</v>
      </c>
      <c r="F6059" s="1655" t="s">
        <v>2659</v>
      </c>
      <c r="G6059" s="1809">
        <v>1.5</v>
      </c>
      <c r="H6059" s="1466"/>
      <c r="I6059" s="1299"/>
      <c r="J6059" s="1300"/>
      <c r="K6059" s="1307">
        <f>G6059*K6050</f>
        <v>2.2949999999999999</v>
      </c>
      <c r="L6059" s="1335">
        <f t="shared" ref="L6059" si="795">K6059*$K$6029</f>
        <v>0</v>
      </c>
      <c r="M6059" s="1302">
        <v>19.23</v>
      </c>
      <c r="N6059" s="1700"/>
      <c r="O6059" s="1290">
        <f>G6059*M6059</f>
        <v>28.844999999999999</v>
      </c>
      <c r="P6059" s="1332">
        <f>M6059*K6059</f>
        <v>44.132849999999998</v>
      </c>
      <c r="Q6059" s="3391"/>
      <c r="R6059" s="1296"/>
    </row>
    <row r="6060" spans="1:18" s="16" customFormat="1">
      <c r="A6060" s="22"/>
      <c r="B6060" s="1320"/>
      <c r="C6060" s="2086" t="s">
        <v>2282</v>
      </c>
      <c r="D6060" s="1311"/>
      <c r="E6060" s="2176" t="s">
        <v>1508</v>
      </c>
      <c r="F6060" s="1648" t="s">
        <v>2283</v>
      </c>
      <c r="G6060" s="1990"/>
      <c r="H6060" s="1954">
        <v>0.5</v>
      </c>
      <c r="I6060" s="1444"/>
      <c r="J6060" s="1388"/>
      <c r="K6060" s="1445"/>
      <c r="L6060" s="1457"/>
      <c r="M6060" s="1447"/>
      <c r="N6060" s="1447">
        <f>SUM(N6061:N6062)</f>
        <v>37.019999999999996</v>
      </c>
      <c r="O6060" s="1447">
        <f>SUM(O6061:O6062)</f>
        <v>18.509999999999998</v>
      </c>
      <c r="P6060" s="1447">
        <f>SUM(P6061:P6062)</f>
        <v>28.3203</v>
      </c>
      <c r="Q6060" s="3391"/>
      <c r="R6060" s="2337"/>
    </row>
    <row r="6061" spans="1:18" s="16" customFormat="1">
      <c r="A6061" s="22"/>
      <c r="B6061" s="1320"/>
      <c r="C6061" s="19"/>
      <c r="D6061" s="1430" t="s">
        <v>1067</v>
      </c>
      <c r="E6061" s="1857" t="s">
        <v>1508</v>
      </c>
      <c r="F6061" s="1403" t="s">
        <v>5</v>
      </c>
      <c r="G6061" s="1991">
        <v>1</v>
      </c>
      <c r="H6061" s="1937">
        <f>G6061*H6060</f>
        <v>0.5</v>
      </c>
      <c r="I6061" s="1286"/>
      <c r="J6061" s="198"/>
      <c r="K6061" s="1307">
        <f>H6061*K6050</f>
        <v>0.76500000000000001</v>
      </c>
      <c r="L6061" s="1335">
        <f t="shared" ref="L6061:L6062" si="796">K6061*$K$6029</f>
        <v>0</v>
      </c>
      <c r="M6061" s="1302">
        <v>18.28</v>
      </c>
      <c r="N6061" s="1718">
        <f>G6061*M6061</f>
        <v>18.28</v>
      </c>
      <c r="O6061" s="1290">
        <f>H6061*M6061</f>
        <v>9.14</v>
      </c>
      <c r="P6061" s="1720">
        <f>M6061*K6061</f>
        <v>13.984200000000001</v>
      </c>
      <c r="Q6061" s="3396"/>
      <c r="R6061" s="2337"/>
    </row>
    <row r="6062" spans="1:18" s="16" customFormat="1">
      <c r="A6062" s="22"/>
      <c r="B6062" s="1320"/>
      <c r="C6062" s="19"/>
      <c r="D6062" s="1430" t="s">
        <v>1165</v>
      </c>
      <c r="E6062" s="1857" t="s">
        <v>1508</v>
      </c>
      <c r="F6062" s="1403" t="s">
        <v>114</v>
      </c>
      <c r="G6062" s="1991">
        <v>1</v>
      </c>
      <c r="H6062" s="1937">
        <f>G6062*H6060</f>
        <v>0.5</v>
      </c>
      <c r="I6062" s="197"/>
      <c r="J6062" s="198"/>
      <c r="K6062" s="1307">
        <f>H6062*K6050</f>
        <v>0.76500000000000001</v>
      </c>
      <c r="L6062" s="1335">
        <f t="shared" si="796"/>
        <v>0</v>
      </c>
      <c r="M6062" s="1302">
        <v>18.739999999999998</v>
      </c>
      <c r="N6062" s="1718">
        <f>G6062*M6062</f>
        <v>18.739999999999998</v>
      </c>
      <c r="O6062" s="1290">
        <f>H6062*M6062</f>
        <v>9.3699999999999992</v>
      </c>
      <c r="P6062" s="1720">
        <f>M6062*K6062</f>
        <v>14.336099999999998</v>
      </c>
      <c r="Q6062" s="3396"/>
      <c r="R6062" s="2337"/>
    </row>
    <row r="6063" spans="1:18" s="16" customFormat="1">
      <c r="A6063" s="22"/>
      <c r="B6063" s="1320"/>
      <c r="C6063" s="595"/>
      <c r="D6063" s="1655"/>
      <c r="E6063" s="2299"/>
      <c r="F6063" s="1655"/>
      <c r="G6063" s="1809"/>
      <c r="H6063" s="1466"/>
      <c r="I6063" s="1299"/>
      <c r="J6063" s="1300"/>
      <c r="K6063" s="1307"/>
      <c r="L6063" s="1335"/>
      <c r="M6063" s="1302"/>
      <c r="N6063" s="1700"/>
      <c r="O6063" s="1290"/>
      <c r="P6063" s="1332"/>
      <c r="Q6063" s="3391"/>
      <c r="R6063" s="1296"/>
    </row>
    <row r="6064" spans="1:18" s="16" customFormat="1">
      <c r="A6064" s="22"/>
      <c r="B6064" s="1320"/>
      <c r="C6064" s="595"/>
      <c r="D6064" s="1373"/>
      <c r="E6064" s="2123"/>
      <c r="F6064" s="1374" t="s">
        <v>3</v>
      </c>
      <c r="G6064" s="1375"/>
      <c r="H6064" s="1376"/>
      <c r="I6064" s="1382"/>
      <c r="J6064" s="1383"/>
      <c r="K6064" s="1383" t="str">
        <f>IF(COUNT(I6064)=0,"",(I6064*J6064))</f>
        <v/>
      </c>
      <c r="L6064" s="1413"/>
      <c r="M6064" s="1376"/>
      <c r="N6064" s="1376"/>
      <c r="O6064" s="1376"/>
      <c r="P6064" s="1373"/>
      <c r="Q6064" s="3387"/>
      <c r="R6064" s="1296"/>
    </row>
    <row r="6065" spans="1:18" s="16" customFormat="1">
      <c r="A6065" s="22"/>
      <c r="B6065" s="1321"/>
      <c r="C6065" s="2021"/>
      <c r="D6065" s="1377"/>
      <c r="E6065" s="2124"/>
      <c r="F6065" s="1378"/>
      <c r="G6065" s="1378"/>
      <c r="H6065" s="1379"/>
      <c r="I6065" s="1299"/>
      <c r="J6065" s="1300"/>
      <c r="K6065" s="1307"/>
      <c r="L6065" s="1335"/>
      <c r="M6065" s="1302"/>
      <c r="N6065" s="1700"/>
      <c r="O6065" s="1290"/>
      <c r="P6065" s="1332"/>
      <c r="Q6065" s="3391"/>
      <c r="R6065" s="1296"/>
    </row>
    <row r="6066" spans="1:18" s="16" customFormat="1">
      <c r="A6066" s="22"/>
      <c r="B6066" s="1321"/>
      <c r="C6066" s="2021"/>
      <c r="D6066" s="1377"/>
      <c r="E6066" s="2124"/>
      <c r="F6066" s="1378"/>
      <c r="G6066" s="1378"/>
      <c r="H6066" s="1379"/>
      <c r="I6066" s="1299"/>
      <c r="J6066" s="1300"/>
      <c r="K6066" s="1307"/>
      <c r="L6066" s="1335"/>
      <c r="M6066" s="1302"/>
      <c r="N6066" s="1700"/>
      <c r="O6066" s="1290"/>
      <c r="P6066" s="1333"/>
      <c r="Q6066" s="3391"/>
      <c r="R6066" s="1296"/>
    </row>
    <row r="6067" spans="1:18" s="16" customFormat="1">
      <c r="A6067" s="22"/>
      <c r="B6067" s="225"/>
      <c r="C6067" s="581"/>
      <c r="D6067" s="1373"/>
      <c r="E6067" s="2161"/>
      <c r="F6067" s="1678"/>
      <c r="G6067" s="1678"/>
      <c r="H6067" s="1376"/>
      <c r="I6067" s="1299"/>
      <c r="J6067" s="1300"/>
      <c r="K6067" s="1307"/>
      <c r="L6067" s="1335"/>
      <c r="M6067" s="1302"/>
      <c r="N6067" s="1700"/>
      <c r="O6067" s="1290"/>
      <c r="P6067" s="1332"/>
      <c r="Q6067" s="3391"/>
      <c r="R6067" s="1296"/>
    </row>
    <row r="6068" spans="1:18" s="16" customFormat="1">
      <c r="A6068" s="88" t="s">
        <v>3764</v>
      </c>
      <c r="B6068" s="4325" t="s">
        <v>2664</v>
      </c>
      <c r="C6068" s="3354"/>
      <c r="D6068" s="4368"/>
      <c r="E6068" s="4329" t="s">
        <v>1504</v>
      </c>
      <c r="F6068" s="4336" t="s">
        <v>2665</v>
      </c>
      <c r="G6068" s="4331" t="s">
        <v>1568</v>
      </c>
      <c r="H6068" s="4331" t="s">
        <v>1574</v>
      </c>
      <c r="I6068" s="1572" t="s">
        <v>1559</v>
      </c>
      <c r="J6068" s="1294" t="s">
        <v>1560</v>
      </c>
      <c r="K6068" s="1294" t="s">
        <v>1569</v>
      </c>
      <c r="L6068" s="4333" t="s">
        <v>3765</v>
      </c>
      <c r="M6068" s="4335" t="s">
        <v>1571</v>
      </c>
      <c r="N6068" s="4323" t="s">
        <v>1776</v>
      </c>
      <c r="O6068" s="3347" t="s">
        <v>1563</v>
      </c>
      <c r="P6068" s="1336" t="s">
        <v>1562</v>
      </c>
      <c r="Q6068" s="3389"/>
      <c r="R6068" s="1699" t="s">
        <v>1327</v>
      </c>
    </row>
    <row r="6069" spans="1:18" s="16" customFormat="1">
      <c r="A6069" s="1662" t="s">
        <v>3901</v>
      </c>
      <c r="B6069" s="4326"/>
      <c r="C6069" s="3354"/>
      <c r="D6069" s="4328"/>
      <c r="E6069" s="4330"/>
      <c r="F6069" s="4336"/>
      <c r="G6069" s="4332"/>
      <c r="H6069" s="4332"/>
      <c r="I6069" s="1345">
        <v>1</v>
      </c>
      <c r="J6069" s="1307">
        <v>0.51</v>
      </c>
      <c r="K6069" s="1297">
        <f>I6069*J6069</f>
        <v>0.51</v>
      </c>
      <c r="L6069" s="4334"/>
      <c r="M6069" s="4335"/>
      <c r="N6069" s="4324"/>
      <c r="O6069" s="1298">
        <f>SUM(O6071:O6076)</f>
        <v>57.003999999999991</v>
      </c>
      <c r="P6069" s="1337">
        <f>O6069*K6069</f>
        <v>29.072039999999994</v>
      </c>
      <c r="Q6069" s="3390"/>
      <c r="R6069" s="1721">
        <f>SUM(P6071:P6076)</f>
        <v>29.072039999999998</v>
      </c>
    </row>
    <row r="6070" spans="1:18" s="16" customFormat="1">
      <c r="A6070" s="22"/>
      <c r="B6070" s="1949"/>
      <c r="C6070" s="1327"/>
      <c r="D6070" s="1400"/>
      <c r="E6070" s="2121"/>
      <c r="F6070" s="1389" t="s">
        <v>1</v>
      </c>
      <c r="G6070" s="1389"/>
      <c r="H6070" s="1369"/>
      <c r="I6070" s="1409"/>
      <c r="J6070" s="1390"/>
      <c r="K6070" s="1391"/>
      <c r="L6070" s="1559"/>
      <c r="M6070" s="1369"/>
      <c r="N6070" s="1369"/>
      <c r="O6070" s="1369"/>
      <c r="P6070" s="1392"/>
      <c r="Q6070" s="3395"/>
      <c r="R6070" s="1296"/>
    </row>
    <row r="6071" spans="1:18" s="16" customFormat="1">
      <c r="A6071" s="22"/>
      <c r="B6071" s="1320"/>
      <c r="C6071" s="595"/>
      <c r="D6071" s="1598" t="s">
        <v>2666</v>
      </c>
      <c r="E6071" s="2298" t="s">
        <v>1504</v>
      </c>
      <c r="F6071" s="1598" t="s">
        <v>2667</v>
      </c>
      <c r="G6071" s="1612">
        <v>1</v>
      </c>
      <c r="H6071" s="1399"/>
      <c r="I6071" s="197"/>
      <c r="J6071" s="198"/>
      <c r="K6071" s="1307">
        <f>G6071*K6069</f>
        <v>0.51</v>
      </c>
      <c r="L6071" s="1335">
        <f t="shared" ref="L6071:L6073" si="797">K6071*$K$6029</f>
        <v>0</v>
      </c>
      <c r="M6071" s="1302">
        <v>50.66</v>
      </c>
      <c r="N6071" s="1718"/>
      <c r="O6071" s="1290">
        <f>G6071*M6071</f>
        <v>50.66</v>
      </c>
      <c r="P6071" s="1332">
        <f>M6071*K6071</f>
        <v>25.836599999999997</v>
      </c>
      <c r="Q6071" s="3391"/>
      <c r="R6071" s="2337"/>
    </row>
    <row r="6072" spans="1:18" s="16" customFormat="1">
      <c r="A6072" s="4471"/>
      <c r="B6072" s="1599"/>
      <c r="C6072" s="1320"/>
      <c r="D6072" s="2026" t="s">
        <v>1082</v>
      </c>
      <c r="E6072" s="2154" t="s">
        <v>1504</v>
      </c>
      <c r="F6072" s="1598" t="s">
        <v>1541</v>
      </c>
      <c r="G6072" s="1612">
        <v>1</v>
      </c>
      <c r="H6072" s="1390"/>
      <c r="I6072" s="1289"/>
      <c r="J6072" s="8"/>
      <c r="K6072" s="1307">
        <f>G6072*K6069</f>
        <v>0.51</v>
      </c>
      <c r="L6072" s="1335">
        <f t="shared" si="797"/>
        <v>0</v>
      </c>
      <c r="M6072" s="1302">
        <v>0.3</v>
      </c>
      <c r="N6072" s="1700"/>
      <c r="O6072" s="1290">
        <f>G6072*M6072</f>
        <v>0.3</v>
      </c>
      <c r="P6072" s="1332">
        <f>M6072*K6072</f>
        <v>0.153</v>
      </c>
      <c r="Q6072" s="3391"/>
      <c r="R6072" s="1296"/>
    </row>
    <row r="6073" spans="1:18" s="16" customFormat="1">
      <c r="A6073" s="4471"/>
      <c r="B6073" s="1320"/>
      <c r="C6073" s="595"/>
      <c r="D6073" s="1400" t="s">
        <v>1097</v>
      </c>
      <c r="E6073" s="1856" t="s">
        <v>1504</v>
      </c>
      <c r="F6073" s="1397" t="s">
        <v>1632</v>
      </c>
      <c r="G6073" s="1416">
        <v>0.5</v>
      </c>
      <c r="H6073" s="1399"/>
      <c r="I6073" s="197"/>
      <c r="J6073" s="198"/>
      <c r="K6073" s="1307">
        <f>G6073*K6069</f>
        <v>0.255</v>
      </c>
      <c r="L6073" s="1335">
        <f t="shared" si="797"/>
        <v>0</v>
      </c>
      <c r="M6073" s="1302">
        <v>0.55000000000000004</v>
      </c>
      <c r="N6073" s="1718"/>
      <c r="O6073" s="1290">
        <f>G6073*M6073</f>
        <v>0.27500000000000002</v>
      </c>
      <c r="P6073" s="1332">
        <f>M6073*K6073</f>
        <v>0.14025000000000001</v>
      </c>
      <c r="Q6073" s="3391"/>
      <c r="R6073" s="2337"/>
    </row>
    <row r="6074" spans="1:18" s="16" customFormat="1">
      <c r="A6074" s="4471"/>
      <c r="B6074" s="1320"/>
      <c r="C6074" s="595"/>
      <c r="D6074" s="1367"/>
      <c r="E6074" s="1856"/>
      <c r="F6074" s="1421"/>
      <c r="G6074" s="1452"/>
      <c r="H6074" s="1399"/>
      <c r="I6074" s="197"/>
      <c r="J6074" s="198"/>
      <c r="K6074" s="1732"/>
      <c r="L6074" s="1335"/>
      <c r="M6074" s="1302"/>
      <c r="N6074" s="1718"/>
      <c r="O6074" s="1290"/>
      <c r="P6074" s="1332"/>
      <c r="Q6074" s="3391"/>
      <c r="R6074" s="2337"/>
    </row>
    <row r="6075" spans="1:18" s="16" customFormat="1">
      <c r="A6075" s="22"/>
      <c r="B6075" s="1320"/>
      <c r="C6075" s="88"/>
      <c r="D6075" s="1443"/>
      <c r="E6075" s="1858"/>
      <c r="F6075" s="1360" t="s">
        <v>2</v>
      </c>
      <c r="G6075" s="1360"/>
      <c r="H6075" s="1362"/>
      <c r="I6075" s="1380"/>
      <c r="J6075" s="1381"/>
      <c r="K6075" s="1381"/>
      <c r="L6075" s="1458"/>
      <c r="M6075" s="1362"/>
      <c r="N6075" s="1362"/>
      <c r="O6075" s="1362"/>
      <c r="P6075" s="1359"/>
      <c r="Q6075" s="3387"/>
      <c r="R6075" s="2339"/>
    </row>
    <row r="6076" spans="1:18" s="16" customFormat="1">
      <c r="A6076" s="22"/>
      <c r="B6076" s="1320"/>
      <c r="C6076" s="595"/>
      <c r="D6076" s="1655" t="s">
        <v>1592</v>
      </c>
      <c r="E6076" s="2299" t="s">
        <v>1508</v>
      </c>
      <c r="F6076" s="1655" t="s">
        <v>2659</v>
      </c>
      <c r="G6076" s="1809">
        <v>0.3</v>
      </c>
      <c r="H6076" s="1466"/>
      <c r="I6076" s="1299"/>
      <c r="J6076" s="1300"/>
      <c r="K6076" s="1307">
        <f>G6076*K6069</f>
        <v>0.153</v>
      </c>
      <c r="L6076" s="1335">
        <f t="shared" ref="L6076" si="798">K6076*$K$6029</f>
        <v>0</v>
      </c>
      <c r="M6076" s="1302">
        <v>19.23</v>
      </c>
      <c r="N6076" s="1700"/>
      <c r="O6076" s="1290">
        <f>G6076*M6076</f>
        <v>5.7690000000000001</v>
      </c>
      <c r="P6076" s="1332">
        <f>M6076*K6076</f>
        <v>2.9421900000000001</v>
      </c>
      <c r="Q6076" s="3391"/>
      <c r="R6076" s="1296"/>
    </row>
    <row r="6077" spans="1:18" s="16" customFormat="1">
      <c r="A6077" s="22"/>
      <c r="B6077" s="1320"/>
      <c r="C6077" s="595"/>
      <c r="D6077" s="1655"/>
      <c r="E6077" s="2299"/>
      <c r="F6077" s="1655"/>
      <c r="G6077" s="1809"/>
      <c r="H6077" s="1466"/>
      <c r="I6077" s="1299"/>
      <c r="J6077" s="1300"/>
      <c r="K6077" s="1307"/>
      <c r="L6077" s="1335"/>
      <c r="M6077" s="1302"/>
      <c r="N6077" s="1700"/>
      <c r="O6077" s="1290"/>
      <c r="P6077" s="1332"/>
      <c r="Q6077" s="3391"/>
      <c r="R6077" s="1296"/>
    </row>
    <row r="6078" spans="1:18" s="16" customFormat="1">
      <c r="A6078" s="22"/>
      <c r="B6078" s="1320"/>
      <c r="C6078" s="595"/>
      <c r="D6078" s="1373"/>
      <c r="E6078" s="2123"/>
      <c r="F6078" s="1374" t="s">
        <v>3</v>
      </c>
      <c r="G6078" s="1375"/>
      <c r="H6078" s="1376"/>
      <c r="I6078" s="1382"/>
      <c r="J6078" s="1383"/>
      <c r="K6078" s="1383" t="str">
        <f>IF(COUNT(I6078)=0,"",(I6078*J6078))</f>
        <v/>
      </c>
      <c r="L6078" s="1413"/>
      <c r="M6078" s="1376"/>
      <c r="N6078" s="1376"/>
      <c r="O6078" s="1376"/>
      <c r="P6078" s="1373"/>
      <c r="Q6078" s="3387"/>
      <c r="R6078" s="1296"/>
    </row>
    <row r="6079" spans="1:18" s="16" customFormat="1">
      <c r="A6079" s="22"/>
      <c r="B6079" s="1321"/>
      <c r="C6079" s="2021"/>
      <c r="D6079" s="1377"/>
      <c r="E6079" s="2124"/>
      <c r="F6079" s="1378"/>
      <c r="G6079" s="1378"/>
      <c r="H6079" s="1379"/>
      <c r="I6079" s="1299"/>
      <c r="J6079" s="1300"/>
      <c r="K6079" s="1307"/>
      <c r="L6079" s="1335"/>
      <c r="M6079" s="1302"/>
      <c r="N6079" s="1700"/>
      <c r="O6079" s="1290"/>
      <c r="P6079" s="1332"/>
      <c r="Q6079" s="3391"/>
      <c r="R6079" s="1296"/>
    </row>
    <row r="6080" spans="1:18" s="16" customFormat="1">
      <c r="A6080" s="22"/>
      <c r="B6080" s="1321"/>
      <c r="C6080" s="2021"/>
      <c r="D6080" s="1377"/>
      <c r="E6080" s="2124"/>
      <c r="F6080" s="1378"/>
      <c r="G6080" s="1378"/>
      <c r="H6080" s="1379"/>
      <c r="I6080" s="1299"/>
      <c r="J6080" s="1300"/>
      <c r="K6080" s="1307"/>
      <c r="L6080" s="1335"/>
      <c r="M6080" s="1302"/>
      <c r="N6080" s="1700"/>
      <c r="O6080" s="1290"/>
      <c r="P6080" s="1333"/>
      <c r="Q6080" s="3391"/>
      <c r="R6080" s="1296"/>
    </row>
    <row r="6081" spans="1:18" s="16" customFormat="1">
      <c r="A6081" s="22"/>
      <c r="B6081" s="225"/>
      <c r="C6081" s="581"/>
      <c r="D6081" s="1373"/>
      <c r="E6081" s="2161"/>
      <c r="F6081" s="1678"/>
      <c r="G6081" s="1678"/>
      <c r="H6081" s="1376"/>
      <c r="I6081" s="1299"/>
      <c r="J6081" s="1300"/>
      <c r="K6081" s="1307"/>
      <c r="L6081" s="1335"/>
      <c r="M6081" s="1302"/>
      <c r="N6081" s="1700"/>
      <c r="O6081" s="1290"/>
      <c r="P6081" s="1332"/>
      <c r="Q6081" s="3391"/>
      <c r="R6081" s="1296"/>
    </row>
    <row r="6082" spans="1:18" s="16" customFormat="1" ht="15" customHeight="1">
      <c r="A6082" s="88" t="s">
        <v>3764</v>
      </c>
      <c r="B6082" s="4325" t="s">
        <v>2668</v>
      </c>
      <c r="C6082" s="3354"/>
      <c r="D6082" s="4368"/>
      <c r="E6082" s="4329" t="s">
        <v>1504</v>
      </c>
      <c r="F6082" s="4336" t="s">
        <v>2669</v>
      </c>
      <c r="G6082" s="4331" t="s">
        <v>1568</v>
      </c>
      <c r="H6082" s="4331" t="s">
        <v>1574</v>
      </c>
      <c r="I6082" s="1572" t="s">
        <v>1559</v>
      </c>
      <c r="J6082" s="1294" t="s">
        <v>1560</v>
      </c>
      <c r="K6082" s="1294" t="s">
        <v>1569</v>
      </c>
      <c r="L6082" s="4333" t="s">
        <v>3765</v>
      </c>
      <c r="M6082" s="4335" t="s">
        <v>1571</v>
      </c>
      <c r="N6082" s="4323" t="s">
        <v>1776</v>
      </c>
      <c r="O6082" s="3347" t="s">
        <v>1563</v>
      </c>
      <c r="P6082" s="1336" t="s">
        <v>1562</v>
      </c>
      <c r="Q6082" s="3389"/>
      <c r="R6082" s="1699" t="s">
        <v>1327</v>
      </c>
    </row>
    <row r="6083" spans="1:18" s="16" customFormat="1">
      <c r="A6083" s="1662" t="s">
        <v>3901</v>
      </c>
      <c r="B6083" s="4326"/>
      <c r="C6083" s="3354"/>
      <c r="D6083" s="4328"/>
      <c r="E6083" s="4330"/>
      <c r="F6083" s="4336"/>
      <c r="G6083" s="4332"/>
      <c r="H6083" s="4332"/>
      <c r="I6083" s="1345">
        <v>1</v>
      </c>
      <c r="J6083" s="1307">
        <v>0.51</v>
      </c>
      <c r="K6083" s="1297">
        <f>I6083*J6083</f>
        <v>0.51</v>
      </c>
      <c r="L6083" s="4334"/>
      <c r="M6083" s="4335"/>
      <c r="N6083" s="4324"/>
      <c r="O6083" s="1298">
        <f>SUM(O6085:O6091)</f>
        <v>292.22300000000001</v>
      </c>
      <c r="P6083" s="1337">
        <f>O6083*K6083</f>
        <v>149.03373000000002</v>
      </c>
      <c r="Q6083" s="3390"/>
      <c r="R6083" s="1721">
        <f>SUM(P6085:P6091)</f>
        <v>149.03373000000002</v>
      </c>
    </row>
    <row r="6084" spans="1:18" s="16" customFormat="1">
      <c r="A6084" s="22"/>
      <c r="B6084" s="1949"/>
      <c r="C6084" s="1327"/>
      <c r="D6084" s="1400"/>
      <c r="E6084" s="2121"/>
      <c r="F6084" s="1389" t="s">
        <v>1</v>
      </c>
      <c r="G6084" s="1389"/>
      <c r="H6084" s="1369"/>
      <c r="I6084" s="1409"/>
      <c r="J6084" s="1390"/>
      <c r="K6084" s="1391"/>
      <c r="L6084" s="1559"/>
      <c r="M6084" s="1369"/>
      <c r="N6084" s="1369"/>
      <c r="O6084" s="1369"/>
      <c r="P6084" s="1392"/>
      <c r="Q6084" s="3395"/>
      <c r="R6084" s="1296"/>
    </row>
    <row r="6085" spans="1:18" s="16" customFormat="1">
      <c r="A6085" s="22"/>
      <c r="B6085" s="1320"/>
      <c r="C6085" s="595"/>
      <c r="D6085" s="1598" t="s">
        <v>2670</v>
      </c>
      <c r="E6085" s="2298" t="s">
        <v>1504</v>
      </c>
      <c r="F6085" s="1598" t="s">
        <v>2671</v>
      </c>
      <c r="G6085" s="1612">
        <v>1</v>
      </c>
      <c r="H6085" s="1399"/>
      <c r="I6085" s="197"/>
      <c r="J6085" s="198"/>
      <c r="K6085" s="1307">
        <f>G6085*K6083</f>
        <v>0.51</v>
      </c>
      <c r="L6085" s="1335">
        <f t="shared" ref="L6085:L6088" si="799">K6085*$K$6029</f>
        <v>0</v>
      </c>
      <c r="M6085" s="1302">
        <v>51.95</v>
      </c>
      <c r="N6085" s="1718"/>
      <c r="O6085" s="1290">
        <f>G6085*M6085</f>
        <v>51.95</v>
      </c>
      <c r="P6085" s="1332">
        <f>M6085*K6085</f>
        <v>26.494500000000002</v>
      </c>
      <c r="Q6085" s="3391"/>
      <c r="R6085" s="2337"/>
    </row>
    <row r="6086" spans="1:18" s="16" customFormat="1" ht="15" customHeight="1">
      <c r="A6086" s="4471"/>
      <c r="B6086" s="1599"/>
      <c r="C6086" s="1320"/>
      <c r="D6086" s="2026" t="s">
        <v>2672</v>
      </c>
      <c r="E6086" s="2154" t="s">
        <v>1504</v>
      </c>
      <c r="F6086" s="1598" t="s">
        <v>2673</v>
      </c>
      <c r="G6086" s="1612">
        <v>1</v>
      </c>
      <c r="H6086" s="1390"/>
      <c r="I6086" s="1289"/>
      <c r="J6086" s="8"/>
      <c r="K6086" s="1307">
        <f>G6086*K6083</f>
        <v>0.51</v>
      </c>
      <c r="L6086" s="1335">
        <f t="shared" si="799"/>
        <v>0</v>
      </c>
      <c r="M6086" s="1302">
        <v>216.32</v>
      </c>
      <c r="N6086" s="1700"/>
      <c r="O6086" s="1290">
        <f>G6086*M6086</f>
        <v>216.32</v>
      </c>
      <c r="P6086" s="1332">
        <f>M6086*K6086</f>
        <v>110.3232</v>
      </c>
      <c r="Q6086" s="3391"/>
      <c r="R6086" s="1296"/>
    </row>
    <row r="6087" spans="1:18" s="16" customFormat="1" ht="15" customHeight="1">
      <c r="A6087" s="4471"/>
      <c r="B6087" s="1320"/>
      <c r="C6087" s="595"/>
      <c r="D6087" s="1400" t="s">
        <v>1082</v>
      </c>
      <c r="E6087" s="1856" t="s">
        <v>1504</v>
      </c>
      <c r="F6087" s="2044" t="s">
        <v>1541</v>
      </c>
      <c r="G6087" s="1416">
        <v>2</v>
      </c>
      <c r="H6087" s="1399"/>
      <c r="I6087" s="197"/>
      <c r="J6087" s="198"/>
      <c r="K6087" s="1307">
        <f>G6087*K6083</f>
        <v>1.02</v>
      </c>
      <c r="L6087" s="1335">
        <f t="shared" si="799"/>
        <v>0</v>
      </c>
      <c r="M6087" s="1302">
        <v>0.3</v>
      </c>
      <c r="N6087" s="1718"/>
      <c r="O6087" s="1290">
        <f>G6087*M6087</f>
        <v>0.6</v>
      </c>
      <c r="P6087" s="1332">
        <f>M6087*K6087</f>
        <v>0.30599999999999999</v>
      </c>
      <c r="Q6087" s="3391"/>
      <c r="R6087" s="2337"/>
    </row>
    <row r="6088" spans="1:18" s="16" customFormat="1" ht="15" customHeight="1">
      <c r="A6088" s="4471"/>
      <c r="B6088" s="1320"/>
      <c r="C6088" s="595"/>
      <c r="D6088" s="1400" t="s">
        <v>1097</v>
      </c>
      <c r="E6088" s="1856" t="s">
        <v>1504</v>
      </c>
      <c r="F6088" s="1421" t="s">
        <v>1632</v>
      </c>
      <c r="G6088" s="2289">
        <v>4</v>
      </c>
      <c r="H6088" s="1399"/>
      <c r="I6088" s="197"/>
      <c r="J6088" s="198"/>
      <c r="K6088" s="1307">
        <f>G6088*K6083</f>
        <v>2.04</v>
      </c>
      <c r="L6088" s="1335">
        <f t="shared" si="799"/>
        <v>0</v>
      </c>
      <c r="M6088" s="1302">
        <v>0.55000000000000004</v>
      </c>
      <c r="N6088" s="1718"/>
      <c r="O6088" s="1290">
        <f>G6088*M6088</f>
        <v>2.2000000000000002</v>
      </c>
      <c r="P6088" s="1332">
        <f>M6088*K6088</f>
        <v>1.1220000000000001</v>
      </c>
      <c r="Q6088" s="3391"/>
      <c r="R6088" s="2337"/>
    </row>
    <row r="6089" spans="1:18" s="16" customFormat="1" ht="15" customHeight="1">
      <c r="A6089" s="4471"/>
      <c r="B6089" s="1320"/>
      <c r="C6089" s="595"/>
      <c r="D6089" s="1367"/>
      <c r="E6089" s="1856"/>
      <c r="F6089" s="1421"/>
      <c r="G6089" s="1452"/>
      <c r="H6089" s="1399"/>
      <c r="I6089" s="197"/>
      <c r="J6089" s="198"/>
      <c r="K6089" s="1732"/>
      <c r="L6089" s="1335"/>
      <c r="M6089" s="1302"/>
      <c r="N6089" s="1718"/>
      <c r="O6089" s="1290"/>
      <c r="P6089" s="1332"/>
      <c r="Q6089" s="3391"/>
      <c r="R6089" s="2337"/>
    </row>
    <row r="6090" spans="1:18" s="16" customFormat="1">
      <c r="A6090" s="22"/>
      <c r="B6090" s="1320"/>
      <c r="C6090" s="88"/>
      <c r="D6090" s="1443"/>
      <c r="E6090" s="1858"/>
      <c r="F6090" s="1360" t="s">
        <v>2</v>
      </c>
      <c r="G6090" s="1360"/>
      <c r="H6090" s="1362"/>
      <c r="I6090" s="1380"/>
      <c r="J6090" s="1381"/>
      <c r="K6090" s="1381"/>
      <c r="L6090" s="1458"/>
      <c r="M6090" s="1362"/>
      <c r="N6090" s="1362"/>
      <c r="O6090" s="1362"/>
      <c r="P6090" s="1359"/>
      <c r="Q6090" s="3387"/>
      <c r="R6090" s="2339"/>
    </row>
    <row r="6091" spans="1:18" s="16" customFormat="1">
      <c r="A6091" s="22"/>
      <c r="B6091" s="1320"/>
      <c r="C6091" s="595"/>
      <c r="D6091" s="1655" t="s">
        <v>1592</v>
      </c>
      <c r="E6091" s="2299" t="s">
        <v>1508</v>
      </c>
      <c r="F6091" s="1655" t="s">
        <v>2659</v>
      </c>
      <c r="G6091" s="1809">
        <v>1.1000000000000001</v>
      </c>
      <c r="H6091" s="1466"/>
      <c r="I6091" s="1299"/>
      <c r="J6091" s="1300"/>
      <c r="K6091" s="1307">
        <f>G6091*K6083</f>
        <v>0.56100000000000005</v>
      </c>
      <c r="L6091" s="1335">
        <f t="shared" ref="L6091" si="800">K6091*$K$6029</f>
        <v>0</v>
      </c>
      <c r="M6091" s="1302">
        <v>19.23</v>
      </c>
      <c r="N6091" s="1700"/>
      <c r="O6091" s="1290">
        <f>G6091*M6091</f>
        <v>21.153000000000002</v>
      </c>
      <c r="P6091" s="1332">
        <f>M6091*K6091</f>
        <v>10.788030000000001</v>
      </c>
      <c r="Q6091" s="3391"/>
      <c r="R6091" s="1296"/>
    </row>
    <row r="6092" spans="1:18" s="16" customFormat="1">
      <c r="A6092" s="22"/>
      <c r="B6092" s="1320"/>
      <c r="C6092" s="595"/>
      <c r="D6092" s="1655"/>
      <c r="E6092" s="2299"/>
      <c r="F6092" s="1655"/>
      <c r="G6092" s="1809"/>
      <c r="H6092" s="1466"/>
      <c r="I6092" s="1299"/>
      <c r="J6092" s="1300"/>
      <c r="K6092" s="1307"/>
      <c r="L6092" s="1335"/>
      <c r="M6092" s="1302"/>
      <c r="N6092" s="1700"/>
      <c r="O6092" s="1290"/>
      <c r="P6092" s="1332"/>
      <c r="Q6092" s="3391"/>
      <c r="R6092" s="1296"/>
    </row>
    <row r="6093" spans="1:18" s="16" customFormat="1">
      <c r="A6093" s="22"/>
      <c r="B6093" s="1320"/>
      <c r="C6093" s="595"/>
      <c r="D6093" s="1373"/>
      <c r="E6093" s="2123"/>
      <c r="F6093" s="1374" t="s">
        <v>3</v>
      </c>
      <c r="G6093" s="1375"/>
      <c r="H6093" s="1376"/>
      <c r="I6093" s="1382"/>
      <c r="J6093" s="1383"/>
      <c r="K6093" s="1383" t="str">
        <f>IF(COUNT(I6093)=0,"",(I6093*J6093))</f>
        <v/>
      </c>
      <c r="L6093" s="1413"/>
      <c r="M6093" s="1376"/>
      <c r="N6093" s="1376"/>
      <c r="O6093" s="1376"/>
      <c r="P6093" s="1373"/>
      <c r="Q6093" s="3387"/>
      <c r="R6093" s="1296"/>
    </row>
    <row r="6094" spans="1:18" s="16" customFormat="1">
      <c r="A6094" s="22"/>
      <c r="B6094" s="1321"/>
      <c r="C6094" s="2021"/>
      <c r="D6094" s="1377"/>
      <c r="E6094" s="2124"/>
      <c r="F6094" s="1378"/>
      <c r="G6094" s="1378"/>
      <c r="H6094" s="1379"/>
      <c r="I6094" s="1299"/>
      <c r="J6094" s="1300"/>
      <c r="K6094" s="1307"/>
      <c r="L6094" s="1335"/>
      <c r="M6094" s="1302"/>
      <c r="N6094" s="1700"/>
      <c r="O6094" s="1290"/>
      <c r="P6094" s="1332"/>
      <c r="Q6094" s="3391"/>
      <c r="R6094" s="1296"/>
    </row>
    <row r="6095" spans="1:18" s="16" customFormat="1">
      <c r="A6095" s="22"/>
      <c r="B6095" s="1321"/>
      <c r="C6095" s="2021"/>
      <c r="D6095" s="1377"/>
      <c r="E6095" s="2124"/>
      <c r="F6095" s="1378"/>
      <c r="G6095" s="1378"/>
      <c r="H6095" s="1379"/>
      <c r="I6095" s="1299"/>
      <c r="J6095" s="1300"/>
      <c r="K6095" s="1307"/>
      <c r="L6095" s="1335"/>
      <c r="M6095" s="1302"/>
      <c r="N6095" s="1700"/>
      <c r="O6095" s="1290"/>
      <c r="P6095" s="1333"/>
      <c r="Q6095" s="3391"/>
      <c r="R6095" s="1296"/>
    </row>
    <row r="6096" spans="1:18" s="16" customFormat="1">
      <c r="A6096" s="22"/>
      <c r="B6096" s="225"/>
      <c r="C6096" s="581"/>
      <c r="D6096" s="1373"/>
      <c r="E6096" s="2161"/>
      <c r="F6096" s="1678"/>
      <c r="G6096" s="1678"/>
      <c r="H6096" s="1376"/>
      <c r="I6096" s="1299"/>
      <c r="J6096" s="1300"/>
      <c r="K6096" s="1307"/>
      <c r="L6096" s="1335"/>
      <c r="M6096" s="1302"/>
      <c r="N6096" s="1700"/>
      <c r="O6096" s="1290"/>
      <c r="P6096" s="1332"/>
      <c r="Q6096" s="3391"/>
      <c r="R6096" s="1296"/>
    </row>
    <row r="6097" spans="1:18" s="16" customFormat="1" ht="15" customHeight="1">
      <c r="A6097" s="88" t="s">
        <v>3764</v>
      </c>
      <c r="B6097" s="4325" t="s">
        <v>2674</v>
      </c>
      <c r="C6097" s="3354"/>
      <c r="D6097" s="4368"/>
      <c r="E6097" s="4329" t="s">
        <v>1527</v>
      </c>
      <c r="F6097" s="4336" t="s">
        <v>2675</v>
      </c>
      <c r="G6097" s="4331" t="s">
        <v>1568</v>
      </c>
      <c r="H6097" s="4331" t="s">
        <v>1574</v>
      </c>
      <c r="I6097" s="1572" t="s">
        <v>1559</v>
      </c>
      <c r="J6097" s="1294" t="s">
        <v>1560</v>
      </c>
      <c r="K6097" s="1294" t="s">
        <v>1569</v>
      </c>
      <c r="L6097" s="4333" t="s">
        <v>3765</v>
      </c>
      <c r="M6097" s="4335" t="s">
        <v>1571</v>
      </c>
      <c r="N6097" s="4323" t="s">
        <v>1776</v>
      </c>
      <c r="O6097" s="3347" t="s">
        <v>1563</v>
      </c>
      <c r="P6097" s="1336" t="s">
        <v>1562</v>
      </c>
      <c r="Q6097" s="3389"/>
      <c r="R6097" s="1699" t="s">
        <v>1327</v>
      </c>
    </row>
    <row r="6098" spans="1:18" s="16" customFormat="1">
      <c r="A6098" s="1662" t="s">
        <v>3901</v>
      </c>
      <c r="B6098" s="4326"/>
      <c r="C6098" s="3354"/>
      <c r="D6098" s="4328"/>
      <c r="E6098" s="4330"/>
      <c r="F6098" s="4336"/>
      <c r="G6098" s="4332"/>
      <c r="H6098" s="4332"/>
      <c r="I6098" s="1345">
        <v>18</v>
      </c>
      <c r="J6098" s="1307">
        <v>0.51</v>
      </c>
      <c r="K6098" s="1297">
        <f>I6098*J6098</f>
        <v>9.18</v>
      </c>
      <c r="L6098" s="4334"/>
      <c r="M6098" s="4335"/>
      <c r="N6098" s="4324"/>
      <c r="O6098" s="1298">
        <f>SUM(O6100:O6105)+O6108</f>
        <v>11.422700000000001</v>
      </c>
      <c r="P6098" s="1337">
        <f>O6098*K6098</f>
        <v>104.86038600000001</v>
      </c>
      <c r="Q6098" s="3390"/>
      <c r="R6098" s="1721">
        <f>SUM(P6100:P6105)+P6108</f>
        <v>104.86038600000001</v>
      </c>
    </row>
    <row r="6099" spans="1:18" s="16" customFormat="1">
      <c r="A6099" s="22"/>
      <c r="B6099" s="1949"/>
      <c r="C6099" s="1327"/>
      <c r="D6099" s="1400"/>
      <c r="E6099" s="2121"/>
      <c r="F6099" s="1389" t="s">
        <v>1</v>
      </c>
      <c r="G6099" s="1389"/>
      <c r="H6099" s="1369"/>
      <c r="I6099" s="1409"/>
      <c r="J6099" s="1390"/>
      <c r="K6099" s="1391"/>
      <c r="L6099" s="1559"/>
      <c r="M6099" s="1369"/>
      <c r="N6099" s="1369"/>
      <c r="O6099" s="1369"/>
      <c r="P6099" s="1392"/>
      <c r="Q6099" s="3395"/>
      <c r="R6099" s="1296"/>
    </row>
    <row r="6100" spans="1:18" s="16" customFormat="1">
      <c r="A6100" s="22"/>
      <c r="B6100" s="1320"/>
      <c r="C6100" s="595"/>
      <c r="D6100" s="1598" t="s">
        <v>2676</v>
      </c>
      <c r="E6100" s="2298" t="s">
        <v>1527</v>
      </c>
      <c r="F6100" s="1598" t="s">
        <v>2677</v>
      </c>
      <c r="G6100" s="1612">
        <v>1.01</v>
      </c>
      <c r="H6100" s="1399"/>
      <c r="I6100" s="197"/>
      <c r="J6100" s="198"/>
      <c r="K6100" s="1307">
        <f>G6100*K6098</f>
        <v>9.2717999999999989</v>
      </c>
      <c r="L6100" s="1335">
        <f t="shared" ref="L6100:L6102" si="801">K6100*$K$6029</f>
        <v>0</v>
      </c>
      <c r="M6100" s="1302">
        <v>1.32</v>
      </c>
      <c r="N6100" s="1718"/>
      <c r="O6100" s="1290">
        <f>G6100*M6100</f>
        <v>1.3332000000000002</v>
      </c>
      <c r="P6100" s="1332">
        <f>M6100*K6100</f>
        <v>12.238776</v>
      </c>
      <c r="Q6100" s="3391"/>
      <c r="R6100" s="2337"/>
    </row>
    <row r="6101" spans="1:18" s="16" customFormat="1" ht="15" customHeight="1">
      <c r="A6101" s="4473" t="s">
        <v>2847</v>
      </c>
      <c r="B6101" s="1320"/>
      <c r="C6101" s="595"/>
      <c r="D6101" s="1400" t="s">
        <v>1082</v>
      </c>
      <c r="E6101" s="1856" t="s">
        <v>1504</v>
      </c>
      <c r="F6101" s="2044" t="s">
        <v>1541</v>
      </c>
      <c r="G6101" s="1416">
        <v>1</v>
      </c>
      <c r="H6101" s="1399"/>
      <c r="I6101" s="197"/>
      <c r="J6101" s="198"/>
      <c r="K6101" s="1307">
        <f>G6101*K6098</f>
        <v>9.18</v>
      </c>
      <c r="L6101" s="1335">
        <f t="shared" si="801"/>
        <v>0</v>
      </c>
      <c r="M6101" s="1302">
        <v>0.3</v>
      </c>
      <c r="N6101" s="1718"/>
      <c r="O6101" s="1290">
        <f>G6101*M6101</f>
        <v>0.3</v>
      </c>
      <c r="P6101" s="1332">
        <f>M6101*K6101</f>
        <v>2.754</v>
      </c>
      <c r="Q6101" s="3391"/>
      <c r="R6101" s="2337"/>
    </row>
    <row r="6102" spans="1:18" s="16" customFormat="1" ht="15" customHeight="1">
      <c r="A6102" s="4473"/>
      <c r="B6102" s="1320"/>
      <c r="C6102" s="595"/>
      <c r="D6102" s="1400" t="s">
        <v>1097</v>
      </c>
      <c r="E6102" s="1856" t="s">
        <v>1504</v>
      </c>
      <c r="F6102" s="1421" t="s">
        <v>1632</v>
      </c>
      <c r="G6102" s="2289">
        <v>0.8</v>
      </c>
      <c r="H6102" s="1399"/>
      <c r="I6102" s="197"/>
      <c r="J6102" s="198"/>
      <c r="K6102" s="1307">
        <f>G6102*K6098</f>
        <v>7.3440000000000003</v>
      </c>
      <c r="L6102" s="1335">
        <f t="shared" si="801"/>
        <v>0</v>
      </c>
      <c r="M6102" s="1302">
        <v>0.55000000000000004</v>
      </c>
      <c r="N6102" s="1718"/>
      <c r="O6102" s="1290">
        <f>G6102*M6102</f>
        <v>0.44000000000000006</v>
      </c>
      <c r="P6102" s="1332">
        <f>M6102*K6102</f>
        <v>4.0392000000000001</v>
      </c>
      <c r="Q6102" s="3391"/>
      <c r="R6102" s="2337"/>
    </row>
    <row r="6103" spans="1:18" s="16" customFormat="1" ht="15" customHeight="1">
      <c r="A6103" s="4473"/>
      <c r="B6103" s="1320"/>
      <c r="C6103" s="595"/>
      <c r="D6103" s="1367"/>
      <c r="E6103" s="1856"/>
      <c r="F6103" s="1421"/>
      <c r="G6103" s="1452"/>
      <c r="H6103" s="1399"/>
      <c r="I6103" s="197"/>
      <c r="J6103" s="198"/>
      <c r="K6103" s="1732"/>
      <c r="L6103" s="1335"/>
      <c r="M6103" s="1302"/>
      <c r="N6103" s="1718"/>
      <c r="O6103" s="1290"/>
      <c r="P6103" s="1332"/>
      <c r="Q6103" s="3391"/>
      <c r="R6103" s="2337"/>
    </row>
    <row r="6104" spans="1:18" s="16" customFormat="1">
      <c r="A6104" s="4473"/>
      <c r="B6104" s="1320"/>
      <c r="C6104" s="88"/>
      <c r="D6104" s="1443"/>
      <c r="E6104" s="1858"/>
      <c r="F6104" s="1360" t="s">
        <v>2</v>
      </c>
      <c r="G6104" s="1360"/>
      <c r="H6104" s="1362"/>
      <c r="I6104" s="1380"/>
      <c r="J6104" s="1381"/>
      <c r="K6104" s="1381"/>
      <c r="L6104" s="1458"/>
      <c r="M6104" s="1362"/>
      <c r="N6104" s="1362"/>
      <c r="O6104" s="1362"/>
      <c r="P6104" s="1359"/>
      <c r="Q6104" s="3387"/>
      <c r="R6104" s="2339"/>
    </row>
    <row r="6105" spans="1:18" s="16" customFormat="1">
      <c r="A6105" s="4473"/>
      <c r="B6105" s="1042"/>
      <c r="C6105" s="2086" t="s">
        <v>2282</v>
      </c>
      <c r="D6105" s="1311"/>
      <c r="E6105" s="2176" t="s">
        <v>1508</v>
      </c>
      <c r="F6105" s="1648" t="s">
        <v>2283</v>
      </c>
      <c r="G6105" s="1990"/>
      <c r="H6105" s="1954">
        <v>0.1</v>
      </c>
      <c r="I6105" s="1444"/>
      <c r="J6105" s="1388"/>
      <c r="K6105" s="1445"/>
      <c r="L6105" s="1457"/>
      <c r="M6105" s="1447"/>
      <c r="N6105" s="1447">
        <f>SUM(N6106:N6107)</f>
        <v>37.019999999999996</v>
      </c>
      <c r="O6105" s="1447">
        <f>SUM(O6106:O6107)</f>
        <v>3.702</v>
      </c>
      <c r="P6105" s="1447">
        <f>SUM(P6106:P6107)</f>
        <v>33.984359999999995</v>
      </c>
      <c r="Q6105" s="3391"/>
      <c r="R6105" s="2337"/>
    </row>
    <row r="6106" spans="1:18" s="16" customFormat="1">
      <c r="A6106" s="4473"/>
      <c r="B6106" s="1042"/>
      <c r="C6106" s="19"/>
      <c r="D6106" s="1430" t="s">
        <v>1067</v>
      </c>
      <c r="E6106" s="1857" t="s">
        <v>1508</v>
      </c>
      <c r="F6106" s="1403" t="s">
        <v>5</v>
      </c>
      <c r="G6106" s="1991">
        <v>1</v>
      </c>
      <c r="H6106" s="1937">
        <f>G6106*H6105</f>
        <v>0.1</v>
      </c>
      <c r="I6106" s="1286"/>
      <c r="J6106" s="198"/>
      <c r="K6106" s="1307">
        <f>H6106*K6098</f>
        <v>0.91800000000000004</v>
      </c>
      <c r="L6106" s="1335">
        <f t="shared" ref="L6106:L6107" si="802">K6106*$K$6029</f>
        <v>0</v>
      </c>
      <c r="M6106" s="1302">
        <v>18.28</v>
      </c>
      <c r="N6106" s="1718">
        <f>G6106*M6106</f>
        <v>18.28</v>
      </c>
      <c r="O6106" s="1290">
        <f>H6106*M6106</f>
        <v>1.8280000000000003</v>
      </c>
      <c r="P6106" s="1720">
        <f>M6106*K6106</f>
        <v>16.781040000000001</v>
      </c>
      <c r="Q6106" s="3396"/>
      <c r="R6106" s="2337"/>
    </row>
    <row r="6107" spans="1:18" s="16" customFormat="1">
      <c r="A6107" s="4473"/>
      <c r="B6107" s="1042"/>
      <c r="C6107" s="19"/>
      <c r="D6107" s="1430" t="s">
        <v>1165</v>
      </c>
      <c r="E6107" s="1857" t="s">
        <v>1508</v>
      </c>
      <c r="F6107" s="1403" t="s">
        <v>114</v>
      </c>
      <c r="G6107" s="1991">
        <v>1</v>
      </c>
      <c r="H6107" s="1937">
        <f>G6107*H6105</f>
        <v>0.1</v>
      </c>
      <c r="I6107" s="197"/>
      <c r="J6107" s="198"/>
      <c r="K6107" s="1307">
        <f>H6107*K6098</f>
        <v>0.91800000000000004</v>
      </c>
      <c r="L6107" s="1335">
        <f t="shared" si="802"/>
        <v>0</v>
      </c>
      <c r="M6107" s="1302">
        <v>18.739999999999998</v>
      </c>
      <c r="N6107" s="1718">
        <f>G6107*M6107</f>
        <v>18.739999999999998</v>
      </c>
      <c r="O6107" s="1290">
        <f>H6107*M6107</f>
        <v>1.8739999999999999</v>
      </c>
      <c r="P6107" s="1720">
        <f>M6107*K6107</f>
        <v>17.203319999999998</v>
      </c>
      <c r="Q6107" s="3396"/>
      <c r="R6107" s="2337"/>
    </row>
    <row r="6108" spans="1:18" s="16" customFormat="1">
      <c r="A6108" s="4473"/>
      <c r="B6108" s="1599"/>
      <c r="C6108" s="1938" t="s">
        <v>2649</v>
      </c>
      <c r="D6108" s="1311"/>
      <c r="E6108" s="2176" t="s">
        <v>1508</v>
      </c>
      <c r="F6108" s="1648" t="s">
        <v>2650</v>
      </c>
      <c r="G6108" s="1990"/>
      <c r="H6108" s="1954">
        <v>0.15</v>
      </c>
      <c r="I6108" s="1444"/>
      <c r="J6108" s="1388"/>
      <c r="K6108" s="1445"/>
      <c r="L6108" s="1457"/>
      <c r="M6108" s="1447"/>
      <c r="N6108" s="1447">
        <f>SUM(N6109:N6110)</f>
        <v>37.650000000000006</v>
      </c>
      <c r="O6108" s="1447">
        <f>SUM(O6109:O6110)</f>
        <v>5.6475000000000009</v>
      </c>
      <c r="P6108" s="1447">
        <f>SUM(P6109:P6110)</f>
        <v>51.844050000000003</v>
      </c>
      <c r="Q6108" s="3391"/>
      <c r="R6108" s="2337"/>
    </row>
    <row r="6109" spans="1:18" s="16" customFormat="1">
      <c r="A6109" s="22"/>
      <c r="B6109" s="1599"/>
      <c r="C6109" s="1327"/>
      <c r="D6109" s="1430" t="s">
        <v>2691</v>
      </c>
      <c r="E6109" s="1857" t="s">
        <v>1508</v>
      </c>
      <c r="F6109" s="1403" t="s">
        <v>2692</v>
      </c>
      <c r="G6109" s="1991">
        <v>1</v>
      </c>
      <c r="H6109" s="1937">
        <f>G6109*H6108</f>
        <v>0.15</v>
      </c>
      <c r="I6109" s="1286"/>
      <c r="J6109" s="198"/>
      <c r="K6109" s="1307">
        <f>H6109*K6101</f>
        <v>1.377</v>
      </c>
      <c r="L6109" s="1335">
        <f t="shared" ref="L6109:L6110" si="803">K6109*$K$6029</f>
        <v>0</v>
      </c>
      <c r="M6109" s="1302">
        <v>19.23</v>
      </c>
      <c r="N6109" s="1718">
        <f>G6109*M6109</f>
        <v>19.23</v>
      </c>
      <c r="O6109" s="1290">
        <f>H6109*M6109</f>
        <v>2.8845000000000001</v>
      </c>
      <c r="P6109" s="1720">
        <f>M6109*K6109</f>
        <v>26.479710000000001</v>
      </c>
      <c r="Q6109" s="3396"/>
      <c r="R6109" s="2337"/>
    </row>
    <row r="6110" spans="1:18" s="16" customFormat="1">
      <c r="A6110" s="22"/>
      <c r="B6110" s="1599"/>
      <c r="C6110" s="1320"/>
      <c r="D6110" s="1430" t="s">
        <v>1110</v>
      </c>
      <c r="E6110" s="1857" t="s">
        <v>1508</v>
      </c>
      <c r="F6110" s="1403" t="s">
        <v>2281</v>
      </c>
      <c r="G6110" s="1991">
        <v>1</v>
      </c>
      <c r="H6110" s="1937">
        <f>G6110*H6108</f>
        <v>0.15</v>
      </c>
      <c r="I6110" s="197"/>
      <c r="J6110" s="198"/>
      <c r="K6110" s="1307">
        <f>H6110*K6101</f>
        <v>1.377</v>
      </c>
      <c r="L6110" s="1335">
        <f t="shared" si="803"/>
        <v>0</v>
      </c>
      <c r="M6110" s="1302">
        <v>18.420000000000002</v>
      </c>
      <c r="N6110" s="1718">
        <f>G6110*M6110</f>
        <v>18.420000000000002</v>
      </c>
      <c r="O6110" s="1290">
        <f>H6110*M6110</f>
        <v>2.7630000000000003</v>
      </c>
      <c r="P6110" s="1720">
        <f>M6110*K6110</f>
        <v>25.364340000000002</v>
      </c>
      <c r="Q6110" s="3396"/>
      <c r="R6110" s="2337"/>
    </row>
    <row r="6111" spans="1:18" s="16" customFormat="1">
      <c r="A6111" s="1320"/>
      <c r="B6111" s="22"/>
      <c r="C6111" s="1320"/>
      <c r="D6111" s="1359"/>
      <c r="E6111" s="1858"/>
      <c r="F6111" s="1361"/>
      <c r="G6111" s="1361"/>
      <c r="H6111" s="1466"/>
      <c r="I6111" s="1299"/>
      <c r="J6111" s="1300"/>
      <c r="K6111" s="1307" t="str">
        <f>IF(COUNT(I6111)=0,"",(I6111*J6111))</f>
        <v/>
      </c>
      <c r="L6111" s="1335"/>
      <c r="M6111" s="1302"/>
      <c r="N6111" s="1700"/>
      <c r="O6111" s="1290"/>
      <c r="P6111" s="1332"/>
      <c r="Q6111" s="3391"/>
      <c r="R6111" s="2339"/>
    </row>
    <row r="6112" spans="1:18" s="16" customFormat="1">
      <c r="A6112" s="22"/>
      <c r="B6112" s="1320"/>
      <c r="C6112" s="595"/>
      <c r="D6112" s="1373"/>
      <c r="E6112" s="2123"/>
      <c r="F6112" s="1374" t="s">
        <v>3</v>
      </c>
      <c r="G6112" s="1375"/>
      <c r="H6112" s="1376"/>
      <c r="I6112" s="1382"/>
      <c r="J6112" s="1383"/>
      <c r="K6112" s="1383" t="str">
        <f>IF(COUNT(I6112)=0,"",(I6112*J6112))</f>
        <v/>
      </c>
      <c r="L6112" s="1413"/>
      <c r="M6112" s="1376"/>
      <c r="N6112" s="1376"/>
      <c r="O6112" s="1376"/>
      <c r="P6112" s="1373"/>
      <c r="Q6112" s="3387"/>
      <c r="R6112" s="1296"/>
    </row>
    <row r="6113" spans="1:18" s="16" customFormat="1">
      <c r="A6113" s="22"/>
      <c r="B6113" s="1321"/>
      <c r="C6113" s="2021"/>
      <c r="D6113" s="1377"/>
      <c r="E6113" s="2124"/>
      <c r="F6113" s="1378"/>
      <c r="G6113" s="1378"/>
      <c r="H6113" s="1379"/>
      <c r="I6113" s="1299"/>
      <c r="J6113" s="1300"/>
      <c r="K6113" s="1307"/>
      <c r="L6113" s="1335"/>
      <c r="M6113" s="1302"/>
      <c r="N6113" s="1700"/>
      <c r="O6113" s="1290"/>
      <c r="P6113" s="1332"/>
      <c r="Q6113" s="3391"/>
      <c r="R6113" s="1296"/>
    </row>
    <row r="6114" spans="1:18" s="16" customFormat="1">
      <c r="A6114" s="22"/>
      <c r="B6114" s="1321"/>
      <c r="C6114" s="2021"/>
      <c r="D6114" s="1377"/>
      <c r="E6114" s="2124"/>
      <c r="F6114" s="1378"/>
      <c r="G6114" s="1378"/>
      <c r="H6114" s="1379"/>
      <c r="I6114" s="1299"/>
      <c r="J6114" s="1300"/>
      <c r="K6114" s="1307"/>
      <c r="L6114" s="1335"/>
      <c r="M6114" s="1302"/>
      <c r="N6114" s="1700"/>
      <c r="O6114" s="1290"/>
      <c r="P6114" s="1333"/>
      <c r="Q6114" s="3391"/>
      <c r="R6114" s="1296"/>
    </row>
    <row r="6115" spans="1:18" s="16" customFormat="1">
      <c r="A6115" s="22"/>
      <c r="B6115" s="225"/>
      <c r="C6115" s="581"/>
      <c r="D6115" s="1373"/>
      <c r="E6115" s="2161"/>
      <c r="F6115" s="1678"/>
      <c r="G6115" s="1678"/>
      <c r="H6115" s="1376"/>
      <c r="I6115" s="1299"/>
      <c r="J6115" s="1300"/>
      <c r="K6115" s="1307"/>
      <c r="L6115" s="1335"/>
      <c r="M6115" s="1302"/>
      <c r="N6115" s="1700"/>
      <c r="O6115" s="1290"/>
      <c r="P6115" s="1332"/>
      <c r="Q6115" s="3391"/>
      <c r="R6115" s="1296"/>
    </row>
    <row r="6116" spans="1:18" s="16" customFormat="1" ht="15" customHeight="1">
      <c r="A6116" s="88" t="s">
        <v>3764</v>
      </c>
      <c r="B6116" s="4325" t="s">
        <v>2678</v>
      </c>
      <c r="C6116" s="3354"/>
      <c r="D6116" s="4368"/>
      <c r="E6116" s="4329" t="s">
        <v>1527</v>
      </c>
      <c r="F6116" s="4336" t="s">
        <v>2679</v>
      </c>
      <c r="G6116" s="4331" t="s">
        <v>1568</v>
      </c>
      <c r="H6116" s="4331" t="s">
        <v>1574</v>
      </c>
      <c r="I6116" s="1572" t="s">
        <v>1559</v>
      </c>
      <c r="J6116" s="1294" t="s">
        <v>1560</v>
      </c>
      <c r="K6116" s="1294" t="s">
        <v>1569</v>
      </c>
      <c r="L6116" s="4333" t="s">
        <v>3765</v>
      </c>
      <c r="M6116" s="4335" t="s">
        <v>1571</v>
      </c>
      <c r="N6116" s="4323" t="s">
        <v>1776</v>
      </c>
      <c r="O6116" s="3347" t="s">
        <v>1563</v>
      </c>
      <c r="P6116" s="1336" t="s">
        <v>1562</v>
      </c>
      <c r="Q6116" s="3389"/>
      <c r="R6116" s="1699" t="s">
        <v>1327</v>
      </c>
    </row>
    <row r="6117" spans="1:18" s="16" customFormat="1">
      <c r="A6117" s="1662" t="s">
        <v>3901</v>
      </c>
      <c r="B6117" s="4326"/>
      <c r="C6117" s="3354"/>
      <c r="D6117" s="4328"/>
      <c r="E6117" s="4330"/>
      <c r="F6117" s="4336"/>
      <c r="G6117" s="4332"/>
      <c r="H6117" s="4332"/>
      <c r="I6117" s="1345">
        <v>24</v>
      </c>
      <c r="J6117" s="1307">
        <v>0.51</v>
      </c>
      <c r="K6117" s="1297">
        <f>I6117*J6117</f>
        <v>12.24</v>
      </c>
      <c r="L6117" s="4334"/>
      <c r="M6117" s="4335"/>
      <c r="N6117" s="4324"/>
      <c r="O6117" s="1298">
        <f>SUM(O6119:O6124)+O6127</f>
        <v>11.644900000000002</v>
      </c>
      <c r="P6117" s="1337">
        <f>O6117*K6117</f>
        <v>142.53357600000001</v>
      </c>
      <c r="Q6117" s="3390"/>
      <c r="R6117" s="1721">
        <f>SUM(P6119:P6124)+P6127</f>
        <v>142.53357600000001</v>
      </c>
    </row>
    <row r="6118" spans="1:18" s="16" customFormat="1">
      <c r="A6118" s="22"/>
      <c r="B6118" s="1949"/>
      <c r="C6118" s="1327"/>
      <c r="D6118" s="1400"/>
      <c r="E6118" s="2121"/>
      <c r="F6118" s="1389" t="s">
        <v>1</v>
      </c>
      <c r="G6118" s="1389"/>
      <c r="H6118" s="1369"/>
      <c r="I6118" s="1409"/>
      <c r="J6118" s="1390"/>
      <c r="K6118" s="1391"/>
      <c r="L6118" s="1559"/>
      <c r="M6118" s="1369"/>
      <c r="N6118" s="1369"/>
      <c r="O6118" s="1369"/>
      <c r="P6118" s="1392"/>
      <c r="Q6118" s="3395"/>
      <c r="R6118" s="1296"/>
    </row>
    <row r="6119" spans="1:18" s="16" customFormat="1">
      <c r="A6119" s="22"/>
      <c r="B6119" s="1320"/>
      <c r="C6119" s="595"/>
      <c r="D6119" s="1598" t="s">
        <v>2680</v>
      </c>
      <c r="E6119" s="2298" t="s">
        <v>1527</v>
      </c>
      <c r="F6119" s="1598" t="s">
        <v>2681</v>
      </c>
      <c r="G6119" s="1612">
        <v>1.01</v>
      </c>
      <c r="H6119" s="1399"/>
      <c r="I6119" s="197"/>
      <c r="J6119" s="198"/>
      <c r="K6119" s="1307">
        <f>G6119*K6117</f>
        <v>12.362400000000001</v>
      </c>
      <c r="L6119" s="1335">
        <f t="shared" ref="L6119:L6121" si="804">K6119*$K$6029</f>
        <v>0</v>
      </c>
      <c r="M6119" s="1302">
        <v>1.54</v>
      </c>
      <c r="N6119" s="1718"/>
      <c r="O6119" s="1290">
        <f>G6119*M6119</f>
        <v>1.5554000000000001</v>
      </c>
      <c r="P6119" s="1332">
        <f>M6119*K6119</f>
        <v>19.038096000000003</v>
      </c>
      <c r="Q6119" s="3391"/>
      <c r="R6119" s="2337"/>
    </row>
    <row r="6120" spans="1:18" s="16" customFormat="1" ht="15" customHeight="1">
      <c r="A6120" s="4472" t="s">
        <v>2847</v>
      </c>
      <c r="B6120" s="1320"/>
      <c r="C6120" s="595"/>
      <c r="D6120" s="1400" t="s">
        <v>1082</v>
      </c>
      <c r="E6120" s="1856" t="s">
        <v>1504</v>
      </c>
      <c r="F6120" s="2044" t="s">
        <v>1541</v>
      </c>
      <c r="G6120" s="1416">
        <v>1</v>
      </c>
      <c r="H6120" s="1399"/>
      <c r="I6120" s="197"/>
      <c r="J6120" s="198"/>
      <c r="K6120" s="1307">
        <f>G6120*K6117</f>
        <v>12.24</v>
      </c>
      <c r="L6120" s="1335">
        <f t="shared" si="804"/>
        <v>0</v>
      </c>
      <c r="M6120" s="1302">
        <v>0.3</v>
      </c>
      <c r="N6120" s="1718"/>
      <c r="O6120" s="1290">
        <f>G6120*M6120</f>
        <v>0.3</v>
      </c>
      <c r="P6120" s="1332">
        <f>M6120*K6120</f>
        <v>3.6719999999999997</v>
      </c>
      <c r="Q6120" s="3391"/>
      <c r="R6120" s="2337"/>
    </row>
    <row r="6121" spans="1:18" s="16" customFormat="1" ht="15" customHeight="1">
      <c r="A6121" s="4472"/>
      <c r="B6121" s="1320"/>
      <c r="C6121" s="595"/>
      <c r="D6121" s="1400" t="s">
        <v>1097</v>
      </c>
      <c r="E6121" s="1856" t="s">
        <v>1504</v>
      </c>
      <c r="F6121" s="1421" t="s">
        <v>1632</v>
      </c>
      <c r="G6121" s="2289">
        <v>0.8</v>
      </c>
      <c r="H6121" s="1399"/>
      <c r="I6121" s="197"/>
      <c r="J6121" s="198"/>
      <c r="K6121" s="1307">
        <f>G6121*K6117</f>
        <v>9.7920000000000016</v>
      </c>
      <c r="L6121" s="1335">
        <f t="shared" si="804"/>
        <v>0</v>
      </c>
      <c r="M6121" s="1302">
        <v>0.55000000000000004</v>
      </c>
      <c r="N6121" s="1718"/>
      <c r="O6121" s="1290">
        <f>G6121*M6121</f>
        <v>0.44000000000000006</v>
      </c>
      <c r="P6121" s="1332">
        <f>M6121*K6121</f>
        <v>5.3856000000000011</v>
      </c>
      <c r="Q6121" s="3391"/>
      <c r="R6121" s="2337"/>
    </row>
    <row r="6122" spans="1:18" s="16" customFormat="1" ht="15" customHeight="1">
      <c r="A6122" s="4472"/>
      <c r="B6122" s="1320"/>
      <c r="C6122" s="595"/>
      <c r="D6122" s="1367"/>
      <c r="E6122" s="1856"/>
      <c r="F6122" s="1421"/>
      <c r="G6122" s="1452"/>
      <c r="H6122" s="1399"/>
      <c r="I6122" s="197"/>
      <c r="J6122" s="198"/>
      <c r="K6122" s="1732"/>
      <c r="L6122" s="1335"/>
      <c r="M6122" s="1302"/>
      <c r="N6122" s="1718"/>
      <c r="O6122" s="1290"/>
      <c r="P6122" s="1332"/>
      <c r="Q6122" s="3391"/>
      <c r="R6122" s="2337"/>
    </row>
    <row r="6123" spans="1:18" s="16" customFormat="1" ht="15" customHeight="1">
      <c r="A6123" s="4472"/>
      <c r="B6123" s="1320"/>
      <c r="C6123" s="88"/>
      <c r="D6123" s="1443"/>
      <c r="E6123" s="1858"/>
      <c r="F6123" s="1360" t="s">
        <v>2</v>
      </c>
      <c r="G6123" s="1360"/>
      <c r="H6123" s="1362"/>
      <c r="I6123" s="1380"/>
      <c r="J6123" s="1381"/>
      <c r="K6123" s="1381"/>
      <c r="L6123" s="1458"/>
      <c r="M6123" s="1362"/>
      <c r="N6123" s="1362"/>
      <c r="O6123" s="1362"/>
      <c r="P6123" s="1359"/>
      <c r="Q6123" s="3387"/>
      <c r="R6123" s="2339"/>
    </row>
    <row r="6124" spans="1:18" s="16" customFormat="1" ht="15" customHeight="1">
      <c r="A6124" s="4472"/>
      <c r="B6124" s="1042"/>
      <c r="C6124" s="2086" t="s">
        <v>2282</v>
      </c>
      <c r="D6124" s="1311"/>
      <c r="E6124" s="2176" t="s">
        <v>1508</v>
      </c>
      <c r="F6124" s="1648" t="s">
        <v>2283</v>
      </c>
      <c r="G6124" s="1990"/>
      <c r="H6124" s="1954">
        <v>0.1</v>
      </c>
      <c r="I6124" s="1444"/>
      <c r="J6124" s="1388"/>
      <c r="K6124" s="1445"/>
      <c r="L6124" s="1457"/>
      <c r="M6124" s="1447"/>
      <c r="N6124" s="1447">
        <f>SUM(N6125:N6126)</f>
        <v>37.019999999999996</v>
      </c>
      <c r="O6124" s="1447">
        <f>SUM(O6125:O6126)</f>
        <v>3.702</v>
      </c>
      <c r="P6124" s="1447">
        <f>SUM(P6125:P6126)</f>
        <v>45.312480000000008</v>
      </c>
      <c r="Q6124" s="3391"/>
      <c r="R6124" s="2337"/>
    </row>
    <row r="6125" spans="1:18" s="16" customFormat="1" ht="15" customHeight="1">
      <c r="A6125" s="4472"/>
      <c r="B6125" s="1042"/>
      <c r="C6125" s="19"/>
      <c r="D6125" s="1430" t="s">
        <v>1067</v>
      </c>
      <c r="E6125" s="1857" t="s">
        <v>1508</v>
      </c>
      <c r="F6125" s="1403" t="s">
        <v>5</v>
      </c>
      <c r="G6125" s="1991">
        <v>1</v>
      </c>
      <c r="H6125" s="1937">
        <f>G6125*H6124</f>
        <v>0.1</v>
      </c>
      <c r="I6125" s="1286"/>
      <c r="J6125" s="198"/>
      <c r="K6125" s="1307">
        <f>H6125*K6117</f>
        <v>1.2240000000000002</v>
      </c>
      <c r="L6125" s="1335">
        <f t="shared" ref="L6125:L6126" si="805">K6125*$K$6029</f>
        <v>0</v>
      </c>
      <c r="M6125" s="1302">
        <v>18.28</v>
      </c>
      <c r="N6125" s="1718">
        <f>G6125*M6125</f>
        <v>18.28</v>
      </c>
      <c r="O6125" s="1290">
        <f>H6125*M6125</f>
        <v>1.8280000000000003</v>
      </c>
      <c r="P6125" s="1720">
        <f>M6125*K6125</f>
        <v>22.374720000000003</v>
      </c>
      <c r="Q6125" s="3396"/>
      <c r="R6125" s="2337"/>
    </row>
    <row r="6126" spans="1:18" s="16" customFormat="1">
      <c r="A6126" s="4472"/>
      <c r="B6126" s="1042"/>
      <c r="C6126" s="19"/>
      <c r="D6126" s="1430" t="s">
        <v>1165</v>
      </c>
      <c r="E6126" s="1857" t="s">
        <v>1508</v>
      </c>
      <c r="F6126" s="1403" t="s">
        <v>114</v>
      </c>
      <c r="G6126" s="1991">
        <v>1</v>
      </c>
      <c r="H6126" s="1937">
        <f>G6126*H6124</f>
        <v>0.1</v>
      </c>
      <c r="I6126" s="197"/>
      <c r="J6126" s="198"/>
      <c r="K6126" s="1307">
        <f>H6126*K6117</f>
        <v>1.2240000000000002</v>
      </c>
      <c r="L6126" s="1335">
        <f t="shared" si="805"/>
        <v>0</v>
      </c>
      <c r="M6126" s="1302">
        <v>18.739999999999998</v>
      </c>
      <c r="N6126" s="1718">
        <f>G6126*M6126</f>
        <v>18.739999999999998</v>
      </c>
      <c r="O6126" s="1290">
        <f>H6126*M6126</f>
        <v>1.8739999999999999</v>
      </c>
      <c r="P6126" s="1720">
        <f>M6126*K6126</f>
        <v>22.937760000000001</v>
      </c>
      <c r="Q6126" s="3396"/>
      <c r="R6126" s="2337"/>
    </row>
    <row r="6127" spans="1:18" s="16" customFormat="1">
      <c r="A6127" s="4472"/>
      <c r="B6127" s="1599"/>
      <c r="C6127" s="1938" t="s">
        <v>2649</v>
      </c>
      <c r="D6127" s="1311"/>
      <c r="E6127" s="2176" t="s">
        <v>1508</v>
      </c>
      <c r="F6127" s="1648" t="s">
        <v>2650</v>
      </c>
      <c r="G6127" s="1990"/>
      <c r="H6127" s="1954">
        <v>0.15</v>
      </c>
      <c r="I6127" s="1444"/>
      <c r="J6127" s="1388"/>
      <c r="K6127" s="1445"/>
      <c r="L6127" s="1457"/>
      <c r="M6127" s="1447"/>
      <c r="N6127" s="1447">
        <f>SUM(N6128:N6129)</f>
        <v>37.650000000000006</v>
      </c>
      <c r="O6127" s="1447">
        <f>SUM(O6128:O6129)</f>
        <v>5.6475000000000009</v>
      </c>
      <c r="P6127" s="1447">
        <f>SUM(P6128:P6129)</f>
        <v>69.125399999999999</v>
      </c>
      <c r="Q6127" s="3391"/>
      <c r="R6127" s="2337"/>
    </row>
    <row r="6128" spans="1:18" s="16" customFormat="1">
      <c r="A6128" s="22"/>
      <c r="B6128" s="1599"/>
      <c r="C6128" s="1327"/>
      <c r="D6128" s="1430" t="s">
        <v>2691</v>
      </c>
      <c r="E6128" s="1857" t="s">
        <v>1508</v>
      </c>
      <c r="F6128" s="1403" t="s">
        <v>2692</v>
      </c>
      <c r="G6128" s="1991">
        <v>1</v>
      </c>
      <c r="H6128" s="1937">
        <f>G6128*H6127</f>
        <v>0.15</v>
      </c>
      <c r="I6128" s="1286"/>
      <c r="J6128" s="198"/>
      <c r="K6128" s="1307">
        <f>H6128*K6120</f>
        <v>1.8359999999999999</v>
      </c>
      <c r="L6128" s="1335">
        <f t="shared" ref="L6128:L6129" si="806">K6128*$K$6029</f>
        <v>0</v>
      </c>
      <c r="M6128" s="1302">
        <v>19.23</v>
      </c>
      <c r="N6128" s="1718">
        <f>G6128*M6128</f>
        <v>19.23</v>
      </c>
      <c r="O6128" s="1290">
        <f>H6128*M6128</f>
        <v>2.8845000000000001</v>
      </c>
      <c r="P6128" s="1720">
        <f>M6128*K6128</f>
        <v>35.306280000000001</v>
      </c>
      <c r="Q6128" s="3396"/>
      <c r="R6128" s="2337"/>
    </row>
    <row r="6129" spans="1:18" s="16" customFormat="1">
      <c r="A6129" s="22"/>
      <c r="B6129" s="1599"/>
      <c r="C6129" s="1320"/>
      <c r="D6129" s="1430" t="s">
        <v>1110</v>
      </c>
      <c r="E6129" s="1857" t="s">
        <v>1508</v>
      </c>
      <c r="F6129" s="1403" t="s">
        <v>2281</v>
      </c>
      <c r="G6129" s="1991">
        <v>1</v>
      </c>
      <c r="H6129" s="1937">
        <f>G6129*H6127</f>
        <v>0.15</v>
      </c>
      <c r="I6129" s="197"/>
      <c r="J6129" s="198"/>
      <c r="K6129" s="1307">
        <f>H6129*K6120</f>
        <v>1.8359999999999999</v>
      </c>
      <c r="L6129" s="1335">
        <f t="shared" si="806"/>
        <v>0</v>
      </c>
      <c r="M6129" s="1302">
        <v>18.420000000000002</v>
      </c>
      <c r="N6129" s="1718">
        <f>G6129*M6129</f>
        <v>18.420000000000002</v>
      </c>
      <c r="O6129" s="1290">
        <f>H6129*M6129</f>
        <v>2.7630000000000003</v>
      </c>
      <c r="P6129" s="1720">
        <f>M6129*K6129</f>
        <v>33.819119999999998</v>
      </c>
      <c r="Q6129" s="3396"/>
      <c r="R6129" s="2337"/>
    </row>
    <row r="6130" spans="1:18" s="16" customFormat="1">
      <c r="A6130" s="1320"/>
      <c r="B6130" s="22"/>
      <c r="C6130" s="1320"/>
      <c r="D6130" s="1359"/>
      <c r="E6130" s="1858"/>
      <c r="F6130" s="1361"/>
      <c r="G6130" s="1361"/>
      <c r="H6130" s="1466"/>
      <c r="I6130" s="1299"/>
      <c r="J6130" s="1300"/>
      <c r="K6130" s="1307" t="str">
        <f>IF(COUNT(I6130)=0,"",(I6130*J6130))</f>
        <v/>
      </c>
      <c r="L6130" s="1335"/>
      <c r="M6130" s="1302"/>
      <c r="N6130" s="1700"/>
      <c r="O6130" s="1290"/>
      <c r="P6130" s="1332"/>
      <c r="Q6130" s="3391"/>
      <c r="R6130" s="2339"/>
    </row>
    <row r="6131" spans="1:18" s="16" customFormat="1">
      <c r="A6131" s="22"/>
      <c r="B6131" s="1320"/>
      <c r="C6131" s="595"/>
      <c r="D6131" s="1373"/>
      <c r="E6131" s="2123"/>
      <c r="F6131" s="1374" t="s">
        <v>3</v>
      </c>
      <c r="G6131" s="1375"/>
      <c r="H6131" s="1376"/>
      <c r="I6131" s="1382"/>
      <c r="J6131" s="1383"/>
      <c r="K6131" s="1383" t="str">
        <f>IF(COUNT(I6131)=0,"",(I6131*J6131))</f>
        <v/>
      </c>
      <c r="L6131" s="1413"/>
      <c r="M6131" s="1376"/>
      <c r="N6131" s="1376"/>
      <c r="O6131" s="1376"/>
      <c r="P6131" s="1373"/>
      <c r="Q6131" s="3387"/>
      <c r="R6131" s="1296"/>
    </row>
    <row r="6132" spans="1:18" s="16" customFormat="1">
      <c r="A6132" s="22"/>
      <c r="B6132" s="1321"/>
      <c r="C6132" s="2021"/>
      <c r="D6132" s="1377"/>
      <c r="E6132" s="2124"/>
      <c r="F6132" s="1378"/>
      <c r="G6132" s="1378"/>
      <c r="H6132" s="1379"/>
      <c r="I6132" s="1299"/>
      <c r="J6132" s="1300"/>
      <c r="K6132" s="1307"/>
      <c r="L6132" s="1335"/>
      <c r="M6132" s="1302"/>
      <c r="N6132" s="1700"/>
      <c r="O6132" s="1290"/>
      <c r="P6132" s="1332"/>
      <c r="Q6132" s="3391"/>
      <c r="R6132" s="1296"/>
    </row>
    <row r="6133" spans="1:18" s="16" customFormat="1">
      <c r="A6133" s="22"/>
      <c r="B6133" s="1321"/>
      <c r="C6133" s="2021"/>
      <c r="D6133" s="1377"/>
      <c r="E6133" s="2124"/>
      <c r="F6133" s="1378"/>
      <c r="G6133" s="1378"/>
      <c r="H6133" s="1379"/>
      <c r="I6133" s="1299"/>
      <c r="J6133" s="1300"/>
      <c r="K6133" s="1307"/>
      <c r="L6133" s="1335"/>
      <c r="M6133" s="1302"/>
      <c r="N6133" s="1700"/>
      <c r="O6133" s="1290"/>
      <c r="P6133" s="1333"/>
      <c r="Q6133" s="3391"/>
      <c r="R6133" s="1296"/>
    </row>
    <row r="6134" spans="1:18" s="16" customFormat="1">
      <c r="A6134" s="22"/>
      <c r="B6134" s="225"/>
      <c r="C6134" s="581"/>
      <c r="D6134" s="1373"/>
      <c r="E6134" s="2161"/>
      <c r="F6134" s="1678"/>
      <c r="G6134" s="1678"/>
      <c r="H6134" s="1376"/>
      <c r="I6134" s="1299"/>
      <c r="J6134" s="1300"/>
      <c r="K6134" s="1307"/>
      <c r="L6134" s="1335"/>
      <c r="M6134" s="1302"/>
      <c r="N6134" s="1700"/>
      <c r="O6134" s="1290"/>
      <c r="P6134" s="1332"/>
      <c r="Q6134" s="3391"/>
      <c r="R6134" s="1296"/>
    </row>
    <row r="6135" spans="1:18" s="16" customFormat="1" ht="15" customHeight="1">
      <c r="A6135" s="88" t="s">
        <v>3764</v>
      </c>
      <c r="B6135" s="4325" t="s">
        <v>2682</v>
      </c>
      <c r="C6135" s="3354"/>
      <c r="D6135" s="4368"/>
      <c r="E6135" s="4329" t="s">
        <v>1527</v>
      </c>
      <c r="F6135" s="4336" t="s">
        <v>2683</v>
      </c>
      <c r="G6135" s="4331" t="s">
        <v>1568</v>
      </c>
      <c r="H6135" s="4331" t="s">
        <v>1574</v>
      </c>
      <c r="I6135" s="1572" t="s">
        <v>1559</v>
      </c>
      <c r="J6135" s="1294" t="s">
        <v>1560</v>
      </c>
      <c r="K6135" s="1294" t="s">
        <v>1569</v>
      </c>
      <c r="L6135" s="4333" t="s">
        <v>3765</v>
      </c>
      <c r="M6135" s="4335" t="s">
        <v>1571</v>
      </c>
      <c r="N6135" s="4323" t="s">
        <v>1776</v>
      </c>
      <c r="O6135" s="3347" t="s">
        <v>1563</v>
      </c>
      <c r="P6135" s="1336" t="s">
        <v>1562</v>
      </c>
      <c r="Q6135" s="3389"/>
      <c r="R6135" s="1699" t="s">
        <v>1327</v>
      </c>
    </row>
    <row r="6136" spans="1:18" s="16" customFormat="1">
      <c r="A6136" s="1662" t="s">
        <v>3901</v>
      </c>
      <c r="B6136" s="4326"/>
      <c r="C6136" s="3354"/>
      <c r="D6136" s="4328"/>
      <c r="E6136" s="4330"/>
      <c r="F6136" s="4336"/>
      <c r="G6136" s="4332"/>
      <c r="H6136" s="4332"/>
      <c r="I6136" s="1345">
        <v>12</v>
      </c>
      <c r="J6136" s="1307">
        <v>0.51</v>
      </c>
      <c r="K6136" s="1297">
        <f>I6136*J6136</f>
        <v>6.12</v>
      </c>
      <c r="L6136" s="4334"/>
      <c r="M6136" s="4335"/>
      <c r="N6136" s="4324"/>
      <c r="O6136" s="1298">
        <f>SUM(O6138:O6143)+O6146</f>
        <v>12.0977</v>
      </c>
      <c r="P6136" s="1337">
        <f>O6136*K6136</f>
        <v>74.037924000000004</v>
      </c>
      <c r="Q6136" s="3390"/>
      <c r="R6136" s="1721">
        <f>SUM(P6138:P6143)+P6146</f>
        <v>74.037924000000004</v>
      </c>
    </row>
    <row r="6137" spans="1:18" s="16" customFormat="1">
      <c r="A6137" s="22"/>
      <c r="B6137" s="1949"/>
      <c r="C6137" s="1327"/>
      <c r="D6137" s="1400"/>
      <c r="E6137" s="2121"/>
      <c r="F6137" s="1389" t="s">
        <v>1</v>
      </c>
      <c r="G6137" s="1389"/>
      <c r="H6137" s="1369"/>
      <c r="I6137" s="1409"/>
      <c r="J6137" s="1390"/>
      <c r="K6137" s="1391"/>
      <c r="L6137" s="1559"/>
      <c r="M6137" s="1369"/>
      <c r="N6137" s="1369"/>
      <c r="O6137" s="1369"/>
      <c r="P6137" s="1392"/>
      <c r="Q6137" s="3395"/>
      <c r="R6137" s="1296"/>
    </row>
    <row r="6138" spans="1:18" s="16" customFormat="1">
      <c r="A6138" s="22"/>
      <c r="B6138" s="1320"/>
      <c r="C6138" s="595"/>
      <c r="D6138" s="1598" t="s">
        <v>2684</v>
      </c>
      <c r="E6138" s="2298" t="s">
        <v>1527</v>
      </c>
      <c r="F6138" s="1598" t="s">
        <v>2685</v>
      </c>
      <c r="G6138" s="1612">
        <v>1.01</v>
      </c>
      <c r="H6138" s="1399"/>
      <c r="I6138" s="197"/>
      <c r="J6138" s="198"/>
      <c r="K6138" s="1307">
        <f>G6138*K6136</f>
        <v>6.1812000000000005</v>
      </c>
      <c r="L6138" s="1335">
        <f t="shared" ref="L6138:L6140" si="807">K6138*$K$6029</f>
        <v>0</v>
      </c>
      <c r="M6138" s="1302">
        <v>1.82</v>
      </c>
      <c r="N6138" s="1718"/>
      <c r="O6138" s="1290">
        <f>G6138*M6138</f>
        <v>1.8382000000000001</v>
      </c>
      <c r="P6138" s="1332">
        <f>M6138*K6138</f>
        <v>11.249784000000002</v>
      </c>
      <c r="Q6138" s="3391"/>
      <c r="R6138" s="2337"/>
    </row>
    <row r="6139" spans="1:18" s="16" customFormat="1" ht="15" customHeight="1">
      <c r="A6139" s="4472" t="s">
        <v>2847</v>
      </c>
      <c r="B6139" s="1320"/>
      <c r="C6139" s="595"/>
      <c r="D6139" s="1400" t="s">
        <v>1082</v>
      </c>
      <c r="E6139" s="1856" t="s">
        <v>1504</v>
      </c>
      <c r="F6139" s="2044" t="s">
        <v>1541</v>
      </c>
      <c r="G6139" s="1416">
        <v>1.2</v>
      </c>
      <c r="H6139" s="1399"/>
      <c r="I6139" s="197"/>
      <c r="J6139" s="198"/>
      <c r="K6139" s="1307">
        <f>G6139*K6136</f>
        <v>7.3439999999999994</v>
      </c>
      <c r="L6139" s="1335">
        <f t="shared" si="807"/>
        <v>0</v>
      </c>
      <c r="M6139" s="1302">
        <v>0.3</v>
      </c>
      <c r="N6139" s="1718"/>
      <c r="O6139" s="1290">
        <f>G6139*M6139</f>
        <v>0.36</v>
      </c>
      <c r="P6139" s="1332">
        <f>M6139*K6139</f>
        <v>2.2031999999999998</v>
      </c>
      <c r="Q6139" s="3391"/>
      <c r="R6139" s="2337"/>
    </row>
    <row r="6140" spans="1:18" s="16" customFormat="1" ht="15" customHeight="1">
      <c r="A6140" s="4472"/>
      <c r="B6140" s="1320"/>
      <c r="C6140" s="595"/>
      <c r="D6140" s="1400" t="s">
        <v>1097</v>
      </c>
      <c r="E6140" s="1856" t="s">
        <v>1504</v>
      </c>
      <c r="F6140" s="1421" t="s">
        <v>1632</v>
      </c>
      <c r="G6140" s="2289">
        <v>1</v>
      </c>
      <c r="H6140" s="1399"/>
      <c r="I6140" s="197"/>
      <c r="J6140" s="198"/>
      <c r="K6140" s="1307">
        <f>G6140*K6136</f>
        <v>6.12</v>
      </c>
      <c r="L6140" s="1335">
        <f t="shared" si="807"/>
        <v>0</v>
      </c>
      <c r="M6140" s="1302">
        <v>0.55000000000000004</v>
      </c>
      <c r="N6140" s="1718"/>
      <c r="O6140" s="1290">
        <f>G6140*M6140</f>
        <v>0.55000000000000004</v>
      </c>
      <c r="P6140" s="1332">
        <f>M6140*K6140</f>
        <v>3.3660000000000005</v>
      </c>
      <c r="Q6140" s="3391"/>
      <c r="R6140" s="2337"/>
    </row>
    <row r="6141" spans="1:18" s="16" customFormat="1" ht="15" customHeight="1">
      <c r="A6141" s="4472"/>
      <c r="B6141" s="1320"/>
      <c r="C6141" s="595"/>
      <c r="D6141" s="1367"/>
      <c r="E6141" s="1856"/>
      <c r="F6141" s="1421"/>
      <c r="G6141" s="1452"/>
      <c r="H6141" s="1399"/>
      <c r="I6141" s="197"/>
      <c r="J6141" s="198"/>
      <c r="K6141" s="1732"/>
      <c r="L6141" s="1335"/>
      <c r="M6141" s="1302"/>
      <c r="N6141" s="1718"/>
      <c r="O6141" s="1290"/>
      <c r="P6141" s="1332"/>
      <c r="Q6141" s="3391"/>
      <c r="R6141" s="2337"/>
    </row>
    <row r="6142" spans="1:18" s="16" customFormat="1">
      <c r="A6142" s="4472"/>
      <c r="B6142" s="1320"/>
      <c r="C6142" s="88"/>
      <c r="D6142" s="1443"/>
      <c r="E6142" s="1858"/>
      <c r="F6142" s="1360" t="s">
        <v>2</v>
      </c>
      <c r="G6142" s="1360"/>
      <c r="H6142" s="1362"/>
      <c r="I6142" s="1380"/>
      <c r="J6142" s="1381"/>
      <c r="K6142" s="1381"/>
      <c r="L6142" s="1458"/>
      <c r="M6142" s="1362"/>
      <c r="N6142" s="1362"/>
      <c r="O6142" s="1362"/>
      <c r="P6142" s="1359"/>
      <c r="Q6142" s="3387"/>
      <c r="R6142" s="2339"/>
    </row>
    <row r="6143" spans="1:18" s="16" customFormat="1">
      <c r="A6143" s="4472"/>
      <c r="B6143" s="1042"/>
      <c r="C6143" s="2086" t="s">
        <v>2282</v>
      </c>
      <c r="D6143" s="1311"/>
      <c r="E6143" s="2176" t="s">
        <v>1508</v>
      </c>
      <c r="F6143" s="1648" t="s">
        <v>2283</v>
      </c>
      <c r="G6143" s="1990"/>
      <c r="H6143" s="1954">
        <v>0.1</v>
      </c>
      <c r="I6143" s="1444"/>
      <c r="J6143" s="1388"/>
      <c r="K6143" s="1445"/>
      <c r="L6143" s="1457"/>
      <c r="M6143" s="1447"/>
      <c r="N6143" s="1447">
        <f>SUM(N6144:N6145)</f>
        <v>37.019999999999996</v>
      </c>
      <c r="O6143" s="1447">
        <f>SUM(O6144:O6145)</f>
        <v>3.702</v>
      </c>
      <c r="P6143" s="1447">
        <f>SUM(P6144:P6145)</f>
        <v>22.656240000000004</v>
      </c>
      <c r="Q6143" s="3391"/>
      <c r="R6143" s="2337"/>
    </row>
    <row r="6144" spans="1:18" s="16" customFormat="1">
      <c r="A6144" s="4472"/>
      <c r="B6144" s="1042"/>
      <c r="C6144" s="19"/>
      <c r="D6144" s="1430" t="s">
        <v>1067</v>
      </c>
      <c r="E6144" s="1857" t="s">
        <v>1508</v>
      </c>
      <c r="F6144" s="1403" t="s">
        <v>5</v>
      </c>
      <c r="G6144" s="1991">
        <v>1</v>
      </c>
      <c r="H6144" s="1937">
        <f>G6144*H6143</f>
        <v>0.1</v>
      </c>
      <c r="I6144" s="1286"/>
      <c r="J6144" s="198"/>
      <c r="K6144" s="1307">
        <f>H6144*K6136</f>
        <v>0.6120000000000001</v>
      </c>
      <c r="L6144" s="1335">
        <f t="shared" ref="L6144:L6145" si="808">K6144*$K$6029</f>
        <v>0</v>
      </c>
      <c r="M6144" s="1302">
        <v>18.28</v>
      </c>
      <c r="N6144" s="1718">
        <f>G6144*M6144</f>
        <v>18.28</v>
      </c>
      <c r="O6144" s="1290">
        <f>H6144*M6144</f>
        <v>1.8280000000000003</v>
      </c>
      <c r="P6144" s="1720">
        <f>M6144*K6144</f>
        <v>11.187360000000002</v>
      </c>
      <c r="Q6144" s="3396"/>
      <c r="R6144" s="2337"/>
    </row>
    <row r="6145" spans="1:18" s="16" customFormat="1">
      <c r="A6145" s="4472"/>
      <c r="B6145" s="1042"/>
      <c r="C6145" s="19"/>
      <c r="D6145" s="1430" t="s">
        <v>1165</v>
      </c>
      <c r="E6145" s="1857" t="s">
        <v>1508</v>
      </c>
      <c r="F6145" s="1403" t="s">
        <v>114</v>
      </c>
      <c r="G6145" s="1991">
        <v>1</v>
      </c>
      <c r="H6145" s="1937">
        <f>G6145*H6143</f>
        <v>0.1</v>
      </c>
      <c r="I6145" s="197"/>
      <c r="J6145" s="198"/>
      <c r="K6145" s="1307">
        <f>H6145*K6136</f>
        <v>0.6120000000000001</v>
      </c>
      <c r="L6145" s="1335">
        <f t="shared" si="808"/>
        <v>0</v>
      </c>
      <c r="M6145" s="1302">
        <v>18.739999999999998</v>
      </c>
      <c r="N6145" s="1718">
        <f>G6145*M6145</f>
        <v>18.739999999999998</v>
      </c>
      <c r="O6145" s="1290">
        <f>H6145*M6145</f>
        <v>1.8739999999999999</v>
      </c>
      <c r="P6145" s="1720">
        <f>M6145*K6145</f>
        <v>11.46888</v>
      </c>
      <c r="Q6145" s="3396"/>
      <c r="R6145" s="2337"/>
    </row>
    <row r="6146" spans="1:18" s="16" customFormat="1">
      <c r="A6146" s="4472"/>
      <c r="B6146" s="1599"/>
      <c r="C6146" s="1938" t="s">
        <v>2649</v>
      </c>
      <c r="D6146" s="1311"/>
      <c r="E6146" s="2176" t="s">
        <v>1508</v>
      </c>
      <c r="F6146" s="1648" t="s">
        <v>2650</v>
      </c>
      <c r="G6146" s="1990"/>
      <c r="H6146" s="1954">
        <v>0.15</v>
      </c>
      <c r="I6146" s="1444"/>
      <c r="J6146" s="1388"/>
      <c r="K6146" s="1445"/>
      <c r="L6146" s="1457"/>
      <c r="M6146" s="1447"/>
      <c r="N6146" s="1447">
        <f>SUM(N6147:N6148)</f>
        <v>37.650000000000006</v>
      </c>
      <c r="O6146" s="1447">
        <f>SUM(O6147:O6148)</f>
        <v>5.6475000000000009</v>
      </c>
      <c r="P6146" s="1447">
        <f>SUM(P6147:P6148)</f>
        <v>34.5627</v>
      </c>
      <c r="Q6146" s="3391"/>
      <c r="R6146" s="2337"/>
    </row>
    <row r="6147" spans="1:18" s="16" customFormat="1">
      <c r="A6147" s="22"/>
      <c r="B6147" s="1599"/>
      <c r="C6147" s="1327"/>
      <c r="D6147" s="1430" t="s">
        <v>2691</v>
      </c>
      <c r="E6147" s="1857" t="s">
        <v>1508</v>
      </c>
      <c r="F6147" s="1403" t="s">
        <v>2692</v>
      </c>
      <c r="G6147" s="1991">
        <v>1</v>
      </c>
      <c r="H6147" s="1937">
        <f>G6147*H6146</f>
        <v>0.15</v>
      </c>
      <c r="I6147" s="1286"/>
      <c r="J6147" s="198"/>
      <c r="K6147" s="1307">
        <f>H6147*K6136</f>
        <v>0.91799999999999993</v>
      </c>
      <c r="L6147" s="1335">
        <f t="shared" ref="L6147:L6148" si="809">K6147*$K$6029</f>
        <v>0</v>
      </c>
      <c r="M6147" s="1302">
        <v>19.23</v>
      </c>
      <c r="N6147" s="1718">
        <f>G6147*M6147</f>
        <v>19.23</v>
      </c>
      <c r="O6147" s="1290">
        <f>H6147*M6147</f>
        <v>2.8845000000000001</v>
      </c>
      <c r="P6147" s="1720">
        <f>M6147*K6147</f>
        <v>17.65314</v>
      </c>
      <c r="Q6147" s="3396"/>
      <c r="R6147" s="2337"/>
    </row>
    <row r="6148" spans="1:18" s="16" customFormat="1">
      <c r="A6148" s="22"/>
      <c r="B6148" s="1599"/>
      <c r="C6148" s="1320"/>
      <c r="D6148" s="1430" t="s">
        <v>1110</v>
      </c>
      <c r="E6148" s="1857" t="s">
        <v>1508</v>
      </c>
      <c r="F6148" s="1403" t="s">
        <v>2281</v>
      </c>
      <c r="G6148" s="1991">
        <v>1</v>
      </c>
      <c r="H6148" s="1937">
        <f>G6148*H6146</f>
        <v>0.15</v>
      </c>
      <c r="I6148" s="197"/>
      <c r="J6148" s="198"/>
      <c r="K6148" s="1307">
        <f>H6148*K6136</f>
        <v>0.91799999999999993</v>
      </c>
      <c r="L6148" s="1335">
        <f t="shared" si="809"/>
        <v>0</v>
      </c>
      <c r="M6148" s="1302">
        <v>18.420000000000002</v>
      </c>
      <c r="N6148" s="1718">
        <f>G6148*M6148</f>
        <v>18.420000000000002</v>
      </c>
      <c r="O6148" s="1290">
        <f>H6148*M6148</f>
        <v>2.7630000000000003</v>
      </c>
      <c r="P6148" s="1720">
        <f>M6148*K6148</f>
        <v>16.909559999999999</v>
      </c>
      <c r="Q6148" s="3396"/>
      <c r="R6148" s="2337"/>
    </row>
    <row r="6149" spans="1:18" s="16" customFormat="1">
      <c r="A6149" s="1320"/>
      <c r="B6149" s="22"/>
      <c r="C6149" s="1320"/>
      <c r="D6149" s="1359"/>
      <c r="E6149" s="1858"/>
      <c r="F6149" s="1361"/>
      <c r="G6149" s="1361"/>
      <c r="H6149" s="1466"/>
      <c r="I6149" s="1299"/>
      <c r="J6149" s="1300"/>
      <c r="K6149" s="1307" t="str">
        <f>IF(COUNT(I6149)=0,"",(I6149*J6149))</f>
        <v/>
      </c>
      <c r="L6149" s="1335"/>
      <c r="M6149" s="1302"/>
      <c r="N6149" s="1700"/>
      <c r="O6149" s="1290"/>
      <c r="P6149" s="1332"/>
      <c r="Q6149" s="3391"/>
      <c r="R6149" s="2339"/>
    </row>
    <row r="6150" spans="1:18" s="16" customFormat="1">
      <c r="A6150" s="22"/>
      <c r="B6150" s="1320"/>
      <c r="C6150" s="595"/>
      <c r="D6150" s="1373"/>
      <c r="E6150" s="2123"/>
      <c r="F6150" s="1374" t="s">
        <v>3</v>
      </c>
      <c r="G6150" s="1375"/>
      <c r="H6150" s="1376"/>
      <c r="I6150" s="1382"/>
      <c r="J6150" s="1383"/>
      <c r="K6150" s="1383" t="str">
        <f>IF(COUNT(I6150)=0,"",(I6150*J6150))</f>
        <v/>
      </c>
      <c r="L6150" s="1413"/>
      <c r="M6150" s="1376"/>
      <c r="N6150" s="1376"/>
      <c r="O6150" s="1376"/>
      <c r="P6150" s="1373"/>
      <c r="Q6150" s="3387"/>
      <c r="R6150" s="1296"/>
    </row>
    <row r="6151" spans="1:18" s="16" customFormat="1">
      <c r="A6151" s="22"/>
      <c r="B6151" s="1321"/>
      <c r="C6151" s="2021"/>
      <c r="D6151" s="1377"/>
      <c r="E6151" s="2124"/>
      <c r="F6151" s="1378"/>
      <c r="G6151" s="1378"/>
      <c r="H6151" s="1379"/>
      <c r="I6151" s="1299"/>
      <c r="J6151" s="1300"/>
      <c r="K6151" s="1307"/>
      <c r="L6151" s="1335"/>
      <c r="M6151" s="1302"/>
      <c r="N6151" s="1700"/>
      <c r="O6151" s="1290"/>
      <c r="P6151" s="1332"/>
      <c r="Q6151" s="3391"/>
      <c r="R6151" s="1296"/>
    </row>
    <row r="6152" spans="1:18" s="16" customFormat="1">
      <c r="A6152" s="22"/>
      <c r="B6152" s="1321"/>
      <c r="C6152" s="2021"/>
      <c r="D6152" s="1377"/>
      <c r="E6152" s="2124"/>
      <c r="F6152" s="1378"/>
      <c r="G6152" s="1378"/>
      <c r="H6152" s="1379"/>
      <c r="I6152" s="1299"/>
      <c r="J6152" s="1300"/>
      <c r="K6152" s="1307"/>
      <c r="L6152" s="1335"/>
      <c r="M6152" s="1302"/>
      <c r="N6152" s="1700"/>
      <c r="O6152" s="1290"/>
      <c r="P6152" s="1333"/>
      <c r="Q6152" s="3391"/>
      <c r="R6152" s="1296"/>
    </row>
    <row r="6153" spans="1:18" s="16" customFormat="1">
      <c r="A6153" s="22"/>
      <c r="B6153" s="225"/>
      <c r="C6153" s="581"/>
      <c r="D6153" s="1373"/>
      <c r="E6153" s="2161"/>
      <c r="F6153" s="1678"/>
      <c r="G6153" s="1678"/>
      <c r="H6153" s="1376"/>
      <c r="I6153" s="1299"/>
      <c r="J6153" s="1300"/>
      <c r="K6153" s="1307"/>
      <c r="L6153" s="1335"/>
      <c r="M6153" s="1302"/>
      <c r="N6153" s="1700"/>
      <c r="O6153" s="1290"/>
      <c r="P6153" s="1332"/>
      <c r="Q6153" s="3391"/>
      <c r="R6153" s="1296"/>
    </row>
    <row r="6154" spans="1:18" s="16" customFormat="1">
      <c r="A6154" s="88" t="s">
        <v>3764</v>
      </c>
      <c r="B6154" s="4325" t="s">
        <v>2686</v>
      </c>
      <c r="C6154" s="3354"/>
      <c r="D6154" s="4368"/>
      <c r="E6154" s="4329" t="s">
        <v>1504</v>
      </c>
      <c r="F6154" s="4336" t="s">
        <v>2687</v>
      </c>
      <c r="G6154" s="4331" t="s">
        <v>1568</v>
      </c>
      <c r="H6154" s="4331" t="s">
        <v>1574</v>
      </c>
      <c r="I6154" s="1572" t="s">
        <v>1559</v>
      </c>
      <c r="J6154" s="1294" t="s">
        <v>1560</v>
      </c>
      <c r="K6154" s="1294" t="s">
        <v>1569</v>
      </c>
      <c r="L6154" s="4333" t="s">
        <v>3765</v>
      </c>
      <c r="M6154" s="4335" t="s">
        <v>1571</v>
      </c>
      <c r="N6154" s="4323" t="s">
        <v>1776</v>
      </c>
      <c r="O6154" s="3347" t="s">
        <v>1563</v>
      </c>
      <c r="P6154" s="1336" t="s">
        <v>1562</v>
      </c>
      <c r="Q6154" s="3389"/>
      <c r="R6154" s="1699" t="s">
        <v>1327</v>
      </c>
    </row>
    <row r="6155" spans="1:18" s="16" customFormat="1">
      <c r="A6155" s="1662" t="s">
        <v>2646</v>
      </c>
      <c r="B6155" s="4326"/>
      <c r="C6155" s="3354"/>
      <c r="D6155" s="4328"/>
      <c r="E6155" s="4330"/>
      <c r="F6155" s="4336"/>
      <c r="G6155" s="4332"/>
      <c r="H6155" s="4332"/>
      <c r="I6155" s="1345">
        <v>1</v>
      </c>
      <c r="J6155" s="1307">
        <v>0.51</v>
      </c>
      <c r="K6155" s="1297">
        <f>I6155*J6155</f>
        <v>0.51</v>
      </c>
      <c r="L6155" s="4334"/>
      <c r="M6155" s="4335"/>
      <c r="N6155" s="4324"/>
      <c r="O6155" s="1298">
        <f>SUM(O6157:O6162)</f>
        <v>12.622</v>
      </c>
      <c r="P6155" s="1337">
        <f>O6155*K6155</f>
        <v>6.4372199999999999</v>
      </c>
      <c r="Q6155" s="3390"/>
      <c r="R6155" s="1721">
        <f>SUM(P6157:P6162)</f>
        <v>6.4372199999999999</v>
      </c>
    </row>
    <row r="6156" spans="1:18" s="16" customFormat="1">
      <c r="A6156" s="22"/>
      <c r="B6156" s="1949"/>
      <c r="C6156" s="1327"/>
      <c r="D6156" s="1400"/>
      <c r="E6156" s="2121"/>
      <c r="F6156" s="1389" t="s">
        <v>1</v>
      </c>
      <c r="G6156" s="1389"/>
      <c r="H6156" s="1369"/>
      <c r="I6156" s="1409"/>
      <c r="J6156" s="1390"/>
      <c r="K6156" s="1391"/>
      <c r="L6156" s="1559"/>
      <c r="M6156" s="1369"/>
      <c r="N6156" s="1369"/>
      <c r="O6156" s="1369"/>
      <c r="P6156" s="1392"/>
      <c r="Q6156" s="3395"/>
      <c r="R6156" s="1296"/>
    </row>
    <row r="6157" spans="1:18" s="16" customFormat="1">
      <c r="A6157" s="22"/>
      <c r="B6157" s="1320"/>
      <c r="C6157" s="595"/>
      <c r="D6157" s="1598" t="s">
        <v>2688</v>
      </c>
      <c r="E6157" s="2298" t="s">
        <v>1504</v>
      </c>
      <c r="F6157" s="1598" t="s">
        <v>2689</v>
      </c>
      <c r="G6157" s="1612">
        <v>1</v>
      </c>
      <c r="H6157" s="1399"/>
      <c r="I6157" s="197"/>
      <c r="J6157" s="198"/>
      <c r="K6157" s="1307">
        <f>G6157*K6155</f>
        <v>0.51</v>
      </c>
      <c r="L6157" s="1335">
        <f t="shared" ref="L6157:L6159" si="810">K6157*$K$6029</f>
        <v>0</v>
      </c>
      <c r="M6157" s="1302">
        <v>4.08</v>
      </c>
      <c r="N6157" s="1718"/>
      <c r="O6157" s="1290">
        <f>G6157*M6157</f>
        <v>4.08</v>
      </c>
      <c r="P6157" s="1332">
        <f>M6157*K6157</f>
        <v>2.0808</v>
      </c>
      <c r="Q6157" s="3391"/>
      <c r="R6157" s="2337"/>
    </row>
    <row r="6158" spans="1:18" s="16" customFormat="1">
      <c r="A6158" s="4471"/>
      <c r="B6158" s="1320"/>
      <c r="C6158" s="595"/>
      <c r="D6158" s="1400" t="s">
        <v>1082</v>
      </c>
      <c r="E6158" s="1856" t="s">
        <v>1504</v>
      </c>
      <c r="F6158" s="2044" t="s">
        <v>1541</v>
      </c>
      <c r="G6158" s="1416">
        <v>1</v>
      </c>
      <c r="H6158" s="1399"/>
      <c r="I6158" s="197"/>
      <c r="J6158" s="198"/>
      <c r="K6158" s="1307">
        <f>G6158*K6155</f>
        <v>0.51</v>
      </c>
      <c r="L6158" s="1335">
        <f t="shared" si="810"/>
        <v>0</v>
      </c>
      <c r="M6158" s="1302">
        <v>0.3</v>
      </c>
      <c r="N6158" s="1718"/>
      <c r="O6158" s="1290">
        <f>G6158*M6158</f>
        <v>0.3</v>
      </c>
      <c r="P6158" s="1332">
        <f>M6158*K6158</f>
        <v>0.153</v>
      </c>
      <c r="Q6158" s="3391"/>
      <c r="R6158" s="2337"/>
    </row>
    <row r="6159" spans="1:18" s="16" customFormat="1">
      <c r="A6159" s="4471"/>
      <c r="B6159" s="1320"/>
      <c r="C6159" s="595"/>
      <c r="D6159" s="1400" t="s">
        <v>1097</v>
      </c>
      <c r="E6159" s="1856" t="s">
        <v>1504</v>
      </c>
      <c r="F6159" s="1421" t="s">
        <v>1632</v>
      </c>
      <c r="G6159" s="2289">
        <v>1</v>
      </c>
      <c r="H6159" s="1399"/>
      <c r="I6159" s="197"/>
      <c r="J6159" s="198"/>
      <c r="K6159" s="1307">
        <f>G6159*K6155</f>
        <v>0.51</v>
      </c>
      <c r="L6159" s="1335">
        <f t="shared" si="810"/>
        <v>0</v>
      </c>
      <c r="M6159" s="1302">
        <v>0.55000000000000004</v>
      </c>
      <c r="N6159" s="1718"/>
      <c r="O6159" s="1290">
        <f>G6159*M6159</f>
        <v>0.55000000000000004</v>
      </c>
      <c r="P6159" s="1332">
        <f>M6159*K6159</f>
        <v>0.28050000000000003</v>
      </c>
      <c r="Q6159" s="3391"/>
      <c r="R6159" s="2337"/>
    </row>
    <row r="6160" spans="1:18" s="16" customFormat="1">
      <c r="A6160" s="4471"/>
      <c r="B6160" s="1320"/>
      <c r="C6160" s="595"/>
      <c r="D6160" s="1367"/>
      <c r="E6160" s="1856"/>
      <c r="F6160" s="1421"/>
      <c r="G6160" s="1452"/>
      <c r="H6160" s="1399"/>
      <c r="I6160" s="197"/>
      <c r="J6160" s="198"/>
      <c r="K6160" s="1732"/>
      <c r="L6160" s="1335"/>
      <c r="M6160" s="1302"/>
      <c r="N6160" s="1718"/>
      <c r="O6160" s="1290"/>
      <c r="P6160" s="1332"/>
      <c r="Q6160" s="3391"/>
      <c r="R6160" s="2337"/>
    </row>
    <row r="6161" spans="1:18" s="16" customFormat="1">
      <c r="A6161" s="22"/>
      <c r="B6161" s="1320"/>
      <c r="C6161" s="88"/>
      <c r="D6161" s="1443"/>
      <c r="E6161" s="1858"/>
      <c r="F6161" s="1360" t="s">
        <v>2</v>
      </c>
      <c r="G6161" s="1360"/>
      <c r="H6161" s="1362"/>
      <c r="I6161" s="1380"/>
      <c r="J6161" s="1381"/>
      <c r="K6161" s="1381"/>
      <c r="L6161" s="1458"/>
      <c r="M6161" s="1362"/>
      <c r="N6161" s="1362"/>
      <c r="O6161" s="1362"/>
      <c r="P6161" s="1359"/>
      <c r="Q6161" s="3387"/>
      <c r="R6161" s="2339"/>
    </row>
    <row r="6162" spans="1:18" s="16" customFormat="1">
      <c r="A6162"/>
      <c r="B6162" s="1042"/>
      <c r="C6162" s="19"/>
      <c r="D6162" s="1430" t="s">
        <v>1592</v>
      </c>
      <c r="E6162" s="1857" t="s">
        <v>1508</v>
      </c>
      <c r="F6162" s="1403" t="s">
        <v>2659</v>
      </c>
      <c r="G6162" s="1991">
        <v>0.4</v>
      </c>
      <c r="H6162" s="1937"/>
      <c r="I6162" s="1286"/>
      <c r="J6162" s="198"/>
      <c r="K6162" s="1307">
        <f>G6162*K6155</f>
        <v>0.20400000000000001</v>
      </c>
      <c r="L6162" s="1335">
        <f t="shared" ref="L6162" si="811">K6162*$K$6029</f>
        <v>0</v>
      </c>
      <c r="M6162" s="1302">
        <v>19.23</v>
      </c>
      <c r="N6162" s="1718"/>
      <c r="O6162" s="1290">
        <f>G6162*M6162</f>
        <v>7.6920000000000002</v>
      </c>
      <c r="P6162" s="1332">
        <f>M6162*K6162</f>
        <v>3.9229200000000004</v>
      </c>
      <c r="Q6162" s="3391"/>
      <c r="R6162" s="2337"/>
    </row>
    <row r="6163" spans="1:18" s="16" customFormat="1">
      <c r="A6163"/>
      <c r="B6163" s="1042"/>
      <c r="C6163" s="19"/>
      <c r="D6163" s="1430"/>
      <c r="E6163" s="1857"/>
      <c r="F6163" s="1403"/>
      <c r="G6163" s="1991"/>
      <c r="H6163" s="1937"/>
      <c r="I6163" s="197"/>
      <c r="J6163" s="198"/>
      <c r="K6163" s="1307"/>
      <c r="L6163" s="1335"/>
      <c r="M6163" s="1302"/>
      <c r="N6163" s="1718"/>
      <c r="O6163" s="1290"/>
      <c r="P6163" s="1720"/>
      <c r="Q6163" s="3396"/>
      <c r="R6163" s="2337"/>
    </row>
    <row r="6164" spans="1:18" s="16" customFormat="1">
      <c r="A6164" s="1320"/>
      <c r="B6164" s="22"/>
      <c r="C6164" s="1320"/>
      <c r="D6164" s="1359"/>
      <c r="E6164" s="1858"/>
      <c r="F6164" s="1361"/>
      <c r="G6164" s="1361"/>
      <c r="H6164" s="1466"/>
      <c r="I6164" s="1299"/>
      <c r="J6164" s="1300"/>
      <c r="K6164" s="1307" t="str">
        <f>IF(COUNT(I6164)=0,"",(I6164*J6164))</f>
        <v/>
      </c>
      <c r="L6164" s="1335"/>
      <c r="M6164" s="1302"/>
      <c r="N6164" s="1700"/>
      <c r="O6164" s="1290"/>
      <c r="P6164" s="1332"/>
      <c r="Q6164" s="3391"/>
      <c r="R6164" s="2339"/>
    </row>
    <row r="6165" spans="1:18" s="16" customFormat="1">
      <c r="A6165" s="22"/>
      <c r="B6165" s="1320"/>
      <c r="C6165" s="595"/>
      <c r="D6165" s="1373"/>
      <c r="E6165" s="2123"/>
      <c r="F6165" s="1374" t="s">
        <v>3</v>
      </c>
      <c r="G6165" s="1375"/>
      <c r="H6165" s="1376"/>
      <c r="I6165" s="1382"/>
      <c r="J6165" s="1383"/>
      <c r="K6165" s="1383" t="str">
        <f>IF(COUNT(I6165)=0,"",(I6165*J6165))</f>
        <v/>
      </c>
      <c r="L6165" s="1413"/>
      <c r="M6165" s="1376"/>
      <c r="N6165" s="1376"/>
      <c r="O6165" s="1376"/>
      <c r="P6165" s="1373"/>
      <c r="Q6165" s="3387"/>
      <c r="R6165" s="1296"/>
    </row>
    <row r="6166" spans="1:18" s="16" customFormat="1">
      <c r="A6166" s="22"/>
      <c r="B6166" s="1321"/>
      <c r="C6166" s="2021"/>
      <c r="D6166" s="1377"/>
      <c r="E6166" s="2124"/>
      <c r="F6166" s="1378"/>
      <c r="G6166" s="1378"/>
      <c r="H6166" s="1379"/>
      <c r="I6166" s="1299"/>
      <c r="J6166" s="1300"/>
      <c r="K6166" s="1307"/>
      <c r="L6166" s="1335"/>
      <c r="M6166" s="1302"/>
      <c r="N6166" s="1700"/>
      <c r="O6166" s="1290"/>
      <c r="P6166" s="1332"/>
      <c r="Q6166" s="3391"/>
      <c r="R6166" s="1296"/>
    </row>
    <row r="6167" spans="1:18" s="16" customFormat="1">
      <c r="A6167" s="22"/>
      <c r="B6167" s="1321"/>
      <c r="C6167" s="2021"/>
      <c r="D6167" s="1377"/>
      <c r="E6167" s="2124"/>
      <c r="F6167" s="1378"/>
      <c r="G6167" s="1378"/>
      <c r="H6167" s="1379"/>
      <c r="I6167" s="1299"/>
      <c r="J6167" s="1300"/>
      <c r="K6167" s="1307"/>
      <c r="L6167" s="1335"/>
      <c r="M6167" s="1302"/>
      <c r="N6167" s="1700"/>
      <c r="O6167" s="1290"/>
      <c r="P6167" s="1333"/>
      <c r="Q6167" s="3391"/>
      <c r="R6167" s="1296"/>
    </row>
    <row r="6168" spans="1:18" s="16" customFormat="1">
      <c r="A6168" s="22"/>
      <c r="B6168" s="225"/>
      <c r="C6168" s="581"/>
      <c r="D6168" s="1373"/>
      <c r="E6168" s="2161"/>
      <c r="F6168" s="1678"/>
      <c r="G6168" s="1678"/>
      <c r="H6168" s="1376"/>
      <c r="I6168" s="1299"/>
      <c r="J6168" s="1300"/>
      <c r="K6168" s="1307"/>
      <c r="L6168" s="1335"/>
      <c r="M6168" s="1302"/>
      <c r="N6168" s="1700"/>
      <c r="O6168" s="1290"/>
      <c r="P6168" s="1332"/>
      <c r="Q6168" s="3391"/>
      <c r="R6168" s="1296"/>
    </row>
    <row r="6169" spans="1:18" s="16" customFormat="1">
      <c r="A6169" s="88" t="s">
        <v>3764</v>
      </c>
      <c r="B6169" s="4325" t="s">
        <v>2316</v>
      </c>
      <c r="C6169" s="3354"/>
      <c r="D6169" s="4368"/>
      <c r="E6169" s="4329" t="s">
        <v>1504</v>
      </c>
      <c r="F6169" s="4336" t="s">
        <v>2317</v>
      </c>
      <c r="G6169" s="4331" t="s">
        <v>1568</v>
      </c>
      <c r="H6169" s="4331" t="s">
        <v>1574</v>
      </c>
      <c r="I6169" s="1572" t="s">
        <v>1559</v>
      </c>
      <c r="J6169" s="1294" t="s">
        <v>1560</v>
      </c>
      <c r="K6169" s="1294" t="s">
        <v>1569</v>
      </c>
      <c r="L6169" s="4333" t="s">
        <v>3765</v>
      </c>
      <c r="M6169" s="4335" t="s">
        <v>1571</v>
      </c>
      <c r="N6169" s="4323" t="s">
        <v>1776</v>
      </c>
      <c r="O6169" s="3347" t="s">
        <v>1563</v>
      </c>
      <c r="P6169" s="1336" t="s">
        <v>1562</v>
      </c>
      <c r="Q6169" s="3389"/>
      <c r="R6169" s="1699" t="s">
        <v>1327</v>
      </c>
    </row>
    <row r="6170" spans="1:18" s="16" customFormat="1">
      <c r="A6170" s="1662" t="s">
        <v>2646</v>
      </c>
      <c r="B6170" s="4326"/>
      <c r="C6170" s="3354"/>
      <c r="D6170" s="4328"/>
      <c r="E6170" s="4330"/>
      <c r="F6170" s="4336"/>
      <c r="G6170" s="4332"/>
      <c r="H6170" s="4332"/>
      <c r="I6170" s="1345">
        <v>4</v>
      </c>
      <c r="J6170" s="1307">
        <v>0.51</v>
      </c>
      <c r="K6170" s="1297">
        <f>I6170*J6170</f>
        <v>2.04</v>
      </c>
      <c r="L6170" s="4334"/>
      <c r="M6170" s="4335"/>
      <c r="N6170" s="4324"/>
      <c r="O6170" s="1298">
        <f>SUM(O6172:O6177)</f>
        <v>8.557500000000001</v>
      </c>
      <c r="P6170" s="1337">
        <f>O6170*K6170</f>
        <v>17.457300000000004</v>
      </c>
      <c r="Q6170" s="3390"/>
      <c r="R6170" s="1721">
        <f>SUM(P6172:P6177)</f>
        <v>17.4573</v>
      </c>
    </row>
    <row r="6171" spans="1:18" s="16" customFormat="1">
      <c r="A6171" s="22"/>
      <c r="B6171" s="1949"/>
      <c r="C6171" s="1327"/>
      <c r="D6171" s="1400"/>
      <c r="E6171" s="2121"/>
      <c r="F6171" s="1389" t="s">
        <v>1</v>
      </c>
      <c r="G6171" s="1389"/>
      <c r="H6171" s="1369"/>
      <c r="I6171" s="1409"/>
      <c r="J6171" s="1390"/>
      <c r="K6171" s="1391"/>
      <c r="L6171" s="1559"/>
      <c r="M6171" s="1369"/>
      <c r="N6171" s="1369"/>
      <c r="O6171" s="1369"/>
      <c r="P6171" s="1392"/>
      <c r="Q6171" s="3395"/>
      <c r="R6171" s="1296"/>
    </row>
    <row r="6172" spans="1:18" s="16" customFormat="1">
      <c r="A6172" s="22"/>
      <c r="B6172" s="1320"/>
      <c r="C6172" s="595"/>
      <c r="D6172" s="1598" t="s">
        <v>2318</v>
      </c>
      <c r="E6172" s="2298" t="s">
        <v>1504</v>
      </c>
      <c r="F6172" s="1598" t="s">
        <v>2317</v>
      </c>
      <c r="G6172" s="1612">
        <v>1</v>
      </c>
      <c r="H6172" s="1399"/>
      <c r="I6172" s="197"/>
      <c r="J6172" s="198"/>
      <c r="K6172" s="1307">
        <f>G6172*K6170</f>
        <v>2.04</v>
      </c>
      <c r="L6172" s="1335">
        <f t="shared" ref="L6172:L6173" si="812">K6172*$K$6029</f>
        <v>0</v>
      </c>
      <c r="M6172" s="1302">
        <v>3.45</v>
      </c>
      <c r="N6172" s="1718"/>
      <c r="O6172" s="1290">
        <f>G6172*M6172</f>
        <v>3.45</v>
      </c>
      <c r="P6172" s="1332">
        <f>M6172*K6172</f>
        <v>7.0380000000000003</v>
      </c>
      <c r="Q6172" s="3391"/>
      <c r="R6172" s="2337"/>
    </row>
    <row r="6173" spans="1:18" s="16" customFormat="1" ht="15" customHeight="1">
      <c r="A6173" s="2294"/>
      <c r="B6173" s="1320"/>
      <c r="C6173" s="595"/>
      <c r="D6173" s="1400" t="s">
        <v>1082</v>
      </c>
      <c r="E6173" s="1856" t="s">
        <v>1504</v>
      </c>
      <c r="F6173" s="2044" t="s">
        <v>1541</v>
      </c>
      <c r="G6173" s="1416">
        <v>1</v>
      </c>
      <c r="H6173" s="1399"/>
      <c r="I6173" s="197"/>
      <c r="J6173" s="198"/>
      <c r="K6173" s="1307">
        <f>G6173*K6170</f>
        <v>2.04</v>
      </c>
      <c r="L6173" s="1335">
        <f t="shared" si="812"/>
        <v>0</v>
      </c>
      <c r="M6173" s="1302">
        <v>0.3</v>
      </c>
      <c r="N6173" s="1718"/>
      <c r="O6173" s="1290">
        <f>G6173*M6173</f>
        <v>0.3</v>
      </c>
      <c r="P6173" s="1332">
        <f>M6173*K6173</f>
        <v>0.61199999999999999</v>
      </c>
      <c r="Q6173" s="3391"/>
      <c r="R6173" s="2337"/>
    </row>
    <row r="6174" spans="1:18" s="16" customFormat="1" ht="15" customHeight="1">
      <c r="A6174" s="2294"/>
      <c r="B6174" s="1320"/>
      <c r="C6174" s="595"/>
      <c r="D6174" s="1400"/>
      <c r="E6174" s="1856"/>
      <c r="F6174" s="1421"/>
      <c r="G6174" s="2289"/>
      <c r="H6174" s="1399"/>
      <c r="I6174" s="197"/>
      <c r="J6174" s="198"/>
      <c r="K6174" s="1307"/>
      <c r="L6174" s="1335"/>
      <c r="M6174" s="1302"/>
      <c r="N6174" s="1718"/>
      <c r="O6174" s="1290"/>
      <c r="P6174" s="1332"/>
      <c r="Q6174" s="3391"/>
      <c r="R6174" s="2337"/>
    </row>
    <row r="6175" spans="1:18" s="16" customFormat="1" ht="15" customHeight="1">
      <c r="A6175" s="2294"/>
      <c r="B6175" s="1320"/>
      <c r="C6175" s="595"/>
      <c r="D6175" s="1367"/>
      <c r="E6175" s="1856"/>
      <c r="F6175" s="1421"/>
      <c r="G6175" s="1452"/>
      <c r="H6175" s="1399"/>
      <c r="I6175" s="197"/>
      <c r="J6175" s="198"/>
      <c r="K6175" s="1732"/>
      <c r="L6175" s="1335"/>
      <c r="M6175" s="1302"/>
      <c r="N6175" s="1718"/>
      <c r="O6175" s="1290"/>
      <c r="P6175" s="1332"/>
      <c r="Q6175" s="3391"/>
      <c r="R6175" s="2337"/>
    </row>
    <row r="6176" spans="1:18" s="16" customFormat="1">
      <c r="A6176" s="22"/>
      <c r="B6176" s="1320"/>
      <c r="C6176" s="88"/>
      <c r="D6176" s="1443"/>
      <c r="E6176" s="1858"/>
      <c r="F6176" s="1360" t="s">
        <v>2</v>
      </c>
      <c r="G6176" s="1360"/>
      <c r="H6176" s="1362"/>
      <c r="I6176" s="1380"/>
      <c r="J6176" s="1381"/>
      <c r="K6176" s="1381"/>
      <c r="L6176" s="1458"/>
      <c r="M6176" s="1362"/>
      <c r="N6176" s="1362"/>
      <c r="O6176" s="1362"/>
      <c r="P6176" s="1359"/>
      <c r="Q6176" s="3387"/>
      <c r="R6176" s="2339"/>
    </row>
    <row r="6177" spans="1:18" s="16" customFormat="1">
      <c r="A6177"/>
      <c r="B6177" s="1042"/>
      <c r="C6177" s="19"/>
      <c r="D6177" s="1430" t="s">
        <v>1099</v>
      </c>
      <c r="E6177" s="1857" t="s">
        <v>1508</v>
      </c>
      <c r="F6177" s="1403" t="s">
        <v>1633</v>
      </c>
      <c r="G6177" s="1991">
        <v>0.25</v>
      </c>
      <c r="H6177" s="1937"/>
      <c r="I6177" s="1286"/>
      <c r="J6177" s="198"/>
      <c r="K6177" s="1307">
        <f>G6177*K6170</f>
        <v>0.51</v>
      </c>
      <c r="L6177" s="1335">
        <f t="shared" ref="L6177" si="813">K6177*$K$6029</f>
        <v>0</v>
      </c>
      <c r="M6177" s="1302">
        <v>19.23</v>
      </c>
      <c r="N6177" s="1718"/>
      <c r="O6177" s="1290">
        <f>G6177*M6177</f>
        <v>4.8075000000000001</v>
      </c>
      <c r="P6177" s="1332">
        <f>M6177*K6177</f>
        <v>9.8072999999999997</v>
      </c>
      <c r="Q6177" s="3391"/>
      <c r="R6177" s="2337"/>
    </row>
    <row r="6178" spans="1:18" s="16" customFormat="1">
      <c r="A6178" s="22"/>
      <c r="B6178" s="1599"/>
      <c r="C6178" s="1320"/>
      <c r="D6178" s="1430"/>
      <c r="E6178" s="1857"/>
      <c r="F6178" s="1403"/>
      <c r="G6178" s="1991"/>
      <c r="H6178" s="1937"/>
      <c r="I6178" s="197"/>
      <c r="J6178" s="198"/>
      <c r="K6178" s="1307"/>
      <c r="L6178" s="1335"/>
      <c r="M6178" s="1302"/>
      <c r="N6178" s="1718"/>
      <c r="O6178" s="1290"/>
      <c r="P6178" s="1720"/>
      <c r="Q6178" s="3396"/>
      <c r="R6178" s="2337"/>
    </row>
    <row r="6179" spans="1:18" s="16" customFormat="1">
      <c r="A6179" s="1320"/>
      <c r="B6179" s="22"/>
      <c r="C6179" s="1320"/>
      <c r="D6179" s="1359"/>
      <c r="E6179" s="1858"/>
      <c r="F6179" s="1361"/>
      <c r="G6179" s="1361"/>
      <c r="H6179" s="1466"/>
      <c r="I6179" s="1299"/>
      <c r="J6179" s="1300"/>
      <c r="K6179" s="1307" t="str">
        <f>IF(COUNT(I6179)=0,"",(I6179*J6179))</f>
        <v/>
      </c>
      <c r="L6179" s="1335"/>
      <c r="M6179" s="1302"/>
      <c r="N6179" s="1700"/>
      <c r="O6179" s="1290"/>
      <c r="P6179" s="1332"/>
      <c r="Q6179" s="3391"/>
      <c r="R6179" s="2339"/>
    </row>
    <row r="6180" spans="1:18" s="16" customFormat="1">
      <c r="A6180" s="22"/>
      <c r="B6180" s="1320"/>
      <c r="C6180" s="595"/>
      <c r="D6180" s="1373"/>
      <c r="E6180" s="2123"/>
      <c r="F6180" s="1374" t="s">
        <v>3</v>
      </c>
      <c r="G6180" s="1375"/>
      <c r="H6180" s="1376"/>
      <c r="I6180" s="1382"/>
      <c r="J6180" s="1383"/>
      <c r="K6180" s="1383" t="str">
        <f>IF(COUNT(I6180)=0,"",(I6180*J6180))</f>
        <v/>
      </c>
      <c r="L6180" s="1413"/>
      <c r="M6180" s="1376"/>
      <c r="N6180" s="1376"/>
      <c r="O6180" s="1376"/>
      <c r="P6180" s="1373"/>
      <c r="Q6180" s="3387"/>
      <c r="R6180" s="1296"/>
    </row>
    <row r="6181" spans="1:18" s="16" customFormat="1">
      <c r="A6181" s="22"/>
      <c r="B6181" s="1321"/>
      <c r="C6181" s="2021"/>
      <c r="D6181" s="1377"/>
      <c r="E6181" s="2124"/>
      <c r="F6181" s="1378"/>
      <c r="G6181" s="1378"/>
      <c r="H6181" s="1379"/>
      <c r="I6181" s="1299"/>
      <c r="J6181" s="1300"/>
      <c r="K6181" s="1307"/>
      <c r="L6181" s="1335"/>
      <c r="M6181" s="1302"/>
      <c r="N6181" s="1700"/>
      <c r="O6181" s="1290"/>
      <c r="P6181" s="1332"/>
      <c r="Q6181" s="3391"/>
      <c r="R6181" s="1296"/>
    </row>
    <row r="6182" spans="1:18" s="16" customFormat="1">
      <c r="A6182" s="22"/>
      <c r="B6182" s="1321"/>
      <c r="C6182" s="2021"/>
      <c r="D6182" s="1377"/>
      <c r="E6182" s="2124"/>
      <c r="F6182" s="1378"/>
      <c r="G6182" s="1378"/>
      <c r="H6182" s="1379"/>
      <c r="I6182" s="1299"/>
      <c r="J6182" s="1300"/>
      <c r="K6182" s="1307"/>
      <c r="L6182" s="1335"/>
      <c r="M6182" s="1302"/>
      <c r="N6182" s="1700"/>
      <c r="O6182" s="1290"/>
      <c r="P6182" s="1333"/>
      <c r="Q6182" s="3391"/>
      <c r="R6182" s="1296"/>
    </row>
    <row r="6183" spans="1:18" s="16" customFormat="1">
      <c r="A6183" s="22"/>
      <c r="B6183" s="225"/>
      <c r="C6183" s="581"/>
      <c r="D6183" s="1373"/>
      <c r="E6183" s="2161"/>
      <c r="F6183" s="1678"/>
      <c r="G6183" s="1678"/>
      <c r="H6183" s="1376"/>
      <c r="I6183" s="1299"/>
      <c r="J6183" s="1300"/>
      <c r="K6183" s="1307"/>
      <c r="L6183" s="1335"/>
      <c r="M6183" s="1302"/>
      <c r="N6183" s="1700"/>
      <c r="O6183" s="1290"/>
      <c r="P6183" s="1332"/>
      <c r="Q6183" s="3391"/>
      <c r="R6183" s="1296"/>
    </row>
    <row r="6184" spans="1:18" s="16" customFormat="1">
      <c r="A6184" s="88" t="s">
        <v>3764</v>
      </c>
      <c r="B6184" s="4325" t="s">
        <v>2690</v>
      </c>
      <c r="C6184" s="3354"/>
      <c r="D6184" s="4368"/>
      <c r="E6184" s="4329" t="s">
        <v>1527</v>
      </c>
      <c r="F6184" s="4336" t="s">
        <v>2693</v>
      </c>
      <c r="G6184" s="4331" t="s">
        <v>1568</v>
      </c>
      <c r="H6184" s="4331" t="s">
        <v>1574</v>
      </c>
      <c r="I6184" s="1572" t="s">
        <v>1559</v>
      </c>
      <c r="J6184" s="1294" t="s">
        <v>1560</v>
      </c>
      <c r="K6184" s="1294" t="s">
        <v>1569</v>
      </c>
      <c r="L6184" s="4333" t="s">
        <v>3765</v>
      </c>
      <c r="M6184" s="4335" t="s">
        <v>1571</v>
      </c>
      <c r="N6184" s="4323" t="s">
        <v>1776</v>
      </c>
      <c r="O6184" s="3347" t="s">
        <v>1563</v>
      </c>
      <c r="P6184" s="1336" t="s">
        <v>1562</v>
      </c>
      <c r="Q6184" s="3389"/>
      <c r="R6184" s="1699" t="s">
        <v>1327</v>
      </c>
    </row>
    <row r="6185" spans="1:18" s="16" customFormat="1">
      <c r="A6185" s="1662" t="s">
        <v>2646</v>
      </c>
      <c r="B6185" s="4326"/>
      <c r="C6185" s="3354"/>
      <c r="D6185" s="4328"/>
      <c r="E6185" s="4330"/>
      <c r="F6185" s="4336"/>
      <c r="G6185" s="4332"/>
      <c r="H6185" s="4332"/>
      <c r="I6185" s="1345">
        <v>42</v>
      </c>
      <c r="J6185" s="1307">
        <v>0.51</v>
      </c>
      <c r="K6185" s="1297">
        <f>I6185*J6185</f>
        <v>21.42</v>
      </c>
      <c r="L6185" s="4334"/>
      <c r="M6185" s="4335"/>
      <c r="N6185" s="4324"/>
      <c r="O6185" s="1298">
        <f>SUM(O6187:O6193)</f>
        <v>1.4831000000000001</v>
      </c>
      <c r="P6185" s="1337">
        <f>O6185*K6185</f>
        <v>31.768002000000003</v>
      </c>
      <c r="Q6185" s="3390"/>
      <c r="R6185" s="1721">
        <f>SUM(P6187:P6193)</f>
        <v>31.768002000000006</v>
      </c>
    </row>
    <row r="6186" spans="1:18" s="16" customFormat="1">
      <c r="A6186" s="22"/>
      <c r="B6186" s="1949"/>
      <c r="C6186" s="1327"/>
      <c r="D6186" s="1400"/>
      <c r="E6186" s="2121"/>
      <c r="F6186" s="1389" t="s">
        <v>1</v>
      </c>
      <c r="G6186" s="1389"/>
      <c r="H6186" s="1369"/>
      <c r="I6186" s="1409"/>
      <c r="J6186" s="1390"/>
      <c r="K6186" s="1391"/>
      <c r="L6186" s="1559"/>
      <c r="M6186" s="1369"/>
      <c r="N6186" s="1369"/>
      <c r="O6186" s="1369"/>
      <c r="P6186" s="1392"/>
      <c r="Q6186" s="3395"/>
      <c r="R6186" s="1296"/>
    </row>
    <row r="6187" spans="1:18" s="16" customFormat="1">
      <c r="A6187" s="22"/>
      <c r="B6187" s="1320"/>
      <c r="C6187" s="595"/>
      <c r="D6187" s="1598" t="s">
        <v>2336</v>
      </c>
      <c r="E6187" s="2298" t="s">
        <v>1527</v>
      </c>
      <c r="F6187" s="1598" t="s">
        <v>2337</v>
      </c>
      <c r="G6187" s="2185">
        <v>1.01</v>
      </c>
      <c r="H6187" s="1399"/>
      <c r="I6187" s="197"/>
      <c r="J6187" s="198"/>
      <c r="K6187" s="1307">
        <f>G6187*K6185</f>
        <v>21.634200000000003</v>
      </c>
      <c r="L6187" s="1335">
        <f t="shared" ref="L6187:L6188" si="814">K6187*$K$6029</f>
        <v>0</v>
      </c>
      <c r="M6187" s="1302">
        <v>0.8</v>
      </c>
      <c r="N6187" s="1718"/>
      <c r="O6187" s="1290">
        <f>G6187*M6187</f>
        <v>0.80800000000000005</v>
      </c>
      <c r="P6187" s="1332">
        <f>M6187*K6187</f>
        <v>17.307360000000003</v>
      </c>
      <c r="Q6187" s="3391"/>
      <c r="R6187" s="2337"/>
    </row>
    <row r="6188" spans="1:18" s="16" customFormat="1">
      <c r="A6188" s="4471"/>
      <c r="B6188" s="1320"/>
      <c r="C6188" s="595"/>
      <c r="D6188" s="1400" t="s">
        <v>1082</v>
      </c>
      <c r="E6188" s="1856" t="s">
        <v>1504</v>
      </c>
      <c r="F6188" s="2044" t="s">
        <v>1541</v>
      </c>
      <c r="G6188" s="1416">
        <v>1</v>
      </c>
      <c r="H6188" s="1399"/>
      <c r="I6188" s="197"/>
      <c r="J6188" s="198"/>
      <c r="K6188" s="1307">
        <f>G6188*K6185</f>
        <v>21.42</v>
      </c>
      <c r="L6188" s="1335">
        <f t="shared" si="814"/>
        <v>0</v>
      </c>
      <c r="M6188" s="1302">
        <v>0.3</v>
      </c>
      <c r="N6188" s="1718"/>
      <c r="O6188" s="1290">
        <f>G6188*M6188</f>
        <v>0.3</v>
      </c>
      <c r="P6188" s="1332">
        <f>M6188*K6188</f>
        <v>6.4260000000000002</v>
      </c>
      <c r="Q6188" s="3391"/>
      <c r="R6188" s="2337"/>
    </row>
    <row r="6189" spans="1:18" s="16" customFormat="1">
      <c r="A6189" s="4471"/>
      <c r="B6189" s="1320"/>
      <c r="C6189" s="595"/>
      <c r="D6189" s="1400"/>
      <c r="E6189" s="1856"/>
      <c r="F6189" s="1421"/>
      <c r="G6189" s="2289"/>
      <c r="H6189" s="1399"/>
      <c r="I6189" s="197"/>
      <c r="J6189" s="198"/>
      <c r="K6189" s="1307"/>
      <c r="L6189" s="1335"/>
      <c r="M6189" s="1302"/>
      <c r="N6189" s="1718"/>
      <c r="O6189" s="1290"/>
      <c r="P6189" s="1332"/>
      <c r="Q6189" s="3391"/>
      <c r="R6189" s="2337"/>
    </row>
    <row r="6190" spans="1:18" s="16" customFormat="1">
      <c r="A6190" s="4471"/>
      <c r="B6190" s="1320"/>
      <c r="C6190" s="595"/>
      <c r="D6190" s="1367"/>
      <c r="E6190" s="1856"/>
      <c r="F6190" s="1421"/>
      <c r="G6190" s="1452"/>
      <c r="H6190" s="1399"/>
      <c r="I6190" s="197"/>
      <c r="J6190" s="198"/>
      <c r="K6190" s="1732"/>
      <c r="L6190" s="1335"/>
      <c r="M6190" s="1302"/>
      <c r="N6190" s="1718"/>
      <c r="O6190" s="1290"/>
      <c r="P6190" s="1332"/>
      <c r="Q6190" s="3391"/>
      <c r="R6190" s="2337"/>
    </row>
    <row r="6191" spans="1:18" s="16" customFormat="1">
      <c r="A6191" s="22"/>
      <c r="B6191" s="1320"/>
      <c r="C6191" s="88"/>
      <c r="D6191" s="1443"/>
      <c r="E6191" s="1858"/>
      <c r="F6191" s="1360" t="s">
        <v>2</v>
      </c>
      <c r="G6191" s="1360"/>
      <c r="H6191" s="1362"/>
      <c r="I6191" s="1380"/>
      <c r="J6191" s="1381"/>
      <c r="K6191" s="1381"/>
      <c r="L6191" s="1458"/>
      <c r="M6191" s="1362"/>
      <c r="N6191" s="1362"/>
      <c r="O6191" s="1362"/>
      <c r="P6191" s="1359"/>
      <c r="Q6191" s="3387"/>
      <c r="R6191" s="2339"/>
    </row>
    <row r="6192" spans="1:18" s="16" customFormat="1">
      <c r="A6192"/>
      <c r="B6192" s="1042"/>
      <c r="C6192" s="19"/>
      <c r="D6192" s="1430" t="s">
        <v>1067</v>
      </c>
      <c r="E6192" s="1857" t="s">
        <v>1508</v>
      </c>
      <c r="F6192" s="1403" t="s">
        <v>1512</v>
      </c>
      <c r="G6192" s="1991">
        <v>0.01</v>
      </c>
      <c r="H6192" s="1937"/>
      <c r="I6192" s="1286"/>
      <c r="J6192" s="198"/>
      <c r="K6192" s="1307">
        <f>G6192*K6185</f>
        <v>0.21420000000000003</v>
      </c>
      <c r="L6192" s="1335">
        <f t="shared" ref="L6192:L6193" si="815">K6192*$K$6029</f>
        <v>0</v>
      </c>
      <c r="M6192" s="1302">
        <v>18.28</v>
      </c>
      <c r="N6192" s="1718"/>
      <c r="O6192" s="1290">
        <f>G6192*M6192</f>
        <v>0.18280000000000002</v>
      </c>
      <c r="P6192" s="1332">
        <f>M6192*K6192</f>
        <v>3.9155760000000006</v>
      </c>
      <c r="Q6192" s="3391"/>
      <c r="R6192" s="2337"/>
    </row>
    <row r="6193" spans="1:18" s="16" customFormat="1">
      <c r="A6193"/>
      <c r="B6193" s="1042"/>
      <c r="C6193" s="19"/>
      <c r="D6193" s="1430" t="s">
        <v>1140</v>
      </c>
      <c r="E6193" s="1857" t="s">
        <v>1508</v>
      </c>
      <c r="F6193" s="1403" t="s">
        <v>1897</v>
      </c>
      <c r="G6193" s="1991">
        <v>0.01</v>
      </c>
      <c r="H6193" s="1937"/>
      <c r="I6193" s="197"/>
      <c r="J6193" s="198"/>
      <c r="K6193" s="1307">
        <f>G6193*K6185</f>
        <v>0.21420000000000003</v>
      </c>
      <c r="L6193" s="1335">
        <f t="shared" si="815"/>
        <v>0</v>
      </c>
      <c r="M6193" s="1302">
        <v>19.23</v>
      </c>
      <c r="N6193" s="1718"/>
      <c r="O6193" s="1290">
        <f>G6193*M6193</f>
        <v>0.1923</v>
      </c>
      <c r="P6193" s="1332">
        <f>M6193*K6193</f>
        <v>4.119066000000001</v>
      </c>
      <c r="Q6193" s="3391"/>
      <c r="R6193" s="2337"/>
    </row>
    <row r="6194" spans="1:18" s="16" customFormat="1">
      <c r="A6194" s="22"/>
      <c r="B6194" s="1599"/>
      <c r="C6194" s="1320"/>
      <c r="D6194" s="1430"/>
      <c r="E6194" s="1857"/>
      <c r="F6194" s="1403"/>
      <c r="G6194" s="1991"/>
      <c r="H6194" s="1937"/>
      <c r="I6194" s="197"/>
      <c r="J6194" s="198"/>
      <c r="K6194" s="1307"/>
      <c r="L6194" s="1335"/>
      <c r="M6194" s="1302"/>
      <c r="N6194" s="1718"/>
      <c r="O6194" s="1290"/>
      <c r="P6194" s="1720"/>
      <c r="Q6194" s="3396"/>
      <c r="R6194" s="2337"/>
    </row>
    <row r="6195" spans="1:18" s="16" customFormat="1">
      <c r="A6195" s="1320"/>
      <c r="B6195" s="22"/>
      <c r="C6195" s="1320"/>
      <c r="D6195" s="1359"/>
      <c r="E6195" s="1858"/>
      <c r="F6195" s="1361"/>
      <c r="G6195" s="1361"/>
      <c r="H6195" s="1466"/>
      <c r="I6195" s="1299"/>
      <c r="J6195" s="1300"/>
      <c r="K6195" s="1307" t="str">
        <f>IF(COUNT(I6195)=0,"",(I6195*J6195))</f>
        <v/>
      </c>
      <c r="L6195" s="1335"/>
      <c r="M6195" s="1302"/>
      <c r="N6195" s="1700"/>
      <c r="O6195" s="1290"/>
      <c r="P6195" s="1332"/>
      <c r="Q6195" s="3391"/>
      <c r="R6195" s="2339"/>
    </row>
    <row r="6196" spans="1:18" s="16" customFormat="1">
      <c r="A6196" s="22"/>
      <c r="B6196" s="1320"/>
      <c r="C6196" s="595"/>
      <c r="D6196" s="1373"/>
      <c r="E6196" s="2123"/>
      <c r="F6196" s="1374" t="s">
        <v>3</v>
      </c>
      <c r="G6196" s="1375"/>
      <c r="H6196" s="1376"/>
      <c r="I6196" s="1382"/>
      <c r="J6196" s="1383"/>
      <c r="K6196" s="1383" t="str">
        <f>IF(COUNT(I6196)=0,"",(I6196*J6196))</f>
        <v/>
      </c>
      <c r="L6196" s="1413"/>
      <c r="M6196" s="1376"/>
      <c r="N6196" s="1376"/>
      <c r="O6196" s="1376"/>
      <c r="P6196" s="1373"/>
      <c r="Q6196" s="3387"/>
      <c r="R6196" s="1296"/>
    </row>
    <row r="6197" spans="1:18" s="16" customFormat="1">
      <c r="A6197" s="22"/>
      <c r="B6197" s="1321"/>
      <c r="C6197" s="2021"/>
      <c r="D6197" s="1377"/>
      <c r="E6197" s="2124"/>
      <c r="F6197" s="1378"/>
      <c r="G6197" s="1378"/>
      <c r="H6197" s="1379"/>
      <c r="I6197" s="1299"/>
      <c r="J6197" s="1300"/>
      <c r="K6197" s="1307"/>
      <c r="L6197" s="1335"/>
      <c r="M6197" s="1302"/>
      <c r="N6197" s="1700"/>
      <c r="O6197" s="1290"/>
      <c r="P6197" s="1332"/>
      <c r="Q6197" s="3391"/>
      <c r="R6197" s="1296"/>
    </row>
    <row r="6198" spans="1:18" s="16" customFormat="1">
      <c r="A6198" s="22"/>
      <c r="B6198" s="1321"/>
      <c r="C6198" s="2021"/>
      <c r="D6198" s="1377"/>
      <c r="E6198" s="2124"/>
      <c r="F6198" s="1378"/>
      <c r="G6198" s="1378"/>
      <c r="H6198" s="1379"/>
      <c r="I6198" s="1299"/>
      <c r="J6198" s="1300"/>
      <c r="K6198" s="1307"/>
      <c r="L6198" s="1335"/>
      <c r="M6198" s="1302"/>
      <c r="N6198" s="1700"/>
      <c r="O6198" s="1290"/>
      <c r="P6198" s="1333"/>
      <c r="Q6198" s="3391"/>
      <c r="R6198" s="1296"/>
    </row>
    <row r="6199" spans="1:18" s="16" customFormat="1">
      <c r="A6199" s="22"/>
      <c r="B6199" s="225"/>
      <c r="C6199" s="581"/>
      <c r="D6199" s="1373"/>
      <c r="E6199" s="2161"/>
      <c r="F6199" s="1678"/>
      <c r="G6199" s="1678"/>
      <c r="H6199" s="1376"/>
      <c r="I6199" s="1299"/>
      <c r="J6199" s="1300"/>
      <c r="K6199" s="1307"/>
      <c r="L6199" s="1335"/>
      <c r="M6199" s="1302"/>
      <c r="N6199" s="1700"/>
      <c r="O6199" s="1290"/>
      <c r="P6199" s="1332"/>
      <c r="Q6199" s="3391"/>
      <c r="R6199" s="1296"/>
    </row>
    <row r="6200" spans="1:18" s="16" customFormat="1" ht="15" customHeight="1">
      <c r="A6200" s="18" t="s">
        <v>3764</v>
      </c>
      <c r="B6200" s="4325" t="s">
        <v>1712</v>
      </c>
      <c r="C6200" s="3354"/>
      <c r="D6200" s="4327"/>
      <c r="E6200" s="4337" t="s">
        <v>1507</v>
      </c>
      <c r="F6200" s="4338" t="s">
        <v>1714</v>
      </c>
      <c r="G6200" s="4331" t="s">
        <v>1568</v>
      </c>
      <c r="H6200" s="4331" t="s">
        <v>1574</v>
      </c>
      <c r="I6200" s="1572" t="s">
        <v>1559</v>
      </c>
      <c r="J6200" s="1294" t="s">
        <v>1560</v>
      </c>
      <c r="K6200" s="1294" t="s">
        <v>1561</v>
      </c>
      <c r="L6200" s="4333" t="s">
        <v>3765</v>
      </c>
      <c r="M6200" s="4335" t="s">
        <v>1571</v>
      </c>
      <c r="N6200" s="4323" t="s">
        <v>1776</v>
      </c>
      <c r="O6200" s="3347" t="s">
        <v>1563</v>
      </c>
      <c r="P6200" s="1336" t="s">
        <v>1562</v>
      </c>
      <c r="Q6200" s="3389"/>
      <c r="R6200" s="1699" t="s">
        <v>1327</v>
      </c>
    </row>
    <row r="6201" spans="1:18" s="16" customFormat="1">
      <c r="A6201" s="1662" t="s">
        <v>3901</v>
      </c>
      <c r="B6201" s="4326"/>
      <c r="C6201" s="3351"/>
      <c r="D6201" s="4328"/>
      <c r="E6201" s="4337"/>
      <c r="F6201" s="4338"/>
      <c r="G6201" s="4332"/>
      <c r="H6201" s="4332"/>
      <c r="I6201" s="1345">
        <v>10.8</v>
      </c>
      <c r="J6201" s="1307">
        <v>0.51</v>
      </c>
      <c r="K6201" s="1297">
        <f>I6201*J6201</f>
        <v>5.5080000000000009</v>
      </c>
      <c r="L6201" s="4334"/>
      <c r="M6201" s="4335"/>
      <c r="N6201" s="4324"/>
      <c r="O6201" s="1298">
        <f>SUM(O6203:O6213)</f>
        <v>7.8734500000000001</v>
      </c>
      <c r="P6201" s="1337">
        <f>K6201*O6201</f>
        <v>43.366962600000008</v>
      </c>
      <c r="Q6201" s="3390"/>
      <c r="R6201" s="1721">
        <f>SUM(P6203:P6214)</f>
        <v>43.366962600000008</v>
      </c>
    </row>
    <row r="6202" spans="1:18" s="16" customFormat="1">
      <c r="A6202" s="19"/>
      <c r="B6202" s="551"/>
      <c r="C6202" s="18"/>
      <c r="D6202" s="1400"/>
      <c r="E6202" s="2121"/>
      <c r="F6202" s="1389" t="s">
        <v>1</v>
      </c>
      <c r="G6202" s="1472"/>
      <c r="H6202" s="1369"/>
      <c r="I6202" s="1391"/>
      <c r="J6202" s="1369"/>
      <c r="K6202" s="1369"/>
      <c r="L6202" s="1554"/>
      <c r="M6202" s="1487"/>
      <c r="N6202" s="1487"/>
      <c r="O6202" s="1487"/>
      <c r="P6202" s="1367"/>
      <c r="Q6202" s="3387"/>
      <c r="R6202" s="2338"/>
    </row>
    <row r="6203" spans="1:18" s="16" customFormat="1">
      <c r="A6203" s="19"/>
      <c r="B6203" s="553"/>
      <c r="C6203" s="1042"/>
      <c r="D6203" s="1615" t="s">
        <v>1128</v>
      </c>
      <c r="E6203" s="1856" t="s">
        <v>1517</v>
      </c>
      <c r="F6203" s="1421" t="s">
        <v>1695</v>
      </c>
      <c r="G6203" s="1604">
        <v>1.4999999999999999E-2</v>
      </c>
      <c r="H6203" s="1604"/>
      <c r="I6203" s="1342"/>
      <c r="J6203" s="198"/>
      <c r="K6203" s="1307">
        <f>G6203*K6201</f>
        <v>8.2620000000000013E-2</v>
      </c>
      <c r="L6203" s="1335">
        <f t="shared" ref="L6203:L6204" si="816">K6203*$K$6029</f>
        <v>0</v>
      </c>
      <c r="M6203" s="1302">
        <v>104.28</v>
      </c>
      <c r="N6203" s="1700"/>
      <c r="O6203" s="1290">
        <f>(G6203*M6203)</f>
        <v>1.5642</v>
      </c>
      <c r="P6203" s="1332">
        <f>M6203*K6203</f>
        <v>8.6156136000000014</v>
      </c>
      <c r="Q6203" s="3391"/>
      <c r="R6203" s="2338"/>
    </row>
    <row r="6204" spans="1:18" s="16" customFormat="1">
      <c r="A6204" s="19"/>
      <c r="B6204" s="553"/>
      <c r="C6204" s="1042"/>
      <c r="D6204" s="1428" t="s">
        <v>1152</v>
      </c>
      <c r="E6204" s="2122" t="s">
        <v>1517</v>
      </c>
      <c r="F6204" s="1370" t="s">
        <v>1696</v>
      </c>
      <c r="G6204" s="1452">
        <v>5.0000000000000001E-3</v>
      </c>
      <c r="H6204" s="1452"/>
      <c r="I6204" s="1286"/>
      <c r="J6204" s="198"/>
      <c r="K6204" s="1307">
        <f>G6204*K6201</f>
        <v>2.7540000000000005E-2</v>
      </c>
      <c r="L6204" s="1335">
        <f t="shared" si="816"/>
        <v>0</v>
      </c>
      <c r="M6204" s="1302">
        <v>108.05</v>
      </c>
      <c r="N6204" s="1700"/>
      <c r="O6204" s="1290">
        <f>(G6204*M6204)</f>
        <v>0.54025000000000001</v>
      </c>
      <c r="P6204" s="1332">
        <f>M6204*K6204</f>
        <v>2.9756970000000007</v>
      </c>
      <c r="Q6204" s="3391"/>
      <c r="R6204" s="2338"/>
    </row>
    <row r="6205" spans="1:18" s="16" customFormat="1">
      <c r="A6205" s="19"/>
      <c r="B6205" s="553"/>
      <c r="C6205" s="1320"/>
      <c r="D6205" s="1396"/>
      <c r="E6205" s="1856"/>
      <c r="F6205" s="1421"/>
      <c r="G6205" s="1452"/>
      <c r="H6205" s="1453"/>
      <c r="I6205" s="1286"/>
      <c r="J6205" s="198"/>
      <c r="K6205" s="1307"/>
      <c r="L6205" s="1335"/>
      <c r="M6205" s="1302"/>
      <c r="N6205" s="1700"/>
      <c r="O6205" s="1290"/>
      <c r="P6205" s="1332"/>
      <c r="Q6205" s="3391"/>
      <c r="R6205" s="2338"/>
    </row>
    <row r="6206" spans="1:18" s="16" customFormat="1">
      <c r="A6206" s="19"/>
      <c r="B6206" s="553"/>
      <c r="C6206" s="1042"/>
      <c r="D6206" s="1400"/>
      <c r="E6206" s="1856"/>
      <c r="F6206" s="1397"/>
      <c r="G6206" s="1416"/>
      <c r="H6206" s="1399"/>
      <c r="I6206" s="197"/>
      <c r="J6206" s="198"/>
      <c r="K6206" s="1307" t="s">
        <v>506</v>
      </c>
      <c r="L6206" s="1335"/>
      <c r="M6206" s="1302"/>
      <c r="N6206" s="1700"/>
      <c r="O6206" s="1290"/>
      <c r="P6206" s="1332"/>
      <c r="Q6206" s="3391"/>
      <c r="R6206" s="2338"/>
    </row>
    <row r="6207" spans="1:18" s="16" customFormat="1">
      <c r="A6207" s="19"/>
      <c r="B6207" s="553"/>
      <c r="C6207" s="1042"/>
      <c r="D6207" s="1404"/>
      <c r="E6207" s="1858"/>
      <c r="F6207" s="1465" t="s">
        <v>2</v>
      </c>
      <c r="G6207" s="1466"/>
      <c r="H6207" s="1362"/>
      <c r="I6207" s="1381"/>
      <c r="J6207" s="1381"/>
      <c r="K6207" s="1359"/>
      <c r="L6207" s="1458"/>
      <c r="M6207" s="1498"/>
      <c r="N6207" s="1498"/>
      <c r="O6207" s="1498"/>
      <c r="P6207" s="1359"/>
      <c r="Q6207" s="3387"/>
      <c r="R6207" s="2338"/>
    </row>
    <row r="6208" spans="1:18" s="16" customFormat="1">
      <c r="A6208" s="19"/>
      <c r="B6208" s="553"/>
      <c r="C6208" s="1042"/>
      <c r="D6208" s="1622" t="s">
        <v>1153</v>
      </c>
      <c r="E6208" s="2125" t="s">
        <v>1508</v>
      </c>
      <c r="F6208" s="1363" t="s">
        <v>1697</v>
      </c>
      <c r="G6208" s="1408">
        <v>0.3</v>
      </c>
      <c r="H6208" s="1408"/>
      <c r="I6208" s="1340"/>
      <c r="J6208" s="198"/>
      <c r="K6208" s="1307">
        <f>G6208*K6201</f>
        <v>1.6524000000000003</v>
      </c>
      <c r="L6208" s="1335">
        <f t="shared" ref="L6208" si="817">K6208*$K$6029</f>
        <v>0</v>
      </c>
      <c r="M6208" s="1302">
        <v>19.23</v>
      </c>
      <c r="N6208" s="1700"/>
      <c r="O6208" s="1290">
        <f>(G6208*M6208)</f>
        <v>5.7690000000000001</v>
      </c>
      <c r="P6208" s="1332">
        <f>M6208*K6208</f>
        <v>31.775652000000008</v>
      </c>
      <c r="Q6208" s="3391"/>
      <c r="R6208" s="2338"/>
    </row>
    <row r="6209" spans="1:18" s="16" customFormat="1">
      <c r="A6209" s="19"/>
      <c r="B6209" s="553"/>
      <c r="C6209" s="1042"/>
      <c r="D6209" s="1622"/>
      <c r="E6209" s="2125"/>
      <c r="F6209" s="1363"/>
      <c r="G6209" s="1474"/>
      <c r="H6209" s="1408"/>
      <c r="I6209" s="1340"/>
      <c r="J6209" s="198"/>
      <c r="K6209" s="1307"/>
      <c r="L6209" s="1335"/>
      <c r="M6209" s="1302"/>
      <c r="N6209" s="1700"/>
      <c r="O6209" s="1290"/>
      <c r="P6209" s="1332"/>
      <c r="Q6209" s="3391"/>
      <c r="R6209" s="2338"/>
    </row>
    <row r="6210" spans="1:18" s="16" customFormat="1">
      <c r="A6210" s="19"/>
      <c r="B6210" s="553"/>
      <c r="C6210" s="1042"/>
      <c r="D6210" s="1622"/>
      <c r="E6210" s="2125"/>
      <c r="F6210" s="1363"/>
      <c r="G6210" s="1474"/>
      <c r="H6210" s="1408"/>
      <c r="I6210" s="1340"/>
      <c r="J6210" s="198"/>
      <c r="K6210" s="1307"/>
      <c r="L6210" s="1335"/>
      <c r="M6210" s="1302"/>
      <c r="N6210" s="1700"/>
      <c r="O6210" s="1290"/>
      <c r="P6210" s="1332"/>
      <c r="Q6210" s="3391"/>
      <c r="R6210" s="2338"/>
    </row>
    <row r="6211" spans="1:18" s="16" customFormat="1">
      <c r="A6211" s="19"/>
      <c r="B6211" s="553"/>
      <c r="C6211" s="1042"/>
      <c r="D6211" s="1411"/>
      <c r="E6211" s="2123"/>
      <c r="F6211" s="1475" t="s">
        <v>3</v>
      </c>
      <c r="G6211" s="1377"/>
      <c r="H6211" s="1376"/>
      <c r="I6211" s="1383" t="s">
        <v>506</v>
      </c>
      <c r="J6211" s="1383"/>
      <c r="K6211" s="1383"/>
      <c r="L6211" s="1413"/>
      <c r="M6211" s="1376"/>
      <c r="N6211" s="1376"/>
      <c r="O6211" s="1376"/>
      <c r="P6211" s="1373"/>
      <c r="Q6211" s="3387"/>
      <c r="R6211" s="2338"/>
    </row>
    <row r="6212" spans="1:18" s="16" customFormat="1">
      <c r="A6212" s="19"/>
      <c r="B6212" s="553"/>
      <c r="C6212" s="1042"/>
      <c r="D6212" s="1440"/>
      <c r="E6212" s="2132"/>
      <c r="F6212" s="1441"/>
      <c r="G6212" s="1441"/>
      <c r="H6212" s="1442"/>
      <c r="I6212" s="197" t="s">
        <v>506</v>
      </c>
      <c r="J6212" s="198"/>
      <c r="K6212" s="1307"/>
      <c r="L6212" s="1335" t="s">
        <v>506</v>
      </c>
      <c r="M6212" s="1499"/>
      <c r="N6212" s="1701"/>
      <c r="O6212" s="1290"/>
      <c r="P6212" s="1332"/>
      <c r="Q6212" s="3391"/>
      <c r="R6212" s="2338"/>
    </row>
    <row r="6213" spans="1:18" s="16" customFormat="1">
      <c r="B6213" s="553"/>
      <c r="C6213" s="1042"/>
      <c r="D6213" s="1440"/>
      <c r="E6213" s="2132"/>
      <c r="F6213" s="1441"/>
      <c r="G6213" s="1441"/>
      <c r="H6213" s="1442"/>
      <c r="I6213" s="197" t="s">
        <v>506</v>
      </c>
      <c r="J6213" s="198"/>
      <c r="K6213" s="1307"/>
      <c r="L6213" s="1335" t="s">
        <v>506</v>
      </c>
      <c r="M6213" s="1499"/>
      <c r="N6213" s="1701"/>
      <c r="O6213" s="1290"/>
      <c r="P6213" s="1332"/>
      <c r="Q6213" s="3391"/>
      <c r="R6213" s="2338"/>
    </row>
    <row r="6214" spans="1:18" s="16" customFormat="1">
      <c r="B6214" s="554"/>
      <c r="C6214" s="223"/>
      <c r="D6214" s="1440"/>
      <c r="E6214" s="2132"/>
      <c r="F6214" s="1441"/>
      <c r="G6214" s="1441"/>
      <c r="H6214" s="1442"/>
      <c r="I6214" s="197"/>
      <c r="J6214" s="198"/>
      <c r="K6214" s="1307"/>
      <c r="L6214" s="1335"/>
      <c r="M6214" s="1499"/>
      <c r="N6214" s="1701"/>
      <c r="O6214" s="1290"/>
      <c r="P6214" s="1332"/>
      <c r="Q6214" s="3391"/>
      <c r="R6214" s="2338"/>
    </row>
    <row r="6215" spans="1:18" s="16" customFormat="1">
      <c r="A6215" s="18" t="s">
        <v>3764</v>
      </c>
      <c r="B6215" s="4325" t="s">
        <v>1661</v>
      </c>
      <c r="C6215" s="3350"/>
      <c r="D6215" s="4327"/>
      <c r="E6215" s="4337" t="s">
        <v>1507</v>
      </c>
      <c r="F6215" s="4338" t="s">
        <v>1706</v>
      </c>
      <c r="G6215" s="4331" t="s">
        <v>1568</v>
      </c>
      <c r="H6215" s="4331" t="s">
        <v>1574</v>
      </c>
      <c r="I6215" s="1572" t="s">
        <v>1559</v>
      </c>
      <c r="J6215" s="1294" t="s">
        <v>1560</v>
      </c>
      <c r="K6215" s="1294" t="s">
        <v>1561</v>
      </c>
      <c r="L6215" s="4333" t="s">
        <v>3765</v>
      </c>
      <c r="M6215" s="4335" t="s">
        <v>1571</v>
      </c>
      <c r="N6215" s="4323" t="s">
        <v>1776</v>
      </c>
      <c r="O6215" s="3347" t="s">
        <v>1563</v>
      </c>
      <c r="P6215" s="1336" t="s">
        <v>1562</v>
      </c>
      <c r="Q6215" s="3389"/>
      <c r="R6215" s="1699" t="s">
        <v>1327</v>
      </c>
    </row>
    <row r="6216" spans="1:18" s="16" customFormat="1">
      <c r="A6216" s="1662" t="s">
        <v>3901</v>
      </c>
      <c r="B6216" s="4326"/>
      <c r="C6216" s="3354"/>
      <c r="D6216" s="4328"/>
      <c r="E6216" s="4337"/>
      <c r="F6216" s="4338"/>
      <c r="G6216" s="4332"/>
      <c r="H6216" s="4332"/>
      <c r="I6216" s="1345">
        <v>10.8</v>
      </c>
      <c r="J6216" s="1307">
        <v>0.51</v>
      </c>
      <c r="K6216" s="1297">
        <f>I6216*J6216</f>
        <v>5.5080000000000009</v>
      </c>
      <c r="L6216" s="4334"/>
      <c r="M6216" s="4335"/>
      <c r="N6216" s="4324"/>
      <c r="O6216" s="1298">
        <f>SUM(O6218:O6230)</f>
        <v>8.9870400000000004</v>
      </c>
      <c r="P6216" s="1337">
        <f>K6216*O6216</f>
        <v>49.500616320000013</v>
      </c>
      <c r="Q6216" s="3390"/>
      <c r="R6216" s="1721">
        <f>SUM(P6218:P6230)</f>
        <v>49.500616320000006</v>
      </c>
    </row>
    <row r="6217" spans="1:18" s="16" customFormat="1">
      <c r="A6217" s="19"/>
      <c r="B6217" s="551"/>
      <c r="C6217" s="18"/>
      <c r="D6217" s="1400"/>
      <c r="E6217" s="2121"/>
      <c r="F6217" s="1389" t="s">
        <v>1</v>
      </c>
      <c r="G6217" s="2100"/>
      <c r="H6217" s="1369"/>
      <c r="I6217" s="2088"/>
      <c r="J6217" s="1369"/>
      <c r="K6217" s="1369"/>
      <c r="L6217" s="1554"/>
      <c r="M6217" s="1487"/>
      <c r="N6217" s="1487"/>
      <c r="O6217" s="1487"/>
      <c r="P6217" s="1367"/>
      <c r="Q6217" s="3387"/>
      <c r="R6217" s="2338"/>
    </row>
    <row r="6218" spans="1:18" s="16" customFormat="1">
      <c r="A6218" s="19"/>
      <c r="B6218" s="553"/>
      <c r="C6218" s="1042"/>
      <c r="D6218" s="1615" t="s">
        <v>1698</v>
      </c>
      <c r="E6218" s="1856" t="s">
        <v>1357</v>
      </c>
      <c r="F6218" s="1421" t="s">
        <v>1699</v>
      </c>
      <c r="G6218" s="2101">
        <v>0.45</v>
      </c>
      <c r="H6218" s="1367"/>
      <c r="I6218" s="1617"/>
      <c r="J6218" s="198"/>
      <c r="K6218" s="1307">
        <f>G6218*K6216</f>
        <v>2.4786000000000006</v>
      </c>
      <c r="L6218" s="1335">
        <f t="shared" ref="L6218:L6220" si="818">K6218*$K$6029</f>
        <v>0</v>
      </c>
      <c r="M6218" s="1302">
        <v>1.7</v>
      </c>
      <c r="N6218" s="1700"/>
      <c r="O6218" s="1290">
        <f>(G6218*M6218)</f>
        <v>0.76500000000000001</v>
      </c>
      <c r="P6218" s="1332">
        <f>M6218*K6218</f>
        <v>4.2136200000000006</v>
      </c>
      <c r="Q6218" s="3391"/>
      <c r="R6218" s="2338"/>
    </row>
    <row r="6219" spans="1:18" s="16" customFormat="1">
      <c r="A6219" s="19"/>
      <c r="B6219" s="553"/>
      <c r="C6219" s="1042"/>
      <c r="D6219" s="1615" t="s">
        <v>1214</v>
      </c>
      <c r="E6219" s="1856" t="s">
        <v>1357</v>
      </c>
      <c r="F6219" s="1421" t="s">
        <v>1700</v>
      </c>
      <c r="G6219" s="2102">
        <v>0.35</v>
      </c>
      <c r="H6219" s="1367"/>
      <c r="I6219" s="1286"/>
      <c r="J6219" s="198"/>
      <c r="K6219" s="1307">
        <f>G6219*K6216</f>
        <v>1.9278000000000002</v>
      </c>
      <c r="L6219" s="1335">
        <f t="shared" si="818"/>
        <v>0</v>
      </c>
      <c r="M6219" s="1302">
        <v>4.2</v>
      </c>
      <c r="N6219" s="1700"/>
      <c r="O6219" s="1290">
        <f>(G6219*M6219)</f>
        <v>1.47</v>
      </c>
      <c r="P6219" s="1332">
        <f>M6219*K6219</f>
        <v>8.0967600000000015</v>
      </c>
      <c r="Q6219" s="3391"/>
      <c r="R6219" s="3363"/>
    </row>
    <row r="6220" spans="1:18" s="16" customFormat="1">
      <c r="A6220" s="19"/>
      <c r="B6220" s="553"/>
      <c r="C6220" s="1320"/>
      <c r="D6220" s="1400" t="s">
        <v>1701</v>
      </c>
      <c r="E6220" s="1856" t="s">
        <v>1504</v>
      </c>
      <c r="F6220" s="1421" t="s">
        <v>1541</v>
      </c>
      <c r="G6220" s="2103">
        <v>0.2</v>
      </c>
      <c r="H6220" s="1367"/>
      <c r="I6220" s="2104"/>
      <c r="J6220" s="1341"/>
      <c r="K6220" s="1307">
        <f>G6220*K6216</f>
        <v>1.1016000000000001</v>
      </c>
      <c r="L6220" s="1335">
        <f t="shared" si="818"/>
        <v>0</v>
      </c>
      <c r="M6220" s="1302">
        <v>0.3</v>
      </c>
      <c r="N6220" s="1700"/>
      <c r="O6220" s="1290">
        <f>(G6220*M6220)</f>
        <v>0.06</v>
      </c>
      <c r="P6220" s="1332">
        <f>M6220*K6220</f>
        <v>0.33048000000000005</v>
      </c>
      <c r="Q6220" s="3391"/>
      <c r="R6220" s="3363"/>
    </row>
    <row r="6221" spans="1:18" s="16" customFormat="1">
      <c r="A6221" s="19"/>
      <c r="B6221" s="553"/>
      <c r="C6221" s="1320"/>
      <c r="D6221" s="1400"/>
      <c r="E6221" s="1856"/>
      <c r="F6221" s="1421"/>
      <c r="G6221" s="2103"/>
      <c r="H6221" s="1367"/>
      <c r="I6221" s="2104"/>
      <c r="J6221" s="1341"/>
      <c r="K6221" s="1307"/>
      <c r="L6221" s="1335"/>
      <c r="M6221" s="1302"/>
      <c r="N6221" s="1700"/>
      <c r="O6221" s="1290"/>
      <c r="P6221" s="1332"/>
      <c r="Q6221" s="3391"/>
      <c r="R6221" s="3363"/>
    </row>
    <row r="6222" spans="1:18" s="16" customFormat="1">
      <c r="A6222" s="19"/>
      <c r="B6222" s="553"/>
      <c r="C6222" s="1042"/>
      <c r="D6222" s="1400"/>
      <c r="E6222" s="1856"/>
      <c r="F6222" s="1421"/>
      <c r="G6222" s="2103"/>
      <c r="H6222" s="1367"/>
      <c r="I6222" s="2104"/>
      <c r="J6222" s="1341"/>
      <c r="K6222" s="1307" t="s">
        <v>506</v>
      </c>
      <c r="L6222" s="1335"/>
      <c r="M6222" s="1302"/>
      <c r="N6222" s="1700"/>
      <c r="O6222" s="1290"/>
      <c r="P6222" s="1332"/>
      <c r="Q6222" s="3391"/>
      <c r="R6222" s="3363"/>
    </row>
    <row r="6223" spans="1:18" s="16" customFormat="1">
      <c r="A6223" s="19"/>
      <c r="B6223" s="553"/>
      <c r="C6223" s="1042"/>
      <c r="D6223" s="1404"/>
      <c r="E6223" s="1858"/>
      <c r="F6223" s="1465" t="s">
        <v>2</v>
      </c>
      <c r="G6223" s="1429"/>
      <c r="H6223" s="1359"/>
      <c r="I6223" s="2105"/>
      <c r="J6223" s="1381"/>
      <c r="K6223" s="1359"/>
      <c r="L6223" s="1458"/>
      <c r="M6223" s="1498"/>
      <c r="N6223" s="1498"/>
      <c r="O6223" s="1498"/>
      <c r="P6223" s="1359"/>
      <c r="Q6223" s="3387"/>
      <c r="R6223" s="3363"/>
    </row>
    <row r="6224" spans="1:18" s="16" customFormat="1">
      <c r="A6224" s="19"/>
      <c r="B6224" s="553"/>
      <c r="C6224" s="1042"/>
      <c r="D6224" s="1623" t="s">
        <v>1702</v>
      </c>
      <c r="E6224" s="2158" t="s">
        <v>1508</v>
      </c>
      <c r="F6224" s="1801" t="s">
        <v>1703</v>
      </c>
      <c r="G6224" s="1822">
        <v>0.34799999999999998</v>
      </c>
      <c r="H6224" s="1359"/>
      <c r="I6224" s="2106"/>
      <c r="J6224" s="198"/>
      <c r="K6224" s="1307">
        <f>G6224*K6216</f>
        <v>1.9167840000000003</v>
      </c>
      <c r="L6224" s="1335">
        <f t="shared" ref="L6224" si="819">K6224*$K$6029</f>
        <v>0</v>
      </c>
      <c r="M6224" s="1302">
        <v>19.23</v>
      </c>
      <c r="N6224" s="1700"/>
      <c r="O6224" s="1290">
        <f>(G6224*M6224)</f>
        <v>6.6920399999999995</v>
      </c>
      <c r="P6224" s="1332">
        <f>M6224*K6224</f>
        <v>36.859756320000002</v>
      </c>
      <c r="Q6224" s="3391"/>
      <c r="R6224" s="3363"/>
    </row>
    <row r="6225" spans="1:19" s="16" customFormat="1">
      <c r="A6225"/>
      <c r="B6225" s="553"/>
      <c r="C6225" s="1042"/>
      <c r="D6225" s="1623"/>
      <c r="E6225" s="2158"/>
      <c r="F6225" s="1801"/>
      <c r="G6225" s="1822"/>
      <c r="H6225" s="1359"/>
      <c r="I6225" s="2106"/>
      <c r="J6225" s="198"/>
      <c r="K6225" s="1307"/>
      <c r="L6225" s="1335"/>
      <c r="M6225" s="1302"/>
      <c r="N6225" s="1700"/>
      <c r="O6225" s="1290"/>
      <c r="P6225" s="1332"/>
      <c r="Q6225" s="3391"/>
      <c r="R6225" s="2344"/>
    </row>
    <row r="6226" spans="1:19" s="16" customFormat="1">
      <c r="A6226"/>
      <c r="B6226" s="553"/>
      <c r="C6226" s="1042"/>
      <c r="D6226" s="1623"/>
      <c r="E6226" s="2158"/>
      <c r="F6226" s="1801"/>
      <c r="G6226" s="1822"/>
      <c r="H6226" s="1359"/>
      <c r="I6226" s="2106"/>
      <c r="J6226" s="198"/>
      <c r="K6226" s="1307"/>
      <c r="L6226" s="1335"/>
      <c r="M6226" s="1302"/>
      <c r="N6226" s="1700"/>
      <c r="O6226" s="1290"/>
      <c r="P6226" s="1332"/>
      <c r="Q6226" s="3391"/>
      <c r="R6226" s="3363"/>
    </row>
    <row r="6227" spans="1:19" s="16" customFormat="1">
      <c r="A6227"/>
      <c r="B6227" s="553"/>
      <c r="C6227" s="1042"/>
      <c r="D6227" s="1411"/>
      <c r="E6227" s="2123"/>
      <c r="F6227" s="1475" t="s">
        <v>3</v>
      </c>
      <c r="G6227" s="1377"/>
      <c r="H6227" s="1376"/>
      <c r="I6227" s="1383" t="s">
        <v>506</v>
      </c>
      <c r="J6227" s="1383"/>
      <c r="K6227" s="1383"/>
      <c r="L6227" s="1413" t="s">
        <v>506</v>
      </c>
      <c r="M6227" s="1376"/>
      <c r="N6227" s="1376"/>
      <c r="O6227" s="1376"/>
      <c r="P6227" s="1373"/>
      <c r="Q6227" s="3387"/>
      <c r="R6227" s="3363"/>
    </row>
    <row r="6228" spans="1:19" s="16" customFormat="1">
      <c r="A6228"/>
      <c r="B6228" s="553"/>
      <c r="C6228" s="1042"/>
      <c r="D6228" s="1440"/>
      <c r="E6228" s="2132"/>
      <c r="F6228" s="1441"/>
      <c r="G6228" s="1441"/>
      <c r="H6228" s="1442"/>
      <c r="I6228" s="197" t="s">
        <v>506</v>
      </c>
      <c r="J6228" s="198"/>
      <c r="K6228" s="1307"/>
      <c r="L6228" s="1335" t="s">
        <v>506</v>
      </c>
      <c r="M6228" s="1499"/>
      <c r="N6228" s="1701"/>
      <c r="O6228" s="1290"/>
      <c r="P6228" s="1332"/>
      <c r="Q6228" s="3391"/>
      <c r="R6228" s="1173"/>
    </row>
    <row r="6229" spans="1:19" s="16" customFormat="1">
      <c r="A6229"/>
      <c r="B6229" s="553"/>
      <c r="C6229" s="1042"/>
      <c r="D6229" s="1440"/>
      <c r="E6229" s="2132"/>
      <c r="F6229" s="1441"/>
      <c r="G6229" s="1441"/>
      <c r="H6229" s="1442"/>
      <c r="I6229" s="197" t="s">
        <v>506</v>
      </c>
      <c r="J6229" s="198"/>
      <c r="K6229" s="1307"/>
      <c r="L6229" s="1335" t="s">
        <v>506</v>
      </c>
      <c r="M6229" s="1499"/>
      <c r="N6229" s="1701"/>
      <c r="O6229" s="1290"/>
      <c r="P6229" s="1332"/>
      <c r="Q6229" s="3391"/>
      <c r="R6229" s="2338"/>
    </row>
    <row r="6230" spans="1:19" s="16" customFormat="1">
      <c r="A6230" s="3359"/>
      <c r="B6230" s="554"/>
      <c r="C6230" s="223"/>
      <c r="D6230" s="1440"/>
      <c r="E6230" s="2132"/>
      <c r="F6230" s="1955"/>
      <c r="G6230" s="1955"/>
      <c r="H6230" s="1956"/>
      <c r="I6230" s="197"/>
      <c r="J6230" s="198"/>
      <c r="K6230" s="1307"/>
      <c r="L6230" s="1335"/>
      <c r="M6230" s="1499"/>
      <c r="N6230" s="1701"/>
      <c r="O6230" s="1290"/>
      <c r="P6230" s="1332"/>
      <c r="Q6230" s="3391"/>
      <c r="R6230" s="2338"/>
    </row>
    <row r="6231" spans="1:19" s="16" customFormat="1">
      <c r="E6231" s="2182"/>
      <c r="F6231" s="2080"/>
      <c r="G6231" s="2080"/>
      <c r="H6231" s="13"/>
      <c r="I6231" s="1561"/>
      <c r="J6231" s="13"/>
      <c r="K6231" s="1639"/>
      <c r="L6231" s="1640"/>
      <c r="M6231" s="1292"/>
      <c r="N6231" s="1292"/>
      <c r="O6231" s="1292"/>
      <c r="P6231" s="1292"/>
      <c r="Q6231" s="3391"/>
      <c r="R6231" s="1296"/>
    </row>
    <row r="6232" spans="1:19" s="16" customFormat="1">
      <c r="A6232" s="4391" t="s">
        <v>74</v>
      </c>
      <c r="B6232" s="4392"/>
      <c r="C6232" s="4392"/>
      <c r="D6232" s="4392"/>
      <c r="E6232" s="1303" t="s">
        <v>2140</v>
      </c>
      <c r="F6232" s="1305" t="s">
        <v>2139</v>
      </c>
      <c r="G6232" s="1288"/>
      <c r="H6232" s="1288"/>
      <c r="I6232" s="1557"/>
      <c r="J6232" s="1288"/>
      <c r="K6232" s="1288"/>
      <c r="L6232" s="1557"/>
      <c r="M6232" s="1288"/>
      <c r="N6232" s="1288"/>
      <c r="O6232" s="1288"/>
      <c r="P6232" s="1283"/>
      <c r="Q6232" s="3386"/>
      <c r="R6232" s="2339"/>
    </row>
    <row r="6233" spans="1:19" s="16" customFormat="1" ht="28.5">
      <c r="E6233" s="2182"/>
      <c r="F6233" s="2080"/>
      <c r="G6233" s="2080"/>
      <c r="H6233" s="13"/>
      <c r="I6233" s="1561"/>
      <c r="J6233" s="13"/>
      <c r="K6233" s="1639"/>
      <c r="L6233" s="2375" t="s">
        <v>2856</v>
      </c>
      <c r="M6233" s="1292"/>
      <c r="N6233" s="1292"/>
      <c r="O6233" s="1292"/>
      <c r="P6233" s="1292"/>
      <c r="Q6233" s="3391"/>
      <c r="R6233" s="1296"/>
    </row>
    <row r="6234" spans="1:19" s="16" customFormat="1">
      <c r="A6234" s="4393" t="s">
        <v>162</v>
      </c>
      <c r="B6234" s="4394"/>
      <c r="C6234" s="4394"/>
      <c r="D6234" s="4395"/>
      <c r="E6234" s="4396" t="s">
        <v>1549</v>
      </c>
      <c r="F6234" s="4397" t="s">
        <v>1550</v>
      </c>
      <c r="G6234" s="4399" t="s">
        <v>1566</v>
      </c>
      <c r="H6234" s="4400"/>
      <c r="I6234" s="4400"/>
      <c r="J6234" s="4400"/>
      <c r="K6234" s="4400"/>
      <c r="L6234" s="4401"/>
      <c r="M6234" s="4405" t="s">
        <v>1567</v>
      </c>
      <c r="N6234" s="4405"/>
      <c r="O6234" s="4405"/>
      <c r="P6234" s="4405"/>
      <c r="Q6234" s="3395"/>
      <c r="R6234" s="2339"/>
    </row>
    <row r="6235" spans="1:19" s="16" customFormat="1">
      <c r="A6235" s="1324" t="s">
        <v>3766</v>
      </c>
      <c r="B6235" s="1325" t="s">
        <v>1513</v>
      </c>
      <c r="C6235" s="1326" t="s">
        <v>1573</v>
      </c>
      <c r="D6235" s="1323" t="s">
        <v>1514</v>
      </c>
      <c r="E6235" s="4396"/>
      <c r="F6235" s="4398"/>
      <c r="G6235" s="4402"/>
      <c r="H6235" s="4403"/>
      <c r="I6235" s="4403"/>
      <c r="J6235" s="4403"/>
      <c r="K6235" s="4403"/>
      <c r="L6235" s="4404"/>
      <c r="M6235" s="4405"/>
      <c r="N6235" s="4405"/>
      <c r="O6235" s="4405"/>
      <c r="P6235" s="4405"/>
      <c r="Q6235" s="3395"/>
      <c r="R6235" s="3407" t="s">
        <v>3367</v>
      </c>
      <c r="S6235" s="3407" t="s">
        <v>1660</v>
      </c>
    </row>
    <row r="6236" spans="1:19" s="16" customFormat="1">
      <c r="A6236" s="4374" t="s">
        <v>2775</v>
      </c>
      <c r="B6236" s="4375"/>
      <c r="C6236" s="4375"/>
      <c r="D6236" s="4376"/>
      <c r="E6236" s="4380" t="s">
        <v>1527</v>
      </c>
      <c r="F6236" s="4469" t="s">
        <v>3366</v>
      </c>
      <c r="G6236" s="4406" t="s">
        <v>294</v>
      </c>
      <c r="H6236" s="4407"/>
      <c r="I6236" s="1665" t="s">
        <v>1565</v>
      </c>
      <c r="J6236" s="3348" t="s">
        <v>1575</v>
      </c>
      <c r="K6236" s="4406" t="s">
        <v>289</v>
      </c>
      <c r="L6236" s="4407"/>
      <c r="M6236" s="4408" t="s">
        <v>3349</v>
      </c>
      <c r="N6236" s="4408"/>
      <c r="O6236" s="4408"/>
      <c r="P6236" s="4408"/>
      <c r="Q6236" s="3394" t="s">
        <v>3957</v>
      </c>
      <c r="R6236" s="3407" t="s">
        <v>3368</v>
      </c>
      <c r="S6236" s="3407" t="s">
        <v>3369</v>
      </c>
    </row>
    <row r="6237" spans="1:19" s="16" customFormat="1" ht="21">
      <c r="A6237" s="4377"/>
      <c r="B6237" s="4458"/>
      <c r="C6237" s="4458"/>
      <c r="D6237" s="4379"/>
      <c r="E6237" s="4381"/>
      <c r="F6237" s="4470"/>
      <c r="G6237" s="4451">
        <f>IF('Seleccion proyecto HEREVEA02'!G52="Sustitución y reposición",'Seleccion proyecto HEREVEA02'!E52,0)</f>
        <v>0</v>
      </c>
      <c r="H6237" s="4452"/>
      <c r="I6237" s="3353">
        <f>IF('Seleccion proyecto HEREVEA02'!H52=0,0,IF('Seleccion proyecto HEREVEA02'!H52="1 a 30",0.3,IF('Seleccion proyecto HEREVEA02'!H52="31 a 60",0.6,IF('Seleccion proyecto HEREVEA02'!H52="61 a 100",1))))</f>
        <v>0</v>
      </c>
      <c r="J6237" s="1351">
        <f>'Seleccion proyecto HEREVEA02'!L8</f>
        <v>11100.968999999999</v>
      </c>
      <c r="K6237" s="4358">
        <f>G6237*I6237*J6237</f>
        <v>0</v>
      </c>
      <c r="L6237" s="4359"/>
      <c r="M6237" s="4360">
        <f>P6240+P6241+P6242+P6247+P6262+P6277+P6291+P6305+P6319+P6333+P6347+P6361+P6380+P6399+P6418+P6437+P6456+P6477+P6495+P6548+P6563+P6530+P6514</f>
        <v>51.986831186623995</v>
      </c>
      <c r="N6237" s="4361"/>
      <c r="O6237" s="4361"/>
      <c r="P6237" s="4449"/>
      <c r="Q6237" s="3388">
        <f>M6237*K6237</f>
        <v>0</v>
      </c>
      <c r="R6237" s="2372" t="s">
        <v>2844</v>
      </c>
      <c r="S6237" s="3407" t="s">
        <v>3370</v>
      </c>
    </row>
    <row r="6238" spans="1:19" s="16" customFormat="1">
      <c r="A6238" s="551"/>
      <c r="B6238" s="4467"/>
      <c r="C6238" s="3361"/>
      <c r="D6238" s="4341"/>
      <c r="E6238" s="4342"/>
      <c r="F6238" s="4344" t="s">
        <v>2</v>
      </c>
      <c r="G6238" s="4346" t="s">
        <v>1568</v>
      </c>
      <c r="H6238" s="4348" t="s">
        <v>1574</v>
      </c>
      <c r="I6238" s="4350"/>
      <c r="J6238" s="4351" t="s">
        <v>1560</v>
      </c>
      <c r="K6238" s="4351" t="s">
        <v>1569</v>
      </c>
      <c r="L6238" s="4333" t="s">
        <v>3765</v>
      </c>
      <c r="M6238" s="4352" t="s">
        <v>1571</v>
      </c>
      <c r="N6238" s="4353" t="s">
        <v>1776</v>
      </c>
      <c r="O6238" s="4354" t="s">
        <v>1563</v>
      </c>
      <c r="P6238" s="4356" t="s">
        <v>1562</v>
      </c>
      <c r="Q6238" s="3389"/>
      <c r="R6238" s="1699" t="s">
        <v>1327</v>
      </c>
    </row>
    <row r="6239" spans="1:19" s="16" customFormat="1">
      <c r="A6239" s="2373" t="s">
        <v>2843</v>
      </c>
      <c r="B6239" s="4468"/>
      <c r="C6239" s="3361"/>
      <c r="D6239" s="4341"/>
      <c r="E6239" s="4343"/>
      <c r="F6239" s="4345"/>
      <c r="G6239" s="4347"/>
      <c r="H6239" s="4349"/>
      <c r="I6239" s="4350"/>
      <c r="J6239" s="4351"/>
      <c r="K6239" s="4351"/>
      <c r="L6239" s="4334"/>
      <c r="M6239" s="4352"/>
      <c r="N6239" s="4353"/>
      <c r="O6239" s="4355"/>
      <c r="P6239" s="4357"/>
      <c r="Q6239" s="3389"/>
      <c r="R6239" s="1721">
        <f>P6240</f>
        <v>24.337992000000003</v>
      </c>
    </row>
    <row r="6240" spans="1:19" s="16" customFormat="1">
      <c r="A6240" s="4537" t="s">
        <v>3371</v>
      </c>
      <c r="B6240" s="2043"/>
      <c r="C6240" s="1295"/>
      <c r="D6240" s="1363" t="s">
        <v>1067</v>
      </c>
      <c r="E6240" s="2125" t="s">
        <v>1508</v>
      </c>
      <c r="F6240" s="1385" t="s">
        <v>1512</v>
      </c>
      <c r="G6240" s="1998">
        <v>665.7</v>
      </c>
      <c r="H6240" s="2084"/>
      <c r="I6240" s="2085"/>
      <c r="J6240" s="1589">
        <v>2E-3</v>
      </c>
      <c r="K6240" s="1307">
        <f>G6240*J6240</f>
        <v>1.3314000000000001</v>
      </c>
      <c r="L6240" s="1335">
        <f>K6240*$K$6237</f>
        <v>0</v>
      </c>
      <c r="M6240" s="1302">
        <v>18.28</v>
      </c>
      <c r="N6240" s="1700"/>
      <c r="O6240" s="1290">
        <f>G6240*M6240</f>
        <v>12168.996000000001</v>
      </c>
      <c r="P6240" s="1337">
        <f>M6240*K6240</f>
        <v>24.337992000000003</v>
      </c>
      <c r="Q6240" s="3390"/>
      <c r="R6240" s="2339"/>
    </row>
    <row r="6241" spans="1:18" s="16" customFormat="1">
      <c r="A6241" s="4537"/>
      <c r="B6241" s="2042"/>
      <c r="D6241" s="1359" t="s">
        <v>1593</v>
      </c>
      <c r="E6241" s="1858" t="s">
        <v>1508</v>
      </c>
      <c r="F6241" s="1404" t="s">
        <v>2146</v>
      </c>
      <c r="G6241" s="2096">
        <v>7.96</v>
      </c>
      <c r="H6241" s="1359"/>
      <c r="I6241" s="1289"/>
      <c r="J6241" s="1589">
        <v>2E-3</v>
      </c>
      <c r="K6241" s="1307">
        <f>G6241*J6241</f>
        <v>1.592E-2</v>
      </c>
      <c r="L6241" s="1335">
        <f>K6241*$K$6237</f>
        <v>0</v>
      </c>
      <c r="M6241" s="1302">
        <v>19.23</v>
      </c>
      <c r="N6241" s="1700"/>
      <c r="O6241" s="1290">
        <f>G6241*M6241</f>
        <v>153.07079999999999</v>
      </c>
      <c r="P6241" s="1337">
        <f>M6241*K6241</f>
        <v>0.30614160000000001</v>
      </c>
      <c r="Q6241" s="3390"/>
      <c r="R6241" s="2339"/>
    </row>
    <row r="6242" spans="1:18">
      <c r="A6242" s="4537"/>
      <c r="B6242" s="2042"/>
      <c r="C6242" s="2086" t="s">
        <v>1755</v>
      </c>
      <c r="D6242" s="1311"/>
      <c r="E6242" s="2176" t="s">
        <v>1508</v>
      </c>
      <c r="F6242" s="1648" t="s">
        <v>1524</v>
      </c>
      <c r="G6242" s="1990"/>
      <c r="H6242" s="1456">
        <v>3.39</v>
      </c>
      <c r="I6242" s="1444"/>
      <c r="J6242" s="1510">
        <v>2E-3</v>
      </c>
      <c r="K6242" s="1445"/>
      <c r="L6242" s="1457"/>
      <c r="M6242" s="1447"/>
      <c r="N6242" s="1447">
        <f>SUM(N6243:N6244)</f>
        <v>37.510000000000005</v>
      </c>
      <c r="O6242" s="1447">
        <f>SUM(O6243:O6244)</f>
        <v>127.15890000000002</v>
      </c>
      <c r="P6242" s="1337">
        <f>SUM(P6243:P6244)</f>
        <v>0.25431780000000004</v>
      </c>
      <c r="Q6242" s="3390"/>
      <c r="R6242" s="2337"/>
    </row>
    <row r="6243" spans="1:18">
      <c r="B6243" s="2042"/>
      <c r="C6243" s="19"/>
      <c r="D6243" s="1430" t="s">
        <v>1067</v>
      </c>
      <c r="E6243" s="1857" t="s">
        <v>1508</v>
      </c>
      <c r="F6243" s="1403" t="s">
        <v>5</v>
      </c>
      <c r="G6243" s="1991">
        <v>1</v>
      </c>
      <c r="H6243" s="1408">
        <f>G6243*$H$6242</f>
        <v>3.39</v>
      </c>
      <c r="I6243" s="1286"/>
      <c r="J6243" s="198"/>
      <c r="K6243" s="1307">
        <f>H6243*J6242</f>
        <v>6.7800000000000004E-3</v>
      </c>
      <c r="L6243" s="1335">
        <f t="shared" ref="L6243:L6244" si="820">K6243*$K$6237</f>
        <v>0</v>
      </c>
      <c r="M6243" s="1302">
        <v>18.28</v>
      </c>
      <c r="N6243" s="1718">
        <f>G6243*M6243</f>
        <v>18.28</v>
      </c>
      <c r="O6243" s="1290">
        <f>H6243*M6243</f>
        <v>61.969200000000008</v>
      </c>
      <c r="P6243" s="1720">
        <f>M6243*K6243</f>
        <v>0.12393840000000002</v>
      </c>
      <c r="Q6243" s="3396"/>
      <c r="R6243" s="2337"/>
    </row>
    <row r="6244" spans="1:18">
      <c r="B6244" s="2042"/>
      <c r="C6244" s="19"/>
      <c r="D6244" s="1430" t="s">
        <v>1077</v>
      </c>
      <c r="E6244" s="1857" t="s">
        <v>1508</v>
      </c>
      <c r="F6244" s="1403" t="s">
        <v>37</v>
      </c>
      <c r="G6244" s="1991">
        <v>1</v>
      </c>
      <c r="H6244" s="1408">
        <f>G6244*$H$6242</f>
        <v>3.39</v>
      </c>
      <c r="I6244" s="197"/>
      <c r="J6244" s="198"/>
      <c r="K6244" s="1307">
        <f>H6244*J6242</f>
        <v>6.7800000000000004E-3</v>
      </c>
      <c r="L6244" s="1335">
        <f t="shared" si="820"/>
        <v>0</v>
      </c>
      <c r="M6244" s="1302">
        <v>19.23</v>
      </c>
      <c r="N6244" s="1718">
        <f>G6244*M6244</f>
        <v>19.23</v>
      </c>
      <c r="O6244" s="1290">
        <f>H6244*M6244</f>
        <v>65.189700000000002</v>
      </c>
      <c r="P6244" s="1720">
        <f>M6244*K6244</f>
        <v>0.13037940000000001</v>
      </c>
      <c r="Q6244" s="3396"/>
      <c r="R6244" s="2337"/>
    </row>
    <row r="6245" spans="1:18">
      <c r="B6245" s="227"/>
      <c r="C6245" s="16"/>
      <c r="D6245" s="1359"/>
      <c r="E6245" s="1858"/>
      <c r="F6245" s="1361"/>
      <c r="G6245" s="1361"/>
      <c r="H6245" s="1466"/>
      <c r="I6245" s="1289"/>
      <c r="J6245" s="8"/>
      <c r="K6245" s="1307" t="str">
        <f>IF(COUNT(I6245)=0,"",(I6245*J6245))</f>
        <v/>
      </c>
      <c r="L6245" s="1335"/>
      <c r="M6245" s="1302"/>
      <c r="N6245" s="1700"/>
      <c r="O6245" s="1290"/>
      <c r="P6245" s="1332"/>
      <c r="Q6245" s="3391"/>
      <c r="R6245" s="1296"/>
    </row>
    <row r="6246" spans="1:18" s="16" customFormat="1">
      <c r="A6246" s="18" t="s">
        <v>3764</v>
      </c>
      <c r="B6246" s="4325" t="s">
        <v>2147</v>
      </c>
      <c r="C6246" s="3350"/>
      <c r="D6246" s="4327"/>
      <c r="E6246" s="4329" t="s">
        <v>1527</v>
      </c>
      <c r="F6246" s="4336" t="s">
        <v>2148</v>
      </c>
      <c r="G6246" s="4331" t="s">
        <v>1568</v>
      </c>
      <c r="H6246" s="4331" t="s">
        <v>1574</v>
      </c>
      <c r="I6246" s="1572" t="s">
        <v>1559</v>
      </c>
      <c r="J6246" s="1294" t="s">
        <v>1560</v>
      </c>
      <c r="K6246" s="1294" t="s">
        <v>1569</v>
      </c>
      <c r="L6246" s="4333" t="s">
        <v>3765</v>
      </c>
      <c r="M6246" s="4335" t="s">
        <v>1571</v>
      </c>
      <c r="N6246" s="4323" t="s">
        <v>1776</v>
      </c>
      <c r="O6246" s="3347" t="s">
        <v>1563</v>
      </c>
      <c r="P6246" s="1336" t="s">
        <v>1562</v>
      </c>
      <c r="Q6246" s="3389"/>
      <c r="R6246" s="1699" t="s">
        <v>1327</v>
      </c>
    </row>
    <row r="6247" spans="1:18" s="16" customFormat="1">
      <c r="A6247" s="1662" t="s">
        <v>2775</v>
      </c>
      <c r="B6247" s="4326"/>
      <c r="C6247" s="3351"/>
      <c r="D6247" s="4328"/>
      <c r="E6247" s="4330"/>
      <c r="F6247" s="4336"/>
      <c r="G6247" s="4332"/>
      <c r="H6247" s="4332"/>
      <c r="I6247" s="1345">
        <v>454.8</v>
      </c>
      <c r="J6247" s="1307">
        <v>2E-3</v>
      </c>
      <c r="K6247" s="1666">
        <f>I6247*J6247</f>
        <v>0.90960000000000008</v>
      </c>
      <c r="L6247" s="4334"/>
      <c r="M6247" s="4335"/>
      <c r="N6247" s="4324"/>
      <c r="O6247" s="1298">
        <f>SUM(O6250:O6260)</f>
        <v>0.29248000000000002</v>
      </c>
      <c r="P6247" s="1337">
        <f>O6247*K6247</f>
        <v>0.26603980800000004</v>
      </c>
      <c r="Q6247" s="3390"/>
      <c r="R6247" s="1721">
        <f>P6253</f>
        <v>0.26603980800000004</v>
      </c>
    </row>
    <row r="6248" spans="1:18" s="16" customFormat="1">
      <c r="A6248" s="1320"/>
      <c r="B6248" s="1949"/>
      <c r="C6248" s="1327"/>
      <c r="D6248" s="1367"/>
      <c r="E6248" s="2121"/>
      <c r="F6248" s="1389" t="s">
        <v>1</v>
      </c>
      <c r="G6248" s="1389"/>
      <c r="H6248" s="1369"/>
      <c r="I6248" s="2088"/>
      <c r="J6248" s="1369"/>
      <c r="K6248" s="1391"/>
      <c r="L6248" s="1559"/>
      <c r="M6248" s="1369"/>
      <c r="N6248" s="1369"/>
      <c r="O6248" s="1369"/>
      <c r="P6248" s="1392"/>
      <c r="Q6248" s="3395"/>
      <c r="R6248" s="2339"/>
    </row>
    <row r="6249" spans="1:18" s="16" customFormat="1">
      <c r="A6249" s="1320"/>
      <c r="B6249" s="1599"/>
      <c r="C6249" s="1320"/>
      <c r="D6249" s="1367"/>
      <c r="E6249" s="2121"/>
      <c r="F6249" s="1368"/>
      <c r="G6249" s="1368"/>
      <c r="H6249" s="1369"/>
      <c r="I6249" s="1409"/>
      <c r="J6249" s="1390"/>
      <c r="K6249" s="2087"/>
      <c r="L6249" s="1335"/>
      <c r="M6249" s="1369"/>
      <c r="N6249" s="1390"/>
      <c r="O6249" s="1390"/>
      <c r="P6249" s="1392"/>
      <c r="Q6249" s="3395"/>
      <c r="R6249" s="2339"/>
    </row>
    <row r="6250" spans="1:18" s="16" customFormat="1">
      <c r="A6250" s="1042"/>
      <c r="B6250" s="1599"/>
      <c r="C6250" s="1042"/>
      <c r="D6250" s="1672"/>
      <c r="E6250" s="2160"/>
      <c r="F6250" s="1673"/>
      <c r="G6250" s="1673"/>
      <c r="H6250" s="1674"/>
      <c r="I6250" s="1299"/>
      <c r="J6250" s="1300"/>
      <c r="K6250" s="1307" t="str">
        <f t="shared" ref="K6250:K6251" si="821">IF(COUNT(I6250)=0,"",(I6250*J6250))</f>
        <v/>
      </c>
      <c r="L6250" s="1335"/>
      <c r="M6250" s="1302"/>
      <c r="N6250" s="1700"/>
      <c r="O6250" s="1290"/>
      <c r="P6250" s="1332"/>
      <c r="Q6250" s="3391"/>
      <c r="R6250" s="2339"/>
    </row>
    <row r="6251" spans="1:18" s="16" customFormat="1">
      <c r="A6251" s="1042"/>
      <c r="B6251" s="1599"/>
      <c r="C6251" s="1042"/>
      <c r="D6251" s="1367"/>
      <c r="E6251" s="2121"/>
      <c r="F6251" s="1436"/>
      <c r="G6251" s="1436"/>
      <c r="H6251" s="1369"/>
      <c r="I6251" s="1299" t="str">
        <f t="shared" ref="I6251" ca="1" si="822">IF(COUNT(H6251:O6251)=0,"",(SUM(H6251:O6251)/COUNT(H6251:O6251)))</f>
        <v/>
      </c>
      <c r="J6251" s="1300"/>
      <c r="K6251" s="1307" t="str">
        <f t="shared" ca="1" si="821"/>
        <v/>
      </c>
      <c r="L6251" s="1335"/>
      <c r="M6251" s="1302"/>
      <c r="N6251" s="1700"/>
      <c r="O6251" s="1290"/>
      <c r="P6251" s="1332"/>
      <c r="Q6251" s="3391"/>
      <c r="R6251" s="2339"/>
    </row>
    <row r="6252" spans="1:18" s="16" customFormat="1">
      <c r="A6252" s="1042"/>
      <c r="B6252" s="1599"/>
      <c r="C6252" s="1042"/>
      <c r="D6252" s="1359"/>
      <c r="E6252" s="1858"/>
      <c r="F6252" s="1360" t="s">
        <v>2</v>
      </c>
      <c r="G6252" s="1360"/>
      <c r="H6252" s="1362"/>
      <c r="I6252" s="1380"/>
      <c r="J6252" s="1381"/>
      <c r="K6252" s="1381"/>
      <c r="L6252" s="1458"/>
      <c r="M6252" s="1362"/>
      <c r="N6252" s="1362"/>
      <c r="O6252" s="1362"/>
      <c r="P6252" s="1359"/>
      <c r="Q6252" s="3387"/>
      <c r="R6252" s="2339"/>
    </row>
    <row r="6253" spans="1:18" s="16" customFormat="1">
      <c r="A6253" s="1321"/>
      <c r="B6253" s="2053"/>
      <c r="C6253" s="1321"/>
      <c r="D6253" s="1363" t="s">
        <v>1067</v>
      </c>
      <c r="E6253" s="2125" t="s">
        <v>1508</v>
      </c>
      <c r="F6253" s="1385" t="s">
        <v>1512</v>
      </c>
      <c r="G6253" s="2019">
        <v>1.6E-2</v>
      </c>
      <c r="H6253" s="1386"/>
      <c r="I6253" s="1299"/>
      <c r="J6253" s="1300"/>
      <c r="K6253" s="1307">
        <f>G6253*K6247</f>
        <v>1.4553600000000002E-2</v>
      </c>
      <c r="L6253" s="1335">
        <f>K6253*$K$6237</f>
        <v>0</v>
      </c>
      <c r="M6253" s="1302">
        <v>18.28</v>
      </c>
      <c r="N6253" s="1700"/>
      <c r="O6253" s="1290">
        <f>G6253*M6253</f>
        <v>0.29248000000000002</v>
      </c>
      <c r="P6253" s="1332">
        <f>M6253*K6253</f>
        <v>0.26603980800000004</v>
      </c>
      <c r="Q6253" s="3391"/>
      <c r="R6253" s="2339"/>
    </row>
    <row r="6254" spans="1:18" s="16" customFormat="1">
      <c r="A6254" s="1320"/>
      <c r="B6254" s="1599"/>
      <c r="C6254" s="1320"/>
      <c r="D6254" s="1359"/>
      <c r="E6254" s="1858"/>
      <c r="F6254" s="1404"/>
      <c r="G6254" s="1404"/>
      <c r="H6254" s="1359"/>
      <c r="I6254" s="1299"/>
      <c r="J6254" s="1300"/>
      <c r="K6254" s="1307" t="str">
        <f>IF(COUNT(I6254)=0,"",(I6254*J6254))</f>
        <v/>
      </c>
      <c r="L6254" s="1335"/>
      <c r="M6254" s="1302"/>
      <c r="N6254" s="1700"/>
      <c r="O6254" s="1290"/>
      <c r="P6254" s="1332"/>
      <c r="Q6254" s="3391"/>
      <c r="R6254" s="2339"/>
    </row>
    <row r="6255" spans="1:18" s="16" customFormat="1">
      <c r="A6255" s="1320"/>
      <c r="B6255" s="1599"/>
      <c r="C6255" s="1320"/>
      <c r="D6255" s="1359"/>
      <c r="E6255" s="1858"/>
      <c r="F6255" s="1404"/>
      <c r="G6255" s="1404"/>
      <c r="H6255" s="1359"/>
      <c r="I6255" s="1299"/>
      <c r="J6255" s="1300"/>
      <c r="K6255" s="1307"/>
      <c r="L6255" s="1335"/>
      <c r="M6255" s="1302"/>
      <c r="N6255" s="1700"/>
      <c r="O6255" s="1290"/>
      <c r="P6255" s="1332"/>
      <c r="Q6255" s="3391"/>
      <c r="R6255" s="2339"/>
    </row>
    <row r="6256" spans="1:18" s="16" customFormat="1">
      <c r="A6256" s="1320"/>
      <c r="B6256" s="1599"/>
      <c r="C6256" s="1320"/>
      <c r="D6256" s="1359"/>
      <c r="E6256" s="1858"/>
      <c r="F6256" s="1361"/>
      <c r="G6256" s="1361"/>
      <c r="H6256" s="1466"/>
      <c r="I6256" s="1299"/>
      <c r="J6256" s="1300"/>
      <c r="K6256" s="1307" t="str">
        <f>IF(COUNT(I6256)=0,"",(I6256*J6256))</f>
        <v/>
      </c>
      <c r="L6256" s="1335"/>
      <c r="M6256" s="1302"/>
      <c r="N6256" s="1700"/>
      <c r="O6256" s="1290"/>
      <c r="P6256" s="1332"/>
      <c r="Q6256" s="3391"/>
      <c r="R6256" s="2339"/>
    </row>
    <row r="6257" spans="1:20" s="16" customFormat="1">
      <c r="A6257" s="1320"/>
      <c r="B6257" s="1599"/>
      <c r="C6257" s="1320"/>
      <c r="D6257" s="1373"/>
      <c r="E6257" s="2123"/>
      <c r="F6257" s="1374" t="s">
        <v>3</v>
      </c>
      <c r="G6257" s="1375"/>
      <c r="H6257" s="1376"/>
      <c r="I6257" s="1382"/>
      <c r="J6257" s="1383"/>
      <c r="K6257" s="1383" t="str">
        <f>IF(COUNT(I6257)=0,"",(I6257*J6257))</f>
        <v/>
      </c>
      <c r="L6257" s="1413"/>
      <c r="M6257" s="1376"/>
      <c r="N6257" s="1376"/>
      <c r="O6257" s="1376"/>
      <c r="P6257" s="1373"/>
      <c r="Q6257" s="3387"/>
      <c r="R6257" s="2339"/>
    </row>
    <row r="6258" spans="1:20" s="16" customFormat="1">
      <c r="A6258" s="1321"/>
      <c r="B6258" s="2053"/>
      <c r="C6258" s="1321"/>
      <c r="D6258" s="1377"/>
      <c r="E6258" s="2124"/>
      <c r="F6258" s="1378"/>
      <c r="G6258" s="1378"/>
      <c r="H6258" s="1379"/>
      <c r="I6258" s="1299"/>
      <c r="J6258" s="1300"/>
      <c r="K6258" s="1307"/>
      <c r="L6258" s="1335"/>
      <c r="M6258" s="1302"/>
      <c r="N6258" s="1700"/>
      <c r="O6258" s="1290"/>
      <c r="P6258" s="1332"/>
      <c r="Q6258" s="3391"/>
      <c r="R6258" s="2339"/>
    </row>
    <row r="6259" spans="1:20" s="16" customFormat="1">
      <c r="A6259" s="1321"/>
      <c r="B6259" s="2053"/>
      <c r="C6259" s="1321"/>
      <c r="D6259" s="1377"/>
      <c r="E6259" s="2124"/>
      <c r="F6259" s="1378"/>
      <c r="G6259" s="1378"/>
      <c r="H6259" s="1379"/>
      <c r="I6259" s="1299"/>
      <c r="J6259" s="1300"/>
      <c r="K6259" s="1307"/>
      <c r="L6259" s="1335"/>
      <c r="M6259" s="1302"/>
      <c r="N6259" s="1700"/>
      <c r="O6259" s="1290"/>
      <c r="P6259" s="1333"/>
      <c r="Q6259" s="3391"/>
      <c r="R6259" s="2339"/>
    </row>
    <row r="6260" spans="1:20" s="16" customFormat="1">
      <c r="A6260" s="1042"/>
      <c r="B6260" s="1765"/>
      <c r="C6260" s="223"/>
      <c r="D6260" s="1373"/>
      <c r="E6260" s="2161"/>
      <c r="F6260" s="1678"/>
      <c r="G6260" s="1678"/>
      <c r="H6260" s="1376"/>
      <c r="I6260" s="1299"/>
      <c r="J6260" s="1300"/>
      <c r="K6260" s="1307"/>
      <c r="L6260" s="1335"/>
      <c r="M6260" s="1302"/>
      <c r="N6260" s="1700"/>
      <c r="O6260" s="1290"/>
      <c r="P6260" s="1332"/>
      <c r="Q6260" s="3391"/>
      <c r="R6260" s="2339"/>
    </row>
    <row r="6261" spans="1:20" s="16" customFormat="1">
      <c r="A6261" s="18" t="s">
        <v>3764</v>
      </c>
      <c r="B6261" s="4325" t="s">
        <v>2848</v>
      </c>
      <c r="C6261" s="3350"/>
      <c r="D6261" s="4327"/>
      <c r="E6261" s="4329" t="s">
        <v>1504</v>
      </c>
      <c r="F6261" s="4336" t="s">
        <v>2849</v>
      </c>
      <c r="G6261" s="4331" t="s">
        <v>1568</v>
      </c>
      <c r="H6261" s="4331" t="s">
        <v>1574</v>
      </c>
      <c r="I6261" s="1572" t="s">
        <v>1559</v>
      </c>
      <c r="J6261" s="1294" t="s">
        <v>1560</v>
      </c>
      <c r="K6261" s="1294" t="s">
        <v>1569</v>
      </c>
      <c r="L6261" s="4333" t="s">
        <v>3765</v>
      </c>
      <c r="M6261" s="4335" t="s">
        <v>1571</v>
      </c>
      <c r="N6261" s="4323" t="s">
        <v>1776</v>
      </c>
      <c r="O6261" s="3347" t="s">
        <v>1563</v>
      </c>
      <c r="P6261" s="1336" t="s">
        <v>1562</v>
      </c>
      <c r="Q6261" s="3389"/>
      <c r="R6261" s="1699" t="s">
        <v>1327</v>
      </c>
    </row>
    <row r="6262" spans="1:20" s="16" customFormat="1">
      <c r="A6262" s="1662" t="s">
        <v>2775</v>
      </c>
      <c r="B6262" s="4326"/>
      <c r="C6262" s="3351"/>
      <c r="D6262" s="4328"/>
      <c r="E6262" s="4330"/>
      <c r="F6262" s="4336"/>
      <c r="G6262" s="4332"/>
      <c r="H6262" s="4332"/>
      <c r="I6262" s="1345">
        <v>4.4000000000000004</v>
      </c>
      <c r="J6262" s="1307">
        <v>2E-3</v>
      </c>
      <c r="K6262" s="1297">
        <f>I6262*J6262</f>
        <v>8.8000000000000005E-3</v>
      </c>
      <c r="L6262" s="4334"/>
      <c r="M6262" s="4335"/>
      <c r="N6262" s="4324"/>
      <c r="O6262" s="1298">
        <f>SUM(O6265:O6275)</f>
        <v>6.6355000000000004</v>
      </c>
      <c r="P6262" s="1337">
        <f>O6262*K6262</f>
        <v>5.8392400000000004E-2</v>
      </c>
      <c r="Q6262" s="3390"/>
      <c r="R6262" s="1721">
        <f>SUM(P6264:P6275)</f>
        <v>5.8392400000000011E-2</v>
      </c>
    </row>
    <row r="6263" spans="1:20" s="16" customFormat="1">
      <c r="A6263" s="1320"/>
      <c r="B6263" s="1949"/>
      <c r="C6263" s="1327"/>
      <c r="D6263" s="1367"/>
      <c r="E6263" s="2121"/>
      <c r="F6263" s="1389" t="s">
        <v>1</v>
      </c>
      <c r="G6263" s="1389"/>
      <c r="H6263" s="1369"/>
      <c r="I6263" s="2088"/>
      <c r="J6263" s="1369"/>
      <c r="K6263" s="1391"/>
      <c r="L6263" s="2089"/>
      <c r="M6263" s="1369"/>
      <c r="N6263" s="1369"/>
      <c r="O6263" s="1369"/>
      <c r="P6263" s="1392"/>
      <c r="Q6263" s="3395"/>
      <c r="R6263" s="2339"/>
    </row>
    <row r="6264" spans="1:20" s="16" customFormat="1">
      <c r="A6264" s="1320"/>
      <c r="B6264" s="1599"/>
      <c r="C6264" s="1320"/>
      <c r="D6264" s="1367"/>
      <c r="E6264" s="2121"/>
      <c r="F6264" s="1368"/>
      <c r="G6264" s="1368"/>
      <c r="H6264" s="1369"/>
      <c r="I6264" s="1299"/>
      <c r="J6264" s="1300"/>
      <c r="K6264" s="1307"/>
      <c r="L6264" s="1335"/>
      <c r="M6264" s="1369"/>
      <c r="N6264" s="1390"/>
      <c r="O6264" s="1390"/>
      <c r="P6264" s="1392"/>
      <c r="Q6264" s="3395"/>
      <c r="R6264" s="2339"/>
    </row>
    <row r="6265" spans="1:20" s="16" customFormat="1">
      <c r="A6265" s="1042"/>
      <c r="B6265" s="1599"/>
      <c r="C6265" s="1042"/>
      <c r="D6265" s="1672"/>
      <c r="E6265" s="2160"/>
      <c r="F6265" s="1673"/>
      <c r="G6265" s="1673"/>
      <c r="H6265" s="1674"/>
      <c r="I6265" s="1299"/>
      <c r="J6265" s="1300"/>
      <c r="K6265" s="1307" t="str">
        <f t="shared" ref="K6265:K6266" si="823">IF(COUNT(I6265)=0,"",(I6265*J6265))</f>
        <v/>
      </c>
      <c r="L6265" s="1335"/>
      <c r="M6265" s="1302"/>
      <c r="N6265" s="1700"/>
      <c r="O6265" s="1290"/>
      <c r="P6265" s="1332"/>
      <c r="Q6265" s="3391"/>
      <c r="R6265" s="2339"/>
    </row>
    <row r="6266" spans="1:20" s="16" customFormat="1">
      <c r="A6266" s="1042"/>
      <c r="B6266" s="1599"/>
      <c r="C6266" s="1042"/>
      <c r="D6266" s="1367"/>
      <c r="E6266" s="2121"/>
      <c r="F6266" s="1436"/>
      <c r="G6266" s="1436"/>
      <c r="H6266" s="1369"/>
      <c r="I6266" s="1299" t="str">
        <f t="shared" ref="I6266" ca="1" si="824">IF(COUNT(H6266:O6266)=0,"",(SUM(H6266:O6266)/COUNT(H6266:O6266)))</f>
        <v/>
      </c>
      <c r="J6266" s="1300"/>
      <c r="K6266" s="1307" t="str">
        <f t="shared" ca="1" si="823"/>
        <v/>
      </c>
      <c r="L6266" s="1335"/>
      <c r="M6266" s="1302"/>
      <c r="N6266" s="1700"/>
      <c r="O6266" s="1290"/>
      <c r="P6266" s="1332"/>
      <c r="Q6266" s="3391"/>
      <c r="R6266" s="2339"/>
    </row>
    <row r="6267" spans="1:20" s="16" customFormat="1">
      <c r="A6267" s="1042"/>
      <c r="B6267" s="1599"/>
      <c r="C6267" s="1042"/>
      <c r="D6267" s="1359"/>
      <c r="E6267" s="1858"/>
      <c r="F6267" s="1360" t="s">
        <v>2</v>
      </c>
      <c r="G6267" s="1360"/>
      <c r="H6267" s="1362"/>
      <c r="I6267" s="1380"/>
      <c r="J6267" s="1381"/>
      <c r="K6267" s="1381"/>
      <c r="L6267" s="1458"/>
      <c r="M6267" s="1362"/>
      <c r="N6267" s="1362"/>
      <c r="O6267" s="1362"/>
      <c r="P6267" s="1359"/>
      <c r="Q6267" s="3387"/>
      <c r="R6267" s="2339"/>
    </row>
    <row r="6268" spans="1:20" s="16" customFormat="1">
      <c r="A6268" s="1321"/>
      <c r="B6268" s="2053"/>
      <c r="C6268" s="1321"/>
      <c r="D6268" s="1363" t="s">
        <v>1067</v>
      </c>
      <c r="E6268" s="2125" t="s">
        <v>1508</v>
      </c>
      <c r="F6268" s="1385" t="s">
        <v>1512</v>
      </c>
      <c r="G6268" s="2019">
        <v>0.1</v>
      </c>
      <c r="H6268" s="1386"/>
      <c r="I6268" s="1299"/>
      <c r="J6268" s="1300"/>
      <c r="K6268" s="1307">
        <f>G6268*K6262</f>
        <v>8.8000000000000014E-4</v>
      </c>
      <c r="L6268" s="1335">
        <f t="shared" ref="L6268:L6269" si="825">K6268*$K$6237</f>
        <v>0</v>
      </c>
      <c r="M6268" s="1302">
        <v>18.28</v>
      </c>
      <c r="N6268" s="1700"/>
      <c r="O6268" s="1290">
        <f>G6268*M6268</f>
        <v>1.8280000000000003</v>
      </c>
      <c r="P6268" s="1332">
        <f>M6268*K6268</f>
        <v>1.6086400000000004E-2</v>
      </c>
      <c r="Q6268" s="3391"/>
      <c r="R6268" s="2339"/>
    </row>
    <row r="6269" spans="1:20" s="16" customFormat="1">
      <c r="A6269" s="1599"/>
      <c r="B6269" s="1320"/>
      <c r="D6269" s="1359" t="s">
        <v>1593</v>
      </c>
      <c r="E6269" s="1858" t="s">
        <v>1508</v>
      </c>
      <c r="F6269" s="1404" t="s">
        <v>2146</v>
      </c>
      <c r="G6269" s="1404">
        <v>0.25</v>
      </c>
      <c r="H6269" s="1359"/>
      <c r="I6269" s="1289"/>
      <c r="J6269" s="8"/>
      <c r="K6269" s="1307">
        <f>G6269*K6262</f>
        <v>2.2000000000000001E-3</v>
      </c>
      <c r="L6269" s="1335">
        <f t="shared" si="825"/>
        <v>0</v>
      </c>
      <c r="M6269" s="1302">
        <v>19.23</v>
      </c>
      <c r="N6269" s="1700"/>
      <c r="O6269" s="1290">
        <f>G6269*M6269</f>
        <v>4.8075000000000001</v>
      </c>
      <c r="P6269" s="1332">
        <f>M6269*K6269</f>
        <v>4.2306000000000003E-2</v>
      </c>
      <c r="Q6269" s="3391"/>
      <c r="R6269" s="2339"/>
      <c r="T6269" s="1640"/>
    </row>
    <row r="6270" spans="1:20" s="16" customFormat="1">
      <c r="A6270" s="1320"/>
      <c r="B6270" s="1599"/>
      <c r="C6270" s="1320"/>
      <c r="D6270" s="1359"/>
      <c r="E6270" s="1858"/>
      <c r="F6270" s="1404"/>
      <c r="G6270" s="1404"/>
      <c r="H6270" s="1359"/>
      <c r="I6270" s="1299"/>
      <c r="J6270" s="1300"/>
      <c r="K6270" s="1307"/>
      <c r="L6270" s="1335"/>
      <c r="M6270" s="1302"/>
      <c r="N6270" s="1700"/>
      <c r="O6270" s="1290"/>
      <c r="P6270" s="1332"/>
      <c r="Q6270" s="3391"/>
      <c r="R6270" s="2339"/>
    </row>
    <row r="6271" spans="1:20" s="16" customFormat="1">
      <c r="A6271" s="1320"/>
      <c r="B6271" s="1599"/>
      <c r="C6271" s="1320"/>
      <c r="D6271" s="1359"/>
      <c r="E6271" s="1858"/>
      <c r="F6271" s="1361"/>
      <c r="G6271" s="1361"/>
      <c r="H6271" s="1466"/>
      <c r="I6271" s="1299"/>
      <c r="J6271" s="1300"/>
      <c r="K6271" s="1307" t="str">
        <f>IF(COUNT(I6271)=0,"",(I6271*J6271))</f>
        <v/>
      </c>
      <c r="L6271" s="1335"/>
      <c r="M6271" s="1302"/>
      <c r="N6271" s="1700"/>
      <c r="O6271" s="1290"/>
      <c r="P6271" s="1332"/>
      <c r="Q6271" s="3391"/>
      <c r="R6271" s="2339"/>
    </row>
    <row r="6272" spans="1:20" s="16" customFormat="1">
      <c r="A6272" s="1320"/>
      <c r="B6272" s="1599"/>
      <c r="C6272" s="1320"/>
      <c r="D6272" s="1373"/>
      <c r="E6272" s="2123"/>
      <c r="F6272" s="1374" t="s">
        <v>3</v>
      </c>
      <c r="G6272" s="1375"/>
      <c r="H6272" s="1376"/>
      <c r="I6272" s="1382"/>
      <c r="J6272" s="1383"/>
      <c r="K6272" s="1383" t="str">
        <f>IF(COUNT(I6272)=0,"",(I6272*J6272))</f>
        <v/>
      </c>
      <c r="L6272" s="1413"/>
      <c r="M6272" s="1376"/>
      <c r="N6272" s="1376"/>
      <c r="O6272" s="1376"/>
      <c r="P6272" s="1373"/>
      <c r="Q6272" s="3387"/>
      <c r="R6272" s="2339"/>
    </row>
    <row r="6273" spans="1:18" s="16" customFormat="1">
      <c r="A6273" s="1321"/>
      <c r="B6273" s="2053"/>
      <c r="C6273" s="1321"/>
      <c r="D6273" s="1377"/>
      <c r="E6273" s="2124"/>
      <c r="F6273" s="1378"/>
      <c r="G6273" s="1378"/>
      <c r="H6273" s="1379"/>
      <c r="I6273" s="1299"/>
      <c r="J6273" s="1300"/>
      <c r="K6273" s="1307"/>
      <c r="L6273" s="1335"/>
      <c r="M6273" s="1302"/>
      <c r="N6273" s="1700"/>
      <c r="O6273" s="1290"/>
      <c r="P6273" s="1332"/>
      <c r="Q6273" s="3391"/>
      <c r="R6273" s="2339"/>
    </row>
    <row r="6274" spans="1:18" s="16" customFormat="1">
      <c r="A6274" s="1321"/>
      <c r="B6274" s="2053"/>
      <c r="C6274" s="1321"/>
      <c r="D6274" s="1377"/>
      <c r="E6274" s="2124"/>
      <c r="F6274" s="1378"/>
      <c r="G6274" s="1378"/>
      <c r="H6274" s="1379"/>
      <c r="I6274" s="1299"/>
      <c r="J6274" s="1300"/>
      <c r="K6274" s="1307"/>
      <c r="L6274" s="1335"/>
      <c r="M6274" s="1302"/>
      <c r="N6274" s="1700"/>
      <c r="O6274" s="1290"/>
      <c r="P6274" s="1333"/>
      <c r="Q6274" s="3391"/>
      <c r="R6274" s="2339"/>
    </row>
    <row r="6275" spans="1:18" s="16" customFormat="1">
      <c r="A6275" s="1042"/>
      <c r="B6275" s="1765"/>
      <c r="C6275" s="223"/>
      <c r="D6275" s="1373"/>
      <c r="E6275" s="2161"/>
      <c r="F6275" s="1678"/>
      <c r="G6275" s="1678"/>
      <c r="H6275" s="1376"/>
      <c r="I6275" s="1299"/>
      <c r="J6275" s="1300"/>
      <c r="K6275" s="1307"/>
      <c r="L6275" s="1335"/>
      <c r="M6275" s="1302"/>
      <c r="N6275" s="1700"/>
      <c r="O6275" s="1290"/>
      <c r="P6275" s="1332"/>
      <c r="Q6275" s="3391"/>
      <c r="R6275" s="2339"/>
    </row>
    <row r="6276" spans="1:18" s="16" customFormat="1" ht="15" customHeight="1">
      <c r="A6276" s="18" t="s">
        <v>3764</v>
      </c>
      <c r="B6276" s="4325" t="s">
        <v>2149</v>
      </c>
      <c r="C6276" s="3350"/>
      <c r="D6276" s="4327"/>
      <c r="E6276" s="4329" t="s">
        <v>1504</v>
      </c>
      <c r="F6276" s="4336" t="s">
        <v>2150</v>
      </c>
      <c r="G6276" s="4331" t="s">
        <v>1568</v>
      </c>
      <c r="H6276" s="4331" t="s">
        <v>1574</v>
      </c>
      <c r="I6276" s="1572" t="s">
        <v>1559</v>
      </c>
      <c r="J6276" s="1294" t="s">
        <v>1560</v>
      </c>
      <c r="K6276" s="1294" t="s">
        <v>1569</v>
      </c>
      <c r="L6276" s="4333" t="s">
        <v>3765</v>
      </c>
      <c r="M6276" s="4335" t="s">
        <v>1571</v>
      </c>
      <c r="N6276" s="4323" t="s">
        <v>1776</v>
      </c>
      <c r="O6276" s="3347" t="s">
        <v>1563</v>
      </c>
      <c r="P6276" s="1336" t="s">
        <v>1562</v>
      </c>
      <c r="Q6276" s="3389"/>
      <c r="R6276" s="1699" t="s">
        <v>1327</v>
      </c>
    </row>
    <row r="6277" spans="1:18" s="16" customFormat="1">
      <c r="A6277" s="1662" t="s">
        <v>2775</v>
      </c>
      <c r="B6277" s="4326"/>
      <c r="C6277" s="3351"/>
      <c r="D6277" s="4328"/>
      <c r="E6277" s="4330"/>
      <c r="F6277" s="4336"/>
      <c r="G6277" s="4332"/>
      <c r="H6277" s="4332"/>
      <c r="I6277" s="3405">
        <v>8</v>
      </c>
      <c r="J6277" s="1307">
        <v>2E-3</v>
      </c>
      <c r="K6277" s="1297">
        <f>I6277*J6277</f>
        <v>1.6E-2</v>
      </c>
      <c r="L6277" s="4334"/>
      <c r="M6277" s="4335"/>
      <c r="N6277" s="4324"/>
      <c r="O6277" s="1298">
        <f>SUM(O6279:O6289)</f>
        <v>109.76900000000001</v>
      </c>
      <c r="P6277" s="1337">
        <f>O6277*K6277</f>
        <v>1.7563040000000001</v>
      </c>
      <c r="Q6277" s="3431" t="s">
        <v>3377</v>
      </c>
      <c r="R6277" s="1721">
        <f>SUM(P6279:P6289)</f>
        <v>1.7563040000000001</v>
      </c>
    </row>
    <row r="6278" spans="1:18" s="16" customFormat="1">
      <c r="A6278" s="1320"/>
      <c r="B6278" s="1949"/>
      <c r="C6278" s="1327"/>
      <c r="D6278" s="1367"/>
      <c r="E6278" s="2121"/>
      <c r="F6278" s="1389" t="s">
        <v>1</v>
      </c>
      <c r="G6278" s="1389"/>
      <c r="H6278" s="1369"/>
      <c r="I6278" s="2088"/>
      <c r="J6278" s="1369"/>
      <c r="K6278" s="1391"/>
      <c r="L6278" s="2089"/>
      <c r="M6278" s="1369"/>
      <c r="N6278" s="1369"/>
      <c r="O6278" s="1369"/>
      <c r="P6278" s="1392"/>
      <c r="Q6278" s="3395"/>
      <c r="R6278" s="2339"/>
    </row>
    <row r="6279" spans="1:18" s="16" customFormat="1">
      <c r="A6279" s="1320"/>
      <c r="B6279" s="1599"/>
      <c r="C6279" s="1320"/>
      <c r="D6279" s="1598" t="s">
        <v>2151</v>
      </c>
      <c r="E6279" s="2154" t="s">
        <v>1504</v>
      </c>
      <c r="F6279" s="1598" t="s">
        <v>2152</v>
      </c>
      <c r="G6279" s="1612">
        <v>1</v>
      </c>
      <c r="H6279" s="1369"/>
      <c r="I6279" s="1299"/>
      <c r="J6279" s="1300"/>
      <c r="K6279" s="1307">
        <f>G6279*K6277</f>
        <v>1.6E-2</v>
      </c>
      <c r="L6279" s="1335">
        <f>K6279*$K$6237</f>
        <v>0</v>
      </c>
      <c r="M6279" s="1302">
        <v>104</v>
      </c>
      <c r="N6279" s="1700"/>
      <c r="O6279" s="1290">
        <f>G6279*M6279</f>
        <v>104</v>
      </c>
      <c r="P6279" s="1332">
        <f>M6279*K6279</f>
        <v>1.6640000000000001</v>
      </c>
      <c r="Q6279" s="3391"/>
      <c r="R6279" s="2339"/>
    </row>
    <row r="6280" spans="1:18" s="16" customFormat="1">
      <c r="A6280" s="1042"/>
      <c r="B6280" s="1599"/>
      <c r="C6280" s="1042"/>
      <c r="D6280" s="1672"/>
      <c r="E6280" s="2160"/>
      <c r="F6280" s="1673"/>
      <c r="G6280" s="1673"/>
      <c r="H6280" s="1674"/>
      <c r="I6280" s="1299"/>
      <c r="J6280" s="1300"/>
      <c r="K6280" s="1307" t="str">
        <f t="shared" ref="K6280:K6281" si="826">IF(COUNT(I6280)=0,"",(I6280*J6280))</f>
        <v/>
      </c>
      <c r="L6280" s="1335"/>
      <c r="M6280" s="1302"/>
      <c r="N6280" s="1700"/>
      <c r="O6280" s="1290"/>
      <c r="P6280" s="1332"/>
      <c r="Q6280" s="3391"/>
      <c r="R6280" s="2339"/>
    </row>
    <row r="6281" spans="1:18" s="16" customFormat="1">
      <c r="A6281" s="1042"/>
      <c r="B6281" s="1599"/>
      <c r="C6281" s="1042"/>
      <c r="D6281" s="1367"/>
      <c r="E6281" s="2121"/>
      <c r="F6281" s="1436"/>
      <c r="G6281" s="1436"/>
      <c r="H6281" s="1369"/>
      <c r="I6281" s="1299" t="str">
        <f t="shared" ref="I6281" ca="1" si="827">IF(COUNT(H6281:O6281)=0,"",(SUM(H6281:O6281)/COUNT(H6281:O6281)))</f>
        <v/>
      </c>
      <c r="J6281" s="1300"/>
      <c r="K6281" s="1307" t="str">
        <f t="shared" ca="1" si="826"/>
        <v/>
      </c>
      <c r="L6281" s="1335"/>
      <c r="M6281" s="1302"/>
      <c r="N6281" s="1700"/>
      <c r="O6281" s="1290"/>
      <c r="P6281" s="1332"/>
      <c r="Q6281" s="3391"/>
      <c r="R6281" s="2339"/>
    </row>
    <row r="6282" spans="1:18" s="16" customFormat="1">
      <c r="A6282" s="1042"/>
      <c r="B6282" s="1599"/>
      <c r="C6282" s="1042"/>
      <c r="D6282" s="1359"/>
      <c r="E6282" s="1858"/>
      <c r="F6282" s="1360" t="s">
        <v>2</v>
      </c>
      <c r="G6282" s="1360"/>
      <c r="H6282" s="1362"/>
      <c r="I6282" s="1380"/>
      <c r="J6282" s="1381"/>
      <c r="K6282" s="1381"/>
      <c r="L6282" s="1458"/>
      <c r="M6282" s="1362"/>
      <c r="N6282" s="1362"/>
      <c r="O6282" s="1362"/>
      <c r="P6282" s="1359"/>
      <c r="Q6282" s="3387"/>
      <c r="R6282" s="2339"/>
    </row>
    <row r="6283" spans="1:18" s="16" customFormat="1">
      <c r="A6283" s="1599"/>
      <c r="B6283" s="1320"/>
      <c r="D6283" s="1359" t="s">
        <v>1593</v>
      </c>
      <c r="E6283" s="1858" t="s">
        <v>1508</v>
      </c>
      <c r="F6283" s="1404" t="s">
        <v>2146</v>
      </c>
      <c r="G6283" s="1404">
        <v>0.3</v>
      </c>
      <c r="H6283" s="1359"/>
      <c r="I6283" s="1289"/>
      <c r="J6283" s="8"/>
      <c r="K6283" s="1307">
        <f>G6283*K6277</f>
        <v>4.7999999999999996E-3</v>
      </c>
      <c r="L6283" s="1335">
        <f>K6283*$K$6237</f>
        <v>0</v>
      </c>
      <c r="M6283" s="1302">
        <v>19.23</v>
      </c>
      <c r="N6283" s="1700"/>
      <c r="O6283" s="1290">
        <f>G6283*M6283</f>
        <v>5.7690000000000001</v>
      </c>
      <c r="P6283" s="1332">
        <f>M6283*K6283</f>
        <v>9.2303999999999997E-2</v>
      </c>
      <c r="Q6283" s="3391"/>
      <c r="R6283" s="2339"/>
    </row>
    <row r="6284" spans="1:18" s="16" customFormat="1">
      <c r="A6284" s="1320"/>
      <c r="B6284" s="1599"/>
      <c r="C6284" s="1320"/>
      <c r="D6284" s="1359"/>
      <c r="E6284" s="1858"/>
      <c r="F6284" s="1404"/>
      <c r="G6284" s="1404"/>
      <c r="H6284" s="1359"/>
      <c r="I6284" s="1299"/>
      <c r="J6284" s="1300"/>
      <c r="K6284" s="1307"/>
      <c r="L6284" s="1335"/>
      <c r="M6284" s="1302"/>
      <c r="N6284" s="1700"/>
      <c r="O6284" s="1290"/>
      <c r="P6284" s="1332"/>
      <c r="Q6284" s="3391"/>
      <c r="R6284" s="2339"/>
    </row>
    <row r="6285" spans="1:18" s="16" customFormat="1">
      <c r="A6285" s="1320"/>
      <c r="B6285" s="1599"/>
      <c r="C6285" s="1320"/>
      <c r="D6285" s="1359"/>
      <c r="E6285" s="1858"/>
      <c r="F6285" s="1361"/>
      <c r="G6285" s="1361"/>
      <c r="H6285" s="1466"/>
      <c r="I6285" s="1299"/>
      <c r="J6285" s="1300"/>
      <c r="K6285" s="1307" t="str">
        <f>IF(COUNT(I6285)=0,"",(I6285*J6285))</f>
        <v/>
      </c>
      <c r="L6285" s="1335"/>
      <c r="M6285" s="1302"/>
      <c r="N6285" s="1700"/>
      <c r="O6285" s="1290"/>
      <c r="P6285" s="1332"/>
      <c r="Q6285" s="3391"/>
      <c r="R6285" s="2339"/>
    </row>
    <row r="6286" spans="1:18" s="16" customFormat="1">
      <c r="A6286" s="1320"/>
      <c r="B6286" s="1599"/>
      <c r="C6286" s="1320"/>
      <c r="D6286" s="1373"/>
      <c r="E6286" s="2123"/>
      <c r="F6286" s="1374" t="s">
        <v>3</v>
      </c>
      <c r="G6286" s="1375"/>
      <c r="H6286" s="1376"/>
      <c r="I6286" s="1382"/>
      <c r="J6286" s="1383"/>
      <c r="K6286" s="1383" t="str">
        <f>IF(COUNT(I6286)=0,"",(I6286*J6286))</f>
        <v/>
      </c>
      <c r="L6286" s="1413"/>
      <c r="M6286" s="1376"/>
      <c r="N6286" s="1376"/>
      <c r="O6286" s="1376"/>
      <c r="P6286" s="1373"/>
      <c r="Q6286" s="3387"/>
      <c r="R6286" s="2339"/>
    </row>
    <row r="6287" spans="1:18" s="16" customFormat="1">
      <c r="A6287" s="1321"/>
      <c r="B6287" s="2053"/>
      <c r="C6287" s="1321"/>
      <c r="D6287" s="1377"/>
      <c r="E6287" s="2124"/>
      <c r="F6287" s="1378"/>
      <c r="G6287" s="1378"/>
      <c r="H6287" s="1379"/>
      <c r="I6287" s="1299"/>
      <c r="J6287" s="1300"/>
      <c r="K6287" s="1307"/>
      <c r="L6287" s="1335"/>
      <c r="M6287" s="1302"/>
      <c r="N6287" s="1700"/>
      <c r="O6287" s="1290"/>
      <c r="P6287" s="1332"/>
      <c r="Q6287" s="3391"/>
      <c r="R6287" s="2339"/>
    </row>
    <row r="6288" spans="1:18" s="16" customFormat="1">
      <c r="A6288" s="1321"/>
      <c r="B6288" s="2053"/>
      <c r="C6288" s="1321"/>
      <c r="D6288" s="1377"/>
      <c r="E6288" s="2124"/>
      <c r="F6288" s="1378"/>
      <c r="G6288" s="1378"/>
      <c r="H6288" s="1379"/>
      <c r="I6288" s="1299"/>
      <c r="J6288" s="1300"/>
      <c r="K6288" s="1307"/>
      <c r="L6288" s="1335"/>
      <c r="M6288" s="1302"/>
      <c r="N6288" s="1700"/>
      <c r="O6288" s="1290"/>
      <c r="P6288" s="1333"/>
      <c r="Q6288" s="3391"/>
      <c r="R6288" s="2339"/>
    </row>
    <row r="6289" spans="1:18" s="16" customFormat="1">
      <c r="A6289" s="1042"/>
      <c r="B6289" s="1765"/>
      <c r="C6289" s="223"/>
      <c r="D6289" s="1373"/>
      <c r="E6289" s="2161"/>
      <c r="F6289" s="1678"/>
      <c r="G6289" s="1678"/>
      <c r="H6289" s="1376"/>
      <c r="I6289" s="1299"/>
      <c r="J6289" s="1300"/>
      <c r="K6289" s="1307"/>
      <c r="L6289" s="1335"/>
      <c r="M6289" s="1302"/>
      <c r="N6289" s="1700"/>
      <c r="O6289" s="1290"/>
      <c r="P6289" s="1332"/>
      <c r="Q6289" s="3391"/>
      <c r="R6289" s="2339"/>
    </row>
    <row r="6290" spans="1:18" s="16" customFormat="1">
      <c r="A6290" s="18" t="s">
        <v>3764</v>
      </c>
      <c r="B6290" s="4325" t="s">
        <v>2153</v>
      </c>
      <c r="C6290" s="3350"/>
      <c r="D6290" s="4327"/>
      <c r="E6290" s="4329" t="s">
        <v>1504</v>
      </c>
      <c r="F6290" s="4336" t="s">
        <v>2154</v>
      </c>
      <c r="G6290" s="4331" t="s">
        <v>1568</v>
      </c>
      <c r="H6290" s="4331" t="s">
        <v>1574</v>
      </c>
      <c r="I6290" s="1572" t="s">
        <v>1559</v>
      </c>
      <c r="J6290" s="1294" t="s">
        <v>1560</v>
      </c>
      <c r="K6290" s="1294" t="s">
        <v>1569</v>
      </c>
      <c r="L6290" s="4333" t="s">
        <v>3765</v>
      </c>
      <c r="M6290" s="4335" t="s">
        <v>1571</v>
      </c>
      <c r="N6290" s="4323" t="s">
        <v>1776</v>
      </c>
      <c r="O6290" s="3347" t="s">
        <v>1563</v>
      </c>
      <c r="P6290" s="1336" t="s">
        <v>1562</v>
      </c>
      <c r="Q6290" s="3389"/>
      <c r="R6290" s="1699" t="s">
        <v>1327</v>
      </c>
    </row>
    <row r="6291" spans="1:18" s="16" customFormat="1">
      <c r="A6291" s="1662" t="s">
        <v>2775</v>
      </c>
      <c r="B6291" s="4326"/>
      <c r="C6291" s="3351"/>
      <c r="D6291" s="4328"/>
      <c r="E6291" s="4330"/>
      <c r="F6291" s="4336"/>
      <c r="G6291" s="4332"/>
      <c r="H6291" s="4332"/>
      <c r="I6291" s="1345">
        <v>8</v>
      </c>
      <c r="J6291" s="1307">
        <v>2E-3</v>
      </c>
      <c r="K6291" s="1297">
        <f>I6291*J6291</f>
        <v>1.6E-2</v>
      </c>
      <c r="L6291" s="4334"/>
      <c r="M6291" s="4335"/>
      <c r="N6291" s="4324"/>
      <c r="O6291" s="1298">
        <f>SUM(O6293:O6303)</f>
        <v>48.807499999999997</v>
      </c>
      <c r="P6291" s="1337">
        <f>O6291*K6291</f>
        <v>0.78091999999999995</v>
      </c>
      <c r="Q6291" s="3390"/>
      <c r="R6291" s="1721">
        <f>SUM(P6293:P6303)</f>
        <v>0.78091999999999995</v>
      </c>
    </row>
    <row r="6292" spans="1:18" s="16" customFormat="1">
      <c r="A6292" s="1320"/>
      <c r="B6292" s="1949"/>
      <c r="C6292" s="1327"/>
      <c r="D6292" s="1367"/>
      <c r="E6292" s="2121"/>
      <c r="F6292" s="1389" t="s">
        <v>1</v>
      </c>
      <c r="G6292" s="1389"/>
      <c r="H6292" s="1369"/>
      <c r="I6292" s="2088"/>
      <c r="J6292" s="1369"/>
      <c r="K6292" s="1391"/>
      <c r="L6292" s="2089"/>
      <c r="M6292" s="1369"/>
      <c r="N6292" s="1369"/>
      <c r="O6292" s="1369"/>
      <c r="P6292" s="1392"/>
      <c r="Q6292" s="3395"/>
      <c r="R6292" s="2339"/>
    </row>
    <row r="6293" spans="1:18" s="16" customFormat="1">
      <c r="A6293" s="1320"/>
      <c r="B6293" s="1599"/>
      <c r="C6293" s="1320"/>
      <c r="D6293" s="1598" t="s">
        <v>2155</v>
      </c>
      <c r="E6293" s="2154" t="s">
        <v>1504</v>
      </c>
      <c r="F6293" s="1598" t="s">
        <v>2156</v>
      </c>
      <c r="G6293" s="1612">
        <v>1</v>
      </c>
      <c r="H6293" s="1369"/>
      <c r="I6293" s="1299"/>
      <c r="J6293" s="1300"/>
      <c r="K6293" s="1307">
        <f>G6293*K6291</f>
        <v>1.6E-2</v>
      </c>
      <c r="L6293" s="1335">
        <f>K6293*$K$6237</f>
        <v>0</v>
      </c>
      <c r="M6293" s="1302">
        <v>44</v>
      </c>
      <c r="N6293" s="1700"/>
      <c r="O6293" s="1290">
        <f>G6293*M6293</f>
        <v>44</v>
      </c>
      <c r="P6293" s="1332">
        <f>M6293*K6293</f>
        <v>0.70399999999999996</v>
      </c>
      <c r="Q6293" s="3391"/>
      <c r="R6293" s="2339"/>
    </row>
    <row r="6294" spans="1:18" s="16" customFormat="1">
      <c r="A6294" s="1042"/>
      <c r="B6294" s="1599"/>
      <c r="C6294" s="1042"/>
      <c r="D6294" s="1672"/>
      <c r="E6294" s="2160"/>
      <c r="F6294" s="1673"/>
      <c r="G6294" s="1673"/>
      <c r="H6294" s="1674"/>
      <c r="I6294" s="1299"/>
      <c r="J6294" s="1300"/>
      <c r="K6294" s="1307" t="str">
        <f t="shared" ref="K6294:K6295" si="828">IF(COUNT(I6294)=0,"",(I6294*J6294))</f>
        <v/>
      </c>
      <c r="L6294" s="1335"/>
      <c r="M6294" s="1302"/>
      <c r="N6294" s="1700"/>
      <c r="O6294" s="1290"/>
      <c r="P6294" s="1332"/>
      <c r="Q6294" s="3391"/>
      <c r="R6294" s="2339"/>
    </row>
    <row r="6295" spans="1:18" s="16" customFormat="1">
      <c r="A6295" s="1042"/>
      <c r="B6295" s="1599"/>
      <c r="C6295" s="1042"/>
      <c r="D6295" s="1367"/>
      <c r="E6295" s="2121"/>
      <c r="F6295" s="1436"/>
      <c r="G6295" s="1436"/>
      <c r="H6295" s="1369"/>
      <c r="I6295" s="1299" t="str">
        <f t="shared" ref="I6295" ca="1" si="829">IF(COUNT(H6295:O6295)=0,"",(SUM(H6295:O6295)/COUNT(H6295:O6295)))</f>
        <v/>
      </c>
      <c r="J6295" s="1300"/>
      <c r="K6295" s="1307" t="str">
        <f t="shared" ca="1" si="828"/>
        <v/>
      </c>
      <c r="L6295" s="1335"/>
      <c r="M6295" s="1302"/>
      <c r="N6295" s="1700"/>
      <c r="O6295" s="1290"/>
      <c r="P6295" s="1332"/>
      <c r="Q6295" s="3391"/>
      <c r="R6295" s="2339"/>
    </row>
    <row r="6296" spans="1:18" s="16" customFormat="1">
      <c r="A6296" s="1042"/>
      <c r="B6296" s="1599"/>
      <c r="C6296" s="1042"/>
      <c r="D6296" s="1359"/>
      <c r="E6296" s="1858"/>
      <c r="F6296" s="1360" t="s">
        <v>2</v>
      </c>
      <c r="G6296" s="1360"/>
      <c r="H6296" s="1362"/>
      <c r="I6296" s="1380"/>
      <c r="J6296" s="1381"/>
      <c r="K6296" s="1381"/>
      <c r="L6296" s="1458"/>
      <c r="M6296" s="1362"/>
      <c r="N6296" s="1362"/>
      <c r="O6296" s="1362"/>
      <c r="P6296" s="1359"/>
      <c r="Q6296" s="3387"/>
      <c r="R6296" s="2339"/>
    </row>
    <row r="6297" spans="1:18" s="16" customFormat="1">
      <c r="A6297" s="1599"/>
      <c r="B6297" s="1320"/>
      <c r="D6297" s="1359" t="s">
        <v>1593</v>
      </c>
      <c r="E6297" s="1858" t="s">
        <v>1508</v>
      </c>
      <c r="F6297" s="1404" t="s">
        <v>2146</v>
      </c>
      <c r="G6297" s="1404">
        <v>0.25</v>
      </c>
      <c r="H6297" s="1359"/>
      <c r="I6297" s="1289"/>
      <c r="J6297" s="8"/>
      <c r="K6297" s="1307">
        <f>G6297*K6291</f>
        <v>4.0000000000000001E-3</v>
      </c>
      <c r="L6297" s="1335">
        <f>K6297*$K$6237</f>
        <v>0</v>
      </c>
      <c r="M6297" s="1302">
        <v>19.23</v>
      </c>
      <c r="N6297" s="1700"/>
      <c r="O6297" s="1290">
        <f>G6297*M6297</f>
        <v>4.8075000000000001</v>
      </c>
      <c r="P6297" s="1332">
        <f>M6297*K6297</f>
        <v>7.6920000000000002E-2</v>
      </c>
      <c r="Q6297" s="3391"/>
      <c r="R6297" s="2339"/>
    </row>
    <row r="6298" spans="1:18" s="16" customFormat="1">
      <c r="A6298" s="1320"/>
      <c r="B6298" s="1599"/>
      <c r="C6298" s="1320"/>
      <c r="D6298" s="1359"/>
      <c r="E6298" s="1858"/>
      <c r="F6298" s="1404"/>
      <c r="G6298" s="1404"/>
      <c r="H6298" s="1359"/>
      <c r="I6298" s="1299"/>
      <c r="J6298" s="1300"/>
      <c r="K6298" s="1307"/>
      <c r="L6298" s="1335"/>
      <c r="M6298" s="1302"/>
      <c r="N6298" s="1700"/>
      <c r="O6298" s="1290"/>
      <c r="P6298" s="1332"/>
      <c r="Q6298" s="3391"/>
      <c r="R6298" s="2339"/>
    </row>
    <row r="6299" spans="1:18" s="16" customFormat="1">
      <c r="A6299" s="1320"/>
      <c r="B6299" s="1599"/>
      <c r="C6299" s="1320"/>
      <c r="D6299" s="1359"/>
      <c r="E6299" s="1858"/>
      <c r="F6299" s="1361"/>
      <c r="G6299" s="1361"/>
      <c r="H6299" s="1466"/>
      <c r="I6299" s="1299"/>
      <c r="J6299" s="1300"/>
      <c r="K6299" s="1307" t="str">
        <f>IF(COUNT(I6299)=0,"",(I6299*J6299))</f>
        <v/>
      </c>
      <c r="L6299" s="1335"/>
      <c r="M6299" s="1302"/>
      <c r="N6299" s="1700"/>
      <c r="O6299" s="1290"/>
      <c r="P6299" s="1332"/>
      <c r="Q6299" s="3391"/>
      <c r="R6299" s="2339"/>
    </row>
    <row r="6300" spans="1:18" s="16" customFormat="1">
      <c r="A6300" s="1320"/>
      <c r="B6300" s="1599"/>
      <c r="C6300" s="1320"/>
      <c r="D6300" s="1373"/>
      <c r="E6300" s="2123"/>
      <c r="F6300" s="1374" t="s">
        <v>3</v>
      </c>
      <c r="G6300" s="1375"/>
      <c r="H6300" s="1376"/>
      <c r="I6300" s="1382"/>
      <c r="J6300" s="1383"/>
      <c r="K6300" s="1383" t="str">
        <f>IF(COUNT(I6300)=0,"",(I6300*J6300))</f>
        <v/>
      </c>
      <c r="L6300" s="1413"/>
      <c r="M6300" s="1376"/>
      <c r="N6300" s="1376"/>
      <c r="O6300" s="1376"/>
      <c r="P6300" s="1373"/>
      <c r="Q6300" s="3387"/>
      <c r="R6300" s="2339"/>
    </row>
    <row r="6301" spans="1:18" s="16" customFormat="1">
      <c r="A6301" s="1321"/>
      <c r="B6301" s="2053"/>
      <c r="C6301" s="1321"/>
      <c r="D6301" s="1377"/>
      <c r="E6301" s="2124"/>
      <c r="F6301" s="1378"/>
      <c r="G6301" s="1378"/>
      <c r="H6301" s="1379"/>
      <c r="I6301" s="1299"/>
      <c r="J6301" s="1300"/>
      <c r="K6301" s="1307"/>
      <c r="L6301" s="1335"/>
      <c r="M6301" s="1302"/>
      <c r="N6301" s="1700"/>
      <c r="O6301" s="1290"/>
      <c r="P6301" s="1332"/>
      <c r="Q6301" s="3391"/>
      <c r="R6301" s="2339"/>
    </row>
    <row r="6302" spans="1:18" s="16" customFormat="1">
      <c r="A6302" s="1321"/>
      <c r="B6302" s="2053"/>
      <c r="C6302" s="1321"/>
      <c r="D6302" s="1377"/>
      <c r="E6302" s="2124"/>
      <c r="F6302" s="1378"/>
      <c r="G6302" s="1378"/>
      <c r="H6302" s="1379"/>
      <c r="I6302" s="1299"/>
      <c r="J6302" s="1300"/>
      <c r="K6302" s="1307"/>
      <c r="L6302" s="1335"/>
      <c r="M6302" s="1302"/>
      <c r="N6302" s="1700"/>
      <c r="O6302" s="1290"/>
      <c r="P6302" s="1333"/>
      <c r="Q6302" s="3391"/>
      <c r="R6302" s="2339"/>
    </row>
    <row r="6303" spans="1:18" s="16" customFormat="1">
      <c r="A6303" s="1042"/>
      <c r="B6303" s="1765"/>
      <c r="C6303" s="223"/>
      <c r="D6303" s="1373"/>
      <c r="E6303" s="2161"/>
      <c r="F6303" s="1678"/>
      <c r="G6303" s="1678"/>
      <c r="H6303" s="1376"/>
      <c r="I6303" s="1299"/>
      <c r="J6303" s="1300"/>
      <c r="K6303" s="1307"/>
      <c r="L6303" s="1335"/>
      <c r="M6303" s="1302"/>
      <c r="N6303" s="1700"/>
      <c r="O6303" s="1290"/>
      <c r="P6303" s="1332"/>
      <c r="Q6303" s="3391"/>
      <c r="R6303" s="2339"/>
    </row>
    <row r="6304" spans="1:18" s="16" customFormat="1" ht="15" customHeight="1">
      <c r="A6304" s="18" t="s">
        <v>3764</v>
      </c>
      <c r="B6304" s="4325" t="s">
        <v>2157</v>
      </c>
      <c r="C6304" s="3350"/>
      <c r="D6304" s="4327"/>
      <c r="E6304" s="4329" t="s">
        <v>1504</v>
      </c>
      <c r="F6304" s="4336" t="s">
        <v>2158</v>
      </c>
      <c r="G6304" s="4331" t="s">
        <v>1568</v>
      </c>
      <c r="H6304" s="4331" t="s">
        <v>1574</v>
      </c>
      <c r="I6304" s="1572" t="s">
        <v>1559</v>
      </c>
      <c r="J6304" s="1294" t="s">
        <v>1560</v>
      </c>
      <c r="K6304" s="1294" t="s">
        <v>1569</v>
      </c>
      <c r="L6304" s="4333" t="s">
        <v>3765</v>
      </c>
      <c r="M6304" s="4335" t="s">
        <v>1571</v>
      </c>
      <c r="N6304" s="4323" t="s">
        <v>1776</v>
      </c>
      <c r="O6304" s="3347" t="s">
        <v>1563</v>
      </c>
      <c r="P6304" s="1336" t="s">
        <v>1562</v>
      </c>
      <c r="Q6304" s="3389"/>
      <c r="R6304" s="1699" t="s">
        <v>1327</v>
      </c>
    </row>
    <row r="6305" spans="1:18" s="16" customFormat="1">
      <c r="A6305" s="1662" t="s">
        <v>2775</v>
      </c>
      <c r="B6305" s="4326"/>
      <c r="C6305" s="3351"/>
      <c r="D6305" s="4328"/>
      <c r="E6305" s="4330"/>
      <c r="F6305" s="4336"/>
      <c r="G6305" s="4332"/>
      <c r="H6305" s="4332"/>
      <c r="I6305" s="1345">
        <v>8</v>
      </c>
      <c r="J6305" s="1307">
        <v>2E-3</v>
      </c>
      <c r="K6305" s="1297">
        <f>I6305*J6305</f>
        <v>1.6E-2</v>
      </c>
      <c r="L6305" s="4334"/>
      <c r="M6305" s="4335"/>
      <c r="N6305" s="4324"/>
      <c r="O6305" s="1298">
        <f>SUM(O6307:O6317)</f>
        <v>48.807499999999997</v>
      </c>
      <c r="P6305" s="1337">
        <f>O6305*K6305</f>
        <v>0.78091999999999995</v>
      </c>
      <c r="Q6305" s="3390"/>
      <c r="R6305" s="1721">
        <f>SUM(P6307:P6317)</f>
        <v>0.78091999999999995</v>
      </c>
    </row>
    <row r="6306" spans="1:18" s="16" customFormat="1">
      <c r="A6306" s="1320"/>
      <c r="B6306" s="1949"/>
      <c r="C6306" s="1327"/>
      <c r="D6306" s="1367"/>
      <c r="E6306" s="2121"/>
      <c r="F6306" s="1389" t="s">
        <v>1</v>
      </c>
      <c r="G6306" s="1389"/>
      <c r="H6306" s="1369"/>
      <c r="I6306" s="2088"/>
      <c r="J6306" s="1369"/>
      <c r="K6306" s="1391"/>
      <c r="L6306" s="2089"/>
      <c r="M6306" s="1369"/>
      <c r="N6306" s="1369"/>
      <c r="O6306" s="1369"/>
      <c r="P6306" s="1392"/>
      <c r="Q6306" s="3395"/>
      <c r="R6306" s="2339"/>
    </row>
    <row r="6307" spans="1:18" s="16" customFormat="1">
      <c r="A6307" s="1320"/>
      <c r="B6307" s="1599"/>
      <c r="C6307" s="1320"/>
      <c r="D6307" s="1598" t="s">
        <v>2155</v>
      </c>
      <c r="E6307" s="2154" t="s">
        <v>1504</v>
      </c>
      <c r="F6307" s="1598" t="s">
        <v>2156</v>
      </c>
      <c r="G6307" s="1612">
        <v>1</v>
      </c>
      <c r="H6307" s="1369"/>
      <c r="I6307" s="1299"/>
      <c r="J6307" s="1300"/>
      <c r="K6307" s="1307">
        <f>G6307*K6305</f>
        <v>1.6E-2</v>
      </c>
      <c r="L6307" s="1335">
        <f>K6307*$K$6237</f>
        <v>0</v>
      </c>
      <c r="M6307" s="1302">
        <v>44</v>
      </c>
      <c r="N6307" s="1700"/>
      <c r="O6307" s="1290">
        <f>G6307*M6307</f>
        <v>44</v>
      </c>
      <c r="P6307" s="1332">
        <f>M6307*K6307</f>
        <v>0.70399999999999996</v>
      </c>
      <c r="Q6307" s="3391"/>
      <c r="R6307" s="2339"/>
    </row>
    <row r="6308" spans="1:18" s="16" customFormat="1">
      <c r="A6308" s="1042"/>
      <c r="B6308" s="1599"/>
      <c r="C6308" s="1042"/>
      <c r="D6308" s="1672"/>
      <c r="E6308" s="2160"/>
      <c r="F6308" s="1673"/>
      <c r="G6308" s="1673"/>
      <c r="H6308" s="1674"/>
      <c r="I6308" s="1299"/>
      <c r="J6308" s="1300"/>
      <c r="K6308" s="1307" t="str">
        <f t="shared" ref="K6308:K6309" si="830">IF(COUNT(I6308)=0,"",(I6308*J6308))</f>
        <v/>
      </c>
      <c r="L6308" s="1335"/>
      <c r="M6308" s="1302"/>
      <c r="N6308" s="1700"/>
      <c r="O6308" s="1290"/>
      <c r="P6308" s="1332"/>
      <c r="Q6308" s="3391"/>
      <c r="R6308" s="2339"/>
    </row>
    <row r="6309" spans="1:18" s="16" customFormat="1">
      <c r="A6309" s="1042"/>
      <c r="B6309" s="1599"/>
      <c r="C6309" s="1042"/>
      <c r="D6309" s="1367"/>
      <c r="E6309" s="2121"/>
      <c r="F6309" s="1436"/>
      <c r="G6309" s="1436"/>
      <c r="H6309" s="1369"/>
      <c r="I6309" s="1299" t="str">
        <f t="shared" ref="I6309" ca="1" si="831">IF(COUNT(H6309:O6309)=0,"",(SUM(H6309:O6309)/COUNT(H6309:O6309)))</f>
        <v/>
      </c>
      <c r="J6309" s="1300"/>
      <c r="K6309" s="1307" t="str">
        <f t="shared" ca="1" si="830"/>
        <v/>
      </c>
      <c r="L6309" s="1335"/>
      <c r="M6309" s="1302"/>
      <c r="N6309" s="1700"/>
      <c r="O6309" s="1290"/>
      <c r="P6309" s="1332"/>
      <c r="Q6309" s="3391"/>
      <c r="R6309" s="2339"/>
    </row>
    <row r="6310" spans="1:18" s="16" customFormat="1">
      <c r="A6310" s="1042"/>
      <c r="B6310" s="1599"/>
      <c r="C6310" s="1042"/>
      <c r="D6310" s="1359"/>
      <c r="E6310" s="1858"/>
      <c r="F6310" s="1360" t="s">
        <v>2</v>
      </c>
      <c r="G6310" s="1360"/>
      <c r="H6310" s="1362"/>
      <c r="I6310" s="1380"/>
      <c r="J6310" s="1381"/>
      <c r="K6310" s="1381"/>
      <c r="L6310" s="1458"/>
      <c r="M6310" s="1362"/>
      <c r="N6310" s="1362"/>
      <c r="O6310" s="1362"/>
      <c r="P6310" s="1359"/>
      <c r="Q6310" s="3387"/>
      <c r="R6310" s="2339"/>
    </row>
    <row r="6311" spans="1:18" s="16" customFormat="1">
      <c r="A6311" s="1599"/>
      <c r="B6311" s="1320"/>
      <c r="D6311" s="1359" t="s">
        <v>1593</v>
      </c>
      <c r="E6311" s="1858" t="s">
        <v>1508</v>
      </c>
      <c r="F6311" s="1404" t="s">
        <v>2146</v>
      </c>
      <c r="G6311" s="1404">
        <v>0.25</v>
      </c>
      <c r="H6311" s="1359"/>
      <c r="I6311" s="1289"/>
      <c r="J6311" s="8"/>
      <c r="K6311" s="1307">
        <f>G6311*K6305</f>
        <v>4.0000000000000001E-3</v>
      </c>
      <c r="L6311" s="1335">
        <f>K6311*$K$6237</f>
        <v>0</v>
      </c>
      <c r="M6311" s="1302">
        <v>19.23</v>
      </c>
      <c r="N6311" s="1700"/>
      <c r="O6311" s="1290">
        <f>G6311*M6311</f>
        <v>4.8075000000000001</v>
      </c>
      <c r="P6311" s="1332">
        <f>M6311*K6311</f>
        <v>7.6920000000000002E-2</v>
      </c>
      <c r="Q6311" s="3391"/>
      <c r="R6311" s="2339"/>
    </row>
    <row r="6312" spans="1:18" s="16" customFormat="1">
      <c r="A6312" s="1320"/>
      <c r="B6312" s="1599"/>
      <c r="C6312" s="1320"/>
      <c r="D6312" s="1359"/>
      <c r="E6312" s="1858"/>
      <c r="F6312" s="1404"/>
      <c r="G6312" s="1404"/>
      <c r="H6312" s="1359"/>
      <c r="I6312" s="1299"/>
      <c r="J6312" s="1300"/>
      <c r="K6312" s="1307"/>
      <c r="L6312" s="1335"/>
      <c r="M6312" s="1302"/>
      <c r="N6312" s="1700"/>
      <c r="O6312" s="1290"/>
      <c r="P6312" s="1332"/>
      <c r="Q6312" s="3391"/>
      <c r="R6312" s="2339"/>
    </row>
    <row r="6313" spans="1:18" s="16" customFormat="1">
      <c r="A6313" s="1320"/>
      <c r="B6313" s="1599"/>
      <c r="C6313" s="1320"/>
      <c r="D6313" s="1359"/>
      <c r="E6313" s="1858"/>
      <c r="F6313" s="1361"/>
      <c r="G6313" s="1361"/>
      <c r="H6313" s="1466"/>
      <c r="I6313" s="1299"/>
      <c r="J6313" s="1300"/>
      <c r="K6313" s="1307" t="str">
        <f>IF(COUNT(I6313)=0,"",(I6313*J6313))</f>
        <v/>
      </c>
      <c r="L6313" s="1335"/>
      <c r="M6313" s="1302"/>
      <c r="N6313" s="1700"/>
      <c r="O6313" s="1290"/>
      <c r="P6313" s="1332"/>
      <c r="Q6313" s="3391"/>
      <c r="R6313" s="2339"/>
    </row>
    <row r="6314" spans="1:18" s="16" customFormat="1">
      <c r="A6314" s="1320"/>
      <c r="B6314" s="1599"/>
      <c r="C6314" s="1320"/>
      <c r="D6314" s="1373"/>
      <c r="E6314" s="2123"/>
      <c r="F6314" s="1374" t="s">
        <v>3</v>
      </c>
      <c r="G6314" s="1375"/>
      <c r="H6314" s="1376"/>
      <c r="I6314" s="1382"/>
      <c r="J6314" s="1383"/>
      <c r="K6314" s="1383" t="str">
        <f>IF(COUNT(I6314)=0,"",(I6314*J6314))</f>
        <v/>
      </c>
      <c r="L6314" s="1413"/>
      <c r="M6314" s="1376"/>
      <c r="N6314" s="1376"/>
      <c r="O6314" s="1376"/>
      <c r="P6314" s="1373"/>
      <c r="Q6314" s="3387"/>
      <c r="R6314" s="2339"/>
    </row>
    <row r="6315" spans="1:18" s="16" customFormat="1">
      <c r="A6315" s="1321"/>
      <c r="B6315" s="2053"/>
      <c r="C6315" s="1321"/>
      <c r="D6315" s="1377"/>
      <c r="E6315" s="2124"/>
      <c r="F6315" s="1378"/>
      <c r="G6315" s="1378"/>
      <c r="H6315" s="1379"/>
      <c r="I6315" s="1299"/>
      <c r="J6315" s="1300"/>
      <c r="K6315" s="1307"/>
      <c r="L6315" s="1335"/>
      <c r="M6315" s="1302"/>
      <c r="N6315" s="1700"/>
      <c r="O6315" s="1290"/>
      <c r="P6315" s="1332"/>
      <c r="Q6315" s="3391"/>
      <c r="R6315" s="2339"/>
    </row>
    <row r="6316" spans="1:18" s="16" customFormat="1">
      <c r="A6316" s="1321"/>
      <c r="B6316" s="2053"/>
      <c r="C6316" s="1321"/>
      <c r="D6316" s="1377"/>
      <c r="E6316" s="2124"/>
      <c r="F6316" s="1378"/>
      <c r="G6316" s="1378"/>
      <c r="H6316" s="1379"/>
      <c r="I6316" s="1299"/>
      <c r="J6316" s="1300"/>
      <c r="K6316" s="1307"/>
      <c r="L6316" s="1335"/>
      <c r="M6316" s="1302"/>
      <c r="N6316" s="1700"/>
      <c r="O6316" s="1290"/>
      <c r="P6316" s="1333"/>
      <c r="Q6316" s="3391"/>
      <c r="R6316" s="2339"/>
    </row>
    <row r="6317" spans="1:18" s="16" customFormat="1">
      <c r="A6317" s="1042"/>
      <c r="B6317" s="1765"/>
      <c r="C6317" s="223"/>
      <c r="D6317" s="1373"/>
      <c r="E6317" s="2161"/>
      <c r="F6317" s="1678"/>
      <c r="G6317" s="1678"/>
      <c r="H6317" s="1376"/>
      <c r="I6317" s="1299"/>
      <c r="J6317" s="1300"/>
      <c r="K6317" s="1307"/>
      <c r="L6317" s="1335"/>
      <c r="M6317" s="1302"/>
      <c r="N6317" s="1700"/>
      <c r="O6317" s="1290"/>
      <c r="P6317" s="1332"/>
      <c r="Q6317" s="3391"/>
      <c r="R6317" s="2339"/>
    </row>
    <row r="6318" spans="1:18" s="16" customFormat="1">
      <c r="A6318" s="18" t="s">
        <v>3764</v>
      </c>
      <c r="B6318" s="4325" t="s">
        <v>2159</v>
      </c>
      <c r="C6318" s="3350"/>
      <c r="D6318" s="4327"/>
      <c r="E6318" s="4329" t="s">
        <v>1504</v>
      </c>
      <c r="F6318" s="4336" t="s">
        <v>2160</v>
      </c>
      <c r="G6318" s="4331" t="s">
        <v>1568</v>
      </c>
      <c r="H6318" s="4331" t="s">
        <v>1574</v>
      </c>
      <c r="I6318" s="1572" t="s">
        <v>1559</v>
      </c>
      <c r="J6318" s="1294" t="s">
        <v>1560</v>
      </c>
      <c r="K6318" s="1294" t="s">
        <v>1569</v>
      </c>
      <c r="L6318" s="4333" t="s">
        <v>3765</v>
      </c>
      <c r="M6318" s="4335" t="s">
        <v>1571</v>
      </c>
      <c r="N6318" s="4323" t="s">
        <v>1776</v>
      </c>
      <c r="O6318" s="3347" t="s">
        <v>1563</v>
      </c>
      <c r="P6318" s="1336" t="s">
        <v>1562</v>
      </c>
      <c r="Q6318" s="3389"/>
      <c r="R6318" s="1699" t="s">
        <v>1327</v>
      </c>
    </row>
    <row r="6319" spans="1:18" s="16" customFormat="1">
      <c r="A6319" s="1662" t="s">
        <v>2775</v>
      </c>
      <c r="B6319" s="4326"/>
      <c r="C6319" s="3351"/>
      <c r="D6319" s="4328"/>
      <c r="E6319" s="4330"/>
      <c r="F6319" s="4336"/>
      <c r="G6319" s="4332"/>
      <c r="H6319" s="4332"/>
      <c r="I6319" s="1345">
        <v>4</v>
      </c>
      <c r="J6319" s="1307">
        <v>2E-3</v>
      </c>
      <c r="K6319" s="1297">
        <f>I6319*J6319</f>
        <v>8.0000000000000002E-3</v>
      </c>
      <c r="L6319" s="4334"/>
      <c r="M6319" s="4335"/>
      <c r="N6319" s="4324"/>
      <c r="O6319" s="1298">
        <f>SUM(O6321:O6331)</f>
        <v>48.807499999999997</v>
      </c>
      <c r="P6319" s="1337">
        <f>O6319*K6319</f>
        <v>0.39045999999999997</v>
      </c>
      <c r="Q6319" s="3390"/>
      <c r="R6319" s="1721">
        <f>SUM(P6321:P6331)</f>
        <v>0.39045999999999997</v>
      </c>
    </row>
    <row r="6320" spans="1:18" s="16" customFormat="1">
      <c r="A6320" s="1320"/>
      <c r="B6320" s="1949"/>
      <c r="C6320" s="1327"/>
      <c r="D6320" s="1367"/>
      <c r="E6320" s="2121"/>
      <c r="F6320" s="1389" t="s">
        <v>1</v>
      </c>
      <c r="G6320" s="1389"/>
      <c r="H6320" s="1369"/>
      <c r="I6320" s="2088"/>
      <c r="J6320" s="1369"/>
      <c r="K6320" s="1391"/>
      <c r="L6320" s="2089"/>
      <c r="M6320" s="1369"/>
      <c r="N6320" s="1369"/>
      <c r="O6320" s="1369"/>
      <c r="P6320" s="1392"/>
      <c r="Q6320" s="3395"/>
      <c r="R6320" s="2339"/>
    </row>
    <row r="6321" spans="1:18" s="16" customFormat="1">
      <c r="A6321" s="1320"/>
      <c r="B6321" s="1599"/>
      <c r="C6321" s="1320"/>
      <c r="D6321" s="1598" t="s">
        <v>2155</v>
      </c>
      <c r="E6321" s="2154" t="s">
        <v>1504</v>
      </c>
      <c r="F6321" s="1598" t="s">
        <v>2156</v>
      </c>
      <c r="G6321" s="1612">
        <v>1</v>
      </c>
      <c r="H6321" s="1369"/>
      <c r="I6321" s="1299"/>
      <c r="J6321" s="1300"/>
      <c r="K6321" s="1307">
        <f>G6321*K6319</f>
        <v>8.0000000000000002E-3</v>
      </c>
      <c r="L6321" s="1335">
        <f>K6321*$K$6237</f>
        <v>0</v>
      </c>
      <c r="M6321" s="1302">
        <v>44</v>
      </c>
      <c r="N6321" s="1700"/>
      <c r="O6321" s="1290">
        <f>G6321*M6321</f>
        <v>44</v>
      </c>
      <c r="P6321" s="1332">
        <f>M6321*K6321</f>
        <v>0.35199999999999998</v>
      </c>
      <c r="Q6321" s="3391"/>
      <c r="R6321" s="2339"/>
    </row>
    <row r="6322" spans="1:18" s="16" customFormat="1">
      <c r="A6322" s="1042"/>
      <c r="B6322" s="1599"/>
      <c r="C6322" s="1042"/>
      <c r="D6322" s="1672"/>
      <c r="E6322" s="2160"/>
      <c r="F6322" s="1673"/>
      <c r="G6322" s="1673"/>
      <c r="H6322" s="1674"/>
      <c r="I6322" s="1299"/>
      <c r="J6322" s="1300"/>
      <c r="K6322" s="1307" t="str">
        <f t="shared" ref="K6322:K6323" si="832">IF(COUNT(I6322)=0,"",(I6322*J6322))</f>
        <v/>
      </c>
      <c r="L6322" s="1335"/>
      <c r="M6322" s="1302"/>
      <c r="N6322" s="1700"/>
      <c r="O6322" s="1290"/>
      <c r="P6322" s="1332"/>
      <c r="Q6322" s="3391"/>
      <c r="R6322" s="2339"/>
    </row>
    <row r="6323" spans="1:18" s="16" customFormat="1">
      <c r="A6323" s="1042"/>
      <c r="B6323" s="1599"/>
      <c r="C6323" s="1042"/>
      <c r="D6323" s="1367"/>
      <c r="E6323" s="2121"/>
      <c r="F6323" s="1436"/>
      <c r="G6323" s="1436"/>
      <c r="H6323" s="1369"/>
      <c r="I6323" s="1299" t="str">
        <f t="shared" ref="I6323" ca="1" si="833">IF(COUNT(H6323:O6323)=0,"",(SUM(H6323:O6323)/COUNT(H6323:O6323)))</f>
        <v/>
      </c>
      <c r="J6323" s="1300"/>
      <c r="K6323" s="1307" t="str">
        <f t="shared" ca="1" si="832"/>
        <v/>
      </c>
      <c r="L6323" s="1335"/>
      <c r="M6323" s="1302"/>
      <c r="N6323" s="1700"/>
      <c r="O6323" s="1290"/>
      <c r="P6323" s="1332"/>
      <c r="Q6323" s="3391"/>
      <c r="R6323" s="2339"/>
    </row>
    <row r="6324" spans="1:18" s="16" customFormat="1">
      <c r="A6324" s="1042"/>
      <c r="B6324" s="1599"/>
      <c r="C6324" s="1042"/>
      <c r="D6324" s="1359"/>
      <c r="E6324" s="1858"/>
      <c r="F6324" s="1360" t="s">
        <v>2</v>
      </c>
      <c r="G6324" s="1360"/>
      <c r="H6324" s="1362"/>
      <c r="I6324" s="1380"/>
      <c r="J6324" s="1381"/>
      <c r="K6324" s="1381"/>
      <c r="L6324" s="1458"/>
      <c r="M6324" s="1362"/>
      <c r="N6324" s="1362"/>
      <c r="O6324" s="1362"/>
      <c r="P6324" s="1359"/>
      <c r="Q6324" s="3387"/>
      <c r="R6324" s="2339"/>
    </row>
    <row r="6325" spans="1:18" s="16" customFormat="1">
      <c r="A6325" s="1599"/>
      <c r="B6325" s="1320"/>
      <c r="D6325" s="1359" t="s">
        <v>1593</v>
      </c>
      <c r="E6325" s="1858" t="s">
        <v>1508</v>
      </c>
      <c r="F6325" s="1404" t="s">
        <v>2146</v>
      </c>
      <c r="G6325" s="1404">
        <v>0.25</v>
      </c>
      <c r="H6325" s="1359"/>
      <c r="I6325" s="1289"/>
      <c r="J6325" s="8"/>
      <c r="K6325" s="1307">
        <f>G6325*K6319</f>
        <v>2E-3</v>
      </c>
      <c r="L6325" s="1335">
        <f>K6325*$K$6237</f>
        <v>0</v>
      </c>
      <c r="M6325" s="1302">
        <v>19.23</v>
      </c>
      <c r="N6325" s="1700"/>
      <c r="O6325" s="1290">
        <f>G6325*M6325</f>
        <v>4.8075000000000001</v>
      </c>
      <c r="P6325" s="1332">
        <f>M6325*K6325</f>
        <v>3.8460000000000001E-2</v>
      </c>
      <c r="Q6325" s="3391"/>
      <c r="R6325" s="2339"/>
    </row>
    <row r="6326" spans="1:18" s="16" customFormat="1">
      <c r="A6326" s="1320"/>
      <c r="B6326" s="1599"/>
      <c r="C6326" s="1320"/>
      <c r="D6326" s="1359"/>
      <c r="E6326" s="1858"/>
      <c r="F6326" s="1404"/>
      <c r="G6326" s="1404"/>
      <c r="H6326" s="1359"/>
      <c r="I6326" s="1299"/>
      <c r="J6326" s="1300"/>
      <c r="K6326" s="1307"/>
      <c r="L6326" s="1335"/>
      <c r="M6326" s="1302"/>
      <c r="N6326" s="1700"/>
      <c r="O6326" s="1290"/>
      <c r="P6326" s="1332"/>
      <c r="Q6326" s="3391"/>
      <c r="R6326" s="2339"/>
    </row>
    <row r="6327" spans="1:18" s="16" customFormat="1">
      <c r="A6327" s="1320"/>
      <c r="B6327" s="1599"/>
      <c r="C6327" s="1320"/>
      <c r="D6327" s="1359"/>
      <c r="E6327" s="1858"/>
      <c r="F6327" s="1361"/>
      <c r="G6327" s="1361"/>
      <c r="H6327" s="1466"/>
      <c r="I6327" s="1299"/>
      <c r="J6327" s="1300"/>
      <c r="K6327" s="1307" t="str">
        <f>IF(COUNT(I6327)=0,"",(I6327*J6327))</f>
        <v/>
      </c>
      <c r="L6327" s="1335"/>
      <c r="M6327" s="1302"/>
      <c r="N6327" s="1700"/>
      <c r="O6327" s="1290"/>
      <c r="P6327" s="1332"/>
      <c r="Q6327" s="3391"/>
      <c r="R6327" s="2339"/>
    </row>
    <row r="6328" spans="1:18" s="16" customFormat="1">
      <c r="A6328" s="1320"/>
      <c r="B6328" s="1599"/>
      <c r="C6328" s="1320"/>
      <c r="D6328" s="1373"/>
      <c r="E6328" s="2123"/>
      <c r="F6328" s="1374" t="s">
        <v>3</v>
      </c>
      <c r="G6328" s="1375"/>
      <c r="H6328" s="1376"/>
      <c r="I6328" s="1382"/>
      <c r="J6328" s="1383"/>
      <c r="K6328" s="1383" t="str">
        <f>IF(COUNT(I6328)=0,"",(I6328*J6328))</f>
        <v/>
      </c>
      <c r="L6328" s="1413" t="str">
        <f>IF(COUNT(K6327)=0,"",IF(#REF!="","",(K6327*#REF!)))</f>
        <v/>
      </c>
      <c r="M6328" s="1376"/>
      <c r="N6328" s="1376"/>
      <c r="O6328" s="1376"/>
      <c r="P6328" s="1373"/>
      <c r="Q6328" s="3387"/>
      <c r="R6328" s="2339"/>
    </row>
    <row r="6329" spans="1:18" s="16" customFormat="1">
      <c r="A6329" s="1321"/>
      <c r="B6329" s="2053"/>
      <c r="C6329" s="1321"/>
      <c r="D6329" s="1377"/>
      <c r="E6329" s="2124"/>
      <c r="F6329" s="1378"/>
      <c r="G6329" s="1378"/>
      <c r="H6329" s="1379"/>
      <c r="I6329" s="1299"/>
      <c r="J6329" s="1300"/>
      <c r="K6329" s="1307"/>
      <c r="L6329" s="1335"/>
      <c r="M6329" s="1302"/>
      <c r="N6329" s="1700"/>
      <c r="O6329" s="1290"/>
      <c r="P6329" s="1332"/>
      <c r="Q6329" s="3391"/>
      <c r="R6329" s="2339"/>
    </row>
    <row r="6330" spans="1:18" s="16" customFormat="1">
      <c r="A6330" s="1321"/>
      <c r="B6330" s="2053"/>
      <c r="C6330" s="1321"/>
      <c r="D6330" s="1377"/>
      <c r="E6330" s="2124"/>
      <c r="F6330" s="1378"/>
      <c r="G6330" s="1378"/>
      <c r="H6330" s="1379"/>
      <c r="I6330" s="1299"/>
      <c r="J6330" s="1300"/>
      <c r="K6330" s="1307"/>
      <c r="L6330" s="1335"/>
      <c r="M6330" s="1302"/>
      <c r="N6330" s="1700"/>
      <c r="O6330" s="1290"/>
      <c r="P6330" s="1333"/>
      <c r="Q6330" s="3391"/>
      <c r="R6330" s="2339"/>
    </row>
    <row r="6331" spans="1:18" s="16" customFormat="1">
      <c r="A6331" s="1042"/>
      <c r="B6331" s="1765"/>
      <c r="C6331" s="223"/>
      <c r="D6331" s="1373"/>
      <c r="E6331" s="2161"/>
      <c r="F6331" s="1678"/>
      <c r="G6331" s="1678"/>
      <c r="H6331" s="1376"/>
      <c r="I6331" s="1299"/>
      <c r="J6331" s="1300"/>
      <c r="K6331" s="1307"/>
      <c r="L6331" s="1335"/>
      <c r="M6331" s="1302"/>
      <c r="N6331" s="1700"/>
      <c r="O6331" s="1290"/>
      <c r="P6331" s="1332"/>
      <c r="Q6331" s="3391"/>
      <c r="R6331" s="2339"/>
    </row>
    <row r="6332" spans="1:18" s="16" customFormat="1" ht="15" customHeight="1">
      <c r="A6332" s="18" t="s">
        <v>3764</v>
      </c>
      <c r="B6332" s="4325" t="s">
        <v>2161</v>
      </c>
      <c r="C6332" s="3350"/>
      <c r="D6332" s="4327"/>
      <c r="E6332" s="4329" t="s">
        <v>1504</v>
      </c>
      <c r="F6332" s="4336" t="s">
        <v>2162</v>
      </c>
      <c r="G6332" s="4331" t="s">
        <v>1568</v>
      </c>
      <c r="H6332" s="4331" t="s">
        <v>1574</v>
      </c>
      <c r="I6332" s="1572" t="s">
        <v>1559</v>
      </c>
      <c r="J6332" s="1294" t="s">
        <v>1560</v>
      </c>
      <c r="K6332" s="1294" t="s">
        <v>1569</v>
      </c>
      <c r="L6332" s="4333" t="s">
        <v>3765</v>
      </c>
      <c r="M6332" s="4335" t="s">
        <v>1571</v>
      </c>
      <c r="N6332" s="4323" t="s">
        <v>1776</v>
      </c>
      <c r="O6332" s="3347" t="s">
        <v>1563</v>
      </c>
      <c r="P6332" s="1336" t="s">
        <v>1562</v>
      </c>
      <c r="Q6332" s="3389"/>
      <c r="R6332" s="1699" t="s">
        <v>1327</v>
      </c>
    </row>
    <row r="6333" spans="1:18" s="16" customFormat="1">
      <c r="A6333" s="1662" t="s">
        <v>2775</v>
      </c>
      <c r="B6333" s="4326"/>
      <c r="C6333" s="3351"/>
      <c r="D6333" s="4328"/>
      <c r="E6333" s="4330"/>
      <c r="F6333" s="4336"/>
      <c r="G6333" s="4332"/>
      <c r="H6333" s="4332"/>
      <c r="I6333" s="1345">
        <v>4</v>
      </c>
      <c r="J6333" s="1307">
        <v>2E-3</v>
      </c>
      <c r="K6333" s="1297">
        <f>I6333*J6333</f>
        <v>8.0000000000000002E-3</v>
      </c>
      <c r="L6333" s="4334"/>
      <c r="M6333" s="4335"/>
      <c r="N6333" s="4324"/>
      <c r="O6333" s="1298">
        <f>SUM(O6335:O6345)</f>
        <v>48.807499999999997</v>
      </c>
      <c r="P6333" s="1337">
        <f>O6333*K6333</f>
        <v>0.39045999999999997</v>
      </c>
      <c r="Q6333" s="3390"/>
      <c r="R6333" s="1721">
        <f>SUM(P6335:P6345)</f>
        <v>0.39045999999999997</v>
      </c>
    </row>
    <row r="6334" spans="1:18" s="16" customFormat="1">
      <c r="A6334" s="1320"/>
      <c r="B6334" s="1949"/>
      <c r="C6334" s="1327"/>
      <c r="D6334" s="1367"/>
      <c r="E6334" s="2121"/>
      <c r="F6334" s="1389" t="s">
        <v>1</v>
      </c>
      <c r="G6334" s="1389"/>
      <c r="H6334" s="1369"/>
      <c r="I6334" s="2088"/>
      <c r="J6334" s="1369"/>
      <c r="K6334" s="1391"/>
      <c r="L6334" s="2089"/>
      <c r="M6334" s="1369"/>
      <c r="N6334" s="1369"/>
      <c r="O6334" s="1369"/>
      <c r="P6334" s="1392"/>
      <c r="Q6334" s="3395"/>
      <c r="R6334" s="2339"/>
    </row>
    <row r="6335" spans="1:18" s="16" customFormat="1">
      <c r="A6335" s="1320"/>
      <c r="B6335" s="1599"/>
      <c r="C6335" s="1320"/>
      <c r="D6335" s="1598" t="s">
        <v>2155</v>
      </c>
      <c r="E6335" s="2154" t="s">
        <v>1504</v>
      </c>
      <c r="F6335" s="1598" t="s">
        <v>2156</v>
      </c>
      <c r="G6335" s="1612">
        <v>1</v>
      </c>
      <c r="H6335" s="1369"/>
      <c r="I6335" s="1299"/>
      <c r="J6335" s="1300"/>
      <c r="K6335" s="1307">
        <f>G6335*K6333</f>
        <v>8.0000000000000002E-3</v>
      </c>
      <c r="L6335" s="1335">
        <f>K6335*$K$6237</f>
        <v>0</v>
      </c>
      <c r="M6335" s="1302">
        <v>44</v>
      </c>
      <c r="N6335" s="1700"/>
      <c r="O6335" s="1290">
        <f>G6335*M6335</f>
        <v>44</v>
      </c>
      <c r="P6335" s="1332">
        <f>M6335*K6335</f>
        <v>0.35199999999999998</v>
      </c>
      <c r="Q6335" s="3391"/>
      <c r="R6335" s="2339"/>
    </row>
    <row r="6336" spans="1:18" s="16" customFormat="1">
      <c r="A6336" s="1042"/>
      <c r="B6336" s="1599"/>
      <c r="C6336" s="1042"/>
      <c r="D6336" s="1672"/>
      <c r="E6336" s="2160"/>
      <c r="F6336" s="1673"/>
      <c r="G6336" s="1673"/>
      <c r="H6336" s="1674"/>
      <c r="I6336" s="1299"/>
      <c r="J6336" s="1300"/>
      <c r="K6336" s="1307" t="str">
        <f t="shared" ref="K6336:K6337" si="834">IF(COUNT(I6336)=0,"",(I6336*J6336))</f>
        <v/>
      </c>
      <c r="L6336" s="1335"/>
      <c r="M6336" s="1302"/>
      <c r="N6336" s="1700"/>
      <c r="O6336" s="1290"/>
      <c r="P6336" s="1332"/>
      <c r="Q6336" s="3391"/>
      <c r="R6336" s="2339"/>
    </row>
    <row r="6337" spans="1:18" s="16" customFormat="1">
      <c r="A6337" s="1042"/>
      <c r="B6337" s="1599"/>
      <c r="C6337" s="1042"/>
      <c r="D6337" s="1367"/>
      <c r="E6337" s="2121"/>
      <c r="F6337" s="1436"/>
      <c r="G6337" s="1436"/>
      <c r="H6337" s="1369"/>
      <c r="I6337" s="1299" t="str">
        <f t="shared" ref="I6337" ca="1" si="835">IF(COUNT(H6337:O6337)=0,"",(SUM(H6337:O6337)/COUNT(H6337:O6337)))</f>
        <v/>
      </c>
      <c r="J6337" s="1300"/>
      <c r="K6337" s="1307" t="str">
        <f t="shared" ca="1" si="834"/>
        <v/>
      </c>
      <c r="L6337" s="1335"/>
      <c r="M6337" s="1302"/>
      <c r="N6337" s="1700"/>
      <c r="O6337" s="1290"/>
      <c r="P6337" s="1332"/>
      <c r="Q6337" s="3391"/>
      <c r="R6337" s="2339"/>
    </row>
    <row r="6338" spans="1:18" s="16" customFormat="1">
      <c r="A6338" s="1042"/>
      <c r="B6338" s="1599"/>
      <c r="C6338" s="1042"/>
      <c r="D6338" s="1359"/>
      <c r="E6338" s="1858"/>
      <c r="F6338" s="1360" t="s">
        <v>2</v>
      </c>
      <c r="G6338" s="1360"/>
      <c r="H6338" s="1362"/>
      <c r="I6338" s="1380"/>
      <c r="J6338" s="1381"/>
      <c r="K6338" s="1381"/>
      <c r="L6338" s="1458"/>
      <c r="M6338" s="1362"/>
      <c r="N6338" s="1362"/>
      <c r="O6338" s="1362"/>
      <c r="P6338" s="1359"/>
      <c r="Q6338" s="3387"/>
      <c r="R6338" s="2339"/>
    </row>
    <row r="6339" spans="1:18" s="16" customFormat="1">
      <c r="A6339" s="1599"/>
      <c r="B6339" s="1320"/>
      <c r="D6339" s="1359" t="s">
        <v>1593</v>
      </c>
      <c r="E6339" s="1858" t="s">
        <v>1508</v>
      </c>
      <c r="F6339" s="1404" t="s">
        <v>2146</v>
      </c>
      <c r="G6339" s="1404">
        <v>0.25</v>
      </c>
      <c r="H6339" s="1359"/>
      <c r="I6339" s="1289"/>
      <c r="J6339" s="8"/>
      <c r="K6339" s="1307">
        <f>G6339*K6333</f>
        <v>2E-3</v>
      </c>
      <c r="L6339" s="1335">
        <f>K6339*$K$6237</f>
        <v>0</v>
      </c>
      <c r="M6339" s="1302">
        <v>19.23</v>
      </c>
      <c r="N6339" s="1700"/>
      <c r="O6339" s="1290">
        <f>G6339*M6339</f>
        <v>4.8075000000000001</v>
      </c>
      <c r="P6339" s="1332">
        <f>M6339*K6339</f>
        <v>3.8460000000000001E-2</v>
      </c>
      <c r="Q6339" s="3391"/>
      <c r="R6339" s="2339"/>
    </row>
    <row r="6340" spans="1:18" s="16" customFormat="1">
      <c r="A6340" s="1320"/>
      <c r="B6340" s="1599"/>
      <c r="C6340" s="1320"/>
      <c r="D6340" s="1359"/>
      <c r="E6340" s="1858"/>
      <c r="F6340" s="1404"/>
      <c r="G6340" s="1404"/>
      <c r="H6340" s="1359"/>
      <c r="I6340" s="1299"/>
      <c r="J6340" s="1300"/>
      <c r="K6340" s="1307"/>
      <c r="L6340" s="1335"/>
      <c r="M6340" s="1302"/>
      <c r="N6340" s="1700"/>
      <c r="O6340" s="1290"/>
      <c r="P6340" s="1332"/>
      <c r="Q6340" s="3391"/>
      <c r="R6340" s="2339"/>
    </row>
    <row r="6341" spans="1:18" s="16" customFormat="1">
      <c r="A6341" s="1320"/>
      <c r="B6341" s="1599"/>
      <c r="C6341" s="1320"/>
      <c r="D6341" s="1359"/>
      <c r="E6341" s="1858"/>
      <c r="F6341" s="1361"/>
      <c r="G6341" s="1361"/>
      <c r="H6341" s="1466"/>
      <c r="I6341" s="1299"/>
      <c r="J6341" s="1300"/>
      <c r="K6341" s="1307" t="str">
        <f>IF(COUNT(I6341)=0,"",(I6341*J6341))</f>
        <v/>
      </c>
      <c r="L6341" s="1335"/>
      <c r="M6341" s="1302"/>
      <c r="N6341" s="1700"/>
      <c r="O6341" s="1290"/>
      <c r="P6341" s="1332"/>
      <c r="Q6341" s="3391"/>
      <c r="R6341" s="2339"/>
    </row>
    <row r="6342" spans="1:18" s="16" customFormat="1">
      <c r="A6342" s="1320"/>
      <c r="B6342" s="1599"/>
      <c r="C6342" s="1320"/>
      <c r="D6342" s="1373"/>
      <c r="E6342" s="2123"/>
      <c r="F6342" s="1374" t="s">
        <v>3</v>
      </c>
      <c r="G6342" s="1375"/>
      <c r="H6342" s="1376"/>
      <c r="I6342" s="1382"/>
      <c r="J6342" s="1383"/>
      <c r="K6342" s="1383" t="str">
        <f>IF(COUNT(I6342)=0,"",(I6342*J6342))</f>
        <v/>
      </c>
      <c r="L6342" s="1413"/>
      <c r="M6342" s="1376"/>
      <c r="N6342" s="1376"/>
      <c r="O6342" s="1376"/>
      <c r="P6342" s="1373"/>
      <c r="Q6342" s="3387"/>
      <c r="R6342" s="2339"/>
    </row>
    <row r="6343" spans="1:18" s="16" customFormat="1">
      <c r="A6343" s="1321"/>
      <c r="B6343" s="2053"/>
      <c r="C6343" s="1321"/>
      <c r="D6343" s="1377"/>
      <c r="E6343" s="2124"/>
      <c r="F6343" s="1378"/>
      <c r="G6343" s="1378"/>
      <c r="H6343" s="1379"/>
      <c r="I6343" s="1299"/>
      <c r="J6343" s="1300"/>
      <c r="K6343" s="1307"/>
      <c r="L6343" s="1335"/>
      <c r="M6343" s="1302"/>
      <c r="N6343" s="1700"/>
      <c r="O6343" s="1290"/>
      <c r="P6343" s="1332"/>
      <c r="Q6343" s="3391"/>
      <c r="R6343" s="2339"/>
    </row>
    <row r="6344" spans="1:18" s="16" customFormat="1">
      <c r="A6344" s="1321"/>
      <c r="B6344" s="2053"/>
      <c r="C6344" s="1321"/>
      <c r="D6344" s="1377"/>
      <c r="E6344" s="2124"/>
      <c r="F6344" s="1378"/>
      <c r="G6344" s="1378"/>
      <c r="H6344" s="1379"/>
      <c r="I6344" s="1299"/>
      <c r="J6344" s="1300"/>
      <c r="K6344" s="1307"/>
      <c r="L6344" s="1335"/>
      <c r="M6344" s="1302"/>
      <c r="N6344" s="1700"/>
      <c r="O6344" s="1290"/>
      <c r="P6344" s="1333"/>
      <c r="Q6344" s="3391"/>
      <c r="R6344" s="2339"/>
    </row>
    <row r="6345" spans="1:18" s="16" customFormat="1">
      <c r="A6345" s="1042"/>
      <c r="B6345" s="1765"/>
      <c r="C6345" s="223"/>
      <c r="D6345" s="1373"/>
      <c r="E6345" s="2161"/>
      <c r="F6345" s="1678"/>
      <c r="G6345" s="1678"/>
      <c r="H6345" s="1376"/>
      <c r="I6345" s="1299"/>
      <c r="J6345" s="1300"/>
      <c r="K6345" s="1307"/>
      <c r="L6345" s="1335"/>
      <c r="M6345" s="1302"/>
      <c r="N6345" s="1700"/>
      <c r="O6345" s="1290"/>
      <c r="P6345" s="1332"/>
      <c r="Q6345" s="3391"/>
      <c r="R6345" s="2339"/>
    </row>
    <row r="6346" spans="1:18" s="16" customFormat="1">
      <c r="A6346" s="18" t="s">
        <v>3764</v>
      </c>
      <c r="B6346" s="4325" t="s">
        <v>2163</v>
      </c>
      <c r="C6346" s="3350"/>
      <c r="D6346" s="4327"/>
      <c r="E6346" s="4329" t="s">
        <v>1504</v>
      </c>
      <c r="F6346" s="4336" t="s">
        <v>2850</v>
      </c>
      <c r="G6346" s="4331" t="s">
        <v>1568</v>
      </c>
      <c r="H6346" s="4331" t="s">
        <v>1574</v>
      </c>
      <c r="I6346" s="1572" t="s">
        <v>1559</v>
      </c>
      <c r="J6346" s="1294" t="s">
        <v>1560</v>
      </c>
      <c r="K6346" s="1294" t="s">
        <v>1569</v>
      </c>
      <c r="L6346" s="4333" t="s">
        <v>3765</v>
      </c>
      <c r="M6346" s="4335" t="s">
        <v>1571</v>
      </c>
      <c r="N6346" s="4323" t="s">
        <v>1776</v>
      </c>
      <c r="O6346" s="3347" t="s">
        <v>1563</v>
      </c>
      <c r="P6346" s="1336" t="s">
        <v>1562</v>
      </c>
      <c r="Q6346" s="3389"/>
      <c r="R6346" s="1699" t="s">
        <v>1327</v>
      </c>
    </row>
    <row r="6347" spans="1:18" s="16" customFormat="1">
      <c r="A6347" s="1662" t="s">
        <v>2775</v>
      </c>
      <c r="B6347" s="4326"/>
      <c r="C6347" s="3351"/>
      <c r="D6347" s="4328"/>
      <c r="E6347" s="4330"/>
      <c r="F6347" s="4336"/>
      <c r="G6347" s="4332"/>
      <c r="H6347" s="4332"/>
      <c r="I6347" s="1345">
        <v>4</v>
      </c>
      <c r="J6347" s="1307">
        <v>2E-3</v>
      </c>
      <c r="K6347" s="1297">
        <f>I6347*J6347</f>
        <v>8.0000000000000002E-3</v>
      </c>
      <c r="L6347" s="4334"/>
      <c r="M6347" s="4335"/>
      <c r="N6347" s="4324"/>
      <c r="O6347" s="1298">
        <f>SUM(O6349:O6359)</f>
        <v>38.730499999999999</v>
      </c>
      <c r="P6347" s="1337">
        <f>O6347*K6347</f>
        <v>0.30984400000000001</v>
      </c>
      <c r="Q6347" s="3390"/>
      <c r="R6347" s="1721">
        <f>SUM(P6349:P6359)</f>
        <v>0.30984400000000001</v>
      </c>
    </row>
    <row r="6348" spans="1:18" s="16" customFormat="1">
      <c r="A6348" s="1320"/>
      <c r="B6348" s="1949"/>
      <c r="C6348" s="1327"/>
      <c r="D6348" s="1367"/>
      <c r="E6348" s="2121"/>
      <c r="F6348" s="1389" t="s">
        <v>1</v>
      </c>
      <c r="G6348" s="1389"/>
      <c r="H6348" s="1369"/>
      <c r="I6348" s="2088"/>
      <c r="J6348" s="1369"/>
      <c r="K6348" s="1391"/>
      <c r="L6348" s="2089"/>
      <c r="M6348" s="1369"/>
      <c r="N6348" s="1369"/>
      <c r="O6348" s="1369"/>
      <c r="P6348" s="1392"/>
      <c r="Q6348" s="3395"/>
      <c r="R6348" s="2339"/>
    </row>
    <row r="6349" spans="1:18" s="16" customFormat="1">
      <c r="A6349" s="1320"/>
      <c r="B6349" s="1599"/>
      <c r="C6349" s="1320"/>
      <c r="D6349" s="1598" t="s">
        <v>2164</v>
      </c>
      <c r="E6349" s="2154" t="s">
        <v>1504</v>
      </c>
      <c r="F6349" s="1598" t="s">
        <v>2165</v>
      </c>
      <c r="G6349" s="1612">
        <v>1</v>
      </c>
      <c r="H6349" s="1369"/>
      <c r="I6349" s="1299"/>
      <c r="J6349" s="1300"/>
      <c r="K6349" s="1307">
        <f>G6349*K6347</f>
        <v>8.0000000000000002E-3</v>
      </c>
      <c r="L6349" s="1335">
        <f>K6349*$K$6237</f>
        <v>0</v>
      </c>
      <c r="M6349" s="1302">
        <v>32</v>
      </c>
      <c r="N6349" s="1700"/>
      <c r="O6349" s="1290">
        <f>G6349*M6349</f>
        <v>32</v>
      </c>
      <c r="P6349" s="1332">
        <f>M6349*K6349</f>
        <v>0.25600000000000001</v>
      </c>
      <c r="Q6349" s="3391"/>
      <c r="R6349" s="2339"/>
    </row>
    <row r="6350" spans="1:18" s="16" customFormat="1">
      <c r="A6350" s="1042"/>
      <c r="B6350" s="1599"/>
      <c r="C6350" s="1042"/>
      <c r="D6350" s="1672"/>
      <c r="E6350" s="2160"/>
      <c r="F6350" s="1673"/>
      <c r="G6350" s="1673"/>
      <c r="H6350" s="1674"/>
      <c r="I6350" s="1299"/>
      <c r="J6350" s="1300"/>
      <c r="K6350" s="1307" t="str">
        <f t="shared" ref="K6350:K6351" si="836">IF(COUNT(I6350)=0,"",(I6350*J6350))</f>
        <v/>
      </c>
      <c r="L6350" s="1335"/>
      <c r="M6350" s="1302"/>
      <c r="N6350" s="1700"/>
      <c r="O6350" s="1290"/>
      <c r="P6350" s="1332"/>
      <c r="Q6350" s="3391"/>
      <c r="R6350" s="2339"/>
    </row>
    <row r="6351" spans="1:18" s="16" customFormat="1">
      <c r="A6351" s="1042"/>
      <c r="B6351" s="1599"/>
      <c r="C6351" s="1042"/>
      <c r="D6351" s="1367"/>
      <c r="E6351" s="2121"/>
      <c r="F6351" s="1436"/>
      <c r="G6351" s="1436"/>
      <c r="H6351" s="1369"/>
      <c r="I6351" s="1299" t="str">
        <f t="shared" ref="I6351" ca="1" si="837">IF(COUNT(H6351:O6351)=0,"",(SUM(H6351:O6351)/COUNT(H6351:O6351)))</f>
        <v/>
      </c>
      <c r="J6351" s="1300"/>
      <c r="K6351" s="1307" t="str">
        <f t="shared" ca="1" si="836"/>
        <v/>
      </c>
      <c r="L6351" s="1335"/>
      <c r="M6351" s="1302"/>
      <c r="N6351" s="1700"/>
      <c r="O6351" s="1290"/>
      <c r="P6351" s="1332"/>
      <c r="Q6351" s="3391"/>
      <c r="R6351" s="2339"/>
    </row>
    <row r="6352" spans="1:18" s="16" customFormat="1">
      <c r="A6352" s="1042"/>
      <c r="B6352" s="1599"/>
      <c r="C6352" s="1042"/>
      <c r="D6352" s="1359"/>
      <c r="E6352" s="1858"/>
      <c r="F6352" s="1360" t="s">
        <v>2</v>
      </c>
      <c r="G6352" s="1360"/>
      <c r="H6352" s="1362"/>
      <c r="I6352" s="1380"/>
      <c r="J6352" s="1381"/>
      <c r="K6352" s="1381"/>
      <c r="L6352" s="1458"/>
      <c r="M6352" s="1362"/>
      <c r="N6352" s="1362"/>
      <c r="O6352" s="1362"/>
      <c r="P6352" s="1359"/>
      <c r="Q6352" s="3387"/>
      <c r="R6352" s="2339"/>
    </row>
    <row r="6353" spans="1:18" s="16" customFormat="1">
      <c r="A6353" s="1599"/>
      <c r="B6353" s="1320"/>
      <c r="D6353" s="1359" t="s">
        <v>1593</v>
      </c>
      <c r="E6353" s="1858" t="s">
        <v>1508</v>
      </c>
      <c r="F6353" s="1404" t="s">
        <v>2146</v>
      </c>
      <c r="G6353" s="1404">
        <v>0.35</v>
      </c>
      <c r="H6353" s="1359"/>
      <c r="I6353" s="1289"/>
      <c r="J6353" s="8"/>
      <c r="K6353" s="1307">
        <f>G6353*K6347</f>
        <v>2.8E-3</v>
      </c>
      <c r="L6353" s="1335">
        <f>K6353*$K$6237</f>
        <v>0</v>
      </c>
      <c r="M6353" s="1302">
        <v>19.23</v>
      </c>
      <c r="N6353" s="1700"/>
      <c r="O6353" s="1290">
        <f>G6353*M6353</f>
        <v>6.7305000000000001</v>
      </c>
      <c r="P6353" s="1332">
        <f>M6353*K6353</f>
        <v>5.3844000000000003E-2</v>
      </c>
      <c r="Q6353" s="3391"/>
      <c r="R6353" s="2339"/>
    </row>
    <row r="6354" spans="1:18" s="16" customFormat="1">
      <c r="A6354" s="1320"/>
      <c r="B6354" s="1599"/>
      <c r="C6354" s="1320"/>
      <c r="D6354" s="1359"/>
      <c r="E6354" s="1858"/>
      <c r="F6354" s="1404"/>
      <c r="G6354" s="1404"/>
      <c r="H6354" s="1359"/>
      <c r="I6354" s="1299"/>
      <c r="J6354" s="1300"/>
      <c r="K6354" s="1307"/>
      <c r="L6354" s="1335"/>
      <c r="M6354" s="1302"/>
      <c r="N6354" s="1700"/>
      <c r="O6354" s="1290"/>
      <c r="P6354" s="1332"/>
      <c r="Q6354" s="3391"/>
      <c r="R6354" s="2339"/>
    </row>
    <row r="6355" spans="1:18" s="16" customFormat="1">
      <c r="A6355" s="1320"/>
      <c r="B6355" s="1599"/>
      <c r="C6355" s="1320"/>
      <c r="D6355" s="1359"/>
      <c r="E6355" s="1858"/>
      <c r="F6355" s="1361"/>
      <c r="G6355" s="1361"/>
      <c r="H6355" s="1466"/>
      <c r="I6355" s="1299"/>
      <c r="J6355" s="1300"/>
      <c r="K6355" s="1307" t="str">
        <f>IF(COUNT(I6355)=0,"",(I6355*J6355))</f>
        <v/>
      </c>
      <c r="L6355" s="1335"/>
      <c r="M6355" s="1302"/>
      <c r="N6355" s="1700"/>
      <c r="O6355" s="1290"/>
      <c r="P6355" s="1332"/>
      <c r="Q6355" s="3391"/>
      <c r="R6355" s="2339"/>
    </row>
    <row r="6356" spans="1:18" s="16" customFormat="1">
      <c r="A6356" s="1320"/>
      <c r="B6356" s="1599"/>
      <c r="C6356" s="1320"/>
      <c r="D6356" s="1373"/>
      <c r="E6356" s="2123"/>
      <c r="F6356" s="1374" t="s">
        <v>3</v>
      </c>
      <c r="G6356" s="1375"/>
      <c r="H6356" s="1376"/>
      <c r="I6356" s="1382"/>
      <c r="J6356" s="1383"/>
      <c r="K6356" s="1383" t="str">
        <f>IF(COUNT(I6356)=0,"",(I6356*J6356))</f>
        <v/>
      </c>
      <c r="L6356" s="1413"/>
      <c r="M6356" s="1376"/>
      <c r="N6356" s="1376"/>
      <c r="O6356" s="1376"/>
      <c r="P6356" s="1373"/>
      <c r="Q6356" s="3387"/>
      <c r="R6356" s="2339"/>
    </row>
    <row r="6357" spans="1:18" s="16" customFormat="1">
      <c r="A6357" s="1321"/>
      <c r="B6357" s="2053"/>
      <c r="C6357" s="1321"/>
      <c r="D6357" s="1377"/>
      <c r="E6357" s="2124"/>
      <c r="F6357" s="1378"/>
      <c r="G6357" s="1378"/>
      <c r="H6357" s="1379"/>
      <c r="I6357" s="1299"/>
      <c r="J6357" s="1300"/>
      <c r="K6357" s="1307"/>
      <c r="L6357" s="1335"/>
      <c r="M6357" s="1302"/>
      <c r="N6357" s="1700"/>
      <c r="O6357" s="1290"/>
      <c r="P6357" s="1332"/>
      <c r="Q6357" s="3391"/>
      <c r="R6357" s="2339"/>
    </row>
    <row r="6358" spans="1:18" s="16" customFormat="1">
      <c r="A6358" s="1321"/>
      <c r="B6358" s="2053"/>
      <c r="C6358" s="1321"/>
      <c r="D6358" s="1377"/>
      <c r="E6358" s="2124"/>
      <c r="F6358" s="1378"/>
      <c r="G6358" s="1378"/>
      <c r="H6358" s="1379"/>
      <c r="I6358" s="1299"/>
      <c r="J6358" s="1300"/>
      <c r="K6358" s="1307"/>
      <c r="L6358" s="1335"/>
      <c r="M6358" s="1302"/>
      <c r="N6358" s="1700"/>
      <c r="O6358" s="1290"/>
      <c r="P6358" s="1333"/>
      <c r="Q6358" s="3391"/>
      <c r="R6358" s="2339"/>
    </row>
    <row r="6359" spans="1:18" s="16" customFormat="1">
      <c r="A6359" s="1042"/>
      <c r="B6359" s="1765"/>
      <c r="C6359" s="223"/>
      <c r="D6359" s="1373"/>
      <c r="E6359" s="2161"/>
      <c r="F6359" s="1678"/>
      <c r="G6359" s="1678"/>
      <c r="H6359" s="1376"/>
      <c r="I6359" s="1299"/>
      <c r="J6359" s="1300"/>
      <c r="K6359" s="1307"/>
      <c r="L6359" s="1335"/>
      <c r="M6359" s="1302"/>
      <c r="N6359" s="1700"/>
      <c r="O6359" s="1290"/>
      <c r="P6359" s="1332"/>
      <c r="Q6359" s="3391"/>
      <c r="R6359" s="2339"/>
    </row>
    <row r="6360" spans="1:18" s="16" customFormat="1">
      <c r="A6360" s="18" t="s">
        <v>3764</v>
      </c>
      <c r="B6360" s="4325" t="s">
        <v>2166</v>
      </c>
      <c r="C6360" s="3350"/>
      <c r="D6360" s="4327"/>
      <c r="E6360" s="4329" t="s">
        <v>1527</v>
      </c>
      <c r="F6360" s="4336" t="s">
        <v>2167</v>
      </c>
      <c r="G6360" s="4331" t="s">
        <v>1568</v>
      </c>
      <c r="H6360" s="4331" t="s">
        <v>1574</v>
      </c>
      <c r="I6360" s="1572" t="s">
        <v>1559</v>
      </c>
      <c r="J6360" s="1294" t="s">
        <v>1560</v>
      </c>
      <c r="K6360" s="1294" t="s">
        <v>1569</v>
      </c>
      <c r="L6360" s="4333" t="s">
        <v>3765</v>
      </c>
      <c r="M6360" s="4335" t="s">
        <v>1571</v>
      </c>
      <c r="N6360" s="4323" t="s">
        <v>1776</v>
      </c>
      <c r="O6360" s="3347" t="s">
        <v>1563</v>
      </c>
      <c r="P6360" s="1336" t="s">
        <v>1562</v>
      </c>
      <c r="Q6360" s="3389"/>
      <c r="R6360" s="1699" t="s">
        <v>1327</v>
      </c>
    </row>
    <row r="6361" spans="1:18" s="16" customFormat="1">
      <c r="A6361" s="1662" t="s">
        <v>2775</v>
      </c>
      <c r="B6361" s="4326"/>
      <c r="C6361" s="3351"/>
      <c r="D6361" s="4328"/>
      <c r="E6361" s="4330"/>
      <c r="F6361" s="4336"/>
      <c r="G6361" s="4332"/>
      <c r="H6361" s="4332"/>
      <c r="I6361" s="1345">
        <v>202.8</v>
      </c>
      <c r="J6361" s="1307">
        <v>2E-3</v>
      </c>
      <c r="K6361" s="1297">
        <f>I6361*J6361</f>
        <v>0.40560000000000002</v>
      </c>
      <c r="L6361" s="4334"/>
      <c r="M6361" s="4335"/>
      <c r="N6361" s="4324"/>
      <c r="O6361" s="1298">
        <f>SUM(O6363:O6370)</f>
        <v>3.75908</v>
      </c>
      <c r="P6361" s="1337">
        <f>O6361*K6361</f>
        <v>1.5246828480000001</v>
      </c>
      <c r="Q6361" s="3390"/>
      <c r="R6361" s="1721">
        <f>SUM(P6363:P6370)</f>
        <v>1.5246828480000001</v>
      </c>
    </row>
    <row r="6362" spans="1:18" s="16" customFormat="1">
      <c r="A6362" s="1599"/>
      <c r="B6362" s="1327"/>
      <c r="C6362" s="1511"/>
      <c r="D6362" s="1367"/>
      <c r="E6362" s="2121"/>
      <c r="F6362" s="1389" t="s">
        <v>1</v>
      </c>
      <c r="G6362" s="1389"/>
      <c r="H6362" s="1369"/>
      <c r="I6362" s="2088"/>
      <c r="J6362" s="1369"/>
      <c r="K6362" s="1391"/>
      <c r="L6362" s="2089"/>
      <c r="M6362" s="1369"/>
      <c r="N6362" s="1369"/>
      <c r="O6362" s="1369"/>
      <c r="P6362" s="1392"/>
      <c r="Q6362" s="3395"/>
      <c r="R6362" s="2339"/>
    </row>
    <row r="6363" spans="1:18" s="16" customFormat="1">
      <c r="A6363" s="1599"/>
      <c r="B6363" s="1320"/>
      <c r="C6363" s="595"/>
      <c r="D6363" s="1598" t="s">
        <v>1252</v>
      </c>
      <c r="E6363" s="2154" t="s">
        <v>1527</v>
      </c>
      <c r="F6363" s="1598" t="s">
        <v>2168</v>
      </c>
      <c r="G6363" s="1612">
        <v>1.01</v>
      </c>
      <c r="H6363" s="1369"/>
      <c r="I6363" s="1299"/>
      <c r="J6363" s="1300"/>
      <c r="K6363" s="1307">
        <f>G6363*K6361</f>
        <v>0.40965600000000002</v>
      </c>
      <c r="L6363" s="1335">
        <f t="shared" ref="L6363:L6366" si="838">K6363*$K$6237</f>
        <v>0</v>
      </c>
      <c r="M6363" s="1302">
        <v>0.16</v>
      </c>
      <c r="N6363" s="1700"/>
      <c r="O6363" s="1290">
        <f>G6363*M6363</f>
        <v>0.16159999999999999</v>
      </c>
      <c r="P6363" s="1332">
        <f>M6363*K6363</f>
        <v>6.5544959999999999E-2</v>
      </c>
      <c r="Q6363" s="3391"/>
      <c r="R6363" s="2339"/>
    </row>
    <row r="6364" spans="1:18" s="16" customFormat="1">
      <c r="A6364" s="553"/>
      <c r="B6364" s="1320"/>
      <c r="C6364" s="88"/>
      <c r="D6364" s="1598" t="s">
        <v>1245</v>
      </c>
      <c r="E6364" s="2154" t="s">
        <v>1527</v>
      </c>
      <c r="F6364" s="1598" t="s">
        <v>2169</v>
      </c>
      <c r="G6364" s="1612">
        <v>3.03</v>
      </c>
      <c r="H6364" s="1674"/>
      <c r="I6364" s="1299"/>
      <c r="J6364" s="1300"/>
      <c r="K6364" s="1307">
        <f>G6364*K6361</f>
        <v>1.2289680000000001</v>
      </c>
      <c r="L6364" s="1335">
        <f t="shared" si="838"/>
        <v>0</v>
      </c>
      <c r="M6364" s="1302">
        <v>0.42</v>
      </c>
      <c r="N6364" s="1700"/>
      <c r="O6364" s="1290">
        <f>G6364*M6364</f>
        <v>1.2726</v>
      </c>
      <c r="P6364" s="1332">
        <f>M6364*K6364</f>
        <v>0.51616656000000005</v>
      </c>
      <c r="Q6364" s="3391"/>
      <c r="R6364" s="2339"/>
    </row>
    <row r="6365" spans="1:18" s="16" customFormat="1">
      <c r="A6365" s="553"/>
      <c r="B6365" s="1320"/>
      <c r="C6365" s="88"/>
      <c r="D6365" s="1598" t="s">
        <v>1082</v>
      </c>
      <c r="E6365" s="2154" t="s">
        <v>1504</v>
      </c>
      <c r="F6365" s="1598" t="s">
        <v>1541</v>
      </c>
      <c r="G6365" s="1612">
        <v>0.5</v>
      </c>
      <c r="H6365" s="1674"/>
      <c r="I6365" s="1299"/>
      <c r="J6365" s="1300"/>
      <c r="K6365" s="1307">
        <f>G6365*K6361</f>
        <v>0.20280000000000001</v>
      </c>
      <c r="L6365" s="1335">
        <f t="shared" si="838"/>
        <v>0</v>
      </c>
      <c r="M6365" s="1302">
        <v>0.3</v>
      </c>
      <c r="N6365" s="1700"/>
      <c r="O6365" s="1290">
        <f>G6365*M6365</f>
        <v>0.15</v>
      </c>
      <c r="P6365" s="1332">
        <f>M6365*K6365</f>
        <v>6.0839999999999998E-2</v>
      </c>
      <c r="Q6365" s="3391"/>
      <c r="R6365" s="2339"/>
    </row>
    <row r="6366" spans="1:18" s="16" customFormat="1">
      <c r="A6366" s="553"/>
      <c r="B6366" s="1320"/>
      <c r="C6366" s="88"/>
      <c r="D6366" s="1598" t="s">
        <v>1097</v>
      </c>
      <c r="E6366" s="2154" t="s">
        <v>1504</v>
      </c>
      <c r="F6366" s="1598" t="s">
        <v>1632</v>
      </c>
      <c r="G6366" s="1612">
        <v>0.3</v>
      </c>
      <c r="H6366" s="1674"/>
      <c r="I6366" s="1299"/>
      <c r="J6366" s="1300"/>
      <c r="K6366" s="1307">
        <f>G6366*K6361</f>
        <v>0.12168</v>
      </c>
      <c r="L6366" s="1335">
        <f t="shared" si="838"/>
        <v>0</v>
      </c>
      <c r="M6366" s="1302">
        <v>0.55000000000000004</v>
      </c>
      <c r="N6366" s="1700"/>
      <c r="O6366" s="1290">
        <f>G6366*M6366</f>
        <v>0.16500000000000001</v>
      </c>
      <c r="P6366" s="1332">
        <f>M6366*K6366</f>
        <v>6.6923999999999997E-2</v>
      </c>
      <c r="Q6366" s="3391"/>
      <c r="R6366" s="2339"/>
    </row>
    <row r="6367" spans="1:18" s="16" customFormat="1">
      <c r="A6367" s="553"/>
      <c r="B6367" s="1320"/>
      <c r="C6367" s="88"/>
      <c r="D6367" s="1367"/>
      <c r="E6367" s="2121"/>
      <c r="F6367" s="1436"/>
      <c r="G6367" s="1436"/>
      <c r="H6367" s="1369"/>
      <c r="I6367" s="1299" t="str">
        <f t="shared" ref="I6367" ca="1" si="839">IF(COUNT(H6367:O6367)=0,"",(SUM(H6367:O6367)/COUNT(H6367:O6367)))</f>
        <v/>
      </c>
      <c r="J6367" s="1300"/>
      <c r="K6367" s="1307" t="str">
        <f t="shared" ref="K6367" ca="1" si="840">IF(COUNT(I6367)=0,"",(I6367*J6367))</f>
        <v/>
      </c>
      <c r="L6367" s="1335"/>
      <c r="M6367" s="1302"/>
      <c r="N6367" s="1700"/>
      <c r="O6367" s="1290"/>
      <c r="P6367" s="1332"/>
      <c r="Q6367" s="3391"/>
      <c r="R6367" s="2339"/>
    </row>
    <row r="6368" spans="1:18" s="16" customFormat="1">
      <c r="A6368" s="553"/>
      <c r="B6368" s="1320"/>
      <c r="C6368" s="88"/>
      <c r="D6368" s="1359"/>
      <c r="E6368" s="1858"/>
      <c r="F6368" s="1360" t="s">
        <v>2</v>
      </c>
      <c r="G6368" s="1360"/>
      <c r="H6368" s="1362"/>
      <c r="I6368" s="1380"/>
      <c r="J6368" s="1381"/>
      <c r="K6368" s="1381"/>
      <c r="L6368" s="1458"/>
      <c r="M6368" s="1362"/>
      <c r="N6368" s="1362"/>
      <c r="O6368" s="1362"/>
      <c r="P6368" s="1359"/>
      <c r="Q6368" s="3387"/>
      <c r="R6368" s="2339"/>
    </row>
    <row r="6369" spans="1:18" s="16" customFormat="1">
      <c r="A6369" s="1599"/>
      <c r="B6369" s="1320"/>
      <c r="D6369" s="1359" t="s">
        <v>1593</v>
      </c>
      <c r="E6369" s="1858" t="s">
        <v>1508</v>
      </c>
      <c r="F6369" s="1404" t="s">
        <v>2146</v>
      </c>
      <c r="G6369" s="1404">
        <v>4.5999999999999999E-2</v>
      </c>
      <c r="H6369" s="1359"/>
      <c r="I6369" s="1289"/>
      <c r="J6369" s="8"/>
      <c r="K6369" s="1307">
        <f>G6369*K6361</f>
        <v>1.86576E-2</v>
      </c>
      <c r="L6369" s="1335">
        <f>K6369*$K$6237</f>
        <v>0</v>
      </c>
      <c r="M6369" s="1302">
        <v>19.23</v>
      </c>
      <c r="N6369" s="1700"/>
      <c r="O6369" s="1290">
        <f>G6369*M6369</f>
        <v>0.88458000000000003</v>
      </c>
      <c r="P6369" s="1332">
        <f>M6369*K6369</f>
        <v>0.35878564800000001</v>
      </c>
      <c r="Q6369" s="3391"/>
      <c r="R6369" s="2339"/>
    </row>
    <row r="6370" spans="1:18">
      <c r="B6370" s="1042"/>
      <c r="C6370" s="2086" t="s">
        <v>1755</v>
      </c>
      <c r="D6370" s="1311"/>
      <c r="E6370" s="2176" t="s">
        <v>1508</v>
      </c>
      <c r="F6370" s="1648" t="s">
        <v>1524</v>
      </c>
      <c r="G6370" s="1990"/>
      <c r="H6370" s="1456">
        <v>0.03</v>
      </c>
      <c r="I6370" s="1444"/>
      <c r="J6370" s="1388"/>
      <c r="K6370" s="1445"/>
      <c r="L6370" s="1457"/>
      <c r="M6370" s="1447"/>
      <c r="N6370" s="1447">
        <f>SUM(N6371:N6372)</f>
        <v>37.510000000000005</v>
      </c>
      <c r="O6370" s="1447">
        <f>SUM(O6371:O6372)</f>
        <v>1.1253</v>
      </c>
      <c r="P6370" s="1447">
        <f>SUM(P6371:P6372)</f>
        <v>0.45642168000000005</v>
      </c>
      <c r="Q6370" s="3391"/>
      <c r="R6370" s="2337"/>
    </row>
    <row r="6371" spans="1:18">
      <c r="B6371" s="1042"/>
      <c r="C6371" s="19"/>
      <c r="D6371" s="1430" t="s">
        <v>1067</v>
      </c>
      <c r="E6371" s="1857" t="s">
        <v>1508</v>
      </c>
      <c r="F6371" s="1403" t="s">
        <v>5</v>
      </c>
      <c r="G6371" s="1991">
        <v>1</v>
      </c>
      <c r="H6371" s="1408">
        <f>G6371*H6370</f>
        <v>0.03</v>
      </c>
      <c r="I6371" s="1286"/>
      <c r="J6371" s="198"/>
      <c r="K6371" s="1307">
        <f>H6371*K6361</f>
        <v>1.2168E-2</v>
      </c>
      <c r="L6371" s="1335">
        <f t="shared" ref="L6371:L6372" si="841">K6371*$K$6237</f>
        <v>0</v>
      </c>
      <c r="M6371" s="1302">
        <v>18.28</v>
      </c>
      <c r="N6371" s="1718">
        <f>G6371*M6371</f>
        <v>18.28</v>
      </c>
      <c r="O6371" s="1290">
        <f>H6371*M6371</f>
        <v>0.5484</v>
      </c>
      <c r="P6371" s="1720">
        <f>M6371*K6371</f>
        <v>0.22243104000000002</v>
      </c>
      <c r="Q6371" s="3396"/>
      <c r="R6371" s="2337"/>
    </row>
    <row r="6372" spans="1:18">
      <c r="B6372" s="1042"/>
      <c r="C6372" s="19"/>
      <c r="D6372" s="1430" t="s">
        <v>1077</v>
      </c>
      <c r="E6372" s="1857" t="s">
        <v>1508</v>
      </c>
      <c r="F6372" s="1403" t="s">
        <v>37</v>
      </c>
      <c r="G6372" s="1991">
        <v>1</v>
      </c>
      <c r="H6372" s="1408">
        <f>G6372*H6370</f>
        <v>0.03</v>
      </c>
      <c r="I6372" s="197"/>
      <c r="J6372" s="198"/>
      <c r="K6372" s="1307">
        <f>H6372*K6361</f>
        <v>1.2168E-2</v>
      </c>
      <c r="L6372" s="1335">
        <f t="shared" si="841"/>
        <v>0</v>
      </c>
      <c r="M6372" s="1302">
        <v>19.23</v>
      </c>
      <c r="N6372" s="1718">
        <f>G6372*M6372</f>
        <v>19.23</v>
      </c>
      <c r="O6372" s="1290">
        <f>H6372*M6372</f>
        <v>0.57689999999999997</v>
      </c>
      <c r="P6372" s="1720">
        <f>M6372*K6372</f>
        <v>0.23399064</v>
      </c>
      <c r="Q6372" s="3396"/>
      <c r="R6372" s="2337"/>
    </row>
    <row r="6373" spans="1:18">
      <c r="B6373" s="1320"/>
      <c r="C6373" s="16"/>
      <c r="D6373" s="1359"/>
      <c r="E6373" s="1858"/>
      <c r="F6373" s="1361"/>
      <c r="G6373" s="1361"/>
      <c r="H6373" s="1466"/>
      <c r="I6373" s="1289"/>
      <c r="J6373" s="8"/>
      <c r="K6373" s="1307" t="str">
        <f>IF(COUNT(I6373)=0,"",(I6373*J6373))</f>
        <v/>
      </c>
      <c r="L6373" s="1335"/>
      <c r="M6373" s="1302"/>
      <c r="N6373" s="1700"/>
      <c r="O6373" s="1290"/>
      <c r="P6373" s="1332"/>
      <c r="Q6373" s="3391"/>
      <c r="R6373" s="1296"/>
    </row>
    <row r="6374" spans="1:18" s="16" customFormat="1">
      <c r="A6374" s="1599"/>
      <c r="B6374" s="1320"/>
      <c r="C6374" s="595"/>
      <c r="D6374" s="1359"/>
      <c r="E6374" s="1858"/>
      <c r="F6374" s="1361"/>
      <c r="G6374" s="1361"/>
      <c r="H6374" s="1466"/>
      <c r="I6374" s="1299"/>
      <c r="J6374" s="1300"/>
      <c r="K6374" s="1307" t="str">
        <f>IF(COUNT(I6374)=0,"",(I6374*J6374))</f>
        <v/>
      </c>
      <c r="L6374" s="1335"/>
      <c r="M6374" s="1302"/>
      <c r="N6374" s="1700"/>
      <c r="O6374" s="1290"/>
      <c r="P6374" s="1332"/>
      <c r="Q6374" s="3391"/>
      <c r="R6374" s="2339"/>
    </row>
    <row r="6375" spans="1:18" s="16" customFormat="1">
      <c r="A6375" s="1599"/>
      <c r="B6375" s="1320"/>
      <c r="C6375" s="595"/>
      <c r="D6375" s="1373"/>
      <c r="E6375" s="2123"/>
      <c r="F6375" s="1374" t="s">
        <v>3</v>
      </c>
      <c r="G6375" s="1375"/>
      <c r="H6375" s="1376"/>
      <c r="I6375" s="1382"/>
      <c r="J6375" s="1383"/>
      <c r="K6375" s="1383" t="str">
        <f>IF(COUNT(I6375)=0,"",(I6375*J6375))</f>
        <v/>
      </c>
      <c r="L6375" s="1413"/>
      <c r="M6375" s="1376"/>
      <c r="N6375" s="1376"/>
      <c r="O6375" s="1376"/>
      <c r="P6375" s="1373"/>
      <c r="Q6375" s="3387"/>
      <c r="R6375" s="2339"/>
    </row>
    <row r="6376" spans="1:18" s="16" customFormat="1">
      <c r="A6376" s="2053"/>
      <c r="B6376" s="1321"/>
      <c r="C6376" s="2021"/>
      <c r="D6376" s="1377"/>
      <c r="E6376" s="2124"/>
      <c r="F6376" s="1378"/>
      <c r="G6376" s="1378"/>
      <c r="H6376" s="1379"/>
      <c r="I6376" s="1299"/>
      <c r="J6376" s="1300"/>
      <c r="K6376" s="1307"/>
      <c r="L6376" s="1335"/>
      <c r="M6376" s="1302"/>
      <c r="N6376" s="1700"/>
      <c r="O6376" s="1290"/>
      <c r="P6376" s="1332"/>
      <c r="Q6376" s="3391"/>
      <c r="R6376" s="2339"/>
    </row>
    <row r="6377" spans="1:18" s="16" customFormat="1">
      <c r="A6377" s="2053"/>
      <c r="B6377" s="1321"/>
      <c r="C6377" s="2021"/>
      <c r="D6377" s="1377"/>
      <c r="E6377" s="2124"/>
      <c r="F6377" s="1378"/>
      <c r="G6377" s="1378"/>
      <c r="H6377" s="1379"/>
      <c r="I6377" s="1299"/>
      <c r="J6377" s="1300"/>
      <c r="K6377" s="1307"/>
      <c r="L6377" s="1335"/>
      <c r="M6377" s="1302"/>
      <c r="N6377" s="1700"/>
      <c r="O6377" s="1290"/>
      <c r="P6377" s="1333"/>
      <c r="Q6377" s="3391"/>
      <c r="R6377" s="2339"/>
    </row>
    <row r="6378" spans="1:18" s="16" customFormat="1">
      <c r="A6378" s="553"/>
      <c r="B6378" s="225"/>
      <c r="C6378" s="581"/>
      <c r="D6378" s="1373"/>
      <c r="E6378" s="2161"/>
      <c r="F6378" s="1678"/>
      <c r="G6378" s="1678"/>
      <c r="H6378" s="1376"/>
      <c r="I6378" s="1299"/>
      <c r="J6378" s="1300"/>
      <c r="K6378" s="1307"/>
      <c r="L6378" s="1335"/>
      <c r="M6378" s="1302"/>
      <c r="N6378" s="1700"/>
      <c r="O6378" s="1290"/>
      <c r="P6378" s="1332"/>
      <c r="Q6378" s="3391"/>
      <c r="R6378" s="2339"/>
    </row>
    <row r="6379" spans="1:18" s="16" customFormat="1">
      <c r="A6379" s="18" t="s">
        <v>3764</v>
      </c>
      <c r="B6379" s="4325" t="s">
        <v>2170</v>
      </c>
      <c r="C6379" s="3350"/>
      <c r="D6379" s="4327"/>
      <c r="E6379" s="4329" t="s">
        <v>1527</v>
      </c>
      <c r="F6379" s="4336" t="s">
        <v>2171</v>
      </c>
      <c r="G6379" s="4331" t="s">
        <v>1568</v>
      </c>
      <c r="H6379" s="4331" t="s">
        <v>1574</v>
      </c>
      <c r="I6379" s="1572" t="s">
        <v>1559</v>
      </c>
      <c r="J6379" s="1294" t="s">
        <v>1560</v>
      </c>
      <c r="K6379" s="1294" t="s">
        <v>1569</v>
      </c>
      <c r="L6379" s="4333" t="s">
        <v>3765</v>
      </c>
      <c r="M6379" s="4335" t="s">
        <v>1571</v>
      </c>
      <c r="N6379" s="4323" t="s">
        <v>1776</v>
      </c>
      <c r="O6379" s="3347" t="s">
        <v>1563</v>
      </c>
      <c r="P6379" s="1336" t="s">
        <v>1562</v>
      </c>
      <c r="Q6379" s="3389"/>
      <c r="R6379" s="1699" t="s">
        <v>1327</v>
      </c>
    </row>
    <row r="6380" spans="1:18" s="16" customFormat="1">
      <c r="A6380" s="1662" t="s">
        <v>2775</v>
      </c>
      <c r="B6380" s="4326"/>
      <c r="C6380" s="3351"/>
      <c r="D6380" s="4328"/>
      <c r="E6380" s="4330"/>
      <c r="F6380" s="4336"/>
      <c r="G6380" s="4332"/>
      <c r="H6380" s="4332"/>
      <c r="I6380" s="1345">
        <v>156</v>
      </c>
      <c r="J6380" s="1307">
        <v>2E-3</v>
      </c>
      <c r="K6380" s="1297">
        <f>I6380*J6380</f>
        <v>0.312</v>
      </c>
      <c r="L6380" s="4334"/>
      <c r="M6380" s="4335"/>
      <c r="N6380" s="4324"/>
      <c r="O6380" s="1298">
        <f>SUM(O6382:O6389)</f>
        <v>4.5165800000000003</v>
      </c>
      <c r="P6380" s="1337">
        <f>O6380*K6380</f>
        <v>1.40917296</v>
      </c>
      <c r="Q6380" s="3390"/>
      <c r="R6380" s="1721">
        <f>SUM(P6382:P6389)</f>
        <v>1.40917296</v>
      </c>
    </row>
    <row r="6381" spans="1:18" s="16" customFormat="1">
      <c r="A6381" s="1599"/>
      <c r="B6381" s="1327"/>
      <c r="C6381" s="1511"/>
      <c r="D6381" s="1367"/>
      <c r="E6381" s="2121"/>
      <c r="F6381" s="1389" t="s">
        <v>1</v>
      </c>
      <c r="G6381" s="1389"/>
      <c r="H6381" s="1369"/>
      <c r="I6381" s="2088"/>
      <c r="J6381" s="1369"/>
      <c r="K6381" s="1391"/>
      <c r="L6381" s="2089"/>
      <c r="M6381" s="1369"/>
      <c r="N6381" s="1369"/>
      <c r="O6381" s="1369"/>
      <c r="P6381" s="1392"/>
      <c r="Q6381" s="3395"/>
      <c r="R6381" s="2339"/>
    </row>
    <row r="6382" spans="1:18" s="16" customFormat="1">
      <c r="A6382" s="1599"/>
      <c r="B6382" s="1320"/>
      <c r="C6382" s="595"/>
      <c r="D6382" s="1598" t="s">
        <v>1252</v>
      </c>
      <c r="E6382" s="2154" t="s">
        <v>1527</v>
      </c>
      <c r="F6382" s="1598" t="s">
        <v>2168</v>
      </c>
      <c r="G6382" s="1612">
        <v>1.01</v>
      </c>
      <c r="H6382" s="1369"/>
      <c r="I6382" s="1299"/>
      <c r="J6382" s="1300"/>
      <c r="K6382" s="1307">
        <f>G6382*K6380</f>
        <v>0.31512000000000001</v>
      </c>
      <c r="L6382" s="1335">
        <f t="shared" ref="L6382:L6385" si="842">K6382*$K$6237</f>
        <v>0</v>
      </c>
      <c r="M6382" s="1302">
        <v>0.16</v>
      </c>
      <c r="N6382" s="1700"/>
      <c r="O6382" s="1290">
        <f>G6382*M6382</f>
        <v>0.16159999999999999</v>
      </c>
      <c r="P6382" s="1332">
        <f>M6382*K6382</f>
        <v>5.0419200000000004E-2</v>
      </c>
      <c r="Q6382" s="3391"/>
      <c r="R6382" s="2339"/>
    </row>
    <row r="6383" spans="1:18" s="16" customFormat="1">
      <c r="A6383" s="553"/>
      <c r="B6383" s="1320"/>
      <c r="C6383" s="88"/>
      <c r="D6383" s="1598" t="s">
        <v>2172</v>
      </c>
      <c r="E6383" s="2154" t="s">
        <v>1527</v>
      </c>
      <c r="F6383" s="1598" t="s">
        <v>2173</v>
      </c>
      <c r="G6383" s="1612">
        <v>3.03</v>
      </c>
      <c r="H6383" s="1674"/>
      <c r="I6383" s="1299"/>
      <c r="J6383" s="1300"/>
      <c r="K6383" s="1307">
        <f>G6383*K6380</f>
        <v>0.94535999999999998</v>
      </c>
      <c r="L6383" s="1335">
        <f t="shared" si="842"/>
        <v>0</v>
      </c>
      <c r="M6383" s="1302">
        <v>0.67</v>
      </c>
      <c r="N6383" s="1700"/>
      <c r="O6383" s="1290">
        <f>G6383*M6383</f>
        <v>2.0301</v>
      </c>
      <c r="P6383" s="1332">
        <f>M6383*K6383</f>
        <v>0.63339120000000004</v>
      </c>
      <c r="Q6383" s="3391"/>
      <c r="R6383" s="2339"/>
    </row>
    <row r="6384" spans="1:18" s="16" customFormat="1">
      <c r="A6384" s="553"/>
      <c r="B6384" s="1320"/>
      <c r="C6384" s="88"/>
      <c r="D6384" s="1598" t="s">
        <v>1082</v>
      </c>
      <c r="E6384" s="2154" t="s">
        <v>1504</v>
      </c>
      <c r="F6384" s="1598" t="s">
        <v>1541</v>
      </c>
      <c r="G6384" s="1612">
        <v>0.5</v>
      </c>
      <c r="H6384" s="1674"/>
      <c r="I6384" s="1299"/>
      <c r="J6384" s="1300"/>
      <c r="K6384" s="1307">
        <f>G6384*K6380</f>
        <v>0.156</v>
      </c>
      <c r="L6384" s="1335">
        <f t="shared" si="842"/>
        <v>0</v>
      </c>
      <c r="M6384" s="1302">
        <v>0.3</v>
      </c>
      <c r="N6384" s="1700"/>
      <c r="O6384" s="1290">
        <f>G6384*M6384</f>
        <v>0.15</v>
      </c>
      <c r="P6384" s="1332">
        <f>M6384*K6384</f>
        <v>4.6800000000000001E-2</v>
      </c>
      <c r="Q6384" s="3391"/>
      <c r="R6384" s="2339"/>
    </row>
    <row r="6385" spans="1:18" s="16" customFormat="1">
      <c r="A6385" s="553"/>
      <c r="B6385" s="1320"/>
      <c r="C6385" s="88"/>
      <c r="D6385" s="1598" t="s">
        <v>1097</v>
      </c>
      <c r="E6385" s="2154" t="s">
        <v>1504</v>
      </c>
      <c r="F6385" s="1598" t="s">
        <v>1632</v>
      </c>
      <c r="G6385" s="1612">
        <v>0.3</v>
      </c>
      <c r="H6385" s="1674"/>
      <c r="I6385" s="1299"/>
      <c r="J6385" s="1300"/>
      <c r="K6385" s="1307">
        <f>G6385*K6380</f>
        <v>9.3600000000000003E-2</v>
      </c>
      <c r="L6385" s="1335">
        <f t="shared" si="842"/>
        <v>0</v>
      </c>
      <c r="M6385" s="1302">
        <v>0.55000000000000004</v>
      </c>
      <c r="N6385" s="1700"/>
      <c r="O6385" s="1290">
        <f>G6385*M6385</f>
        <v>0.16500000000000001</v>
      </c>
      <c r="P6385" s="1332">
        <f>M6385*K6385</f>
        <v>5.1480000000000005E-2</v>
      </c>
      <c r="Q6385" s="3391"/>
      <c r="R6385" s="2339"/>
    </row>
    <row r="6386" spans="1:18" s="16" customFormat="1">
      <c r="A6386" s="553"/>
      <c r="B6386" s="1320"/>
      <c r="C6386" s="88"/>
      <c r="D6386" s="1367"/>
      <c r="E6386" s="2121"/>
      <c r="F6386" s="1436"/>
      <c r="G6386" s="1436"/>
      <c r="H6386" s="1369"/>
      <c r="I6386" s="1299" t="str">
        <f t="shared" ref="I6386" ca="1" si="843">IF(COUNT(H6386:O6386)=0,"",(SUM(H6386:O6386)/COUNT(H6386:O6386)))</f>
        <v/>
      </c>
      <c r="J6386" s="1300"/>
      <c r="K6386" s="1307" t="str">
        <f t="shared" ref="K6386" ca="1" si="844">IF(COUNT(I6386)=0,"",(I6386*J6386))</f>
        <v/>
      </c>
      <c r="L6386" s="1335"/>
      <c r="M6386" s="1302"/>
      <c r="N6386" s="1700"/>
      <c r="O6386" s="1290"/>
      <c r="P6386" s="1332"/>
      <c r="Q6386" s="3391"/>
      <c r="R6386" s="2339"/>
    </row>
    <row r="6387" spans="1:18" s="16" customFormat="1">
      <c r="A6387" s="553"/>
      <c r="B6387" s="1320"/>
      <c r="C6387" s="88"/>
      <c r="D6387" s="1359"/>
      <c r="E6387" s="1858"/>
      <c r="F6387" s="1360" t="s">
        <v>2</v>
      </c>
      <c r="G6387" s="1360"/>
      <c r="H6387" s="1362"/>
      <c r="I6387" s="1380"/>
      <c r="J6387" s="1381"/>
      <c r="K6387" s="1381"/>
      <c r="L6387" s="1458"/>
      <c r="M6387" s="1362"/>
      <c r="N6387" s="1362"/>
      <c r="O6387" s="1362"/>
      <c r="P6387" s="1359"/>
      <c r="Q6387" s="3387"/>
      <c r="R6387" s="2339"/>
    </row>
    <row r="6388" spans="1:18" s="16" customFormat="1">
      <c r="A6388" s="1599"/>
      <c r="B6388" s="1320"/>
      <c r="D6388" s="1359" t="s">
        <v>1593</v>
      </c>
      <c r="E6388" s="1858" t="s">
        <v>1508</v>
      </c>
      <c r="F6388" s="1404" t="s">
        <v>2146</v>
      </c>
      <c r="G6388" s="1404">
        <v>4.5999999999999999E-2</v>
      </c>
      <c r="H6388" s="1359"/>
      <c r="I6388" s="1289"/>
      <c r="J6388" s="8"/>
      <c r="K6388" s="1307">
        <f>G6388*K6380</f>
        <v>1.4352E-2</v>
      </c>
      <c r="L6388" s="1335">
        <f>K6388*$K$6237</f>
        <v>0</v>
      </c>
      <c r="M6388" s="1302">
        <v>19.23</v>
      </c>
      <c r="N6388" s="1700"/>
      <c r="O6388" s="1290">
        <f>G6388*M6388</f>
        <v>0.88458000000000003</v>
      </c>
      <c r="P6388" s="1332">
        <f>M6388*K6388</f>
        <v>0.27598896000000001</v>
      </c>
      <c r="Q6388" s="3391"/>
      <c r="R6388" s="2339"/>
    </row>
    <row r="6389" spans="1:18" s="16" customFormat="1">
      <c r="A6389"/>
      <c r="B6389" s="1042"/>
      <c r="C6389" s="2086" t="s">
        <v>1755</v>
      </c>
      <c r="D6389" s="1311"/>
      <c r="E6389" s="2176" t="s">
        <v>1508</v>
      </c>
      <c r="F6389" s="1648" t="s">
        <v>1524</v>
      </c>
      <c r="G6389" s="1990"/>
      <c r="H6389" s="1456">
        <v>0.03</v>
      </c>
      <c r="I6389" s="1444"/>
      <c r="J6389" s="1388"/>
      <c r="K6389" s="1445"/>
      <c r="L6389" s="1457"/>
      <c r="M6389" s="1447"/>
      <c r="N6389" s="1447">
        <f>SUM(N6390:N6391)</f>
        <v>37.510000000000005</v>
      </c>
      <c r="O6389" s="1447">
        <f>SUM(O6390:O6391)</f>
        <v>1.1253</v>
      </c>
      <c r="P6389" s="1447">
        <f>SUM(P6390:P6391)</f>
        <v>0.35109360000000001</v>
      </c>
      <c r="Q6389" s="3391"/>
      <c r="R6389" s="2337"/>
    </row>
    <row r="6390" spans="1:18" s="16" customFormat="1">
      <c r="A6390"/>
      <c r="B6390" s="1042"/>
      <c r="C6390" s="19"/>
      <c r="D6390" s="1430" t="s">
        <v>1067</v>
      </c>
      <c r="E6390" s="1857" t="s">
        <v>1508</v>
      </c>
      <c r="F6390" s="1403" t="s">
        <v>5</v>
      </c>
      <c r="G6390" s="1991">
        <v>1</v>
      </c>
      <c r="H6390" s="1408">
        <f>G6390*H6389</f>
        <v>0.03</v>
      </c>
      <c r="I6390" s="1286"/>
      <c r="J6390" s="198"/>
      <c r="K6390" s="1307">
        <f>H6390*K6380</f>
        <v>9.3600000000000003E-3</v>
      </c>
      <c r="L6390" s="1335">
        <f t="shared" ref="L6390:L6391" si="845">K6390*$K$6237</f>
        <v>0</v>
      </c>
      <c r="M6390" s="1302">
        <v>18.28</v>
      </c>
      <c r="N6390" s="1718">
        <f>G6390*M6390</f>
        <v>18.28</v>
      </c>
      <c r="O6390" s="1290">
        <f>H6390*M6390</f>
        <v>0.5484</v>
      </c>
      <c r="P6390" s="1720">
        <f>M6390*K6390</f>
        <v>0.17110080000000003</v>
      </c>
      <c r="Q6390" s="3396"/>
      <c r="R6390" s="2337"/>
    </row>
    <row r="6391" spans="1:18" s="16" customFormat="1">
      <c r="A6391"/>
      <c r="B6391" s="1042"/>
      <c r="C6391" s="19"/>
      <c r="D6391" s="1430" t="s">
        <v>1077</v>
      </c>
      <c r="E6391" s="1857" t="s">
        <v>1508</v>
      </c>
      <c r="F6391" s="1403" t="s">
        <v>37</v>
      </c>
      <c r="G6391" s="1991">
        <v>1</v>
      </c>
      <c r="H6391" s="1408">
        <f>G6391*H6389</f>
        <v>0.03</v>
      </c>
      <c r="I6391" s="197"/>
      <c r="J6391" s="198"/>
      <c r="K6391" s="1307">
        <f>H6391*K6380</f>
        <v>9.3600000000000003E-3</v>
      </c>
      <c r="L6391" s="1335">
        <f t="shared" si="845"/>
        <v>0</v>
      </c>
      <c r="M6391" s="1302">
        <v>19.23</v>
      </c>
      <c r="N6391" s="1718">
        <f>G6391*M6391</f>
        <v>19.23</v>
      </c>
      <c r="O6391" s="1290">
        <f>H6391*M6391</f>
        <v>0.57689999999999997</v>
      </c>
      <c r="P6391" s="1720">
        <f>M6391*K6391</f>
        <v>0.17999280000000001</v>
      </c>
      <c r="Q6391" s="3396"/>
      <c r="R6391" s="2337"/>
    </row>
    <row r="6392" spans="1:18" s="16" customFormat="1">
      <c r="A6392"/>
      <c r="B6392" s="1320"/>
      <c r="D6392" s="1359"/>
      <c r="E6392" s="1858"/>
      <c r="F6392" s="1361"/>
      <c r="G6392" s="1361"/>
      <c r="H6392" s="1466"/>
      <c r="I6392" s="1289"/>
      <c r="J6392" s="8"/>
      <c r="K6392" s="1307" t="str">
        <f>IF(COUNT(I6392)=0,"",(I6392*J6392))</f>
        <v/>
      </c>
      <c r="L6392" s="1335"/>
      <c r="M6392" s="1302"/>
      <c r="N6392" s="1700"/>
      <c r="O6392" s="1290"/>
      <c r="P6392" s="1332"/>
      <c r="Q6392" s="3391"/>
      <c r="R6392" s="1296"/>
    </row>
    <row r="6393" spans="1:18" s="16" customFormat="1">
      <c r="A6393" s="1599"/>
      <c r="B6393" s="1320"/>
      <c r="C6393" s="595"/>
      <c r="D6393" s="1359"/>
      <c r="E6393" s="1858"/>
      <c r="F6393" s="1361"/>
      <c r="G6393" s="1361"/>
      <c r="H6393" s="1466"/>
      <c r="I6393" s="1299"/>
      <c r="J6393" s="1300"/>
      <c r="K6393" s="1307" t="str">
        <f>IF(COUNT(I6393)=0,"",(I6393*J6393))</f>
        <v/>
      </c>
      <c r="L6393" s="1335"/>
      <c r="M6393" s="1302"/>
      <c r="N6393" s="1700"/>
      <c r="O6393" s="1290"/>
      <c r="P6393" s="1332"/>
      <c r="Q6393" s="3391"/>
      <c r="R6393" s="2339"/>
    </row>
    <row r="6394" spans="1:18" s="16" customFormat="1">
      <c r="A6394" s="1599"/>
      <c r="B6394" s="1320"/>
      <c r="C6394" s="595"/>
      <c r="D6394" s="1373"/>
      <c r="E6394" s="2123"/>
      <c r="F6394" s="1374" t="s">
        <v>3</v>
      </c>
      <c r="G6394" s="1375"/>
      <c r="H6394" s="1376"/>
      <c r="I6394" s="1382"/>
      <c r="J6394" s="1383"/>
      <c r="K6394" s="1383" t="str">
        <f>IF(COUNT(I6394)=0,"",(I6394*J6394))</f>
        <v/>
      </c>
      <c r="L6394" s="1413"/>
      <c r="M6394" s="1376"/>
      <c r="N6394" s="1376"/>
      <c r="O6394" s="1376"/>
      <c r="P6394" s="1373"/>
      <c r="Q6394" s="3387"/>
      <c r="R6394" s="2339"/>
    </row>
    <row r="6395" spans="1:18" s="16" customFormat="1">
      <c r="A6395" s="2053"/>
      <c r="B6395" s="1321"/>
      <c r="C6395" s="2021"/>
      <c r="D6395" s="1377"/>
      <c r="E6395" s="2124"/>
      <c r="F6395" s="1378"/>
      <c r="G6395" s="1378"/>
      <c r="H6395" s="1379"/>
      <c r="I6395" s="1299"/>
      <c r="J6395" s="1300"/>
      <c r="K6395" s="1307"/>
      <c r="L6395" s="1335"/>
      <c r="M6395" s="1302"/>
      <c r="N6395" s="1700"/>
      <c r="O6395" s="1290"/>
      <c r="P6395" s="1332"/>
      <c r="Q6395" s="3391"/>
      <c r="R6395" s="2339"/>
    </row>
    <row r="6396" spans="1:18" s="16" customFormat="1">
      <c r="A6396" s="2053"/>
      <c r="B6396" s="1321"/>
      <c r="C6396" s="2021"/>
      <c r="D6396" s="1377"/>
      <c r="E6396" s="2124"/>
      <c r="F6396" s="1378"/>
      <c r="G6396" s="1378"/>
      <c r="H6396" s="1379"/>
      <c r="I6396" s="1299"/>
      <c r="J6396" s="1300"/>
      <c r="K6396" s="1307"/>
      <c r="L6396" s="1335"/>
      <c r="M6396" s="1302"/>
      <c r="N6396" s="1700"/>
      <c r="O6396" s="1290"/>
      <c r="P6396" s="1333"/>
      <c r="Q6396" s="3391"/>
      <c r="R6396" s="2339"/>
    </row>
    <row r="6397" spans="1:18" s="16" customFormat="1">
      <c r="A6397" s="553"/>
      <c r="B6397" s="225"/>
      <c r="C6397" s="581"/>
      <c r="D6397" s="1373"/>
      <c r="E6397" s="2161"/>
      <c r="F6397" s="1678"/>
      <c r="G6397" s="1678"/>
      <c r="H6397" s="1376"/>
      <c r="I6397" s="1299"/>
      <c r="J6397" s="1300"/>
      <c r="K6397" s="1307"/>
      <c r="L6397" s="1335"/>
      <c r="M6397" s="1302"/>
      <c r="N6397" s="1700"/>
      <c r="O6397" s="1290"/>
      <c r="P6397" s="1332"/>
      <c r="Q6397" s="3391"/>
      <c r="R6397" s="2339"/>
    </row>
    <row r="6398" spans="1:18" s="16" customFormat="1">
      <c r="A6398" s="18" t="s">
        <v>3764</v>
      </c>
      <c r="B6398" s="4325" t="s">
        <v>2174</v>
      </c>
      <c r="C6398" s="3350"/>
      <c r="D6398" s="4327"/>
      <c r="E6398" s="4329" t="s">
        <v>1527</v>
      </c>
      <c r="F6398" s="4336" t="s">
        <v>2175</v>
      </c>
      <c r="G6398" s="4331" t="s">
        <v>1568</v>
      </c>
      <c r="H6398" s="4331" t="s">
        <v>1574</v>
      </c>
      <c r="I6398" s="1572" t="s">
        <v>1559</v>
      </c>
      <c r="J6398" s="1294" t="s">
        <v>1560</v>
      </c>
      <c r="K6398" s="1294" t="s">
        <v>1569</v>
      </c>
      <c r="L6398" s="4333" t="s">
        <v>3765</v>
      </c>
      <c r="M6398" s="4335" t="s">
        <v>1571</v>
      </c>
      <c r="N6398" s="4323" t="s">
        <v>1776</v>
      </c>
      <c r="O6398" s="3347" t="s">
        <v>1563</v>
      </c>
      <c r="P6398" s="1336" t="s">
        <v>1562</v>
      </c>
      <c r="Q6398" s="3389"/>
      <c r="R6398" s="1699" t="s">
        <v>1327</v>
      </c>
    </row>
    <row r="6399" spans="1:18" s="16" customFormat="1">
      <c r="A6399" s="1662" t="s">
        <v>2145</v>
      </c>
      <c r="B6399" s="4326"/>
      <c r="C6399" s="3351"/>
      <c r="D6399" s="4328"/>
      <c r="E6399" s="4330"/>
      <c r="F6399" s="4336"/>
      <c r="G6399" s="4332"/>
      <c r="H6399" s="4332"/>
      <c r="I6399" s="1345">
        <v>48</v>
      </c>
      <c r="J6399" s="1307">
        <v>2E-3</v>
      </c>
      <c r="K6399" s="1297">
        <f>I6399*J6399</f>
        <v>9.6000000000000002E-2</v>
      </c>
      <c r="L6399" s="4334"/>
      <c r="M6399" s="4335"/>
      <c r="N6399" s="4324"/>
      <c r="O6399" s="1298">
        <f>SUM(O6401:O6408)</f>
        <v>5.6578799999999996</v>
      </c>
      <c r="P6399" s="1337">
        <f>O6399*K6399</f>
        <v>0.54315647999999994</v>
      </c>
      <c r="Q6399" s="3390"/>
      <c r="R6399" s="1721">
        <f>SUM(P6401:P6408)</f>
        <v>0.54315648000000005</v>
      </c>
    </row>
    <row r="6400" spans="1:18" s="16" customFormat="1">
      <c r="A6400" s="1599"/>
      <c r="B6400" s="1327"/>
      <c r="C6400" s="1511"/>
      <c r="D6400" s="1367"/>
      <c r="E6400" s="2121"/>
      <c r="F6400" s="1389" t="s">
        <v>1</v>
      </c>
      <c r="G6400" s="1389"/>
      <c r="H6400" s="1369"/>
      <c r="I6400" s="2088"/>
      <c r="J6400" s="1369"/>
      <c r="K6400" s="1391"/>
      <c r="L6400" s="2089"/>
      <c r="M6400" s="1369"/>
      <c r="N6400" s="1369"/>
      <c r="O6400" s="1369"/>
      <c r="P6400" s="1392"/>
      <c r="Q6400" s="3395"/>
      <c r="R6400" s="2339"/>
    </row>
    <row r="6401" spans="1:18" s="16" customFormat="1">
      <c r="A6401" s="1599"/>
      <c r="B6401" s="1320"/>
      <c r="C6401" s="595"/>
      <c r="D6401" s="1598" t="s">
        <v>2176</v>
      </c>
      <c r="E6401" s="2154" t="s">
        <v>1527</v>
      </c>
      <c r="F6401" s="1598" t="s">
        <v>2177</v>
      </c>
      <c r="G6401" s="1612">
        <v>1.01</v>
      </c>
      <c r="H6401" s="1369"/>
      <c r="I6401" s="1299"/>
      <c r="J6401" s="1300"/>
      <c r="K6401" s="1307">
        <f>G6401*K6399</f>
        <v>9.6960000000000005E-2</v>
      </c>
      <c r="L6401" s="1335">
        <f t="shared" ref="L6401:L6404" si="846">K6401*$K$6237</f>
        <v>0</v>
      </c>
      <c r="M6401" s="1302">
        <v>0.21</v>
      </c>
      <c r="N6401" s="1700"/>
      <c r="O6401" s="1290">
        <f>G6401*M6401</f>
        <v>0.21209999999999998</v>
      </c>
      <c r="P6401" s="1332">
        <f>M6401*K6401</f>
        <v>2.0361600000000001E-2</v>
      </c>
      <c r="Q6401" s="3391"/>
      <c r="R6401" s="2339"/>
    </row>
    <row r="6402" spans="1:18" s="16" customFormat="1">
      <c r="A6402" s="553"/>
      <c r="B6402" s="1320"/>
      <c r="C6402" s="88"/>
      <c r="D6402" s="1598" t="s">
        <v>2178</v>
      </c>
      <c r="E6402" s="2154" t="s">
        <v>1527</v>
      </c>
      <c r="F6402" s="1598" t="s">
        <v>2179</v>
      </c>
      <c r="G6402" s="1612">
        <v>3.03</v>
      </c>
      <c r="H6402" s="1674"/>
      <c r="I6402" s="1299"/>
      <c r="J6402" s="1300"/>
      <c r="K6402" s="1307">
        <f>G6402*K6399</f>
        <v>0.29087999999999997</v>
      </c>
      <c r="L6402" s="1335">
        <f t="shared" si="846"/>
        <v>0</v>
      </c>
      <c r="M6402" s="1302">
        <v>1.03</v>
      </c>
      <c r="N6402" s="1700"/>
      <c r="O6402" s="1290">
        <f>G6402*M6402</f>
        <v>3.1208999999999998</v>
      </c>
      <c r="P6402" s="1332">
        <f>M6402*K6402</f>
        <v>0.29960639999999999</v>
      </c>
      <c r="Q6402" s="3391"/>
      <c r="R6402" s="2339"/>
    </row>
    <row r="6403" spans="1:18" s="16" customFormat="1">
      <c r="A6403" s="553"/>
      <c r="B6403" s="1320"/>
      <c r="C6403" s="88"/>
      <c r="D6403" s="1598" t="s">
        <v>1082</v>
      </c>
      <c r="E6403" s="2154" t="s">
        <v>1504</v>
      </c>
      <c r="F6403" s="1598" t="s">
        <v>1541</v>
      </c>
      <c r="G6403" s="1612">
        <v>0.5</v>
      </c>
      <c r="H6403" s="1674"/>
      <c r="I6403" s="1299"/>
      <c r="J6403" s="1300"/>
      <c r="K6403" s="1307">
        <f>G6403*K6399</f>
        <v>4.8000000000000001E-2</v>
      </c>
      <c r="L6403" s="1335">
        <f t="shared" si="846"/>
        <v>0</v>
      </c>
      <c r="M6403" s="1302">
        <v>0.3</v>
      </c>
      <c r="N6403" s="1700"/>
      <c r="O6403" s="1290">
        <f>G6403*M6403</f>
        <v>0.15</v>
      </c>
      <c r="P6403" s="1332">
        <f>M6403*K6403</f>
        <v>1.44E-2</v>
      </c>
      <c r="Q6403" s="3391"/>
      <c r="R6403" s="2339"/>
    </row>
    <row r="6404" spans="1:18" s="16" customFormat="1">
      <c r="A6404" s="553"/>
      <c r="B6404" s="1320"/>
      <c r="C6404" s="88"/>
      <c r="D6404" s="1598" t="s">
        <v>1097</v>
      </c>
      <c r="E6404" s="2154" t="s">
        <v>1504</v>
      </c>
      <c r="F6404" s="1598" t="s">
        <v>1632</v>
      </c>
      <c r="G6404" s="1612">
        <v>0.3</v>
      </c>
      <c r="H6404" s="1674"/>
      <c r="I6404" s="1299"/>
      <c r="J6404" s="1300"/>
      <c r="K6404" s="1307">
        <f>G6404*K6399</f>
        <v>2.8799999999999999E-2</v>
      </c>
      <c r="L6404" s="1335">
        <f t="shared" si="846"/>
        <v>0</v>
      </c>
      <c r="M6404" s="1302">
        <v>0.55000000000000004</v>
      </c>
      <c r="N6404" s="1700"/>
      <c r="O6404" s="1290">
        <f>G6404*M6404</f>
        <v>0.16500000000000001</v>
      </c>
      <c r="P6404" s="1332">
        <f>M6404*K6404</f>
        <v>1.584E-2</v>
      </c>
      <c r="Q6404" s="3391"/>
      <c r="R6404" s="2339"/>
    </row>
    <row r="6405" spans="1:18" s="16" customFormat="1">
      <c r="A6405" s="553"/>
      <c r="B6405" s="1320"/>
      <c r="C6405" s="88"/>
      <c r="D6405" s="1367"/>
      <c r="E6405" s="2121"/>
      <c r="F6405" s="1436"/>
      <c r="G6405" s="1436"/>
      <c r="H6405" s="1369"/>
      <c r="I6405" s="1299" t="str">
        <f t="shared" ref="I6405" ca="1" si="847">IF(COUNT(H6405:O6405)=0,"",(SUM(H6405:O6405)/COUNT(H6405:O6405)))</f>
        <v/>
      </c>
      <c r="J6405" s="1300"/>
      <c r="K6405" s="1307" t="str">
        <f t="shared" ref="K6405" ca="1" si="848">IF(COUNT(I6405)=0,"",(I6405*J6405))</f>
        <v/>
      </c>
      <c r="L6405" s="1335"/>
      <c r="M6405" s="1302"/>
      <c r="N6405" s="1700"/>
      <c r="O6405" s="1290"/>
      <c r="P6405" s="1332"/>
      <c r="Q6405" s="3391"/>
      <c r="R6405" s="2339"/>
    </row>
    <row r="6406" spans="1:18" s="16" customFormat="1">
      <c r="A6406" s="553"/>
      <c r="B6406" s="1320"/>
      <c r="C6406" s="88"/>
      <c r="D6406" s="1359"/>
      <c r="E6406" s="1858"/>
      <c r="F6406" s="1360" t="s">
        <v>2</v>
      </c>
      <c r="G6406" s="1360"/>
      <c r="H6406" s="1362"/>
      <c r="I6406" s="1380"/>
      <c r="J6406" s="1381"/>
      <c r="K6406" s="1381"/>
      <c r="L6406" s="1458"/>
      <c r="M6406" s="1362"/>
      <c r="N6406" s="1362"/>
      <c r="O6406" s="1362"/>
      <c r="P6406" s="1359"/>
      <c r="Q6406" s="3387"/>
      <c r="R6406" s="2339"/>
    </row>
    <row r="6407" spans="1:18" s="16" customFormat="1">
      <c r="A6407" s="1599"/>
      <c r="B6407" s="1320"/>
      <c r="D6407" s="1359" t="s">
        <v>1593</v>
      </c>
      <c r="E6407" s="1858" t="s">
        <v>1508</v>
      </c>
      <c r="F6407" s="1404" t="s">
        <v>2146</v>
      </c>
      <c r="G6407" s="1404">
        <v>4.5999999999999999E-2</v>
      </c>
      <c r="H6407" s="1359"/>
      <c r="I6407" s="1289"/>
      <c r="J6407" s="8"/>
      <c r="K6407" s="1307">
        <f>G6407*K6399</f>
        <v>4.4159999999999998E-3</v>
      </c>
      <c r="L6407" s="1335">
        <f>K6407*$K$6237</f>
        <v>0</v>
      </c>
      <c r="M6407" s="1302">
        <v>19.23</v>
      </c>
      <c r="N6407" s="1700"/>
      <c r="O6407" s="1290">
        <f>G6407*M6407</f>
        <v>0.88458000000000003</v>
      </c>
      <c r="P6407" s="1332">
        <f>M6407*K6407</f>
        <v>8.4919679999999997E-2</v>
      </c>
      <c r="Q6407" s="3391"/>
      <c r="R6407" s="2339"/>
    </row>
    <row r="6408" spans="1:18" s="16" customFormat="1">
      <c r="A6408"/>
      <c r="B6408" s="1042"/>
      <c r="C6408" s="2086" t="s">
        <v>1755</v>
      </c>
      <c r="D6408" s="1311"/>
      <c r="E6408" s="2176" t="s">
        <v>1508</v>
      </c>
      <c r="F6408" s="1648" t="s">
        <v>1524</v>
      </c>
      <c r="G6408" s="1990"/>
      <c r="H6408" s="1456">
        <v>0.03</v>
      </c>
      <c r="I6408" s="1444"/>
      <c r="J6408" s="1388"/>
      <c r="K6408" s="1445"/>
      <c r="L6408" s="1457"/>
      <c r="M6408" s="1447"/>
      <c r="N6408" s="1447">
        <f>SUM(N6409:N6410)</f>
        <v>37.510000000000005</v>
      </c>
      <c r="O6408" s="1447">
        <f>SUM(O6409:O6410)</f>
        <v>1.1253</v>
      </c>
      <c r="P6408" s="1447">
        <f>SUM(P6409:P6410)</f>
        <v>0.10802879999999999</v>
      </c>
      <c r="Q6408" s="3391"/>
      <c r="R6408" s="2337"/>
    </row>
    <row r="6409" spans="1:18" s="16" customFormat="1">
      <c r="A6409"/>
      <c r="B6409" s="1042"/>
      <c r="C6409" s="19"/>
      <c r="D6409" s="1430" t="s">
        <v>1067</v>
      </c>
      <c r="E6409" s="1857" t="s">
        <v>1508</v>
      </c>
      <c r="F6409" s="1403" t="s">
        <v>5</v>
      </c>
      <c r="G6409" s="1991">
        <v>1</v>
      </c>
      <c r="H6409" s="1408">
        <f>G6409*H6408</f>
        <v>0.03</v>
      </c>
      <c r="I6409" s="1286"/>
      <c r="J6409" s="198"/>
      <c r="K6409" s="1307">
        <f>H6409*K6399</f>
        <v>2.8799999999999997E-3</v>
      </c>
      <c r="L6409" s="1335">
        <f t="shared" ref="L6409:L6410" si="849">K6409*$K$6237</f>
        <v>0</v>
      </c>
      <c r="M6409" s="1302">
        <v>18.28</v>
      </c>
      <c r="N6409" s="1718">
        <f>G6409*M6409</f>
        <v>18.28</v>
      </c>
      <c r="O6409" s="1290">
        <f>H6409*M6409</f>
        <v>0.5484</v>
      </c>
      <c r="P6409" s="1720">
        <f>M6409*K6409</f>
        <v>5.2646399999999996E-2</v>
      </c>
      <c r="Q6409" s="3396"/>
      <c r="R6409" s="2337"/>
    </row>
    <row r="6410" spans="1:18" s="16" customFormat="1">
      <c r="A6410"/>
      <c r="B6410" s="1042"/>
      <c r="C6410" s="19"/>
      <c r="D6410" s="1430" t="s">
        <v>1077</v>
      </c>
      <c r="E6410" s="1857" t="s">
        <v>1508</v>
      </c>
      <c r="F6410" s="1403" t="s">
        <v>37</v>
      </c>
      <c r="G6410" s="1991">
        <v>1</v>
      </c>
      <c r="H6410" s="1408">
        <f>G6410*H6408</f>
        <v>0.03</v>
      </c>
      <c r="I6410" s="197"/>
      <c r="J6410" s="198"/>
      <c r="K6410" s="1307">
        <f>H6410*K6399</f>
        <v>2.8799999999999997E-3</v>
      </c>
      <c r="L6410" s="1335">
        <f t="shared" si="849"/>
        <v>0</v>
      </c>
      <c r="M6410" s="1302">
        <v>19.23</v>
      </c>
      <c r="N6410" s="1718">
        <f>G6410*M6410</f>
        <v>19.23</v>
      </c>
      <c r="O6410" s="1290">
        <f>H6410*M6410</f>
        <v>0.57689999999999997</v>
      </c>
      <c r="P6410" s="1720">
        <f>M6410*K6410</f>
        <v>5.5382399999999998E-2</v>
      </c>
      <c r="Q6410" s="3396"/>
      <c r="R6410" s="2337"/>
    </row>
    <row r="6411" spans="1:18" s="16" customFormat="1">
      <c r="A6411"/>
      <c r="B6411" s="1320"/>
      <c r="D6411" s="1359"/>
      <c r="E6411" s="1858"/>
      <c r="F6411" s="1361"/>
      <c r="G6411" s="1361"/>
      <c r="H6411" s="1466"/>
      <c r="I6411" s="1289"/>
      <c r="J6411" s="8"/>
      <c r="K6411" s="1307" t="str">
        <f>IF(COUNT(I6411)=0,"",(I6411*J6411))</f>
        <v/>
      </c>
      <c r="L6411" s="1335"/>
      <c r="M6411" s="1302"/>
      <c r="N6411" s="1700"/>
      <c r="O6411" s="1290"/>
      <c r="P6411" s="1332"/>
      <c r="Q6411" s="3391"/>
      <c r="R6411" s="1296"/>
    </row>
    <row r="6412" spans="1:18" s="16" customFormat="1">
      <c r="A6412" s="1599"/>
      <c r="B6412" s="1320"/>
      <c r="C6412" s="595"/>
      <c r="D6412" s="1359"/>
      <c r="E6412" s="1858"/>
      <c r="F6412" s="1361"/>
      <c r="G6412" s="1361"/>
      <c r="H6412" s="1466"/>
      <c r="I6412" s="1299"/>
      <c r="J6412" s="1300"/>
      <c r="K6412" s="1307" t="str">
        <f>IF(COUNT(I6412)=0,"",(I6412*J6412))</f>
        <v/>
      </c>
      <c r="L6412" s="1335"/>
      <c r="M6412" s="1302"/>
      <c r="N6412" s="1700"/>
      <c r="O6412" s="1290"/>
      <c r="P6412" s="1332"/>
      <c r="Q6412" s="3391"/>
      <c r="R6412" s="2339"/>
    </row>
    <row r="6413" spans="1:18" s="16" customFormat="1">
      <c r="A6413" s="1599"/>
      <c r="B6413" s="1320"/>
      <c r="C6413" s="595"/>
      <c r="D6413" s="1373"/>
      <c r="E6413" s="2123"/>
      <c r="F6413" s="1374" t="s">
        <v>3</v>
      </c>
      <c r="G6413" s="1375"/>
      <c r="H6413" s="1376"/>
      <c r="I6413" s="1382"/>
      <c r="J6413" s="1383"/>
      <c r="K6413" s="1383" t="str">
        <f>IF(COUNT(I6413)=0,"",(I6413*J6413))</f>
        <v/>
      </c>
      <c r="L6413" s="1413"/>
      <c r="M6413" s="1376"/>
      <c r="N6413" s="1376"/>
      <c r="O6413" s="1376"/>
      <c r="P6413" s="1373"/>
      <c r="Q6413" s="3387"/>
      <c r="R6413" s="2339"/>
    </row>
    <row r="6414" spans="1:18" s="16" customFormat="1">
      <c r="A6414" s="2053"/>
      <c r="B6414" s="1321"/>
      <c r="C6414" s="2021"/>
      <c r="D6414" s="1377"/>
      <c r="E6414" s="2124"/>
      <c r="F6414" s="1378"/>
      <c r="G6414" s="1378"/>
      <c r="H6414" s="1379"/>
      <c r="I6414" s="1299"/>
      <c r="J6414" s="1300"/>
      <c r="K6414" s="1307"/>
      <c r="L6414" s="1335"/>
      <c r="M6414" s="1302"/>
      <c r="N6414" s="1700"/>
      <c r="O6414" s="1290"/>
      <c r="P6414" s="1332"/>
      <c r="Q6414" s="3391"/>
      <c r="R6414" s="2339"/>
    </row>
    <row r="6415" spans="1:18" s="16" customFormat="1">
      <c r="A6415" s="2053"/>
      <c r="B6415" s="1321"/>
      <c r="C6415" s="2021"/>
      <c r="D6415" s="1377"/>
      <c r="E6415" s="2124"/>
      <c r="F6415" s="1378"/>
      <c r="G6415" s="1378"/>
      <c r="H6415" s="1379"/>
      <c r="I6415" s="1299"/>
      <c r="J6415" s="1300"/>
      <c r="K6415" s="1307"/>
      <c r="L6415" s="1335"/>
      <c r="M6415" s="1302"/>
      <c r="N6415" s="1700"/>
      <c r="O6415" s="1290"/>
      <c r="P6415" s="1333"/>
      <c r="Q6415" s="3391"/>
      <c r="R6415" s="2339"/>
    </row>
    <row r="6416" spans="1:18" s="16" customFormat="1">
      <c r="A6416" s="553"/>
      <c r="B6416" s="225"/>
      <c r="C6416" s="581"/>
      <c r="D6416" s="1373"/>
      <c r="E6416" s="2161"/>
      <c r="F6416" s="1678"/>
      <c r="G6416" s="1678"/>
      <c r="H6416" s="1376"/>
      <c r="I6416" s="1299"/>
      <c r="J6416" s="1300"/>
      <c r="K6416" s="1307"/>
      <c r="L6416" s="1335"/>
      <c r="M6416" s="1302"/>
      <c r="N6416" s="1700"/>
      <c r="O6416" s="1290"/>
      <c r="P6416" s="1332"/>
      <c r="Q6416" s="3391"/>
      <c r="R6416" s="2339"/>
    </row>
    <row r="6417" spans="1:18" s="16" customFormat="1">
      <c r="A6417" s="18" t="s">
        <v>3764</v>
      </c>
      <c r="B6417" s="4325" t="s">
        <v>2180</v>
      </c>
      <c r="C6417" s="3350"/>
      <c r="D6417" s="4327"/>
      <c r="E6417" s="4329" t="s">
        <v>1527</v>
      </c>
      <c r="F6417" s="4336" t="s">
        <v>2181</v>
      </c>
      <c r="G6417" s="4331" t="s">
        <v>1568</v>
      </c>
      <c r="H6417" s="4331" t="s">
        <v>1574</v>
      </c>
      <c r="I6417" s="1572" t="s">
        <v>1559</v>
      </c>
      <c r="J6417" s="1294" t="s">
        <v>1560</v>
      </c>
      <c r="K6417" s="1294" t="s">
        <v>1569</v>
      </c>
      <c r="L6417" s="4333" t="s">
        <v>3765</v>
      </c>
      <c r="M6417" s="4335" t="s">
        <v>1571</v>
      </c>
      <c r="N6417" s="4323" t="s">
        <v>1776</v>
      </c>
      <c r="O6417" s="3347" t="s">
        <v>1563</v>
      </c>
      <c r="P6417" s="1336" t="s">
        <v>1562</v>
      </c>
      <c r="Q6417" s="3389"/>
      <c r="R6417" s="1699" t="s">
        <v>1327</v>
      </c>
    </row>
    <row r="6418" spans="1:18" s="16" customFormat="1">
      <c r="A6418" s="1662" t="s">
        <v>2775</v>
      </c>
      <c r="B6418" s="4326"/>
      <c r="C6418" s="3351"/>
      <c r="D6418" s="4328"/>
      <c r="E6418" s="4330"/>
      <c r="F6418" s="4336"/>
      <c r="G6418" s="4332"/>
      <c r="H6418" s="4332"/>
      <c r="I6418" s="1345">
        <v>48</v>
      </c>
      <c r="J6418" s="1307">
        <v>2E-3</v>
      </c>
      <c r="K6418" s="1297">
        <f>I6418*J6418</f>
        <v>9.6000000000000002E-2</v>
      </c>
      <c r="L6418" s="4334"/>
      <c r="M6418" s="4335"/>
      <c r="N6418" s="4324"/>
      <c r="O6418" s="1298">
        <f>SUM(O6420:O6427)</f>
        <v>7.3041800000000006</v>
      </c>
      <c r="P6418" s="1337">
        <f>O6418*K6418</f>
        <v>0.70120128000000004</v>
      </c>
      <c r="Q6418" s="3390"/>
      <c r="R6418" s="1721">
        <f>SUM(P6420:P6427)</f>
        <v>0.70120128000000004</v>
      </c>
    </row>
    <row r="6419" spans="1:18" s="16" customFormat="1">
      <c r="A6419" s="1599"/>
      <c r="B6419" s="1327"/>
      <c r="C6419" s="1511"/>
      <c r="D6419" s="1367"/>
      <c r="E6419" s="2121"/>
      <c r="F6419" s="1389" t="s">
        <v>1</v>
      </c>
      <c r="G6419" s="1389"/>
      <c r="H6419" s="1369"/>
      <c r="I6419" s="2088"/>
      <c r="J6419" s="1369"/>
      <c r="K6419" s="1391"/>
      <c r="L6419" s="2089"/>
      <c r="M6419" s="1369"/>
      <c r="N6419" s="1369"/>
      <c r="O6419" s="1369"/>
      <c r="P6419" s="1392"/>
      <c r="Q6419" s="3395"/>
      <c r="R6419" s="2339"/>
    </row>
    <row r="6420" spans="1:18" s="16" customFormat="1">
      <c r="A6420" s="1599"/>
      <c r="B6420" s="1320"/>
      <c r="C6420" s="595"/>
      <c r="D6420" s="1598" t="s">
        <v>2182</v>
      </c>
      <c r="E6420" s="2154" t="s">
        <v>1527</v>
      </c>
      <c r="F6420" s="1598" t="s">
        <v>2183</v>
      </c>
      <c r="G6420" s="1612">
        <v>1.01</v>
      </c>
      <c r="H6420" s="1369"/>
      <c r="I6420" s="1299"/>
      <c r="J6420" s="1300"/>
      <c r="K6420" s="1307">
        <f>G6420*K6418</f>
        <v>9.6960000000000005E-2</v>
      </c>
      <c r="L6420" s="1335">
        <f t="shared" ref="L6420:L6423" si="850">K6420*$K$6237</f>
        <v>0</v>
      </c>
      <c r="M6420" s="1302">
        <v>0.31</v>
      </c>
      <c r="N6420" s="1700"/>
      <c r="O6420" s="1290">
        <f>G6420*M6420</f>
        <v>0.31309999999999999</v>
      </c>
      <c r="P6420" s="1332">
        <f>M6420*K6420</f>
        <v>3.00576E-2</v>
      </c>
      <c r="Q6420" s="3391"/>
      <c r="R6420" s="2339"/>
    </row>
    <row r="6421" spans="1:18" s="16" customFormat="1">
      <c r="A6421" s="553"/>
      <c r="B6421" s="1320"/>
      <c r="C6421" s="88"/>
      <c r="D6421" s="1598" t="s">
        <v>2184</v>
      </c>
      <c r="E6421" s="2154" t="s">
        <v>1527</v>
      </c>
      <c r="F6421" s="1598" t="s">
        <v>2185</v>
      </c>
      <c r="G6421" s="1612">
        <v>3.03</v>
      </c>
      <c r="H6421" s="1674"/>
      <c r="I6421" s="1299"/>
      <c r="J6421" s="1300"/>
      <c r="K6421" s="1307">
        <f>G6421*K6418</f>
        <v>0.29087999999999997</v>
      </c>
      <c r="L6421" s="1335">
        <f t="shared" si="850"/>
        <v>0</v>
      </c>
      <c r="M6421" s="1302">
        <v>1.54</v>
      </c>
      <c r="N6421" s="1700"/>
      <c r="O6421" s="1290">
        <f>G6421*M6421</f>
        <v>4.6661999999999999</v>
      </c>
      <c r="P6421" s="1332">
        <f>M6421*K6421</f>
        <v>0.44795519999999994</v>
      </c>
      <c r="Q6421" s="3391"/>
      <c r="R6421" s="2339"/>
    </row>
    <row r="6422" spans="1:18" s="16" customFormat="1">
      <c r="A6422" s="553"/>
      <c r="B6422" s="1320"/>
      <c r="C6422" s="88"/>
      <c r="D6422" s="1598" t="s">
        <v>1082</v>
      </c>
      <c r="E6422" s="2154" t="s">
        <v>1504</v>
      </c>
      <c r="F6422" s="1598" t="s">
        <v>1541</v>
      </c>
      <c r="G6422" s="1612">
        <v>0.5</v>
      </c>
      <c r="H6422" s="1674"/>
      <c r="I6422" s="1299"/>
      <c r="J6422" s="1300"/>
      <c r="K6422" s="1307">
        <f>G6422*K6418</f>
        <v>4.8000000000000001E-2</v>
      </c>
      <c r="L6422" s="1335">
        <f t="shared" si="850"/>
        <v>0</v>
      </c>
      <c r="M6422" s="1302">
        <v>0.3</v>
      </c>
      <c r="N6422" s="1700"/>
      <c r="O6422" s="1290">
        <f>G6422*M6422</f>
        <v>0.15</v>
      </c>
      <c r="P6422" s="1332">
        <f>M6422*K6422</f>
        <v>1.44E-2</v>
      </c>
      <c r="Q6422" s="3391"/>
      <c r="R6422" s="2339"/>
    </row>
    <row r="6423" spans="1:18" s="16" customFormat="1">
      <c r="A6423" s="553"/>
      <c r="B6423" s="1320"/>
      <c r="C6423" s="88"/>
      <c r="D6423" s="1598" t="s">
        <v>1097</v>
      </c>
      <c r="E6423" s="2154" t="s">
        <v>1504</v>
      </c>
      <c r="F6423" s="1598" t="s">
        <v>1632</v>
      </c>
      <c r="G6423" s="1612">
        <v>0.3</v>
      </c>
      <c r="H6423" s="1674"/>
      <c r="I6423" s="1299"/>
      <c r="J6423" s="1300"/>
      <c r="K6423" s="1307">
        <f>G6423*K6418</f>
        <v>2.8799999999999999E-2</v>
      </c>
      <c r="L6423" s="1335">
        <f t="shared" si="850"/>
        <v>0</v>
      </c>
      <c r="M6423" s="1302">
        <v>0.55000000000000004</v>
      </c>
      <c r="N6423" s="1700"/>
      <c r="O6423" s="1290">
        <f>G6423*M6423</f>
        <v>0.16500000000000001</v>
      </c>
      <c r="P6423" s="1332">
        <f>M6423*K6423</f>
        <v>1.584E-2</v>
      </c>
      <c r="Q6423" s="3391"/>
      <c r="R6423" s="2339"/>
    </row>
    <row r="6424" spans="1:18" s="16" customFormat="1">
      <c r="A6424" s="553"/>
      <c r="B6424" s="1320"/>
      <c r="C6424" s="88"/>
      <c r="D6424" s="1367"/>
      <c r="E6424" s="2121"/>
      <c r="F6424" s="1436"/>
      <c r="G6424" s="1436"/>
      <c r="H6424" s="1369"/>
      <c r="I6424" s="1299" t="str">
        <f t="shared" ref="I6424" ca="1" si="851">IF(COUNT(H6424:O6424)=0,"",(SUM(H6424:O6424)/COUNT(H6424:O6424)))</f>
        <v/>
      </c>
      <c r="J6424" s="1300"/>
      <c r="K6424" s="1307" t="str">
        <f t="shared" ref="K6424" ca="1" si="852">IF(COUNT(I6424)=0,"",(I6424*J6424))</f>
        <v/>
      </c>
      <c r="L6424" s="1335"/>
      <c r="M6424" s="1302"/>
      <c r="N6424" s="1700"/>
      <c r="O6424" s="1290"/>
      <c r="P6424" s="1332"/>
      <c r="Q6424" s="3391"/>
      <c r="R6424" s="2339"/>
    </row>
    <row r="6425" spans="1:18" s="16" customFormat="1">
      <c r="A6425" s="553"/>
      <c r="B6425" s="1320"/>
      <c r="C6425" s="88"/>
      <c r="D6425" s="1359"/>
      <c r="E6425" s="1858"/>
      <c r="F6425" s="1360" t="s">
        <v>2</v>
      </c>
      <c r="G6425" s="1360"/>
      <c r="H6425" s="1362"/>
      <c r="I6425" s="1380"/>
      <c r="J6425" s="1381"/>
      <c r="K6425" s="1381"/>
      <c r="L6425" s="1458"/>
      <c r="M6425" s="1362"/>
      <c r="N6425" s="1362"/>
      <c r="O6425" s="1362"/>
      <c r="P6425" s="1359"/>
      <c r="Q6425" s="3387"/>
      <c r="R6425" s="2339"/>
    </row>
    <row r="6426" spans="1:18" s="16" customFormat="1">
      <c r="A6426" s="1599"/>
      <c r="B6426" s="1320"/>
      <c r="D6426" s="1359" t="s">
        <v>1593</v>
      </c>
      <c r="E6426" s="1858" t="s">
        <v>1508</v>
      </c>
      <c r="F6426" s="1404" t="s">
        <v>2146</v>
      </c>
      <c r="G6426" s="1404">
        <v>4.5999999999999999E-2</v>
      </c>
      <c r="H6426" s="1359"/>
      <c r="I6426" s="1289"/>
      <c r="J6426" s="8"/>
      <c r="K6426" s="1307">
        <f>G6426*K6418</f>
        <v>4.4159999999999998E-3</v>
      </c>
      <c r="L6426" s="1335">
        <f>K6426*$K$6237</f>
        <v>0</v>
      </c>
      <c r="M6426" s="1302">
        <v>19.23</v>
      </c>
      <c r="N6426" s="1700"/>
      <c r="O6426" s="1290">
        <f>G6426*M6426</f>
        <v>0.88458000000000003</v>
      </c>
      <c r="P6426" s="1332">
        <f>M6426*K6426</f>
        <v>8.4919679999999997E-2</v>
      </c>
      <c r="Q6426" s="3391"/>
      <c r="R6426" s="2339"/>
    </row>
    <row r="6427" spans="1:18" s="16" customFormat="1">
      <c r="A6427"/>
      <c r="B6427" s="1042"/>
      <c r="C6427" s="2086" t="s">
        <v>1755</v>
      </c>
      <c r="D6427" s="1311"/>
      <c r="E6427" s="2176" t="s">
        <v>1508</v>
      </c>
      <c r="F6427" s="1648" t="s">
        <v>1524</v>
      </c>
      <c r="G6427" s="1990"/>
      <c r="H6427" s="1456">
        <v>0.03</v>
      </c>
      <c r="I6427" s="1444"/>
      <c r="J6427" s="1388"/>
      <c r="K6427" s="1445"/>
      <c r="L6427" s="1457"/>
      <c r="M6427" s="1447"/>
      <c r="N6427" s="1447">
        <f>SUM(N6428:N6429)</f>
        <v>37.510000000000005</v>
      </c>
      <c r="O6427" s="1447">
        <f>SUM(O6428:O6429)</f>
        <v>1.1253</v>
      </c>
      <c r="P6427" s="1447">
        <f>SUM(P6428:P6429)</f>
        <v>0.10802879999999999</v>
      </c>
      <c r="Q6427" s="3391"/>
      <c r="R6427" s="2337"/>
    </row>
    <row r="6428" spans="1:18" s="16" customFormat="1">
      <c r="A6428"/>
      <c r="B6428" s="1042"/>
      <c r="C6428" s="19"/>
      <c r="D6428" s="1430" t="s">
        <v>1067</v>
      </c>
      <c r="E6428" s="1857" t="s">
        <v>1508</v>
      </c>
      <c r="F6428" s="1403" t="s">
        <v>5</v>
      </c>
      <c r="G6428" s="1991">
        <v>1</v>
      </c>
      <c r="H6428" s="1408">
        <f>G6428*H6427</f>
        <v>0.03</v>
      </c>
      <c r="I6428" s="1286"/>
      <c r="J6428" s="198"/>
      <c r="K6428" s="1307">
        <f>H6428*K6418</f>
        <v>2.8799999999999997E-3</v>
      </c>
      <c r="L6428" s="1335">
        <f t="shared" ref="L6428:L6429" si="853">K6428*$K$6237</f>
        <v>0</v>
      </c>
      <c r="M6428" s="1302">
        <v>18.28</v>
      </c>
      <c r="N6428" s="1718">
        <f>G6428*M6428</f>
        <v>18.28</v>
      </c>
      <c r="O6428" s="1290">
        <f>H6428*M6428</f>
        <v>0.5484</v>
      </c>
      <c r="P6428" s="1720">
        <f>M6428*K6428</f>
        <v>5.2646399999999996E-2</v>
      </c>
      <c r="Q6428" s="3396"/>
      <c r="R6428" s="2337"/>
    </row>
    <row r="6429" spans="1:18" s="16" customFormat="1">
      <c r="A6429"/>
      <c r="B6429" s="1042"/>
      <c r="C6429" s="19"/>
      <c r="D6429" s="1430" t="s">
        <v>1077</v>
      </c>
      <c r="E6429" s="1857" t="s">
        <v>1508</v>
      </c>
      <c r="F6429" s="1403" t="s">
        <v>37</v>
      </c>
      <c r="G6429" s="1991">
        <v>1</v>
      </c>
      <c r="H6429" s="1408">
        <f>G6429*H6427</f>
        <v>0.03</v>
      </c>
      <c r="I6429" s="197"/>
      <c r="J6429" s="198"/>
      <c r="K6429" s="1307">
        <f>H6429*K6418</f>
        <v>2.8799999999999997E-3</v>
      </c>
      <c r="L6429" s="1335">
        <f t="shared" si="853"/>
        <v>0</v>
      </c>
      <c r="M6429" s="1302">
        <v>19.23</v>
      </c>
      <c r="N6429" s="1718">
        <f>G6429*M6429</f>
        <v>19.23</v>
      </c>
      <c r="O6429" s="1290">
        <f>H6429*M6429</f>
        <v>0.57689999999999997</v>
      </c>
      <c r="P6429" s="1720">
        <f>M6429*K6429</f>
        <v>5.5382399999999998E-2</v>
      </c>
      <c r="Q6429" s="3396"/>
      <c r="R6429" s="2337"/>
    </row>
    <row r="6430" spans="1:18" s="16" customFormat="1">
      <c r="A6430"/>
      <c r="B6430" s="1320"/>
      <c r="D6430" s="1359"/>
      <c r="E6430" s="1858"/>
      <c r="F6430" s="1361"/>
      <c r="G6430" s="1361"/>
      <c r="H6430" s="1466"/>
      <c r="I6430" s="1289"/>
      <c r="J6430" s="8"/>
      <c r="K6430" s="1307" t="str">
        <f>IF(COUNT(I6430)=0,"",(I6430*J6430))</f>
        <v/>
      </c>
      <c r="L6430" s="1335"/>
      <c r="M6430" s="1302"/>
      <c r="N6430" s="1700"/>
      <c r="O6430" s="1290"/>
      <c r="P6430" s="1332"/>
      <c r="Q6430" s="3391"/>
      <c r="R6430" s="1296"/>
    </row>
    <row r="6431" spans="1:18" s="16" customFormat="1">
      <c r="A6431" s="1599"/>
      <c r="B6431" s="1320"/>
      <c r="C6431" s="595"/>
      <c r="D6431" s="1359"/>
      <c r="E6431" s="1858"/>
      <c r="F6431" s="1361"/>
      <c r="G6431" s="1361"/>
      <c r="H6431" s="1466"/>
      <c r="I6431" s="1299"/>
      <c r="J6431" s="1300"/>
      <c r="K6431" s="1307" t="str">
        <f>IF(COUNT(I6431)=0,"",(I6431*J6431))</f>
        <v/>
      </c>
      <c r="L6431" s="1335"/>
      <c r="M6431" s="1302"/>
      <c r="N6431" s="1700"/>
      <c r="O6431" s="1290"/>
      <c r="P6431" s="1332"/>
      <c r="Q6431" s="3391"/>
      <c r="R6431" s="2339"/>
    </row>
    <row r="6432" spans="1:18" s="16" customFormat="1">
      <c r="A6432" s="1599"/>
      <c r="B6432" s="1320"/>
      <c r="C6432" s="595"/>
      <c r="D6432" s="1373"/>
      <c r="E6432" s="2123"/>
      <c r="F6432" s="1374" t="s">
        <v>3</v>
      </c>
      <c r="G6432" s="1375"/>
      <c r="H6432" s="1376"/>
      <c r="I6432" s="1382"/>
      <c r="J6432" s="1383"/>
      <c r="K6432" s="1383" t="str">
        <f>IF(COUNT(I6432)=0,"",(I6432*J6432))</f>
        <v/>
      </c>
      <c r="L6432" s="1413"/>
      <c r="M6432" s="1376"/>
      <c r="N6432" s="1376"/>
      <c r="O6432" s="1376"/>
      <c r="P6432" s="1373"/>
      <c r="Q6432" s="3387"/>
      <c r="R6432" s="2339"/>
    </row>
    <row r="6433" spans="1:18" s="16" customFormat="1">
      <c r="A6433" s="2053"/>
      <c r="B6433" s="1321"/>
      <c r="C6433" s="2021"/>
      <c r="D6433" s="1377"/>
      <c r="E6433" s="2124"/>
      <c r="F6433" s="1378"/>
      <c r="G6433" s="1378"/>
      <c r="H6433" s="1379"/>
      <c r="I6433" s="1299"/>
      <c r="J6433" s="1300"/>
      <c r="K6433" s="1307"/>
      <c r="L6433" s="1335"/>
      <c r="M6433" s="1302"/>
      <c r="N6433" s="1700"/>
      <c r="O6433" s="1290"/>
      <c r="P6433" s="1332"/>
      <c r="Q6433" s="3391"/>
      <c r="R6433" s="2339"/>
    </row>
    <row r="6434" spans="1:18" s="16" customFormat="1">
      <c r="A6434" s="2053"/>
      <c r="B6434" s="1321"/>
      <c r="C6434" s="2021"/>
      <c r="D6434" s="1377"/>
      <c r="E6434" s="2124"/>
      <c r="F6434" s="1378"/>
      <c r="G6434" s="1378"/>
      <c r="H6434" s="1379"/>
      <c r="I6434" s="1299"/>
      <c r="J6434" s="1300"/>
      <c r="K6434" s="1307"/>
      <c r="L6434" s="1335"/>
      <c r="M6434" s="1302"/>
      <c r="N6434" s="1700"/>
      <c r="O6434" s="1290"/>
      <c r="P6434" s="1333"/>
      <c r="Q6434" s="3391"/>
      <c r="R6434" s="2339"/>
    </row>
    <row r="6435" spans="1:18" s="16" customFormat="1">
      <c r="A6435" s="553"/>
      <c r="B6435" s="225"/>
      <c r="C6435" s="581"/>
      <c r="D6435" s="1373"/>
      <c r="E6435" s="2161"/>
      <c r="F6435" s="1678"/>
      <c r="G6435" s="1678"/>
      <c r="H6435" s="1376"/>
      <c r="I6435" s="1299"/>
      <c r="J6435" s="1300"/>
      <c r="K6435" s="1307"/>
      <c r="L6435" s="1335"/>
      <c r="M6435" s="1302"/>
      <c r="N6435" s="1700"/>
      <c r="O6435" s="1290"/>
      <c r="P6435" s="1332"/>
      <c r="Q6435" s="3391"/>
      <c r="R6435" s="2339"/>
    </row>
    <row r="6436" spans="1:18" s="16" customFormat="1">
      <c r="A6436" s="18" t="s">
        <v>3764</v>
      </c>
      <c r="B6436" s="4325" t="s">
        <v>2186</v>
      </c>
      <c r="C6436" s="3350"/>
      <c r="D6436" s="4327"/>
      <c r="E6436" s="4329" t="s">
        <v>1527</v>
      </c>
      <c r="F6436" s="4336" t="s">
        <v>2187</v>
      </c>
      <c r="G6436" s="4331" t="s">
        <v>1568</v>
      </c>
      <c r="H6436" s="4331" t="s">
        <v>1574</v>
      </c>
      <c r="I6436" s="1572" t="s">
        <v>1559</v>
      </c>
      <c r="J6436" s="1294" t="s">
        <v>1560</v>
      </c>
      <c r="K6436" s="1294" t="s">
        <v>1569</v>
      </c>
      <c r="L6436" s="4333" t="s">
        <v>3765</v>
      </c>
      <c r="M6436" s="4335" t="s">
        <v>1571</v>
      </c>
      <c r="N6436" s="4323" t="s">
        <v>1776</v>
      </c>
      <c r="O6436" s="3347" t="s">
        <v>1563</v>
      </c>
      <c r="P6436" s="1336" t="s">
        <v>1562</v>
      </c>
      <c r="Q6436" s="3389"/>
      <c r="R6436" s="1699" t="s">
        <v>1327</v>
      </c>
    </row>
    <row r="6437" spans="1:18" s="16" customFormat="1">
      <c r="A6437" s="1662" t="s">
        <v>2775</v>
      </c>
      <c r="B6437" s="4326"/>
      <c r="C6437" s="3351"/>
      <c r="D6437" s="4328"/>
      <c r="E6437" s="4330"/>
      <c r="F6437" s="4336"/>
      <c r="G6437" s="4332"/>
      <c r="H6437" s="4332"/>
      <c r="I6437" s="1345">
        <v>48</v>
      </c>
      <c r="J6437" s="1307">
        <v>2E-3</v>
      </c>
      <c r="K6437" s="1297">
        <f>I6437*J6437</f>
        <v>9.6000000000000002E-2</v>
      </c>
      <c r="L6437" s="4334"/>
      <c r="M6437" s="4335"/>
      <c r="N6437" s="4324"/>
      <c r="O6437" s="1298">
        <f>SUM(O6439:O6446)</f>
        <v>8.8980400000000017</v>
      </c>
      <c r="P6437" s="1337">
        <f>O6437*K6437</f>
        <v>0.85421184000000017</v>
      </c>
      <c r="Q6437" s="3390"/>
      <c r="R6437" s="1721">
        <f>SUM(P6439:P6446)</f>
        <v>0.85421184000000006</v>
      </c>
    </row>
    <row r="6438" spans="1:18" s="16" customFormat="1">
      <c r="A6438" s="1599"/>
      <c r="B6438" s="1327"/>
      <c r="C6438" s="1511"/>
      <c r="D6438" s="1367"/>
      <c r="E6438" s="2121"/>
      <c r="F6438" s="1389" t="s">
        <v>1</v>
      </c>
      <c r="G6438" s="1389"/>
      <c r="H6438" s="1369"/>
      <c r="I6438" s="2088"/>
      <c r="J6438" s="1369"/>
      <c r="K6438" s="1391"/>
      <c r="L6438" s="2089"/>
      <c r="M6438" s="1369"/>
      <c r="N6438" s="1369"/>
      <c r="O6438" s="1369"/>
      <c r="P6438" s="1392"/>
      <c r="Q6438" s="3395"/>
      <c r="R6438" s="2339"/>
    </row>
    <row r="6439" spans="1:18" s="16" customFormat="1">
      <c r="A6439" s="1599"/>
      <c r="B6439" s="1320"/>
      <c r="C6439" s="595"/>
      <c r="D6439" s="1598" t="s">
        <v>2182</v>
      </c>
      <c r="E6439" s="2154" t="s">
        <v>1527</v>
      </c>
      <c r="F6439" s="1598" t="s">
        <v>2183</v>
      </c>
      <c r="G6439" s="1612">
        <v>1.01</v>
      </c>
      <c r="H6439" s="1369"/>
      <c r="I6439" s="1299"/>
      <c r="J6439" s="1300"/>
      <c r="K6439" s="1307">
        <f>G6439*K6437</f>
        <v>9.6960000000000005E-2</v>
      </c>
      <c r="L6439" s="1335">
        <f t="shared" ref="L6439:L6442" si="854">K6439*$K$6237</f>
        <v>0</v>
      </c>
      <c r="M6439" s="1302">
        <v>0.31</v>
      </c>
      <c r="N6439" s="1700"/>
      <c r="O6439" s="1290">
        <f>G6439*M6439</f>
        <v>0.31309999999999999</v>
      </c>
      <c r="P6439" s="1332">
        <f>M6439*K6439</f>
        <v>3.00576E-2</v>
      </c>
      <c r="Q6439" s="3391"/>
      <c r="R6439" s="2339"/>
    </row>
    <row r="6440" spans="1:18" s="16" customFormat="1">
      <c r="A6440" s="553"/>
      <c r="B6440" s="1320"/>
      <c r="C6440" s="88"/>
      <c r="D6440" s="1598" t="s">
        <v>2184</v>
      </c>
      <c r="E6440" s="2154" t="s">
        <v>1527</v>
      </c>
      <c r="F6440" s="1598" t="s">
        <v>2185</v>
      </c>
      <c r="G6440" s="1612">
        <v>4.04</v>
      </c>
      <c r="H6440" s="1674"/>
      <c r="I6440" s="1299"/>
      <c r="J6440" s="1300"/>
      <c r="K6440" s="1307">
        <f>G6440*K6437</f>
        <v>0.38784000000000002</v>
      </c>
      <c r="L6440" s="1335">
        <f t="shared" si="854"/>
        <v>0</v>
      </c>
      <c r="M6440" s="1302">
        <v>1.54</v>
      </c>
      <c r="N6440" s="1700"/>
      <c r="O6440" s="1290">
        <f>G6440*M6440</f>
        <v>6.2216000000000005</v>
      </c>
      <c r="P6440" s="1332">
        <f>M6440*K6440</f>
        <v>0.59727360000000007</v>
      </c>
      <c r="Q6440" s="3391"/>
      <c r="R6440" s="2339"/>
    </row>
    <row r="6441" spans="1:18" s="16" customFormat="1">
      <c r="A6441" s="553"/>
      <c r="B6441" s="1320"/>
      <c r="C6441" s="88"/>
      <c r="D6441" s="1598" t="s">
        <v>1082</v>
      </c>
      <c r="E6441" s="2154" t="s">
        <v>1504</v>
      </c>
      <c r="F6441" s="1598" t="s">
        <v>1541</v>
      </c>
      <c r="G6441" s="1612">
        <v>0.5</v>
      </c>
      <c r="H6441" s="1674"/>
      <c r="I6441" s="1299"/>
      <c r="J6441" s="1300"/>
      <c r="K6441" s="1307">
        <f>G6441*K6437</f>
        <v>4.8000000000000001E-2</v>
      </c>
      <c r="L6441" s="1335">
        <f t="shared" si="854"/>
        <v>0</v>
      </c>
      <c r="M6441" s="1302">
        <v>0.3</v>
      </c>
      <c r="N6441" s="1700"/>
      <c r="O6441" s="1290">
        <f>G6441*M6441</f>
        <v>0.15</v>
      </c>
      <c r="P6441" s="1332">
        <f>M6441*K6441</f>
        <v>1.44E-2</v>
      </c>
      <c r="Q6441" s="3391"/>
      <c r="R6441" s="2339"/>
    </row>
    <row r="6442" spans="1:18" s="16" customFormat="1">
      <c r="A6442" s="553"/>
      <c r="B6442" s="1320"/>
      <c r="C6442" s="88"/>
      <c r="D6442" s="1598" t="s">
        <v>1097</v>
      </c>
      <c r="E6442" s="2154" t="s">
        <v>1504</v>
      </c>
      <c r="F6442" s="1598" t="s">
        <v>1632</v>
      </c>
      <c r="G6442" s="1612">
        <v>0.3</v>
      </c>
      <c r="H6442" s="1674"/>
      <c r="I6442" s="1299"/>
      <c r="J6442" s="1300"/>
      <c r="K6442" s="1307">
        <f>G6442*K6437</f>
        <v>2.8799999999999999E-2</v>
      </c>
      <c r="L6442" s="1335">
        <f t="shared" si="854"/>
        <v>0</v>
      </c>
      <c r="M6442" s="1302">
        <v>0.55000000000000004</v>
      </c>
      <c r="N6442" s="1700"/>
      <c r="O6442" s="1290">
        <f>G6442*M6442</f>
        <v>0.16500000000000001</v>
      </c>
      <c r="P6442" s="1332">
        <f>M6442*K6442</f>
        <v>1.584E-2</v>
      </c>
      <c r="Q6442" s="3391"/>
      <c r="R6442" s="2339"/>
    </row>
    <row r="6443" spans="1:18" s="16" customFormat="1">
      <c r="A6443" s="553"/>
      <c r="B6443" s="1320"/>
      <c r="C6443" s="88"/>
      <c r="D6443" s="1367"/>
      <c r="E6443" s="2121"/>
      <c r="F6443" s="1436"/>
      <c r="G6443" s="1436"/>
      <c r="H6443" s="1369"/>
      <c r="I6443" s="1299" t="str">
        <f t="shared" ref="I6443" ca="1" si="855">IF(COUNT(H6443:O6443)=0,"",(SUM(H6443:O6443)/COUNT(H6443:O6443)))</f>
        <v/>
      </c>
      <c r="J6443" s="1300"/>
      <c r="K6443" s="1307" t="str">
        <f t="shared" ref="K6443" ca="1" si="856">IF(COUNT(I6443)=0,"",(I6443*J6443))</f>
        <v/>
      </c>
      <c r="L6443" s="1335"/>
      <c r="M6443" s="1302"/>
      <c r="N6443" s="1700"/>
      <c r="O6443" s="1290"/>
      <c r="P6443" s="1332"/>
      <c r="Q6443" s="3391"/>
      <c r="R6443" s="2339"/>
    </row>
    <row r="6444" spans="1:18" s="16" customFormat="1">
      <c r="A6444" s="553"/>
      <c r="B6444" s="1320"/>
      <c r="C6444" s="88"/>
      <c r="D6444" s="1359"/>
      <c r="E6444" s="1858"/>
      <c r="F6444" s="1360" t="s">
        <v>2</v>
      </c>
      <c r="G6444" s="1360"/>
      <c r="H6444" s="1362"/>
      <c r="I6444" s="1380"/>
      <c r="J6444" s="1381"/>
      <c r="K6444" s="1381"/>
      <c r="L6444" s="1458"/>
      <c r="M6444" s="1362"/>
      <c r="N6444" s="1362"/>
      <c r="O6444" s="1362"/>
      <c r="P6444" s="1359"/>
      <c r="Q6444" s="3387"/>
      <c r="R6444" s="2339"/>
    </row>
    <row r="6445" spans="1:18" s="16" customFormat="1">
      <c r="A6445" s="1599"/>
      <c r="B6445" s="1320"/>
      <c r="D6445" s="1359" t="s">
        <v>1593</v>
      </c>
      <c r="E6445" s="1858" t="s">
        <v>1508</v>
      </c>
      <c r="F6445" s="1404" t="s">
        <v>2146</v>
      </c>
      <c r="G6445" s="1404">
        <v>4.8000000000000001E-2</v>
      </c>
      <c r="H6445" s="1359"/>
      <c r="I6445" s="1289"/>
      <c r="J6445" s="8"/>
      <c r="K6445" s="1307">
        <f>G6445*K6437</f>
        <v>4.6080000000000001E-3</v>
      </c>
      <c r="L6445" s="1335">
        <f>K6445*$K$6237</f>
        <v>0</v>
      </c>
      <c r="M6445" s="1302">
        <v>19.23</v>
      </c>
      <c r="N6445" s="1700"/>
      <c r="O6445" s="1290">
        <f>G6445*M6445</f>
        <v>0.92304000000000008</v>
      </c>
      <c r="P6445" s="1332">
        <f>M6445*K6445</f>
        <v>8.8611839999999997E-2</v>
      </c>
      <c r="Q6445" s="3391"/>
      <c r="R6445" s="2339"/>
    </row>
    <row r="6446" spans="1:18" s="16" customFormat="1">
      <c r="A6446"/>
      <c r="B6446" s="1042"/>
      <c r="C6446" s="2086" t="s">
        <v>1755</v>
      </c>
      <c r="D6446" s="1311"/>
      <c r="E6446" s="2176" t="s">
        <v>1508</v>
      </c>
      <c r="F6446" s="1648" t="s">
        <v>1524</v>
      </c>
      <c r="G6446" s="1990"/>
      <c r="H6446" s="1456">
        <v>0.03</v>
      </c>
      <c r="I6446" s="1444"/>
      <c r="J6446" s="1388"/>
      <c r="K6446" s="1445"/>
      <c r="L6446" s="1457"/>
      <c r="M6446" s="1447"/>
      <c r="N6446" s="1447">
        <f>SUM(N6447:N6448)</f>
        <v>37.510000000000005</v>
      </c>
      <c r="O6446" s="1447">
        <f>SUM(O6447:O6448)</f>
        <v>1.1253</v>
      </c>
      <c r="P6446" s="1447">
        <f>SUM(P6447:P6448)</f>
        <v>0.10802879999999999</v>
      </c>
      <c r="Q6446" s="3391"/>
      <c r="R6446" s="2337"/>
    </row>
    <row r="6447" spans="1:18" s="16" customFormat="1">
      <c r="A6447"/>
      <c r="B6447" s="1042"/>
      <c r="C6447" s="19"/>
      <c r="D6447" s="1430" t="s">
        <v>1067</v>
      </c>
      <c r="E6447" s="1857" t="s">
        <v>1508</v>
      </c>
      <c r="F6447" s="1403" t="s">
        <v>5</v>
      </c>
      <c r="G6447" s="1991">
        <v>1</v>
      </c>
      <c r="H6447" s="1408">
        <f>G6447*H6446</f>
        <v>0.03</v>
      </c>
      <c r="I6447" s="1286"/>
      <c r="J6447" s="198"/>
      <c r="K6447" s="1307">
        <f>H6447*K6437</f>
        <v>2.8799999999999997E-3</v>
      </c>
      <c r="L6447" s="1335">
        <f t="shared" ref="L6447:L6448" si="857">K6447*$K$6237</f>
        <v>0</v>
      </c>
      <c r="M6447" s="1302">
        <v>18.28</v>
      </c>
      <c r="N6447" s="1718">
        <f>G6447*M6447</f>
        <v>18.28</v>
      </c>
      <c r="O6447" s="1290">
        <f>H6447*M6447</f>
        <v>0.5484</v>
      </c>
      <c r="P6447" s="1720">
        <f>M6447*K6447</f>
        <v>5.2646399999999996E-2</v>
      </c>
      <c r="Q6447" s="3396"/>
      <c r="R6447" s="2337"/>
    </row>
    <row r="6448" spans="1:18" s="16" customFormat="1">
      <c r="A6448"/>
      <c r="B6448" s="1042"/>
      <c r="C6448" s="19"/>
      <c r="D6448" s="1430" t="s">
        <v>1077</v>
      </c>
      <c r="E6448" s="1857" t="s">
        <v>1508</v>
      </c>
      <c r="F6448" s="1403" t="s">
        <v>37</v>
      </c>
      <c r="G6448" s="1991">
        <v>1</v>
      </c>
      <c r="H6448" s="1408">
        <f>G6448*H6446</f>
        <v>0.03</v>
      </c>
      <c r="I6448" s="197"/>
      <c r="J6448" s="198"/>
      <c r="K6448" s="1307">
        <f>H6448*K6437</f>
        <v>2.8799999999999997E-3</v>
      </c>
      <c r="L6448" s="1335">
        <f t="shared" si="857"/>
        <v>0</v>
      </c>
      <c r="M6448" s="1302">
        <v>19.23</v>
      </c>
      <c r="N6448" s="1718">
        <f>G6448*M6448</f>
        <v>19.23</v>
      </c>
      <c r="O6448" s="1290">
        <f>H6448*M6448</f>
        <v>0.57689999999999997</v>
      </c>
      <c r="P6448" s="1720">
        <f>M6448*K6448</f>
        <v>5.5382399999999998E-2</v>
      </c>
      <c r="Q6448" s="3396"/>
      <c r="R6448" s="2337"/>
    </row>
    <row r="6449" spans="1:21" s="16" customFormat="1">
      <c r="A6449"/>
      <c r="B6449" s="1320"/>
      <c r="D6449" s="1359"/>
      <c r="E6449" s="1858"/>
      <c r="F6449" s="1361"/>
      <c r="G6449" s="1361"/>
      <c r="H6449" s="1466"/>
      <c r="I6449" s="1289"/>
      <c r="J6449" s="8"/>
      <c r="K6449" s="1307" t="str">
        <f>IF(COUNT(I6449)=0,"",(I6449*J6449))</f>
        <v/>
      </c>
      <c r="L6449" s="1335"/>
      <c r="M6449" s="1302"/>
      <c r="N6449" s="1700"/>
      <c r="O6449" s="1290"/>
      <c r="P6449" s="1332"/>
      <c r="Q6449" s="3391"/>
      <c r="R6449" s="1296"/>
    </row>
    <row r="6450" spans="1:21" s="16" customFormat="1">
      <c r="A6450" s="1599"/>
      <c r="B6450" s="1320"/>
      <c r="C6450" s="595"/>
      <c r="D6450" s="1359"/>
      <c r="E6450" s="1858"/>
      <c r="F6450" s="1361"/>
      <c r="G6450" s="1361"/>
      <c r="H6450" s="1466"/>
      <c r="I6450" s="1299"/>
      <c r="J6450" s="1300"/>
      <c r="K6450" s="1307" t="str">
        <f>IF(COUNT(I6450)=0,"",(I6450*J6450))</f>
        <v/>
      </c>
      <c r="L6450" s="1335"/>
      <c r="M6450" s="1302"/>
      <c r="N6450" s="1700"/>
      <c r="O6450" s="1290"/>
      <c r="P6450" s="1332"/>
      <c r="Q6450" s="3391"/>
      <c r="R6450" s="2339"/>
    </row>
    <row r="6451" spans="1:21" s="16" customFormat="1">
      <c r="A6451" s="1599"/>
      <c r="B6451" s="1320"/>
      <c r="C6451" s="595"/>
      <c r="D6451" s="1373"/>
      <c r="E6451" s="2123"/>
      <c r="F6451" s="1374" t="s">
        <v>3</v>
      </c>
      <c r="G6451" s="1375"/>
      <c r="H6451" s="1376"/>
      <c r="I6451" s="1382"/>
      <c r="J6451" s="1383"/>
      <c r="K6451" s="1383" t="str">
        <f>IF(COUNT(I6451)=0,"",(I6451*J6451))</f>
        <v/>
      </c>
      <c r="L6451" s="1413"/>
      <c r="M6451" s="1376"/>
      <c r="N6451" s="1376"/>
      <c r="O6451" s="1376"/>
      <c r="P6451" s="1373"/>
      <c r="Q6451" s="3387"/>
      <c r="R6451" s="2339"/>
    </row>
    <row r="6452" spans="1:21" s="16" customFormat="1">
      <c r="A6452" s="2053"/>
      <c r="B6452" s="1321"/>
      <c r="C6452" s="2021"/>
      <c r="D6452" s="1377"/>
      <c r="E6452" s="2124"/>
      <c r="F6452" s="1378"/>
      <c r="G6452" s="1378"/>
      <c r="H6452" s="1379"/>
      <c r="I6452" s="1299"/>
      <c r="J6452" s="1300"/>
      <c r="K6452" s="1307"/>
      <c r="L6452" s="1335"/>
      <c r="M6452" s="1302"/>
      <c r="N6452" s="1700"/>
      <c r="O6452" s="1290"/>
      <c r="P6452" s="1332"/>
      <c r="Q6452" s="3391"/>
      <c r="R6452" s="2339"/>
    </row>
    <row r="6453" spans="1:21" s="16" customFormat="1">
      <c r="A6453" s="2053"/>
      <c r="B6453" s="1321"/>
      <c r="C6453" s="2021"/>
      <c r="D6453" s="1377"/>
      <c r="E6453" s="2124"/>
      <c r="F6453" s="1378"/>
      <c r="G6453" s="1378"/>
      <c r="H6453" s="1379"/>
      <c r="I6453" s="1299"/>
      <c r="J6453" s="1300"/>
      <c r="K6453" s="1307"/>
      <c r="L6453" s="1335"/>
      <c r="M6453" s="1302"/>
      <c r="N6453" s="1700"/>
      <c r="O6453" s="1290"/>
      <c r="P6453" s="1333"/>
      <c r="Q6453" s="3391"/>
      <c r="R6453" s="2339"/>
    </row>
    <row r="6454" spans="1:21" s="16" customFormat="1">
      <c r="A6454" s="553"/>
      <c r="B6454" s="225"/>
      <c r="C6454" s="581"/>
      <c r="D6454" s="1373"/>
      <c r="E6454" s="2161"/>
      <c r="F6454" s="1678"/>
      <c r="G6454" s="1678"/>
      <c r="H6454" s="1376"/>
      <c r="I6454" s="1299"/>
      <c r="J6454" s="1300"/>
      <c r="K6454" s="1307"/>
      <c r="L6454" s="1335"/>
      <c r="M6454" s="1302"/>
      <c r="N6454" s="1700"/>
      <c r="O6454" s="1290"/>
      <c r="P6454" s="1332"/>
      <c r="Q6454" s="3391"/>
      <c r="R6454" s="2339"/>
    </row>
    <row r="6455" spans="1:21" s="16" customFormat="1">
      <c r="A6455" s="18" t="s">
        <v>3764</v>
      </c>
      <c r="B6455" s="4325" t="s">
        <v>2188</v>
      </c>
      <c r="C6455" s="3350"/>
      <c r="D6455" s="4327"/>
      <c r="E6455" s="4329" t="s">
        <v>1504</v>
      </c>
      <c r="F6455" s="4336" t="s">
        <v>2189</v>
      </c>
      <c r="G6455" s="4331" t="s">
        <v>1568</v>
      </c>
      <c r="H6455" s="4331" t="s">
        <v>1574</v>
      </c>
      <c r="I6455" s="1572" t="s">
        <v>1559</v>
      </c>
      <c r="J6455" s="1294" t="s">
        <v>1560</v>
      </c>
      <c r="K6455" s="1294" t="s">
        <v>1569</v>
      </c>
      <c r="L6455" s="4333" t="s">
        <v>3765</v>
      </c>
      <c r="M6455" s="4335" t="s">
        <v>1571</v>
      </c>
      <c r="N6455" s="4323" t="s">
        <v>1776</v>
      </c>
      <c r="O6455" s="3347" t="s">
        <v>1563</v>
      </c>
      <c r="P6455" s="1336" t="s">
        <v>1562</v>
      </c>
      <c r="Q6455" s="3389"/>
      <c r="R6455" s="1699" t="s">
        <v>1327</v>
      </c>
    </row>
    <row r="6456" spans="1:21" s="16" customFormat="1">
      <c r="A6456" s="1662" t="s">
        <v>2775</v>
      </c>
      <c r="B6456" s="4326"/>
      <c r="C6456" s="3351"/>
      <c r="D6456" s="4328"/>
      <c r="E6456" s="4330"/>
      <c r="F6456" s="4336"/>
      <c r="G6456" s="4332"/>
      <c r="H6456" s="4332"/>
      <c r="I6456" s="1345">
        <v>0.4</v>
      </c>
      <c r="J6456" s="1307">
        <v>2E-3</v>
      </c>
      <c r="K6456" s="1297">
        <f>I6456*J6456</f>
        <v>8.0000000000000004E-4</v>
      </c>
      <c r="L6456" s="4334"/>
      <c r="M6456" s="4335"/>
      <c r="N6456" s="4324"/>
      <c r="O6456" s="1298">
        <f>SUM(O6458:O6467)</f>
        <v>203.05689999999998</v>
      </c>
      <c r="P6456" s="1337">
        <f>O6456*K6456</f>
        <v>0.16244551999999998</v>
      </c>
      <c r="Q6456" s="3390"/>
      <c r="R6456" s="1721">
        <f>SUM(P6458:P6467)</f>
        <v>0.16244551999999998</v>
      </c>
    </row>
    <row r="6457" spans="1:21" s="16" customFormat="1">
      <c r="A6457" s="1599"/>
      <c r="B6457" s="1327"/>
      <c r="C6457" s="1511"/>
      <c r="D6457" s="1367"/>
      <c r="E6457" s="2121"/>
      <c r="F6457" s="1389" t="s">
        <v>1</v>
      </c>
      <c r="G6457" s="1389"/>
      <c r="H6457" s="1369"/>
      <c r="I6457" s="2088"/>
      <c r="J6457" s="1369"/>
      <c r="K6457" s="1391"/>
      <c r="L6457" s="2089"/>
      <c r="M6457" s="1369"/>
      <c r="N6457" s="1369"/>
      <c r="O6457" s="1369"/>
      <c r="P6457" s="1392"/>
      <c r="Q6457" s="3395"/>
      <c r="R6457" s="2339"/>
    </row>
    <row r="6458" spans="1:21" s="16" customFormat="1">
      <c r="A6458" s="1599"/>
      <c r="B6458" s="1320"/>
      <c r="C6458" s="595"/>
      <c r="D6458" s="1598" t="s">
        <v>2190</v>
      </c>
      <c r="E6458" s="2154" t="s">
        <v>1504</v>
      </c>
      <c r="F6458" s="1598" t="s">
        <v>2191</v>
      </c>
      <c r="G6458" s="1612">
        <v>1</v>
      </c>
      <c r="H6458" s="1369"/>
      <c r="I6458" s="1289"/>
      <c r="J6458" s="8"/>
      <c r="K6458" s="1307">
        <f>G6458*K6456</f>
        <v>8.0000000000000004E-4</v>
      </c>
      <c r="L6458" s="1335">
        <f t="shared" ref="L6458:L6463" si="858">K6458*$K$6237</f>
        <v>0</v>
      </c>
      <c r="M6458" s="1302">
        <v>7.47</v>
      </c>
      <c r="N6458" s="1390"/>
      <c r="O6458" s="1290">
        <f t="shared" ref="O6458:O6463" si="859">G6458*M6458</f>
        <v>7.47</v>
      </c>
      <c r="P6458" s="1332">
        <f t="shared" ref="P6458:P6463" si="860">M6458*K6458</f>
        <v>5.9760000000000004E-3</v>
      </c>
      <c r="Q6458" s="3391"/>
      <c r="R6458" s="2339"/>
    </row>
    <row r="6459" spans="1:21" s="16" customFormat="1">
      <c r="A6459" s="1599"/>
      <c r="B6459" s="1320"/>
      <c r="C6459" s="595"/>
      <c r="D6459" s="1598" t="s">
        <v>2192</v>
      </c>
      <c r="E6459" s="2154" t="s">
        <v>1504</v>
      </c>
      <c r="F6459" s="1598" t="s">
        <v>2193</v>
      </c>
      <c r="G6459" s="1612">
        <v>1</v>
      </c>
      <c r="H6459" s="1369"/>
      <c r="I6459" s="1299"/>
      <c r="J6459" s="1300"/>
      <c r="K6459" s="1307">
        <f>G6459*K6456</f>
        <v>8.0000000000000004E-4</v>
      </c>
      <c r="L6459" s="1335">
        <f t="shared" si="858"/>
        <v>0</v>
      </c>
      <c r="M6459" s="1302">
        <v>60.56</v>
      </c>
      <c r="N6459" s="1700"/>
      <c r="O6459" s="1290">
        <f t="shared" si="859"/>
        <v>60.56</v>
      </c>
      <c r="P6459" s="1332">
        <f t="shared" si="860"/>
        <v>4.8448000000000005E-2</v>
      </c>
      <c r="Q6459" s="3391"/>
      <c r="R6459" s="2339"/>
      <c r="T6459" s="1292"/>
      <c r="U6459" s="1292"/>
    </row>
    <row r="6460" spans="1:21" s="16" customFormat="1">
      <c r="A6460" s="553"/>
      <c r="B6460" s="1320"/>
      <c r="C6460" s="88"/>
      <c r="D6460" s="1598" t="s">
        <v>2194</v>
      </c>
      <c r="E6460" s="2154" t="s">
        <v>1504</v>
      </c>
      <c r="F6460" s="1598" t="s">
        <v>2195</v>
      </c>
      <c r="G6460" s="1612">
        <v>2</v>
      </c>
      <c r="H6460" s="1674"/>
      <c r="I6460" s="1299"/>
      <c r="J6460" s="1300"/>
      <c r="K6460" s="1307">
        <f>G6460*K6456</f>
        <v>1.6000000000000001E-3</v>
      </c>
      <c r="L6460" s="1335">
        <f t="shared" si="858"/>
        <v>0</v>
      </c>
      <c r="M6460" s="1302">
        <v>44.8</v>
      </c>
      <c r="N6460" s="1700"/>
      <c r="O6460" s="1290">
        <f t="shared" si="859"/>
        <v>89.6</v>
      </c>
      <c r="P6460" s="1332">
        <f t="shared" si="860"/>
        <v>7.1679999999999994E-2</v>
      </c>
      <c r="Q6460" s="3391"/>
      <c r="R6460" s="2339"/>
    </row>
    <row r="6461" spans="1:21" s="16" customFormat="1">
      <c r="A6461" s="553"/>
      <c r="B6461" s="1320"/>
      <c r="C6461" s="88"/>
      <c r="D6461" s="1598" t="s">
        <v>2196</v>
      </c>
      <c r="E6461" s="2154" t="s">
        <v>1504</v>
      </c>
      <c r="F6461" s="1598" t="s">
        <v>2197</v>
      </c>
      <c r="G6461" s="1612">
        <v>1</v>
      </c>
      <c r="H6461" s="1674"/>
      <c r="I6461" s="1299"/>
      <c r="J6461" s="1300"/>
      <c r="K6461" s="1307">
        <f>G6461*K6456</f>
        <v>8.0000000000000004E-4</v>
      </c>
      <c r="L6461" s="1335">
        <f t="shared" si="858"/>
        <v>0</v>
      </c>
      <c r="M6461" s="1302">
        <v>17.850000000000001</v>
      </c>
      <c r="N6461" s="1700"/>
      <c r="O6461" s="1290">
        <f t="shared" si="859"/>
        <v>17.850000000000001</v>
      </c>
      <c r="P6461" s="1332">
        <f t="shared" si="860"/>
        <v>1.4280000000000001E-2</v>
      </c>
      <c r="Q6461" s="3391"/>
      <c r="R6461" s="2339"/>
    </row>
    <row r="6462" spans="1:21" s="16" customFormat="1">
      <c r="A6462" s="553"/>
      <c r="B6462" s="1320"/>
      <c r="C6462" s="88"/>
      <c r="D6462" s="1598" t="s">
        <v>1082</v>
      </c>
      <c r="E6462" s="2154" t="s">
        <v>1504</v>
      </c>
      <c r="F6462" s="1598" t="s">
        <v>1541</v>
      </c>
      <c r="G6462" s="1612">
        <v>1</v>
      </c>
      <c r="H6462" s="1674"/>
      <c r="I6462" s="1299"/>
      <c r="J6462" s="1300"/>
      <c r="K6462" s="1307">
        <f>G6462*K6456</f>
        <v>8.0000000000000004E-4</v>
      </c>
      <c r="L6462" s="1335">
        <f t="shared" si="858"/>
        <v>0</v>
      </c>
      <c r="M6462" s="1302">
        <v>0.3</v>
      </c>
      <c r="N6462" s="1700"/>
      <c r="O6462" s="1290">
        <f t="shared" si="859"/>
        <v>0.3</v>
      </c>
      <c r="P6462" s="1332">
        <f t="shared" si="860"/>
        <v>2.4000000000000001E-4</v>
      </c>
      <c r="Q6462" s="3391"/>
      <c r="R6462" s="2339"/>
    </row>
    <row r="6463" spans="1:21" s="16" customFormat="1">
      <c r="A6463" s="553"/>
      <c r="B6463" s="1320"/>
      <c r="C6463" s="88"/>
      <c r="D6463" s="1598" t="s">
        <v>1097</v>
      </c>
      <c r="E6463" s="2154" t="s">
        <v>1504</v>
      </c>
      <c r="F6463" s="1598" t="s">
        <v>1632</v>
      </c>
      <c r="G6463" s="1612">
        <v>1.5</v>
      </c>
      <c r="H6463" s="1674"/>
      <c r="I6463" s="1299"/>
      <c r="J6463" s="1300"/>
      <c r="K6463" s="1307">
        <f>G6463*K6456</f>
        <v>1.2000000000000001E-3</v>
      </c>
      <c r="L6463" s="1335">
        <f t="shared" si="858"/>
        <v>0</v>
      </c>
      <c r="M6463" s="1302">
        <v>0.55000000000000004</v>
      </c>
      <c r="N6463" s="1700"/>
      <c r="O6463" s="1290">
        <f t="shared" si="859"/>
        <v>0.82500000000000007</v>
      </c>
      <c r="P6463" s="1332">
        <f t="shared" si="860"/>
        <v>6.600000000000001E-4</v>
      </c>
      <c r="Q6463" s="3391"/>
      <c r="R6463" s="2339"/>
    </row>
    <row r="6464" spans="1:21" s="16" customFormat="1">
      <c r="A6464" s="553"/>
      <c r="B6464" s="1320"/>
      <c r="C6464" s="88"/>
      <c r="D6464" s="1367"/>
      <c r="E6464" s="2121"/>
      <c r="F6464" s="1436"/>
      <c r="G6464" s="1436"/>
      <c r="H6464" s="1369"/>
      <c r="I6464" s="1299" t="str">
        <f t="shared" ref="I6464" ca="1" si="861">IF(COUNT(H6464:O6464)=0,"",(SUM(H6464:O6464)/COUNT(H6464:O6464)))</f>
        <v/>
      </c>
      <c r="J6464" s="1300"/>
      <c r="K6464" s="1307" t="str">
        <f t="shared" ref="K6464" ca="1" si="862">IF(COUNT(I6464)=0,"",(I6464*J6464))</f>
        <v/>
      </c>
      <c r="L6464" s="1335"/>
      <c r="M6464" s="1302"/>
      <c r="N6464" s="1700"/>
      <c r="O6464" s="1290"/>
      <c r="P6464" s="1332"/>
      <c r="Q6464" s="3391"/>
      <c r="R6464" s="2339"/>
    </row>
    <row r="6465" spans="1:18" s="16" customFormat="1">
      <c r="A6465" s="553"/>
      <c r="B6465" s="1320"/>
      <c r="C6465" s="88"/>
      <c r="D6465" s="1359"/>
      <c r="E6465" s="1858"/>
      <c r="F6465" s="1360" t="s">
        <v>2</v>
      </c>
      <c r="G6465" s="1360"/>
      <c r="H6465" s="1362"/>
      <c r="I6465" s="1380"/>
      <c r="J6465" s="1381"/>
      <c r="K6465" s="1381"/>
      <c r="L6465" s="1458"/>
      <c r="M6465" s="1362"/>
      <c r="N6465" s="1362"/>
      <c r="O6465" s="1362"/>
      <c r="P6465" s="1359"/>
      <c r="Q6465" s="3387"/>
      <c r="R6465" s="2339"/>
    </row>
    <row r="6466" spans="1:18" s="16" customFormat="1">
      <c r="A6466" s="1599"/>
      <c r="B6466" s="1320"/>
      <c r="D6466" s="1359" t="s">
        <v>1593</v>
      </c>
      <c r="E6466" s="1858" t="s">
        <v>1508</v>
      </c>
      <c r="F6466" s="1404" t="s">
        <v>2146</v>
      </c>
      <c r="G6466" s="1404">
        <v>1.2</v>
      </c>
      <c r="H6466" s="1359"/>
      <c r="I6466" s="1289"/>
      <c r="J6466" s="8"/>
      <c r="K6466" s="1307">
        <f>G6466*K6456</f>
        <v>9.6000000000000002E-4</v>
      </c>
      <c r="L6466" s="1335">
        <f>K6466*$K$6237</f>
        <v>0</v>
      </c>
      <c r="M6466" s="1302">
        <v>19.23</v>
      </c>
      <c r="N6466" s="1700"/>
      <c r="O6466" s="1290">
        <f>G6466*M6466</f>
        <v>23.076000000000001</v>
      </c>
      <c r="P6466" s="1332">
        <f>M6466*K6466</f>
        <v>1.8460799999999999E-2</v>
      </c>
      <c r="Q6466" s="3391"/>
      <c r="R6466" s="2339"/>
    </row>
    <row r="6467" spans="1:18" s="16" customFormat="1">
      <c r="A6467"/>
      <c r="B6467" s="1042"/>
      <c r="C6467" s="2086" t="s">
        <v>1755</v>
      </c>
      <c r="D6467" s="1311"/>
      <c r="E6467" s="2176" t="s">
        <v>1508</v>
      </c>
      <c r="F6467" s="1648" t="s">
        <v>1524</v>
      </c>
      <c r="G6467" s="1990"/>
      <c r="H6467" s="1456">
        <v>0.09</v>
      </c>
      <c r="I6467" s="1444"/>
      <c r="J6467" s="1388"/>
      <c r="K6467" s="1445"/>
      <c r="L6467" s="1457"/>
      <c r="M6467" s="1447"/>
      <c r="N6467" s="1447">
        <f>SUM(N6468:N6469)</f>
        <v>37.510000000000005</v>
      </c>
      <c r="O6467" s="1447">
        <f>SUM(O6468:O6469)</f>
        <v>3.3758999999999997</v>
      </c>
      <c r="P6467" s="1447">
        <f>SUM(P6468:P6469)</f>
        <v>2.7007200000000002E-3</v>
      </c>
      <c r="Q6467" s="3391"/>
      <c r="R6467" s="2337"/>
    </row>
    <row r="6468" spans="1:18" s="16" customFormat="1">
      <c r="A6468"/>
      <c r="B6468" s="1042"/>
      <c r="C6468" s="19"/>
      <c r="D6468" s="1430" t="s">
        <v>1067</v>
      </c>
      <c r="E6468" s="1857" t="s">
        <v>1508</v>
      </c>
      <c r="F6468" s="1403" t="s">
        <v>5</v>
      </c>
      <c r="G6468" s="1991">
        <v>1</v>
      </c>
      <c r="H6468" s="1408">
        <f>G6468*H6467</f>
        <v>0.09</v>
      </c>
      <c r="I6468" s="1286"/>
      <c r="J6468" s="198"/>
      <c r="K6468" s="1307">
        <f>H6468*K6456</f>
        <v>7.2000000000000002E-5</v>
      </c>
      <c r="L6468" s="1335">
        <f t="shared" ref="L6468:L6469" si="863">K6468*$K$6237</f>
        <v>0</v>
      </c>
      <c r="M6468" s="1302">
        <v>18.28</v>
      </c>
      <c r="N6468" s="1718">
        <f>G6468*M6468</f>
        <v>18.28</v>
      </c>
      <c r="O6468" s="1290">
        <f>H6468*M6468</f>
        <v>1.6452</v>
      </c>
      <c r="P6468" s="1720">
        <f>M6468*K6468</f>
        <v>1.31616E-3</v>
      </c>
      <c r="Q6468" s="3396"/>
      <c r="R6468" s="2337"/>
    </row>
    <row r="6469" spans="1:18" s="16" customFormat="1">
      <c r="A6469"/>
      <c r="B6469" s="1042"/>
      <c r="C6469" s="19"/>
      <c r="D6469" s="1430" t="s">
        <v>1077</v>
      </c>
      <c r="E6469" s="1857" t="s">
        <v>1508</v>
      </c>
      <c r="F6469" s="1403" t="s">
        <v>37</v>
      </c>
      <c r="G6469" s="1991">
        <v>1</v>
      </c>
      <c r="H6469" s="1408">
        <f>G6469*H6467</f>
        <v>0.09</v>
      </c>
      <c r="I6469" s="197"/>
      <c r="J6469" s="198"/>
      <c r="K6469" s="1307">
        <f>H6469*K6456</f>
        <v>7.2000000000000002E-5</v>
      </c>
      <c r="L6469" s="1335">
        <f t="shared" si="863"/>
        <v>0</v>
      </c>
      <c r="M6469" s="1302">
        <v>19.23</v>
      </c>
      <c r="N6469" s="1718">
        <f>G6469*M6469</f>
        <v>19.23</v>
      </c>
      <c r="O6469" s="1290">
        <f>H6469*M6469</f>
        <v>1.7306999999999999</v>
      </c>
      <c r="P6469" s="1720">
        <f>M6469*K6469</f>
        <v>1.38456E-3</v>
      </c>
      <c r="Q6469" s="3396"/>
      <c r="R6469" s="2337"/>
    </row>
    <row r="6470" spans="1:18" s="16" customFormat="1">
      <c r="A6470"/>
      <c r="B6470" s="1320"/>
      <c r="D6470" s="1359"/>
      <c r="E6470" s="1858"/>
      <c r="F6470" s="1361"/>
      <c r="G6470" s="1361"/>
      <c r="H6470" s="1466"/>
      <c r="I6470" s="1289"/>
      <c r="J6470" s="8"/>
      <c r="K6470" s="1307" t="str">
        <f>IF(COUNT(I6470)=0,"",(I6470*J6470))</f>
        <v/>
      </c>
      <c r="L6470" s="1335"/>
      <c r="M6470" s="1302"/>
      <c r="N6470" s="1700"/>
      <c r="O6470" s="1290"/>
      <c r="P6470" s="1332"/>
      <c r="Q6470" s="3391"/>
      <c r="R6470" s="1296"/>
    </row>
    <row r="6471" spans="1:18" s="16" customFormat="1">
      <c r="A6471" s="1599"/>
      <c r="B6471" s="1320"/>
      <c r="C6471" s="595"/>
      <c r="D6471" s="1359"/>
      <c r="E6471" s="1858"/>
      <c r="F6471" s="1361"/>
      <c r="G6471" s="1361"/>
      <c r="H6471" s="1466"/>
      <c r="I6471" s="1299"/>
      <c r="J6471" s="1300"/>
      <c r="K6471" s="1307" t="str">
        <f>IF(COUNT(I6471)=0,"",(I6471*J6471))</f>
        <v/>
      </c>
      <c r="L6471" s="1335"/>
      <c r="M6471" s="1302"/>
      <c r="N6471" s="1700"/>
      <c r="O6471" s="1290"/>
      <c r="P6471" s="1332"/>
      <c r="Q6471" s="3391"/>
      <c r="R6471" s="2339"/>
    </row>
    <row r="6472" spans="1:18" s="16" customFormat="1">
      <c r="A6472" s="1599"/>
      <c r="B6472" s="1320"/>
      <c r="C6472" s="595"/>
      <c r="D6472" s="1373"/>
      <c r="E6472" s="2123"/>
      <c r="F6472" s="1374" t="s">
        <v>3</v>
      </c>
      <c r="G6472" s="1375"/>
      <c r="H6472" s="1376"/>
      <c r="I6472" s="1382"/>
      <c r="J6472" s="1383"/>
      <c r="K6472" s="1383" t="str">
        <f>IF(COUNT(I6472)=0,"",(I6472*J6472))</f>
        <v/>
      </c>
      <c r="L6472" s="1413"/>
      <c r="M6472" s="1376"/>
      <c r="N6472" s="1376"/>
      <c r="O6472" s="1376"/>
      <c r="P6472" s="1373"/>
      <c r="Q6472" s="3387"/>
      <c r="R6472" s="2339"/>
    </row>
    <row r="6473" spans="1:18" s="16" customFormat="1">
      <c r="A6473" s="2053"/>
      <c r="B6473" s="1321"/>
      <c r="C6473" s="2021"/>
      <c r="D6473" s="1377"/>
      <c r="E6473" s="2124"/>
      <c r="F6473" s="1378"/>
      <c r="G6473" s="1378"/>
      <c r="H6473" s="1379"/>
      <c r="I6473" s="1299"/>
      <c r="J6473" s="1300"/>
      <c r="K6473" s="1307"/>
      <c r="L6473" s="1335"/>
      <c r="M6473" s="1302"/>
      <c r="N6473" s="1700"/>
      <c r="O6473" s="1290"/>
      <c r="P6473" s="1332"/>
      <c r="Q6473" s="3391"/>
      <c r="R6473" s="2339"/>
    </row>
    <row r="6474" spans="1:18" s="16" customFormat="1">
      <c r="A6474" s="2053"/>
      <c r="B6474" s="1321"/>
      <c r="C6474" s="2021"/>
      <c r="D6474" s="1377"/>
      <c r="E6474" s="2124"/>
      <c r="F6474" s="1378"/>
      <c r="G6474" s="1378"/>
      <c r="H6474" s="1379"/>
      <c r="I6474" s="1299"/>
      <c r="J6474" s="1300"/>
      <c r="K6474" s="1307"/>
      <c r="L6474" s="1335"/>
      <c r="M6474" s="1302"/>
      <c r="N6474" s="1700"/>
      <c r="O6474" s="1290"/>
      <c r="P6474" s="1333"/>
      <c r="Q6474" s="3391"/>
      <c r="R6474" s="2339"/>
    </row>
    <row r="6475" spans="1:18" s="16" customFormat="1">
      <c r="A6475" s="553"/>
      <c r="B6475" s="225"/>
      <c r="C6475" s="581"/>
      <c r="D6475" s="1373"/>
      <c r="E6475" s="2161"/>
      <c r="F6475" s="1678"/>
      <c r="G6475" s="1678"/>
      <c r="H6475" s="1376"/>
      <c r="I6475" s="1299"/>
      <c r="J6475" s="1300"/>
      <c r="K6475" s="1307"/>
      <c r="L6475" s="1335"/>
      <c r="M6475" s="1302"/>
      <c r="N6475" s="1700"/>
      <c r="O6475" s="1290"/>
      <c r="P6475" s="1332"/>
      <c r="Q6475" s="3391"/>
      <c r="R6475" s="2339"/>
    </row>
    <row r="6476" spans="1:18" s="16" customFormat="1">
      <c r="A6476" s="18" t="s">
        <v>3764</v>
      </c>
      <c r="B6476" s="4325" t="s">
        <v>2198</v>
      </c>
      <c r="C6476" s="3350"/>
      <c r="D6476" s="4327"/>
      <c r="E6476" s="4329" t="s">
        <v>1504</v>
      </c>
      <c r="F6476" s="4336" t="s">
        <v>2199</v>
      </c>
      <c r="G6476" s="4331" t="s">
        <v>1568</v>
      </c>
      <c r="H6476" s="4331" t="s">
        <v>1574</v>
      </c>
      <c r="I6476" s="1572" t="s">
        <v>1559</v>
      </c>
      <c r="J6476" s="1294" t="s">
        <v>1560</v>
      </c>
      <c r="K6476" s="1294" t="s">
        <v>1569</v>
      </c>
      <c r="L6476" s="4333" t="s">
        <v>3765</v>
      </c>
      <c r="M6476" s="4335" t="s">
        <v>1571</v>
      </c>
      <c r="N6476" s="4323" t="s">
        <v>1776</v>
      </c>
      <c r="O6476" s="3347" t="s">
        <v>1563</v>
      </c>
      <c r="P6476" s="1336" t="s">
        <v>1562</v>
      </c>
      <c r="Q6476" s="3389"/>
      <c r="R6476" s="1699" t="s">
        <v>1327</v>
      </c>
    </row>
    <row r="6477" spans="1:18" s="16" customFormat="1">
      <c r="A6477" s="1662" t="s">
        <v>2775</v>
      </c>
      <c r="B6477" s="4326"/>
      <c r="C6477" s="3351"/>
      <c r="D6477" s="4328"/>
      <c r="E6477" s="4330"/>
      <c r="F6477" s="4336"/>
      <c r="G6477" s="4332"/>
      <c r="H6477" s="4332"/>
      <c r="I6477" s="1345">
        <v>4</v>
      </c>
      <c r="J6477" s="1307">
        <v>2E-3</v>
      </c>
      <c r="K6477" s="1297">
        <f>I6477*J6477</f>
        <v>8.0000000000000002E-3</v>
      </c>
      <c r="L6477" s="4334"/>
      <c r="M6477" s="4335"/>
      <c r="N6477" s="4324"/>
      <c r="O6477" s="1298">
        <f>SUM(O6479:O6485)</f>
        <v>11.6539</v>
      </c>
      <c r="P6477" s="1337">
        <f>O6477*K6477</f>
        <v>9.32312E-2</v>
      </c>
      <c r="Q6477" s="3390"/>
      <c r="R6477" s="1721">
        <f>SUM(P6479:P6485)</f>
        <v>9.32312E-2</v>
      </c>
    </row>
    <row r="6478" spans="1:18" s="16" customFormat="1">
      <c r="A6478" s="1599"/>
      <c r="B6478" s="1327"/>
      <c r="C6478" s="1511"/>
      <c r="D6478" s="1367"/>
      <c r="E6478" s="2121"/>
      <c r="F6478" s="1389" t="s">
        <v>1</v>
      </c>
      <c r="G6478" s="1389"/>
      <c r="H6478" s="1369"/>
      <c r="I6478" s="2088"/>
      <c r="J6478" s="1369"/>
      <c r="K6478" s="1391"/>
      <c r="L6478" s="2089"/>
      <c r="M6478" s="1369"/>
      <c r="N6478" s="1369"/>
      <c r="O6478" s="1369"/>
      <c r="P6478" s="1392"/>
      <c r="Q6478" s="3395"/>
      <c r="R6478" s="2339"/>
    </row>
    <row r="6479" spans="1:18" s="16" customFormat="1">
      <c r="A6479" s="1599"/>
      <c r="B6479" s="1320"/>
      <c r="C6479" s="595"/>
      <c r="D6479" s="1598" t="s">
        <v>2200</v>
      </c>
      <c r="E6479" s="2154" t="s">
        <v>1504</v>
      </c>
      <c r="F6479" s="1598" t="s">
        <v>2201</v>
      </c>
      <c r="G6479" s="1612">
        <v>1</v>
      </c>
      <c r="H6479" s="1369"/>
      <c r="I6479" s="1289"/>
      <c r="J6479" s="8"/>
      <c r="K6479" s="1307">
        <f>G6479*K6477</f>
        <v>8.0000000000000002E-3</v>
      </c>
      <c r="L6479" s="1335">
        <f t="shared" ref="L6479:L6481" si="864">K6479*$K$6237</f>
        <v>0</v>
      </c>
      <c r="M6479" s="1302">
        <v>5.78</v>
      </c>
      <c r="N6479" s="1390"/>
      <c r="O6479" s="1290">
        <f>G6479*M6479</f>
        <v>5.78</v>
      </c>
      <c r="P6479" s="1332">
        <f>M6479*K6479</f>
        <v>4.6240000000000003E-2</v>
      </c>
      <c r="Q6479" s="3391"/>
      <c r="R6479" s="2339"/>
    </row>
    <row r="6480" spans="1:18" s="16" customFormat="1">
      <c r="A6480" s="553"/>
      <c r="B6480" s="1320"/>
      <c r="C6480" s="88"/>
      <c r="D6480" s="1598" t="s">
        <v>1082</v>
      </c>
      <c r="E6480" s="2154" t="s">
        <v>1504</v>
      </c>
      <c r="F6480" s="1598" t="s">
        <v>1541</v>
      </c>
      <c r="G6480" s="1612">
        <v>1</v>
      </c>
      <c r="H6480" s="1674"/>
      <c r="I6480" s="1299"/>
      <c r="J6480" s="1300"/>
      <c r="K6480" s="1307">
        <f>G6480*K6477</f>
        <v>8.0000000000000002E-3</v>
      </c>
      <c r="L6480" s="1335">
        <f t="shared" si="864"/>
        <v>0</v>
      </c>
      <c r="M6480" s="1302">
        <v>0.3</v>
      </c>
      <c r="N6480" s="1700"/>
      <c r="O6480" s="1290">
        <f>G6480*M6480</f>
        <v>0.3</v>
      </c>
      <c r="P6480" s="1332">
        <f>M6480*K6480</f>
        <v>2.3999999999999998E-3</v>
      </c>
      <c r="Q6480" s="3391"/>
      <c r="R6480" s="2339"/>
    </row>
    <row r="6481" spans="1:18" s="16" customFormat="1">
      <c r="A6481" s="553"/>
      <c r="B6481" s="1320"/>
      <c r="C6481" s="88"/>
      <c r="D6481" s="1598" t="s">
        <v>1097</v>
      </c>
      <c r="E6481" s="2154" t="s">
        <v>1504</v>
      </c>
      <c r="F6481" s="1598" t="s">
        <v>1632</v>
      </c>
      <c r="G6481" s="1612">
        <v>0.5</v>
      </c>
      <c r="H6481" s="1674"/>
      <c r="I6481" s="1299"/>
      <c r="J6481" s="1300"/>
      <c r="K6481" s="1307">
        <f>G6481*K6477</f>
        <v>4.0000000000000001E-3</v>
      </c>
      <c r="L6481" s="1335">
        <f t="shared" si="864"/>
        <v>0</v>
      </c>
      <c r="M6481" s="1302">
        <v>0.55000000000000004</v>
      </c>
      <c r="N6481" s="1700"/>
      <c r="O6481" s="1290">
        <f>G6481*M6481</f>
        <v>0.27500000000000002</v>
      </c>
      <c r="P6481" s="1332">
        <f>M6481*K6481</f>
        <v>2.2000000000000001E-3</v>
      </c>
      <c r="Q6481" s="3391"/>
      <c r="R6481" s="2339"/>
    </row>
    <row r="6482" spans="1:18" s="16" customFormat="1">
      <c r="A6482" s="553"/>
      <c r="B6482" s="1320"/>
      <c r="C6482" s="88"/>
      <c r="D6482" s="1367"/>
      <c r="E6482" s="2121"/>
      <c r="F6482" s="1436"/>
      <c r="G6482" s="1436"/>
      <c r="H6482" s="1369"/>
      <c r="I6482" s="1299" t="str">
        <f t="shared" ref="I6482" ca="1" si="865">IF(COUNT(H6482:O6482)=0,"",(SUM(H6482:O6482)/COUNT(H6482:O6482)))</f>
        <v/>
      </c>
      <c r="J6482" s="1300"/>
      <c r="K6482" s="1307" t="str">
        <f t="shared" ref="K6482" ca="1" si="866">IF(COUNT(I6482)=0,"",(I6482*J6482))</f>
        <v/>
      </c>
      <c r="L6482" s="1335"/>
      <c r="M6482" s="1302"/>
      <c r="N6482" s="1700"/>
      <c r="O6482" s="1290"/>
      <c r="P6482" s="1332"/>
      <c r="Q6482" s="3391"/>
      <c r="R6482" s="2339"/>
    </row>
    <row r="6483" spans="1:18" s="16" customFormat="1">
      <c r="A6483" s="553"/>
      <c r="B6483" s="1320"/>
      <c r="C6483" s="88"/>
      <c r="D6483" s="1359"/>
      <c r="E6483" s="1858"/>
      <c r="F6483" s="1360" t="s">
        <v>2</v>
      </c>
      <c r="G6483" s="1360"/>
      <c r="H6483" s="1362"/>
      <c r="I6483" s="1380"/>
      <c r="J6483" s="1381"/>
      <c r="K6483" s="1381"/>
      <c r="L6483" s="1458"/>
      <c r="M6483" s="1362"/>
      <c r="N6483" s="1362"/>
      <c r="O6483" s="1362"/>
      <c r="P6483" s="1359"/>
      <c r="Q6483" s="3387"/>
      <c r="R6483" s="2339"/>
    </row>
    <row r="6484" spans="1:18" s="16" customFormat="1">
      <c r="A6484" s="1599"/>
      <c r="B6484" s="1320"/>
      <c r="D6484" s="1359" t="s">
        <v>1593</v>
      </c>
      <c r="E6484" s="1858" t="s">
        <v>1508</v>
      </c>
      <c r="F6484" s="1404" t="s">
        <v>2146</v>
      </c>
      <c r="G6484" s="1404">
        <v>0.1</v>
      </c>
      <c r="H6484" s="1359"/>
      <c r="I6484" s="1289"/>
      <c r="J6484" s="8"/>
      <c r="K6484" s="1307">
        <f>G6484*K6477</f>
        <v>8.0000000000000004E-4</v>
      </c>
      <c r="L6484" s="1335">
        <f>K6484*$K$6237</f>
        <v>0</v>
      </c>
      <c r="M6484" s="1302">
        <v>19.23</v>
      </c>
      <c r="N6484" s="1700"/>
      <c r="O6484" s="1290">
        <f>G6484*M6484</f>
        <v>1.923</v>
      </c>
      <c r="P6484" s="1332">
        <f>M6484*K6484</f>
        <v>1.5384000000000002E-2</v>
      </c>
      <c r="Q6484" s="3391"/>
      <c r="R6484" s="2339"/>
    </row>
    <row r="6485" spans="1:18" s="16" customFormat="1">
      <c r="A6485"/>
      <c r="B6485" s="1042"/>
      <c r="C6485" s="2086" t="s">
        <v>1755</v>
      </c>
      <c r="D6485" s="1311"/>
      <c r="E6485" s="2176" t="s">
        <v>1508</v>
      </c>
      <c r="F6485" s="1648" t="s">
        <v>1524</v>
      </c>
      <c r="G6485" s="1990"/>
      <c r="H6485" s="1456">
        <v>0.09</v>
      </c>
      <c r="I6485" s="1444"/>
      <c r="J6485" s="1388"/>
      <c r="K6485" s="1445"/>
      <c r="L6485" s="1457"/>
      <c r="M6485" s="1447"/>
      <c r="N6485" s="1447">
        <f>SUM(N6486:N6487)</f>
        <v>37.510000000000005</v>
      </c>
      <c r="O6485" s="1447">
        <f>SUM(O6486:O6487)</f>
        <v>3.3758999999999997</v>
      </c>
      <c r="P6485" s="1447">
        <f>SUM(P6486:P6487)</f>
        <v>2.7007199999999999E-2</v>
      </c>
      <c r="Q6485" s="3391"/>
      <c r="R6485" s="2337"/>
    </row>
    <row r="6486" spans="1:18" s="16" customFormat="1">
      <c r="A6486"/>
      <c r="B6486" s="1042"/>
      <c r="C6486" s="19"/>
      <c r="D6486" s="1430" t="s">
        <v>1067</v>
      </c>
      <c r="E6486" s="1857" t="s">
        <v>1508</v>
      </c>
      <c r="F6486" s="1403" t="s">
        <v>5</v>
      </c>
      <c r="G6486" s="1991">
        <v>1</v>
      </c>
      <c r="H6486" s="1408">
        <f>G6486*H6485</f>
        <v>0.09</v>
      </c>
      <c r="I6486" s="1286"/>
      <c r="J6486" s="198"/>
      <c r="K6486" s="1307">
        <f>H6486*K6477</f>
        <v>7.1999999999999994E-4</v>
      </c>
      <c r="L6486" s="1335">
        <f t="shared" ref="L6486:L6487" si="867">K6486*$K$6237</f>
        <v>0</v>
      </c>
      <c r="M6486" s="1302">
        <v>18.28</v>
      </c>
      <c r="N6486" s="1718">
        <f>G6486*M6486</f>
        <v>18.28</v>
      </c>
      <c r="O6486" s="1290">
        <f>H6486*M6486</f>
        <v>1.6452</v>
      </c>
      <c r="P6486" s="1720">
        <f>M6486*K6486</f>
        <v>1.3161599999999999E-2</v>
      </c>
      <c r="Q6486" s="3396"/>
      <c r="R6486" s="2337"/>
    </row>
    <row r="6487" spans="1:18" s="16" customFormat="1">
      <c r="A6487"/>
      <c r="B6487" s="1042"/>
      <c r="C6487" s="19"/>
      <c r="D6487" s="1430" t="s">
        <v>1077</v>
      </c>
      <c r="E6487" s="1857" t="s">
        <v>1508</v>
      </c>
      <c r="F6487" s="1403" t="s">
        <v>37</v>
      </c>
      <c r="G6487" s="1991">
        <v>1</v>
      </c>
      <c r="H6487" s="1408">
        <f>G6487*H6485</f>
        <v>0.09</v>
      </c>
      <c r="I6487" s="197"/>
      <c r="J6487" s="198"/>
      <c r="K6487" s="1307">
        <f>H6487*K6477</f>
        <v>7.1999999999999994E-4</v>
      </c>
      <c r="L6487" s="1335">
        <f t="shared" si="867"/>
        <v>0</v>
      </c>
      <c r="M6487" s="1302">
        <v>19.23</v>
      </c>
      <c r="N6487" s="1718">
        <f>G6487*M6487</f>
        <v>19.23</v>
      </c>
      <c r="O6487" s="1290">
        <f>H6487*M6487</f>
        <v>1.7306999999999999</v>
      </c>
      <c r="P6487" s="1720">
        <f>M6487*K6487</f>
        <v>1.38456E-2</v>
      </c>
      <c r="Q6487" s="3396"/>
      <c r="R6487" s="2337"/>
    </row>
    <row r="6488" spans="1:18" s="16" customFormat="1">
      <c r="A6488"/>
      <c r="B6488" s="1320"/>
      <c r="D6488" s="1359"/>
      <c r="E6488" s="1858"/>
      <c r="F6488" s="1361"/>
      <c r="G6488" s="1361"/>
      <c r="H6488" s="1466"/>
      <c r="I6488" s="1289"/>
      <c r="J6488" s="8"/>
      <c r="K6488" s="1307" t="str">
        <f>IF(COUNT(I6488)=0,"",(I6488*J6488))</f>
        <v/>
      </c>
      <c r="L6488" s="1335"/>
      <c r="M6488" s="1302"/>
      <c r="N6488" s="1700"/>
      <c r="O6488" s="1290"/>
      <c r="P6488" s="1332"/>
      <c r="Q6488" s="3391"/>
      <c r="R6488" s="1296"/>
    </row>
    <row r="6489" spans="1:18" s="16" customFormat="1">
      <c r="A6489" s="1599"/>
      <c r="B6489" s="1320"/>
      <c r="C6489" s="595"/>
      <c r="D6489" s="1359"/>
      <c r="E6489" s="1858"/>
      <c r="F6489" s="1361"/>
      <c r="G6489" s="1361"/>
      <c r="H6489" s="1466"/>
      <c r="I6489" s="1299"/>
      <c r="J6489" s="1300"/>
      <c r="K6489" s="1307" t="str">
        <f>IF(COUNT(I6489)=0,"",(I6489*J6489))</f>
        <v/>
      </c>
      <c r="L6489" s="1335"/>
      <c r="M6489" s="1302"/>
      <c r="N6489" s="1700"/>
      <c r="O6489" s="1290"/>
      <c r="P6489" s="1332"/>
      <c r="Q6489" s="3391"/>
      <c r="R6489" s="2339"/>
    </row>
    <row r="6490" spans="1:18" s="16" customFormat="1">
      <c r="A6490" s="1599"/>
      <c r="B6490" s="1320"/>
      <c r="C6490" s="595"/>
      <c r="D6490" s="1373"/>
      <c r="E6490" s="2123"/>
      <c r="F6490" s="1374" t="s">
        <v>3</v>
      </c>
      <c r="G6490" s="1375"/>
      <c r="H6490" s="1376"/>
      <c r="I6490" s="1382"/>
      <c r="J6490" s="1383"/>
      <c r="K6490" s="1383" t="str">
        <f>IF(COUNT(I6490)=0,"",(I6490*J6490))</f>
        <v/>
      </c>
      <c r="L6490" s="1413"/>
      <c r="M6490" s="1376"/>
      <c r="N6490" s="1376"/>
      <c r="O6490" s="1376"/>
      <c r="P6490" s="1373"/>
      <c r="Q6490" s="3387"/>
      <c r="R6490" s="2339"/>
    </row>
    <row r="6491" spans="1:18" s="16" customFormat="1">
      <c r="A6491" s="2053"/>
      <c r="B6491" s="1321"/>
      <c r="C6491" s="2021"/>
      <c r="D6491" s="1377"/>
      <c r="E6491" s="2124"/>
      <c r="F6491" s="1378"/>
      <c r="G6491" s="1378"/>
      <c r="H6491" s="1379"/>
      <c r="I6491" s="1299"/>
      <c r="J6491" s="1300"/>
      <c r="K6491" s="1307"/>
      <c r="L6491" s="1335"/>
      <c r="M6491" s="1302"/>
      <c r="N6491" s="1700"/>
      <c r="O6491" s="1290"/>
      <c r="P6491" s="1332"/>
      <c r="Q6491" s="3391"/>
      <c r="R6491" s="2339"/>
    </row>
    <row r="6492" spans="1:18" s="16" customFormat="1">
      <c r="A6492" s="2053"/>
      <c r="B6492" s="1321"/>
      <c r="C6492" s="2021"/>
      <c r="D6492" s="1377"/>
      <c r="E6492" s="2124"/>
      <c r="F6492" s="1378"/>
      <c r="G6492" s="1378"/>
      <c r="H6492" s="1379"/>
      <c r="I6492" s="1299"/>
      <c r="J6492" s="1300"/>
      <c r="K6492" s="1307"/>
      <c r="L6492" s="1335"/>
      <c r="M6492" s="1302"/>
      <c r="N6492" s="1700"/>
      <c r="O6492" s="1290"/>
      <c r="P6492" s="1333"/>
      <c r="Q6492" s="3391"/>
      <c r="R6492" s="2339"/>
    </row>
    <row r="6493" spans="1:18" s="16" customFormat="1">
      <c r="A6493" s="553"/>
      <c r="B6493" s="225"/>
      <c r="C6493" s="581"/>
      <c r="D6493" s="1373"/>
      <c r="E6493" s="2161"/>
      <c r="F6493" s="1678"/>
      <c r="G6493" s="1678"/>
      <c r="H6493" s="1376"/>
      <c r="I6493" s="1299"/>
      <c r="J6493" s="1300"/>
      <c r="K6493" s="1307"/>
      <c r="L6493" s="1335"/>
      <c r="M6493" s="1302"/>
      <c r="N6493" s="1700"/>
      <c r="O6493" s="1290"/>
      <c r="P6493" s="1332"/>
      <c r="Q6493" s="3391"/>
      <c r="R6493" s="2339"/>
    </row>
    <row r="6494" spans="1:18" s="16" customFormat="1">
      <c r="A6494" s="18" t="s">
        <v>3764</v>
      </c>
      <c r="B6494" s="4437" t="s">
        <v>3370</v>
      </c>
      <c r="C6494" s="3409"/>
      <c r="D6494" s="4439"/>
      <c r="E6494" s="4441" t="s">
        <v>1504</v>
      </c>
      <c r="F6494" s="4538" t="s">
        <v>3376</v>
      </c>
      <c r="G6494" s="4331" t="s">
        <v>1568</v>
      </c>
      <c r="H6494" s="4331" t="s">
        <v>1574</v>
      </c>
      <c r="I6494" s="1572" t="s">
        <v>1559</v>
      </c>
      <c r="J6494" s="1294" t="s">
        <v>1560</v>
      </c>
      <c r="K6494" s="1294" t="s">
        <v>1569</v>
      </c>
      <c r="L6494" s="4333" t="s">
        <v>3765</v>
      </c>
      <c r="M6494" s="4335" t="s">
        <v>1571</v>
      </c>
      <c r="N6494" s="4323" t="s">
        <v>1776</v>
      </c>
      <c r="O6494" s="3370" t="s">
        <v>1563</v>
      </c>
      <c r="P6494" s="1336" t="s">
        <v>1562</v>
      </c>
      <c r="Q6494" s="3425" t="s">
        <v>3372</v>
      </c>
      <c r="R6494" s="1699" t="s">
        <v>1327</v>
      </c>
    </row>
    <row r="6495" spans="1:18" s="16" customFormat="1">
      <c r="A6495" s="1662" t="s">
        <v>2775</v>
      </c>
      <c r="B6495" s="4438"/>
      <c r="C6495" s="3410"/>
      <c r="D6495" s="4440"/>
      <c r="E6495" s="4442"/>
      <c r="F6495" s="4538"/>
      <c r="G6495" s="4332"/>
      <c r="H6495" s="4332"/>
      <c r="I6495" s="1345">
        <v>4</v>
      </c>
      <c r="J6495" s="1307">
        <v>2E-3</v>
      </c>
      <c r="K6495" s="1297">
        <f>I6495*J6495</f>
        <v>8.0000000000000002E-3</v>
      </c>
      <c r="L6495" s="4334"/>
      <c r="M6495" s="4335"/>
      <c r="N6495" s="4324"/>
      <c r="O6495" s="1298">
        <f>SUM(O6497:O6504)</f>
        <v>1.88808</v>
      </c>
      <c r="P6495" s="1337">
        <f>O6495*K6495</f>
        <v>1.5104640000000001E-2</v>
      </c>
      <c r="Q6495" s="3426"/>
      <c r="R6495" s="1721">
        <f>SUM(P6497:P6504)</f>
        <v>1.5104640000000003E-2</v>
      </c>
    </row>
    <row r="6496" spans="1:18" s="16" customFormat="1">
      <c r="A6496" s="1599"/>
      <c r="B6496" s="3428"/>
      <c r="C6496" s="1511"/>
      <c r="D6496" s="1367"/>
      <c r="E6496" s="2121"/>
      <c r="F6496" s="1389" t="s">
        <v>1</v>
      </c>
      <c r="G6496" s="1389"/>
      <c r="H6496" s="1369"/>
      <c r="I6496" s="2088"/>
      <c r="J6496" s="1369"/>
      <c r="K6496" s="1391"/>
      <c r="L6496" s="2089"/>
      <c r="M6496" s="1369"/>
      <c r="N6496" s="1369"/>
      <c r="O6496" s="1369"/>
      <c r="P6496" s="1392"/>
      <c r="Q6496" s="3395"/>
      <c r="R6496" s="2339"/>
    </row>
    <row r="6497" spans="1:18" s="16" customFormat="1">
      <c r="A6497" s="1599"/>
      <c r="B6497" s="3413"/>
      <c r="C6497" s="595"/>
      <c r="D6497" s="1598"/>
      <c r="E6497" s="2154"/>
      <c r="F6497" s="1598"/>
      <c r="G6497" s="1612"/>
      <c r="H6497" s="1369"/>
      <c r="I6497" s="1289"/>
      <c r="J6497" s="8"/>
      <c r="K6497" s="1307"/>
      <c r="L6497" s="1335"/>
      <c r="M6497" s="1302"/>
      <c r="N6497" s="1390"/>
      <c r="O6497" s="1290"/>
      <c r="P6497" s="1332"/>
      <c r="Q6497" s="3391"/>
      <c r="R6497" s="2339"/>
    </row>
    <row r="6498" spans="1:18" s="16" customFormat="1">
      <c r="A6498" s="553"/>
      <c r="B6498" s="3413"/>
      <c r="C6498" s="88"/>
      <c r="D6498" s="1598"/>
      <c r="E6498" s="2154"/>
      <c r="F6498" s="1598"/>
      <c r="G6498" s="1612"/>
      <c r="H6498" s="1674"/>
      <c r="I6498" s="1299"/>
      <c r="J6498" s="1300"/>
      <c r="K6498" s="1307"/>
      <c r="L6498" s="1335"/>
      <c r="M6498" s="1302"/>
      <c r="N6498" s="1700"/>
      <c r="O6498" s="1290"/>
      <c r="P6498" s="1332"/>
      <c r="Q6498" s="3391"/>
      <c r="R6498" s="2339"/>
    </row>
    <row r="6499" spans="1:18" s="16" customFormat="1">
      <c r="A6499" s="553"/>
      <c r="B6499" s="3413"/>
      <c r="C6499" s="88"/>
      <c r="D6499" s="1598"/>
      <c r="E6499" s="2154"/>
      <c r="F6499" s="1598"/>
      <c r="G6499" s="1612"/>
      <c r="H6499" s="1674"/>
      <c r="I6499" s="1299"/>
      <c r="J6499" s="1300"/>
      <c r="K6499" s="1307"/>
      <c r="L6499" s="1335"/>
      <c r="M6499" s="1302"/>
      <c r="N6499" s="1700"/>
      <c r="O6499" s="1290"/>
      <c r="P6499" s="1332"/>
      <c r="Q6499" s="3391"/>
      <c r="R6499" s="2339"/>
    </row>
    <row r="6500" spans="1:18" s="16" customFormat="1">
      <c r="A6500" s="553"/>
      <c r="B6500" s="3413"/>
      <c r="C6500" s="88"/>
      <c r="D6500" s="1367"/>
      <c r="E6500" s="2121"/>
      <c r="F6500" s="1436"/>
      <c r="G6500" s="1436"/>
      <c r="H6500" s="1369"/>
      <c r="I6500" s="1299" t="str">
        <f t="shared" ref="I6500" ca="1" si="868">IF(COUNT(H6500:O6500)=0,"",(SUM(H6500:O6500)/COUNT(H6500:O6500)))</f>
        <v/>
      </c>
      <c r="J6500" s="1300"/>
      <c r="K6500" s="1307" t="str">
        <f t="shared" ref="K6500" ca="1" si="869">IF(COUNT(I6500)=0,"",(I6500*J6500))</f>
        <v/>
      </c>
      <c r="L6500" s="1335"/>
      <c r="M6500" s="1302"/>
      <c r="N6500" s="1700"/>
      <c r="O6500" s="1290"/>
      <c r="P6500" s="1332"/>
      <c r="Q6500" s="3391"/>
      <c r="R6500" s="2339"/>
    </row>
    <row r="6501" spans="1:18" s="16" customFormat="1">
      <c r="A6501" s="553"/>
      <c r="B6501" s="3413"/>
      <c r="C6501" s="88"/>
      <c r="D6501" s="1359"/>
      <c r="E6501" s="1858"/>
      <c r="F6501" s="1360" t="s">
        <v>2</v>
      </c>
      <c r="G6501" s="1360"/>
      <c r="H6501" s="1362"/>
      <c r="I6501" s="1380"/>
      <c r="J6501" s="1381"/>
      <c r="K6501" s="1381"/>
      <c r="L6501" s="1458"/>
      <c r="M6501" s="1362"/>
      <c r="N6501" s="1362"/>
      <c r="O6501" s="1362"/>
      <c r="P6501" s="1359"/>
      <c r="Q6501" s="3387"/>
      <c r="R6501" s="2339"/>
    </row>
    <row r="6502" spans="1:18" s="16" customFormat="1">
      <c r="A6502" s="1599"/>
      <c r="B6502" s="3413"/>
      <c r="D6502" s="1359" t="s">
        <v>1593</v>
      </c>
      <c r="E6502" s="1858" t="s">
        <v>1508</v>
      </c>
      <c r="F6502" s="1404" t="s">
        <v>2146</v>
      </c>
      <c r="G6502" s="1404">
        <v>2.1000000000000001E-2</v>
      </c>
      <c r="H6502" s="1359"/>
      <c r="I6502" s="1289"/>
      <c r="J6502" s="8"/>
      <c r="K6502" s="1732">
        <f>G6502*K6495</f>
        <v>1.6800000000000002E-4</v>
      </c>
      <c r="L6502" s="1335">
        <f>K6502*$K$6237</f>
        <v>0</v>
      </c>
      <c r="M6502" s="1302">
        <v>19.23</v>
      </c>
      <c r="N6502" s="1700"/>
      <c r="O6502" s="1290">
        <f>G6502*M6502</f>
        <v>0.40383000000000002</v>
      </c>
      <c r="P6502" s="1332">
        <f>M6502*K6502</f>
        <v>3.2306400000000003E-3</v>
      </c>
      <c r="Q6502" s="3391"/>
      <c r="R6502" s="2339"/>
    </row>
    <row r="6503" spans="1:18" s="16" customFormat="1">
      <c r="A6503" s="1599"/>
      <c r="B6503" s="3413"/>
      <c r="D6503" s="1359" t="s">
        <v>1067</v>
      </c>
      <c r="E6503" s="1858" t="s">
        <v>1508</v>
      </c>
      <c r="F6503" s="1404" t="s">
        <v>1512</v>
      </c>
      <c r="G6503" s="1404">
        <v>3.4000000000000002E-2</v>
      </c>
      <c r="H6503" s="1359"/>
      <c r="I6503" s="1289"/>
      <c r="J6503" s="8"/>
      <c r="K6503" s="1732">
        <f>G6503*K6495</f>
        <v>2.7200000000000005E-4</v>
      </c>
      <c r="L6503" s="1335">
        <f>K6503*$K$6237</f>
        <v>0</v>
      </c>
      <c r="M6503" s="1302">
        <v>18.28</v>
      </c>
      <c r="N6503" s="1700"/>
      <c r="O6503" s="1290">
        <f>G6503*M6503</f>
        <v>0.62152000000000007</v>
      </c>
      <c r="P6503" s="1332">
        <f>M6503*K6503</f>
        <v>4.9721600000000015E-3</v>
      </c>
      <c r="Q6503" s="3391"/>
      <c r="R6503" s="2339"/>
    </row>
    <row r="6504" spans="1:18" s="16" customFormat="1">
      <c r="A6504"/>
      <c r="B6504" s="3413"/>
      <c r="C6504" s="2086" t="s">
        <v>1755</v>
      </c>
      <c r="D6504" s="1311"/>
      <c r="E6504" s="2176" t="s">
        <v>1508</v>
      </c>
      <c r="F6504" s="1648" t="s">
        <v>1524</v>
      </c>
      <c r="G6504" s="1990"/>
      <c r="H6504" s="1456">
        <v>2.3E-2</v>
      </c>
      <c r="I6504" s="1444"/>
      <c r="J6504" s="1388"/>
      <c r="K6504" s="3427"/>
      <c r="L6504" s="1457"/>
      <c r="M6504" s="1447"/>
      <c r="N6504" s="1447">
        <f>SUM(N6505:N6506)</f>
        <v>37.510000000000005</v>
      </c>
      <c r="O6504" s="1447">
        <f>SUM(O6505:O6506)</f>
        <v>0.86273</v>
      </c>
      <c r="P6504" s="1447">
        <f>SUM(P6505:P6506)</f>
        <v>6.9018400000000002E-3</v>
      </c>
      <c r="Q6504" s="3391"/>
      <c r="R6504" s="2337"/>
    </row>
    <row r="6505" spans="1:18" s="16" customFormat="1">
      <c r="A6505"/>
      <c r="B6505" s="3413"/>
      <c r="C6505" s="19"/>
      <c r="D6505" s="1430" t="s">
        <v>1067</v>
      </c>
      <c r="E6505" s="1857" t="s">
        <v>1508</v>
      </c>
      <c r="F6505" s="1403" t="s">
        <v>5</v>
      </c>
      <c r="G6505" s="1991">
        <v>1</v>
      </c>
      <c r="H6505" s="1408">
        <f>G6505*H6504</f>
        <v>2.3E-2</v>
      </c>
      <c r="I6505" s="1286"/>
      <c r="J6505" s="198"/>
      <c r="K6505" s="1732">
        <f>H6505*K6495</f>
        <v>1.84E-4</v>
      </c>
      <c r="L6505" s="1335">
        <f t="shared" ref="L6505:L6506" si="870">K6505*$K$6237</f>
        <v>0</v>
      </c>
      <c r="M6505" s="1302">
        <v>18.28</v>
      </c>
      <c r="N6505" s="1718">
        <f>G6505*M6505</f>
        <v>18.28</v>
      </c>
      <c r="O6505" s="1290">
        <f>H6505*M6505</f>
        <v>0.42044000000000004</v>
      </c>
      <c r="P6505" s="1720">
        <f>M6505*K6505</f>
        <v>3.3635200000000001E-3</v>
      </c>
      <c r="Q6505" s="3396"/>
      <c r="R6505" s="2337"/>
    </row>
    <row r="6506" spans="1:18" s="16" customFormat="1">
      <c r="A6506"/>
      <c r="B6506" s="3413"/>
      <c r="C6506" s="19"/>
      <c r="D6506" s="1430" t="s">
        <v>1077</v>
      </c>
      <c r="E6506" s="1857" t="s">
        <v>1508</v>
      </c>
      <c r="F6506" s="1403" t="s">
        <v>37</v>
      </c>
      <c r="G6506" s="1991">
        <v>1</v>
      </c>
      <c r="H6506" s="1408">
        <f>G6506*H6504</f>
        <v>2.3E-2</v>
      </c>
      <c r="I6506" s="197"/>
      <c r="J6506" s="198"/>
      <c r="K6506" s="1732">
        <f>H6506*K6495</f>
        <v>1.84E-4</v>
      </c>
      <c r="L6506" s="1335">
        <f t="shared" si="870"/>
        <v>0</v>
      </c>
      <c r="M6506" s="1302">
        <v>19.23</v>
      </c>
      <c r="N6506" s="1718">
        <f>G6506*M6506</f>
        <v>19.23</v>
      </c>
      <c r="O6506" s="1290">
        <f>H6506*M6506</f>
        <v>0.44229000000000002</v>
      </c>
      <c r="P6506" s="1720">
        <f>M6506*K6506</f>
        <v>3.5383200000000002E-3</v>
      </c>
      <c r="Q6506" s="3396"/>
      <c r="R6506" s="2337"/>
    </row>
    <row r="6507" spans="1:18" s="16" customFormat="1">
      <c r="A6507"/>
      <c r="B6507" s="3413"/>
      <c r="D6507" s="1359"/>
      <c r="E6507" s="1858"/>
      <c r="F6507" s="1361"/>
      <c r="G6507" s="1361"/>
      <c r="H6507" s="1466"/>
      <c r="I6507" s="1289"/>
      <c r="J6507" s="8"/>
      <c r="K6507" s="1307" t="str">
        <f>IF(COUNT(I6507)=0,"",(I6507*J6507))</f>
        <v/>
      </c>
      <c r="L6507" s="1335"/>
      <c r="M6507" s="1302"/>
      <c r="N6507" s="1700"/>
      <c r="O6507" s="1290"/>
      <c r="P6507" s="1332"/>
      <c r="Q6507" s="3391"/>
      <c r="R6507" s="1296"/>
    </row>
    <row r="6508" spans="1:18" s="16" customFormat="1">
      <c r="A6508" s="1599"/>
      <c r="B6508" s="3413"/>
      <c r="C6508" s="595"/>
      <c r="D6508" s="1359"/>
      <c r="E6508" s="1858"/>
      <c r="F6508" s="1361"/>
      <c r="G6508" s="1361"/>
      <c r="H6508" s="1466"/>
      <c r="I6508" s="1299"/>
      <c r="J6508" s="1300"/>
      <c r="K6508" s="1307" t="str">
        <f>IF(COUNT(I6508)=0,"",(I6508*J6508))</f>
        <v/>
      </c>
      <c r="L6508" s="1335"/>
      <c r="M6508" s="1302"/>
      <c r="N6508" s="1700"/>
      <c r="O6508" s="1290"/>
      <c r="P6508" s="1332"/>
      <c r="Q6508" s="3391"/>
      <c r="R6508" s="2339"/>
    </row>
    <row r="6509" spans="1:18" s="16" customFormat="1">
      <c r="A6509" s="1599"/>
      <c r="B6509" s="3413"/>
      <c r="C6509" s="595"/>
      <c r="D6509" s="1373"/>
      <c r="E6509" s="2123"/>
      <c r="F6509" s="1374" t="s">
        <v>3</v>
      </c>
      <c r="G6509" s="1375"/>
      <c r="H6509" s="1376"/>
      <c r="I6509" s="1382"/>
      <c r="J6509" s="1383"/>
      <c r="K6509" s="1383" t="str">
        <f>IF(COUNT(I6509)=0,"",(I6509*J6509))</f>
        <v/>
      </c>
      <c r="L6509" s="1413"/>
      <c r="M6509" s="1376"/>
      <c r="N6509" s="1376"/>
      <c r="O6509" s="1376"/>
      <c r="P6509" s="1373"/>
      <c r="Q6509" s="3387"/>
      <c r="R6509" s="2339"/>
    </row>
    <row r="6510" spans="1:18" s="16" customFormat="1">
      <c r="A6510" s="2053"/>
      <c r="B6510" s="3429"/>
      <c r="C6510" s="2021"/>
      <c r="D6510" s="1377"/>
      <c r="E6510" s="2124"/>
      <c r="F6510" s="1378"/>
      <c r="G6510" s="1378"/>
      <c r="H6510" s="1379"/>
      <c r="I6510" s="1299"/>
      <c r="J6510" s="1300"/>
      <c r="K6510" s="1307"/>
      <c r="L6510" s="1335"/>
      <c r="M6510" s="1302"/>
      <c r="N6510" s="1700"/>
      <c r="O6510" s="1290"/>
      <c r="P6510" s="1332"/>
      <c r="Q6510" s="3391"/>
      <c r="R6510" s="2339"/>
    </row>
    <row r="6511" spans="1:18" s="16" customFormat="1">
      <c r="A6511" s="2053"/>
      <c r="B6511" s="3429"/>
      <c r="C6511" s="2021"/>
      <c r="D6511" s="1377"/>
      <c r="E6511" s="2124"/>
      <c r="F6511" s="1378"/>
      <c r="G6511" s="1378"/>
      <c r="H6511" s="1379"/>
      <c r="I6511" s="1299"/>
      <c r="J6511" s="1300"/>
      <c r="K6511" s="1307"/>
      <c r="L6511" s="1335"/>
      <c r="M6511" s="1302"/>
      <c r="N6511" s="1700"/>
      <c r="O6511" s="1290"/>
      <c r="P6511" s="1333"/>
      <c r="Q6511" s="3391"/>
      <c r="R6511" s="2339"/>
    </row>
    <row r="6512" spans="1:18" s="16" customFormat="1">
      <c r="A6512" s="553"/>
      <c r="B6512" s="3430"/>
      <c r="C6512" s="581"/>
      <c r="D6512" s="1373"/>
      <c r="E6512" s="2161"/>
      <c r="F6512" s="1678"/>
      <c r="G6512" s="1678"/>
      <c r="H6512" s="1376"/>
      <c r="I6512" s="1299"/>
      <c r="J6512" s="1300"/>
      <c r="K6512" s="1307"/>
      <c r="L6512" s="1335"/>
      <c r="M6512" s="1302"/>
      <c r="N6512" s="1700"/>
      <c r="O6512" s="1290"/>
      <c r="P6512" s="1332"/>
      <c r="Q6512" s="3391"/>
      <c r="R6512" s="2339"/>
    </row>
    <row r="6513" spans="1:21" s="16" customFormat="1" ht="15" customHeight="1">
      <c r="A6513" s="18" t="s">
        <v>3764</v>
      </c>
      <c r="B6513" s="4437" t="s">
        <v>3369</v>
      </c>
      <c r="C6513" s="3409"/>
      <c r="D6513" s="4439"/>
      <c r="E6513" s="4465" t="s">
        <v>1507</v>
      </c>
      <c r="F6513" s="4466" t="s">
        <v>3373</v>
      </c>
      <c r="G6513" s="4331" t="s">
        <v>1568</v>
      </c>
      <c r="H6513" s="4331" t="s">
        <v>1574</v>
      </c>
      <c r="I6513" s="1572" t="s">
        <v>1559</v>
      </c>
      <c r="J6513" s="1294" t="s">
        <v>1560</v>
      </c>
      <c r="K6513" s="1294" t="s">
        <v>1561</v>
      </c>
      <c r="L6513" s="4333" t="s">
        <v>3765</v>
      </c>
      <c r="M6513" s="4335" t="s">
        <v>1571</v>
      </c>
      <c r="N6513" s="4323" t="s">
        <v>1776</v>
      </c>
      <c r="O6513" s="3347" t="s">
        <v>1563</v>
      </c>
      <c r="P6513" s="1336" t="s">
        <v>1562</v>
      </c>
      <c r="Q6513" s="3425" t="s">
        <v>3372</v>
      </c>
      <c r="R6513" s="1699" t="s">
        <v>1327</v>
      </c>
      <c r="S6513" s="19"/>
      <c r="T6513" s="19"/>
      <c r="U6513" s="19"/>
    </row>
    <row r="6514" spans="1:21" s="16" customFormat="1">
      <c r="A6514" s="1662" t="s">
        <v>2775</v>
      </c>
      <c r="B6514" s="4463"/>
      <c r="C6514" s="3418"/>
      <c r="D6514" s="4464"/>
      <c r="E6514" s="4441"/>
      <c r="F6514" s="4466"/>
      <c r="G6514" s="4332"/>
      <c r="H6514" s="4332"/>
      <c r="I6514" s="1345">
        <v>70.400000000000006</v>
      </c>
      <c r="J6514" s="1307">
        <v>2E-3</v>
      </c>
      <c r="K6514" s="1297">
        <f>I6514*J6514</f>
        <v>0.14080000000000001</v>
      </c>
      <c r="L6514" s="4334"/>
      <c r="M6514" s="4335"/>
      <c r="N6514" s="4324"/>
      <c r="O6514" s="1298">
        <f>SUM(O6516:O6528)</f>
        <v>58.05</v>
      </c>
      <c r="P6514" s="1337">
        <f>K6514*O6514</f>
        <v>8.1734399999999994</v>
      </c>
      <c r="Q6514" s="3426"/>
      <c r="R6514" s="1721">
        <f>SUM(P6516:P6528)</f>
        <v>8.1726867199999997</v>
      </c>
      <c r="S6514" s="19"/>
      <c r="T6514" s="19"/>
      <c r="U6514" s="19"/>
    </row>
    <row r="6515" spans="1:21" s="16" customFormat="1">
      <c r="A6515" s="19"/>
      <c r="B6515" s="3422"/>
      <c r="C6515" s="3352"/>
      <c r="D6515" s="1400"/>
      <c r="E6515" s="2121"/>
      <c r="F6515" s="1389" t="s">
        <v>1</v>
      </c>
      <c r="G6515" s="1629"/>
      <c r="H6515" s="1629"/>
      <c r="I6515" s="1630"/>
      <c r="J6515" s="1609"/>
      <c r="K6515" s="1424"/>
      <c r="L6515" s="1631"/>
      <c r="M6515" s="1426"/>
      <c r="N6515" s="1710"/>
      <c r="O6515" s="1632"/>
      <c r="P6515" s="1633"/>
      <c r="Q6515" s="3390"/>
      <c r="R6515" s="2338"/>
      <c r="S6515" s="19"/>
      <c r="T6515" s="19"/>
      <c r="U6515" s="19"/>
    </row>
    <row r="6516" spans="1:21" s="16" customFormat="1">
      <c r="A6516" s="19"/>
      <c r="B6516" s="3423"/>
      <c r="C6516" s="1042"/>
      <c r="D6516" s="1626" t="s">
        <v>1145</v>
      </c>
      <c r="E6516" s="2156" t="s">
        <v>1577</v>
      </c>
      <c r="F6516" s="1587" t="s">
        <v>1690</v>
      </c>
      <c r="G6516" s="1588">
        <v>1E-3</v>
      </c>
      <c r="H6516" s="1367"/>
      <c r="I6516" s="1349"/>
      <c r="J6516" s="8"/>
      <c r="K6516" s="1732">
        <f>G6516*K6514</f>
        <v>1.4080000000000001E-4</v>
      </c>
      <c r="L6516" s="1335">
        <f>K6516*$K$795</f>
        <v>0</v>
      </c>
      <c r="M6516" s="1302">
        <v>246.4</v>
      </c>
      <c r="N6516" s="1700"/>
      <c r="O6516" s="1290">
        <f>ROUND(G6516*M6516,2)</f>
        <v>0.25</v>
      </c>
      <c r="P6516" s="1332">
        <f>M6516*K6516</f>
        <v>3.4693120000000001E-2</v>
      </c>
      <c r="Q6516" s="3391"/>
      <c r="R6516" s="2338"/>
      <c r="S6516" s="19"/>
      <c r="T6516" s="19"/>
      <c r="U6516" s="19"/>
    </row>
    <row r="6517" spans="1:21" s="16" customFormat="1">
      <c r="A6517" s="19"/>
      <c r="B6517" s="3423"/>
      <c r="C6517" s="1042"/>
      <c r="D6517" s="1618" t="s">
        <v>1147</v>
      </c>
      <c r="E6517" s="2138" t="s">
        <v>1357</v>
      </c>
      <c r="F6517" s="1587" t="s">
        <v>1691</v>
      </c>
      <c r="G6517" s="1588">
        <v>1</v>
      </c>
      <c r="H6517" s="1367"/>
      <c r="I6517" s="1617"/>
      <c r="J6517" s="198"/>
      <c r="K6517" s="1307">
        <f>G6517*K6514</f>
        <v>0.14080000000000001</v>
      </c>
      <c r="L6517" s="1335">
        <f>K6517*$K$795</f>
        <v>0</v>
      </c>
      <c r="M6517" s="1302">
        <v>0.22</v>
      </c>
      <c r="N6517" s="1700"/>
      <c r="O6517" s="1290">
        <f>ROUND(G6517*M6517,2)</f>
        <v>0.22</v>
      </c>
      <c r="P6517" s="1332">
        <f>M6517*K6517</f>
        <v>3.0976000000000004E-2</v>
      </c>
      <c r="Q6517" s="3391"/>
      <c r="R6517" s="2338"/>
      <c r="S6517" s="19"/>
      <c r="T6517" s="19"/>
      <c r="U6517" s="19"/>
    </row>
    <row r="6518" spans="1:21" s="16" customFormat="1">
      <c r="A6518" s="19"/>
      <c r="B6518" s="3423"/>
      <c r="C6518" s="1042"/>
      <c r="D6518" s="3419" t="s">
        <v>3374</v>
      </c>
      <c r="E6518" s="3420" t="s">
        <v>1504</v>
      </c>
      <c r="F6518" s="3419" t="s">
        <v>3375</v>
      </c>
      <c r="G6518" s="3421">
        <v>47.17</v>
      </c>
      <c r="H6518" s="1367"/>
      <c r="I6518" s="1286"/>
      <c r="J6518" s="198"/>
      <c r="K6518" s="1307">
        <f>G6518*K6514</f>
        <v>6.6415360000000003</v>
      </c>
      <c r="L6518" s="1335">
        <f>K6518*$K$795</f>
        <v>0</v>
      </c>
      <c r="M6518" s="1302">
        <v>0.5</v>
      </c>
      <c r="N6518" s="1700"/>
      <c r="O6518" s="1290">
        <f>ROUND(G6518*M6518,2)</f>
        <v>23.59</v>
      </c>
      <c r="P6518" s="1332">
        <f>M6518*K6518</f>
        <v>3.3207680000000002</v>
      </c>
      <c r="Q6518" s="3391"/>
      <c r="R6518" s="2338"/>
      <c r="S6518" s="19"/>
      <c r="T6518" s="19"/>
      <c r="U6518" s="19"/>
    </row>
    <row r="6519" spans="1:21" s="16" customFormat="1">
      <c r="A6519" s="19"/>
      <c r="B6519" s="3423"/>
      <c r="C6519" s="1042"/>
      <c r="D6519" s="1598" t="s">
        <v>1097</v>
      </c>
      <c r="E6519" s="2154" t="s">
        <v>1504</v>
      </c>
      <c r="F6519" s="1598" t="s">
        <v>1632</v>
      </c>
      <c r="G6519" s="1612">
        <v>2</v>
      </c>
      <c r="H6519" s="1588"/>
      <c r="I6519" s="1286"/>
      <c r="J6519" s="198"/>
      <c r="K6519" s="1307">
        <f>G6519*K6514</f>
        <v>0.28160000000000002</v>
      </c>
      <c r="L6519" s="1335"/>
      <c r="M6519" s="1302">
        <v>0.55000000000000004</v>
      </c>
      <c r="N6519" s="1700"/>
      <c r="O6519" s="1290">
        <f>ROUND(G6519*M6519,2)</f>
        <v>1.1000000000000001</v>
      </c>
      <c r="P6519" s="1332">
        <f>M6519*K6519</f>
        <v>0.15488000000000002</v>
      </c>
      <c r="Q6519" s="3391"/>
      <c r="R6519" s="2338"/>
      <c r="S6519" s="19"/>
      <c r="T6519" s="19"/>
      <c r="U6519" s="19"/>
    </row>
    <row r="6520" spans="1:21" s="16" customFormat="1">
      <c r="A6520" s="19"/>
      <c r="B6520" s="3423"/>
      <c r="C6520" s="1042"/>
      <c r="D6520" s="1618"/>
      <c r="E6520" s="2138"/>
      <c r="F6520" s="1587"/>
      <c r="G6520" s="1367"/>
      <c r="H6520" s="1588"/>
      <c r="I6520" s="1286"/>
      <c r="J6520" s="198"/>
      <c r="K6520" s="1307" t="s">
        <v>506</v>
      </c>
      <c r="L6520" s="1335"/>
      <c r="M6520" s="1302"/>
      <c r="N6520" s="1700"/>
      <c r="O6520" s="1290"/>
      <c r="P6520" s="1332"/>
      <c r="Q6520" s="3391"/>
      <c r="R6520" s="2338"/>
      <c r="S6520" s="19"/>
      <c r="T6520" s="19"/>
      <c r="U6520" s="19"/>
    </row>
    <row r="6521" spans="1:21" s="16" customFormat="1">
      <c r="A6521" s="19"/>
      <c r="B6521" s="3423"/>
      <c r="C6521" s="1042"/>
      <c r="D6521" s="1404"/>
      <c r="E6521" s="1858"/>
      <c r="F6521" s="1465" t="s">
        <v>2</v>
      </c>
      <c r="G6521" s="1466"/>
      <c r="H6521" s="1362"/>
      <c r="I6521" s="1381"/>
      <c r="J6521" s="1381"/>
      <c r="K6521" s="1359"/>
      <c r="L6521" s="1458"/>
      <c r="M6521" s="1498"/>
      <c r="N6521" s="1498"/>
      <c r="O6521" s="1498"/>
      <c r="P6521" s="1359"/>
      <c r="Q6521" s="3387"/>
      <c r="R6521" s="2338"/>
      <c r="S6521" s="19"/>
      <c r="T6521" s="19"/>
      <c r="U6521" s="19"/>
    </row>
    <row r="6522" spans="1:21" s="16" customFormat="1">
      <c r="A6522" s="19"/>
      <c r="B6522" s="3423"/>
      <c r="C6522" s="1042"/>
      <c r="D6522" s="1627" t="s">
        <v>1088</v>
      </c>
      <c r="E6522" s="2157" t="s">
        <v>1508</v>
      </c>
      <c r="F6522" s="1620" t="s">
        <v>1694</v>
      </c>
      <c r="G6522" s="1621">
        <v>1.0469999999999999</v>
      </c>
      <c r="H6522" s="1359"/>
      <c r="I6522" s="1340"/>
      <c r="J6522" s="198"/>
      <c r="K6522" s="1307">
        <f>G6522*K6514</f>
        <v>0.14741760000000001</v>
      </c>
      <c r="L6522" s="1335">
        <f>K6522*$K$795</f>
        <v>0</v>
      </c>
      <c r="M6522" s="1729">
        <v>19.23</v>
      </c>
      <c r="N6522" s="1730"/>
      <c r="O6522" s="1290">
        <f>ROUND(G6522*M6522,2)</f>
        <v>20.13</v>
      </c>
      <c r="P6522" s="1332">
        <f>M6522*K6522</f>
        <v>2.8348404480000005</v>
      </c>
      <c r="Q6522" s="3391"/>
      <c r="R6522" s="2338"/>
      <c r="S6522" s="19"/>
      <c r="T6522" s="19"/>
      <c r="U6522" s="19"/>
    </row>
    <row r="6523" spans="1:21" s="16" customFormat="1">
      <c r="A6523" s="19"/>
      <c r="B6523" s="3423"/>
      <c r="C6523" s="1042"/>
      <c r="D6523" s="1627" t="s">
        <v>1067</v>
      </c>
      <c r="E6523" s="2157" t="s">
        <v>1508</v>
      </c>
      <c r="F6523" s="1620" t="s">
        <v>1512</v>
      </c>
      <c r="G6523" s="1621">
        <v>0.69799999999999995</v>
      </c>
      <c r="H6523" s="1359"/>
      <c r="I6523" s="1340"/>
      <c r="J6523" s="198"/>
      <c r="K6523" s="1307">
        <f>G6523*K6514</f>
        <v>9.8278400000000002E-2</v>
      </c>
      <c r="L6523" s="1335">
        <f>K6523*$K$795</f>
        <v>0</v>
      </c>
      <c r="M6523" s="1729">
        <v>18.28</v>
      </c>
      <c r="N6523" s="1730"/>
      <c r="O6523" s="1290">
        <f>ROUND(G6523*M6523,2)</f>
        <v>12.76</v>
      </c>
      <c r="P6523" s="1332">
        <f>M6523*K6523</f>
        <v>1.7965291520000002</v>
      </c>
      <c r="Q6523" s="3391"/>
      <c r="R6523" s="2338"/>
      <c r="S6523" s="19"/>
      <c r="T6523" s="19"/>
      <c r="U6523" s="19"/>
    </row>
    <row r="6524" spans="1:21" s="16" customFormat="1">
      <c r="A6524" s="19"/>
      <c r="B6524" s="3423"/>
      <c r="C6524" s="1042"/>
      <c r="D6524" s="1627"/>
      <c r="E6524" s="2157"/>
      <c r="F6524" s="1620"/>
      <c r="G6524" s="1359"/>
      <c r="H6524" s="1621"/>
      <c r="I6524" s="1340"/>
      <c r="J6524" s="198"/>
      <c r="K6524" s="1307"/>
      <c r="L6524" s="1335"/>
      <c r="M6524" s="1729"/>
      <c r="N6524" s="1730"/>
      <c r="O6524" s="1290"/>
      <c r="P6524" s="1332"/>
      <c r="Q6524" s="3391"/>
      <c r="R6524" s="2338"/>
      <c r="S6524" s="19"/>
      <c r="T6524" s="19"/>
      <c r="U6524" s="19"/>
    </row>
    <row r="6525" spans="1:21" s="16" customFormat="1">
      <c r="A6525" s="19"/>
      <c r="B6525" s="3423"/>
      <c r="C6525" s="1042"/>
      <c r="D6525" s="1411"/>
      <c r="E6525" s="2123"/>
      <c r="F6525" s="1475" t="s">
        <v>3</v>
      </c>
      <c r="G6525" s="1377"/>
      <c r="H6525" s="1376"/>
      <c r="I6525" s="1383" t="s">
        <v>506</v>
      </c>
      <c r="J6525" s="1383"/>
      <c r="K6525" s="1383"/>
      <c r="L6525" s="1413" t="s">
        <v>506</v>
      </c>
      <c r="M6525" s="1376"/>
      <c r="N6525" s="1376"/>
      <c r="O6525" s="1376"/>
      <c r="P6525" s="1373"/>
      <c r="Q6525" s="3387"/>
      <c r="R6525" s="2338"/>
      <c r="S6525" s="19"/>
      <c r="T6525" s="19"/>
      <c r="U6525" s="19"/>
    </row>
    <row r="6526" spans="1:21" s="16" customFormat="1">
      <c r="A6526" s="19"/>
      <c r="B6526" s="3423"/>
      <c r="C6526" s="1042"/>
      <c r="D6526" s="1440"/>
      <c r="E6526" s="2132"/>
      <c r="F6526" s="1441"/>
      <c r="G6526" s="1441"/>
      <c r="H6526" s="1442"/>
      <c r="I6526" s="197" t="s">
        <v>506</v>
      </c>
      <c r="J6526" s="198"/>
      <c r="K6526" s="1307"/>
      <c r="L6526" s="1335" t="s">
        <v>506</v>
      </c>
      <c r="M6526" s="1499"/>
      <c r="N6526" s="1701"/>
      <c r="O6526" s="1290"/>
      <c r="P6526" s="1332"/>
      <c r="Q6526" s="3391"/>
      <c r="R6526" s="2338"/>
      <c r="S6526" s="19"/>
      <c r="T6526" s="19"/>
      <c r="U6526" s="19"/>
    </row>
    <row r="6527" spans="1:21" s="16" customFormat="1">
      <c r="A6527" s="19"/>
      <c r="B6527" s="3423"/>
      <c r="C6527" s="1320"/>
      <c r="D6527" s="1440"/>
      <c r="E6527" s="2132"/>
      <c r="F6527" s="1441"/>
      <c r="G6527" s="1441"/>
      <c r="H6527" s="1442"/>
      <c r="I6527" s="197" t="s">
        <v>506</v>
      </c>
      <c r="J6527" s="198"/>
      <c r="K6527" s="1307"/>
      <c r="L6527" s="1335" t="s">
        <v>506</v>
      </c>
      <c r="M6527" s="1499"/>
      <c r="N6527" s="1701"/>
      <c r="O6527" s="1290"/>
      <c r="P6527" s="1332"/>
      <c r="Q6527" s="3391"/>
      <c r="R6527" s="2338"/>
      <c r="S6527" s="19"/>
      <c r="T6527" s="19"/>
      <c r="U6527" s="19"/>
    </row>
    <row r="6528" spans="1:21" s="16" customFormat="1">
      <c r="A6528" s="19"/>
      <c r="B6528" s="3424"/>
      <c r="C6528" s="225"/>
      <c r="D6528" s="1440"/>
      <c r="E6528" s="2132"/>
      <c r="F6528" s="1441"/>
      <c r="G6528" s="1441"/>
      <c r="H6528" s="1442"/>
      <c r="I6528" s="197"/>
      <c r="J6528" s="198"/>
      <c r="K6528" s="1307"/>
      <c r="L6528" s="1335"/>
      <c r="M6528" s="1499"/>
      <c r="N6528" s="1701"/>
      <c r="O6528" s="1290"/>
      <c r="P6528" s="1332"/>
      <c r="Q6528" s="3391"/>
      <c r="R6528" s="2338"/>
      <c r="S6528" s="19"/>
      <c r="T6528" s="19"/>
      <c r="U6528" s="19"/>
    </row>
    <row r="6529" spans="1:19" s="16" customFormat="1" ht="15" customHeight="1">
      <c r="A6529" s="18" t="s">
        <v>3764</v>
      </c>
      <c r="B6529" s="4325" t="s">
        <v>1659</v>
      </c>
      <c r="C6529" s="3350"/>
      <c r="D6529" s="4327"/>
      <c r="E6529" s="4337" t="s">
        <v>1507</v>
      </c>
      <c r="F6529" s="4338" t="s">
        <v>1685</v>
      </c>
      <c r="G6529" s="4331" t="s">
        <v>1568</v>
      </c>
      <c r="H6529" s="4331" t="s">
        <v>1574</v>
      </c>
      <c r="I6529" s="1572" t="s">
        <v>1559</v>
      </c>
      <c r="J6529" s="1294" t="s">
        <v>1560</v>
      </c>
      <c r="K6529" s="1294" t="s">
        <v>1561</v>
      </c>
      <c r="L6529" s="4333" t="s">
        <v>3765</v>
      </c>
      <c r="M6529" s="4335" t="s">
        <v>1571</v>
      </c>
      <c r="N6529" s="4323" t="s">
        <v>1776</v>
      </c>
      <c r="O6529" s="3347" t="s">
        <v>1563</v>
      </c>
      <c r="P6529" s="1336" t="s">
        <v>1562</v>
      </c>
      <c r="Q6529" s="3389"/>
      <c r="R6529" s="1699" t="s">
        <v>1327</v>
      </c>
      <c r="S6529" s="19"/>
    </row>
    <row r="6530" spans="1:19" s="16" customFormat="1">
      <c r="A6530" s="1662" t="s">
        <v>2775</v>
      </c>
      <c r="B6530" s="4326"/>
      <c r="C6530" s="3351"/>
      <c r="D6530" s="4328"/>
      <c r="E6530" s="4337"/>
      <c r="F6530" s="4338"/>
      <c r="G6530" s="4332"/>
      <c r="H6530" s="4332"/>
      <c r="I6530" s="1345">
        <v>70.400000000000006</v>
      </c>
      <c r="J6530" s="1307">
        <v>2E-3</v>
      </c>
      <c r="K6530" s="1297">
        <f>I6530*J6530</f>
        <v>0.14080000000000001</v>
      </c>
      <c r="L6530" s="4334"/>
      <c r="M6530" s="4335"/>
      <c r="N6530" s="4324"/>
      <c r="O6530" s="1298">
        <f>O6532+O6540</f>
        <v>13.241683030000001</v>
      </c>
      <c r="P6530" s="1337">
        <f>K6530*O6530</f>
        <v>1.8644289706240003</v>
      </c>
      <c r="Q6530" s="3390"/>
      <c r="R6530" s="1721">
        <f>P6532+P6540</f>
        <v>1.864428970624</v>
      </c>
      <c r="S6530" s="19"/>
    </row>
    <row r="6531" spans="1:19" s="16" customFormat="1">
      <c r="A6531" s="19"/>
      <c r="B6531" s="551"/>
      <c r="C6531" s="18"/>
      <c r="D6531" s="1400"/>
      <c r="E6531" s="2121"/>
      <c r="F6531" s="1389" t="s">
        <v>1</v>
      </c>
      <c r="G6531" s="1472"/>
      <c r="H6531" s="1369"/>
      <c r="I6531" s="1391"/>
      <c r="J6531" s="1369"/>
      <c r="K6531" s="1369"/>
      <c r="L6531" s="1554"/>
      <c r="M6531" s="1487"/>
      <c r="N6531" s="1487"/>
      <c r="O6531" s="1487"/>
      <c r="P6531" s="1367"/>
      <c r="Q6531" s="3387"/>
      <c r="R6531" s="2338"/>
      <c r="S6531" s="19"/>
    </row>
    <row r="6532" spans="1:19" s="16" customFormat="1">
      <c r="A6532" s="19"/>
      <c r="B6532" s="1042"/>
      <c r="C6532" s="1317" t="s">
        <v>1127</v>
      </c>
      <c r="D6532" s="1311"/>
      <c r="E6532" s="2131" t="s">
        <v>1517</v>
      </c>
      <c r="F6532" s="1343" t="s">
        <v>1519</v>
      </c>
      <c r="G6532" s="2098"/>
      <c r="H6532" s="1344">
        <v>2.1000000000000001E-2</v>
      </c>
      <c r="I6532" s="1497"/>
      <c r="J6532" s="1388"/>
      <c r="K6532" s="1445"/>
      <c r="L6532" s="1457"/>
      <c r="M6532" s="1446"/>
      <c r="N6532" s="1447">
        <f>SUM(N6533:N6536)</f>
        <v>50.044430000000006</v>
      </c>
      <c r="O6532" s="1447">
        <f>SUM(O6533:O6536)</f>
        <v>1.0509330300000002</v>
      </c>
      <c r="P6532" s="1447">
        <f>SUM(P6533:P6536)</f>
        <v>0.14797137062400001</v>
      </c>
      <c r="Q6532" s="3391"/>
      <c r="R6532" s="2338"/>
      <c r="S6532" s="19"/>
    </row>
    <row r="6533" spans="1:19" s="16" customFormat="1">
      <c r="A6533" s="19"/>
      <c r="B6533" s="1042"/>
      <c r="C6533"/>
      <c r="D6533" s="1367" t="s">
        <v>1069</v>
      </c>
      <c r="E6533" s="1856" t="s">
        <v>1517</v>
      </c>
      <c r="F6533" s="1397" t="s">
        <v>1578</v>
      </c>
      <c r="G6533" s="1416">
        <v>0.26300000000000001</v>
      </c>
      <c r="H6533" s="1399">
        <f>G6533*H6532</f>
        <v>5.523000000000001E-3</v>
      </c>
      <c r="I6533" s="197"/>
      <c r="J6533" s="198"/>
      <c r="K6533" s="1307">
        <f>H6533*K6530</f>
        <v>7.7763840000000023E-4</v>
      </c>
      <c r="L6533" s="1335">
        <f>K6533*$K$795</f>
        <v>0</v>
      </c>
      <c r="M6533" s="1302">
        <v>0.55000000000000004</v>
      </c>
      <c r="N6533" s="1718">
        <f>G6533*M6533</f>
        <v>0.14465000000000003</v>
      </c>
      <c r="O6533" s="2099">
        <f>H6533*M6533</f>
        <v>3.0376500000000007E-3</v>
      </c>
      <c r="P6533" s="1720">
        <f>M6533*K6533</f>
        <v>4.2770112000000017E-4</v>
      </c>
      <c r="Q6533" s="3396"/>
      <c r="R6533" s="2338"/>
      <c r="S6533" s="19"/>
    </row>
    <row r="6534" spans="1:19" s="16" customFormat="1">
      <c r="A6534" s="19"/>
      <c r="B6534" s="1042"/>
      <c r="C6534" s="88"/>
      <c r="D6534" s="1367" t="s">
        <v>1394</v>
      </c>
      <c r="E6534" s="1856" t="s">
        <v>1577</v>
      </c>
      <c r="F6534" s="1397" t="s">
        <v>1579</v>
      </c>
      <c r="G6534" s="1416">
        <v>0.25800000000000001</v>
      </c>
      <c r="H6534" s="1399">
        <f>G6534*H6532</f>
        <v>5.4180000000000001E-3</v>
      </c>
      <c r="I6534" s="197"/>
      <c r="J6534" s="198"/>
      <c r="K6534" s="1307">
        <f>H6534*K6530</f>
        <v>7.6285440000000001E-4</v>
      </c>
      <c r="L6534" s="1335">
        <f>K6534*$K$795</f>
        <v>0</v>
      </c>
      <c r="M6534" s="1302">
        <v>92.54</v>
      </c>
      <c r="N6534" s="1718">
        <f>G6534*M6534</f>
        <v>23.875320000000002</v>
      </c>
      <c r="O6534" s="1290">
        <f>H6534*M6534</f>
        <v>0.50138172000000003</v>
      </c>
      <c r="P6534" s="1720">
        <f>M6534*K6534</f>
        <v>7.0594546176E-2</v>
      </c>
      <c r="Q6534" s="3396"/>
      <c r="R6534" s="2338"/>
      <c r="S6534" s="19"/>
    </row>
    <row r="6535" spans="1:19" s="16" customFormat="1">
      <c r="A6535" s="19"/>
      <c r="B6535" s="1042"/>
      <c r="C6535" s="88"/>
      <c r="D6535" s="1367" t="s">
        <v>1576</v>
      </c>
      <c r="E6535" s="1856" t="s">
        <v>1517</v>
      </c>
      <c r="F6535" s="1397" t="s">
        <v>1580</v>
      </c>
      <c r="G6535" s="1416">
        <v>1.1020000000000001</v>
      </c>
      <c r="H6535" s="1399">
        <f>G6535*H6532</f>
        <v>2.3142000000000003E-2</v>
      </c>
      <c r="I6535" s="197"/>
      <c r="J6535" s="198"/>
      <c r="K6535" s="1307">
        <f>H6535*K6530</f>
        <v>3.2583936000000007E-3</v>
      </c>
      <c r="L6535" s="1335">
        <f>K6535*$K$795</f>
        <v>0</v>
      </c>
      <c r="M6535" s="1302">
        <v>6.53</v>
      </c>
      <c r="N6535" s="1718">
        <f>G6535*M6535</f>
        <v>7.196060000000001</v>
      </c>
      <c r="O6535" s="1290">
        <f>H6535*M6535</f>
        <v>0.15111726000000003</v>
      </c>
      <c r="P6535" s="1720">
        <f>M6535*K6535</f>
        <v>2.1277310208000007E-2</v>
      </c>
      <c r="Q6535" s="3396"/>
      <c r="R6535" s="2338"/>
      <c r="S6535" s="19"/>
    </row>
    <row r="6536" spans="1:19" s="16" customFormat="1">
      <c r="A6536" s="19"/>
      <c r="B6536" s="1042"/>
      <c r="C6536" s="88"/>
      <c r="D6536" s="1359" t="s">
        <v>1067</v>
      </c>
      <c r="E6536" s="1857" t="s">
        <v>1508</v>
      </c>
      <c r="F6536" s="1406" t="s">
        <v>1512</v>
      </c>
      <c r="G6536" s="1407">
        <v>1.03</v>
      </c>
      <c r="H6536" s="1408">
        <f>G6536*H6532</f>
        <v>2.1630000000000003E-2</v>
      </c>
      <c r="I6536" s="197"/>
      <c r="J6536" s="198"/>
      <c r="K6536" s="1307">
        <f>H6536*K6530</f>
        <v>3.0455040000000005E-3</v>
      </c>
      <c r="L6536" s="1335">
        <f>K6536*$K$795</f>
        <v>0</v>
      </c>
      <c r="M6536" s="1302">
        <v>18.28</v>
      </c>
      <c r="N6536" s="1718">
        <f>G6536*M6536</f>
        <v>18.828400000000002</v>
      </c>
      <c r="O6536" s="1290">
        <f>H6536*M6536</f>
        <v>0.39539640000000009</v>
      </c>
      <c r="P6536" s="1720">
        <f>M6536*K6536</f>
        <v>5.567181312000001E-2</v>
      </c>
      <c r="Q6536" s="3396"/>
      <c r="R6536" s="2338"/>
      <c r="S6536" s="19"/>
    </row>
    <row r="6537" spans="1:19" s="16" customFormat="1">
      <c r="A6537" s="19"/>
      <c r="B6537" s="1042"/>
      <c r="C6537" s="88"/>
      <c r="D6537" s="1367"/>
      <c r="E6537" s="1856"/>
      <c r="F6537" s="1397"/>
      <c r="G6537" s="1416"/>
      <c r="H6537" s="1399"/>
      <c r="I6537" s="197"/>
      <c r="J6537" s="198"/>
      <c r="K6537" s="1307" t="s">
        <v>506</v>
      </c>
      <c r="L6537" s="1335"/>
      <c r="M6537" s="1302"/>
      <c r="N6537" s="1724"/>
      <c r="O6537" s="1726"/>
      <c r="P6537" s="1720"/>
      <c r="Q6537" s="3396"/>
      <c r="R6537" s="2338"/>
      <c r="S6537" s="19"/>
    </row>
    <row r="6538" spans="1:19" s="16" customFormat="1">
      <c r="A6538" s="19"/>
      <c r="B6538" s="1042"/>
      <c r="C6538" s="88"/>
      <c r="D6538" s="1367"/>
      <c r="E6538" s="1856"/>
      <c r="F6538" s="1397"/>
      <c r="G6538" s="1416"/>
      <c r="H6538" s="1399"/>
      <c r="I6538" s="197"/>
      <c r="J6538" s="198"/>
      <c r="K6538" s="1307" t="s">
        <v>506</v>
      </c>
      <c r="L6538" s="1335"/>
      <c r="M6538" s="1302"/>
      <c r="N6538" s="1724"/>
      <c r="O6538" s="1726"/>
      <c r="P6538" s="1720"/>
      <c r="Q6538" s="3396"/>
      <c r="R6538" s="2338"/>
      <c r="S6538" s="19"/>
    </row>
    <row r="6539" spans="1:19" s="16" customFormat="1">
      <c r="A6539" s="19"/>
      <c r="B6539" s="1042"/>
      <c r="C6539" s="88"/>
      <c r="D6539" s="1359"/>
      <c r="E6539" s="1858"/>
      <c r="F6539" s="1465" t="s">
        <v>2</v>
      </c>
      <c r="G6539" s="1466"/>
      <c r="H6539" s="1362"/>
      <c r="I6539" s="1381"/>
      <c r="J6539" s="1381"/>
      <c r="K6539" s="1359"/>
      <c r="L6539" s="1458"/>
      <c r="M6539" s="1498"/>
      <c r="N6539" s="1498"/>
      <c r="O6539" s="1498"/>
      <c r="P6539" s="1359"/>
      <c r="Q6539" s="3387"/>
      <c r="R6539" s="2338"/>
      <c r="S6539" s="19"/>
    </row>
    <row r="6540" spans="1:19" s="16" customFormat="1">
      <c r="A6540" s="19"/>
      <c r="B6540" s="1042"/>
      <c r="C6540" s="1358" t="s">
        <v>1523</v>
      </c>
      <c r="D6540" s="1329"/>
      <c r="E6540" s="2135" t="s">
        <v>1508</v>
      </c>
      <c r="F6540" s="1330" t="s">
        <v>1524</v>
      </c>
      <c r="G6540" s="2098"/>
      <c r="H6540" s="1584">
        <v>0.32500000000000001</v>
      </c>
      <c r="I6540" s="1488"/>
      <c r="J6540" s="1388"/>
      <c r="K6540" s="1510"/>
      <c r="L6540" s="1445"/>
      <c r="M6540" s="1446"/>
      <c r="N6540" s="1447">
        <f>SUM(N6541:N6542)</f>
        <v>37.510000000000005</v>
      </c>
      <c r="O6540" s="1447">
        <f>SUM(O6541:O6542)</f>
        <v>12.190750000000001</v>
      </c>
      <c r="P6540" s="1447">
        <f>SUM(P6541:P6542)</f>
        <v>1.7164576</v>
      </c>
      <c r="Q6540" s="3391"/>
      <c r="R6540" s="2338"/>
      <c r="S6540" s="19"/>
    </row>
    <row r="6541" spans="1:19" s="16" customFormat="1">
      <c r="A6541" s="19"/>
      <c r="B6541" s="1042"/>
      <c r="C6541" s="1042"/>
      <c r="D6541" s="1402" t="s">
        <v>1067</v>
      </c>
      <c r="E6541" s="1857" t="s">
        <v>1508</v>
      </c>
      <c r="F6541" s="1430" t="s">
        <v>5</v>
      </c>
      <c r="G6541" s="1362">
        <v>1</v>
      </c>
      <c r="H6541" s="1408">
        <f>G6541*H6540</f>
        <v>0.32500000000000001</v>
      </c>
      <c r="I6541" s="1340"/>
      <c r="J6541" s="198"/>
      <c r="K6541" s="1307">
        <f>H6541*K6530</f>
        <v>4.5760000000000002E-2</v>
      </c>
      <c r="L6541" s="1335">
        <f>K6541*K6530</f>
        <v>6.4430080000000009E-3</v>
      </c>
      <c r="M6541" s="1302">
        <v>18.28</v>
      </c>
      <c r="N6541" s="1718">
        <f>G6541*M6541</f>
        <v>18.28</v>
      </c>
      <c r="O6541" s="1290">
        <f>H6541*M6541</f>
        <v>5.9410000000000007</v>
      </c>
      <c r="P6541" s="1720">
        <f>M6541*K6541</f>
        <v>0.83649280000000004</v>
      </c>
      <c r="Q6541" s="3396"/>
      <c r="R6541" s="2338"/>
      <c r="S6541" s="19"/>
    </row>
    <row r="6542" spans="1:19" s="16" customFormat="1">
      <c r="A6542" s="19"/>
      <c r="B6542" s="1042"/>
      <c r="C6542" s="1042"/>
      <c r="D6542" s="1402" t="s">
        <v>1077</v>
      </c>
      <c r="E6542" s="1857" t="s">
        <v>1508</v>
      </c>
      <c r="F6542" s="1430" t="s">
        <v>37</v>
      </c>
      <c r="G6542" s="1362">
        <v>1</v>
      </c>
      <c r="H6542" s="1408">
        <f>G6542*H6540</f>
        <v>0.32500000000000001</v>
      </c>
      <c r="I6542" s="198"/>
      <c r="J6542" s="198"/>
      <c r="K6542" s="1307">
        <f>H6542*K6530</f>
        <v>4.5760000000000002E-2</v>
      </c>
      <c r="L6542" s="1335">
        <f>K6542*$K$795</f>
        <v>0</v>
      </c>
      <c r="M6542" s="1302">
        <v>19.23</v>
      </c>
      <c r="N6542" s="1718">
        <f>G6542*M6542</f>
        <v>19.23</v>
      </c>
      <c r="O6542" s="1290">
        <f>(H6542*M6542)</f>
        <v>6.2497500000000006</v>
      </c>
      <c r="P6542" s="1720">
        <f>M6542*K6542</f>
        <v>0.8799648000000001</v>
      </c>
      <c r="Q6542" s="3396"/>
      <c r="R6542" s="2338"/>
      <c r="S6542" s="19"/>
    </row>
    <row r="6543" spans="1:19" s="16" customFormat="1">
      <c r="A6543" s="19"/>
      <c r="B6543" s="1042"/>
      <c r="C6543" s="88"/>
      <c r="D6543" s="1373"/>
      <c r="E6543" s="2123"/>
      <c r="F6543" s="1475" t="s">
        <v>3</v>
      </c>
      <c r="G6543" s="1377"/>
      <c r="H6543" s="1376"/>
      <c r="I6543" s="1383" t="s">
        <v>506</v>
      </c>
      <c r="J6543" s="1383"/>
      <c r="K6543" s="1383"/>
      <c r="L6543" s="1413" t="s">
        <v>506</v>
      </c>
      <c r="M6543" s="1376"/>
      <c r="N6543" s="1376"/>
      <c r="O6543" s="1376"/>
      <c r="P6543" s="1373"/>
      <c r="Q6543" s="3387"/>
      <c r="R6543" s="2338"/>
      <c r="S6543" s="19"/>
    </row>
    <row r="6544" spans="1:19" s="16" customFormat="1">
      <c r="A6544" s="19"/>
      <c r="B6544" s="1042"/>
      <c r="C6544" s="88"/>
      <c r="D6544" s="1440"/>
      <c r="E6544" s="2132"/>
      <c r="F6544" s="1441"/>
      <c r="G6544" s="1441"/>
      <c r="H6544" s="1442"/>
      <c r="I6544" s="197" t="s">
        <v>506</v>
      </c>
      <c r="J6544" s="198"/>
      <c r="K6544" s="1307"/>
      <c r="L6544" s="1335" t="s">
        <v>506</v>
      </c>
      <c r="M6544" s="1499"/>
      <c r="N6544" s="1701"/>
      <c r="O6544" s="1290"/>
      <c r="P6544" s="1332"/>
      <c r="Q6544" s="3391"/>
      <c r="R6544" s="2338"/>
      <c r="S6544" s="19"/>
    </row>
    <row r="6545" spans="1:19" s="16" customFormat="1">
      <c r="A6545" s="19"/>
      <c r="B6545" s="1042"/>
      <c r="C6545" s="88"/>
      <c r="D6545" s="1440"/>
      <c r="E6545" s="2132"/>
      <c r="F6545" s="1441"/>
      <c r="G6545" s="1441"/>
      <c r="H6545" s="1442"/>
      <c r="I6545" s="197" t="s">
        <v>506</v>
      </c>
      <c r="J6545" s="198"/>
      <c r="K6545" s="1307"/>
      <c r="L6545" s="1335" t="s">
        <v>506</v>
      </c>
      <c r="M6545" s="1499"/>
      <c r="N6545" s="1701"/>
      <c r="O6545" s="1290"/>
      <c r="P6545" s="1332"/>
      <c r="Q6545" s="3391"/>
      <c r="R6545" s="2338"/>
      <c r="S6545" s="19"/>
    </row>
    <row r="6546" spans="1:19" s="16" customFormat="1">
      <c r="A6546" s="19"/>
      <c r="B6546" s="223"/>
      <c r="C6546" s="581"/>
      <c r="D6546" s="1440"/>
      <c r="E6546" s="2132"/>
      <c r="F6546" s="1441"/>
      <c r="G6546" s="1441"/>
      <c r="H6546" s="1442"/>
      <c r="I6546" s="197"/>
      <c r="J6546" s="198"/>
      <c r="K6546" s="1307"/>
      <c r="L6546" s="1335"/>
      <c r="M6546" s="1499"/>
      <c r="N6546" s="1701"/>
      <c r="O6546" s="1290"/>
      <c r="P6546" s="1332"/>
      <c r="Q6546" s="3391"/>
      <c r="R6546" s="2338"/>
      <c r="S6546" s="19"/>
    </row>
    <row r="6547" spans="1:19" s="16" customFormat="1" ht="15" customHeight="1">
      <c r="A6547" s="18" t="s">
        <v>3764</v>
      </c>
      <c r="B6547" s="4325" t="s">
        <v>1712</v>
      </c>
      <c r="C6547" s="3354"/>
      <c r="D6547" s="4327"/>
      <c r="E6547" s="4329" t="s">
        <v>1507</v>
      </c>
      <c r="F6547" s="4461" t="s">
        <v>1714</v>
      </c>
      <c r="G6547" s="4331" t="s">
        <v>1568</v>
      </c>
      <c r="H6547" s="4331" t="s">
        <v>1574</v>
      </c>
      <c r="I6547" s="1572" t="s">
        <v>1559</v>
      </c>
      <c r="J6547" s="1294" t="s">
        <v>1560</v>
      </c>
      <c r="K6547" s="1294" t="s">
        <v>1561</v>
      </c>
      <c r="L6547" s="4333" t="s">
        <v>3765</v>
      </c>
      <c r="M6547" s="4323" t="s">
        <v>1571</v>
      </c>
      <c r="N6547" s="4323" t="s">
        <v>1776</v>
      </c>
      <c r="O6547" s="3347" t="s">
        <v>1563</v>
      </c>
      <c r="P6547" s="1336" t="s">
        <v>1562</v>
      </c>
      <c r="Q6547" s="3389"/>
      <c r="R6547" s="1699" t="s">
        <v>1327</v>
      </c>
    </row>
    <row r="6548" spans="1:19" s="16" customFormat="1">
      <c r="A6548" s="1662" t="s">
        <v>2775</v>
      </c>
      <c r="B6548" s="4326"/>
      <c r="C6548" s="3351"/>
      <c r="D6548" s="4328"/>
      <c r="E6548" s="4330"/>
      <c r="F6548" s="4462"/>
      <c r="G6548" s="4332"/>
      <c r="H6548" s="4332"/>
      <c r="I6548" s="1345">
        <v>208</v>
      </c>
      <c r="J6548" s="1307">
        <v>2E-3</v>
      </c>
      <c r="K6548" s="1297">
        <f>I6548*J6548</f>
        <v>0.41600000000000004</v>
      </c>
      <c r="L6548" s="4334"/>
      <c r="M6548" s="4324"/>
      <c r="N6548" s="4324"/>
      <c r="O6548" s="1298">
        <f>SUM(O6550:O6560)</f>
        <v>7.8734500000000001</v>
      </c>
      <c r="P6548" s="1337">
        <f>K6548*O6548</f>
        <v>3.2753552000000004</v>
      </c>
      <c r="Q6548" s="3390"/>
      <c r="R6548" s="1721">
        <f>SUM(P6550:P6561)</f>
        <v>3.2753552000000004</v>
      </c>
    </row>
    <row r="6549" spans="1:19" s="16" customFormat="1">
      <c r="A6549" s="19"/>
      <c r="B6549" s="551"/>
      <c r="C6549" s="18"/>
      <c r="D6549" s="1400"/>
      <c r="E6549" s="2121"/>
      <c r="F6549" s="1389" t="s">
        <v>1</v>
      </c>
      <c r="G6549" s="1472"/>
      <c r="H6549" s="1369"/>
      <c r="I6549" s="1391"/>
      <c r="J6549" s="1369"/>
      <c r="K6549" s="1369"/>
      <c r="L6549" s="1554"/>
      <c r="M6549" s="1487"/>
      <c r="N6549" s="1487"/>
      <c r="O6549" s="1487"/>
      <c r="P6549" s="1367"/>
      <c r="Q6549" s="3387"/>
      <c r="R6549" s="2338"/>
    </row>
    <row r="6550" spans="1:19" s="16" customFormat="1">
      <c r="A6550" s="19"/>
      <c r="B6550" s="553"/>
      <c r="C6550" s="1042"/>
      <c r="D6550" s="1615" t="s">
        <v>1128</v>
      </c>
      <c r="E6550" s="1856" t="s">
        <v>1517</v>
      </c>
      <c r="F6550" s="1421" t="s">
        <v>1695</v>
      </c>
      <c r="G6550" s="1604">
        <v>1.4999999999999999E-2</v>
      </c>
      <c r="H6550" s="1604"/>
      <c r="I6550" s="1342"/>
      <c r="J6550" s="198"/>
      <c r="K6550" s="1307">
        <f>G6550*K6548</f>
        <v>6.2399999999999999E-3</v>
      </c>
      <c r="L6550" s="1335">
        <f t="shared" ref="L6550:L6551" si="871">K6550*$K$6237</f>
        <v>0</v>
      </c>
      <c r="M6550" s="1302">
        <v>104.28</v>
      </c>
      <c r="N6550" s="1700"/>
      <c r="O6550" s="1290">
        <f>(G6550*M6550)</f>
        <v>1.5642</v>
      </c>
      <c r="P6550" s="1332">
        <f>M6550*K6550</f>
        <v>0.65070720000000004</v>
      </c>
      <c r="Q6550" s="3391"/>
      <c r="R6550" s="2338"/>
    </row>
    <row r="6551" spans="1:19" s="16" customFormat="1">
      <c r="A6551" s="19"/>
      <c r="B6551" s="553"/>
      <c r="C6551" s="1042"/>
      <c r="D6551" s="1428" t="s">
        <v>1152</v>
      </c>
      <c r="E6551" s="2122" t="s">
        <v>1517</v>
      </c>
      <c r="F6551" s="1370" t="s">
        <v>1696</v>
      </c>
      <c r="G6551" s="1452">
        <v>5.0000000000000001E-3</v>
      </c>
      <c r="H6551" s="1452"/>
      <c r="I6551" s="1286"/>
      <c r="J6551" s="198"/>
      <c r="K6551" s="1307">
        <f>G6551*K6548</f>
        <v>2.0800000000000003E-3</v>
      </c>
      <c r="L6551" s="1335">
        <f t="shared" si="871"/>
        <v>0</v>
      </c>
      <c r="M6551" s="1302">
        <v>108.05</v>
      </c>
      <c r="N6551" s="1700"/>
      <c r="O6551" s="1290">
        <f>(G6551*M6551)</f>
        <v>0.54025000000000001</v>
      </c>
      <c r="P6551" s="1332">
        <f>M6551*K6551</f>
        <v>0.22474400000000003</v>
      </c>
      <c r="Q6551" s="3391"/>
      <c r="R6551" s="2338"/>
    </row>
    <row r="6552" spans="1:19" s="16" customFormat="1">
      <c r="A6552" s="19"/>
      <c r="B6552" s="553"/>
      <c r="C6552" s="1320"/>
      <c r="D6552" s="1396"/>
      <c r="E6552" s="1856"/>
      <c r="F6552" s="1421"/>
      <c r="G6552" s="1452"/>
      <c r="H6552" s="1453"/>
      <c r="I6552" s="1286"/>
      <c r="J6552" s="198"/>
      <c r="K6552" s="1307"/>
      <c r="L6552" s="1335"/>
      <c r="M6552" s="1302"/>
      <c r="N6552" s="1700"/>
      <c r="O6552" s="1290"/>
      <c r="P6552" s="1332"/>
      <c r="Q6552" s="3391"/>
      <c r="R6552" s="2338"/>
    </row>
    <row r="6553" spans="1:19" s="16" customFormat="1">
      <c r="A6553" s="19"/>
      <c r="B6553" s="553"/>
      <c r="C6553" s="1042"/>
      <c r="D6553" s="1400"/>
      <c r="E6553" s="1856"/>
      <c r="F6553" s="1397"/>
      <c r="G6553" s="1416"/>
      <c r="H6553" s="1399"/>
      <c r="I6553" s="197"/>
      <c r="J6553" s="198"/>
      <c r="K6553" s="1307" t="s">
        <v>506</v>
      </c>
      <c r="L6553" s="1335"/>
      <c r="M6553" s="1302"/>
      <c r="N6553" s="1700"/>
      <c r="O6553" s="1290"/>
      <c r="P6553" s="1332"/>
      <c r="Q6553" s="3391"/>
      <c r="R6553" s="2338"/>
    </row>
    <row r="6554" spans="1:19" s="16" customFormat="1">
      <c r="A6554" s="19"/>
      <c r="B6554" s="553"/>
      <c r="C6554" s="1042"/>
      <c r="D6554" s="1404"/>
      <c r="E6554" s="1858"/>
      <c r="F6554" s="1465" t="s">
        <v>2</v>
      </c>
      <c r="G6554" s="1466"/>
      <c r="H6554" s="1362"/>
      <c r="I6554" s="1381"/>
      <c r="J6554" s="1381"/>
      <c r="K6554" s="1359"/>
      <c r="L6554" s="1458"/>
      <c r="M6554" s="1498"/>
      <c r="N6554" s="1498"/>
      <c r="O6554" s="1498"/>
      <c r="P6554" s="1359"/>
      <c r="Q6554" s="3387"/>
      <c r="R6554" s="2338"/>
    </row>
    <row r="6555" spans="1:19" s="16" customFormat="1">
      <c r="A6555" s="19"/>
      <c r="B6555" s="553"/>
      <c r="C6555" s="1042"/>
      <c r="D6555" s="1622" t="s">
        <v>1153</v>
      </c>
      <c r="E6555" s="2125" t="s">
        <v>1508</v>
      </c>
      <c r="F6555" s="1363" t="s">
        <v>1697</v>
      </c>
      <c r="G6555" s="1408">
        <v>0.3</v>
      </c>
      <c r="H6555" s="1408"/>
      <c r="I6555" s="1340"/>
      <c r="J6555" s="198"/>
      <c r="K6555" s="1307">
        <f>G6555*K6548</f>
        <v>0.12480000000000001</v>
      </c>
      <c r="L6555" s="1335">
        <f>K6555*$K$6237</f>
        <v>0</v>
      </c>
      <c r="M6555" s="1302">
        <v>19.23</v>
      </c>
      <c r="N6555" s="1700"/>
      <c r="O6555" s="1290">
        <f>(G6555*M6555)</f>
        <v>5.7690000000000001</v>
      </c>
      <c r="P6555" s="1332">
        <f>M6555*K6555</f>
        <v>2.3999040000000003</v>
      </c>
      <c r="Q6555" s="3391"/>
      <c r="R6555" s="2338"/>
    </row>
    <row r="6556" spans="1:19" s="16" customFormat="1">
      <c r="A6556" s="19"/>
      <c r="B6556" s="553"/>
      <c r="C6556" s="1042"/>
      <c r="D6556" s="1622"/>
      <c r="E6556" s="2125"/>
      <c r="F6556" s="1363"/>
      <c r="G6556" s="1474"/>
      <c r="H6556" s="1408"/>
      <c r="I6556" s="1340"/>
      <c r="J6556" s="198"/>
      <c r="K6556" s="1307"/>
      <c r="L6556" s="1335"/>
      <c r="M6556" s="1302"/>
      <c r="N6556" s="1700"/>
      <c r="O6556" s="1290"/>
      <c r="P6556" s="1332"/>
      <c r="Q6556" s="3391"/>
      <c r="R6556" s="2338"/>
    </row>
    <row r="6557" spans="1:19" s="16" customFormat="1">
      <c r="A6557" s="19"/>
      <c r="B6557" s="553"/>
      <c r="C6557" s="1042"/>
      <c r="D6557" s="1622"/>
      <c r="E6557" s="2125"/>
      <c r="F6557" s="1363"/>
      <c r="G6557" s="1474"/>
      <c r="H6557" s="1408"/>
      <c r="I6557" s="1340"/>
      <c r="J6557" s="198"/>
      <c r="K6557" s="1307"/>
      <c r="L6557" s="1335"/>
      <c r="M6557" s="1302"/>
      <c r="N6557" s="1700"/>
      <c r="O6557" s="1290"/>
      <c r="P6557" s="1332"/>
      <c r="Q6557" s="3391"/>
      <c r="R6557" s="2338"/>
    </row>
    <row r="6558" spans="1:19" s="16" customFormat="1">
      <c r="A6558" s="19"/>
      <c r="B6558" s="553"/>
      <c r="C6558" s="1042"/>
      <c r="D6558" s="1411"/>
      <c r="E6558" s="2123"/>
      <c r="F6558" s="1475" t="s">
        <v>3</v>
      </c>
      <c r="G6558" s="1377"/>
      <c r="H6558" s="1376"/>
      <c r="I6558" s="1383" t="s">
        <v>506</v>
      </c>
      <c r="J6558" s="1383"/>
      <c r="K6558" s="1383"/>
      <c r="L6558" s="1413"/>
      <c r="M6558" s="1376"/>
      <c r="N6558" s="1376"/>
      <c r="O6558" s="1376"/>
      <c r="P6558" s="1373"/>
      <c r="Q6558" s="3387"/>
      <c r="R6558" s="2338"/>
    </row>
    <row r="6559" spans="1:19" s="16" customFormat="1">
      <c r="A6559" s="19"/>
      <c r="B6559" s="553"/>
      <c r="C6559" s="1042"/>
      <c r="D6559" s="1440"/>
      <c r="E6559" s="2132"/>
      <c r="F6559" s="1441"/>
      <c r="G6559" s="1441"/>
      <c r="H6559" s="1442"/>
      <c r="I6559" s="197" t="s">
        <v>506</v>
      </c>
      <c r="J6559" s="198"/>
      <c r="K6559" s="1307"/>
      <c r="L6559" s="1335" t="s">
        <v>506</v>
      </c>
      <c r="M6559" s="1499"/>
      <c r="N6559" s="1701"/>
      <c r="O6559" s="1290"/>
      <c r="P6559" s="1332"/>
      <c r="Q6559" s="3391"/>
      <c r="R6559" s="2338"/>
    </row>
    <row r="6560" spans="1:19" s="16" customFormat="1">
      <c r="B6560" s="553"/>
      <c r="C6560" s="1042"/>
      <c r="D6560" s="1440"/>
      <c r="E6560" s="2132"/>
      <c r="F6560" s="1441"/>
      <c r="G6560" s="1441"/>
      <c r="H6560" s="1442"/>
      <c r="I6560" s="197" t="s">
        <v>506</v>
      </c>
      <c r="J6560" s="198"/>
      <c r="K6560" s="1307"/>
      <c r="L6560" s="1335" t="s">
        <v>506</v>
      </c>
      <c r="M6560" s="1499"/>
      <c r="N6560" s="1701"/>
      <c r="O6560" s="1290"/>
      <c r="P6560" s="1332"/>
      <c r="Q6560" s="3391"/>
      <c r="R6560" s="2338"/>
    </row>
    <row r="6561" spans="1:18" s="16" customFormat="1">
      <c r="B6561" s="554"/>
      <c r="C6561" s="223"/>
      <c r="D6561" s="1440"/>
      <c r="E6561" s="2132"/>
      <c r="F6561" s="1441"/>
      <c r="G6561" s="1441"/>
      <c r="H6561" s="1442"/>
      <c r="I6561" s="197"/>
      <c r="J6561" s="198"/>
      <c r="K6561" s="1307"/>
      <c r="L6561" s="1335"/>
      <c r="M6561" s="1499"/>
      <c r="N6561" s="1701"/>
      <c r="O6561" s="1290"/>
      <c r="P6561" s="1332"/>
      <c r="Q6561" s="3391"/>
      <c r="R6561" s="2338"/>
    </row>
    <row r="6562" spans="1:18" s="16" customFormat="1" ht="15" customHeight="1">
      <c r="A6562" s="18" t="s">
        <v>3764</v>
      </c>
      <c r="B6562" s="4325" t="s">
        <v>1661</v>
      </c>
      <c r="C6562" s="3350"/>
      <c r="D6562" s="4327"/>
      <c r="E6562" s="4337" t="s">
        <v>1507</v>
      </c>
      <c r="F6562" s="4338" t="s">
        <v>1706</v>
      </c>
      <c r="G6562" s="4331" t="s">
        <v>1568</v>
      </c>
      <c r="H6562" s="4331" t="s">
        <v>1574</v>
      </c>
      <c r="I6562" s="1572" t="s">
        <v>1559</v>
      </c>
      <c r="J6562" s="1294" t="s">
        <v>1560</v>
      </c>
      <c r="K6562" s="1294" t="s">
        <v>1561</v>
      </c>
      <c r="L6562" s="4333" t="s">
        <v>3765</v>
      </c>
      <c r="M6562" s="4335" t="s">
        <v>1571</v>
      </c>
      <c r="N6562" s="4323" t="s">
        <v>1776</v>
      </c>
      <c r="O6562" s="3347" t="s">
        <v>1563</v>
      </c>
      <c r="P6562" s="1336" t="s">
        <v>1562</v>
      </c>
      <c r="Q6562" s="3389"/>
      <c r="R6562" s="1699" t="s">
        <v>1327</v>
      </c>
    </row>
    <row r="6563" spans="1:18" s="16" customFormat="1">
      <c r="A6563" s="1662" t="s">
        <v>2775</v>
      </c>
      <c r="B6563" s="4326"/>
      <c r="C6563" s="3354"/>
      <c r="D6563" s="4328"/>
      <c r="E6563" s="4337"/>
      <c r="F6563" s="4338"/>
      <c r="G6563" s="4332"/>
      <c r="H6563" s="4332"/>
      <c r="I6563" s="1345">
        <v>208</v>
      </c>
      <c r="J6563" s="1307">
        <v>2E-3</v>
      </c>
      <c r="K6563" s="1297">
        <f>I6563*J6563</f>
        <v>0.41600000000000004</v>
      </c>
      <c r="L6563" s="4334"/>
      <c r="M6563" s="4335"/>
      <c r="N6563" s="4324"/>
      <c r="O6563" s="1298">
        <f>SUM(O6565:O6577)</f>
        <v>8.9870400000000004</v>
      </c>
      <c r="P6563" s="1337">
        <f>K6563*O6563</f>
        <v>3.7386086400000003</v>
      </c>
      <c r="Q6563" s="3390"/>
      <c r="R6563" s="1721">
        <f>SUM(P6565:P6577)</f>
        <v>3.7386086400000003</v>
      </c>
    </row>
    <row r="6564" spans="1:18" s="16" customFormat="1">
      <c r="A6564" s="19"/>
      <c r="B6564" s="551"/>
      <c r="C6564" s="18"/>
      <c r="D6564" s="1400"/>
      <c r="E6564" s="2121"/>
      <c r="F6564" s="1389" t="s">
        <v>1</v>
      </c>
      <c r="G6564" s="2100"/>
      <c r="H6564" s="1369"/>
      <c r="I6564" s="2088"/>
      <c r="J6564" s="1369"/>
      <c r="K6564" s="1369"/>
      <c r="L6564" s="1554"/>
      <c r="M6564" s="1487"/>
      <c r="N6564" s="1487"/>
      <c r="O6564" s="1487"/>
      <c r="P6564" s="1367"/>
      <c r="Q6564" s="3387"/>
      <c r="R6564" s="2338"/>
    </row>
    <row r="6565" spans="1:18" s="16" customFormat="1">
      <c r="A6565" s="19"/>
      <c r="B6565" s="553"/>
      <c r="C6565" s="1042"/>
      <c r="D6565" s="1615" t="s">
        <v>1698</v>
      </c>
      <c r="E6565" s="1856" t="s">
        <v>1357</v>
      </c>
      <c r="F6565" s="1421" t="s">
        <v>1699</v>
      </c>
      <c r="G6565" s="2101">
        <v>0.45</v>
      </c>
      <c r="H6565" s="1367"/>
      <c r="I6565" s="1617"/>
      <c r="J6565" s="198"/>
      <c r="K6565" s="1307">
        <f>G6565*K6563</f>
        <v>0.18720000000000003</v>
      </c>
      <c r="L6565" s="1335">
        <f t="shared" ref="L6565:L6567" si="872">K6565*$K$6237</f>
        <v>0</v>
      </c>
      <c r="M6565" s="1302">
        <v>1.7</v>
      </c>
      <c r="N6565" s="1700"/>
      <c r="O6565" s="1290">
        <f>(G6565*M6565)</f>
        <v>0.76500000000000001</v>
      </c>
      <c r="P6565" s="1332">
        <f>M6565*K6565</f>
        <v>0.31824000000000002</v>
      </c>
      <c r="Q6565" s="3391"/>
      <c r="R6565" s="2338"/>
    </row>
    <row r="6566" spans="1:18" s="16" customFormat="1">
      <c r="A6566" s="19"/>
      <c r="B6566" s="553"/>
      <c r="C6566" s="1042"/>
      <c r="D6566" s="1615" t="s">
        <v>1214</v>
      </c>
      <c r="E6566" s="1856" t="s">
        <v>1357</v>
      </c>
      <c r="F6566" s="1421" t="s">
        <v>1700</v>
      </c>
      <c r="G6566" s="2102">
        <v>0.35</v>
      </c>
      <c r="H6566" s="1367"/>
      <c r="I6566" s="1286"/>
      <c r="J6566" s="198"/>
      <c r="K6566" s="1307">
        <f>G6566*K6563</f>
        <v>0.14560000000000001</v>
      </c>
      <c r="L6566" s="1335">
        <f t="shared" si="872"/>
        <v>0</v>
      </c>
      <c r="M6566" s="1302">
        <v>4.2</v>
      </c>
      <c r="N6566" s="1700"/>
      <c r="O6566" s="1290">
        <f>(G6566*M6566)</f>
        <v>1.47</v>
      </c>
      <c r="P6566" s="1332">
        <f>M6566*K6566</f>
        <v>0.61152000000000006</v>
      </c>
      <c r="Q6566" s="3391"/>
      <c r="R6566" s="3363"/>
    </row>
    <row r="6567" spans="1:18" s="16" customFormat="1">
      <c r="A6567" s="19"/>
      <c r="B6567" s="553"/>
      <c r="C6567" s="1320"/>
      <c r="D6567" s="1400" t="s">
        <v>1701</v>
      </c>
      <c r="E6567" s="1856" t="s">
        <v>1504</v>
      </c>
      <c r="F6567" s="1421" t="s">
        <v>1541</v>
      </c>
      <c r="G6567" s="2103">
        <v>0.2</v>
      </c>
      <c r="H6567" s="1367"/>
      <c r="I6567" s="2104"/>
      <c r="J6567" s="1341"/>
      <c r="K6567" s="1307">
        <f>G6567*K6563</f>
        <v>8.320000000000001E-2</v>
      </c>
      <c r="L6567" s="1335">
        <f t="shared" si="872"/>
        <v>0</v>
      </c>
      <c r="M6567" s="1302">
        <v>0.3</v>
      </c>
      <c r="N6567" s="1700"/>
      <c r="O6567" s="1290">
        <f>(G6567*M6567)</f>
        <v>0.06</v>
      </c>
      <c r="P6567" s="1332">
        <f>M6567*K6567</f>
        <v>2.4960000000000003E-2</v>
      </c>
      <c r="Q6567" s="3391"/>
      <c r="R6567" s="3363"/>
    </row>
    <row r="6568" spans="1:18" s="16" customFormat="1">
      <c r="A6568" s="19"/>
      <c r="B6568" s="553"/>
      <c r="C6568" s="1320"/>
      <c r="D6568" s="1400"/>
      <c r="E6568" s="1856"/>
      <c r="F6568" s="1421"/>
      <c r="G6568" s="2103"/>
      <c r="H6568" s="1367"/>
      <c r="I6568" s="2104"/>
      <c r="J6568" s="1341"/>
      <c r="K6568" s="1307"/>
      <c r="L6568" s="1335"/>
      <c r="M6568" s="1302"/>
      <c r="N6568" s="1700"/>
      <c r="O6568" s="1290"/>
      <c r="P6568" s="1332"/>
      <c r="Q6568" s="3391"/>
      <c r="R6568" s="3363"/>
    </row>
    <row r="6569" spans="1:18" s="16" customFormat="1">
      <c r="A6569" s="19"/>
      <c r="B6569" s="553"/>
      <c r="C6569" s="1042"/>
      <c r="D6569" s="1400"/>
      <c r="E6569" s="1856"/>
      <c r="F6569" s="1421"/>
      <c r="G6569" s="2103"/>
      <c r="H6569" s="1367"/>
      <c r="I6569" s="2104"/>
      <c r="J6569" s="1341"/>
      <c r="K6569" s="1307" t="s">
        <v>506</v>
      </c>
      <c r="L6569" s="1335"/>
      <c r="M6569" s="1302"/>
      <c r="N6569" s="1700"/>
      <c r="O6569" s="1290"/>
      <c r="P6569" s="1332"/>
      <c r="Q6569" s="3391"/>
      <c r="R6569" s="3363"/>
    </row>
    <row r="6570" spans="1:18" s="16" customFormat="1">
      <c r="A6570" s="19"/>
      <c r="B6570" s="553"/>
      <c r="C6570" s="1042"/>
      <c r="D6570" s="1404"/>
      <c r="E6570" s="1858"/>
      <c r="F6570" s="1465" t="s">
        <v>2</v>
      </c>
      <c r="G6570" s="1429"/>
      <c r="H6570" s="1359"/>
      <c r="I6570" s="2105"/>
      <c r="J6570" s="1381"/>
      <c r="K6570" s="1359"/>
      <c r="L6570" s="1458"/>
      <c r="M6570" s="1498"/>
      <c r="N6570" s="1498"/>
      <c r="O6570" s="1498"/>
      <c r="P6570" s="1359"/>
      <c r="Q6570" s="3387"/>
      <c r="R6570" s="3363"/>
    </row>
    <row r="6571" spans="1:18" s="16" customFormat="1">
      <c r="A6571" s="19"/>
      <c r="B6571" s="553"/>
      <c r="C6571" s="1042"/>
      <c r="D6571" s="1623" t="s">
        <v>1702</v>
      </c>
      <c r="E6571" s="2158" t="s">
        <v>1508</v>
      </c>
      <c r="F6571" s="1801" t="s">
        <v>1703</v>
      </c>
      <c r="G6571" s="1822">
        <v>0.34799999999999998</v>
      </c>
      <c r="H6571" s="1359"/>
      <c r="I6571" s="2106"/>
      <c r="J6571" s="198"/>
      <c r="K6571" s="1307">
        <f>G6571*K6563</f>
        <v>0.14476800000000001</v>
      </c>
      <c r="L6571" s="1335">
        <f>K6571*$K$6237</f>
        <v>0</v>
      </c>
      <c r="M6571" s="1302">
        <v>19.23</v>
      </c>
      <c r="N6571" s="1700"/>
      <c r="O6571" s="1290">
        <f>(G6571*M6571)</f>
        <v>6.6920399999999995</v>
      </c>
      <c r="P6571" s="1332">
        <f>M6571*K6571</f>
        <v>2.7838886400000002</v>
      </c>
      <c r="Q6571" s="3391"/>
      <c r="R6571" s="3363"/>
    </row>
    <row r="6572" spans="1:18" s="16" customFormat="1">
      <c r="A6572"/>
      <c r="B6572" s="553"/>
      <c r="C6572" s="1042"/>
      <c r="D6572" s="1623"/>
      <c r="E6572" s="2158"/>
      <c r="F6572" s="1801"/>
      <c r="G6572" s="1822"/>
      <c r="H6572" s="1359"/>
      <c r="I6572" s="2106"/>
      <c r="J6572" s="198"/>
      <c r="K6572" s="1307"/>
      <c r="L6572" s="1335"/>
      <c r="M6572" s="1302"/>
      <c r="N6572" s="1700"/>
      <c r="O6572" s="1290"/>
      <c r="P6572" s="1332"/>
      <c r="Q6572" s="3391"/>
      <c r="R6572" s="2344"/>
    </row>
    <row r="6573" spans="1:18" s="16" customFormat="1">
      <c r="A6573"/>
      <c r="B6573" s="553"/>
      <c r="C6573" s="1042"/>
      <c r="D6573" s="1623"/>
      <c r="E6573" s="2158"/>
      <c r="F6573" s="1801"/>
      <c r="G6573" s="1822"/>
      <c r="H6573" s="1359"/>
      <c r="I6573" s="2106"/>
      <c r="J6573" s="198"/>
      <c r="K6573" s="1307"/>
      <c r="L6573" s="1335"/>
      <c r="M6573" s="1302"/>
      <c r="N6573" s="1700"/>
      <c r="O6573" s="1290"/>
      <c r="P6573" s="1332"/>
      <c r="Q6573" s="3391"/>
      <c r="R6573" s="3363"/>
    </row>
    <row r="6574" spans="1:18" s="16" customFormat="1">
      <c r="A6574"/>
      <c r="B6574" s="553"/>
      <c r="C6574" s="1042"/>
      <c r="D6574" s="1411"/>
      <c r="E6574" s="2123"/>
      <c r="F6574" s="1475" t="s">
        <v>3</v>
      </c>
      <c r="G6574" s="1377"/>
      <c r="H6574" s="1376"/>
      <c r="I6574" s="1383" t="s">
        <v>506</v>
      </c>
      <c r="J6574" s="1383"/>
      <c r="K6574" s="1383"/>
      <c r="L6574" s="1413" t="s">
        <v>506</v>
      </c>
      <c r="M6574" s="1376"/>
      <c r="N6574" s="1376"/>
      <c r="O6574" s="1376"/>
      <c r="P6574" s="1373"/>
      <c r="Q6574" s="3387"/>
      <c r="R6574" s="3363"/>
    </row>
    <row r="6575" spans="1:18" s="16" customFormat="1">
      <c r="A6575"/>
      <c r="B6575" s="553"/>
      <c r="C6575" s="1042"/>
      <c r="D6575" s="1440"/>
      <c r="E6575" s="2132"/>
      <c r="F6575" s="1441"/>
      <c r="G6575" s="1441"/>
      <c r="H6575" s="1442"/>
      <c r="I6575" s="197" t="s">
        <v>506</v>
      </c>
      <c r="J6575" s="198"/>
      <c r="K6575" s="1307"/>
      <c r="L6575" s="1335" t="s">
        <v>506</v>
      </c>
      <c r="M6575" s="1499"/>
      <c r="N6575" s="1701"/>
      <c r="O6575" s="1290"/>
      <c r="P6575" s="1332"/>
      <c r="Q6575" s="3391"/>
      <c r="R6575" s="1173"/>
    </row>
    <row r="6576" spans="1:18" s="16" customFormat="1">
      <c r="A6576"/>
      <c r="B6576" s="553"/>
      <c r="C6576" s="1042"/>
      <c r="D6576" s="1440"/>
      <c r="E6576" s="2132"/>
      <c r="F6576" s="1441"/>
      <c r="G6576" s="1441"/>
      <c r="H6576" s="1442"/>
      <c r="I6576" s="197" t="s">
        <v>506</v>
      </c>
      <c r="J6576" s="198"/>
      <c r="K6576" s="1307"/>
      <c r="L6576" s="1335" t="s">
        <v>506</v>
      </c>
      <c r="M6576" s="1499"/>
      <c r="N6576" s="1701"/>
      <c r="O6576" s="1290"/>
      <c r="P6576" s="1332"/>
      <c r="Q6576" s="3391"/>
      <c r="R6576" s="2338"/>
    </row>
    <row r="6577" spans="1:18" s="16" customFormat="1">
      <c r="A6577" s="3359"/>
      <c r="B6577" s="554"/>
      <c r="C6577" s="223"/>
      <c r="D6577" s="1440"/>
      <c r="E6577" s="2132"/>
      <c r="F6577" s="1955"/>
      <c r="G6577" s="1955"/>
      <c r="H6577" s="1956"/>
      <c r="I6577" s="197"/>
      <c r="J6577" s="198"/>
      <c r="K6577" s="1307"/>
      <c r="L6577" s="1335"/>
      <c r="M6577" s="1499"/>
      <c r="N6577" s="1701"/>
      <c r="O6577" s="1290"/>
      <c r="P6577" s="1332"/>
      <c r="Q6577" s="3391"/>
      <c r="R6577" s="2374">
        <v>42188</v>
      </c>
    </row>
    <row r="6578" spans="1:18" s="16" customFormat="1">
      <c r="D6578" s="1795"/>
      <c r="E6578" s="2179"/>
      <c r="F6578" s="1795"/>
      <c r="G6578" s="1795"/>
      <c r="H6578" s="1797"/>
      <c r="I6578" s="1561"/>
      <c r="J6578" s="1561"/>
      <c r="K6578" s="1639"/>
      <c r="L6578" s="1640"/>
      <c r="M6578" s="1292"/>
      <c r="N6578" s="1292"/>
      <c r="O6578" s="1292"/>
      <c r="P6578" s="1292"/>
      <c r="Q6578" s="3391"/>
      <c r="R6578" s="3363"/>
    </row>
    <row r="6579" spans="1:18" s="16" customFormat="1">
      <c r="D6579" s="1795"/>
      <c r="E6579" s="2179"/>
      <c r="F6579" s="1795"/>
      <c r="G6579" s="1795"/>
      <c r="H6579" s="1797"/>
      <c r="I6579" s="1561"/>
      <c r="J6579" s="1561"/>
      <c r="K6579" s="1639"/>
      <c r="L6579" s="1640"/>
      <c r="M6579" s="1292"/>
      <c r="N6579" s="1292"/>
      <c r="O6579" s="1292"/>
      <c r="P6579" s="1292"/>
      <c r="Q6579" s="3391"/>
      <c r="R6579" s="3363"/>
    </row>
    <row r="6580" spans="1:18" s="2326" customFormat="1" ht="21">
      <c r="A6580" s="4455" t="s">
        <v>196</v>
      </c>
      <c r="B6580" s="4456"/>
      <c r="C6580" s="4456"/>
      <c r="D6580" s="4456"/>
      <c r="E6580" s="2320" t="s">
        <v>2140</v>
      </c>
      <c r="F6580" s="2321" t="s">
        <v>2141</v>
      </c>
      <c r="G6580" s="2322"/>
      <c r="H6580" s="2322"/>
      <c r="I6580" s="2323"/>
      <c r="J6580" s="2322"/>
      <c r="K6580" s="2322"/>
      <c r="L6580" s="2323"/>
      <c r="M6580" s="2322"/>
      <c r="N6580" s="2322"/>
      <c r="O6580" s="2322"/>
      <c r="P6580" s="2324"/>
      <c r="Q6580" s="3392"/>
      <c r="R6580" s="2348"/>
    </row>
    <row r="6581" spans="1:18" s="16" customFormat="1" ht="28.5">
      <c r="D6581" s="1795"/>
      <c r="E6581" s="2179"/>
      <c r="F6581" s="1795"/>
      <c r="G6581" s="1795"/>
      <c r="H6581" s="1797"/>
      <c r="I6581" s="1561"/>
      <c r="J6581" s="1561"/>
      <c r="K6581" s="1639"/>
      <c r="L6581" s="2375" t="s">
        <v>2856</v>
      </c>
      <c r="M6581" s="1292"/>
      <c r="N6581" s="1292"/>
      <c r="O6581" s="1292"/>
      <c r="P6581" s="1292"/>
      <c r="Q6581" s="3391"/>
      <c r="R6581" s="4235"/>
    </row>
    <row r="6582" spans="1:18" s="16" customFormat="1">
      <c r="A6582" s="4459" t="s">
        <v>162</v>
      </c>
      <c r="B6582" s="4459"/>
      <c r="C6582" s="4459"/>
      <c r="D6582" s="4459"/>
      <c r="E6582" s="4459" t="s">
        <v>1549</v>
      </c>
      <c r="F6582" s="4460" t="s">
        <v>1550</v>
      </c>
      <c r="G6582" s="4459" t="s">
        <v>1566</v>
      </c>
      <c r="H6582" s="4459"/>
      <c r="I6582" s="4459"/>
      <c r="J6582" s="4459"/>
      <c r="K6582" s="4459"/>
      <c r="L6582" s="4459"/>
      <c r="M6582" s="4405" t="s">
        <v>1567</v>
      </c>
      <c r="N6582" s="4405"/>
      <c r="O6582" s="4405"/>
      <c r="P6582" s="4405"/>
      <c r="Q6582" s="3395"/>
      <c r="R6582" s="2338"/>
    </row>
    <row r="6583" spans="1:18" s="16" customFormat="1" ht="15" thickBot="1">
      <c r="A6583" s="4252" t="s">
        <v>3766</v>
      </c>
      <c r="B6583" s="4253" t="s">
        <v>1513</v>
      </c>
      <c r="C6583" s="4254" t="s">
        <v>1573</v>
      </c>
      <c r="D6583" s="4255" t="s">
        <v>1514</v>
      </c>
      <c r="E6583" s="4459"/>
      <c r="F6583" s="4460"/>
      <c r="G6583" s="4459"/>
      <c r="H6583" s="4459"/>
      <c r="I6583" s="4459"/>
      <c r="J6583" s="4459"/>
      <c r="K6583" s="4459"/>
      <c r="L6583" s="4459"/>
      <c r="M6583" s="4405"/>
      <c r="N6583" s="4405"/>
      <c r="O6583" s="4405"/>
      <c r="P6583" s="4405"/>
      <c r="Q6583" s="3395"/>
      <c r="R6583" s="2339"/>
    </row>
    <row r="6584" spans="1:18" s="16" customFormat="1">
      <c r="A6584" s="4374" t="s">
        <v>2777</v>
      </c>
      <c r="B6584" s="4375"/>
      <c r="C6584" s="4375"/>
      <c r="D6584" s="4376"/>
      <c r="E6584" s="4380" t="s">
        <v>1527</v>
      </c>
      <c r="F6584" s="4382" t="s">
        <v>2776</v>
      </c>
      <c r="G6584" s="4406" t="s">
        <v>294</v>
      </c>
      <c r="H6584" s="4407"/>
      <c r="I6584" s="1665" t="s">
        <v>1565</v>
      </c>
      <c r="J6584" s="3348" t="s">
        <v>1575</v>
      </c>
      <c r="K6584" s="4406" t="s">
        <v>289</v>
      </c>
      <c r="L6584" s="4407"/>
      <c r="M6584" s="4408" t="s">
        <v>3349</v>
      </c>
      <c r="N6584" s="4408"/>
      <c r="O6584" s="4408"/>
      <c r="P6584" s="4409"/>
      <c r="Q6584" s="4244" t="s">
        <v>3958</v>
      </c>
      <c r="R6584" s="2339"/>
    </row>
    <row r="6585" spans="1:18" s="16" customFormat="1" ht="21.75" customHeight="1" thickBot="1">
      <c r="A6585" s="4377"/>
      <c r="B6585" s="4458"/>
      <c r="C6585" s="4458"/>
      <c r="D6585" s="4379"/>
      <c r="E6585" s="4381"/>
      <c r="F6585" s="4383"/>
      <c r="G6585" s="4451">
        <f>IF('Seleccion proyecto HEREVEA02'!G53="Sustitución y reposición",'Seleccion proyecto HEREVEA02'!E53,0)</f>
        <v>0</v>
      </c>
      <c r="H6585" s="4452"/>
      <c r="I6585" s="3353">
        <f>IF('Seleccion proyecto HEREVEA02'!H53=0,0,IF('Seleccion proyecto HEREVEA02'!H53="1 a 30",0.3,IF('Seleccion proyecto HEREVEA02'!H53="31 a 60",0.6,IF('Seleccion proyecto HEREVEA02'!H53="61 a 100",1))))</f>
        <v>0</v>
      </c>
      <c r="J6585" s="1351">
        <f>'Seleccion proyecto HEREVEA02'!L8</f>
        <v>11100.968999999999</v>
      </c>
      <c r="K6585" s="4358">
        <f>G6585*I6585*J6585</f>
        <v>0</v>
      </c>
      <c r="L6585" s="4359"/>
      <c r="M6585" s="4360">
        <f>P6588+P6589+P6590+P6595+P6610+P6625+P6640+P6655+P6669+P6689+P6709+P6728+P6747+P6762</f>
        <v>459.07864100000006</v>
      </c>
      <c r="N6585" s="4361"/>
      <c r="O6585" s="4361"/>
      <c r="P6585" s="4362"/>
      <c r="Q6585" s="4245">
        <f>M6585*K6585</f>
        <v>0</v>
      </c>
      <c r="R6585" s="2339"/>
    </row>
    <row r="6586" spans="1:18" s="16" customFormat="1">
      <c r="A6586" s="551"/>
      <c r="B6586" s="4457"/>
      <c r="C6586" s="3361"/>
      <c r="D6586" s="4341"/>
      <c r="E6586" s="4342"/>
      <c r="F6586" s="4344" t="s">
        <v>2</v>
      </c>
      <c r="G6586" s="4346" t="s">
        <v>1568</v>
      </c>
      <c r="H6586" s="4348" t="s">
        <v>1574</v>
      </c>
      <c r="I6586" s="4350"/>
      <c r="J6586" s="4351" t="s">
        <v>1560</v>
      </c>
      <c r="K6586" s="4351" t="s">
        <v>1569</v>
      </c>
      <c r="L6586" s="4333" t="s">
        <v>3765</v>
      </c>
      <c r="M6586" s="4352" t="s">
        <v>1571</v>
      </c>
      <c r="N6586" s="4353" t="s">
        <v>1776</v>
      </c>
      <c r="O6586" s="4354" t="s">
        <v>1563</v>
      </c>
      <c r="P6586" s="4356" t="s">
        <v>1562</v>
      </c>
      <c r="Q6586" s="3389"/>
      <c r="R6586" s="1699"/>
    </row>
    <row r="6587" spans="1:18" s="16" customFormat="1">
      <c r="A6587" s="2083"/>
      <c r="B6587" s="4339"/>
      <c r="C6587" s="3361"/>
      <c r="D6587" s="4341"/>
      <c r="E6587" s="4343"/>
      <c r="F6587" s="4345"/>
      <c r="G6587" s="4347"/>
      <c r="H6587" s="4349"/>
      <c r="I6587" s="4350"/>
      <c r="J6587" s="4351"/>
      <c r="K6587" s="4351"/>
      <c r="L6587" s="4334"/>
      <c r="M6587" s="4352"/>
      <c r="N6587" s="4353"/>
      <c r="O6587" s="4355"/>
      <c r="P6587" s="4357"/>
      <c r="Q6587" s="3389"/>
      <c r="R6587" s="1721"/>
    </row>
    <row r="6588" spans="1:18" s="16" customFormat="1">
      <c r="A6588" s="2053"/>
      <c r="B6588" s="1321"/>
      <c r="C6588" s="1295"/>
      <c r="D6588" s="1363" t="s">
        <v>1067</v>
      </c>
      <c r="E6588" s="2125" t="s">
        <v>1508</v>
      </c>
      <c r="F6588" s="1385" t="s">
        <v>1512</v>
      </c>
      <c r="G6588" s="1998">
        <v>0.13</v>
      </c>
      <c r="H6588" s="2084"/>
      <c r="I6588" s="2085"/>
      <c r="J6588" s="1589">
        <v>0.25</v>
      </c>
      <c r="K6588" s="1307">
        <f>G6588*J6588</f>
        <v>3.2500000000000001E-2</v>
      </c>
      <c r="L6588" s="1335">
        <f>K6588*$K$6585</f>
        <v>0</v>
      </c>
      <c r="M6588" s="1302">
        <v>18.28</v>
      </c>
      <c r="N6588" s="1700"/>
      <c r="O6588" s="1290">
        <f>G6588*M6588</f>
        <v>2.3764000000000003</v>
      </c>
      <c r="P6588" s="1337">
        <f>M6588*K6588</f>
        <v>0.59410000000000007</v>
      </c>
      <c r="Q6588" s="3390"/>
      <c r="R6588" s="2339"/>
    </row>
    <row r="6589" spans="1:18" s="16" customFormat="1">
      <c r="A6589" s="1599"/>
      <c r="B6589" s="1320"/>
      <c r="D6589" s="1359" t="s">
        <v>1593</v>
      </c>
      <c r="E6589" s="1858" t="s">
        <v>1508</v>
      </c>
      <c r="F6589" s="1404" t="s">
        <v>2146</v>
      </c>
      <c r="G6589" s="1404">
        <v>2.56</v>
      </c>
      <c r="H6589" s="1359"/>
      <c r="I6589" s="1289"/>
      <c r="J6589" s="8">
        <v>0.25</v>
      </c>
      <c r="K6589" s="1307">
        <f>G6589*J6589</f>
        <v>0.64</v>
      </c>
      <c r="L6589" s="1335">
        <f>K6589*$K$6585</f>
        <v>0</v>
      </c>
      <c r="M6589" s="1302">
        <v>19.23</v>
      </c>
      <c r="N6589" s="1700"/>
      <c r="O6589" s="1290">
        <f>G6589*M6589</f>
        <v>49.2288</v>
      </c>
      <c r="P6589" s="1337">
        <f>M6589*K6589</f>
        <v>12.3072</v>
      </c>
      <c r="Q6589" s="3390"/>
      <c r="R6589" s="2339"/>
    </row>
    <row r="6590" spans="1:18" s="16" customFormat="1">
      <c r="A6590"/>
      <c r="B6590" s="1042"/>
      <c r="C6590" s="2086" t="s">
        <v>1755</v>
      </c>
      <c r="D6590" s="1311"/>
      <c r="E6590" s="2176" t="s">
        <v>1508</v>
      </c>
      <c r="F6590" s="1648" t="s">
        <v>1524</v>
      </c>
      <c r="G6590" s="1990"/>
      <c r="H6590" s="1456">
        <v>0.8</v>
      </c>
      <c r="I6590" s="1444"/>
      <c r="J6590" s="1366">
        <v>0.25</v>
      </c>
      <c r="K6590" s="1445"/>
      <c r="L6590" s="1457"/>
      <c r="M6590" s="1447"/>
      <c r="N6590" s="1447">
        <f>SUM(N6591:N6592)</f>
        <v>37.510000000000005</v>
      </c>
      <c r="O6590" s="1447">
        <f>SUM(O6591:O6592)</f>
        <v>30.008000000000003</v>
      </c>
      <c r="P6590" s="1337">
        <f>SUM(P6591:P6592)</f>
        <v>7.5020000000000007</v>
      </c>
      <c r="Q6590" s="3390"/>
      <c r="R6590" s="2337"/>
    </row>
    <row r="6591" spans="1:18" s="16" customFormat="1">
      <c r="A6591"/>
      <c r="B6591" s="1042"/>
      <c r="C6591" s="19"/>
      <c r="D6591" s="1430" t="s">
        <v>1067</v>
      </c>
      <c r="E6591" s="1857" t="s">
        <v>1508</v>
      </c>
      <c r="F6591" s="1403" t="s">
        <v>5</v>
      </c>
      <c r="G6591" s="1991">
        <v>1</v>
      </c>
      <c r="H6591" s="1408">
        <f>G6591*H6590</f>
        <v>0.8</v>
      </c>
      <c r="I6591" s="1286"/>
      <c r="J6591" s="198"/>
      <c r="K6591" s="1307">
        <f>H6591*J6590</f>
        <v>0.2</v>
      </c>
      <c r="L6591" s="1335">
        <f t="shared" ref="L6591:L6592" si="873">K6591*$K$6585</f>
        <v>0</v>
      </c>
      <c r="M6591" s="1302">
        <v>18.28</v>
      </c>
      <c r="N6591" s="1718">
        <f>G6591*M6591</f>
        <v>18.28</v>
      </c>
      <c r="O6591" s="1290">
        <f>H6591*M6591</f>
        <v>14.624000000000002</v>
      </c>
      <c r="P6591" s="1720">
        <f>M6591*K6591</f>
        <v>3.6560000000000006</v>
      </c>
      <c r="Q6591" s="3396"/>
      <c r="R6591" s="2337"/>
    </row>
    <row r="6592" spans="1:18" s="16" customFormat="1">
      <c r="A6592"/>
      <c r="B6592" s="1042"/>
      <c r="C6592" s="19"/>
      <c r="D6592" s="1430" t="s">
        <v>1077</v>
      </c>
      <c r="E6592" s="1857" t="s">
        <v>1508</v>
      </c>
      <c r="F6592" s="1403" t="s">
        <v>37</v>
      </c>
      <c r="G6592" s="1991">
        <v>1</v>
      </c>
      <c r="H6592" s="1408">
        <f>G6592*H6590</f>
        <v>0.8</v>
      </c>
      <c r="I6592" s="197"/>
      <c r="J6592" s="198"/>
      <c r="K6592" s="1307">
        <f>H6592*J6590</f>
        <v>0.2</v>
      </c>
      <c r="L6592" s="1335">
        <f t="shared" si="873"/>
        <v>0</v>
      </c>
      <c r="M6592" s="1302">
        <v>19.23</v>
      </c>
      <c r="N6592" s="1718">
        <f>G6592*M6592</f>
        <v>19.23</v>
      </c>
      <c r="O6592" s="1290">
        <f>H6592*M6592</f>
        <v>15.384</v>
      </c>
      <c r="P6592" s="1720">
        <f>M6592*K6592</f>
        <v>3.8460000000000001</v>
      </c>
      <c r="Q6592" s="3396"/>
      <c r="R6592" s="2337"/>
    </row>
    <row r="6593" spans="1:18" s="16" customFormat="1">
      <c r="A6593"/>
      <c r="B6593" s="225"/>
      <c r="D6593" s="1359"/>
      <c r="E6593" s="1858"/>
      <c r="F6593" s="1361"/>
      <c r="G6593" s="1361"/>
      <c r="H6593" s="1466"/>
      <c r="I6593" s="1289"/>
      <c r="J6593" s="8"/>
      <c r="K6593" s="1307" t="str">
        <f>IF(COUNT(I6593)=0,"",(I6593*J6593))</f>
        <v/>
      </c>
      <c r="L6593" s="1335"/>
      <c r="M6593" s="1302"/>
      <c r="N6593" s="1700"/>
      <c r="O6593" s="1290"/>
      <c r="P6593" s="1332"/>
      <c r="Q6593" s="3391"/>
      <c r="R6593" s="1296"/>
    </row>
    <row r="6594" spans="1:18" s="16" customFormat="1">
      <c r="A6594" s="18" t="s">
        <v>3764</v>
      </c>
      <c r="B6594" s="4325" t="s">
        <v>2202</v>
      </c>
      <c r="C6594" s="3350"/>
      <c r="D6594" s="4327"/>
      <c r="E6594" s="4329" t="s">
        <v>1527</v>
      </c>
      <c r="F6594" s="4336" t="s">
        <v>2203</v>
      </c>
      <c r="G6594" s="4331" t="s">
        <v>1568</v>
      </c>
      <c r="H6594" s="4331" t="s">
        <v>1574</v>
      </c>
      <c r="I6594" s="1572" t="s">
        <v>1559</v>
      </c>
      <c r="J6594" s="1294" t="s">
        <v>1560</v>
      </c>
      <c r="K6594" s="1294" t="s">
        <v>1569</v>
      </c>
      <c r="L6594" s="4333" t="s">
        <v>3765</v>
      </c>
      <c r="M6594" s="4335" t="s">
        <v>1571</v>
      </c>
      <c r="N6594" s="4323" t="s">
        <v>1776</v>
      </c>
      <c r="O6594" s="3347" t="s">
        <v>1563</v>
      </c>
      <c r="P6594" s="1336" t="s">
        <v>1562</v>
      </c>
      <c r="Q6594" s="3389"/>
      <c r="R6594" s="1699" t="s">
        <v>1327</v>
      </c>
    </row>
    <row r="6595" spans="1:18" s="16" customFormat="1">
      <c r="A6595" s="1662" t="s">
        <v>2777</v>
      </c>
      <c r="B6595" s="4326"/>
      <c r="C6595" s="3351"/>
      <c r="D6595" s="4328"/>
      <c r="E6595" s="4330"/>
      <c r="F6595" s="4336"/>
      <c r="G6595" s="4332"/>
      <c r="H6595" s="4332"/>
      <c r="I6595" s="1345">
        <v>0.4</v>
      </c>
      <c r="J6595" s="1307">
        <v>0.25</v>
      </c>
      <c r="K6595" s="1666">
        <f>I6595*J6595</f>
        <v>0.1</v>
      </c>
      <c r="L6595" s="4334"/>
      <c r="M6595" s="4335"/>
      <c r="N6595" s="4324"/>
      <c r="O6595" s="1298">
        <f>SUM(O6598:O6608)</f>
        <v>0.63980000000000015</v>
      </c>
      <c r="P6595" s="1337">
        <f>O6595*K6595</f>
        <v>6.3980000000000023E-2</v>
      </c>
      <c r="Q6595" s="3390"/>
      <c r="R6595" s="1721">
        <f>P6601</f>
        <v>6.3980000000000009E-2</v>
      </c>
    </row>
    <row r="6596" spans="1:18" s="16" customFormat="1">
      <c r="A6596" s="2042"/>
      <c r="B6596" s="1949"/>
      <c r="C6596" s="1327"/>
      <c r="D6596" s="1367"/>
      <c r="E6596" s="2121"/>
      <c r="F6596" s="1389" t="s">
        <v>1</v>
      </c>
      <c r="G6596" s="1389"/>
      <c r="H6596" s="1369"/>
      <c r="I6596" s="2088"/>
      <c r="J6596" s="1369"/>
      <c r="K6596" s="1391"/>
      <c r="L6596" s="1559"/>
      <c r="M6596" s="1369"/>
      <c r="N6596" s="1369"/>
      <c r="O6596" s="1369"/>
      <c r="P6596" s="1392"/>
      <c r="Q6596" s="3395"/>
      <c r="R6596" s="2339"/>
    </row>
    <row r="6597" spans="1:18" s="16" customFormat="1">
      <c r="A6597" s="2042"/>
      <c r="B6597" s="1599"/>
      <c r="C6597" s="1320"/>
      <c r="D6597" s="1367"/>
      <c r="E6597" s="2121"/>
      <c r="F6597" s="1368"/>
      <c r="G6597" s="1368"/>
      <c r="H6597" s="1369"/>
      <c r="I6597" s="1409"/>
      <c r="J6597" s="1390"/>
      <c r="K6597" s="2087"/>
      <c r="L6597" s="1335"/>
      <c r="M6597" s="1369"/>
      <c r="N6597" s="1390"/>
      <c r="O6597" s="1390"/>
      <c r="P6597" s="1392"/>
      <c r="Q6597" s="3395"/>
      <c r="R6597" s="2339"/>
    </row>
    <row r="6598" spans="1:18" s="16" customFormat="1">
      <c r="A6598" s="2042"/>
      <c r="B6598" s="1599"/>
      <c r="C6598" s="1042"/>
      <c r="D6598" s="1672"/>
      <c r="E6598" s="2160"/>
      <c r="F6598" s="1673"/>
      <c r="G6598" s="1673"/>
      <c r="H6598" s="1674"/>
      <c r="I6598" s="1299"/>
      <c r="J6598" s="1300"/>
      <c r="K6598" s="1307" t="str">
        <f t="shared" ref="K6598:K6599" si="874">IF(COUNT(I6598)=0,"",(I6598*J6598))</f>
        <v/>
      </c>
      <c r="L6598" s="1335"/>
      <c r="M6598" s="1302"/>
      <c r="N6598" s="1700"/>
      <c r="O6598" s="1290"/>
      <c r="P6598" s="1332"/>
      <c r="Q6598" s="3391"/>
      <c r="R6598" s="2339"/>
    </row>
    <row r="6599" spans="1:18" s="16" customFormat="1" ht="36">
      <c r="A6599" s="2309" t="s">
        <v>2778</v>
      </c>
      <c r="B6599" s="1599"/>
      <c r="C6599" s="1042"/>
      <c r="D6599" s="1367"/>
      <c r="E6599" s="2121"/>
      <c r="F6599" s="1436"/>
      <c r="G6599" s="1436"/>
      <c r="H6599" s="1369"/>
      <c r="I6599" s="1299" t="str">
        <f t="shared" ref="I6599" ca="1" si="875">IF(COUNT(H6599:O6599)=0,"",(SUM(H6599:O6599)/COUNT(H6599:O6599)))</f>
        <v/>
      </c>
      <c r="J6599" s="1300"/>
      <c r="K6599" s="1307" t="str">
        <f t="shared" ca="1" si="874"/>
        <v/>
      </c>
      <c r="L6599" s="1335"/>
      <c r="M6599" s="1302"/>
      <c r="N6599" s="1700"/>
      <c r="O6599" s="1290"/>
      <c r="P6599" s="1332"/>
      <c r="Q6599" s="3391"/>
      <c r="R6599" s="2339"/>
    </row>
    <row r="6600" spans="1:18" s="16" customFormat="1">
      <c r="A6600" s="2042"/>
      <c r="B6600" s="1599"/>
      <c r="C6600" s="1042"/>
      <c r="D6600" s="1359"/>
      <c r="E6600" s="1858"/>
      <c r="F6600" s="1360" t="s">
        <v>2</v>
      </c>
      <c r="G6600" s="1360"/>
      <c r="H6600" s="1362"/>
      <c r="I6600" s="1380"/>
      <c r="J6600" s="1381"/>
      <c r="K6600" s="1381"/>
      <c r="L6600" s="1458"/>
      <c r="M6600" s="1362"/>
      <c r="N6600" s="1362"/>
      <c r="O6600" s="1362"/>
      <c r="P6600" s="1359"/>
      <c r="Q6600" s="3387"/>
      <c r="R6600" s="2339"/>
    </row>
    <row r="6601" spans="1:18" s="16" customFormat="1">
      <c r="A6601" s="2043"/>
      <c r="B6601" s="2053"/>
      <c r="C6601" s="1321"/>
      <c r="D6601" s="1363" t="s">
        <v>1067</v>
      </c>
      <c r="E6601" s="2125" t="s">
        <v>1508</v>
      </c>
      <c r="F6601" s="1385" t="s">
        <v>1512</v>
      </c>
      <c r="G6601" s="2019">
        <v>3.5000000000000003E-2</v>
      </c>
      <c r="H6601" s="1386"/>
      <c r="I6601" s="1299"/>
      <c r="J6601" s="1300"/>
      <c r="K6601" s="1307">
        <f>G6601*K6595</f>
        <v>3.5000000000000005E-3</v>
      </c>
      <c r="L6601" s="1335">
        <f>K6601*$K$6585</f>
        <v>0</v>
      </c>
      <c r="M6601" s="1302">
        <v>18.28</v>
      </c>
      <c r="N6601" s="1700"/>
      <c r="O6601" s="1290">
        <f>G6601*M6601</f>
        <v>0.63980000000000015</v>
      </c>
      <c r="P6601" s="1332">
        <f>M6601*K6601</f>
        <v>6.3980000000000009E-2</v>
      </c>
      <c r="Q6601" s="3391"/>
      <c r="R6601" s="2339"/>
    </row>
    <row r="6602" spans="1:18" s="16" customFormat="1">
      <c r="A6602" s="2042"/>
      <c r="B6602" s="1599"/>
      <c r="C6602" s="1320"/>
      <c r="D6602" s="1359"/>
      <c r="E6602" s="1858"/>
      <c r="F6602" s="1404"/>
      <c r="G6602" s="1404"/>
      <c r="H6602" s="1359"/>
      <c r="I6602" s="1299"/>
      <c r="J6602" s="1300"/>
      <c r="K6602" s="1307" t="str">
        <f>IF(COUNT(I6602)=0,"",(I6602*J6602))</f>
        <v/>
      </c>
      <c r="L6602" s="1335"/>
      <c r="M6602" s="1302"/>
      <c r="N6602" s="1700"/>
      <c r="O6602" s="1290"/>
      <c r="P6602" s="1332"/>
      <c r="Q6602" s="3391"/>
      <c r="R6602" s="2339"/>
    </row>
    <row r="6603" spans="1:18" s="16" customFormat="1">
      <c r="A6603" s="2042"/>
      <c r="B6603" s="1599"/>
      <c r="C6603" s="1320"/>
      <c r="D6603" s="1359"/>
      <c r="E6603" s="1858"/>
      <c r="F6603" s="1404"/>
      <c r="G6603" s="1404"/>
      <c r="H6603" s="1359"/>
      <c r="I6603" s="1299"/>
      <c r="J6603" s="1300"/>
      <c r="K6603" s="1307"/>
      <c r="L6603" s="1335"/>
      <c r="M6603" s="1302"/>
      <c r="N6603" s="1700"/>
      <c r="O6603" s="1290"/>
      <c r="P6603" s="1332"/>
      <c r="Q6603" s="3391"/>
      <c r="R6603" s="2339"/>
    </row>
    <row r="6604" spans="1:18" s="16" customFormat="1">
      <c r="A6604" s="2042"/>
      <c r="B6604" s="1599"/>
      <c r="C6604" s="1320"/>
      <c r="D6604" s="1359"/>
      <c r="E6604" s="1858"/>
      <c r="F6604" s="1361"/>
      <c r="G6604" s="1361"/>
      <c r="H6604" s="1466"/>
      <c r="I6604" s="1299"/>
      <c r="J6604" s="1300"/>
      <c r="K6604" s="1307" t="str">
        <f>IF(COUNT(I6604)=0,"",(I6604*J6604))</f>
        <v/>
      </c>
      <c r="L6604" s="1335"/>
      <c r="M6604" s="1302"/>
      <c r="N6604" s="1700"/>
      <c r="O6604" s="1290"/>
      <c r="P6604" s="1332"/>
      <c r="Q6604" s="3391"/>
      <c r="R6604" s="2339"/>
    </row>
    <row r="6605" spans="1:18" s="16" customFormat="1">
      <c r="A6605" s="2042"/>
      <c r="B6605" s="1599"/>
      <c r="C6605" s="1320"/>
      <c r="D6605" s="1373"/>
      <c r="E6605" s="2123"/>
      <c r="F6605" s="1374" t="s">
        <v>3</v>
      </c>
      <c r="G6605" s="1375"/>
      <c r="H6605" s="1376"/>
      <c r="I6605" s="1382"/>
      <c r="J6605" s="1383"/>
      <c r="K6605" s="1383" t="str">
        <f>IF(COUNT(I6605)=0,"",(I6605*J6605))</f>
        <v/>
      </c>
      <c r="L6605" s="1413"/>
      <c r="M6605" s="1376"/>
      <c r="N6605" s="1376"/>
      <c r="O6605" s="1376"/>
      <c r="P6605" s="1373"/>
      <c r="Q6605" s="3387"/>
      <c r="R6605" s="2339"/>
    </row>
    <row r="6606" spans="1:18" s="16" customFormat="1">
      <c r="A6606" s="2043"/>
      <c r="B6606" s="2053"/>
      <c r="C6606" s="1321"/>
      <c r="D6606" s="1377"/>
      <c r="E6606" s="2124"/>
      <c r="F6606" s="1378"/>
      <c r="G6606" s="1378"/>
      <c r="H6606" s="1379"/>
      <c r="I6606" s="1299"/>
      <c r="J6606" s="1300"/>
      <c r="K6606" s="1307"/>
      <c r="L6606" s="1335"/>
      <c r="M6606" s="1302"/>
      <c r="N6606" s="1700"/>
      <c r="O6606" s="1290"/>
      <c r="P6606" s="1332"/>
      <c r="Q6606" s="3391"/>
      <c r="R6606" s="2339"/>
    </row>
    <row r="6607" spans="1:18" s="16" customFormat="1">
      <c r="A6607" s="2043"/>
      <c r="B6607" s="2053"/>
      <c r="C6607" s="1321"/>
      <c r="D6607" s="1377"/>
      <c r="E6607" s="2124"/>
      <c r="F6607" s="1378"/>
      <c r="G6607" s="1378"/>
      <c r="H6607" s="1379"/>
      <c r="I6607" s="1299"/>
      <c r="J6607" s="1300"/>
      <c r="K6607" s="1307"/>
      <c r="L6607" s="1335"/>
      <c r="M6607" s="1302"/>
      <c r="N6607" s="1700"/>
      <c r="O6607" s="1290"/>
      <c r="P6607" s="1333"/>
      <c r="Q6607" s="3391"/>
      <c r="R6607" s="2339"/>
    </row>
    <row r="6608" spans="1:18" s="16" customFormat="1">
      <c r="A6608" s="1042"/>
      <c r="B6608" s="1765"/>
      <c r="C6608" s="223"/>
      <c r="D6608" s="1373"/>
      <c r="E6608" s="2161"/>
      <c r="F6608" s="1678"/>
      <c r="G6608" s="1678"/>
      <c r="H6608" s="1376"/>
      <c r="I6608" s="1299"/>
      <c r="J6608" s="1300"/>
      <c r="K6608" s="1307"/>
      <c r="L6608" s="1335"/>
      <c r="M6608" s="1302"/>
      <c r="N6608" s="1700"/>
      <c r="O6608" s="1290"/>
      <c r="P6608" s="1332"/>
      <c r="Q6608" s="3391"/>
      <c r="R6608" s="2339"/>
    </row>
    <row r="6609" spans="1:18" s="16" customFormat="1">
      <c r="A6609" s="18" t="s">
        <v>3764</v>
      </c>
      <c r="B6609" s="4325" t="s">
        <v>2204</v>
      </c>
      <c r="C6609" s="3350"/>
      <c r="D6609" s="4327"/>
      <c r="E6609" s="4329" t="s">
        <v>1504</v>
      </c>
      <c r="F6609" s="4336" t="s">
        <v>2205</v>
      </c>
      <c r="G6609" s="4331" t="s">
        <v>1568</v>
      </c>
      <c r="H6609" s="4331" t="s">
        <v>1574</v>
      </c>
      <c r="I6609" s="1572" t="s">
        <v>1559</v>
      </c>
      <c r="J6609" s="1294" t="s">
        <v>1560</v>
      </c>
      <c r="K6609" s="1294" t="s">
        <v>1569</v>
      </c>
      <c r="L6609" s="4333" t="s">
        <v>3765</v>
      </c>
      <c r="M6609" s="4335" t="s">
        <v>1571</v>
      </c>
      <c r="N6609" s="4323" t="s">
        <v>1776</v>
      </c>
      <c r="O6609" s="3347" t="s">
        <v>1563</v>
      </c>
      <c r="P6609" s="1336" t="s">
        <v>1562</v>
      </c>
      <c r="Q6609" s="3389"/>
      <c r="R6609" s="1699" t="s">
        <v>1327</v>
      </c>
    </row>
    <row r="6610" spans="1:18" s="16" customFormat="1">
      <c r="A6610" s="1662" t="s">
        <v>2777</v>
      </c>
      <c r="B6610" s="4326"/>
      <c r="C6610" s="3351"/>
      <c r="D6610" s="4328"/>
      <c r="E6610" s="4330"/>
      <c r="F6610" s="4336"/>
      <c r="G6610" s="4332"/>
      <c r="H6610" s="4332"/>
      <c r="I6610" s="1345">
        <v>4.4000000000000004</v>
      </c>
      <c r="J6610" s="1307">
        <v>0.25</v>
      </c>
      <c r="K6610" s="1666">
        <f>I6610*J6610</f>
        <v>1.1000000000000001</v>
      </c>
      <c r="L6610" s="4334"/>
      <c r="M6610" s="4335"/>
      <c r="N6610" s="4324"/>
      <c r="O6610" s="1298">
        <f>SUM(O6613:O6623)</f>
        <v>6.4527000000000001</v>
      </c>
      <c r="P6610" s="1337">
        <f>O6610*K6610</f>
        <v>7.097970000000001</v>
      </c>
      <c r="Q6610" s="3390"/>
      <c r="R6610" s="1721">
        <f>SUM(P6612:P6623)</f>
        <v>7.097970000000001</v>
      </c>
    </row>
    <row r="6611" spans="1:18" s="16" customFormat="1">
      <c r="A6611" s="1320"/>
      <c r="B6611" s="1949"/>
      <c r="C6611" s="1327"/>
      <c r="D6611" s="1367"/>
      <c r="E6611" s="2121"/>
      <c r="F6611" s="1389" t="s">
        <v>1</v>
      </c>
      <c r="G6611" s="1389"/>
      <c r="H6611" s="1369"/>
      <c r="I6611" s="2088"/>
      <c r="J6611" s="1369"/>
      <c r="K6611" s="1391"/>
      <c r="L6611" s="1559"/>
      <c r="M6611" s="1369"/>
      <c r="N6611" s="1369"/>
      <c r="O6611" s="1369"/>
      <c r="P6611" s="1392"/>
      <c r="Q6611" s="3395"/>
      <c r="R6611" s="2339"/>
    </row>
    <row r="6612" spans="1:18" s="16" customFormat="1">
      <c r="A6612" s="1320"/>
      <c r="B6612" s="1599"/>
      <c r="C6612" s="1320"/>
      <c r="D6612" s="1367"/>
      <c r="E6612" s="2121"/>
      <c r="F6612" s="1368"/>
      <c r="G6612" s="1368"/>
      <c r="H6612" s="1369"/>
      <c r="I6612" s="1409"/>
      <c r="J6612" s="1390"/>
      <c r="K6612" s="2087"/>
      <c r="L6612" s="1335"/>
      <c r="M6612" s="1369"/>
      <c r="N6612" s="1390"/>
      <c r="O6612" s="1390"/>
      <c r="P6612" s="1392"/>
      <c r="Q6612" s="3395"/>
      <c r="R6612" s="2339"/>
    </row>
    <row r="6613" spans="1:18" s="16" customFormat="1">
      <c r="A6613" s="1042"/>
      <c r="B6613" s="1599"/>
      <c r="C6613" s="1042"/>
      <c r="D6613" s="1672"/>
      <c r="E6613" s="2160"/>
      <c r="F6613" s="1673"/>
      <c r="G6613" s="1673"/>
      <c r="H6613" s="1674"/>
      <c r="I6613" s="1299"/>
      <c r="J6613" s="1300"/>
      <c r="K6613" s="1307" t="str">
        <f t="shared" ref="K6613:K6614" si="876">IF(COUNT(I6613)=0,"",(I6613*J6613))</f>
        <v/>
      </c>
      <c r="L6613" s="1335"/>
      <c r="M6613" s="1302"/>
      <c r="N6613" s="1700"/>
      <c r="O6613" s="1290"/>
      <c r="P6613" s="1332"/>
      <c r="Q6613" s="3391"/>
      <c r="R6613" s="2339"/>
    </row>
    <row r="6614" spans="1:18" s="16" customFormat="1">
      <c r="A6614" s="1042"/>
      <c r="B6614" s="1599"/>
      <c r="C6614" s="1042"/>
      <c r="D6614" s="1367"/>
      <c r="E6614" s="2121"/>
      <c r="F6614" s="1436"/>
      <c r="G6614" s="1436"/>
      <c r="H6614" s="1369"/>
      <c r="I6614" s="1299" t="str">
        <f t="shared" ref="I6614" ca="1" si="877">IF(COUNT(H6614:O6614)=0,"",(SUM(H6614:O6614)/COUNT(H6614:O6614)))</f>
        <v/>
      </c>
      <c r="J6614" s="1300"/>
      <c r="K6614" s="1307" t="str">
        <f t="shared" ca="1" si="876"/>
        <v/>
      </c>
      <c r="L6614" s="1335"/>
      <c r="M6614" s="1302"/>
      <c r="N6614" s="1700"/>
      <c r="O6614" s="1290"/>
      <c r="P6614" s="1332"/>
      <c r="Q6614" s="3391"/>
      <c r="R6614" s="2339"/>
    </row>
    <row r="6615" spans="1:18" s="16" customFormat="1">
      <c r="A6615" s="1042"/>
      <c r="B6615" s="1599"/>
      <c r="C6615" s="1042"/>
      <c r="D6615" s="1359"/>
      <c r="E6615" s="1858"/>
      <c r="F6615" s="1360" t="s">
        <v>2</v>
      </c>
      <c r="G6615" s="1360"/>
      <c r="H6615" s="1362"/>
      <c r="I6615" s="1380"/>
      <c r="J6615" s="1381"/>
      <c r="K6615" s="1381"/>
      <c r="L6615" s="1458"/>
      <c r="M6615" s="1362"/>
      <c r="N6615" s="1362"/>
      <c r="O6615" s="1362"/>
      <c r="P6615" s="1359"/>
      <c r="Q6615" s="3387"/>
      <c r="R6615" s="2339"/>
    </row>
    <row r="6616" spans="1:18" s="16" customFormat="1">
      <c r="A6616" s="1321"/>
      <c r="B6616" s="2053"/>
      <c r="C6616" s="1321"/>
      <c r="D6616" s="1363" t="s">
        <v>1067</v>
      </c>
      <c r="E6616" s="2125" t="s">
        <v>1508</v>
      </c>
      <c r="F6616" s="1385" t="s">
        <v>1512</v>
      </c>
      <c r="G6616" s="2019">
        <v>0.09</v>
      </c>
      <c r="H6616" s="1386"/>
      <c r="I6616" s="1299"/>
      <c r="J6616" s="1300"/>
      <c r="K6616" s="1307">
        <f>G6616*K6610</f>
        <v>9.9000000000000005E-2</v>
      </c>
      <c r="L6616" s="1335">
        <f t="shared" ref="L6616:L6617" si="878">K6616*$K$6585</f>
        <v>0</v>
      </c>
      <c r="M6616" s="1302">
        <v>18.28</v>
      </c>
      <c r="N6616" s="1700"/>
      <c r="O6616" s="1290">
        <f>G6616*M6616</f>
        <v>1.6452</v>
      </c>
      <c r="P6616" s="1332">
        <f>M6616*K6616</f>
        <v>1.8097200000000002</v>
      </c>
      <c r="Q6616" s="3391"/>
      <c r="R6616" s="2339"/>
    </row>
    <row r="6617" spans="1:18" s="16" customFormat="1">
      <c r="A6617" s="1599"/>
      <c r="B6617" s="1320"/>
      <c r="D6617" s="1359" t="s">
        <v>1593</v>
      </c>
      <c r="E6617" s="1858" t="s">
        <v>1508</v>
      </c>
      <c r="F6617" s="1404" t="s">
        <v>2146</v>
      </c>
      <c r="G6617" s="1404">
        <v>0.25</v>
      </c>
      <c r="H6617" s="1359"/>
      <c r="I6617" s="1289"/>
      <c r="J6617" s="8"/>
      <c r="K6617" s="1307">
        <f>G6617*K6610</f>
        <v>0.27500000000000002</v>
      </c>
      <c r="L6617" s="1335">
        <f t="shared" si="878"/>
        <v>0</v>
      </c>
      <c r="M6617" s="1302">
        <v>19.23</v>
      </c>
      <c r="N6617" s="1700"/>
      <c r="O6617" s="1290">
        <f>G6617*M6617</f>
        <v>4.8075000000000001</v>
      </c>
      <c r="P6617" s="1332">
        <f>M6617*K6617</f>
        <v>5.2882500000000006</v>
      </c>
      <c r="Q6617" s="3391"/>
      <c r="R6617" s="2339"/>
    </row>
    <row r="6618" spans="1:18" s="16" customFormat="1">
      <c r="A6618" s="1320"/>
      <c r="B6618" s="1599"/>
      <c r="C6618" s="1320"/>
      <c r="D6618" s="1359"/>
      <c r="E6618" s="1858"/>
      <c r="F6618" s="1404"/>
      <c r="G6618" s="1404"/>
      <c r="H6618" s="1359"/>
      <c r="I6618" s="1299"/>
      <c r="J6618" s="1300"/>
      <c r="K6618" s="1307"/>
      <c r="L6618" s="1335"/>
      <c r="M6618" s="1302"/>
      <c r="N6618" s="1700"/>
      <c r="O6618" s="1290"/>
      <c r="P6618" s="1332"/>
      <c r="Q6618" s="3391"/>
      <c r="R6618" s="2339"/>
    </row>
    <row r="6619" spans="1:18" s="16" customFormat="1">
      <c r="A6619" s="1320"/>
      <c r="B6619" s="1599"/>
      <c r="C6619" s="1320"/>
      <c r="D6619" s="1359"/>
      <c r="E6619" s="1858"/>
      <c r="F6619" s="1361"/>
      <c r="G6619" s="1361"/>
      <c r="H6619" s="1466"/>
      <c r="I6619" s="1299"/>
      <c r="J6619" s="1300"/>
      <c r="K6619" s="1307" t="str">
        <f>IF(COUNT(I6619)=0,"",(I6619*J6619))</f>
        <v/>
      </c>
      <c r="L6619" s="1335"/>
      <c r="M6619" s="1302"/>
      <c r="N6619" s="1700"/>
      <c r="O6619" s="1290"/>
      <c r="P6619" s="1332"/>
      <c r="Q6619" s="3391"/>
      <c r="R6619" s="2339"/>
    </row>
    <row r="6620" spans="1:18" s="16" customFormat="1">
      <c r="A6620" s="1320"/>
      <c r="B6620" s="1599"/>
      <c r="C6620" s="1320"/>
      <c r="D6620" s="1373"/>
      <c r="E6620" s="2123"/>
      <c r="F6620" s="1374" t="s">
        <v>3</v>
      </c>
      <c r="G6620" s="1375"/>
      <c r="H6620" s="1376"/>
      <c r="I6620" s="1382"/>
      <c r="J6620" s="1383"/>
      <c r="K6620" s="1383" t="str">
        <f>IF(COUNT(I6620)=0,"",(I6620*J6620))</f>
        <v/>
      </c>
      <c r="L6620" s="1413"/>
      <c r="M6620" s="1376"/>
      <c r="N6620" s="1376"/>
      <c r="O6620" s="1376"/>
      <c r="P6620" s="1373"/>
      <c r="Q6620" s="3387"/>
      <c r="R6620" s="2339"/>
    </row>
    <row r="6621" spans="1:18" s="16" customFormat="1">
      <c r="A6621" s="1321"/>
      <c r="B6621" s="2053"/>
      <c r="C6621" s="1321"/>
      <c r="D6621" s="1377"/>
      <c r="E6621" s="2124"/>
      <c r="F6621" s="1378"/>
      <c r="G6621" s="1378"/>
      <c r="H6621" s="1379"/>
      <c r="I6621" s="1299"/>
      <c r="J6621" s="1300"/>
      <c r="K6621" s="1307"/>
      <c r="L6621" s="1335"/>
      <c r="M6621" s="1302"/>
      <c r="N6621" s="1700"/>
      <c r="O6621" s="1290"/>
      <c r="P6621" s="1332"/>
      <c r="Q6621" s="3391"/>
      <c r="R6621" s="2339"/>
    </row>
    <row r="6622" spans="1:18" s="16" customFormat="1">
      <c r="A6622" s="1321"/>
      <c r="B6622" s="2053"/>
      <c r="C6622" s="1321"/>
      <c r="D6622" s="1377"/>
      <c r="E6622" s="2124"/>
      <c r="F6622" s="1378"/>
      <c r="G6622" s="1378"/>
      <c r="H6622" s="1379"/>
      <c r="I6622" s="1299"/>
      <c r="J6622" s="1300"/>
      <c r="K6622" s="1307"/>
      <c r="L6622" s="1335"/>
      <c r="M6622" s="1302"/>
      <c r="N6622" s="1700"/>
      <c r="O6622" s="1290"/>
      <c r="P6622" s="1333"/>
      <c r="Q6622" s="3391"/>
      <c r="R6622" s="2339"/>
    </row>
    <row r="6623" spans="1:18" s="16" customFormat="1">
      <c r="A6623" s="1042"/>
      <c r="B6623" s="1765"/>
      <c r="C6623" s="223"/>
      <c r="D6623" s="1373"/>
      <c r="E6623" s="2161"/>
      <c r="F6623" s="1678"/>
      <c r="G6623" s="1678"/>
      <c r="H6623" s="1376"/>
      <c r="I6623" s="1299"/>
      <c r="J6623" s="1300"/>
      <c r="K6623" s="1307"/>
      <c r="L6623" s="1335"/>
      <c r="M6623" s="1302"/>
      <c r="N6623" s="1700"/>
      <c r="O6623" s="1290"/>
      <c r="P6623" s="1332"/>
      <c r="Q6623" s="3391"/>
      <c r="R6623" s="2339"/>
    </row>
    <row r="6624" spans="1:18" s="16" customFormat="1">
      <c r="A6624" s="18" t="s">
        <v>3764</v>
      </c>
      <c r="B6624" s="4325" t="s">
        <v>2206</v>
      </c>
      <c r="C6624" s="3350"/>
      <c r="D6624" s="4327"/>
      <c r="E6624" s="4329" t="s">
        <v>1527</v>
      </c>
      <c r="F6624" s="4336" t="s">
        <v>2207</v>
      </c>
      <c r="G6624" s="4331" t="s">
        <v>1568</v>
      </c>
      <c r="H6624" s="4331" t="s">
        <v>1574</v>
      </c>
      <c r="I6624" s="1572" t="s">
        <v>1559</v>
      </c>
      <c r="J6624" s="1294" t="s">
        <v>1560</v>
      </c>
      <c r="K6624" s="1294" t="s">
        <v>1569</v>
      </c>
      <c r="L6624" s="4333" t="s">
        <v>3765</v>
      </c>
      <c r="M6624" s="4335" t="s">
        <v>1571</v>
      </c>
      <c r="N6624" s="4323" t="s">
        <v>1776</v>
      </c>
      <c r="O6624" s="3347" t="s">
        <v>1563</v>
      </c>
      <c r="P6624" s="1336" t="s">
        <v>1562</v>
      </c>
      <c r="Q6624" s="3389"/>
      <c r="R6624" s="1699" t="s">
        <v>1327</v>
      </c>
    </row>
    <row r="6625" spans="1:18" s="16" customFormat="1">
      <c r="A6625" s="1662" t="s">
        <v>2777</v>
      </c>
      <c r="B6625" s="4326"/>
      <c r="C6625" s="3351"/>
      <c r="D6625" s="4328"/>
      <c r="E6625" s="4330"/>
      <c r="F6625" s="4336"/>
      <c r="G6625" s="4332"/>
      <c r="H6625" s="4332"/>
      <c r="I6625" s="1345">
        <v>10</v>
      </c>
      <c r="J6625" s="1307">
        <v>0.25</v>
      </c>
      <c r="K6625" s="1666">
        <f>I6625*J6625</f>
        <v>2.5</v>
      </c>
      <c r="L6625" s="4334"/>
      <c r="M6625" s="4335"/>
      <c r="N6625" s="4324"/>
      <c r="O6625" s="1298">
        <f>SUM(O6628:O6638)</f>
        <v>0.36560000000000004</v>
      </c>
      <c r="P6625" s="1337">
        <f>O6625*K6625</f>
        <v>0.91400000000000015</v>
      </c>
      <c r="Q6625" s="3390"/>
      <c r="R6625" s="1721">
        <f>SUM(P6627:P6638)</f>
        <v>0.91400000000000015</v>
      </c>
    </row>
    <row r="6626" spans="1:18" s="16" customFormat="1">
      <c r="A6626" s="1320"/>
      <c r="B6626" s="1949"/>
      <c r="C6626" s="1327"/>
      <c r="D6626" s="1367"/>
      <c r="E6626" s="2121"/>
      <c r="F6626" s="1389" t="s">
        <v>1</v>
      </c>
      <c r="G6626" s="1389"/>
      <c r="H6626" s="1369"/>
      <c r="I6626" s="2088"/>
      <c r="J6626" s="1369"/>
      <c r="K6626" s="1391"/>
      <c r="L6626" s="1559"/>
      <c r="M6626" s="1369"/>
      <c r="N6626" s="1369"/>
      <c r="O6626" s="1369"/>
      <c r="P6626" s="1392"/>
      <c r="Q6626" s="3395"/>
      <c r="R6626" s="2339"/>
    </row>
    <row r="6627" spans="1:18" s="16" customFormat="1">
      <c r="A6627" s="1320"/>
      <c r="B6627" s="1599"/>
      <c r="C6627" s="1320"/>
      <c r="D6627" s="1367"/>
      <c r="E6627" s="2121"/>
      <c r="F6627" s="1368"/>
      <c r="G6627" s="1368"/>
      <c r="H6627" s="1369"/>
      <c r="I6627" s="1409"/>
      <c r="J6627" s="1390"/>
      <c r="K6627" s="2087"/>
      <c r="L6627" s="1335"/>
      <c r="M6627" s="1369"/>
      <c r="N6627" s="1390"/>
      <c r="O6627" s="1390"/>
      <c r="P6627" s="1392"/>
      <c r="Q6627" s="3395"/>
      <c r="R6627" s="2339"/>
    </row>
    <row r="6628" spans="1:18" s="16" customFormat="1">
      <c r="A6628" s="1042"/>
      <c r="B6628" s="1599"/>
      <c r="C6628" s="1042"/>
      <c r="D6628" s="1672"/>
      <c r="E6628" s="2160"/>
      <c r="F6628" s="1673"/>
      <c r="G6628" s="1673"/>
      <c r="H6628" s="1674"/>
      <c r="I6628" s="1299"/>
      <c r="J6628" s="1300"/>
      <c r="K6628" s="1307" t="str">
        <f t="shared" ref="K6628:K6629" si="879">IF(COUNT(I6628)=0,"",(I6628*J6628))</f>
        <v/>
      </c>
      <c r="L6628" s="1335"/>
      <c r="M6628" s="1302"/>
      <c r="N6628" s="1700"/>
      <c r="O6628" s="1290"/>
      <c r="P6628" s="1332"/>
      <c r="Q6628" s="3391"/>
      <c r="R6628" s="2339"/>
    </row>
    <row r="6629" spans="1:18" s="16" customFormat="1">
      <c r="A6629" s="1042"/>
      <c r="B6629" s="1599"/>
      <c r="C6629" s="1042"/>
      <c r="D6629" s="1367"/>
      <c r="E6629" s="2121"/>
      <c r="F6629" s="1436"/>
      <c r="G6629" s="1436"/>
      <c r="H6629" s="1369"/>
      <c r="I6629" s="1299" t="str">
        <f t="shared" ref="I6629" ca="1" si="880">IF(COUNT(H6629:O6629)=0,"",(SUM(H6629:O6629)/COUNT(H6629:O6629)))</f>
        <v/>
      </c>
      <c r="J6629" s="1300"/>
      <c r="K6629" s="1307" t="str">
        <f t="shared" ca="1" si="879"/>
        <v/>
      </c>
      <c r="L6629" s="1335"/>
      <c r="M6629" s="1302"/>
      <c r="N6629" s="1700"/>
      <c r="O6629" s="1290"/>
      <c r="P6629" s="1332"/>
      <c r="Q6629" s="3391"/>
      <c r="R6629" s="2339"/>
    </row>
    <row r="6630" spans="1:18" s="16" customFormat="1">
      <c r="A6630" s="1042"/>
      <c r="B6630" s="1599"/>
      <c r="C6630" s="1042"/>
      <c r="D6630" s="1359"/>
      <c r="E6630" s="1858"/>
      <c r="F6630" s="1360" t="s">
        <v>2</v>
      </c>
      <c r="G6630" s="1360"/>
      <c r="H6630" s="1362"/>
      <c r="I6630" s="1380"/>
      <c r="J6630" s="1381"/>
      <c r="K6630" s="1381"/>
      <c r="L6630" s="1458"/>
      <c r="M6630" s="1362"/>
      <c r="N6630" s="1362"/>
      <c r="O6630" s="1362"/>
      <c r="P6630" s="1359"/>
      <c r="Q6630" s="3387"/>
      <c r="R6630" s="2339"/>
    </row>
    <row r="6631" spans="1:18" s="16" customFormat="1">
      <c r="A6631" s="1321"/>
      <c r="B6631" s="2053"/>
      <c r="C6631" s="1321"/>
      <c r="D6631" s="1363" t="s">
        <v>1067</v>
      </c>
      <c r="E6631" s="2125" t="s">
        <v>1508</v>
      </c>
      <c r="F6631" s="1385" t="s">
        <v>1512</v>
      </c>
      <c r="G6631" s="2019">
        <v>0.02</v>
      </c>
      <c r="H6631" s="1386"/>
      <c r="I6631" s="1299"/>
      <c r="J6631" s="1300"/>
      <c r="K6631" s="1307">
        <f>G6631*K6625</f>
        <v>0.05</v>
      </c>
      <c r="L6631" s="1335">
        <f>K6631*$K$6585</f>
        <v>0</v>
      </c>
      <c r="M6631" s="1302">
        <v>18.28</v>
      </c>
      <c r="N6631" s="1700"/>
      <c r="O6631" s="1290">
        <f>G6631*M6631</f>
        <v>0.36560000000000004</v>
      </c>
      <c r="P6631" s="1332">
        <f>M6631*K6631</f>
        <v>0.91400000000000015</v>
      </c>
      <c r="Q6631" s="3391"/>
      <c r="R6631" s="2339"/>
    </row>
    <row r="6632" spans="1:18" s="16" customFormat="1">
      <c r="A6632" s="1599"/>
      <c r="B6632" s="1320"/>
      <c r="D6632" s="1359"/>
      <c r="E6632" s="1858"/>
      <c r="F6632" s="1404"/>
      <c r="G6632" s="1404"/>
      <c r="H6632" s="1359"/>
      <c r="I6632" s="1289"/>
      <c r="J6632" s="8"/>
      <c r="K6632" s="1307"/>
      <c r="L6632" s="1335"/>
      <c r="M6632" s="1302"/>
      <c r="N6632" s="1700"/>
      <c r="O6632" s="1290"/>
      <c r="P6632" s="1332"/>
      <c r="Q6632" s="3391"/>
      <c r="R6632" s="2339"/>
    </row>
    <row r="6633" spans="1:18" s="16" customFormat="1">
      <c r="A6633" s="1320"/>
      <c r="B6633" s="1599"/>
      <c r="C6633" s="1320"/>
      <c r="D6633" s="1359"/>
      <c r="E6633" s="1858"/>
      <c r="F6633" s="1404"/>
      <c r="G6633" s="1404"/>
      <c r="H6633" s="1359"/>
      <c r="I6633" s="1299"/>
      <c r="J6633" s="1300"/>
      <c r="K6633" s="1307"/>
      <c r="L6633" s="1335"/>
      <c r="M6633" s="1302"/>
      <c r="N6633" s="1700"/>
      <c r="O6633" s="1290"/>
      <c r="P6633" s="1332"/>
      <c r="Q6633" s="3391"/>
      <c r="R6633" s="2339"/>
    </row>
    <row r="6634" spans="1:18" s="16" customFormat="1">
      <c r="A6634" s="1320"/>
      <c r="B6634" s="1599"/>
      <c r="C6634" s="1320"/>
      <c r="D6634" s="1359"/>
      <c r="E6634" s="1858"/>
      <c r="F6634" s="1361"/>
      <c r="G6634" s="1361"/>
      <c r="H6634" s="1466"/>
      <c r="I6634" s="1299"/>
      <c r="J6634" s="1300"/>
      <c r="K6634" s="1307" t="str">
        <f>IF(COUNT(I6634)=0,"",(I6634*J6634))</f>
        <v/>
      </c>
      <c r="L6634" s="1335"/>
      <c r="M6634" s="1302"/>
      <c r="N6634" s="1700"/>
      <c r="O6634" s="1290"/>
      <c r="P6634" s="1332"/>
      <c r="Q6634" s="3391"/>
      <c r="R6634" s="2339"/>
    </row>
    <row r="6635" spans="1:18" s="16" customFormat="1">
      <c r="A6635" s="1320"/>
      <c r="B6635" s="1599"/>
      <c r="C6635" s="1320"/>
      <c r="D6635" s="1373"/>
      <c r="E6635" s="2123"/>
      <c r="F6635" s="1374" t="s">
        <v>3</v>
      </c>
      <c r="G6635" s="1375"/>
      <c r="H6635" s="1376"/>
      <c r="I6635" s="1382"/>
      <c r="J6635" s="1383"/>
      <c r="K6635" s="1383" t="str">
        <f>IF(COUNT(I6635)=0,"",(I6635*J6635))</f>
        <v/>
      </c>
      <c r="L6635" s="1413"/>
      <c r="M6635" s="1376"/>
      <c r="N6635" s="1376"/>
      <c r="O6635" s="1376"/>
      <c r="P6635" s="1373"/>
      <c r="Q6635" s="3387"/>
      <c r="R6635" s="2339"/>
    </row>
    <row r="6636" spans="1:18" s="16" customFormat="1">
      <c r="A6636" s="1321"/>
      <c r="B6636" s="2053"/>
      <c r="C6636" s="1321"/>
      <c r="D6636" s="1377"/>
      <c r="E6636" s="2124"/>
      <c r="F6636" s="1378"/>
      <c r="G6636" s="1378"/>
      <c r="H6636" s="1379"/>
      <c r="I6636" s="1299"/>
      <c r="J6636" s="1300"/>
      <c r="K6636" s="1307"/>
      <c r="L6636" s="1335"/>
      <c r="M6636" s="1302"/>
      <c r="N6636" s="1700"/>
      <c r="O6636" s="1290"/>
      <c r="P6636" s="1332"/>
      <c r="Q6636" s="3391"/>
      <c r="R6636" s="2339"/>
    </row>
    <row r="6637" spans="1:18" s="16" customFormat="1">
      <c r="A6637" s="1321"/>
      <c r="B6637" s="2053"/>
      <c r="C6637" s="1321"/>
      <c r="D6637" s="1377"/>
      <c r="E6637" s="2124"/>
      <c r="F6637" s="1378"/>
      <c r="G6637" s="1378"/>
      <c r="H6637" s="1379"/>
      <c r="I6637" s="1299"/>
      <c r="J6637" s="1300"/>
      <c r="K6637" s="1307"/>
      <c r="L6637" s="1335"/>
      <c r="M6637" s="1302"/>
      <c r="N6637" s="1700"/>
      <c r="O6637" s="1290"/>
      <c r="P6637" s="1333"/>
      <c r="Q6637" s="3391"/>
      <c r="R6637" s="2339"/>
    </row>
    <row r="6638" spans="1:18" s="16" customFormat="1">
      <c r="A6638" s="1042"/>
      <c r="B6638" s="1765"/>
      <c r="C6638" s="223"/>
      <c r="D6638" s="1373"/>
      <c r="E6638" s="2161"/>
      <c r="F6638" s="1678"/>
      <c r="G6638" s="1678"/>
      <c r="H6638" s="1376"/>
      <c r="I6638" s="1299"/>
      <c r="J6638" s="1300"/>
      <c r="K6638" s="1307"/>
      <c r="L6638" s="1335"/>
      <c r="M6638" s="1302"/>
      <c r="N6638" s="1700"/>
      <c r="O6638" s="1290"/>
      <c r="P6638" s="1332"/>
      <c r="Q6638" s="3391"/>
      <c r="R6638" s="2339"/>
    </row>
    <row r="6639" spans="1:18" s="16" customFormat="1">
      <c r="A6639" s="18" t="s">
        <v>3764</v>
      </c>
      <c r="B6639" s="4325" t="s">
        <v>2208</v>
      </c>
      <c r="C6639" s="3350"/>
      <c r="D6639" s="4327"/>
      <c r="E6639" s="4329" t="s">
        <v>1504</v>
      </c>
      <c r="F6639" s="4336" t="s">
        <v>2209</v>
      </c>
      <c r="G6639" s="4331" t="s">
        <v>1568</v>
      </c>
      <c r="H6639" s="4331" t="s">
        <v>1574</v>
      </c>
      <c r="I6639" s="1572" t="s">
        <v>1559</v>
      </c>
      <c r="J6639" s="1294" t="s">
        <v>1560</v>
      </c>
      <c r="K6639" s="1294" t="s">
        <v>1569</v>
      </c>
      <c r="L6639" s="4333" t="s">
        <v>3765</v>
      </c>
      <c r="M6639" s="4335" t="s">
        <v>1571</v>
      </c>
      <c r="N6639" s="4323" t="s">
        <v>1776</v>
      </c>
      <c r="O6639" s="3347" t="s">
        <v>1563</v>
      </c>
      <c r="P6639" s="1336" t="s">
        <v>1562</v>
      </c>
      <c r="Q6639" s="3389"/>
      <c r="R6639" s="1699" t="s">
        <v>1327</v>
      </c>
    </row>
    <row r="6640" spans="1:18" s="16" customFormat="1">
      <c r="A6640" s="1662" t="s">
        <v>2777</v>
      </c>
      <c r="B6640" s="4326"/>
      <c r="C6640" s="3351"/>
      <c r="D6640" s="4328"/>
      <c r="E6640" s="4330"/>
      <c r="F6640" s="4336"/>
      <c r="G6640" s="4332"/>
      <c r="H6640" s="4332"/>
      <c r="I6640" s="1345">
        <v>0.4</v>
      </c>
      <c r="J6640" s="1307">
        <v>0.25</v>
      </c>
      <c r="K6640" s="1297">
        <f>I6640*J6640</f>
        <v>0.1</v>
      </c>
      <c r="L6640" s="4334"/>
      <c r="M6640" s="4335"/>
      <c r="N6640" s="4324"/>
      <c r="O6640" s="1298">
        <f>SUM(O6643:O6653)</f>
        <v>6.6355000000000004</v>
      </c>
      <c r="P6640" s="1337">
        <f>O6640*K6640</f>
        <v>0.66355000000000008</v>
      </c>
      <c r="Q6640" s="3390"/>
      <c r="R6640" s="1721">
        <f>SUM(P6642:P6653)</f>
        <v>0.66355000000000008</v>
      </c>
    </row>
    <row r="6641" spans="1:18" s="16" customFormat="1">
      <c r="A6641" s="1320"/>
      <c r="B6641" s="1949"/>
      <c r="C6641" s="1327"/>
      <c r="D6641" s="1367"/>
      <c r="E6641" s="2121"/>
      <c r="F6641" s="1389" t="s">
        <v>1</v>
      </c>
      <c r="G6641" s="1389"/>
      <c r="H6641" s="1369"/>
      <c r="I6641" s="2088"/>
      <c r="J6641" s="1369"/>
      <c r="K6641" s="1391"/>
      <c r="L6641" s="2089"/>
      <c r="M6641" s="1369"/>
      <c r="N6641" s="1369"/>
      <c r="O6641" s="1369"/>
      <c r="P6641" s="1392"/>
      <c r="Q6641" s="3395"/>
      <c r="R6641" s="2339"/>
    </row>
    <row r="6642" spans="1:18" s="16" customFormat="1">
      <c r="A6642" s="1320"/>
      <c r="B6642" s="1599"/>
      <c r="C6642" s="1320"/>
      <c r="D6642" s="1367"/>
      <c r="E6642" s="2121"/>
      <c r="F6642" s="1368"/>
      <c r="G6642" s="1368"/>
      <c r="H6642" s="1369"/>
      <c r="I6642" s="1299"/>
      <c r="J6642" s="1300"/>
      <c r="K6642" s="1307"/>
      <c r="L6642" s="1335"/>
      <c r="M6642" s="1369"/>
      <c r="N6642" s="1390"/>
      <c r="O6642" s="1390"/>
      <c r="P6642" s="1392"/>
      <c r="Q6642" s="3395"/>
      <c r="R6642" s="2339"/>
    </row>
    <row r="6643" spans="1:18" s="16" customFormat="1">
      <c r="A6643" s="1042"/>
      <c r="B6643" s="1599"/>
      <c r="C6643" s="1042"/>
      <c r="D6643" s="1672"/>
      <c r="E6643" s="2160"/>
      <c r="F6643" s="1673"/>
      <c r="G6643" s="1673"/>
      <c r="H6643" s="1674"/>
      <c r="I6643" s="1299"/>
      <c r="J6643" s="1300"/>
      <c r="K6643" s="1307" t="str">
        <f t="shared" ref="K6643" si="881">IF(COUNT(I6643)=0,"",(I6643*J6643))</f>
        <v/>
      </c>
      <c r="L6643" s="1335"/>
      <c r="M6643" s="1302"/>
      <c r="N6643" s="1700"/>
      <c r="O6643" s="1290"/>
      <c r="P6643" s="1332"/>
      <c r="Q6643" s="3391"/>
      <c r="R6643" s="2339"/>
    </row>
    <row r="6644" spans="1:18" s="16" customFormat="1">
      <c r="A6644" s="1042"/>
      <c r="B6644" s="1599"/>
      <c r="C6644" s="1042"/>
      <c r="D6644" s="1367"/>
      <c r="E6644" s="2121"/>
      <c r="F6644" s="1436"/>
      <c r="G6644" s="1436"/>
      <c r="H6644" s="1369"/>
      <c r="I6644" s="1299" t="str">
        <f t="shared" ref="I6644" ca="1" si="882">IF(COUNT(H6644:O6644)=0,"",(SUM(H6644:O6644)/COUNT(H6644:O6644)))</f>
        <v/>
      </c>
      <c r="J6644" s="1300"/>
      <c r="K6644" s="1307"/>
      <c r="L6644" s="1335"/>
      <c r="M6644" s="1302"/>
      <c r="N6644" s="1700"/>
      <c r="O6644" s="1290"/>
      <c r="P6644" s="1332"/>
      <c r="Q6644" s="3391"/>
      <c r="R6644" s="2339"/>
    </row>
    <row r="6645" spans="1:18" s="16" customFormat="1">
      <c r="A6645" s="1042"/>
      <c r="B6645" s="1599"/>
      <c r="C6645" s="1042"/>
      <c r="D6645" s="1359"/>
      <c r="E6645" s="1858"/>
      <c r="F6645" s="1360" t="s">
        <v>2</v>
      </c>
      <c r="G6645" s="1360"/>
      <c r="H6645" s="1362"/>
      <c r="I6645" s="1380"/>
      <c r="J6645" s="1381"/>
      <c r="K6645" s="1381"/>
      <c r="L6645" s="1458"/>
      <c r="M6645" s="1362"/>
      <c r="N6645" s="1362"/>
      <c r="O6645" s="1362"/>
      <c r="P6645" s="1359"/>
      <c r="Q6645" s="3387"/>
      <c r="R6645" s="2339"/>
    </row>
    <row r="6646" spans="1:18" s="16" customFormat="1">
      <c r="A6646" s="1321"/>
      <c r="B6646" s="2053"/>
      <c r="C6646" s="1321"/>
      <c r="D6646" s="1363" t="s">
        <v>1067</v>
      </c>
      <c r="E6646" s="2125" t="s">
        <v>1508</v>
      </c>
      <c r="F6646" s="1385" t="s">
        <v>1512</v>
      </c>
      <c r="G6646" s="2019">
        <v>0.1</v>
      </c>
      <c r="H6646" s="1386"/>
      <c r="I6646" s="1299"/>
      <c r="J6646" s="1300"/>
      <c r="K6646" s="1307">
        <f>G6646*K6640</f>
        <v>1.0000000000000002E-2</v>
      </c>
      <c r="L6646" s="1335">
        <f t="shared" ref="L6646:L6647" si="883">K6646*$K$6585</f>
        <v>0</v>
      </c>
      <c r="M6646" s="1302">
        <v>18.28</v>
      </c>
      <c r="N6646" s="1700"/>
      <c r="O6646" s="1290">
        <f>G6646*M6646</f>
        <v>1.8280000000000003</v>
      </c>
      <c r="P6646" s="1332">
        <f>M6646*K6646</f>
        <v>0.18280000000000005</v>
      </c>
      <c r="Q6646" s="3391"/>
      <c r="R6646" s="2339"/>
    </row>
    <row r="6647" spans="1:18" s="16" customFormat="1">
      <c r="A6647" s="1599"/>
      <c r="B6647" s="1320"/>
      <c r="D6647" s="1359" t="s">
        <v>1593</v>
      </c>
      <c r="E6647" s="1858" t="s">
        <v>1508</v>
      </c>
      <c r="F6647" s="1404" t="s">
        <v>2146</v>
      </c>
      <c r="G6647" s="1404">
        <v>0.25</v>
      </c>
      <c r="H6647" s="1359"/>
      <c r="I6647" s="1289"/>
      <c r="J6647" s="8"/>
      <c r="K6647" s="1307">
        <f>G6647*K6640</f>
        <v>2.5000000000000001E-2</v>
      </c>
      <c r="L6647" s="1335">
        <f t="shared" si="883"/>
        <v>0</v>
      </c>
      <c r="M6647" s="1302">
        <v>19.23</v>
      </c>
      <c r="N6647" s="1700"/>
      <c r="O6647" s="1290">
        <f>G6647*M6647</f>
        <v>4.8075000000000001</v>
      </c>
      <c r="P6647" s="1332">
        <f>M6647*K6647</f>
        <v>0.48075000000000001</v>
      </c>
      <c r="Q6647" s="3391"/>
      <c r="R6647" s="2339"/>
    </row>
    <row r="6648" spans="1:18" s="16" customFormat="1">
      <c r="A6648" s="1320"/>
      <c r="B6648" s="1599"/>
      <c r="C6648" s="1320"/>
      <c r="D6648" s="1359"/>
      <c r="E6648" s="1858"/>
      <c r="F6648" s="1404"/>
      <c r="G6648" s="1404"/>
      <c r="H6648" s="1359"/>
      <c r="I6648" s="1299"/>
      <c r="J6648" s="1300"/>
      <c r="K6648" s="1307"/>
      <c r="L6648" s="1335"/>
      <c r="M6648" s="1302"/>
      <c r="N6648" s="1700"/>
      <c r="O6648" s="1290"/>
      <c r="P6648" s="1332"/>
      <c r="Q6648" s="3391"/>
      <c r="R6648" s="2339"/>
    </row>
    <row r="6649" spans="1:18" s="16" customFormat="1">
      <c r="A6649" s="1320"/>
      <c r="B6649" s="1599"/>
      <c r="C6649" s="1320"/>
      <c r="D6649" s="1359"/>
      <c r="E6649" s="1858"/>
      <c r="F6649" s="1361"/>
      <c r="G6649" s="1361"/>
      <c r="H6649" s="1466"/>
      <c r="I6649" s="1299"/>
      <c r="J6649" s="1300"/>
      <c r="K6649" s="1307" t="str">
        <f>IF(COUNT(I6649)=0,"",(I6649*J6649))</f>
        <v/>
      </c>
      <c r="L6649" s="1335"/>
      <c r="M6649" s="1302"/>
      <c r="N6649" s="1700"/>
      <c r="O6649" s="1290"/>
      <c r="P6649" s="1332"/>
      <c r="Q6649" s="3391"/>
      <c r="R6649" s="2339"/>
    </row>
    <row r="6650" spans="1:18" s="16" customFormat="1">
      <c r="A6650" s="1320"/>
      <c r="B6650" s="1599"/>
      <c r="C6650" s="1320"/>
      <c r="D6650" s="1373"/>
      <c r="E6650" s="2123"/>
      <c r="F6650" s="1374" t="s">
        <v>3</v>
      </c>
      <c r="G6650" s="1375"/>
      <c r="H6650" s="1376"/>
      <c r="I6650" s="1382"/>
      <c r="J6650" s="1383"/>
      <c r="K6650" s="1383" t="str">
        <f>IF(COUNT(I6650)=0,"",(I6650*J6650))</f>
        <v/>
      </c>
      <c r="L6650" s="1413"/>
      <c r="M6650" s="1376"/>
      <c r="N6650" s="1376"/>
      <c r="O6650" s="1376"/>
      <c r="P6650" s="1373"/>
      <c r="Q6650" s="3387"/>
      <c r="R6650" s="2339"/>
    </row>
    <row r="6651" spans="1:18" s="16" customFormat="1">
      <c r="A6651" s="1321"/>
      <c r="B6651" s="2053"/>
      <c r="C6651" s="1321"/>
      <c r="D6651" s="1377"/>
      <c r="E6651" s="2124"/>
      <c r="F6651" s="1378"/>
      <c r="G6651" s="1378"/>
      <c r="H6651" s="1379"/>
      <c r="I6651" s="1299"/>
      <c r="J6651" s="1300"/>
      <c r="K6651" s="1307"/>
      <c r="L6651" s="1335"/>
      <c r="M6651" s="1302"/>
      <c r="N6651" s="1700"/>
      <c r="O6651" s="1290"/>
      <c r="P6651" s="1332"/>
      <c r="Q6651" s="3391"/>
      <c r="R6651" s="2339"/>
    </row>
    <row r="6652" spans="1:18" s="16" customFormat="1">
      <c r="A6652" s="1321"/>
      <c r="B6652" s="2053"/>
      <c r="C6652" s="1321"/>
      <c r="D6652" s="1377"/>
      <c r="E6652" s="2124"/>
      <c r="F6652" s="1378"/>
      <c r="G6652" s="1378"/>
      <c r="H6652" s="1379"/>
      <c r="I6652" s="1299"/>
      <c r="J6652" s="1300"/>
      <c r="K6652" s="1307"/>
      <c r="L6652" s="1335"/>
      <c r="M6652" s="1302"/>
      <c r="N6652" s="1700"/>
      <c r="O6652" s="1290"/>
      <c r="P6652" s="1333"/>
      <c r="Q6652" s="3391"/>
      <c r="R6652" s="2339"/>
    </row>
    <row r="6653" spans="1:18" s="16" customFormat="1">
      <c r="A6653" s="1042"/>
      <c r="B6653" s="1765"/>
      <c r="C6653" s="223"/>
      <c r="D6653" s="1373"/>
      <c r="E6653" s="2161"/>
      <c r="F6653" s="1678"/>
      <c r="G6653" s="1678"/>
      <c r="H6653" s="1376"/>
      <c r="I6653" s="1299"/>
      <c r="J6653" s="1300"/>
      <c r="K6653" s="1307"/>
      <c r="L6653" s="1335"/>
      <c r="M6653" s="1302"/>
      <c r="N6653" s="1700"/>
      <c r="O6653" s="1290"/>
      <c r="P6653" s="1332"/>
      <c r="Q6653" s="3391"/>
      <c r="R6653" s="2339"/>
    </row>
    <row r="6654" spans="1:18" s="16" customFormat="1">
      <c r="A6654" s="18" t="s">
        <v>3764</v>
      </c>
      <c r="B6654" s="4325" t="s">
        <v>2210</v>
      </c>
      <c r="C6654" s="3350"/>
      <c r="D6654" s="4327"/>
      <c r="E6654" s="4329" t="s">
        <v>1504</v>
      </c>
      <c r="F6654" s="4336" t="s">
        <v>2211</v>
      </c>
      <c r="G6654" s="4331" t="s">
        <v>1568</v>
      </c>
      <c r="H6654" s="4331" t="s">
        <v>1574</v>
      </c>
      <c r="I6654" s="1572" t="s">
        <v>1559</v>
      </c>
      <c r="J6654" s="1294" t="s">
        <v>1560</v>
      </c>
      <c r="K6654" s="1294" t="s">
        <v>1569</v>
      </c>
      <c r="L6654" s="4333" t="s">
        <v>3765</v>
      </c>
      <c r="M6654" s="4335" t="s">
        <v>1571</v>
      </c>
      <c r="N6654" s="4323" t="s">
        <v>1776</v>
      </c>
      <c r="O6654" s="3347" t="s">
        <v>1563</v>
      </c>
      <c r="P6654" s="1336" t="s">
        <v>1562</v>
      </c>
      <c r="Q6654" s="3389"/>
      <c r="R6654" s="1699" t="s">
        <v>1327</v>
      </c>
    </row>
    <row r="6655" spans="1:18" s="16" customFormat="1">
      <c r="A6655" s="1662" t="s">
        <v>2777</v>
      </c>
      <c r="B6655" s="4326"/>
      <c r="C6655" s="3351"/>
      <c r="D6655" s="4328"/>
      <c r="E6655" s="4330"/>
      <c r="F6655" s="4336"/>
      <c r="G6655" s="4332"/>
      <c r="H6655" s="4332"/>
      <c r="I6655" s="1345">
        <v>0.4</v>
      </c>
      <c r="J6655" s="1307">
        <v>0.25</v>
      </c>
      <c r="K6655" s="1297">
        <f>I6655*J6655</f>
        <v>0.1</v>
      </c>
      <c r="L6655" s="4334"/>
      <c r="M6655" s="4335"/>
      <c r="N6655" s="4324"/>
      <c r="O6655" s="1298">
        <f>SUM(O6657:O6660)</f>
        <v>1428.94</v>
      </c>
      <c r="P6655" s="1337">
        <f>O6655*K6655</f>
        <v>142.89400000000001</v>
      </c>
      <c r="Q6655" s="3390"/>
      <c r="R6655" s="1721">
        <f>SUM(P6657:P6660)</f>
        <v>142.89400000000001</v>
      </c>
    </row>
    <row r="6656" spans="1:18" s="16" customFormat="1">
      <c r="A6656" s="1599"/>
      <c r="B6656" s="1327"/>
      <c r="C6656" s="2093"/>
      <c r="D6656" s="1367"/>
      <c r="E6656" s="2121"/>
      <c r="F6656" s="1389" t="s">
        <v>1</v>
      </c>
      <c r="G6656" s="1389"/>
      <c r="H6656" s="1369"/>
      <c r="I6656" s="2088"/>
      <c r="J6656" s="1369"/>
      <c r="K6656" s="1391"/>
      <c r="L6656" s="2089"/>
      <c r="M6656" s="1369"/>
      <c r="N6656" s="1369"/>
      <c r="O6656" s="1369"/>
      <c r="P6656" s="1392"/>
      <c r="Q6656" s="3395"/>
      <c r="R6656" s="2349"/>
    </row>
    <row r="6657" spans="1:18" s="16" customFormat="1" ht="36">
      <c r="A6657" s="1599"/>
      <c r="B6657" s="2308" t="s">
        <v>2778</v>
      </c>
      <c r="C6657" s="2091"/>
      <c r="D6657" s="1598" t="s">
        <v>2212</v>
      </c>
      <c r="E6657" s="2154" t="s">
        <v>1504</v>
      </c>
      <c r="F6657" s="1598" t="s">
        <v>2213</v>
      </c>
      <c r="G6657" s="1612">
        <v>1</v>
      </c>
      <c r="H6657" s="1369"/>
      <c r="I6657" s="1299"/>
      <c r="J6657" s="1300"/>
      <c r="K6657" s="1307">
        <f>G6657*K6655</f>
        <v>0.1</v>
      </c>
      <c r="L6657" s="1335">
        <f>K6657*$K$6585</f>
        <v>0</v>
      </c>
      <c r="M6657" s="1302">
        <v>1428.94</v>
      </c>
      <c r="N6657" s="1700"/>
      <c r="O6657" s="1290">
        <f>G6657*M6657</f>
        <v>1428.94</v>
      </c>
      <c r="P6657" s="1332">
        <f>M6657*K6657</f>
        <v>142.89400000000001</v>
      </c>
      <c r="Q6657" s="3391"/>
      <c r="R6657" s="2350" t="s">
        <v>2214</v>
      </c>
    </row>
    <row r="6658" spans="1:18" s="16" customFormat="1">
      <c r="A6658" s="553"/>
      <c r="B6658" s="1320"/>
      <c r="C6658" s="2091"/>
      <c r="D6658" s="1598"/>
      <c r="E6658" s="2154"/>
      <c r="F6658" s="1598"/>
      <c r="G6658" s="1612"/>
      <c r="H6658" s="1674"/>
      <c r="I6658" s="1299"/>
      <c r="J6658" s="1300"/>
      <c r="K6658" s="1307"/>
      <c r="L6658" s="1335"/>
      <c r="M6658" s="1302"/>
      <c r="N6658" s="1700"/>
      <c r="O6658" s="1290"/>
      <c r="P6658" s="1332"/>
      <c r="Q6658" s="3391"/>
      <c r="R6658" s="2349"/>
    </row>
    <row r="6659" spans="1:18" s="16" customFormat="1">
      <c r="A6659" s="553"/>
      <c r="B6659" s="1320"/>
      <c r="C6659" s="2091"/>
      <c r="D6659" s="1367"/>
      <c r="E6659" s="2121"/>
      <c r="F6659" s="1436"/>
      <c r="G6659" s="1436"/>
      <c r="H6659" s="1369"/>
      <c r="I6659" s="1299"/>
      <c r="J6659" s="1300"/>
      <c r="K6659" s="1307"/>
      <c r="L6659" s="1335"/>
      <c r="M6659" s="1302"/>
      <c r="N6659" s="1700"/>
      <c r="O6659" s="1290"/>
      <c r="P6659" s="1332"/>
      <c r="Q6659" s="3391"/>
      <c r="R6659" s="2349"/>
    </row>
    <row r="6660" spans="1:18" s="16" customFormat="1">
      <c r="A6660" s="553"/>
      <c r="B6660" s="1320"/>
      <c r="C6660" s="2091"/>
      <c r="D6660" s="1359"/>
      <c r="E6660" s="1858"/>
      <c r="F6660" s="1360" t="s">
        <v>2</v>
      </c>
      <c r="G6660" s="1360"/>
      <c r="H6660" s="1362"/>
      <c r="I6660" s="1380"/>
      <c r="J6660" s="1381"/>
      <c r="K6660" s="1381"/>
      <c r="L6660" s="1458"/>
      <c r="M6660" s="1362"/>
      <c r="N6660" s="1362"/>
      <c r="O6660" s="1362"/>
      <c r="P6660" s="1359"/>
      <c r="Q6660" s="3387"/>
      <c r="R6660" s="2349"/>
    </row>
    <row r="6661" spans="1:18" s="16" customFormat="1">
      <c r="A6661"/>
      <c r="B6661" s="1042"/>
      <c r="C6661" s="1978"/>
      <c r="D6661" s="1430"/>
      <c r="E6661" s="1857"/>
      <c r="F6661" s="1403"/>
      <c r="G6661" s="1991"/>
      <c r="H6661" s="1408"/>
      <c r="I6661" s="197"/>
      <c r="J6661" s="198"/>
      <c r="K6661" s="1307"/>
      <c r="L6661" s="1335"/>
      <c r="M6661" s="1302"/>
      <c r="N6661" s="1718"/>
      <c r="O6661" s="1290"/>
      <c r="P6661" s="1720"/>
      <c r="Q6661" s="3396"/>
      <c r="R6661" s="2351"/>
    </row>
    <row r="6662" spans="1:18" s="16" customFormat="1">
      <c r="A6662"/>
      <c r="B6662" s="1320"/>
      <c r="C6662" s="1978"/>
      <c r="D6662" s="1359"/>
      <c r="E6662" s="1858"/>
      <c r="F6662" s="1361"/>
      <c r="G6662" s="1361"/>
      <c r="H6662" s="1466"/>
      <c r="I6662" s="1289"/>
      <c r="J6662" s="8"/>
      <c r="K6662" s="1307"/>
      <c r="L6662" s="1335"/>
      <c r="M6662" s="1302"/>
      <c r="N6662" s="1700"/>
      <c r="O6662" s="1290"/>
      <c r="P6662" s="1332"/>
      <c r="Q6662" s="3391"/>
      <c r="R6662" s="2092"/>
    </row>
    <row r="6663" spans="1:18" s="16" customFormat="1">
      <c r="A6663" s="1599"/>
      <c r="B6663" s="1320"/>
      <c r="C6663" s="2091"/>
      <c r="D6663" s="1359"/>
      <c r="E6663" s="1858"/>
      <c r="F6663" s="1361"/>
      <c r="G6663" s="1361"/>
      <c r="H6663" s="1466"/>
      <c r="I6663" s="1299"/>
      <c r="J6663" s="1300"/>
      <c r="K6663" s="1307"/>
      <c r="L6663" s="1335"/>
      <c r="M6663" s="1302"/>
      <c r="N6663" s="1700"/>
      <c r="O6663" s="1290"/>
      <c r="P6663" s="1332"/>
      <c r="Q6663" s="3391"/>
      <c r="R6663" s="2349"/>
    </row>
    <row r="6664" spans="1:18" s="16" customFormat="1">
      <c r="A6664" s="1599"/>
      <c r="B6664" s="1320"/>
      <c r="C6664" s="2091"/>
      <c r="D6664" s="1373"/>
      <c r="E6664" s="2123"/>
      <c r="F6664" s="1374" t="s">
        <v>3</v>
      </c>
      <c r="G6664" s="1375"/>
      <c r="H6664" s="1376"/>
      <c r="I6664" s="1382"/>
      <c r="J6664" s="1383"/>
      <c r="K6664" s="1383"/>
      <c r="L6664" s="1413"/>
      <c r="M6664" s="1376"/>
      <c r="N6664" s="1376"/>
      <c r="O6664" s="1376"/>
      <c r="P6664" s="1373"/>
      <c r="Q6664" s="3387"/>
      <c r="R6664" s="2349"/>
    </row>
    <row r="6665" spans="1:18" s="16" customFormat="1">
      <c r="A6665" s="2053"/>
      <c r="B6665" s="1321"/>
      <c r="C6665" s="2094"/>
      <c r="D6665" s="1377"/>
      <c r="E6665" s="2124"/>
      <c r="F6665" s="1378"/>
      <c r="G6665" s="1378"/>
      <c r="H6665" s="1379"/>
      <c r="I6665" s="1299"/>
      <c r="J6665" s="1300"/>
      <c r="K6665" s="1307"/>
      <c r="L6665" s="1335"/>
      <c r="M6665" s="1302"/>
      <c r="N6665" s="1700"/>
      <c r="O6665" s="1290"/>
      <c r="P6665" s="1332"/>
      <c r="Q6665" s="3391"/>
      <c r="R6665" s="2349"/>
    </row>
    <row r="6666" spans="1:18" s="16" customFormat="1">
      <c r="A6666" s="2053"/>
      <c r="B6666" s="1321"/>
      <c r="C6666" s="2094"/>
      <c r="D6666" s="1377"/>
      <c r="E6666" s="2124"/>
      <c r="F6666" s="1378"/>
      <c r="G6666" s="1378"/>
      <c r="H6666" s="1379"/>
      <c r="I6666" s="1299"/>
      <c r="J6666" s="1300"/>
      <c r="K6666" s="1307"/>
      <c r="L6666" s="1335"/>
      <c r="M6666" s="1302"/>
      <c r="N6666" s="1700"/>
      <c r="O6666" s="1290"/>
      <c r="P6666" s="1333"/>
      <c r="Q6666" s="3391"/>
      <c r="R6666" s="2349"/>
    </row>
    <row r="6667" spans="1:18" s="16" customFormat="1">
      <c r="A6667" s="553"/>
      <c r="B6667" s="225"/>
      <c r="C6667" s="2095"/>
      <c r="D6667" s="1373"/>
      <c r="E6667" s="2161"/>
      <c r="F6667" s="1678"/>
      <c r="G6667" s="1678"/>
      <c r="H6667" s="1376"/>
      <c r="I6667" s="1299"/>
      <c r="J6667" s="1300"/>
      <c r="K6667" s="1307"/>
      <c r="L6667" s="1335"/>
      <c r="M6667" s="1302"/>
      <c r="N6667" s="1700"/>
      <c r="O6667" s="1290"/>
      <c r="P6667" s="1332"/>
      <c r="Q6667" s="3391"/>
      <c r="R6667" s="2349"/>
    </row>
    <row r="6668" spans="1:18" s="16" customFormat="1">
      <c r="A6668" s="18" t="s">
        <v>3764</v>
      </c>
      <c r="B6668" s="4325" t="s">
        <v>2215</v>
      </c>
      <c r="C6668" s="3350"/>
      <c r="D6668" s="4327"/>
      <c r="E6668" s="4329" t="s">
        <v>1504</v>
      </c>
      <c r="F6668" s="4336" t="s">
        <v>2216</v>
      </c>
      <c r="G6668" s="4331" t="s">
        <v>1568</v>
      </c>
      <c r="H6668" s="4331" t="s">
        <v>1574</v>
      </c>
      <c r="I6668" s="1572" t="s">
        <v>1559</v>
      </c>
      <c r="J6668" s="1294" t="s">
        <v>1560</v>
      </c>
      <c r="K6668" s="1294" t="s">
        <v>1569</v>
      </c>
      <c r="L6668" s="4333" t="s">
        <v>3765</v>
      </c>
      <c r="M6668" s="4335" t="s">
        <v>1571</v>
      </c>
      <c r="N6668" s="4323" t="s">
        <v>1776</v>
      </c>
      <c r="O6668" s="3347" t="s">
        <v>1563</v>
      </c>
      <c r="P6668" s="1336" t="s">
        <v>1562</v>
      </c>
      <c r="Q6668" s="3389"/>
      <c r="R6668" s="1699" t="s">
        <v>1327</v>
      </c>
    </row>
    <row r="6669" spans="1:18" s="16" customFormat="1">
      <c r="A6669" s="1662" t="s">
        <v>2777</v>
      </c>
      <c r="B6669" s="4326"/>
      <c r="C6669" s="3351"/>
      <c r="D6669" s="4328"/>
      <c r="E6669" s="4330"/>
      <c r="F6669" s="4336"/>
      <c r="G6669" s="4332"/>
      <c r="H6669" s="4332"/>
      <c r="I6669" s="1345">
        <v>0.4</v>
      </c>
      <c r="J6669" s="1307">
        <v>0.25</v>
      </c>
      <c r="K6669" s="1297">
        <f>I6669*J6669</f>
        <v>0.1</v>
      </c>
      <c r="L6669" s="4334"/>
      <c r="M6669" s="4335"/>
      <c r="N6669" s="4324"/>
      <c r="O6669" s="1298">
        <f>SUM(O6671:O6679)</f>
        <v>195.97499999999997</v>
      </c>
      <c r="P6669" s="1337">
        <f>O6669*K6669</f>
        <v>19.597499999999997</v>
      </c>
      <c r="Q6669" s="3390"/>
      <c r="R6669" s="1721">
        <f>SUM(P6671:P6679)</f>
        <v>19.5975</v>
      </c>
    </row>
    <row r="6670" spans="1:18" s="16" customFormat="1">
      <c r="A6670" s="1599"/>
      <c r="B6670" s="1327"/>
      <c r="C6670" s="1511"/>
      <c r="D6670" s="1367"/>
      <c r="E6670" s="2121"/>
      <c r="F6670" s="1389" t="s">
        <v>1</v>
      </c>
      <c r="G6670" s="1389"/>
      <c r="H6670" s="1369"/>
      <c r="I6670" s="2088"/>
      <c r="J6670" s="1369"/>
      <c r="K6670" s="1391"/>
      <c r="L6670" s="2089"/>
      <c r="M6670" s="1369"/>
      <c r="N6670" s="1369"/>
      <c r="O6670" s="1369"/>
      <c r="P6670" s="1392"/>
      <c r="Q6670" s="3395"/>
      <c r="R6670" s="2339"/>
    </row>
    <row r="6671" spans="1:18" s="16" customFormat="1">
      <c r="A6671" s="1599"/>
      <c r="B6671" s="1320"/>
      <c r="C6671" s="595"/>
      <c r="D6671" s="1598" t="s">
        <v>2217</v>
      </c>
      <c r="E6671" s="2154" t="s">
        <v>1504</v>
      </c>
      <c r="F6671" s="1598" t="s">
        <v>2218</v>
      </c>
      <c r="G6671" s="1612">
        <v>1</v>
      </c>
      <c r="H6671" s="1369"/>
      <c r="I6671" s="1289"/>
      <c r="J6671" s="8"/>
      <c r="K6671" s="1307">
        <f>G6671*K6669</f>
        <v>0.1</v>
      </c>
      <c r="L6671" s="1335">
        <f t="shared" ref="L6671:L6675" si="884">K6671*$K$6585</f>
        <v>0</v>
      </c>
      <c r="M6671" s="1302">
        <v>11.67</v>
      </c>
      <c r="N6671" s="1700"/>
      <c r="O6671" s="1290">
        <f>G6671*M6671</f>
        <v>11.67</v>
      </c>
      <c r="P6671" s="1332">
        <f>M6671*K6671</f>
        <v>1.167</v>
      </c>
      <c r="Q6671" s="3391"/>
      <c r="R6671" s="2339"/>
    </row>
    <row r="6672" spans="1:18" s="16" customFormat="1">
      <c r="A6672" s="1599"/>
      <c r="B6672" s="1320"/>
      <c r="C6672" s="595"/>
      <c r="D6672" s="1598" t="s">
        <v>2219</v>
      </c>
      <c r="E6672" s="2154" t="s">
        <v>1504</v>
      </c>
      <c r="F6672" s="1598" t="s">
        <v>2220</v>
      </c>
      <c r="G6672" s="1612">
        <v>3</v>
      </c>
      <c r="H6672" s="1369"/>
      <c r="I6672" s="1289"/>
      <c r="J6672" s="8"/>
      <c r="K6672" s="1307">
        <f>G6672*K6669</f>
        <v>0.30000000000000004</v>
      </c>
      <c r="L6672" s="1335">
        <f t="shared" si="884"/>
        <v>0</v>
      </c>
      <c r="M6672" s="1302">
        <v>5.13</v>
      </c>
      <c r="N6672" s="1700"/>
      <c r="O6672" s="1290">
        <f>G6672*M6672</f>
        <v>15.39</v>
      </c>
      <c r="P6672" s="1332">
        <f>M6672*K6672</f>
        <v>1.5390000000000001</v>
      </c>
      <c r="Q6672" s="3391"/>
      <c r="R6672" s="2339"/>
    </row>
    <row r="6673" spans="1:18" s="16" customFormat="1">
      <c r="A6673" s="1599"/>
      <c r="B6673" s="1320"/>
      <c r="C6673" s="595"/>
      <c r="D6673" s="1598" t="s">
        <v>2221</v>
      </c>
      <c r="E6673" s="2154" t="s">
        <v>1504</v>
      </c>
      <c r="F6673" s="1598" t="s">
        <v>2222</v>
      </c>
      <c r="G6673" s="1612">
        <v>1</v>
      </c>
      <c r="H6673" s="1369"/>
      <c r="I6673" s="1289"/>
      <c r="J6673" s="8"/>
      <c r="K6673" s="1307">
        <f>G6673*K6669</f>
        <v>0.1</v>
      </c>
      <c r="L6673" s="1335">
        <f t="shared" si="884"/>
        <v>0</v>
      </c>
      <c r="M6673" s="1302">
        <v>146.57</v>
      </c>
      <c r="N6673" s="1700"/>
      <c r="O6673" s="1290">
        <f>G6673*M6673</f>
        <v>146.57</v>
      </c>
      <c r="P6673" s="1332">
        <f>M6673*K6673</f>
        <v>14.657</v>
      </c>
      <c r="Q6673" s="3391"/>
      <c r="R6673" s="2339"/>
    </row>
    <row r="6674" spans="1:18" s="16" customFormat="1">
      <c r="A6674" s="553"/>
      <c r="B6674" s="1320"/>
      <c r="C6674" s="88"/>
      <c r="D6674" s="1598" t="s">
        <v>1082</v>
      </c>
      <c r="E6674" s="2154" t="s">
        <v>1504</v>
      </c>
      <c r="F6674" s="1598" t="s">
        <v>1541</v>
      </c>
      <c r="G6674" s="1612">
        <v>4</v>
      </c>
      <c r="H6674" s="1674"/>
      <c r="I6674" s="1289"/>
      <c r="J6674" s="8"/>
      <c r="K6674" s="1307">
        <f>G6674*K6669</f>
        <v>0.4</v>
      </c>
      <c r="L6674" s="1335">
        <f t="shared" si="884"/>
        <v>0</v>
      </c>
      <c r="M6674" s="1302">
        <v>0.3</v>
      </c>
      <c r="N6674" s="1700"/>
      <c r="O6674" s="1290">
        <f>G6674*M6674</f>
        <v>1.2</v>
      </c>
      <c r="P6674" s="1332">
        <f>M6674*K6674</f>
        <v>0.12</v>
      </c>
      <c r="Q6674" s="3391"/>
      <c r="R6674" s="2339"/>
    </row>
    <row r="6675" spans="1:18" s="16" customFormat="1">
      <c r="A6675" s="553"/>
      <c r="B6675" s="1320"/>
      <c r="C6675" s="88"/>
      <c r="D6675" s="1598" t="s">
        <v>1097</v>
      </c>
      <c r="E6675" s="2154" t="s">
        <v>1504</v>
      </c>
      <c r="F6675" s="1598" t="s">
        <v>1632</v>
      </c>
      <c r="G6675" s="1612">
        <v>4</v>
      </c>
      <c r="H6675" s="1674"/>
      <c r="I6675" s="1289"/>
      <c r="J6675" s="8"/>
      <c r="K6675" s="1307">
        <f>G6675*K6669</f>
        <v>0.4</v>
      </c>
      <c r="L6675" s="1335">
        <f t="shared" si="884"/>
        <v>0</v>
      </c>
      <c r="M6675" s="1302">
        <v>0.55000000000000004</v>
      </c>
      <c r="N6675" s="1700"/>
      <c r="O6675" s="1290">
        <f>G6675*M6675</f>
        <v>2.2000000000000002</v>
      </c>
      <c r="P6675" s="1332">
        <f>M6675*K6675</f>
        <v>0.22000000000000003</v>
      </c>
      <c r="Q6675" s="3391"/>
      <c r="R6675" s="2339"/>
    </row>
    <row r="6676" spans="1:18" s="16" customFormat="1">
      <c r="A6676" s="553"/>
      <c r="B6676" s="1320"/>
      <c r="C6676" s="88"/>
      <c r="D6676" s="1367"/>
      <c r="E6676" s="2121"/>
      <c r="F6676" s="1436"/>
      <c r="G6676" s="1436"/>
      <c r="H6676" s="1369"/>
      <c r="I6676" s="1289" t="str">
        <f t="shared" ref="I6676" ca="1" si="885">IF(COUNT(H6676:O6676)=0,"",(SUM(H6676:O6676)/COUNT(H6676:O6676)))</f>
        <v/>
      </c>
      <c r="J6676" s="8"/>
      <c r="K6676" s="1307" t="str">
        <f t="shared" ref="K6676" ca="1" si="886">IF(COUNT(I6676)=0,"",(I6676*J6676))</f>
        <v/>
      </c>
      <c r="L6676" s="1335"/>
      <c r="M6676" s="1302"/>
      <c r="N6676" s="1700"/>
      <c r="O6676" s="1290"/>
      <c r="P6676" s="1332"/>
      <c r="Q6676" s="3391"/>
      <c r="R6676" s="2339"/>
    </row>
    <row r="6677" spans="1:18" s="16" customFormat="1">
      <c r="A6677" s="553"/>
      <c r="B6677" s="1320"/>
      <c r="C6677" s="88"/>
      <c r="D6677" s="1359"/>
      <c r="E6677" s="1858"/>
      <c r="F6677" s="1360" t="s">
        <v>2</v>
      </c>
      <c r="G6677" s="1360"/>
      <c r="H6677" s="1362"/>
      <c r="I6677" s="1380"/>
      <c r="J6677" s="1381"/>
      <c r="K6677" s="1381"/>
      <c r="L6677" s="1458"/>
      <c r="M6677" s="1362"/>
      <c r="N6677" s="1362"/>
      <c r="O6677" s="1362"/>
      <c r="P6677" s="1359"/>
      <c r="Q6677" s="3387"/>
      <c r="R6677" s="2339"/>
    </row>
    <row r="6678" spans="1:18" s="16" customFormat="1">
      <c r="A6678" s="1599"/>
      <c r="B6678" s="1320"/>
      <c r="D6678" s="1359" t="s">
        <v>1593</v>
      </c>
      <c r="E6678" s="1858" t="s">
        <v>1508</v>
      </c>
      <c r="F6678" s="1404" t="s">
        <v>2146</v>
      </c>
      <c r="G6678" s="1404">
        <v>0.4</v>
      </c>
      <c r="H6678" s="1359"/>
      <c r="I6678" s="1289"/>
      <c r="J6678" s="8"/>
      <c r="K6678" s="1307">
        <f>G6678*K6669</f>
        <v>4.0000000000000008E-2</v>
      </c>
      <c r="L6678" s="1335">
        <f>K6678*$K$6585</f>
        <v>0</v>
      </c>
      <c r="M6678" s="1302">
        <v>19.23</v>
      </c>
      <c r="N6678" s="1700"/>
      <c r="O6678" s="1290">
        <f>G6678*M6678</f>
        <v>7.6920000000000002</v>
      </c>
      <c r="P6678" s="1332">
        <f>M6678*K6678</f>
        <v>0.76920000000000022</v>
      </c>
      <c r="Q6678" s="3391"/>
      <c r="R6678" s="2339"/>
    </row>
    <row r="6679" spans="1:18" s="16" customFormat="1">
      <c r="A6679"/>
      <c r="B6679" s="1042"/>
      <c r="C6679" s="2086" t="s">
        <v>1755</v>
      </c>
      <c r="D6679" s="1311"/>
      <c r="E6679" s="2176" t="s">
        <v>1508</v>
      </c>
      <c r="F6679" s="1648" t="s">
        <v>1524</v>
      </c>
      <c r="G6679" s="1990"/>
      <c r="H6679" s="1456">
        <v>0.3</v>
      </c>
      <c r="I6679" s="1444"/>
      <c r="J6679" s="1388"/>
      <c r="K6679" s="1445"/>
      <c r="L6679" s="1457"/>
      <c r="M6679" s="1447"/>
      <c r="N6679" s="1447">
        <f>SUM(N6680:N6681)</f>
        <v>37.510000000000005</v>
      </c>
      <c r="O6679" s="1447">
        <f>SUM(O6680:O6681)</f>
        <v>11.253</v>
      </c>
      <c r="P6679" s="1447">
        <f>SUM(P6680:P6681)</f>
        <v>1.1253</v>
      </c>
      <c r="Q6679" s="3391"/>
      <c r="R6679" s="2337"/>
    </row>
    <row r="6680" spans="1:18" s="16" customFormat="1">
      <c r="A6680"/>
      <c r="B6680" s="1042"/>
      <c r="C6680" s="19"/>
      <c r="D6680" s="1430" t="s">
        <v>1067</v>
      </c>
      <c r="E6680" s="1857" t="s">
        <v>1508</v>
      </c>
      <c r="F6680" s="1403" t="s">
        <v>5</v>
      </c>
      <c r="G6680" s="1991">
        <v>1</v>
      </c>
      <c r="H6680" s="1408">
        <f>G6680*H6679</f>
        <v>0.3</v>
      </c>
      <c r="I6680" s="1286"/>
      <c r="J6680" s="198"/>
      <c r="K6680" s="1307">
        <f>H6680*K6669</f>
        <v>0.03</v>
      </c>
      <c r="L6680" s="1335">
        <f t="shared" ref="L6680:L6681" si="887">K6680*$K$6585</f>
        <v>0</v>
      </c>
      <c r="M6680" s="1302">
        <v>18.28</v>
      </c>
      <c r="N6680" s="1718">
        <f>G6680*M6680</f>
        <v>18.28</v>
      </c>
      <c r="O6680" s="1290">
        <f>H6680*M6680</f>
        <v>5.484</v>
      </c>
      <c r="P6680" s="1720">
        <f>M6680*K6680</f>
        <v>0.5484</v>
      </c>
      <c r="Q6680" s="3396"/>
      <c r="R6680" s="2337"/>
    </row>
    <row r="6681" spans="1:18" s="16" customFormat="1">
      <c r="A6681"/>
      <c r="B6681" s="1042"/>
      <c r="C6681" s="19"/>
      <c r="D6681" s="1430" t="s">
        <v>1077</v>
      </c>
      <c r="E6681" s="1857" t="s">
        <v>1508</v>
      </c>
      <c r="F6681" s="1403" t="s">
        <v>37</v>
      </c>
      <c r="G6681" s="1991">
        <v>1</v>
      </c>
      <c r="H6681" s="1408">
        <f>G6681*H6679</f>
        <v>0.3</v>
      </c>
      <c r="I6681" s="197"/>
      <c r="J6681" s="198"/>
      <c r="K6681" s="1307">
        <f>H6681*K6669</f>
        <v>0.03</v>
      </c>
      <c r="L6681" s="1335">
        <f t="shared" si="887"/>
        <v>0</v>
      </c>
      <c r="M6681" s="1302">
        <v>19.23</v>
      </c>
      <c r="N6681" s="1718">
        <f>G6681*M6681</f>
        <v>19.23</v>
      </c>
      <c r="O6681" s="1290">
        <f>H6681*M6681</f>
        <v>5.7690000000000001</v>
      </c>
      <c r="P6681" s="1720">
        <f>M6681*K6681</f>
        <v>0.57689999999999997</v>
      </c>
      <c r="Q6681" s="3396"/>
      <c r="R6681" s="2337"/>
    </row>
    <row r="6682" spans="1:18" s="16" customFormat="1">
      <c r="A6682"/>
      <c r="B6682" s="1320"/>
      <c r="D6682" s="1359"/>
      <c r="E6682" s="1858"/>
      <c r="F6682" s="1361"/>
      <c r="G6682" s="1361"/>
      <c r="H6682" s="1466"/>
      <c r="I6682" s="1289"/>
      <c r="J6682" s="8"/>
      <c r="K6682" s="1307"/>
      <c r="L6682" s="1335"/>
      <c r="M6682" s="1302"/>
      <c r="N6682" s="1700"/>
      <c r="O6682" s="1290"/>
      <c r="P6682" s="1332"/>
      <c r="Q6682" s="3391"/>
      <c r="R6682" s="1296"/>
    </row>
    <row r="6683" spans="1:18" s="16" customFormat="1">
      <c r="A6683" s="1599"/>
      <c r="B6683" s="1320"/>
      <c r="C6683" s="595"/>
      <c r="D6683" s="1359"/>
      <c r="E6683" s="1858"/>
      <c r="F6683" s="1361"/>
      <c r="G6683" s="1361"/>
      <c r="H6683" s="1466"/>
      <c r="I6683" s="1299"/>
      <c r="J6683" s="1300"/>
      <c r="K6683" s="1307"/>
      <c r="L6683" s="1335"/>
      <c r="M6683" s="1302"/>
      <c r="N6683" s="1700"/>
      <c r="O6683" s="1290"/>
      <c r="P6683" s="1332"/>
      <c r="Q6683" s="3391"/>
      <c r="R6683" s="2339"/>
    </row>
    <row r="6684" spans="1:18" s="16" customFormat="1">
      <c r="A6684" s="1599"/>
      <c r="B6684" s="1320"/>
      <c r="C6684" s="595"/>
      <c r="D6684" s="1373"/>
      <c r="E6684" s="2123"/>
      <c r="F6684" s="1374" t="s">
        <v>3</v>
      </c>
      <c r="G6684" s="1375"/>
      <c r="H6684" s="1376"/>
      <c r="I6684" s="1382"/>
      <c r="J6684" s="1383"/>
      <c r="K6684" s="1383"/>
      <c r="L6684" s="1413"/>
      <c r="M6684" s="1376"/>
      <c r="N6684" s="1376"/>
      <c r="O6684" s="1376"/>
      <c r="P6684" s="1373"/>
      <c r="Q6684" s="3387"/>
      <c r="R6684" s="2339"/>
    </row>
    <row r="6685" spans="1:18" s="16" customFormat="1">
      <c r="A6685" s="2053"/>
      <c r="B6685" s="1321"/>
      <c r="C6685" s="2021"/>
      <c r="D6685" s="1377"/>
      <c r="E6685" s="2124"/>
      <c r="F6685" s="1378"/>
      <c r="G6685" s="1378"/>
      <c r="H6685" s="1379"/>
      <c r="I6685" s="1299"/>
      <c r="J6685" s="1300"/>
      <c r="K6685" s="1307"/>
      <c r="L6685" s="1335"/>
      <c r="M6685" s="1302"/>
      <c r="N6685" s="1700"/>
      <c r="O6685" s="1290"/>
      <c r="P6685" s="1332"/>
      <c r="Q6685" s="3391"/>
      <c r="R6685" s="2339"/>
    </row>
    <row r="6686" spans="1:18" s="16" customFormat="1">
      <c r="A6686" s="2053"/>
      <c r="B6686" s="1321"/>
      <c r="C6686" s="2021"/>
      <c r="D6686" s="1377"/>
      <c r="E6686" s="2124"/>
      <c r="F6686" s="1378"/>
      <c r="G6686" s="1378"/>
      <c r="H6686" s="1379"/>
      <c r="I6686" s="1299"/>
      <c r="J6686" s="1300"/>
      <c r="K6686" s="1307"/>
      <c r="L6686" s="1335"/>
      <c r="M6686" s="1302"/>
      <c r="N6686" s="1700"/>
      <c r="O6686" s="1290"/>
      <c r="P6686" s="1333"/>
      <c r="Q6686" s="3391"/>
      <c r="R6686" s="2339"/>
    </row>
    <row r="6687" spans="1:18" s="16" customFormat="1">
      <c r="A6687" s="553"/>
      <c r="B6687" s="225"/>
      <c r="C6687" s="581"/>
      <c r="D6687" s="1373"/>
      <c r="E6687" s="2161"/>
      <c r="F6687" s="1678"/>
      <c r="G6687" s="1678"/>
      <c r="H6687" s="1376"/>
      <c r="I6687" s="1299"/>
      <c r="J6687" s="1300"/>
      <c r="K6687" s="1307"/>
      <c r="L6687" s="1335"/>
      <c r="M6687" s="1302"/>
      <c r="N6687" s="1700"/>
      <c r="O6687" s="1290"/>
      <c r="P6687" s="1332"/>
      <c r="Q6687" s="3391"/>
      <c r="R6687" s="2339"/>
    </row>
    <row r="6688" spans="1:18" s="16" customFormat="1">
      <c r="A6688" s="18" t="s">
        <v>3764</v>
      </c>
      <c r="B6688" s="4325" t="s">
        <v>2223</v>
      </c>
      <c r="C6688" s="3350"/>
      <c r="D6688" s="4327"/>
      <c r="E6688" s="4329" t="s">
        <v>1527</v>
      </c>
      <c r="F6688" s="4336" t="s">
        <v>2224</v>
      </c>
      <c r="G6688" s="4331" t="s">
        <v>1568</v>
      </c>
      <c r="H6688" s="4331" t="s">
        <v>1574</v>
      </c>
      <c r="I6688" s="1572" t="s">
        <v>1559</v>
      </c>
      <c r="J6688" s="1294" t="s">
        <v>1560</v>
      </c>
      <c r="K6688" s="1294" t="s">
        <v>1569</v>
      </c>
      <c r="L6688" s="4333" t="s">
        <v>3765</v>
      </c>
      <c r="M6688" s="4335" t="s">
        <v>1571</v>
      </c>
      <c r="N6688" s="4323" t="s">
        <v>1776</v>
      </c>
      <c r="O6688" s="3347" t="s">
        <v>1563</v>
      </c>
      <c r="P6688" s="1336" t="s">
        <v>1562</v>
      </c>
      <c r="Q6688" s="3389"/>
      <c r="R6688" s="1699" t="s">
        <v>1327</v>
      </c>
    </row>
    <row r="6689" spans="1:20" s="16" customFormat="1">
      <c r="A6689" s="1662" t="s">
        <v>2777</v>
      </c>
      <c r="B6689" s="4326"/>
      <c r="C6689" s="3351"/>
      <c r="D6689" s="4328"/>
      <c r="E6689" s="4330"/>
      <c r="F6689" s="4336"/>
      <c r="G6689" s="4332"/>
      <c r="H6689" s="4332"/>
      <c r="I6689" s="1345">
        <v>6</v>
      </c>
      <c r="J6689" s="1307">
        <v>0.25</v>
      </c>
      <c r="K6689" s="1297">
        <f>I6689*J6689</f>
        <v>1.5</v>
      </c>
      <c r="L6689" s="4334"/>
      <c r="M6689" s="4335"/>
      <c r="N6689" s="4324"/>
      <c r="O6689" s="1298">
        <f>SUM(O6691:O6699)</f>
        <v>28.386900000000001</v>
      </c>
      <c r="P6689" s="1337">
        <f>O6689*K6689</f>
        <v>42.580350000000003</v>
      </c>
      <c r="Q6689" s="3390"/>
      <c r="R6689" s="1721">
        <f>SUM(P6691:P6699)</f>
        <v>42.58035000000001</v>
      </c>
    </row>
    <row r="6690" spans="1:20" s="16" customFormat="1">
      <c r="A6690" s="1599"/>
      <c r="B6690" s="1327"/>
      <c r="C6690" s="1511"/>
      <c r="D6690" s="1367"/>
      <c r="E6690" s="2121"/>
      <c r="F6690" s="1389" t="s">
        <v>1</v>
      </c>
      <c r="G6690" s="1389"/>
      <c r="H6690" s="1369"/>
      <c r="I6690" s="2088"/>
      <c r="J6690" s="1369"/>
      <c r="K6690" s="1391"/>
      <c r="L6690" s="2089"/>
      <c r="M6690" s="1369"/>
      <c r="N6690" s="1369"/>
      <c r="O6690" s="1369"/>
      <c r="P6690" s="1392"/>
      <c r="Q6690" s="3395"/>
      <c r="R6690" s="2339"/>
    </row>
    <row r="6691" spans="1:20" s="16" customFormat="1">
      <c r="A6691" s="1599"/>
      <c r="B6691" s="1320"/>
      <c r="C6691" s="595"/>
      <c r="D6691" s="1598" t="s">
        <v>2225</v>
      </c>
      <c r="E6691" s="2154" t="s">
        <v>1527</v>
      </c>
      <c r="F6691" s="1598" t="s">
        <v>2226</v>
      </c>
      <c r="G6691" s="1612">
        <v>1.01</v>
      </c>
      <c r="H6691" s="1369"/>
      <c r="I6691" s="1299"/>
      <c r="J6691" s="1300"/>
      <c r="K6691" s="1307">
        <f>G6691*K6689</f>
        <v>1.5150000000000001</v>
      </c>
      <c r="L6691" s="1335">
        <f t="shared" ref="L6691:L6695" si="888">K6691*$K$6585</f>
        <v>0</v>
      </c>
      <c r="M6691" s="1302">
        <v>0.91</v>
      </c>
      <c r="N6691" s="1700"/>
      <c r="O6691" s="1290">
        <f>G6691*M6691</f>
        <v>0.91910000000000003</v>
      </c>
      <c r="P6691" s="1332">
        <f>M6691*K6691</f>
        <v>1.3786500000000002</v>
      </c>
      <c r="Q6691" s="3391"/>
      <c r="R6691" s="2339"/>
    </row>
    <row r="6692" spans="1:20" s="16" customFormat="1">
      <c r="A6692" s="553"/>
      <c r="B6692" s="1320"/>
      <c r="C6692" s="88"/>
      <c r="D6692" s="1598" t="s">
        <v>2227</v>
      </c>
      <c r="E6692" s="2154" t="s">
        <v>1527</v>
      </c>
      <c r="F6692" s="1598" t="s">
        <v>2228</v>
      </c>
      <c r="G6692" s="1612">
        <v>4.04</v>
      </c>
      <c r="H6692" s="1674"/>
      <c r="I6692" s="1299"/>
      <c r="J6692" s="1300"/>
      <c r="K6692" s="1307">
        <f>G6692*K6689</f>
        <v>6.0600000000000005</v>
      </c>
      <c r="L6692" s="1335">
        <f t="shared" si="888"/>
        <v>0</v>
      </c>
      <c r="M6692" s="1302">
        <v>4.21</v>
      </c>
      <c r="N6692" s="1700"/>
      <c r="O6692" s="1290">
        <f>G6692*M6692</f>
        <v>17.008400000000002</v>
      </c>
      <c r="P6692" s="1332">
        <f>M6692*K6692</f>
        <v>25.512600000000003</v>
      </c>
      <c r="Q6692" s="3391"/>
      <c r="R6692" s="2339"/>
    </row>
    <row r="6693" spans="1:20" s="16" customFormat="1">
      <c r="A6693" s="553"/>
      <c r="B6693" s="1320"/>
      <c r="C6693" s="88"/>
      <c r="D6693" s="1598" t="s">
        <v>2229</v>
      </c>
      <c r="E6693" s="2154" t="s">
        <v>1527</v>
      </c>
      <c r="F6693" s="1598" t="s">
        <v>2230</v>
      </c>
      <c r="G6693" s="1612">
        <v>1.01</v>
      </c>
      <c r="H6693" s="1674"/>
      <c r="I6693" s="1299"/>
      <c r="J6693" s="1300"/>
      <c r="K6693" s="1307">
        <f>G6693*K6689</f>
        <v>1.5150000000000001</v>
      </c>
      <c r="L6693" s="1335">
        <f t="shared" si="888"/>
        <v>0</v>
      </c>
      <c r="M6693" s="1302">
        <v>4.43</v>
      </c>
      <c r="N6693" s="1700"/>
      <c r="O6693" s="1290">
        <f>G6693*M6693</f>
        <v>4.4742999999999995</v>
      </c>
      <c r="P6693" s="1332">
        <f>M6693*K6693</f>
        <v>6.7114500000000001</v>
      </c>
      <c r="Q6693" s="3391"/>
      <c r="R6693" s="2339"/>
    </row>
    <row r="6694" spans="1:20" s="16" customFormat="1">
      <c r="A6694" s="553"/>
      <c r="B6694" s="1320"/>
      <c r="C6694" s="88"/>
      <c r="D6694" s="1598" t="s">
        <v>1082</v>
      </c>
      <c r="E6694" s="2154" t="s">
        <v>1504</v>
      </c>
      <c r="F6694" s="1598" t="s">
        <v>1541</v>
      </c>
      <c r="G6694" s="1612">
        <v>1</v>
      </c>
      <c r="H6694" s="1674"/>
      <c r="I6694" s="1299"/>
      <c r="J6694" s="1300"/>
      <c r="K6694" s="1307">
        <f>G6694*K6689</f>
        <v>1.5</v>
      </c>
      <c r="L6694" s="1335">
        <f t="shared" si="888"/>
        <v>0</v>
      </c>
      <c r="M6694" s="1302">
        <v>0.3</v>
      </c>
      <c r="N6694" s="1700"/>
      <c r="O6694" s="1290">
        <f>G6694*M6694</f>
        <v>0.3</v>
      </c>
      <c r="P6694" s="1332">
        <f>M6694*K6694</f>
        <v>0.44999999999999996</v>
      </c>
      <c r="Q6694" s="3391"/>
      <c r="R6694" s="2339"/>
    </row>
    <row r="6695" spans="1:20" s="16" customFormat="1">
      <c r="A6695" s="553"/>
      <c r="B6695" s="1320"/>
      <c r="C6695" s="88"/>
      <c r="D6695" s="1598" t="s">
        <v>1097</v>
      </c>
      <c r="E6695" s="2154" t="s">
        <v>1504</v>
      </c>
      <c r="F6695" s="1598" t="s">
        <v>1632</v>
      </c>
      <c r="G6695" s="1612">
        <v>1</v>
      </c>
      <c r="H6695" s="1674"/>
      <c r="I6695" s="1299"/>
      <c r="J6695" s="1300"/>
      <c r="K6695" s="1307">
        <f>G6695*K6689</f>
        <v>1.5</v>
      </c>
      <c r="L6695" s="1335">
        <f t="shared" si="888"/>
        <v>0</v>
      </c>
      <c r="M6695" s="1302">
        <v>0.55000000000000004</v>
      </c>
      <c r="N6695" s="1700"/>
      <c r="O6695" s="1290">
        <f>G6695*M6695</f>
        <v>0.55000000000000004</v>
      </c>
      <c r="P6695" s="1332">
        <f>M6695*K6695</f>
        <v>0.82500000000000007</v>
      </c>
      <c r="Q6695" s="3391"/>
      <c r="R6695" s="2339"/>
    </row>
    <row r="6696" spans="1:20" s="16" customFormat="1">
      <c r="A6696" s="553"/>
      <c r="B6696" s="1320"/>
      <c r="C6696" s="88"/>
      <c r="D6696" s="1367"/>
      <c r="E6696" s="2121"/>
      <c r="F6696" s="1436"/>
      <c r="G6696" s="1436"/>
      <c r="H6696" s="1369"/>
      <c r="I6696" s="1299" t="str">
        <f t="shared" ref="I6696" ca="1" si="889">IF(COUNT(H6696:O6696)=0,"",(SUM(H6696:O6696)/COUNT(H6696:O6696)))</f>
        <v/>
      </c>
      <c r="J6696" s="1300"/>
      <c r="K6696" s="1307"/>
      <c r="L6696" s="1335"/>
      <c r="M6696" s="1302"/>
      <c r="N6696" s="1700"/>
      <c r="O6696" s="1290"/>
      <c r="P6696" s="1332"/>
      <c r="Q6696" s="3391"/>
      <c r="R6696" s="2339"/>
    </row>
    <row r="6697" spans="1:20" s="16" customFormat="1">
      <c r="A6697" s="553"/>
      <c r="B6697" s="1320"/>
      <c r="C6697" s="88"/>
      <c r="D6697" s="1359"/>
      <c r="E6697" s="1858"/>
      <c r="F6697" s="1360" t="s">
        <v>2</v>
      </c>
      <c r="G6697" s="1360"/>
      <c r="H6697" s="1362"/>
      <c r="I6697" s="1380"/>
      <c r="J6697" s="1381"/>
      <c r="K6697" s="1381"/>
      <c r="L6697" s="1458"/>
      <c r="M6697" s="1362"/>
      <c r="N6697" s="1362"/>
      <c r="O6697" s="1362"/>
      <c r="P6697" s="1359"/>
      <c r="Q6697" s="3387"/>
      <c r="R6697" s="2339"/>
    </row>
    <row r="6698" spans="1:20" s="16" customFormat="1">
      <c r="A6698" s="1599"/>
      <c r="B6698" s="1320"/>
      <c r="D6698" s="1359" t="s">
        <v>1593</v>
      </c>
      <c r="E6698" s="1858" t="s">
        <v>1508</v>
      </c>
      <c r="F6698" s="1404" t="s">
        <v>2146</v>
      </c>
      <c r="G6698" s="1404">
        <v>0.15</v>
      </c>
      <c r="H6698" s="1359"/>
      <c r="I6698" s="1289"/>
      <c r="J6698" s="8"/>
      <c r="K6698" s="1307">
        <f>G6698*K6689</f>
        <v>0.22499999999999998</v>
      </c>
      <c r="L6698" s="1335">
        <f>K6698*$K$6585</f>
        <v>0</v>
      </c>
      <c r="M6698" s="1302">
        <v>19.23</v>
      </c>
      <c r="N6698" s="1700"/>
      <c r="O6698" s="1290">
        <f>G6698*M6698</f>
        <v>2.8845000000000001</v>
      </c>
      <c r="P6698" s="1332">
        <f>M6698*K6698</f>
        <v>4.3267499999999997</v>
      </c>
      <c r="Q6698" s="3391"/>
      <c r="R6698" s="2339"/>
    </row>
    <row r="6699" spans="1:20" s="16" customFormat="1">
      <c r="A6699"/>
      <c r="B6699" s="1042"/>
      <c r="C6699" s="2086" t="s">
        <v>1755</v>
      </c>
      <c r="D6699" s="1311"/>
      <c r="E6699" s="2176" t="s">
        <v>1508</v>
      </c>
      <c r="F6699" s="1648" t="s">
        <v>1524</v>
      </c>
      <c r="G6699" s="1990"/>
      <c r="H6699" s="1456">
        <v>0.06</v>
      </c>
      <c r="I6699" s="1444"/>
      <c r="J6699" s="1388"/>
      <c r="K6699" s="1445"/>
      <c r="L6699" s="1457"/>
      <c r="M6699" s="1447"/>
      <c r="N6699" s="1447">
        <f>SUM(N6700:N6701)</f>
        <v>37.510000000000005</v>
      </c>
      <c r="O6699" s="1447">
        <f>SUM(O6700:O6701)</f>
        <v>2.2505999999999999</v>
      </c>
      <c r="P6699" s="1447">
        <f>SUM(P6700:P6701)</f>
        <v>3.3758999999999997</v>
      </c>
      <c r="Q6699" s="3391"/>
      <c r="R6699" s="2337"/>
      <c r="S6699"/>
      <c r="T6699"/>
    </row>
    <row r="6700" spans="1:20" s="16" customFormat="1">
      <c r="A6700"/>
      <c r="B6700" s="1042"/>
      <c r="C6700" s="19"/>
      <c r="D6700" s="1430" t="s">
        <v>1067</v>
      </c>
      <c r="E6700" s="1857" t="s">
        <v>1508</v>
      </c>
      <c r="F6700" s="1403" t="s">
        <v>5</v>
      </c>
      <c r="G6700" s="1991">
        <v>1</v>
      </c>
      <c r="H6700" s="1408">
        <f>G6700*H6699</f>
        <v>0.06</v>
      </c>
      <c r="I6700" s="1286"/>
      <c r="J6700" s="198"/>
      <c r="K6700" s="1307">
        <f>H6700*K6689</f>
        <v>0.09</v>
      </c>
      <c r="L6700" s="1335">
        <f t="shared" ref="L6700:L6701" si="890">K6700*$K$6585</f>
        <v>0</v>
      </c>
      <c r="M6700" s="1302">
        <v>18.28</v>
      </c>
      <c r="N6700" s="1718">
        <f>G6700*M6700</f>
        <v>18.28</v>
      </c>
      <c r="O6700" s="1290">
        <f>H6700*M6700</f>
        <v>1.0968</v>
      </c>
      <c r="P6700" s="1720">
        <f>M6700*K6700</f>
        <v>1.6452</v>
      </c>
      <c r="Q6700" s="3396"/>
      <c r="R6700" s="2337"/>
      <c r="S6700"/>
      <c r="T6700"/>
    </row>
    <row r="6701" spans="1:20" s="16" customFormat="1">
      <c r="A6701"/>
      <c r="B6701" s="1042"/>
      <c r="C6701" s="19"/>
      <c r="D6701" s="1430" t="s">
        <v>1077</v>
      </c>
      <c r="E6701" s="1857" t="s">
        <v>1508</v>
      </c>
      <c r="F6701" s="1403" t="s">
        <v>37</v>
      </c>
      <c r="G6701" s="1991">
        <v>1</v>
      </c>
      <c r="H6701" s="1408">
        <f>G6701*H6699</f>
        <v>0.06</v>
      </c>
      <c r="I6701" s="197"/>
      <c r="J6701" s="198"/>
      <c r="K6701" s="1307">
        <f>H6701*K6689</f>
        <v>0.09</v>
      </c>
      <c r="L6701" s="1335">
        <f t="shared" si="890"/>
        <v>0</v>
      </c>
      <c r="M6701" s="1302">
        <v>19.23</v>
      </c>
      <c r="N6701" s="1718">
        <f>G6701*M6701</f>
        <v>19.23</v>
      </c>
      <c r="O6701" s="1290">
        <f>H6701*M6701</f>
        <v>1.1537999999999999</v>
      </c>
      <c r="P6701" s="1720">
        <f>M6701*K6701</f>
        <v>1.7306999999999999</v>
      </c>
      <c r="Q6701" s="3396"/>
      <c r="R6701" s="2337"/>
      <c r="S6701"/>
      <c r="T6701"/>
    </row>
    <row r="6702" spans="1:20" s="16" customFormat="1">
      <c r="A6702"/>
      <c r="B6702" s="1320"/>
      <c r="D6702" s="1359"/>
      <c r="E6702" s="1858"/>
      <c r="F6702" s="1361"/>
      <c r="G6702" s="1361"/>
      <c r="H6702" s="1466"/>
      <c r="I6702" s="1289"/>
      <c r="J6702" s="8"/>
      <c r="K6702" s="1307"/>
      <c r="L6702" s="1335"/>
      <c r="M6702" s="1302"/>
      <c r="N6702" s="1700"/>
      <c r="O6702" s="1290"/>
      <c r="P6702" s="1332"/>
      <c r="Q6702" s="3391"/>
      <c r="R6702" s="1296"/>
      <c r="S6702"/>
      <c r="T6702"/>
    </row>
    <row r="6703" spans="1:20" s="16" customFormat="1">
      <c r="A6703" s="1599"/>
      <c r="B6703" s="1320"/>
      <c r="C6703" s="595"/>
      <c r="D6703" s="1359"/>
      <c r="E6703" s="1858"/>
      <c r="F6703" s="1361"/>
      <c r="G6703" s="1361"/>
      <c r="H6703" s="1466"/>
      <c r="I6703" s="1299"/>
      <c r="J6703" s="1300"/>
      <c r="K6703" s="1307"/>
      <c r="L6703" s="1335"/>
      <c r="M6703" s="1302"/>
      <c r="N6703" s="1700"/>
      <c r="O6703" s="1290"/>
      <c r="P6703" s="1332"/>
      <c r="Q6703" s="3391"/>
      <c r="R6703" s="2339"/>
    </row>
    <row r="6704" spans="1:20" s="16" customFormat="1">
      <c r="A6704" s="1599"/>
      <c r="B6704" s="1320"/>
      <c r="C6704" s="595"/>
      <c r="D6704" s="1373"/>
      <c r="E6704" s="2123"/>
      <c r="F6704" s="1374" t="s">
        <v>3</v>
      </c>
      <c r="G6704" s="1375"/>
      <c r="H6704" s="1376"/>
      <c r="I6704" s="1382"/>
      <c r="J6704" s="1383"/>
      <c r="K6704" s="1383"/>
      <c r="L6704" s="1413"/>
      <c r="M6704" s="1376"/>
      <c r="N6704" s="1376"/>
      <c r="O6704" s="1376"/>
      <c r="P6704" s="1373"/>
      <c r="Q6704" s="3387"/>
      <c r="R6704" s="2339"/>
    </row>
    <row r="6705" spans="1:18" s="16" customFormat="1">
      <c r="A6705" s="2053"/>
      <c r="B6705" s="1321"/>
      <c r="C6705" s="2021"/>
      <c r="D6705" s="1377"/>
      <c r="E6705" s="2124"/>
      <c r="F6705" s="1378"/>
      <c r="G6705" s="1378"/>
      <c r="H6705" s="1379"/>
      <c r="I6705" s="1299"/>
      <c r="J6705" s="1300"/>
      <c r="K6705" s="1307"/>
      <c r="L6705" s="1335"/>
      <c r="M6705" s="1302"/>
      <c r="N6705" s="1700"/>
      <c r="O6705" s="1290"/>
      <c r="P6705" s="1332"/>
      <c r="Q6705" s="3391"/>
      <c r="R6705" s="2339"/>
    </row>
    <row r="6706" spans="1:18" s="16" customFormat="1">
      <c r="A6706" s="2053"/>
      <c r="B6706" s="1321"/>
      <c r="C6706" s="2021"/>
      <c r="D6706" s="1377"/>
      <c r="E6706" s="2124"/>
      <c r="F6706" s="1378"/>
      <c r="G6706" s="1378"/>
      <c r="H6706" s="1379"/>
      <c r="I6706" s="1299"/>
      <c r="J6706" s="1300"/>
      <c r="K6706" s="1307"/>
      <c r="L6706" s="1335"/>
      <c r="M6706" s="1302"/>
      <c r="N6706" s="1700"/>
      <c r="O6706" s="1290"/>
      <c r="P6706" s="1333"/>
      <c r="Q6706" s="3391"/>
      <c r="R6706" s="2339"/>
    </row>
    <row r="6707" spans="1:18" s="16" customFormat="1">
      <c r="A6707" s="553"/>
      <c r="B6707" s="225"/>
      <c r="C6707" s="581"/>
      <c r="D6707" s="1373"/>
      <c r="E6707" s="2161"/>
      <c r="F6707" s="1678"/>
      <c r="G6707" s="1678"/>
      <c r="H6707" s="1376"/>
      <c r="I6707" s="1299"/>
      <c r="J6707" s="1300"/>
      <c r="K6707" s="1307"/>
      <c r="L6707" s="1335"/>
      <c r="M6707" s="1302"/>
      <c r="N6707" s="1700"/>
      <c r="O6707" s="1290"/>
      <c r="P6707" s="1332"/>
      <c r="Q6707" s="3391"/>
      <c r="R6707" s="2339"/>
    </row>
    <row r="6708" spans="1:18" s="16" customFormat="1" ht="15" customHeight="1">
      <c r="A6708" s="18" t="s">
        <v>3764</v>
      </c>
      <c r="B6708" s="4325" t="s">
        <v>2231</v>
      </c>
      <c r="C6708" s="3350"/>
      <c r="D6708" s="4327"/>
      <c r="E6708" s="4329" t="s">
        <v>1504</v>
      </c>
      <c r="F6708" s="4336" t="s">
        <v>2232</v>
      </c>
      <c r="G6708" s="4331" t="s">
        <v>1568</v>
      </c>
      <c r="H6708" s="4331" t="s">
        <v>1574</v>
      </c>
      <c r="I6708" s="1572" t="s">
        <v>1559</v>
      </c>
      <c r="J6708" s="1294" t="s">
        <v>1560</v>
      </c>
      <c r="K6708" s="1294" t="s">
        <v>1569</v>
      </c>
      <c r="L6708" s="4333" t="s">
        <v>3765</v>
      </c>
      <c r="M6708" s="4335" t="s">
        <v>1571</v>
      </c>
      <c r="N6708" s="4323" t="s">
        <v>1776</v>
      </c>
      <c r="O6708" s="3347" t="s">
        <v>1563</v>
      </c>
      <c r="P6708" s="1336" t="s">
        <v>1562</v>
      </c>
      <c r="Q6708" s="3389"/>
      <c r="R6708" s="1699" t="s">
        <v>1327</v>
      </c>
    </row>
    <row r="6709" spans="1:18" s="16" customFormat="1">
      <c r="A6709" s="1662" t="s">
        <v>2777</v>
      </c>
      <c r="B6709" s="4326"/>
      <c r="C6709" s="3351"/>
      <c r="D6709" s="4328"/>
      <c r="E6709" s="4330"/>
      <c r="F6709" s="4336"/>
      <c r="G6709" s="4332"/>
      <c r="H6709" s="4332"/>
      <c r="I6709" s="1345">
        <v>4</v>
      </c>
      <c r="J6709" s="1307">
        <v>0.25</v>
      </c>
      <c r="K6709" s="1297">
        <f>I6709*J6709</f>
        <v>1</v>
      </c>
      <c r="L6709" s="4334"/>
      <c r="M6709" s="4335"/>
      <c r="N6709" s="4324"/>
      <c r="O6709" s="1298">
        <f>SUM(O6711:O6718)</f>
        <v>122.19200000000001</v>
      </c>
      <c r="P6709" s="1337">
        <f>O6709*K6709</f>
        <v>122.19200000000001</v>
      </c>
      <c r="Q6709" s="3390"/>
      <c r="R6709" s="1721">
        <f>SUM(P6711:P6718)</f>
        <v>122.19200000000001</v>
      </c>
    </row>
    <row r="6710" spans="1:18" s="16" customFormat="1">
      <c r="A6710" s="1599"/>
      <c r="B6710" s="1327"/>
      <c r="C6710" s="1511"/>
      <c r="D6710" s="1367"/>
      <c r="E6710" s="2121"/>
      <c r="F6710" s="1389" t="s">
        <v>1</v>
      </c>
      <c r="G6710" s="1389"/>
      <c r="H6710" s="1369"/>
      <c r="I6710" s="2088"/>
      <c r="J6710" s="1369"/>
      <c r="K6710" s="1391"/>
      <c r="L6710" s="2089"/>
      <c r="M6710" s="1369"/>
      <c r="N6710" s="1369"/>
      <c r="O6710" s="1369"/>
      <c r="P6710" s="1392"/>
      <c r="Q6710" s="3395"/>
      <c r="R6710" s="2339"/>
    </row>
    <row r="6711" spans="1:18" s="16" customFormat="1">
      <c r="A6711" s="1599"/>
      <c r="B6711" s="1320"/>
      <c r="C6711" s="595"/>
      <c r="D6711" s="1598" t="s">
        <v>2233</v>
      </c>
      <c r="E6711" s="2154" t="s">
        <v>1504</v>
      </c>
      <c r="F6711" s="1598" t="s">
        <v>2234</v>
      </c>
      <c r="G6711" s="1612">
        <v>1</v>
      </c>
      <c r="H6711" s="1369"/>
      <c r="I6711" s="1289"/>
      <c r="J6711" s="8"/>
      <c r="K6711" s="1307">
        <f>G6711*K6709</f>
        <v>1</v>
      </c>
      <c r="L6711" s="1335">
        <f t="shared" ref="L6711:L6714" si="891">K6711*$K$6585</f>
        <v>0</v>
      </c>
      <c r="M6711" s="1302">
        <v>51.48</v>
      </c>
      <c r="N6711" s="1700"/>
      <c r="O6711" s="1290">
        <f>G6711*M6711</f>
        <v>51.48</v>
      </c>
      <c r="P6711" s="1332">
        <f>M6711*K6711</f>
        <v>51.48</v>
      </c>
      <c r="Q6711" s="3391"/>
      <c r="R6711" s="2339"/>
    </row>
    <row r="6712" spans="1:18" s="16" customFormat="1">
      <c r="A6712" s="1599"/>
      <c r="B6712" s="1320"/>
      <c r="C6712" s="595"/>
      <c r="D6712" s="1598" t="s">
        <v>2235</v>
      </c>
      <c r="E6712" s="2154" t="s">
        <v>1504</v>
      </c>
      <c r="F6712" s="1598" t="s">
        <v>2236</v>
      </c>
      <c r="G6712" s="1612">
        <v>1</v>
      </c>
      <c r="H6712" s="1369"/>
      <c r="I6712" s="1289"/>
      <c r="J6712" s="8"/>
      <c r="K6712" s="1307">
        <f>G6712*K6709</f>
        <v>1</v>
      </c>
      <c r="L6712" s="1335">
        <f t="shared" si="891"/>
        <v>0</v>
      </c>
      <c r="M6712" s="1302">
        <v>2.25</v>
      </c>
      <c r="N6712" s="1700"/>
      <c r="O6712" s="1290">
        <f>G6712*M6712</f>
        <v>2.25</v>
      </c>
      <c r="P6712" s="1332">
        <f>M6712*K6712</f>
        <v>2.25</v>
      </c>
      <c r="Q6712" s="3391"/>
      <c r="R6712" s="2339"/>
    </row>
    <row r="6713" spans="1:18" s="16" customFormat="1">
      <c r="A6713" s="553"/>
      <c r="B6713" s="1320"/>
      <c r="C6713" s="88"/>
      <c r="D6713" s="1598" t="s">
        <v>1082</v>
      </c>
      <c r="E6713" s="2154" t="s">
        <v>1504</v>
      </c>
      <c r="F6713" s="1598" t="s">
        <v>1541</v>
      </c>
      <c r="G6713" s="1612">
        <v>3</v>
      </c>
      <c r="H6713" s="1674"/>
      <c r="I6713" s="1289"/>
      <c r="J6713" s="8"/>
      <c r="K6713" s="1307">
        <f>G6713*K6709</f>
        <v>3</v>
      </c>
      <c r="L6713" s="1335">
        <f t="shared" si="891"/>
        <v>0</v>
      </c>
      <c r="M6713" s="1302">
        <v>0.3</v>
      </c>
      <c r="N6713" s="1700"/>
      <c r="O6713" s="1290">
        <f>G6713*M6713</f>
        <v>0.89999999999999991</v>
      </c>
      <c r="P6713" s="1332">
        <f>M6713*K6713</f>
        <v>0.89999999999999991</v>
      </c>
      <c r="Q6713" s="3391"/>
      <c r="R6713" s="2339"/>
    </row>
    <row r="6714" spans="1:18" s="16" customFormat="1">
      <c r="A6714" s="553"/>
      <c r="B6714" s="1320"/>
      <c r="C6714" s="88"/>
      <c r="D6714" s="1598" t="s">
        <v>1097</v>
      </c>
      <c r="E6714" s="2154" t="s">
        <v>1504</v>
      </c>
      <c r="F6714" s="1598" t="s">
        <v>1632</v>
      </c>
      <c r="G6714" s="1612">
        <v>5</v>
      </c>
      <c r="H6714" s="1674"/>
      <c r="I6714" s="1289"/>
      <c r="J6714" s="8"/>
      <c r="K6714" s="1307">
        <f>G6714*K6709</f>
        <v>5</v>
      </c>
      <c r="L6714" s="1335">
        <f t="shared" si="891"/>
        <v>0</v>
      </c>
      <c r="M6714" s="1302">
        <v>0.55000000000000004</v>
      </c>
      <c r="N6714" s="1700"/>
      <c r="O6714" s="1290">
        <f>G6714*M6714</f>
        <v>2.75</v>
      </c>
      <c r="P6714" s="1332">
        <f>M6714*K6714</f>
        <v>2.75</v>
      </c>
      <c r="Q6714" s="3391"/>
      <c r="R6714" s="2339"/>
    </row>
    <row r="6715" spans="1:18" s="16" customFormat="1">
      <c r="A6715" s="553"/>
      <c r="B6715" s="1320"/>
      <c r="C6715" s="88"/>
      <c r="D6715" s="1367"/>
      <c r="E6715" s="2121"/>
      <c r="F6715" s="1436"/>
      <c r="G6715" s="1436"/>
      <c r="H6715" s="1369"/>
      <c r="I6715" s="1289"/>
      <c r="J6715" s="8"/>
      <c r="K6715" s="1307"/>
      <c r="L6715" s="1335"/>
      <c r="M6715" s="1302"/>
      <c r="N6715" s="1700"/>
      <c r="O6715" s="1290"/>
      <c r="P6715" s="1332"/>
      <c r="Q6715" s="3391"/>
      <c r="R6715" s="2339"/>
    </row>
    <row r="6716" spans="1:18" s="16" customFormat="1">
      <c r="A6716" s="553"/>
      <c r="B6716" s="1320"/>
      <c r="C6716" s="88"/>
      <c r="D6716" s="1359"/>
      <c r="E6716" s="1858"/>
      <c r="F6716" s="1360" t="s">
        <v>2</v>
      </c>
      <c r="G6716" s="1360"/>
      <c r="H6716" s="1362"/>
      <c r="I6716" s="1380"/>
      <c r="J6716" s="1381"/>
      <c r="K6716" s="1381"/>
      <c r="L6716" s="1458"/>
      <c r="M6716" s="1362"/>
      <c r="N6716" s="1362"/>
      <c r="O6716" s="1362"/>
      <c r="P6716" s="1359"/>
      <c r="Q6716" s="3387"/>
      <c r="R6716" s="2339"/>
    </row>
    <row r="6717" spans="1:18" s="16" customFormat="1">
      <c r="A6717" s="1599"/>
      <c r="B6717" s="1320"/>
      <c r="D6717" s="1359" t="s">
        <v>1593</v>
      </c>
      <c r="E6717" s="1858" t="s">
        <v>1508</v>
      </c>
      <c r="F6717" s="1404" t="s">
        <v>2146</v>
      </c>
      <c r="G6717" s="2096">
        <v>2.2000000000000002</v>
      </c>
      <c r="H6717" s="1359"/>
      <c r="I6717" s="1289"/>
      <c r="J6717" s="8"/>
      <c r="K6717" s="1307">
        <f>G6717*K6709</f>
        <v>2.2000000000000002</v>
      </c>
      <c r="L6717" s="1335">
        <f>K6717*$K$6585</f>
        <v>0</v>
      </c>
      <c r="M6717" s="1302">
        <v>19.23</v>
      </c>
      <c r="N6717" s="1700"/>
      <c r="O6717" s="1290">
        <f>G6717*M6717</f>
        <v>42.306000000000004</v>
      </c>
      <c r="P6717" s="1332">
        <f>M6717*K6717</f>
        <v>42.306000000000004</v>
      </c>
      <c r="Q6717" s="3391"/>
      <c r="R6717" s="2339"/>
    </row>
    <row r="6718" spans="1:18" s="16" customFormat="1">
      <c r="A6718"/>
      <c r="B6718" s="1042"/>
      <c r="C6718" s="2086" t="s">
        <v>1755</v>
      </c>
      <c r="D6718" s="1311"/>
      <c r="E6718" s="2176" t="s">
        <v>1508</v>
      </c>
      <c r="F6718" s="1648" t="s">
        <v>1524</v>
      </c>
      <c r="G6718" s="1990"/>
      <c r="H6718" s="2097">
        <v>0.6</v>
      </c>
      <c r="I6718" s="1444"/>
      <c r="J6718" s="1388"/>
      <c r="K6718" s="1445"/>
      <c r="L6718" s="1457"/>
      <c r="M6718" s="1447"/>
      <c r="N6718" s="1447">
        <f>SUM(N6719:N6720)</f>
        <v>37.510000000000005</v>
      </c>
      <c r="O6718" s="1447">
        <f>SUM(O6719:O6720)</f>
        <v>22.506</v>
      </c>
      <c r="P6718" s="1447">
        <f>SUM(P6719:P6720)</f>
        <v>22.506</v>
      </c>
      <c r="Q6718" s="3391"/>
      <c r="R6718" s="2337"/>
    </row>
    <row r="6719" spans="1:18" s="16" customFormat="1">
      <c r="A6719"/>
      <c r="B6719" s="1042"/>
      <c r="C6719" s="19"/>
      <c r="D6719" s="1430" t="s">
        <v>1067</v>
      </c>
      <c r="E6719" s="1857" t="s">
        <v>1508</v>
      </c>
      <c r="F6719" s="1403" t="s">
        <v>5</v>
      </c>
      <c r="G6719" s="1991">
        <v>1</v>
      </c>
      <c r="H6719" s="1408">
        <f>G6719*H6718</f>
        <v>0.6</v>
      </c>
      <c r="I6719" s="1286"/>
      <c r="J6719" s="198"/>
      <c r="K6719" s="1307">
        <f>H6719*K6709</f>
        <v>0.6</v>
      </c>
      <c r="L6719" s="1335">
        <f t="shared" ref="L6719:L6720" si="892">K6719*$K$6585</f>
        <v>0</v>
      </c>
      <c r="M6719" s="1302">
        <v>18.28</v>
      </c>
      <c r="N6719" s="1718">
        <f>G6719*M6719</f>
        <v>18.28</v>
      </c>
      <c r="O6719" s="1290">
        <f>H6719*M6719</f>
        <v>10.968</v>
      </c>
      <c r="P6719" s="1720">
        <f>M6719*K6719</f>
        <v>10.968</v>
      </c>
      <c r="Q6719" s="3396"/>
      <c r="R6719" s="2337"/>
    </row>
    <row r="6720" spans="1:18" s="16" customFormat="1">
      <c r="A6720"/>
      <c r="B6720" s="1042"/>
      <c r="C6720" s="19"/>
      <c r="D6720" s="1430" t="s">
        <v>1077</v>
      </c>
      <c r="E6720" s="1857" t="s">
        <v>1508</v>
      </c>
      <c r="F6720" s="1403" t="s">
        <v>37</v>
      </c>
      <c r="G6720" s="1991">
        <v>1</v>
      </c>
      <c r="H6720" s="1408">
        <f>G6720*H6718</f>
        <v>0.6</v>
      </c>
      <c r="I6720" s="197"/>
      <c r="J6720" s="198"/>
      <c r="K6720" s="1307">
        <f>H6720*K6709</f>
        <v>0.6</v>
      </c>
      <c r="L6720" s="1335">
        <f t="shared" si="892"/>
        <v>0</v>
      </c>
      <c r="M6720" s="1302">
        <v>19.23</v>
      </c>
      <c r="N6720" s="1718">
        <f>G6720*M6720</f>
        <v>19.23</v>
      </c>
      <c r="O6720" s="1290">
        <f>H6720*M6720</f>
        <v>11.538</v>
      </c>
      <c r="P6720" s="1720">
        <f>M6720*K6720</f>
        <v>11.538</v>
      </c>
      <c r="Q6720" s="3396"/>
      <c r="R6720" s="2337"/>
    </row>
    <row r="6721" spans="1:18" s="16" customFormat="1">
      <c r="A6721"/>
      <c r="B6721" s="1320"/>
      <c r="D6721" s="1359"/>
      <c r="E6721" s="1858"/>
      <c r="F6721" s="1361"/>
      <c r="G6721" s="1361"/>
      <c r="H6721" s="1466"/>
      <c r="I6721" s="1289"/>
      <c r="J6721" s="8"/>
      <c r="K6721" s="1307"/>
      <c r="L6721" s="1335"/>
      <c r="M6721" s="1302"/>
      <c r="N6721" s="1700"/>
      <c r="O6721" s="1290"/>
      <c r="P6721" s="1332"/>
      <c r="Q6721" s="3391"/>
      <c r="R6721" s="1296"/>
    </row>
    <row r="6722" spans="1:18" s="16" customFormat="1">
      <c r="A6722" s="1599"/>
      <c r="B6722" s="1320"/>
      <c r="C6722" s="595"/>
      <c r="D6722" s="1359"/>
      <c r="E6722" s="1858"/>
      <c r="F6722" s="1361"/>
      <c r="G6722" s="1361"/>
      <c r="H6722" s="1466"/>
      <c r="I6722" s="1299"/>
      <c r="J6722" s="1300"/>
      <c r="K6722" s="1307"/>
      <c r="L6722" s="1335"/>
      <c r="M6722" s="1302"/>
      <c r="N6722" s="1700"/>
      <c r="O6722" s="1290"/>
      <c r="P6722" s="1332"/>
      <c r="Q6722" s="3391"/>
      <c r="R6722" s="2339"/>
    </row>
    <row r="6723" spans="1:18" s="16" customFormat="1">
      <c r="A6723" s="1599"/>
      <c r="B6723" s="1320"/>
      <c r="C6723" s="595"/>
      <c r="D6723" s="1373"/>
      <c r="E6723" s="2123"/>
      <c r="F6723" s="1374" t="s">
        <v>3</v>
      </c>
      <c r="G6723" s="1375"/>
      <c r="H6723" s="1376"/>
      <c r="I6723" s="1382"/>
      <c r="J6723" s="1383"/>
      <c r="K6723" s="1383" t="str">
        <f>IF(COUNT(I6723)=0,"",(I6723*J6723))</f>
        <v/>
      </c>
      <c r="L6723" s="1413"/>
      <c r="M6723" s="1376"/>
      <c r="N6723" s="1376"/>
      <c r="O6723" s="1376"/>
      <c r="P6723" s="1373"/>
      <c r="Q6723" s="3387"/>
      <c r="R6723" s="2339"/>
    </row>
    <row r="6724" spans="1:18" s="16" customFormat="1">
      <c r="A6724" s="2053"/>
      <c r="B6724" s="1321"/>
      <c r="C6724" s="2021"/>
      <c r="D6724" s="1377"/>
      <c r="E6724" s="2124"/>
      <c r="F6724" s="1378"/>
      <c r="G6724" s="1378"/>
      <c r="H6724" s="1379"/>
      <c r="I6724" s="1299"/>
      <c r="J6724" s="1300"/>
      <c r="K6724" s="1307"/>
      <c r="L6724" s="1335"/>
      <c r="M6724" s="1302"/>
      <c r="N6724" s="1700"/>
      <c r="O6724" s="1290"/>
      <c r="P6724" s="1332"/>
      <c r="Q6724" s="3391"/>
      <c r="R6724" s="2339"/>
    </row>
    <row r="6725" spans="1:18" s="16" customFormat="1">
      <c r="A6725" s="2053"/>
      <c r="B6725" s="1321"/>
      <c r="C6725" s="2021"/>
      <c r="D6725" s="1377"/>
      <c r="E6725" s="2124"/>
      <c r="F6725" s="1378"/>
      <c r="G6725" s="1378"/>
      <c r="H6725" s="1379"/>
      <c r="I6725" s="1299"/>
      <c r="J6725" s="1300"/>
      <c r="K6725" s="1307"/>
      <c r="L6725" s="1335"/>
      <c r="M6725" s="1302"/>
      <c r="N6725" s="1700"/>
      <c r="O6725" s="1290"/>
      <c r="P6725" s="1333"/>
      <c r="Q6725" s="3391"/>
      <c r="R6725" s="2339"/>
    </row>
    <row r="6726" spans="1:18" s="16" customFormat="1">
      <c r="A6726" s="553"/>
      <c r="B6726" s="225"/>
      <c r="C6726" s="581"/>
      <c r="D6726" s="1373"/>
      <c r="E6726" s="2161"/>
      <c r="F6726" s="1678"/>
      <c r="G6726" s="1678"/>
      <c r="H6726" s="1376"/>
      <c r="I6726" s="1299"/>
      <c r="J6726" s="1300"/>
      <c r="K6726" s="1307"/>
      <c r="L6726" s="1335"/>
      <c r="M6726" s="1302"/>
      <c r="N6726" s="1700"/>
      <c r="O6726" s="1290"/>
      <c r="P6726" s="1332"/>
      <c r="Q6726" s="3391"/>
      <c r="R6726" s="2339"/>
    </row>
    <row r="6727" spans="1:18" s="16" customFormat="1">
      <c r="A6727" s="18" t="s">
        <v>3764</v>
      </c>
      <c r="B6727" s="4325" t="s">
        <v>2237</v>
      </c>
      <c r="C6727" s="3350"/>
      <c r="D6727" s="4327"/>
      <c r="E6727" s="4329" t="s">
        <v>1527</v>
      </c>
      <c r="F6727" s="4336" t="s">
        <v>2238</v>
      </c>
      <c r="G6727" s="4331" t="s">
        <v>1568</v>
      </c>
      <c r="H6727" s="4331" t="s">
        <v>1574</v>
      </c>
      <c r="I6727" s="1572" t="s">
        <v>1559</v>
      </c>
      <c r="J6727" s="1294" t="s">
        <v>1560</v>
      </c>
      <c r="K6727" s="1294" t="s">
        <v>1569</v>
      </c>
      <c r="L6727" s="4333" t="s">
        <v>3765</v>
      </c>
      <c r="M6727" s="4335" t="s">
        <v>1571</v>
      </c>
      <c r="N6727" s="4323" t="s">
        <v>1776</v>
      </c>
      <c r="O6727" s="3347" t="s">
        <v>1563</v>
      </c>
      <c r="P6727" s="1336" t="s">
        <v>1562</v>
      </c>
      <c r="Q6727" s="3389"/>
      <c r="R6727" s="1699" t="s">
        <v>1327</v>
      </c>
    </row>
    <row r="6728" spans="1:18" s="16" customFormat="1">
      <c r="A6728" s="1662" t="s">
        <v>2777</v>
      </c>
      <c r="B6728" s="4326"/>
      <c r="C6728" s="3351"/>
      <c r="D6728" s="4328"/>
      <c r="E6728" s="4330"/>
      <c r="F6728" s="4336"/>
      <c r="G6728" s="4332"/>
      <c r="H6728" s="4332"/>
      <c r="I6728" s="1345">
        <v>38</v>
      </c>
      <c r="J6728" s="1307">
        <v>0.25</v>
      </c>
      <c r="K6728" s="1297">
        <f>I6728*J6728</f>
        <v>9.5</v>
      </c>
      <c r="L6728" s="4334"/>
      <c r="M6728" s="4335"/>
      <c r="N6728" s="4324"/>
      <c r="O6728" s="1298">
        <f>SUM(O6730:O6737)</f>
        <v>7.4354800000000001</v>
      </c>
      <c r="P6728" s="1337">
        <f>O6728*K6728</f>
        <v>70.637060000000005</v>
      </c>
      <c r="Q6728" s="3390"/>
      <c r="R6728" s="1721">
        <f>SUM(P6730:P6737)</f>
        <v>70.637059999999991</v>
      </c>
    </row>
    <row r="6729" spans="1:18" s="16" customFormat="1">
      <c r="A6729" s="1599"/>
      <c r="B6729" s="1327"/>
      <c r="C6729" s="1511"/>
      <c r="D6729" s="1367"/>
      <c r="E6729" s="2121"/>
      <c r="F6729" s="1389" t="s">
        <v>1</v>
      </c>
      <c r="G6729" s="1389"/>
      <c r="H6729" s="1369"/>
      <c r="I6729" s="2088"/>
      <c r="J6729" s="1369"/>
      <c r="K6729" s="1391"/>
      <c r="L6729" s="2089"/>
      <c r="M6729" s="1369"/>
      <c r="N6729" s="1369"/>
      <c r="O6729" s="1369"/>
      <c r="P6729" s="1392"/>
      <c r="Q6729" s="3395"/>
      <c r="R6729" s="2339"/>
    </row>
    <row r="6730" spans="1:18" s="16" customFormat="1">
      <c r="A6730" s="1599"/>
      <c r="B6730" s="1320"/>
      <c r="C6730" s="595"/>
      <c r="D6730" s="1598" t="s">
        <v>2239</v>
      </c>
      <c r="E6730" s="2154" t="s">
        <v>1527</v>
      </c>
      <c r="F6730" s="1598" t="s">
        <v>2240</v>
      </c>
      <c r="G6730" s="1612">
        <v>1.01</v>
      </c>
      <c r="H6730" s="1369"/>
      <c r="I6730" s="1299"/>
      <c r="J6730" s="1300"/>
      <c r="K6730" s="1307">
        <f>G6730*K6728</f>
        <v>9.5950000000000006</v>
      </c>
      <c r="L6730" s="1335">
        <f t="shared" ref="L6730:L6733" si="893">K6730*$K$6585</f>
        <v>0</v>
      </c>
      <c r="M6730" s="1302">
        <v>0.44</v>
      </c>
      <c r="N6730" s="1700"/>
      <c r="O6730" s="1290">
        <f>G6730*M6730</f>
        <v>0.44440000000000002</v>
      </c>
      <c r="P6730" s="1332">
        <f>M6730*K6730</f>
        <v>4.2218</v>
      </c>
      <c r="Q6730" s="3391"/>
      <c r="R6730" s="2339"/>
    </row>
    <row r="6731" spans="1:18" s="16" customFormat="1">
      <c r="A6731" s="553"/>
      <c r="B6731" s="1320"/>
      <c r="C6731" s="88"/>
      <c r="D6731" s="1598" t="s">
        <v>2184</v>
      </c>
      <c r="E6731" s="2154" t="s">
        <v>1527</v>
      </c>
      <c r="F6731" s="1598" t="s">
        <v>2185</v>
      </c>
      <c r="G6731" s="1612">
        <v>3.03</v>
      </c>
      <c r="H6731" s="1674"/>
      <c r="I6731" s="1299"/>
      <c r="J6731" s="1300"/>
      <c r="K6731" s="1307">
        <f>G6731*K6728</f>
        <v>28.784999999999997</v>
      </c>
      <c r="L6731" s="1335">
        <f t="shared" si="893"/>
        <v>0</v>
      </c>
      <c r="M6731" s="1302">
        <v>1.54</v>
      </c>
      <c r="N6731" s="1700"/>
      <c r="O6731" s="1290">
        <f>G6731*M6731</f>
        <v>4.6661999999999999</v>
      </c>
      <c r="P6731" s="1332">
        <f>M6731*K6731</f>
        <v>44.328899999999997</v>
      </c>
      <c r="Q6731" s="3391"/>
      <c r="R6731" s="2339"/>
    </row>
    <row r="6732" spans="1:18" s="16" customFormat="1">
      <c r="A6732" s="553"/>
      <c r="B6732" s="1320"/>
      <c r="C6732" s="88"/>
      <c r="D6732" s="1598" t="s">
        <v>1082</v>
      </c>
      <c r="E6732" s="2154" t="s">
        <v>1504</v>
      </c>
      <c r="F6732" s="1598" t="s">
        <v>1541</v>
      </c>
      <c r="G6732" s="1612">
        <v>0.5</v>
      </c>
      <c r="H6732" s="1674"/>
      <c r="I6732" s="1299"/>
      <c r="J6732" s="1300"/>
      <c r="K6732" s="1307">
        <f>G6732*K6728</f>
        <v>4.75</v>
      </c>
      <c r="L6732" s="1335">
        <f t="shared" si="893"/>
        <v>0</v>
      </c>
      <c r="M6732" s="1302">
        <v>0.3</v>
      </c>
      <c r="N6732" s="1700"/>
      <c r="O6732" s="1290">
        <f>G6732*M6732</f>
        <v>0.15</v>
      </c>
      <c r="P6732" s="1332">
        <f>M6732*K6732</f>
        <v>1.425</v>
      </c>
      <c r="Q6732" s="3391"/>
      <c r="R6732" s="2339"/>
    </row>
    <row r="6733" spans="1:18" s="16" customFormat="1">
      <c r="A6733" s="553"/>
      <c r="B6733" s="1320"/>
      <c r="C6733" s="88"/>
      <c r="D6733" s="1598" t="s">
        <v>1097</v>
      </c>
      <c r="E6733" s="2154" t="s">
        <v>1504</v>
      </c>
      <c r="F6733" s="1598" t="s">
        <v>1632</v>
      </c>
      <c r="G6733" s="1612">
        <v>0.3</v>
      </c>
      <c r="H6733" s="1674"/>
      <c r="I6733" s="1299"/>
      <c r="J6733" s="1300"/>
      <c r="K6733" s="1307">
        <f>G6733*K6728</f>
        <v>2.85</v>
      </c>
      <c r="L6733" s="1335">
        <f t="shared" si="893"/>
        <v>0</v>
      </c>
      <c r="M6733" s="1302">
        <v>0.55000000000000004</v>
      </c>
      <c r="N6733" s="1700"/>
      <c r="O6733" s="1290">
        <f>G6733*M6733</f>
        <v>0.16500000000000001</v>
      </c>
      <c r="P6733" s="1332">
        <f>M6733*K6733</f>
        <v>1.5675000000000001</v>
      </c>
      <c r="Q6733" s="3391"/>
      <c r="R6733" s="2339"/>
    </row>
    <row r="6734" spans="1:18" s="16" customFormat="1">
      <c r="A6734" s="553"/>
      <c r="B6734" s="1320"/>
      <c r="C6734" s="88"/>
      <c r="D6734" s="1367"/>
      <c r="E6734" s="2121"/>
      <c r="F6734" s="1436"/>
      <c r="G6734" s="1436"/>
      <c r="H6734" s="1369"/>
      <c r="I6734" s="1299" t="str">
        <f t="shared" ref="I6734" ca="1" si="894">IF(COUNT(H6734:O6734)=0,"",(SUM(H6734:O6734)/COUNT(H6734:O6734)))</f>
        <v/>
      </c>
      <c r="J6734" s="1300"/>
      <c r="K6734" s="1307"/>
      <c r="L6734" s="1335"/>
      <c r="M6734" s="1302"/>
      <c r="N6734" s="1700"/>
      <c r="O6734" s="1290"/>
      <c r="P6734" s="1332"/>
      <c r="Q6734" s="3391"/>
      <c r="R6734" s="2339"/>
    </row>
    <row r="6735" spans="1:18" s="16" customFormat="1">
      <c r="A6735" s="553"/>
      <c r="B6735" s="1320"/>
      <c r="C6735" s="88"/>
      <c r="D6735" s="1359"/>
      <c r="E6735" s="1858"/>
      <c r="F6735" s="1360" t="s">
        <v>2</v>
      </c>
      <c r="G6735" s="1360"/>
      <c r="H6735" s="1362"/>
      <c r="I6735" s="1380"/>
      <c r="J6735" s="1381"/>
      <c r="K6735" s="1381"/>
      <c r="L6735" s="1458"/>
      <c r="M6735" s="1362"/>
      <c r="N6735" s="1362"/>
      <c r="O6735" s="1362"/>
      <c r="P6735" s="1359"/>
      <c r="Q6735" s="3387"/>
      <c r="R6735" s="2339"/>
    </row>
    <row r="6736" spans="1:18" s="16" customFormat="1">
      <c r="A6736" s="1599"/>
      <c r="B6736" s="1320"/>
      <c r="D6736" s="1359" t="s">
        <v>1593</v>
      </c>
      <c r="E6736" s="1858" t="s">
        <v>1508</v>
      </c>
      <c r="F6736" s="1404" t="s">
        <v>2146</v>
      </c>
      <c r="G6736" s="1404">
        <v>4.5999999999999999E-2</v>
      </c>
      <c r="H6736" s="1359"/>
      <c r="I6736" s="1289"/>
      <c r="J6736" s="8"/>
      <c r="K6736" s="1307">
        <f>G6736*K6728</f>
        <v>0.437</v>
      </c>
      <c r="L6736" s="1335">
        <f>K6736*$K$6585</f>
        <v>0</v>
      </c>
      <c r="M6736" s="1302">
        <v>19.23</v>
      </c>
      <c r="N6736" s="1700"/>
      <c r="O6736" s="1290">
        <f>G6736*M6736</f>
        <v>0.88458000000000003</v>
      </c>
      <c r="P6736" s="1332">
        <f>M6736*K6736</f>
        <v>8.4035100000000007</v>
      </c>
      <c r="Q6736" s="3391"/>
      <c r="R6736" s="2339"/>
    </row>
    <row r="6737" spans="1:20" s="16" customFormat="1">
      <c r="A6737"/>
      <c r="B6737" s="1042"/>
      <c r="C6737" s="2086" t="s">
        <v>1755</v>
      </c>
      <c r="D6737" s="1311"/>
      <c r="E6737" s="2176" t="s">
        <v>1508</v>
      </c>
      <c r="F6737" s="1648" t="s">
        <v>1524</v>
      </c>
      <c r="G6737" s="1990"/>
      <c r="H6737" s="1456">
        <v>0.03</v>
      </c>
      <c r="I6737" s="1444"/>
      <c r="J6737" s="1388"/>
      <c r="K6737" s="1445"/>
      <c r="L6737" s="1457"/>
      <c r="M6737" s="1447"/>
      <c r="N6737" s="1447">
        <f>SUM(N6738:N6739)</f>
        <v>37.510000000000005</v>
      </c>
      <c r="O6737" s="1447">
        <f>SUM(O6738:O6739)</f>
        <v>1.1253</v>
      </c>
      <c r="P6737" s="1447">
        <f>SUM(P6738:P6739)</f>
        <v>10.690349999999999</v>
      </c>
      <c r="Q6737" s="3391"/>
      <c r="R6737" s="2337"/>
      <c r="S6737"/>
      <c r="T6737"/>
    </row>
    <row r="6738" spans="1:20" s="16" customFormat="1">
      <c r="A6738"/>
      <c r="B6738" s="1042"/>
      <c r="C6738" s="19"/>
      <c r="D6738" s="1430" t="s">
        <v>1067</v>
      </c>
      <c r="E6738" s="1857" t="s">
        <v>1508</v>
      </c>
      <c r="F6738" s="1403" t="s">
        <v>5</v>
      </c>
      <c r="G6738" s="1991">
        <v>1</v>
      </c>
      <c r="H6738" s="1408">
        <f>G6738*H6737</f>
        <v>0.03</v>
      </c>
      <c r="I6738" s="1286"/>
      <c r="J6738" s="198"/>
      <c r="K6738" s="1307">
        <f>H6738*K6728</f>
        <v>0.28499999999999998</v>
      </c>
      <c r="L6738" s="1335">
        <f t="shared" ref="L6738:L6739" si="895">K6738*$K$6585</f>
        <v>0</v>
      </c>
      <c r="M6738" s="1302">
        <v>18.28</v>
      </c>
      <c r="N6738" s="1718">
        <f>G6738*M6738</f>
        <v>18.28</v>
      </c>
      <c r="O6738" s="1290">
        <f>H6738*M6738</f>
        <v>0.5484</v>
      </c>
      <c r="P6738" s="1720">
        <f>M6738*K6738</f>
        <v>5.2097999999999995</v>
      </c>
      <c r="Q6738" s="3396"/>
      <c r="R6738" s="2337"/>
      <c r="S6738"/>
      <c r="T6738"/>
    </row>
    <row r="6739" spans="1:20" s="16" customFormat="1">
      <c r="A6739"/>
      <c r="B6739" s="1042"/>
      <c r="C6739" s="19"/>
      <c r="D6739" s="1430" t="s">
        <v>1077</v>
      </c>
      <c r="E6739" s="1857" t="s">
        <v>1508</v>
      </c>
      <c r="F6739" s="1403" t="s">
        <v>37</v>
      </c>
      <c r="G6739" s="1991">
        <v>1</v>
      </c>
      <c r="H6739" s="1408">
        <f>G6739*H6737</f>
        <v>0.03</v>
      </c>
      <c r="I6739" s="197"/>
      <c r="J6739" s="198"/>
      <c r="K6739" s="1307">
        <f>H6739*K6728</f>
        <v>0.28499999999999998</v>
      </c>
      <c r="L6739" s="1335">
        <f t="shared" si="895"/>
        <v>0</v>
      </c>
      <c r="M6739" s="1302">
        <v>19.23</v>
      </c>
      <c r="N6739" s="1718">
        <f>G6739*M6739</f>
        <v>19.23</v>
      </c>
      <c r="O6739" s="1290">
        <f>H6739*M6739</f>
        <v>0.57689999999999997</v>
      </c>
      <c r="P6739" s="1720">
        <f>M6739*K6739</f>
        <v>5.48055</v>
      </c>
      <c r="Q6739" s="3396"/>
      <c r="R6739" s="2337"/>
      <c r="S6739"/>
      <c r="T6739"/>
    </row>
    <row r="6740" spans="1:20" s="16" customFormat="1">
      <c r="A6740"/>
      <c r="B6740" s="1320"/>
      <c r="D6740" s="1359"/>
      <c r="E6740" s="1858"/>
      <c r="F6740" s="1361"/>
      <c r="G6740" s="1361"/>
      <c r="H6740" s="1466"/>
      <c r="I6740" s="1289"/>
      <c r="J6740" s="8"/>
      <c r="K6740" s="1307"/>
      <c r="L6740" s="1335"/>
      <c r="M6740" s="1302"/>
      <c r="N6740" s="1700"/>
      <c r="O6740" s="1290"/>
      <c r="P6740" s="1332"/>
      <c r="Q6740" s="3391"/>
      <c r="R6740" s="1296"/>
      <c r="S6740"/>
      <c r="T6740"/>
    </row>
    <row r="6741" spans="1:20" s="16" customFormat="1">
      <c r="A6741" s="1599"/>
      <c r="B6741" s="1320"/>
      <c r="C6741" s="595"/>
      <c r="D6741" s="1359"/>
      <c r="E6741" s="1858"/>
      <c r="F6741" s="1361"/>
      <c r="G6741" s="1361"/>
      <c r="H6741" s="1466"/>
      <c r="I6741" s="1299"/>
      <c r="J6741" s="1300"/>
      <c r="K6741" s="1307"/>
      <c r="L6741" s="1335"/>
      <c r="M6741" s="1302"/>
      <c r="N6741" s="1700"/>
      <c r="O6741" s="1290"/>
      <c r="P6741" s="1332"/>
      <c r="Q6741" s="3391"/>
      <c r="R6741" s="2339"/>
    </row>
    <row r="6742" spans="1:20" s="16" customFormat="1">
      <c r="A6742" s="1599"/>
      <c r="B6742" s="1320"/>
      <c r="C6742" s="595"/>
      <c r="D6742" s="1373"/>
      <c r="E6742" s="2123"/>
      <c r="F6742" s="1374" t="s">
        <v>3</v>
      </c>
      <c r="G6742" s="1375"/>
      <c r="H6742" s="1376"/>
      <c r="I6742" s="1382"/>
      <c r="J6742" s="1383"/>
      <c r="K6742" s="1383"/>
      <c r="L6742" s="1413"/>
      <c r="M6742" s="1376"/>
      <c r="N6742" s="1376"/>
      <c r="O6742" s="1376"/>
      <c r="P6742" s="1373"/>
      <c r="Q6742" s="3387"/>
      <c r="R6742" s="2339"/>
    </row>
    <row r="6743" spans="1:20" s="16" customFormat="1">
      <c r="A6743" s="2053"/>
      <c r="B6743" s="1321"/>
      <c r="C6743" s="2021"/>
      <c r="D6743" s="1377"/>
      <c r="E6743" s="2124"/>
      <c r="F6743" s="1378"/>
      <c r="G6743" s="1378"/>
      <c r="H6743" s="1379"/>
      <c r="I6743" s="1299"/>
      <c r="J6743" s="1300"/>
      <c r="K6743" s="1307"/>
      <c r="L6743" s="1335"/>
      <c r="M6743" s="1302"/>
      <c r="N6743" s="1700"/>
      <c r="O6743" s="1290"/>
      <c r="P6743" s="1332"/>
      <c r="Q6743" s="3391"/>
      <c r="R6743" s="2339"/>
    </row>
    <row r="6744" spans="1:20" s="16" customFormat="1">
      <c r="A6744" s="2053"/>
      <c r="B6744" s="1321"/>
      <c r="C6744" s="2021"/>
      <c r="D6744" s="1377"/>
      <c r="E6744" s="2124"/>
      <c r="F6744" s="1378"/>
      <c r="G6744" s="1378"/>
      <c r="H6744" s="1379"/>
      <c r="I6744" s="1299"/>
      <c r="J6744" s="1300"/>
      <c r="K6744" s="1307"/>
      <c r="L6744" s="1335"/>
      <c r="M6744" s="1302"/>
      <c r="N6744" s="1700"/>
      <c r="O6744" s="1290"/>
      <c r="P6744" s="1333"/>
      <c r="Q6744" s="3391"/>
      <c r="R6744" s="2339"/>
    </row>
    <row r="6745" spans="1:20" s="16" customFormat="1">
      <c r="A6745" s="553"/>
      <c r="B6745" s="225"/>
      <c r="C6745" s="581"/>
      <c r="D6745" s="1373"/>
      <c r="E6745" s="2161"/>
      <c r="F6745" s="1678"/>
      <c r="G6745" s="1678"/>
      <c r="H6745" s="1376"/>
      <c r="I6745" s="1299"/>
      <c r="J6745" s="1300"/>
      <c r="K6745" s="1307"/>
      <c r="L6745" s="1335"/>
      <c r="M6745" s="1302"/>
      <c r="N6745" s="1700"/>
      <c r="O6745" s="1290"/>
      <c r="P6745" s="1332"/>
      <c r="Q6745" s="3391"/>
      <c r="R6745" s="2339"/>
    </row>
    <row r="6746" spans="1:20" s="16" customFormat="1" ht="15" customHeight="1">
      <c r="A6746" s="18" t="s">
        <v>3764</v>
      </c>
      <c r="B6746" s="4325" t="s">
        <v>1712</v>
      </c>
      <c r="C6746" s="3354"/>
      <c r="D6746" s="4327"/>
      <c r="E6746" s="4337" t="s">
        <v>1507</v>
      </c>
      <c r="F6746" s="4338" t="s">
        <v>1714</v>
      </c>
      <c r="G6746" s="4331" t="s">
        <v>1568</v>
      </c>
      <c r="H6746" s="4331" t="s">
        <v>1574</v>
      </c>
      <c r="I6746" s="1572" t="s">
        <v>1559</v>
      </c>
      <c r="J6746" s="1294" t="s">
        <v>1560</v>
      </c>
      <c r="K6746" s="1294" t="s">
        <v>1561</v>
      </c>
      <c r="L6746" s="4333" t="s">
        <v>3765</v>
      </c>
      <c r="M6746" s="4335" t="s">
        <v>1571</v>
      </c>
      <c r="N6746" s="4323" t="s">
        <v>1776</v>
      </c>
      <c r="O6746" s="3347" t="s">
        <v>1563</v>
      </c>
      <c r="P6746" s="1336" t="s">
        <v>1562</v>
      </c>
      <c r="Q6746" s="3389"/>
      <c r="R6746" s="1699" t="s">
        <v>1327</v>
      </c>
    </row>
    <row r="6747" spans="1:20" s="16" customFormat="1">
      <c r="A6747" s="1662" t="s">
        <v>2777</v>
      </c>
      <c r="B6747" s="4326"/>
      <c r="C6747" s="3351"/>
      <c r="D6747" s="4328"/>
      <c r="E6747" s="4337"/>
      <c r="F6747" s="4338"/>
      <c r="G6747" s="4332"/>
      <c r="H6747" s="4332"/>
      <c r="I6747" s="1345">
        <v>7.6</v>
      </c>
      <c r="J6747" s="1307">
        <v>0.25</v>
      </c>
      <c r="K6747" s="1297">
        <f>I6747*J6747</f>
        <v>1.9</v>
      </c>
      <c r="L6747" s="4334"/>
      <c r="M6747" s="4335"/>
      <c r="N6747" s="4324"/>
      <c r="O6747" s="1298">
        <f>SUM(O6749:O6759)</f>
        <v>7.8734500000000001</v>
      </c>
      <c r="P6747" s="1337">
        <f>K6747*O6747</f>
        <v>14.959555</v>
      </c>
      <c r="Q6747" s="3390"/>
      <c r="R6747" s="1721">
        <f>SUM(P6749:P6760)</f>
        <v>14.959555</v>
      </c>
    </row>
    <row r="6748" spans="1:20" s="16" customFormat="1">
      <c r="A6748" s="19"/>
      <c r="B6748" s="551"/>
      <c r="C6748" s="18"/>
      <c r="D6748" s="1400"/>
      <c r="E6748" s="2121"/>
      <c r="F6748" s="1389" t="s">
        <v>1</v>
      </c>
      <c r="G6748" s="1369"/>
      <c r="H6748" s="1604"/>
      <c r="I6748" s="1391"/>
      <c r="J6748" s="1369"/>
      <c r="K6748" s="1369"/>
      <c r="L6748" s="1554"/>
      <c r="M6748" s="1487"/>
      <c r="N6748" s="1487"/>
      <c r="O6748" s="1487"/>
      <c r="P6748" s="1367"/>
      <c r="Q6748" s="3387"/>
      <c r="R6748" s="2338"/>
    </row>
    <row r="6749" spans="1:20" s="16" customFormat="1">
      <c r="A6749" s="19"/>
      <c r="B6749" s="553"/>
      <c r="C6749" s="1042"/>
      <c r="D6749" s="1615" t="s">
        <v>1128</v>
      </c>
      <c r="E6749" s="1856" t="s">
        <v>1517</v>
      </c>
      <c r="F6749" s="1421" t="s">
        <v>1695</v>
      </c>
      <c r="G6749" s="1604">
        <v>1.4999999999999999E-2</v>
      </c>
      <c r="H6749" s="1604"/>
      <c r="I6749" s="1342"/>
      <c r="J6749" s="198"/>
      <c r="K6749" s="1307">
        <f>G6749*K6747</f>
        <v>2.8499999999999998E-2</v>
      </c>
      <c r="L6749" s="1335">
        <f t="shared" ref="L6749:L6750" si="896">K6749*$K$6585</f>
        <v>0</v>
      </c>
      <c r="M6749" s="1302">
        <v>104.28</v>
      </c>
      <c r="N6749" s="1700"/>
      <c r="O6749" s="1290">
        <f>(G6749*M6749)</f>
        <v>1.5642</v>
      </c>
      <c r="P6749" s="1332">
        <f>M6749*K6749</f>
        <v>2.9719799999999998</v>
      </c>
      <c r="Q6749" s="3391"/>
      <c r="R6749" s="2338"/>
    </row>
    <row r="6750" spans="1:20" s="16" customFormat="1">
      <c r="A6750" s="19"/>
      <c r="B6750" s="553"/>
      <c r="C6750" s="1042"/>
      <c r="D6750" s="1428" t="s">
        <v>1152</v>
      </c>
      <c r="E6750" s="2122" t="s">
        <v>1517</v>
      </c>
      <c r="F6750" s="1370" t="s">
        <v>1696</v>
      </c>
      <c r="G6750" s="1452">
        <v>5.0000000000000001E-3</v>
      </c>
      <c r="H6750" s="1452"/>
      <c r="I6750" s="1286"/>
      <c r="J6750" s="198"/>
      <c r="K6750" s="1307">
        <f>G6750*K6747</f>
        <v>9.4999999999999998E-3</v>
      </c>
      <c r="L6750" s="1335">
        <f t="shared" si="896"/>
        <v>0</v>
      </c>
      <c r="M6750" s="1302">
        <v>108.05</v>
      </c>
      <c r="N6750" s="1700"/>
      <c r="O6750" s="1290">
        <f>(G6750*M6750)</f>
        <v>0.54025000000000001</v>
      </c>
      <c r="P6750" s="1332">
        <f>M6750*K6750</f>
        <v>1.026475</v>
      </c>
      <c r="Q6750" s="3391"/>
      <c r="R6750" s="2338"/>
    </row>
    <row r="6751" spans="1:20" s="16" customFormat="1">
      <c r="A6751" s="19"/>
      <c r="B6751" s="553"/>
      <c r="C6751" s="1320"/>
      <c r="D6751" s="1396"/>
      <c r="E6751" s="1856"/>
      <c r="F6751" s="1421"/>
      <c r="G6751" s="1453"/>
      <c r="H6751" s="1453"/>
      <c r="I6751" s="1286"/>
      <c r="J6751" s="198"/>
      <c r="K6751" s="1307"/>
      <c r="L6751" s="1335"/>
      <c r="M6751" s="1302"/>
      <c r="N6751" s="1700"/>
      <c r="O6751" s="1290"/>
      <c r="P6751" s="1332"/>
      <c r="Q6751" s="3391"/>
      <c r="R6751" s="2338"/>
    </row>
    <row r="6752" spans="1:20" s="16" customFormat="1">
      <c r="A6752" s="19"/>
      <c r="B6752" s="553"/>
      <c r="C6752" s="1042"/>
      <c r="D6752" s="1400"/>
      <c r="E6752" s="1856"/>
      <c r="F6752" s="1397"/>
      <c r="G6752" s="1399"/>
      <c r="H6752" s="1399"/>
      <c r="I6752" s="197"/>
      <c r="J6752" s="198"/>
      <c r="K6752" s="1307"/>
      <c r="L6752" s="1335"/>
      <c r="M6752" s="1302"/>
      <c r="N6752" s="1700"/>
      <c r="O6752" s="1290"/>
      <c r="P6752" s="1332"/>
      <c r="Q6752" s="3391"/>
      <c r="R6752" s="2338"/>
    </row>
    <row r="6753" spans="1:18" s="16" customFormat="1">
      <c r="A6753" s="19"/>
      <c r="B6753" s="553"/>
      <c r="C6753" s="1042"/>
      <c r="D6753" s="1404"/>
      <c r="E6753" s="1858"/>
      <c r="F6753" s="1465" t="s">
        <v>2</v>
      </c>
      <c r="G6753" s="1362"/>
      <c r="H6753" s="1362"/>
      <c r="I6753" s="1381"/>
      <c r="J6753" s="1381"/>
      <c r="K6753" s="1359"/>
      <c r="L6753" s="1458"/>
      <c r="M6753" s="1498"/>
      <c r="N6753" s="1498"/>
      <c r="O6753" s="1498"/>
      <c r="P6753" s="1359"/>
      <c r="Q6753" s="3387"/>
      <c r="R6753" s="2338"/>
    </row>
    <row r="6754" spans="1:18" s="16" customFormat="1">
      <c r="A6754" s="19"/>
      <c r="B6754" s="553"/>
      <c r="C6754" s="1042"/>
      <c r="D6754" s="1622" t="s">
        <v>1153</v>
      </c>
      <c r="E6754" s="2125" t="s">
        <v>1508</v>
      </c>
      <c r="F6754" s="1363" t="s">
        <v>1697</v>
      </c>
      <c r="G6754" s="1408">
        <v>0.3</v>
      </c>
      <c r="H6754" s="1408"/>
      <c r="I6754" s="1340"/>
      <c r="J6754" s="198"/>
      <c r="K6754" s="1307">
        <f>G6754*K6747</f>
        <v>0.56999999999999995</v>
      </c>
      <c r="L6754" s="1335">
        <f>K6754*$K$6585</f>
        <v>0</v>
      </c>
      <c r="M6754" s="1302">
        <v>19.23</v>
      </c>
      <c r="N6754" s="1700"/>
      <c r="O6754" s="1290">
        <f>(G6754*M6754)</f>
        <v>5.7690000000000001</v>
      </c>
      <c r="P6754" s="1332">
        <f>M6754*K6754</f>
        <v>10.9611</v>
      </c>
      <c r="Q6754" s="3391"/>
      <c r="R6754" s="2338"/>
    </row>
    <row r="6755" spans="1:18" s="16" customFormat="1">
      <c r="A6755" s="19"/>
      <c r="B6755" s="553"/>
      <c r="C6755" s="1042"/>
      <c r="D6755" s="1622"/>
      <c r="E6755" s="2125"/>
      <c r="F6755" s="1363"/>
      <c r="G6755" s="1474"/>
      <c r="H6755" s="1474"/>
      <c r="I6755" s="1340"/>
      <c r="J6755" s="198"/>
      <c r="K6755" s="1307"/>
      <c r="L6755" s="1335"/>
      <c r="M6755" s="1302"/>
      <c r="N6755" s="1700"/>
      <c r="O6755" s="1290"/>
      <c r="P6755" s="1332"/>
      <c r="Q6755" s="3391"/>
      <c r="R6755" s="2338"/>
    </row>
    <row r="6756" spans="1:18" s="16" customFormat="1">
      <c r="A6756" s="19"/>
      <c r="B6756" s="553"/>
      <c r="C6756" s="1042"/>
      <c r="D6756" s="1622"/>
      <c r="E6756" s="2125"/>
      <c r="F6756" s="1363"/>
      <c r="G6756" s="1474"/>
      <c r="H6756" s="1474"/>
      <c r="I6756" s="1340"/>
      <c r="J6756" s="198"/>
      <c r="K6756" s="1307"/>
      <c r="L6756" s="1335"/>
      <c r="M6756" s="1302"/>
      <c r="N6756" s="1700"/>
      <c r="O6756" s="1290"/>
      <c r="P6756" s="1332"/>
      <c r="Q6756" s="3391"/>
      <c r="R6756" s="2338"/>
    </row>
    <row r="6757" spans="1:18" s="16" customFormat="1">
      <c r="A6757" s="19"/>
      <c r="B6757" s="553"/>
      <c r="C6757" s="1042"/>
      <c r="D6757" s="1411"/>
      <c r="E6757" s="2123"/>
      <c r="F6757" s="1475" t="s">
        <v>3</v>
      </c>
      <c r="G6757" s="1377"/>
      <c r="H6757" s="1376"/>
      <c r="I6757" s="1383" t="s">
        <v>506</v>
      </c>
      <c r="J6757" s="1383"/>
      <c r="K6757" s="1383"/>
      <c r="L6757" s="1413"/>
      <c r="M6757" s="1376"/>
      <c r="N6757" s="1376"/>
      <c r="O6757" s="1376"/>
      <c r="P6757" s="1373"/>
      <c r="Q6757" s="3387"/>
      <c r="R6757" s="2338"/>
    </row>
    <row r="6758" spans="1:18" s="16" customFormat="1">
      <c r="A6758" s="19"/>
      <c r="B6758" s="553"/>
      <c r="C6758" s="1042"/>
      <c r="D6758" s="1440"/>
      <c r="E6758" s="2132"/>
      <c r="F6758" s="1441"/>
      <c r="G6758" s="1441"/>
      <c r="H6758" s="1442"/>
      <c r="I6758" s="197" t="s">
        <v>506</v>
      </c>
      <c r="J6758" s="198"/>
      <c r="K6758" s="1307"/>
      <c r="L6758" s="1335"/>
      <c r="M6758" s="1499"/>
      <c r="N6758" s="1701"/>
      <c r="O6758" s="1290"/>
      <c r="P6758" s="1332"/>
      <c r="Q6758" s="3391"/>
      <c r="R6758" s="2338"/>
    </row>
    <row r="6759" spans="1:18" s="16" customFormat="1">
      <c r="B6759" s="553"/>
      <c r="C6759" s="1042"/>
      <c r="D6759" s="1440"/>
      <c r="E6759" s="2132"/>
      <c r="F6759" s="1441"/>
      <c r="G6759" s="1441"/>
      <c r="H6759" s="1442"/>
      <c r="I6759" s="197" t="s">
        <v>506</v>
      </c>
      <c r="J6759" s="198"/>
      <c r="K6759" s="1307"/>
      <c r="L6759" s="1335"/>
      <c r="M6759" s="1499"/>
      <c r="N6759" s="1701"/>
      <c r="O6759" s="1290"/>
      <c r="P6759" s="1332"/>
      <c r="Q6759" s="3391"/>
      <c r="R6759" s="2338"/>
    </row>
    <row r="6760" spans="1:18" s="16" customFormat="1">
      <c r="B6760" s="554"/>
      <c r="C6760" s="223"/>
      <c r="D6760" s="1440"/>
      <c r="E6760" s="2132"/>
      <c r="F6760" s="1441"/>
      <c r="G6760" s="1441"/>
      <c r="H6760" s="1442"/>
      <c r="I6760" s="197"/>
      <c r="J6760" s="198"/>
      <c r="K6760" s="1307"/>
      <c r="L6760" s="1335"/>
      <c r="M6760" s="1499"/>
      <c r="N6760" s="1701"/>
      <c r="O6760" s="1290"/>
      <c r="P6760" s="1332"/>
      <c r="Q6760" s="3391"/>
      <c r="R6760" s="2338"/>
    </row>
    <row r="6761" spans="1:18" s="16" customFormat="1" ht="15" customHeight="1">
      <c r="A6761" s="18" t="s">
        <v>3764</v>
      </c>
      <c r="B6761" s="4325" t="s">
        <v>1661</v>
      </c>
      <c r="C6761" s="3350"/>
      <c r="D6761" s="4327"/>
      <c r="E6761" s="4337" t="s">
        <v>1507</v>
      </c>
      <c r="F6761" s="4338" t="s">
        <v>1706</v>
      </c>
      <c r="G6761" s="4331" t="s">
        <v>1568</v>
      </c>
      <c r="H6761" s="4331" t="s">
        <v>1574</v>
      </c>
      <c r="I6761" s="1572" t="s">
        <v>1559</v>
      </c>
      <c r="J6761" s="1294" t="s">
        <v>1560</v>
      </c>
      <c r="K6761" s="1294" t="s">
        <v>1561</v>
      </c>
      <c r="L6761" s="4333" t="s">
        <v>3765</v>
      </c>
      <c r="M6761" s="4335" t="s">
        <v>1571</v>
      </c>
      <c r="N6761" s="4323" t="s">
        <v>1776</v>
      </c>
      <c r="O6761" s="3347" t="s">
        <v>1563</v>
      </c>
      <c r="P6761" s="1336" t="s">
        <v>1562</v>
      </c>
      <c r="Q6761" s="3389"/>
      <c r="R6761" s="1699" t="s">
        <v>1327</v>
      </c>
    </row>
    <row r="6762" spans="1:18" s="16" customFormat="1">
      <c r="A6762" s="1662" t="s">
        <v>2777</v>
      </c>
      <c r="B6762" s="4326"/>
      <c r="C6762" s="3354"/>
      <c r="D6762" s="4328"/>
      <c r="E6762" s="4337"/>
      <c r="F6762" s="4338"/>
      <c r="G6762" s="4332"/>
      <c r="H6762" s="4332"/>
      <c r="I6762" s="1345">
        <v>7.6</v>
      </c>
      <c r="J6762" s="1307">
        <v>0.25</v>
      </c>
      <c r="K6762" s="1297">
        <f>I6762*J6762</f>
        <v>1.9</v>
      </c>
      <c r="L6762" s="4334"/>
      <c r="M6762" s="4335"/>
      <c r="N6762" s="4324"/>
      <c r="O6762" s="1298">
        <f>SUM(O6764:O6776)</f>
        <v>8.9870400000000004</v>
      </c>
      <c r="P6762" s="1337">
        <f>K6762*O6762</f>
        <v>17.075375999999999</v>
      </c>
      <c r="Q6762" s="3390"/>
      <c r="R6762" s="1721">
        <f>SUM(P6764:P6776)</f>
        <v>17.075375999999999</v>
      </c>
    </row>
    <row r="6763" spans="1:18" s="16" customFormat="1">
      <c r="A6763" s="19"/>
      <c r="B6763" s="551"/>
      <c r="C6763" s="18"/>
      <c r="D6763" s="1400"/>
      <c r="E6763" s="2121"/>
      <c r="F6763" s="1389" t="s">
        <v>1</v>
      </c>
      <c r="G6763" s="1369"/>
      <c r="H6763" s="1604"/>
      <c r="I6763" s="1391"/>
      <c r="J6763" s="1369"/>
      <c r="K6763" s="1369"/>
      <c r="L6763" s="1554"/>
      <c r="M6763" s="1487"/>
      <c r="N6763" s="1487"/>
      <c r="O6763" s="1487"/>
      <c r="P6763" s="1367"/>
      <c r="Q6763" s="3387"/>
      <c r="R6763" s="2338"/>
    </row>
    <row r="6764" spans="1:18" s="16" customFormat="1">
      <c r="A6764" s="19"/>
      <c r="B6764" s="553"/>
      <c r="C6764" s="1042"/>
      <c r="D6764" s="1615" t="s">
        <v>1698</v>
      </c>
      <c r="E6764" s="1856" t="s">
        <v>1357</v>
      </c>
      <c r="F6764" s="1421" t="s">
        <v>1699</v>
      </c>
      <c r="G6764" s="2090">
        <v>0.45</v>
      </c>
      <c r="H6764" s="1604"/>
      <c r="I6764" s="1342"/>
      <c r="J6764" s="198"/>
      <c r="K6764" s="1307">
        <f>G6764*K6762</f>
        <v>0.85499999999999998</v>
      </c>
      <c r="L6764" s="1335">
        <f>K6764*$K$6585</f>
        <v>0</v>
      </c>
      <c r="M6764" s="1302">
        <v>1.7</v>
      </c>
      <c r="N6764" s="1700"/>
      <c r="O6764" s="1290">
        <f>(G6764*M6764)</f>
        <v>0.76500000000000001</v>
      </c>
      <c r="P6764" s="1332">
        <f>M6764*K6764</f>
        <v>1.4535</v>
      </c>
      <c r="Q6764" s="3391"/>
      <c r="R6764" s="2338"/>
    </row>
    <row r="6765" spans="1:18" s="16" customFormat="1">
      <c r="A6765" s="19"/>
      <c r="B6765" s="553"/>
      <c r="C6765" s="1042"/>
      <c r="D6765" s="1615" t="s">
        <v>1214</v>
      </c>
      <c r="E6765" s="1856" t="s">
        <v>1357</v>
      </c>
      <c r="F6765" s="1421" t="s">
        <v>1700</v>
      </c>
      <c r="G6765" s="1452">
        <v>0.35</v>
      </c>
      <c r="H6765" s="1452"/>
      <c r="I6765" s="1286"/>
      <c r="J6765" s="198"/>
      <c r="K6765" s="1307">
        <f>G6765*K6762</f>
        <v>0.66499999999999992</v>
      </c>
      <c r="L6765" s="1335">
        <f>K6765*$K$6585</f>
        <v>0</v>
      </c>
      <c r="M6765" s="1302">
        <v>4.2</v>
      </c>
      <c r="N6765" s="1700"/>
      <c r="O6765" s="1290">
        <f>(G6765*M6765)</f>
        <v>1.47</v>
      </c>
      <c r="P6765" s="1332">
        <f>M6765*K6765</f>
        <v>2.7929999999999997</v>
      </c>
      <c r="Q6765" s="3391"/>
      <c r="R6765" s="3363"/>
    </row>
    <row r="6766" spans="1:18" s="16" customFormat="1">
      <c r="A6766" s="19"/>
      <c r="B6766" s="553"/>
      <c r="C6766" s="1320"/>
      <c r="D6766" s="1400" t="s">
        <v>1701</v>
      </c>
      <c r="E6766" s="1856" t="s">
        <v>1504</v>
      </c>
      <c r="F6766" s="1421" t="s">
        <v>1541</v>
      </c>
      <c r="G6766" s="1399">
        <v>0.2</v>
      </c>
      <c r="H6766" s="1453"/>
      <c r="I6766" s="1614"/>
      <c r="J6766" s="1341"/>
      <c r="K6766" s="1307">
        <f>G6766*K6762</f>
        <v>0.38</v>
      </c>
      <c r="L6766" s="1335">
        <f>K6766*$K$6585</f>
        <v>0</v>
      </c>
      <c r="M6766" s="1302">
        <v>0.3</v>
      </c>
      <c r="N6766" s="1700"/>
      <c r="O6766" s="1290">
        <f>(G6766*M6766)</f>
        <v>0.06</v>
      </c>
      <c r="P6766" s="1332">
        <f>M6766*K6766</f>
        <v>0.11399999999999999</v>
      </c>
      <c r="Q6766" s="3391"/>
      <c r="R6766" s="3363"/>
    </row>
    <row r="6767" spans="1:18" s="16" customFormat="1">
      <c r="A6767" s="19"/>
      <c r="B6767" s="553"/>
      <c r="C6767" s="1320"/>
      <c r="D6767" s="1400"/>
      <c r="E6767" s="1856"/>
      <c r="F6767" s="1421"/>
      <c r="G6767" s="1399"/>
      <c r="H6767" s="1453"/>
      <c r="I6767" s="1614"/>
      <c r="J6767" s="1341"/>
      <c r="K6767" s="1307"/>
      <c r="L6767" s="1335"/>
      <c r="M6767" s="1302"/>
      <c r="N6767" s="1700"/>
      <c r="O6767" s="1290"/>
      <c r="P6767" s="1332"/>
      <c r="Q6767" s="3391"/>
      <c r="R6767" s="3363"/>
    </row>
    <row r="6768" spans="1:18" s="16" customFormat="1">
      <c r="A6768" s="19"/>
      <c r="B6768" s="553"/>
      <c r="C6768" s="1042"/>
      <c r="D6768" s="1400"/>
      <c r="E6768" s="1856"/>
      <c r="F6768" s="1421"/>
      <c r="G6768" s="1399"/>
      <c r="H6768" s="1399"/>
      <c r="I6768" s="1614"/>
      <c r="J6768" s="1341"/>
      <c r="K6768" s="1307"/>
      <c r="L6768" s="1335"/>
      <c r="M6768" s="1302"/>
      <c r="N6768" s="1700"/>
      <c r="O6768" s="1290"/>
      <c r="P6768" s="1332"/>
      <c r="Q6768" s="3391"/>
      <c r="R6768" s="3363"/>
    </row>
    <row r="6769" spans="1:18" s="16" customFormat="1">
      <c r="A6769" s="19"/>
      <c r="B6769" s="553"/>
      <c r="C6769" s="1042"/>
      <c r="D6769" s="1404"/>
      <c r="E6769" s="1858"/>
      <c r="F6769" s="1465" t="s">
        <v>2</v>
      </c>
      <c r="G6769" s="1362"/>
      <c r="H6769" s="1362"/>
      <c r="I6769" s="1381"/>
      <c r="J6769" s="1381"/>
      <c r="K6769" s="1359"/>
      <c r="L6769" s="1458"/>
      <c r="M6769" s="1498"/>
      <c r="N6769" s="1498"/>
      <c r="O6769" s="1498"/>
      <c r="P6769" s="1359"/>
      <c r="Q6769" s="3387"/>
      <c r="R6769" s="3363"/>
    </row>
    <row r="6770" spans="1:18" s="16" customFormat="1">
      <c r="A6770" s="19"/>
      <c r="B6770" s="553"/>
      <c r="C6770" s="1042"/>
      <c r="D6770" s="1623" t="s">
        <v>1702</v>
      </c>
      <c r="E6770" s="2158" t="s">
        <v>1508</v>
      </c>
      <c r="F6770" s="1801" t="s">
        <v>1703</v>
      </c>
      <c r="G6770" s="1362">
        <v>0.34799999999999998</v>
      </c>
      <c r="H6770" s="1362"/>
      <c r="I6770" s="1340"/>
      <c r="J6770" s="198"/>
      <c r="K6770" s="1307">
        <f>G6770*K6762</f>
        <v>0.6611999999999999</v>
      </c>
      <c r="L6770" s="1335">
        <f>K6770*$K$6585</f>
        <v>0</v>
      </c>
      <c r="M6770" s="1302">
        <v>19.23</v>
      </c>
      <c r="N6770" s="1700"/>
      <c r="O6770" s="1290">
        <f>(G6770*M6770)</f>
        <v>6.6920399999999995</v>
      </c>
      <c r="P6770" s="1332">
        <f>M6770*K6770</f>
        <v>12.714875999999999</v>
      </c>
      <c r="Q6770" s="3391"/>
      <c r="R6770" s="3363"/>
    </row>
    <row r="6771" spans="1:18" s="16" customFormat="1">
      <c r="A6771"/>
      <c r="B6771" s="553"/>
      <c r="C6771" s="1042"/>
      <c r="D6771" s="1623"/>
      <c r="E6771" s="2158"/>
      <c r="F6771" s="1801"/>
      <c r="G6771" s="1362"/>
      <c r="H6771" s="1408"/>
      <c r="I6771" s="1340"/>
      <c r="J6771" s="198"/>
      <c r="K6771" s="1307"/>
      <c r="L6771" s="1335"/>
      <c r="M6771" s="1302"/>
      <c r="N6771" s="1700"/>
      <c r="O6771" s="1290"/>
      <c r="P6771" s="1332"/>
      <c r="Q6771" s="3391"/>
      <c r="R6771" s="2344"/>
    </row>
    <row r="6772" spans="1:18" s="16" customFormat="1">
      <c r="A6772"/>
      <c r="B6772" s="553"/>
      <c r="C6772" s="1042"/>
      <c r="D6772" s="1623"/>
      <c r="E6772" s="2158"/>
      <c r="F6772" s="1801"/>
      <c r="G6772" s="1362"/>
      <c r="H6772" s="1474"/>
      <c r="I6772" s="1340"/>
      <c r="J6772" s="198"/>
      <c r="K6772" s="1307"/>
      <c r="L6772" s="1335"/>
      <c r="M6772" s="1302"/>
      <c r="N6772" s="1700"/>
      <c r="O6772" s="1290"/>
      <c r="P6772" s="1332"/>
      <c r="Q6772" s="3391"/>
      <c r="R6772" s="3363"/>
    </row>
    <row r="6773" spans="1:18" s="16" customFormat="1">
      <c r="A6773"/>
      <c r="B6773" s="553"/>
      <c r="C6773" s="1042"/>
      <c r="D6773" s="1411"/>
      <c r="E6773" s="2123"/>
      <c r="F6773" s="1475" t="s">
        <v>3</v>
      </c>
      <c r="G6773" s="1376"/>
      <c r="H6773" s="1376"/>
      <c r="I6773" s="1383" t="s">
        <v>506</v>
      </c>
      <c r="J6773" s="1383"/>
      <c r="K6773" s="1383"/>
      <c r="L6773" s="1413"/>
      <c r="M6773" s="1376"/>
      <c r="N6773" s="1376"/>
      <c r="O6773" s="1376"/>
      <c r="P6773" s="1373"/>
      <c r="Q6773" s="3387"/>
      <c r="R6773" s="3363"/>
    </row>
    <row r="6774" spans="1:18" s="16" customFormat="1">
      <c r="A6774"/>
      <c r="B6774" s="553"/>
      <c r="C6774" s="1042"/>
      <c r="D6774" s="1411"/>
      <c r="E6774" s="2123"/>
      <c r="F6774" s="2214"/>
      <c r="G6774" s="1376"/>
      <c r="H6774" s="1376"/>
      <c r="I6774" s="1382"/>
      <c r="J6774" s="1383"/>
      <c r="K6774" s="2215"/>
      <c r="L6774" s="1967"/>
      <c r="M6774" s="1505"/>
      <c r="N6774" s="1968"/>
      <c r="O6774" s="1969"/>
      <c r="P6774" s="1373"/>
      <c r="Q6774" s="3387"/>
      <c r="R6774" s="3363"/>
    </row>
    <row r="6775" spans="1:18" s="16" customFormat="1">
      <c r="A6775"/>
      <c r="B6775" s="553"/>
      <c r="C6775" s="1042"/>
      <c r="D6775" s="1440"/>
      <c r="E6775" s="2132"/>
      <c r="F6775" s="1441"/>
      <c r="G6775" s="1442"/>
      <c r="H6775" s="1442"/>
      <c r="I6775" s="197" t="s">
        <v>506</v>
      </c>
      <c r="J6775" s="198"/>
      <c r="K6775" s="1307"/>
      <c r="L6775" s="1335"/>
      <c r="M6775" s="1499"/>
      <c r="N6775" s="1701"/>
      <c r="O6775" s="1290"/>
      <c r="P6775" s="1332"/>
      <c r="Q6775" s="3391"/>
      <c r="R6775" s="1173"/>
    </row>
    <row r="6776" spans="1:18" s="16" customFormat="1">
      <c r="A6776"/>
      <c r="B6776" s="554"/>
      <c r="C6776" s="223"/>
      <c r="D6776" s="1440"/>
      <c r="E6776" s="2132"/>
      <c r="F6776" s="1441"/>
      <c r="G6776" s="1442"/>
      <c r="H6776" s="1442"/>
      <c r="I6776" s="197"/>
      <c r="J6776" s="198"/>
      <c r="K6776" s="1307"/>
      <c r="L6776" s="1335"/>
      <c r="M6776" s="1499"/>
      <c r="N6776" s="1701"/>
      <c r="O6776" s="1290"/>
      <c r="P6776" s="1332"/>
      <c r="Q6776" s="3391"/>
      <c r="R6776" s="2338"/>
    </row>
    <row r="6777" spans="1:18" s="16" customFormat="1">
      <c r="E6777" s="2182"/>
      <c r="F6777" s="2080"/>
      <c r="G6777" s="2080"/>
      <c r="H6777" s="13"/>
      <c r="I6777" s="1561"/>
      <c r="J6777" s="13"/>
      <c r="K6777" s="1639"/>
      <c r="L6777" s="1640"/>
      <c r="M6777" s="1292"/>
      <c r="N6777" s="1292"/>
      <c r="O6777" s="1292"/>
      <c r="P6777" s="1292"/>
      <c r="Q6777" s="3391"/>
      <c r="R6777" s="1296"/>
    </row>
    <row r="6778" spans="1:18" s="16" customFormat="1">
      <c r="E6778" s="2182"/>
      <c r="F6778" s="2080"/>
      <c r="G6778" s="2080"/>
      <c r="H6778" s="13"/>
      <c r="I6778" s="1561"/>
      <c r="J6778" s="13"/>
      <c r="K6778" s="1639"/>
      <c r="L6778" s="1640"/>
      <c r="M6778" s="1292"/>
      <c r="N6778" s="1292"/>
      <c r="O6778" s="1292"/>
      <c r="P6778" s="1292"/>
      <c r="Q6778" s="3391"/>
      <c r="R6778" s="1296"/>
    </row>
    <row r="6779" spans="1:18" s="2326" customFormat="1" ht="21">
      <c r="A6779" s="4455" t="s">
        <v>78</v>
      </c>
      <c r="B6779" s="4456"/>
      <c r="C6779" s="4456"/>
      <c r="D6779" s="4456"/>
      <c r="E6779" s="2320" t="s">
        <v>1504</v>
      </c>
      <c r="F6779" s="2321" t="s">
        <v>2142</v>
      </c>
      <c r="G6779" s="2322"/>
      <c r="H6779" s="2322"/>
      <c r="I6779" s="2323"/>
      <c r="J6779" s="2322"/>
      <c r="K6779" s="2322"/>
      <c r="L6779" s="2323"/>
      <c r="M6779" s="2322"/>
      <c r="N6779" s="2322"/>
      <c r="O6779" s="2322"/>
      <c r="P6779" s="2324"/>
      <c r="Q6779" s="3392"/>
      <c r="R6779" s="2348"/>
    </row>
    <row r="6780" spans="1:18" s="16" customFormat="1">
      <c r="E6780" s="2182"/>
      <c r="F6780" s="2080"/>
      <c r="G6780" s="2080"/>
      <c r="H6780" s="13"/>
      <c r="I6780" s="1561"/>
      <c r="J6780" s="13"/>
      <c r="K6780" s="1639"/>
      <c r="L6780" s="1640"/>
      <c r="M6780" s="1292"/>
      <c r="N6780" s="1292"/>
      <c r="O6780" s="1292"/>
      <c r="P6780" s="1292"/>
      <c r="Q6780" s="3391"/>
      <c r="R6780" s="1296"/>
    </row>
    <row r="6781" spans="1:18" s="16" customFormat="1" ht="28.5">
      <c r="E6781" s="2182"/>
      <c r="F6781" s="2080"/>
      <c r="G6781" s="2080"/>
      <c r="H6781" s="13"/>
      <c r="I6781" s="1561"/>
      <c r="J6781" s="13"/>
      <c r="K6781" s="1639"/>
      <c r="L6781" s="2375" t="s">
        <v>2856</v>
      </c>
      <c r="M6781" s="1292"/>
      <c r="N6781" s="1292"/>
      <c r="O6781" s="1292"/>
      <c r="P6781" s="1292"/>
      <c r="Q6781" s="3391"/>
      <c r="R6781" s="1296"/>
    </row>
    <row r="6782" spans="1:18" s="16" customFormat="1">
      <c r="A6782" s="4393" t="s">
        <v>162</v>
      </c>
      <c r="B6782" s="4394"/>
      <c r="C6782" s="4394"/>
      <c r="D6782" s="4395"/>
      <c r="E6782" s="4396" t="s">
        <v>1549</v>
      </c>
      <c r="F6782" s="4397" t="s">
        <v>1550</v>
      </c>
      <c r="G6782" s="4399" t="s">
        <v>1566</v>
      </c>
      <c r="H6782" s="4400"/>
      <c r="I6782" s="4400"/>
      <c r="J6782" s="4400"/>
      <c r="K6782" s="4400"/>
      <c r="L6782" s="4401"/>
      <c r="M6782" s="4405" t="s">
        <v>1567</v>
      </c>
      <c r="N6782" s="4405"/>
      <c r="O6782" s="4405"/>
      <c r="P6782" s="4405"/>
      <c r="Q6782" s="3395"/>
      <c r="R6782" s="2339"/>
    </row>
    <row r="6783" spans="1:18" s="16" customFormat="1" ht="15" thickBot="1">
      <c r="A6783" s="1324" t="s">
        <v>3766</v>
      </c>
      <c r="B6783" s="1325" t="s">
        <v>1513</v>
      </c>
      <c r="C6783" s="1326" t="s">
        <v>1573</v>
      </c>
      <c r="D6783" s="1323" t="s">
        <v>1514</v>
      </c>
      <c r="E6783" s="4396"/>
      <c r="F6783" s="4398"/>
      <c r="G6783" s="4402"/>
      <c r="H6783" s="4403"/>
      <c r="I6783" s="4403"/>
      <c r="J6783" s="4403"/>
      <c r="K6783" s="4403"/>
      <c r="L6783" s="4404"/>
      <c r="M6783" s="4405"/>
      <c r="N6783" s="4405"/>
      <c r="O6783" s="4405"/>
      <c r="P6783" s="4405"/>
      <c r="Q6783" s="3395"/>
      <c r="R6783" s="2339"/>
    </row>
    <row r="6784" spans="1:18" s="16" customFormat="1" ht="34.5" customHeight="1">
      <c r="A6784" s="4374" t="s">
        <v>2779</v>
      </c>
      <c r="B6784" s="4375"/>
      <c r="C6784" s="4375"/>
      <c r="D6784" s="4376"/>
      <c r="E6784" s="4380" t="s">
        <v>1504</v>
      </c>
      <c r="F6784" s="4382" t="s">
        <v>2241</v>
      </c>
      <c r="G6784" s="4406" t="s">
        <v>294</v>
      </c>
      <c r="H6784" s="4407"/>
      <c r="I6784" s="1665" t="s">
        <v>1565</v>
      </c>
      <c r="J6784" s="3348" t="s">
        <v>1575</v>
      </c>
      <c r="K6784" s="4406" t="s">
        <v>289</v>
      </c>
      <c r="L6784" s="4407"/>
      <c r="M6784" s="4408" t="s">
        <v>3349</v>
      </c>
      <c r="N6784" s="4408"/>
      <c r="O6784" s="4408"/>
      <c r="P6784" s="4409"/>
      <c r="Q6784" s="4244" t="s">
        <v>3959</v>
      </c>
      <c r="R6784" s="2339"/>
    </row>
    <row r="6785" spans="1:18" s="16" customFormat="1" ht="27.75" customHeight="1" thickBot="1">
      <c r="A6785" s="4377"/>
      <c r="B6785" s="4378"/>
      <c r="C6785" s="4378"/>
      <c r="D6785" s="4379"/>
      <c r="E6785" s="4381"/>
      <c r="F6785" s="4383"/>
      <c r="G6785" s="4451">
        <f>IF('Seleccion proyecto HEREVEA02'!G54="Sustitución y reposición",'Seleccion proyecto HEREVEA02'!E54,0)</f>
        <v>0</v>
      </c>
      <c r="H6785" s="4452"/>
      <c r="I6785" s="3353">
        <f>IF('Seleccion proyecto HEREVEA02'!H54=0,0,IF('Seleccion proyecto HEREVEA02'!H54="1 a 30",0.3,IF('Seleccion proyecto HEREVEA02'!H54="31 a 60",0.6,IF('Seleccion proyecto HEREVEA02'!H54="61 a 100",1))))</f>
        <v>0</v>
      </c>
      <c r="J6785" s="1351">
        <f>'Seleccion proyecto HEREVEA02'!L8</f>
        <v>11100.968999999999</v>
      </c>
      <c r="K6785" s="4358">
        <f>G6785*I6785*J6785</f>
        <v>0</v>
      </c>
      <c r="L6785" s="4359"/>
      <c r="M6785" s="4360">
        <f>P6788+P6789+P6790+P6795+P6809+P6830+P6850+P6871</f>
        <v>469.49982800000004</v>
      </c>
      <c r="N6785" s="4361"/>
      <c r="O6785" s="4361"/>
      <c r="P6785" s="4362"/>
      <c r="Q6785" s="4245">
        <f>M6785*K6785</f>
        <v>0</v>
      </c>
      <c r="R6785" s="2339"/>
    </row>
    <row r="6786" spans="1:18" s="16" customFormat="1">
      <c r="A6786" s="553"/>
      <c r="B6786" s="4339"/>
      <c r="C6786" s="3361"/>
      <c r="D6786" s="4340"/>
      <c r="E6786" s="4342"/>
      <c r="F6786" s="4344" t="s">
        <v>2</v>
      </c>
      <c r="G6786" s="4346" t="s">
        <v>1568</v>
      </c>
      <c r="H6786" s="4348" t="s">
        <v>1574</v>
      </c>
      <c r="I6786" s="4350"/>
      <c r="J6786" s="4351" t="s">
        <v>1560</v>
      </c>
      <c r="K6786" s="4351" t="s">
        <v>1569</v>
      </c>
      <c r="L6786" s="4333" t="s">
        <v>3765</v>
      </c>
      <c r="M6786" s="4352" t="s">
        <v>1571</v>
      </c>
      <c r="N6786" s="4353" t="s">
        <v>1776</v>
      </c>
      <c r="O6786" s="4354" t="s">
        <v>1563</v>
      </c>
      <c r="P6786" s="4356" t="s">
        <v>1562</v>
      </c>
      <c r="Q6786" s="3389"/>
      <c r="R6786" s="1699"/>
    </row>
    <row r="6787" spans="1:18" s="16" customFormat="1">
      <c r="A6787" s="2083"/>
      <c r="B6787" s="4339"/>
      <c r="C6787" s="3361"/>
      <c r="D6787" s="4341"/>
      <c r="E6787" s="4343"/>
      <c r="F6787" s="4345"/>
      <c r="G6787" s="4347"/>
      <c r="H6787" s="4349"/>
      <c r="I6787" s="4350"/>
      <c r="J6787" s="4351"/>
      <c r="K6787" s="4351"/>
      <c r="L6787" s="4334"/>
      <c r="M6787" s="4352"/>
      <c r="N6787" s="4353"/>
      <c r="O6787" s="4355"/>
      <c r="P6787" s="4357"/>
      <c r="Q6787" s="3389"/>
      <c r="R6787" s="1721"/>
    </row>
    <row r="6788" spans="1:18" s="16" customFormat="1">
      <c r="A6788" s="2053"/>
      <c r="B6788" s="1321"/>
      <c r="C6788" s="1295"/>
      <c r="D6788" s="1363" t="s">
        <v>1067</v>
      </c>
      <c r="E6788" s="2125" t="s">
        <v>1508</v>
      </c>
      <c r="F6788" s="1385" t="s">
        <v>1512</v>
      </c>
      <c r="G6788" s="1998">
        <v>0.9</v>
      </c>
      <c r="H6788" s="2084"/>
      <c r="I6788" s="2085"/>
      <c r="J6788" s="1589">
        <v>0.25</v>
      </c>
      <c r="K6788" s="1307">
        <f>G6788*J6788</f>
        <v>0.22500000000000001</v>
      </c>
      <c r="L6788" s="1335">
        <f>K6788*$K$6785</f>
        <v>0</v>
      </c>
      <c r="M6788" s="1302">
        <v>18.28</v>
      </c>
      <c r="N6788" s="1700"/>
      <c r="O6788" s="1290">
        <f>G6788*M6788</f>
        <v>16.452000000000002</v>
      </c>
      <c r="P6788" s="1337">
        <f>M6788*K6788</f>
        <v>4.1130000000000004</v>
      </c>
      <c r="Q6788" s="3390"/>
      <c r="R6788" s="2339"/>
    </row>
    <row r="6789" spans="1:18" s="16" customFormat="1">
      <c r="A6789" s="1599"/>
      <c r="B6789" s="1320"/>
      <c r="D6789" s="1359" t="s">
        <v>1593</v>
      </c>
      <c r="E6789" s="1858" t="s">
        <v>1508</v>
      </c>
      <c r="F6789" s="1404" t="s">
        <v>2146</v>
      </c>
      <c r="G6789" s="1404">
        <v>5.62</v>
      </c>
      <c r="H6789" s="1359"/>
      <c r="I6789" s="1289"/>
      <c r="J6789" s="8">
        <v>0.25</v>
      </c>
      <c r="K6789" s="1307">
        <f>G6789*J6789</f>
        <v>1.405</v>
      </c>
      <c r="L6789" s="1335">
        <f>K6789*$K$6785</f>
        <v>0</v>
      </c>
      <c r="M6789" s="1302">
        <v>19.23</v>
      </c>
      <c r="N6789" s="1700"/>
      <c r="O6789" s="1290">
        <f>G6789*M6789</f>
        <v>108.07260000000001</v>
      </c>
      <c r="P6789" s="1337">
        <f>M6789*K6789</f>
        <v>27.018150000000002</v>
      </c>
      <c r="Q6789" s="3390"/>
      <c r="R6789" s="2339"/>
    </row>
    <row r="6790" spans="1:18" s="16" customFormat="1">
      <c r="A6790"/>
      <c r="B6790" s="1042"/>
      <c r="C6790" s="2086" t="s">
        <v>1755</v>
      </c>
      <c r="D6790" s="1311"/>
      <c r="E6790" s="2176" t="s">
        <v>1508</v>
      </c>
      <c r="F6790" s="1648" t="s">
        <v>1524</v>
      </c>
      <c r="G6790" s="1990"/>
      <c r="H6790" s="1456">
        <v>2.78</v>
      </c>
      <c r="I6790" s="1444"/>
      <c r="J6790" s="1366">
        <v>0.25</v>
      </c>
      <c r="K6790" s="1445"/>
      <c r="L6790" s="1457"/>
      <c r="M6790" s="1447"/>
      <c r="N6790" s="1447">
        <f>SUM(N6791:N6792)</f>
        <v>37.510000000000005</v>
      </c>
      <c r="O6790" s="1447">
        <f>SUM(O6791:O6792)</f>
        <v>104.27779999999998</v>
      </c>
      <c r="P6790" s="1337">
        <f>SUM(P6791:P6792)</f>
        <v>26.069449999999996</v>
      </c>
      <c r="Q6790" s="3390"/>
      <c r="R6790" s="2337"/>
    </row>
    <row r="6791" spans="1:18" s="16" customFormat="1">
      <c r="A6791"/>
      <c r="B6791" s="1042"/>
      <c r="C6791" s="19"/>
      <c r="D6791" s="1430" t="s">
        <v>1067</v>
      </c>
      <c r="E6791" s="1857" t="s">
        <v>1508</v>
      </c>
      <c r="F6791" s="1403" t="s">
        <v>5</v>
      </c>
      <c r="G6791" s="1991">
        <v>1</v>
      </c>
      <c r="H6791" s="1408">
        <f>G6791*H6790</f>
        <v>2.78</v>
      </c>
      <c r="I6791" s="1286"/>
      <c r="J6791" s="198"/>
      <c r="K6791" s="1307">
        <f>H6791*J6790</f>
        <v>0.69499999999999995</v>
      </c>
      <c r="L6791" s="1335">
        <f t="shared" ref="L6791:L6792" si="897">K6791*$K$6785</f>
        <v>0</v>
      </c>
      <c r="M6791" s="1302">
        <v>18.28</v>
      </c>
      <c r="N6791" s="1718">
        <f>G6791*M6791</f>
        <v>18.28</v>
      </c>
      <c r="O6791" s="1290">
        <f>H6791*M6791</f>
        <v>50.818399999999997</v>
      </c>
      <c r="P6791" s="1720">
        <f>M6791*K6791</f>
        <v>12.704599999999999</v>
      </c>
      <c r="Q6791" s="3396"/>
      <c r="R6791" s="2337"/>
    </row>
    <row r="6792" spans="1:18" s="16" customFormat="1">
      <c r="A6792"/>
      <c r="B6792" s="1042"/>
      <c r="C6792" s="19"/>
      <c r="D6792" s="1430" t="s">
        <v>1077</v>
      </c>
      <c r="E6792" s="1857" t="s">
        <v>1508</v>
      </c>
      <c r="F6792" s="1403" t="s">
        <v>37</v>
      </c>
      <c r="G6792" s="1991">
        <v>1</v>
      </c>
      <c r="H6792" s="1408">
        <f>G6792*H6790</f>
        <v>2.78</v>
      </c>
      <c r="I6792" s="197"/>
      <c r="J6792" s="198"/>
      <c r="K6792" s="1307">
        <f>H6792*J6790</f>
        <v>0.69499999999999995</v>
      </c>
      <c r="L6792" s="1335">
        <f t="shared" si="897"/>
        <v>0</v>
      </c>
      <c r="M6792" s="1302">
        <v>19.23</v>
      </c>
      <c r="N6792" s="1718">
        <f>G6792*M6792</f>
        <v>19.23</v>
      </c>
      <c r="O6792" s="1290">
        <f>H6792*M6792</f>
        <v>53.459399999999995</v>
      </c>
      <c r="P6792" s="1720">
        <f>M6792*K6792</f>
        <v>13.364849999999999</v>
      </c>
      <c r="Q6792" s="3396"/>
      <c r="R6792" s="2337"/>
    </row>
    <row r="6793" spans="1:18" s="16" customFormat="1">
      <c r="A6793"/>
      <c r="B6793" s="225"/>
      <c r="D6793" s="1359"/>
      <c r="E6793" s="1858"/>
      <c r="F6793" s="1361"/>
      <c r="G6793" s="1361"/>
      <c r="H6793" s="1466"/>
      <c r="I6793" s="1289"/>
      <c r="J6793" s="8"/>
      <c r="K6793" s="1307"/>
      <c r="L6793" s="1335"/>
      <c r="M6793" s="1302"/>
      <c r="N6793" s="1700"/>
      <c r="O6793" s="1290"/>
      <c r="P6793" s="1332"/>
      <c r="Q6793" s="3391"/>
      <c r="R6793" s="1296"/>
    </row>
    <row r="6794" spans="1:18" s="16" customFormat="1">
      <c r="A6794" s="18" t="s">
        <v>3764</v>
      </c>
      <c r="B6794" s="4325" t="s">
        <v>2242</v>
      </c>
      <c r="C6794" s="3350"/>
      <c r="D6794" s="4327"/>
      <c r="E6794" s="4329" t="s">
        <v>1504</v>
      </c>
      <c r="F6794" s="4336" t="s">
        <v>2243</v>
      </c>
      <c r="G6794" s="4331" t="s">
        <v>1568</v>
      </c>
      <c r="H6794" s="4331" t="s">
        <v>1574</v>
      </c>
      <c r="I6794" s="1572" t="s">
        <v>1559</v>
      </c>
      <c r="J6794" s="1294" t="s">
        <v>1560</v>
      </c>
      <c r="K6794" s="1294" t="s">
        <v>1569</v>
      </c>
      <c r="L6794" s="4333" t="s">
        <v>3765</v>
      </c>
      <c r="M6794" s="4335" t="s">
        <v>1571</v>
      </c>
      <c r="N6794" s="4323" t="s">
        <v>1776</v>
      </c>
      <c r="O6794" s="3347" t="s">
        <v>1563</v>
      </c>
      <c r="P6794" s="1336" t="s">
        <v>1562</v>
      </c>
      <c r="Q6794" s="3389"/>
      <c r="R6794" s="1699" t="s">
        <v>1327</v>
      </c>
    </row>
    <row r="6795" spans="1:18" s="16" customFormat="1">
      <c r="A6795" s="1662" t="s">
        <v>2779</v>
      </c>
      <c r="B6795" s="4326"/>
      <c r="C6795" s="3351"/>
      <c r="D6795" s="4328"/>
      <c r="E6795" s="4330"/>
      <c r="F6795" s="4336"/>
      <c r="G6795" s="4332"/>
      <c r="H6795" s="4332"/>
      <c r="I6795" s="1345">
        <v>56</v>
      </c>
      <c r="J6795" s="1307">
        <v>0.25</v>
      </c>
      <c r="K6795" s="1666">
        <f>I6795*J6795</f>
        <v>14</v>
      </c>
      <c r="L6795" s="4334"/>
      <c r="M6795" s="4335"/>
      <c r="N6795" s="4324"/>
      <c r="O6795" s="1298">
        <f>SUM(O6798:O6807)</f>
        <v>1.4624000000000001</v>
      </c>
      <c r="P6795" s="1337">
        <f>O6795*K6795</f>
        <v>20.473600000000001</v>
      </c>
      <c r="Q6795" s="3390"/>
      <c r="R6795" s="1721">
        <f>P6801</f>
        <v>20.473600000000005</v>
      </c>
    </row>
    <row r="6796" spans="1:18" s="16" customFormat="1">
      <c r="A6796" s="1320"/>
      <c r="B6796" s="1949"/>
      <c r="C6796" s="1327"/>
      <c r="D6796" s="1367"/>
      <c r="E6796" s="2121"/>
      <c r="F6796" s="1389" t="s">
        <v>1</v>
      </c>
      <c r="G6796" s="1389"/>
      <c r="H6796" s="1369"/>
      <c r="I6796" s="2088"/>
      <c r="J6796" s="1369"/>
      <c r="K6796" s="1391"/>
      <c r="L6796" s="1559"/>
      <c r="M6796" s="1369"/>
      <c r="N6796" s="1369"/>
      <c r="O6796" s="1369"/>
      <c r="P6796" s="1392"/>
      <c r="Q6796" s="3395"/>
      <c r="R6796" s="2339"/>
    </row>
    <row r="6797" spans="1:18" s="16" customFormat="1">
      <c r="A6797" s="1320"/>
      <c r="B6797" s="1599"/>
      <c r="C6797" s="1320"/>
      <c r="D6797" s="1367"/>
      <c r="E6797" s="2121"/>
      <c r="F6797" s="1368"/>
      <c r="G6797" s="1368"/>
      <c r="H6797" s="1369"/>
      <c r="I6797" s="1409"/>
      <c r="J6797" s="1390"/>
      <c r="K6797" s="2087"/>
      <c r="L6797" s="1335"/>
      <c r="M6797" s="1369"/>
      <c r="N6797" s="1390"/>
      <c r="O6797" s="1390"/>
      <c r="P6797" s="1392"/>
      <c r="Q6797" s="3395"/>
      <c r="R6797" s="2339"/>
    </row>
    <row r="6798" spans="1:18" s="16" customFormat="1">
      <c r="A6798" s="1042"/>
      <c r="B6798" s="1599"/>
      <c r="C6798" s="1042"/>
      <c r="D6798" s="1672"/>
      <c r="E6798" s="2160"/>
      <c r="F6798" s="1673"/>
      <c r="G6798" s="1673"/>
      <c r="H6798" s="1674"/>
      <c r="I6798" s="1299"/>
      <c r="J6798" s="1300"/>
      <c r="K6798" s="1307"/>
      <c r="L6798" s="1335"/>
      <c r="M6798" s="1302"/>
      <c r="N6798" s="1700"/>
      <c r="O6798" s="1290"/>
      <c r="P6798" s="1332"/>
      <c r="Q6798" s="3391"/>
      <c r="R6798" s="2339"/>
    </row>
    <row r="6799" spans="1:18" s="16" customFormat="1">
      <c r="A6799" s="1042"/>
      <c r="B6799" s="1599"/>
      <c r="C6799" s="1042"/>
      <c r="D6799" s="1367"/>
      <c r="E6799" s="2121"/>
      <c r="F6799" s="1436"/>
      <c r="G6799" s="1436"/>
      <c r="H6799" s="1369"/>
      <c r="I6799" s="1299" t="str">
        <f t="shared" ref="I6799" ca="1" si="898">IF(COUNT(H6799:O6799)=0,"",(SUM(H6799:O6799)/COUNT(H6799:O6799)))</f>
        <v/>
      </c>
      <c r="J6799" s="1300"/>
      <c r="K6799" s="1307"/>
      <c r="L6799" s="1335"/>
      <c r="M6799" s="1302"/>
      <c r="N6799" s="1700"/>
      <c r="O6799" s="1290"/>
      <c r="P6799" s="1332"/>
      <c r="Q6799" s="3391"/>
      <c r="R6799" s="2339"/>
    </row>
    <row r="6800" spans="1:18" s="16" customFormat="1">
      <c r="A6800" s="1042"/>
      <c r="B6800" s="1599"/>
      <c r="C6800" s="1042"/>
      <c r="D6800" s="1359"/>
      <c r="E6800" s="1858"/>
      <c r="F6800" s="1360" t="s">
        <v>2</v>
      </c>
      <c r="G6800" s="1360"/>
      <c r="H6800" s="1362"/>
      <c r="I6800" s="1380"/>
      <c r="J6800" s="1381"/>
      <c r="K6800" s="1381"/>
      <c r="L6800" s="1458"/>
      <c r="M6800" s="1362"/>
      <c r="N6800" s="1362"/>
      <c r="O6800" s="1362"/>
      <c r="P6800" s="1359"/>
      <c r="Q6800" s="3387"/>
      <c r="R6800" s="2339"/>
    </row>
    <row r="6801" spans="1:18" s="16" customFormat="1">
      <c r="A6801" s="1321"/>
      <c r="B6801" s="2053"/>
      <c r="C6801" s="1321"/>
      <c r="D6801" s="1363" t="s">
        <v>1067</v>
      </c>
      <c r="E6801" s="2125" t="s">
        <v>1508</v>
      </c>
      <c r="F6801" s="1385" t="s">
        <v>1512</v>
      </c>
      <c r="G6801" s="2019">
        <v>0.08</v>
      </c>
      <c r="H6801" s="1386"/>
      <c r="I6801" s="1299"/>
      <c r="J6801" s="1300"/>
      <c r="K6801" s="1307">
        <f>G6801*K6795</f>
        <v>1.1200000000000001</v>
      </c>
      <c r="L6801" s="1335">
        <f>K6801*$K$6785</f>
        <v>0</v>
      </c>
      <c r="M6801" s="1302">
        <v>18.28</v>
      </c>
      <c r="N6801" s="1700"/>
      <c r="O6801" s="1290">
        <f>G6801*M6801</f>
        <v>1.4624000000000001</v>
      </c>
      <c r="P6801" s="1332">
        <f>M6801*K6801</f>
        <v>20.473600000000005</v>
      </c>
      <c r="Q6801" s="3391"/>
      <c r="R6801" s="2339"/>
    </row>
    <row r="6802" spans="1:18" s="16" customFormat="1">
      <c r="A6802" s="1320"/>
      <c r="B6802" s="1599"/>
      <c r="C6802" s="1320"/>
      <c r="D6802" s="1359"/>
      <c r="E6802" s="1858"/>
      <c r="F6802" s="1404"/>
      <c r="G6802" s="1404"/>
      <c r="H6802" s="1359"/>
      <c r="I6802" s="1299"/>
      <c r="J6802" s="1300"/>
      <c r="K6802" s="1307"/>
      <c r="L6802" s="1335"/>
      <c r="M6802" s="1302"/>
      <c r="N6802" s="1700"/>
      <c r="O6802" s="1290"/>
      <c r="P6802" s="1332"/>
      <c r="Q6802" s="3391"/>
      <c r="R6802" s="2339"/>
    </row>
    <row r="6803" spans="1:18" s="16" customFormat="1">
      <c r="A6803" s="1320"/>
      <c r="B6803" s="1599"/>
      <c r="C6803" s="1320"/>
      <c r="D6803" s="1359"/>
      <c r="E6803" s="1858"/>
      <c r="F6803" s="1361"/>
      <c r="G6803" s="1361"/>
      <c r="H6803" s="1466"/>
      <c r="I6803" s="1299"/>
      <c r="J6803" s="1300"/>
      <c r="K6803" s="1307"/>
      <c r="L6803" s="1335"/>
      <c r="M6803" s="1302"/>
      <c r="N6803" s="1700"/>
      <c r="O6803" s="1290"/>
      <c r="P6803" s="1332"/>
      <c r="Q6803" s="3391"/>
      <c r="R6803" s="2339"/>
    </row>
    <row r="6804" spans="1:18" s="16" customFormat="1">
      <c r="A6804" s="1320"/>
      <c r="B6804" s="1599"/>
      <c r="C6804" s="1320"/>
      <c r="D6804" s="1373"/>
      <c r="E6804" s="2123"/>
      <c r="F6804" s="1374" t="s">
        <v>3</v>
      </c>
      <c r="G6804" s="1375"/>
      <c r="H6804" s="1376"/>
      <c r="I6804" s="1382"/>
      <c r="J6804" s="1383"/>
      <c r="K6804" s="1383"/>
      <c r="L6804" s="1413"/>
      <c r="M6804" s="1376"/>
      <c r="N6804" s="1376"/>
      <c r="O6804" s="1376"/>
      <c r="P6804" s="1373"/>
      <c r="Q6804" s="3387"/>
      <c r="R6804" s="2339"/>
    </row>
    <row r="6805" spans="1:18" s="16" customFormat="1">
      <c r="A6805" s="1321"/>
      <c r="B6805" s="2053"/>
      <c r="C6805" s="1321"/>
      <c r="D6805" s="1377"/>
      <c r="E6805" s="2124"/>
      <c r="F6805" s="1378"/>
      <c r="G6805" s="1378"/>
      <c r="H6805" s="1379"/>
      <c r="I6805" s="1299"/>
      <c r="J6805" s="1300"/>
      <c r="K6805" s="1307"/>
      <c r="L6805" s="1335"/>
      <c r="M6805" s="1302"/>
      <c r="N6805" s="1700"/>
      <c r="O6805" s="1290"/>
      <c r="P6805" s="1332"/>
      <c r="Q6805" s="3391"/>
      <c r="R6805" s="2339"/>
    </row>
    <row r="6806" spans="1:18" s="16" customFormat="1">
      <c r="A6806" s="1321"/>
      <c r="B6806" s="2053"/>
      <c r="C6806" s="1321"/>
      <c r="D6806" s="1377"/>
      <c r="E6806" s="2124"/>
      <c r="F6806" s="1378"/>
      <c r="G6806" s="1378"/>
      <c r="H6806" s="1379"/>
      <c r="I6806" s="1299"/>
      <c r="J6806" s="1300"/>
      <c r="K6806" s="1307"/>
      <c r="L6806" s="1335"/>
      <c r="M6806" s="1302"/>
      <c r="N6806" s="1700"/>
      <c r="O6806" s="1290"/>
      <c r="P6806" s="1333"/>
      <c r="Q6806" s="3391"/>
      <c r="R6806" s="2339"/>
    </row>
    <row r="6807" spans="1:18" s="16" customFormat="1">
      <c r="A6807" s="1042"/>
      <c r="B6807" s="1765"/>
      <c r="C6807" s="223"/>
      <c r="D6807" s="1373"/>
      <c r="E6807" s="2161"/>
      <c r="F6807" s="1678"/>
      <c r="G6807" s="1678"/>
      <c r="H6807" s="1376"/>
      <c r="I6807" s="1299"/>
      <c r="J6807" s="1300"/>
      <c r="K6807" s="1307"/>
      <c r="L6807" s="1335"/>
      <c r="M6807" s="1302"/>
      <c r="N6807" s="1700"/>
      <c r="O6807" s="1290"/>
      <c r="P6807" s="1332"/>
      <c r="Q6807" s="3391"/>
      <c r="R6807" s="2339"/>
    </row>
    <row r="6808" spans="1:18" s="16" customFormat="1">
      <c r="A6808" s="18" t="s">
        <v>3764</v>
      </c>
      <c r="B6808" s="4325" t="s">
        <v>2248</v>
      </c>
      <c r="C6808" s="3350"/>
      <c r="D6808" s="4327"/>
      <c r="E6808" s="4329" t="s">
        <v>1504</v>
      </c>
      <c r="F6808" s="4336" t="s">
        <v>2244</v>
      </c>
      <c r="G6808" s="4331" t="s">
        <v>1568</v>
      </c>
      <c r="H6808" s="4331" t="s">
        <v>1574</v>
      </c>
      <c r="I6808" s="1572" t="s">
        <v>1559</v>
      </c>
      <c r="J6808" s="1294" t="s">
        <v>1560</v>
      </c>
      <c r="K6808" s="1294" t="s">
        <v>1569</v>
      </c>
      <c r="L6808" s="4333" t="s">
        <v>3765</v>
      </c>
      <c r="M6808" s="4335" t="s">
        <v>1571</v>
      </c>
      <c r="N6808" s="4323" t="s">
        <v>1776</v>
      </c>
      <c r="O6808" s="3347" t="s">
        <v>1563</v>
      </c>
      <c r="P6808" s="1336" t="s">
        <v>1562</v>
      </c>
      <c r="Q6808" s="3389"/>
      <c r="R6808" s="1699" t="s">
        <v>1327</v>
      </c>
    </row>
    <row r="6809" spans="1:18" s="16" customFormat="1">
      <c r="A6809" s="1662" t="s">
        <v>2779</v>
      </c>
      <c r="B6809" s="4326"/>
      <c r="C6809" s="3351"/>
      <c r="D6809" s="4328"/>
      <c r="E6809" s="4330"/>
      <c r="F6809" s="4336"/>
      <c r="G6809" s="4332"/>
      <c r="H6809" s="4332"/>
      <c r="I6809" s="1345">
        <v>40</v>
      </c>
      <c r="J6809" s="1307">
        <v>0.25</v>
      </c>
      <c r="K6809" s="1666">
        <f>I6809*J6809</f>
        <v>10</v>
      </c>
      <c r="L6809" s="4334"/>
      <c r="M6809" s="4335"/>
      <c r="N6809" s="4324"/>
      <c r="O6809" s="1298">
        <f>SUM(O6811:O6820)</f>
        <v>20.5352</v>
      </c>
      <c r="P6809" s="1337">
        <f>O6809*K6809</f>
        <v>205.352</v>
      </c>
      <c r="Q6809" s="3390"/>
      <c r="R6809" s="1721">
        <f>SUM(P6811:P6820)</f>
        <v>205.352</v>
      </c>
    </row>
    <row r="6810" spans="1:18" s="16" customFormat="1">
      <c r="A6810" s="1599"/>
      <c r="B6810" s="1327"/>
      <c r="C6810" s="1511"/>
      <c r="D6810" s="1367"/>
      <c r="E6810" s="2121"/>
      <c r="F6810" s="1389" t="s">
        <v>1</v>
      </c>
      <c r="G6810" s="1389"/>
      <c r="H6810" s="1369"/>
      <c r="I6810" s="2088"/>
      <c r="J6810" s="1369"/>
      <c r="K6810" s="1391"/>
      <c r="L6810" s="2089"/>
      <c r="M6810" s="1369"/>
      <c r="N6810" s="1369"/>
      <c r="O6810" s="1369"/>
      <c r="P6810" s="1392"/>
      <c r="Q6810" s="3395"/>
      <c r="R6810" s="2339"/>
    </row>
    <row r="6811" spans="1:18" s="16" customFormat="1">
      <c r="A6811" s="1599"/>
      <c r="B6811" s="1320"/>
      <c r="C6811" s="595"/>
      <c r="D6811" s="1598" t="s">
        <v>1252</v>
      </c>
      <c r="E6811" s="2154" t="s">
        <v>1527</v>
      </c>
      <c r="F6811" s="1598" t="s">
        <v>2168</v>
      </c>
      <c r="G6811" s="1612">
        <v>4.04</v>
      </c>
      <c r="H6811" s="1369"/>
      <c r="I6811" s="1289"/>
      <c r="J6811" s="8"/>
      <c r="K6811" s="1307">
        <f>G6811*K6809</f>
        <v>40.4</v>
      </c>
      <c r="L6811" s="1335">
        <f t="shared" ref="L6811:L6816" si="899">K6811*$K$6785</f>
        <v>0</v>
      </c>
      <c r="M6811" s="1302">
        <v>0.16</v>
      </c>
      <c r="N6811" s="1700"/>
      <c r="O6811" s="1290">
        <f t="shared" ref="O6811:O6816" si="900">G6811*M6811</f>
        <v>0.64639999999999997</v>
      </c>
      <c r="P6811" s="1332">
        <f t="shared" ref="P6811:P6816" si="901">M6811*K6811</f>
        <v>6.4639999999999995</v>
      </c>
      <c r="Q6811" s="3391"/>
      <c r="R6811" s="2339"/>
    </row>
    <row r="6812" spans="1:18" s="16" customFormat="1">
      <c r="A6812" s="1599"/>
      <c r="B6812" s="1320"/>
      <c r="C6812" s="595"/>
      <c r="D6812" s="1598" t="s">
        <v>2245</v>
      </c>
      <c r="E6812" s="2154" t="s">
        <v>1504</v>
      </c>
      <c r="F6812" s="1598" t="s">
        <v>2246</v>
      </c>
      <c r="G6812" s="1612">
        <v>1</v>
      </c>
      <c r="H6812" s="1369"/>
      <c r="I6812" s="1289"/>
      <c r="J6812" s="8"/>
      <c r="K6812" s="1307">
        <f>G6812*K6809</f>
        <v>10</v>
      </c>
      <c r="L6812" s="1335">
        <f t="shared" si="899"/>
        <v>0</v>
      </c>
      <c r="M6812" s="1302">
        <v>1.45</v>
      </c>
      <c r="N6812" s="1700"/>
      <c r="O6812" s="1290">
        <f t="shared" si="900"/>
        <v>1.45</v>
      </c>
      <c r="P6812" s="1332">
        <f t="shared" si="901"/>
        <v>14.5</v>
      </c>
      <c r="Q6812" s="3391"/>
      <c r="R6812" s="2339"/>
    </row>
    <row r="6813" spans="1:18" s="16" customFormat="1">
      <c r="A6813" s="1599"/>
      <c r="B6813" s="1320"/>
      <c r="C6813" s="595"/>
      <c r="D6813" s="1598" t="s">
        <v>1256</v>
      </c>
      <c r="E6813" s="2154" t="s">
        <v>1504</v>
      </c>
      <c r="F6813" s="1598" t="s">
        <v>2247</v>
      </c>
      <c r="G6813" s="1612">
        <v>1</v>
      </c>
      <c r="H6813" s="1369"/>
      <c r="I6813" s="1289"/>
      <c r="J6813" s="8"/>
      <c r="K6813" s="1307">
        <f>G6813*K6809</f>
        <v>10</v>
      </c>
      <c r="L6813" s="1335">
        <f t="shared" si="899"/>
        <v>0</v>
      </c>
      <c r="M6813" s="1302">
        <v>0.32</v>
      </c>
      <c r="N6813" s="1700"/>
      <c r="O6813" s="1290">
        <f t="shared" si="900"/>
        <v>0.32</v>
      </c>
      <c r="P6813" s="1332">
        <f t="shared" si="901"/>
        <v>3.2</v>
      </c>
      <c r="Q6813" s="3391"/>
      <c r="R6813" s="2339"/>
    </row>
    <row r="6814" spans="1:18" s="16" customFormat="1">
      <c r="A6814" s="1599"/>
      <c r="B6814" s="1320"/>
      <c r="C6814" s="595"/>
      <c r="D6814" s="1598" t="s">
        <v>1245</v>
      </c>
      <c r="E6814" s="2154" t="s">
        <v>1527</v>
      </c>
      <c r="F6814" s="1598" t="s">
        <v>2169</v>
      </c>
      <c r="G6814" s="1612">
        <v>8</v>
      </c>
      <c r="H6814" s="1369"/>
      <c r="I6814" s="1289"/>
      <c r="J6814" s="8"/>
      <c r="K6814" s="1307">
        <f>G6814*K6809</f>
        <v>80</v>
      </c>
      <c r="L6814" s="1335">
        <f t="shared" si="899"/>
        <v>0</v>
      </c>
      <c r="M6814" s="1302">
        <v>0.42</v>
      </c>
      <c r="N6814" s="1700"/>
      <c r="O6814" s="1290">
        <f t="shared" si="900"/>
        <v>3.36</v>
      </c>
      <c r="P6814" s="1332">
        <f t="shared" si="901"/>
        <v>33.6</v>
      </c>
      <c r="Q6814" s="3391"/>
      <c r="R6814" s="2339"/>
    </row>
    <row r="6815" spans="1:18" s="16" customFormat="1">
      <c r="A6815" s="553"/>
      <c r="B6815" s="1320"/>
      <c r="C6815" s="88"/>
      <c r="D6815" s="1598" t="s">
        <v>1082</v>
      </c>
      <c r="E6815" s="2154" t="s">
        <v>1504</v>
      </c>
      <c r="F6815" s="1598" t="s">
        <v>1541</v>
      </c>
      <c r="G6815" s="1612">
        <v>0.5</v>
      </c>
      <c r="H6815" s="1674"/>
      <c r="I6815" s="1289"/>
      <c r="J6815" s="8"/>
      <c r="K6815" s="1307">
        <f>G6815*K6809</f>
        <v>5</v>
      </c>
      <c r="L6815" s="1335">
        <f t="shared" si="899"/>
        <v>0</v>
      </c>
      <c r="M6815" s="1302">
        <v>0.3</v>
      </c>
      <c r="N6815" s="1700"/>
      <c r="O6815" s="1290">
        <f t="shared" si="900"/>
        <v>0.15</v>
      </c>
      <c r="P6815" s="1332">
        <f t="shared" si="901"/>
        <v>1.5</v>
      </c>
      <c r="Q6815" s="3391"/>
      <c r="R6815" s="2339"/>
    </row>
    <row r="6816" spans="1:18" s="16" customFormat="1">
      <c r="A6816" s="553"/>
      <c r="B6816" s="1320"/>
      <c r="C6816" s="88"/>
      <c r="D6816" s="1598" t="s">
        <v>1097</v>
      </c>
      <c r="E6816" s="2154" t="s">
        <v>1504</v>
      </c>
      <c r="F6816" s="1598" t="s">
        <v>1632</v>
      </c>
      <c r="G6816" s="1612">
        <v>0.3</v>
      </c>
      <c r="H6816" s="1674"/>
      <c r="I6816" s="1289"/>
      <c r="J6816" s="8"/>
      <c r="K6816" s="1307">
        <f>G6816*K6809</f>
        <v>3</v>
      </c>
      <c r="L6816" s="1335">
        <f t="shared" si="899"/>
        <v>0</v>
      </c>
      <c r="M6816" s="1302">
        <v>0.55000000000000004</v>
      </c>
      <c r="N6816" s="1700"/>
      <c r="O6816" s="1290">
        <f t="shared" si="900"/>
        <v>0.16500000000000001</v>
      </c>
      <c r="P6816" s="1332">
        <f t="shared" si="901"/>
        <v>1.6500000000000001</v>
      </c>
      <c r="Q6816" s="3391"/>
      <c r="R6816" s="2339"/>
    </row>
    <row r="6817" spans="1:18" s="16" customFormat="1">
      <c r="A6817" s="553"/>
      <c r="B6817" s="1320"/>
      <c r="C6817" s="88"/>
      <c r="D6817" s="1367"/>
      <c r="E6817" s="2121"/>
      <c r="F6817" s="1436"/>
      <c r="G6817" s="1436"/>
      <c r="H6817" s="1369"/>
      <c r="I6817" s="1289" t="str">
        <f t="shared" ref="I6817" ca="1" si="902">IF(COUNT(H6817:O6817)=0,"",(SUM(H6817:O6817)/COUNT(H6817:O6817)))</f>
        <v/>
      </c>
      <c r="J6817" s="8"/>
      <c r="K6817" s="1307"/>
      <c r="L6817" s="1335"/>
      <c r="M6817" s="1302"/>
      <c r="N6817" s="1700"/>
      <c r="O6817" s="1290"/>
      <c r="P6817" s="1332"/>
      <c r="Q6817" s="3391"/>
      <c r="R6817" s="2339"/>
    </row>
    <row r="6818" spans="1:18" s="16" customFormat="1">
      <c r="A6818" s="553"/>
      <c r="B6818" s="1320"/>
      <c r="C6818" s="88"/>
      <c r="D6818" s="1359"/>
      <c r="E6818" s="1858"/>
      <c r="F6818" s="1360" t="s">
        <v>2</v>
      </c>
      <c r="G6818" s="1360"/>
      <c r="H6818" s="1362"/>
      <c r="I6818" s="1380"/>
      <c r="J6818" s="1381"/>
      <c r="K6818" s="1381"/>
      <c r="L6818" s="1458"/>
      <c r="M6818" s="1362"/>
      <c r="N6818" s="1362"/>
      <c r="O6818" s="1362"/>
      <c r="P6818" s="1359"/>
      <c r="Q6818" s="3387"/>
      <c r="R6818" s="2339"/>
    </row>
    <row r="6819" spans="1:18" s="16" customFormat="1">
      <c r="A6819" s="1599"/>
      <c r="B6819" s="1320"/>
      <c r="D6819" s="1359" t="s">
        <v>1593</v>
      </c>
      <c r="E6819" s="1858" t="s">
        <v>1508</v>
      </c>
      <c r="F6819" s="1404" t="s">
        <v>2146</v>
      </c>
      <c r="G6819" s="1404">
        <v>0.4</v>
      </c>
      <c r="H6819" s="1359"/>
      <c r="I6819" s="1289"/>
      <c r="J6819" s="8"/>
      <c r="K6819" s="1307">
        <f>G6819*K6809</f>
        <v>4</v>
      </c>
      <c r="L6819" s="1335">
        <f>K6819*$K$6785</f>
        <v>0</v>
      </c>
      <c r="M6819" s="1302">
        <v>19.23</v>
      </c>
      <c r="N6819" s="1700"/>
      <c r="O6819" s="1290">
        <f>G6819*M6819</f>
        <v>7.6920000000000002</v>
      </c>
      <c r="P6819" s="1332">
        <f>M6819*K6819</f>
        <v>76.92</v>
      </c>
      <c r="Q6819" s="3391"/>
      <c r="R6819" s="2339"/>
    </row>
    <row r="6820" spans="1:18" s="16" customFormat="1">
      <c r="A6820"/>
      <c r="B6820" s="1042"/>
      <c r="C6820" s="2086" t="s">
        <v>1755</v>
      </c>
      <c r="D6820" s="1311"/>
      <c r="E6820" s="2176" t="s">
        <v>1508</v>
      </c>
      <c r="F6820" s="1648" t="s">
        <v>1524</v>
      </c>
      <c r="G6820" s="1990"/>
      <c r="H6820" s="1456">
        <v>0.18</v>
      </c>
      <c r="I6820" s="1444"/>
      <c r="J6820" s="1388"/>
      <c r="K6820" s="1445"/>
      <c r="L6820" s="1457"/>
      <c r="M6820" s="1447"/>
      <c r="N6820" s="1447">
        <f>SUM(N6821:N6822)</f>
        <v>37.510000000000005</v>
      </c>
      <c r="O6820" s="1447">
        <f>SUM(O6821:O6822)</f>
        <v>6.7517999999999994</v>
      </c>
      <c r="P6820" s="1447">
        <f>SUM(P6821:P6822)</f>
        <v>67.518000000000001</v>
      </c>
      <c r="Q6820" s="3391"/>
      <c r="R6820" s="2337"/>
    </row>
    <row r="6821" spans="1:18" s="16" customFormat="1">
      <c r="A6821"/>
      <c r="B6821" s="1042"/>
      <c r="C6821" s="19"/>
      <c r="D6821" s="1430" t="s">
        <v>1067</v>
      </c>
      <c r="E6821" s="1857" t="s">
        <v>1508</v>
      </c>
      <c r="F6821" s="1403" t="s">
        <v>5</v>
      </c>
      <c r="G6821" s="1991">
        <v>1</v>
      </c>
      <c r="H6821" s="1408">
        <f>G6821*H6820</f>
        <v>0.18</v>
      </c>
      <c r="I6821" s="1286"/>
      <c r="J6821" s="198"/>
      <c r="K6821" s="1307">
        <f>H6821*K6809</f>
        <v>1.7999999999999998</v>
      </c>
      <c r="L6821" s="1335">
        <f t="shared" ref="L6821:L6822" si="903">K6821*$K$6785</f>
        <v>0</v>
      </c>
      <c r="M6821" s="1302">
        <v>18.28</v>
      </c>
      <c r="N6821" s="1718">
        <f>G6821*M6821</f>
        <v>18.28</v>
      </c>
      <c r="O6821" s="1290">
        <f>H6821*M6821</f>
        <v>3.2904</v>
      </c>
      <c r="P6821" s="1720">
        <f>M6821*K6821</f>
        <v>32.903999999999996</v>
      </c>
      <c r="Q6821" s="3396"/>
      <c r="R6821" s="2337"/>
    </row>
    <row r="6822" spans="1:18" s="16" customFormat="1">
      <c r="A6822"/>
      <c r="B6822" s="1042"/>
      <c r="C6822" s="19"/>
      <c r="D6822" s="1430" t="s">
        <v>1077</v>
      </c>
      <c r="E6822" s="1857" t="s">
        <v>1508</v>
      </c>
      <c r="F6822" s="1403" t="s">
        <v>37</v>
      </c>
      <c r="G6822" s="1991">
        <v>1</v>
      </c>
      <c r="H6822" s="1408">
        <f>G6822*H6820</f>
        <v>0.18</v>
      </c>
      <c r="I6822" s="197"/>
      <c r="J6822" s="198"/>
      <c r="K6822" s="1307">
        <f>H6822*K6809</f>
        <v>1.7999999999999998</v>
      </c>
      <c r="L6822" s="1335">
        <f t="shared" si="903"/>
        <v>0</v>
      </c>
      <c r="M6822" s="1302">
        <v>19.23</v>
      </c>
      <c r="N6822" s="1718">
        <f>G6822*M6822</f>
        <v>19.23</v>
      </c>
      <c r="O6822" s="1290">
        <f>H6822*M6822</f>
        <v>3.4613999999999998</v>
      </c>
      <c r="P6822" s="1720">
        <f>M6822*K6822</f>
        <v>34.613999999999997</v>
      </c>
      <c r="Q6822" s="3396"/>
      <c r="R6822" s="2337"/>
    </row>
    <row r="6823" spans="1:18" s="16" customFormat="1">
      <c r="A6823"/>
      <c r="B6823" s="1320"/>
      <c r="D6823" s="1359"/>
      <c r="E6823" s="1858"/>
      <c r="F6823" s="1361"/>
      <c r="G6823" s="1361"/>
      <c r="H6823" s="1466"/>
      <c r="I6823" s="1289"/>
      <c r="J6823" s="8"/>
      <c r="K6823" s="1307"/>
      <c r="L6823" s="1335"/>
      <c r="M6823" s="1302"/>
      <c r="N6823" s="1700"/>
      <c r="O6823" s="1290"/>
      <c r="P6823" s="1332"/>
      <c r="Q6823" s="3391"/>
      <c r="R6823" s="1296"/>
    </row>
    <row r="6824" spans="1:18" s="16" customFormat="1">
      <c r="A6824" s="1599"/>
      <c r="B6824" s="1320"/>
      <c r="C6824" s="595"/>
      <c r="D6824" s="1359"/>
      <c r="E6824" s="1858"/>
      <c r="F6824" s="1361"/>
      <c r="G6824" s="1361"/>
      <c r="H6824" s="1466"/>
      <c r="I6824" s="1299"/>
      <c r="J6824" s="1300"/>
      <c r="K6824" s="1307"/>
      <c r="L6824" s="1335"/>
      <c r="M6824" s="1302"/>
      <c r="N6824" s="1700"/>
      <c r="O6824" s="1290"/>
      <c r="P6824" s="1332"/>
      <c r="Q6824" s="3391"/>
      <c r="R6824" s="2339"/>
    </row>
    <row r="6825" spans="1:18" s="16" customFormat="1">
      <c r="A6825" s="1599"/>
      <c r="B6825" s="1320"/>
      <c r="C6825" s="595"/>
      <c r="D6825" s="1373"/>
      <c r="E6825" s="2123"/>
      <c r="F6825" s="1374" t="s">
        <v>3</v>
      </c>
      <c r="G6825" s="1375"/>
      <c r="H6825" s="1376"/>
      <c r="I6825" s="1382"/>
      <c r="J6825" s="1383"/>
      <c r="K6825" s="1383"/>
      <c r="L6825" s="1413"/>
      <c r="M6825" s="1376"/>
      <c r="N6825" s="1376"/>
      <c r="O6825" s="1376"/>
      <c r="P6825" s="1373"/>
      <c r="Q6825" s="3387"/>
      <c r="R6825" s="2339"/>
    </row>
    <row r="6826" spans="1:18" s="16" customFormat="1">
      <c r="A6826" s="2053"/>
      <c r="B6826" s="1321"/>
      <c r="C6826" s="2021"/>
      <c r="D6826" s="1377"/>
      <c r="E6826" s="2124"/>
      <c r="F6826" s="1378"/>
      <c r="G6826" s="1378"/>
      <c r="H6826" s="1379"/>
      <c r="I6826" s="1299"/>
      <c r="J6826" s="1300"/>
      <c r="K6826" s="1307"/>
      <c r="L6826" s="1335"/>
      <c r="M6826" s="1302"/>
      <c r="N6826" s="1700"/>
      <c r="O6826" s="1290"/>
      <c r="P6826" s="1332"/>
      <c r="Q6826" s="3391"/>
      <c r="R6826" s="2339"/>
    </row>
    <row r="6827" spans="1:18" s="16" customFormat="1">
      <c r="A6827" s="2053"/>
      <c r="B6827" s="1321"/>
      <c r="C6827" s="2021"/>
      <c r="D6827" s="1377"/>
      <c r="E6827" s="2124"/>
      <c r="F6827" s="1378"/>
      <c r="G6827" s="1378"/>
      <c r="H6827" s="1379"/>
      <c r="I6827" s="1299"/>
      <c r="J6827" s="1300"/>
      <c r="K6827" s="1307"/>
      <c r="L6827" s="1335"/>
      <c r="M6827" s="1302"/>
      <c r="N6827" s="1700"/>
      <c r="O6827" s="1290"/>
      <c r="P6827" s="1332"/>
      <c r="Q6827" s="3391"/>
      <c r="R6827" s="2339"/>
    </row>
    <row r="6828" spans="1:18" s="16" customFormat="1">
      <c r="A6828" s="2053"/>
      <c r="B6828" s="1321"/>
      <c r="C6828" s="2021"/>
      <c r="D6828" s="1377"/>
      <c r="E6828" s="2124"/>
      <c r="F6828" s="1378"/>
      <c r="G6828" s="1378"/>
      <c r="H6828" s="1379"/>
      <c r="I6828" s="1299"/>
      <c r="J6828" s="1300"/>
      <c r="K6828" s="1307"/>
      <c r="L6828" s="1335"/>
      <c r="M6828" s="1302"/>
      <c r="N6828" s="1700"/>
      <c r="O6828" s="1290"/>
      <c r="P6828" s="1333"/>
      <c r="Q6828" s="3391"/>
      <c r="R6828" s="2339"/>
    </row>
    <row r="6829" spans="1:18" s="16" customFormat="1" ht="15" customHeight="1">
      <c r="A6829" s="18" t="s">
        <v>3764</v>
      </c>
      <c r="B6829" s="4325" t="s">
        <v>2249</v>
      </c>
      <c r="C6829" s="3350"/>
      <c r="D6829" s="4327"/>
      <c r="E6829" s="4329" t="s">
        <v>1504</v>
      </c>
      <c r="F6829" s="4336" t="s">
        <v>2250</v>
      </c>
      <c r="G6829" s="4331" t="s">
        <v>1568</v>
      </c>
      <c r="H6829" s="4331" t="s">
        <v>1574</v>
      </c>
      <c r="I6829" s="1572" t="s">
        <v>1559</v>
      </c>
      <c r="J6829" s="1294" t="s">
        <v>1560</v>
      </c>
      <c r="K6829" s="1294" t="s">
        <v>1569</v>
      </c>
      <c r="L6829" s="4333" t="s">
        <v>3765</v>
      </c>
      <c r="M6829" s="4335" t="s">
        <v>1571</v>
      </c>
      <c r="N6829" s="4323" t="s">
        <v>1776</v>
      </c>
      <c r="O6829" s="3347" t="s">
        <v>1563</v>
      </c>
      <c r="P6829" s="1336" t="s">
        <v>1562</v>
      </c>
      <c r="Q6829" s="3389"/>
      <c r="R6829" s="1699" t="s">
        <v>1327</v>
      </c>
    </row>
    <row r="6830" spans="1:18" s="16" customFormat="1">
      <c r="A6830" s="1662" t="s">
        <v>2779</v>
      </c>
      <c r="B6830" s="4326"/>
      <c r="C6830" s="3351"/>
      <c r="D6830" s="4328"/>
      <c r="E6830" s="4330"/>
      <c r="F6830" s="4336"/>
      <c r="G6830" s="4332"/>
      <c r="H6830" s="4332"/>
      <c r="I6830" s="1345">
        <v>16</v>
      </c>
      <c r="J6830" s="1307">
        <v>0.25</v>
      </c>
      <c r="K6830" s="1666">
        <f>I6830*J6830</f>
        <v>4</v>
      </c>
      <c r="L6830" s="4334"/>
      <c r="M6830" s="4335"/>
      <c r="N6830" s="4324"/>
      <c r="O6830" s="1298">
        <f>SUM(O6832:O6841)</f>
        <v>40.465900000000005</v>
      </c>
      <c r="P6830" s="1337">
        <f>O6830*K6830</f>
        <v>161.86360000000002</v>
      </c>
      <c r="Q6830" s="3390"/>
      <c r="R6830" s="1721">
        <f>SUM(P6832:P6841)</f>
        <v>161.86360000000002</v>
      </c>
    </row>
    <row r="6831" spans="1:18" s="16" customFormat="1">
      <c r="A6831" s="1599"/>
      <c r="B6831" s="1327"/>
      <c r="C6831" s="1511"/>
      <c r="D6831" s="1367"/>
      <c r="E6831" s="2121"/>
      <c r="F6831" s="1389" t="s">
        <v>1</v>
      </c>
      <c r="G6831" s="1389"/>
      <c r="H6831" s="1369"/>
      <c r="I6831" s="2088"/>
      <c r="J6831" s="1369"/>
      <c r="K6831" s="1391"/>
      <c r="L6831" s="2089"/>
      <c r="M6831" s="1369"/>
      <c r="N6831" s="1369"/>
      <c r="O6831" s="1369"/>
      <c r="P6831" s="1392"/>
      <c r="Q6831" s="3395"/>
      <c r="R6831" s="2339"/>
    </row>
    <row r="6832" spans="1:18" s="16" customFormat="1">
      <c r="A6832" s="1599"/>
      <c r="B6832" s="1320"/>
      <c r="C6832" s="595"/>
      <c r="D6832" s="1598" t="s">
        <v>1252</v>
      </c>
      <c r="E6832" s="2154" t="s">
        <v>1527</v>
      </c>
      <c r="F6832" s="1598" t="s">
        <v>2168</v>
      </c>
      <c r="G6832" s="1612">
        <v>8.08</v>
      </c>
      <c r="H6832" s="1369"/>
      <c r="I6832" s="1289"/>
      <c r="J6832" s="8"/>
      <c r="K6832" s="1307">
        <f>G6832*K6830</f>
        <v>32.32</v>
      </c>
      <c r="L6832" s="1335">
        <f t="shared" ref="L6832:L6837" si="904">K6832*$K$6785</f>
        <v>0</v>
      </c>
      <c r="M6832" s="1302">
        <v>0.16</v>
      </c>
      <c r="N6832" s="1700"/>
      <c r="O6832" s="1290">
        <f t="shared" ref="O6832:O6837" si="905">G6832*M6832</f>
        <v>1.2927999999999999</v>
      </c>
      <c r="P6832" s="1332">
        <f t="shared" ref="P6832:P6837" si="906">M6832*K6832</f>
        <v>5.1711999999999998</v>
      </c>
      <c r="Q6832" s="3391"/>
      <c r="R6832" s="2339"/>
    </row>
    <row r="6833" spans="1:18" s="16" customFormat="1">
      <c r="A6833" s="1599"/>
      <c r="B6833" s="1320"/>
      <c r="C6833" s="595"/>
      <c r="D6833" s="1598" t="s">
        <v>2251</v>
      </c>
      <c r="E6833" s="2154" t="s">
        <v>1504</v>
      </c>
      <c r="F6833" s="1598" t="s">
        <v>2252</v>
      </c>
      <c r="G6833" s="1612">
        <v>2</v>
      </c>
      <c r="H6833" s="1369"/>
      <c r="I6833" s="1289"/>
      <c r="J6833" s="8"/>
      <c r="K6833" s="1307">
        <f>G6833*K6830</f>
        <v>8</v>
      </c>
      <c r="L6833" s="1335">
        <f t="shared" si="904"/>
        <v>0</v>
      </c>
      <c r="M6833" s="1302">
        <v>0.91</v>
      </c>
      <c r="N6833" s="1700"/>
      <c r="O6833" s="1290">
        <f t="shared" si="905"/>
        <v>1.82</v>
      </c>
      <c r="P6833" s="1332">
        <f t="shared" si="906"/>
        <v>7.28</v>
      </c>
      <c r="Q6833" s="3391"/>
      <c r="R6833" s="2339"/>
    </row>
    <row r="6834" spans="1:18" s="16" customFormat="1">
      <c r="A6834" s="1599"/>
      <c r="B6834" s="1320"/>
      <c r="C6834" s="595"/>
      <c r="D6834" s="1598" t="s">
        <v>1256</v>
      </c>
      <c r="E6834" s="2154" t="s">
        <v>1504</v>
      </c>
      <c r="F6834" s="1598" t="s">
        <v>2247</v>
      </c>
      <c r="G6834" s="1612">
        <v>2</v>
      </c>
      <c r="H6834" s="1369"/>
      <c r="I6834" s="1289"/>
      <c r="J6834" s="8"/>
      <c r="K6834" s="1307">
        <f>G6834*K6830</f>
        <v>8</v>
      </c>
      <c r="L6834" s="1335">
        <f t="shared" si="904"/>
        <v>0</v>
      </c>
      <c r="M6834" s="1302">
        <v>0.32</v>
      </c>
      <c r="N6834" s="1700"/>
      <c r="O6834" s="1290">
        <f t="shared" si="905"/>
        <v>0.64</v>
      </c>
      <c r="P6834" s="1332">
        <f t="shared" si="906"/>
        <v>2.56</v>
      </c>
      <c r="Q6834" s="3391"/>
      <c r="R6834" s="2339"/>
    </row>
    <row r="6835" spans="1:18" s="16" customFormat="1">
      <c r="A6835" s="1599"/>
      <c r="B6835" s="1320"/>
      <c r="C6835" s="595"/>
      <c r="D6835" s="1598" t="s">
        <v>1245</v>
      </c>
      <c r="E6835" s="2154" t="s">
        <v>1527</v>
      </c>
      <c r="F6835" s="1598" t="s">
        <v>2169</v>
      </c>
      <c r="G6835" s="1612">
        <v>24</v>
      </c>
      <c r="H6835" s="1369"/>
      <c r="I6835" s="1289"/>
      <c r="J6835" s="8"/>
      <c r="K6835" s="1307">
        <f>G6835*K6830</f>
        <v>96</v>
      </c>
      <c r="L6835" s="1335">
        <f t="shared" si="904"/>
        <v>0</v>
      </c>
      <c r="M6835" s="1302">
        <v>0.42</v>
      </c>
      <c r="N6835" s="1700"/>
      <c r="O6835" s="1290">
        <f t="shared" si="905"/>
        <v>10.08</v>
      </c>
      <c r="P6835" s="1332">
        <f t="shared" si="906"/>
        <v>40.32</v>
      </c>
      <c r="Q6835" s="3391"/>
      <c r="R6835" s="2339"/>
    </row>
    <row r="6836" spans="1:18" s="16" customFormat="1">
      <c r="A6836" s="553"/>
      <c r="B6836" s="1320"/>
      <c r="C6836" s="88"/>
      <c r="D6836" s="1598" t="s">
        <v>1082</v>
      </c>
      <c r="E6836" s="2154" t="s">
        <v>1504</v>
      </c>
      <c r="F6836" s="1598" t="s">
        <v>1541</v>
      </c>
      <c r="G6836" s="1612">
        <v>1</v>
      </c>
      <c r="H6836" s="1674"/>
      <c r="I6836" s="1289"/>
      <c r="J6836" s="8"/>
      <c r="K6836" s="1307">
        <f>G6836*K6830</f>
        <v>4</v>
      </c>
      <c r="L6836" s="1335">
        <f t="shared" si="904"/>
        <v>0</v>
      </c>
      <c r="M6836" s="1302">
        <v>0.3</v>
      </c>
      <c r="N6836" s="1700"/>
      <c r="O6836" s="1290">
        <f t="shared" si="905"/>
        <v>0.3</v>
      </c>
      <c r="P6836" s="1332">
        <f t="shared" si="906"/>
        <v>1.2</v>
      </c>
      <c r="Q6836" s="3391"/>
      <c r="R6836" s="2339"/>
    </row>
    <row r="6837" spans="1:18" s="16" customFormat="1">
      <c r="A6837" s="553"/>
      <c r="B6837" s="1320"/>
      <c r="C6837" s="88"/>
      <c r="D6837" s="1598" t="s">
        <v>1097</v>
      </c>
      <c r="E6837" s="2154" t="s">
        <v>1504</v>
      </c>
      <c r="F6837" s="1598" t="s">
        <v>1632</v>
      </c>
      <c r="G6837" s="1612">
        <v>0.6</v>
      </c>
      <c r="H6837" s="1674"/>
      <c r="I6837" s="1289"/>
      <c r="J6837" s="8"/>
      <c r="K6837" s="1307">
        <f>G6837*K6830</f>
        <v>2.4</v>
      </c>
      <c r="L6837" s="1335">
        <f t="shared" si="904"/>
        <v>0</v>
      </c>
      <c r="M6837" s="1302">
        <v>0.55000000000000004</v>
      </c>
      <c r="N6837" s="1700"/>
      <c r="O6837" s="1290">
        <f t="shared" si="905"/>
        <v>0.33</v>
      </c>
      <c r="P6837" s="1332">
        <f t="shared" si="906"/>
        <v>1.32</v>
      </c>
      <c r="Q6837" s="3391"/>
      <c r="R6837" s="2339"/>
    </row>
    <row r="6838" spans="1:18" s="16" customFormat="1">
      <c r="A6838" s="553"/>
      <c r="B6838" s="1320"/>
      <c r="C6838" s="88"/>
      <c r="D6838" s="1367"/>
      <c r="E6838" s="2121"/>
      <c r="F6838" s="1436"/>
      <c r="G6838" s="1436"/>
      <c r="H6838" s="1369"/>
      <c r="I6838" s="1289" t="str">
        <f t="shared" ref="I6838" ca="1" si="907">IF(COUNT(H6838:O6838)=0,"",(SUM(H6838:O6838)/COUNT(H6838:O6838)))</f>
        <v/>
      </c>
      <c r="J6838" s="8"/>
      <c r="K6838" s="1307"/>
      <c r="L6838" s="1335"/>
      <c r="M6838" s="1302"/>
      <c r="N6838" s="1700"/>
      <c r="O6838" s="1290"/>
      <c r="P6838" s="1332"/>
      <c r="Q6838" s="3391"/>
      <c r="R6838" s="2339"/>
    </row>
    <row r="6839" spans="1:18" s="16" customFormat="1">
      <c r="A6839" s="553"/>
      <c r="B6839" s="1320"/>
      <c r="C6839" s="88"/>
      <c r="D6839" s="1359"/>
      <c r="E6839" s="1858"/>
      <c r="F6839" s="1360" t="s">
        <v>2</v>
      </c>
      <c r="G6839" s="1360"/>
      <c r="H6839" s="1362"/>
      <c r="I6839" s="1380"/>
      <c r="J6839" s="1381"/>
      <c r="K6839" s="1381"/>
      <c r="L6839" s="1458"/>
      <c r="M6839" s="1362"/>
      <c r="N6839" s="1362"/>
      <c r="O6839" s="1362"/>
      <c r="P6839" s="1359"/>
      <c r="Q6839" s="3387"/>
      <c r="R6839" s="2339"/>
    </row>
    <row r="6840" spans="1:18" s="16" customFormat="1">
      <c r="A6840" s="1599"/>
      <c r="B6840" s="1320"/>
      <c r="D6840" s="1359" t="s">
        <v>1593</v>
      </c>
      <c r="E6840" s="1858" t="s">
        <v>1508</v>
      </c>
      <c r="F6840" s="1404" t="s">
        <v>2146</v>
      </c>
      <c r="G6840" s="1404">
        <v>0.65</v>
      </c>
      <c r="H6840" s="1359"/>
      <c r="I6840" s="1289"/>
      <c r="J6840" s="8"/>
      <c r="K6840" s="1307">
        <f>G6840*K6830</f>
        <v>2.6</v>
      </c>
      <c r="L6840" s="1335">
        <f>K6840*$K$6785</f>
        <v>0</v>
      </c>
      <c r="M6840" s="1302">
        <v>19.23</v>
      </c>
      <c r="N6840" s="1700"/>
      <c r="O6840" s="1290">
        <f>G6840*M6840</f>
        <v>12.499500000000001</v>
      </c>
      <c r="P6840" s="1332">
        <f>M6840*K6840</f>
        <v>49.998000000000005</v>
      </c>
      <c r="Q6840" s="3391"/>
      <c r="R6840" s="2339"/>
    </row>
    <row r="6841" spans="1:18" s="16" customFormat="1">
      <c r="A6841"/>
      <c r="B6841" s="1042"/>
      <c r="C6841" s="2086" t="s">
        <v>1755</v>
      </c>
      <c r="D6841" s="1311"/>
      <c r="E6841" s="2176" t="s">
        <v>1508</v>
      </c>
      <c r="F6841" s="1648" t="s">
        <v>1524</v>
      </c>
      <c r="G6841" s="1990"/>
      <c r="H6841" s="1456">
        <v>0.36</v>
      </c>
      <c r="I6841" s="1444"/>
      <c r="J6841" s="1388"/>
      <c r="K6841" s="1445"/>
      <c r="L6841" s="1457"/>
      <c r="M6841" s="1447"/>
      <c r="N6841" s="1447">
        <f>SUM(N6842:N6843)</f>
        <v>37.510000000000005</v>
      </c>
      <c r="O6841" s="1447">
        <f>SUM(O6842:O6843)</f>
        <v>13.503599999999999</v>
      </c>
      <c r="P6841" s="1447">
        <f>SUM(P6842:P6843)</f>
        <v>54.014399999999995</v>
      </c>
      <c r="Q6841" s="3391"/>
      <c r="R6841" s="2337"/>
    </row>
    <row r="6842" spans="1:18" s="16" customFormat="1">
      <c r="A6842"/>
      <c r="B6842" s="1042"/>
      <c r="C6842" s="19"/>
      <c r="D6842" s="1430" t="s">
        <v>1067</v>
      </c>
      <c r="E6842" s="1857" t="s">
        <v>1508</v>
      </c>
      <c r="F6842" s="1403" t="s">
        <v>5</v>
      </c>
      <c r="G6842" s="1991">
        <v>1</v>
      </c>
      <c r="H6842" s="1937">
        <f>G6842*H6841</f>
        <v>0.36</v>
      </c>
      <c r="I6842" s="1286"/>
      <c r="J6842" s="198"/>
      <c r="K6842" s="1307">
        <f>H6842*K6830</f>
        <v>1.44</v>
      </c>
      <c r="L6842" s="1335">
        <f t="shared" ref="L6842:L6843" si="908">K6842*$K$6785</f>
        <v>0</v>
      </c>
      <c r="M6842" s="1302">
        <v>18.28</v>
      </c>
      <c r="N6842" s="1718">
        <f>G6842*M6842</f>
        <v>18.28</v>
      </c>
      <c r="O6842" s="1290">
        <f>H6842*M6842</f>
        <v>6.5808</v>
      </c>
      <c r="P6842" s="1720">
        <f>M6842*K6842</f>
        <v>26.3232</v>
      </c>
      <c r="Q6842" s="3396"/>
      <c r="R6842" s="2337"/>
    </row>
    <row r="6843" spans="1:18" s="16" customFormat="1">
      <c r="A6843"/>
      <c r="B6843" s="1042"/>
      <c r="C6843" s="19"/>
      <c r="D6843" s="1430" t="s">
        <v>1077</v>
      </c>
      <c r="E6843" s="1857" t="s">
        <v>1508</v>
      </c>
      <c r="F6843" s="1403" t="s">
        <v>37</v>
      </c>
      <c r="G6843" s="1991">
        <v>1</v>
      </c>
      <c r="H6843" s="1937">
        <f>G6843*H6841</f>
        <v>0.36</v>
      </c>
      <c r="I6843" s="197"/>
      <c r="J6843" s="198"/>
      <c r="K6843" s="1307">
        <f>H6843*K6830</f>
        <v>1.44</v>
      </c>
      <c r="L6843" s="1335">
        <f t="shared" si="908"/>
        <v>0</v>
      </c>
      <c r="M6843" s="1302">
        <v>19.23</v>
      </c>
      <c r="N6843" s="1718">
        <f>G6843*M6843</f>
        <v>19.23</v>
      </c>
      <c r="O6843" s="1290">
        <f>H6843*M6843</f>
        <v>6.9227999999999996</v>
      </c>
      <c r="P6843" s="1720">
        <f>M6843*K6843</f>
        <v>27.691199999999998</v>
      </c>
      <c r="Q6843" s="3396"/>
      <c r="R6843" s="2337"/>
    </row>
    <row r="6844" spans="1:18" s="16" customFormat="1">
      <c r="A6844"/>
      <c r="B6844" s="1320"/>
      <c r="D6844" s="1359"/>
      <c r="E6844" s="1858"/>
      <c r="F6844" s="1361"/>
      <c r="G6844" s="1361"/>
      <c r="H6844" s="1466"/>
      <c r="I6844" s="1289"/>
      <c r="J6844" s="8"/>
      <c r="K6844" s="1307"/>
      <c r="L6844" s="1335"/>
      <c r="M6844" s="1302"/>
      <c r="N6844" s="1700"/>
      <c r="O6844" s="1290"/>
      <c r="P6844" s="1332"/>
      <c r="Q6844" s="3391"/>
      <c r="R6844" s="1296"/>
    </row>
    <row r="6845" spans="1:18" s="16" customFormat="1">
      <c r="A6845" s="1599"/>
      <c r="B6845" s="1320"/>
      <c r="C6845" s="595"/>
      <c r="D6845" s="1359"/>
      <c r="E6845" s="1858"/>
      <c r="F6845" s="1361"/>
      <c r="G6845" s="1361"/>
      <c r="H6845" s="1466"/>
      <c r="I6845" s="1299"/>
      <c r="J6845" s="1300"/>
      <c r="K6845" s="1307"/>
      <c r="L6845" s="1335"/>
      <c r="M6845" s="1302"/>
      <c r="N6845" s="1700"/>
      <c r="O6845" s="1290"/>
      <c r="P6845" s="1332"/>
      <c r="Q6845" s="3391"/>
      <c r="R6845" s="2339"/>
    </row>
    <row r="6846" spans="1:18" s="16" customFormat="1">
      <c r="A6846" s="1599"/>
      <c r="B6846" s="1320"/>
      <c r="C6846" s="595"/>
      <c r="D6846" s="1373"/>
      <c r="E6846" s="2123"/>
      <c r="F6846" s="1374" t="s">
        <v>3</v>
      </c>
      <c r="G6846" s="1375"/>
      <c r="H6846" s="1376"/>
      <c r="I6846" s="1382"/>
      <c r="J6846" s="1383"/>
      <c r="K6846" s="1383"/>
      <c r="L6846" s="1413"/>
      <c r="M6846" s="1376"/>
      <c r="N6846" s="1376"/>
      <c r="O6846" s="1376"/>
      <c r="P6846" s="1373"/>
      <c r="Q6846" s="3387"/>
      <c r="R6846" s="2339"/>
    </row>
    <row r="6847" spans="1:18" s="16" customFormat="1">
      <c r="A6847" s="2053"/>
      <c r="B6847" s="1321"/>
      <c r="C6847" s="2021"/>
      <c r="D6847" s="1377"/>
      <c r="E6847" s="2124"/>
      <c r="F6847" s="1378"/>
      <c r="G6847" s="1378"/>
      <c r="H6847" s="1379"/>
      <c r="I6847" s="1299"/>
      <c r="J6847" s="1300"/>
      <c r="K6847" s="1307"/>
      <c r="L6847" s="1335"/>
      <c r="M6847" s="1302"/>
      <c r="N6847" s="1700"/>
      <c r="O6847" s="1290"/>
      <c r="P6847" s="1332"/>
      <c r="Q6847" s="3391"/>
      <c r="R6847" s="2339"/>
    </row>
    <row r="6848" spans="1:18" s="16" customFormat="1">
      <c r="A6848" s="2053"/>
      <c r="B6848" s="1321"/>
      <c r="C6848" s="2021"/>
      <c r="D6848" s="1377"/>
      <c r="E6848" s="2124"/>
      <c r="F6848" s="1378"/>
      <c r="G6848" s="1378"/>
      <c r="H6848" s="1379"/>
      <c r="I6848" s="1299"/>
      <c r="J6848" s="1300"/>
      <c r="K6848" s="1307"/>
      <c r="L6848" s="1335"/>
      <c r="M6848" s="1302"/>
      <c r="N6848" s="1700"/>
      <c r="O6848" s="1290"/>
      <c r="P6848" s="1333"/>
      <c r="Q6848" s="3391"/>
      <c r="R6848" s="2339"/>
    </row>
    <row r="6849" spans="1:18" s="16" customFormat="1">
      <c r="A6849" s="18" t="s">
        <v>3764</v>
      </c>
      <c r="B6849" s="4325" t="s">
        <v>2253</v>
      </c>
      <c r="C6849" s="3350"/>
      <c r="D6849" s="4327"/>
      <c r="E6849" s="4329" t="s">
        <v>1504</v>
      </c>
      <c r="F6849" s="4336" t="s">
        <v>2254</v>
      </c>
      <c r="G6849" s="4331" t="s">
        <v>1568</v>
      </c>
      <c r="H6849" s="4331" t="s">
        <v>1574</v>
      </c>
      <c r="I6849" s="1572" t="s">
        <v>1559</v>
      </c>
      <c r="J6849" s="1294" t="s">
        <v>1560</v>
      </c>
      <c r="K6849" s="1294" t="s">
        <v>1569</v>
      </c>
      <c r="L6849" s="4333" t="s">
        <v>3765</v>
      </c>
      <c r="M6849" s="4335" t="s">
        <v>1571</v>
      </c>
      <c r="N6849" s="4323" t="s">
        <v>1776</v>
      </c>
      <c r="O6849" s="3347" t="s">
        <v>1563</v>
      </c>
      <c r="P6849" s="1336" t="s">
        <v>1562</v>
      </c>
      <c r="Q6849" s="3389"/>
      <c r="R6849" s="1699" t="s">
        <v>1327</v>
      </c>
    </row>
    <row r="6850" spans="1:18" s="16" customFormat="1">
      <c r="A6850" s="1662" t="s">
        <v>2779</v>
      </c>
      <c r="B6850" s="4326"/>
      <c r="C6850" s="3351"/>
      <c r="D6850" s="4328"/>
      <c r="E6850" s="4330"/>
      <c r="F6850" s="4336"/>
      <c r="G6850" s="4332"/>
      <c r="H6850" s="4332"/>
      <c r="I6850" s="1345">
        <v>3.2</v>
      </c>
      <c r="J6850" s="1307">
        <v>0.25</v>
      </c>
      <c r="K6850" s="1666">
        <f>I6850*J6850</f>
        <v>0.8</v>
      </c>
      <c r="L6850" s="4334"/>
      <c r="M6850" s="4335"/>
      <c r="N6850" s="4324"/>
      <c r="O6850" s="1298">
        <f>SUM(O6852:O6861)</f>
        <v>28.6189</v>
      </c>
      <c r="P6850" s="1337">
        <f>O6850*K6850</f>
        <v>22.895120000000002</v>
      </c>
      <c r="Q6850" s="3390"/>
      <c r="R6850" s="1721">
        <f>SUM(P6852:P6861)</f>
        <v>22.895120000000002</v>
      </c>
    </row>
    <row r="6851" spans="1:18" s="16" customFormat="1">
      <c r="A6851" s="1599"/>
      <c r="B6851" s="1327"/>
      <c r="C6851" s="1511"/>
      <c r="D6851" s="1367"/>
      <c r="E6851" s="2121"/>
      <c r="F6851" s="1389" t="s">
        <v>1</v>
      </c>
      <c r="G6851" s="1389"/>
      <c r="H6851" s="1369"/>
      <c r="I6851" s="2088"/>
      <c r="J6851" s="1369"/>
      <c r="K6851" s="1391"/>
      <c r="L6851" s="2089"/>
      <c r="M6851" s="1369"/>
      <c r="N6851" s="1369"/>
      <c r="O6851" s="1369"/>
      <c r="P6851" s="1392"/>
      <c r="Q6851" s="3395"/>
      <c r="R6851" s="2339"/>
    </row>
    <row r="6852" spans="1:18" s="16" customFormat="1">
      <c r="A6852" s="1599"/>
      <c r="B6852" s="1320"/>
      <c r="C6852" s="595"/>
      <c r="D6852" s="1598" t="s">
        <v>1252</v>
      </c>
      <c r="E6852" s="2154" t="s">
        <v>1527</v>
      </c>
      <c r="F6852" s="1598" t="s">
        <v>2168</v>
      </c>
      <c r="G6852" s="1612">
        <v>7.07</v>
      </c>
      <c r="H6852" s="1369"/>
      <c r="I6852" s="1289"/>
      <c r="J6852" s="8"/>
      <c r="K6852" s="1307">
        <f>G6852*K6850</f>
        <v>5.6560000000000006</v>
      </c>
      <c r="L6852" s="1335">
        <f t="shared" ref="L6852:L6857" si="909">K6852*$K$6785</f>
        <v>0</v>
      </c>
      <c r="M6852" s="1302">
        <v>0.16</v>
      </c>
      <c r="N6852" s="1700"/>
      <c r="O6852" s="1290">
        <f t="shared" ref="O6852:O6857" si="910">G6852*M6852</f>
        <v>1.1312</v>
      </c>
      <c r="P6852" s="1332">
        <f t="shared" ref="P6852:P6857" si="911">M6852*K6852</f>
        <v>0.9049600000000001</v>
      </c>
      <c r="Q6852" s="3391"/>
      <c r="R6852" s="2339"/>
    </row>
    <row r="6853" spans="1:18" s="16" customFormat="1">
      <c r="A6853" s="1599"/>
      <c r="B6853" s="1320"/>
      <c r="C6853" s="595"/>
      <c r="D6853" s="1598" t="s">
        <v>2255</v>
      </c>
      <c r="E6853" s="2154" t="s">
        <v>1504</v>
      </c>
      <c r="F6853" s="1598" t="s">
        <v>2256</v>
      </c>
      <c r="G6853" s="1612">
        <v>1</v>
      </c>
      <c r="H6853" s="1369"/>
      <c r="I6853" s="1289"/>
      <c r="J6853" s="8"/>
      <c r="K6853" s="1307">
        <f>G6853*K6850</f>
        <v>0.8</v>
      </c>
      <c r="L6853" s="1335">
        <f t="shared" si="909"/>
        <v>0</v>
      </c>
      <c r="M6853" s="1302">
        <v>1.23</v>
      </c>
      <c r="N6853" s="1700"/>
      <c r="O6853" s="1290">
        <f t="shared" si="910"/>
        <v>1.23</v>
      </c>
      <c r="P6853" s="1332">
        <f t="shared" si="911"/>
        <v>0.98399999999999999</v>
      </c>
      <c r="Q6853" s="3391"/>
      <c r="R6853" s="2339"/>
    </row>
    <row r="6854" spans="1:18" s="16" customFormat="1">
      <c r="A6854" s="1599"/>
      <c r="B6854" s="1320"/>
      <c r="C6854" s="595"/>
      <c r="D6854" s="1598" t="s">
        <v>1256</v>
      </c>
      <c r="E6854" s="2154" t="s">
        <v>1504</v>
      </c>
      <c r="F6854" s="1598" t="s">
        <v>2247</v>
      </c>
      <c r="G6854" s="1612">
        <v>1</v>
      </c>
      <c r="H6854" s="1369"/>
      <c r="I6854" s="1289"/>
      <c r="J6854" s="8"/>
      <c r="K6854" s="1307">
        <f>G6854*K6850</f>
        <v>0.8</v>
      </c>
      <c r="L6854" s="1335">
        <f t="shared" si="909"/>
        <v>0</v>
      </c>
      <c r="M6854" s="1302">
        <v>0.32</v>
      </c>
      <c r="N6854" s="1700"/>
      <c r="O6854" s="1290">
        <f t="shared" si="910"/>
        <v>0.32</v>
      </c>
      <c r="P6854" s="1332">
        <f t="shared" si="911"/>
        <v>0.25600000000000001</v>
      </c>
      <c r="Q6854" s="3391"/>
      <c r="R6854" s="2339"/>
    </row>
    <row r="6855" spans="1:18" s="16" customFormat="1">
      <c r="A6855" s="1599"/>
      <c r="B6855" s="1320"/>
      <c r="C6855" s="595"/>
      <c r="D6855" s="1598" t="s">
        <v>1245</v>
      </c>
      <c r="E6855" s="2154" t="s">
        <v>1527</v>
      </c>
      <c r="F6855" s="1598" t="s">
        <v>2169</v>
      </c>
      <c r="G6855" s="1612">
        <v>14</v>
      </c>
      <c r="H6855" s="1369"/>
      <c r="I6855" s="1289"/>
      <c r="J6855" s="8"/>
      <c r="K6855" s="1307">
        <f>G6855*K6850</f>
        <v>11.200000000000001</v>
      </c>
      <c r="L6855" s="1335">
        <f t="shared" si="909"/>
        <v>0</v>
      </c>
      <c r="M6855" s="1302">
        <v>0.42</v>
      </c>
      <c r="N6855" s="1700"/>
      <c r="O6855" s="1290">
        <f t="shared" si="910"/>
        <v>5.88</v>
      </c>
      <c r="P6855" s="1332">
        <f t="shared" si="911"/>
        <v>4.7040000000000006</v>
      </c>
      <c r="Q6855" s="3391"/>
      <c r="R6855" s="2339"/>
    </row>
    <row r="6856" spans="1:18" s="16" customFormat="1">
      <c r="A6856" s="553"/>
      <c r="B6856" s="1320"/>
      <c r="C6856" s="88"/>
      <c r="D6856" s="1598" t="s">
        <v>1082</v>
      </c>
      <c r="E6856" s="2154" t="s">
        <v>1504</v>
      </c>
      <c r="F6856" s="1598" t="s">
        <v>1541</v>
      </c>
      <c r="G6856" s="1612">
        <v>0.5</v>
      </c>
      <c r="H6856" s="1674"/>
      <c r="I6856" s="1289"/>
      <c r="J6856" s="8"/>
      <c r="K6856" s="1307">
        <f>G6856*K6850</f>
        <v>0.4</v>
      </c>
      <c r="L6856" s="1335">
        <f t="shared" si="909"/>
        <v>0</v>
      </c>
      <c r="M6856" s="1302">
        <v>0.3</v>
      </c>
      <c r="N6856" s="1700"/>
      <c r="O6856" s="1290">
        <f t="shared" si="910"/>
        <v>0.15</v>
      </c>
      <c r="P6856" s="1332">
        <f t="shared" si="911"/>
        <v>0.12</v>
      </c>
      <c r="Q6856" s="3391"/>
      <c r="R6856" s="2339"/>
    </row>
    <row r="6857" spans="1:18" s="16" customFormat="1">
      <c r="A6857" s="553"/>
      <c r="B6857" s="1320"/>
      <c r="C6857" s="88"/>
      <c r="D6857" s="1598" t="s">
        <v>1097</v>
      </c>
      <c r="E6857" s="2154" t="s">
        <v>1504</v>
      </c>
      <c r="F6857" s="1598" t="s">
        <v>1632</v>
      </c>
      <c r="G6857" s="1612">
        <v>0.3</v>
      </c>
      <c r="H6857" s="1674"/>
      <c r="I6857" s="1289"/>
      <c r="J6857" s="8"/>
      <c r="K6857" s="1307">
        <f>G6857*K6850</f>
        <v>0.24</v>
      </c>
      <c r="L6857" s="1335">
        <f t="shared" si="909"/>
        <v>0</v>
      </c>
      <c r="M6857" s="1302">
        <v>0.55000000000000004</v>
      </c>
      <c r="N6857" s="1700"/>
      <c r="O6857" s="1290">
        <f t="shared" si="910"/>
        <v>0.16500000000000001</v>
      </c>
      <c r="P6857" s="1332">
        <f t="shared" si="911"/>
        <v>0.13200000000000001</v>
      </c>
      <c r="Q6857" s="3391"/>
      <c r="R6857" s="2339"/>
    </row>
    <row r="6858" spans="1:18" s="16" customFormat="1">
      <c r="A6858" s="553"/>
      <c r="B6858" s="1320"/>
      <c r="C6858" s="88"/>
      <c r="D6858" s="1367"/>
      <c r="E6858" s="2121"/>
      <c r="F6858" s="1436"/>
      <c r="G6858" s="1436"/>
      <c r="H6858" s="1369"/>
      <c r="I6858" s="1289" t="str">
        <f t="shared" ref="I6858" ca="1" si="912">IF(COUNT(H6858:O6858)=0,"",(SUM(H6858:O6858)/COUNT(H6858:O6858)))</f>
        <v/>
      </c>
      <c r="J6858" s="8"/>
      <c r="K6858" s="1307"/>
      <c r="L6858" s="1335"/>
      <c r="M6858" s="1302"/>
      <c r="N6858" s="1700"/>
      <c r="O6858" s="1290"/>
      <c r="P6858" s="1332"/>
      <c r="Q6858" s="3391"/>
      <c r="R6858" s="2339"/>
    </row>
    <row r="6859" spans="1:18" s="16" customFormat="1">
      <c r="A6859" s="553"/>
      <c r="B6859" s="1320"/>
      <c r="C6859" s="88"/>
      <c r="D6859" s="1359"/>
      <c r="E6859" s="1858"/>
      <c r="F6859" s="1360" t="s">
        <v>2</v>
      </c>
      <c r="G6859" s="1360"/>
      <c r="H6859" s="1362"/>
      <c r="I6859" s="1380"/>
      <c r="J6859" s="1381"/>
      <c r="K6859" s="1381"/>
      <c r="L6859" s="1458"/>
      <c r="M6859" s="1362"/>
      <c r="N6859" s="1362"/>
      <c r="O6859" s="1362"/>
      <c r="P6859" s="1359"/>
      <c r="Q6859" s="3387"/>
      <c r="R6859" s="2339"/>
    </row>
    <row r="6860" spans="1:18" s="16" customFormat="1">
      <c r="A6860" s="1599"/>
      <c r="B6860" s="1320"/>
      <c r="D6860" s="1359" t="s">
        <v>1593</v>
      </c>
      <c r="E6860" s="1858" t="s">
        <v>1508</v>
      </c>
      <c r="F6860" s="1404" t="s">
        <v>2146</v>
      </c>
      <c r="G6860" s="1404">
        <v>0.5</v>
      </c>
      <c r="H6860" s="1359"/>
      <c r="I6860" s="1289"/>
      <c r="J6860" s="8"/>
      <c r="K6860" s="1307">
        <f>G6860*K6850</f>
        <v>0.4</v>
      </c>
      <c r="L6860" s="1335">
        <f>K6860*$K$6785</f>
        <v>0</v>
      </c>
      <c r="M6860" s="1302">
        <v>19.23</v>
      </c>
      <c r="N6860" s="1700"/>
      <c r="O6860" s="1290">
        <f>G6860*M6860</f>
        <v>9.6150000000000002</v>
      </c>
      <c r="P6860" s="1332">
        <f>M6860*K6860</f>
        <v>7.6920000000000002</v>
      </c>
      <c r="Q6860" s="3391"/>
      <c r="R6860" s="2339"/>
    </row>
    <row r="6861" spans="1:18" s="16" customFormat="1">
      <c r="A6861"/>
      <c r="B6861" s="1042"/>
      <c r="C6861" s="2086" t="s">
        <v>1755</v>
      </c>
      <c r="D6861" s="1311"/>
      <c r="E6861" s="2176" t="s">
        <v>1508</v>
      </c>
      <c r="F6861" s="1648" t="s">
        <v>1524</v>
      </c>
      <c r="G6861" s="1990"/>
      <c r="H6861" s="1456">
        <v>0.27</v>
      </c>
      <c r="I6861" s="1444"/>
      <c r="J6861" s="1388"/>
      <c r="K6861" s="1445"/>
      <c r="L6861" s="1457"/>
      <c r="M6861" s="1447"/>
      <c r="N6861" s="1447">
        <f>SUM(N6862:N6863)</f>
        <v>37.510000000000005</v>
      </c>
      <c r="O6861" s="1447">
        <f>SUM(O6862:O6863)</f>
        <v>10.127700000000001</v>
      </c>
      <c r="P6861" s="1447">
        <f>SUM(P6862:P6863)</f>
        <v>8.1021600000000014</v>
      </c>
      <c r="Q6861" s="3391"/>
      <c r="R6861" s="2337"/>
    </row>
    <row r="6862" spans="1:18" s="16" customFormat="1">
      <c r="A6862"/>
      <c r="B6862" s="1042"/>
      <c r="C6862" s="19"/>
      <c r="D6862" s="1430" t="s">
        <v>1067</v>
      </c>
      <c r="E6862" s="1857" t="s">
        <v>1508</v>
      </c>
      <c r="F6862" s="1403" t="s">
        <v>5</v>
      </c>
      <c r="G6862" s="1991">
        <v>1</v>
      </c>
      <c r="H6862" s="1937">
        <f>G6862*H6861</f>
        <v>0.27</v>
      </c>
      <c r="I6862" s="1286"/>
      <c r="J6862" s="198"/>
      <c r="K6862" s="1307">
        <f>H6862*K6850</f>
        <v>0.21600000000000003</v>
      </c>
      <c r="L6862" s="1335">
        <f t="shared" ref="L6862:L6863" si="913">K6862*$K$6785</f>
        <v>0</v>
      </c>
      <c r="M6862" s="1302">
        <v>18.28</v>
      </c>
      <c r="N6862" s="1718">
        <f>G6862*M6862</f>
        <v>18.28</v>
      </c>
      <c r="O6862" s="1290">
        <f>H6862*M6862</f>
        <v>4.9356000000000009</v>
      </c>
      <c r="P6862" s="1720">
        <f>M6862*K6862</f>
        <v>3.9484800000000009</v>
      </c>
      <c r="Q6862" s="3396"/>
      <c r="R6862" s="2337"/>
    </row>
    <row r="6863" spans="1:18" s="16" customFormat="1">
      <c r="A6863"/>
      <c r="B6863" s="1042"/>
      <c r="C6863" s="19"/>
      <c r="D6863" s="1430" t="s">
        <v>1077</v>
      </c>
      <c r="E6863" s="1857" t="s">
        <v>1508</v>
      </c>
      <c r="F6863" s="1403" t="s">
        <v>37</v>
      </c>
      <c r="G6863" s="1991">
        <v>1</v>
      </c>
      <c r="H6863" s="1937">
        <f>G6863*H6861</f>
        <v>0.27</v>
      </c>
      <c r="I6863" s="197"/>
      <c r="J6863" s="198"/>
      <c r="K6863" s="1307">
        <f>H6863*K6850</f>
        <v>0.21600000000000003</v>
      </c>
      <c r="L6863" s="1335">
        <f t="shared" si="913"/>
        <v>0</v>
      </c>
      <c r="M6863" s="1302">
        <v>19.23</v>
      </c>
      <c r="N6863" s="1718">
        <f>G6863*M6863</f>
        <v>19.23</v>
      </c>
      <c r="O6863" s="1290">
        <f>H6863*M6863</f>
        <v>5.1921000000000008</v>
      </c>
      <c r="P6863" s="1720">
        <f>M6863*K6863</f>
        <v>4.1536800000000005</v>
      </c>
      <c r="Q6863" s="3396"/>
      <c r="R6863" s="2337"/>
    </row>
    <row r="6864" spans="1:18" s="16" customFormat="1">
      <c r="A6864"/>
      <c r="B6864" s="1320"/>
      <c r="D6864" s="1359"/>
      <c r="E6864" s="1858"/>
      <c r="F6864" s="1361"/>
      <c r="G6864" s="1361"/>
      <c r="H6864" s="1466"/>
      <c r="I6864" s="1289"/>
      <c r="J6864" s="8"/>
      <c r="K6864" s="1307"/>
      <c r="L6864" s="1335"/>
      <c r="M6864" s="1302"/>
      <c r="N6864" s="1700"/>
      <c r="O6864" s="1290"/>
      <c r="P6864" s="1332"/>
      <c r="Q6864" s="3391"/>
      <c r="R6864" s="1296"/>
    </row>
    <row r="6865" spans="1:18" s="16" customFormat="1">
      <c r="A6865" s="1599"/>
      <c r="B6865" s="1320"/>
      <c r="C6865" s="595"/>
      <c r="D6865" s="1359"/>
      <c r="E6865" s="1858"/>
      <c r="F6865" s="1361"/>
      <c r="G6865" s="1361"/>
      <c r="H6865" s="1466"/>
      <c r="I6865" s="1299"/>
      <c r="J6865" s="1300"/>
      <c r="K6865" s="1307"/>
      <c r="L6865" s="1335"/>
      <c r="M6865" s="1302"/>
      <c r="N6865" s="1700"/>
      <c r="O6865" s="1290"/>
      <c r="P6865" s="1332"/>
      <c r="Q6865" s="3391"/>
      <c r="R6865" s="2339"/>
    </row>
    <row r="6866" spans="1:18" s="16" customFormat="1">
      <c r="A6866" s="1599"/>
      <c r="B6866" s="1320"/>
      <c r="C6866" s="595"/>
      <c r="D6866" s="1373"/>
      <c r="E6866" s="2123"/>
      <c r="F6866" s="1374" t="s">
        <v>3</v>
      </c>
      <c r="G6866" s="1375"/>
      <c r="H6866" s="1376"/>
      <c r="I6866" s="1382"/>
      <c r="J6866" s="1383"/>
      <c r="K6866" s="1383"/>
      <c r="L6866" s="1413"/>
      <c r="M6866" s="1376"/>
      <c r="N6866" s="1376"/>
      <c r="O6866" s="1376"/>
      <c r="P6866" s="1373"/>
      <c r="Q6866" s="3387"/>
      <c r="R6866" s="2339"/>
    </row>
    <row r="6867" spans="1:18" s="16" customFormat="1">
      <c r="A6867" s="2053"/>
      <c r="B6867" s="1321"/>
      <c r="C6867" s="2021"/>
      <c r="D6867" s="1377"/>
      <c r="E6867" s="2124"/>
      <c r="F6867" s="1378"/>
      <c r="G6867" s="1378"/>
      <c r="H6867" s="1379"/>
      <c r="I6867" s="1299"/>
      <c r="J6867" s="1300"/>
      <c r="K6867" s="1307"/>
      <c r="L6867" s="1335"/>
      <c r="M6867" s="1302"/>
      <c r="N6867" s="1700"/>
      <c r="O6867" s="1290"/>
      <c r="P6867" s="1332"/>
      <c r="Q6867" s="3391"/>
      <c r="R6867" s="2339"/>
    </row>
    <row r="6868" spans="1:18" s="16" customFormat="1">
      <c r="A6868" s="2053"/>
      <c r="B6868" s="1321"/>
      <c r="C6868" s="2021"/>
      <c r="D6868" s="1377"/>
      <c r="E6868" s="2124"/>
      <c r="F6868" s="1378"/>
      <c r="G6868" s="1378"/>
      <c r="H6868" s="1379"/>
      <c r="I6868" s="1299"/>
      <c r="J6868" s="1300"/>
      <c r="K6868" s="1307"/>
      <c r="L6868" s="1335"/>
      <c r="M6868" s="1302"/>
      <c r="N6868" s="1700"/>
      <c r="O6868" s="1290"/>
      <c r="P6868" s="1333"/>
      <c r="Q6868" s="3391"/>
      <c r="R6868" s="2339"/>
    </row>
    <row r="6869" spans="1:18" s="16" customFormat="1">
      <c r="A6869" s="2053"/>
      <c r="B6869" s="1321"/>
      <c r="C6869" s="2021"/>
      <c r="D6869" s="1377"/>
      <c r="E6869" s="2124"/>
      <c r="F6869" s="1378"/>
      <c r="G6869" s="1378"/>
      <c r="H6869" s="1379"/>
      <c r="I6869" s="1299"/>
      <c r="J6869" s="1300"/>
      <c r="K6869" s="1307"/>
      <c r="L6869" s="1335"/>
      <c r="M6869" s="1302"/>
      <c r="N6869" s="1700"/>
      <c r="O6869" s="1290"/>
      <c r="P6869" s="1333"/>
      <c r="Q6869" s="3391"/>
      <c r="R6869" s="2339"/>
    </row>
    <row r="6870" spans="1:18" s="16" customFormat="1">
      <c r="A6870" s="18" t="s">
        <v>3764</v>
      </c>
      <c r="B6870" s="4325" t="s">
        <v>2257</v>
      </c>
      <c r="C6870" s="3350"/>
      <c r="D6870" s="4327"/>
      <c r="E6870" s="4329" t="s">
        <v>1504</v>
      </c>
      <c r="F6870" s="4336" t="s">
        <v>2258</v>
      </c>
      <c r="G6870" s="4331" t="s">
        <v>1568</v>
      </c>
      <c r="H6870" s="4331" t="s">
        <v>1574</v>
      </c>
      <c r="I6870" s="1572" t="s">
        <v>1559</v>
      </c>
      <c r="J6870" s="1294" t="s">
        <v>1560</v>
      </c>
      <c r="K6870" s="1294" t="s">
        <v>1569</v>
      </c>
      <c r="L6870" s="4333" t="s">
        <v>3765</v>
      </c>
      <c r="M6870" s="4335" t="s">
        <v>1571</v>
      </c>
      <c r="N6870" s="4323" t="s">
        <v>1776</v>
      </c>
      <c r="O6870" s="3347" t="s">
        <v>1563</v>
      </c>
      <c r="P6870" s="1336" t="s">
        <v>1562</v>
      </c>
      <c r="Q6870" s="3389"/>
      <c r="R6870" s="1699" t="s">
        <v>1327</v>
      </c>
    </row>
    <row r="6871" spans="1:18" s="16" customFormat="1">
      <c r="A6871" s="1662" t="s">
        <v>2779</v>
      </c>
      <c r="B6871" s="4326"/>
      <c r="C6871" s="3351"/>
      <c r="D6871" s="4328"/>
      <c r="E6871" s="4330"/>
      <c r="F6871" s="4336"/>
      <c r="G6871" s="4332"/>
      <c r="H6871" s="4332"/>
      <c r="I6871" s="1345">
        <v>0.4</v>
      </c>
      <c r="J6871" s="1307">
        <v>0.25</v>
      </c>
      <c r="K6871" s="1666">
        <f>I6871*J6871</f>
        <v>0.1</v>
      </c>
      <c r="L6871" s="4334"/>
      <c r="M6871" s="4335"/>
      <c r="N6871" s="4324"/>
      <c r="O6871" s="1298">
        <f>SUM(O6873:O6882)</f>
        <v>17.149080000000001</v>
      </c>
      <c r="P6871" s="1337">
        <f>O6871*K6871</f>
        <v>1.7149080000000003</v>
      </c>
      <c r="Q6871" s="3390"/>
      <c r="R6871" s="1721">
        <f>SUM(P6873:P6882)</f>
        <v>1.7149080000000003</v>
      </c>
    </row>
    <row r="6872" spans="1:18" s="16" customFormat="1">
      <c r="A6872" s="1599"/>
      <c r="B6872" s="1327"/>
      <c r="C6872" s="1511"/>
      <c r="D6872" s="1367"/>
      <c r="E6872" s="2121"/>
      <c r="F6872" s="1389" t="s">
        <v>1</v>
      </c>
      <c r="G6872" s="1389"/>
      <c r="H6872" s="1369"/>
      <c r="I6872" s="2088"/>
      <c r="J6872" s="1369"/>
      <c r="K6872" s="1391"/>
      <c r="L6872" s="2089"/>
      <c r="M6872" s="1369"/>
      <c r="N6872" s="1369"/>
      <c r="O6872" s="1369"/>
      <c r="P6872" s="1392"/>
      <c r="Q6872" s="3395"/>
      <c r="R6872" s="2339"/>
    </row>
    <row r="6873" spans="1:18" s="16" customFormat="1">
      <c r="A6873" s="1599"/>
      <c r="B6873" s="1320"/>
      <c r="C6873" s="595"/>
      <c r="D6873" s="1598" t="s">
        <v>1252</v>
      </c>
      <c r="E6873" s="2154" t="s">
        <v>1527</v>
      </c>
      <c r="F6873" s="1598" t="s">
        <v>2168</v>
      </c>
      <c r="G6873" s="1612">
        <v>3.03</v>
      </c>
      <c r="H6873" s="1369"/>
      <c r="I6873" s="1289"/>
      <c r="J6873" s="8"/>
      <c r="K6873" s="1307">
        <f>G6873*K6871</f>
        <v>0.30299999999999999</v>
      </c>
      <c r="L6873" s="1335">
        <f t="shared" ref="L6873:L6878" si="914">K6873*$K$6785</f>
        <v>0</v>
      </c>
      <c r="M6873" s="1302">
        <v>0.16</v>
      </c>
      <c r="N6873" s="1700"/>
      <c r="O6873" s="1290">
        <f t="shared" ref="O6873:O6878" si="915">G6873*M6873</f>
        <v>0.48479999999999995</v>
      </c>
      <c r="P6873" s="1332">
        <f t="shared" ref="P6873:P6878" si="916">M6873*K6873</f>
        <v>4.8480000000000002E-2</v>
      </c>
      <c r="Q6873" s="3391"/>
      <c r="R6873" s="2339"/>
    </row>
    <row r="6874" spans="1:18" s="16" customFormat="1">
      <c r="A6874" s="1599"/>
      <c r="B6874" s="1320"/>
      <c r="C6874" s="595"/>
      <c r="D6874" s="1598" t="s">
        <v>2245</v>
      </c>
      <c r="E6874" s="2154" t="s">
        <v>1504</v>
      </c>
      <c r="F6874" s="1598" t="s">
        <v>2246</v>
      </c>
      <c r="G6874" s="1612">
        <v>1</v>
      </c>
      <c r="H6874" s="1369"/>
      <c r="I6874" s="1289"/>
      <c r="J6874" s="8"/>
      <c r="K6874" s="1307">
        <f>G6874*K6871</f>
        <v>0.1</v>
      </c>
      <c r="L6874" s="1335">
        <f t="shared" si="914"/>
        <v>0</v>
      </c>
      <c r="M6874" s="1302">
        <v>1.45</v>
      </c>
      <c r="N6874" s="1700"/>
      <c r="O6874" s="1290">
        <f t="shared" si="915"/>
        <v>1.45</v>
      </c>
      <c r="P6874" s="1332">
        <f t="shared" si="916"/>
        <v>0.14499999999999999</v>
      </c>
      <c r="Q6874" s="3391"/>
      <c r="R6874" s="2339"/>
    </row>
    <row r="6875" spans="1:18" s="16" customFormat="1">
      <c r="A6875" s="1599"/>
      <c r="B6875" s="1320"/>
      <c r="C6875" s="595"/>
      <c r="D6875" s="1598" t="s">
        <v>1256</v>
      </c>
      <c r="E6875" s="2154" t="s">
        <v>1504</v>
      </c>
      <c r="F6875" s="1598" t="s">
        <v>2247</v>
      </c>
      <c r="G6875" s="1612">
        <v>1</v>
      </c>
      <c r="H6875" s="1369"/>
      <c r="I6875" s="1289"/>
      <c r="J6875" s="8"/>
      <c r="K6875" s="1307">
        <f>G6875*K6871</f>
        <v>0.1</v>
      </c>
      <c r="L6875" s="1335">
        <f t="shared" si="914"/>
        <v>0</v>
      </c>
      <c r="M6875" s="1302">
        <v>0.32</v>
      </c>
      <c r="N6875" s="1700"/>
      <c r="O6875" s="1290">
        <f t="shared" si="915"/>
        <v>0.32</v>
      </c>
      <c r="P6875" s="1332">
        <f t="shared" si="916"/>
        <v>3.2000000000000001E-2</v>
      </c>
      <c r="Q6875" s="3391"/>
      <c r="R6875" s="2339"/>
    </row>
    <row r="6876" spans="1:18" s="16" customFormat="1">
      <c r="A6876" s="1599"/>
      <c r="B6876" s="1320"/>
      <c r="C6876" s="595"/>
      <c r="D6876" s="1598" t="s">
        <v>1245</v>
      </c>
      <c r="E6876" s="2154" t="s">
        <v>1527</v>
      </c>
      <c r="F6876" s="1598" t="s">
        <v>2169</v>
      </c>
      <c r="G6876" s="1612">
        <v>6</v>
      </c>
      <c r="H6876" s="1369"/>
      <c r="I6876" s="1289"/>
      <c r="J6876" s="8"/>
      <c r="K6876" s="1307">
        <f>G6876*K6871</f>
        <v>0.60000000000000009</v>
      </c>
      <c r="L6876" s="1335">
        <f t="shared" si="914"/>
        <v>0</v>
      </c>
      <c r="M6876" s="1302">
        <v>0.42</v>
      </c>
      <c r="N6876" s="1700"/>
      <c r="O6876" s="1290">
        <f t="shared" si="915"/>
        <v>2.52</v>
      </c>
      <c r="P6876" s="1332">
        <f t="shared" si="916"/>
        <v>0.252</v>
      </c>
      <c r="Q6876" s="3391"/>
      <c r="R6876" s="2339"/>
    </row>
    <row r="6877" spans="1:18" s="16" customFormat="1">
      <c r="A6877" s="553"/>
      <c r="B6877" s="1320"/>
      <c r="C6877" s="88"/>
      <c r="D6877" s="1598" t="s">
        <v>1082</v>
      </c>
      <c r="E6877" s="2154" t="s">
        <v>1504</v>
      </c>
      <c r="F6877" s="1598" t="s">
        <v>1541</v>
      </c>
      <c r="G6877" s="1612">
        <v>0.5</v>
      </c>
      <c r="H6877" s="1674"/>
      <c r="I6877" s="1289"/>
      <c r="J6877" s="8"/>
      <c r="K6877" s="1307">
        <f>G6877*K6871</f>
        <v>0.05</v>
      </c>
      <c r="L6877" s="1335">
        <f t="shared" si="914"/>
        <v>0</v>
      </c>
      <c r="M6877" s="1302">
        <v>0.3</v>
      </c>
      <c r="N6877" s="1700"/>
      <c r="O6877" s="1290">
        <f t="shared" si="915"/>
        <v>0.15</v>
      </c>
      <c r="P6877" s="1332">
        <f t="shared" si="916"/>
        <v>1.4999999999999999E-2</v>
      </c>
      <c r="Q6877" s="3391"/>
      <c r="R6877" s="2339"/>
    </row>
    <row r="6878" spans="1:18" s="16" customFormat="1">
      <c r="A6878" s="553"/>
      <c r="B6878" s="1320"/>
      <c r="C6878" s="88"/>
      <c r="D6878" s="1598" t="s">
        <v>1097</v>
      </c>
      <c r="E6878" s="2154" t="s">
        <v>1504</v>
      </c>
      <c r="F6878" s="1598" t="s">
        <v>1632</v>
      </c>
      <c r="G6878" s="1612">
        <v>0.3</v>
      </c>
      <c r="H6878" s="1674"/>
      <c r="I6878" s="1289"/>
      <c r="J6878" s="8"/>
      <c r="K6878" s="1307">
        <f>G6878*K6871</f>
        <v>0.03</v>
      </c>
      <c r="L6878" s="1335">
        <f t="shared" si="914"/>
        <v>0</v>
      </c>
      <c r="M6878" s="1302">
        <v>0.55000000000000004</v>
      </c>
      <c r="N6878" s="1700"/>
      <c r="O6878" s="1290">
        <f t="shared" si="915"/>
        <v>0.16500000000000001</v>
      </c>
      <c r="P6878" s="1332">
        <f t="shared" si="916"/>
        <v>1.6500000000000001E-2</v>
      </c>
      <c r="Q6878" s="3391"/>
      <c r="R6878" s="2339"/>
    </row>
    <row r="6879" spans="1:18" s="16" customFormat="1">
      <c r="A6879" s="553"/>
      <c r="B6879" s="1320"/>
      <c r="C6879" s="88"/>
      <c r="D6879" s="1367"/>
      <c r="E6879" s="2121"/>
      <c r="F6879" s="1436"/>
      <c r="G6879" s="1436"/>
      <c r="H6879" s="1369"/>
      <c r="I6879" s="1289" t="str">
        <f t="shared" ref="I6879" ca="1" si="917">IF(COUNT(H6879:O6879)=0,"",(SUM(H6879:O6879)/COUNT(H6879:O6879)))</f>
        <v/>
      </c>
      <c r="J6879" s="8"/>
      <c r="K6879" s="1307"/>
      <c r="L6879" s="1335"/>
      <c r="M6879" s="1302"/>
      <c r="N6879" s="1700"/>
      <c r="O6879" s="1290"/>
      <c r="P6879" s="1332"/>
      <c r="Q6879" s="3391"/>
      <c r="R6879" s="2339"/>
    </row>
    <row r="6880" spans="1:18" s="16" customFormat="1">
      <c r="A6880" s="553"/>
      <c r="B6880" s="1320"/>
      <c r="C6880" s="88"/>
      <c r="D6880" s="1359"/>
      <c r="E6880" s="1858"/>
      <c r="F6880" s="1360" t="s">
        <v>2</v>
      </c>
      <c r="G6880" s="1360"/>
      <c r="H6880" s="1362"/>
      <c r="I6880" s="1380"/>
      <c r="J6880" s="1381"/>
      <c r="K6880" s="1381"/>
      <c r="L6880" s="1458"/>
      <c r="M6880" s="1362"/>
      <c r="N6880" s="1362"/>
      <c r="O6880" s="1362"/>
      <c r="P6880" s="1359"/>
      <c r="Q6880" s="3387"/>
      <c r="R6880" s="2339"/>
    </row>
    <row r="6881" spans="1:18" s="16" customFormat="1">
      <c r="A6881" s="1599"/>
      <c r="B6881" s="1320"/>
      <c r="D6881" s="1359" t="s">
        <v>1593</v>
      </c>
      <c r="E6881" s="1858" t="s">
        <v>1508</v>
      </c>
      <c r="F6881" s="1404" t="s">
        <v>2146</v>
      </c>
      <c r="G6881" s="1404">
        <v>0.27600000000000002</v>
      </c>
      <c r="H6881" s="1359"/>
      <c r="I6881" s="1289"/>
      <c r="J6881" s="8"/>
      <c r="K6881" s="1307">
        <f>G6881*K6871</f>
        <v>2.7600000000000003E-2</v>
      </c>
      <c r="L6881" s="1335">
        <f>K6881*$K$6785</f>
        <v>0</v>
      </c>
      <c r="M6881" s="1302">
        <v>19.23</v>
      </c>
      <c r="N6881" s="1700"/>
      <c r="O6881" s="1290">
        <f>G6881*M6881</f>
        <v>5.3074800000000009</v>
      </c>
      <c r="P6881" s="1332">
        <f>M6881*K6881</f>
        <v>0.53074800000000011</v>
      </c>
      <c r="Q6881" s="3391"/>
      <c r="R6881" s="2339"/>
    </row>
    <row r="6882" spans="1:18" s="16" customFormat="1">
      <c r="A6882"/>
      <c r="B6882" s="1042"/>
      <c r="C6882" s="2086" t="s">
        <v>1755</v>
      </c>
      <c r="D6882" s="1311"/>
      <c r="E6882" s="2176" t="s">
        <v>1508</v>
      </c>
      <c r="F6882" s="1648" t="s">
        <v>1524</v>
      </c>
      <c r="G6882" s="1990"/>
      <c r="H6882" s="1456">
        <v>0.18</v>
      </c>
      <c r="I6882" s="1444"/>
      <c r="J6882" s="1388"/>
      <c r="K6882" s="1445"/>
      <c r="L6882" s="1457"/>
      <c r="M6882" s="1447"/>
      <c r="N6882" s="1447">
        <f>SUM(N6883:N6884)</f>
        <v>37.510000000000005</v>
      </c>
      <c r="O6882" s="1447">
        <f>SUM(O6883:O6884)</f>
        <v>6.7517999999999994</v>
      </c>
      <c r="P6882" s="1447">
        <f>SUM(P6883:P6884)</f>
        <v>0.67518</v>
      </c>
      <c r="Q6882" s="3391"/>
      <c r="R6882" s="2337"/>
    </row>
    <row r="6883" spans="1:18" s="16" customFormat="1">
      <c r="A6883"/>
      <c r="B6883" s="1042"/>
      <c r="C6883" s="19"/>
      <c r="D6883" s="1430" t="s">
        <v>1067</v>
      </c>
      <c r="E6883" s="1857" t="s">
        <v>1508</v>
      </c>
      <c r="F6883" s="1403" t="s">
        <v>5</v>
      </c>
      <c r="G6883" s="1991">
        <v>1</v>
      </c>
      <c r="H6883" s="1937">
        <f>G6883*H6882</f>
        <v>0.18</v>
      </c>
      <c r="I6883" s="1286"/>
      <c r="J6883" s="198"/>
      <c r="K6883" s="1307">
        <f>H6883*K6871</f>
        <v>1.7999999999999999E-2</v>
      </c>
      <c r="L6883" s="1335">
        <f t="shared" ref="L6883:L6884" si="918">K6883*$K$6785</f>
        <v>0</v>
      </c>
      <c r="M6883" s="1302">
        <v>18.28</v>
      </c>
      <c r="N6883" s="1718">
        <f>G6883*M6883</f>
        <v>18.28</v>
      </c>
      <c r="O6883" s="1290">
        <f>H6883*M6883</f>
        <v>3.2904</v>
      </c>
      <c r="P6883" s="1720">
        <f>M6883*K6883</f>
        <v>0.32904</v>
      </c>
      <c r="Q6883" s="3396"/>
      <c r="R6883" s="2337"/>
    </row>
    <row r="6884" spans="1:18" s="16" customFormat="1">
      <c r="A6884"/>
      <c r="B6884" s="1042"/>
      <c r="C6884" s="19"/>
      <c r="D6884" s="1430" t="s">
        <v>1077</v>
      </c>
      <c r="E6884" s="1857" t="s">
        <v>1508</v>
      </c>
      <c r="F6884" s="1403" t="s">
        <v>37</v>
      </c>
      <c r="G6884" s="1991">
        <v>1</v>
      </c>
      <c r="H6884" s="1937">
        <f>G6884*H6882</f>
        <v>0.18</v>
      </c>
      <c r="I6884" s="197"/>
      <c r="J6884" s="198"/>
      <c r="K6884" s="1307">
        <f>H6884*K6871</f>
        <v>1.7999999999999999E-2</v>
      </c>
      <c r="L6884" s="1335">
        <f t="shared" si="918"/>
        <v>0</v>
      </c>
      <c r="M6884" s="1302">
        <v>19.23</v>
      </c>
      <c r="N6884" s="1718">
        <f>G6884*M6884</f>
        <v>19.23</v>
      </c>
      <c r="O6884" s="1290">
        <f>H6884*M6884</f>
        <v>3.4613999999999998</v>
      </c>
      <c r="P6884" s="1720">
        <f>M6884*K6884</f>
        <v>0.34614</v>
      </c>
      <c r="Q6884" s="3396"/>
      <c r="R6884" s="2337"/>
    </row>
    <row r="6885" spans="1:18" s="16" customFormat="1">
      <c r="A6885"/>
      <c r="B6885" s="1320"/>
      <c r="D6885" s="1359"/>
      <c r="E6885" s="1858"/>
      <c r="F6885" s="1361"/>
      <c r="G6885" s="1361"/>
      <c r="H6885" s="1466"/>
      <c r="I6885" s="1289"/>
      <c r="J6885" s="8"/>
      <c r="K6885" s="1307"/>
      <c r="L6885" s="1335"/>
      <c r="M6885" s="1302"/>
      <c r="N6885" s="1700"/>
      <c r="O6885" s="1290"/>
      <c r="P6885" s="1332"/>
      <c r="Q6885" s="3391"/>
      <c r="R6885" s="1296"/>
    </row>
    <row r="6886" spans="1:18" s="16" customFormat="1">
      <c r="A6886" s="1599"/>
      <c r="B6886" s="1320"/>
      <c r="C6886" s="595"/>
      <c r="D6886" s="1359"/>
      <c r="E6886" s="1858"/>
      <c r="F6886" s="1361"/>
      <c r="G6886" s="1361"/>
      <c r="H6886" s="1466"/>
      <c r="I6886" s="1299"/>
      <c r="J6886" s="1300"/>
      <c r="K6886" s="1307"/>
      <c r="L6886" s="1335"/>
      <c r="M6886" s="1302"/>
      <c r="N6886" s="1700"/>
      <c r="O6886" s="1290"/>
      <c r="P6886" s="1332"/>
      <c r="Q6886" s="3391"/>
      <c r="R6886" s="2339"/>
    </row>
    <row r="6887" spans="1:18" s="16" customFormat="1">
      <c r="A6887" s="1599"/>
      <c r="B6887" s="1320"/>
      <c r="C6887" s="595"/>
      <c r="D6887" s="1373"/>
      <c r="E6887" s="2123"/>
      <c r="F6887" s="1374" t="s">
        <v>3</v>
      </c>
      <c r="G6887" s="1375"/>
      <c r="H6887" s="1376"/>
      <c r="I6887" s="1382"/>
      <c r="J6887" s="1383"/>
      <c r="K6887" s="1383"/>
      <c r="L6887" s="1413"/>
      <c r="M6887" s="1376"/>
      <c r="N6887" s="1376"/>
      <c r="O6887" s="1376"/>
      <c r="P6887" s="1373"/>
      <c r="Q6887" s="3387"/>
      <c r="R6887" s="2339"/>
    </row>
    <row r="6888" spans="1:18" s="16" customFormat="1">
      <c r="A6888" s="2053"/>
      <c r="B6888" s="1321"/>
      <c r="C6888" s="2021"/>
      <c r="D6888" s="1377"/>
      <c r="E6888" s="2124"/>
      <c r="F6888" s="1378"/>
      <c r="G6888" s="1378"/>
      <c r="H6888" s="1379"/>
      <c r="I6888" s="1299"/>
      <c r="J6888" s="1300"/>
      <c r="K6888" s="1307"/>
      <c r="L6888" s="1335"/>
      <c r="M6888" s="1302"/>
      <c r="N6888" s="1700"/>
      <c r="O6888" s="1290"/>
      <c r="P6888" s="1332"/>
      <c r="Q6888" s="3391"/>
      <c r="R6888" s="2339"/>
    </row>
    <row r="6889" spans="1:18" s="16" customFormat="1">
      <c r="A6889" s="2053"/>
      <c r="B6889" s="1321"/>
      <c r="C6889" s="2021"/>
      <c r="D6889" s="1377"/>
      <c r="E6889" s="2124"/>
      <c r="F6889" s="1378"/>
      <c r="G6889" s="1378"/>
      <c r="H6889" s="1379"/>
      <c r="I6889" s="1299"/>
      <c r="J6889" s="1300"/>
      <c r="K6889" s="1307"/>
      <c r="L6889" s="1335"/>
      <c r="M6889" s="1302"/>
      <c r="N6889" s="1700"/>
      <c r="O6889" s="1290"/>
      <c r="P6889" s="1333"/>
      <c r="Q6889" s="3391"/>
      <c r="R6889" s="2339"/>
    </row>
    <row r="6890" spans="1:18" s="16" customFormat="1">
      <c r="A6890" s="2107"/>
      <c r="B6890" s="2108"/>
      <c r="C6890" s="2109"/>
      <c r="D6890" s="1377"/>
      <c r="E6890" s="2124"/>
      <c r="F6890" s="1378"/>
      <c r="G6890" s="1378"/>
      <c r="H6890" s="1379"/>
      <c r="I6890" s="1299"/>
      <c r="J6890" s="1300"/>
      <c r="K6890" s="1307"/>
      <c r="L6890" s="1335"/>
      <c r="M6890" s="1302"/>
      <c r="N6890" s="1700"/>
      <c r="O6890" s="1290"/>
      <c r="P6890" s="1333"/>
      <c r="Q6890" s="3391"/>
      <c r="R6890" s="2339"/>
    </row>
    <row r="6891" spans="1:18" s="16" customFormat="1">
      <c r="A6891" s="1295"/>
      <c r="B6891" s="1295"/>
      <c r="C6891" s="1295"/>
      <c r="D6891" s="1295"/>
      <c r="E6891" s="2159"/>
      <c r="F6891" s="1295"/>
      <c r="G6891" s="1295"/>
      <c r="H6891" s="1638"/>
      <c r="I6891" s="1561"/>
      <c r="J6891" s="13"/>
      <c r="K6891" s="1639"/>
      <c r="L6891" s="1640"/>
      <c r="M6891" s="1292"/>
      <c r="N6891" s="1292"/>
      <c r="O6891" s="1292"/>
      <c r="P6891" s="1292"/>
      <c r="Q6891" s="3391"/>
      <c r="R6891" s="2339"/>
    </row>
    <row r="6892" spans="1:18" s="16" customFormat="1">
      <c r="E6892" s="2182"/>
      <c r="F6892" s="2080"/>
      <c r="G6892" s="2080"/>
      <c r="H6892" s="13"/>
      <c r="I6892" s="1561"/>
      <c r="J6892" s="13"/>
      <c r="K6892" s="1639"/>
      <c r="L6892" s="1640"/>
      <c r="M6892" s="1292"/>
      <c r="N6892" s="1292"/>
      <c r="O6892" s="1292"/>
      <c r="P6892" s="1292"/>
      <c r="Q6892" s="3391"/>
      <c r="R6892" s="1296"/>
    </row>
    <row r="6893" spans="1:18" s="2326" customFormat="1" ht="21">
      <c r="A6893" s="4455" t="s">
        <v>82</v>
      </c>
      <c r="B6893" s="4456"/>
      <c r="C6893" s="4456"/>
      <c r="D6893" s="4456"/>
      <c r="E6893" s="2320" t="s">
        <v>1504</v>
      </c>
      <c r="F6893" s="2321" t="s">
        <v>2143</v>
      </c>
      <c r="G6893" s="2322"/>
      <c r="H6893" s="2322"/>
      <c r="I6893" s="2323"/>
      <c r="J6893" s="2322"/>
      <c r="K6893" s="2322"/>
      <c r="L6893" s="2323"/>
      <c r="M6893" s="2322"/>
      <c r="N6893" s="2322"/>
      <c r="O6893" s="2322"/>
      <c r="P6893" s="2324"/>
      <c r="Q6893" s="3392"/>
      <c r="R6893" s="2348"/>
    </row>
    <row r="6894" spans="1:18" s="16" customFormat="1">
      <c r="E6894" s="2182"/>
      <c r="F6894" s="2080"/>
      <c r="G6894" s="2080"/>
      <c r="H6894" s="13"/>
      <c r="I6894" s="1561"/>
      <c r="J6894" s="13"/>
      <c r="K6894" s="1639"/>
      <c r="L6894" s="1640"/>
      <c r="M6894" s="1292"/>
      <c r="N6894" s="1292"/>
      <c r="O6894" s="1292"/>
      <c r="P6894" s="1292"/>
      <c r="Q6894" s="3391"/>
      <c r="R6894" s="1296"/>
    </row>
    <row r="6895" spans="1:18" s="16" customFormat="1" ht="28.5">
      <c r="E6895" s="2182"/>
      <c r="F6895" s="2080"/>
      <c r="G6895" s="2080"/>
      <c r="H6895" s="13"/>
      <c r="I6895" s="1561"/>
      <c r="J6895" s="13"/>
      <c r="K6895" s="1639"/>
      <c r="L6895" s="2375" t="s">
        <v>2856</v>
      </c>
      <c r="M6895" s="1292"/>
      <c r="N6895" s="1292"/>
      <c r="O6895" s="1292"/>
      <c r="P6895" s="1292"/>
      <c r="Q6895" s="3391"/>
      <c r="R6895" s="1296"/>
    </row>
    <row r="6896" spans="1:18" s="16" customFormat="1">
      <c r="A6896" s="4393" t="s">
        <v>162</v>
      </c>
      <c r="B6896" s="4394"/>
      <c r="C6896" s="4394"/>
      <c r="D6896" s="4395"/>
      <c r="E6896" s="4396" t="s">
        <v>1549</v>
      </c>
      <c r="F6896" s="4397" t="s">
        <v>1550</v>
      </c>
      <c r="G6896" s="4399" t="s">
        <v>1566</v>
      </c>
      <c r="H6896" s="4400"/>
      <c r="I6896" s="4400"/>
      <c r="J6896" s="4400"/>
      <c r="K6896" s="4400"/>
      <c r="L6896" s="4401"/>
      <c r="M6896" s="4405" t="s">
        <v>1567</v>
      </c>
      <c r="N6896" s="4405"/>
      <c r="O6896" s="4405"/>
      <c r="P6896" s="4405"/>
      <c r="Q6896" s="3395"/>
      <c r="R6896" s="2339"/>
    </row>
    <row r="6897" spans="1:18" s="16" customFormat="1" ht="15" thickBot="1">
      <c r="A6897" s="1324" t="s">
        <v>3766</v>
      </c>
      <c r="B6897" s="1325" t="s">
        <v>1513</v>
      </c>
      <c r="C6897" s="1326" t="s">
        <v>1573</v>
      </c>
      <c r="D6897" s="1323" t="s">
        <v>1514</v>
      </c>
      <c r="E6897" s="4396"/>
      <c r="F6897" s="4398"/>
      <c r="G6897" s="4402"/>
      <c r="H6897" s="4403"/>
      <c r="I6897" s="4403"/>
      <c r="J6897" s="4403"/>
      <c r="K6897" s="4403"/>
      <c r="L6897" s="4404"/>
      <c r="M6897" s="4405"/>
      <c r="N6897" s="4405"/>
      <c r="O6897" s="4405"/>
      <c r="P6897" s="4405"/>
      <c r="Q6897" s="3395"/>
      <c r="R6897" s="2339"/>
    </row>
    <row r="6898" spans="1:18" s="16" customFormat="1" ht="33.75" customHeight="1">
      <c r="A6898" s="4374" t="s">
        <v>2780</v>
      </c>
      <c r="B6898" s="4375"/>
      <c r="C6898" s="4375"/>
      <c r="D6898" s="4376"/>
      <c r="E6898" s="4380" t="s">
        <v>1504</v>
      </c>
      <c r="F6898" s="4382" t="s">
        <v>2259</v>
      </c>
      <c r="G6898" s="4406" t="s">
        <v>294</v>
      </c>
      <c r="H6898" s="4407"/>
      <c r="I6898" s="1665" t="s">
        <v>1565</v>
      </c>
      <c r="J6898" s="3348" t="s">
        <v>1575</v>
      </c>
      <c r="K6898" s="4406" t="s">
        <v>289</v>
      </c>
      <c r="L6898" s="4407"/>
      <c r="M6898" s="4408" t="s">
        <v>3349</v>
      </c>
      <c r="N6898" s="4408"/>
      <c r="O6898" s="4408"/>
      <c r="P6898" s="4409"/>
      <c r="Q6898" s="4244" t="s">
        <v>3960</v>
      </c>
      <c r="R6898" s="2339"/>
    </row>
    <row r="6899" spans="1:18" s="16" customFormat="1" ht="24.75" customHeight="1" thickBot="1">
      <c r="A6899" s="4377"/>
      <c r="B6899" s="4378"/>
      <c r="C6899" s="4378"/>
      <c r="D6899" s="4379"/>
      <c r="E6899" s="4381"/>
      <c r="F6899" s="4383"/>
      <c r="G6899" s="4451">
        <f>IF('Seleccion proyecto HEREVEA02'!G55="Sustitución y reposición",'Seleccion proyecto HEREVEA02'!E55,0)</f>
        <v>0</v>
      </c>
      <c r="H6899" s="4452"/>
      <c r="I6899" s="3353">
        <f>IF('Seleccion proyecto HEREVEA02'!H55=0,0,IF('Seleccion proyecto HEREVEA02'!H55="1 a 30",0.3,IF('Seleccion proyecto HEREVEA02'!H55="31 a 60",0.6,IF('Seleccion proyecto HEREVEA02'!H55="61 a 100",1))))</f>
        <v>0</v>
      </c>
      <c r="J6899" s="1351">
        <f>'Seleccion proyecto HEREVEA02'!L8</f>
        <v>11100.968999999999</v>
      </c>
      <c r="K6899" s="4358">
        <f>G6899*I6899*J6899</f>
        <v>0</v>
      </c>
      <c r="L6899" s="4359"/>
      <c r="M6899" s="4360">
        <f>P6902+P6903+P6904+P6909+P6923+P6944+P6965+P6986+P7007</f>
        <v>1030.8432249999998</v>
      </c>
      <c r="N6899" s="4361"/>
      <c r="O6899" s="4361"/>
      <c r="P6899" s="4362"/>
      <c r="Q6899" s="4245">
        <f>M6899*K6899</f>
        <v>0</v>
      </c>
      <c r="R6899" s="2339"/>
    </row>
    <row r="6900" spans="1:18" s="16" customFormat="1" ht="15" customHeight="1">
      <c r="A6900" s="553"/>
      <c r="B6900" s="4339"/>
      <c r="C6900" s="3361"/>
      <c r="D6900" s="4340"/>
      <c r="E6900" s="4342"/>
      <c r="F6900" s="4344" t="s">
        <v>2</v>
      </c>
      <c r="G6900" s="4346" t="s">
        <v>1568</v>
      </c>
      <c r="H6900" s="4348" t="s">
        <v>1574</v>
      </c>
      <c r="I6900" s="4350"/>
      <c r="J6900" s="4351" t="s">
        <v>1560</v>
      </c>
      <c r="K6900" s="4351" t="s">
        <v>1569</v>
      </c>
      <c r="L6900" s="4333" t="s">
        <v>3765</v>
      </c>
      <c r="M6900" s="4352" t="s">
        <v>1571</v>
      </c>
      <c r="N6900" s="4353" t="s">
        <v>1776</v>
      </c>
      <c r="O6900" s="4354" t="s">
        <v>1563</v>
      </c>
      <c r="P6900" s="4356" t="s">
        <v>1562</v>
      </c>
      <c r="Q6900" s="3389"/>
      <c r="R6900" s="1699"/>
    </row>
    <row r="6901" spans="1:18" s="16" customFormat="1">
      <c r="A6901" s="2083"/>
      <c r="B6901" s="4339"/>
      <c r="C6901" s="3361"/>
      <c r="D6901" s="4341"/>
      <c r="E6901" s="4343"/>
      <c r="F6901" s="4345"/>
      <c r="G6901" s="4347"/>
      <c r="H6901" s="4349"/>
      <c r="I6901" s="4350"/>
      <c r="J6901" s="4351"/>
      <c r="K6901" s="4351"/>
      <c r="L6901" s="4334"/>
      <c r="M6901" s="4352"/>
      <c r="N6901" s="4353"/>
      <c r="O6901" s="4355"/>
      <c r="P6901" s="4357"/>
      <c r="Q6901" s="3389"/>
      <c r="R6901" s="1721"/>
    </row>
    <row r="6902" spans="1:18" s="16" customFormat="1">
      <c r="A6902" s="2053"/>
      <c r="B6902" s="1321"/>
      <c r="C6902" s="1295"/>
      <c r="D6902" s="1363" t="s">
        <v>1067</v>
      </c>
      <c r="E6902" s="2125" t="s">
        <v>1508</v>
      </c>
      <c r="F6902" s="1385" t="s">
        <v>1512</v>
      </c>
      <c r="G6902" s="1998">
        <v>1.54</v>
      </c>
      <c r="H6902" s="2084"/>
      <c r="I6902" s="2085"/>
      <c r="J6902" s="1589">
        <v>0.25</v>
      </c>
      <c r="K6902" s="1307">
        <f>G6902*J6902</f>
        <v>0.38500000000000001</v>
      </c>
      <c r="L6902" s="1335">
        <f>K6902*$K$6899</f>
        <v>0</v>
      </c>
      <c r="M6902" s="1302">
        <v>18.28</v>
      </c>
      <c r="N6902" s="1700"/>
      <c r="O6902" s="1290">
        <f>G6902*M6902</f>
        <v>28.151200000000003</v>
      </c>
      <c r="P6902" s="1337">
        <f>M6902*K6902</f>
        <v>7.0378000000000007</v>
      </c>
      <c r="Q6902" s="3390"/>
      <c r="R6902" s="2339"/>
    </row>
    <row r="6903" spans="1:18" s="16" customFormat="1">
      <c r="A6903" s="1599"/>
      <c r="B6903" s="1320"/>
      <c r="D6903" s="1359" t="s">
        <v>1593</v>
      </c>
      <c r="E6903" s="1858" t="s">
        <v>1508</v>
      </c>
      <c r="F6903" s="1404" t="s">
        <v>2146</v>
      </c>
      <c r="G6903" s="1404">
        <v>12.72</v>
      </c>
      <c r="H6903" s="1359"/>
      <c r="I6903" s="1289"/>
      <c r="J6903" s="8">
        <v>0.25</v>
      </c>
      <c r="K6903" s="1307">
        <f>G6903*J6903</f>
        <v>3.18</v>
      </c>
      <c r="L6903" s="1335">
        <f>K6903*$K$6899</f>
        <v>0</v>
      </c>
      <c r="M6903" s="1302">
        <v>19.23</v>
      </c>
      <c r="N6903" s="1700"/>
      <c r="O6903" s="1290">
        <f>G6903*M6903</f>
        <v>244.60560000000001</v>
      </c>
      <c r="P6903" s="1337">
        <f>M6903*K6903</f>
        <v>61.151400000000002</v>
      </c>
      <c r="Q6903" s="3390"/>
      <c r="R6903" s="2339"/>
    </row>
    <row r="6904" spans="1:18" s="16" customFormat="1">
      <c r="A6904"/>
      <c r="B6904" s="1042"/>
      <c r="C6904" s="2086" t="s">
        <v>1755</v>
      </c>
      <c r="D6904" s="1311"/>
      <c r="E6904" s="2176" t="s">
        <v>1508</v>
      </c>
      <c r="F6904" s="1648" t="s">
        <v>1524</v>
      </c>
      <c r="G6904" s="1990"/>
      <c r="H6904" s="1456">
        <v>4.2699999999999996</v>
      </c>
      <c r="I6904" s="1444"/>
      <c r="J6904" s="1366">
        <v>0.25</v>
      </c>
      <c r="K6904" s="1445"/>
      <c r="L6904" s="1457"/>
      <c r="M6904" s="1447"/>
      <c r="N6904" s="1447">
        <f>SUM(N6905:N6906)</f>
        <v>37.510000000000005</v>
      </c>
      <c r="O6904" s="1447">
        <f>SUM(O6905:O6906)</f>
        <v>160.1677</v>
      </c>
      <c r="P6904" s="1337">
        <f>SUM(P6905:P6906)</f>
        <v>40.041924999999999</v>
      </c>
      <c r="Q6904" s="3390"/>
      <c r="R6904" s="2337"/>
    </row>
    <row r="6905" spans="1:18" s="16" customFormat="1">
      <c r="A6905"/>
      <c r="B6905" s="1042"/>
      <c r="C6905" s="19"/>
      <c r="D6905" s="1430" t="s">
        <v>1067</v>
      </c>
      <c r="E6905" s="1857" t="s">
        <v>1508</v>
      </c>
      <c r="F6905" s="1403" t="s">
        <v>5</v>
      </c>
      <c r="G6905" s="1991">
        <v>1</v>
      </c>
      <c r="H6905" s="1408">
        <f>G6905*H6904</f>
        <v>4.2699999999999996</v>
      </c>
      <c r="I6905" s="1286"/>
      <c r="J6905" s="198"/>
      <c r="K6905" s="1307">
        <f>H6905*J6904</f>
        <v>1.0674999999999999</v>
      </c>
      <c r="L6905" s="1335">
        <f t="shared" ref="L6905:L6906" si="919">K6905*$K$6899</f>
        <v>0</v>
      </c>
      <c r="M6905" s="1302">
        <v>18.28</v>
      </c>
      <c r="N6905" s="1718">
        <f>G6905*M6905</f>
        <v>18.28</v>
      </c>
      <c r="O6905" s="1290">
        <f>H6905*M6905</f>
        <v>78.055599999999998</v>
      </c>
      <c r="P6905" s="1720">
        <f>M6905*K6905</f>
        <v>19.5139</v>
      </c>
      <c r="Q6905" s="3396"/>
      <c r="R6905" s="2337"/>
    </row>
    <row r="6906" spans="1:18" s="16" customFormat="1">
      <c r="A6906"/>
      <c r="B6906" s="1042"/>
      <c r="C6906" s="19"/>
      <c r="D6906" s="1430" t="s">
        <v>1077</v>
      </c>
      <c r="E6906" s="1857" t="s">
        <v>1508</v>
      </c>
      <c r="F6906" s="1403" t="s">
        <v>37</v>
      </c>
      <c r="G6906" s="1991">
        <v>1</v>
      </c>
      <c r="H6906" s="1408">
        <f>G6906*H6904</f>
        <v>4.2699999999999996</v>
      </c>
      <c r="I6906" s="197"/>
      <c r="J6906" s="198"/>
      <c r="K6906" s="1307">
        <f>H6906*J6904</f>
        <v>1.0674999999999999</v>
      </c>
      <c r="L6906" s="1335">
        <f t="shared" si="919"/>
        <v>0</v>
      </c>
      <c r="M6906" s="1302">
        <v>19.23</v>
      </c>
      <c r="N6906" s="1718">
        <f>G6906*M6906</f>
        <v>19.23</v>
      </c>
      <c r="O6906" s="1290">
        <f>H6906*M6906</f>
        <v>82.112099999999998</v>
      </c>
      <c r="P6906" s="1720">
        <f>M6906*K6906</f>
        <v>20.528025</v>
      </c>
      <c r="Q6906" s="3396"/>
      <c r="R6906" s="2337"/>
    </row>
    <row r="6907" spans="1:18" s="16" customFormat="1">
      <c r="A6907"/>
      <c r="B6907" s="225"/>
      <c r="D6907" s="1359"/>
      <c r="E6907" s="1858"/>
      <c r="F6907" s="1361"/>
      <c r="G6907" s="1361"/>
      <c r="H6907" s="1466"/>
      <c r="I6907" s="1289"/>
      <c r="J6907" s="8"/>
      <c r="K6907" s="1307"/>
      <c r="L6907" s="1335"/>
      <c r="M6907" s="1302"/>
      <c r="N6907" s="1700"/>
      <c r="O6907" s="1290"/>
      <c r="P6907" s="1332"/>
      <c r="Q6907" s="3391"/>
      <c r="R6907" s="1296"/>
    </row>
    <row r="6908" spans="1:18" s="16" customFormat="1" ht="15" customHeight="1">
      <c r="A6908" s="18" t="s">
        <v>3764</v>
      </c>
      <c r="B6908" s="4325" t="s">
        <v>2242</v>
      </c>
      <c r="C6908" s="3350"/>
      <c r="D6908" s="4327"/>
      <c r="E6908" s="4329" t="s">
        <v>1504</v>
      </c>
      <c r="F6908" s="4336" t="s">
        <v>2243</v>
      </c>
      <c r="G6908" s="4331" t="s">
        <v>1568</v>
      </c>
      <c r="H6908" s="4331" t="s">
        <v>1574</v>
      </c>
      <c r="I6908" s="1572" t="s">
        <v>1559</v>
      </c>
      <c r="J6908" s="1294" t="s">
        <v>1560</v>
      </c>
      <c r="K6908" s="1294" t="s">
        <v>1569</v>
      </c>
      <c r="L6908" s="4333" t="s">
        <v>3765</v>
      </c>
      <c r="M6908" s="4335" t="s">
        <v>1571</v>
      </c>
      <c r="N6908" s="4323" t="s">
        <v>1776</v>
      </c>
      <c r="O6908" s="3347" t="s">
        <v>1563</v>
      </c>
      <c r="P6908" s="1336" t="s">
        <v>1562</v>
      </c>
      <c r="Q6908" s="3389"/>
      <c r="R6908" s="1699" t="s">
        <v>1327</v>
      </c>
    </row>
    <row r="6909" spans="1:18" s="16" customFormat="1">
      <c r="A6909" s="1662" t="s">
        <v>2780</v>
      </c>
      <c r="B6909" s="4326"/>
      <c r="C6909" s="3351"/>
      <c r="D6909" s="4328"/>
      <c r="E6909" s="4330"/>
      <c r="F6909" s="4336"/>
      <c r="G6909" s="4332"/>
      <c r="H6909" s="4332"/>
      <c r="I6909" s="1345">
        <v>96</v>
      </c>
      <c r="J6909" s="1307">
        <v>0.25</v>
      </c>
      <c r="K6909" s="1666">
        <f>I6909*J6909</f>
        <v>24</v>
      </c>
      <c r="L6909" s="4334"/>
      <c r="M6909" s="4335"/>
      <c r="N6909" s="4324"/>
      <c r="O6909" s="1298">
        <f>SUM(O6912:O6921)</f>
        <v>1.4624000000000001</v>
      </c>
      <c r="P6909" s="1337">
        <f>O6909*K6909</f>
        <v>35.0976</v>
      </c>
      <c r="Q6909" s="3390"/>
      <c r="R6909" s="1721">
        <f>P6915</f>
        <v>35.0976</v>
      </c>
    </row>
    <row r="6910" spans="1:18" s="16" customFormat="1">
      <c r="A6910" s="1320"/>
      <c r="B6910" s="1949"/>
      <c r="C6910" s="1327"/>
      <c r="D6910" s="1367"/>
      <c r="E6910" s="2121"/>
      <c r="F6910" s="1389" t="s">
        <v>1</v>
      </c>
      <c r="G6910" s="1389"/>
      <c r="H6910" s="1369"/>
      <c r="I6910" s="2088"/>
      <c r="J6910" s="1369"/>
      <c r="K6910" s="1391"/>
      <c r="L6910" s="1559"/>
      <c r="M6910" s="1369"/>
      <c r="N6910" s="1369"/>
      <c r="O6910" s="1369"/>
      <c r="P6910" s="1392"/>
      <c r="Q6910" s="3395"/>
      <c r="R6910" s="2339"/>
    </row>
    <row r="6911" spans="1:18" s="16" customFormat="1">
      <c r="A6911" s="1320"/>
      <c r="B6911" s="1599"/>
      <c r="C6911" s="1320"/>
      <c r="D6911" s="1367"/>
      <c r="E6911" s="2121"/>
      <c r="F6911" s="1368"/>
      <c r="G6911" s="1368"/>
      <c r="H6911" s="1369"/>
      <c r="I6911" s="1409"/>
      <c r="J6911" s="1390"/>
      <c r="K6911" s="2087"/>
      <c r="L6911" s="1335"/>
      <c r="M6911" s="1369"/>
      <c r="N6911" s="1390"/>
      <c r="O6911" s="1390"/>
      <c r="P6911" s="1392"/>
      <c r="Q6911" s="3395"/>
      <c r="R6911" s="2339"/>
    </row>
    <row r="6912" spans="1:18" s="16" customFormat="1">
      <c r="A6912" s="1042"/>
      <c r="B6912" s="1599"/>
      <c r="C6912" s="1042"/>
      <c r="D6912" s="1672"/>
      <c r="E6912" s="2160"/>
      <c r="F6912" s="1673"/>
      <c r="G6912" s="1673"/>
      <c r="H6912" s="1674"/>
      <c r="I6912" s="1299"/>
      <c r="J6912" s="1300"/>
      <c r="K6912" s="1307"/>
      <c r="L6912" s="1335"/>
      <c r="M6912" s="1302"/>
      <c r="N6912" s="1700"/>
      <c r="O6912" s="1290"/>
      <c r="P6912" s="1332"/>
      <c r="Q6912" s="3391"/>
      <c r="R6912" s="2339"/>
    </row>
    <row r="6913" spans="1:18" s="16" customFormat="1">
      <c r="A6913" s="1042"/>
      <c r="B6913" s="1599"/>
      <c r="C6913" s="1042"/>
      <c r="D6913" s="1367"/>
      <c r="E6913" s="2121"/>
      <c r="F6913" s="1436"/>
      <c r="G6913" s="1436"/>
      <c r="H6913" s="1369"/>
      <c r="I6913" s="1299"/>
      <c r="J6913" s="1300"/>
      <c r="K6913" s="1307"/>
      <c r="L6913" s="1335"/>
      <c r="M6913" s="1302"/>
      <c r="N6913" s="1700"/>
      <c r="O6913" s="1290"/>
      <c r="P6913" s="1332"/>
      <c r="Q6913" s="3391"/>
      <c r="R6913" s="2339"/>
    </row>
    <row r="6914" spans="1:18" s="16" customFormat="1">
      <c r="A6914" s="1042"/>
      <c r="B6914" s="1599"/>
      <c r="C6914" s="1042"/>
      <c r="D6914" s="1359"/>
      <c r="E6914" s="1858"/>
      <c r="F6914" s="1360" t="s">
        <v>2</v>
      </c>
      <c r="G6914" s="1360"/>
      <c r="H6914" s="1362"/>
      <c r="I6914" s="1380"/>
      <c r="J6914" s="1381"/>
      <c r="K6914" s="1381"/>
      <c r="L6914" s="1458"/>
      <c r="M6914" s="1362"/>
      <c r="N6914" s="1362"/>
      <c r="O6914" s="1362"/>
      <c r="P6914" s="1359"/>
      <c r="Q6914" s="3387"/>
      <c r="R6914" s="2339"/>
    </row>
    <row r="6915" spans="1:18" s="16" customFormat="1">
      <c r="A6915" s="1321"/>
      <c r="B6915" s="2053"/>
      <c r="C6915" s="1321"/>
      <c r="D6915" s="1363" t="s">
        <v>1067</v>
      </c>
      <c r="E6915" s="2125" t="s">
        <v>1508</v>
      </c>
      <c r="F6915" s="1385" t="s">
        <v>1512</v>
      </c>
      <c r="G6915" s="2019">
        <v>0.08</v>
      </c>
      <c r="H6915" s="1386"/>
      <c r="I6915" s="1299"/>
      <c r="J6915" s="1300"/>
      <c r="K6915" s="1307">
        <f>G6915*K6909</f>
        <v>1.92</v>
      </c>
      <c r="L6915" s="1335">
        <f>K6915*$K$6899</f>
        <v>0</v>
      </c>
      <c r="M6915" s="1302">
        <v>18.28</v>
      </c>
      <c r="N6915" s="1700"/>
      <c r="O6915" s="1290">
        <f>G6915*M6915</f>
        <v>1.4624000000000001</v>
      </c>
      <c r="P6915" s="1332">
        <f>M6915*K6915</f>
        <v>35.0976</v>
      </c>
      <c r="Q6915" s="3391"/>
      <c r="R6915" s="2339"/>
    </row>
    <row r="6916" spans="1:18" s="16" customFormat="1">
      <c r="A6916" s="1320"/>
      <c r="B6916" s="1599"/>
      <c r="C6916" s="1320"/>
      <c r="D6916" s="1359"/>
      <c r="E6916" s="1858"/>
      <c r="F6916" s="1404"/>
      <c r="G6916" s="1404"/>
      <c r="H6916" s="1359"/>
      <c r="I6916" s="1299"/>
      <c r="J6916" s="1300"/>
      <c r="K6916" s="1307"/>
      <c r="L6916" s="1335"/>
      <c r="M6916" s="1302"/>
      <c r="N6916" s="1700"/>
      <c r="O6916" s="1290"/>
      <c r="P6916" s="1332"/>
      <c r="Q6916" s="3391"/>
      <c r="R6916" s="2339"/>
    </row>
    <row r="6917" spans="1:18" s="16" customFormat="1">
      <c r="A6917" s="1320"/>
      <c r="B6917" s="1599"/>
      <c r="C6917" s="1320"/>
      <c r="D6917" s="1359"/>
      <c r="E6917" s="1858"/>
      <c r="F6917" s="1361"/>
      <c r="G6917" s="1361"/>
      <c r="H6917" s="1466"/>
      <c r="I6917" s="1299"/>
      <c r="J6917" s="1300"/>
      <c r="K6917" s="1307"/>
      <c r="L6917" s="1335"/>
      <c r="M6917" s="1302"/>
      <c r="N6917" s="1700"/>
      <c r="O6917" s="1290"/>
      <c r="P6917" s="1332"/>
      <c r="Q6917" s="3391"/>
      <c r="R6917" s="2339"/>
    </row>
    <row r="6918" spans="1:18" s="16" customFormat="1">
      <c r="A6918" s="1320"/>
      <c r="B6918" s="1599"/>
      <c r="C6918" s="1320"/>
      <c r="D6918" s="1373"/>
      <c r="E6918" s="2123"/>
      <c r="F6918" s="1374" t="s">
        <v>3</v>
      </c>
      <c r="G6918" s="1375"/>
      <c r="H6918" s="1376"/>
      <c r="I6918" s="1382"/>
      <c r="J6918" s="1383"/>
      <c r="K6918" s="1383"/>
      <c r="L6918" s="1413"/>
      <c r="M6918" s="1376"/>
      <c r="N6918" s="1376"/>
      <c r="O6918" s="1376"/>
      <c r="P6918" s="1373"/>
      <c r="Q6918" s="3387"/>
      <c r="R6918" s="2339"/>
    </row>
    <row r="6919" spans="1:18" s="16" customFormat="1">
      <c r="A6919" s="1321"/>
      <c r="B6919" s="2053"/>
      <c r="C6919" s="1321"/>
      <c r="D6919" s="1377"/>
      <c r="E6919" s="2124"/>
      <c r="F6919" s="1378"/>
      <c r="G6919" s="1378"/>
      <c r="H6919" s="1379"/>
      <c r="I6919" s="1299"/>
      <c r="J6919" s="1300"/>
      <c r="K6919" s="1307"/>
      <c r="L6919" s="1335"/>
      <c r="M6919" s="1302"/>
      <c r="N6919" s="1700"/>
      <c r="O6919" s="1290"/>
      <c r="P6919" s="1332"/>
      <c r="Q6919" s="3391"/>
      <c r="R6919" s="2339"/>
    </row>
    <row r="6920" spans="1:18" s="16" customFormat="1">
      <c r="A6920" s="1321"/>
      <c r="B6920" s="2053"/>
      <c r="C6920" s="1321"/>
      <c r="D6920" s="1377"/>
      <c r="E6920" s="2124"/>
      <c r="F6920" s="1378"/>
      <c r="G6920" s="1378"/>
      <c r="H6920" s="1379"/>
      <c r="I6920" s="1299"/>
      <c r="J6920" s="1300"/>
      <c r="K6920" s="1307"/>
      <c r="L6920" s="1335"/>
      <c r="M6920" s="1302"/>
      <c r="N6920" s="1700"/>
      <c r="O6920" s="1290"/>
      <c r="P6920" s="1333"/>
      <c r="Q6920" s="3391"/>
      <c r="R6920" s="2339"/>
    </row>
    <row r="6921" spans="1:18" s="16" customFormat="1">
      <c r="A6921" s="1042"/>
      <c r="B6921" s="1765"/>
      <c r="C6921" s="223"/>
      <c r="D6921" s="1373"/>
      <c r="E6921" s="2161"/>
      <c r="F6921" s="1678"/>
      <c r="G6921" s="1678"/>
      <c r="H6921" s="1376"/>
      <c r="I6921" s="1299"/>
      <c r="J6921" s="1300"/>
      <c r="K6921" s="1307"/>
      <c r="L6921" s="1335"/>
      <c r="M6921" s="1302"/>
      <c r="N6921" s="1700"/>
      <c r="O6921" s="1290"/>
      <c r="P6921" s="1332"/>
      <c r="Q6921" s="3391"/>
      <c r="R6921" s="2339"/>
    </row>
    <row r="6922" spans="1:18" s="16" customFormat="1" ht="15" customHeight="1">
      <c r="A6922" s="18" t="s">
        <v>3764</v>
      </c>
      <c r="B6922" s="4325" t="s">
        <v>2260</v>
      </c>
      <c r="C6922" s="3350"/>
      <c r="D6922" s="4327"/>
      <c r="E6922" s="4329" t="s">
        <v>1504</v>
      </c>
      <c r="F6922" s="4336" t="s">
        <v>2261</v>
      </c>
      <c r="G6922" s="4331" t="s">
        <v>1568</v>
      </c>
      <c r="H6922" s="4331" t="s">
        <v>1574</v>
      </c>
      <c r="I6922" s="1572" t="s">
        <v>1559</v>
      </c>
      <c r="J6922" s="1294" t="s">
        <v>1560</v>
      </c>
      <c r="K6922" s="1294" t="s">
        <v>1569</v>
      </c>
      <c r="L6922" s="4333" t="s">
        <v>3765</v>
      </c>
      <c r="M6922" s="4335" t="s">
        <v>1571</v>
      </c>
      <c r="N6922" s="4323" t="s">
        <v>1776</v>
      </c>
      <c r="O6922" s="3347" t="s">
        <v>1563</v>
      </c>
      <c r="P6922" s="1336" t="s">
        <v>1562</v>
      </c>
      <c r="Q6922" s="3389"/>
      <c r="R6922" s="1699" t="s">
        <v>1327</v>
      </c>
    </row>
    <row r="6923" spans="1:18" s="16" customFormat="1">
      <c r="A6923" s="1662" t="s">
        <v>2780</v>
      </c>
      <c r="B6923" s="4326"/>
      <c r="C6923" s="3351"/>
      <c r="D6923" s="4328"/>
      <c r="E6923" s="4330"/>
      <c r="F6923" s="4336"/>
      <c r="G6923" s="4332"/>
      <c r="H6923" s="4332"/>
      <c r="I6923" s="1345">
        <v>36</v>
      </c>
      <c r="J6923" s="1307">
        <v>0.25</v>
      </c>
      <c r="K6923" s="1666">
        <f>I6923*J6923</f>
        <v>9</v>
      </c>
      <c r="L6923" s="4334"/>
      <c r="M6923" s="4335"/>
      <c r="N6923" s="4324"/>
      <c r="O6923" s="1298">
        <f>SUM(O6925:O6934)</f>
        <v>30.578099999999999</v>
      </c>
      <c r="P6923" s="1337">
        <f>O6923*K6923</f>
        <v>275.2029</v>
      </c>
      <c r="Q6923" s="3390"/>
      <c r="R6923" s="1721">
        <f>SUM(P6925:P6934)</f>
        <v>275.2029</v>
      </c>
    </row>
    <row r="6924" spans="1:18" s="16" customFormat="1">
      <c r="A6924" s="1599"/>
      <c r="B6924" s="1327"/>
      <c r="C6924" s="1511"/>
      <c r="D6924" s="1367"/>
      <c r="E6924" s="2121"/>
      <c r="F6924" s="1389" t="s">
        <v>1</v>
      </c>
      <c r="G6924" s="1389"/>
      <c r="H6924" s="1369"/>
      <c r="I6924" s="2088"/>
      <c r="J6924" s="1369"/>
      <c r="K6924" s="1391"/>
      <c r="L6924" s="2089"/>
      <c r="M6924" s="1369"/>
      <c r="N6924" s="1369"/>
      <c r="O6924" s="1369"/>
      <c r="P6924" s="1392"/>
      <c r="Q6924" s="3395"/>
      <c r="R6924" s="2339"/>
    </row>
    <row r="6925" spans="1:18" s="16" customFormat="1">
      <c r="A6925" s="1599"/>
      <c r="B6925" s="1320"/>
      <c r="C6925" s="595"/>
      <c r="D6925" s="1598" t="s">
        <v>1252</v>
      </c>
      <c r="E6925" s="2154" t="s">
        <v>1527</v>
      </c>
      <c r="F6925" s="1598" t="s">
        <v>2168</v>
      </c>
      <c r="G6925" s="1612">
        <v>5.05</v>
      </c>
      <c r="H6925" s="1369"/>
      <c r="I6925" s="1289"/>
      <c r="J6925" s="8"/>
      <c r="K6925" s="1307">
        <f>G6925*K6923</f>
        <v>45.449999999999996</v>
      </c>
      <c r="L6925" s="1335">
        <f t="shared" ref="L6925:L6930" si="920">K6925*$K$6899</f>
        <v>0</v>
      </c>
      <c r="M6925" s="1302">
        <v>0.16</v>
      </c>
      <c r="N6925" s="1700"/>
      <c r="O6925" s="1290">
        <f t="shared" ref="O6925:O6930" si="921">G6925*M6925</f>
        <v>0.80799999999999994</v>
      </c>
      <c r="P6925" s="1332">
        <f t="shared" ref="P6925:P6930" si="922">M6925*K6925</f>
        <v>7.2719999999999994</v>
      </c>
      <c r="Q6925" s="3391"/>
      <c r="R6925" s="2339"/>
    </row>
    <row r="6926" spans="1:18" s="16" customFormat="1">
      <c r="A6926" s="1599"/>
      <c r="B6926" s="1320"/>
      <c r="C6926" s="595"/>
      <c r="D6926" s="1598" t="s">
        <v>1255</v>
      </c>
      <c r="E6926" s="2154" t="s">
        <v>1504</v>
      </c>
      <c r="F6926" s="1598" t="s">
        <v>2262</v>
      </c>
      <c r="G6926" s="1612">
        <v>1</v>
      </c>
      <c r="H6926" s="1369"/>
      <c r="I6926" s="1289"/>
      <c r="J6926" s="8"/>
      <c r="K6926" s="1307">
        <f>G6926*K6923</f>
        <v>9</v>
      </c>
      <c r="L6926" s="1335">
        <f t="shared" si="920"/>
        <v>0</v>
      </c>
      <c r="M6926" s="1302">
        <v>3.42</v>
      </c>
      <c r="N6926" s="1700"/>
      <c r="O6926" s="1290">
        <f t="shared" si="921"/>
        <v>3.42</v>
      </c>
      <c r="P6926" s="1332">
        <f t="shared" si="922"/>
        <v>30.78</v>
      </c>
      <c r="Q6926" s="3391"/>
      <c r="R6926" s="2339"/>
    </row>
    <row r="6927" spans="1:18" s="16" customFormat="1">
      <c r="A6927" s="1599"/>
      <c r="B6927" s="1320"/>
      <c r="C6927" s="595"/>
      <c r="D6927" s="1598" t="s">
        <v>1256</v>
      </c>
      <c r="E6927" s="2154" t="s">
        <v>1504</v>
      </c>
      <c r="F6927" s="1598" t="s">
        <v>2247</v>
      </c>
      <c r="G6927" s="1612">
        <v>1</v>
      </c>
      <c r="H6927" s="1369"/>
      <c r="I6927" s="1289"/>
      <c r="J6927" s="8"/>
      <c r="K6927" s="1307">
        <f>G6927*K6923</f>
        <v>9</v>
      </c>
      <c r="L6927" s="1335">
        <f t="shared" si="920"/>
        <v>0</v>
      </c>
      <c r="M6927" s="1302">
        <v>0.32</v>
      </c>
      <c r="N6927" s="1700"/>
      <c r="O6927" s="1290">
        <f t="shared" si="921"/>
        <v>0.32</v>
      </c>
      <c r="P6927" s="1332">
        <f t="shared" si="922"/>
        <v>2.88</v>
      </c>
      <c r="Q6927" s="3391"/>
      <c r="R6927" s="2339"/>
    </row>
    <row r="6928" spans="1:18" s="16" customFormat="1">
      <c r="A6928" s="1599"/>
      <c r="B6928" s="1320"/>
      <c r="C6928" s="595"/>
      <c r="D6928" s="1598" t="s">
        <v>1245</v>
      </c>
      <c r="E6928" s="2154" t="s">
        <v>1527</v>
      </c>
      <c r="F6928" s="1598" t="s">
        <v>2169</v>
      </c>
      <c r="G6928" s="1612">
        <v>15</v>
      </c>
      <c r="H6928" s="1369"/>
      <c r="I6928" s="1289"/>
      <c r="J6928" s="8"/>
      <c r="K6928" s="1307">
        <f>G6928*K6923</f>
        <v>135</v>
      </c>
      <c r="L6928" s="1335">
        <f t="shared" si="920"/>
        <v>0</v>
      </c>
      <c r="M6928" s="1302">
        <v>0.42</v>
      </c>
      <c r="N6928" s="1700"/>
      <c r="O6928" s="1290">
        <f t="shared" si="921"/>
        <v>6.3</v>
      </c>
      <c r="P6928" s="1332">
        <f t="shared" si="922"/>
        <v>56.699999999999996</v>
      </c>
      <c r="Q6928" s="3391"/>
      <c r="R6928" s="2339"/>
    </row>
    <row r="6929" spans="1:18" s="16" customFormat="1">
      <c r="A6929" s="553"/>
      <c r="B6929" s="1320"/>
      <c r="C6929" s="88"/>
      <c r="D6929" s="1598" t="s">
        <v>1082</v>
      </c>
      <c r="E6929" s="2154" t="s">
        <v>1504</v>
      </c>
      <c r="F6929" s="1598" t="s">
        <v>1541</v>
      </c>
      <c r="G6929" s="1612">
        <v>0.5</v>
      </c>
      <c r="H6929" s="1674"/>
      <c r="I6929" s="1289"/>
      <c r="J6929" s="8"/>
      <c r="K6929" s="1307">
        <f>G6929*K6923</f>
        <v>4.5</v>
      </c>
      <c r="L6929" s="1335">
        <f t="shared" si="920"/>
        <v>0</v>
      </c>
      <c r="M6929" s="1302">
        <v>0.3</v>
      </c>
      <c r="N6929" s="1700"/>
      <c r="O6929" s="1290">
        <f t="shared" si="921"/>
        <v>0.15</v>
      </c>
      <c r="P6929" s="1332">
        <f t="shared" si="922"/>
        <v>1.3499999999999999</v>
      </c>
      <c r="Q6929" s="3391"/>
      <c r="R6929" s="2339"/>
    </row>
    <row r="6930" spans="1:18" s="16" customFormat="1">
      <c r="A6930" s="553"/>
      <c r="B6930" s="1320"/>
      <c r="C6930" s="88"/>
      <c r="D6930" s="1598" t="s">
        <v>1097</v>
      </c>
      <c r="E6930" s="2154" t="s">
        <v>1504</v>
      </c>
      <c r="F6930" s="1598" t="s">
        <v>1632</v>
      </c>
      <c r="G6930" s="1612">
        <v>0.3</v>
      </c>
      <c r="H6930" s="1674"/>
      <c r="I6930" s="1289"/>
      <c r="J6930" s="8"/>
      <c r="K6930" s="1307">
        <f>G6930*K6923</f>
        <v>2.6999999999999997</v>
      </c>
      <c r="L6930" s="1335">
        <f t="shared" si="920"/>
        <v>0</v>
      </c>
      <c r="M6930" s="1302">
        <v>0.55000000000000004</v>
      </c>
      <c r="N6930" s="1700"/>
      <c r="O6930" s="1290">
        <f t="shared" si="921"/>
        <v>0.16500000000000001</v>
      </c>
      <c r="P6930" s="1332">
        <f t="shared" si="922"/>
        <v>1.4849999999999999</v>
      </c>
      <c r="Q6930" s="3391"/>
      <c r="R6930" s="2339"/>
    </row>
    <row r="6931" spans="1:18" s="16" customFormat="1">
      <c r="A6931" s="553"/>
      <c r="B6931" s="1320"/>
      <c r="C6931" s="88"/>
      <c r="D6931" s="1367"/>
      <c r="E6931" s="2121"/>
      <c r="F6931" s="1436"/>
      <c r="G6931" s="1436"/>
      <c r="H6931" s="1369"/>
      <c r="I6931" s="1289" t="str">
        <f t="shared" ref="I6931" ca="1" si="923">IF(COUNT(H6931:O6931)=0,"",(SUM(H6931:O6931)/COUNT(H6931:O6931)))</f>
        <v/>
      </c>
      <c r="J6931" s="8"/>
      <c r="K6931" s="1307"/>
      <c r="L6931" s="1335"/>
      <c r="M6931" s="1302"/>
      <c r="N6931" s="1700"/>
      <c r="O6931" s="1290"/>
      <c r="P6931" s="1332"/>
      <c r="Q6931" s="3391"/>
      <c r="R6931" s="2339"/>
    </row>
    <row r="6932" spans="1:18" s="16" customFormat="1">
      <c r="A6932" s="553"/>
      <c r="B6932" s="1320"/>
      <c r="C6932" s="88"/>
      <c r="D6932" s="1359"/>
      <c r="E6932" s="1858"/>
      <c r="F6932" s="1360" t="s">
        <v>2</v>
      </c>
      <c r="G6932" s="1360"/>
      <c r="H6932" s="1362"/>
      <c r="I6932" s="1380"/>
      <c r="J6932" s="1381"/>
      <c r="K6932" s="1381"/>
      <c r="L6932" s="1458"/>
      <c r="M6932" s="1362"/>
      <c r="N6932" s="1362"/>
      <c r="O6932" s="1362"/>
      <c r="P6932" s="1359"/>
      <c r="Q6932" s="3387"/>
      <c r="R6932" s="2339"/>
    </row>
    <row r="6933" spans="1:18" s="16" customFormat="1">
      <c r="A6933" s="1599"/>
      <c r="B6933" s="1320"/>
      <c r="D6933" s="1359" t="s">
        <v>1593</v>
      </c>
      <c r="E6933" s="1858" t="s">
        <v>1508</v>
      </c>
      <c r="F6933" s="1404" t="s">
        <v>2146</v>
      </c>
      <c r="G6933" s="1404">
        <v>0.6</v>
      </c>
      <c r="H6933" s="1359"/>
      <c r="I6933" s="1289"/>
      <c r="J6933" s="8"/>
      <c r="K6933" s="1307">
        <f>G6933*K6923</f>
        <v>5.3999999999999995</v>
      </c>
      <c r="L6933" s="1335">
        <f>K6933*$K$6899</f>
        <v>0</v>
      </c>
      <c r="M6933" s="1302">
        <v>19.23</v>
      </c>
      <c r="N6933" s="1700"/>
      <c r="O6933" s="1290">
        <f>G6933*M6933</f>
        <v>11.538</v>
      </c>
      <c r="P6933" s="1332">
        <f>M6933*K6933</f>
        <v>103.842</v>
      </c>
      <c r="Q6933" s="3391"/>
      <c r="R6933" s="2339"/>
    </row>
    <row r="6934" spans="1:18" s="16" customFormat="1">
      <c r="A6934"/>
      <c r="B6934" s="1042"/>
      <c r="C6934" s="2086" t="s">
        <v>1755</v>
      </c>
      <c r="D6934" s="1311"/>
      <c r="E6934" s="2176" t="s">
        <v>1508</v>
      </c>
      <c r="F6934" s="1648" t="s">
        <v>1524</v>
      </c>
      <c r="G6934" s="1990"/>
      <c r="H6934" s="1456">
        <v>0.21</v>
      </c>
      <c r="I6934" s="1444"/>
      <c r="J6934" s="1388"/>
      <c r="K6934" s="1445"/>
      <c r="L6934" s="1457"/>
      <c r="M6934" s="1447"/>
      <c r="N6934" s="1447">
        <f>SUM(N6935:N6936)</f>
        <v>37.510000000000005</v>
      </c>
      <c r="O6934" s="1447">
        <f>SUM(O6935:O6936)</f>
        <v>7.8770999999999995</v>
      </c>
      <c r="P6934" s="1447">
        <f>SUM(P6935:P6936)</f>
        <v>70.893900000000002</v>
      </c>
      <c r="Q6934" s="3391"/>
      <c r="R6934" s="2337"/>
    </row>
    <row r="6935" spans="1:18" s="16" customFormat="1">
      <c r="A6935"/>
      <c r="B6935" s="1042"/>
      <c r="C6935" s="19"/>
      <c r="D6935" s="1430" t="s">
        <v>1067</v>
      </c>
      <c r="E6935" s="1857" t="s">
        <v>1508</v>
      </c>
      <c r="F6935" s="1403" t="s">
        <v>5</v>
      </c>
      <c r="G6935" s="1991">
        <v>1</v>
      </c>
      <c r="H6935" s="1408">
        <f>G6935*H6934</f>
        <v>0.21</v>
      </c>
      <c r="I6935" s="1286"/>
      <c r="J6935" s="198"/>
      <c r="K6935" s="1307">
        <f>H6935*K6923</f>
        <v>1.89</v>
      </c>
      <c r="L6935" s="1335">
        <f t="shared" ref="L6935:L6936" si="924">K6935*$K$6899</f>
        <v>0</v>
      </c>
      <c r="M6935" s="1302">
        <v>18.28</v>
      </c>
      <c r="N6935" s="1718">
        <f>G6935*M6935</f>
        <v>18.28</v>
      </c>
      <c r="O6935" s="1290">
        <f>H6935*M6935</f>
        <v>3.8388</v>
      </c>
      <c r="P6935" s="1720">
        <f>M6935*K6935</f>
        <v>34.549199999999999</v>
      </c>
      <c r="Q6935" s="3396"/>
      <c r="R6935" s="2337"/>
    </row>
    <row r="6936" spans="1:18" s="16" customFormat="1">
      <c r="A6936"/>
      <c r="B6936" s="1042"/>
      <c r="C6936" s="19"/>
      <c r="D6936" s="1430" t="s">
        <v>1077</v>
      </c>
      <c r="E6936" s="1857" t="s">
        <v>1508</v>
      </c>
      <c r="F6936" s="1403" t="s">
        <v>37</v>
      </c>
      <c r="G6936" s="1991">
        <v>1</v>
      </c>
      <c r="H6936" s="1408">
        <f>G6936*H6934</f>
        <v>0.21</v>
      </c>
      <c r="I6936" s="197"/>
      <c r="J6936" s="198"/>
      <c r="K6936" s="1307">
        <f>H6936*K6923</f>
        <v>1.89</v>
      </c>
      <c r="L6936" s="1335">
        <f t="shared" si="924"/>
        <v>0</v>
      </c>
      <c r="M6936" s="1302">
        <v>19.23</v>
      </c>
      <c r="N6936" s="1718">
        <f>G6936*M6936</f>
        <v>19.23</v>
      </c>
      <c r="O6936" s="1290">
        <f>H6936*M6936</f>
        <v>4.0382999999999996</v>
      </c>
      <c r="P6936" s="1720">
        <f>M6936*K6936</f>
        <v>36.344699999999996</v>
      </c>
      <c r="Q6936" s="3396"/>
      <c r="R6936" s="2337"/>
    </row>
    <row r="6937" spans="1:18" s="16" customFormat="1">
      <c r="A6937"/>
      <c r="B6937" s="1320"/>
      <c r="D6937" s="1359"/>
      <c r="E6937" s="1858"/>
      <c r="F6937" s="1361"/>
      <c r="G6937" s="1361"/>
      <c r="H6937" s="1466"/>
      <c r="I6937" s="1289"/>
      <c r="J6937" s="8"/>
      <c r="K6937" s="1307"/>
      <c r="L6937" s="1335"/>
      <c r="M6937" s="1302"/>
      <c r="N6937" s="1700"/>
      <c r="O6937" s="1290"/>
      <c r="P6937" s="1332"/>
      <c r="Q6937" s="3391"/>
      <c r="R6937" s="1296"/>
    </row>
    <row r="6938" spans="1:18" s="16" customFormat="1">
      <c r="A6938" s="1599"/>
      <c r="B6938" s="1320"/>
      <c r="C6938" s="595"/>
      <c r="D6938" s="1359"/>
      <c r="E6938" s="1858"/>
      <c r="F6938" s="1361"/>
      <c r="G6938" s="1361"/>
      <c r="H6938" s="1466"/>
      <c r="I6938" s="1299"/>
      <c r="J6938" s="1300"/>
      <c r="K6938" s="1307"/>
      <c r="L6938" s="1335"/>
      <c r="M6938" s="1302"/>
      <c r="N6938" s="1700"/>
      <c r="O6938" s="1290"/>
      <c r="P6938" s="1332"/>
      <c r="Q6938" s="3391"/>
      <c r="R6938" s="2339"/>
    </row>
    <row r="6939" spans="1:18" s="16" customFormat="1">
      <c r="A6939" s="1599"/>
      <c r="B6939" s="1320"/>
      <c r="C6939" s="595"/>
      <c r="D6939" s="1373"/>
      <c r="E6939" s="2123"/>
      <c r="F6939" s="1374" t="s">
        <v>3</v>
      </c>
      <c r="G6939" s="1375"/>
      <c r="H6939" s="1376"/>
      <c r="I6939" s="1382"/>
      <c r="J6939" s="1383"/>
      <c r="K6939" s="1383"/>
      <c r="L6939" s="1413"/>
      <c r="M6939" s="1376"/>
      <c r="N6939" s="1376"/>
      <c r="O6939" s="1376"/>
      <c r="P6939" s="1373"/>
      <c r="Q6939" s="3387"/>
      <c r="R6939" s="2339"/>
    </row>
    <row r="6940" spans="1:18" s="16" customFormat="1">
      <c r="A6940" s="2053"/>
      <c r="B6940" s="1321"/>
      <c r="C6940" s="2021"/>
      <c r="D6940" s="1377"/>
      <c r="E6940" s="2124"/>
      <c r="F6940" s="1378"/>
      <c r="G6940" s="1378"/>
      <c r="H6940" s="1379"/>
      <c r="I6940" s="1299"/>
      <c r="J6940" s="1300"/>
      <c r="K6940" s="1307"/>
      <c r="L6940" s="1335"/>
      <c r="M6940" s="1302"/>
      <c r="N6940" s="1700"/>
      <c r="O6940" s="1290"/>
      <c r="P6940" s="1332"/>
      <c r="Q6940" s="3391"/>
      <c r="R6940" s="2339"/>
    </row>
    <row r="6941" spans="1:18" s="16" customFormat="1">
      <c r="A6941" s="2053"/>
      <c r="B6941" s="1321"/>
      <c r="C6941" s="2021"/>
      <c r="D6941" s="1377"/>
      <c r="E6941" s="2124"/>
      <c r="F6941" s="1478"/>
      <c r="G6941" s="1478"/>
      <c r="H6941" s="1481"/>
      <c r="I6941" s="1299"/>
      <c r="J6941" s="1300"/>
      <c r="K6941" s="1307"/>
      <c r="L6941" s="1335"/>
      <c r="M6941" s="1302"/>
      <c r="N6941" s="1700"/>
      <c r="O6941" s="1290"/>
      <c r="P6941" s="1333"/>
      <c r="Q6941" s="3391"/>
      <c r="R6941" s="2339"/>
    </row>
    <row r="6942" spans="1:18" s="16" customFormat="1">
      <c r="A6942" s="2107"/>
      <c r="B6942" s="2108"/>
      <c r="C6942" s="2109"/>
      <c r="D6942" s="1377"/>
      <c r="E6942" s="2124"/>
      <c r="F6942" s="2110"/>
      <c r="G6942" s="2110"/>
      <c r="H6942" s="2111"/>
      <c r="I6942" s="1299"/>
      <c r="J6942" s="1300"/>
      <c r="K6942" s="1307"/>
      <c r="L6942" s="1335"/>
      <c r="M6942" s="1302"/>
      <c r="N6942" s="1700"/>
      <c r="O6942" s="1290"/>
      <c r="P6942" s="1333"/>
      <c r="Q6942" s="3391"/>
      <c r="R6942" s="2339"/>
    </row>
    <row r="6943" spans="1:18" s="16" customFormat="1">
      <c r="A6943" s="18" t="s">
        <v>3764</v>
      </c>
      <c r="B6943" s="4325" t="s">
        <v>2263</v>
      </c>
      <c r="C6943" s="3350"/>
      <c r="D6943" s="4327"/>
      <c r="E6943" s="4329" t="s">
        <v>1504</v>
      </c>
      <c r="F6943" s="4336" t="s">
        <v>2264</v>
      </c>
      <c r="G6943" s="4331" t="s">
        <v>1568</v>
      </c>
      <c r="H6943" s="4331" t="s">
        <v>1574</v>
      </c>
      <c r="I6943" s="1572" t="s">
        <v>1559</v>
      </c>
      <c r="J6943" s="1294" t="s">
        <v>1560</v>
      </c>
      <c r="K6943" s="1294" t="s">
        <v>1569</v>
      </c>
      <c r="L6943" s="4333" t="s">
        <v>3765</v>
      </c>
      <c r="M6943" s="4335" t="s">
        <v>1571</v>
      </c>
      <c r="N6943" s="4323" t="s">
        <v>1776</v>
      </c>
      <c r="O6943" s="3347" t="s">
        <v>1563</v>
      </c>
      <c r="P6943" s="1336" t="s">
        <v>1562</v>
      </c>
      <c r="Q6943" s="3389"/>
      <c r="R6943" s="1699" t="s">
        <v>1327</v>
      </c>
    </row>
    <row r="6944" spans="1:18" s="16" customFormat="1">
      <c r="A6944" s="1662" t="s">
        <v>2780</v>
      </c>
      <c r="B6944" s="4326"/>
      <c r="C6944" s="3351"/>
      <c r="D6944" s="4328"/>
      <c r="E6944" s="4330"/>
      <c r="F6944" s="4336"/>
      <c r="G6944" s="4332"/>
      <c r="H6944" s="4332"/>
      <c r="I6944" s="1345">
        <v>48</v>
      </c>
      <c r="J6944" s="1307">
        <v>0.25</v>
      </c>
      <c r="K6944" s="1666">
        <f>I6944*J6944</f>
        <v>12</v>
      </c>
      <c r="L6944" s="4334"/>
      <c r="M6944" s="4335"/>
      <c r="N6944" s="4324"/>
      <c r="O6944" s="1298">
        <f>SUM(O6946:O6955)</f>
        <v>33.438099999999999</v>
      </c>
      <c r="P6944" s="1337">
        <f>O6944*K6944</f>
        <v>401.25720000000001</v>
      </c>
      <c r="Q6944" s="3390"/>
      <c r="R6944" s="1721">
        <f>SUM(P6946:P6955)</f>
        <v>401.25720000000001</v>
      </c>
    </row>
    <row r="6945" spans="1:18" s="16" customFormat="1">
      <c r="A6945" s="1599"/>
      <c r="B6945" s="1327"/>
      <c r="C6945" s="1511"/>
      <c r="D6945" s="1367"/>
      <c r="E6945" s="2121"/>
      <c r="F6945" s="1389" t="s">
        <v>1</v>
      </c>
      <c r="G6945" s="1389"/>
      <c r="H6945" s="1369"/>
      <c r="I6945" s="2088"/>
      <c r="J6945" s="1369"/>
      <c r="K6945" s="1391"/>
      <c r="L6945" s="2089"/>
      <c r="M6945" s="1369"/>
      <c r="N6945" s="1369"/>
      <c r="O6945" s="1369"/>
      <c r="P6945" s="1392"/>
      <c r="Q6945" s="3395"/>
      <c r="R6945" s="2339"/>
    </row>
    <row r="6946" spans="1:18" s="16" customFormat="1">
      <c r="A6946" s="1599"/>
      <c r="B6946" s="1320"/>
      <c r="C6946" s="595"/>
      <c r="D6946" s="1598" t="s">
        <v>1252</v>
      </c>
      <c r="E6946" s="2154" t="s">
        <v>1527</v>
      </c>
      <c r="F6946" s="1598" t="s">
        <v>2168</v>
      </c>
      <c r="G6946" s="1612">
        <v>5.05</v>
      </c>
      <c r="H6946" s="1369"/>
      <c r="I6946" s="1289"/>
      <c r="J6946" s="8"/>
      <c r="K6946" s="1307">
        <f>G6946*K6944</f>
        <v>60.599999999999994</v>
      </c>
      <c r="L6946" s="1335">
        <f t="shared" ref="L6946:L6951" si="925">K6946*$K$6899</f>
        <v>0</v>
      </c>
      <c r="M6946" s="1302">
        <v>0.16</v>
      </c>
      <c r="N6946" s="1700"/>
      <c r="O6946" s="1290">
        <f t="shared" ref="O6946:O6951" si="926">G6946*M6946</f>
        <v>0.80799999999999994</v>
      </c>
      <c r="P6946" s="1332">
        <f t="shared" ref="P6946:P6951" si="927">M6946*K6946</f>
        <v>9.6959999999999997</v>
      </c>
      <c r="Q6946" s="3391"/>
      <c r="R6946" s="2339"/>
    </row>
    <row r="6947" spans="1:18" s="16" customFormat="1">
      <c r="A6947" s="1599"/>
      <c r="B6947" s="1320"/>
      <c r="C6947" s="595"/>
      <c r="D6947" s="1598" t="s">
        <v>2265</v>
      </c>
      <c r="E6947" s="2154" t="s">
        <v>1504</v>
      </c>
      <c r="F6947" s="1598" t="s">
        <v>2266</v>
      </c>
      <c r="G6947" s="1612">
        <v>1</v>
      </c>
      <c r="H6947" s="1369"/>
      <c r="I6947" s="1289"/>
      <c r="J6947" s="8"/>
      <c r="K6947" s="1307">
        <f>G6947*K6944</f>
        <v>12</v>
      </c>
      <c r="L6947" s="1335">
        <f t="shared" si="925"/>
        <v>0</v>
      </c>
      <c r="M6947" s="1302">
        <v>2.5299999999999998</v>
      </c>
      <c r="N6947" s="1700"/>
      <c r="O6947" s="1290">
        <f t="shared" si="926"/>
        <v>2.5299999999999998</v>
      </c>
      <c r="P6947" s="1332">
        <f t="shared" si="927"/>
        <v>30.36</v>
      </c>
      <c r="Q6947" s="3391"/>
      <c r="R6947" s="2339"/>
    </row>
    <row r="6948" spans="1:18" s="16" customFormat="1">
      <c r="A6948" s="1599"/>
      <c r="B6948" s="1320"/>
      <c r="C6948" s="595"/>
      <c r="D6948" s="1598" t="s">
        <v>1256</v>
      </c>
      <c r="E6948" s="2154" t="s">
        <v>1504</v>
      </c>
      <c r="F6948" s="1598" t="s">
        <v>2247</v>
      </c>
      <c r="G6948" s="1612">
        <v>1</v>
      </c>
      <c r="H6948" s="1369"/>
      <c r="I6948" s="1289"/>
      <c r="J6948" s="8"/>
      <c r="K6948" s="1307">
        <f>G6948*K6944</f>
        <v>12</v>
      </c>
      <c r="L6948" s="1335">
        <f t="shared" si="925"/>
        <v>0</v>
      </c>
      <c r="M6948" s="1302">
        <v>0.32</v>
      </c>
      <c r="N6948" s="1700"/>
      <c r="O6948" s="1290">
        <f t="shared" si="926"/>
        <v>0.32</v>
      </c>
      <c r="P6948" s="1332">
        <f t="shared" si="927"/>
        <v>3.84</v>
      </c>
      <c r="Q6948" s="3391"/>
      <c r="R6948" s="2339"/>
    </row>
    <row r="6949" spans="1:18" s="16" customFormat="1">
      <c r="A6949" s="1599"/>
      <c r="B6949" s="1320"/>
      <c r="C6949" s="595"/>
      <c r="D6949" s="1598" t="s">
        <v>2172</v>
      </c>
      <c r="E6949" s="2154" t="s">
        <v>1527</v>
      </c>
      <c r="F6949" s="1598" t="s">
        <v>2173</v>
      </c>
      <c r="G6949" s="1612">
        <v>15</v>
      </c>
      <c r="H6949" s="1369"/>
      <c r="I6949" s="1289"/>
      <c r="J6949" s="8"/>
      <c r="K6949" s="1307">
        <f>G6949*K6944</f>
        <v>180</v>
      </c>
      <c r="L6949" s="1335">
        <f t="shared" si="925"/>
        <v>0</v>
      </c>
      <c r="M6949" s="1302">
        <v>0.67</v>
      </c>
      <c r="N6949" s="1700"/>
      <c r="O6949" s="1290">
        <f t="shared" si="926"/>
        <v>10.050000000000001</v>
      </c>
      <c r="P6949" s="1332">
        <f t="shared" si="927"/>
        <v>120.60000000000001</v>
      </c>
      <c r="Q6949" s="3391"/>
      <c r="R6949" s="2339"/>
    </row>
    <row r="6950" spans="1:18" s="16" customFormat="1">
      <c r="A6950" s="553"/>
      <c r="B6950" s="1320"/>
      <c r="C6950" s="88"/>
      <c r="D6950" s="1598" t="s">
        <v>1082</v>
      </c>
      <c r="E6950" s="2154" t="s">
        <v>1504</v>
      </c>
      <c r="F6950" s="1598" t="s">
        <v>1541</v>
      </c>
      <c r="G6950" s="1612">
        <v>0.5</v>
      </c>
      <c r="H6950" s="1674"/>
      <c r="I6950" s="1289"/>
      <c r="J6950" s="8"/>
      <c r="K6950" s="1307">
        <f>G6950*K6944</f>
        <v>6</v>
      </c>
      <c r="L6950" s="1335">
        <f t="shared" si="925"/>
        <v>0</v>
      </c>
      <c r="M6950" s="1302">
        <v>0.3</v>
      </c>
      <c r="N6950" s="1700"/>
      <c r="O6950" s="1290">
        <f t="shared" si="926"/>
        <v>0.15</v>
      </c>
      <c r="P6950" s="1332">
        <f t="shared" si="927"/>
        <v>1.7999999999999998</v>
      </c>
      <c r="Q6950" s="3391"/>
      <c r="R6950" s="2339"/>
    </row>
    <row r="6951" spans="1:18" s="16" customFormat="1">
      <c r="A6951" s="553"/>
      <c r="B6951" s="1320"/>
      <c r="C6951" s="88"/>
      <c r="D6951" s="1598" t="s">
        <v>1097</v>
      </c>
      <c r="E6951" s="2154" t="s">
        <v>1504</v>
      </c>
      <c r="F6951" s="1598" t="s">
        <v>1632</v>
      </c>
      <c r="G6951" s="1612">
        <v>0.3</v>
      </c>
      <c r="H6951" s="1674"/>
      <c r="I6951" s="1289"/>
      <c r="J6951" s="8"/>
      <c r="K6951" s="1307">
        <f>G6951*K6944</f>
        <v>3.5999999999999996</v>
      </c>
      <c r="L6951" s="1335">
        <f t="shared" si="925"/>
        <v>0</v>
      </c>
      <c r="M6951" s="1302">
        <v>0.55000000000000004</v>
      </c>
      <c r="N6951" s="1700"/>
      <c r="O6951" s="1290">
        <f t="shared" si="926"/>
        <v>0.16500000000000001</v>
      </c>
      <c r="P6951" s="1332">
        <f t="shared" si="927"/>
        <v>1.98</v>
      </c>
      <c r="Q6951" s="3391"/>
      <c r="R6951" s="2339"/>
    </row>
    <row r="6952" spans="1:18" s="16" customFormat="1">
      <c r="A6952" s="553"/>
      <c r="B6952" s="1320"/>
      <c r="C6952" s="88"/>
      <c r="D6952" s="1367"/>
      <c r="E6952" s="2121"/>
      <c r="F6952" s="1436"/>
      <c r="G6952" s="1436"/>
      <c r="H6952" s="1369"/>
      <c r="I6952" s="1289" t="str">
        <f t="shared" ref="I6952" ca="1" si="928">IF(COUNT(H6952:O6952)=0,"",(SUM(H6952:O6952)/COUNT(H6952:O6952)))</f>
        <v/>
      </c>
      <c r="J6952" s="8"/>
      <c r="K6952" s="1307"/>
      <c r="L6952" s="1335"/>
      <c r="M6952" s="1302"/>
      <c r="N6952" s="1700"/>
      <c r="O6952" s="1290"/>
      <c r="P6952" s="1332"/>
      <c r="Q6952" s="3391"/>
      <c r="R6952" s="2339"/>
    </row>
    <row r="6953" spans="1:18" s="16" customFormat="1">
      <c r="A6953" s="553"/>
      <c r="B6953" s="1320"/>
      <c r="C6953" s="88"/>
      <c r="D6953" s="1359"/>
      <c r="E6953" s="1858"/>
      <c r="F6953" s="1360" t="s">
        <v>2</v>
      </c>
      <c r="G6953" s="1360"/>
      <c r="H6953" s="1362"/>
      <c r="I6953" s="1380"/>
      <c r="J6953" s="1381"/>
      <c r="K6953" s="1381"/>
      <c r="L6953" s="1458"/>
      <c r="M6953" s="1362"/>
      <c r="N6953" s="1362"/>
      <c r="O6953" s="1362"/>
      <c r="P6953" s="1359"/>
      <c r="Q6953" s="3387"/>
      <c r="R6953" s="2339"/>
    </row>
    <row r="6954" spans="1:18" s="16" customFormat="1">
      <c r="A6954" s="1599"/>
      <c r="B6954" s="1320"/>
      <c r="D6954" s="1359" t="s">
        <v>1593</v>
      </c>
      <c r="E6954" s="1858" t="s">
        <v>1508</v>
      </c>
      <c r="F6954" s="1404" t="s">
        <v>2146</v>
      </c>
      <c r="G6954" s="1404">
        <v>0.6</v>
      </c>
      <c r="H6954" s="1359"/>
      <c r="I6954" s="1289"/>
      <c r="J6954" s="8"/>
      <c r="K6954" s="1307">
        <f>G6954*K6944</f>
        <v>7.1999999999999993</v>
      </c>
      <c r="L6954" s="1335">
        <f>K6954*$K$6899</f>
        <v>0</v>
      </c>
      <c r="M6954" s="1302">
        <v>19.23</v>
      </c>
      <c r="N6954" s="1700"/>
      <c r="O6954" s="1290">
        <f>G6954*M6954</f>
        <v>11.538</v>
      </c>
      <c r="P6954" s="1332">
        <f>M6954*K6954</f>
        <v>138.45599999999999</v>
      </c>
      <c r="Q6954" s="3391"/>
      <c r="R6954" s="2339"/>
    </row>
    <row r="6955" spans="1:18" s="16" customFormat="1">
      <c r="A6955"/>
      <c r="B6955" s="1042"/>
      <c r="C6955" s="2086" t="s">
        <v>1755</v>
      </c>
      <c r="D6955" s="1311"/>
      <c r="E6955" s="2176" t="s">
        <v>1508</v>
      </c>
      <c r="F6955" s="1648" t="s">
        <v>1524</v>
      </c>
      <c r="G6955" s="1990"/>
      <c r="H6955" s="1456">
        <v>0.21</v>
      </c>
      <c r="I6955" s="1444"/>
      <c r="J6955" s="1388"/>
      <c r="K6955" s="1445"/>
      <c r="L6955" s="1457"/>
      <c r="M6955" s="1447"/>
      <c r="N6955" s="1447">
        <f>SUM(N6956:N6957)</f>
        <v>37.510000000000005</v>
      </c>
      <c r="O6955" s="1447">
        <f>SUM(O6956:O6957)</f>
        <v>7.8770999999999995</v>
      </c>
      <c r="P6955" s="1447">
        <f>SUM(P6956:P6957)</f>
        <v>94.525200000000012</v>
      </c>
      <c r="Q6955" s="3391"/>
      <c r="R6955" s="2337"/>
    </row>
    <row r="6956" spans="1:18" s="16" customFormat="1">
      <c r="A6956"/>
      <c r="B6956" s="1042"/>
      <c r="C6956" s="19"/>
      <c r="D6956" s="1430" t="s">
        <v>1067</v>
      </c>
      <c r="E6956" s="1857" t="s">
        <v>1508</v>
      </c>
      <c r="F6956" s="1403" t="s">
        <v>5</v>
      </c>
      <c r="G6956" s="1991">
        <v>1</v>
      </c>
      <c r="H6956" s="1408">
        <f>G6956*H6955</f>
        <v>0.21</v>
      </c>
      <c r="I6956" s="1286"/>
      <c r="J6956" s="198"/>
      <c r="K6956" s="1307">
        <f>H6956*K6944</f>
        <v>2.52</v>
      </c>
      <c r="L6956" s="1335">
        <f t="shared" ref="L6956:L6957" si="929">K6956*$K$6899</f>
        <v>0</v>
      </c>
      <c r="M6956" s="1302">
        <v>18.28</v>
      </c>
      <c r="N6956" s="1718">
        <f>G6956*M6956</f>
        <v>18.28</v>
      </c>
      <c r="O6956" s="1290">
        <f>H6956*M6956</f>
        <v>3.8388</v>
      </c>
      <c r="P6956" s="1720">
        <f>M6956*K6956</f>
        <v>46.065600000000003</v>
      </c>
      <c r="Q6956" s="3396"/>
      <c r="R6956" s="2337"/>
    </row>
    <row r="6957" spans="1:18" s="16" customFormat="1">
      <c r="A6957"/>
      <c r="B6957" s="1042"/>
      <c r="C6957" s="19"/>
      <c r="D6957" s="1430" t="s">
        <v>1077</v>
      </c>
      <c r="E6957" s="1857" t="s">
        <v>1508</v>
      </c>
      <c r="F6957" s="1403" t="s">
        <v>37</v>
      </c>
      <c r="G6957" s="1991">
        <v>1</v>
      </c>
      <c r="H6957" s="1408">
        <f>G6957*H6955</f>
        <v>0.21</v>
      </c>
      <c r="I6957" s="197"/>
      <c r="J6957" s="198"/>
      <c r="K6957" s="1307">
        <f>H6957*K6944</f>
        <v>2.52</v>
      </c>
      <c r="L6957" s="1335">
        <f t="shared" si="929"/>
        <v>0</v>
      </c>
      <c r="M6957" s="1302">
        <v>19.23</v>
      </c>
      <c r="N6957" s="1718">
        <f>G6957*M6957</f>
        <v>19.23</v>
      </c>
      <c r="O6957" s="1290">
        <f>H6957*M6957</f>
        <v>4.0382999999999996</v>
      </c>
      <c r="P6957" s="1720">
        <f>M6957*K6957</f>
        <v>48.459600000000002</v>
      </c>
      <c r="Q6957" s="3396"/>
      <c r="R6957" s="2337"/>
    </row>
    <row r="6958" spans="1:18" s="16" customFormat="1">
      <c r="A6958"/>
      <c r="B6958" s="1320"/>
      <c r="D6958" s="1359"/>
      <c r="E6958" s="1858"/>
      <c r="F6958" s="1361"/>
      <c r="G6958" s="1361"/>
      <c r="H6958" s="1466"/>
      <c r="I6958" s="1289"/>
      <c r="J6958" s="8"/>
      <c r="K6958" s="1307"/>
      <c r="L6958" s="1335"/>
      <c r="M6958" s="1302"/>
      <c r="N6958" s="1700"/>
      <c r="O6958" s="1290"/>
      <c r="P6958" s="1332"/>
      <c r="Q6958" s="3391"/>
      <c r="R6958" s="1296"/>
    </row>
    <row r="6959" spans="1:18" s="16" customFormat="1">
      <c r="A6959" s="1599"/>
      <c r="B6959" s="1320"/>
      <c r="C6959" s="595"/>
      <c r="D6959" s="1359"/>
      <c r="E6959" s="1858"/>
      <c r="F6959" s="1361"/>
      <c r="G6959" s="1361"/>
      <c r="H6959" s="1466"/>
      <c r="I6959" s="1299"/>
      <c r="J6959" s="1300"/>
      <c r="K6959" s="1307"/>
      <c r="L6959" s="1335"/>
      <c r="M6959" s="1302"/>
      <c r="N6959" s="1700"/>
      <c r="O6959" s="1290"/>
      <c r="P6959" s="1332"/>
      <c r="Q6959" s="3391"/>
      <c r="R6959" s="2339"/>
    </row>
    <row r="6960" spans="1:18" s="16" customFormat="1">
      <c r="A6960" s="1599"/>
      <c r="B6960" s="1320"/>
      <c r="C6960" s="595"/>
      <c r="D6960" s="1373"/>
      <c r="E6960" s="2123"/>
      <c r="F6960" s="1374" t="s">
        <v>3</v>
      </c>
      <c r="G6960" s="1375"/>
      <c r="H6960" s="1376"/>
      <c r="I6960" s="1382"/>
      <c r="J6960" s="1383"/>
      <c r="K6960" s="1383"/>
      <c r="L6960" s="1413"/>
      <c r="M6960" s="1376"/>
      <c r="N6960" s="1376"/>
      <c r="O6960" s="1376"/>
      <c r="P6960" s="1373"/>
      <c r="Q6960" s="3387"/>
      <c r="R6960" s="2339"/>
    </row>
    <row r="6961" spans="1:18" s="16" customFormat="1">
      <c r="A6961" s="2053"/>
      <c r="B6961" s="1321"/>
      <c r="C6961" s="2021"/>
      <c r="D6961" s="1377"/>
      <c r="E6961" s="2124"/>
      <c r="F6961" s="1378"/>
      <c r="G6961" s="1378"/>
      <c r="H6961" s="1379"/>
      <c r="I6961" s="1299"/>
      <c r="J6961" s="1300"/>
      <c r="K6961" s="1307"/>
      <c r="L6961" s="1335"/>
      <c r="M6961" s="1302"/>
      <c r="N6961" s="1700"/>
      <c r="O6961" s="1290"/>
      <c r="P6961" s="1332"/>
      <c r="Q6961" s="3391"/>
      <c r="R6961" s="2339"/>
    </row>
    <row r="6962" spans="1:18" s="16" customFormat="1">
      <c r="A6962" s="2053"/>
      <c r="B6962" s="1321"/>
      <c r="C6962" s="2021"/>
      <c r="D6962" s="1377"/>
      <c r="E6962" s="2124"/>
      <c r="F6962" s="1478"/>
      <c r="G6962" s="1478"/>
      <c r="H6962" s="1481"/>
      <c r="I6962" s="1299"/>
      <c r="J6962" s="1300"/>
      <c r="K6962" s="1307"/>
      <c r="L6962" s="1335"/>
      <c r="M6962" s="1302"/>
      <c r="N6962" s="1700"/>
      <c r="O6962" s="1290"/>
      <c r="P6962" s="1333"/>
      <c r="Q6962" s="3391"/>
      <c r="R6962" s="2339"/>
    </row>
    <row r="6963" spans="1:18" s="16" customFormat="1">
      <c r="A6963" s="2107"/>
      <c r="B6963" s="2108"/>
      <c r="C6963" s="2109"/>
      <c r="D6963" s="1377"/>
      <c r="E6963" s="2124"/>
      <c r="F6963" s="2110"/>
      <c r="G6963" s="2110"/>
      <c r="H6963" s="2111"/>
      <c r="I6963" s="1299"/>
      <c r="J6963" s="1300"/>
      <c r="K6963" s="1307"/>
      <c r="L6963" s="1335"/>
      <c r="M6963" s="1302"/>
      <c r="N6963" s="1700"/>
      <c r="O6963" s="1290"/>
      <c r="P6963" s="1333"/>
      <c r="Q6963" s="3391"/>
      <c r="R6963" s="2339"/>
    </row>
    <row r="6964" spans="1:18" s="16" customFormat="1">
      <c r="A6964" s="18" t="s">
        <v>3764</v>
      </c>
      <c r="B6964" s="4325" t="s">
        <v>2267</v>
      </c>
      <c r="C6964" s="3350"/>
      <c r="D6964" s="4327"/>
      <c r="E6964" s="4329" t="s">
        <v>1504</v>
      </c>
      <c r="F6964" s="4336" t="s">
        <v>2268</v>
      </c>
      <c r="G6964" s="4331" t="s">
        <v>1568</v>
      </c>
      <c r="H6964" s="4331" t="s">
        <v>1574</v>
      </c>
      <c r="I6964" s="1572" t="s">
        <v>1559</v>
      </c>
      <c r="J6964" s="1294" t="s">
        <v>1560</v>
      </c>
      <c r="K6964" s="1294" t="s">
        <v>1569</v>
      </c>
      <c r="L6964" s="4333" t="s">
        <v>3765</v>
      </c>
      <c r="M6964" s="4335" t="s">
        <v>1571</v>
      </c>
      <c r="N6964" s="4323" t="s">
        <v>1776</v>
      </c>
      <c r="O6964" s="3347" t="s">
        <v>1563</v>
      </c>
      <c r="P6964" s="1336" t="s">
        <v>1562</v>
      </c>
      <c r="Q6964" s="3389"/>
      <c r="R6964" s="1699" t="s">
        <v>1327</v>
      </c>
    </row>
    <row r="6965" spans="1:18" s="16" customFormat="1">
      <c r="A6965" s="1662" t="s">
        <v>2780</v>
      </c>
      <c r="B6965" s="4326"/>
      <c r="C6965" s="3351"/>
      <c r="D6965" s="4328"/>
      <c r="E6965" s="4330"/>
      <c r="F6965" s="4336"/>
      <c r="G6965" s="4332"/>
      <c r="H6965" s="4332"/>
      <c r="I6965" s="1345">
        <v>8</v>
      </c>
      <c r="J6965" s="1307">
        <v>0.25</v>
      </c>
      <c r="K6965" s="1666">
        <f>I6965*J6965</f>
        <v>2</v>
      </c>
      <c r="L6965" s="4334"/>
      <c r="M6965" s="4335"/>
      <c r="N6965" s="4324"/>
      <c r="O6965" s="1298">
        <f>SUM(O6967:O6976)</f>
        <v>39.980599999999995</v>
      </c>
      <c r="P6965" s="1337">
        <f>O6965*K6965</f>
        <v>79.961199999999991</v>
      </c>
      <c r="Q6965" s="3390"/>
      <c r="R6965" s="1721">
        <f>SUM(P6967:P6976)</f>
        <v>79.961199999999991</v>
      </c>
    </row>
    <row r="6966" spans="1:18" s="16" customFormat="1">
      <c r="A6966" s="1599"/>
      <c r="B6966" s="1327"/>
      <c r="C6966" s="1511"/>
      <c r="D6966" s="1367"/>
      <c r="E6966" s="2121"/>
      <c r="F6966" s="1389" t="s">
        <v>1</v>
      </c>
      <c r="G6966" s="1389"/>
      <c r="H6966" s="1369"/>
      <c r="I6966" s="2088"/>
      <c r="J6966" s="1369"/>
      <c r="K6966" s="1391"/>
      <c r="L6966" s="2089"/>
      <c r="M6966" s="1369"/>
      <c r="N6966" s="1369"/>
      <c r="O6966" s="1369"/>
      <c r="P6966" s="1392"/>
      <c r="Q6966" s="3395"/>
      <c r="R6966" s="2339"/>
    </row>
    <row r="6967" spans="1:18" s="16" customFormat="1">
      <c r="A6967" s="1599"/>
      <c r="B6967" s="1320"/>
      <c r="C6967" s="595"/>
      <c r="D6967" s="1598" t="s">
        <v>2176</v>
      </c>
      <c r="E6967" s="2154" t="s">
        <v>1527</v>
      </c>
      <c r="F6967" s="1598" t="s">
        <v>2177</v>
      </c>
      <c r="G6967" s="1612">
        <v>5.05</v>
      </c>
      <c r="H6967" s="1369"/>
      <c r="I6967" s="1289"/>
      <c r="J6967" s="8"/>
      <c r="K6967" s="1307">
        <f>G6967*K6965</f>
        <v>10.1</v>
      </c>
      <c r="L6967" s="1335">
        <f t="shared" ref="L6967:L6972" si="930">K6967*$K$6899</f>
        <v>0</v>
      </c>
      <c r="M6967" s="1602">
        <v>0.21</v>
      </c>
      <c r="N6967" s="1700"/>
      <c r="O6967" s="1290">
        <f t="shared" ref="O6967:O6972" si="931">G6967*M6967</f>
        <v>1.0605</v>
      </c>
      <c r="P6967" s="1332">
        <f t="shared" ref="P6967:P6972" si="932">M6967*K6967</f>
        <v>2.121</v>
      </c>
      <c r="Q6967" s="3391"/>
      <c r="R6967" s="2339"/>
    </row>
    <row r="6968" spans="1:18" s="16" customFormat="1">
      <c r="A6968" s="1599"/>
      <c r="B6968" s="1320"/>
      <c r="C6968" s="595"/>
      <c r="D6968" s="1598" t="s">
        <v>1256</v>
      </c>
      <c r="E6968" s="2154" t="s">
        <v>1504</v>
      </c>
      <c r="F6968" s="1598" t="s">
        <v>2247</v>
      </c>
      <c r="G6968" s="1612">
        <v>1</v>
      </c>
      <c r="H6968" s="1369"/>
      <c r="I6968" s="1289"/>
      <c r="J6968" s="8"/>
      <c r="K6968" s="1307">
        <f>G6968*K6965</f>
        <v>2</v>
      </c>
      <c r="L6968" s="1335">
        <f t="shared" si="930"/>
        <v>0</v>
      </c>
      <c r="M6968" s="1602">
        <v>0.32</v>
      </c>
      <c r="N6968" s="1700"/>
      <c r="O6968" s="1290">
        <f t="shared" si="931"/>
        <v>0.32</v>
      </c>
      <c r="P6968" s="1332">
        <f t="shared" si="932"/>
        <v>0.64</v>
      </c>
      <c r="Q6968" s="3391"/>
      <c r="R6968" s="2339"/>
    </row>
    <row r="6969" spans="1:18" s="16" customFormat="1">
      <c r="A6969" s="1599"/>
      <c r="B6969" s="1320"/>
      <c r="C6969" s="595"/>
      <c r="D6969" s="1598" t="s">
        <v>2178</v>
      </c>
      <c r="E6969" s="2154" t="s">
        <v>1527</v>
      </c>
      <c r="F6969" s="1598" t="s">
        <v>2179</v>
      </c>
      <c r="G6969" s="1612">
        <v>15</v>
      </c>
      <c r="H6969" s="1369"/>
      <c r="I6969" s="1289"/>
      <c r="J6969" s="8"/>
      <c r="K6969" s="1307">
        <f>G6969*K6965</f>
        <v>30</v>
      </c>
      <c r="L6969" s="1335">
        <f t="shared" si="930"/>
        <v>0</v>
      </c>
      <c r="M6969" s="1602">
        <v>1.03</v>
      </c>
      <c r="N6969" s="1700"/>
      <c r="O6969" s="1290">
        <f t="shared" si="931"/>
        <v>15.450000000000001</v>
      </c>
      <c r="P6969" s="1332">
        <f t="shared" si="932"/>
        <v>30.900000000000002</v>
      </c>
      <c r="Q6969" s="3391"/>
      <c r="R6969" s="2339"/>
    </row>
    <row r="6970" spans="1:18" s="16" customFormat="1">
      <c r="A6970" s="1599"/>
      <c r="B6970" s="1320"/>
      <c r="C6970" s="595"/>
      <c r="D6970" s="1598" t="s">
        <v>2269</v>
      </c>
      <c r="E6970" s="2154" t="s">
        <v>1504</v>
      </c>
      <c r="F6970" s="1598" t="s">
        <v>2270</v>
      </c>
      <c r="G6970" s="1612">
        <v>1</v>
      </c>
      <c r="H6970" s="1369"/>
      <c r="I6970" s="1289"/>
      <c r="J6970" s="8"/>
      <c r="K6970" s="1307">
        <f>G6970*K6965</f>
        <v>2</v>
      </c>
      <c r="L6970" s="1335">
        <f t="shared" si="930"/>
        <v>0</v>
      </c>
      <c r="M6970" s="1602">
        <v>3.42</v>
      </c>
      <c r="N6970" s="1700"/>
      <c r="O6970" s="1290">
        <f t="shared" si="931"/>
        <v>3.42</v>
      </c>
      <c r="P6970" s="1332">
        <f t="shared" si="932"/>
        <v>6.84</v>
      </c>
      <c r="Q6970" s="3391"/>
      <c r="R6970" s="2339"/>
    </row>
    <row r="6971" spans="1:18" s="16" customFormat="1">
      <c r="A6971" s="553"/>
      <c r="B6971" s="1320"/>
      <c r="C6971" s="88"/>
      <c r="D6971" s="1598" t="s">
        <v>1082</v>
      </c>
      <c r="E6971" s="2154" t="s">
        <v>1504</v>
      </c>
      <c r="F6971" s="1598" t="s">
        <v>1541</v>
      </c>
      <c r="G6971" s="1612">
        <v>0.5</v>
      </c>
      <c r="H6971" s="1674"/>
      <c r="I6971" s="1289"/>
      <c r="J6971" s="8"/>
      <c r="K6971" s="1307">
        <f>G6971*K6965</f>
        <v>1</v>
      </c>
      <c r="L6971" s="1335">
        <f t="shared" si="930"/>
        <v>0</v>
      </c>
      <c r="M6971" s="1302">
        <v>0.3</v>
      </c>
      <c r="N6971" s="1700"/>
      <c r="O6971" s="1290">
        <f t="shared" si="931"/>
        <v>0.15</v>
      </c>
      <c r="P6971" s="1332">
        <f t="shared" si="932"/>
        <v>0.3</v>
      </c>
      <c r="Q6971" s="3391"/>
      <c r="R6971" s="2339"/>
    </row>
    <row r="6972" spans="1:18" s="16" customFormat="1">
      <c r="A6972" s="553"/>
      <c r="B6972" s="1320"/>
      <c r="C6972" s="88"/>
      <c r="D6972" s="1598" t="s">
        <v>1097</v>
      </c>
      <c r="E6972" s="2154" t="s">
        <v>1504</v>
      </c>
      <c r="F6972" s="1598" t="s">
        <v>1632</v>
      </c>
      <c r="G6972" s="1612">
        <v>0.3</v>
      </c>
      <c r="H6972" s="1674"/>
      <c r="I6972" s="1289"/>
      <c r="J6972" s="8"/>
      <c r="K6972" s="1307">
        <f>G6972*K6965</f>
        <v>0.6</v>
      </c>
      <c r="L6972" s="1335">
        <f t="shared" si="930"/>
        <v>0</v>
      </c>
      <c r="M6972" s="1302">
        <v>0.55000000000000004</v>
      </c>
      <c r="N6972" s="1700"/>
      <c r="O6972" s="1290">
        <f t="shared" si="931"/>
        <v>0.16500000000000001</v>
      </c>
      <c r="P6972" s="1332">
        <f t="shared" si="932"/>
        <v>0.33</v>
      </c>
      <c r="Q6972" s="3391"/>
      <c r="R6972" s="2339"/>
    </row>
    <row r="6973" spans="1:18" s="16" customFormat="1">
      <c r="A6973" s="553"/>
      <c r="B6973" s="1320"/>
      <c r="C6973" s="88"/>
      <c r="D6973" s="1367"/>
      <c r="E6973" s="2121"/>
      <c r="F6973" s="1436"/>
      <c r="G6973" s="1436"/>
      <c r="H6973" s="1369"/>
      <c r="I6973" s="1289" t="str">
        <f t="shared" ref="I6973" ca="1" si="933">IF(COUNT(H6973:O6973)=0,"",(SUM(H6973:O6973)/COUNT(H6973:O6973)))</f>
        <v/>
      </c>
      <c r="J6973" s="8"/>
      <c r="K6973" s="1307"/>
      <c r="L6973" s="1335"/>
      <c r="M6973" s="1302"/>
      <c r="N6973" s="1700"/>
      <c r="O6973" s="1290"/>
      <c r="P6973" s="1332"/>
      <c r="Q6973" s="3391"/>
      <c r="R6973" s="2339"/>
    </row>
    <row r="6974" spans="1:18" s="16" customFormat="1">
      <c r="A6974" s="553"/>
      <c r="B6974" s="1320"/>
      <c r="C6974" s="88"/>
      <c r="D6974" s="1359"/>
      <c r="E6974" s="1858"/>
      <c r="F6974" s="1360" t="s">
        <v>2</v>
      </c>
      <c r="G6974" s="1360"/>
      <c r="H6974" s="1362"/>
      <c r="I6974" s="1380"/>
      <c r="J6974" s="1381"/>
      <c r="K6974" s="1381"/>
      <c r="L6974" s="1458"/>
      <c r="M6974" s="1362"/>
      <c r="N6974" s="1362"/>
      <c r="O6974" s="1362"/>
      <c r="P6974" s="1359"/>
      <c r="Q6974" s="3387"/>
      <c r="R6974" s="2339"/>
    </row>
    <row r="6975" spans="1:18" s="16" customFormat="1">
      <c r="A6975" s="1599"/>
      <c r="B6975" s="1320"/>
      <c r="D6975" s="1359" t="s">
        <v>1593</v>
      </c>
      <c r="E6975" s="1858" t="s">
        <v>1508</v>
      </c>
      <c r="F6975" s="1404" t="s">
        <v>2146</v>
      </c>
      <c r="G6975" s="1404">
        <v>0.6</v>
      </c>
      <c r="H6975" s="1359"/>
      <c r="I6975" s="1289"/>
      <c r="J6975" s="8"/>
      <c r="K6975" s="1307">
        <f>G6975*K6965</f>
        <v>1.2</v>
      </c>
      <c r="L6975" s="1335">
        <f>K6975*$K$6899</f>
        <v>0</v>
      </c>
      <c r="M6975" s="1302">
        <v>19.23</v>
      </c>
      <c r="N6975" s="1700"/>
      <c r="O6975" s="1290">
        <f>G6975*M6975</f>
        <v>11.538</v>
      </c>
      <c r="P6975" s="1332">
        <f>M6975*K6975</f>
        <v>23.076000000000001</v>
      </c>
      <c r="Q6975" s="3391"/>
      <c r="R6975" s="2339"/>
    </row>
    <row r="6976" spans="1:18" s="16" customFormat="1">
      <c r="A6976"/>
      <c r="B6976" s="1042"/>
      <c r="C6976" s="2086" t="s">
        <v>1755</v>
      </c>
      <c r="D6976" s="1311"/>
      <c r="E6976" s="2176" t="s">
        <v>1508</v>
      </c>
      <c r="F6976" s="1648" t="s">
        <v>1524</v>
      </c>
      <c r="G6976" s="1990"/>
      <c r="H6976" s="1456">
        <v>0.21</v>
      </c>
      <c r="I6976" s="1444"/>
      <c r="J6976" s="1388"/>
      <c r="K6976" s="1445"/>
      <c r="L6976" s="1457"/>
      <c r="M6976" s="1447"/>
      <c r="N6976" s="1447">
        <f>SUM(N6977:N6978)</f>
        <v>37.510000000000005</v>
      </c>
      <c r="O6976" s="1447">
        <f>SUM(O6977:O6978)</f>
        <v>7.8770999999999995</v>
      </c>
      <c r="P6976" s="1447">
        <f>SUM(P6977:P6978)</f>
        <v>15.754199999999999</v>
      </c>
      <c r="Q6976" s="3391"/>
      <c r="R6976" s="2337"/>
    </row>
    <row r="6977" spans="1:18" s="16" customFormat="1">
      <c r="A6977"/>
      <c r="B6977" s="1042"/>
      <c r="C6977" s="19"/>
      <c r="D6977" s="1430" t="s">
        <v>1067</v>
      </c>
      <c r="E6977" s="1857" t="s">
        <v>1508</v>
      </c>
      <c r="F6977" s="1403" t="s">
        <v>5</v>
      </c>
      <c r="G6977" s="1991">
        <v>1</v>
      </c>
      <c r="H6977" s="1408">
        <f>G6977*H6976</f>
        <v>0.21</v>
      </c>
      <c r="I6977" s="1286"/>
      <c r="J6977" s="198"/>
      <c r="K6977" s="1307">
        <f>H6977*K6965</f>
        <v>0.42</v>
      </c>
      <c r="L6977" s="1335">
        <f t="shared" ref="L6977:L6978" si="934">K6977*$K$6899</f>
        <v>0</v>
      </c>
      <c r="M6977" s="1302">
        <v>18.28</v>
      </c>
      <c r="N6977" s="1718">
        <f>G6977*M6977</f>
        <v>18.28</v>
      </c>
      <c r="O6977" s="1290">
        <f>H6977*M6977</f>
        <v>3.8388</v>
      </c>
      <c r="P6977" s="1720">
        <f>M6977*K6977</f>
        <v>7.6776</v>
      </c>
      <c r="Q6977" s="3396"/>
      <c r="R6977" s="2337"/>
    </row>
    <row r="6978" spans="1:18" s="16" customFormat="1">
      <c r="A6978"/>
      <c r="B6978" s="1042"/>
      <c r="C6978" s="19"/>
      <c r="D6978" s="1430" t="s">
        <v>1077</v>
      </c>
      <c r="E6978" s="1857" t="s">
        <v>1508</v>
      </c>
      <c r="F6978" s="1403" t="s">
        <v>37</v>
      </c>
      <c r="G6978" s="1991">
        <v>1</v>
      </c>
      <c r="H6978" s="1408">
        <f>G6978*H6976</f>
        <v>0.21</v>
      </c>
      <c r="I6978" s="197"/>
      <c r="J6978" s="198"/>
      <c r="K6978" s="1307">
        <f>H6978*K6965</f>
        <v>0.42</v>
      </c>
      <c r="L6978" s="1335">
        <f t="shared" si="934"/>
        <v>0</v>
      </c>
      <c r="M6978" s="1302">
        <v>19.23</v>
      </c>
      <c r="N6978" s="1718">
        <f>G6978*M6978</f>
        <v>19.23</v>
      </c>
      <c r="O6978" s="1290">
        <f>H6978*M6978</f>
        <v>4.0382999999999996</v>
      </c>
      <c r="P6978" s="1720">
        <f>M6978*K6978</f>
        <v>8.0765999999999991</v>
      </c>
      <c r="Q6978" s="3396"/>
      <c r="R6978" s="2337"/>
    </row>
    <row r="6979" spans="1:18" s="16" customFormat="1">
      <c r="A6979"/>
      <c r="B6979" s="1320"/>
      <c r="D6979" s="1359"/>
      <c r="E6979" s="1858"/>
      <c r="F6979" s="1361"/>
      <c r="G6979" s="1361"/>
      <c r="H6979" s="1466"/>
      <c r="I6979" s="1289"/>
      <c r="J6979" s="8"/>
      <c r="K6979" s="1307"/>
      <c r="L6979" s="1335"/>
      <c r="M6979" s="1302"/>
      <c r="N6979" s="1700"/>
      <c r="O6979" s="1290"/>
      <c r="P6979" s="1332"/>
      <c r="Q6979" s="3391"/>
      <c r="R6979" s="1296"/>
    </row>
    <row r="6980" spans="1:18" s="16" customFormat="1">
      <c r="A6980" s="1599"/>
      <c r="B6980" s="1320"/>
      <c r="C6980" s="595"/>
      <c r="D6980" s="1359"/>
      <c r="E6980" s="1858"/>
      <c r="F6980" s="1361"/>
      <c r="G6980" s="1361"/>
      <c r="H6980" s="1466"/>
      <c r="I6980" s="1299"/>
      <c r="J6980" s="1300"/>
      <c r="K6980" s="1307"/>
      <c r="L6980" s="1335"/>
      <c r="M6980" s="1302"/>
      <c r="N6980" s="1700"/>
      <c r="O6980" s="1290"/>
      <c r="P6980" s="1332"/>
      <c r="Q6980" s="3391"/>
      <c r="R6980" s="2339"/>
    </row>
    <row r="6981" spans="1:18" s="16" customFormat="1">
      <c r="A6981" s="1599"/>
      <c r="B6981" s="1320"/>
      <c r="C6981" s="595"/>
      <c r="D6981" s="1373"/>
      <c r="E6981" s="2123"/>
      <c r="F6981" s="1374" t="s">
        <v>3</v>
      </c>
      <c r="G6981" s="1375"/>
      <c r="H6981" s="1376"/>
      <c r="I6981" s="1382"/>
      <c r="J6981" s="1383"/>
      <c r="K6981" s="1383"/>
      <c r="L6981" s="1413"/>
      <c r="M6981" s="1376"/>
      <c r="N6981" s="1376"/>
      <c r="O6981" s="1376"/>
      <c r="P6981" s="1373"/>
      <c r="Q6981" s="3387"/>
      <c r="R6981" s="2339"/>
    </row>
    <row r="6982" spans="1:18" s="16" customFormat="1">
      <c r="A6982" s="2053"/>
      <c r="B6982" s="1321"/>
      <c r="C6982" s="2021"/>
      <c r="D6982" s="1377"/>
      <c r="E6982" s="2124"/>
      <c r="F6982" s="1378"/>
      <c r="G6982" s="1378"/>
      <c r="H6982" s="1379"/>
      <c r="I6982" s="1299"/>
      <c r="J6982" s="1300"/>
      <c r="K6982" s="1307"/>
      <c r="L6982" s="1335"/>
      <c r="M6982" s="1302"/>
      <c r="N6982" s="1700"/>
      <c r="O6982" s="1290"/>
      <c r="P6982" s="1332"/>
      <c r="Q6982" s="3391"/>
      <c r="R6982" s="2339"/>
    </row>
    <row r="6983" spans="1:18" s="16" customFormat="1">
      <c r="A6983" s="2053"/>
      <c r="B6983" s="1321"/>
      <c r="C6983" s="2021"/>
      <c r="D6983" s="1377"/>
      <c r="E6983" s="2124"/>
      <c r="F6983" s="1478"/>
      <c r="G6983" s="1478"/>
      <c r="H6983" s="1481"/>
      <c r="I6983" s="1299"/>
      <c r="J6983" s="1300"/>
      <c r="K6983" s="1307"/>
      <c r="L6983" s="1335"/>
      <c r="M6983" s="1302"/>
      <c r="N6983" s="1700"/>
      <c r="O6983" s="1290"/>
      <c r="P6983" s="1333"/>
      <c r="Q6983" s="3391"/>
      <c r="R6983" s="2339"/>
    </row>
    <row r="6984" spans="1:18" s="16" customFormat="1">
      <c r="A6984" s="2107"/>
      <c r="B6984" s="2108"/>
      <c r="C6984" s="2109"/>
      <c r="D6984" s="1377"/>
      <c r="E6984" s="2124"/>
      <c r="F6984" s="2110"/>
      <c r="G6984" s="2110"/>
      <c r="H6984" s="2111"/>
      <c r="I6984" s="1299"/>
      <c r="J6984" s="1300"/>
      <c r="K6984" s="1307"/>
      <c r="L6984" s="1335"/>
      <c r="M6984" s="1302"/>
      <c r="N6984" s="1700"/>
      <c r="O6984" s="1290"/>
      <c r="P6984" s="1333"/>
      <c r="Q6984" s="3391"/>
      <c r="R6984" s="2339"/>
    </row>
    <row r="6985" spans="1:18" s="16" customFormat="1">
      <c r="A6985" s="18" t="s">
        <v>3764</v>
      </c>
      <c r="B6985" s="4325" t="s">
        <v>2271</v>
      </c>
      <c r="C6985" s="3350"/>
      <c r="D6985" s="4327"/>
      <c r="E6985" s="4329" t="s">
        <v>1504</v>
      </c>
      <c r="F6985" s="4336" t="s">
        <v>2272</v>
      </c>
      <c r="G6985" s="4331" t="s">
        <v>1568</v>
      </c>
      <c r="H6985" s="4331" t="s">
        <v>1574</v>
      </c>
      <c r="I6985" s="1572" t="s">
        <v>1559</v>
      </c>
      <c r="J6985" s="1294" t="s">
        <v>1560</v>
      </c>
      <c r="K6985" s="1294" t="s">
        <v>1569</v>
      </c>
      <c r="L6985" s="4333" t="s">
        <v>3765</v>
      </c>
      <c r="M6985" s="4335" t="s">
        <v>1571</v>
      </c>
      <c r="N6985" s="4323" t="s">
        <v>1776</v>
      </c>
      <c r="O6985" s="3347" t="s">
        <v>1563</v>
      </c>
      <c r="P6985" s="1336" t="s">
        <v>1562</v>
      </c>
      <c r="Q6985" s="3389"/>
      <c r="R6985" s="1699" t="s">
        <v>1327</v>
      </c>
    </row>
    <row r="6986" spans="1:18" s="16" customFormat="1">
      <c r="A6986" s="1662" t="s">
        <v>2780</v>
      </c>
      <c r="B6986" s="4326"/>
      <c r="C6986" s="3351"/>
      <c r="D6986" s="4328"/>
      <c r="E6986" s="4330"/>
      <c r="F6986" s="4336"/>
      <c r="G6986" s="4332"/>
      <c r="H6986" s="4332"/>
      <c r="I6986" s="1345">
        <v>4</v>
      </c>
      <c r="J6986" s="1307">
        <v>0.25</v>
      </c>
      <c r="K6986" s="1666">
        <f>I6986*J6986</f>
        <v>1</v>
      </c>
      <c r="L6986" s="4334"/>
      <c r="M6986" s="4335"/>
      <c r="N6986" s="4324"/>
      <c r="O6986" s="1298">
        <f>SUM(O6988:O6997)</f>
        <v>48.135599999999997</v>
      </c>
      <c r="P6986" s="1337">
        <f>O6986*K6986</f>
        <v>48.135599999999997</v>
      </c>
      <c r="Q6986" s="3390"/>
      <c r="R6986" s="1721">
        <f>SUM(P6988:P6997)</f>
        <v>48.135599999999997</v>
      </c>
    </row>
    <row r="6987" spans="1:18" s="16" customFormat="1">
      <c r="A6987" s="1599"/>
      <c r="B6987" s="1327"/>
      <c r="C6987" s="1511"/>
      <c r="D6987" s="1367"/>
      <c r="E6987" s="2121"/>
      <c r="F6987" s="1389" t="s">
        <v>1</v>
      </c>
      <c r="G6987" s="1389"/>
      <c r="H6987" s="1369"/>
      <c r="I6987" s="2088"/>
      <c r="J6987" s="1369"/>
      <c r="K6987" s="1391"/>
      <c r="L6987" s="2089"/>
      <c r="M6987" s="1369"/>
      <c r="N6987" s="1369"/>
      <c r="O6987" s="1369"/>
      <c r="P6987" s="1392"/>
      <c r="Q6987" s="3395"/>
      <c r="R6987" s="2339"/>
    </row>
    <row r="6988" spans="1:18" s="16" customFormat="1">
      <c r="A6988" s="1599"/>
      <c r="B6988" s="1320"/>
      <c r="C6988" s="595"/>
      <c r="D6988" s="1598" t="s">
        <v>2182</v>
      </c>
      <c r="E6988" s="2154" t="s">
        <v>1527</v>
      </c>
      <c r="F6988" s="1598" t="s">
        <v>2183</v>
      </c>
      <c r="G6988" s="1612">
        <v>5.05</v>
      </c>
      <c r="H6988" s="1369"/>
      <c r="I6988" s="1289"/>
      <c r="J6988" s="8"/>
      <c r="K6988" s="1307">
        <f>G6988*K6986</f>
        <v>5.05</v>
      </c>
      <c r="L6988" s="1335">
        <f t="shared" ref="L6988:L6993" si="935">K6988*$K$6899</f>
        <v>0</v>
      </c>
      <c r="M6988" s="1302">
        <v>0.31</v>
      </c>
      <c r="N6988" s="1700"/>
      <c r="O6988" s="1290">
        <f t="shared" ref="O6988:O6993" si="936">G6988*M6988</f>
        <v>1.5654999999999999</v>
      </c>
      <c r="P6988" s="1332">
        <f t="shared" ref="P6988:P6993" si="937">M6988*K6988</f>
        <v>1.5654999999999999</v>
      </c>
      <c r="Q6988" s="3391"/>
      <c r="R6988" s="2339"/>
    </row>
    <row r="6989" spans="1:18" s="16" customFormat="1">
      <c r="A6989" s="1599"/>
      <c r="B6989" s="1320"/>
      <c r="C6989" s="595"/>
      <c r="D6989" s="1598" t="s">
        <v>1256</v>
      </c>
      <c r="E6989" s="2154" t="s">
        <v>1504</v>
      </c>
      <c r="F6989" s="1598" t="s">
        <v>2247</v>
      </c>
      <c r="G6989" s="1612">
        <v>1</v>
      </c>
      <c r="H6989" s="1369"/>
      <c r="I6989" s="1289"/>
      <c r="J6989" s="8"/>
      <c r="K6989" s="1307">
        <f>G6989*K6986</f>
        <v>1</v>
      </c>
      <c r="L6989" s="1335">
        <f t="shared" si="935"/>
        <v>0</v>
      </c>
      <c r="M6989" s="1302">
        <v>0.32</v>
      </c>
      <c r="N6989" s="1700"/>
      <c r="O6989" s="1290">
        <f t="shared" si="936"/>
        <v>0.32</v>
      </c>
      <c r="P6989" s="1332">
        <f t="shared" si="937"/>
        <v>0.32</v>
      </c>
      <c r="Q6989" s="3391"/>
      <c r="R6989" s="2339"/>
    </row>
    <row r="6990" spans="1:18" s="16" customFormat="1">
      <c r="A6990" s="1599"/>
      <c r="B6990" s="1320"/>
      <c r="C6990" s="595"/>
      <c r="D6990" s="1598" t="s">
        <v>2184</v>
      </c>
      <c r="E6990" s="2154" t="s">
        <v>1527</v>
      </c>
      <c r="F6990" s="1598" t="s">
        <v>2185</v>
      </c>
      <c r="G6990" s="1612">
        <v>15</v>
      </c>
      <c r="H6990" s="1369"/>
      <c r="I6990" s="1289"/>
      <c r="J6990" s="8"/>
      <c r="K6990" s="1307">
        <f>G6990*K6986</f>
        <v>15</v>
      </c>
      <c r="L6990" s="1335">
        <f t="shared" si="935"/>
        <v>0</v>
      </c>
      <c r="M6990" s="1302">
        <v>1.54</v>
      </c>
      <c r="N6990" s="1700"/>
      <c r="O6990" s="1290">
        <f t="shared" si="936"/>
        <v>23.1</v>
      </c>
      <c r="P6990" s="1332">
        <f t="shared" si="937"/>
        <v>23.1</v>
      </c>
      <c r="Q6990" s="3391"/>
      <c r="R6990" s="2339"/>
    </row>
    <row r="6991" spans="1:18" s="16" customFormat="1">
      <c r="A6991" s="1599"/>
      <c r="B6991" s="1320"/>
      <c r="C6991" s="595"/>
      <c r="D6991" s="1598" t="s">
        <v>2269</v>
      </c>
      <c r="E6991" s="2154" t="s">
        <v>1504</v>
      </c>
      <c r="F6991" s="1598" t="s">
        <v>2270</v>
      </c>
      <c r="G6991" s="1612">
        <v>1</v>
      </c>
      <c r="H6991" s="1369"/>
      <c r="I6991" s="1289"/>
      <c r="J6991" s="8"/>
      <c r="K6991" s="1307">
        <f>G6991*K6986</f>
        <v>1</v>
      </c>
      <c r="L6991" s="1335">
        <f t="shared" si="935"/>
        <v>0</v>
      </c>
      <c r="M6991" s="1302">
        <v>3.42</v>
      </c>
      <c r="N6991" s="1700"/>
      <c r="O6991" s="1290">
        <f t="shared" si="936"/>
        <v>3.42</v>
      </c>
      <c r="P6991" s="1332">
        <f t="shared" si="937"/>
        <v>3.42</v>
      </c>
      <c r="Q6991" s="3391"/>
      <c r="R6991" s="2339"/>
    </row>
    <row r="6992" spans="1:18" s="16" customFormat="1">
      <c r="A6992" s="553"/>
      <c r="B6992" s="1320"/>
      <c r="C6992" s="88"/>
      <c r="D6992" s="1598" t="s">
        <v>1082</v>
      </c>
      <c r="E6992" s="2154" t="s">
        <v>1504</v>
      </c>
      <c r="F6992" s="1598" t="s">
        <v>1541</v>
      </c>
      <c r="G6992" s="1612">
        <v>0.5</v>
      </c>
      <c r="H6992" s="1674"/>
      <c r="I6992" s="1289"/>
      <c r="J6992" s="8"/>
      <c r="K6992" s="1307">
        <f>G6992*K6986</f>
        <v>0.5</v>
      </c>
      <c r="L6992" s="1335">
        <f t="shared" si="935"/>
        <v>0</v>
      </c>
      <c r="M6992" s="1302">
        <v>0.3</v>
      </c>
      <c r="N6992" s="1700"/>
      <c r="O6992" s="1290">
        <f t="shared" si="936"/>
        <v>0.15</v>
      </c>
      <c r="P6992" s="1332">
        <f t="shared" si="937"/>
        <v>0.15</v>
      </c>
      <c r="Q6992" s="3391"/>
      <c r="R6992" s="2339"/>
    </row>
    <row r="6993" spans="1:18" s="16" customFormat="1">
      <c r="A6993" s="553"/>
      <c r="B6993" s="1320"/>
      <c r="C6993" s="88"/>
      <c r="D6993" s="1598" t="s">
        <v>1097</v>
      </c>
      <c r="E6993" s="2154" t="s">
        <v>1504</v>
      </c>
      <c r="F6993" s="1598" t="s">
        <v>1632</v>
      </c>
      <c r="G6993" s="1612">
        <v>0.3</v>
      </c>
      <c r="H6993" s="1674"/>
      <c r="I6993" s="1289"/>
      <c r="J6993" s="8"/>
      <c r="K6993" s="1307">
        <f>G6993*K6986</f>
        <v>0.3</v>
      </c>
      <c r="L6993" s="1335">
        <f t="shared" si="935"/>
        <v>0</v>
      </c>
      <c r="M6993" s="1302">
        <v>0.55000000000000004</v>
      </c>
      <c r="N6993" s="1700"/>
      <c r="O6993" s="1290">
        <f t="shared" si="936"/>
        <v>0.16500000000000001</v>
      </c>
      <c r="P6993" s="1332">
        <f t="shared" si="937"/>
        <v>0.16500000000000001</v>
      </c>
      <c r="Q6993" s="3391"/>
      <c r="R6993" s="2339"/>
    </row>
    <row r="6994" spans="1:18" s="16" customFormat="1">
      <c r="A6994" s="553"/>
      <c r="B6994" s="1320"/>
      <c r="C6994" s="88"/>
      <c r="D6994" s="1367"/>
      <c r="E6994" s="2121"/>
      <c r="F6994" s="1436"/>
      <c r="G6994" s="1436"/>
      <c r="H6994" s="1369"/>
      <c r="I6994" s="1289"/>
      <c r="J6994" s="8"/>
      <c r="K6994" s="1307"/>
      <c r="L6994" s="1335"/>
      <c r="M6994" s="1302"/>
      <c r="N6994" s="1700"/>
      <c r="O6994" s="1290"/>
      <c r="P6994" s="1332"/>
      <c r="Q6994" s="3391"/>
      <c r="R6994" s="2339"/>
    </row>
    <row r="6995" spans="1:18" s="16" customFormat="1">
      <c r="A6995" s="553"/>
      <c r="B6995" s="1320"/>
      <c r="C6995" s="88"/>
      <c r="D6995" s="1359"/>
      <c r="E6995" s="1858"/>
      <c r="F6995" s="1360" t="s">
        <v>2</v>
      </c>
      <c r="G6995" s="1360"/>
      <c r="H6995" s="1362"/>
      <c r="I6995" s="1380"/>
      <c r="J6995" s="1381"/>
      <c r="K6995" s="1381"/>
      <c r="L6995" s="1458"/>
      <c r="M6995" s="1362"/>
      <c r="N6995" s="1362"/>
      <c r="O6995" s="1362"/>
      <c r="P6995" s="1359"/>
      <c r="Q6995" s="3387"/>
      <c r="R6995" s="2339"/>
    </row>
    <row r="6996" spans="1:18" s="16" customFormat="1">
      <c r="A6996" s="1599"/>
      <c r="B6996" s="1320"/>
      <c r="D6996" s="1359" t="s">
        <v>1593</v>
      </c>
      <c r="E6996" s="1858" t="s">
        <v>1508</v>
      </c>
      <c r="F6996" s="1404" t="s">
        <v>2146</v>
      </c>
      <c r="G6996" s="1404">
        <v>0.6</v>
      </c>
      <c r="H6996" s="1359"/>
      <c r="I6996" s="1289"/>
      <c r="J6996" s="8"/>
      <c r="K6996" s="1307">
        <f>G6996*K6986</f>
        <v>0.6</v>
      </c>
      <c r="L6996" s="1335">
        <f>K6996*$K$6899</f>
        <v>0</v>
      </c>
      <c r="M6996" s="1302">
        <v>19.23</v>
      </c>
      <c r="N6996" s="1700"/>
      <c r="O6996" s="1290">
        <f>G6996*M6996</f>
        <v>11.538</v>
      </c>
      <c r="P6996" s="1332">
        <f>M6996*K6996</f>
        <v>11.538</v>
      </c>
      <c r="Q6996" s="3391"/>
      <c r="R6996" s="2339"/>
    </row>
    <row r="6997" spans="1:18" s="16" customFormat="1">
      <c r="A6997"/>
      <c r="B6997" s="1042"/>
      <c r="C6997" s="2086" t="s">
        <v>1755</v>
      </c>
      <c r="D6997" s="1311"/>
      <c r="E6997" s="2176" t="s">
        <v>1508</v>
      </c>
      <c r="F6997" s="1648" t="s">
        <v>1524</v>
      </c>
      <c r="G6997" s="1990"/>
      <c r="H6997" s="1456">
        <v>0.21</v>
      </c>
      <c r="I6997" s="1444"/>
      <c r="J6997" s="1388"/>
      <c r="K6997" s="1445"/>
      <c r="L6997" s="1457"/>
      <c r="M6997" s="1447"/>
      <c r="N6997" s="1447">
        <f>SUM(N6998:N6999)</f>
        <v>37.510000000000005</v>
      </c>
      <c r="O6997" s="1447">
        <f>SUM(O6998:O6999)</f>
        <v>7.8770999999999995</v>
      </c>
      <c r="P6997" s="1447">
        <f>SUM(P6998:P6999)</f>
        <v>7.8770999999999995</v>
      </c>
      <c r="Q6997" s="3391"/>
      <c r="R6997" s="2337"/>
    </row>
    <row r="6998" spans="1:18" s="16" customFormat="1">
      <c r="A6998"/>
      <c r="B6998" s="1042"/>
      <c r="C6998" s="19"/>
      <c r="D6998" s="1430" t="s">
        <v>1067</v>
      </c>
      <c r="E6998" s="1857" t="s">
        <v>1508</v>
      </c>
      <c r="F6998" s="1403" t="s">
        <v>5</v>
      </c>
      <c r="G6998" s="1991">
        <v>1</v>
      </c>
      <c r="H6998" s="1408">
        <f>G6998*H6997</f>
        <v>0.21</v>
      </c>
      <c r="I6998" s="1286"/>
      <c r="J6998" s="198"/>
      <c r="K6998" s="1307">
        <f>H6998*K6986</f>
        <v>0.21</v>
      </c>
      <c r="L6998" s="1335">
        <f t="shared" ref="L6998:L6999" si="938">K6998*$K$6899</f>
        <v>0</v>
      </c>
      <c r="M6998" s="1302">
        <v>18.28</v>
      </c>
      <c r="N6998" s="1718">
        <f>G6998*M6998</f>
        <v>18.28</v>
      </c>
      <c r="O6998" s="1290">
        <f>H6998*M6998</f>
        <v>3.8388</v>
      </c>
      <c r="P6998" s="1720">
        <f>M6998*K6998</f>
        <v>3.8388</v>
      </c>
      <c r="Q6998" s="3396"/>
      <c r="R6998" s="2337"/>
    </row>
    <row r="6999" spans="1:18" s="16" customFormat="1">
      <c r="A6999"/>
      <c r="B6999" s="1042"/>
      <c r="C6999" s="19"/>
      <c r="D6999" s="1430" t="s">
        <v>1077</v>
      </c>
      <c r="E6999" s="1857" t="s">
        <v>1508</v>
      </c>
      <c r="F6999" s="1403" t="s">
        <v>37</v>
      </c>
      <c r="G6999" s="1991">
        <v>1</v>
      </c>
      <c r="H6999" s="1408">
        <f>G6999*H6997</f>
        <v>0.21</v>
      </c>
      <c r="I6999" s="197"/>
      <c r="J6999" s="198"/>
      <c r="K6999" s="1307">
        <f>H6999*K6986</f>
        <v>0.21</v>
      </c>
      <c r="L6999" s="1335">
        <f t="shared" si="938"/>
        <v>0</v>
      </c>
      <c r="M6999" s="1302">
        <v>19.23</v>
      </c>
      <c r="N6999" s="1718">
        <f>G6999*M6999</f>
        <v>19.23</v>
      </c>
      <c r="O6999" s="1290">
        <f>H6999*M6999</f>
        <v>4.0382999999999996</v>
      </c>
      <c r="P6999" s="1720">
        <f>M6999*K6999</f>
        <v>4.0382999999999996</v>
      </c>
      <c r="Q6999" s="3396"/>
      <c r="R6999" s="2337"/>
    </row>
    <row r="7000" spans="1:18" s="16" customFormat="1">
      <c r="A7000"/>
      <c r="B7000" s="1320"/>
      <c r="D7000" s="1359"/>
      <c r="E7000" s="1858"/>
      <c r="F7000" s="1361"/>
      <c r="G7000" s="1361"/>
      <c r="H7000" s="1466"/>
      <c r="I7000" s="1289"/>
      <c r="J7000" s="8"/>
      <c r="K7000" s="1307"/>
      <c r="L7000" s="1335"/>
      <c r="M7000" s="1302"/>
      <c r="N7000" s="1700"/>
      <c r="O7000" s="1290"/>
      <c r="P7000" s="1332"/>
      <c r="Q7000" s="3391"/>
      <c r="R7000" s="1296"/>
    </row>
    <row r="7001" spans="1:18" s="16" customFormat="1">
      <c r="A7001" s="1599"/>
      <c r="B7001" s="1320"/>
      <c r="C7001" s="595"/>
      <c r="D7001" s="1359"/>
      <c r="E7001" s="1858"/>
      <c r="F7001" s="1361"/>
      <c r="G7001" s="1361"/>
      <c r="H7001" s="1466"/>
      <c r="I7001" s="1299"/>
      <c r="J7001" s="1300"/>
      <c r="K7001" s="1307"/>
      <c r="L7001" s="1335"/>
      <c r="M7001" s="1302"/>
      <c r="N7001" s="1700"/>
      <c r="O7001" s="1290"/>
      <c r="P7001" s="1332"/>
      <c r="Q7001" s="3391"/>
      <c r="R7001" s="2339"/>
    </row>
    <row r="7002" spans="1:18" s="16" customFormat="1">
      <c r="A7002" s="1599"/>
      <c r="B7002" s="1320"/>
      <c r="C7002" s="595"/>
      <c r="D7002" s="1373"/>
      <c r="E7002" s="2123"/>
      <c r="F7002" s="1374" t="s">
        <v>3</v>
      </c>
      <c r="G7002" s="1375"/>
      <c r="H7002" s="1376"/>
      <c r="I7002" s="1382"/>
      <c r="J7002" s="1383"/>
      <c r="K7002" s="1383"/>
      <c r="L7002" s="1413"/>
      <c r="M7002" s="1376"/>
      <c r="N7002" s="1376"/>
      <c r="O7002" s="1376"/>
      <c r="P7002" s="1373"/>
      <c r="Q7002" s="3387"/>
      <c r="R7002" s="2339"/>
    </row>
    <row r="7003" spans="1:18" s="16" customFormat="1">
      <c r="A7003" s="2053"/>
      <c r="B7003" s="1321"/>
      <c r="C7003" s="2021"/>
      <c r="D7003" s="1377"/>
      <c r="E7003" s="2124"/>
      <c r="F7003" s="1378"/>
      <c r="G7003" s="1378"/>
      <c r="H7003" s="1379"/>
      <c r="I7003" s="1299"/>
      <c r="J7003" s="1300"/>
      <c r="K7003" s="1307"/>
      <c r="L7003" s="1335"/>
      <c r="M7003" s="1302"/>
      <c r="N7003" s="1700"/>
      <c r="O7003" s="1290"/>
      <c r="P7003" s="1332"/>
      <c r="Q7003" s="3391"/>
      <c r="R7003" s="2339"/>
    </row>
    <row r="7004" spans="1:18" s="16" customFormat="1">
      <c r="A7004" s="2053"/>
      <c r="B7004" s="1321"/>
      <c r="C7004" s="2021"/>
      <c r="D7004" s="1377"/>
      <c r="E7004" s="2124"/>
      <c r="F7004" s="1478"/>
      <c r="G7004" s="1478"/>
      <c r="H7004" s="1481"/>
      <c r="I7004" s="1299"/>
      <c r="J7004" s="1300"/>
      <c r="K7004" s="1307"/>
      <c r="L7004" s="1335"/>
      <c r="M7004" s="1302"/>
      <c r="N7004" s="1700"/>
      <c r="O7004" s="1290"/>
      <c r="P7004" s="1333"/>
      <c r="Q7004" s="3391"/>
      <c r="R7004" s="2339"/>
    </row>
    <row r="7005" spans="1:18" s="16" customFormat="1">
      <c r="A7005" s="2107"/>
      <c r="B7005" s="2108"/>
      <c r="C7005" s="2109"/>
      <c r="D7005" s="1377"/>
      <c r="E7005" s="2124"/>
      <c r="F7005" s="2110"/>
      <c r="G7005" s="2110"/>
      <c r="H7005" s="2111"/>
      <c r="I7005" s="1299"/>
      <c r="J7005" s="1300"/>
      <c r="K7005" s="1307"/>
      <c r="L7005" s="1335"/>
      <c r="M7005" s="1302"/>
      <c r="N7005" s="1700"/>
      <c r="O7005" s="1290"/>
      <c r="P7005" s="1333"/>
      <c r="Q7005" s="3391"/>
      <c r="R7005" s="2339"/>
    </row>
    <row r="7006" spans="1:18" s="16" customFormat="1" ht="15" customHeight="1">
      <c r="A7006" s="18" t="s">
        <v>3764</v>
      </c>
      <c r="B7006" s="4325" t="s">
        <v>2273</v>
      </c>
      <c r="C7006" s="3350"/>
      <c r="D7006" s="4327"/>
      <c r="E7006" s="4329" t="s">
        <v>1504</v>
      </c>
      <c r="F7006" s="4336" t="s">
        <v>2274</v>
      </c>
      <c r="G7006" s="4331" t="s">
        <v>1568</v>
      </c>
      <c r="H7006" s="4331" t="s">
        <v>1574</v>
      </c>
      <c r="I7006" s="1572" t="s">
        <v>1559</v>
      </c>
      <c r="J7006" s="1294" t="s">
        <v>1560</v>
      </c>
      <c r="K7006" s="1294" t="s">
        <v>1569</v>
      </c>
      <c r="L7006" s="4333" t="s">
        <v>3765</v>
      </c>
      <c r="M7006" s="4335" t="s">
        <v>1571</v>
      </c>
      <c r="N7006" s="4323" t="s">
        <v>1776</v>
      </c>
      <c r="O7006" s="3347" t="s">
        <v>1563</v>
      </c>
      <c r="P7006" s="1336" t="s">
        <v>1562</v>
      </c>
      <c r="Q7006" s="3389"/>
      <c r="R7006" s="1699" t="s">
        <v>1327</v>
      </c>
    </row>
    <row r="7007" spans="1:18" s="16" customFormat="1">
      <c r="A7007" s="1662" t="s">
        <v>2780</v>
      </c>
      <c r="B7007" s="4326"/>
      <c r="C7007" s="3351"/>
      <c r="D7007" s="4328"/>
      <c r="E7007" s="4330"/>
      <c r="F7007" s="4336"/>
      <c r="G7007" s="4332"/>
      <c r="H7007" s="4332"/>
      <c r="I7007" s="1345">
        <v>8</v>
      </c>
      <c r="J7007" s="1307">
        <v>0.25</v>
      </c>
      <c r="K7007" s="1666">
        <f>I7007*J7007</f>
        <v>2</v>
      </c>
      <c r="L7007" s="4334"/>
      <c r="M7007" s="4335"/>
      <c r="N7007" s="4324"/>
      <c r="O7007" s="1298">
        <f>SUM(O7009:O7018)</f>
        <v>41.4788</v>
      </c>
      <c r="P7007" s="1337">
        <f>O7007*K7007</f>
        <v>82.957599999999999</v>
      </c>
      <c r="Q7007" s="3390"/>
      <c r="R7007" s="1721">
        <f>SUM(P7009:P7018)</f>
        <v>82.957599999999999</v>
      </c>
    </row>
    <row r="7008" spans="1:18" s="16" customFormat="1">
      <c r="A7008" s="1599"/>
      <c r="B7008" s="1327"/>
      <c r="C7008" s="1511"/>
      <c r="D7008" s="1367"/>
      <c r="E7008" s="2121"/>
      <c r="F7008" s="1389" t="s">
        <v>1</v>
      </c>
      <c r="G7008" s="1389"/>
      <c r="H7008" s="1369"/>
      <c r="I7008" s="2088"/>
      <c r="J7008" s="1369"/>
      <c r="K7008" s="1391"/>
      <c r="L7008" s="2089"/>
      <c r="M7008" s="1369"/>
      <c r="N7008" s="1369"/>
      <c r="O7008" s="1369"/>
      <c r="P7008" s="1392"/>
      <c r="Q7008" s="3395"/>
      <c r="R7008" s="2339"/>
    </row>
    <row r="7009" spans="1:18" s="16" customFormat="1">
      <c r="A7009" s="1599"/>
      <c r="B7009" s="1320"/>
      <c r="C7009" s="595"/>
      <c r="D7009" s="1598" t="s">
        <v>2182</v>
      </c>
      <c r="E7009" s="2154" t="s">
        <v>1527</v>
      </c>
      <c r="F7009" s="1598" t="s">
        <v>2183</v>
      </c>
      <c r="G7009" s="1612">
        <v>3.03</v>
      </c>
      <c r="H7009" s="1369"/>
      <c r="I7009" s="1289"/>
      <c r="J7009" s="8"/>
      <c r="K7009" s="1307">
        <f>G7009*K7007</f>
        <v>6.06</v>
      </c>
      <c r="L7009" s="1335">
        <f t="shared" ref="L7009:L7014" si="939">K7009*$K$6899</f>
        <v>0</v>
      </c>
      <c r="M7009" s="1302">
        <v>0.31</v>
      </c>
      <c r="N7009" s="1700"/>
      <c r="O7009" s="1290">
        <f t="shared" ref="O7009:O7014" si="940">G7009*M7009</f>
        <v>0.93929999999999991</v>
      </c>
      <c r="P7009" s="1332">
        <f t="shared" ref="P7009:P7014" si="941">M7009*K7009</f>
        <v>1.8785999999999998</v>
      </c>
      <c r="Q7009" s="3391"/>
      <c r="R7009" s="2339"/>
    </row>
    <row r="7010" spans="1:18" s="16" customFormat="1">
      <c r="A7010" s="1599"/>
      <c r="B7010" s="1320"/>
      <c r="C7010" s="595"/>
      <c r="D7010" s="1598" t="s">
        <v>1256</v>
      </c>
      <c r="E7010" s="2154" t="s">
        <v>1504</v>
      </c>
      <c r="F7010" s="1598" t="s">
        <v>2247</v>
      </c>
      <c r="G7010" s="1612">
        <v>1</v>
      </c>
      <c r="H7010" s="1369"/>
      <c r="I7010" s="1289"/>
      <c r="J7010" s="8"/>
      <c r="K7010" s="1307">
        <f>G7010*K7007</f>
        <v>2</v>
      </c>
      <c r="L7010" s="1335">
        <f t="shared" si="939"/>
        <v>0</v>
      </c>
      <c r="M7010" s="1302">
        <v>0.32</v>
      </c>
      <c r="N7010" s="1700"/>
      <c r="O7010" s="1290">
        <f t="shared" si="940"/>
        <v>0.32</v>
      </c>
      <c r="P7010" s="1332">
        <f t="shared" si="941"/>
        <v>0.64</v>
      </c>
      <c r="Q7010" s="3391"/>
      <c r="R7010" s="2339"/>
    </row>
    <row r="7011" spans="1:18" s="16" customFormat="1">
      <c r="A7011" s="1599"/>
      <c r="B7011" s="1320"/>
      <c r="C7011" s="595"/>
      <c r="D7011" s="1598" t="s">
        <v>2184</v>
      </c>
      <c r="E7011" s="2154" t="s">
        <v>1527</v>
      </c>
      <c r="F7011" s="1598" t="s">
        <v>2185</v>
      </c>
      <c r="G7011" s="1612">
        <v>9</v>
      </c>
      <c r="H7011" s="1369"/>
      <c r="I7011" s="1289"/>
      <c r="J7011" s="8"/>
      <c r="K7011" s="1307">
        <f>G7011*K7007</f>
        <v>18</v>
      </c>
      <c r="L7011" s="1335">
        <f t="shared" si="939"/>
        <v>0</v>
      </c>
      <c r="M7011" s="1302">
        <v>1.54</v>
      </c>
      <c r="N7011" s="1700"/>
      <c r="O7011" s="1290">
        <f t="shared" si="940"/>
        <v>13.86</v>
      </c>
      <c r="P7011" s="1332">
        <f t="shared" si="941"/>
        <v>27.72</v>
      </c>
      <c r="Q7011" s="3391"/>
      <c r="R7011" s="2339"/>
    </row>
    <row r="7012" spans="1:18" s="16" customFormat="1">
      <c r="A7012" s="1599"/>
      <c r="B7012" s="1320"/>
      <c r="C7012" s="595"/>
      <c r="D7012" s="1598" t="s">
        <v>2275</v>
      </c>
      <c r="E7012" s="2154" t="s">
        <v>1504</v>
      </c>
      <c r="F7012" s="1598" t="s">
        <v>2276</v>
      </c>
      <c r="G7012" s="1612">
        <v>1</v>
      </c>
      <c r="H7012" s="1369"/>
      <c r="I7012" s="1289"/>
      <c r="J7012" s="8"/>
      <c r="K7012" s="1307">
        <f>G7012*K7007</f>
        <v>2</v>
      </c>
      <c r="L7012" s="1335">
        <f t="shared" si="939"/>
        <v>0</v>
      </c>
      <c r="M7012" s="1302">
        <v>8.8800000000000008</v>
      </c>
      <c r="N7012" s="1700"/>
      <c r="O7012" s="1290">
        <f t="shared" si="940"/>
        <v>8.8800000000000008</v>
      </c>
      <c r="P7012" s="1332">
        <f t="shared" si="941"/>
        <v>17.760000000000002</v>
      </c>
      <c r="Q7012" s="3391"/>
      <c r="R7012" s="2339"/>
    </row>
    <row r="7013" spans="1:18" s="16" customFormat="1">
      <c r="A7013" s="553"/>
      <c r="B7013" s="1320"/>
      <c r="C7013" s="88"/>
      <c r="D7013" s="1598" t="s">
        <v>1082</v>
      </c>
      <c r="E7013" s="2154" t="s">
        <v>1504</v>
      </c>
      <c r="F7013" s="1598" t="s">
        <v>1541</v>
      </c>
      <c r="G7013" s="1612">
        <v>0.5</v>
      </c>
      <c r="H7013" s="1674"/>
      <c r="I7013" s="1289"/>
      <c r="J7013" s="8"/>
      <c r="K7013" s="1307">
        <f>G7013*K7007</f>
        <v>1</v>
      </c>
      <c r="L7013" s="1335">
        <f t="shared" si="939"/>
        <v>0</v>
      </c>
      <c r="M7013" s="1302">
        <v>0.3</v>
      </c>
      <c r="N7013" s="1700"/>
      <c r="O7013" s="1290">
        <f t="shared" si="940"/>
        <v>0.15</v>
      </c>
      <c r="P7013" s="1332">
        <f t="shared" si="941"/>
        <v>0.3</v>
      </c>
      <c r="Q7013" s="3391"/>
      <c r="R7013" s="2339"/>
    </row>
    <row r="7014" spans="1:18" s="16" customFormat="1">
      <c r="A7014" s="553"/>
      <c r="B7014" s="1320"/>
      <c r="C7014" s="88"/>
      <c r="D7014" s="1598" t="s">
        <v>1097</v>
      </c>
      <c r="E7014" s="2154" t="s">
        <v>1504</v>
      </c>
      <c r="F7014" s="1598" t="s">
        <v>1632</v>
      </c>
      <c r="G7014" s="1612">
        <v>0.3</v>
      </c>
      <c r="H7014" s="1674"/>
      <c r="I7014" s="1289"/>
      <c r="J7014" s="8"/>
      <c r="K7014" s="1307">
        <f>G7014*K7007</f>
        <v>0.6</v>
      </c>
      <c r="L7014" s="1335">
        <f t="shared" si="939"/>
        <v>0</v>
      </c>
      <c r="M7014" s="1302">
        <v>0.55000000000000004</v>
      </c>
      <c r="N7014" s="1700"/>
      <c r="O7014" s="1290">
        <f t="shared" si="940"/>
        <v>0.16500000000000001</v>
      </c>
      <c r="P7014" s="1332">
        <f t="shared" si="941"/>
        <v>0.33</v>
      </c>
      <c r="Q7014" s="3391"/>
      <c r="R7014" s="2339"/>
    </row>
    <row r="7015" spans="1:18" s="16" customFormat="1">
      <c r="A7015" s="553"/>
      <c r="B7015" s="1320"/>
      <c r="C7015" s="88"/>
      <c r="D7015" s="1367"/>
      <c r="E7015" s="2121"/>
      <c r="F7015" s="1436"/>
      <c r="G7015" s="1436"/>
      <c r="H7015" s="1369"/>
      <c r="I7015" s="1289" t="str">
        <f t="shared" ref="I7015" ca="1" si="942">IF(COUNT(H7015:O7015)=0,"",(SUM(H7015:O7015)/COUNT(H7015:O7015)))</f>
        <v/>
      </c>
      <c r="J7015" s="8"/>
      <c r="K7015" s="1307"/>
      <c r="L7015" s="1335"/>
      <c r="M7015" s="1302"/>
      <c r="N7015" s="1700"/>
      <c r="O7015" s="1290"/>
      <c r="P7015" s="1332"/>
      <c r="Q7015" s="3391"/>
      <c r="R7015" s="2339"/>
    </row>
    <row r="7016" spans="1:18" s="16" customFormat="1">
      <c r="A7016" s="553"/>
      <c r="B7016" s="1320"/>
      <c r="C7016" s="88"/>
      <c r="D7016" s="1359"/>
      <c r="E7016" s="1858"/>
      <c r="F7016" s="1360" t="s">
        <v>2</v>
      </c>
      <c r="G7016" s="1360"/>
      <c r="H7016" s="1362"/>
      <c r="I7016" s="1380"/>
      <c r="J7016" s="1381"/>
      <c r="K7016" s="1381"/>
      <c r="L7016" s="1458"/>
      <c r="M7016" s="1362"/>
      <c r="N7016" s="1362"/>
      <c r="O7016" s="1362"/>
      <c r="P7016" s="1359"/>
      <c r="Q7016" s="3387"/>
      <c r="R7016" s="2339"/>
    </row>
    <row r="7017" spans="1:18" s="16" customFormat="1">
      <c r="A7017" s="1599"/>
      <c r="B7017" s="1320"/>
      <c r="D7017" s="1359" t="s">
        <v>1593</v>
      </c>
      <c r="E7017" s="1858" t="s">
        <v>1508</v>
      </c>
      <c r="F7017" s="1404" t="s">
        <v>2146</v>
      </c>
      <c r="G7017" s="1404">
        <v>0.6</v>
      </c>
      <c r="H7017" s="1359"/>
      <c r="I7017" s="1289"/>
      <c r="J7017" s="8"/>
      <c r="K7017" s="1307">
        <f>G7017*K7007</f>
        <v>1.2</v>
      </c>
      <c r="L7017" s="1335">
        <f>K7017*$K$6899</f>
        <v>0</v>
      </c>
      <c r="M7017" s="1302">
        <v>19.23</v>
      </c>
      <c r="N7017" s="1700"/>
      <c r="O7017" s="1290">
        <f>G7017*M7017</f>
        <v>11.538</v>
      </c>
      <c r="P7017" s="1332">
        <f>M7017*K7017</f>
        <v>23.076000000000001</v>
      </c>
      <c r="Q7017" s="3391"/>
      <c r="R7017" s="2339"/>
    </row>
    <row r="7018" spans="1:18" s="16" customFormat="1">
      <c r="A7018"/>
      <c r="B7018" s="1042"/>
      <c r="C7018" s="2086" t="s">
        <v>1755</v>
      </c>
      <c r="D7018" s="1311"/>
      <c r="E7018" s="2176" t="s">
        <v>1508</v>
      </c>
      <c r="F7018" s="1648" t="s">
        <v>1524</v>
      </c>
      <c r="G7018" s="1990"/>
      <c r="H7018" s="1456">
        <v>0.15</v>
      </c>
      <c r="I7018" s="1444"/>
      <c r="J7018" s="1388"/>
      <c r="K7018" s="1445"/>
      <c r="L7018" s="1457"/>
      <c r="M7018" s="1447"/>
      <c r="N7018" s="1447">
        <f>SUM(N7019:N7020)</f>
        <v>37.510000000000005</v>
      </c>
      <c r="O7018" s="1447">
        <f>SUM(O7019:O7020)</f>
        <v>5.6265000000000001</v>
      </c>
      <c r="P7018" s="1447">
        <f>SUM(P7019:P7020)</f>
        <v>11.253</v>
      </c>
      <c r="Q7018" s="3391"/>
      <c r="R7018" s="2337"/>
    </row>
    <row r="7019" spans="1:18" s="16" customFormat="1">
      <c r="A7019"/>
      <c r="B7019" s="1042"/>
      <c r="C7019" s="19"/>
      <c r="D7019" s="1430" t="s">
        <v>1067</v>
      </c>
      <c r="E7019" s="1857" t="s">
        <v>1508</v>
      </c>
      <c r="F7019" s="1403" t="s">
        <v>5</v>
      </c>
      <c r="G7019" s="1991">
        <v>1</v>
      </c>
      <c r="H7019" s="1408">
        <f>G7019*H7018</f>
        <v>0.15</v>
      </c>
      <c r="I7019" s="1286"/>
      <c r="J7019" s="198"/>
      <c r="K7019" s="1307">
        <f>H7019*K7007</f>
        <v>0.3</v>
      </c>
      <c r="L7019" s="1335">
        <f t="shared" ref="L7019:L7020" si="943">K7019*$K$6899</f>
        <v>0</v>
      </c>
      <c r="M7019" s="1302">
        <v>18.28</v>
      </c>
      <c r="N7019" s="1718">
        <f>G7019*M7019</f>
        <v>18.28</v>
      </c>
      <c r="O7019" s="1290">
        <f>H7019*M7019</f>
        <v>2.742</v>
      </c>
      <c r="P7019" s="1720">
        <f>M7019*K7019</f>
        <v>5.484</v>
      </c>
      <c r="Q7019" s="3396"/>
      <c r="R7019" s="2337"/>
    </row>
    <row r="7020" spans="1:18" s="16" customFormat="1">
      <c r="A7020"/>
      <c r="B7020" s="1042"/>
      <c r="C7020" s="19"/>
      <c r="D7020" s="1430" t="s">
        <v>1077</v>
      </c>
      <c r="E7020" s="1857" t="s">
        <v>1508</v>
      </c>
      <c r="F7020" s="1403" t="s">
        <v>37</v>
      </c>
      <c r="G7020" s="1991">
        <v>1</v>
      </c>
      <c r="H7020" s="1408">
        <f>G7020*H7018</f>
        <v>0.15</v>
      </c>
      <c r="I7020" s="197"/>
      <c r="J7020" s="198"/>
      <c r="K7020" s="1307">
        <f>H7020*K7007</f>
        <v>0.3</v>
      </c>
      <c r="L7020" s="1335">
        <f t="shared" si="943"/>
        <v>0</v>
      </c>
      <c r="M7020" s="1302">
        <v>19.23</v>
      </c>
      <c r="N7020" s="1718">
        <f>G7020*M7020</f>
        <v>19.23</v>
      </c>
      <c r="O7020" s="1290">
        <f>H7020*M7020</f>
        <v>2.8845000000000001</v>
      </c>
      <c r="P7020" s="1720">
        <f>M7020*K7020</f>
        <v>5.7690000000000001</v>
      </c>
      <c r="Q7020" s="3396"/>
      <c r="R7020" s="2337"/>
    </row>
    <row r="7021" spans="1:18" s="16" customFormat="1">
      <c r="A7021"/>
      <c r="B7021" s="1320"/>
      <c r="D7021" s="1359"/>
      <c r="E7021" s="1858"/>
      <c r="F7021" s="1361"/>
      <c r="G7021" s="1361"/>
      <c r="H7021" s="1466"/>
      <c r="I7021" s="1289"/>
      <c r="J7021" s="8"/>
      <c r="K7021" s="1307"/>
      <c r="L7021" s="1335"/>
      <c r="M7021" s="1302"/>
      <c r="N7021" s="1700"/>
      <c r="O7021" s="1290"/>
      <c r="P7021" s="1332"/>
      <c r="Q7021" s="3391"/>
      <c r="R7021" s="1296"/>
    </row>
    <row r="7022" spans="1:18" s="16" customFormat="1">
      <c r="A7022" s="1599"/>
      <c r="B7022" s="1320"/>
      <c r="C7022" s="595"/>
      <c r="D7022" s="1359"/>
      <c r="E7022" s="1858"/>
      <c r="F7022" s="1361"/>
      <c r="G7022" s="1361"/>
      <c r="H7022" s="1466"/>
      <c r="I7022" s="1299"/>
      <c r="J7022" s="1300"/>
      <c r="K7022" s="1307"/>
      <c r="L7022" s="1335"/>
      <c r="M7022" s="1302"/>
      <c r="N7022" s="1700"/>
      <c r="O7022" s="1290"/>
      <c r="P7022" s="1332"/>
      <c r="Q7022" s="3391"/>
      <c r="R7022" s="2339"/>
    </row>
    <row r="7023" spans="1:18" s="16" customFormat="1">
      <c r="A7023" s="1599"/>
      <c r="B7023" s="1320"/>
      <c r="C7023" s="595"/>
      <c r="D7023" s="1373"/>
      <c r="E7023" s="2123"/>
      <c r="F7023" s="1374" t="s">
        <v>3</v>
      </c>
      <c r="G7023" s="1375"/>
      <c r="H7023" s="1376"/>
      <c r="I7023" s="1382"/>
      <c r="J7023" s="1383"/>
      <c r="K7023" s="1383"/>
      <c r="L7023" s="1413"/>
      <c r="M7023" s="1376"/>
      <c r="N7023" s="1376"/>
      <c r="O7023" s="1376"/>
      <c r="P7023" s="1373"/>
      <c r="Q7023" s="3387"/>
      <c r="R7023" s="2339"/>
    </row>
    <row r="7024" spans="1:18" s="16" customFormat="1">
      <c r="A7024" s="2053"/>
      <c r="B7024" s="1321"/>
      <c r="C7024" s="2021"/>
      <c r="D7024" s="1377"/>
      <c r="E7024" s="2124"/>
      <c r="F7024" s="1378"/>
      <c r="G7024" s="1378"/>
      <c r="H7024" s="1379"/>
      <c r="I7024" s="1299"/>
      <c r="J7024" s="1300"/>
      <c r="K7024" s="1307"/>
      <c r="L7024" s="1335"/>
      <c r="M7024" s="1302"/>
      <c r="N7024" s="1700"/>
      <c r="O7024" s="1290"/>
      <c r="P7024" s="1332"/>
      <c r="Q7024" s="3391"/>
      <c r="R7024" s="2339"/>
    </row>
    <row r="7025" spans="1:20" s="16" customFormat="1">
      <c r="A7025" s="2053"/>
      <c r="B7025" s="1321"/>
      <c r="C7025" s="2021"/>
      <c r="D7025" s="1377"/>
      <c r="E7025" s="2124"/>
      <c r="F7025" s="1478"/>
      <c r="G7025" s="1478"/>
      <c r="H7025" s="1481"/>
      <c r="I7025" s="1299"/>
      <c r="J7025" s="1300"/>
      <c r="K7025" s="1307"/>
      <c r="L7025" s="1335"/>
      <c r="M7025" s="1302"/>
      <c r="N7025" s="1700"/>
      <c r="O7025" s="1290"/>
      <c r="P7025" s="1333"/>
      <c r="Q7025" s="3391"/>
      <c r="R7025" s="2339"/>
    </row>
    <row r="7026" spans="1:20" s="16" customFormat="1">
      <c r="A7026" s="2107"/>
      <c r="B7026" s="2108"/>
      <c r="C7026" s="2109"/>
      <c r="D7026" s="1377"/>
      <c r="E7026" s="2124"/>
      <c r="F7026" s="2110"/>
      <c r="G7026" s="2110"/>
      <c r="H7026" s="2111"/>
      <c r="I7026" s="1299"/>
      <c r="J7026" s="1300"/>
      <c r="K7026" s="1307"/>
      <c r="L7026" s="1335"/>
      <c r="M7026" s="1302"/>
      <c r="N7026" s="1700"/>
      <c r="O7026" s="1290"/>
      <c r="P7026" s="1333"/>
      <c r="Q7026" s="3391"/>
      <c r="R7026" s="2339"/>
    </row>
    <row r="7027" spans="1:20" s="16" customFormat="1">
      <c r="E7027" s="2182"/>
      <c r="F7027" s="2080"/>
      <c r="G7027" s="2080"/>
      <c r="H7027" s="13"/>
      <c r="I7027" s="1561"/>
      <c r="J7027" s="13"/>
      <c r="K7027" s="1639"/>
      <c r="L7027" s="1640"/>
      <c r="M7027" s="1292"/>
      <c r="N7027" s="1292"/>
      <c r="O7027" s="1292"/>
      <c r="P7027" s="1292"/>
      <c r="Q7027" s="3391"/>
      <c r="R7027" s="1296"/>
    </row>
    <row r="7028" spans="1:20" s="16" customFormat="1">
      <c r="E7028" s="2182"/>
      <c r="F7028" s="2080"/>
      <c r="G7028" s="2080"/>
      <c r="H7028" s="13"/>
      <c r="I7028" s="1561"/>
      <c r="J7028" s="13"/>
      <c r="K7028" s="1639"/>
      <c r="L7028" s="1640"/>
      <c r="M7028" s="1292"/>
      <c r="N7028" s="1292"/>
      <c r="O7028" s="1292"/>
      <c r="P7028" s="1292"/>
      <c r="Q7028" s="3391"/>
      <c r="R7028" s="1296"/>
    </row>
    <row r="7029" spans="1:20" s="2326" customFormat="1" ht="21">
      <c r="A7029" s="4455" t="s">
        <v>85</v>
      </c>
      <c r="B7029" s="4456"/>
      <c r="C7029" s="4456"/>
      <c r="D7029" s="4456"/>
      <c r="E7029" s="2320" t="s">
        <v>2140</v>
      </c>
      <c r="F7029" s="2321" t="s">
        <v>2144</v>
      </c>
      <c r="G7029" s="2322"/>
      <c r="H7029" s="2322"/>
      <c r="I7029" s="2323"/>
      <c r="J7029" s="2322"/>
      <c r="K7029" s="2322"/>
      <c r="L7029" s="2323"/>
      <c r="M7029" s="2322"/>
      <c r="N7029" s="2322"/>
      <c r="O7029" s="2322"/>
      <c r="P7029" s="2324"/>
      <c r="Q7029" s="3392"/>
      <c r="R7029" s="2348"/>
    </row>
    <row r="7030" spans="1:20" s="16" customFormat="1">
      <c r="E7030" s="2182"/>
      <c r="F7030" s="2080"/>
      <c r="G7030" s="2080"/>
      <c r="H7030" s="13"/>
      <c r="I7030" s="1561"/>
      <c r="J7030" s="13"/>
      <c r="K7030" s="1639"/>
      <c r="L7030" s="1640"/>
      <c r="M7030" s="1292"/>
      <c r="N7030" s="1292"/>
      <c r="O7030" s="1292"/>
      <c r="P7030" s="1292"/>
      <c r="Q7030" s="3391"/>
      <c r="R7030" s="1296"/>
    </row>
    <row r="7031" spans="1:20" s="16" customFormat="1" ht="28.5">
      <c r="E7031" s="2182"/>
      <c r="F7031" s="2080"/>
      <c r="G7031" s="2080"/>
      <c r="H7031" s="13"/>
      <c r="I7031" s="1561"/>
      <c r="J7031" s="13"/>
      <c r="K7031" s="1639"/>
      <c r="L7031" s="2375" t="s">
        <v>2856</v>
      </c>
      <c r="M7031" s="1292"/>
      <c r="N7031" s="1292"/>
      <c r="O7031" s="1292"/>
      <c r="P7031" s="1292"/>
      <c r="Q7031" s="3391"/>
      <c r="R7031" s="1296"/>
    </row>
    <row r="7032" spans="1:20" s="16" customFormat="1">
      <c r="A7032" s="4393" t="s">
        <v>162</v>
      </c>
      <c r="B7032" s="4394"/>
      <c r="C7032" s="4394"/>
      <c r="D7032" s="4395"/>
      <c r="E7032" s="4396" t="s">
        <v>1549</v>
      </c>
      <c r="F7032" s="4397" t="s">
        <v>1550</v>
      </c>
      <c r="G7032" s="4399" t="s">
        <v>1566</v>
      </c>
      <c r="H7032" s="4400"/>
      <c r="I7032" s="4400"/>
      <c r="J7032" s="4400"/>
      <c r="K7032" s="4400"/>
      <c r="L7032" s="4401"/>
      <c r="M7032" s="4405" t="s">
        <v>1567</v>
      </c>
      <c r="N7032" s="4405"/>
      <c r="O7032" s="4405"/>
      <c r="P7032" s="4405"/>
      <c r="Q7032" s="3395"/>
      <c r="R7032" s="2339"/>
    </row>
    <row r="7033" spans="1:20" s="16" customFormat="1" ht="15" thickBot="1">
      <c r="A7033" s="1324" t="s">
        <v>3766</v>
      </c>
      <c r="B7033" s="1325" t="s">
        <v>1513</v>
      </c>
      <c r="C7033" s="1326" t="s">
        <v>1573</v>
      </c>
      <c r="D7033" s="1323" t="s">
        <v>1514</v>
      </c>
      <c r="E7033" s="4396"/>
      <c r="F7033" s="4398"/>
      <c r="G7033" s="4402"/>
      <c r="H7033" s="4403"/>
      <c r="I7033" s="4403"/>
      <c r="J7033" s="4403"/>
      <c r="K7033" s="4403"/>
      <c r="L7033" s="4404"/>
      <c r="M7033" s="4405"/>
      <c r="N7033" s="4405"/>
      <c r="O7033" s="4405"/>
      <c r="P7033" s="4405"/>
      <c r="Q7033" s="3395"/>
      <c r="R7033" s="2339"/>
    </row>
    <row r="7034" spans="1:20" s="16" customFormat="1" ht="36" customHeight="1">
      <c r="A7034" s="4374" t="s">
        <v>2781</v>
      </c>
      <c r="B7034" s="4375"/>
      <c r="C7034" s="4375"/>
      <c r="D7034" s="4376"/>
      <c r="E7034" s="4380" t="s">
        <v>1527</v>
      </c>
      <c r="F7034" s="4382" t="s">
        <v>2279</v>
      </c>
      <c r="G7034" s="4406" t="s">
        <v>294</v>
      </c>
      <c r="H7034" s="4407"/>
      <c r="I7034" s="1665" t="s">
        <v>1565</v>
      </c>
      <c r="J7034" s="3348" t="s">
        <v>1575</v>
      </c>
      <c r="K7034" s="4406" t="s">
        <v>289</v>
      </c>
      <c r="L7034" s="4407"/>
      <c r="M7034" s="4408" t="s">
        <v>3349</v>
      </c>
      <c r="N7034" s="4408"/>
      <c r="O7034" s="4408"/>
      <c r="P7034" s="4409"/>
      <c r="Q7034" s="4244" t="s">
        <v>3961</v>
      </c>
      <c r="R7034" s="2339"/>
      <c r="S7034" s="4117" t="s">
        <v>3873</v>
      </c>
      <c r="T7034" s="4171"/>
    </row>
    <row r="7035" spans="1:20" s="16" customFormat="1" ht="25.5" customHeight="1" thickBot="1">
      <c r="A7035" s="4377"/>
      <c r="B7035" s="4378"/>
      <c r="C7035" s="4378"/>
      <c r="D7035" s="4379"/>
      <c r="E7035" s="4381"/>
      <c r="F7035" s="4383"/>
      <c r="G7035" s="4451">
        <f>IF('Seleccion proyecto HEREVEA02'!G56="Nueva instalación",'Seleccion proyecto HEREVEA02'!E56,0)</f>
        <v>0</v>
      </c>
      <c r="H7035" s="4452"/>
      <c r="I7035" s="3353">
        <f>IF('Seleccion proyecto HEREVEA02'!H56=0,0,IF('Seleccion proyecto HEREVEA02'!H56=100,1))</f>
        <v>0</v>
      </c>
      <c r="J7035" s="1351">
        <f>'Seleccion proyecto HEREVEA02'!L8</f>
        <v>11100.968999999999</v>
      </c>
      <c r="K7035" s="4358">
        <f>G7035*I7035*J7035</f>
        <v>0</v>
      </c>
      <c r="L7035" s="4359"/>
      <c r="M7035" s="4360">
        <f>P7038+P7039+P7040+P7041+P7046+P7063+P7079+P7098</f>
        <v>21.390307199999999</v>
      </c>
      <c r="N7035" s="4361"/>
      <c r="O7035" s="4361"/>
      <c r="P7035" s="4362"/>
      <c r="Q7035" s="4245">
        <f>M7035*K7035</f>
        <v>0</v>
      </c>
      <c r="R7035" s="2339"/>
      <c r="S7035" s="4117" t="s">
        <v>3874</v>
      </c>
    </row>
    <row r="7036" spans="1:20" s="16" customFormat="1">
      <c r="A7036" s="553"/>
      <c r="B7036" s="4339"/>
      <c r="C7036" s="3361"/>
      <c r="D7036" s="4340"/>
      <c r="E7036" s="4342"/>
      <c r="F7036" s="4344" t="s">
        <v>2</v>
      </c>
      <c r="G7036" s="4346" t="s">
        <v>1568</v>
      </c>
      <c r="H7036" s="4348" t="s">
        <v>1574</v>
      </c>
      <c r="I7036" s="4350"/>
      <c r="J7036" s="4351" t="s">
        <v>1560</v>
      </c>
      <c r="K7036" s="4351" t="s">
        <v>1569</v>
      </c>
      <c r="L7036" s="4333" t="s">
        <v>3765</v>
      </c>
      <c r="M7036" s="4352" t="s">
        <v>1571</v>
      </c>
      <c r="N7036" s="4353" t="s">
        <v>1776</v>
      </c>
      <c r="O7036" s="4354" t="s">
        <v>1563</v>
      </c>
      <c r="P7036" s="4356" t="s">
        <v>1562</v>
      </c>
      <c r="Q7036" s="3389"/>
      <c r="R7036" s="1699" t="s">
        <v>1327</v>
      </c>
    </row>
    <row r="7037" spans="1:20" s="16" customFormat="1">
      <c r="A7037" s="2083"/>
      <c r="B7037" s="4339"/>
      <c r="C7037" s="3361"/>
      <c r="D7037" s="4341"/>
      <c r="E7037" s="4343"/>
      <c r="F7037" s="4345"/>
      <c r="G7037" s="4347"/>
      <c r="H7037" s="4349"/>
      <c r="I7037" s="4350"/>
      <c r="J7037" s="4351"/>
      <c r="K7037" s="4351"/>
      <c r="L7037" s="4334"/>
      <c r="M7037" s="4352"/>
      <c r="N7037" s="4353"/>
      <c r="O7037" s="4355"/>
      <c r="P7037" s="4357"/>
      <c r="Q7037" s="3389"/>
      <c r="R7037" s="1721">
        <f>P7039+P7040+P7038+P7041</f>
        <v>0.33638400000000002</v>
      </c>
    </row>
    <row r="7038" spans="1:20" s="16" customFormat="1">
      <c r="A7038" s="2053"/>
      <c r="B7038" s="1321"/>
      <c r="C7038" s="1295"/>
      <c r="D7038" s="1363" t="s">
        <v>1067</v>
      </c>
      <c r="E7038" s="2125" t="s">
        <v>1508</v>
      </c>
      <c r="F7038" s="1385" t="s">
        <v>1512</v>
      </c>
      <c r="G7038" s="1998">
        <v>0.2</v>
      </c>
      <c r="H7038" s="2084"/>
      <c r="I7038" s="2085"/>
      <c r="J7038" s="1589">
        <v>1.7999999999999999E-2</v>
      </c>
      <c r="K7038" s="1307">
        <f>G7038*J7038</f>
        <v>3.5999999999999999E-3</v>
      </c>
      <c r="L7038" s="1335">
        <f>K7038*$K$7035</f>
        <v>0</v>
      </c>
      <c r="M7038" s="1302">
        <v>18.28</v>
      </c>
      <c r="N7038" s="1700"/>
      <c r="O7038" s="1290">
        <f>G7038*M7038</f>
        <v>3.6560000000000006</v>
      </c>
      <c r="P7038" s="1337">
        <f>M7038*K7038</f>
        <v>6.5808000000000005E-2</v>
      </c>
      <c r="Q7038" s="3390"/>
      <c r="R7038" s="2339"/>
    </row>
    <row r="7039" spans="1:20" s="16" customFormat="1">
      <c r="A7039" s="1599"/>
      <c r="B7039" s="1320"/>
      <c r="D7039" s="1359" t="s">
        <v>1593</v>
      </c>
      <c r="E7039" s="1858" t="s">
        <v>1508</v>
      </c>
      <c r="F7039" s="1404" t="s">
        <v>2146</v>
      </c>
      <c r="G7039" s="2096">
        <v>0.2</v>
      </c>
      <c r="H7039" s="1359"/>
      <c r="I7039" s="1289"/>
      <c r="J7039" s="8">
        <v>1.7999999999999999E-2</v>
      </c>
      <c r="K7039" s="1307">
        <f>G7039*J7039</f>
        <v>3.5999999999999999E-3</v>
      </c>
      <c r="L7039" s="1335">
        <f>K7039*$K$7035</f>
        <v>0</v>
      </c>
      <c r="M7039" s="1302">
        <v>19.23</v>
      </c>
      <c r="N7039" s="1700"/>
      <c r="O7039" s="1290">
        <f>G7039*M7039</f>
        <v>3.8460000000000001</v>
      </c>
      <c r="P7039" s="1337">
        <f>M7039*K7039</f>
        <v>6.9227999999999998E-2</v>
      </c>
      <c r="Q7039" s="3390"/>
      <c r="R7039" s="2339"/>
    </row>
    <row r="7040" spans="1:20" s="16" customFormat="1">
      <c r="B7040" s="1320"/>
      <c r="D7040" s="2113" t="e">
        <f>'[2]Precios Recuperación (PUSD)'!$A$5</f>
        <v>#REF!</v>
      </c>
      <c r="E7040" s="1858" t="s">
        <v>1508</v>
      </c>
      <c r="F7040" s="1385" t="s">
        <v>2277</v>
      </c>
      <c r="G7040" s="2114">
        <f>[3]M.O.!$L$333</f>
        <v>0.2</v>
      </c>
      <c r="H7040" s="2112"/>
      <c r="I7040" s="1289"/>
      <c r="J7040" s="8">
        <v>1.7999999999999999E-2</v>
      </c>
      <c r="K7040" s="1307">
        <f>G7040*J7040</f>
        <v>3.5999999999999999E-3</v>
      </c>
      <c r="L7040" s="1335"/>
      <c r="M7040" s="1700">
        <v>18.420000000000002</v>
      </c>
      <c r="N7040" s="1700"/>
      <c r="O7040" s="1290">
        <f>G7040*M7040</f>
        <v>3.6840000000000006</v>
      </c>
      <c r="P7040" s="1337">
        <f>M7040*K7040</f>
        <v>6.631200000000001E-2</v>
      </c>
      <c r="Q7040" s="3390"/>
      <c r="R7040" s="2339"/>
    </row>
    <row r="7041" spans="1:18" s="16" customFormat="1">
      <c r="A7041"/>
      <c r="B7041" s="1042"/>
      <c r="C7041" s="2086" t="s">
        <v>1755</v>
      </c>
      <c r="D7041" s="1311"/>
      <c r="E7041" s="2176" t="s">
        <v>1508</v>
      </c>
      <c r="F7041" s="1648" t="s">
        <v>1524</v>
      </c>
      <c r="G7041" s="1990"/>
      <c r="H7041" s="1954">
        <v>0.2</v>
      </c>
      <c r="I7041" s="1444"/>
      <c r="J7041" s="1366">
        <v>1.7999999999999999E-2</v>
      </c>
      <c r="K7041" s="1445"/>
      <c r="L7041" s="1457"/>
      <c r="M7041" s="1447"/>
      <c r="N7041" s="1447">
        <f>SUM(N7042:N7043)</f>
        <v>37.510000000000005</v>
      </c>
      <c r="O7041" s="1447">
        <f>SUM(O7042:O7043)</f>
        <v>7.5020000000000007</v>
      </c>
      <c r="P7041" s="1337">
        <f>SUM(P7042:P7043)</f>
        <v>0.13503599999999999</v>
      </c>
      <c r="Q7041" s="3390"/>
      <c r="R7041" s="2337"/>
    </row>
    <row r="7042" spans="1:18" s="16" customFormat="1">
      <c r="A7042"/>
      <c r="B7042" s="1042"/>
      <c r="C7042" s="19"/>
      <c r="D7042" s="1430" t="s">
        <v>1067</v>
      </c>
      <c r="E7042" s="1857" t="s">
        <v>1508</v>
      </c>
      <c r="F7042" s="1403" t="s">
        <v>5</v>
      </c>
      <c r="G7042" s="1991">
        <v>1</v>
      </c>
      <c r="H7042" s="1408">
        <f>G7042*H7041</f>
        <v>0.2</v>
      </c>
      <c r="I7042" s="1286"/>
      <c r="J7042" s="198"/>
      <c r="K7042" s="1307">
        <f>H7042*J7041</f>
        <v>3.5999999999999999E-3</v>
      </c>
      <c r="L7042" s="1335">
        <f t="shared" ref="L7042:L7043" si="944">K7042*$K$7035</f>
        <v>0</v>
      </c>
      <c r="M7042" s="1302">
        <v>18.28</v>
      </c>
      <c r="N7042" s="1718">
        <f>G7042*M7042</f>
        <v>18.28</v>
      </c>
      <c r="O7042" s="1290">
        <f>H7042*M7042</f>
        <v>3.6560000000000006</v>
      </c>
      <c r="P7042" s="1720">
        <f>M7042*K7042</f>
        <v>6.5808000000000005E-2</v>
      </c>
      <c r="Q7042" s="3396"/>
      <c r="R7042" s="2337"/>
    </row>
    <row r="7043" spans="1:18" s="16" customFormat="1">
      <c r="A7043"/>
      <c r="B7043" s="1042"/>
      <c r="C7043" s="19"/>
      <c r="D7043" s="1430" t="s">
        <v>1077</v>
      </c>
      <c r="E7043" s="1857" t="s">
        <v>1508</v>
      </c>
      <c r="F7043" s="1403" t="s">
        <v>37</v>
      </c>
      <c r="G7043" s="1991">
        <v>1</v>
      </c>
      <c r="H7043" s="1408">
        <f>G7043*H7041</f>
        <v>0.2</v>
      </c>
      <c r="I7043" s="197"/>
      <c r="J7043" s="198"/>
      <c r="K7043" s="1307">
        <f>H7043*J7041</f>
        <v>3.5999999999999999E-3</v>
      </c>
      <c r="L7043" s="1335">
        <f t="shared" si="944"/>
        <v>0</v>
      </c>
      <c r="M7043" s="1302">
        <v>19.23</v>
      </c>
      <c r="N7043" s="1718">
        <f>G7043*M7043</f>
        <v>19.23</v>
      </c>
      <c r="O7043" s="1290">
        <f>H7043*M7043</f>
        <v>3.8460000000000001</v>
      </c>
      <c r="P7043" s="1720">
        <f>M7043*K7043</f>
        <v>6.9227999999999998E-2</v>
      </c>
      <c r="Q7043" s="3396"/>
      <c r="R7043" s="2337"/>
    </row>
    <row r="7044" spans="1:18" s="16" customFormat="1">
      <c r="A7044"/>
      <c r="B7044" s="225"/>
      <c r="D7044" s="1359"/>
      <c r="E7044" s="1858"/>
      <c r="F7044" s="1361"/>
      <c r="G7044" s="1361"/>
      <c r="H7044" s="1466"/>
      <c r="I7044" s="1289"/>
      <c r="J7044" s="8"/>
      <c r="K7044" s="1307"/>
      <c r="L7044" s="1335"/>
      <c r="M7044" s="1302"/>
      <c r="N7044" s="1700"/>
      <c r="O7044" s="1290"/>
      <c r="P7044" s="1332"/>
      <c r="Q7044" s="3391"/>
      <c r="R7044" s="1296"/>
    </row>
    <row r="7045" spans="1:18" s="16" customFormat="1">
      <c r="A7045" s="18" t="s">
        <v>3764</v>
      </c>
      <c r="B7045" s="4325" t="s">
        <v>2278</v>
      </c>
      <c r="C7045" s="3350"/>
      <c r="D7045" s="4327"/>
      <c r="E7045" s="4329" t="s">
        <v>1504</v>
      </c>
      <c r="F7045" s="4336" t="s">
        <v>2279</v>
      </c>
      <c r="G7045" s="4331" t="s">
        <v>1568</v>
      </c>
      <c r="H7045" s="4331" t="s">
        <v>1574</v>
      </c>
      <c r="I7045" s="1572" t="s">
        <v>1559</v>
      </c>
      <c r="J7045" s="1294" t="s">
        <v>1560</v>
      </c>
      <c r="K7045" s="1294" t="s">
        <v>1569</v>
      </c>
      <c r="L7045" s="4333" t="s">
        <v>3765</v>
      </c>
      <c r="M7045" s="4335" t="s">
        <v>1571</v>
      </c>
      <c r="N7045" s="4323" t="s">
        <v>1776</v>
      </c>
      <c r="O7045" s="3347" t="s">
        <v>1563</v>
      </c>
      <c r="P7045" s="1336" t="s">
        <v>1562</v>
      </c>
      <c r="Q7045" s="3389"/>
      <c r="R7045" s="1699" t="s">
        <v>1327</v>
      </c>
    </row>
    <row r="7046" spans="1:18" s="16" customFormat="1">
      <c r="A7046" s="1662" t="s">
        <v>2781</v>
      </c>
      <c r="B7046" s="4326"/>
      <c r="C7046" s="3351"/>
      <c r="D7046" s="4328"/>
      <c r="E7046" s="4330"/>
      <c r="F7046" s="4336"/>
      <c r="G7046" s="4332"/>
      <c r="H7046" s="4332"/>
      <c r="I7046" s="1345">
        <v>3</v>
      </c>
      <c r="J7046" s="1307">
        <v>1.7999999999999999E-2</v>
      </c>
      <c r="K7046" s="1666">
        <f>I7046*J7046</f>
        <v>5.3999999999999992E-2</v>
      </c>
      <c r="L7046" s="4334"/>
      <c r="M7046" s="4335"/>
      <c r="N7046" s="4324"/>
      <c r="O7046" s="1298">
        <f>SUM(O7048:O7054)</f>
        <v>128.0855</v>
      </c>
      <c r="P7046" s="1337">
        <f>O7046*K7046</f>
        <v>6.9166169999999987</v>
      </c>
      <c r="Q7046" s="3390"/>
      <c r="R7046" s="1721">
        <f>P7048+P7049+P7052+P7053+P7054</f>
        <v>6.9166169999999996</v>
      </c>
    </row>
    <row r="7047" spans="1:18" s="16" customFormat="1">
      <c r="A7047" s="1320"/>
      <c r="B7047" s="1949"/>
      <c r="C7047" s="1327"/>
      <c r="D7047" s="1367"/>
      <c r="E7047" s="2121"/>
      <c r="F7047" s="1389" t="s">
        <v>1</v>
      </c>
      <c r="G7047" s="1389"/>
      <c r="H7047" s="1369"/>
      <c r="I7047" s="2088"/>
      <c r="J7047" s="1369"/>
      <c r="K7047" s="1391"/>
      <c r="L7047" s="1559"/>
      <c r="M7047" s="1369"/>
      <c r="N7047" s="1369"/>
      <c r="O7047" s="1369"/>
      <c r="P7047" s="1392"/>
      <c r="Q7047" s="3395"/>
      <c r="R7047" s="2339"/>
    </row>
    <row r="7048" spans="1:18" s="16" customFormat="1">
      <c r="A7048" s="1320"/>
      <c r="B7048" s="1599"/>
      <c r="C7048" s="1320"/>
      <c r="D7048" s="1668" t="s">
        <v>1931</v>
      </c>
      <c r="E7048" s="2166" t="s">
        <v>1504</v>
      </c>
      <c r="F7048" s="1668" t="s">
        <v>1932</v>
      </c>
      <c r="G7048" s="1958">
        <v>1</v>
      </c>
      <c r="H7048" s="1369"/>
      <c r="I7048" s="1299"/>
      <c r="J7048" s="1300"/>
      <c r="K7048" s="1307">
        <f>K7046*G7048</f>
        <v>5.3999999999999992E-2</v>
      </c>
      <c r="L7048" s="1335">
        <f t="shared" ref="L7048:L7049" si="945">K7048*$K$7035</f>
        <v>0</v>
      </c>
      <c r="M7048" s="1302">
        <v>20.03</v>
      </c>
      <c r="N7048" s="1700"/>
      <c r="O7048" s="1290">
        <f>G7048*M7048</f>
        <v>20.03</v>
      </c>
      <c r="P7048" s="1332">
        <f>M7048*K7048</f>
        <v>1.0816199999999998</v>
      </c>
      <c r="Q7048" s="3391"/>
      <c r="R7048" s="2339"/>
    </row>
    <row r="7049" spans="1:18" s="16" customFormat="1">
      <c r="A7049" s="1042"/>
      <c r="B7049" s="1599"/>
      <c r="C7049" s="1042"/>
      <c r="D7049" s="1598" t="s">
        <v>1097</v>
      </c>
      <c r="E7049" s="2154" t="s">
        <v>1504</v>
      </c>
      <c r="F7049" s="1598" t="s">
        <v>1632</v>
      </c>
      <c r="G7049" s="1612">
        <v>3</v>
      </c>
      <c r="H7049" s="1674"/>
      <c r="I7049" s="1299"/>
      <c r="J7049" s="1300"/>
      <c r="K7049" s="1307">
        <f>G7049*K7046</f>
        <v>0.16199999999999998</v>
      </c>
      <c r="L7049" s="1335">
        <f t="shared" si="945"/>
        <v>0</v>
      </c>
      <c r="M7049" s="1302">
        <v>0.55000000000000004</v>
      </c>
      <c r="N7049" s="1700"/>
      <c r="O7049" s="1290">
        <f>G7049*M7049</f>
        <v>1.6500000000000001</v>
      </c>
      <c r="P7049" s="1332">
        <f>M7049*K7049</f>
        <v>8.9099999999999999E-2</v>
      </c>
      <c r="Q7049" s="3391"/>
      <c r="R7049" s="2339"/>
    </row>
    <row r="7050" spans="1:18" s="16" customFormat="1">
      <c r="A7050" s="1042"/>
      <c r="B7050" s="1599"/>
      <c r="C7050" s="1042"/>
      <c r="D7050" s="1367"/>
      <c r="E7050" s="2121"/>
      <c r="F7050" s="1436"/>
      <c r="G7050" s="1436"/>
      <c r="H7050" s="1369"/>
      <c r="I7050" s="1299" t="str">
        <f t="shared" ref="I7050" ca="1" si="946">IF(COUNT(H7050:O7050)=0,"",(SUM(H7050:O7050)/COUNT(H7050:O7050)))</f>
        <v/>
      </c>
      <c r="J7050" s="1300"/>
      <c r="K7050" s="1307"/>
      <c r="L7050" s="1335"/>
      <c r="M7050" s="1302"/>
      <c r="N7050" s="1700"/>
      <c r="O7050" s="1290"/>
      <c r="P7050" s="1332"/>
      <c r="Q7050" s="3391"/>
      <c r="R7050" s="2339"/>
    </row>
    <row r="7051" spans="1:18" s="16" customFormat="1">
      <c r="A7051" s="1042"/>
      <c r="B7051" s="1599"/>
      <c r="C7051" s="1042"/>
      <c r="D7051" s="1359"/>
      <c r="E7051" s="1858"/>
      <c r="F7051" s="1360" t="s">
        <v>2</v>
      </c>
      <c r="G7051" s="1360"/>
      <c r="H7051" s="1362"/>
      <c r="I7051" s="1380"/>
      <c r="J7051" s="1381"/>
      <c r="K7051" s="1381"/>
      <c r="L7051" s="1458"/>
      <c r="M7051" s="1362"/>
      <c r="N7051" s="1362"/>
      <c r="O7051" s="1362"/>
      <c r="P7051" s="1359"/>
      <c r="Q7051" s="3387"/>
      <c r="R7051" s="2339"/>
    </row>
    <row r="7052" spans="1:18" s="16" customFormat="1">
      <c r="A7052" s="1321"/>
      <c r="B7052" s="2053"/>
      <c r="C7052" s="1321"/>
      <c r="D7052" s="1624" t="s">
        <v>1593</v>
      </c>
      <c r="E7052" s="2158" t="s">
        <v>1508</v>
      </c>
      <c r="F7052" s="1624" t="s">
        <v>2280</v>
      </c>
      <c r="G7052" s="1625">
        <v>0.05</v>
      </c>
      <c r="H7052" s="1386"/>
      <c r="I7052" s="1299"/>
      <c r="J7052" s="1300"/>
      <c r="K7052" s="1307">
        <f>G7052*K7046</f>
        <v>2.6999999999999997E-3</v>
      </c>
      <c r="L7052" s="1335">
        <f t="shared" ref="L7052:L7053" si="947">K7052*$K$7035</f>
        <v>0</v>
      </c>
      <c r="M7052" s="1302">
        <v>19.23</v>
      </c>
      <c r="N7052" s="1700"/>
      <c r="O7052" s="1290">
        <f>G7052*M7052</f>
        <v>0.96150000000000002</v>
      </c>
      <c r="P7052" s="1332">
        <f>M7052*K7052</f>
        <v>5.1920999999999995E-2</v>
      </c>
      <c r="Q7052" s="3391"/>
      <c r="R7052" s="2339"/>
    </row>
    <row r="7053" spans="1:18" s="16" customFormat="1">
      <c r="A7053" s="1320"/>
      <c r="B7053" s="1599"/>
      <c r="C7053" s="1320"/>
      <c r="D7053" s="1624" t="s">
        <v>1110</v>
      </c>
      <c r="E7053" s="2158" t="s">
        <v>1508</v>
      </c>
      <c r="F7053" s="1624" t="s">
        <v>2281</v>
      </c>
      <c r="G7053" s="1625">
        <v>0.7</v>
      </c>
      <c r="H7053" s="1359"/>
      <c r="I7053" s="1299"/>
      <c r="J7053" s="1300"/>
      <c r="K7053" s="1307">
        <f>G7053*K7046</f>
        <v>3.7799999999999993E-2</v>
      </c>
      <c r="L7053" s="1335">
        <f t="shared" si="947"/>
        <v>0</v>
      </c>
      <c r="M7053" s="1302">
        <v>18.420000000000002</v>
      </c>
      <c r="N7053" s="1700"/>
      <c r="O7053" s="1290">
        <f>G7053*M7053</f>
        <v>12.894</v>
      </c>
      <c r="P7053" s="1332">
        <f>M7053*K7053</f>
        <v>0.69627599999999989</v>
      </c>
      <c r="Q7053" s="3391"/>
      <c r="R7053" s="2339"/>
    </row>
    <row r="7054" spans="1:18" s="16" customFormat="1">
      <c r="A7054"/>
      <c r="B7054" s="1042"/>
      <c r="C7054" s="2086" t="s">
        <v>2282</v>
      </c>
      <c r="D7054" s="1311"/>
      <c r="E7054" s="2176" t="s">
        <v>1508</v>
      </c>
      <c r="F7054" s="1648" t="s">
        <v>2283</v>
      </c>
      <c r="G7054" s="1990"/>
      <c r="H7054" s="1456">
        <v>2.5</v>
      </c>
      <c r="I7054" s="1444"/>
      <c r="J7054" s="1388"/>
      <c r="K7054" s="1445"/>
      <c r="L7054" s="1457"/>
      <c r="M7054" s="1447"/>
      <c r="N7054" s="1447">
        <f>SUM(N7055:N7056)</f>
        <v>37.019999999999996</v>
      </c>
      <c r="O7054" s="1447">
        <f>SUM(O7055:O7056)</f>
        <v>92.55</v>
      </c>
      <c r="P7054" s="1447">
        <f>SUM(P7055:P7056)</f>
        <v>4.9977</v>
      </c>
      <c r="Q7054" s="3391"/>
      <c r="R7054" s="2337"/>
    </row>
    <row r="7055" spans="1:18" s="16" customFormat="1">
      <c r="A7055"/>
      <c r="B7055" s="1042"/>
      <c r="C7055" s="19"/>
      <c r="D7055" s="1430" t="s">
        <v>1067</v>
      </c>
      <c r="E7055" s="1857" t="s">
        <v>1508</v>
      </c>
      <c r="F7055" s="1403" t="s">
        <v>5</v>
      </c>
      <c r="G7055" s="1991">
        <v>1</v>
      </c>
      <c r="H7055" s="1408">
        <f>G7055*H7054</f>
        <v>2.5</v>
      </c>
      <c r="I7055" s="1286"/>
      <c r="J7055" s="198"/>
      <c r="K7055" s="1307">
        <f>H7055*K7046</f>
        <v>0.13499999999999998</v>
      </c>
      <c r="L7055" s="1335">
        <f t="shared" ref="L7055:L7056" si="948">K7055*$K$7035</f>
        <v>0</v>
      </c>
      <c r="M7055" s="1302">
        <v>18.28</v>
      </c>
      <c r="N7055" s="1718">
        <f>G7055*M7055</f>
        <v>18.28</v>
      </c>
      <c r="O7055" s="1290">
        <f>H7055*M7055</f>
        <v>45.7</v>
      </c>
      <c r="P7055" s="1720">
        <f>M7055*K7055</f>
        <v>2.4678</v>
      </c>
      <c r="Q7055" s="3396"/>
      <c r="R7055" s="2337"/>
    </row>
    <row r="7056" spans="1:18" s="16" customFormat="1">
      <c r="A7056"/>
      <c r="B7056" s="1042"/>
      <c r="C7056" s="19"/>
      <c r="D7056" s="1430" t="s">
        <v>1165</v>
      </c>
      <c r="E7056" s="1857" t="s">
        <v>1508</v>
      </c>
      <c r="F7056" s="1403" t="s">
        <v>114</v>
      </c>
      <c r="G7056" s="1991">
        <v>1</v>
      </c>
      <c r="H7056" s="1408">
        <f>G7056*H7054</f>
        <v>2.5</v>
      </c>
      <c r="I7056" s="197"/>
      <c r="J7056" s="198"/>
      <c r="K7056" s="1307">
        <f>H7056*K7046</f>
        <v>0.13499999999999998</v>
      </c>
      <c r="L7056" s="1335">
        <f t="shared" si="948"/>
        <v>0</v>
      </c>
      <c r="M7056" s="1302">
        <v>18.739999999999998</v>
      </c>
      <c r="N7056" s="1718">
        <f>G7056*M7056</f>
        <v>18.739999999999998</v>
      </c>
      <c r="O7056" s="1290">
        <f>H7056*M7056</f>
        <v>46.849999999999994</v>
      </c>
      <c r="P7056" s="1720">
        <f>M7056*K7056</f>
        <v>2.5298999999999996</v>
      </c>
      <c r="Q7056" s="3396"/>
      <c r="R7056" s="2337"/>
    </row>
    <row r="7057" spans="1:18" s="16" customFormat="1">
      <c r="A7057"/>
      <c r="B7057" s="1320"/>
      <c r="D7057" s="1359"/>
      <c r="E7057" s="1858"/>
      <c r="F7057" s="1361"/>
      <c r="G7057" s="1361"/>
      <c r="H7057" s="1466"/>
      <c r="I7057" s="1289"/>
      <c r="J7057" s="8"/>
      <c r="K7057" s="1307"/>
      <c r="L7057" s="1335"/>
      <c r="M7057" s="1302"/>
      <c r="N7057" s="1700"/>
      <c r="O7057" s="1290"/>
      <c r="P7057" s="1332"/>
      <c r="Q7057" s="3391"/>
      <c r="R7057" s="1296"/>
    </row>
    <row r="7058" spans="1:18" s="16" customFormat="1">
      <c r="A7058" s="1320"/>
      <c r="B7058" s="1599"/>
      <c r="C7058" s="1320"/>
      <c r="D7058" s="1373"/>
      <c r="E7058" s="2123"/>
      <c r="F7058" s="1374" t="s">
        <v>3</v>
      </c>
      <c r="G7058" s="1375"/>
      <c r="H7058" s="1376"/>
      <c r="I7058" s="1382"/>
      <c r="J7058" s="1383"/>
      <c r="K7058" s="1383"/>
      <c r="L7058" s="1413"/>
      <c r="M7058" s="1376"/>
      <c r="N7058" s="1376"/>
      <c r="O7058" s="1376"/>
      <c r="P7058" s="1373"/>
      <c r="Q7058" s="3387"/>
      <c r="R7058" s="2339"/>
    </row>
    <row r="7059" spans="1:18" s="16" customFormat="1">
      <c r="A7059" s="1321"/>
      <c r="B7059" s="2053"/>
      <c r="C7059" s="1321"/>
      <c r="D7059" s="1377"/>
      <c r="E7059" s="2124"/>
      <c r="F7059" s="1378"/>
      <c r="G7059" s="1378"/>
      <c r="H7059" s="1379"/>
      <c r="I7059" s="1299"/>
      <c r="J7059" s="1300"/>
      <c r="K7059" s="1307"/>
      <c r="L7059" s="1335"/>
      <c r="M7059" s="1302"/>
      <c r="N7059" s="1700"/>
      <c r="O7059" s="1290"/>
      <c r="P7059" s="1332"/>
      <c r="Q7059" s="3391"/>
      <c r="R7059" s="2339"/>
    </row>
    <row r="7060" spans="1:18" s="16" customFormat="1">
      <c r="A7060" s="1321"/>
      <c r="B7060" s="2053"/>
      <c r="C7060" s="1321"/>
      <c r="D7060" s="1377"/>
      <c r="E7060" s="2124"/>
      <c r="F7060" s="1378"/>
      <c r="G7060" s="1378"/>
      <c r="H7060" s="1379"/>
      <c r="I7060" s="1299"/>
      <c r="J7060" s="1300"/>
      <c r="K7060" s="1307"/>
      <c r="L7060" s="1335"/>
      <c r="M7060" s="1302"/>
      <c r="N7060" s="1700"/>
      <c r="O7060" s="1290"/>
      <c r="P7060" s="1333"/>
      <c r="Q7060" s="3391"/>
      <c r="R7060" s="2339"/>
    </row>
    <row r="7061" spans="1:18" s="16" customFormat="1">
      <c r="A7061" s="1042"/>
      <c r="B7061" s="1765"/>
      <c r="C7061" s="223"/>
      <c r="D7061" s="1373"/>
      <c r="E7061" s="2161"/>
      <c r="F7061" s="1678"/>
      <c r="G7061" s="1678"/>
      <c r="H7061" s="1376"/>
      <c r="I7061" s="1299"/>
      <c r="J7061" s="1300"/>
      <c r="K7061" s="1307"/>
      <c r="L7061" s="1335"/>
      <c r="M7061" s="1302"/>
      <c r="N7061" s="1700"/>
      <c r="O7061" s="1290"/>
      <c r="P7061" s="1332"/>
      <c r="Q7061" s="3391"/>
      <c r="R7061" s="2339"/>
    </row>
    <row r="7062" spans="1:18" s="16" customFormat="1">
      <c r="A7062" s="18" t="s">
        <v>3764</v>
      </c>
      <c r="B7062" s="4325" t="s">
        <v>2284</v>
      </c>
      <c r="C7062" s="3350"/>
      <c r="D7062" s="4327"/>
      <c r="E7062" s="4329" t="s">
        <v>1504</v>
      </c>
      <c r="F7062" s="4336" t="s">
        <v>2285</v>
      </c>
      <c r="G7062" s="4331" t="s">
        <v>1568</v>
      </c>
      <c r="H7062" s="4331" t="s">
        <v>1574</v>
      </c>
      <c r="I7062" s="1572" t="s">
        <v>1559</v>
      </c>
      <c r="J7062" s="1294" t="s">
        <v>1560</v>
      </c>
      <c r="K7062" s="1294" t="s">
        <v>1569</v>
      </c>
      <c r="L7062" s="4333" t="s">
        <v>3765</v>
      </c>
      <c r="M7062" s="4335" t="s">
        <v>1571</v>
      </c>
      <c r="N7062" s="4323" t="s">
        <v>1776</v>
      </c>
      <c r="O7062" s="3347" t="s">
        <v>1563</v>
      </c>
      <c r="P7062" s="1336" t="s">
        <v>1562</v>
      </c>
      <c r="Q7062" s="3389"/>
      <c r="R7062" s="1699" t="s">
        <v>1327</v>
      </c>
    </row>
    <row r="7063" spans="1:18" s="16" customFormat="1">
      <c r="A7063" s="1662" t="s">
        <v>2781</v>
      </c>
      <c r="B7063" s="4326"/>
      <c r="C7063" s="3351"/>
      <c r="D7063" s="4328"/>
      <c r="E7063" s="4330"/>
      <c r="F7063" s="4336"/>
      <c r="G7063" s="4332"/>
      <c r="H7063" s="4332"/>
      <c r="I7063" s="1345">
        <v>1</v>
      </c>
      <c r="J7063" s="1307">
        <v>1.7999999999999999E-2</v>
      </c>
      <c r="K7063" s="1666">
        <f>I7063*J7063</f>
        <v>1.7999999999999999E-2</v>
      </c>
      <c r="L7063" s="4334"/>
      <c r="M7063" s="4335"/>
      <c r="N7063" s="4324"/>
      <c r="O7063" s="1298">
        <f>SUM(O7065:O7075)</f>
        <v>125.59250000000002</v>
      </c>
      <c r="P7063" s="1337">
        <f>O7063*K7063</f>
        <v>2.2606649999999999</v>
      </c>
      <c r="Q7063" s="3390"/>
      <c r="R7063" s="1721">
        <f>P7065+P7066+P7067+P7068+P7071+P7072+P7075</f>
        <v>2.2606649999999999</v>
      </c>
    </row>
    <row r="7064" spans="1:18" s="16" customFormat="1">
      <c r="A7064" s="1320"/>
      <c r="B7064" s="1949"/>
      <c r="C7064" s="1327"/>
      <c r="D7064" s="1367"/>
      <c r="E7064" s="2121"/>
      <c r="F7064" s="1389" t="s">
        <v>1</v>
      </c>
      <c r="G7064" s="1389"/>
      <c r="H7064" s="1369"/>
      <c r="I7064" s="2088"/>
      <c r="J7064" s="1369"/>
      <c r="K7064" s="1391"/>
      <c r="L7064" s="1559"/>
      <c r="M7064" s="1369"/>
      <c r="N7064" s="1369"/>
      <c r="O7064" s="1369"/>
      <c r="P7064" s="1392"/>
      <c r="Q7064" s="3395"/>
      <c r="R7064" s="2339"/>
    </row>
    <row r="7065" spans="1:18" s="16" customFormat="1">
      <c r="A7065" s="1320"/>
      <c r="B7065" s="1599"/>
      <c r="C7065" s="1320"/>
      <c r="D7065" s="1668" t="s">
        <v>2286</v>
      </c>
      <c r="E7065" s="2166" t="s">
        <v>1527</v>
      </c>
      <c r="F7065" s="1668" t="s">
        <v>2287</v>
      </c>
      <c r="G7065" s="1958">
        <v>1</v>
      </c>
      <c r="H7065" s="1369"/>
      <c r="I7065" s="1299"/>
      <c r="J7065" s="1300"/>
      <c r="K7065" s="1307">
        <f>K7063*G7065</f>
        <v>1.7999999999999999E-2</v>
      </c>
      <c r="L7065" s="1335">
        <f t="shared" ref="L7065:L7068" si="949">K7065*$K$7035</f>
        <v>0</v>
      </c>
      <c r="M7065" s="1302">
        <v>15.36</v>
      </c>
      <c r="N7065" s="1700"/>
      <c r="O7065" s="1290">
        <f>G7065*M7065</f>
        <v>15.36</v>
      </c>
      <c r="P7065" s="1332">
        <f>M7065*K7065</f>
        <v>0.27647999999999995</v>
      </c>
      <c r="Q7065" s="3391"/>
      <c r="R7065" s="2339"/>
    </row>
    <row r="7066" spans="1:18" s="16" customFormat="1">
      <c r="A7066" s="1042"/>
      <c r="B7066" s="1599"/>
      <c r="C7066" s="1042"/>
      <c r="D7066" s="1668" t="s">
        <v>2288</v>
      </c>
      <c r="E7066" s="2166" t="s">
        <v>1504</v>
      </c>
      <c r="F7066" s="1668" t="s">
        <v>2289</v>
      </c>
      <c r="G7066" s="1958">
        <v>1</v>
      </c>
      <c r="H7066" s="1674"/>
      <c r="I7066" s="1299"/>
      <c r="J7066" s="1300"/>
      <c r="K7066" s="1307">
        <f>G7066*K7063</f>
        <v>1.7999999999999999E-2</v>
      </c>
      <c r="L7066" s="1335">
        <f t="shared" si="949"/>
        <v>0</v>
      </c>
      <c r="M7066" s="1302">
        <v>30.73</v>
      </c>
      <c r="N7066" s="1700"/>
      <c r="O7066" s="1290">
        <f>G7066*M7066</f>
        <v>30.73</v>
      </c>
      <c r="P7066" s="1332">
        <f>M7066*K7066</f>
        <v>0.55313999999999997</v>
      </c>
      <c r="Q7066" s="3391"/>
      <c r="R7066" s="2339"/>
    </row>
    <row r="7067" spans="1:18" s="16" customFormat="1">
      <c r="A7067" s="1042"/>
      <c r="B7067" s="1599"/>
      <c r="C7067" s="1042"/>
      <c r="D7067" s="1668" t="s">
        <v>1082</v>
      </c>
      <c r="E7067" s="2166" t="s">
        <v>1504</v>
      </c>
      <c r="F7067" s="1668" t="s">
        <v>1541</v>
      </c>
      <c r="G7067" s="1958">
        <v>2</v>
      </c>
      <c r="H7067" s="1674"/>
      <c r="I7067" s="1299"/>
      <c r="J7067" s="1300"/>
      <c r="K7067" s="1307">
        <f>G7067*K7063</f>
        <v>3.5999999999999997E-2</v>
      </c>
      <c r="L7067" s="1335">
        <f t="shared" si="949"/>
        <v>0</v>
      </c>
      <c r="M7067" s="1302">
        <v>0.3</v>
      </c>
      <c r="N7067" s="1700"/>
      <c r="O7067" s="1290">
        <f>G7067*M7067</f>
        <v>0.6</v>
      </c>
      <c r="P7067" s="1332">
        <f>M7067*K7067</f>
        <v>1.0799999999999999E-2</v>
      </c>
      <c r="Q7067" s="3391"/>
      <c r="R7067" s="2339"/>
    </row>
    <row r="7068" spans="1:18" s="16" customFormat="1">
      <c r="A7068" s="1042"/>
      <c r="B7068" s="1599"/>
      <c r="C7068" s="1042"/>
      <c r="D7068" s="1668" t="s">
        <v>1097</v>
      </c>
      <c r="E7068" s="2166" t="s">
        <v>1504</v>
      </c>
      <c r="F7068" s="1668" t="s">
        <v>1632</v>
      </c>
      <c r="G7068" s="1958">
        <v>4</v>
      </c>
      <c r="H7068" s="1674"/>
      <c r="I7068" s="1299"/>
      <c r="J7068" s="1300"/>
      <c r="K7068" s="1307">
        <f>G7068*K7063</f>
        <v>7.1999999999999995E-2</v>
      </c>
      <c r="L7068" s="1335">
        <f t="shared" si="949"/>
        <v>0</v>
      </c>
      <c r="M7068" s="1302">
        <v>0.55000000000000004</v>
      </c>
      <c r="N7068" s="1700"/>
      <c r="O7068" s="1290">
        <f>G7068*M7068</f>
        <v>2.2000000000000002</v>
      </c>
      <c r="P7068" s="1332">
        <f>M7068*K7068</f>
        <v>3.9600000000000003E-2</v>
      </c>
      <c r="Q7068" s="3391"/>
      <c r="R7068" s="2339"/>
    </row>
    <row r="7069" spans="1:18" s="16" customFormat="1">
      <c r="A7069" s="1042"/>
      <c r="B7069" s="1599"/>
      <c r="C7069" s="1042"/>
      <c r="D7069" s="1367"/>
      <c r="E7069" s="2121"/>
      <c r="F7069" s="1436"/>
      <c r="G7069" s="1436"/>
      <c r="H7069" s="1369"/>
      <c r="I7069" s="1299" t="str">
        <f t="shared" ref="I7069" ca="1" si="950">IF(COUNT(H7069:O7069)=0,"",(SUM(H7069:O7069)/COUNT(H7069:O7069)))</f>
        <v/>
      </c>
      <c r="J7069" s="1300"/>
      <c r="K7069" s="1307"/>
      <c r="L7069" s="1335"/>
      <c r="M7069" s="1302"/>
      <c r="N7069" s="1700"/>
      <c r="O7069" s="1290"/>
      <c r="P7069" s="1332"/>
      <c r="Q7069" s="3391"/>
      <c r="R7069" s="2339"/>
    </row>
    <row r="7070" spans="1:18" s="16" customFormat="1">
      <c r="A7070" s="1042"/>
      <c r="B7070" s="1599"/>
      <c r="C7070" s="1042"/>
      <c r="D7070" s="1359"/>
      <c r="E7070" s="1858"/>
      <c r="F7070" s="1360" t="s">
        <v>2</v>
      </c>
      <c r="G7070" s="1360"/>
      <c r="H7070" s="1362"/>
      <c r="I7070" s="1380"/>
      <c r="J7070" s="1381"/>
      <c r="K7070" s="1381"/>
      <c r="L7070" s="1458"/>
      <c r="M7070" s="1362"/>
      <c r="N7070" s="1362"/>
      <c r="O7070" s="1362"/>
      <c r="P7070" s="1359"/>
      <c r="Q7070" s="3387"/>
      <c r="R7070" s="2339"/>
    </row>
    <row r="7071" spans="1:18" s="16" customFormat="1">
      <c r="A7071" s="1321"/>
      <c r="B7071" s="2053"/>
      <c r="C7071" s="1321"/>
      <c r="D7071" s="1624" t="s">
        <v>1593</v>
      </c>
      <c r="E7071" s="2158" t="s">
        <v>1508</v>
      </c>
      <c r="F7071" s="1624" t="s">
        <v>2280</v>
      </c>
      <c r="G7071" s="1625">
        <v>0.75</v>
      </c>
      <c r="H7071" s="1386"/>
      <c r="I7071" s="1299"/>
      <c r="J7071" s="1300"/>
      <c r="K7071" s="1307">
        <f>G7071*K7063</f>
        <v>1.3499999999999998E-2</v>
      </c>
      <c r="L7071" s="1335">
        <f t="shared" ref="L7071:L7072" si="951">K7071*$K$7035</f>
        <v>0</v>
      </c>
      <c r="M7071" s="1302">
        <v>19.23</v>
      </c>
      <c r="N7071" s="1700"/>
      <c r="O7071" s="1290">
        <f>G7071*M7071</f>
        <v>14.422499999999999</v>
      </c>
      <c r="P7071" s="1332">
        <f>M7071*K7071</f>
        <v>0.25960499999999997</v>
      </c>
      <c r="Q7071" s="3391"/>
      <c r="R7071" s="2339"/>
    </row>
    <row r="7072" spans="1:18" s="16" customFormat="1">
      <c r="A7072" s="1320"/>
      <c r="B7072" s="1599"/>
      <c r="C7072" s="1320"/>
      <c r="D7072" s="1430" t="s">
        <v>1067</v>
      </c>
      <c r="E7072" s="1857" t="s">
        <v>1508</v>
      </c>
      <c r="F7072" s="1403" t="s">
        <v>5</v>
      </c>
      <c r="G7072" s="1625">
        <v>3.4</v>
      </c>
      <c r="H7072" s="1359"/>
      <c r="I7072" s="1299"/>
      <c r="J7072" s="1300"/>
      <c r="K7072" s="1307">
        <f>G7072*K7063</f>
        <v>6.1199999999999991E-2</v>
      </c>
      <c r="L7072" s="1335">
        <f t="shared" si="951"/>
        <v>0</v>
      </c>
      <c r="M7072" s="1302">
        <v>18.28</v>
      </c>
      <c r="N7072" s="1700"/>
      <c r="O7072" s="1290">
        <f>G7072*M7072</f>
        <v>62.152000000000001</v>
      </c>
      <c r="P7072" s="1332">
        <f>M7072*K7072</f>
        <v>1.118736</v>
      </c>
      <c r="Q7072" s="3391"/>
      <c r="R7072" s="2339"/>
    </row>
    <row r="7073" spans="1:18" s="16" customFormat="1">
      <c r="A7073"/>
      <c r="B7073" s="1320"/>
      <c r="D7073" s="1359"/>
      <c r="E7073" s="1858"/>
      <c r="F7073" s="1361"/>
      <c r="G7073" s="1361"/>
      <c r="H7073" s="1466"/>
      <c r="I7073" s="1289"/>
      <c r="J7073" s="8"/>
      <c r="K7073" s="1307"/>
      <c r="L7073" s="1335"/>
      <c r="M7073" s="1302"/>
      <c r="N7073" s="1700"/>
      <c r="O7073" s="1290"/>
      <c r="P7073" s="1332"/>
      <c r="Q7073" s="3391"/>
      <c r="R7073" s="1296"/>
    </row>
    <row r="7074" spans="1:18" s="16" customFormat="1">
      <c r="A7074" s="1320"/>
      <c r="B7074" s="1599"/>
      <c r="C7074" s="1320"/>
      <c r="D7074" s="1373"/>
      <c r="E7074" s="2123"/>
      <c r="F7074" s="1374" t="s">
        <v>3</v>
      </c>
      <c r="G7074" s="1375"/>
      <c r="H7074" s="1376"/>
      <c r="I7074" s="1382"/>
      <c r="J7074" s="1383"/>
      <c r="K7074" s="1383"/>
      <c r="L7074" s="1413"/>
      <c r="M7074" s="1376"/>
      <c r="N7074" s="1376"/>
      <c r="O7074" s="1376"/>
      <c r="P7074" s="1373"/>
      <c r="Q7074" s="3387"/>
      <c r="R7074" s="2339"/>
    </row>
    <row r="7075" spans="1:18" s="16" customFormat="1">
      <c r="A7075" s="1321"/>
      <c r="B7075" s="2053"/>
      <c r="C7075" s="1321"/>
      <c r="D7075" s="1827" t="s">
        <v>1073</v>
      </c>
      <c r="E7075" s="2173" t="s">
        <v>1508</v>
      </c>
      <c r="F7075" s="1827" t="s">
        <v>1509</v>
      </c>
      <c r="G7075" s="1828">
        <v>5.0000000000000001E-3</v>
      </c>
      <c r="H7075" s="1379"/>
      <c r="I7075" s="1299"/>
      <c r="J7075" s="1300"/>
      <c r="K7075" s="1307">
        <f>G7075*K7066</f>
        <v>8.9999999999999992E-5</v>
      </c>
      <c r="L7075" s="1335">
        <f t="shared" ref="L7075" si="952">K7075*$K$7035</f>
        <v>0</v>
      </c>
      <c r="M7075" s="1302">
        <v>25.6</v>
      </c>
      <c r="N7075" s="1700"/>
      <c r="O7075" s="1290">
        <f>G7075*M7075</f>
        <v>0.128</v>
      </c>
      <c r="P7075" s="1332">
        <f>M7075*K7075</f>
        <v>2.3040000000000001E-3</v>
      </c>
      <c r="Q7075" s="3391"/>
      <c r="R7075" s="2339"/>
    </row>
    <row r="7076" spans="1:18" s="16" customFormat="1">
      <c r="A7076" s="1321"/>
      <c r="B7076" s="2053"/>
      <c r="C7076" s="1321"/>
      <c r="D7076" s="1377"/>
      <c r="E7076" s="2124"/>
      <c r="F7076" s="1378"/>
      <c r="G7076" s="1378"/>
      <c r="H7076" s="1379"/>
      <c r="I7076" s="1299"/>
      <c r="J7076" s="1300"/>
      <c r="K7076" s="1307"/>
      <c r="L7076" s="1335"/>
      <c r="M7076" s="1302"/>
      <c r="N7076" s="1700"/>
      <c r="O7076" s="1290"/>
      <c r="P7076" s="1333"/>
      <c r="Q7076" s="3391"/>
      <c r="R7076" s="2339"/>
    </row>
    <row r="7077" spans="1:18" s="16" customFormat="1">
      <c r="A7077" s="1042"/>
      <c r="B7077" s="1765"/>
      <c r="C7077" s="223"/>
      <c r="D7077" s="1373"/>
      <c r="E7077" s="2161"/>
      <c r="F7077" s="1678"/>
      <c r="G7077" s="1678"/>
      <c r="H7077" s="1376"/>
      <c r="I7077" s="1299"/>
      <c r="J7077" s="1300"/>
      <c r="K7077" s="1307"/>
      <c r="L7077" s="1335"/>
      <c r="M7077" s="1302"/>
      <c r="N7077" s="1700"/>
      <c r="O7077" s="1290"/>
      <c r="P7077" s="1332"/>
      <c r="Q7077" s="3391"/>
      <c r="R7077" s="2339"/>
    </row>
    <row r="7078" spans="1:18" s="16" customFormat="1">
      <c r="A7078" s="18" t="s">
        <v>3764</v>
      </c>
      <c r="B7078" s="4325" t="s">
        <v>2290</v>
      </c>
      <c r="C7078" s="3350"/>
      <c r="D7078" s="4327"/>
      <c r="E7078" s="4329" t="s">
        <v>1527</v>
      </c>
      <c r="F7078" s="4336" t="s">
        <v>2291</v>
      </c>
      <c r="G7078" s="4331" t="s">
        <v>1568</v>
      </c>
      <c r="H7078" s="4331" t="s">
        <v>1574</v>
      </c>
      <c r="I7078" s="1572" t="s">
        <v>1559</v>
      </c>
      <c r="J7078" s="1294" t="s">
        <v>1560</v>
      </c>
      <c r="K7078" s="1294" t="s">
        <v>1569</v>
      </c>
      <c r="L7078" s="4333" t="s">
        <v>3765</v>
      </c>
      <c r="M7078" s="4335" t="s">
        <v>1571</v>
      </c>
      <c r="N7078" s="4323" t="s">
        <v>1776</v>
      </c>
      <c r="O7078" s="3347" t="s">
        <v>1563</v>
      </c>
      <c r="P7078" s="1336" t="s">
        <v>1562</v>
      </c>
      <c r="Q7078" s="3389"/>
      <c r="R7078" s="1699" t="s">
        <v>1327</v>
      </c>
    </row>
    <row r="7079" spans="1:18" s="16" customFormat="1">
      <c r="A7079" s="1662" t="s">
        <v>2781</v>
      </c>
      <c r="B7079" s="4326"/>
      <c r="C7079" s="3351"/>
      <c r="D7079" s="4328"/>
      <c r="E7079" s="4330"/>
      <c r="F7079" s="4336"/>
      <c r="G7079" s="4332"/>
      <c r="H7079" s="4332"/>
      <c r="I7079" s="1345">
        <v>6</v>
      </c>
      <c r="J7079" s="1307">
        <v>1.7999999999999999E-2</v>
      </c>
      <c r="K7079" s="1666">
        <f>I7079*J7079</f>
        <v>0.10799999999999998</v>
      </c>
      <c r="L7079" s="4334"/>
      <c r="M7079" s="4335"/>
      <c r="N7079" s="4324"/>
      <c r="O7079" s="1298">
        <f>O7081+O7082+O7083+O7084+O7087+O7088+O7094</f>
        <v>10.330899999999998</v>
      </c>
      <c r="P7079" s="1337">
        <f>O7079*K7079</f>
        <v>1.1157371999999997</v>
      </c>
      <c r="Q7079" s="3390"/>
      <c r="R7079" s="1721">
        <f>P7081+P7082+P7083+P7084+P7087+P7088+P7094</f>
        <v>1.1157371999999999</v>
      </c>
    </row>
    <row r="7080" spans="1:18" s="16" customFormat="1">
      <c r="A7080" s="1320"/>
      <c r="B7080" s="1949"/>
      <c r="C7080" s="1327"/>
      <c r="D7080" s="1367"/>
      <c r="E7080" s="2121"/>
      <c r="F7080" s="1389" t="s">
        <v>1</v>
      </c>
      <c r="G7080" s="1389"/>
      <c r="H7080" s="1369"/>
      <c r="I7080" s="2088"/>
      <c r="J7080" s="1369"/>
      <c r="K7080" s="1391"/>
      <c r="L7080" s="1559"/>
      <c r="M7080" s="1369"/>
      <c r="N7080" s="1369"/>
      <c r="O7080" s="1369"/>
      <c r="P7080" s="1392"/>
      <c r="Q7080" s="3395"/>
      <c r="R7080" s="2339"/>
    </row>
    <row r="7081" spans="1:18" s="16" customFormat="1">
      <c r="A7081" s="1320"/>
      <c r="B7081" s="1599"/>
      <c r="C7081" s="1320"/>
      <c r="D7081" s="1598" t="s">
        <v>1252</v>
      </c>
      <c r="E7081" s="2154" t="s">
        <v>1527</v>
      </c>
      <c r="F7081" s="1598" t="s">
        <v>2168</v>
      </c>
      <c r="G7081" s="1612">
        <v>1.01</v>
      </c>
      <c r="H7081" s="1369"/>
      <c r="I7081" s="1299"/>
      <c r="J7081" s="1300"/>
      <c r="K7081" s="1307">
        <f>K7079*G7081</f>
        <v>0.10907999999999998</v>
      </c>
      <c r="L7081" s="1335">
        <f t="shared" ref="L7081:L7084" si="953">K7081*$K$7035</f>
        <v>0</v>
      </c>
      <c r="M7081" s="1302">
        <v>0.16</v>
      </c>
      <c r="N7081" s="1700"/>
      <c r="O7081" s="1290">
        <f>G7081*M7081</f>
        <v>0.16159999999999999</v>
      </c>
      <c r="P7081" s="1332">
        <f>M7081*K7081</f>
        <v>1.7452799999999997E-2</v>
      </c>
      <c r="Q7081" s="3391"/>
      <c r="R7081" s="2339"/>
    </row>
    <row r="7082" spans="1:18" s="16" customFormat="1">
      <c r="A7082" s="1042"/>
      <c r="B7082" s="1599"/>
      <c r="C7082" s="1042"/>
      <c r="D7082" s="1598" t="s">
        <v>2292</v>
      </c>
      <c r="E7082" s="2154" t="s">
        <v>1357</v>
      </c>
      <c r="F7082" s="1598" t="s">
        <v>2293</v>
      </c>
      <c r="G7082" s="1612">
        <v>0.14000000000000001</v>
      </c>
      <c r="H7082" s="1674"/>
      <c r="I7082" s="1299"/>
      <c r="J7082" s="1300"/>
      <c r="K7082" s="1307">
        <f>G7082*K7079</f>
        <v>1.512E-2</v>
      </c>
      <c r="L7082" s="1335">
        <f t="shared" si="953"/>
        <v>0</v>
      </c>
      <c r="M7082" s="1302">
        <v>4.66</v>
      </c>
      <c r="N7082" s="1700"/>
      <c r="O7082" s="1290">
        <f>G7082*M7082</f>
        <v>0.65240000000000009</v>
      </c>
      <c r="P7082" s="1332">
        <f>M7082*K7082</f>
        <v>7.04592E-2</v>
      </c>
      <c r="Q7082" s="3391"/>
      <c r="R7082" s="2339"/>
    </row>
    <row r="7083" spans="1:18" s="16" customFormat="1">
      <c r="A7083" s="1042"/>
      <c r="B7083" s="1599"/>
      <c r="C7083" s="1042"/>
      <c r="D7083" s="1668" t="s">
        <v>1082</v>
      </c>
      <c r="E7083" s="2166" t="s">
        <v>1504</v>
      </c>
      <c r="F7083" s="1668" t="s">
        <v>1541</v>
      </c>
      <c r="G7083" s="1958">
        <v>0.5</v>
      </c>
      <c r="H7083" s="1674"/>
      <c r="I7083" s="1299"/>
      <c r="J7083" s="1300"/>
      <c r="K7083" s="1307">
        <f>G7083*K7079</f>
        <v>5.3999999999999992E-2</v>
      </c>
      <c r="L7083" s="1335">
        <f t="shared" si="953"/>
        <v>0</v>
      </c>
      <c r="M7083" s="1302">
        <v>0.3</v>
      </c>
      <c r="N7083" s="1700"/>
      <c r="O7083" s="1290">
        <f>G7083*M7083</f>
        <v>0.15</v>
      </c>
      <c r="P7083" s="1332">
        <f>M7083*K7083</f>
        <v>1.6199999999999996E-2</v>
      </c>
      <c r="Q7083" s="3391"/>
      <c r="R7083" s="2339"/>
    </row>
    <row r="7084" spans="1:18" s="16" customFormat="1">
      <c r="A7084" s="1042"/>
      <c r="B7084" s="1599"/>
      <c r="C7084" s="1042"/>
      <c r="D7084" s="1668" t="s">
        <v>1097</v>
      </c>
      <c r="E7084" s="2166" t="s">
        <v>1504</v>
      </c>
      <c r="F7084" s="1668" t="s">
        <v>1632</v>
      </c>
      <c r="G7084" s="1958">
        <v>0.3</v>
      </c>
      <c r="H7084" s="1674"/>
      <c r="I7084" s="1299"/>
      <c r="J7084" s="1300"/>
      <c r="K7084" s="1307">
        <f>G7084*K7079</f>
        <v>3.2399999999999991E-2</v>
      </c>
      <c r="L7084" s="1335">
        <f t="shared" si="953"/>
        <v>0</v>
      </c>
      <c r="M7084" s="1302">
        <v>0.55000000000000004</v>
      </c>
      <c r="N7084" s="1700"/>
      <c r="O7084" s="1290">
        <f>G7084*M7084</f>
        <v>0.16500000000000001</v>
      </c>
      <c r="P7084" s="1332">
        <f>M7084*K7084</f>
        <v>1.7819999999999996E-2</v>
      </c>
      <c r="Q7084" s="3391"/>
      <c r="R7084" s="2339"/>
    </row>
    <row r="7085" spans="1:18" s="16" customFormat="1">
      <c r="A7085" s="1042"/>
      <c r="B7085" s="1599"/>
      <c r="C7085" s="1042"/>
      <c r="D7085" s="1367"/>
      <c r="E7085" s="2121"/>
      <c r="F7085" s="1436"/>
      <c r="G7085" s="1436"/>
      <c r="H7085" s="1369"/>
      <c r="I7085" s="1299" t="str">
        <f t="shared" ref="I7085" ca="1" si="954">IF(COUNT(H7085:O7085)=0,"",(SUM(H7085:O7085)/COUNT(H7085:O7085)))</f>
        <v/>
      </c>
      <c r="J7085" s="1300"/>
      <c r="K7085" s="1307"/>
      <c r="L7085" s="1335"/>
      <c r="M7085" s="1302"/>
      <c r="N7085" s="1700"/>
      <c r="O7085" s="1290"/>
      <c r="P7085" s="1332"/>
      <c r="Q7085" s="3391"/>
      <c r="R7085" s="2339"/>
    </row>
    <row r="7086" spans="1:18" s="16" customFormat="1">
      <c r="A7086" s="1042"/>
      <c r="B7086" s="1599"/>
      <c r="C7086" s="1042"/>
      <c r="D7086" s="1359"/>
      <c r="E7086" s="1858"/>
      <c r="F7086" s="1360" t="s">
        <v>2</v>
      </c>
      <c r="G7086" s="1360"/>
      <c r="H7086" s="1362"/>
      <c r="I7086" s="1380"/>
      <c r="J7086" s="1381"/>
      <c r="K7086" s="1381"/>
      <c r="L7086" s="1458"/>
      <c r="M7086" s="1362"/>
      <c r="N7086" s="1362"/>
      <c r="O7086" s="1362"/>
      <c r="P7086" s="1359"/>
      <c r="Q7086" s="3387"/>
      <c r="R7086" s="2339"/>
    </row>
    <row r="7087" spans="1:18" s="16" customFormat="1">
      <c r="A7087" s="1321"/>
      <c r="B7087" s="2053"/>
      <c r="C7087" s="1321"/>
      <c r="D7087" s="1624" t="s">
        <v>1593</v>
      </c>
      <c r="E7087" s="2158" t="s">
        <v>1508</v>
      </c>
      <c r="F7087" s="1624" t="s">
        <v>2280</v>
      </c>
      <c r="G7087" s="1625">
        <v>0.42</v>
      </c>
      <c r="H7087" s="1386"/>
      <c r="I7087" s="1299"/>
      <c r="J7087" s="1300"/>
      <c r="K7087" s="1307">
        <f>G7087*K7079</f>
        <v>4.5359999999999991E-2</v>
      </c>
      <c r="L7087" s="1335">
        <f>K7087*$K$7035</f>
        <v>0</v>
      </c>
      <c r="M7087" s="1302">
        <v>19.23</v>
      </c>
      <c r="N7087" s="1700"/>
      <c r="O7087" s="1290">
        <f>G7087*M7087</f>
        <v>8.0765999999999991</v>
      </c>
      <c r="P7087" s="1332">
        <f>M7087*K7087</f>
        <v>0.87227279999999985</v>
      </c>
      <c r="Q7087" s="3391"/>
      <c r="R7087" s="2339"/>
    </row>
    <row r="7088" spans="1:18" s="16" customFormat="1">
      <c r="A7088"/>
      <c r="B7088" s="1042"/>
      <c r="C7088" s="2086" t="s">
        <v>1755</v>
      </c>
      <c r="D7088" s="1311"/>
      <c r="E7088" s="2176" t="s">
        <v>1508</v>
      </c>
      <c r="F7088" s="1648" t="s">
        <v>1524</v>
      </c>
      <c r="G7088" s="1990"/>
      <c r="H7088" s="1457">
        <v>0.03</v>
      </c>
      <c r="I7088" s="1444"/>
      <c r="J7088" s="1366"/>
      <c r="K7088" s="1445"/>
      <c r="L7088" s="1457"/>
      <c r="M7088" s="1447"/>
      <c r="N7088" s="1447">
        <f>SUM(N7089:N7090)</f>
        <v>37.510000000000005</v>
      </c>
      <c r="O7088" s="1447">
        <f>SUM(O7089:O7090)</f>
        <v>1.1253</v>
      </c>
      <c r="P7088" s="1447">
        <f>SUM(P7089:P7090)</f>
        <v>0.12153239999999998</v>
      </c>
      <c r="Q7088" s="3391"/>
      <c r="R7088" s="2337"/>
    </row>
    <row r="7089" spans="1:18" s="16" customFormat="1">
      <c r="A7089"/>
      <c r="B7089" s="1042"/>
      <c r="C7089" s="19"/>
      <c r="D7089" s="1430" t="s">
        <v>1067</v>
      </c>
      <c r="E7089" s="1857" t="s">
        <v>1508</v>
      </c>
      <c r="F7089" s="1403" t="s">
        <v>5</v>
      </c>
      <c r="G7089" s="1991">
        <v>1</v>
      </c>
      <c r="H7089" s="1408">
        <f>G7089*H7088</f>
        <v>0.03</v>
      </c>
      <c r="I7089" s="1286"/>
      <c r="J7089" s="198"/>
      <c r="K7089" s="1307">
        <f>H7089*K7079</f>
        <v>3.2399999999999994E-3</v>
      </c>
      <c r="L7089" s="1335">
        <f t="shared" ref="L7089:L7090" si="955">K7089*$K$7035</f>
        <v>0</v>
      </c>
      <c r="M7089" s="1302">
        <v>18.28</v>
      </c>
      <c r="N7089" s="1718">
        <f>G7089*M7089</f>
        <v>18.28</v>
      </c>
      <c r="O7089" s="1290">
        <f>H7089*M7089</f>
        <v>0.5484</v>
      </c>
      <c r="P7089" s="1720">
        <f>M7089*K7089</f>
        <v>5.9227199999999994E-2</v>
      </c>
      <c r="Q7089" s="3396"/>
      <c r="R7089" s="2337"/>
    </row>
    <row r="7090" spans="1:18" s="16" customFormat="1">
      <c r="A7090"/>
      <c r="B7090" s="1042"/>
      <c r="C7090" s="19"/>
      <c r="D7090" s="1430" t="s">
        <v>1077</v>
      </c>
      <c r="E7090" s="1857" t="s">
        <v>1508</v>
      </c>
      <c r="F7090" s="1403" t="s">
        <v>37</v>
      </c>
      <c r="G7090" s="1991">
        <v>1</v>
      </c>
      <c r="H7090" s="1408">
        <f>G7090*H7088</f>
        <v>0.03</v>
      </c>
      <c r="I7090" s="197"/>
      <c r="J7090" s="198"/>
      <c r="K7090" s="1307">
        <f>H7090*K7079</f>
        <v>3.2399999999999994E-3</v>
      </c>
      <c r="L7090" s="1335">
        <f t="shared" si="955"/>
        <v>0</v>
      </c>
      <c r="M7090" s="1302">
        <v>19.23</v>
      </c>
      <c r="N7090" s="1718">
        <f>G7090*M7090</f>
        <v>19.23</v>
      </c>
      <c r="O7090" s="1290">
        <f>H7090*M7090</f>
        <v>0.57689999999999997</v>
      </c>
      <c r="P7090" s="1720">
        <f>M7090*K7090</f>
        <v>6.2305199999999991E-2</v>
      </c>
      <c r="Q7090" s="3396"/>
      <c r="R7090" s="2337"/>
    </row>
    <row r="7091" spans="1:18" s="16" customFormat="1">
      <c r="B7091" s="1599"/>
      <c r="C7091" s="1320"/>
      <c r="D7091" s="1430"/>
      <c r="E7091" s="1857"/>
      <c r="F7091" s="1766"/>
      <c r="G7091" s="1822"/>
      <c r="H7091" s="1359"/>
      <c r="I7091" s="1299"/>
      <c r="J7091" s="1300"/>
      <c r="K7091" s="1307"/>
      <c r="L7091" s="1335"/>
      <c r="M7091" s="1302"/>
      <c r="N7091" s="1700"/>
      <c r="O7091" s="1290"/>
      <c r="P7091" s="1332"/>
      <c r="Q7091" s="3391"/>
      <c r="R7091" s="2339"/>
    </row>
    <row r="7092" spans="1:18" s="16" customFormat="1">
      <c r="A7092"/>
      <c r="B7092" s="1320"/>
      <c r="D7092" s="1359"/>
      <c r="E7092" s="1858"/>
      <c r="F7092" s="1361"/>
      <c r="G7092" s="1361"/>
      <c r="H7092" s="1466"/>
      <c r="I7092" s="1289"/>
      <c r="J7092" s="8"/>
      <c r="K7092" s="1307"/>
      <c r="L7092" s="1335"/>
      <c r="M7092" s="1302"/>
      <c r="N7092" s="1700"/>
      <c r="O7092" s="1290"/>
      <c r="P7092" s="1332"/>
      <c r="Q7092" s="3391"/>
      <c r="R7092" s="1296"/>
    </row>
    <row r="7093" spans="1:18" s="16" customFormat="1">
      <c r="A7093" s="1320"/>
      <c r="B7093" s="1599"/>
      <c r="C7093" s="1320"/>
      <c r="D7093" s="1373"/>
      <c r="E7093" s="2123"/>
      <c r="F7093" s="1374" t="s">
        <v>3</v>
      </c>
      <c r="G7093" s="1375"/>
      <c r="H7093" s="1376"/>
      <c r="I7093" s="1382"/>
      <c r="J7093" s="1383"/>
      <c r="K7093" s="1383"/>
      <c r="L7093" s="1413"/>
      <c r="M7093" s="1376"/>
      <c r="N7093" s="1376"/>
      <c r="O7093" s="1376"/>
      <c r="P7093" s="1373"/>
      <c r="Q7093" s="3387"/>
      <c r="R7093" s="2339"/>
    </row>
    <row r="7094" spans="1:18" s="16" customFormat="1">
      <c r="A7094" s="1321"/>
      <c r="B7094" s="2053"/>
      <c r="C7094" s="1321"/>
      <c r="D7094" s="1827"/>
      <c r="E7094" s="2173"/>
      <c r="F7094" s="1827"/>
      <c r="G7094" s="1828"/>
      <c r="H7094" s="1379"/>
      <c r="I7094" s="1299"/>
      <c r="J7094" s="1300"/>
      <c r="K7094" s="1307"/>
      <c r="L7094" s="1335"/>
      <c r="M7094" s="1302"/>
      <c r="N7094" s="1700"/>
      <c r="O7094" s="1290"/>
      <c r="P7094" s="1332"/>
      <c r="Q7094" s="3391"/>
      <c r="R7094" s="2339"/>
    </row>
    <row r="7095" spans="1:18" s="16" customFormat="1">
      <c r="A7095" s="1321"/>
      <c r="B7095" s="2053"/>
      <c r="C7095" s="1321"/>
      <c r="D7095" s="1377"/>
      <c r="E7095" s="2124"/>
      <c r="F7095" s="1378"/>
      <c r="G7095" s="1378"/>
      <c r="H7095" s="1379"/>
      <c r="I7095" s="1299"/>
      <c r="J7095" s="1300"/>
      <c r="K7095" s="1307"/>
      <c r="L7095" s="1335"/>
      <c r="M7095" s="1302"/>
      <c r="N7095" s="1700"/>
      <c r="O7095" s="1290"/>
      <c r="P7095" s="1333"/>
      <c r="Q7095" s="3391"/>
      <c r="R7095" s="2339"/>
    </row>
    <row r="7096" spans="1:18" s="16" customFormat="1">
      <c r="A7096" s="1042"/>
      <c r="B7096" s="1765"/>
      <c r="C7096" s="223"/>
      <c r="D7096" s="1373"/>
      <c r="E7096" s="2161"/>
      <c r="F7096" s="1678"/>
      <c r="G7096" s="1678"/>
      <c r="H7096" s="1376"/>
      <c r="I7096" s="1299"/>
      <c r="J7096" s="1300"/>
      <c r="K7096" s="1307"/>
      <c r="L7096" s="1335"/>
      <c r="M7096" s="1302"/>
      <c r="N7096" s="1700"/>
      <c r="O7096" s="1290"/>
      <c r="P7096" s="1332"/>
      <c r="Q7096" s="3391"/>
      <c r="R7096" s="2339"/>
    </row>
    <row r="7097" spans="1:18" s="16" customFormat="1">
      <c r="A7097" s="18" t="s">
        <v>3764</v>
      </c>
      <c r="B7097" s="4325" t="s">
        <v>2294</v>
      </c>
      <c r="C7097" s="3350"/>
      <c r="D7097" s="4327"/>
      <c r="E7097" s="4329" t="s">
        <v>1527</v>
      </c>
      <c r="F7097" s="4336" t="s">
        <v>2295</v>
      </c>
      <c r="G7097" s="4331" t="s">
        <v>1568</v>
      </c>
      <c r="H7097" s="4331" t="s">
        <v>1574</v>
      </c>
      <c r="I7097" s="1572" t="s">
        <v>1559</v>
      </c>
      <c r="J7097" s="1294" t="s">
        <v>1560</v>
      </c>
      <c r="K7097" s="1294" t="s">
        <v>1569</v>
      </c>
      <c r="L7097" s="4333" t="s">
        <v>3765</v>
      </c>
      <c r="M7097" s="4335" t="s">
        <v>1571</v>
      </c>
      <c r="N7097" s="4323" t="s">
        <v>1776</v>
      </c>
      <c r="O7097" s="3347" t="s">
        <v>1563</v>
      </c>
      <c r="P7097" s="1336" t="s">
        <v>1562</v>
      </c>
      <c r="Q7097" s="3389"/>
      <c r="R7097" s="1699" t="s">
        <v>1327</v>
      </c>
    </row>
    <row r="7098" spans="1:18" s="16" customFormat="1">
      <c r="A7098" s="1662" t="s">
        <v>2781</v>
      </c>
      <c r="B7098" s="4326"/>
      <c r="C7098" s="3351"/>
      <c r="D7098" s="4328"/>
      <c r="E7098" s="4330"/>
      <c r="F7098" s="4336"/>
      <c r="G7098" s="4332"/>
      <c r="H7098" s="4332"/>
      <c r="I7098" s="1345">
        <v>55</v>
      </c>
      <c r="J7098" s="1307">
        <v>1.7999999999999999E-2</v>
      </c>
      <c r="K7098" s="1666">
        <f>I7098*J7098</f>
        <v>0.98999999999999988</v>
      </c>
      <c r="L7098" s="4334"/>
      <c r="M7098" s="4335"/>
      <c r="N7098" s="4324"/>
      <c r="O7098" s="1298">
        <f>SUM(O7100:O7111)</f>
        <v>10.869600000000002</v>
      </c>
      <c r="P7098" s="1337">
        <f>O7098*K7098</f>
        <v>10.760904</v>
      </c>
      <c r="Q7098" s="3390"/>
      <c r="R7098" s="1721">
        <f>SUM(P7100:P7111)</f>
        <v>10.760904</v>
      </c>
    </row>
    <row r="7099" spans="1:18" s="16" customFormat="1">
      <c r="A7099" s="1320"/>
      <c r="B7099" s="1949"/>
      <c r="C7099" s="1327"/>
      <c r="D7099" s="1367"/>
      <c r="E7099" s="2121"/>
      <c r="F7099" s="1389" t="s">
        <v>1</v>
      </c>
      <c r="G7099" s="1389"/>
      <c r="H7099" s="1369"/>
      <c r="I7099" s="2088"/>
      <c r="J7099" s="1369"/>
      <c r="K7099" s="1391"/>
      <c r="L7099" s="1559"/>
      <c r="M7099" s="1369"/>
      <c r="N7099" s="1369"/>
      <c r="O7099" s="1369"/>
      <c r="P7099" s="1392"/>
      <c r="Q7099" s="3395"/>
      <c r="R7099" s="2339"/>
    </row>
    <row r="7100" spans="1:18" s="16" customFormat="1">
      <c r="A7100" s="1320"/>
      <c r="B7100" s="1599"/>
      <c r="C7100" s="1320"/>
      <c r="D7100" s="1668" t="s">
        <v>2292</v>
      </c>
      <c r="E7100" s="2166" t="s">
        <v>1357</v>
      </c>
      <c r="F7100" s="1668" t="s">
        <v>2293</v>
      </c>
      <c r="G7100" s="1958">
        <v>0.31</v>
      </c>
      <c r="H7100" s="1369"/>
      <c r="I7100" s="1299"/>
      <c r="J7100" s="1300"/>
      <c r="K7100" s="1307">
        <f>K7098*G7100</f>
        <v>0.30689999999999995</v>
      </c>
      <c r="L7100" s="1335">
        <f>K7100*$K$7035</f>
        <v>0</v>
      </c>
      <c r="M7100" s="1302">
        <v>4.66</v>
      </c>
      <c r="N7100" s="1700"/>
      <c r="O7100" s="1290">
        <f>G7100*M7100</f>
        <v>1.4446000000000001</v>
      </c>
      <c r="P7100" s="1332">
        <f>M7100*K7100</f>
        <v>1.4301539999999997</v>
      </c>
      <c r="Q7100" s="3391"/>
      <c r="R7100" s="2339"/>
    </row>
    <row r="7101" spans="1:18" s="16" customFormat="1">
      <c r="A7101" s="1042"/>
      <c r="B7101" s="1599"/>
      <c r="C7101" s="1042"/>
      <c r="D7101" s="1598"/>
      <c r="E7101" s="2154"/>
      <c r="F7101" s="1598"/>
      <c r="G7101" s="1612"/>
      <c r="H7101" s="1674"/>
      <c r="I7101" s="1299"/>
      <c r="J7101" s="1300"/>
      <c r="K7101" s="1307"/>
      <c r="L7101" s="1335"/>
      <c r="M7101" s="1302"/>
      <c r="N7101" s="1700"/>
      <c r="O7101" s="1290"/>
      <c r="P7101" s="1332"/>
      <c r="Q7101" s="3391"/>
      <c r="R7101" s="2339"/>
    </row>
    <row r="7102" spans="1:18" s="16" customFormat="1">
      <c r="A7102" s="1042"/>
      <c r="B7102" s="1599"/>
      <c r="C7102" s="1042"/>
      <c r="D7102" s="1367"/>
      <c r="E7102" s="2121"/>
      <c r="F7102" s="1436"/>
      <c r="G7102" s="1436"/>
      <c r="H7102" s="1369"/>
      <c r="I7102" s="1299" t="str">
        <f t="shared" ref="I7102" ca="1" si="956">IF(COUNT(H7102:O7102)=0,"",(SUM(H7102:O7102)/COUNT(H7102:O7102)))</f>
        <v/>
      </c>
      <c r="J7102" s="1300"/>
      <c r="K7102" s="1307"/>
      <c r="L7102" s="1335"/>
      <c r="M7102" s="1302"/>
      <c r="N7102" s="1700"/>
      <c r="O7102" s="1290"/>
      <c r="P7102" s="1332"/>
      <c r="Q7102" s="3391"/>
      <c r="R7102" s="2339"/>
    </row>
    <row r="7103" spans="1:18" s="16" customFormat="1">
      <c r="A7103" s="1042"/>
      <c r="B7103" s="1599"/>
      <c r="C7103" s="1042"/>
      <c r="D7103" s="1359"/>
      <c r="E7103" s="1858"/>
      <c r="F7103" s="1360" t="s">
        <v>2</v>
      </c>
      <c r="G7103" s="1360"/>
      <c r="H7103" s="1362"/>
      <c r="I7103" s="1380"/>
      <c r="J7103" s="1381"/>
      <c r="K7103" s="1381"/>
      <c r="L7103" s="1458"/>
      <c r="M7103" s="1362"/>
      <c r="N7103" s="1362"/>
      <c r="O7103" s="1362"/>
      <c r="P7103" s="1359"/>
      <c r="Q7103" s="3387"/>
      <c r="R7103" s="2339"/>
    </row>
    <row r="7104" spans="1:18" s="16" customFormat="1">
      <c r="A7104" s="1321"/>
      <c r="B7104" s="2053"/>
      <c r="C7104" s="1321"/>
      <c r="D7104" s="1624" t="s">
        <v>1593</v>
      </c>
      <c r="E7104" s="2158" t="s">
        <v>1508</v>
      </c>
      <c r="F7104" s="1624" t="s">
        <v>2280</v>
      </c>
      <c r="G7104" s="1625">
        <v>0.3</v>
      </c>
      <c r="H7104" s="1386"/>
      <c r="I7104" s="1299"/>
      <c r="J7104" s="1300"/>
      <c r="K7104" s="1307">
        <f>G7104*K7098</f>
        <v>0.29699999999999993</v>
      </c>
      <c r="L7104" s="1335">
        <f t="shared" ref="L7104:L7105" si="957">K7104*$K$7035</f>
        <v>0</v>
      </c>
      <c r="M7104" s="1302">
        <v>19.23</v>
      </c>
      <c r="N7104" s="1700"/>
      <c r="O7104" s="1290">
        <f>G7104*M7104</f>
        <v>5.7690000000000001</v>
      </c>
      <c r="P7104" s="1332">
        <f>M7104*K7104</f>
        <v>5.7113099999999992</v>
      </c>
      <c r="Q7104" s="3391"/>
      <c r="R7104" s="2339"/>
    </row>
    <row r="7105" spans="1:21" s="16" customFormat="1">
      <c r="A7105"/>
      <c r="B7105" s="1042"/>
      <c r="C7105" s="19"/>
      <c r="D7105" s="1430" t="s">
        <v>1067</v>
      </c>
      <c r="E7105" s="1857" t="s">
        <v>1508</v>
      </c>
      <c r="F7105" s="1403" t="s">
        <v>5</v>
      </c>
      <c r="G7105" s="1991">
        <v>0.2</v>
      </c>
      <c r="H7105" s="1408"/>
      <c r="I7105" s="1286"/>
      <c r="J7105" s="198"/>
      <c r="K7105" s="1307">
        <f>G7105*K7098</f>
        <v>0.19799999999999998</v>
      </c>
      <c r="L7105" s="1335">
        <f t="shared" si="957"/>
        <v>0</v>
      </c>
      <c r="M7105" s="1302">
        <v>18.28</v>
      </c>
      <c r="N7105" s="1718"/>
      <c r="O7105" s="1290">
        <f>G7105*M7105</f>
        <v>3.6560000000000006</v>
      </c>
      <c r="P7105" s="1720">
        <f>M7105*K7105</f>
        <v>3.61944</v>
      </c>
      <c r="Q7105" s="3396"/>
      <c r="R7105" s="2337"/>
    </row>
    <row r="7106" spans="1:21" s="16" customFormat="1">
      <c r="B7106" s="1599"/>
      <c r="C7106" s="1320"/>
      <c r="D7106" s="1430"/>
      <c r="E7106" s="1857"/>
      <c r="F7106" s="1766"/>
      <c r="G7106" s="1822"/>
      <c r="H7106" s="1359"/>
      <c r="I7106" s="1299"/>
      <c r="J7106" s="1300"/>
      <c r="K7106" s="1307"/>
      <c r="L7106" s="1335"/>
      <c r="M7106" s="1302"/>
      <c r="N7106" s="1700"/>
      <c r="O7106" s="1290"/>
      <c r="P7106" s="1332"/>
      <c r="Q7106" s="3391"/>
      <c r="R7106" s="2339"/>
    </row>
    <row r="7107" spans="1:21" s="16" customFormat="1">
      <c r="A7107"/>
      <c r="B7107" s="1320"/>
      <c r="D7107" s="1359"/>
      <c r="E7107" s="1858"/>
      <c r="F7107" s="1361"/>
      <c r="G7107" s="1361"/>
      <c r="H7107" s="1466"/>
      <c r="I7107" s="1289"/>
      <c r="J7107" s="8"/>
      <c r="K7107" s="1307"/>
      <c r="L7107" s="1335"/>
      <c r="M7107" s="1302"/>
      <c r="N7107" s="1700"/>
      <c r="O7107" s="1290"/>
      <c r="P7107" s="1332"/>
      <c r="Q7107" s="3391"/>
      <c r="R7107" s="1296"/>
    </row>
    <row r="7108" spans="1:21" s="16" customFormat="1">
      <c r="A7108" s="1320"/>
      <c r="B7108" s="1599"/>
      <c r="C7108" s="1320"/>
      <c r="D7108" s="1373"/>
      <c r="E7108" s="2123"/>
      <c r="F7108" s="1374" t="s">
        <v>3</v>
      </c>
      <c r="G7108" s="1375"/>
      <c r="H7108" s="1376"/>
      <c r="I7108" s="1382"/>
      <c r="J7108" s="1383"/>
      <c r="K7108" s="1383"/>
      <c r="L7108" s="1413"/>
      <c r="M7108" s="1376"/>
      <c r="N7108" s="1376"/>
      <c r="O7108" s="1376"/>
      <c r="P7108" s="1373"/>
      <c r="Q7108" s="3387"/>
      <c r="R7108" s="2339"/>
    </row>
    <row r="7109" spans="1:21" s="16" customFormat="1">
      <c r="A7109" s="1321"/>
      <c r="B7109" s="2053"/>
      <c r="C7109" s="1321"/>
      <c r="D7109" s="1827"/>
      <c r="E7109" s="2173"/>
      <c r="F7109" s="1827"/>
      <c r="G7109" s="1828"/>
      <c r="H7109" s="1379"/>
      <c r="I7109" s="1299"/>
      <c r="J7109" s="1300"/>
      <c r="K7109" s="1307"/>
      <c r="L7109" s="1335"/>
      <c r="M7109" s="1302"/>
      <c r="N7109" s="1700"/>
      <c r="O7109" s="1290"/>
      <c r="P7109" s="1332"/>
      <c r="Q7109" s="3391"/>
      <c r="R7109" s="2339"/>
    </row>
    <row r="7110" spans="1:21" s="16" customFormat="1">
      <c r="A7110" s="1321"/>
      <c r="B7110" s="2053"/>
      <c r="C7110" s="1321"/>
      <c r="D7110" s="1377"/>
      <c r="E7110" s="2124"/>
      <c r="F7110" s="1378"/>
      <c r="G7110" s="1378"/>
      <c r="H7110" s="1379"/>
      <c r="I7110" s="1299"/>
      <c r="J7110" s="1300"/>
      <c r="K7110" s="1307"/>
      <c r="L7110" s="1335"/>
      <c r="M7110" s="1302"/>
      <c r="N7110" s="1700"/>
      <c r="O7110" s="1290"/>
      <c r="P7110" s="1333"/>
      <c r="Q7110" s="3391"/>
      <c r="R7110" s="2339"/>
    </row>
    <row r="7111" spans="1:21" s="16" customFormat="1">
      <c r="A7111" s="1042"/>
      <c r="B7111" s="1765"/>
      <c r="C7111" s="223"/>
      <c r="D7111" s="1373"/>
      <c r="E7111" s="2161"/>
      <c r="F7111" s="1678"/>
      <c r="G7111" s="1678"/>
      <c r="H7111" s="1376"/>
      <c r="I7111" s="1299"/>
      <c r="J7111" s="1300"/>
      <c r="K7111" s="1307"/>
      <c r="L7111" s="1335"/>
      <c r="M7111" s="1302"/>
      <c r="N7111" s="1700"/>
      <c r="O7111" s="1290"/>
      <c r="P7111" s="1332"/>
      <c r="Q7111" s="3391"/>
      <c r="R7111" s="2339"/>
    </row>
    <row r="7112" spans="1:21" s="16" customFormat="1">
      <c r="E7112" s="2182"/>
      <c r="F7112" s="2080"/>
      <c r="G7112" s="2080"/>
      <c r="H7112" s="13"/>
      <c r="I7112" s="1561"/>
      <c r="J7112" s="13"/>
      <c r="K7112" s="1639"/>
      <c r="L7112" s="1640"/>
      <c r="M7112" s="1292"/>
      <c r="N7112" s="1292"/>
      <c r="O7112" s="1292"/>
      <c r="P7112" s="1292"/>
      <c r="Q7112" s="3391"/>
      <c r="R7112" s="1296"/>
    </row>
    <row r="7113" spans="1:21" s="16" customFormat="1">
      <c r="E7113" s="2182"/>
      <c r="F7113" s="2080"/>
      <c r="G7113" s="2080"/>
      <c r="H7113" s="13"/>
      <c r="I7113" s="1561"/>
      <c r="J7113" s="13"/>
      <c r="K7113" s="1639"/>
      <c r="L7113" s="1640"/>
      <c r="M7113" s="1292"/>
      <c r="N7113" s="1292"/>
      <c r="O7113" s="1292"/>
      <c r="P7113" s="1292"/>
      <c r="Q7113" s="3391"/>
      <c r="R7113" s="1296"/>
    </row>
    <row r="7114" spans="1:21" s="16" customFormat="1">
      <c r="A7114" s="4391" t="s">
        <v>198</v>
      </c>
      <c r="B7114" s="4392"/>
      <c r="C7114" s="4392"/>
      <c r="D7114" s="4392"/>
      <c r="E7114" s="1303" t="s">
        <v>1504</v>
      </c>
      <c r="F7114" s="2115" t="s">
        <v>2296</v>
      </c>
      <c r="G7114" s="1288"/>
      <c r="H7114" s="1288"/>
      <c r="I7114" s="1557"/>
      <c r="J7114" s="1288"/>
      <c r="K7114" s="1288"/>
      <c r="L7114" s="1557"/>
      <c r="M7114" s="1288"/>
      <c r="N7114" s="1288"/>
      <c r="O7114" s="1288"/>
      <c r="P7114" s="1283"/>
      <c r="Q7114" s="3386"/>
      <c r="R7114" s="2339"/>
      <c r="T7114" s="24" t="s">
        <v>198</v>
      </c>
      <c r="U7114" s="24" t="s">
        <v>199</v>
      </c>
    </row>
    <row r="7115" spans="1:21" s="16" customFormat="1">
      <c r="E7115" s="2182"/>
      <c r="F7115" s="2080"/>
      <c r="G7115" s="2080"/>
      <c r="H7115" s="13"/>
      <c r="I7115" s="1561"/>
      <c r="J7115" s="13"/>
      <c r="K7115" s="1639"/>
      <c r="L7115" s="1640"/>
      <c r="M7115" s="1292"/>
      <c r="N7115" s="1292"/>
      <c r="O7115" s="1292"/>
      <c r="P7115" s="1292"/>
      <c r="Q7115" s="3391"/>
      <c r="R7115" s="1296"/>
      <c r="T7115" s="24" t="s">
        <v>200</v>
      </c>
      <c r="U7115" s="24" t="s">
        <v>201</v>
      </c>
    </row>
    <row r="7116" spans="1:21" s="16" customFormat="1" ht="28.5">
      <c r="E7116" s="2182"/>
      <c r="F7116" s="2080"/>
      <c r="G7116" s="2080"/>
      <c r="H7116" s="13"/>
      <c r="I7116" s="1561"/>
      <c r="J7116" s="13"/>
      <c r="K7116" s="1639"/>
      <c r="L7116" s="2375" t="s">
        <v>2856</v>
      </c>
      <c r="M7116" s="1292"/>
      <c r="N7116" s="1292"/>
      <c r="O7116" s="1292"/>
      <c r="P7116" s="1292"/>
      <c r="Q7116" s="3391"/>
      <c r="R7116" s="1296"/>
      <c r="T7116" s="24" t="s">
        <v>202</v>
      </c>
      <c r="U7116" s="24" t="s">
        <v>203</v>
      </c>
    </row>
    <row r="7117" spans="1:21" s="16" customFormat="1">
      <c r="A7117" s="4393" t="s">
        <v>162</v>
      </c>
      <c r="B7117" s="4394"/>
      <c r="C7117" s="4394"/>
      <c r="D7117" s="4395"/>
      <c r="E7117" s="4396" t="s">
        <v>1549</v>
      </c>
      <c r="F7117" s="4397" t="s">
        <v>1550</v>
      </c>
      <c r="G7117" s="4399" t="s">
        <v>1566</v>
      </c>
      <c r="H7117" s="4400"/>
      <c r="I7117" s="4400"/>
      <c r="J7117" s="4400"/>
      <c r="K7117" s="4400"/>
      <c r="L7117" s="4401"/>
      <c r="M7117" s="4405" t="s">
        <v>1567</v>
      </c>
      <c r="N7117" s="4405"/>
      <c r="O7117" s="4405"/>
      <c r="P7117" s="4405"/>
      <c r="Q7117" s="3395"/>
      <c r="R7117" s="2339"/>
      <c r="T7117" s="24" t="s">
        <v>91</v>
      </c>
      <c r="U7117" s="24" t="s">
        <v>92</v>
      </c>
    </row>
    <row r="7118" spans="1:21" s="16" customFormat="1" ht="15" thickBot="1">
      <c r="A7118" s="1324" t="s">
        <v>3766</v>
      </c>
      <c r="B7118" s="1325" t="s">
        <v>1513</v>
      </c>
      <c r="C7118" s="1326" t="s">
        <v>1573</v>
      </c>
      <c r="D7118" s="1323" t="s">
        <v>1514</v>
      </c>
      <c r="E7118" s="4396"/>
      <c r="F7118" s="4398"/>
      <c r="G7118" s="4402"/>
      <c r="H7118" s="4403"/>
      <c r="I7118" s="4403"/>
      <c r="J7118" s="4403"/>
      <c r="K7118" s="4403"/>
      <c r="L7118" s="4404"/>
      <c r="M7118" s="4405"/>
      <c r="N7118" s="4405"/>
      <c r="O7118" s="4405"/>
      <c r="P7118" s="4405"/>
      <c r="Q7118" s="3395"/>
      <c r="R7118" s="2339"/>
      <c r="T7118" s="24" t="s">
        <v>204</v>
      </c>
      <c r="U7118" s="24" t="s">
        <v>205</v>
      </c>
    </row>
    <row r="7119" spans="1:21" s="16" customFormat="1" ht="38.25" customHeight="1">
      <c r="A7119" s="4374" t="s">
        <v>2299</v>
      </c>
      <c r="B7119" s="4375"/>
      <c r="C7119" s="4375"/>
      <c r="D7119" s="4376"/>
      <c r="E7119" s="4380" t="s">
        <v>1527</v>
      </c>
      <c r="F7119" s="4382" t="s">
        <v>2331</v>
      </c>
      <c r="G7119" s="4406" t="s">
        <v>294</v>
      </c>
      <c r="H7119" s="4407"/>
      <c r="I7119" s="1665" t="s">
        <v>1565</v>
      </c>
      <c r="J7119" s="3348" t="s">
        <v>1575</v>
      </c>
      <c r="K7119" s="4406" t="s">
        <v>289</v>
      </c>
      <c r="L7119" s="4407"/>
      <c r="M7119" s="4408" t="s">
        <v>3349</v>
      </c>
      <c r="N7119" s="4408"/>
      <c r="O7119" s="4408"/>
      <c r="P7119" s="4409"/>
      <c r="Q7119" s="4244" t="s">
        <v>3962</v>
      </c>
      <c r="R7119" s="2339"/>
      <c r="T7119" s="24" t="s">
        <v>97</v>
      </c>
      <c r="U7119" s="24" t="s">
        <v>206</v>
      </c>
    </row>
    <row r="7120" spans="1:21" s="16" customFormat="1" ht="24.75" customHeight="1" thickBot="1">
      <c r="A7120" s="4377"/>
      <c r="B7120" s="4378"/>
      <c r="C7120" s="4378"/>
      <c r="D7120" s="4379"/>
      <c r="E7120" s="4381"/>
      <c r="F7120" s="4383"/>
      <c r="G7120" s="4451">
        <f>IF('Seleccion proyecto HEREVEA02'!G57="Sustitución y reposición en polietileno",'Seleccion proyecto HEREVEA02'!E57,0)</f>
        <v>0</v>
      </c>
      <c r="H7120" s="4452"/>
      <c r="I7120" s="3353">
        <f>IF('Seleccion proyecto HEREVEA02'!H57=0,0,IF('Seleccion proyecto HEREVEA02'!H57="1 a 30",0.3,IF('Seleccion proyecto HEREVEA02'!H57="31 a 60",0.6,IF('Seleccion proyecto HEREVEA02'!H57="61 a 100",1))))</f>
        <v>0</v>
      </c>
      <c r="J7120" s="1351">
        <f>'Seleccion proyecto HEREVEA02'!L8</f>
        <v>11100.968999999999</v>
      </c>
      <c r="K7120" s="4358">
        <f>G7120*I7120*J7120</f>
        <v>0</v>
      </c>
      <c r="L7120" s="4359"/>
      <c r="M7120" s="4360">
        <f>P7123+P7124+P7125+P7130+P7144+P7163+P7182+P7201+P7216+P7231+P7245+P7260</f>
        <v>410.84335500000009</v>
      </c>
      <c r="N7120" s="4361"/>
      <c r="O7120" s="4361"/>
      <c r="P7120" s="4362"/>
      <c r="Q7120" s="4245">
        <f>M7120*K7120</f>
        <v>0</v>
      </c>
      <c r="R7120" s="2339"/>
    </row>
    <row r="7121" spans="1:18" s="16" customFormat="1" ht="15" customHeight="1">
      <c r="A7121" s="553"/>
      <c r="B7121" s="4339"/>
      <c r="C7121" s="3361"/>
      <c r="D7121" s="4340"/>
      <c r="E7121" s="4342"/>
      <c r="F7121" s="4344" t="s">
        <v>2</v>
      </c>
      <c r="G7121" s="4346" t="s">
        <v>1568</v>
      </c>
      <c r="H7121" s="4348" t="s">
        <v>1574</v>
      </c>
      <c r="I7121" s="4350"/>
      <c r="J7121" s="4351" t="s">
        <v>1560</v>
      </c>
      <c r="K7121" s="4351" t="s">
        <v>1569</v>
      </c>
      <c r="L7121" s="4333" t="s">
        <v>3765</v>
      </c>
      <c r="M7121" s="4352" t="s">
        <v>1571</v>
      </c>
      <c r="N7121" s="4353" t="s">
        <v>1776</v>
      </c>
      <c r="O7121" s="4354" t="s">
        <v>1563</v>
      </c>
      <c r="P7121" s="4356" t="s">
        <v>1562</v>
      </c>
      <c r="Q7121" s="3389"/>
      <c r="R7121" s="1699"/>
    </row>
    <row r="7122" spans="1:18" s="16" customFormat="1">
      <c r="A7122" s="2083"/>
      <c r="B7122" s="4339"/>
      <c r="C7122" s="3361"/>
      <c r="D7122" s="4341"/>
      <c r="E7122" s="4343"/>
      <c r="F7122" s="4345"/>
      <c r="G7122" s="4347"/>
      <c r="H7122" s="4349"/>
      <c r="I7122" s="4350"/>
      <c r="J7122" s="4351"/>
      <c r="K7122" s="4351"/>
      <c r="L7122" s="4334"/>
      <c r="M7122" s="4352"/>
      <c r="N7122" s="4353"/>
      <c r="O7122" s="4355"/>
      <c r="P7122" s="4357"/>
      <c r="Q7122" s="3389"/>
      <c r="R7122" s="1721"/>
    </row>
    <row r="7123" spans="1:18" s="16" customFormat="1">
      <c r="A7123" s="2053"/>
      <c r="B7123" s="1321"/>
      <c r="C7123" s="1295"/>
      <c r="D7123" s="1363" t="s">
        <v>1067</v>
      </c>
      <c r="E7123" s="2125" t="s">
        <v>1508</v>
      </c>
      <c r="F7123" s="1385" t="s">
        <v>1512</v>
      </c>
      <c r="G7123" s="1998">
        <v>4</v>
      </c>
      <c r="H7123" s="2084"/>
      <c r="I7123" s="2085"/>
      <c r="J7123" s="1589">
        <v>0.25</v>
      </c>
      <c r="K7123" s="1307">
        <f>G7123*J7123</f>
        <v>1</v>
      </c>
      <c r="L7123" s="1335">
        <f t="shared" ref="L7123:L7124" si="958">K7123*$K$7035</f>
        <v>0</v>
      </c>
      <c r="M7123" s="1302">
        <v>18.28</v>
      </c>
      <c r="N7123" s="1700"/>
      <c r="O7123" s="1290">
        <f>G7123*M7123</f>
        <v>73.12</v>
      </c>
      <c r="P7123" s="1337">
        <f>M7123*K7123</f>
        <v>18.28</v>
      </c>
      <c r="Q7123" s="3390"/>
      <c r="R7123" s="2339"/>
    </row>
    <row r="7124" spans="1:18" s="16" customFormat="1">
      <c r="A7124" s="1599"/>
      <c r="B7124" s="1320"/>
      <c r="D7124" s="1359" t="s">
        <v>1593</v>
      </c>
      <c r="E7124" s="1858" t="s">
        <v>1508</v>
      </c>
      <c r="F7124" s="1404" t="s">
        <v>2146</v>
      </c>
      <c r="G7124" s="2096">
        <v>2.14</v>
      </c>
      <c r="H7124" s="1359"/>
      <c r="I7124" s="1289"/>
      <c r="J7124" s="8">
        <v>0.25</v>
      </c>
      <c r="K7124" s="1307">
        <f>G7124*J7124</f>
        <v>0.53500000000000003</v>
      </c>
      <c r="L7124" s="1335">
        <f t="shared" si="958"/>
        <v>0</v>
      </c>
      <c r="M7124" s="1302">
        <v>19.23</v>
      </c>
      <c r="N7124" s="1700"/>
      <c r="O7124" s="1290">
        <f>G7124*M7124</f>
        <v>41.152200000000001</v>
      </c>
      <c r="P7124" s="1337">
        <f>M7124*K7124</f>
        <v>10.28805</v>
      </c>
      <c r="Q7124" s="3390"/>
      <c r="R7124" s="2339"/>
    </row>
    <row r="7125" spans="1:18" s="16" customFormat="1">
      <c r="A7125"/>
      <c r="B7125" s="1042"/>
      <c r="C7125" s="2086" t="s">
        <v>1755</v>
      </c>
      <c r="D7125" s="1311"/>
      <c r="E7125" s="2176" t="s">
        <v>1508</v>
      </c>
      <c r="F7125" s="1648" t="s">
        <v>1524</v>
      </c>
      <c r="G7125" s="1990"/>
      <c r="H7125" s="1954">
        <v>0.55000000000000004</v>
      </c>
      <c r="I7125" s="1444"/>
      <c r="J7125" s="1366">
        <v>0.25</v>
      </c>
      <c r="K7125" s="1445"/>
      <c r="L7125" s="1457"/>
      <c r="M7125" s="1447"/>
      <c r="N7125" s="1447">
        <f>SUM(N7126:N7127)</f>
        <v>37.510000000000005</v>
      </c>
      <c r="O7125" s="1447">
        <f>SUM(O7126:O7127)</f>
        <v>20.630500000000005</v>
      </c>
      <c r="P7125" s="1337">
        <f>SUM(P7126:P7127)</f>
        <v>5.1576250000000012</v>
      </c>
      <c r="Q7125" s="3390"/>
      <c r="R7125" s="2337"/>
    </row>
    <row r="7126" spans="1:18" s="16" customFormat="1">
      <c r="A7126"/>
      <c r="B7126" s="1042"/>
      <c r="C7126" s="19"/>
      <c r="D7126" s="1430" t="s">
        <v>1067</v>
      </c>
      <c r="E7126" s="1857" t="s">
        <v>1508</v>
      </c>
      <c r="F7126" s="1403" t="s">
        <v>5</v>
      </c>
      <c r="G7126" s="1991">
        <v>1</v>
      </c>
      <c r="H7126" s="1937">
        <f>G7126*H7125</f>
        <v>0.55000000000000004</v>
      </c>
      <c r="I7126" s="1286"/>
      <c r="J7126" s="198"/>
      <c r="K7126" s="1307">
        <f>H7126*J7125</f>
        <v>0.13750000000000001</v>
      </c>
      <c r="L7126" s="1335">
        <f t="shared" ref="L7126:L7127" si="959">K7126*$K$7035</f>
        <v>0</v>
      </c>
      <c r="M7126" s="1302">
        <v>18.28</v>
      </c>
      <c r="N7126" s="1718">
        <f>G7126*M7126</f>
        <v>18.28</v>
      </c>
      <c r="O7126" s="1290">
        <f>H7126*M7126</f>
        <v>10.054000000000002</v>
      </c>
      <c r="P7126" s="1720">
        <f>M7126*K7126</f>
        <v>2.5135000000000005</v>
      </c>
      <c r="Q7126" s="3396"/>
      <c r="R7126" s="2337"/>
    </row>
    <row r="7127" spans="1:18" s="16" customFormat="1">
      <c r="A7127"/>
      <c r="B7127" s="1042"/>
      <c r="C7127" s="19"/>
      <c r="D7127" s="1430" t="s">
        <v>1077</v>
      </c>
      <c r="E7127" s="1857" t="s">
        <v>1508</v>
      </c>
      <c r="F7127" s="1403" t="s">
        <v>37</v>
      </c>
      <c r="G7127" s="1991">
        <v>1</v>
      </c>
      <c r="H7127" s="1937">
        <f>G7127*H7125</f>
        <v>0.55000000000000004</v>
      </c>
      <c r="I7127" s="197"/>
      <c r="J7127" s="198"/>
      <c r="K7127" s="1307">
        <f>H7127*J7125</f>
        <v>0.13750000000000001</v>
      </c>
      <c r="L7127" s="1335">
        <f t="shared" si="959"/>
        <v>0</v>
      </c>
      <c r="M7127" s="1302">
        <v>19.23</v>
      </c>
      <c r="N7127" s="1718">
        <f>G7127*M7127</f>
        <v>19.23</v>
      </c>
      <c r="O7127" s="1290">
        <f>H7127*M7127</f>
        <v>10.576500000000001</v>
      </c>
      <c r="P7127" s="1720">
        <f>M7127*K7127</f>
        <v>2.6441250000000003</v>
      </c>
      <c r="Q7127" s="3396"/>
      <c r="R7127" s="2337"/>
    </row>
    <row r="7128" spans="1:18" s="16" customFormat="1">
      <c r="A7128"/>
      <c r="B7128" s="225"/>
      <c r="D7128" s="1359"/>
      <c r="E7128" s="1858"/>
      <c r="F7128" s="1361"/>
      <c r="G7128" s="1361"/>
      <c r="H7128" s="1466"/>
      <c r="I7128" s="1289"/>
      <c r="J7128" s="8"/>
      <c r="K7128" s="1307"/>
      <c r="L7128" s="1335"/>
      <c r="M7128" s="1302"/>
      <c r="N7128" s="1700"/>
      <c r="O7128" s="1290"/>
      <c r="P7128" s="1332"/>
      <c r="Q7128" s="3391"/>
      <c r="R7128" s="1296"/>
    </row>
    <row r="7129" spans="1:18" s="16" customFormat="1" ht="15" customHeight="1">
      <c r="A7129" s="18" t="s">
        <v>3764</v>
      </c>
      <c r="B7129" s="4325" t="s">
        <v>2297</v>
      </c>
      <c r="C7129" s="3350"/>
      <c r="D7129" s="4327"/>
      <c r="E7129" s="4329" t="s">
        <v>1527</v>
      </c>
      <c r="F7129" s="4336" t="s">
        <v>2298</v>
      </c>
      <c r="G7129" s="4331" t="s">
        <v>1568</v>
      </c>
      <c r="H7129" s="4331" t="s">
        <v>1574</v>
      </c>
      <c r="I7129" s="1572" t="s">
        <v>1559</v>
      </c>
      <c r="J7129" s="1294" t="s">
        <v>1560</v>
      </c>
      <c r="K7129" s="1294" t="s">
        <v>1569</v>
      </c>
      <c r="L7129" s="4333" t="s">
        <v>3765</v>
      </c>
      <c r="M7129" s="4335" t="s">
        <v>1571</v>
      </c>
      <c r="N7129" s="4323" t="s">
        <v>1776</v>
      </c>
      <c r="O7129" s="3347" t="s">
        <v>1563</v>
      </c>
      <c r="P7129" s="1336" t="s">
        <v>1562</v>
      </c>
      <c r="Q7129" s="3389"/>
      <c r="R7129" s="1699" t="s">
        <v>1327</v>
      </c>
    </row>
    <row r="7130" spans="1:18" s="16" customFormat="1">
      <c r="A7130" s="1662" t="s">
        <v>2299</v>
      </c>
      <c r="B7130" s="4326"/>
      <c r="C7130" s="3351"/>
      <c r="D7130" s="4328"/>
      <c r="E7130" s="4330"/>
      <c r="F7130" s="4336"/>
      <c r="G7130" s="4332"/>
      <c r="H7130" s="4332"/>
      <c r="I7130" s="1345">
        <v>92</v>
      </c>
      <c r="J7130" s="1307">
        <v>0.25</v>
      </c>
      <c r="K7130" s="1666">
        <f>I7130*J7130</f>
        <v>23</v>
      </c>
      <c r="L7130" s="4334"/>
      <c r="M7130" s="4335"/>
      <c r="N7130" s="4324"/>
      <c r="O7130" s="1298">
        <f>SUM(O7132:O7137)</f>
        <v>2.0473600000000003</v>
      </c>
      <c r="P7130" s="1337">
        <f>O7130*K7130</f>
        <v>47.089280000000009</v>
      </c>
      <c r="Q7130" s="3390"/>
      <c r="R7130" s="1721">
        <f>P7136</f>
        <v>47.089280000000002</v>
      </c>
    </row>
    <row r="7131" spans="1:18" s="16" customFormat="1">
      <c r="A7131" s="1320"/>
      <c r="B7131" s="1949"/>
      <c r="C7131" s="1327"/>
      <c r="D7131" s="1367"/>
      <c r="E7131" s="2121"/>
      <c r="F7131" s="1389" t="s">
        <v>1</v>
      </c>
      <c r="G7131" s="1389"/>
      <c r="H7131" s="1369"/>
      <c r="I7131" s="2088"/>
      <c r="J7131" s="1369"/>
      <c r="K7131" s="1391"/>
      <c r="L7131" s="1559"/>
      <c r="M7131" s="1369"/>
      <c r="N7131" s="1369"/>
      <c r="O7131" s="1369"/>
      <c r="P7131" s="1392"/>
      <c r="Q7131" s="3395"/>
      <c r="R7131" s="2339"/>
    </row>
    <row r="7132" spans="1:18" s="16" customFormat="1">
      <c r="A7132" s="1320"/>
      <c r="B7132" s="1599"/>
      <c r="C7132" s="1320"/>
      <c r="D7132" s="1668"/>
      <c r="E7132" s="2166"/>
      <c r="F7132" s="1668"/>
      <c r="G7132" s="2117"/>
      <c r="H7132" s="1369"/>
      <c r="I7132" s="1299"/>
      <c r="J7132" s="1300"/>
      <c r="K7132" s="1307"/>
      <c r="L7132" s="1335"/>
      <c r="M7132" s="1302"/>
      <c r="N7132" s="1700"/>
      <c r="O7132" s="1290"/>
      <c r="P7132" s="1332"/>
      <c r="Q7132" s="3391"/>
      <c r="R7132" s="2339"/>
    </row>
    <row r="7133" spans="1:18" s="16" customFormat="1">
      <c r="A7133" s="1042"/>
      <c r="B7133" s="1599"/>
      <c r="C7133" s="1042"/>
      <c r="D7133" s="1598"/>
      <c r="E7133" s="2154"/>
      <c r="F7133" s="1598"/>
      <c r="G7133" s="1995"/>
      <c r="H7133" s="1674"/>
      <c r="I7133" s="1299"/>
      <c r="J7133" s="1300"/>
      <c r="K7133" s="1307"/>
      <c r="L7133" s="1335"/>
      <c r="M7133" s="1302"/>
      <c r="N7133" s="1700"/>
      <c r="O7133" s="1290"/>
      <c r="P7133" s="1332"/>
      <c r="Q7133" s="3391"/>
      <c r="R7133" s="2339"/>
    </row>
    <row r="7134" spans="1:18" s="16" customFormat="1">
      <c r="A7134" s="1042"/>
      <c r="B7134" s="1599"/>
      <c r="C7134" s="1042"/>
      <c r="D7134" s="1367"/>
      <c r="E7134" s="2121"/>
      <c r="F7134" s="1436"/>
      <c r="G7134" s="1436"/>
      <c r="H7134" s="1369"/>
      <c r="I7134" s="1299" t="str">
        <f t="shared" ref="I7134" ca="1" si="960">IF(COUNT(H7134:O7134)=0,"",(SUM(H7134:O7134)/COUNT(H7134:O7134)))</f>
        <v/>
      </c>
      <c r="J7134" s="1300"/>
      <c r="K7134" s="1307"/>
      <c r="L7134" s="1335"/>
      <c r="M7134" s="1302"/>
      <c r="N7134" s="1700"/>
      <c r="O7134" s="1290"/>
      <c r="P7134" s="1332"/>
      <c r="Q7134" s="3391"/>
      <c r="R7134" s="2339"/>
    </row>
    <row r="7135" spans="1:18" s="16" customFormat="1">
      <c r="A7135" s="1042"/>
      <c r="B7135" s="1599"/>
      <c r="C7135" s="1042"/>
      <c r="D7135" s="1359"/>
      <c r="E7135" s="1858"/>
      <c r="F7135" s="1360" t="s">
        <v>2</v>
      </c>
      <c r="G7135" s="1360"/>
      <c r="H7135" s="1362"/>
      <c r="I7135" s="1380"/>
      <c r="J7135" s="1381"/>
      <c r="K7135" s="1381"/>
      <c r="L7135" s="1458"/>
      <c r="M7135" s="1362"/>
      <c r="N7135" s="1362"/>
      <c r="O7135" s="1362"/>
      <c r="P7135" s="1359"/>
      <c r="Q7135" s="3387"/>
      <c r="R7135" s="2339"/>
    </row>
    <row r="7136" spans="1:18" s="16" customFormat="1">
      <c r="A7136" s="2053"/>
      <c r="B7136" s="1321"/>
      <c r="C7136" s="1295"/>
      <c r="D7136" s="1363" t="s">
        <v>1067</v>
      </c>
      <c r="E7136" s="2125" t="s">
        <v>1508</v>
      </c>
      <c r="F7136" s="1385" t="s">
        <v>1512</v>
      </c>
      <c r="G7136" s="2019">
        <v>0.112</v>
      </c>
      <c r="H7136" s="2084"/>
      <c r="I7136" s="2085"/>
      <c r="J7136" s="1589"/>
      <c r="K7136" s="1307">
        <f>G7136*K7130</f>
        <v>2.5760000000000001</v>
      </c>
      <c r="L7136" s="1335">
        <f>K7136*$K$7035</f>
        <v>0</v>
      </c>
      <c r="M7136" s="1302">
        <v>18.28</v>
      </c>
      <c r="N7136" s="1700"/>
      <c r="O7136" s="1290">
        <f>G7136*M7136</f>
        <v>2.0473600000000003</v>
      </c>
      <c r="P7136" s="1332">
        <f>M7136*K7136</f>
        <v>47.089280000000002</v>
      </c>
      <c r="Q7136" s="3391"/>
      <c r="R7136" s="2339"/>
    </row>
    <row r="7137" spans="1:18" s="16" customFormat="1">
      <c r="A7137" s="1320"/>
      <c r="B7137" s="1599"/>
      <c r="C7137" s="1320"/>
      <c r="D7137" s="1624"/>
      <c r="E7137" s="2158"/>
      <c r="F7137" s="1624"/>
      <c r="G7137" s="2116"/>
      <c r="H7137" s="1359"/>
      <c r="I7137" s="1299"/>
      <c r="J7137" s="1300"/>
      <c r="K7137" s="1307"/>
      <c r="L7137" s="1335"/>
      <c r="M7137" s="1302"/>
      <c r="N7137" s="1700"/>
      <c r="O7137" s="1290"/>
      <c r="P7137" s="1332"/>
      <c r="Q7137" s="3391"/>
      <c r="R7137" s="2339"/>
    </row>
    <row r="7138" spans="1:18" s="16" customFormat="1">
      <c r="A7138"/>
      <c r="B7138" s="1320"/>
      <c r="D7138" s="1359"/>
      <c r="E7138" s="1858"/>
      <c r="F7138" s="1361"/>
      <c r="G7138" s="1361"/>
      <c r="H7138" s="1466"/>
      <c r="I7138" s="1289"/>
      <c r="J7138" s="8"/>
      <c r="K7138" s="1307"/>
      <c r="L7138" s="1335"/>
      <c r="M7138" s="1302"/>
      <c r="N7138" s="1700"/>
      <c r="O7138" s="1290"/>
      <c r="P7138" s="1332"/>
      <c r="Q7138" s="3391"/>
      <c r="R7138" s="1296"/>
    </row>
    <row r="7139" spans="1:18" s="16" customFormat="1">
      <c r="A7139" s="1320"/>
      <c r="B7139" s="1599"/>
      <c r="C7139" s="1320"/>
      <c r="D7139" s="1373"/>
      <c r="E7139" s="2123"/>
      <c r="F7139" s="1374" t="s">
        <v>3</v>
      </c>
      <c r="G7139" s="1375"/>
      <c r="H7139" s="1376"/>
      <c r="I7139" s="1382"/>
      <c r="J7139" s="1383"/>
      <c r="K7139" s="1383"/>
      <c r="L7139" s="1413"/>
      <c r="M7139" s="1376"/>
      <c r="N7139" s="1376"/>
      <c r="O7139" s="1376"/>
      <c r="P7139" s="1373"/>
      <c r="Q7139" s="3387"/>
      <c r="R7139" s="2339"/>
    </row>
    <row r="7140" spans="1:18" s="16" customFormat="1">
      <c r="A7140" s="1321"/>
      <c r="B7140" s="2053"/>
      <c r="C7140" s="1321"/>
      <c r="D7140" s="1377"/>
      <c r="E7140" s="2124"/>
      <c r="F7140" s="1378"/>
      <c r="G7140" s="1378"/>
      <c r="H7140" s="1379"/>
      <c r="I7140" s="1299"/>
      <c r="J7140" s="1300"/>
      <c r="K7140" s="1307"/>
      <c r="L7140" s="1335"/>
      <c r="M7140" s="1302"/>
      <c r="N7140" s="1700"/>
      <c r="O7140" s="1290"/>
      <c r="P7140" s="1332"/>
      <c r="Q7140" s="3391"/>
      <c r="R7140" s="2339"/>
    </row>
    <row r="7141" spans="1:18" s="16" customFormat="1">
      <c r="A7141" s="1321"/>
      <c r="B7141" s="2053"/>
      <c r="C7141" s="1321"/>
      <c r="D7141" s="1377"/>
      <c r="E7141" s="2124"/>
      <c r="F7141" s="1378"/>
      <c r="G7141" s="1378"/>
      <c r="H7141" s="1379"/>
      <c r="I7141" s="1299"/>
      <c r="J7141" s="1300"/>
      <c r="K7141" s="1307"/>
      <c r="L7141" s="1335"/>
      <c r="M7141" s="1302"/>
      <c r="N7141" s="1700"/>
      <c r="O7141" s="1290"/>
      <c r="P7141" s="1333"/>
      <c r="Q7141" s="3391"/>
      <c r="R7141" s="2339"/>
    </row>
    <row r="7142" spans="1:18" s="16" customFormat="1">
      <c r="A7142" s="1042"/>
      <c r="B7142" s="1765"/>
      <c r="C7142" s="223"/>
      <c r="D7142" s="1373"/>
      <c r="E7142" s="2161"/>
      <c r="F7142" s="1678"/>
      <c r="G7142" s="1678"/>
      <c r="H7142" s="1376"/>
      <c r="I7142" s="1299"/>
      <c r="J7142" s="1300"/>
      <c r="K7142" s="1307"/>
      <c r="L7142" s="1335"/>
      <c r="M7142" s="1302"/>
      <c r="N7142" s="1700"/>
      <c r="O7142" s="1290"/>
      <c r="P7142" s="1332"/>
      <c r="Q7142" s="3391"/>
      <c r="R7142" s="2339"/>
    </row>
    <row r="7143" spans="1:18" s="16" customFormat="1">
      <c r="A7143" s="18" t="s">
        <v>3764</v>
      </c>
      <c r="B7143" s="4325" t="s">
        <v>2300</v>
      </c>
      <c r="C7143" s="3350"/>
      <c r="D7143" s="4327"/>
      <c r="E7143" s="4329" t="s">
        <v>1527</v>
      </c>
      <c r="F7143" s="4336" t="s">
        <v>2301</v>
      </c>
      <c r="G7143" s="4331" t="s">
        <v>1568</v>
      </c>
      <c r="H7143" s="4331" t="s">
        <v>1574</v>
      </c>
      <c r="I7143" s="1572" t="s">
        <v>1559</v>
      </c>
      <c r="J7143" s="1294" t="s">
        <v>1560</v>
      </c>
      <c r="K7143" s="1294" t="s">
        <v>1569</v>
      </c>
      <c r="L7143" s="4333" t="s">
        <v>3765</v>
      </c>
      <c r="M7143" s="4335" t="s">
        <v>1571</v>
      </c>
      <c r="N7143" s="4323" t="s">
        <v>1776</v>
      </c>
      <c r="O7143" s="3347" t="s">
        <v>1563</v>
      </c>
      <c r="P7143" s="1336" t="s">
        <v>1562</v>
      </c>
      <c r="Q7143" s="3389"/>
      <c r="R7143" s="1699" t="s">
        <v>1327</v>
      </c>
    </row>
    <row r="7144" spans="1:18" s="16" customFormat="1">
      <c r="A7144" s="1662" t="s">
        <v>2299</v>
      </c>
      <c r="B7144" s="4326"/>
      <c r="C7144" s="3351"/>
      <c r="D7144" s="4328"/>
      <c r="E7144" s="4330"/>
      <c r="F7144" s="4336"/>
      <c r="G7144" s="4332"/>
      <c r="H7144" s="4332"/>
      <c r="I7144" s="1345">
        <v>28</v>
      </c>
      <c r="J7144" s="1307">
        <v>0.25</v>
      </c>
      <c r="K7144" s="1666">
        <f>I7144*J7144</f>
        <v>7</v>
      </c>
      <c r="L7144" s="4334"/>
      <c r="M7144" s="4335"/>
      <c r="N7144" s="4324"/>
      <c r="O7144" s="1298">
        <f>SUM(O7146:O7153)</f>
        <v>6.2087000000000003</v>
      </c>
      <c r="P7144" s="1337">
        <f>O7144*K7144</f>
        <v>43.460900000000002</v>
      </c>
      <c r="Q7144" s="3390"/>
      <c r="R7144" s="1721">
        <f>SUM(P7146:P7153)</f>
        <v>43.460900000000002</v>
      </c>
    </row>
    <row r="7145" spans="1:18" s="16" customFormat="1">
      <c r="A7145" s="1320"/>
      <c r="B7145" s="1949"/>
      <c r="C7145" s="1327"/>
      <c r="D7145" s="1367"/>
      <c r="E7145" s="2121"/>
      <c r="F7145" s="1389" t="s">
        <v>1</v>
      </c>
      <c r="G7145" s="1389"/>
      <c r="H7145" s="1369"/>
      <c r="I7145" s="2088"/>
      <c r="J7145" s="1369"/>
      <c r="K7145" s="1391"/>
      <c r="L7145" s="1559"/>
      <c r="M7145" s="1369"/>
      <c r="N7145" s="1369"/>
      <c r="O7145" s="1369"/>
      <c r="P7145" s="1392"/>
      <c r="Q7145" s="3395"/>
      <c r="R7145" s="2339"/>
    </row>
    <row r="7146" spans="1:18" s="16" customFormat="1">
      <c r="A7146" s="1320"/>
      <c r="B7146" s="1599"/>
      <c r="C7146" s="1320"/>
      <c r="D7146" s="1598" t="s">
        <v>2302</v>
      </c>
      <c r="E7146" s="2154" t="s">
        <v>1527</v>
      </c>
      <c r="F7146" s="1598" t="s">
        <v>2303</v>
      </c>
      <c r="G7146" s="1612">
        <v>1.01</v>
      </c>
      <c r="H7146" s="1369"/>
      <c r="I7146" s="1299"/>
      <c r="J7146" s="1300"/>
      <c r="K7146" s="1307">
        <f>K7144*G7146</f>
        <v>7.07</v>
      </c>
      <c r="L7146" s="1335">
        <f t="shared" ref="L7146:L7149" si="961">K7146*$K$7035</f>
        <v>0</v>
      </c>
      <c r="M7146" s="1302">
        <v>1.33</v>
      </c>
      <c r="N7146" s="1700"/>
      <c r="O7146" s="1290">
        <f>G7146*M7146</f>
        <v>1.3433000000000002</v>
      </c>
      <c r="P7146" s="1332">
        <f>M7146*K7146</f>
        <v>9.4031000000000002</v>
      </c>
      <c r="Q7146" s="3391"/>
      <c r="R7146" s="2339"/>
    </row>
    <row r="7147" spans="1:18" s="16" customFormat="1">
      <c r="A7147" s="1042"/>
      <c r="B7147" s="1599"/>
      <c r="C7147" s="1042"/>
      <c r="D7147" s="1598" t="s">
        <v>2304</v>
      </c>
      <c r="E7147" s="2154" t="s">
        <v>1527</v>
      </c>
      <c r="F7147" s="1598" t="s">
        <v>2305</v>
      </c>
      <c r="G7147" s="1612">
        <v>1.01</v>
      </c>
      <c r="H7147" s="1674"/>
      <c r="I7147" s="1299"/>
      <c r="J7147" s="1300"/>
      <c r="K7147" s="1307">
        <f>K7144*G7147</f>
        <v>7.07</v>
      </c>
      <c r="L7147" s="1335">
        <f t="shared" si="961"/>
        <v>0</v>
      </c>
      <c r="M7147" s="1302">
        <v>0.2</v>
      </c>
      <c r="N7147" s="1700"/>
      <c r="O7147" s="1290">
        <f>G7147*M7147</f>
        <v>0.20200000000000001</v>
      </c>
      <c r="P7147" s="1332">
        <f>M7147*K7147</f>
        <v>1.4140000000000001</v>
      </c>
      <c r="Q7147" s="3391"/>
      <c r="R7147" s="2339"/>
    </row>
    <row r="7148" spans="1:18" s="16" customFormat="1">
      <c r="A7148" s="1042"/>
      <c r="B7148" s="1599"/>
      <c r="C7148" s="1042"/>
      <c r="D7148" s="1598" t="s">
        <v>1082</v>
      </c>
      <c r="E7148" s="2154" t="s">
        <v>1504</v>
      </c>
      <c r="F7148" s="1598" t="s">
        <v>1541</v>
      </c>
      <c r="G7148" s="1612">
        <v>0.7</v>
      </c>
      <c r="H7148" s="1674"/>
      <c r="I7148" s="1299"/>
      <c r="J7148" s="1300"/>
      <c r="K7148" s="1307">
        <f>K7144*G7148</f>
        <v>4.8999999999999995</v>
      </c>
      <c r="L7148" s="1335">
        <f t="shared" si="961"/>
        <v>0</v>
      </c>
      <c r="M7148" s="1302">
        <v>0.3</v>
      </c>
      <c r="N7148" s="1700"/>
      <c r="O7148" s="1290">
        <f>G7148*M7148</f>
        <v>0.21</v>
      </c>
      <c r="P7148" s="1332">
        <f>M7148*K7148</f>
        <v>1.4699999999999998</v>
      </c>
      <c r="Q7148" s="3391"/>
      <c r="R7148" s="2339"/>
    </row>
    <row r="7149" spans="1:18" s="16" customFormat="1">
      <c r="A7149" s="1042"/>
      <c r="B7149" s="1599"/>
      <c r="C7149" s="1042"/>
      <c r="D7149" s="1598" t="s">
        <v>1097</v>
      </c>
      <c r="E7149" s="2154" t="s">
        <v>1504</v>
      </c>
      <c r="F7149" s="1598" t="s">
        <v>1632</v>
      </c>
      <c r="G7149" s="1612">
        <v>3.98</v>
      </c>
      <c r="H7149" s="1674"/>
      <c r="I7149" s="1299"/>
      <c r="J7149" s="1300"/>
      <c r="K7149" s="1307">
        <f>K7144*G7149</f>
        <v>27.86</v>
      </c>
      <c r="L7149" s="1335">
        <f t="shared" si="961"/>
        <v>0</v>
      </c>
      <c r="M7149" s="1302">
        <v>0.55000000000000004</v>
      </c>
      <c r="N7149" s="1700"/>
      <c r="O7149" s="1290">
        <f>G7149*M7149</f>
        <v>2.1890000000000001</v>
      </c>
      <c r="P7149" s="1332">
        <f>M7149*K7149</f>
        <v>15.323</v>
      </c>
      <c r="Q7149" s="3391"/>
      <c r="R7149" s="2339"/>
    </row>
    <row r="7150" spans="1:18" s="16" customFormat="1">
      <c r="A7150" s="1042"/>
      <c r="B7150" s="1599"/>
      <c r="C7150" s="1042"/>
      <c r="D7150" s="1367"/>
      <c r="E7150" s="2121"/>
      <c r="F7150" s="1436"/>
      <c r="G7150" s="1436"/>
      <c r="H7150" s="1369"/>
      <c r="I7150" s="1299" t="str">
        <f t="shared" ref="I7150" ca="1" si="962">IF(COUNT(H7150:O7150)=0,"",(SUM(H7150:O7150)/COUNT(H7150:O7150)))</f>
        <v/>
      </c>
      <c r="J7150" s="1300"/>
      <c r="K7150" s="1307"/>
      <c r="L7150" s="1335"/>
      <c r="M7150" s="1302"/>
      <c r="N7150" s="1700"/>
      <c r="O7150" s="1290"/>
      <c r="P7150" s="1332"/>
      <c r="Q7150" s="3391"/>
      <c r="R7150" s="2339"/>
    </row>
    <row r="7151" spans="1:18" s="16" customFormat="1">
      <c r="A7151" s="1042"/>
      <c r="B7151" s="1599"/>
      <c r="C7151" s="1042"/>
      <c r="D7151" s="1359"/>
      <c r="E7151" s="1858"/>
      <c r="F7151" s="1360" t="s">
        <v>2</v>
      </c>
      <c r="G7151" s="1360"/>
      <c r="H7151" s="1362"/>
      <c r="I7151" s="1380"/>
      <c r="J7151" s="1381"/>
      <c r="K7151" s="1381"/>
      <c r="L7151" s="1458"/>
      <c r="M7151" s="1362"/>
      <c r="N7151" s="1362"/>
      <c r="O7151" s="1362"/>
      <c r="P7151" s="1359"/>
      <c r="Q7151" s="3387"/>
      <c r="R7151" s="2339"/>
    </row>
    <row r="7152" spans="1:18" s="16" customFormat="1">
      <c r="A7152" s="1321"/>
      <c r="B7152" s="2053"/>
      <c r="C7152" s="1321"/>
      <c r="D7152" s="1655" t="s">
        <v>1099</v>
      </c>
      <c r="E7152" s="1859" t="s">
        <v>1508</v>
      </c>
      <c r="F7152" s="1655" t="s">
        <v>1633</v>
      </c>
      <c r="G7152" s="1625">
        <v>0.06</v>
      </c>
      <c r="H7152" s="1386"/>
      <c r="I7152" s="1299"/>
      <c r="J7152" s="1300"/>
      <c r="K7152" s="1307">
        <f>G7152*K7144</f>
        <v>0.42</v>
      </c>
      <c r="L7152" s="1335">
        <f>K7152*$K$7035</f>
        <v>0</v>
      </c>
      <c r="M7152" s="1302">
        <v>19.23</v>
      </c>
      <c r="N7152" s="1700"/>
      <c r="O7152" s="1290">
        <f>G7152*M7152</f>
        <v>1.1537999999999999</v>
      </c>
      <c r="P7152" s="1332">
        <f>M7152*K7152</f>
        <v>8.0765999999999991</v>
      </c>
      <c r="Q7152" s="3391"/>
      <c r="R7152" s="2339"/>
    </row>
    <row r="7153" spans="1:18" s="16" customFormat="1">
      <c r="A7153"/>
      <c r="B7153" s="1042"/>
      <c r="C7153" s="2086" t="s">
        <v>2282</v>
      </c>
      <c r="D7153" s="1311"/>
      <c r="E7153" s="2176" t="s">
        <v>1508</v>
      </c>
      <c r="F7153" s="1648" t="s">
        <v>2283</v>
      </c>
      <c r="G7153" s="1990"/>
      <c r="H7153" s="1338">
        <v>0.03</v>
      </c>
      <c r="I7153" s="1444"/>
      <c r="J7153" s="1388"/>
      <c r="K7153" s="1445"/>
      <c r="L7153" s="1457"/>
      <c r="M7153" s="1447"/>
      <c r="N7153" s="1447">
        <f>SUM(N7154:N7155)</f>
        <v>37.019999999999996</v>
      </c>
      <c r="O7153" s="1447">
        <f>SUM(O7154:O7155)</f>
        <v>1.1105999999999998</v>
      </c>
      <c r="P7153" s="1447">
        <f>SUM(P7154:P7155)</f>
        <v>7.7741999999999996</v>
      </c>
      <c r="Q7153" s="3391"/>
      <c r="R7153" s="2337"/>
    </row>
    <row r="7154" spans="1:18" s="16" customFormat="1">
      <c r="A7154"/>
      <c r="B7154" s="1042"/>
      <c r="C7154" s="19"/>
      <c r="D7154" s="1430" t="s">
        <v>1067</v>
      </c>
      <c r="E7154" s="1857" t="s">
        <v>1508</v>
      </c>
      <c r="F7154" s="1403" t="s">
        <v>5</v>
      </c>
      <c r="G7154" s="1991">
        <v>1</v>
      </c>
      <c r="H7154" s="1408">
        <f>G7154*H7153</f>
        <v>0.03</v>
      </c>
      <c r="I7154" s="1286"/>
      <c r="J7154" s="198"/>
      <c r="K7154" s="1307">
        <f>H7154*K7144</f>
        <v>0.21</v>
      </c>
      <c r="L7154" s="1335">
        <f t="shared" ref="L7154:L7155" si="963">K7154*$K$7035</f>
        <v>0</v>
      </c>
      <c r="M7154" s="1302">
        <v>18.28</v>
      </c>
      <c r="N7154" s="1718">
        <f>G7154*M7154</f>
        <v>18.28</v>
      </c>
      <c r="O7154" s="1290">
        <f>H7154*M7154</f>
        <v>0.5484</v>
      </c>
      <c r="P7154" s="1720">
        <f>M7154*K7154</f>
        <v>3.8388</v>
      </c>
      <c r="Q7154" s="3396"/>
      <c r="R7154" s="2337"/>
    </row>
    <row r="7155" spans="1:18" s="16" customFormat="1">
      <c r="A7155"/>
      <c r="B7155" s="1042"/>
      <c r="C7155" s="19"/>
      <c r="D7155" s="1430" t="s">
        <v>1165</v>
      </c>
      <c r="E7155" s="1857" t="s">
        <v>1508</v>
      </c>
      <c r="F7155" s="1394" t="s">
        <v>114</v>
      </c>
      <c r="G7155" s="2183">
        <v>1</v>
      </c>
      <c r="H7155" s="1395">
        <f>G7155*H7153</f>
        <v>0.03</v>
      </c>
      <c r="I7155" s="197"/>
      <c r="J7155" s="198"/>
      <c r="K7155" s="1307">
        <f>H7155*K7144</f>
        <v>0.21</v>
      </c>
      <c r="L7155" s="1335">
        <f t="shared" si="963"/>
        <v>0</v>
      </c>
      <c r="M7155" s="1302">
        <v>18.739999999999998</v>
      </c>
      <c r="N7155" s="1718">
        <f>G7155*M7155</f>
        <v>18.739999999999998</v>
      </c>
      <c r="O7155" s="1290">
        <f>H7155*M7155</f>
        <v>0.56219999999999992</v>
      </c>
      <c r="P7155" s="1720">
        <f>M7155*K7155</f>
        <v>3.9353999999999996</v>
      </c>
      <c r="Q7155" s="3396"/>
      <c r="R7155" s="2337"/>
    </row>
    <row r="7156" spans="1:18" s="16" customFormat="1">
      <c r="B7156" s="1599"/>
      <c r="C7156" s="1320"/>
      <c r="D7156" s="1430"/>
      <c r="E7156" s="1857"/>
      <c r="F7156" s="1430"/>
      <c r="G7156" s="1822"/>
      <c r="H7156" s="1359"/>
      <c r="I7156" s="1299"/>
      <c r="J7156" s="1300"/>
      <c r="K7156" s="1307"/>
      <c r="L7156" s="1335"/>
      <c r="M7156" s="1302"/>
      <c r="N7156" s="1700"/>
      <c r="O7156" s="1290"/>
      <c r="P7156" s="1332"/>
      <c r="Q7156" s="3391"/>
      <c r="R7156" s="2339"/>
    </row>
    <row r="7157" spans="1:18" s="16" customFormat="1">
      <c r="A7157"/>
      <c r="B7157" s="1320"/>
      <c r="D7157" s="1359"/>
      <c r="E7157" s="1858"/>
      <c r="F7157" s="1474"/>
      <c r="G7157" s="1474"/>
      <c r="H7157" s="1466"/>
      <c r="I7157" s="1289"/>
      <c r="J7157" s="8"/>
      <c r="K7157" s="1307"/>
      <c r="L7157" s="1335"/>
      <c r="M7157" s="1302"/>
      <c r="N7157" s="1700"/>
      <c r="O7157" s="1290"/>
      <c r="P7157" s="1332"/>
      <c r="Q7157" s="3391"/>
      <c r="R7157" s="1296"/>
    </row>
    <row r="7158" spans="1:18" s="16" customFormat="1">
      <c r="A7158" s="1320"/>
      <c r="B7158" s="1599"/>
      <c r="C7158" s="1320"/>
      <c r="D7158" s="1373"/>
      <c r="E7158" s="2123"/>
      <c r="F7158" s="1374" t="s">
        <v>3</v>
      </c>
      <c r="G7158" s="1375"/>
      <c r="H7158" s="1376"/>
      <c r="I7158" s="1382"/>
      <c r="J7158" s="1383"/>
      <c r="K7158" s="1383"/>
      <c r="L7158" s="1413"/>
      <c r="M7158" s="1376"/>
      <c r="N7158" s="1376"/>
      <c r="O7158" s="1376"/>
      <c r="P7158" s="1373"/>
      <c r="Q7158" s="3387"/>
      <c r="R7158" s="2339"/>
    </row>
    <row r="7159" spans="1:18" s="16" customFormat="1">
      <c r="A7159" s="1321"/>
      <c r="B7159" s="2053"/>
      <c r="C7159" s="1321"/>
      <c r="D7159" s="1827"/>
      <c r="E7159" s="2173"/>
      <c r="F7159" s="1827"/>
      <c r="G7159" s="1828"/>
      <c r="H7159" s="1379"/>
      <c r="I7159" s="1299"/>
      <c r="J7159" s="1300"/>
      <c r="K7159" s="1307"/>
      <c r="L7159" s="1335"/>
      <c r="M7159" s="1302"/>
      <c r="N7159" s="1700"/>
      <c r="O7159" s="1290"/>
      <c r="P7159" s="1332"/>
      <c r="Q7159" s="3391"/>
      <c r="R7159" s="2339"/>
    </row>
    <row r="7160" spans="1:18" s="16" customFormat="1">
      <c r="A7160" s="1321"/>
      <c r="B7160" s="2053"/>
      <c r="C7160" s="1321"/>
      <c r="D7160" s="1377"/>
      <c r="E7160" s="2124"/>
      <c r="F7160" s="1378"/>
      <c r="G7160" s="1378"/>
      <c r="H7160" s="1379"/>
      <c r="I7160" s="1299"/>
      <c r="J7160" s="1300"/>
      <c r="K7160" s="1307"/>
      <c r="L7160" s="1335"/>
      <c r="M7160" s="1302"/>
      <c r="N7160" s="1700"/>
      <c r="O7160" s="1290"/>
      <c r="P7160" s="1333"/>
      <c r="Q7160" s="3391"/>
      <c r="R7160" s="2339"/>
    </row>
    <row r="7161" spans="1:18" s="16" customFormat="1">
      <c r="A7161" s="1042"/>
      <c r="B7161" s="1765"/>
      <c r="C7161" s="223"/>
      <c r="D7161" s="1373"/>
      <c r="E7161" s="2161"/>
      <c r="F7161" s="1678"/>
      <c r="G7161" s="1678"/>
      <c r="H7161" s="1376"/>
      <c r="I7161" s="1299"/>
      <c r="J7161" s="1300"/>
      <c r="K7161" s="1307"/>
      <c r="L7161" s="1335"/>
      <c r="M7161" s="1302"/>
      <c r="N7161" s="1700"/>
      <c r="O7161" s="1290"/>
      <c r="P7161" s="1332"/>
      <c r="Q7161" s="3391"/>
      <c r="R7161" s="2339"/>
    </row>
    <row r="7162" spans="1:18" s="16" customFormat="1">
      <c r="A7162" s="18" t="s">
        <v>3764</v>
      </c>
      <c r="B7162" s="4325" t="s">
        <v>2306</v>
      </c>
      <c r="C7162" s="3350"/>
      <c r="D7162" s="4327"/>
      <c r="E7162" s="4329" t="s">
        <v>1527</v>
      </c>
      <c r="F7162" s="4336" t="s">
        <v>2307</v>
      </c>
      <c r="G7162" s="4331" t="s">
        <v>1568</v>
      </c>
      <c r="H7162" s="4331" t="s">
        <v>1574</v>
      </c>
      <c r="I7162" s="1572" t="s">
        <v>1559</v>
      </c>
      <c r="J7162" s="1294" t="s">
        <v>1560</v>
      </c>
      <c r="K7162" s="1294" t="s">
        <v>1569</v>
      </c>
      <c r="L7162" s="4333" t="s">
        <v>3765</v>
      </c>
      <c r="M7162" s="4335" t="s">
        <v>1571</v>
      </c>
      <c r="N7162" s="4323" t="s">
        <v>1776</v>
      </c>
      <c r="O7162" s="3347" t="s">
        <v>1563</v>
      </c>
      <c r="P7162" s="1336" t="s">
        <v>1562</v>
      </c>
      <c r="Q7162" s="3389"/>
      <c r="R7162" s="1699" t="s">
        <v>1327</v>
      </c>
    </row>
    <row r="7163" spans="1:18" s="16" customFormat="1">
      <c r="A7163" s="1662" t="s">
        <v>2299</v>
      </c>
      <c r="B7163" s="4326"/>
      <c r="C7163" s="3351"/>
      <c r="D7163" s="4328"/>
      <c r="E7163" s="4330"/>
      <c r="F7163" s="4336"/>
      <c r="G7163" s="4332"/>
      <c r="H7163" s="4332"/>
      <c r="I7163" s="1345">
        <v>32</v>
      </c>
      <c r="J7163" s="1307">
        <v>0.25</v>
      </c>
      <c r="K7163" s="1666">
        <f>I7163*J7163</f>
        <v>8</v>
      </c>
      <c r="L7163" s="4334"/>
      <c r="M7163" s="4335"/>
      <c r="N7163" s="4324"/>
      <c r="O7163" s="1298">
        <f>SUM(O7165:O7172)</f>
        <v>7.7683</v>
      </c>
      <c r="P7163" s="1337">
        <f>O7163*K7163</f>
        <v>62.1464</v>
      </c>
      <c r="Q7163" s="3390"/>
      <c r="R7163" s="1721">
        <f>SUM(P7165:P7172)</f>
        <v>62.1464</v>
      </c>
    </row>
    <row r="7164" spans="1:18" s="16" customFormat="1">
      <c r="A7164" s="1320"/>
      <c r="B7164" s="1949"/>
      <c r="C7164" s="1327"/>
      <c r="D7164" s="1367"/>
      <c r="E7164" s="2121"/>
      <c r="F7164" s="1389" t="s">
        <v>1</v>
      </c>
      <c r="G7164" s="1389"/>
      <c r="H7164" s="1369"/>
      <c r="I7164" s="2088"/>
      <c r="J7164" s="1369"/>
      <c r="K7164" s="1391"/>
      <c r="L7164" s="1559"/>
      <c r="M7164" s="1369"/>
      <c r="N7164" s="1369"/>
      <c r="O7164" s="1369"/>
      <c r="P7164" s="1392"/>
      <c r="Q7164" s="3395"/>
      <c r="R7164" s="2339"/>
    </row>
    <row r="7165" spans="1:18" s="16" customFormat="1">
      <c r="A7165" s="1320"/>
      <c r="B7165" s="1599"/>
      <c r="C7165" s="1320"/>
      <c r="D7165" s="1598" t="s">
        <v>2308</v>
      </c>
      <c r="E7165" s="2154" t="s">
        <v>1527</v>
      </c>
      <c r="F7165" s="1598" t="s">
        <v>2309</v>
      </c>
      <c r="G7165" s="1612">
        <v>1.01</v>
      </c>
      <c r="H7165" s="1369"/>
      <c r="I7165" s="1299"/>
      <c r="J7165" s="1300"/>
      <c r="K7165" s="1307">
        <f>K7163*G7165</f>
        <v>8.08</v>
      </c>
      <c r="L7165" s="1335">
        <f t="shared" ref="L7165:L7168" si="964">K7165*$K$7035</f>
        <v>0</v>
      </c>
      <c r="M7165" s="1302">
        <v>1.88</v>
      </c>
      <c r="N7165" s="1700"/>
      <c r="O7165" s="1290">
        <f>G7165*M7165</f>
        <v>1.8987999999999998</v>
      </c>
      <c r="P7165" s="1332">
        <f>M7165*K7165</f>
        <v>15.190399999999999</v>
      </c>
      <c r="Q7165" s="3391"/>
      <c r="R7165" s="2339"/>
    </row>
    <row r="7166" spans="1:18" s="16" customFormat="1">
      <c r="A7166" s="1042"/>
      <c r="B7166" s="1599"/>
      <c r="C7166" s="1042"/>
      <c r="D7166" s="1598" t="s">
        <v>2310</v>
      </c>
      <c r="E7166" s="2154" t="s">
        <v>1527</v>
      </c>
      <c r="F7166" s="1598" t="s">
        <v>2311</v>
      </c>
      <c r="G7166" s="1612">
        <v>1.01</v>
      </c>
      <c r="H7166" s="1674"/>
      <c r="I7166" s="1299"/>
      <c r="J7166" s="1300"/>
      <c r="K7166" s="1307">
        <f>K7163*G7166</f>
        <v>8.08</v>
      </c>
      <c r="L7166" s="1335">
        <f t="shared" si="964"/>
        <v>0</v>
      </c>
      <c r="M7166" s="1302">
        <v>0.41</v>
      </c>
      <c r="N7166" s="1700"/>
      <c r="O7166" s="1290">
        <f>G7166*M7166</f>
        <v>0.41409999999999997</v>
      </c>
      <c r="P7166" s="1332">
        <f>M7166*K7166</f>
        <v>3.3127999999999997</v>
      </c>
      <c r="Q7166" s="3391"/>
      <c r="R7166" s="2339"/>
    </row>
    <row r="7167" spans="1:18" s="16" customFormat="1">
      <c r="A7167" s="1042"/>
      <c r="B7167" s="1599"/>
      <c r="C7167" s="1042"/>
      <c r="D7167" s="1598" t="s">
        <v>1082</v>
      </c>
      <c r="E7167" s="2154" t="s">
        <v>1504</v>
      </c>
      <c r="F7167" s="1598" t="s">
        <v>1541</v>
      </c>
      <c r="G7167" s="1612">
        <v>0.7</v>
      </c>
      <c r="H7167" s="1674"/>
      <c r="I7167" s="1299"/>
      <c r="J7167" s="1300"/>
      <c r="K7167" s="1307">
        <f>K7163*G7167</f>
        <v>5.6</v>
      </c>
      <c r="L7167" s="1335">
        <f t="shared" si="964"/>
        <v>0</v>
      </c>
      <c r="M7167" s="1302">
        <v>0.3</v>
      </c>
      <c r="N7167" s="1700"/>
      <c r="O7167" s="1290">
        <f>G7167*M7167</f>
        <v>0.21</v>
      </c>
      <c r="P7167" s="1332">
        <f>M7167*K7167</f>
        <v>1.68</v>
      </c>
      <c r="Q7167" s="3391"/>
      <c r="R7167" s="2339"/>
    </row>
    <row r="7168" spans="1:18" s="16" customFormat="1">
      <c r="A7168" s="1042"/>
      <c r="B7168" s="1599"/>
      <c r="C7168" s="1042"/>
      <c r="D7168" s="1598" t="s">
        <v>1097</v>
      </c>
      <c r="E7168" s="2154" t="s">
        <v>1504</v>
      </c>
      <c r="F7168" s="1598" t="s">
        <v>1632</v>
      </c>
      <c r="G7168" s="1612">
        <v>5.42</v>
      </c>
      <c r="H7168" s="1674"/>
      <c r="I7168" s="1299"/>
      <c r="J7168" s="1300"/>
      <c r="K7168" s="1307">
        <f>K7163*G7168</f>
        <v>43.36</v>
      </c>
      <c r="L7168" s="1335">
        <f t="shared" si="964"/>
        <v>0</v>
      </c>
      <c r="M7168" s="1302">
        <v>0.55000000000000004</v>
      </c>
      <c r="N7168" s="1700"/>
      <c r="O7168" s="1290">
        <f>G7168*M7168</f>
        <v>2.9810000000000003</v>
      </c>
      <c r="P7168" s="1332">
        <f>M7168*K7168</f>
        <v>23.848000000000003</v>
      </c>
      <c r="Q7168" s="3391"/>
      <c r="R7168" s="2339"/>
    </row>
    <row r="7169" spans="1:18" s="16" customFormat="1">
      <c r="A7169" s="1042"/>
      <c r="B7169" s="1599"/>
      <c r="C7169" s="1042"/>
      <c r="D7169" s="1367"/>
      <c r="E7169" s="2121"/>
      <c r="F7169" s="1436"/>
      <c r="G7169" s="1436"/>
      <c r="H7169" s="1369"/>
      <c r="I7169" s="1299" t="str">
        <f t="shared" ref="I7169" ca="1" si="965">IF(COUNT(H7169:O7169)=0,"",(SUM(H7169:O7169)/COUNT(H7169:O7169)))</f>
        <v/>
      </c>
      <c r="J7169" s="1300"/>
      <c r="K7169" s="1307"/>
      <c r="L7169" s="1335"/>
      <c r="M7169" s="1302"/>
      <c r="N7169" s="1700"/>
      <c r="O7169" s="1290"/>
      <c r="P7169" s="1332"/>
      <c r="Q7169" s="3391"/>
      <c r="R7169" s="2339"/>
    </row>
    <row r="7170" spans="1:18" s="16" customFormat="1">
      <c r="A7170" s="1042"/>
      <c r="B7170" s="1599"/>
      <c r="C7170" s="1042"/>
      <c r="D7170" s="1359"/>
      <c r="E7170" s="1858"/>
      <c r="F7170" s="1360" t="s">
        <v>2</v>
      </c>
      <c r="G7170" s="1360"/>
      <c r="H7170" s="1362"/>
      <c r="I7170" s="1380"/>
      <c r="J7170" s="1381"/>
      <c r="K7170" s="1381"/>
      <c r="L7170" s="1458"/>
      <c r="M7170" s="1362"/>
      <c r="N7170" s="1362"/>
      <c r="O7170" s="1362"/>
      <c r="P7170" s="1359"/>
      <c r="Q7170" s="3387"/>
      <c r="R7170" s="2339"/>
    </row>
    <row r="7171" spans="1:18" s="16" customFormat="1">
      <c r="A7171" s="1321"/>
      <c r="B7171" s="2053"/>
      <c r="C7171" s="1321"/>
      <c r="D7171" s="1655" t="s">
        <v>1099</v>
      </c>
      <c r="E7171" s="1859" t="s">
        <v>1508</v>
      </c>
      <c r="F7171" s="1655" t="s">
        <v>1633</v>
      </c>
      <c r="G7171" s="1625">
        <v>0.06</v>
      </c>
      <c r="H7171" s="1386"/>
      <c r="I7171" s="1299"/>
      <c r="J7171" s="1300"/>
      <c r="K7171" s="1307">
        <f>G7171*K7163</f>
        <v>0.48</v>
      </c>
      <c r="L7171" s="1335">
        <f>K7171*$K$7035</f>
        <v>0</v>
      </c>
      <c r="M7171" s="1302">
        <v>19.23</v>
      </c>
      <c r="N7171" s="1700"/>
      <c r="O7171" s="1290">
        <f>G7171*M7171</f>
        <v>1.1537999999999999</v>
      </c>
      <c r="P7171" s="1332">
        <f>M7171*K7171</f>
        <v>9.2303999999999995</v>
      </c>
      <c r="Q7171" s="3391"/>
      <c r="R7171" s="2339"/>
    </row>
    <row r="7172" spans="1:18" s="16" customFormat="1">
      <c r="A7172"/>
      <c r="B7172" s="1042"/>
      <c r="C7172" s="2086" t="s">
        <v>2282</v>
      </c>
      <c r="D7172" s="1311"/>
      <c r="E7172" s="2176" t="s">
        <v>1508</v>
      </c>
      <c r="F7172" s="1648" t="s">
        <v>2283</v>
      </c>
      <c r="G7172" s="1990"/>
      <c r="H7172" s="1338">
        <v>0.03</v>
      </c>
      <c r="I7172" s="1444"/>
      <c r="J7172" s="1388"/>
      <c r="K7172" s="1445"/>
      <c r="L7172" s="1457"/>
      <c r="M7172" s="1447"/>
      <c r="N7172" s="1447">
        <f>SUM(N7173:N7174)</f>
        <v>37.019999999999996</v>
      </c>
      <c r="O7172" s="1447">
        <f>SUM(O7173:O7174)</f>
        <v>1.1105999999999998</v>
      </c>
      <c r="P7172" s="1447">
        <f>SUM(P7173:P7174)</f>
        <v>8.8847999999999985</v>
      </c>
      <c r="Q7172" s="3391"/>
      <c r="R7172" s="2337"/>
    </row>
    <row r="7173" spans="1:18" s="16" customFormat="1">
      <c r="A7173"/>
      <c r="B7173" s="1042"/>
      <c r="C7173" s="19"/>
      <c r="D7173" s="1430" t="s">
        <v>1067</v>
      </c>
      <c r="E7173" s="1857" t="s">
        <v>1508</v>
      </c>
      <c r="F7173" s="1403" t="s">
        <v>5</v>
      </c>
      <c r="G7173" s="1991">
        <v>1</v>
      </c>
      <c r="H7173" s="1408">
        <f>G7173*H7172</f>
        <v>0.03</v>
      </c>
      <c r="I7173" s="1286"/>
      <c r="J7173" s="198"/>
      <c r="K7173" s="1307">
        <f>H7173*K7163</f>
        <v>0.24</v>
      </c>
      <c r="L7173" s="1335">
        <f t="shared" ref="L7173:L7174" si="966">K7173*$K$7035</f>
        <v>0</v>
      </c>
      <c r="M7173" s="1302">
        <v>18.28</v>
      </c>
      <c r="N7173" s="1718">
        <f>G7173*M7173</f>
        <v>18.28</v>
      </c>
      <c r="O7173" s="1290">
        <f>H7173*M7173</f>
        <v>0.5484</v>
      </c>
      <c r="P7173" s="1720">
        <f>M7173*K7173</f>
        <v>4.3872</v>
      </c>
      <c r="Q7173" s="3396"/>
      <c r="R7173" s="2337"/>
    </row>
    <row r="7174" spans="1:18" s="16" customFormat="1">
      <c r="A7174"/>
      <c r="B7174" s="1042"/>
      <c r="C7174" s="19"/>
      <c r="D7174" s="1430" t="s">
        <v>1165</v>
      </c>
      <c r="E7174" s="1857" t="s">
        <v>1508</v>
      </c>
      <c r="F7174" s="1394" t="s">
        <v>114</v>
      </c>
      <c r="G7174" s="2183">
        <v>1</v>
      </c>
      <c r="H7174" s="1395">
        <f>G7174*H7172</f>
        <v>0.03</v>
      </c>
      <c r="I7174" s="197"/>
      <c r="J7174" s="198"/>
      <c r="K7174" s="1307">
        <f>H7174*K7163</f>
        <v>0.24</v>
      </c>
      <c r="L7174" s="1335">
        <f t="shared" si="966"/>
        <v>0</v>
      </c>
      <c r="M7174" s="1302">
        <v>18.739999999999998</v>
      </c>
      <c r="N7174" s="1718">
        <f>G7174*M7174</f>
        <v>18.739999999999998</v>
      </c>
      <c r="O7174" s="1290">
        <f>H7174*M7174</f>
        <v>0.56219999999999992</v>
      </c>
      <c r="P7174" s="1720">
        <f>M7174*K7174</f>
        <v>4.4975999999999994</v>
      </c>
      <c r="Q7174" s="3396"/>
      <c r="R7174" s="2337"/>
    </row>
    <row r="7175" spans="1:18" s="16" customFormat="1">
      <c r="B7175" s="1599"/>
      <c r="C7175" s="1320"/>
      <c r="D7175" s="1430"/>
      <c r="E7175" s="1857"/>
      <c r="F7175" s="1430"/>
      <c r="G7175" s="1822"/>
      <c r="H7175" s="1359"/>
      <c r="I7175" s="1299"/>
      <c r="J7175" s="1300"/>
      <c r="K7175" s="1307"/>
      <c r="L7175" s="1335"/>
      <c r="M7175" s="1302"/>
      <c r="N7175" s="1700"/>
      <c r="O7175" s="1290"/>
      <c r="P7175" s="1332"/>
      <c r="Q7175" s="3391"/>
      <c r="R7175" s="2339"/>
    </row>
    <row r="7176" spans="1:18" s="16" customFormat="1">
      <c r="A7176"/>
      <c r="B7176" s="1320"/>
      <c r="D7176" s="1359"/>
      <c r="E7176" s="1858"/>
      <c r="F7176" s="1474"/>
      <c r="G7176" s="1474"/>
      <c r="H7176" s="1466"/>
      <c r="I7176" s="1289"/>
      <c r="J7176" s="8"/>
      <c r="K7176" s="1307"/>
      <c r="L7176" s="1335"/>
      <c r="M7176" s="1302"/>
      <c r="N7176" s="1700"/>
      <c r="O7176" s="1290"/>
      <c r="P7176" s="1332"/>
      <c r="Q7176" s="3391"/>
      <c r="R7176" s="1296"/>
    </row>
    <row r="7177" spans="1:18" s="16" customFormat="1">
      <c r="A7177" s="1320"/>
      <c r="B7177" s="1599"/>
      <c r="C7177" s="1320"/>
      <c r="D7177" s="1373"/>
      <c r="E7177" s="2123"/>
      <c r="F7177" s="1374" t="s">
        <v>3</v>
      </c>
      <c r="G7177" s="1375"/>
      <c r="H7177" s="1376"/>
      <c r="I7177" s="1382"/>
      <c r="J7177" s="1383"/>
      <c r="K7177" s="1383"/>
      <c r="L7177" s="1413"/>
      <c r="M7177" s="1376"/>
      <c r="N7177" s="1376"/>
      <c r="O7177" s="1376"/>
      <c r="P7177" s="1373"/>
      <c r="Q7177" s="3387"/>
      <c r="R7177" s="2339"/>
    </row>
    <row r="7178" spans="1:18" s="16" customFormat="1">
      <c r="A7178" s="1321"/>
      <c r="B7178" s="2053"/>
      <c r="C7178" s="1321"/>
      <c r="D7178" s="1827"/>
      <c r="E7178" s="2173"/>
      <c r="F7178" s="1827"/>
      <c r="G7178" s="1828"/>
      <c r="H7178" s="1379"/>
      <c r="I7178" s="1299"/>
      <c r="J7178" s="1300"/>
      <c r="K7178" s="1307"/>
      <c r="L7178" s="1335"/>
      <c r="M7178" s="1302"/>
      <c r="N7178" s="1700"/>
      <c r="O7178" s="1290"/>
      <c r="P7178" s="1332"/>
      <c r="Q7178" s="3391"/>
      <c r="R7178" s="2339"/>
    </row>
    <row r="7179" spans="1:18" s="16" customFormat="1">
      <c r="A7179" s="1321"/>
      <c r="B7179" s="2053"/>
      <c r="C7179" s="1321"/>
      <c r="D7179" s="1377"/>
      <c r="E7179" s="2124"/>
      <c r="F7179" s="1378"/>
      <c r="G7179" s="1378"/>
      <c r="H7179" s="1379"/>
      <c r="I7179" s="1299"/>
      <c r="J7179" s="1300"/>
      <c r="K7179" s="1307"/>
      <c r="L7179" s="1335"/>
      <c r="M7179" s="1302"/>
      <c r="N7179" s="1700"/>
      <c r="O7179" s="1290"/>
      <c r="P7179" s="1333"/>
      <c r="Q7179" s="3391"/>
      <c r="R7179" s="2339"/>
    </row>
    <row r="7180" spans="1:18" s="16" customFormat="1">
      <c r="A7180" s="1042"/>
      <c r="B7180" s="1765"/>
      <c r="C7180" s="223"/>
      <c r="D7180" s="1373"/>
      <c r="E7180" s="2161"/>
      <c r="F7180" s="1678"/>
      <c r="G7180" s="1678"/>
      <c r="H7180" s="1376"/>
      <c r="I7180" s="1299"/>
      <c r="J7180" s="1300"/>
      <c r="K7180" s="1307"/>
      <c r="L7180" s="1335"/>
      <c r="M7180" s="1302"/>
      <c r="N7180" s="1700"/>
      <c r="O7180" s="1290"/>
      <c r="P7180" s="1332"/>
      <c r="Q7180" s="3391"/>
      <c r="R7180" s="2339"/>
    </row>
    <row r="7181" spans="1:18" s="16" customFormat="1">
      <c r="A7181" s="18" t="s">
        <v>3764</v>
      </c>
      <c r="B7181" s="4325" t="s">
        <v>2312</v>
      </c>
      <c r="C7181" s="3350"/>
      <c r="D7181" s="4327"/>
      <c r="E7181" s="4329" t="s">
        <v>1527</v>
      </c>
      <c r="F7181" s="4336" t="s">
        <v>2313</v>
      </c>
      <c r="G7181" s="4331" t="s">
        <v>1568</v>
      </c>
      <c r="H7181" s="4331" t="s">
        <v>1574</v>
      </c>
      <c r="I7181" s="1572" t="s">
        <v>1559</v>
      </c>
      <c r="J7181" s="1294" t="s">
        <v>1560</v>
      </c>
      <c r="K7181" s="1294" t="s">
        <v>1569</v>
      </c>
      <c r="L7181" s="4333" t="s">
        <v>3765</v>
      </c>
      <c r="M7181" s="4335" t="s">
        <v>1571</v>
      </c>
      <c r="N7181" s="4323" t="s">
        <v>1776</v>
      </c>
      <c r="O7181" s="3347" t="s">
        <v>1563</v>
      </c>
      <c r="P7181" s="1336" t="s">
        <v>1562</v>
      </c>
      <c r="Q7181" s="3389"/>
      <c r="R7181" s="1699" t="s">
        <v>1327</v>
      </c>
    </row>
    <row r="7182" spans="1:18" s="16" customFormat="1">
      <c r="A7182" s="1662" t="s">
        <v>2299</v>
      </c>
      <c r="B7182" s="4326"/>
      <c r="C7182" s="3351"/>
      <c r="D7182" s="4328"/>
      <c r="E7182" s="4330"/>
      <c r="F7182" s="4336"/>
      <c r="G7182" s="4332"/>
      <c r="H7182" s="4332"/>
      <c r="I7182" s="1345">
        <v>32</v>
      </c>
      <c r="J7182" s="1307">
        <v>0.25</v>
      </c>
      <c r="K7182" s="1666">
        <f>I7182*J7182</f>
        <v>8</v>
      </c>
      <c r="L7182" s="4334"/>
      <c r="M7182" s="4335"/>
      <c r="N7182" s="4324"/>
      <c r="O7182" s="1298">
        <f>SUM(O7184:O7191)</f>
        <v>9.202</v>
      </c>
      <c r="P7182" s="1337">
        <f>O7182*K7182</f>
        <v>73.616</v>
      </c>
      <c r="Q7182" s="3390"/>
      <c r="R7182" s="1721">
        <f>SUM(P7184:P7191)</f>
        <v>73.616</v>
      </c>
    </row>
    <row r="7183" spans="1:18" s="16" customFormat="1">
      <c r="A7183" s="1320"/>
      <c r="B7183" s="1949"/>
      <c r="C7183" s="1327"/>
      <c r="D7183" s="1367"/>
      <c r="E7183" s="2121"/>
      <c r="F7183" s="1389" t="s">
        <v>1</v>
      </c>
      <c r="G7183" s="1389"/>
      <c r="H7183" s="1369"/>
      <c r="I7183" s="2088"/>
      <c r="J7183" s="1369"/>
      <c r="K7183" s="1391"/>
      <c r="L7183" s="1559"/>
      <c r="M7183" s="1369"/>
      <c r="N7183" s="1369"/>
      <c r="O7183" s="1369"/>
      <c r="P7183" s="1392"/>
      <c r="Q7183" s="3395"/>
      <c r="R7183" s="2339"/>
    </row>
    <row r="7184" spans="1:18" s="16" customFormat="1">
      <c r="A7184" s="1320"/>
      <c r="B7184" s="1599"/>
      <c r="C7184" s="1320"/>
      <c r="D7184" s="1587" t="s">
        <v>2314</v>
      </c>
      <c r="E7184" s="2138" t="s">
        <v>1527</v>
      </c>
      <c r="F7184" s="1587" t="s">
        <v>2315</v>
      </c>
      <c r="G7184" s="1588">
        <v>1.01</v>
      </c>
      <c r="H7184" s="1367"/>
      <c r="I7184" s="1299"/>
      <c r="J7184" s="1300"/>
      <c r="K7184" s="1307">
        <f>K7182*G7184</f>
        <v>8.08</v>
      </c>
      <c r="L7184" s="1335">
        <f t="shared" ref="L7184:L7187" si="967">K7184*$K$7035</f>
        <v>0</v>
      </c>
      <c r="M7184" s="1602">
        <v>3.55</v>
      </c>
      <c r="N7184" s="1700"/>
      <c r="O7184" s="1290">
        <f>G7184*M7184</f>
        <v>3.5854999999999997</v>
      </c>
      <c r="P7184" s="1332">
        <f>M7184*K7184</f>
        <v>28.683999999999997</v>
      </c>
      <c r="Q7184" s="3391"/>
      <c r="R7184" s="2339"/>
    </row>
    <row r="7185" spans="1:19" s="16" customFormat="1">
      <c r="A7185" s="1042"/>
      <c r="B7185" s="1599"/>
      <c r="C7185" s="1042"/>
      <c r="D7185" s="1587" t="s">
        <v>2310</v>
      </c>
      <c r="E7185" s="2138" t="s">
        <v>1527</v>
      </c>
      <c r="F7185" s="1587" t="s">
        <v>2311</v>
      </c>
      <c r="G7185" s="1588">
        <v>1.01</v>
      </c>
      <c r="H7185" s="1367"/>
      <c r="I7185" s="1299"/>
      <c r="J7185" s="1300"/>
      <c r="K7185" s="1307">
        <f>K7182*G7185</f>
        <v>8.08</v>
      </c>
      <c r="L7185" s="1335">
        <f t="shared" si="967"/>
        <v>0</v>
      </c>
      <c r="M7185" s="1602">
        <v>0.41</v>
      </c>
      <c r="N7185" s="1700"/>
      <c r="O7185" s="1290">
        <f>G7185*M7185</f>
        <v>0.41409999999999997</v>
      </c>
      <c r="P7185" s="1332">
        <f>M7185*K7185</f>
        <v>3.3127999999999997</v>
      </c>
      <c r="Q7185" s="3391"/>
      <c r="R7185" s="2339"/>
    </row>
    <row r="7186" spans="1:19" s="16" customFormat="1">
      <c r="A7186" s="1042"/>
      <c r="B7186" s="1599"/>
      <c r="C7186" s="1042"/>
      <c r="D7186" s="1587" t="s">
        <v>1082</v>
      </c>
      <c r="E7186" s="2138" t="s">
        <v>1504</v>
      </c>
      <c r="F7186" s="1587" t="s">
        <v>1541</v>
      </c>
      <c r="G7186" s="1588">
        <v>0.7</v>
      </c>
      <c r="H7186" s="1674"/>
      <c r="I7186" s="1299"/>
      <c r="J7186" s="1300"/>
      <c r="K7186" s="1307">
        <f>K7182*G7186</f>
        <v>5.6</v>
      </c>
      <c r="L7186" s="1335">
        <f t="shared" si="967"/>
        <v>0</v>
      </c>
      <c r="M7186" s="1302">
        <v>0.3</v>
      </c>
      <c r="N7186" s="1700"/>
      <c r="O7186" s="1290">
        <f>G7186*M7186</f>
        <v>0.21</v>
      </c>
      <c r="P7186" s="1332">
        <f>M7186*K7186</f>
        <v>1.68</v>
      </c>
      <c r="Q7186" s="3391"/>
      <c r="R7186" s="2339"/>
      <c r="S7186" s="1292"/>
    </row>
    <row r="7187" spans="1:19" s="16" customFormat="1">
      <c r="A7187" s="1042"/>
      <c r="B7187" s="1599"/>
      <c r="C7187" s="1042"/>
      <c r="D7187" s="1587" t="s">
        <v>1097</v>
      </c>
      <c r="E7187" s="2138" t="s">
        <v>1504</v>
      </c>
      <c r="F7187" s="1587" t="s">
        <v>1632</v>
      </c>
      <c r="G7187" s="1588">
        <v>4.96</v>
      </c>
      <c r="H7187" s="1674"/>
      <c r="I7187" s="1299"/>
      <c r="J7187" s="1300"/>
      <c r="K7187" s="1307">
        <f>K7182*G7187</f>
        <v>39.68</v>
      </c>
      <c r="L7187" s="1335">
        <f t="shared" si="967"/>
        <v>0</v>
      </c>
      <c r="M7187" s="1302">
        <v>0.55000000000000004</v>
      </c>
      <c r="N7187" s="1700"/>
      <c r="O7187" s="1290">
        <f>G7187*M7187</f>
        <v>2.7280000000000002</v>
      </c>
      <c r="P7187" s="1332">
        <f>M7187*K7187</f>
        <v>21.824000000000002</v>
      </c>
      <c r="Q7187" s="3391"/>
      <c r="R7187" s="2339"/>
    </row>
    <row r="7188" spans="1:19" s="16" customFormat="1">
      <c r="A7188" s="1042"/>
      <c r="B7188" s="1599"/>
      <c r="C7188" s="1042"/>
      <c r="D7188" s="1367"/>
      <c r="E7188" s="2121"/>
      <c r="F7188" s="1436"/>
      <c r="G7188" s="1436"/>
      <c r="H7188" s="1369"/>
      <c r="I7188" s="1299" t="str">
        <f t="shared" ref="I7188" ca="1" si="968">IF(COUNT(H7188:O7188)=0,"",(SUM(H7188:O7188)/COUNT(H7188:O7188)))</f>
        <v/>
      </c>
      <c r="J7188" s="1300"/>
      <c r="K7188" s="1307"/>
      <c r="L7188" s="1335"/>
      <c r="M7188" s="1302"/>
      <c r="N7188" s="1700"/>
      <c r="O7188" s="1290"/>
      <c r="P7188" s="1332"/>
      <c r="Q7188" s="3391"/>
      <c r="R7188" s="2339"/>
    </row>
    <row r="7189" spans="1:19" s="16" customFormat="1">
      <c r="A7189" s="1042"/>
      <c r="B7189" s="1599"/>
      <c r="C7189" s="1042"/>
      <c r="D7189" s="1359"/>
      <c r="E7189" s="1858"/>
      <c r="F7189" s="1360" t="s">
        <v>2</v>
      </c>
      <c r="G7189" s="1360"/>
      <c r="H7189" s="1362"/>
      <c r="I7189" s="1380"/>
      <c r="J7189" s="1381"/>
      <c r="K7189" s="1381"/>
      <c r="L7189" s="1458"/>
      <c r="M7189" s="1362"/>
      <c r="N7189" s="1362"/>
      <c r="O7189" s="1362"/>
      <c r="P7189" s="1359"/>
      <c r="Q7189" s="3387"/>
      <c r="R7189" s="2339"/>
    </row>
    <row r="7190" spans="1:19" s="16" customFormat="1">
      <c r="A7190" s="1321"/>
      <c r="B7190" s="2053"/>
      <c r="C7190" s="1321"/>
      <c r="D7190" s="1655" t="s">
        <v>1099</v>
      </c>
      <c r="E7190" s="1859" t="s">
        <v>1508</v>
      </c>
      <c r="F7190" s="1655" t="s">
        <v>1633</v>
      </c>
      <c r="G7190" s="1625">
        <v>0.06</v>
      </c>
      <c r="H7190" s="1386"/>
      <c r="I7190" s="1299"/>
      <c r="J7190" s="1300"/>
      <c r="K7190" s="1307">
        <f>G7190*K7182</f>
        <v>0.48</v>
      </c>
      <c r="L7190" s="1335">
        <f>K7190*$K$7035</f>
        <v>0</v>
      </c>
      <c r="M7190" s="1302">
        <v>19.23</v>
      </c>
      <c r="N7190" s="1700"/>
      <c r="O7190" s="1290">
        <f>G7190*M7190</f>
        <v>1.1537999999999999</v>
      </c>
      <c r="P7190" s="1332">
        <f>M7190*K7190</f>
        <v>9.2303999999999995</v>
      </c>
      <c r="Q7190" s="3391"/>
      <c r="R7190" s="2339"/>
    </row>
    <row r="7191" spans="1:19" s="16" customFormat="1">
      <c r="A7191"/>
      <c r="B7191" s="1042"/>
      <c r="C7191" s="2086" t="s">
        <v>2282</v>
      </c>
      <c r="D7191" s="1311"/>
      <c r="E7191" s="2176" t="s">
        <v>1508</v>
      </c>
      <c r="F7191" s="1648" t="s">
        <v>2283</v>
      </c>
      <c r="G7191" s="1990"/>
      <c r="H7191" s="1338">
        <v>0.03</v>
      </c>
      <c r="I7191" s="1444"/>
      <c r="J7191" s="1388"/>
      <c r="K7191" s="1445"/>
      <c r="L7191" s="1457"/>
      <c r="M7191" s="1447"/>
      <c r="N7191" s="1447">
        <f>SUM(N7192:N7193)</f>
        <v>37.019999999999996</v>
      </c>
      <c r="O7191" s="1447">
        <f>SUM(O7192:O7193)</f>
        <v>1.1105999999999998</v>
      </c>
      <c r="P7191" s="1447">
        <f>SUM(P7192:P7193)</f>
        <v>8.8847999999999985</v>
      </c>
      <c r="Q7191" s="3391"/>
      <c r="R7191" s="2337"/>
    </row>
    <row r="7192" spans="1:19" s="16" customFormat="1">
      <c r="A7192"/>
      <c r="B7192" s="1042"/>
      <c r="C7192" s="19"/>
      <c r="D7192" s="1430" t="s">
        <v>1067</v>
      </c>
      <c r="E7192" s="1857" t="s">
        <v>1508</v>
      </c>
      <c r="F7192" s="1403" t="s">
        <v>5</v>
      </c>
      <c r="G7192" s="1991">
        <v>1</v>
      </c>
      <c r="H7192" s="1408">
        <f>G7192*H7191</f>
        <v>0.03</v>
      </c>
      <c r="I7192" s="1286"/>
      <c r="J7192" s="198"/>
      <c r="K7192" s="1307">
        <f>H7192*K7182</f>
        <v>0.24</v>
      </c>
      <c r="L7192" s="1335">
        <f t="shared" ref="L7192:L7193" si="969">K7192*$K$7035</f>
        <v>0</v>
      </c>
      <c r="M7192" s="1302">
        <v>18.28</v>
      </c>
      <c r="N7192" s="1718">
        <f>G7192*M7192</f>
        <v>18.28</v>
      </c>
      <c r="O7192" s="1290">
        <f>H7192*M7192</f>
        <v>0.5484</v>
      </c>
      <c r="P7192" s="1720">
        <f>M7192*K7192</f>
        <v>4.3872</v>
      </c>
      <c r="Q7192" s="3396"/>
      <c r="R7192" s="2337"/>
    </row>
    <row r="7193" spans="1:19" s="16" customFormat="1">
      <c r="A7193"/>
      <c r="B7193" s="1042"/>
      <c r="C7193" s="19"/>
      <c r="D7193" s="1430" t="s">
        <v>1165</v>
      </c>
      <c r="E7193" s="1857" t="s">
        <v>1508</v>
      </c>
      <c r="F7193" s="1394" t="s">
        <v>114</v>
      </c>
      <c r="G7193" s="2183">
        <v>1</v>
      </c>
      <c r="H7193" s="1395">
        <f>G7193*H7191</f>
        <v>0.03</v>
      </c>
      <c r="I7193" s="197"/>
      <c r="J7193" s="198"/>
      <c r="K7193" s="1307">
        <f>H7193*K7182</f>
        <v>0.24</v>
      </c>
      <c r="L7193" s="1335">
        <f t="shared" si="969"/>
        <v>0</v>
      </c>
      <c r="M7193" s="1302">
        <v>18.739999999999998</v>
      </c>
      <c r="N7193" s="1718">
        <f>G7193*M7193</f>
        <v>18.739999999999998</v>
      </c>
      <c r="O7193" s="1290">
        <f>H7193*M7193</f>
        <v>0.56219999999999992</v>
      </c>
      <c r="P7193" s="1720">
        <f>M7193*K7193</f>
        <v>4.4975999999999994</v>
      </c>
      <c r="Q7193" s="3396"/>
      <c r="R7193" s="2337"/>
    </row>
    <row r="7194" spans="1:19" s="16" customFormat="1">
      <c r="B7194" s="1599"/>
      <c r="C7194" s="1320"/>
      <c r="D7194" s="1430"/>
      <c r="E7194" s="1857"/>
      <c r="F7194" s="1430"/>
      <c r="G7194" s="1822"/>
      <c r="H7194" s="1359"/>
      <c r="I7194" s="1299"/>
      <c r="J7194" s="1300"/>
      <c r="K7194" s="1307"/>
      <c r="L7194" s="1335"/>
      <c r="M7194" s="1302"/>
      <c r="N7194" s="1700"/>
      <c r="O7194" s="1290"/>
      <c r="P7194" s="1332"/>
      <c r="Q7194" s="3391"/>
      <c r="R7194" s="2339"/>
    </row>
    <row r="7195" spans="1:19" s="16" customFormat="1">
      <c r="A7195"/>
      <c r="B7195" s="1320"/>
      <c r="D7195" s="1359"/>
      <c r="E7195" s="1858"/>
      <c r="F7195" s="1474"/>
      <c r="G7195" s="1474"/>
      <c r="H7195" s="1466"/>
      <c r="I7195" s="1289"/>
      <c r="J7195" s="8"/>
      <c r="K7195" s="1307"/>
      <c r="L7195" s="1335"/>
      <c r="M7195" s="1302"/>
      <c r="N7195" s="1700"/>
      <c r="O7195" s="1290"/>
      <c r="P7195" s="1332"/>
      <c r="Q7195" s="3391"/>
      <c r="R7195" s="1296"/>
    </row>
    <row r="7196" spans="1:19" s="16" customFormat="1">
      <c r="A7196" s="1320"/>
      <c r="B7196" s="1599"/>
      <c r="C7196" s="1320"/>
      <c r="D7196" s="1373"/>
      <c r="E7196" s="2123"/>
      <c r="F7196" s="1374" t="s">
        <v>3</v>
      </c>
      <c r="G7196" s="1375"/>
      <c r="H7196" s="1376"/>
      <c r="I7196" s="1382"/>
      <c r="J7196" s="1383"/>
      <c r="K7196" s="1383"/>
      <c r="L7196" s="1413"/>
      <c r="M7196" s="1376"/>
      <c r="N7196" s="1376"/>
      <c r="O7196" s="1376"/>
      <c r="P7196" s="1373"/>
      <c r="Q7196" s="3387"/>
      <c r="R7196" s="2339"/>
    </row>
    <row r="7197" spans="1:19" s="16" customFormat="1">
      <c r="A7197" s="1321"/>
      <c r="B7197" s="2053"/>
      <c r="C7197" s="1321"/>
      <c r="D7197" s="1827"/>
      <c r="E7197" s="2173"/>
      <c r="F7197" s="1827"/>
      <c r="G7197" s="1828"/>
      <c r="H7197" s="1379"/>
      <c r="I7197" s="1299"/>
      <c r="J7197" s="1300"/>
      <c r="K7197" s="1307"/>
      <c r="L7197" s="1335"/>
      <c r="M7197" s="1302"/>
      <c r="N7197" s="1700"/>
      <c r="O7197" s="1290"/>
      <c r="P7197" s="1332"/>
      <c r="Q7197" s="3391"/>
      <c r="R7197" s="2339"/>
    </row>
    <row r="7198" spans="1:19" s="16" customFormat="1">
      <c r="A7198" s="1321"/>
      <c r="B7198" s="2053"/>
      <c r="C7198" s="1321"/>
      <c r="D7198" s="1377"/>
      <c r="E7198" s="2124"/>
      <c r="F7198" s="1378"/>
      <c r="G7198" s="1378"/>
      <c r="H7198" s="1379"/>
      <c r="I7198" s="1299"/>
      <c r="J7198" s="1300"/>
      <c r="K7198" s="1307"/>
      <c r="L7198" s="1335"/>
      <c r="M7198" s="1302"/>
      <c r="N7198" s="1700"/>
      <c r="O7198" s="1290"/>
      <c r="P7198" s="1333"/>
      <c r="Q7198" s="3391"/>
      <c r="R7198" s="2339"/>
    </row>
    <row r="7199" spans="1:19" s="16" customFormat="1">
      <c r="A7199" s="1042"/>
      <c r="B7199" s="1765"/>
      <c r="C7199" s="223"/>
      <c r="D7199" s="1373"/>
      <c r="E7199" s="2161"/>
      <c r="F7199" s="1678"/>
      <c r="G7199" s="1678"/>
      <c r="H7199" s="1376"/>
      <c r="I7199" s="1299"/>
      <c r="J7199" s="1300"/>
      <c r="K7199" s="1307"/>
      <c r="L7199" s="1335"/>
      <c r="M7199" s="1302"/>
      <c r="N7199" s="1700"/>
      <c r="O7199" s="1290"/>
      <c r="P7199" s="1332"/>
      <c r="Q7199" s="3391"/>
      <c r="R7199" s="2339"/>
    </row>
    <row r="7200" spans="1:19" s="16" customFormat="1">
      <c r="A7200" s="18" t="s">
        <v>3764</v>
      </c>
      <c r="B7200" s="4325" t="s">
        <v>2316</v>
      </c>
      <c r="C7200" s="3350"/>
      <c r="D7200" s="4327"/>
      <c r="E7200" s="4329" t="s">
        <v>1504</v>
      </c>
      <c r="F7200" s="4336" t="s">
        <v>2317</v>
      </c>
      <c r="G7200" s="4331" t="s">
        <v>1568</v>
      </c>
      <c r="H7200" s="4331" t="s">
        <v>1574</v>
      </c>
      <c r="I7200" s="1572" t="s">
        <v>1559</v>
      </c>
      <c r="J7200" s="1294" t="s">
        <v>1560</v>
      </c>
      <c r="K7200" s="1294" t="s">
        <v>1569</v>
      </c>
      <c r="L7200" s="4333" t="s">
        <v>3765</v>
      </c>
      <c r="M7200" s="4335" t="s">
        <v>1571</v>
      </c>
      <c r="N7200" s="4323" t="s">
        <v>1776</v>
      </c>
      <c r="O7200" s="3347" t="s">
        <v>1563</v>
      </c>
      <c r="P7200" s="1336" t="s">
        <v>1562</v>
      </c>
      <c r="Q7200" s="3389"/>
      <c r="R7200" s="1699" t="s">
        <v>1327</v>
      </c>
    </row>
    <row r="7201" spans="1:18" s="16" customFormat="1">
      <c r="A7201" s="1662" t="s">
        <v>2299</v>
      </c>
      <c r="B7201" s="4326"/>
      <c r="C7201" s="3351"/>
      <c r="D7201" s="4328"/>
      <c r="E7201" s="4330"/>
      <c r="F7201" s="4336"/>
      <c r="G7201" s="4332"/>
      <c r="H7201" s="4332"/>
      <c r="I7201" s="1345">
        <v>8</v>
      </c>
      <c r="J7201" s="1307">
        <v>0.25</v>
      </c>
      <c r="K7201" s="1666">
        <f>I7201*J7201</f>
        <v>2</v>
      </c>
      <c r="L7201" s="4334"/>
      <c r="M7201" s="4335"/>
      <c r="N7201" s="4324"/>
      <c r="O7201" s="1298">
        <f>SUM(O7203:O7208)</f>
        <v>8.557500000000001</v>
      </c>
      <c r="P7201" s="1337">
        <f>O7201*K7201</f>
        <v>17.115000000000002</v>
      </c>
      <c r="Q7201" s="3390"/>
      <c r="R7201" s="1721">
        <f>SUM(P7203:P7208)</f>
        <v>17.115000000000002</v>
      </c>
    </row>
    <row r="7202" spans="1:18" s="16" customFormat="1">
      <c r="A7202" s="1320"/>
      <c r="B7202" s="1949"/>
      <c r="C7202" s="1327"/>
      <c r="D7202" s="1367"/>
      <c r="E7202" s="2121"/>
      <c r="F7202" s="1389" t="s">
        <v>1</v>
      </c>
      <c r="G7202" s="1389"/>
      <c r="H7202" s="1369"/>
      <c r="I7202" s="2088"/>
      <c r="J7202" s="1369"/>
      <c r="K7202" s="1391"/>
      <c r="L7202" s="1559"/>
      <c r="M7202" s="1369"/>
      <c r="N7202" s="1369"/>
      <c r="O7202" s="1369"/>
      <c r="P7202" s="1392"/>
      <c r="Q7202" s="3395"/>
      <c r="R7202" s="2339"/>
    </row>
    <row r="7203" spans="1:18" s="16" customFormat="1">
      <c r="A7203" s="1320"/>
      <c r="B7203" s="1599"/>
      <c r="C7203" s="1320"/>
      <c r="D7203" s="1598" t="s">
        <v>2318</v>
      </c>
      <c r="E7203" s="2154" t="s">
        <v>1504</v>
      </c>
      <c r="F7203" s="1598" t="s">
        <v>2317</v>
      </c>
      <c r="G7203" s="1612">
        <v>1</v>
      </c>
      <c r="H7203" s="1367"/>
      <c r="I7203" s="1299"/>
      <c r="J7203" s="1300"/>
      <c r="K7203" s="1307">
        <f>K7201*G7203</f>
        <v>2</v>
      </c>
      <c r="L7203" s="1335">
        <f t="shared" ref="L7203:L7204" si="970">K7203*$K$7035</f>
        <v>0</v>
      </c>
      <c r="M7203" s="1302">
        <v>3.45</v>
      </c>
      <c r="N7203" s="1700"/>
      <c r="O7203" s="1290">
        <f>G7203*M7203</f>
        <v>3.45</v>
      </c>
      <c r="P7203" s="1332">
        <f>M7203*K7203</f>
        <v>6.9</v>
      </c>
      <c r="Q7203" s="3391"/>
      <c r="R7203" s="2339"/>
    </row>
    <row r="7204" spans="1:18" s="16" customFormat="1">
      <c r="A7204" s="1042"/>
      <c r="B7204" s="1599"/>
      <c r="C7204" s="1042"/>
      <c r="D7204" s="1587" t="s">
        <v>1082</v>
      </c>
      <c r="E7204" s="2138" t="s">
        <v>1504</v>
      </c>
      <c r="F7204" s="1587" t="s">
        <v>1541</v>
      </c>
      <c r="G7204" s="1588">
        <v>1</v>
      </c>
      <c r="H7204" s="1674"/>
      <c r="I7204" s="1299"/>
      <c r="J7204" s="1300"/>
      <c r="K7204" s="1307">
        <f>K7201*G7204</f>
        <v>2</v>
      </c>
      <c r="L7204" s="1335">
        <f t="shared" si="970"/>
        <v>0</v>
      </c>
      <c r="M7204" s="1302">
        <v>0.3</v>
      </c>
      <c r="N7204" s="1700"/>
      <c r="O7204" s="1290">
        <f>G7204*M7204</f>
        <v>0.3</v>
      </c>
      <c r="P7204" s="1332">
        <f>M7204*K7204</f>
        <v>0.6</v>
      </c>
      <c r="Q7204" s="3391"/>
      <c r="R7204" s="2339"/>
    </row>
    <row r="7205" spans="1:18" s="16" customFormat="1">
      <c r="A7205" s="1042"/>
      <c r="B7205" s="1599"/>
      <c r="C7205" s="1042"/>
      <c r="D7205" s="1587"/>
      <c r="E7205" s="2138"/>
      <c r="F7205" s="1587"/>
      <c r="G7205" s="1588"/>
      <c r="H7205" s="1674"/>
      <c r="I7205" s="1299"/>
      <c r="J7205" s="1300"/>
      <c r="K7205" s="1307"/>
      <c r="L7205" s="1335"/>
      <c r="M7205" s="1302"/>
      <c r="N7205" s="1700"/>
      <c r="O7205" s="1290"/>
      <c r="P7205" s="1332"/>
      <c r="Q7205" s="3391"/>
      <c r="R7205" s="2339"/>
    </row>
    <row r="7206" spans="1:18" s="16" customFormat="1">
      <c r="A7206" s="1042"/>
      <c r="B7206" s="1599"/>
      <c r="C7206" s="1042"/>
      <c r="D7206" s="1367"/>
      <c r="E7206" s="2121"/>
      <c r="F7206" s="1436"/>
      <c r="G7206" s="1436"/>
      <c r="H7206" s="1369"/>
      <c r="I7206" s="1299" t="str">
        <f t="shared" ref="I7206" ca="1" si="971">IF(COUNT(H7206:O7206)=0,"",(SUM(H7206:O7206)/COUNT(H7206:O7206)))</f>
        <v/>
      </c>
      <c r="J7206" s="1300"/>
      <c r="K7206" s="1307"/>
      <c r="L7206" s="1335"/>
      <c r="M7206" s="1302"/>
      <c r="N7206" s="1700"/>
      <c r="O7206" s="1290"/>
      <c r="P7206" s="1332"/>
      <c r="Q7206" s="3391"/>
      <c r="R7206" s="2339"/>
    </row>
    <row r="7207" spans="1:18" s="16" customFormat="1">
      <c r="A7207" s="1042"/>
      <c r="B7207" s="1599"/>
      <c r="C7207" s="1042"/>
      <c r="D7207" s="1359"/>
      <c r="E7207" s="1858"/>
      <c r="F7207" s="1360" t="s">
        <v>2</v>
      </c>
      <c r="G7207" s="1360"/>
      <c r="H7207" s="1362"/>
      <c r="I7207" s="1380"/>
      <c r="J7207" s="1381"/>
      <c r="K7207" s="1381"/>
      <c r="L7207" s="1458"/>
      <c r="M7207" s="1362"/>
      <c r="N7207" s="1362"/>
      <c r="O7207" s="1362"/>
      <c r="P7207" s="1359"/>
      <c r="Q7207" s="3387"/>
      <c r="R7207" s="2339"/>
    </row>
    <row r="7208" spans="1:18" s="16" customFormat="1">
      <c r="A7208" s="1321"/>
      <c r="B7208" s="2053"/>
      <c r="C7208" s="1321"/>
      <c r="D7208" s="1655" t="s">
        <v>1099</v>
      </c>
      <c r="E7208" s="1859" t="s">
        <v>1508</v>
      </c>
      <c r="F7208" s="1655" t="s">
        <v>1633</v>
      </c>
      <c r="G7208" s="1625">
        <v>0.25</v>
      </c>
      <c r="H7208" s="1386"/>
      <c r="I7208" s="1299"/>
      <c r="J7208" s="1300"/>
      <c r="K7208" s="1307">
        <f>G7208*K7201</f>
        <v>0.5</v>
      </c>
      <c r="L7208" s="1335">
        <f>K7208*$K$7035</f>
        <v>0</v>
      </c>
      <c r="M7208" s="1302">
        <v>19.23</v>
      </c>
      <c r="N7208" s="1700"/>
      <c r="O7208" s="1290">
        <f>G7208*M7208</f>
        <v>4.8075000000000001</v>
      </c>
      <c r="P7208" s="1332">
        <f>M7208*K7208</f>
        <v>9.6150000000000002</v>
      </c>
      <c r="Q7208" s="3391"/>
      <c r="R7208" s="2339"/>
    </row>
    <row r="7209" spans="1:18" s="16" customFormat="1">
      <c r="A7209"/>
      <c r="B7209" s="1042"/>
      <c r="C7209" s="19"/>
      <c r="D7209" s="1430"/>
      <c r="E7209" s="1857"/>
      <c r="F7209" s="1403"/>
      <c r="G7209" s="1991"/>
      <c r="H7209" s="1408"/>
      <c r="I7209" s="1286"/>
      <c r="J7209" s="198"/>
      <c r="K7209" s="1307"/>
      <c r="L7209" s="1335"/>
      <c r="M7209" s="1302"/>
      <c r="N7209" s="1718"/>
      <c r="O7209" s="1290"/>
      <c r="P7209" s="1720"/>
      <c r="Q7209" s="3396"/>
      <c r="R7209" s="2337"/>
    </row>
    <row r="7210" spans="1:18" s="16" customFormat="1">
      <c r="A7210"/>
      <c r="B7210" s="1320"/>
      <c r="D7210" s="1359"/>
      <c r="E7210" s="1858"/>
      <c r="F7210" s="1474"/>
      <c r="G7210" s="1474"/>
      <c r="H7210" s="1466"/>
      <c r="I7210" s="1289"/>
      <c r="J7210" s="8"/>
      <c r="K7210" s="1307"/>
      <c r="L7210" s="1335"/>
      <c r="M7210" s="1302"/>
      <c r="N7210" s="1700"/>
      <c r="O7210" s="1290"/>
      <c r="P7210" s="1332"/>
      <c r="Q7210" s="3391"/>
      <c r="R7210" s="1296"/>
    </row>
    <row r="7211" spans="1:18" s="16" customFormat="1">
      <c r="A7211" s="1320"/>
      <c r="B7211" s="1599"/>
      <c r="C7211" s="1320"/>
      <c r="D7211" s="1373"/>
      <c r="E7211" s="2123"/>
      <c r="F7211" s="1374" t="s">
        <v>3</v>
      </c>
      <c r="G7211" s="1375"/>
      <c r="H7211" s="1376"/>
      <c r="I7211" s="1382"/>
      <c r="J7211" s="1383"/>
      <c r="K7211" s="1383"/>
      <c r="L7211" s="1413"/>
      <c r="M7211" s="1376"/>
      <c r="N7211" s="1376"/>
      <c r="O7211" s="1376"/>
      <c r="P7211" s="1373"/>
      <c r="Q7211" s="3387"/>
      <c r="R7211" s="2339"/>
    </row>
    <row r="7212" spans="1:18" s="16" customFormat="1">
      <c r="A7212" s="1321"/>
      <c r="B7212" s="2053"/>
      <c r="C7212" s="1321"/>
      <c r="D7212" s="1827"/>
      <c r="E7212" s="2173"/>
      <c r="F7212" s="1827"/>
      <c r="G7212" s="1828"/>
      <c r="H7212" s="1379"/>
      <c r="I7212" s="1299"/>
      <c r="J7212" s="1300"/>
      <c r="K7212" s="1307"/>
      <c r="L7212" s="1335"/>
      <c r="M7212" s="1302"/>
      <c r="N7212" s="1700"/>
      <c r="O7212" s="1290"/>
      <c r="P7212" s="1332"/>
      <c r="Q7212" s="3391"/>
      <c r="R7212" s="2339"/>
    </row>
    <row r="7213" spans="1:18" s="16" customFormat="1">
      <c r="A7213" s="1321"/>
      <c r="B7213" s="2053"/>
      <c r="C7213" s="1321"/>
      <c r="D7213" s="1377"/>
      <c r="E7213" s="2124"/>
      <c r="F7213" s="1378"/>
      <c r="G7213" s="1378"/>
      <c r="H7213" s="1379"/>
      <c r="I7213" s="1299"/>
      <c r="J7213" s="1300"/>
      <c r="K7213" s="1307"/>
      <c r="L7213" s="1335"/>
      <c r="M7213" s="1302"/>
      <c r="N7213" s="1700"/>
      <c r="O7213" s="1290"/>
      <c r="P7213" s="1333"/>
      <c r="Q7213" s="3391"/>
      <c r="R7213" s="2339"/>
    </row>
    <row r="7214" spans="1:18" s="16" customFormat="1">
      <c r="A7214" s="1042"/>
      <c r="B7214" s="1765"/>
      <c r="C7214" s="223"/>
      <c r="D7214" s="1373"/>
      <c r="E7214" s="2161"/>
      <c r="F7214" s="1678"/>
      <c r="G7214" s="1678"/>
      <c r="H7214" s="1376"/>
      <c r="I7214" s="1299"/>
      <c r="J7214" s="1300"/>
      <c r="K7214" s="1307"/>
      <c r="L7214" s="1335"/>
      <c r="M7214" s="1302"/>
      <c r="N7214" s="1700"/>
      <c r="O7214" s="1290"/>
      <c r="P7214" s="1332"/>
      <c r="Q7214" s="3391"/>
      <c r="R7214" s="2339"/>
    </row>
    <row r="7215" spans="1:18" s="16" customFormat="1">
      <c r="A7215" s="18" t="s">
        <v>3764</v>
      </c>
      <c r="B7215" s="4325" t="s">
        <v>2319</v>
      </c>
      <c r="C7215" s="3350"/>
      <c r="D7215" s="4327"/>
      <c r="E7215" s="4329" t="s">
        <v>1504</v>
      </c>
      <c r="F7215" s="4336" t="s">
        <v>2320</v>
      </c>
      <c r="G7215" s="4331" t="s">
        <v>1568</v>
      </c>
      <c r="H7215" s="4331" t="s">
        <v>1574</v>
      </c>
      <c r="I7215" s="1572" t="s">
        <v>1559</v>
      </c>
      <c r="J7215" s="1294" t="s">
        <v>1560</v>
      </c>
      <c r="K7215" s="1294" t="s">
        <v>1569</v>
      </c>
      <c r="L7215" s="4333" t="s">
        <v>3765</v>
      </c>
      <c r="M7215" s="4335" t="s">
        <v>1571</v>
      </c>
      <c r="N7215" s="4323" t="s">
        <v>1776</v>
      </c>
      <c r="O7215" s="3347" t="s">
        <v>1563</v>
      </c>
      <c r="P7215" s="1336" t="s">
        <v>1562</v>
      </c>
      <c r="Q7215" s="3389"/>
      <c r="R7215" s="1699" t="s">
        <v>1327</v>
      </c>
    </row>
    <row r="7216" spans="1:18" s="16" customFormat="1">
      <c r="A7216" s="1662" t="s">
        <v>2299</v>
      </c>
      <c r="B7216" s="4326"/>
      <c r="C7216" s="3351"/>
      <c r="D7216" s="4328"/>
      <c r="E7216" s="4330"/>
      <c r="F7216" s="4336"/>
      <c r="G7216" s="4332"/>
      <c r="H7216" s="4332"/>
      <c r="I7216" s="1345">
        <v>8</v>
      </c>
      <c r="J7216" s="1307">
        <v>0.25</v>
      </c>
      <c r="K7216" s="1666">
        <f>I7216*J7216</f>
        <v>2</v>
      </c>
      <c r="L7216" s="4334"/>
      <c r="M7216" s="4335"/>
      <c r="N7216" s="4324"/>
      <c r="O7216" s="1298">
        <f>SUM(O7218:O7223)</f>
        <v>11.077500000000001</v>
      </c>
      <c r="P7216" s="1337">
        <f>O7216*K7216</f>
        <v>22.155000000000001</v>
      </c>
      <c r="Q7216" s="3390"/>
      <c r="R7216" s="1721">
        <f>SUM(P7218:P7223)</f>
        <v>22.155000000000001</v>
      </c>
    </row>
    <row r="7217" spans="1:18" s="16" customFormat="1">
      <c r="A7217" s="1320"/>
      <c r="B7217" s="1949"/>
      <c r="C7217" s="1327"/>
      <c r="D7217" s="1367"/>
      <c r="E7217" s="2121"/>
      <c r="F7217" s="1389" t="s">
        <v>1</v>
      </c>
      <c r="G7217" s="1389"/>
      <c r="H7217" s="1369"/>
      <c r="I7217" s="2088"/>
      <c r="J7217" s="1369"/>
      <c r="K7217" s="1391"/>
      <c r="L7217" s="1559"/>
      <c r="M7217" s="1369"/>
      <c r="N7217" s="1369"/>
      <c r="O7217" s="1369"/>
      <c r="P7217" s="1392"/>
      <c r="Q7217" s="3395"/>
      <c r="R7217" s="2339"/>
    </row>
    <row r="7218" spans="1:18" s="16" customFormat="1">
      <c r="A7218" s="1320"/>
      <c r="B7218" s="1599"/>
      <c r="C7218" s="1320"/>
      <c r="D7218" s="1598" t="s">
        <v>2321</v>
      </c>
      <c r="E7218" s="2154" t="s">
        <v>1504</v>
      </c>
      <c r="F7218" s="1598" t="s">
        <v>2320</v>
      </c>
      <c r="G7218" s="1612">
        <v>1</v>
      </c>
      <c r="H7218" s="1367"/>
      <c r="I7218" s="1299"/>
      <c r="J7218" s="1300"/>
      <c r="K7218" s="1307">
        <f>K7216*G7218</f>
        <v>2</v>
      </c>
      <c r="L7218" s="1335">
        <f t="shared" ref="L7218:L7219" si="972">K7218*$K$7035</f>
        <v>0</v>
      </c>
      <c r="M7218" s="1302">
        <v>5.97</v>
      </c>
      <c r="N7218" s="1700"/>
      <c r="O7218" s="1290">
        <f>G7218*M7218</f>
        <v>5.97</v>
      </c>
      <c r="P7218" s="1332">
        <f>M7218*K7218</f>
        <v>11.94</v>
      </c>
      <c r="Q7218" s="3391"/>
      <c r="R7218" s="2339"/>
    </row>
    <row r="7219" spans="1:18" s="16" customFormat="1">
      <c r="A7219" s="1042"/>
      <c r="B7219" s="1599"/>
      <c r="C7219" s="1042"/>
      <c r="D7219" s="1587" t="s">
        <v>1082</v>
      </c>
      <c r="E7219" s="2138" t="s">
        <v>1504</v>
      </c>
      <c r="F7219" s="1587" t="s">
        <v>1541</v>
      </c>
      <c r="G7219" s="1588">
        <v>1</v>
      </c>
      <c r="H7219" s="1674"/>
      <c r="I7219" s="1299"/>
      <c r="J7219" s="1300"/>
      <c r="K7219" s="1307">
        <f>K7216*G7219</f>
        <v>2</v>
      </c>
      <c r="L7219" s="1335">
        <f t="shared" si="972"/>
        <v>0</v>
      </c>
      <c r="M7219" s="1302">
        <v>0.3</v>
      </c>
      <c r="N7219" s="1700"/>
      <c r="O7219" s="1290">
        <f>G7219*M7219</f>
        <v>0.3</v>
      </c>
      <c r="P7219" s="1332">
        <f>M7219*K7219</f>
        <v>0.6</v>
      </c>
      <c r="Q7219" s="3391"/>
      <c r="R7219" s="2339"/>
    </row>
    <row r="7220" spans="1:18" s="16" customFormat="1">
      <c r="A7220" s="1042"/>
      <c r="B7220" s="1599"/>
      <c r="C7220" s="1042"/>
      <c r="D7220" s="1587"/>
      <c r="E7220" s="2138"/>
      <c r="F7220" s="1587"/>
      <c r="G7220" s="1588"/>
      <c r="H7220" s="1674"/>
      <c r="I7220" s="1299"/>
      <c r="J7220" s="1300"/>
      <c r="K7220" s="1307"/>
      <c r="L7220" s="1335"/>
      <c r="M7220" s="1302"/>
      <c r="N7220" s="1700"/>
      <c r="O7220" s="1290"/>
      <c r="P7220" s="1332"/>
      <c r="Q7220" s="3391"/>
      <c r="R7220" s="2339"/>
    </row>
    <row r="7221" spans="1:18" s="16" customFormat="1">
      <c r="A7221" s="1042"/>
      <c r="B7221" s="1599"/>
      <c r="C7221" s="1042"/>
      <c r="D7221" s="1367"/>
      <c r="E7221" s="2121"/>
      <c r="F7221" s="1436"/>
      <c r="G7221" s="1436"/>
      <c r="H7221" s="1369"/>
      <c r="I7221" s="1299" t="str">
        <f t="shared" ref="I7221" ca="1" si="973">IF(COUNT(H7221:O7221)=0,"",(SUM(H7221:O7221)/COUNT(H7221:O7221)))</f>
        <v/>
      </c>
      <c r="J7221" s="1300"/>
      <c r="K7221" s="1307"/>
      <c r="L7221" s="1335"/>
      <c r="M7221" s="1302"/>
      <c r="N7221" s="1700"/>
      <c r="O7221" s="1290"/>
      <c r="P7221" s="1332"/>
      <c r="Q7221" s="3391"/>
      <c r="R7221" s="2339"/>
    </row>
    <row r="7222" spans="1:18" s="16" customFormat="1">
      <c r="A7222" s="1042"/>
      <c r="B7222" s="1599"/>
      <c r="C7222" s="1042"/>
      <c r="D7222" s="1359"/>
      <c r="E7222" s="1858"/>
      <c r="F7222" s="1360" t="s">
        <v>2</v>
      </c>
      <c r="G7222" s="1360"/>
      <c r="H7222" s="1362"/>
      <c r="I7222" s="1380"/>
      <c r="J7222" s="1381"/>
      <c r="K7222" s="1381"/>
      <c r="L7222" s="1458"/>
      <c r="M7222" s="1362"/>
      <c r="N7222" s="1362"/>
      <c r="O7222" s="1362"/>
      <c r="P7222" s="1359"/>
      <c r="Q7222" s="3387"/>
      <c r="R7222" s="2339"/>
    </row>
    <row r="7223" spans="1:18" s="16" customFormat="1">
      <c r="A7223" s="1321"/>
      <c r="B7223" s="2053"/>
      <c r="C7223" s="1321"/>
      <c r="D7223" s="1655" t="s">
        <v>1099</v>
      </c>
      <c r="E7223" s="1859" t="s">
        <v>1508</v>
      </c>
      <c r="F7223" s="1655" t="s">
        <v>1633</v>
      </c>
      <c r="G7223" s="1625">
        <v>0.25</v>
      </c>
      <c r="H7223" s="1386"/>
      <c r="I7223" s="1299"/>
      <c r="J7223" s="1300"/>
      <c r="K7223" s="1307">
        <f>G7223*K7216</f>
        <v>0.5</v>
      </c>
      <c r="L7223" s="1335">
        <f>K7223*$K$7035</f>
        <v>0</v>
      </c>
      <c r="M7223" s="1302">
        <v>19.23</v>
      </c>
      <c r="N7223" s="1700"/>
      <c r="O7223" s="1290">
        <f>G7223*M7223</f>
        <v>4.8075000000000001</v>
      </c>
      <c r="P7223" s="1332">
        <f>M7223*K7223</f>
        <v>9.6150000000000002</v>
      </c>
      <c r="Q7223" s="3391"/>
      <c r="R7223" s="2339"/>
    </row>
    <row r="7224" spans="1:18" s="16" customFormat="1">
      <c r="A7224"/>
      <c r="B7224" s="1042"/>
      <c r="C7224" s="19"/>
      <c r="D7224" s="1430"/>
      <c r="E7224" s="1857"/>
      <c r="F7224" s="1403"/>
      <c r="G7224" s="1991"/>
      <c r="H7224" s="1408"/>
      <c r="I7224" s="1286"/>
      <c r="J7224" s="198"/>
      <c r="K7224" s="1307"/>
      <c r="L7224" s="1335"/>
      <c r="M7224" s="1302"/>
      <c r="N7224" s="1718"/>
      <c r="O7224" s="1290"/>
      <c r="P7224" s="1720"/>
      <c r="Q7224" s="3396"/>
      <c r="R7224" s="2337"/>
    </row>
    <row r="7225" spans="1:18" s="16" customFormat="1">
      <c r="A7225"/>
      <c r="B7225" s="1320"/>
      <c r="D7225" s="1359"/>
      <c r="E7225" s="1858"/>
      <c r="F7225" s="1474"/>
      <c r="G7225" s="1474"/>
      <c r="H7225" s="1466"/>
      <c r="I7225" s="1289"/>
      <c r="J7225" s="8"/>
      <c r="K7225" s="1307"/>
      <c r="L7225" s="1335"/>
      <c r="M7225" s="1302"/>
      <c r="N7225" s="1700"/>
      <c r="O7225" s="1290"/>
      <c r="P7225" s="1332"/>
      <c r="Q7225" s="3391"/>
      <c r="R7225" s="1296"/>
    </row>
    <row r="7226" spans="1:18" s="16" customFormat="1">
      <c r="A7226" s="1320"/>
      <c r="B7226" s="1599"/>
      <c r="C7226" s="1320"/>
      <c r="D7226" s="1373"/>
      <c r="E7226" s="2123"/>
      <c r="F7226" s="1374" t="s">
        <v>3</v>
      </c>
      <c r="G7226" s="1375"/>
      <c r="H7226" s="1376"/>
      <c r="I7226" s="1382"/>
      <c r="J7226" s="1383"/>
      <c r="K7226" s="1383"/>
      <c r="L7226" s="1413"/>
      <c r="M7226" s="1376"/>
      <c r="N7226" s="1376"/>
      <c r="O7226" s="1376"/>
      <c r="P7226" s="1373"/>
      <c r="Q7226" s="3387"/>
      <c r="R7226" s="2339"/>
    </row>
    <row r="7227" spans="1:18" s="16" customFormat="1">
      <c r="A7227" s="1321"/>
      <c r="B7227" s="2053"/>
      <c r="C7227" s="1321"/>
      <c r="D7227" s="1827"/>
      <c r="E7227" s="2173"/>
      <c r="F7227" s="1827"/>
      <c r="G7227" s="1828"/>
      <c r="H7227" s="1379"/>
      <c r="I7227" s="1299"/>
      <c r="J7227" s="1300"/>
      <c r="K7227" s="1307"/>
      <c r="L7227" s="1335"/>
      <c r="M7227" s="1302"/>
      <c r="N7227" s="1700"/>
      <c r="O7227" s="1290"/>
      <c r="P7227" s="1332"/>
      <c r="Q7227" s="3391"/>
      <c r="R7227" s="2339"/>
    </row>
    <row r="7228" spans="1:18" s="16" customFormat="1">
      <c r="A7228" s="1321"/>
      <c r="B7228" s="2053"/>
      <c r="C7228" s="1321"/>
      <c r="D7228" s="1377"/>
      <c r="E7228" s="2124"/>
      <c r="F7228" s="1378"/>
      <c r="G7228" s="1378"/>
      <c r="H7228" s="1379"/>
      <c r="I7228" s="1299"/>
      <c r="J7228" s="1300"/>
      <c r="K7228" s="1307"/>
      <c r="L7228" s="1335"/>
      <c r="M7228" s="1302"/>
      <c r="N7228" s="1700"/>
      <c r="O7228" s="1290"/>
      <c r="P7228" s="1333"/>
      <c r="Q7228" s="3391"/>
      <c r="R7228" s="2339"/>
    </row>
    <row r="7229" spans="1:18" s="16" customFormat="1">
      <c r="A7229" s="1042"/>
      <c r="B7229" s="1765"/>
      <c r="C7229" s="223"/>
      <c r="D7229" s="1373"/>
      <c r="E7229" s="2161"/>
      <c r="F7229" s="1678"/>
      <c r="G7229" s="1678"/>
      <c r="H7229" s="1376"/>
      <c r="I7229" s="1299"/>
      <c r="J7229" s="1300"/>
      <c r="K7229" s="1307"/>
      <c r="L7229" s="1335"/>
      <c r="M7229" s="1302"/>
      <c r="N7229" s="1700"/>
      <c r="O7229" s="1290"/>
      <c r="P7229" s="1332"/>
      <c r="Q7229" s="3391"/>
      <c r="R7229" s="2339"/>
    </row>
    <row r="7230" spans="1:18" s="16" customFormat="1">
      <c r="A7230" s="18" t="s">
        <v>3764</v>
      </c>
      <c r="B7230" s="4325" t="s">
        <v>2322</v>
      </c>
      <c r="C7230" s="3350"/>
      <c r="D7230" s="4327"/>
      <c r="E7230" s="4329" t="s">
        <v>1504</v>
      </c>
      <c r="F7230" s="4336" t="s">
        <v>2323</v>
      </c>
      <c r="G7230" s="4331" t="s">
        <v>1568</v>
      </c>
      <c r="H7230" s="4331" t="s">
        <v>1574</v>
      </c>
      <c r="I7230" s="1572" t="s">
        <v>1559</v>
      </c>
      <c r="J7230" s="1294" t="s">
        <v>1560</v>
      </c>
      <c r="K7230" s="1294" t="s">
        <v>1569</v>
      </c>
      <c r="L7230" s="4333" t="s">
        <v>3765</v>
      </c>
      <c r="M7230" s="4335" t="s">
        <v>1571</v>
      </c>
      <c r="N7230" s="4323" t="s">
        <v>1776</v>
      </c>
      <c r="O7230" s="3347" t="s">
        <v>1563</v>
      </c>
      <c r="P7230" s="1336" t="s">
        <v>1562</v>
      </c>
      <c r="Q7230" s="3389"/>
      <c r="R7230" s="1699" t="s">
        <v>1327</v>
      </c>
    </row>
    <row r="7231" spans="1:18" s="16" customFormat="1">
      <c r="A7231" s="1662" t="s">
        <v>2299</v>
      </c>
      <c r="B7231" s="4326"/>
      <c r="C7231" s="3351"/>
      <c r="D7231" s="4328"/>
      <c r="E7231" s="4330"/>
      <c r="F7231" s="4336"/>
      <c r="G7231" s="4332"/>
      <c r="H7231" s="4332"/>
      <c r="I7231" s="1345">
        <v>4</v>
      </c>
      <c r="J7231" s="1307">
        <v>0.25</v>
      </c>
      <c r="K7231" s="1666">
        <f>I7231*J7231</f>
        <v>1</v>
      </c>
      <c r="L7231" s="4334"/>
      <c r="M7231" s="4335"/>
      <c r="N7231" s="4324"/>
      <c r="O7231" s="1298">
        <f>SUM(O7233:O7238)</f>
        <v>18.009</v>
      </c>
      <c r="P7231" s="1337">
        <f>O7231*K7231</f>
        <v>18.009</v>
      </c>
      <c r="Q7231" s="3390"/>
      <c r="R7231" s="1721">
        <f>SUM(P7233:P7238)</f>
        <v>18.009</v>
      </c>
    </row>
    <row r="7232" spans="1:18" s="16" customFormat="1">
      <c r="A7232" s="1320"/>
      <c r="B7232" s="1949"/>
      <c r="C7232" s="1327"/>
      <c r="D7232" s="1367"/>
      <c r="E7232" s="2121"/>
      <c r="F7232" s="1389" t="s">
        <v>1</v>
      </c>
      <c r="G7232" s="1389"/>
      <c r="H7232" s="1369"/>
      <c r="I7232" s="2088"/>
      <c r="J7232" s="1369"/>
      <c r="K7232" s="1391"/>
      <c r="L7232" s="1559"/>
      <c r="M7232" s="1369"/>
      <c r="N7232" s="1369"/>
      <c r="O7232" s="1369"/>
      <c r="P7232" s="1392"/>
      <c r="Q7232" s="3395"/>
      <c r="R7232" s="2339"/>
    </row>
    <row r="7233" spans="1:18" s="16" customFormat="1">
      <c r="A7233" s="1320"/>
      <c r="B7233" s="1599"/>
      <c r="C7233" s="1320"/>
      <c r="D7233" s="1598" t="s">
        <v>2324</v>
      </c>
      <c r="E7233" s="2154" t="s">
        <v>1504</v>
      </c>
      <c r="F7233" s="1598" t="s">
        <v>2323</v>
      </c>
      <c r="G7233" s="1612">
        <v>1</v>
      </c>
      <c r="H7233" s="1367"/>
      <c r="I7233" s="1299"/>
      <c r="J7233" s="1300"/>
      <c r="K7233" s="1307">
        <f>K7231*G7233</f>
        <v>1</v>
      </c>
      <c r="L7233" s="1335">
        <f t="shared" ref="L7233:L7234" si="974">K7233*$K$7035</f>
        <v>0</v>
      </c>
      <c r="M7233" s="1302">
        <v>11.94</v>
      </c>
      <c r="N7233" s="1700"/>
      <c r="O7233" s="1290">
        <f>G7233*M7233</f>
        <v>11.94</v>
      </c>
      <c r="P7233" s="1332">
        <f>M7233*K7233</f>
        <v>11.94</v>
      </c>
      <c r="Q7233" s="3391"/>
      <c r="R7233" s="2339"/>
    </row>
    <row r="7234" spans="1:18" s="16" customFormat="1">
      <c r="A7234" s="1042"/>
      <c r="B7234" s="1599"/>
      <c r="C7234" s="1042"/>
      <c r="D7234" s="1587" t="s">
        <v>1082</v>
      </c>
      <c r="E7234" s="2138" t="s">
        <v>1504</v>
      </c>
      <c r="F7234" s="1587" t="s">
        <v>1541</v>
      </c>
      <c r="G7234" s="1588">
        <v>1</v>
      </c>
      <c r="H7234" s="1674"/>
      <c r="I7234" s="1299"/>
      <c r="J7234" s="1300"/>
      <c r="K7234" s="1307">
        <f>K7231*G7234</f>
        <v>1</v>
      </c>
      <c r="L7234" s="1335">
        <f t="shared" si="974"/>
        <v>0</v>
      </c>
      <c r="M7234" s="1302">
        <v>0.3</v>
      </c>
      <c r="N7234" s="1700"/>
      <c r="O7234" s="1290">
        <f>G7234*M7234</f>
        <v>0.3</v>
      </c>
      <c r="P7234" s="1332">
        <f>M7234*K7234</f>
        <v>0.3</v>
      </c>
      <c r="Q7234" s="3391"/>
      <c r="R7234" s="2339"/>
    </row>
    <row r="7235" spans="1:18" s="16" customFormat="1">
      <c r="A7235" s="1042"/>
      <c r="B7235" s="1599"/>
      <c r="C7235" s="1042"/>
      <c r="D7235" s="1587"/>
      <c r="E7235" s="2138"/>
      <c r="F7235" s="1587"/>
      <c r="G7235" s="1588"/>
      <c r="H7235" s="1674"/>
      <c r="I7235" s="1299"/>
      <c r="J7235" s="1300"/>
      <c r="K7235" s="1307"/>
      <c r="L7235" s="1335"/>
      <c r="M7235" s="1302"/>
      <c r="N7235" s="1700"/>
      <c r="O7235" s="1290"/>
      <c r="P7235" s="1332"/>
      <c r="Q7235" s="3391"/>
      <c r="R7235" s="2339"/>
    </row>
    <row r="7236" spans="1:18" s="16" customFormat="1">
      <c r="A7236" s="1042"/>
      <c r="B7236" s="1599"/>
      <c r="C7236" s="1042"/>
      <c r="D7236" s="1367"/>
      <c r="E7236" s="2121"/>
      <c r="F7236" s="1436"/>
      <c r="G7236" s="1436"/>
      <c r="H7236" s="1369"/>
      <c r="I7236" s="1299" t="str">
        <f t="shared" ref="I7236" ca="1" si="975">IF(COUNT(H7236:O7236)=0,"",(SUM(H7236:O7236)/COUNT(H7236:O7236)))</f>
        <v/>
      </c>
      <c r="J7236" s="1300"/>
      <c r="K7236" s="1307"/>
      <c r="L7236" s="1335"/>
      <c r="M7236" s="1302"/>
      <c r="N7236" s="1700"/>
      <c r="O7236" s="1290"/>
      <c r="P7236" s="1332"/>
      <c r="Q7236" s="3391"/>
      <c r="R7236" s="2339"/>
    </row>
    <row r="7237" spans="1:18" s="16" customFormat="1">
      <c r="A7237" s="1042"/>
      <c r="B7237" s="1599"/>
      <c r="C7237" s="1042"/>
      <c r="D7237" s="1359"/>
      <c r="E7237" s="1858"/>
      <c r="F7237" s="1360" t="s">
        <v>2</v>
      </c>
      <c r="G7237" s="1360"/>
      <c r="H7237" s="1362"/>
      <c r="I7237" s="1380"/>
      <c r="J7237" s="1381"/>
      <c r="K7237" s="1381"/>
      <c r="L7237" s="1458"/>
      <c r="M7237" s="1362"/>
      <c r="N7237" s="1362"/>
      <c r="O7237" s="1362"/>
      <c r="P7237" s="1359"/>
      <c r="Q7237" s="3387"/>
      <c r="R7237" s="2339"/>
    </row>
    <row r="7238" spans="1:18" s="16" customFormat="1">
      <c r="A7238" s="1321"/>
      <c r="B7238" s="2053"/>
      <c r="C7238" s="1321"/>
      <c r="D7238" s="1655" t="s">
        <v>1099</v>
      </c>
      <c r="E7238" s="1859" t="s">
        <v>1508</v>
      </c>
      <c r="F7238" s="1655" t="s">
        <v>1633</v>
      </c>
      <c r="G7238" s="1625">
        <v>0.3</v>
      </c>
      <c r="H7238" s="1386"/>
      <c r="I7238" s="1299"/>
      <c r="J7238" s="1300"/>
      <c r="K7238" s="1307">
        <f>G7238*K7231</f>
        <v>0.3</v>
      </c>
      <c r="L7238" s="1335">
        <f>K7238*$K$7035</f>
        <v>0</v>
      </c>
      <c r="M7238" s="1302">
        <v>19.23</v>
      </c>
      <c r="N7238" s="1700"/>
      <c r="O7238" s="1290">
        <f>G7238*M7238</f>
        <v>5.7690000000000001</v>
      </c>
      <c r="P7238" s="1332">
        <f>M7238*K7238</f>
        <v>5.7690000000000001</v>
      </c>
      <c r="Q7238" s="3391"/>
      <c r="R7238" s="2339"/>
    </row>
    <row r="7239" spans="1:18" s="16" customFormat="1">
      <c r="A7239"/>
      <c r="B7239" s="1320"/>
      <c r="D7239" s="1359"/>
      <c r="E7239" s="1858"/>
      <c r="F7239" s="1474"/>
      <c r="G7239" s="1474"/>
      <c r="H7239" s="1466"/>
      <c r="I7239" s="1289"/>
      <c r="J7239" s="8"/>
      <c r="K7239" s="1307"/>
      <c r="L7239" s="1335"/>
      <c r="M7239" s="1302"/>
      <c r="N7239" s="1700"/>
      <c r="O7239" s="1290"/>
      <c r="P7239" s="1332"/>
      <c r="Q7239" s="3391"/>
      <c r="R7239" s="1296"/>
    </row>
    <row r="7240" spans="1:18" s="16" customFormat="1">
      <c r="A7240" s="1320"/>
      <c r="B7240" s="1599"/>
      <c r="C7240" s="1320"/>
      <c r="D7240" s="1373"/>
      <c r="E7240" s="2123"/>
      <c r="F7240" s="1374" t="s">
        <v>3</v>
      </c>
      <c r="G7240" s="1375"/>
      <c r="H7240" s="1376"/>
      <c r="I7240" s="1382"/>
      <c r="J7240" s="1383"/>
      <c r="K7240" s="1383"/>
      <c r="L7240" s="1413"/>
      <c r="M7240" s="1376"/>
      <c r="N7240" s="1376"/>
      <c r="O7240" s="1376"/>
      <c r="P7240" s="1373"/>
      <c r="Q7240" s="3387"/>
      <c r="R7240" s="2339"/>
    </row>
    <row r="7241" spans="1:18" s="16" customFormat="1">
      <c r="A7241" s="1321"/>
      <c r="B7241" s="2053"/>
      <c r="C7241" s="1321"/>
      <c r="D7241" s="1827"/>
      <c r="E7241" s="2173"/>
      <c r="F7241" s="1827"/>
      <c r="G7241" s="1828"/>
      <c r="H7241" s="1379"/>
      <c r="I7241" s="1299"/>
      <c r="J7241" s="1300"/>
      <c r="K7241" s="1307"/>
      <c r="L7241" s="1335"/>
      <c r="M7241" s="1302"/>
      <c r="N7241" s="1700"/>
      <c r="O7241" s="1290"/>
      <c r="P7241" s="1332"/>
      <c r="Q7241" s="3391"/>
      <c r="R7241" s="2339"/>
    </row>
    <row r="7242" spans="1:18" s="16" customFormat="1">
      <c r="A7242" s="1321"/>
      <c r="B7242" s="2053"/>
      <c r="C7242" s="1321"/>
      <c r="D7242" s="1377"/>
      <c r="E7242" s="2124"/>
      <c r="F7242" s="1378"/>
      <c r="G7242" s="1378"/>
      <c r="H7242" s="1379"/>
      <c r="I7242" s="1299"/>
      <c r="J7242" s="1300"/>
      <c r="K7242" s="1307"/>
      <c r="L7242" s="1335"/>
      <c r="M7242" s="1302"/>
      <c r="N7242" s="1700"/>
      <c r="O7242" s="1290"/>
      <c r="P7242" s="1333"/>
      <c r="Q7242" s="3391"/>
      <c r="R7242" s="2339"/>
    </row>
    <row r="7243" spans="1:18" s="16" customFormat="1">
      <c r="A7243" s="1042"/>
      <c r="B7243" s="1765"/>
      <c r="C7243" s="223"/>
      <c r="D7243" s="1373"/>
      <c r="E7243" s="2161"/>
      <c r="F7243" s="1678"/>
      <c r="G7243" s="1678"/>
      <c r="H7243" s="1376"/>
      <c r="I7243" s="1299"/>
      <c r="J7243" s="1300"/>
      <c r="K7243" s="1307"/>
      <c r="L7243" s="1335"/>
      <c r="M7243" s="1302"/>
      <c r="N7243" s="1700"/>
      <c r="O7243" s="1290"/>
      <c r="P7243" s="1332"/>
      <c r="Q7243" s="3391"/>
      <c r="R7243" s="2339"/>
    </row>
    <row r="7244" spans="1:18" s="16" customFormat="1">
      <c r="A7244" s="18" t="s">
        <v>3764</v>
      </c>
      <c r="B7244" s="4325" t="s">
        <v>2325</v>
      </c>
      <c r="C7244" s="3350"/>
      <c r="D7244" s="4327"/>
      <c r="E7244" s="4329" t="s">
        <v>1527</v>
      </c>
      <c r="F7244" s="4336" t="s">
        <v>2326</v>
      </c>
      <c r="G7244" s="4331" t="s">
        <v>1568</v>
      </c>
      <c r="H7244" s="4331" t="s">
        <v>1574</v>
      </c>
      <c r="I7244" s="1572" t="s">
        <v>1559</v>
      </c>
      <c r="J7244" s="1294" t="s">
        <v>1560</v>
      </c>
      <c r="K7244" s="1294" t="s">
        <v>1569</v>
      </c>
      <c r="L7244" s="4333" t="s">
        <v>3765</v>
      </c>
      <c r="M7244" s="4335" t="s">
        <v>1571</v>
      </c>
      <c r="N7244" s="4323" t="s">
        <v>1776</v>
      </c>
      <c r="O7244" s="3347" t="s">
        <v>1563</v>
      </c>
      <c r="P7244" s="1336" t="s">
        <v>1562</v>
      </c>
      <c r="Q7244" s="3389"/>
      <c r="R7244" s="1699" t="s">
        <v>1327</v>
      </c>
    </row>
    <row r="7245" spans="1:18" s="16" customFormat="1">
      <c r="A7245" s="1662" t="s">
        <v>2299</v>
      </c>
      <c r="B7245" s="4326"/>
      <c r="C7245" s="3351"/>
      <c r="D7245" s="4328"/>
      <c r="E7245" s="4330"/>
      <c r="F7245" s="4336"/>
      <c r="G7245" s="4332"/>
      <c r="H7245" s="4332"/>
      <c r="I7245" s="1345">
        <v>62</v>
      </c>
      <c r="J7245" s="1307">
        <v>0.25</v>
      </c>
      <c r="K7245" s="1666">
        <f>I7245*J7245</f>
        <v>15.5</v>
      </c>
      <c r="L7245" s="4334"/>
      <c r="M7245" s="4335"/>
      <c r="N7245" s="4324"/>
      <c r="O7245" s="1298">
        <f>SUM(O7247:O7252)</f>
        <v>3.5652000000000004</v>
      </c>
      <c r="P7245" s="1337">
        <f>O7245*K7245</f>
        <v>55.260600000000004</v>
      </c>
      <c r="Q7245" s="3390"/>
      <c r="R7245" s="1721">
        <f>SUM(P7247:P7252)</f>
        <v>55.260600000000004</v>
      </c>
    </row>
    <row r="7246" spans="1:18" s="16" customFormat="1">
      <c r="A7246" s="1320"/>
      <c r="B7246" s="1949"/>
      <c r="C7246" s="1327"/>
      <c r="D7246" s="1367"/>
      <c r="E7246" s="2121"/>
      <c r="F7246" s="1389" t="s">
        <v>1</v>
      </c>
      <c r="G7246" s="1389"/>
      <c r="H7246" s="1369"/>
      <c r="I7246" s="2088"/>
      <c r="J7246" s="1369"/>
      <c r="K7246" s="1391"/>
      <c r="L7246" s="1559"/>
      <c r="M7246" s="1369"/>
      <c r="N7246" s="1369"/>
      <c r="O7246" s="1369"/>
      <c r="P7246" s="1392"/>
      <c r="Q7246" s="3395"/>
      <c r="R7246" s="2339"/>
    </row>
    <row r="7247" spans="1:18" s="16" customFormat="1">
      <c r="A7247" s="1320"/>
      <c r="B7247" s="1599"/>
      <c r="C7247" s="1320"/>
      <c r="D7247" s="1598" t="s">
        <v>2327</v>
      </c>
      <c r="E7247" s="2154" t="s">
        <v>1527</v>
      </c>
      <c r="F7247" s="1598" t="s">
        <v>2326</v>
      </c>
      <c r="G7247" s="1612">
        <v>1.01</v>
      </c>
      <c r="H7247" s="1367"/>
      <c r="I7247" s="1299"/>
      <c r="J7247" s="1300"/>
      <c r="K7247" s="1307">
        <f>K7245*G7247</f>
        <v>15.654999999999999</v>
      </c>
      <c r="L7247" s="1335">
        <f t="shared" ref="L7247:L7248" si="976">K7247*$K$7035</f>
        <v>0</v>
      </c>
      <c r="M7247" s="1302">
        <v>1.17</v>
      </c>
      <c r="N7247" s="1700"/>
      <c r="O7247" s="1290">
        <f>G7247*M7247</f>
        <v>1.1817</v>
      </c>
      <c r="P7247" s="1332">
        <f>M7247*K7247</f>
        <v>18.31635</v>
      </c>
      <c r="Q7247" s="3391"/>
      <c r="R7247" s="2339"/>
    </row>
    <row r="7248" spans="1:18" s="16" customFormat="1">
      <c r="A7248" s="1042"/>
      <c r="B7248" s="1599"/>
      <c r="C7248" s="1042"/>
      <c r="D7248" s="1587" t="s">
        <v>1097</v>
      </c>
      <c r="E7248" s="2138" t="s">
        <v>1504</v>
      </c>
      <c r="F7248" s="1587" t="s">
        <v>1632</v>
      </c>
      <c r="G7248" s="1588">
        <v>1.01</v>
      </c>
      <c r="H7248" s="1674"/>
      <c r="I7248" s="1299"/>
      <c r="J7248" s="1300"/>
      <c r="K7248" s="1307">
        <f>K7245*G7248</f>
        <v>15.654999999999999</v>
      </c>
      <c r="L7248" s="1335">
        <f t="shared" si="976"/>
        <v>0</v>
      </c>
      <c r="M7248" s="1302">
        <v>0.55000000000000004</v>
      </c>
      <c r="N7248" s="1700"/>
      <c r="O7248" s="1290">
        <f>G7248*M7248</f>
        <v>0.5555000000000001</v>
      </c>
      <c r="P7248" s="1332">
        <f>M7248*K7248</f>
        <v>8.6102500000000006</v>
      </c>
      <c r="Q7248" s="3391"/>
      <c r="R7248" s="2339"/>
    </row>
    <row r="7249" spans="1:18" s="16" customFormat="1">
      <c r="A7249" s="1042"/>
      <c r="B7249" s="1599"/>
      <c r="C7249" s="1042"/>
      <c r="D7249" s="1587"/>
      <c r="E7249" s="2138"/>
      <c r="F7249" s="1587"/>
      <c r="G7249" s="1588"/>
      <c r="H7249" s="1674"/>
      <c r="I7249" s="1299"/>
      <c r="J7249" s="1300"/>
      <c r="K7249" s="1307"/>
      <c r="L7249" s="1335"/>
      <c r="M7249" s="1302"/>
      <c r="N7249" s="1700"/>
      <c r="O7249" s="1290"/>
      <c r="P7249" s="1332"/>
      <c r="Q7249" s="3391"/>
      <c r="R7249" s="2339"/>
    </row>
    <row r="7250" spans="1:18" s="16" customFormat="1">
      <c r="A7250" s="1042"/>
      <c r="B7250" s="1599"/>
      <c r="C7250" s="1042"/>
      <c r="D7250" s="1367"/>
      <c r="E7250" s="2121"/>
      <c r="F7250" s="1436"/>
      <c r="G7250" s="1436"/>
      <c r="H7250" s="1369"/>
      <c r="I7250" s="1299" t="str">
        <f t="shared" ref="I7250" ca="1" si="977">IF(COUNT(H7250:O7250)=0,"",(SUM(H7250:O7250)/COUNT(H7250:O7250)))</f>
        <v/>
      </c>
      <c r="J7250" s="1300"/>
      <c r="K7250" s="1307"/>
      <c r="L7250" s="1335"/>
      <c r="M7250" s="1302"/>
      <c r="N7250" s="1700"/>
      <c r="O7250" s="1290"/>
      <c r="P7250" s="1332"/>
      <c r="Q7250" s="3391"/>
      <c r="R7250" s="2339"/>
    </row>
    <row r="7251" spans="1:18" s="16" customFormat="1">
      <c r="A7251" s="1042"/>
      <c r="B7251" s="1599"/>
      <c r="C7251" s="1042"/>
      <c r="D7251" s="1359"/>
      <c r="E7251" s="1858"/>
      <c r="F7251" s="1360" t="s">
        <v>2</v>
      </c>
      <c r="G7251" s="1360"/>
      <c r="H7251" s="1362"/>
      <c r="I7251" s="1380"/>
      <c r="J7251" s="1381"/>
      <c r="K7251" s="1381"/>
      <c r="L7251" s="1458"/>
      <c r="M7251" s="1362"/>
      <c r="N7251" s="1362"/>
      <c r="O7251" s="1362"/>
      <c r="P7251" s="1359"/>
      <c r="Q7251" s="3387"/>
      <c r="R7251" s="2339"/>
    </row>
    <row r="7252" spans="1:18" s="16" customFormat="1">
      <c r="A7252"/>
      <c r="B7252" s="1042"/>
      <c r="C7252" s="19"/>
      <c r="D7252" s="1430" t="s">
        <v>1067</v>
      </c>
      <c r="E7252" s="1857" t="s">
        <v>1508</v>
      </c>
      <c r="F7252" s="1403" t="s">
        <v>5</v>
      </c>
      <c r="G7252" s="1991">
        <v>0.1</v>
      </c>
      <c r="H7252" s="1408"/>
      <c r="I7252" s="1286"/>
      <c r="J7252" s="198"/>
      <c r="K7252" s="1307">
        <f>G7252*K7245</f>
        <v>1.55</v>
      </c>
      <c r="L7252" s="1335">
        <f>K7252*$K$7035</f>
        <v>0</v>
      </c>
      <c r="M7252" s="1302">
        <v>18.28</v>
      </c>
      <c r="N7252" s="1718"/>
      <c r="O7252" s="1290">
        <f>G7252*M7252</f>
        <v>1.8280000000000003</v>
      </c>
      <c r="P7252" s="1332">
        <f>M7252*K7252</f>
        <v>28.334000000000003</v>
      </c>
      <c r="Q7252" s="3391"/>
      <c r="R7252" s="2337"/>
    </row>
    <row r="7253" spans="1:18" s="16" customFormat="1">
      <c r="A7253"/>
      <c r="B7253" s="1042"/>
      <c r="C7253" s="19"/>
      <c r="D7253" s="1430"/>
      <c r="E7253" s="1857"/>
      <c r="F7253" s="1403"/>
      <c r="G7253" s="1991"/>
      <c r="H7253" s="1408"/>
      <c r="I7253" s="1286"/>
      <c r="J7253" s="198"/>
      <c r="K7253" s="1307"/>
      <c r="L7253" s="1335"/>
      <c r="M7253" s="1302"/>
      <c r="N7253" s="1718"/>
      <c r="O7253" s="1290"/>
      <c r="P7253" s="1720"/>
      <c r="Q7253" s="3396"/>
      <c r="R7253" s="2337"/>
    </row>
    <row r="7254" spans="1:18" s="16" customFormat="1">
      <c r="A7254"/>
      <c r="B7254" s="1320"/>
      <c r="D7254" s="1359"/>
      <c r="E7254" s="1858"/>
      <c r="F7254" s="1474"/>
      <c r="G7254" s="1474"/>
      <c r="H7254" s="1466"/>
      <c r="I7254" s="1289"/>
      <c r="J7254" s="8"/>
      <c r="K7254" s="1307"/>
      <c r="L7254" s="1335"/>
      <c r="M7254" s="1302"/>
      <c r="N7254" s="1700"/>
      <c r="O7254" s="1290"/>
      <c r="P7254" s="1332"/>
      <c r="Q7254" s="3391"/>
      <c r="R7254" s="1296"/>
    </row>
    <row r="7255" spans="1:18" s="16" customFormat="1">
      <c r="A7255" s="1320"/>
      <c r="B7255" s="1599"/>
      <c r="C7255" s="1320"/>
      <c r="D7255" s="1373"/>
      <c r="E7255" s="2123"/>
      <c r="F7255" s="1374" t="s">
        <v>3</v>
      </c>
      <c r="G7255" s="1375"/>
      <c r="H7255" s="1376"/>
      <c r="I7255" s="1382"/>
      <c r="J7255" s="1383"/>
      <c r="K7255" s="1383"/>
      <c r="L7255" s="1413"/>
      <c r="M7255" s="1376"/>
      <c r="N7255" s="1376"/>
      <c r="O7255" s="1376"/>
      <c r="P7255" s="1373"/>
      <c r="Q7255" s="3387"/>
      <c r="R7255" s="2339"/>
    </row>
    <row r="7256" spans="1:18" s="16" customFormat="1">
      <c r="A7256" s="1321"/>
      <c r="B7256" s="2053"/>
      <c r="C7256" s="1321"/>
      <c r="D7256" s="1827"/>
      <c r="E7256" s="2173"/>
      <c r="F7256" s="1827"/>
      <c r="G7256" s="1828"/>
      <c r="H7256" s="1379"/>
      <c r="I7256" s="1299"/>
      <c r="J7256" s="1300"/>
      <c r="K7256" s="1307"/>
      <c r="L7256" s="1335"/>
      <c r="M7256" s="1302"/>
      <c r="N7256" s="1700"/>
      <c r="O7256" s="1290"/>
      <c r="P7256" s="1332"/>
      <c r="Q7256" s="3391"/>
      <c r="R7256" s="2339"/>
    </row>
    <row r="7257" spans="1:18" s="16" customFormat="1">
      <c r="A7257" s="1321"/>
      <c r="B7257" s="2053"/>
      <c r="C7257" s="1321"/>
      <c r="D7257" s="1377"/>
      <c r="E7257" s="2124"/>
      <c r="F7257" s="1378"/>
      <c r="G7257" s="1378"/>
      <c r="H7257" s="1379"/>
      <c r="I7257" s="1299"/>
      <c r="J7257" s="1300"/>
      <c r="K7257" s="1307"/>
      <c r="L7257" s="1335"/>
      <c r="M7257" s="1302"/>
      <c r="N7257" s="1700"/>
      <c r="O7257" s="1290"/>
      <c r="P7257" s="1333"/>
      <c r="Q7257" s="3391"/>
      <c r="R7257" s="2339"/>
    </row>
    <row r="7258" spans="1:18" s="16" customFormat="1">
      <c r="A7258" s="1042"/>
      <c r="B7258" s="1765"/>
      <c r="C7258" s="223"/>
      <c r="D7258" s="1373"/>
      <c r="E7258" s="2161"/>
      <c r="F7258" s="1678"/>
      <c r="G7258" s="1678"/>
      <c r="H7258" s="1376"/>
      <c r="I7258" s="1299"/>
      <c r="J7258" s="1300"/>
      <c r="K7258" s="1307"/>
      <c r="L7258" s="1335"/>
      <c r="M7258" s="1302"/>
      <c r="N7258" s="1700"/>
      <c r="O7258" s="1290"/>
      <c r="P7258" s="1332"/>
      <c r="Q7258" s="3391"/>
      <c r="R7258" s="2339"/>
    </row>
    <row r="7259" spans="1:18" s="16" customFormat="1" ht="15" customHeight="1">
      <c r="A7259" s="18" t="s">
        <v>3764</v>
      </c>
      <c r="B7259" s="4325" t="s">
        <v>2328</v>
      </c>
      <c r="C7259" s="3350"/>
      <c r="D7259" s="4327"/>
      <c r="E7259" s="4329" t="s">
        <v>1527</v>
      </c>
      <c r="F7259" s="4336" t="s">
        <v>2329</v>
      </c>
      <c r="G7259" s="4331" t="s">
        <v>1568</v>
      </c>
      <c r="H7259" s="4331" t="s">
        <v>1574</v>
      </c>
      <c r="I7259" s="1572" t="s">
        <v>1559</v>
      </c>
      <c r="J7259" s="1294" t="s">
        <v>1560</v>
      </c>
      <c r="K7259" s="1294" t="s">
        <v>1569</v>
      </c>
      <c r="L7259" s="4333" t="s">
        <v>3765</v>
      </c>
      <c r="M7259" s="4335" t="s">
        <v>1571</v>
      </c>
      <c r="N7259" s="4323" t="s">
        <v>1776</v>
      </c>
      <c r="O7259" s="3347" t="s">
        <v>1563</v>
      </c>
      <c r="P7259" s="1336" t="s">
        <v>1562</v>
      </c>
      <c r="Q7259" s="3389"/>
      <c r="R7259" s="1699" t="s">
        <v>1327</v>
      </c>
    </row>
    <row r="7260" spans="1:18" s="16" customFormat="1">
      <c r="A7260" s="1662" t="s">
        <v>2299</v>
      </c>
      <c r="B7260" s="4326"/>
      <c r="C7260" s="3351"/>
      <c r="D7260" s="4328"/>
      <c r="E7260" s="4330"/>
      <c r="F7260" s="4336"/>
      <c r="G7260" s="4332"/>
      <c r="H7260" s="4332"/>
      <c r="I7260" s="1345">
        <v>35</v>
      </c>
      <c r="J7260" s="1307">
        <v>0.25</v>
      </c>
      <c r="K7260" s="1666">
        <f>I7260*J7260</f>
        <v>8.75</v>
      </c>
      <c r="L7260" s="4334"/>
      <c r="M7260" s="4335"/>
      <c r="N7260" s="4324"/>
      <c r="O7260" s="1298">
        <f>SUM(O7262:O7267)</f>
        <v>4.3732000000000006</v>
      </c>
      <c r="P7260" s="1337">
        <f>O7260*K7260</f>
        <v>38.265500000000003</v>
      </c>
      <c r="Q7260" s="3390"/>
      <c r="R7260" s="1721">
        <f>SUM(P7262:P7267)</f>
        <v>38.265500000000003</v>
      </c>
    </row>
    <row r="7261" spans="1:18" s="16" customFormat="1">
      <c r="A7261" s="1320"/>
      <c r="B7261" s="1949"/>
      <c r="C7261" s="1327"/>
      <c r="D7261" s="1367"/>
      <c r="E7261" s="2121"/>
      <c r="F7261" s="1389" t="s">
        <v>1</v>
      </c>
      <c r="G7261" s="1389"/>
      <c r="H7261" s="1369"/>
      <c r="I7261" s="2088"/>
      <c r="J7261" s="1369"/>
      <c r="K7261" s="1391"/>
      <c r="L7261" s="1559"/>
      <c r="M7261" s="1369"/>
      <c r="N7261" s="1369"/>
      <c r="O7261" s="1369"/>
      <c r="P7261" s="1392"/>
      <c r="Q7261" s="3395"/>
      <c r="R7261" s="2339"/>
    </row>
    <row r="7262" spans="1:18" s="16" customFormat="1">
      <c r="A7262" s="1320"/>
      <c r="B7262" s="1599"/>
      <c r="C7262" s="1320"/>
      <c r="D7262" s="1598" t="s">
        <v>2330</v>
      </c>
      <c r="E7262" s="2154" t="s">
        <v>1527</v>
      </c>
      <c r="F7262" s="1598" t="s">
        <v>2329</v>
      </c>
      <c r="G7262" s="1612">
        <v>1.01</v>
      </c>
      <c r="H7262" s="1367"/>
      <c r="I7262" s="1299"/>
      <c r="J7262" s="1300"/>
      <c r="K7262" s="1307">
        <f>K7260*G7262</f>
        <v>8.8375000000000004</v>
      </c>
      <c r="L7262" s="1335">
        <f t="shared" ref="L7262:L7263" si="978">K7262*$K$7035</f>
        <v>0</v>
      </c>
      <c r="M7262" s="1302">
        <v>1.97</v>
      </c>
      <c r="N7262" s="1700"/>
      <c r="O7262" s="1290">
        <f>G7262*M7262</f>
        <v>1.9897</v>
      </c>
      <c r="P7262" s="1332">
        <f>M7262*K7262</f>
        <v>17.409875</v>
      </c>
      <c r="Q7262" s="3391"/>
      <c r="R7262" s="2339"/>
    </row>
    <row r="7263" spans="1:18" s="16" customFormat="1">
      <c r="A7263" s="1042"/>
      <c r="B7263" s="1599"/>
      <c r="C7263" s="1042"/>
      <c r="D7263" s="1587" t="s">
        <v>1097</v>
      </c>
      <c r="E7263" s="2138" t="s">
        <v>1504</v>
      </c>
      <c r="F7263" s="1587" t="s">
        <v>1632</v>
      </c>
      <c r="G7263" s="1588">
        <v>1.01</v>
      </c>
      <c r="H7263" s="1674"/>
      <c r="I7263" s="1299"/>
      <c r="J7263" s="1300"/>
      <c r="K7263" s="1307">
        <f>K7260*G7263</f>
        <v>8.8375000000000004</v>
      </c>
      <c r="L7263" s="1335">
        <f t="shared" si="978"/>
        <v>0</v>
      </c>
      <c r="M7263" s="1302">
        <v>0.55000000000000004</v>
      </c>
      <c r="N7263" s="1700"/>
      <c r="O7263" s="1290">
        <f>G7263*M7263</f>
        <v>0.5555000000000001</v>
      </c>
      <c r="P7263" s="1332">
        <f>M7263*K7263</f>
        <v>4.8606250000000006</v>
      </c>
      <c r="Q7263" s="3391"/>
      <c r="R7263" s="2339"/>
    </row>
    <row r="7264" spans="1:18" s="16" customFormat="1">
      <c r="A7264" s="1042"/>
      <c r="B7264" s="1599"/>
      <c r="C7264" s="1042"/>
      <c r="D7264" s="1587"/>
      <c r="E7264" s="2138"/>
      <c r="F7264" s="1587"/>
      <c r="G7264" s="1588"/>
      <c r="H7264" s="1674"/>
      <c r="I7264" s="1299"/>
      <c r="J7264" s="1300"/>
      <c r="K7264" s="1307"/>
      <c r="L7264" s="1335"/>
      <c r="M7264" s="1302"/>
      <c r="N7264" s="1700"/>
      <c r="O7264" s="1290"/>
      <c r="P7264" s="1332"/>
      <c r="Q7264" s="3391"/>
      <c r="R7264" s="2339"/>
    </row>
    <row r="7265" spans="1:19" s="16" customFormat="1">
      <c r="A7265" s="1042"/>
      <c r="B7265" s="1599"/>
      <c r="C7265" s="1042"/>
      <c r="D7265" s="1367"/>
      <c r="E7265" s="2121"/>
      <c r="F7265" s="1436"/>
      <c r="G7265" s="1436"/>
      <c r="H7265" s="1369"/>
      <c r="I7265" s="1299" t="str">
        <f t="shared" ref="I7265" ca="1" si="979">IF(COUNT(H7265:O7265)=0,"",(SUM(H7265:O7265)/COUNT(H7265:O7265)))</f>
        <v/>
      </c>
      <c r="J7265" s="1300"/>
      <c r="K7265" s="1307"/>
      <c r="L7265" s="1335"/>
      <c r="M7265" s="1302"/>
      <c r="N7265" s="1700"/>
      <c r="O7265" s="1290"/>
      <c r="P7265" s="1332"/>
      <c r="Q7265" s="3391"/>
      <c r="R7265" s="2339"/>
    </row>
    <row r="7266" spans="1:19" s="16" customFormat="1">
      <c r="A7266" s="1042"/>
      <c r="B7266" s="1599"/>
      <c r="C7266" s="1042"/>
      <c r="D7266" s="1359"/>
      <c r="E7266" s="1858"/>
      <c r="F7266" s="1360" t="s">
        <v>2</v>
      </c>
      <c r="G7266" s="1360"/>
      <c r="H7266" s="1362"/>
      <c r="I7266" s="1380"/>
      <c r="J7266" s="1381"/>
      <c r="K7266" s="1381"/>
      <c r="L7266" s="1458"/>
      <c r="M7266" s="1362"/>
      <c r="N7266" s="1362"/>
      <c r="O7266" s="1362"/>
      <c r="P7266" s="1359"/>
      <c r="Q7266" s="3387"/>
      <c r="R7266" s="2339"/>
    </row>
    <row r="7267" spans="1:19" s="16" customFormat="1">
      <c r="A7267"/>
      <c r="B7267" s="1042"/>
      <c r="C7267" s="19"/>
      <c r="D7267" s="1430" t="s">
        <v>1067</v>
      </c>
      <c r="E7267" s="1857" t="s">
        <v>1508</v>
      </c>
      <c r="F7267" s="1403" t="s">
        <v>5</v>
      </c>
      <c r="G7267" s="1991">
        <v>0.1</v>
      </c>
      <c r="H7267" s="1408"/>
      <c r="I7267" s="1286"/>
      <c r="J7267" s="198"/>
      <c r="K7267" s="1307">
        <f>G7267*K7260</f>
        <v>0.875</v>
      </c>
      <c r="L7267" s="1335">
        <f>K7267*$K$7035</f>
        <v>0</v>
      </c>
      <c r="M7267" s="1302">
        <v>18.28</v>
      </c>
      <c r="N7267" s="1718"/>
      <c r="O7267" s="1290">
        <f>G7267*M7267</f>
        <v>1.8280000000000003</v>
      </c>
      <c r="P7267" s="1332">
        <f>M7267*K7267</f>
        <v>15.995000000000001</v>
      </c>
      <c r="Q7267" s="3391"/>
      <c r="R7267" s="2337"/>
    </row>
    <row r="7268" spans="1:19" s="16" customFormat="1">
      <c r="A7268"/>
      <c r="B7268" s="1042"/>
      <c r="C7268" s="19"/>
      <c r="D7268" s="1430"/>
      <c r="E7268" s="1857"/>
      <c r="F7268" s="1403"/>
      <c r="G7268" s="1991"/>
      <c r="H7268" s="1408"/>
      <c r="I7268" s="1286"/>
      <c r="J7268" s="198"/>
      <c r="K7268" s="1307"/>
      <c r="L7268" s="1335"/>
      <c r="M7268" s="1302"/>
      <c r="N7268" s="1718"/>
      <c r="O7268" s="1290"/>
      <c r="P7268" s="1720"/>
      <c r="Q7268" s="3396"/>
      <c r="R7268" s="2337"/>
    </row>
    <row r="7269" spans="1:19" s="16" customFormat="1">
      <c r="A7269"/>
      <c r="B7269" s="1320"/>
      <c r="D7269" s="1359"/>
      <c r="E7269" s="1858"/>
      <c r="F7269" s="1474"/>
      <c r="G7269" s="1474"/>
      <c r="H7269" s="1466"/>
      <c r="I7269" s="1289"/>
      <c r="J7269" s="8"/>
      <c r="K7269" s="1307"/>
      <c r="L7269" s="1335"/>
      <c r="M7269" s="1302"/>
      <c r="N7269" s="1700"/>
      <c r="O7269" s="1290"/>
      <c r="P7269" s="1332"/>
      <c r="Q7269" s="3391"/>
      <c r="R7269" s="1296"/>
    </row>
    <row r="7270" spans="1:19" s="16" customFormat="1">
      <c r="A7270" s="1320"/>
      <c r="B7270" s="1599"/>
      <c r="C7270" s="1320"/>
      <c r="D7270" s="1373"/>
      <c r="E7270" s="2123"/>
      <c r="F7270" s="1374" t="s">
        <v>3</v>
      </c>
      <c r="G7270" s="1375"/>
      <c r="H7270" s="1376"/>
      <c r="I7270" s="1382"/>
      <c r="J7270" s="1383"/>
      <c r="K7270" s="1383"/>
      <c r="L7270" s="1413"/>
      <c r="M7270" s="1376"/>
      <c r="N7270" s="1376"/>
      <c r="O7270" s="1376"/>
      <c r="P7270" s="1373"/>
      <c r="Q7270" s="3387"/>
      <c r="R7270" s="2339"/>
    </row>
    <row r="7271" spans="1:19" s="16" customFormat="1">
      <c r="A7271" s="1321"/>
      <c r="B7271" s="2053"/>
      <c r="C7271" s="1321"/>
      <c r="D7271" s="1827"/>
      <c r="E7271" s="2173"/>
      <c r="F7271" s="1827"/>
      <c r="G7271" s="1828"/>
      <c r="H7271" s="1379"/>
      <c r="I7271" s="1299"/>
      <c r="J7271" s="1300"/>
      <c r="K7271" s="1307"/>
      <c r="L7271" s="1335"/>
      <c r="M7271" s="1302"/>
      <c r="N7271" s="1700"/>
      <c r="O7271" s="1290"/>
      <c r="P7271" s="1332"/>
      <c r="Q7271" s="3391"/>
      <c r="R7271" s="2339"/>
    </row>
    <row r="7272" spans="1:19" s="16" customFormat="1">
      <c r="A7272" s="1321"/>
      <c r="B7272" s="2053"/>
      <c r="C7272" s="1321"/>
      <c r="D7272" s="1377"/>
      <c r="E7272" s="2124"/>
      <c r="F7272" s="1378"/>
      <c r="G7272" s="1378"/>
      <c r="H7272" s="1379"/>
      <c r="I7272" s="1299"/>
      <c r="J7272" s="1300"/>
      <c r="K7272" s="1307"/>
      <c r="L7272" s="1335"/>
      <c r="M7272" s="1302"/>
      <c r="N7272" s="1700"/>
      <c r="O7272" s="1290"/>
      <c r="P7272" s="1333"/>
      <c r="Q7272" s="3391"/>
      <c r="R7272" s="2339"/>
    </row>
    <row r="7273" spans="1:19" s="16" customFormat="1">
      <c r="A7273" s="1042"/>
      <c r="B7273" s="1765"/>
      <c r="C7273" s="223"/>
      <c r="D7273" s="1373"/>
      <c r="E7273" s="2161"/>
      <c r="F7273" s="1678"/>
      <c r="G7273" s="1678"/>
      <c r="H7273" s="1376"/>
      <c r="I7273" s="1299"/>
      <c r="J7273" s="1300"/>
      <c r="K7273" s="1307"/>
      <c r="L7273" s="1335"/>
      <c r="M7273" s="1302"/>
      <c r="N7273" s="1700"/>
      <c r="O7273" s="1290"/>
      <c r="P7273" s="1332"/>
      <c r="Q7273" s="3391"/>
      <c r="R7273" s="2339"/>
    </row>
    <row r="7274" spans="1:19" s="16" customFormat="1" ht="28.5">
      <c r="E7274" s="2182"/>
      <c r="F7274" s="2080"/>
      <c r="G7274" s="2080"/>
      <c r="H7274" s="13"/>
      <c r="I7274" s="1561"/>
      <c r="J7274" s="13"/>
      <c r="K7274" s="1639"/>
      <c r="L7274" s="2375" t="s">
        <v>2856</v>
      </c>
      <c r="M7274" s="1292"/>
      <c r="N7274" s="1292"/>
      <c r="O7274" s="1292"/>
      <c r="P7274" s="1292"/>
      <c r="Q7274" s="3391"/>
      <c r="R7274" s="1296"/>
    </row>
    <row r="7275" spans="1:19" s="16" customFormat="1">
      <c r="A7275" s="4393" t="s">
        <v>162</v>
      </c>
      <c r="B7275" s="4394"/>
      <c r="C7275" s="4394"/>
      <c r="D7275" s="4395"/>
      <c r="E7275" s="4396" t="s">
        <v>1549</v>
      </c>
      <c r="F7275" s="4397" t="s">
        <v>1550</v>
      </c>
      <c r="G7275" s="4399" t="s">
        <v>1566</v>
      </c>
      <c r="H7275" s="4400"/>
      <c r="I7275" s="4400"/>
      <c r="J7275" s="4400"/>
      <c r="K7275" s="4400"/>
      <c r="L7275" s="4401"/>
      <c r="M7275" s="4405" t="s">
        <v>1567</v>
      </c>
      <c r="N7275" s="4405"/>
      <c r="O7275" s="4405"/>
      <c r="P7275" s="4405"/>
      <c r="Q7275" s="3395"/>
      <c r="R7275" s="2339"/>
    </row>
    <row r="7276" spans="1:19" s="16" customFormat="1" ht="15" thickBot="1">
      <c r="A7276" s="1324" t="s">
        <v>3766</v>
      </c>
      <c r="B7276" s="1325" t="s">
        <v>1513</v>
      </c>
      <c r="C7276" s="1326" t="s">
        <v>1573</v>
      </c>
      <c r="D7276" s="1323" t="s">
        <v>1514</v>
      </c>
      <c r="E7276" s="4396"/>
      <c r="F7276" s="4398"/>
      <c r="G7276" s="4402"/>
      <c r="H7276" s="4403"/>
      <c r="I7276" s="4403"/>
      <c r="J7276" s="4403"/>
      <c r="K7276" s="4403"/>
      <c r="L7276" s="4404"/>
      <c r="M7276" s="4405"/>
      <c r="N7276" s="4405"/>
      <c r="O7276" s="4405"/>
      <c r="P7276" s="4405"/>
      <c r="Q7276" s="3395"/>
      <c r="R7276" s="2339"/>
      <c r="S7276" s="4117" t="s">
        <v>3875</v>
      </c>
    </row>
    <row r="7277" spans="1:19" s="16" customFormat="1" ht="39" customHeight="1">
      <c r="A7277" s="4374" t="s">
        <v>2333</v>
      </c>
      <c r="B7277" s="4375"/>
      <c r="C7277" s="4375"/>
      <c r="D7277" s="4376"/>
      <c r="E7277" s="4380" t="s">
        <v>1527</v>
      </c>
      <c r="F7277" s="4382" t="s">
        <v>2332</v>
      </c>
      <c r="G7277" s="4406" t="s">
        <v>294</v>
      </c>
      <c r="H7277" s="4407"/>
      <c r="I7277" s="1665" t="s">
        <v>1565</v>
      </c>
      <c r="J7277" s="3348" t="s">
        <v>1575</v>
      </c>
      <c r="K7277" s="4406" t="s">
        <v>289</v>
      </c>
      <c r="L7277" s="4407"/>
      <c r="M7277" s="4408" t="s">
        <v>3349</v>
      </c>
      <c r="N7277" s="4408"/>
      <c r="O7277" s="4408"/>
      <c r="P7277" s="4409"/>
      <c r="Q7277" s="4244" t="s">
        <v>3963</v>
      </c>
      <c r="R7277" s="2339"/>
    </row>
    <row r="7278" spans="1:19" s="16" customFormat="1" ht="24.75" customHeight="1" thickBot="1">
      <c r="A7278" s="4377"/>
      <c r="B7278" s="4378"/>
      <c r="C7278" s="4378"/>
      <c r="D7278" s="4379"/>
      <c r="E7278" s="4381"/>
      <c r="F7278" s="4383"/>
      <c r="G7278" s="4451">
        <f>IF('Seleccion proyecto HEREVEA02'!G57="Sustitución y reposición en cobre",'Seleccion proyecto HEREVEA02'!E57,0)</f>
        <v>0</v>
      </c>
      <c r="H7278" s="4452"/>
      <c r="I7278" s="3353">
        <f>IF('Seleccion proyecto HEREVEA02'!H57=0,0,IF('Seleccion proyecto HEREVEA02'!H57="1 a 30",0.3,IF('Seleccion proyecto HEREVEA02'!H57="31 a 60",0.6,IF('Seleccion proyecto HEREVEA02'!H57="61 a 100",1))))</f>
        <v>0</v>
      </c>
      <c r="J7278" s="1351">
        <f>'Seleccion proyecto HEREVEA02'!L8</f>
        <v>11100.968999999999</v>
      </c>
      <c r="K7278" s="4358">
        <f>G7278*I7278*J7278</f>
        <v>0</v>
      </c>
      <c r="L7278" s="4359"/>
      <c r="M7278" s="4360">
        <f>P7281+P7282+P7283+P7288+P7302+P7321+P7340+P7359+P7374+P7389+P7404+P7419</f>
        <v>21.635612900000002</v>
      </c>
      <c r="N7278" s="4361"/>
      <c r="O7278" s="4361"/>
      <c r="P7278" s="4362"/>
      <c r="Q7278" s="4245">
        <f>M7278*K7278</f>
        <v>0</v>
      </c>
      <c r="R7278" s="2339"/>
    </row>
    <row r="7279" spans="1:19" s="16" customFormat="1">
      <c r="A7279" s="553"/>
      <c r="B7279" s="4339"/>
      <c r="C7279" s="3361"/>
      <c r="D7279" s="4340"/>
      <c r="E7279" s="4342"/>
      <c r="F7279" s="4344" t="s">
        <v>2</v>
      </c>
      <c r="G7279" s="4346" t="s">
        <v>1568</v>
      </c>
      <c r="H7279" s="4348" t="s">
        <v>1574</v>
      </c>
      <c r="I7279" s="4350"/>
      <c r="J7279" s="4351" t="s">
        <v>1560</v>
      </c>
      <c r="K7279" s="4351" t="s">
        <v>1569</v>
      </c>
      <c r="L7279" s="4333" t="s">
        <v>3765</v>
      </c>
      <c r="M7279" s="4352" t="s">
        <v>1571</v>
      </c>
      <c r="N7279" s="4353" t="s">
        <v>1776</v>
      </c>
      <c r="O7279" s="4354" t="s">
        <v>1563</v>
      </c>
      <c r="P7279" s="4356" t="s">
        <v>1562</v>
      </c>
      <c r="Q7279" s="3389"/>
      <c r="R7279" s="1699"/>
    </row>
    <row r="7280" spans="1:19" s="16" customFormat="1">
      <c r="A7280" s="2083"/>
      <c r="B7280" s="4339"/>
      <c r="C7280" s="3361"/>
      <c r="D7280" s="4341"/>
      <c r="E7280" s="4343"/>
      <c r="F7280" s="4345"/>
      <c r="G7280" s="4347"/>
      <c r="H7280" s="4349"/>
      <c r="I7280" s="4350"/>
      <c r="J7280" s="4351"/>
      <c r="K7280" s="4351"/>
      <c r="L7280" s="4334"/>
      <c r="M7280" s="4352"/>
      <c r="N7280" s="4353"/>
      <c r="O7280" s="4355"/>
      <c r="P7280" s="4357"/>
      <c r="Q7280" s="3389"/>
      <c r="R7280" s="1721"/>
    </row>
    <row r="7281" spans="1:18" s="16" customFormat="1">
      <c r="A7281" s="2053"/>
      <c r="B7281" s="1321"/>
      <c r="C7281" s="1295"/>
      <c r="D7281" s="1363" t="s">
        <v>1067</v>
      </c>
      <c r="E7281" s="2125" t="s">
        <v>1508</v>
      </c>
      <c r="F7281" s="1385" t="s">
        <v>1512</v>
      </c>
      <c r="G7281" s="1998">
        <v>4</v>
      </c>
      <c r="H7281" s="2084"/>
      <c r="I7281" s="2085"/>
      <c r="J7281" s="1589">
        <v>1.0999999999999999E-2</v>
      </c>
      <c r="K7281" s="1307">
        <f>G7281*J7281</f>
        <v>4.3999999999999997E-2</v>
      </c>
      <c r="L7281" s="1335">
        <f>K7281*$K$7278</f>
        <v>0</v>
      </c>
      <c r="M7281" s="1302">
        <v>18.28</v>
      </c>
      <c r="N7281" s="1700"/>
      <c r="O7281" s="1290">
        <f>G7281*M7281</f>
        <v>73.12</v>
      </c>
      <c r="P7281" s="1337">
        <f>M7281*K7281</f>
        <v>0.80432000000000003</v>
      </c>
      <c r="Q7281" s="3390"/>
      <c r="R7281" s="2339"/>
    </row>
    <row r="7282" spans="1:18" s="16" customFormat="1">
      <c r="A7282" s="1599"/>
      <c r="B7282" s="1320"/>
      <c r="D7282" s="1359" t="s">
        <v>1593</v>
      </c>
      <c r="E7282" s="1858" t="s">
        <v>1508</v>
      </c>
      <c r="F7282" s="1404" t="s">
        <v>2146</v>
      </c>
      <c r="G7282" s="2096">
        <v>2.14</v>
      </c>
      <c r="H7282" s="1359"/>
      <c r="I7282" s="1289"/>
      <c r="J7282" s="8">
        <v>1.0999999999999999E-2</v>
      </c>
      <c r="K7282" s="1307">
        <f>G7282*J7282</f>
        <v>2.3539999999999998E-2</v>
      </c>
      <c r="L7282" s="1335">
        <f>K7282*$K$7278</f>
        <v>0</v>
      </c>
      <c r="M7282" s="1302">
        <v>19.23</v>
      </c>
      <c r="N7282" s="1700"/>
      <c r="O7282" s="1290">
        <f>G7282*M7282</f>
        <v>41.152200000000001</v>
      </c>
      <c r="P7282" s="1337">
        <f>M7282*K7282</f>
        <v>0.45267419999999997</v>
      </c>
      <c r="Q7282" s="3390"/>
      <c r="R7282" s="2339"/>
    </row>
    <row r="7283" spans="1:18" s="16" customFormat="1">
      <c r="A7283"/>
      <c r="B7283" s="1042"/>
      <c r="C7283" s="2086" t="s">
        <v>1755</v>
      </c>
      <c r="D7283" s="1311"/>
      <c r="E7283" s="2176" t="s">
        <v>1508</v>
      </c>
      <c r="F7283" s="1648" t="s">
        <v>1524</v>
      </c>
      <c r="G7283" s="1990"/>
      <c r="H7283" s="1954">
        <v>0.55000000000000004</v>
      </c>
      <c r="I7283" s="1444"/>
      <c r="J7283" s="1366">
        <v>1.0999999999999999E-2</v>
      </c>
      <c r="K7283" s="1445"/>
      <c r="L7283" s="1457"/>
      <c r="M7283" s="1447"/>
      <c r="N7283" s="1447">
        <f>SUM(N7284:N7285)</f>
        <v>37.510000000000005</v>
      </c>
      <c r="O7283" s="1447">
        <f>SUM(O7284:O7285)</f>
        <v>20.630500000000005</v>
      </c>
      <c r="P7283" s="1337">
        <f>SUM(P7284:P7285)</f>
        <v>0.22693550000000001</v>
      </c>
      <c r="Q7283" s="3390"/>
      <c r="R7283" s="2337"/>
    </row>
    <row r="7284" spans="1:18" s="16" customFormat="1">
      <c r="A7284"/>
      <c r="B7284" s="1042"/>
      <c r="C7284" s="19"/>
      <c r="D7284" s="1430" t="s">
        <v>1067</v>
      </c>
      <c r="E7284" s="1857" t="s">
        <v>1508</v>
      </c>
      <c r="F7284" s="1403" t="s">
        <v>5</v>
      </c>
      <c r="G7284" s="1991">
        <v>1</v>
      </c>
      <c r="H7284" s="1937">
        <f>G7284*H7283</f>
        <v>0.55000000000000004</v>
      </c>
      <c r="I7284" s="1286"/>
      <c r="J7284" s="198"/>
      <c r="K7284" s="1307">
        <f>H7284*J7283</f>
        <v>6.0499999999999998E-3</v>
      </c>
      <c r="L7284" s="1335">
        <f t="shared" ref="L7284:L7285" si="980">K7284*$K$7278</f>
        <v>0</v>
      </c>
      <c r="M7284" s="1302">
        <v>18.28</v>
      </c>
      <c r="N7284" s="1718">
        <f>G7284*M7284</f>
        <v>18.28</v>
      </c>
      <c r="O7284" s="1290">
        <f>H7284*M7284</f>
        <v>10.054000000000002</v>
      </c>
      <c r="P7284" s="1720">
        <f>M7284*K7284</f>
        <v>0.110594</v>
      </c>
      <c r="Q7284" s="3396"/>
      <c r="R7284" s="2337"/>
    </row>
    <row r="7285" spans="1:18" s="16" customFormat="1">
      <c r="A7285"/>
      <c r="B7285" s="1042"/>
      <c r="C7285" s="19"/>
      <c r="D7285" s="1430" t="s">
        <v>1077</v>
      </c>
      <c r="E7285" s="1857" t="s">
        <v>1508</v>
      </c>
      <c r="F7285" s="1403" t="s">
        <v>37</v>
      </c>
      <c r="G7285" s="1991">
        <v>1</v>
      </c>
      <c r="H7285" s="1937">
        <f>G7285*H7283</f>
        <v>0.55000000000000004</v>
      </c>
      <c r="I7285" s="197"/>
      <c r="J7285" s="198"/>
      <c r="K7285" s="1307">
        <f>H7285*J7283</f>
        <v>6.0499999999999998E-3</v>
      </c>
      <c r="L7285" s="1335">
        <f t="shared" si="980"/>
        <v>0</v>
      </c>
      <c r="M7285" s="1302">
        <v>19.23</v>
      </c>
      <c r="N7285" s="1718">
        <f>G7285*M7285</f>
        <v>19.23</v>
      </c>
      <c r="O7285" s="1290">
        <f>H7285*M7285</f>
        <v>10.576500000000001</v>
      </c>
      <c r="P7285" s="1720">
        <f>M7285*K7285</f>
        <v>0.1163415</v>
      </c>
      <c r="Q7285" s="3396"/>
      <c r="R7285" s="2337"/>
    </row>
    <row r="7286" spans="1:18" s="16" customFormat="1">
      <c r="A7286"/>
      <c r="B7286" s="225"/>
      <c r="D7286" s="1359"/>
      <c r="E7286" s="1858"/>
      <c r="F7286" s="1361"/>
      <c r="G7286" s="1361"/>
      <c r="H7286" s="1466"/>
      <c r="I7286" s="1289"/>
      <c r="J7286" s="8"/>
      <c r="K7286" s="1307"/>
      <c r="L7286" s="1335"/>
      <c r="M7286" s="1302"/>
      <c r="N7286" s="1700"/>
      <c r="O7286" s="1290"/>
      <c r="P7286" s="1332"/>
      <c r="Q7286" s="3391"/>
      <c r="R7286" s="1296"/>
    </row>
    <row r="7287" spans="1:18" s="16" customFormat="1">
      <c r="A7287" s="18" t="s">
        <v>3764</v>
      </c>
      <c r="B7287" s="4325" t="s">
        <v>2297</v>
      </c>
      <c r="C7287" s="3350"/>
      <c r="D7287" s="4327"/>
      <c r="E7287" s="4329" t="s">
        <v>1527</v>
      </c>
      <c r="F7287" s="4336" t="s">
        <v>2298</v>
      </c>
      <c r="G7287" s="4331" t="s">
        <v>1568</v>
      </c>
      <c r="H7287" s="4331" t="s">
        <v>1574</v>
      </c>
      <c r="I7287" s="1572" t="s">
        <v>1559</v>
      </c>
      <c r="J7287" s="1294" t="s">
        <v>1560</v>
      </c>
      <c r="K7287" s="1294" t="s">
        <v>1569</v>
      </c>
      <c r="L7287" s="4333" t="s">
        <v>3765</v>
      </c>
      <c r="M7287" s="4335" t="s">
        <v>1571</v>
      </c>
      <c r="N7287" s="4323" t="s">
        <v>1776</v>
      </c>
      <c r="O7287" s="3347" t="s">
        <v>1563</v>
      </c>
      <c r="P7287" s="1336" t="s">
        <v>1562</v>
      </c>
      <c r="Q7287" s="3389"/>
      <c r="R7287" s="1699" t="s">
        <v>1327</v>
      </c>
    </row>
    <row r="7288" spans="1:18" s="16" customFormat="1">
      <c r="A7288" s="1662" t="s">
        <v>2333</v>
      </c>
      <c r="B7288" s="4326"/>
      <c r="C7288" s="3351"/>
      <c r="D7288" s="4328"/>
      <c r="E7288" s="4330"/>
      <c r="F7288" s="4336"/>
      <c r="G7288" s="4332"/>
      <c r="H7288" s="4332"/>
      <c r="I7288" s="1345">
        <v>92</v>
      </c>
      <c r="J7288" s="1307">
        <v>1.0999999999999999E-2</v>
      </c>
      <c r="K7288" s="1666">
        <f>I7288*J7288</f>
        <v>1.012</v>
      </c>
      <c r="L7288" s="4334"/>
      <c r="M7288" s="4335"/>
      <c r="N7288" s="4324"/>
      <c r="O7288" s="1298">
        <f>SUM(O7290:O7295)</f>
        <v>2.0473600000000003</v>
      </c>
      <c r="P7288" s="1337">
        <f>O7288*K7288</f>
        <v>2.0719283200000005</v>
      </c>
      <c r="Q7288" s="3390"/>
      <c r="R7288" s="1721">
        <f>P7294</f>
        <v>2.07192832</v>
      </c>
    </row>
    <row r="7289" spans="1:18" s="16" customFormat="1">
      <c r="A7289" s="1320"/>
      <c r="B7289" s="1949"/>
      <c r="C7289" s="1327"/>
      <c r="D7289" s="1367"/>
      <c r="E7289" s="2121"/>
      <c r="F7289" s="1389" t="s">
        <v>1</v>
      </c>
      <c r="G7289" s="1389"/>
      <c r="H7289" s="1369"/>
      <c r="I7289" s="2088"/>
      <c r="J7289" s="1369"/>
      <c r="K7289" s="1391"/>
      <c r="L7289" s="1559"/>
      <c r="M7289" s="1369"/>
      <c r="N7289" s="1369"/>
      <c r="O7289" s="1369"/>
      <c r="P7289" s="1392"/>
      <c r="Q7289" s="3395"/>
      <c r="R7289" s="2339"/>
    </row>
    <row r="7290" spans="1:18" s="16" customFormat="1">
      <c r="A7290" s="1320"/>
      <c r="B7290" s="1599"/>
      <c r="C7290" s="1320"/>
      <c r="D7290" s="1668"/>
      <c r="E7290" s="2166"/>
      <c r="F7290" s="1668"/>
      <c r="G7290" s="2117"/>
      <c r="H7290" s="1369"/>
      <c r="I7290" s="1299"/>
      <c r="J7290" s="1300"/>
      <c r="K7290" s="1307"/>
      <c r="L7290" s="1335"/>
      <c r="M7290" s="1302"/>
      <c r="N7290" s="1700"/>
      <c r="O7290" s="1290"/>
      <c r="P7290" s="1332"/>
      <c r="Q7290" s="3391"/>
      <c r="R7290" s="2339"/>
    </row>
    <row r="7291" spans="1:18" s="16" customFormat="1">
      <c r="A7291" s="1042"/>
      <c r="B7291" s="1599"/>
      <c r="C7291" s="1042"/>
      <c r="D7291" s="1598"/>
      <c r="E7291" s="2154"/>
      <c r="F7291" s="1598"/>
      <c r="G7291" s="1995"/>
      <c r="H7291" s="1674"/>
      <c r="I7291" s="1299"/>
      <c r="J7291" s="1300"/>
      <c r="K7291" s="1307"/>
      <c r="L7291" s="1335"/>
      <c r="M7291" s="1302"/>
      <c r="N7291" s="1700"/>
      <c r="O7291" s="1290"/>
      <c r="P7291" s="1332"/>
      <c r="Q7291" s="3391"/>
      <c r="R7291" s="2339"/>
    </row>
    <row r="7292" spans="1:18" s="16" customFormat="1">
      <c r="A7292" s="1042"/>
      <c r="B7292" s="1599"/>
      <c r="C7292" s="1042"/>
      <c r="D7292" s="1367"/>
      <c r="E7292" s="2121"/>
      <c r="F7292" s="1436"/>
      <c r="G7292" s="1436"/>
      <c r="H7292" s="1369"/>
      <c r="I7292" s="1299" t="str">
        <f t="shared" ref="I7292" ca="1" si="981">IF(COUNT(H7292:O7292)=0,"",(SUM(H7292:O7292)/COUNT(H7292:O7292)))</f>
        <v/>
      </c>
      <c r="J7292" s="1300"/>
      <c r="K7292" s="1307"/>
      <c r="L7292" s="1335"/>
      <c r="M7292" s="1302"/>
      <c r="N7292" s="1700"/>
      <c r="O7292" s="1290"/>
      <c r="P7292" s="1332"/>
      <c r="Q7292" s="3391"/>
      <c r="R7292" s="2339"/>
    </row>
    <row r="7293" spans="1:18" s="16" customFormat="1">
      <c r="A7293" s="1042"/>
      <c r="B7293" s="1599"/>
      <c r="C7293" s="1042"/>
      <c r="D7293" s="1359"/>
      <c r="E7293" s="1858"/>
      <c r="F7293" s="1360" t="s">
        <v>2</v>
      </c>
      <c r="G7293" s="1360"/>
      <c r="H7293" s="1362"/>
      <c r="I7293" s="1380"/>
      <c r="J7293" s="1381"/>
      <c r="K7293" s="1381"/>
      <c r="L7293" s="1458"/>
      <c r="M7293" s="1362"/>
      <c r="N7293" s="1362"/>
      <c r="O7293" s="1362"/>
      <c r="P7293" s="1359"/>
      <c r="Q7293" s="3387"/>
      <c r="R7293" s="2339"/>
    </row>
    <row r="7294" spans="1:18" s="16" customFormat="1">
      <c r="A7294" s="2053"/>
      <c r="B7294" s="1321"/>
      <c r="C7294" s="1295"/>
      <c r="D7294" s="1363" t="s">
        <v>1067</v>
      </c>
      <c r="E7294" s="2125" t="s">
        <v>1508</v>
      </c>
      <c r="F7294" s="1385" t="s">
        <v>1512</v>
      </c>
      <c r="G7294" s="2019">
        <v>0.112</v>
      </c>
      <c r="H7294" s="2084"/>
      <c r="I7294" s="2085"/>
      <c r="J7294" s="1589"/>
      <c r="K7294" s="1307">
        <f>G7294*K7288</f>
        <v>0.113344</v>
      </c>
      <c r="L7294" s="1335">
        <f>K7294*$K$7278</f>
        <v>0</v>
      </c>
      <c r="M7294" s="1302">
        <v>18.28</v>
      </c>
      <c r="N7294" s="1700"/>
      <c r="O7294" s="1290">
        <f>G7294*M7294</f>
        <v>2.0473600000000003</v>
      </c>
      <c r="P7294" s="1332">
        <f>M7294*K7294</f>
        <v>2.07192832</v>
      </c>
      <c r="Q7294" s="3391"/>
      <c r="R7294" s="2339"/>
    </row>
    <row r="7295" spans="1:18" s="16" customFormat="1">
      <c r="A7295" s="1320"/>
      <c r="B7295" s="1599"/>
      <c r="C7295" s="1320"/>
      <c r="D7295" s="1624"/>
      <c r="E7295" s="2158"/>
      <c r="F7295" s="1624"/>
      <c r="G7295" s="2116"/>
      <c r="H7295" s="1359"/>
      <c r="I7295" s="1299"/>
      <c r="J7295" s="1300"/>
      <c r="K7295" s="1307"/>
      <c r="L7295" s="1335"/>
      <c r="M7295" s="1302"/>
      <c r="N7295" s="1700"/>
      <c r="O7295" s="1290"/>
      <c r="P7295" s="1332"/>
      <c r="Q7295" s="3391"/>
      <c r="R7295" s="2339"/>
    </row>
    <row r="7296" spans="1:18" s="16" customFormat="1">
      <c r="A7296"/>
      <c r="B7296" s="1320"/>
      <c r="D7296" s="1359"/>
      <c r="E7296" s="1858"/>
      <c r="F7296" s="1361"/>
      <c r="G7296" s="1361"/>
      <c r="H7296" s="1466"/>
      <c r="I7296" s="1289"/>
      <c r="J7296" s="8"/>
      <c r="K7296" s="1307"/>
      <c r="L7296" s="1335"/>
      <c r="M7296" s="1302"/>
      <c r="N7296" s="1700"/>
      <c r="O7296" s="1290"/>
      <c r="P7296" s="1332"/>
      <c r="Q7296" s="3391"/>
      <c r="R7296" s="1296"/>
    </row>
    <row r="7297" spans="1:19">
      <c r="A7297" s="1320"/>
      <c r="B7297" s="1599"/>
      <c r="C7297" s="1320"/>
      <c r="D7297" s="1373"/>
      <c r="E7297" s="2123"/>
      <c r="F7297" s="1374" t="s">
        <v>3</v>
      </c>
      <c r="G7297" s="1375"/>
      <c r="H7297" s="1376"/>
      <c r="I7297" s="1382"/>
      <c r="J7297" s="1383"/>
      <c r="K7297" s="1383"/>
      <c r="L7297" s="1413"/>
      <c r="M7297" s="1376"/>
      <c r="N7297" s="1376"/>
      <c r="O7297" s="1376"/>
      <c r="P7297" s="1373"/>
      <c r="Q7297" s="3387"/>
    </row>
    <row r="7298" spans="1:19">
      <c r="A7298" s="1321"/>
      <c r="B7298" s="2053"/>
      <c r="C7298" s="1321"/>
      <c r="D7298" s="1377"/>
      <c r="E7298" s="2124"/>
      <c r="F7298" s="1378"/>
      <c r="G7298" s="1378"/>
      <c r="H7298" s="1379"/>
      <c r="I7298" s="1299"/>
      <c r="J7298" s="1300"/>
      <c r="K7298" s="1307"/>
      <c r="L7298" s="1335"/>
      <c r="M7298" s="1302"/>
      <c r="N7298" s="1700"/>
      <c r="O7298" s="1290"/>
      <c r="P7298" s="1332"/>
      <c r="Q7298" s="3391"/>
    </row>
    <row r="7299" spans="1:19">
      <c r="A7299" s="1321"/>
      <c r="B7299" s="2053"/>
      <c r="C7299" s="1321"/>
      <c r="D7299" s="1377"/>
      <c r="E7299" s="2124"/>
      <c r="F7299" s="1378"/>
      <c r="G7299" s="1378"/>
      <c r="H7299" s="1379"/>
      <c r="I7299" s="1299"/>
      <c r="J7299" s="1300"/>
      <c r="K7299" s="1307"/>
      <c r="L7299" s="1335"/>
      <c r="M7299" s="1302"/>
      <c r="N7299" s="1700"/>
      <c r="O7299" s="1290"/>
      <c r="P7299" s="1333"/>
      <c r="Q7299" s="3391"/>
    </row>
    <row r="7300" spans="1:19">
      <c r="A7300" s="1042"/>
      <c r="B7300" s="1765"/>
      <c r="C7300" s="223"/>
      <c r="D7300" s="1373"/>
      <c r="E7300" s="2161"/>
      <c r="F7300" s="1678"/>
      <c r="G7300" s="1678"/>
      <c r="H7300" s="1376"/>
      <c r="I7300" s="1299"/>
      <c r="J7300" s="1300"/>
      <c r="K7300" s="1307"/>
      <c r="L7300" s="1335"/>
      <c r="M7300" s="1302"/>
      <c r="N7300" s="1700"/>
      <c r="O7300" s="1290"/>
      <c r="P7300" s="1332"/>
      <c r="Q7300" s="3391"/>
    </row>
    <row r="7301" spans="1:19" s="22" customFormat="1">
      <c r="A7301" s="18" t="s">
        <v>3764</v>
      </c>
      <c r="B7301" s="4325" t="s">
        <v>2334</v>
      </c>
      <c r="C7301" s="3350"/>
      <c r="D7301" s="4327"/>
      <c r="E7301" s="4329" t="s">
        <v>1527</v>
      </c>
      <c r="F7301" s="4336" t="s">
        <v>2335</v>
      </c>
      <c r="G7301" s="4331" t="s">
        <v>1568</v>
      </c>
      <c r="H7301" s="4331" t="s">
        <v>1574</v>
      </c>
      <c r="I7301" s="1572" t="s">
        <v>1559</v>
      </c>
      <c r="J7301" s="1294" t="s">
        <v>1560</v>
      </c>
      <c r="K7301" s="1294" t="s">
        <v>1569</v>
      </c>
      <c r="L7301" s="4333" t="s">
        <v>3765</v>
      </c>
      <c r="M7301" s="4335" t="s">
        <v>1571</v>
      </c>
      <c r="N7301" s="4323" t="s">
        <v>1776</v>
      </c>
      <c r="O7301" s="3347" t="s">
        <v>1563</v>
      </c>
      <c r="P7301" s="1336" t="s">
        <v>1562</v>
      </c>
      <c r="Q7301" s="3389"/>
      <c r="R7301" s="1699" t="s">
        <v>1327</v>
      </c>
      <c r="S7301" s="16"/>
    </row>
    <row r="7302" spans="1:19" s="22" customFormat="1">
      <c r="A7302" s="1662" t="s">
        <v>2333</v>
      </c>
      <c r="B7302" s="4326"/>
      <c r="C7302" s="3351"/>
      <c r="D7302" s="4328"/>
      <c r="E7302" s="4330"/>
      <c r="F7302" s="4336"/>
      <c r="G7302" s="4332"/>
      <c r="H7302" s="4332"/>
      <c r="I7302" s="1345">
        <v>28</v>
      </c>
      <c r="J7302" s="1307">
        <v>1.0999999999999999E-2</v>
      </c>
      <c r="K7302" s="1666">
        <f>I7302*J7302</f>
        <v>0.308</v>
      </c>
      <c r="L7302" s="4334"/>
      <c r="M7302" s="4335"/>
      <c r="N7302" s="4324"/>
      <c r="O7302" s="1298">
        <f>SUM(O7304:O7311)</f>
        <v>10.22734</v>
      </c>
      <c r="P7302" s="1337">
        <f>O7302*K7302</f>
        <v>3.1500207200000001</v>
      </c>
      <c r="Q7302" s="3390"/>
      <c r="R7302" s="1721">
        <f>SUM(P7304:P7311)</f>
        <v>3.1500207200000001</v>
      </c>
      <c r="S7302" s="16"/>
    </row>
    <row r="7303" spans="1:19" s="22" customFormat="1">
      <c r="A7303" s="1320"/>
      <c r="B7303" s="1949"/>
      <c r="C7303" s="1327"/>
      <c r="D7303" s="1367"/>
      <c r="E7303" s="2121"/>
      <c r="F7303" s="1389" t="s">
        <v>1</v>
      </c>
      <c r="G7303" s="1389"/>
      <c r="H7303" s="1369"/>
      <c r="I7303" s="2088"/>
      <c r="J7303" s="1369"/>
      <c r="K7303" s="1391"/>
      <c r="L7303" s="1559"/>
      <c r="M7303" s="1369"/>
      <c r="N7303" s="1369"/>
      <c r="O7303" s="1369"/>
      <c r="P7303" s="1392"/>
      <c r="Q7303" s="3395"/>
      <c r="R7303" s="2339"/>
      <c r="S7303" s="16"/>
    </row>
    <row r="7304" spans="1:19" s="22" customFormat="1">
      <c r="A7304" s="1320"/>
      <c r="B7304" s="1599"/>
      <c r="C7304" s="1320"/>
      <c r="D7304" s="1598" t="s">
        <v>2336</v>
      </c>
      <c r="E7304" s="2154" t="s">
        <v>1527</v>
      </c>
      <c r="F7304" s="1598" t="s">
        <v>2337</v>
      </c>
      <c r="G7304" s="1612">
        <v>1.01</v>
      </c>
      <c r="H7304" s="1369"/>
      <c r="I7304" s="1299"/>
      <c r="J7304" s="1300"/>
      <c r="K7304" s="1307">
        <f>K7302*G7304</f>
        <v>0.31108000000000002</v>
      </c>
      <c r="L7304" s="1335">
        <f t="shared" ref="L7304:L7307" si="982">K7304*$K$7278</f>
        <v>0</v>
      </c>
      <c r="M7304" s="1302">
        <v>0.8</v>
      </c>
      <c r="N7304" s="1700"/>
      <c r="O7304" s="1290">
        <f>G7304*M7304</f>
        <v>0.80800000000000005</v>
      </c>
      <c r="P7304" s="1332">
        <f>M7304*K7304</f>
        <v>0.24886400000000003</v>
      </c>
      <c r="Q7304" s="3391"/>
      <c r="R7304" s="2339"/>
      <c r="S7304" s="16"/>
    </row>
    <row r="7305" spans="1:19" s="22" customFormat="1">
      <c r="A7305" s="1042"/>
      <c r="B7305" s="1599"/>
      <c r="C7305" s="1042"/>
      <c r="D7305" s="1598" t="s">
        <v>2338</v>
      </c>
      <c r="E7305" s="2154" t="s">
        <v>1527</v>
      </c>
      <c r="F7305" s="1598" t="s">
        <v>2339</v>
      </c>
      <c r="G7305" s="1612">
        <v>1.01</v>
      </c>
      <c r="H7305" s="1674"/>
      <c r="I7305" s="1299"/>
      <c r="J7305" s="1300"/>
      <c r="K7305" s="1307">
        <f>K7302*G7305</f>
        <v>0.31108000000000002</v>
      </c>
      <c r="L7305" s="1335">
        <f t="shared" si="982"/>
        <v>0</v>
      </c>
      <c r="M7305" s="1302">
        <v>4.6900000000000004</v>
      </c>
      <c r="N7305" s="1700"/>
      <c r="O7305" s="1290">
        <f>G7305*M7305</f>
        <v>4.7369000000000003</v>
      </c>
      <c r="P7305" s="1332">
        <f>M7305*K7305</f>
        <v>1.4589652000000002</v>
      </c>
      <c r="Q7305" s="3391"/>
      <c r="R7305" s="2339"/>
      <c r="S7305" s="16"/>
    </row>
    <row r="7306" spans="1:19" s="22" customFormat="1">
      <c r="A7306" s="1042"/>
      <c r="B7306" s="1599"/>
      <c r="C7306" s="1042"/>
      <c r="D7306" s="1598" t="s">
        <v>1082</v>
      </c>
      <c r="E7306" s="2154" t="s">
        <v>1504</v>
      </c>
      <c r="F7306" s="1598" t="s">
        <v>1541</v>
      </c>
      <c r="G7306" s="1612">
        <v>0.9</v>
      </c>
      <c r="H7306" s="1674"/>
      <c r="I7306" s="1299"/>
      <c r="J7306" s="1300"/>
      <c r="K7306" s="1307">
        <f>K7302*G7306</f>
        <v>0.2772</v>
      </c>
      <c r="L7306" s="1335">
        <f t="shared" si="982"/>
        <v>0</v>
      </c>
      <c r="M7306" s="1302">
        <v>0.3</v>
      </c>
      <c r="N7306" s="1700"/>
      <c r="O7306" s="1290">
        <f>G7306*M7306</f>
        <v>0.27</v>
      </c>
      <c r="P7306" s="1332">
        <f>M7306*K7306</f>
        <v>8.3159999999999998E-2</v>
      </c>
      <c r="Q7306" s="3391"/>
      <c r="R7306" s="2339"/>
      <c r="S7306" s="16"/>
    </row>
    <row r="7307" spans="1:19" s="22" customFormat="1">
      <c r="A7307" s="1042"/>
      <c r="B7307" s="1599"/>
      <c r="C7307" s="1042"/>
      <c r="D7307" s="1598" t="s">
        <v>1097</v>
      </c>
      <c r="E7307" s="2154" t="s">
        <v>1504</v>
      </c>
      <c r="F7307" s="1598" t="s">
        <v>1632</v>
      </c>
      <c r="G7307" s="1612">
        <v>1</v>
      </c>
      <c r="H7307" s="1674"/>
      <c r="I7307" s="1299"/>
      <c r="J7307" s="1300"/>
      <c r="K7307" s="1307">
        <f>K7302*G7307</f>
        <v>0.308</v>
      </c>
      <c r="L7307" s="1335">
        <f t="shared" si="982"/>
        <v>0</v>
      </c>
      <c r="M7307" s="1302">
        <v>0.55000000000000004</v>
      </c>
      <c r="N7307" s="1700"/>
      <c r="O7307" s="1290">
        <f>G7307*M7307</f>
        <v>0.55000000000000004</v>
      </c>
      <c r="P7307" s="1332">
        <f>M7307*K7307</f>
        <v>0.16940000000000002</v>
      </c>
      <c r="Q7307" s="3391"/>
      <c r="R7307" s="2339"/>
      <c r="S7307" s="16"/>
    </row>
    <row r="7308" spans="1:19" s="22" customFormat="1">
      <c r="A7308" s="1042"/>
      <c r="B7308" s="1599"/>
      <c r="C7308" s="1042"/>
      <c r="D7308" s="1367"/>
      <c r="E7308" s="2121"/>
      <c r="F7308" s="1436"/>
      <c r="G7308" s="1436"/>
      <c r="H7308" s="1369"/>
      <c r="I7308" s="1299" t="str">
        <f t="shared" ref="I7308" ca="1" si="983">IF(COUNT(H7308:O7308)=0,"",(SUM(H7308:O7308)/COUNT(H7308:O7308)))</f>
        <v/>
      </c>
      <c r="J7308" s="1300"/>
      <c r="K7308" s="1307"/>
      <c r="L7308" s="1335"/>
      <c r="M7308" s="1302"/>
      <c r="N7308" s="1700"/>
      <c r="O7308" s="1290"/>
      <c r="P7308" s="1332"/>
      <c r="Q7308" s="3391"/>
      <c r="R7308" s="2339"/>
      <c r="S7308" s="16"/>
    </row>
    <row r="7309" spans="1:19" s="22" customFormat="1">
      <c r="A7309" s="1042"/>
      <c r="B7309" s="1599"/>
      <c r="C7309" s="1042"/>
      <c r="D7309" s="1359"/>
      <c r="E7309" s="1858"/>
      <c r="F7309" s="1360" t="s">
        <v>2</v>
      </c>
      <c r="G7309" s="1360"/>
      <c r="H7309" s="1362"/>
      <c r="I7309" s="1380"/>
      <c r="J7309" s="1381"/>
      <c r="K7309" s="1381"/>
      <c r="L7309" s="1458"/>
      <c r="M7309" s="1362"/>
      <c r="N7309" s="1362"/>
      <c r="O7309" s="1362"/>
      <c r="P7309" s="1359"/>
      <c r="Q7309" s="3387"/>
      <c r="R7309" s="2339"/>
      <c r="S7309" s="16"/>
    </row>
    <row r="7310" spans="1:19" s="22" customFormat="1">
      <c r="A7310" s="1321"/>
      <c r="B7310" s="2053"/>
      <c r="C7310" s="1321"/>
      <c r="D7310" s="1655" t="s">
        <v>1099</v>
      </c>
      <c r="E7310" s="1859" t="s">
        <v>1508</v>
      </c>
      <c r="F7310" s="1655" t="s">
        <v>1633</v>
      </c>
      <c r="G7310" s="1625">
        <v>0.12</v>
      </c>
      <c r="H7310" s="1386"/>
      <c r="I7310" s="1299"/>
      <c r="J7310" s="1300"/>
      <c r="K7310" s="1307">
        <f>G7310*K7302</f>
        <v>3.696E-2</v>
      </c>
      <c r="L7310" s="1335">
        <f t="shared" ref="L7310" si="984">K7310*$K$7278</f>
        <v>0</v>
      </c>
      <c r="M7310" s="1302">
        <v>19.23</v>
      </c>
      <c r="N7310" s="1700"/>
      <c r="O7310" s="1290">
        <f>G7310*M7310</f>
        <v>2.3075999999999999</v>
      </c>
      <c r="P7310" s="1332">
        <f>M7310*K7310</f>
        <v>0.71074080000000006</v>
      </c>
      <c r="Q7310" s="3391"/>
      <c r="R7310" s="2339"/>
      <c r="S7310" s="16"/>
    </row>
    <row r="7311" spans="1:19" s="22" customFormat="1">
      <c r="A7311"/>
      <c r="B7311" s="1042"/>
      <c r="C7311" s="2086" t="s">
        <v>2282</v>
      </c>
      <c r="D7311" s="1311"/>
      <c r="E7311" s="2176" t="s">
        <v>1508</v>
      </c>
      <c r="F7311" s="1648" t="s">
        <v>2283</v>
      </c>
      <c r="G7311" s="1990"/>
      <c r="H7311" s="1338">
        <v>4.2000000000000003E-2</v>
      </c>
      <c r="I7311" s="1444"/>
      <c r="J7311" s="1388"/>
      <c r="K7311" s="1445"/>
      <c r="L7311" s="1457"/>
      <c r="M7311" s="1447"/>
      <c r="N7311" s="1447">
        <f>SUM(N7312:N7313)</f>
        <v>37.019999999999996</v>
      </c>
      <c r="O7311" s="1447">
        <f>SUM(O7312:O7313)</f>
        <v>1.55484</v>
      </c>
      <c r="P7311" s="1447">
        <f>SUM(P7312:P7313)</f>
        <v>0.47889071999999999</v>
      </c>
      <c r="Q7311" s="3391"/>
      <c r="R7311" s="2337"/>
      <c r="S7311" s="16"/>
    </row>
    <row r="7312" spans="1:19" s="22" customFormat="1">
      <c r="A7312"/>
      <c r="B7312" s="1042"/>
      <c r="C7312" s="19"/>
      <c r="D7312" s="1430" t="s">
        <v>1067</v>
      </c>
      <c r="E7312" s="1857" t="s">
        <v>1508</v>
      </c>
      <c r="F7312" s="1403" t="s">
        <v>5</v>
      </c>
      <c r="G7312" s="1991">
        <v>1</v>
      </c>
      <c r="H7312" s="1408">
        <f>G7312*H7311</f>
        <v>4.2000000000000003E-2</v>
      </c>
      <c r="I7312" s="1286"/>
      <c r="J7312" s="198"/>
      <c r="K7312" s="1307">
        <f>H7312*K7302</f>
        <v>1.2936000000000001E-2</v>
      </c>
      <c r="L7312" s="1335">
        <f t="shared" ref="L7312:L7313" si="985">K7312*$K$7278</f>
        <v>0</v>
      </c>
      <c r="M7312" s="1302">
        <v>18.28</v>
      </c>
      <c r="N7312" s="1718">
        <f>G7312*M7312</f>
        <v>18.28</v>
      </c>
      <c r="O7312" s="1290">
        <f>H7312*M7312</f>
        <v>0.76776000000000011</v>
      </c>
      <c r="P7312" s="1720">
        <f>M7312*K7312</f>
        <v>0.23647008000000003</v>
      </c>
      <c r="Q7312" s="3396"/>
      <c r="R7312" s="2337"/>
      <c r="S7312" s="16"/>
    </row>
    <row r="7313" spans="1:19" s="22" customFormat="1">
      <c r="A7313"/>
      <c r="B7313" s="1042"/>
      <c r="C7313" s="19"/>
      <c r="D7313" s="1430" t="s">
        <v>1165</v>
      </c>
      <c r="E7313" s="1857" t="s">
        <v>1508</v>
      </c>
      <c r="F7313" s="1394" t="s">
        <v>114</v>
      </c>
      <c r="G7313" s="2183">
        <v>1</v>
      </c>
      <c r="H7313" s="1395">
        <f>G7313*H7311</f>
        <v>4.2000000000000003E-2</v>
      </c>
      <c r="I7313" s="197"/>
      <c r="J7313" s="198"/>
      <c r="K7313" s="1307">
        <f>H7313*K7302</f>
        <v>1.2936000000000001E-2</v>
      </c>
      <c r="L7313" s="1335">
        <f t="shared" si="985"/>
        <v>0</v>
      </c>
      <c r="M7313" s="1302">
        <v>18.739999999999998</v>
      </c>
      <c r="N7313" s="1718">
        <f>G7313*M7313</f>
        <v>18.739999999999998</v>
      </c>
      <c r="O7313" s="1290">
        <f>H7313*M7313</f>
        <v>0.78708</v>
      </c>
      <c r="P7313" s="1720">
        <f>M7313*K7313</f>
        <v>0.24242063999999999</v>
      </c>
      <c r="Q7313" s="3396"/>
      <c r="R7313" s="2337"/>
      <c r="S7313" s="16"/>
    </row>
    <row r="7314" spans="1:19" s="22" customFormat="1">
      <c r="A7314" s="16"/>
      <c r="B7314" s="1599"/>
      <c r="C7314" s="1320"/>
      <c r="D7314" s="1430"/>
      <c r="E7314" s="1857"/>
      <c r="F7314" s="1430"/>
      <c r="G7314" s="1822"/>
      <c r="H7314" s="1359"/>
      <c r="I7314" s="1299"/>
      <c r="J7314" s="1300"/>
      <c r="K7314" s="1307"/>
      <c r="L7314" s="1335"/>
      <c r="M7314" s="1302"/>
      <c r="N7314" s="1700"/>
      <c r="O7314" s="1290"/>
      <c r="P7314" s="1332"/>
      <c r="Q7314" s="3391"/>
      <c r="R7314" s="2339"/>
      <c r="S7314" s="16"/>
    </row>
    <row r="7315" spans="1:19" s="22" customFormat="1">
      <c r="A7315"/>
      <c r="B7315" s="1320"/>
      <c r="C7315" s="16"/>
      <c r="D7315" s="1359"/>
      <c r="E7315" s="1858"/>
      <c r="F7315" s="1474"/>
      <c r="G7315" s="1474"/>
      <c r="H7315" s="1466"/>
      <c r="I7315" s="1289"/>
      <c r="J7315" s="8"/>
      <c r="K7315" s="1307"/>
      <c r="L7315" s="1335"/>
      <c r="M7315" s="1302"/>
      <c r="N7315" s="1700"/>
      <c r="O7315" s="1290"/>
      <c r="P7315" s="1332"/>
      <c r="Q7315" s="3391"/>
      <c r="R7315" s="1296"/>
      <c r="S7315" s="16"/>
    </row>
    <row r="7316" spans="1:19" s="22" customFormat="1">
      <c r="A7316" s="1320"/>
      <c r="B7316" s="1599"/>
      <c r="C7316" s="1320"/>
      <c r="D7316" s="1373"/>
      <c r="E7316" s="2123"/>
      <c r="F7316" s="1374" t="s">
        <v>3</v>
      </c>
      <c r="G7316" s="1375"/>
      <c r="H7316" s="1376"/>
      <c r="I7316" s="1382"/>
      <c r="J7316" s="1383"/>
      <c r="K7316" s="1383"/>
      <c r="L7316" s="1413"/>
      <c r="M7316" s="1376"/>
      <c r="N7316" s="1376"/>
      <c r="O7316" s="1376"/>
      <c r="P7316" s="1373"/>
      <c r="Q7316" s="3387"/>
      <c r="R7316" s="2339"/>
      <c r="S7316" s="16"/>
    </row>
    <row r="7317" spans="1:19" s="22" customFormat="1">
      <c r="A7317" s="1321"/>
      <c r="B7317" s="2053"/>
      <c r="C7317" s="1321"/>
      <c r="D7317" s="1827"/>
      <c r="E7317" s="2173"/>
      <c r="F7317" s="1827"/>
      <c r="G7317" s="1828"/>
      <c r="H7317" s="1379"/>
      <c r="I7317" s="1299"/>
      <c r="J7317" s="1300"/>
      <c r="K7317" s="1307"/>
      <c r="L7317" s="1335"/>
      <c r="M7317" s="1302"/>
      <c r="N7317" s="1700"/>
      <c r="O7317" s="1290"/>
      <c r="P7317" s="1332"/>
      <c r="Q7317" s="3391"/>
      <c r="R7317" s="2339"/>
      <c r="S7317" s="16"/>
    </row>
    <row r="7318" spans="1:19" s="22" customFormat="1">
      <c r="A7318" s="1321"/>
      <c r="B7318" s="2053"/>
      <c r="C7318" s="1321"/>
      <c r="D7318" s="1377"/>
      <c r="E7318" s="2124"/>
      <c r="F7318" s="1378"/>
      <c r="G7318" s="1378"/>
      <c r="H7318" s="1379"/>
      <c r="I7318" s="1299"/>
      <c r="J7318" s="1300"/>
      <c r="K7318" s="1307"/>
      <c r="L7318" s="1335"/>
      <c r="M7318" s="1302"/>
      <c r="N7318" s="1700"/>
      <c r="O7318" s="1290"/>
      <c r="P7318" s="1333"/>
      <c r="Q7318" s="3391"/>
      <c r="R7318" s="2339"/>
      <c r="S7318" s="16"/>
    </row>
    <row r="7319" spans="1:19" s="22" customFormat="1">
      <c r="A7319" s="1042"/>
      <c r="B7319" s="1765"/>
      <c r="C7319" s="223"/>
      <c r="D7319" s="1373"/>
      <c r="E7319" s="2161"/>
      <c r="F7319" s="1678"/>
      <c r="G7319" s="1678"/>
      <c r="H7319" s="1376"/>
      <c r="I7319" s="1299"/>
      <c r="J7319" s="1300"/>
      <c r="K7319" s="1307"/>
      <c r="L7319" s="1335"/>
      <c r="M7319" s="1302"/>
      <c r="N7319" s="1700"/>
      <c r="O7319" s="1290"/>
      <c r="P7319" s="1332"/>
      <c r="Q7319" s="3391"/>
      <c r="R7319" s="2339"/>
      <c r="S7319" s="16"/>
    </row>
    <row r="7320" spans="1:19" s="22" customFormat="1">
      <c r="A7320" s="18" t="s">
        <v>3764</v>
      </c>
      <c r="B7320" s="4325" t="s">
        <v>2340</v>
      </c>
      <c r="C7320" s="3350"/>
      <c r="D7320" s="4327"/>
      <c r="E7320" s="4329" t="s">
        <v>1527</v>
      </c>
      <c r="F7320" s="4336" t="s">
        <v>2341</v>
      </c>
      <c r="G7320" s="4331" t="s">
        <v>1568</v>
      </c>
      <c r="H7320" s="4331" t="s">
        <v>1574</v>
      </c>
      <c r="I7320" s="1572" t="s">
        <v>1559</v>
      </c>
      <c r="J7320" s="1294" t="s">
        <v>1560</v>
      </c>
      <c r="K7320" s="1294" t="s">
        <v>1569</v>
      </c>
      <c r="L7320" s="4333" t="s">
        <v>3765</v>
      </c>
      <c r="M7320" s="4335" t="s">
        <v>1571</v>
      </c>
      <c r="N7320" s="4323" t="s">
        <v>1776</v>
      </c>
      <c r="O7320" s="3347" t="s">
        <v>1563</v>
      </c>
      <c r="P7320" s="1336" t="s">
        <v>1562</v>
      </c>
      <c r="Q7320" s="3389"/>
      <c r="R7320" s="1699" t="s">
        <v>1327</v>
      </c>
    </row>
    <row r="7321" spans="1:19" s="22" customFormat="1">
      <c r="A7321" s="1662" t="s">
        <v>2333</v>
      </c>
      <c r="B7321" s="4326"/>
      <c r="C7321" s="3351"/>
      <c r="D7321" s="4328"/>
      <c r="E7321" s="4330"/>
      <c r="F7321" s="4336"/>
      <c r="G7321" s="4332"/>
      <c r="H7321" s="4332"/>
      <c r="I7321" s="1345">
        <v>32</v>
      </c>
      <c r="J7321" s="1307">
        <v>1.0999999999999999E-2</v>
      </c>
      <c r="K7321" s="1666">
        <f>I7321*J7321</f>
        <v>0.35199999999999998</v>
      </c>
      <c r="L7321" s="4334"/>
      <c r="M7321" s="4335"/>
      <c r="N7321" s="4324"/>
      <c r="O7321" s="1298">
        <f>SUM(O7323:O7330)</f>
        <v>10.766039999999998</v>
      </c>
      <c r="P7321" s="1337">
        <f>O7321*K7321</f>
        <v>3.7896460799999994</v>
      </c>
      <c r="Q7321" s="3390"/>
      <c r="R7321" s="1721">
        <f>SUM(P7323:P7330)</f>
        <v>3.7896460799999998</v>
      </c>
    </row>
    <row r="7322" spans="1:19" s="22" customFormat="1">
      <c r="A7322" s="1320"/>
      <c r="B7322" s="1949"/>
      <c r="C7322" s="1327"/>
      <c r="D7322" s="1367"/>
      <c r="E7322" s="2121"/>
      <c r="F7322" s="1389" t="s">
        <v>1</v>
      </c>
      <c r="G7322" s="1389"/>
      <c r="H7322" s="1369"/>
      <c r="I7322" s="2088"/>
      <c r="J7322" s="1369"/>
      <c r="K7322" s="1391"/>
      <c r="L7322" s="1559"/>
      <c r="M7322" s="1369"/>
      <c r="N7322" s="1369"/>
      <c r="O7322" s="1369"/>
      <c r="P7322" s="1392"/>
      <c r="Q7322" s="3395"/>
      <c r="R7322" s="2339"/>
    </row>
    <row r="7323" spans="1:19" s="22" customFormat="1">
      <c r="A7323" s="1320"/>
      <c r="B7323" s="1599"/>
      <c r="C7323" s="1320"/>
      <c r="D7323" s="1598" t="s">
        <v>2336</v>
      </c>
      <c r="E7323" s="2154" t="s">
        <v>1527</v>
      </c>
      <c r="F7323" s="1598" t="s">
        <v>2337</v>
      </c>
      <c r="G7323" s="1612">
        <v>1.01</v>
      </c>
      <c r="H7323" s="1369"/>
      <c r="I7323" s="1299"/>
      <c r="J7323" s="1300"/>
      <c r="K7323" s="1307">
        <f>K7321*G7323</f>
        <v>0.35552</v>
      </c>
      <c r="L7323" s="1335">
        <f t="shared" ref="L7323:L7326" si="986">K7323*$K$7278</f>
        <v>0</v>
      </c>
      <c r="M7323" s="1302">
        <v>0.8</v>
      </c>
      <c r="N7323" s="1700"/>
      <c r="O7323" s="1290">
        <f>G7323*M7323</f>
        <v>0.80800000000000005</v>
      </c>
      <c r="P7323" s="1332">
        <f>M7323*K7323</f>
        <v>0.284416</v>
      </c>
      <c r="Q7323" s="3391"/>
      <c r="R7323" s="2339"/>
    </row>
    <row r="7324" spans="1:19" s="22" customFormat="1">
      <c r="A7324" s="1042"/>
      <c r="B7324" s="1599"/>
      <c r="C7324" s="1042"/>
      <c r="D7324" s="1598" t="s">
        <v>2342</v>
      </c>
      <c r="E7324" s="2154" t="s">
        <v>1527</v>
      </c>
      <c r="F7324" s="1598" t="s">
        <v>2343</v>
      </c>
      <c r="G7324" s="1612">
        <v>1.01</v>
      </c>
      <c r="H7324" s="1674"/>
      <c r="I7324" s="1299"/>
      <c r="J7324" s="1300"/>
      <c r="K7324" s="1307">
        <f>K7321*G7324</f>
        <v>0.35552</v>
      </c>
      <c r="L7324" s="1335">
        <f t="shared" si="986"/>
        <v>0</v>
      </c>
      <c r="M7324" s="1302">
        <v>5.0599999999999996</v>
      </c>
      <c r="N7324" s="1700"/>
      <c r="O7324" s="1290">
        <f>G7324*M7324</f>
        <v>5.1105999999999998</v>
      </c>
      <c r="P7324" s="1332">
        <f>M7324*K7324</f>
        <v>1.7989312</v>
      </c>
      <c r="Q7324" s="3391"/>
      <c r="R7324" s="2339"/>
    </row>
    <row r="7325" spans="1:19" s="22" customFormat="1">
      <c r="A7325" s="1042"/>
      <c r="B7325" s="1599"/>
      <c r="C7325" s="1042"/>
      <c r="D7325" s="1598" t="s">
        <v>1082</v>
      </c>
      <c r="E7325" s="2154" t="s">
        <v>1504</v>
      </c>
      <c r="F7325" s="1598" t="s">
        <v>1541</v>
      </c>
      <c r="G7325" s="1612">
        <v>0.9</v>
      </c>
      <c r="H7325" s="1674"/>
      <c r="I7325" s="1299"/>
      <c r="J7325" s="1300"/>
      <c r="K7325" s="1307">
        <f>K7321*G7325</f>
        <v>0.31679999999999997</v>
      </c>
      <c r="L7325" s="1335">
        <f t="shared" si="986"/>
        <v>0</v>
      </c>
      <c r="M7325" s="1302">
        <v>0.3</v>
      </c>
      <c r="N7325" s="1700"/>
      <c r="O7325" s="1290">
        <f>G7325*M7325</f>
        <v>0.27</v>
      </c>
      <c r="P7325" s="1332">
        <f>M7325*K7325</f>
        <v>9.5039999999999986E-2</v>
      </c>
      <c r="Q7325" s="3391"/>
      <c r="R7325" s="2339"/>
    </row>
    <row r="7326" spans="1:19" s="22" customFormat="1">
      <c r="A7326" s="1042"/>
      <c r="B7326" s="1599"/>
      <c r="C7326" s="1042"/>
      <c r="D7326" s="1598" t="s">
        <v>1097</v>
      </c>
      <c r="E7326" s="2154" t="s">
        <v>1504</v>
      </c>
      <c r="F7326" s="1598" t="s">
        <v>1632</v>
      </c>
      <c r="G7326" s="1612">
        <v>1.3</v>
      </c>
      <c r="H7326" s="1674"/>
      <c r="I7326" s="1299"/>
      <c r="J7326" s="1300"/>
      <c r="K7326" s="1307">
        <f>K7321*G7326</f>
        <v>0.45760000000000001</v>
      </c>
      <c r="L7326" s="1335">
        <f t="shared" si="986"/>
        <v>0</v>
      </c>
      <c r="M7326" s="1302">
        <v>0.55000000000000004</v>
      </c>
      <c r="N7326" s="1700"/>
      <c r="O7326" s="1290">
        <f>G7326*M7326</f>
        <v>0.71500000000000008</v>
      </c>
      <c r="P7326" s="1332">
        <f>M7326*K7326</f>
        <v>0.25168000000000001</v>
      </c>
      <c r="Q7326" s="3391"/>
      <c r="R7326" s="2339"/>
    </row>
    <row r="7327" spans="1:19" s="22" customFormat="1">
      <c r="A7327" s="1042"/>
      <c r="B7327" s="1599"/>
      <c r="C7327" s="1042"/>
      <c r="D7327" s="1367"/>
      <c r="E7327" s="2121"/>
      <c r="F7327" s="1436"/>
      <c r="G7327" s="1436"/>
      <c r="H7327" s="1369"/>
      <c r="I7327" s="1299" t="str">
        <f t="shared" ref="I7327" ca="1" si="987">IF(COUNT(H7327:O7327)=0,"",(SUM(H7327:O7327)/COUNT(H7327:O7327)))</f>
        <v/>
      </c>
      <c r="J7327" s="1300"/>
      <c r="K7327" s="1307"/>
      <c r="L7327" s="1335"/>
      <c r="M7327" s="1302"/>
      <c r="N7327" s="1700"/>
      <c r="O7327" s="1290"/>
      <c r="P7327" s="1332"/>
      <c r="Q7327" s="3391"/>
      <c r="R7327" s="2339"/>
    </row>
    <row r="7328" spans="1:19" s="22" customFormat="1">
      <c r="A7328" s="1042"/>
      <c r="B7328" s="1599"/>
      <c r="C7328" s="1042"/>
      <c r="D7328" s="1359"/>
      <c r="E7328" s="1858"/>
      <c r="F7328" s="1360" t="s">
        <v>2</v>
      </c>
      <c r="G7328" s="1360"/>
      <c r="H7328" s="1362"/>
      <c r="I7328" s="1380"/>
      <c r="J7328" s="1381"/>
      <c r="K7328" s="1381"/>
      <c r="L7328" s="1458"/>
      <c r="M7328" s="1362"/>
      <c r="N7328" s="1362"/>
      <c r="O7328" s="1362"/>
      <c r="P7328" s="1359"/>
      <c r="Q7328" s="3387"/>
      <c r="R7328" s="2339"/>
    </row>
    <row r="7329" spans="1:18" s="22" customFormat="1">
      <c r="A7329" s="1321"/>
      <c r="B7329" s="2053"/>
      <c r="C7329" s="1321"/>
      <c r="D7329" s="1655" t="s">
        <v>1099</v>
      </c>
      <c r="E7329" s="1859" t="s">
        <v>1508</v>
      </c>
      <c r="F7329" s="1655" t="s">
        <v>1633</v>
      </c>
      <c r="G7329" s="1625">
        <v>0.12</v>
      </c>
      <c r="H7329" s="1386"/>
      <c r="I7329" s="1299"/>
      <c r="J7329" s="1300"/>
      <c r="K7329" s="1307">
        <f>G7329*K7321</f>
        <v>4.2239999999999993E-2</v>
      </c>
      <c r="L7329" s="1335">
        <f t="shared" ref="L7329" si="988">K7329*$K$7278</f>
        <v>0</v>
      </c>
      <c r="M7329" s="1302">
        <v>19.23</v>
      </c>
      <c r="N7329" s="1700"/>
      <c r="O7329" s="1290">
        <f>G7329*M7329</f>
        <v>2.3075999999999999</v>
      </c>
      <c r="P7329" s="1332">
        <f>M7329*K7329</f>
        <v>0.81227519999999986</v>
      </c>
      <c r="Q7329" s="3391"/>
      <c r="R7329" s="2339"/>
    </row>
    <row r="7330" spans="1:18" s="22" customFormat="1">
      <c r="A7330"/>
      <c r="B7330" s="1042"/>
      <c r="C7330" s="2086" t="s">
        <v>2282</v>
      </c>
      <c r="D7330" s="1311"/>
      <c r="E7330" s="2176" t="s">
        <v>1508</v>
      </c>
      <c r="F7330" s="1648" t="s">
        <v>2283</v>
      </c>
      <c r="G7330" s="1990"/>
      <c r="H7330" s="1338">
        <v>4.2000000000000003E-2</v>
      </c>
      <c r="I7330" s="1444"/>
      <c r="J7330" s="1388"/>
      <c r="K7330" s="1445"/>
      <c r="L7330" s="1457"/>
      <c r="M7330" s="1447"/>
      <c r="N7330" s="1447">
        <f>SUM(N7331:N7332)</f>
        <v>37.019999999999996</v>
      </c>
      <c r="O7330" s="1447">
        <f>SUM(O7331:O7332)</f>
        <v>1.55484</v>
      </c>
      <c r="P7330" s="1447">
        <f>SUM(P7331:P7332)</f>
        <v>0.54730367999999996</v>
      </c>
      <c r="Q7330" s="3391"/>
      <c r="R7330" s="2337"/>
    </row>
    <row r="7331" spans="1:18" s="22" customFormat="1">
      <c r="A7331"/>
      <c r="B7331" s="1042"/>
      <c r="C7331" s="19"/>
      <c r="D7331" s="1430" t="s">
        <v>1067</v>
      </c>
      <c r="E7331" s="1857" t="s">
        <v>1508</v>
      </c>
      <c r="F7331" s="1403" t="s">
        <v>5</v>
      </c>
      <c r="G7331" s="1991">
        <v>1</v>
      </c>
      <c r="H7331" s="1408">
        <f>G7331*H7330</f>
        <v>4.2000000000000003E-2</v>
      </c>
      <c r="I7331" s="1286"/>
      <c r="J7331" s="198"/>
      <c r="K7331" s="1307">
        <f>H7331*K7321</f>
        <v>1.4784E-2</v>
      </c>
      <c r="L7331" s="1335">
        <f t="shared" ref="L7331:L7332" si="989">K7331*$K$7278</f>
        <v>0</v>
      </c>
      <c r="M7331" s="1302">
        <v>18.28</v>
      </c>
      <c r="N7331" s="1718">
        <f>G7331*M7331</f>
        <v>18.28</v>
      </c>
      <c r="O7331" s="1290">
        <f>H7331*M7331</f>
        <v>0.76776000000000011</v>
      </c>
      <c r="P7331" s="1720">
        <f>M7331*K7331</f>
        <v>0.27025152000000002</v>
      </c>
      <c r="Q7331" s="3396"/>
      <c r="R7331" s="2337"/>
    </row>
    <row r="7332" spans="1:18" s="22" customFormat="1">
      <c r="A7332"/>
      <c r="B7332" s="1042"/>
      <c r="C7332" s="19"/>
      <c r="D7332" s="1430" t="s">
        <v>1165</v>
      </c>
      <c r="E7332" s="1857" t="s">
        <v>1508</v>
      </c>
      <c r="F7332" s="1394" t="s">
        <v>114</v>
      </c>
      <c r="G7332" s="2183">
        <v>1</v>
      </c>
      <c r="H7332" s="1395">
        <f>G7332*H7330</f>
        <v>4.2000000000000003E-2</v>
      </c>
      <c r="I7332" s="197"/>
      <c r="J7332" s="198"/>
      <c r="K7332" s="1307">
        <f>H7332*K7321</f>
        <v>1.4784E-2</v>
      </c>
      <c r="L7332" s="1335">
        <f t="shared" si="989"/>
        <v>0</v>
      </c>
      <c r="M7332" s="1302">
        <v>18.739999999999998</v>
      </c>
      <c r="N7332" s="1718">
        <f>G7332*M7332</f>
        <v>18.739999999999998</v>
      </c>
      <c r="O7332" s="1290">
        <f>H7332*M7332</f>
        <v>0.78708</v>
      </c>
      <c r="P7332" s="1720">
        <f>M7332*K7332</f>
        <v>0.27705215999999999</v>
      </c>
      <c r="Q7332" s="3396"/>
      <c r="R7332" s="2337"/>
    </row>
    <row r="7333" spans="1:18" s="22" customFormat="1">
      <c r="A7333" s="16"/>
      <c r="B7333" s="1599"/>
      <c r="C7333" s="1320"/>
      <c r="D7333" s="1430"/>
      <c r="E7333" s="1857"/>
      <c r="F7333" s="1430"/>
      <c r="G7333" s="1822"/>
      <c r="H7333" s="1359"/>
      <c r="I7333" s="1299"/>
      <c r="J7333" s="1300"/>
      <c r="K7333" s="1307"/>
      <c r="L7333" s="1335"/>
      <c r="M7333" s="1302"/>
      <c r="N7333" s="1700"/>
      <c r="O7333" s="1290"/>
      <c r="P7333" s="1332"/>
      <c r="Q7333" s="3391"/>
      <c r="R7333" s="2339"/>
    </row>
    <row r="7334" spans="1:18" s="22" customFormat="1">
      <c r="A7334"/>
      <c r="B7334" s="1320"/>
      <c r="C7334" s="16"/>
      <c r="D7334" s="1359"/>
      <c r="E7334" s="1858"/>
      <c r="F7334" s="1474"/>
      <c r="G7334" s="1474"/>
      <c r="H7334" s="1466"/>
      <c r="I7334" s="1289"/>
      <c r="J7334" s="8"/>
      <c r="K7334" s="1307"/>
      <c r="L7334" s="1335"/>
      <c r="M7334" s="1302"/>
      <c r="N7334" s="1700"/>
      <c r="O7334" s="1290"/>
      <c r="P7334" s="1332"/>
      <c r="Q7334" s="3391"/>
      <c r="R7334" s="1296"/>
    </row>
    <row r="7335" spans="1:18" s="22" customFormat="1">
      <c r="A7335" s="1320"/>
      <c r="B7335" s="1599"/>
      <c r="C7335" s="1320"/>
      <c r="D7335" s="1373"/>
      <c r="E7335" s="2123"/>
      <c r="F7335" s="1374" t="s">
        <v>3</v>
      </c>
      <c r="G7335" s="1375"/>
      <c r="H7335" s="1376"/>
      <c r="I7335" s="1382"/>
      <c r="J7335" s="1383"/>
      <c r="K7335" s="1383"/>
      <c r="L7335" s="1413"/>
      <c r="M7335" s="1376"/>
      <c r="N7335" s="1376"/>
      <c r="O7335" s="1376"/>
      <c r="P7335" s="1373"/>
      <c r="Q7335" s="3387"/>
      <c r="R7335" s="2339"/>
    </row>
    <row r="7336" spans="1:18" s="22" customFormat="1">
      <c r="A7336" s="1321"/>
      <c r="B7336" s="2053"/>
      <c r="C7336" s="1321"/>
      <c r="D7336" s="1827"/>
      <c r="E7336" s="2173"/>
      <c r="F7336" s="1827"/>
      <c r="G7336" s="1828"/>
      <c r="H7336" s="1379"/>
      <c r="I7336" s="1299"/>
      <c r="J7336" s="1300"/>
      <c r="K7336" s="1307"/>
      <c r="L7336" s="1335"/>
      <c r="M7336" s="1302"/>
      <c r="N7336" s="1700"/>
      <c r="O7336" s="1290"/>
      <c r="P7336" s="1332"/>
      <c r="Q7336" s="3391"/>
      <c r="R7336" s="2339"/>
    </row>
    <row r="7337" spans="1:18" s="22" customFormat="1">
      <c r="A7337" s="1321"/>
      <c r="B7337" s="2053"/>
      <c r="C7337" s="1321"/>
      <c r="D7337" s="1377"/>
      <c r="E7337" s="2124"/>
      <c r="F7337" s="1378"/>
      <c r="G7337" s="1378"/>
      <c r="H7337" s="1379"/>
      <c r="I7337" s="1299"/>
      <c r="J7337" s="1300"/>
      <c r="K7337" s="1307"/>
      <c r="L7337" s="1335"/>
      <c r="M7337" s="1302"/>
      <c r="N7337" s="1700"/>
      <c r="O7337" s="1290"/>
      <c r="P7337" s="1333"/>
      <c r="Q7337" s="3391"/>
      <c r="R7337" s="2339"/>
    </row>
    <row r="7338" spans="1:18" s="22" customFormat="1">
      <c r="A7338" s="1042"/>
      <c r="B7338" s="1765"/>
      <c r="C7338" s="223"/>
      <c r="D7338" s="1373"/>
      <c r="E7338" s="2161"/>
      <c r="F7338" s="1678"/>
      <c r="G7338" s="1678"/>
      <c r="H7338" s="1376"/>
      <c r="I7338" s="1299"/>
      <c r="J7338" s="1300"/>
      <c r="K7338" s="1307"/>
      <c r="L7338" s="1335"/>
      <c r="M7338" s="1302"/>
      <c r="N7338" s="1700"/>
      <c r="O7338" s="1290"/>
      <c r="P7338" s="1332"/>
      <c r="Q7338" s="3391"/>
      <c r="R7338" s="2339"/>
    </row>
    <row r="7339" spans="1:18" s="22" customFormat="1" ht="15" customHeight="1">
      <c r="A7339" s="18" t="s">
        <v>3764</v>
      </c>
      <c r="B7339" s="4325" t="s">
        <v>2344</v>
      </c>
      <c r="C7339" s="3350"/>
      <c r="D7339" s="4327"/>
      <c r="E7339" s="4329" t="s">
        <v>1527</v>
      </c>
      <c r="F7339" s="4336" t="s">
        <v>2345</v>
      </c>
      <c r="G7339" s="4331" t="s">
        <v>1568</v>
      </c>
      <c r="H7339" s="4331" t="s">
        <v>1574</v>
      </c>
      <c r="I7339" s="1572" t="s">
        <v>1559</v>
      </c>
      <c r="J7339" s="1294" t="s">
        <v>1560</v>
      </c>
      <c r="K7339" s="1294" t="s">
        <v>1569</v>
      </c>
      <c r="L7339" s="4333" t="s">
        <v>3765</v>
      </c>
      <c r="M7339" s="4335" t="s">
        <v>1571</v>
      </c>
      <c r="N7339" s="4323" t="s">
        <v>1776</v>
      </c>
      <c r="O7339" s="3347" t="s">
        <v>1563</v>
      </c>
      <c r="P7339" s="1336" t="s">
        <v>1562</v>
      </c>
      <c r="Q7339" s="3389"/>
      <c r="R7339" s="1699" t="s">
        <v>1327</v>
      </c>
    </row>
    <row r="7340" spans="1:18" s="22" customFormat="1">
      <c r="A7340" s="1662" t="s">
        <v>2333</v>
      </c>
      <c r="B7340" s="4326"/>
      <c r="C7340" s="3351"/>
      <c r="D7340" s="4328"/>
      <c r="E7340" s="4330"/>
      <c r="F7340" s="4336"/>
      <c r="G7340" s="4332"/>
      <c r="H7340" s="4332"/>
      <c r="I7340" s="1345">
        <v>32</v>
      </c>
      <c r="J7340" s="1307">
        <v>1.0999999999999999E-2</v>
      </c>
      <c r="K7340" s="1666">
        <f>I7340*J7340</f>
        <v>0.35199999999999998</v>
      </c>
      <c r="L7340" s="4334"/>
      <c r="M7340" s="4335"/>
      <c r="N7340" s="4324"/>
      <c r="O7340" s="1298">
        <f>SUM(O7342:O7349)</f>
        <v>12.79734</v>
      </c>
      <c r="P7340" s="1337">
        <f>O7340*K7340</f>
        <v>4.5046636800000002</v>
      </c>
      <c r="Q7340" s="3390"/>
      <c r="R7340" s="1721">
        <f>SUM(P7342:P7349)</f>
        <v>4.5046636800000002</v>
      </c>
    </row>
    <row r="7341" spans="1:18" s="22" customFormat="1">
      <c r="A7341" s="1320"/>
      <c r="B7341" s="1949"/>
      <c r="C7341" s="1327"/>
      <c r="D7341" s="1367"/>
      <c r="E7341" s="2121"/>
      <c r="F7341" s="1389" t="s">
        <v>1</v>
      </c>
      <c r="G7341" s="1389"/>
      <c r="H7341" s="1369"/>
      <c r="I7341" s="2088"/>
      <c r="J7341" s="1369"/>
      <c r="K7341" s="1391"/>
      <c r="L7341" s="1559"/>
      <c r="M7341" s="1369"/>
      <c r="N7341" s="1369"/>
      <c r="O7341" s="1369"/>
      <c r="P7341" s="1392"/>
      <c r="Q7341" s="3395"/>
      <c r="R7341" s="2339"/>
    </row>
    <row r="7342" spans="1:18" s="22" customFormat="1">
      <c r="A7342" s="1320"/>
      <c r="B7342" s="1599"/>
      <c r="C7342" s="1320"/>
      <c r="D7342" s="1598" t="s">
        <v>2336</v>
      </c>
      <c r="E7342" s="2154" t="s">
        <v>1527</v>
      </c>
      <c r="F7342" s="1598" t="s">
        <v>2337</v>
      </c>
      <c r="G7342" s="1612">
        <v>1.01</v>
      </c>
      <c r="H7342" s="1369"/>
      <c r="I7342" s="1299"/>
      <c r="J7342" s="1300"/>
      <c r="K7342" s="1307">
        <f>K7340*G7342</f>
        <v>0.35552</v>
      </c>
      <c r="L7342" s="1335">
        <f t="shared" ref="L7342:L7345" si="990">K7342*$K$7278</f>
        <v>0</v>
      </c>
      <c r="M7342" s="1302">
        <v>0.8</v>
      </c>
      <c r="N7342" s="1700"/>
      <c r="O7342" s="1290">
        <f>G7342*M7342</f>
        <v>0.80800000000000005</v>
      </c>
      <c r="P7342" s="1332">
        <f>M7342*K7342</f>
        <v>0.284416</v>
      </c>
      <c r="Q7342" s="3391"/>
      <c r="R7342" s="2339"/>
    </row>
    <row r="7343" spans="1:18" s="22" customFormat="1">
      <c r="A7343" s="1042"/>
      <c r="B7343" s="1599"/>
      <c r="C7343" s="1042"/>
      <c r="D7343" s="1598" t="s">
        <v>2346</v>
      </c>
      <c r="E7343" s="2154" t="s">
        <v>1527</v>
      </c>
      <c r="F7343" s="1598" t="s">
        <v>2347</v>
      </c>
      <c r="G7343" s="1612">
        <v>1.01</v>
      </c>
      <c r="H7343" s="1674"/>
      <c r="I7343" s="1299"/>
      <c r="J7343" s="1300"/>
      <c r="K7343" s="1307">
        <f>K7340*G7343</f>
        <v>0.35552</v>
      </c>
      <c r="L7343" s="1335">
        <f t="shared" si="990"/>
        <v>0</v>
      </c>
      <c r="M7343" s="1302">
        <v>6.5</v>
      </c>
      <c r="N7343" s="1700"/>
      <c r="O7343" s="1290">
        <f>G7343*M7343</f>
        <v>6.5650000000000004</v>
      </c>
      <c r="P7343" s="1332">
        <f>M7343*K7343</f>
        <v>2.31088</v>
      </c>
      <c r="Q7343" s="3391"/>
      <c r="R7343" s="2339"/>
    </row>
    <row r="7344" spans="1:18" s="22" customFormat="1">
      <c r="A7344" s="1042"/>
      <c r="B7344" s="1599"/>
      <c r="C7344" s="1042"/>
      <c r="D7344" s="1598" t="s">
        <v>1082</v>
      </c>
      <c r="E7344" s="2154" t="s">
        <v>1504</v>
      </c>
      <c r="F7344" s="1598" t="s">
        <v>1541</v>
      </c>
      <c r="G7344" s="1612">
        <v>0.9</v>
      </c>
      <c r="H7344" s="1674"/>
      <c r="I7344" s="1299"/>
      <c r="J7344" s="1300"/>
      <c r="K7344" s="1307">
        <f>K7340*G7344</f>
        <v>0.31679999999999997</v>
      </c>
      <c r="L7344" s="1335">
        <f t="shared" si="990"/>
        <v>0</v>
      </c>
      <c r="M7344" s="1302">
        <v>0.3</v>
      </c>
      <c r="N7344" s="1700"/>
      <c r="O7344" s="1290">
        <f>G7344*M7344</f>
        <v>0.27</v>
      </c>
      <c r="P7344" s="1332">
        <f>M7344*K7344</f>
        <v>9.5039999999999986E-2</v>
      </c>
      <c r="Q7344" s="3391"/>
      <c r="R7344" s="2339"/>
    </row>
    <row r="7345" spans="1:18" s="22" customFormat="1">
      <c r="A7345" s="1042"/>
      <c r="B7345" s="1599"/>
      <c r="C7345" s="1042"/>
      <c r="D7345" s="1598" t="s">
        <v>1097</v>
      </c>
      <c r="E7345" s="2154" t="s">
        <v>1504</v>
      </c>
      <c r="F7345" s="1598" t="s">
        <v>1632</v>
      </c>
      <c r="G7345" s="1612">
        <v>1.3</v>
      </c>
      <c r="H7345" s="1674"/>
      <c r="I7345" s="1299"/>
      <c r="J7345" s="1300"/>
      <c r="K7345" s="1307">
        <f>K7340*G7345</f>
        <v>0.45760000000000001</v>
      </c>
      <c r="L7345" s="1335">
        <f t="shared" si="990"/>
        <v>0</v>
      </c>
      <c r="M7345" s="1302">
        <v>0.55000000000000004</v>
      </c>
      <c r="N7345" s="1700"/>
      <c r="O7345" s="1290">
        <f>G7345*M7345</f>
        <v>0.71500000000000008</v>
      </c>
      <c r="P7345" s="1332">
        <f>M7345*K7345</f>
        <v>0.25168000000000001</v>
      </c>
      <c r="Q7345" s="3391"/>
      <c r="R7345" s="2339"/>
    </row>
    <row r="7346" spans="1:18" s="22" customFormat="1">
      <c r="A7346" s="1042"/>
      <c r="B7346" s="1599"/>
      <c r="C7346" s="1042"/>
      <c r="D7346" s="1367"/>
      <c r="E7346" s="2121"/>
      <c r="F7346" s="1436"/>
      <c r="G7346" s="1436"/>
      <c r="H7346" s="1369"/>
      <c r="I7346" s="1299" t="str">
        <f t="shared" ref="I7346" ca="1" si="991">IF(COUNT(H7346:O7346)=0,"",(SUM(H7346:O7346)/COUNT(H7346:O7346)))</f>
        <v/>
      </c>
      <c r="J7346" s="1300"/>
      <c r="K7346" s="1307"/>
      <c r="L7346" s="1335"/>
      <c r="M7346" s="1302"/>
      <c r="N7346" s="1700"/>
      <c r="O7346" s="1290"/>
      <c r="P7346" s="1332"/>
      <c r="Q7346" s="3391"/>
      <c r="R7346" s="2339"/>
    </row>
    <row r="7347" spans="1:18" s="22" customFormat="1">
      <c r="A7347" s="1042"/>
      <c r="B7347" s="1599"/>
      <c r="C7347" s="1042"/>
      <c r="D7347" s="1359"/>
      <c r="E7347" s="1858"/>
      <c r="F7347" s="1360" t="s">
        <v>2</v>
      </c>
      <c r="G7347" s="1360"/>
      <c r="H7347" s="1362"/>
      <c r="I7347" s="1380"/>
      <c r="J7347" s="1381"/>
      <c r="K7347" s="1381"/>
      <c r="L7347" s="1458"/>
      <c r="M7347" s="1362"/>
      <c r="N7347" s="1362"/>
      <c r="O7347" s="1362"/>
      <c r="P7347" s="1359"/>
      <c r="Q7347" s="3387"/>
      <c r="R7347" s="2339"/>
    </row>
    <row r="7348" spans="1:18" s="22" customFormat="1">
      <c r="A7348" s="1321"/>
      <c r="B7348" s="2053"/>
      <c r="C7348" s="1321"/>
      <c r="D7348" s="1655" t="s">
        <v>1099</v>
      </c>
      <c r="E7348" s="1859" t="s">
        <v>1508</v>
      </c>
      <c r="F7348" s="1655" t="s">
        <v>1633</v>
      </c>
      <c r="G7348" s="1625">
        <v>0.15</v>
      </c>
      <c r="H7348" s="1386"/>
      <c r="I7348" s="1299"/>
      <c r="J7348" s="1300"/>
      <c r="K7348" s="1307">
        <f>G7348*K7340</f>
        <v>5.2799999999999993E-2</v>
      </c>
      <c r="L7348" s="1335">
        <f t="shared" ref="L7348" si="992">K7348*$K$7278</f>
        <v>0</v>
      </c>
      <c r="M7348" s="1302">
        <v>19.23</v>
      </c>
      <c r="N7348" s="1700"/>
      <c r="O7348" s="1290">
        <f>G7348*M7348</f>
        <v>2.8845000000000001</v>
      </c>
      <c r="P7348" s="1332">
        <f>M7348*K7348</f>
        <v>1.0153439999999998</v>
      </c>
      <c r="Q7348" s="3391"/>
      <c r="R7348" s="2339"/>
    </row>
    <row r="7349" spans="1:18" s="22" customFormat="1">
      <c r="A7349"/>
      <c r="B7349" s="1042"/>
      <c r="C7349" s="2086" t="s">
        <v>2282</v>
      </c>
      <c r="D7349" s="1311"/>
      <c r="E7349" s="2176" t="s">
        <v>1508</v>
      </c>
      <c r="F7349" s="1648" t="s">
        <v>2283</v>
      </c>
      <c r="G7349" s="1990"/>
      <c r="H7349" s="1338">
        <v>4.2000000000000003E-2</v>
      </c>
      <c r="I7349" s="1444"/>
      <c r="J7349" s="1388"/>
      <c r="K7349" s="1445"/>
      <c r="L7349" s="1457"/>
      <c r="M7349" s="1447"/>
      <c r="N7349" s="1447">
        <f>SUM(N7350:N7351)</f>
        <v>37.019999999999996</v>
      </c>
      <c r="O7349" s="1447">
        <f>SUM(O7350:O7351)</f>
        <v>1.55484</v>
      </c>
      <c r="P7349" s="1447">
        <f>SUM(P7350:P7351)</f>
        <v>0.54730367999999996</v>
      </c>
      <c r="Q7349" s="3391"/>
      <c r="R7349" s="2337"/>
    </row>
    <row r="7350" spans="1:18" s="22" customFormat="1">
      <c r="A7350"/>
      <c r="B7350" s="1042"/>
      <c r="C7350" s="19"/>
      <c r="D7350" s="1430" t="s">
        <v>1067</v>
      </c>
      <c r="E7350" s="1857" t="s">
        <v>1508</v>
      </c>
      <c r="F7350" s="1403" t="s">
        <v>5</v>
      </c>
      <c r="G7350" s="1991">
        <v>1</v>
      </c>
      <c r="H7350" s="1408">
        <f>G7350*H7349</f>
        <v>4.2000000000000003E-2</v>
      </c>
      <c r="I7350" s="1286"/>
      <c r="J7350" s="198"/>
      <c r="K7350" s="1307">
        <f>H7350*K7340</f>
        <v>1.4784E-2</v>
      </c>
      <c r="L7350" s="1335">
        <f t="shared" ref="L7350:L7351" si="993">K7350*$K$7278</f>
        <v>0</v>
      </c>
      <c r="M7350" s="1302">
        <v>18.28</v>
      </c>
      <c r="N7350" s="1718">
        <f>G7350*M7350</f>
        <v>18.28</v>
      </c>
      <c r="O7350" s="1290">
        <f>H7350*M7350</f>
        <v>0.76776000000000011</v>
      </c>
      <c r="P7350" s="1720">
        <f>M7350*K7350</f>
        <v>0.27025152000000002</v>
      </c>
      <c r="Q7350" s="3396"/>
      <c r="R7350" s="2337"/>
    </row>
    <row r="7351" spans="1:18" s="22" customFormat="1">
      <c r="A7351"/>
      <c r="B7351" s="1042"/>
      <c r="C7351" s="19"/>
      <c r="D7351" s="1430" t="s">
        <v>1165</v>
      </c>
      <c r="E7351" s="1857" t="s">
        <v>1508</v>
      </c>
      <c r="F7351" s="1394" t="s">
        <v>114</v>
      </c>
      <c r="G7351" s="2183">
        <v>1</v>
      </c>
      <c r="H7351" s="1395">
        <f>G7351*H7349</f>
        <v>4.2000000000000003E-2</v>
      </c>
      <c r="I7351" s="197"/>
      <c r="J7351" s="198"/>
      <c r="K7351" s="1307">
        <f>H7351*K7340</f>
        <v>1.4784E-2</v>
      </c>
      <c r="L7351" s="1335">
        <f t="shared" si="993"/>
        <v>0</v>
      </c>
      <c r="M7351" s="1302">
        <v>18.739999999999998</v>
      </c>
      <c r="N7351" s="1718">
        <f>G7351*M7351</f>
        <v>18.739999999999998</v>
      </c>
      <c r="O7351" s="1290">
        <f>H7351*M7351</f>
        <v>0.78708</v>
      </c>
      <c r="P7351" s="1720">
        <f>M7351*K7351</f>
        <v>0.27705215999999999</v>
      </c>
      <c r="Q7351" s="3396"/>
      <c r="R7351" s="2337"/>
    </row>
    <row r="7352" spans="1:18" s="22" customFormat="1">
      <c r="A7352" s="16"/>
      <c r="B7352" s="1599"/>
      <c r="C7352" s="1320"/>
      <c r="D7352" s="1430"/>
      <c r="E7352" s="1857"/>
      <c r="F7352" s="1430"/>
      <c r="G7352" s="1822"/>
      <c r="H7352" s="1359"/>
      <c r="I7352" s="1299"/>
      <c r="J7352" s="1300"/>
      <c r="K7352" s="1307"/>
      <c r="L7352" s="1335"/>
      <c r="M7352" s="1302"/>
      <c r="N7352" s="1700"/>
      <c r="O7352" s="1290"/>
      <c r="P7352" s="1332"/>
      <c r="Q7352" s="3391"/>
      <c r="R7352" s="2339"/>
    </row>
    <row r="7353" spans="1:18" s="22" customFormat="1">
      <c r="A7353"/>
      <c r="B7353" s="1320"/>
      <c r="C7353" s="16"/>
      <c r="D7353" s="1359"/>
      <c r="E7353" s="1858"/>
      <c r="F7353" s="1474"/>
      <c r="G7353" s="1474"/>
      <c r="H7353" s="1466"/>
      <c r="I7353" s="1289"/>
      <c r="J7353" s="8"/>
      <c r="K7353" s="1307"/>
      <c r="L7353" s="1335"/>
      <c r="M7353" s="1302"/>
      <c r="N7353" s="1700"/>
      <c r="O7353" s="1290"/>
      <c r="P7353" s="1332"/>
      <c r="Q7353" s="3391"/>
      <c r="R7353" s="1296"/>
    </row>
    <row r="7354" spans="1:18" s="22" customFormat="1">
      <c r="A7354" s="1320"/>
      <c r="B7354" s="1599"/>
      <c r="C7354" s="1320"/>
      <c r="D7354" s="1373"/>
      <c r="E7354" s="2123"/>
      <c r="F7354" s="1374" t="s">
        <v>3</v>
      </c>
      <c r="G7354" s="1375"/>
      <c r="H7354" s="1376"/>
      <c r="I7354" s="1382"/>
      <c r="J7354" s="1383"/>
      <c r="K7354" s="1383"/>
      <c r="L7354" s="1413"/>
      <c r="M7354" s="1376"/>
      <c r="N7354" s="1376"/>
      <c r="O7354" s="1376"/>
      <c r="P7354" s="1373"/>
      <c r="Q7354" s="3387"/>
      <c r="R7354" s="2339"/>
    </row>
    <row r="7355" spans="1:18" s="22" customFormat="1">
      <c r="A7355" s="1321"/>
      <c r="B7355" s="2053"/>
      <c r="C7355" s="1321"/>
      <c r="D7355" s="1827"/>
      <c r="E7355" s="2173"/>
      <c r="F7355" s="1827"/>
      <c r="G7355" s="1828"/>
      <c r="H7355" s="1379"/>
      <c r="I7355" s="1299"/>
      <c r="J7355" s="1300"/>
      <c r="K7355" s="1307"/>
      <c r="L7355" s="1335"/>
      <c r="M7355" s="1302"/>
      <c r="N7355" s="1700"/>
      <c r="O7355" s="1290"/>
      <c r="P7355" s="1332"/>
      <c r="Q7355" s="3391"/>
      <c r="R7355" s="2339"/>
    </row>
    <row r="7356" spans="1:18" s="22" customFormat="1">
      <c r="A7356" s="1321"/>
      <c r="B7356" s="2053"/>
      <c r="C7356" s="1321"/>
      <c r="D7356" s="1377"/>
      <c r="E7356" s="2124"/>
      <c r="F7356" s="1378"/>
      <c r="G7356" s="1378"/>
      <c r="H7356" s="1379"/>
      <c r="I7356" s="1299"/>
      <c r="J7356" s="1300"/>
      <c r="K7356" s="1307"/>
      <c r="L7356" s="1335"/>
      <c r="M7356" s="1302"/>
      <c r="N7356" s="1700"/>
      <c r="O7356" s="1290"/>
      <c r="P7356" s="1333"/>
      <c r="Q7356" s="3391"/>
      <c r="R7356" s="2339"/>
    </row>
    <row r="7357" spans="1:18" s="22" customFormat="1">
      <c r="A7357" s="1042"/>
      <c r="B7357" s="1765"/>
      <c r="C7357" s="223"/>
      <c r="D7357" s="1373"/>
      <c r="E7357" s="2161"/>
      <c r="F7357" s="1678"/>
      <c r="G7357" s="1678"/>
      <c r="H7357" s="1376"/>
      <c r="I7357" s="1299"/>
      <c r="J7357" s="1300"/>
      <c r="K7357" s="1307"/>
      <c r="L7357" s="1335"/>
      <c r="M7357" s="1302"/>
      <c r="N7357" s="1700"/>
      <c r="O7357" s="1290"/>
      <c r="P7357" s="1332"/>
      <c r="Q7357" s="3391"/>
      <c r="R7357" s="2339"/>
    </row>
    <row r="7358" spans="1:18" s="22" customFormat="1" ht="15" customHeight="1">
      <c r="A7358" s="18" t="s">
        <v>3764</v>
      </c>
      <c r="B7358" s="4325" t="s">
        <v>2316</v>
      </c>
      <c r="C7358" s="3350"/>
      <c r="D7358" s="4327"/>
      <c r="E7358" s="4329" t="s">
        <v>1504</v>
      </c>
      <c r="F7358" s="4336" t="s">
        <v>2317</v>
      </c>
      <c r="G7358" s="4331" t="s">
        <v>1568</v>
      </c>
      <c r="H7358" s="4331" t="s">
        <v>1574</v>
      </c>
      <c r="I7358" s="1572" t="s">
        <v>1559</v>
      </c>
      <c r="J7358" s="1294" t="s">
        <v>1560</v>
      </c>
      <c r="K7358" s="1294" t="s">
        <v>1569</v>
      </c>
      <c r="L7358" s="4333" t="s">
        <v>3765</v>
      </c>
      <c r="M7358" s="4335" t="s">
        <v>1571</v>
      </c>
      <c r="N7358" s="4323" t="s">
        <v>1776</v>
      </c>
      <c r="O7358" s="3347" t="s">
        <v>1563</v>
      </c>
      <c r="P7358" s="1336" t="s">
        <v>1562</v>
      </c>
      <c r="Q7358" s="3389"/>
      <c r="R7358" s="1699" t="s">
        <v>1327</v>
      </c>
    </row>
    <row r="7359" spans="1:18" s="22" customFormat="1">
      <c r="A7359" s="1662" t="s">
        <v>2333</v>
      </c>
      <c r="B7359" s="4326"/>
      <c r="C7359" s="3351"/>
      <c r="D7359" s="4328"/>
      <c r="E7359" s="4330"/>
      <c r="F7359" s="4336"/>
      <c r="G7359" s="4332"/>
      <c r="H7359" s="4332"/>
      <c r="I7359" s="1345">
        <v>8</v>
      </c>
      <c r="J7359" s="1307">
        <v>1.0999999999999999E-2</v>
      </c>
      <c r="K7359" s="1666">
        <f>I7359*J7359</f>
        <v>8.7999999999999995E-2</v>
      </c>
      <c r="L7359" s="4334"/>
      <c r="M7359" s="4335"/>
      <c r="N7359" s="4324"/>
      <c r="O7359" s="1298">
        <f>SUM(O7361:O7366)</f>
        <v>8.557500000000001</v>
      </c>
      <c r="P7359" s="1337">
        <f>O7359*K7359</f>
        <v>0.75306000000000006</v>
      </c>
      <c r="Q7359" s="3390"/>
      <c r="R7359" s="1721">
        <f>SUM(P7361:P7366)</f>
        <v>0.75305999999999995</v>
      </c>
    </row>
    <row r="7360" spans="1:18" s="22" customFormat="1">
      <c r="A7360" s="1320"/>
      <c r="B7360" s="1949"/>
      <c r="C7360" s="1327"/>
      <c r="D7360" s="1367"/>
      <c r="E7360" s="2121"/>
      <c r="F7360" s="1389" t="s">
        <v>1</v>
      </c>
      <c r="G7360" s="1389"/>
      <c r="H7360" s="1369"/>
      <c r="I7360" s="2088"/>
      <c r="J7360" s="1369"/>
      <c r="K7360" s="1391"/>
      <c r="L7360" s="1559"/>
      <c r="M7360" s="1369"/>
      <c r="N7360" s="1369"/>
      <c r="O7360" s="1369"/>
      <c r="P7360" s="1392"/>
      <c r="Q7360" s="3395"/>
      <c r="R7360" s="2339"/>
    </row>
    <row r="7361" spans="1:18" s="22" customFormat="1">
      <c r="A7361" s="1320"/>
      <c r="B7361" s="1599"/>
      <c r="C7361" s="1320"/>
      <c r="D7361" s="1598" t="s">
        <v>2318</v>
      </c>
      <c r="E7361" s="2154" t="s">
        <v>1504</v>
      </c>
      <c r="F7361" s="1598" t="s">
        <v>2317</v>
      </c>
      <c r="G7361" s="1612">
        <v>1</v>
      </c>
      <c r="H7361" s="1367"/>
      <c r="I7361" s="1299"/>
      <c r="J7361" s="1300"/>
      <c r="K7361" s="1307">
        <f>K7359*G7361</f>
        <v>8.7999999999999995E-2</v>
      </c>
      <c r="L7361" s="1335">
        <f t="shared" ref="L7361:L7362" si="994">K7361*$K$7278</f>
        <v>0</v>
      </c>
      <c r="M7361" s="1302">
        <v>3.45</v>
      </c>
      <c r="N7361" s="1700"/>
      <c r="O7361" s="1290">
        <f>G7361*M7361</f>
        <v>3.45</v>
      </c>
      <c r="P7361" s="1332">
        <f>M7361*K7361</f>
        <v>0.30359999999999998</v>
      </c>
      <c r="Q7361" s="3391"/>
      <c r="R7361" s="2339"/>
    </row>
    <row r="7362" spans="1:18" s="22" customFormat="1">
      <c r="A7362" s="1042"/>
      <c r="B7362" s="1599"/>
      <c r="C7362" s="1042"/>
      <c r="D7362" s="1587" t="s">
        <v>1082</v>
      </c>
      <c r="E7362" s="2138" t="s">
        <v>1504</v>
      </c>
      <c r="F7362" s="1587" t="s">
        <v>1541</v>
      </c>
      <c r="G7362" s="1588">
        <v>1</v>
      </c>
      <c r="H7362" s="1674"/>
      <c r="I7362" s="1299"/>
      <c r="J7362" s="1300"/>
      <c r="K7362" s="1307">
        <f>K7359*G7362</f>
        <v>8.7999999999999995E-2</v>
      </c>
      <c r="L7362" s="1335">
        <f t="shared" si="994"/>
        <v>0</v>
      </c>
      <c r="M7362" s="1302">
        <v>0.3</v>
      </c>
      <c r="N7362" s="1700"/>
      <c r="O7362" s="1290">
        <f>G7362*M7362</f>
        <v>0.3</v>
      </c>
      <c r="P7362" s="1332">
        <f>M7362*K7362</f>
        <v>2.6399999999999996E-2</v>
      </c>
      <c r="Q7362" s="3391"/>
      <c r="R7362" s="2339"/>
    </row>
    <row r="7363" spans="1:18" s="22" customFormat="1">
      <c r="A7363" s="1042"/>
      <c r="B7363" s="1599"/>
      <c r="C7363" s="1042"/>
      <c r="D7363" s="1587"/>
      <c r="E7363" s="2138"/>
      <c r="F7363" s="1587"/>
      <c r="G7363" s="1588"/>
      <c r="H7363" s="1674"/>
      <c r="I7363" s="1299"/>
      <c r="J7363" s="1300"/>
      <c r="K7363" s="1307"/>
      <c r="L7363" s="1335"/>
      <c r="M7363" s="1302"/>
      <c r="N7363" s="1700"/>
      <c r="O7363" s="1290"/>
      <c r="P7363" s="1332"/>
      <c r="Q7363" s="3391"/>
      <c r="R7363" s="2339"/>
    </row>
    <row r="7364" spans="1:18" s="22" customFormat="1">
      <c r="A7364" s="1042"/>
      <c r="B7364" s="1599"/>
      <c r="C7364" s="1042"/>
      <c r="D7364" s="1367"/>
      <c r="E7364" s="2121"/>
      <c r="F7364" s="1436"/>
      <c r="G7364" s="1436"/>
      <c r="H7364" s="1369"/>
      <c r="I7364" s="1299" t="str">
        <f t="shared" ref="I7364" ca="1" si="995">IF(COUNT(H7364:O7364)=0,"",(SUM(H7364:O7364)/COUNT(H7364:O7364)))</f>
        <v/>
      </c>
      <c r="J7364" s="1300"/>
      <c r="K7364" s="1307"/>
      <c r="L7364" s="1335"/>
      <c r="M7364" s="1302"/>
      <c r="N7364" s="1700"/>
      <c r="O7364" s="1290"/>
      <c r="P7364" s="1332"/>
      <c r="Q7364" s="3391"/>
      <c r="R7364" s="2339"/>
    </row>
    <row r="7365" spans="1:18" s="22" customFormat="1">
      <c r="A7365" s="1042"/>
      <c r="B7365" s="1599"/>
      <c r="C7365" s="1042"/>
      <c r="D7365" s="1359"/>
      <c r="E7365" s="1858"/>
      <c r="F7365" s="1360" t="s">
        <v>2</v>
      </c>
      <c r="G7365" s="1360"/>
      <c r="H7365" s="1362"/>
      <c r="I7365" s="1380"/>
      <c r="J7365" s="1381"/>
      <c r="K7365" s="1381"/>
      <c r="L7365" s="1458"/>
      <c r="M7365" s="1362"/>
      <c r="N7365" s="1362"/>
      <c r="O7365" s="1362"/>
      <c r="P7365" s="1359"/>
      <c r="Q7365" s="3387"/>
      <c r="R7365" s="2339"/>
    </row>
    <row r="7366" spans="1:18" s="22" customFormat="1">
      <c r="A7366" s="1321"/>
      <c r="B7366" s="2053"/>
      <c r="C7366" s="1321"/>
      <c r="D7366" s="1655" t="s">
        <v>1099</v>
      </c>
      <c r="E7366" s="1859" t="s">
        <v>1508</v>
      </c>
      <c r="F7366" s="1655" t="s">
        <v>1633</v>
      </c>
      <c r="G7366" s="1625">
        <v>0.25</v>
      </c>
      <c r="H7366" s="1386"/>
      <c r="I7366" s="1299"/>
      <c r="J7366" s="1300"/>
      <c r="K7366" s="1307">
        <f>G7366*K7359</f>
        <v>2.1999999999999999E-2</v>
      </c>
      <c r="L7366" s="1335">
        <f t="shared" ref="L7366" si="996">K7366*$K$7278</f>
        <v>0</v>
      </c>
      <c r="M7366" s="1302">
        <v>19.23</v>
      </c>
      <c r="N7366" s="1700"/>
      <c r="O7366" s="1290">
        <f>G7366*M7366</f>
        <v>4.8075000000000001</v>
      </c>
      <c r="P7366" s="1332">
        <f>M7366*K7366</f>
        <v>0.42305999999999999</v>
      </c>
      <c r="Q7366" s="3391"/>
      <c r="R7366" s="2339"/>
    </row>
    <row r="7367" spans="1:18" s="22" customFormat="1">
      <c r="A7367"/>
      <c r="B7367" s="1042"/>
      <c r="C7367" s="19"/>
      <c r="D7367" s="1430"/>
      <c r="E7367" s="1857"/>
      <c r="F7367" s="1403"/>
      <c r="G7367" s="1991"/>
      <c r="H7367" s="1408"/>
      <c r="I7367" s="1286"/>
      <c r="J7367" s="198"/>
      <c r="K7367" s="1307"/>
      <c r="L7367" s="1335"/>
      <c r="M7367" s="1302"/>
      <c r="N7367" s="1718"/>
      <c r="O7367" s="1290"/>
      <c r="P7367" s="1720"/>
      <c r="Q7367" s="3396"/>
      <c r="R7367" s="2337"/>
    </row>
    <row r="7368" spans="1:18" s="22" customFormat="1">
      <c r="A7368"/>
      <c r="B7368" s="1320"/>
      <c r="C7368" s="16"/>
      <c r="D7368" s="1359"/>
      <c r="E7368" s="1858"/>
      <c r="F7368" s="1474"/>
      <c r="G7368" s="1474"/>
      <c r="H7368" s="1466"/>
      <c r="I7368" s="1289"/>
      <c r="J7368" s="8"/>
      <c r="K7368" s="1307"/>
      <c r="L7368" s="1335"/>
      <c r="M7368" s="1302"/>
      <c r="N7368" s="1700"/>
      <c r="O7368" s="1290"/>
      <c r="P7368" s="1332"/>
      <c r="Q7368" s="3391"/>
      <c r="R7368" s="1296"/>
    </row>
    <row r="7369" spans="1:18" s="22" customFormat="1">
      <c r="A7369" s="1320"/>
      <c r="B7369" s="1599"/>
      <c r="C7369" s="1320"/>
      <c r="D7369" s="1373"/>
      <c r="E7369" s="2123"/>
      <c r="F7369" s="1374" t="s">
        <v>3</v>
      </c>
      <c r="G7369" s="1375"/>
      <c r="H7369" s="1376"/>
      <c r="I7369" s="1382"/>
      <c r="J7369" s="1383"/>
      <c r="K7369" s="1383"/>
      <c r="L7369" s="1413"/>
      <c r="M7369" s="1376"/>
      <c r="N7369" s="1376"/>
      <c r="O7369" s="1376"/>
      <c r="P7369" s="1373"/>
      <c r="Q7369" s="3387"/>
      <c r="R7369" s="2339"/>
    </row>
    <row r="7370" spans="1:18" s="22" customFormat="1">
      <c r="A7370" s="1321"/>
      <c r="B7370" s="2053"/>
      <c r="C7370" s="1321"/>
      <c r="D7370" s="1827"/>
      <c r="E7370" s="2173"/>
      <c r="F7370" s="1827"/>
      <c r="G7370" s="1828"/>
      <c r="H7370" s="1379"/>
      <c r="I7370" s="1299"/>
      <c r="J7370" s="1300"/>
      <c r="K7370" s="1307"/>
      <c r="L7370" s="1335"/>
      <c r="M7370" s="1302"/>
      <c r="N7370" s="1700"/>
      <c r="O7370" s="1290"/>
      <c r="P7370" s="1332"/>
      <c r="Q7370" s="3391"/>
      <c r="R7370" s="2339"/>
    </row>
    <row r="7371" spans="1:18" s="22" customFormat="1">
      <c r="A7371" s="1321"/>
      <c r="B7371" s="2053"/>
      <c r="C7371" s="1321"/>
      <c r="D7371" s="1377"/>
      <c r="E7371" s="2124"/>
      <c r="F7371" s="1378"/>
      <c r="G7371" s="1378"/>
      <c r="H7371" s="1379"/>
      <c r="I7371" s="1299"/>
      <c r="J7371" s="1300"/>
      <c r="K7371" s="1307"/>
      <c r="L7371" s="1335"/>
      <c r="M7371" s="1302"/>
      <c r="N7371" s="1700"/>
      <c r="O7371" s="1290"/>
      <c r="P7371" s="1333"/>
      <c r="Q7371" s="3391"/>
      <c r="R7371" s="2339"/>
    </row>
    <row r="7372" spans="1:18" s="22" customFormat="1">
      <c r="A7372" s="1042"/>
      <c r="B7372" s="1765"/>
      <c r="C7372" s="223"/>
      <c r="D7372" s="1373"/>
      <c r="E7372" s="2161"/>
      <c r="F7372" s="1678"/>
      <c r="G7372" s="1678"/>
      <c r="H7372" s="1376"/>
      <c r="I7372" s="1299"/>
      <c r="J7372" s="1300"/>
      <c r="K7372" s="1307"/>
      <c r="L7372" s="1335"/>
      <c r="M7372" s="1302"/>
      <c r="N7372" s="1700"/>
      <c r="O7372" s="1290"/>
      <c r="P7372" s="1332"/>
      <c r="Q7372" s="3391"/>
      <c r="R7372" s="2339"/>
    </row>
    <row r="7373" spans="1:18" s="22" customFormat="1" ht="15" customHeight="1">
      <c r="A7373" s="18" t="s">
        <v>3764</v>
      </c>
      <c r="B7373" s="4325" t="s">
        <v>2319</v>
      </c>
      <c r="C7373" s="3350"/>
      <c r="D7373" s="4327"/>
      <c r="E7373" s="4329" t="s">
        <v>1504</v>
      </c>
      <c r="F7373" s="4336" t="s">
        <v>2320</v>
      </c>
      <c r="G7373" s="4331" t="s">
        <v>1568</v>
      </c>
      <c r="H7373" s="4331" t="s">
        <v>1574</v>
      </c>
      <c r="I7373" s="1572" t="s">
        <v>1559</v>
      </c>
      <c r="J7373" s="1294" t="s">
        <v>1560</v>
      </c>
      <c r="K7373" s="1294" t="s">
        <v>1569</v>
      </c>
      <c r="L7373" s="4333" t="s">
        <v>3765</v>
      </c>
      <c r="M7373" s="4335" t="s">
        <v>1571</v>
      </c>
      <c r="N7373" s="4323" t="s">
        <v>1776</v>
      </c>
      <c r="O7373" s="3347" t="s">
        <v>1563</v>
      </c>
      <c r="P7373" s="1336" t="s">
        <v>1562</v>
      </c>
      <c r="Q7373" s="3389"/>
      <c r="R7373" s="1699" t="s">
        <v>1327</v>
      </c>
    </row>
    <row r="7374" spans="1:18" s="22" customFormat="1">
      <c r="A7374" s="1662" t="s">
        <v>2333</v>
      </c>
      <c r="B7374" s="4326"/>
      <c r="C7374" s="3351"/>
      <c r="D7374" s="4328"/>
      <c r="E7374" s="4330"/>
      <c r="F7374" s="4336"/>
      <c r="G7374" s="4332"/>
      <c r="H7374" s="4332"/>
      <c r="I7374" s="1345">
        <v>8</v>
      </c>
      <c r="J7374" s="1307">
        <v>1.0999999999999999E-2</v>
      </c>
      <c r="K7374" s="1666">
        <f>I7374*J7374</f>
        <v>8.7999999999999995E-2</v>
      </c>
      <c r="L7374" s="4334"/>
      <c r="M7374" s="4335"/>
      <c r="N7374" s="4324"/>
      <c r="O7374" s="1298">
        <f>SUM(O7376:O7381)</f>
        <v>11.077500000000001</v>
      </c>
      <c r="P7374" s="1337">
        <f>O7374*K7374</f>
        <v>0.97482000000000002</v>
      </c>
      <c r="Q7374" s="3390"/>
      <c r="R7374" s="1721">
        <f>SUM(P7376:P7381)</f>
        <v>0.97481999999999991</v>
      </c>
    </row>
    <row r="7375" spans="1:18" s="22" customFormat="1">
      <c r="A7375" s="1320"/>
      <c r="B7375" s="1949"/>
      <c r="C7375" s="1327"/>
      <c r="D7375" s="1367"/>
      <c r="E7375" s="2121"/>
      <c r="F7375" s="1389" t="s">
        <v>1</v>
      </c>
      <c r="G7375" s="1389"/>
      <c r="H7375" s="1369"/>
      <c r="I7375" s="2088"/>
      <c r="J7375" s="1369"/>
      <c r="K7375" s="1391"/>
      <c r="L7375" s="1559"/>
      <c r="M7375" s="1369"/>
      <c r="N7375" s="1369"/>
      <c r="O7375" s="1369"/>
      <c r="P7375" s="1392"/>
      <c r="Q7375" s="3395"/>
      <c r="R7375" s="2339"/>
    </row>
    <row r="7376" spans="1:18" s="22" customFormat="1">
      <c r="A7376" s="1320"/>
      <c r="B7376" s="1599"/>
      <c r="C7376" s="1320"/>
      <c r="D7376" s="1598" t="s">
        <v>2321</v>
      </c>
      <c r="E7376" s="2154" t="s">
        <v>1504</v>
      </c>
      <c r="F7376" s="1598" t="s">
        <v>2320</v>
      </c>
      <c r="G7376" s="1612">
        <v>1</v>
      </c>
      <c r="H7376" s="1367"/>
      <c r="I7376" s="1299"/>
      <c r="J7376" s="1300"/>
      <c r="K7376" s="1307">
        <f>K7374*G7376</f>
        <v>8.7999999999999995E-2</v>
      </c>
      <c r="L7376" s="1335">
        <f t="shared" ref="L7376:L7377" si="997">K7376*$K$7278</f>
        <v>0</v>
      </c>
      <c r="M7376" s="1302">
        <v>5.97</v>
      </c>
      <c r="N7376" s="1700"/>
      <c r="O7376" s="1290">
        <f>G7376*M7376</f>
        <v>5.97</v>
      </c>
      <c r="P7376" s="1332">
        <f>M7376*K7376</f>
        <v>0.52535999999999994</v>
      </c>
      <c r="Q7376" s="3391"/>
      <c r="R7376" s="2339"/>
    </row>
    <row r="7377" spans="1:18" s="22" customFormat="1">
      <c r="A7377" s="1042"/>
      <c r="B7377" s="1599"/>
      <c r="C7377" s="1042"/>
      <c r="D7377" s="1587" t="s">
        <v>1082</v>
      </c>
      <c r="E7377" s="2138" t="s">
        <v>1504</v>
      </c>
      <c r="F7377" s="1587" t="s">
        <v>1541</v>
      </c>
      <c r="G7377" s="1588">
        <v>1</v>
      </c>
      <c r="H7377" s="1674"/>
      <c r="I7377" s="1299"/>
      <c r="J7377" s="1300"/>
      <c r="K7377" s="1307">
        <f>K7374*G7377</f>
        <v>8.7999999999999995E-2</v>
      </c>
      <c r="L7377" s="1335">
        <f t="shared" si="997"/>
        <v>0</v>
      </c>
      <c r="M7377" s="1302">
        <v>0.3</v>
      </c>
      <c r="N7377" s="1700"/>
      <c r="O7377" s="1290">
        <f>G7377*M7377</f>
        <v>0.3</v>
      </c>
      <c r="P7377" s="1332">
        <f>M7377*K7377</f>
        <v>2.6399999999999996E-2</v>
      </c>
      <c r="Q7377" s="3391"/>
      <c r="R7377" s="2339"/>
    </row>
    <row r="7378" spans="1:18" s="22" customFormat="1">
      <c r="A7378" s="1042"/>
      <c r="B7378" s="1599"/>
      <c r="C7378" s="1042"/>
      <c r="D7378" s="1587"/>
      <c r="E7378" s="2138"/>
      <c r="F7378" s="1587"/>
      <c r="G7378" s="1588"/>
      <c r="H7378" s="1674"/>
      <c r="I7378" s="1299"/>
      <c r="J7378" s="1300"/>
      <c r="K7378" s="1307"/>
      <c r="L7378" s="1335"/>
      <c r="M7378" s="1302"/>
      <c r="N7378" s="1700"/>
      <c r="O7378" s="1290"/>
      <c r="P7378" s="1332"/>
      <c r="Q7378" s="3391"/>
      <c r="R7378" s="2339"/>
    </row>
    <row r="7379" spans="1:18" s="22" customFormat="1">
      <c r="A7379" s="1042"/>
      <c r="B7379" s="1599"/>
      <c r="C7379" s="1042"/>
      <c r="D7379" s="1367"/>
      <c r="E7379" s="2121"/>
      <c r="F7379" s="1436"/>
      <c r="G7379" s="1436"/>
      <c r="H7379" s="1369"/>
      <c r="I7379" s="1299" t="str">
        <f t="shared" ref="I7379" ca="1" si="998">IF(COUNT(H7379:O7379)=0,"",(SUM(H7379:O7379)/COUNT(H7379:O7379)))</f>
        <v/>
      </c>
      <c r="J7379" s="1300"/>
      <c r="K7379" s="1307"/>
      <c r="L7379" s="1335"/>
      <c r="M7379" s="1302"/>
      <c r="N7379" s="1700"/>
      <c r="O7379" s="1290"/>
      <c r="P7379" s="1332"/>
      <c r="Q7379" s="3391"/>
      <c r="R7379" s="2339"/>
    </row>
    <row r="7380" spans="1:18" s="22" customFormat="1">
      <c r="A7380" s="1042"/>
      <c r="B7380" s="1599"/>
      <c r="C7380" s="1042"/>
      <c r="D7380" s="1359"/>
      <c r="E7380" s="1858"/>
      <c r="F7380" s="1360" t="s">
        <v>2</v>
      </c>
      <c r="G7380" s="1360"/>
      <c r="H7380" s="1362"/>
      <c r="I7380" s="1380"/>
      <c r="J7380" s="1381"/>
      <c r="K7380" s="1381"/>
      <c r="L7380" s="1458"/>
      <c r="M7380" s="1362"/>
      <c r="N7380" s="1362"/>
      <c r="O7380" s="1362"/>
      <c r="P7380" s="1359"/>
      <c r="Q7380" s="3387"/>
      <c r="R7380" s="2339"/>
    </row>
    <row r="7381" spans="1:18" s="22" customFormat="1">
      <c r="A7381" s="1321"/>
      <c r="B7381" s="2053"/>
      <c r="C7381" s="1321"/>
      <c r="D7381" s="1655" t="s">
        <v>1099</v>
      </c>
      <c r="E7381" s="1859" t="s">
        <v>1508</v>
      </c>
      <c r="F7381" s="1655" t="s">
        <v>1633</v>
      </c>
      <c r="G7381" s="1625">
        <v>0.25</v>
      </c>
      <c r="H7381" s="1386"/>
      <c r="I7381" s="1299"/>
      <c r="J7381" s="1300"/>
      <c r="K7381" s="1307">
        <f>G7381*K7374</f>
        <v>2.1999999999999999E-2</v>
      </c>
      <c r="L7381" s="1335">
        <f t="shared" ref="L7381" si="999">K7381*$K$7278</f>
        <v>0</v>
      </c>
      <c r="M7381" s="1302">
        <v>19.23</v>
      </c>
      <c r="N7381" s="1700"/>
      <c r="O7381" s="1290">
        <f>G7381*M7381</f>
        <v>4.8075000000000001</v>
      </c>
      <c r="P7381" s="1332">
        <f>M7381*K7381</f>
        <v>0.42305999999999999</v>
      </c>
      <c r="Q7381" s="3391"/>
      <c r="R7381" s="2339"/>
    </row>
    <row r="7382" spans="1:18" s="22" customFormat="1">
      <c r="A7382"/>
      <c r="B7382" s="1042"/>
      <c r="C7382" s="19"/>
      <c r="D7382" s="1430"/>
      <c r="E7382" s="1857"/>
      <c r="F7382" s="1403"/>
      <c r="G7382" s="1991"/>
      <c r="H7382" s="1408"/>
      <c r="I7382" s="1286"/>
      <c r="J7382" s="198"/>
      <c r="K7382" s="1307"/>
      <c r="L7382" s="1335"/>
      <c r="M7382" s="1302"/>
      <c r="N7382" s="1718"/>
      <c r="O7382" s="1290"/>
      <c r="P7382" s="1720"/>
      <c r="Q7382" s="3396"/>
      <c r="R7382" s="2337"/>
    </row>
    <row r="7383" spans="1:18" s="22" customFormat="1">
      <c r="A7383"/>
      <c r="B7383" s="1320"/>
      <c r="C7383" s="16"/>
      <c r="D7383" s="1359"/>
      <c r="E7383" s="1858"/>
      <c r="F7383" s="1474"/>
      <c r="G7383" s="1474"/>
      <c r="H7383" s="1466"/>
      <c r="I7383" s="1289"/>
      <c r="J7383" s="8"/>
      <c r="K7383" s="1307"/>
      <c r="L7383" s="1335"/>
      <c r="M7383" s="1302"/>
      <c r="N7383" s="1700"/>
      <c r="O7383" s="1290"/>
      <c r="P7383" s="1332"/>
      <c r="Q7383" s="3391"/>
      <c r="R7383" s="1296"/>
    </row>
    <row r="7384" spans="1:18" s="22" customFormat="1">
      <c r="A7384" s="1320"/>
      <c r="B7384" s="1599"/>
      <c r="C7384" s="1320"/>
      <c r="D7384" s="1373"/>
      <c r="E7384" s="2123"/>
      <c r="F7384" s="1374" t="s">
        <v>3</v>
      </c>
      <c r="G7384" s="1375"/>
      <c r="H7384" s="1376"/>
      <c r="I7384" s="1382"/>
      <c r="J7384" s="1383"/>
      <c r="K7384" s="1383"/>
      <c r="L7384" s="1413"/>
      <c r="M7384" s="1376"/>
      <c r="N7384" s="1376"/>
      <c r="O7384" s="1376"/>
      <c r="P7384" s="1373"/>
      <c r="Q7384" s="3387"/>
      <c r="R7384" s="2339"/>
    </row>
    <row r="7385" spans="1:18" s="22" customFormat="1">
      <c r="A7385" s="1321"/>
      <c r="B7385" s="2053"/>
      <c r="C7385" s="1321"/>
      <c r="D7385" s="1827"/>
      <c r="E7385" s="2173"/>
      <c r="F7385" s="1827"/>
      <c r="G7385" s="1828"/>
      <c r="H7385" s="1379"/>
      <c r="I7385" s="1299"/>
      <c r="J7385" s="1300"/>
      <c r="K7385" s="1307"/>
      <c r="L7385" s="1335"/>
      <c r="M7385" s="1302"/>
      <c r="N7385" s="1700"/>
      <c r="O7385" s="1290"/>
      <c r="P7385" s="1332"/>
      <c r="Q7385" s="3391"/>
      <c r="R7385" s="2339"/>
    </row>
    <row r="7386" spans="1:18" s="22" customFormat="1">
      <c r="A7386" s="1321"/>
      <c r="B7386" s="2053"/>
      <c r="C7386" s="1321"/>
      <c r="D7386" s="1377"/>
      <c r="E7386" s="2124"/>
      <c r="F7386" s="1378"/>
      <c r="G7386" s="1378"/>
      <c r="H7386" s="1379"/>
      <c r="I7386" s="1299"/>
      <c r="J7386" s="1300"/>
      <c r="K7386" s="1307"/>
      <c r="L7386" s="1335"/>
      <c r="M7386" s="1302"/>
      <c r="N7386" s="1700"/>
      <c r="O7386" s="1290"/>
      <c r="P7386" s="1333"/>
      <c r="Q7386" s="3391"/>
      <c r="R7386" s="2339"/>
    </row>
    <row r="7387" spans="1:18" s="22" customFormat="1">
      <c r="A7387" s="1042"/>
      <c r="B7387" s="1765"/>
      <c r="C7387" s="223"/>
      <c r="D7387" s="1373"/>
      <c r="E7387" s="2161"/>
      <c r="F7387" s="1678"/>
      <c r="G7387" s="1678"/>
      <c r="H7387" s="1376"/>
      <c r="I7387" s="1299"/>
      <c r="J7387" s="1300"/>
      <c r="K7387" s="1307"/>
      <c r="L7387" s="1335"/>
      <c r="M7387" s="1302"/>
      <c r="N7387" s="1700"/>
      <c r="O7387" s="1290"/>
      <c r="P7387" s="1332"/>
      <c r="Q7387" s="3391"/>
      <c r="R7387" s="2339"/>
    </row>
    <row r="7388" spans="1:18" s="22" customFormat="1" ht="15" customHeight="1">
      <c r="A7388" s="18" t="s">
        <v>3764</v>
      </c>
      <c r="B7388" s="4325" t="s">
        <v>2322</v>
      </c>
      <c r="C7388" s="3350"/>
      <c r="D7388" s="4327"/>
      <c r="E7388" s="4329" t="s">
        <v>1504</v>
      </c>
      <c r="F7388" s="4336" t="s">
        <v>2323</v>
      </c>
      <c r="G7388" s="4331" t="s">
        <v>1568</v>
      </c>
      <c r="H7388" s="4331" t="s">
        <v>1574</v>
      </c>
      <c r="I7388" s="1572" t="s">
        <v>1559</v>
      </c>
      <c r="J7388" s="1294" t="s">
        <v>1560</v>
      </c>
      <c r="K7388" s="1294" t="s">
        <v>1569</v>
      </c>
      <c r="L7388" s="4333" t="s">
        <v>3765</v>
      </c>
      <c r="M7388" s="4335" t="s">
        <v>1571</v>
      </c>
      <c r="N7388" s="4323" t="s">
        <v>1776</v>
      </c>
      <c r="O7388" s="3347" t="s">
        <v>1563</v>
      </c>
      <c r="P7388" s="1336" t="s">
        <v>1562</v>
      </c>
      <c r="Q7388" s="3389"/>
      <c r="R7388" s="1699" t="s">
        <v>1327</v>
      </c>
    </row>
    <row r="7389" spans="1:18" s="22" customFormat="1">
      <c r="A7389" s="1662" t="s">
        <v>2333</v>
      </c>
      <c r="B7389" s="4326"/>
      <c r="C7389" s="3351"/>
      <c r="D7389" s="4328"/>
      <c r="E7389" s="4330"/>
      <c r="F7389" s="4336"/>
      <c r="G7389" s="4332"/>
      <c r="H7389" s="4332"/>
      <c r="I7389" s="1345">
        <v>4</v>
      </c>
      <c r="J7389" s="1307">
        <v>1.0999999999999999E-2</v>
      </c>
      <c r="K7389" s="1666">
        <f>I7389*J7389</f>
        <v>4.3999999999999997E-2</v>
      </c>
      <c r="L7389" s="4334"/>
      <c r="M7389" s="4335"/>
      <c r="N7389" s="4324"/>
      <c r="O7389" s="1298">
        <f>SUM(O7391:O7396)</f>
        <v>18.009</v>
      </c>
      <c r="P7389" s="1337">
        <f>O7389*K7389</f>
        <v>0.79239599999999999</v>
      </c>
      <c r="Q7389" s="3390"/>
      <c r="R7389" s="1721">
        <f>SUM(P7391:P7396)</f>
        <v>0.79239599999999988</v>
      </c>
    </row>
    <row r="7390" spans="1:18" s="22" customFormat="1">
      <c r="A7390" s="1320"/>
      <c r="B7390" s="1949"/>
      <c r="C7390" s="1327"/>
      <c r="D7390" s="1367"/>
      <c r="E7390" s="2121"/>
      <c r="F7390" s="1389" t="s">
        <v>1</v>
      </c>
      <c r="G7390" s="1389"/>
      <c r="H7390" s="1369"/>
      <c r="I7390" s="2088"/>
      <c r="J7390" s="1369"/>
      <c r="K7390" s="1391"/>
      <c r="L7390" s="1559"/>
      <c r="M7390" s="1369"/>
      <c r="N7390" s="1369"/>
      <c r="O7390" s="1369"/>
      <c r="P7390" s="1392"/>
      <c r="Q7390" s="3395"/>
      <c r="R7390" s="2339"/>
    </row>
    <row r="7391" spans="1:18" s="22" customFormat="1">
      <c r="A7391" s="1320"/>
      <c r="B7391" s="1599"/>
      <c r="C7391" s="1320"/>
      <c r="D7391" s="1598" t="s">
        <v>2324</v>
      </c>
      <c r="E7391" s="2154" t="s">
        <v>1504</v>
      </c>
      <c r="F7391" s="1598" t="s">
        <v>2323</v>
      </c>
      <c r="G7391" s="1612">
        <v>1</v>
      </c>
      <c r="H7391" s="1367"/>
      <c r="I7391" s="1299"/>
      <c r="J7391" s="1300"/>
      <c r="K7391" s="1307">
        <f>K7389*G7391</f>
        <v>4.3999999999999997E-2</v>
      </c>
      <c r="L7391" s="1335">
        <f t="shared" ref="L7391:L7392" si="1000">K7391*$K$7278</f>
        <v>0</v>
      </c>
      <c r="M7391" s="1302">
        <v>11.94</v>
      </c>
      <c r="N7391" s="1700"/>
      <c r="O7391" s="1290">
        <f>G7391*M7391</f>
        <v>11.94</v>
      </c>
      <c r="P7391" s="1332">
        <f>M7391*K7391</f>
        <v>0.52535999999999994</v>
      </c>
      <c r="Q7391" s="3391"/>
      <c r="R7391" s="2339"/>
    </row>
    <row r="7392" spans="1:18" s="22" customFormat="1">
      <c r="A7392" s="1042"/>
      <c r="B7392" s="1599"/>
      <c r="C7392" s="1042"/>
      <c r="D7392" s="1587" t="s">
        <v>1082</v>
      </c>
      <c r="E7392" s="2138" t="s">
        <v>1504</v>
      </c>
      <c r="F7392" s="1587" t="s">
        <v>1541</v>
      </c>
      <c r="G7392" s="1588">
        <v>1</v>
      </c>
      <c r="H7392" s="1674"/>
      <c r="I7392" s="1299"/>
      <c r="J7392" s="1300"/>
      <c r="K7392" s="1307">
        <f>K7389*G7392</f>
        <v>4.3999999999999997E-2</v>
      </c>
      <c r="L7392" s="1335">
        <f t="shared" si="1000"/>
        <v>0</v>
      </c>
      <c r="M7392" s="1302">
        <v>0.3</v>
      </c>
      <c r="N7392" s="1700"/>
      <c r="O7392" s="1290">
        <f>G7392*M7392</f>
        <v>0.3</v>
      </c>
      <c r="P7392" s="1332">
        <f>M7392*K7392</f>
        <v>1.3199999999999998E-2</v>
      </c>
      <c r="Q7392" s="3391"/>
      <c r="R7392" s="2339"/>
    </row>
    <row r="7393" spans="1:18" s="22" customFormat="1">
      <c r="A7393" s="1042"/>
      <c r="B7393" s="1599"/>
      <c r="C7393" s="1042"/>
      <c r="D7393" s="1587"/>
      <c r="E7393" s="2138"/>
      <c r="F7393" s="1587"/>
      <c r="G7393" s="1588"/>
      <c r="H7393" s="1674"/>
      <c r="I7393" s="1299"/>
      <c r="J7393" s="1300"/>
      <c r="K7393" s="1307"/>
      <c r="L7393" s="1335"/>
      <c r="M7393" s="1302"/>
      <c r="N7393" s="1700"/>
      <c r="O7393" s="1290"/>
      <c r="P7393" s="1332"/>
      <c r="Q7393" s="3391"/>
      <c r="R7393" s="2339"/>
    </row>
    <row r="7394" spans="1:18" s="22" customFormat="1">
      <c r="A7394" s="1042"/>
      <c r="B7394" s="1599"/>
      <c r="C7394" s="1042"/>
      <c r="D7394" s="1367"/>
      <c r="E7394" s="2121"/>
      <c r="F7394" s="1436"/>
      <c r="G7394" s="1436"/>
      <c r="H7394" s="1369"/>
      <c r="I7394" s="1299"/>
      <c r="J7394" s="1300"/>
      <c r="K7394" s="1307"/>
      <c r="L7394" s="1335"/>
      <c r="M7394" s="1302"/>
      <c r="N7394" s="1700"/>
      <c r="O7394" s="1290"/>
      <c r="P7394" s="1332"/>
      <c r="Q7394" s="3391"/>
      <c r="R7394" s="2339"/>
    </row>
    <row r="7395" spans="1:18" s="22" customFormat="1">
      <c r="A7395" s="1042"/>
      <c r="B7395" s="1599"/>
      <c r="C7395" s="1042"/>
      <c r="D7395" s="1359"/>
      <c r="E7395" s="1858"/>
      <c r="F7395" s="1360" t="s">
        <v>2</v>
      </c>
      <c r="G7395" s="1360"/>
      <c r="H7395" s="1362"/>
      <c r="I7395" s="1380"/>
      <c r="J7395" s="1381"/>
      <c r="K7395" s="1381"/>
      <c r="L7395" s="1458"/>
      <c r="M7395" s="1362"/>
      <c r="N7395" s="1362"/>
      <c r="O7395" s="1362"/>
      <c r="P7395" s="1359"/>
      <c r="Q7395" s="3387"/>
      <c r="R7395" s="2339"/>
    </row>
    <row r="7396" spans="1:18" s="22" customFormat="1">
      <c r="A7396" s="1321"/>
      <c r="B7396" s="2053"/>
      <c r="C7396" s="1321"/>
      <c r="D7396" s="1655" t="s">
        <v>1099</v>
      </c>
      <c r="E7396" s="1859" t="s">
        <v>1508</v>
      </c>
      <c r="F7396" s="1655" t="s">
        <v>1633</v>
      </c>
      <c r="G7396" s="1625">
        <v>0.3</v>
      </c>
      <c r="H7396" s="1386"/>
      <c r="I7396" s="1299"/>
      <c r="J7396" s="1300"/>
      <c r="K7396" s="1307">
        <f>G7396*K7389</f>
        <v>1.3199999999999998E-2</v>
      </c>
      <c r="L7396" s="1335">
        <f t="shared" ref="L7396" si="1001">K7396*$K$7278</f>
        <v>0</v>
      </c>
      <c r="M7396" s="1302">
        <v>19.23</v>
      </c>
      <c r="N7396" s="1700"/>
      <c r="O7396" s="1290">
        <f>G7396*M7396</f>
        <v>5.7690000000000001</v>
      </c>
      <c r="P7396" s="1332">
        <f>M7396*K7396</f>
        <v>0.25383599999999995</v>
      </c>
      <c r="Q7396" s="3391"/>
      <c r="R7396" s="2339"/>
    </row>
    <row r="7397" spans="1:18" s="22" customFormat="1">
      <c r="A7397"/>
      <c r="B7397" s="1042"/>
      <c r="C7397" s="19"/>
      <c r="D7397" s="1430"/>
      <c r="E7397" s="1857"/>
      <c r="F7397" s="1403"/>
      <c r="G7397" s="1991"/>
      <c r="H7397" s="1408"/>
      <c r="I7397" s="1286"/>
      <c r="J7397" s="198"/>
      <c r="K7397" s="1307"/>
      <c r="L7397" s="1335"/>
      <c r="M7397" s="1302"/>
      <c r="N7397" s="1718"/>
      <c r="O7397" s="1290"/>
      <c r="P7397" s="1720"/>
      <c r="Q7397" s="3396"/>
      <c r="R7397" s="2337"/>
    </row>
    <row r="7398" spans="1:18" s="22" customFormat="1">
      <c r="A7398"/>
      <c r="B7398" s="1320"/>
      <c r="C7398" s="16"/>
      <c r="D7398" s="1359"/>
      <c r="E7398" s="1858"/>
      <c r="F7398" s="1474"/>
      <c r="G7398" s="1474"/>
      <c r="H7398" s="1466"/>
      <c r="I7398" s="1289"/>
      <c r="J7398" s="8"/>
      <c r="K7398" s="1307"/>
      <c r="L7398" s="1335"/>
      <c r="M7398" s="1302"/>
      <c r="N7398" s="1700"/>
      <c r="O7398" s="1290"/>
      <c r="P7398" s="1332"/>
      <c r="Q7398" s="3391"/>
      <c r="R7398" s="1296"/>
    </row>
    <row r="7399" spans="1:18" s="22" customFormat="1">
      <c r="A7399" s="1320"/>
      <c r="B7399" s="1599"/>
      <c r="C7399" s="1320"/>
      <c r="D7399" s="1373"/>
      <c r="E7399" s="2123"/>
      <c r="F7399" s="1374" t="s">
        <v>3</v>
      </c>
      <c r="G7399" s="1375"/>
      <c r="H7399" s="1376"/>
      <c r="I7399" s="1382"/>
      <c r="J7399" s="1383"/>
      <c r="K7399" s="1383"/>
      <c r="L7399" s="1413"/>
      <c r="M7399" s="1376"/>
      <c r="N7399" s="1376"/>
      <c r="O7399" s="1376"/>
      <c r="P7399" s="1373"/>
      <c r="Q7399" s="3387"/>
      <c r="R7399" s="2339"/>
    </row>
    <row r="7400" spans="1:18" s="22" customFormat="1">
      <c r="A7400" s="1321"/>
      <c r="B7400" s="2053"/>
      <c r="C7400" s="1321"/>
      <c r="D7400" s="1827"/>
      <c r="E7400" s="2173"/>
      <c r="F7400" s="1827"/>
      <c r="G7400" s="1828"/>
      <c r="H7400" s="1379"/>
      <c r="I7400" s="1299"/>
      <c r="J7400" s="1300"/>
      <c r="K7400" s="1307"/>
      <c r="L7400" s="1335"/>
      <c r="M7400" s="1302"/>
      <c r="N7400" s="1700"/>
      <c r="O7400" s="1290"/>
      <c r="P7400" s="1332"/>
      <c r="Q7400" s="3391"/>
      <c r="R7400" s="2339"/>
    </row>
    <row r="7401" spans="1:18" s="22" customFormat="1">
      <c r="A7401" s="1321"/>
      <c r="B7401" s="2053"/>
      <c r="C7401" s="1321"/>
      <c r="D7401" s="1377"/>
      <c r="E7401" s="2124"/>
      <c r="F7401" s="1378"/>
      <c r="G7401" s="1378"/>
      <c r="H7401" s="1379"/>
      <c r="I7401" s="1299"/>
      <c r="J7401" s="1300"/>
      <c r="K7401" s="1307"/>
      <c r="L7401" s="1335"/>
      <c r="M7401" s="1302"/>
      <c r="N7401" s="1700"/>
      <c r="O7401" s="1290"/>
      <c r="P7401" s="1333"/>
      <c r="Q7401" s="3391"/>
      <c r="R7401" s="2339"/>
    </row>
    <row r="7402" spans="1:18" s="22" customFormat="1">
      <c r="A7402" s="1042"/>
      <c r="B7402" s="1765"/>
      <c r="C7402" s="223"/>
      <c r="D7402" s="1373"/>
      <c r="E7402" s="2161"/>
      <c r="F7402" s="1678"/>
      <c r="G7402" s="1678"/>
      <c r="H7402" s="1376"/>
      <c r="I7402" s="1299"/>
      <c r="J7402" s="1300"/>
      <c r="K7402" s="1307"/>
      <c r="L7402" s="1335"/>
      <c r="M7402" s="1302"/>
      <c r="N7402" s="1700"/>
      <c r="O7402" s="1290"/>
      <c r="P7402" s="1332"/>
      <c r="Q7402" s="3391"/>
      <c r="R7402" s="2339"/>
    </row>
    <row r="7403" spans="1:18" s="22" customFormat="1">
      <c r="A7403" s="18" t="s">
        <v>3764</v>
      </c>
      <c r="B7403" s="4325" t="s">
        <v>2325</v>
      </c>
      <c r="C7403" s="3350"/>
      <c r="D7403" s="4327"/>
      <c r="E7403" s="4329" t="s">
        <v>1527</v>
      </c>
      <c r="F7403" s="4336" t="s">
        <v>2326</v>
      </c>
      <c r="G7403" s="4331" t="s">
        <v>1568</v>
      </c>
      <c r="H7403" s="4331" t="s">
        <v>1574</v>
      </c>
      <c r="I7403" s="1572" t="s">
        <v>1559</v>
      </c>
      <c r="J7403" s="1294" t="s">
        <v>1560</v>
      </c>
      <c r="K7403" s="1294" t="s">
        <v>1569</v>
      </c>
      <c r="L7403" s="4333" t="s">
        <v>3765</v>
      </c>
      <c r="M7403" s="4335" t="s">
        <v>1571</v>
      </c>
      <c r="N7403" s="4323" t="s">
        <v>1776</v>
      </c>
      <c r="O7403" s="3347" t="s">
        <v>1563</v>
      </c>
      <c r="P7403" s="1336" t="s">
        <v>1562</v>
      </c>
      <c r="Q7403" s="3389"/>
      <c r="R7403" s="1699" t="s">
        <v>1327</v>
      </c>
    </row>
    <row r="7404" spans="1:18" s="22" customFormat="1">
      <c r="A7404" s="1662" t="s">
        <v>2333</v>
      </c>
      <c r="B7404" s="4326"/>
      <c r="C7404" s="3351"/>
      <c r="D7404" s="4328"/>
      <c r="E7404" s="4330"/>
      <c r="F7404" s="4336"/>
      <c r="G7404" s="4332"/>
      <c r="H7404" s="4332"/>
      <c r="I7404" s="1345">
        <v>62</v>
      </c>
      <c r="J7404" s="1307">
        <v>1.0999999999999999E-2</v>
      </c>
      <c r="K7404" s="1666">
        <f>I7404*J7404</f>
        <v>0.68199999999999994</v>
      </c>
      <c r="L7404" s="4334"/>
      <c r="M7404" s="4335"/>
      <c r="N7404" s="4324"/>
      <c r="O7404" s="1298">
        <f>SUM(O7406:O7411)</f>
        <v>3.5652000000000004</v>
      </c>
      <c r="P7404" s="1337">
        <f>O7404*K7404</f>
        <v>2.4314664000000001</v>
      </c>
      <c r="Q7404" s="3390"/>
      <c r="R7404" s="1721">
        <f>SUM(P7406:P7411)</f>
        <v>2.4314664000000001</v>
      </c>
    </row>
    <row r="7405" spans="1:18" s="22" customFormat="1">
      <c r="A7405" s="1320"/>
      <c r="B7405" s="1949"/>
      <c r="C7405" s="1327"/>
      <c r="D7405" s="1367"/>
      <c r="E7405" s="2121"/>
      <c r="F7405" s="1389" t="s">
        <v>1</v>
      </c>
      <c r="G7405" s="1389"/>
      <c r="H7405" s="1369"/>
      <c r="I7405" s="2088"/>
      <c r="J7405" s="1369"/>
      <c r="K7405" s="1391"/>
      <c r="L7405" s="1559"/>
      <c r="M7405" s="1369"/>
      <c r="N7405" s="1369"/>
      <c r="O7405" s="1369"/>
      <c r="P7405" s="1392"/>
      <c r="Q7405" s="3395"/>
      <c r="R7405" s="2339"/>
    </row>
    <row r="7406" spans="1:18" s="22" customFormat="1">
      <c r="A7406" s="1320"/>
      <c r="B7406" s="1599"/>
      <c r="C7406" s="1320"/>
      <c r="D7406" s="1598" t="s">
        <v>2327</v>
      </c>
      <c r="E7406" s="2154" t="s">
        <v>1527</v>
      </c>
      <c r="F7406" s="1598" t="s">
        <v>2326</v>
      </c>
      <c r="G7406" s="1612">
        <v>1.01</v>
      </c>
      <c r="H7406" s="1367"/>
      <c r="I7406" s="1299"/>
      <c r="J7406" s="1300"/>
      <c r="K7406" s="1307">
        <f>K7404*G7406</f>
        <v>0.68881999999999999</v>
      </c>
      <c r="L7406" s="1335">
        <f t="shared" ref="L7406:L7407" si="1002">K7406*$K$7278</f>
        <v>0</v>
      </c>
      <c r="M7406" s="1302">
        <v>1.17</v>
      </c>
      <c r="N7406" s="1700"/>
      <c r="O7406" s="1290">
        <f>G7406*M7406</f>
        <v>1.1817</v>
      </c>
      <c r="P7406" s="1332">
        <f>M7406*K7406</f>
        <v>0.80591939999999995</v>
      </c>
      <c r="Q7406" s="3391"/>
      <c r="R7406" s="2339"/>
    </row>
    <row r="7407" spans="1:18" s="22" customFormat="1">
      <c r="A7407" s="1042"/>
      <c r="B7407" s="1599"/>
      <c r="C7407" s="1042"/>
      <c r="D7407" s="1587" t="s">
        <v>1097</v>
      </c>
      <c r="E7407" s="2138" t="s">
        <v>1504</v>
      </c>
      <c r="F7407" s="1587" t="s">
        <v>1632</v>
      </c>
      <c r="G7407" s="1588">
        <v>1.01</v>
      </c>
      <c r="H7407" s="1674"/>
      <c r="I7407" s="1299"/>
      <c r="J7407" s="1300"/>
      <c r="K7407" s="1307">
        <f>K7404*G7407</f>
        <v>0.68881999999999999</v>
      </c>
      <c r="L7407" s="1335">
        <f t="shared" si="1002"/>
        <v>0</v>
      </c>
      <c r="M7407" s="1302">
        <v>0.55000000000000004</v>
      </c>
      <c r="N7407" s="1700"/>
      <c r="O7407" s="1290">
        <f>G7407*M7407</f>
        <v>0.5555000000000001</v>
      </c>
      <c r="P7407" s="1332">
        <f>M7407*K7407</f>
        <v>0.37885100000000005</v>
      </c>
      <c r="Q7407" s="3391"/>
      <c r="R7407" s="2339"/>
    </row>
    <row r="7408" spans="1:18" s="22" customFormat="1">
      <c r="A7408" s="1042"/>
      <c r="B7408" s="1599"/>
      <c r="C7408" s="1042"/>
      <c r="D7408" s="1587"/>
      <c r="E7408" s="2138"/>
      <c r="F7408" s="1587"/>
      <c r="G7408" s="1588"/>
      <c r="H7408" s="1674"/>
      <c r="I7408" s="1299"/>
      <c r="J7408" s="1300"/>
      <c r="K7408" s="1307"/>
      <c r="L7408" s="1335"/>
      <c r="M7408" s="1302"/>
      <c r="N7408" s="1700"/>
      <c r="O7408" s="1290"/>
      <c r="P7408" s="1332"/>
      <c r="Q7408" s="3391"/>
      <c r="R7408" s="2339"/>
    </row>
    <row r="7409" spans="1:18" s="22" customFormat="1">
      <c r="A7409" s="1042"/>
      <c r="B7409" s="1599"/>
      <c r="C7409" s="1042"/>
      <c r="D7409" s="1367"/>
      <c r="E7409" s="2121"/>
      <c r="F7409" s="1436"/>
      <c r="G7409" s="1436"/>
      <c r="H7409" s="1369"/>
      <c r="I7409" s="1299" t="str">
        <f t="shared" ref="I7409" ca="1" si="1003">IF(COUNT(H7409:O7409)=0,"",(SUM(H7409:O7409)/COUNT(H7409:O7409)))</f>
        <v/>
      </c>
      <c r="J7409" s="1300"/>
      <c r="K7409" s="1307"/>
      <c r="L7409" s="1335"/>
      <c r="M7409" s="1302"/>
      <c r="N7409" s="1700"/>
      <c r="O7409" s="1290"/>
      <c r="P7409" s="1332"/>
      <c r="Q7409" s="3391"/>
      <c r="R7409" s="2339"/>
    </row>
    <row r="7410" spans="1:18" s="22" customFormat="1">
      <c r="A7410" s="1042"/>
      <c r="B7410" s="1599"/>
      <c r="C7410" s="1042"/>
      <c r="D7410" s="1359"/>
      <c r="E7410" s="1858"/>
      <c r="F7410" s="1360" t="s">
        <v>2</v>
      </c>
      <c r="G7410" s="1360"/>
      <c r="H7410" s="1362"/>
      <c r="I7410" s="1380"/>
      <c r="J7410" s="1381"/>
      <c r="K7410" s="1381"/>
      <c r="L7410" s="1458"/>
      <c r="M7410" s="1362"/>
      <c r="N7410" s="1362"/>
      <c r="O7410" s="1362"/>
      <c r="P7410" s="1359"/>
      <c r="Q7410" s="3387"/>
      <c r="R7410" s="2339"/>
    </row>
    <row r="7411" spans="1:18" s="22" customFormat="1">
      <c r="A7411"/>
      <c r="B7411" s="1042"/>
      <c r="C7411" s="19"/>
      <c r="D7411" s="1430" t="s">
        <v>1067</v>
      </c>
      <c r="E7411" s="1857" t="s">
        <v>1508</v>
      </c>
      <c r="F7411" s="1403" t="s">
        <v>5</v>
      </c>
      <c r="G7411" s="1991">
        <v>0.1</v>
      </c>
      <c r="H7411" s="1408"/>
      <c r="I7411" s="1286"/>
      <c r="J7411" s="198"/>
      <c r="K7411" s="1307">
        <f>G7411*K7404</f>
        <v>6.8199999999999997E-2</v>
      </c>
      <c r="L7411" s="1335">
        <f t="shared" ref="L7411" si="1004">K7411*$K$7278</f>
        <v>0</v>
      </c>
      <c r="M7411" s="1302">
        <v>18.28</v>
      </c>
      <c r="N7411" s="1718"/>
      <c r="O7411" s="1290">
        <f>G7411*M7411</f>
        <v>1.8280000000000003</v>
      </c>
      <c r="P7411" s="1332">
        <f>M7411*K7411</f>
        <v>1.246696</v>
      </c>
      <c r="Q7411" s="3391"/>
      <c r="R7411" s="2337"/>
    </row>
    <row r="7412" spans="1:18" s="22" customFormat="1">
      <c r="A7412"/>
      <c r="B7412" s="1042"/>
      <c r="C7412" s="19"/>
      <c r="D7412" s="1430"/>
      <c r="E7412" s="1857"/>
      <c r="F7412" s="1403"/>
      <c r="G7412" s="1991"/>
      <c r="H7412" s="1408"/>
      <c r="I7412" s="1286"/>
      <c r="J7412" s="198"/>
      <c r="K7412" s="1307"/>
      <c r="L7412" s="1335"/>
      <c r="M7412" s="1302"/>
      <c r="N7412" s="1718"/>
      <c r="O7412" s="1290"/>
      <c r="P7412" s="1720"/>
      <c r="Q7412" s="3396"/>
      <c r="R7412" s="2337"/>
    </row>
    <row r="7413" spans="1:18" s="22" customFormat="1">
      <c r="A7413"/>
      <c r="B7413" s="1320"/>
      <c r="C7413" s="16"/>
      <c r="D7413" s="1359"/>
      <c r="E7413" s="1858"/>
      <c r="F7413" s="1474"/>
      <c r="G7413" s="1474"/>
      <c r="H7413" s="1466"/>
      <c r="I7413" s="1289"/>
      <c r="J7413" s="8"/>
      <c r="K7413" s="1307"/>
      <c r="L7413" s="1335"/>
      <c r="M7413" s="1302"/>
      <c r="N7413" s="1700"/>
      <c r="O7413" s="1290"/>
      <c r="P7413" s="1332"/>
      <c r="Q7413" s="3391"/>
      <c r="R7413" s="1296"/>
    </row>
    <row r="7414" spans="1:18" s="22" customFormat="1">
      <c r="A7414" s="1320"/>
      <c r="B7414" s="1599"/>
      <c r="C7414" s="1320"/>
      <c r="D7414" s="1373"/>
      <c r="E7414" s="2123"/>
      <c r="F7414" s="1374" t="s">
        <v>3</v>
      </c>
      <c r="G7414" s="1375"/>
      <c r="H7414" s="1376"/>
      <c r="I7414" s="1382"/>
      <c r="J7414" s="1383"/>
      <c r="K7414" s="1383"/>
      <c r="L7414" s="1413"/>
      <c r="M7414" s="1376"/>
      <c r="N7414" s="1376"/>
      <c r="O7414" s="1376"/>
      <c r="P7414" s="1373"/>
      <c r="Q7414" s="3387"/>
      <c r="R7414" s="2339"/>
    </row>
    <row r="7415" spans="1:18" s="22" customFormat="1">
      <c r="A7415" s="1321"/>
      <c r="B7415" s="2053"/>
      <c r="C7415" s="1321"/>
      <c r="D7415" s="1827"/>
      <c r="E7415" s="2173"/>
      <c r="F7415" s="1827"/>
      <c r="G7415" s="1828"/>
      <c r="H7415" s="1379"/>
      <c r="I7415" s="1299"/>
      <c r="J7415" s="1300"/>
      <c r="K7415" s="1307"/>
      <c r="L7415" s="1335"/>
      <c r="M7415" s="1302"/>
      <c r="N7415" s="1700"/>
      <c r="O7415" s="1290"/>
      <c r="P7415" s="1332"/>
      <c r="Q7415" s="3391"/>
      <c r="R7415" s="2339"/>
    </row>
    <row r="7416" spans="1:18" s="22" customFormat="1">
      <c r="A7416" s="1321"/>
      <c r="B7416" s="2053"/>
      <c r="C7416" s="1321"/>
      <c r="D7416" s="1377"/>
      <c r="E7416" s="2124"/>
      <c r="F7416" s="1378"/>
      <c r="G7416" s="1378"/>
      <c r="H7416" s="1379"/>
      <c r="I7416" s="1299"/>
      <c r="J7416" s="1300"/>
      <c r="K7416" s="1307"/>
      <c r="L7416" s="1335"/>
      <c r="M7416" s="1302"/>
      <c r="N7416" s="1700"/>
      <c r="O7416" s="1290"/>
      <c r="P7416" s="1333"/>
      <c r="Q7416" s="3391"/>
      <c r="R7416" s="2339"/>
    </row>
    <row r="7417" spans="1:18" s="22" customFormat="1">
      <c r="A7417" s="1042"/>
      <c r="B7417" s="1765"/>
      <c r="C7417" s="223"/>
      <c r="D7417" s="1373"/>
      <c r="E7417" s="2161"/>
      <c r="F7417" s="1678"/>
      <c r="G7417" s="1678"/>
      <c r="H7417" s="1376"/>
      <c r="I7417" s="1299"/>
      <c r="J7417" s="1300"/>
      <c r="K7417" s="1307"/>
      <c r="L7417" s="1335"/>
      <c r="M7417" s="1302"/>
      <c r="N7417" s="1700"/>
      <c r="O7417" s="1290"/>
      <c r="P7417" s="1332"/>
      <c r="Q7417" s="3391"/>
      <c r="R7417" s="2339"/>
    </row>
    <row r="7418" spans="1:18" s="22" customFormat="1">
      <c r="A7418" s="18" t="s">
        <v>3764</v>
      </c>
      <c r="B7418" s="4325" t="s">
        <v>2328</v>
      </c>
      <c r="C7418" s="3350"/>
      <c r="D7418" s="4327"/>
      <c r="E7418" s="4329" t="s">
        <v>1527</v>
      </c>
      <c r="F7418" s="4336" t="s">
        <v>2329</v>
      </c>
      <c r="G7418" s="4331" t="s">
        <v>1568</v>
      </c>
      <c r="H7418" s="4331" t="s">
        <v>1574</v>
      </c>
      <c r="I7418" s="1572" t="s">
        <v>1559</v>
      </c>
      <c r="J7418" s="1294" t="s">
        <v>1560</v>
      </c>
      <c r="K7418" s="1294" t="s">
        <v>1569</v>
      </c>
      <c r="L7418" s="4333" t="s">
        <v>3765</v>
      </c>
      <c r="M7418" s="4335" t="s">
        <v>1571</v>
      </c>
      <c r="N7418" s="4323" t="s">
        <v>1776</v>
      </c>
      <c r="O7418" s="3347" t="s">
        <v>1563</v>
      </c>
      <c r="P7418" s="1336" t="s">
        <v>1562</v>
      </c>
      <c r="Q7418" s="3389"/>
      <c r="R7418" s="1699" t="s">
        <v>1327</v>
      </c>
    </row>
    <row r="7419" spans="1:18" s="22" customFormat="1">
      <c r="A7419" s="1662" t="s">
        <v>2333</v>
      </c>
      <c r="B7419" s="4326"/>
      <c r="C7419" s="3351"/>
      <c r="D7419" s="4328"/>
      <c r="E7419" s="4330"/>
      <c r="F7419" s="4336"/>
      <c r="G7419" s="4332"/>
      <c r="H7419" s="4332"/>
      <c r="I7419" s="1345">
        <v>35</v>
      </c>
      <c r="J7419" s="1307">
        <v>1.0999999999999999E-2</v>
      </c>
      <c r="K7419" s="1666">
        <f>I7419*J7419</f>
        <v>0.38499999999999995</v>
      </c>
      <c r="L7419" s="4334"/>
      <c r="M7419" s="4335"/>
      <c r="N7419" s="4324"/>
      <c r="O7419" s="1298">
        <f>SUM(O7421:O7426)</f>
        <v>4.3732000000000006</v>
      </c>
      <c r="P7419" s="1337">
        <f>O7419*K7419</f>
        <v>1.6836820000000001</v>
      </c>
      <c r="Q7419" s="3390"/>
      <c r="R7419" s="1721">
        <f>SUM(P7421:P7426)</f>
        <v>1.6836820000000001</v>
      </c>
    </row>
    <row r="7420" spans="1:18" s="22" customFormat="1">
      <c r="A7420" s="1320"/>
      <c r="B7420" s="1949"/>
      <c r="C7420" s="1327"/>
      <c r="D7420" s="1367"/>
      <c r="E7420" s="2121"/>
      <c r="F7420" s="1389" t="s">
        <v>1</v>
      </c>
      <c r="G7420" s="1389"/>
      <c r="H7420" s="1369"/>
      <c r="I7420" s="2088"/>
      <c r="J7420" s="1369"/>
      <c r="K7420" s="1391"/>
      <c r="L7420" s="1559"/>
      <c r="M7420" s="1369"/>
      <c r="N7420" s="1369"/>
      <c r="O7420" s="1369"/>
      <c r="P7420" s="1392"/>
      <c r="Q7420" s="3395"/>
      <c r="R7420" s="2339"/>
    </row>
    <row r="7421" spans="1:18" s="22" customFormat="1">
      <c r="A7421" s="1320"/>
      <c r="B7421" s="1599"/>
      <c r="C7421" s="1320"/>
      <c r="D7421" s="1598" t="s">
        <v>2330</v>
      </c>
      <c r="E7421" s="2154" t="s">
        <v>1527</v>
      </c>
      <c r="F7421" s="1598" t="s">
        <v>2329</v>
      </c>
      <c r="G7421" s="1612">
        <v>1.01</v>
      </c>
      <c r="H7421" s="1367"/>
      <c r="I7421" s="1299"/>
      <c r="J7421" s="1300"/>
      <c r="K7421" s="1307">
        <f>K7419*G7421</f>
        <v>0.38884999999999997</v>
      </c>
      <c r="L7421" s="1335">
        <f t="shared" ref="L7421:L7422" si="1005">K7421*$K$7278</f>
        <v>0</v>
      </c>
      <c r="M7421" s="1302">
        <v>1.97</v>
      </c>
      <c r="N7421" s="1700"/>
      <c r="O7421" s="1290">
        <f>G7421*M7421</f>
        <v>1.9897</v>
      </c>
      <c r="P7421" s="1332">
        <f>M7421*K7421</f>
        <v>0.76603449999999995</v>
      </c>
      <c r="Q7421" s="3391"/>
      <c r="R7421" s="2339"/>
    </row>
    <row r="7422" spans="1:18" s="22" customFormat="1">
      <c r="A7422" s="1042"/>
      <c r="B7422" s="1599"/>
      <c r="C7422" s="1042"/>
      <c r="D7422" s="1587" t="s">
        <v>1097</v>
      </c>
      <c r="E7422" s="2138" t="s">
        <v>1504</v>
      </c>
      <c r="F7422" s="1587" t="s">
        <v>1632</v>
      </c>
      <c r="G7422" s="1588">
        <v>1.01</v>
      </c>
      <c r="H7422" s="1674"/>
      <c r="I7422" s="1299"/>
      <c r="J7422" s="1300"/>
      <c r="K7422" s="1307">
        <f>K7419*G7422</f>
        <v>0.38884999999999997</v>
      </c>
      <c r="L7422" s="1335">
        <f t="shared" si="1005"/>
        <v>0</v>
      </c>
      <c r="M7422" s="1302">
        <v>0.55000000000000004</v>
      </c>
      <c r="N7422" s="1700"/>
      <c r="O7422" s="1290">
        <f>G7422*M7422</f>
        <v>0.5555000000000001</v>
      </c>
      <c r="P7422" s="1332">
        <f>M7422*K7422</f>
        <v>0.21386750000000002</v>
      </c>
      <c r="Q7422" s="3391"/>
      <c r="R7422" s="2339"/>
    </row>
    <row r="7423" spans="1:18" s="22" customFormat="1">
      <c r="A7423" s="1042"/>
      <c r="B7423" s="1599"/>
      <c r="C7423" s="1042"/>
      <c r="D7423" s="1587"/>
      <c r="E7423" s="2138"/>
      <c r="F7423" s="1587"/>
      <c r="G7423" s="1588"/>
      <c r="H7423" s="1674"/>
      <c r="I7423" s="1299"/>
      <c r="J7423" s="1300"/>
      <c r="K7423" s="1307"/>
      <c r="L7423" s="1335"/>
      <c r="M7423" s="1302"/>
      <c r="N7423" s="1700"/>
      <c r="O7423" s="1290"/>
      <c r="P7423" s="1332"/>
      <c r="Q7423" s="3391"/>
      <c r="R7423" s="2339"/>
    </row>
    <row r="7424" spans="1:18" s="22" customFormat="1">
      <c r="A7424" s="1042"/>
      <c r="B7424" s="1599"/>
      <c r="C7424" s="1042"/>
      <c r="D7424" s="1367"/>
      <c r="E7424" s="2121"/>
      <c r="F7424" s="1436"/>
      <c r="G7424" s="1436"/>
      <c r="H7424" s="1369"/>
      <c r="I7424" s="1299" t="str">
        <f t="shared" ref="I7424" ca="1" si="1006">IF(COUNT(H7424:O7424)=0,"",(SUM(H7424:O7424)/COUNT(H7424:O7424)))</f>
        <v/>
      </c>
      <c r="J7424" s="1300"/>
      <c r="K7424" s="1307"/>
      <c r="L7424" s="1335"/>
      <c r="M7424" s="1302"/>
      <c r="N7424" s="1700"/>
      <c r="O7424" s="1290"/>
      <c r="P7424" s="1332"/>
      <c r="Q7424" s="3391"/>
      <c r="R7424" s="2339"/>
    </row>
    <row r="7425" spans="1:22" s="22" customFormat="1">
      <c r="A7425" s="1042"/>
      <c r="B7425" s="1599"/>
      <c r="C7425" s="1042"/>
      <c r="D7425" s="1359"/>
      <c r="E7425" s="1858"/>
      <c r="F7425" s="1360" t="s">
        <v>2</v>
      </c>
      <c r="G7425" s="1360"/>
      <c r="H7425" s="1362"/>
      <c r="I7425" s="1380"/>
      <c r="J7425" s="1381"/>
      <c r="K7425" s="1381"/>
      <c r="L7425" s="1458"/>
      <c r="M7425" s="1362"/>
      <c r="N7425" s="1362"/>
      <c r="O7425" s="1362"/>
      <c r="P7425" s="1359"/>
      <c r="Q7425" s="3387"/>
      <c r="R7425" s="2339"/>
    </row>
    <row r="7426" spans="1:22" s="22" customFormat="1">
      <c r="A7426"/>
      <c r="B7426" s="1042"/>
      <c r="C7426" s="19"/>
      <c r="D7426" s="1430" t="s">
        <v>1067</v>
      </c>
      <c r="E7426" s="1857" t="s">
        <v>1508</v>
      </c>
      <c r="F7426" s="1403" t="s">
        <v>5</v>
      </c>
      <c r="G7426" s="1991">
        <v>0.1</v>
      </c>
      <c r="H7426" s="1408"/>
      <c r="I7426" s="1286"/>
      <c r="J7426" s="198"/>
      <c r="K7426" s="1307">
        <f>G7426*K7419</f>
        <v>3.85E-2</v>
      </c>
      <c r="L7426" s="1335">
        <f t="shared" ref="L7426" si="1007">K7426*$K$7278</f>
        <v>0</v>
      </c>
      <c r="M7426" s="1302">
        <v>18.28</v>
      </c>
      <c r="N7426" s="1718"/>
      <c r="O7426" s="1290">
        <f>G7426*M7426</f>
        <v>1.8280000000000003</v>
      </c>
      <c r="P7426" s="1332">
        <f>M7426*K7426</f>
        <v>0.70378000000000007</v>
      </c>
      <c r="Q7426" s="3391"/>
      <c r="R7426" s="2337"/>
    </row>
    <row r="7427" spans="1:22" s="22" customFormat="1">
      <c r="A7427" s="16"/>
      <c r="B7427" s="1599"/>
      <c r="C7427" s="1320"/>
      <c r="D7427" s="1430"/>
      <c r="E7427" s="1857"/>
      <c r="F7427" s="1430"/>
      <c r="G7427" s="1822"/>
      <c r="H7427" s="1359"/>
      <c r="I7427" s="1299"/>
      <c r="J7427" s="1300"/>
      <c r="K7427" s="1307"/>
      <c r="L7427" s="1335"/>
      <c r="M7427" s="1302"/>
      <c r="N7427" s="1700"/>
      <c r="O7427" s="1290"/>
      <c r="P7427" s="1332"/>
      <c r="Q7427" s="3391"/>
      <c r="R7427" s="2339"/>
    </row>
    <row r="7428" spans="1:22" s="22" customFormat="1">
      <c r="A7428"/>
      <c r="B7428" s="1320"/>
      <c r="C7428" s="16"/>
      <c r="D7428" s="1359"/>
      <c r="E7428" s="1858"/>
      <c r="F7428" s="1474"/>
      <c r="G7428" s="1474"/>
      <c r="H7428" s="1466"/>
      <c r="I7428" s="1289"/>
      <c r="J7428" s="8"/>
      <c r="K7428" s="1307"/>
      <c r="L7428" s="1335"/>
      <c r="M7428" s="1302"/>
      <c r="N7428" s="1700"/>
      <c r="O7428" s="1290"/>
      <c r="P7428" s="1332"/>
      <c r="Q7428" s="3391"/>
      <c r="R7428" s="1296"/>
    </row>
    <row r="7429" spans="1:22" s="22" customFormat="1">
      <c r="A7429" s="1320"/>
      <c r="B7429" s="1599"/>
      <c r="C7429" s="1320"/>
      <c r="D7429" s="1373"/>
      <c r="E7429" s="2123"/>
      <c r="F7429" s="1374" t="s">
        <v>3</v>
      </c>
      <c r="G7429" s="1375"/>
      <c r="H7429" s="1376"/>
      <c r="I7429" s="1382"/>
      <c r="J7429" s="1383"/>
      <c r="K7429" s="1383"/>
      <c r="L7429" s="1413"/>
      <c r="M7429" s="1376"/>
      <c r="N7429" s="1376"/>
      <c r="O7429" s="1376"/>
      <c r="P7429" s="1373"/>
      <c r="Q7429" s="3387"/>
      <c r="R7429" s="2339"/>
    </row>
    <row r="7430" spans="1:22" s="22" customFormat="1">
      <c r="A7430" s="1321"/>
      <c r="B7430" s="2053"/>
      <c r="C7430" s="1321"/>
      <c r="D7430" s="1827"/>
      <c r="E7430" s="2173"/>
      <c r="F7430" s="1827"/>
      <c r="G7430" s="1828"/>
      <c r="H7430" s="1379"/>
      <c r="I7430" s="1299"/>
      <c r="J7430" s="1300"/>
      <c r="K7430" s="1307"/>
      <c r="L7430" s="1335"/>
      <c r="M7430" s="1302"/>
      <c r="N7430" s="1700"/>
      <c r="O7430" s="1290"/>
      <c r="P7430" s="1332"/>
      <c r="Q7430" s="3391"/>
      <c r="R7430" s="2339"/>
    </row>
    <row r="7431" spans="1:22" s="22" customFormat="1">
      <c r="A7431" s="1321"/>
      <c r="B7431" s="2053"/>
      <c r="C7431" s="1321"/>
      <c r="D7431" s="1377"/>
      <c r="E7431" s="2124"/>
      <c r="F7431" s="1378"/>
      <c r="G7431" s="1378"/>
      <c r="H7431" s="1379"/>
      <c r="I7431" s="1299"/>
      <c r="J7431" s="1300"/>
      <c r="K7431" s="1307"/>
      <c r="L7431" s="1335"/>
      <c r="M7431" s="1302"/>
      <c r="N7431" s="1700"/>
      <c r="O7431" s="1290"/>
      <c r="P7431" s="1333"/>
      <c r="Q7431" s="3391"/>
      <c r="R7431" s="2339"/>
    </row>
    <row r="7432" spans="1:22" s="22" customFormat="1">
      <c r="A7432" s="1042"/>
      <c r="B7432" s="1765"/>
      <c r="C7432" s="223"/>
      <c r="D7432" s="1373"/>
      <c r="E7432" s="2161"/>
      <c r="F7432" s="1678"/>
      <c r="G7432" s="1678"/>
      <c r="H7432" s="1376"/>
      <c r="I7432" s="1299"/>
      <c r="J7432" s="1300"/>
      <c r="K7432" s="1307"/>
      <c r="L7432" s="1335"/>
      <c r="M7432" s="1302"/>
      <c r="N7432" s="1700"/>
      <c r="O7432" s="1290"/>
      <c r="P7432" s="1332"/>
      <c r="Q7432" s="3391"/>
      <c r="R7432" s="2339"/>
      <c r="S7432" s="4159" t="s">
        <v>3876</v>
      </c>
      <c r="T7432" s="1661"/>
      <c r="U7432" s="1661"/>
      <c r="V7432" s="1661"/>
    </row>
    <row r="7433" spans="1:22" s="22" customFormat="1">
      <c r="A7433" s="16"/>
      <c r="B7433" s="16"/>
      <c r="C7433" s="16"/>
      <c r="D7433" s="16"/>
      <c r="E7433" s="2182"/>
      <c r="F7433" s="2080"/>
      <c r="G7433" s="2080"/>
      <c r="H7433" s="13"/>
      <c r="I7433" s="1561"/>
      <c r="J7433" s="13"/>
      <c r="K7433" s="1639"/>
      <c r="L7433" s="1640"/>
      <c r="M7433" s="1292"/>
      <c r="N7433" s="1292"/>
      <c r="O7433" s="1292"/>
      <c r="P7433" s="1292"/>
      <c r="Q7433" s="3391"/>
      <c r="R7433" s="2344"/>
    </row>
    <row r="7434" spans="1:22" s="22" customFormat="1">
      <c r="A7434" s="16"/>
      <c r="B7434" s="16"/>
      <c r="C7434" s="16"/>
      <c r="D7434" s="16"/>
      <c r="E7434" s="2182"/>
      <c r="F7434" s="2080"/>
      <c r="G7434" s="2080"/>
      <c r="H7434" s="13"/>
      <c r="I7434" s="1561"/>
      <c r="J7434" s="13"/>
      <c r="K7434" s="1639"/>
      <c r="L7434" s="1640"/>
      <c r="M7434" s="1292"/>
      <c r="N7434" s="1292"/>
      <c r="O7434" s="1292"/>
      <c r="P7434" s="1292"/>
      <c r="Q7434" s="3391"/>
      <c r="R7434" s="2344"/>
    </row>
    <row r="7435" spans="1:22" s="22" customFormat="1">
      <c r="A7435" s="4391" t="s">
        <v>200</v>
      </c>
      <c r="B7435" s="4392"/>
      <c r="C7435" s="4392"/>
      <c r="D7435" s="4392"/>
      <c r="E7435" s="1303" t="s">
        <v>1504</v>
      </c>
      <c r="F7435" s="2115" t="s">
        <v>2348</v>
      </c>
      <c r="G7435" s="1288"/>
      <c r="H7435" s="1288"/>
      <c r="I7435" s="1557"/>
      <c r="J7435" s="1288"/>
      <c r="K7435" s="1288"/>
      <c r="L7435" s="1557"/>
      <c r="M7435" s="1288"/>
      <c r="N7435" s="1288"/>
      <c r="O7435" s="1288"/>
      <c r="P7435" s="1283"/>
      <c r="Q7435" s="3386"/>
      <c r="R7435" s="2339"/>
    </row>
    <row r="7436" spans="1:22" s="22" customFormat="1">
      <c r="A7436" s="16"/>
      <c r="B7436" s="16"/>
      <c r="C7436" s="16"/>
      <c r="D7436" s="16"/>
      <c r="E7436" s="2182"/>
      <c r="F7436" s="2080"/>
      <c r="G7436" s="2080"/>
      <c r="H7436" s="13"/>
      <c r="I7436" s="1561"/>
      <c r="J7436" s="13"/>
      <c r="K7436" s="1639"/>
      <c r="L7436" s="1640"/>
      <c r="M7436" s="1292"/>
      <c r="N7436" s="1292"/>
      <c r="O7436" s="1292"/>
      <c r="P7436" s="1292"/>
      <c r="Q7436" s="3391"/>
      <c r="R7436" s="2339"/>
    </row>
    <row r="7437" spans="1:22" s="22" customFormat="1" ht="28.5">
      <c r="A7437" s="16"/>
      <c r="B7437" s="16"/>
      <c r="C7437" s="16"/>
      <c r="D7437" s="16"/>
      <c r="E7437" s="2182"/>
      <c r="F7437" s="2080"/>
      <c r="G7437" s="2080"/>
      <c r="H7437" s="13"/>
      <c r="I7437" s="1561"/>
      <c r="J7437" s="13"/>
      <c r="K7437" s="1639"/>
      <c r="L7437" s="2375" t="s">
        <v>2856</v>
      </c>
      <c r="M7437" s="1292"/>
      <c r="N7437" s="1292"/>
      <c r="O7437" s="1292"/>
      <c r="P7437" s="1292"/>
      <c r="Q7437" s="3391"/>
      <c r="R7437" s="2339"/>
    </row>
    <row r="7438" spans="1:22" s="22" customFormat="1">
      <c r="A7438" s="4393" t="s">
        <v>162</v>
      </c>
      <c r="B7438" s="4394"/>
      <c r="C7438" s="4394"/>
      <c r="D7438" s="4395"/>
      <c r="E7438" s="4396" t="s">
        <v>1549</v>
      </c>
      <c r="F7438" s="4397" t="s">
        <v>1550</v>
      </c>
      <c r="G7438" s="4399" t="s">
        <v>1566</v>
      </c>
      <c r="H7438" s="4400"/>
      <c r="I7438" s="4400"/>
      <c r="J7438" s="4400"/>
      <c r="K7438" s="4400"/>
      <c r="L7438" s="4401"/>
      <c r="M7438" s="4405" t="s">
        <v>1567</v>
      </c>
      <c r="N7438" s="4405"/>
      <c r="O7438" s="4405"/>
      <c r="P7438" s="4405"/>
      <c r="Q7438" s="3395"/>
      <c r="R7438" s="2339"/>
    </row>
    <row r="7439" spans="1:22" s="22" customFormat="1" ht="15" thickBot="1">
      <c r="A7439" s="1324" t="s">
        <v>3766</v>
      </c>
      <c r="B7439" s="1325" t="s">
        <v>1513</v>
      </c>
      <c r="C7439" s="1326" t="s">
        <v>1573</v>
      </c>
      <c r="D7439" s="1323" t="s">
        <v>1514</v>
      </c>
      <c r="E7439" s="4396"/>
      <c r="F7439" s="4398"/>
      <c r="G7439" s="4402"/>
      <c r="H7439" s="4403"/>
      <c r="I7439" s="4403"/>
      <c r="J7439" s="4403"/>
      <c r="K7439" s="4403"/>
      <c r="L7439" s="4404"/>
      <c r="M7439" s="4405"/>
      <c r="N7439" s="4405"/>
      <c r="O7439" s="4405"/>
      <c r="P7439" s="4405"/>
      <c r="Q7439" s="3395"/>
      <c r="R7439" s="2339"/>
    </row>
    <row r="7440" spans="1:22" s="22" customFormat="1" ht="36.75" customHeight="1">
      <c r="A7440" s="4374" t="s">
        <v>2349</v>
      </c>
      <c r="B7440" s="4375"/>
      <c r="C7440" s="4375"/>
      <c r="D7440" s="4376"/>
      <c r="E7440" s="4380" t="s">
        <v>1504</v>
      </c>
      <c r="F7440" s="4382" t="s">
        <v>2331</v>
      </c>
      <c r="G7440" s="4406" t="s">
        <v>294</v>
      </c>
      <c r="H7440" s="4407"/>
      <c r="I7440" s="1665" t="s">
        <v>1565</v>
      </c>
      <c r="J7440" s="3348" t="s">
        <v>1575</v>
      </c>
      <c r="K7440" s="4406" t="s">
        <v>289</v>
      </c>
      <c r="L7440" s="4407"/>
      <c r="M7440" s="4408" t="s">
        <v>3349</v>
      </c>
      <c r="N7440" s="4408"/>
      <c r="O7440" s="4408"/>
      <c r="P7440" s="4409"/>
      <c r="Q7440" s="4244" t="s">
        <v>3964</v>
      </c>
      <c r="R7440" s="2339"/>
    </row>
    <row r="7441" spans="1:18" s="22" customFormat="1" ht="27" customHeight="1" thickBot="1">
      <c r="A7441" s="4377"/>
      <c r="B7441" s="4378"/>
      <c r="C7441" s="4378"/>
      <c r="D7441" s="4379"/>
      <c r="E7441" s="4381"/>
      <c r="F7441" s="4383"/>
      <c r="G7441" s="4451">
        <f>IF('Seleccion proyecto HEREVEA02'!G58="Sustitución y reposición",'Seleccion proyecto HEREVEA02'!E58,0)</f>
        <v>0</v>
      </c>
      <c r="H7441" s="4452"/>
      <c r="I7441" s="3353">
        <f>IF('Seleccion proyecto HEREVEA02'!H58=0,0,IF('Seleccion proyecto HEREVEA02'!H58="1 a 30",0.3,IF('Seleccion proyecto HEREVEA02'!H58="31 a 60",0.6,IF('Seleccion proyecto HEREVEA02'!H58="61 a 100",1))))</f>
        <v>0</v>
      </c>
      <c r="J7441" s="1351">
        <f>'Seleccion proyecto HEREVEA02'!L8</f>
        <v>11100.968999999999</v>
      </c>
      <c r="K7441" s="4358">
        <f>G7441*I7441*J7441</f>
        <v>0</v>
      </c>
      <c r="L7441" s="4359"/>
      <c r="M7441" s="4360">
        <f>P7444+P7445+P7446+P7447+P7452+P7465+P7478+P7491+P7504+P7517+P7530+P7543+P7556+P7569+P7583+P7602+P7621+P7640+P7660+P7679+P7698+P7718+P7742+P7760+P7776+P7792</f>
        <v>5868.8625176629994</v>
      </c>
      <c r="N7441" s="4361"/>
      <c r="O7441" s="4361"/>
      <c r="P7441" s="4362"/>
      <c r="Q7441" s="4245">
        <f>M7441*K7441</f>
        <v>0</v>
      </c>
      <c r="R7441" s="2339"/>
    </row>
    <row r="7442" spans="1:18" s="22" customFormat="1">
      <c r="A7442" s="553"/>
      <c r="B7442" s="4339"/>
      <c r="C7442" s="3361"/>
      <c r="D7442" s="4340"/>
      <c r="E7442" s="4342"/>
      <c r="F7442" s="4344" t="s">
        <v>2</v>
      </c>
      <c r="G7442" s="4346" t="s">
        <v>1568</v>
      </c>
      <c r="H7442" s="4348" t="s">
        <v>1574</v>
      </c>
      <c r="I7442" s="4350"/>
      <c r="J7442" s="4351" t="s">
        <v>1560</v>
      </c>
      <c r="K7442" s="4351" t="s">
        <v>1569</v>
      </c>
      <c r="L7442" s="4333" t="s">
        <v>3765</v>
      </c>
      <c r="M7442" s="4352" t="s">
        <v>1571</v>
      </c>
      <c r="N7442" s="4353" t="s">
        <v>1776</v>
      </c>
      <c r="O7442" s="4354" t="s">
        <v>1563</v>
      </c>
      <c r="P7442" s="4356" t="s">
        <v>1562</v>
      </c>
      <c r="Q7442" s="3389"/>
      <c r="R7442" s="2339"/>
    </row>
    <row r="7443" spans="1:18" s="22" customFormat="1">
      <c r="A7443" s="2083"/>
      <c r="B7443" s="4339"/>
      <c r="C7443" s="3361"/>
      <c r="D7443" s="4341"/>
      <c r="E7443" s="4343"/>
      <c r="F7443" s="4345"/>
      <c r="G7443" s="4347"/>
      <c r="H7443" s="4349"/>
      <c r="I7443" s="4350"/>
      <c r="J7443" s="4351"/>
      <c r="K7443" s="4351"/>
      <c r="L7443" s="4334"/>
      <c r="M7443" s="4352"/>
      <c r="N7443" s="4353"/>
      <c r="O7443" s="4355"/>
      <c r="P7443" s="4357"/>
      <c r="Q7443" s="3389"/>
      <c r="R7443" s="2339"/>
    </row>
    <row r="7444" spans="1:18" s="22" customFormat="1">
      <c r="A7444" s="2053"/>
      <c r="B7444" s="1321"/>
      <c r="C7444" s="1295"/>
      <c r="D7444" s="1363" t="s">
        <v>1067</v>
      </c>
      <c r="E7444" s="2125" t="s">
        <v>1508</v>
      </c>
      <c r="F7444" s="1385" t="s">
        <v>1512</v>
      </c>
      <c r="G7444" s="1998">
        <v>40.74</v>
      </c>
      <c r="H7444" s="2084"/>
      <c r="I7444" s="2085"/>
      <c r="J7444" s="1589">
        <v>0.25</v>
      </c>
      <c r="K7444" s="1307">
        <f>G7444*J7444</f>
        <v>10.185</v>
      </c>
      <c r="L7444" s="1335">
        <f>K7444*$K$7441</f>
        <v>0</v>
      </c>
      <c r="M7444" s="1302">
        <v>18.28</v>
      </c>
      <c r="N7444" s="1700"/>
      <c r="O7444" s="1290">
        <f>G7444*M7444</f>
        <v>744.72720000000004</v>
      </c>
      <c r="P7444" s="1337">
        <f>M7444*K7444</f>
        <v>186.18180000000001</v>
      </c>
      <c r="Q7444" s="3390"/>
      <c r="R7444" s="2339"/>
    </row>
    <row r="7445" spans="1:18" s="22" customFormat="1">
      <c r="A7445" s="1599"/>
      <c r="B7445" s="1320"/>
      <c r="C7445" s="16"/>
      <c r="D7445" s="1359" t="s">
        <v>1099</v>
      </c>
      <c r="E7445" s="1858" t="s">
        <v>1508</v>
      </c>
      <c r="F7445" s="1404" t="s">
        <v>2405</v>
      </c>
      <c r="G7445" s="2096">
        <v>1.92</v>
      </c>
      <c r="H7445" s="1359"/>
      <c r="I7445" s="1289"/>
      <c r="J7445" s="8">
        <v>0.25</v>
      </c>
      <c r="K7445" s="1307">
        <f>G7445*J7445</f>
        <v>0.48</v>
      </c>
      <c r="L7445" s="1335">
        <f t="shared" ref="L7445:L7449" si="1008">K7445*$K$7441</f>
        <v>0</v>
      </c>
      <c r="M7445" s="1302">
        <v>19.23</v>
      </c>
      <c r="N7445" s="1700"/>
      <c r="O7445" s="1290">
        <f>G7445*M7445</f>
        <v>36.921599999999998</v>
      </c>
      <c r="P7445" s="1337">
        <f>M7445*K7445</f>
        <v>9.2303999999999995</v>
      </c>
      <c r="Q7445" s="3390"/>
      <c r="R7445" s="2339"/>
    </row>
    <row r="7446" spans="1:18" s="22" customFormat="1">
      <c r="A7446" s="1599"/>
      <c r="B7446" s="1320"/>
      <c r="C7446" s="16"/>
      <c r="D7446" s="1359" t="s">
        <v>1134</v>
      </c>
      <c r="E7446" s="1858" t="s">
        <v>1508</v>
      </c>
      <c r="F7446" s="1404" t="s">
        <v>2352</v>
      </c>
      <c r="G7446" s="2096">
        <v>0.3</v>
      </c>
      <c r="H7446" s="1359"/>
      <c r="I7446" s="1289"/>
      <c r="J7446" s="8">
        <v>0.25</v>
      </c>
      <c r="K7446" s="1307">
        <f>G7446*J7446</f>
        <v>7.4999999999999997E-2</v>
      </c>
      <c r="L7446" s="1335">
        <f t="shared" si="1008"/>
        <v>0</v>
      </c>
      <c r="M7446" s="1302">
        <v>19.23</v>
      </c>
      <c r="N7446" s="1700"/>
      <c r="O7446" s="1290">
        <f>G7446*M7446</f>
        <v>5.7690000000000001</v>
      </c>
      <c r="P7446" s="1337">
        <f>M7446*K7446</f>
        <v>1.44225</v>
      </c>
      <c r="Q7446" s="3390"/>
      <c r="R7446" s="2339"/>
    </row>
    <row r="7447" spans="1:18" s="22" customFormat="1">
      <c r="A7447"/>
      <c r="B7447" s="1042"/>
      <c r="C7447" s="2086" t="s">
        <v>1755</v>
      </c>
      <c r="D7447" s="1311"/>
      <c r="E7447" s="2176" t="s">
        <v>1508</v>
      </c>
      <c r="F7447" s="1648" t="s">
        <v>1524</v>
      </c>
      <c r="G7447" s="1990"/>
      <c r="H7447" s="1954">
        <v>1.1599999999999999</v>
      </c>
      <c r="I7447" s="1444"/>
      <c r="J7447" s="1366">
        <v>0.25</v>
      </c>
      <c r="K7447" s="1445"/>
      <c r="L7447" s="1457"/>
      <c r="M7447" s="1447"/>
      <c r="N7447" s="1447">
        <f>SUM(N7448:N7449)</f>
        <v>37.510000000000005</v>
      </c>
      <c r="O7447" s="1447">
        <f>SUM(O7448:O7449)</f>
        <v>43.511600000000001</v>
      </c>
      <c r="P7447" s="1337">
        <f>SUM(P7448:P7449)</f>
        <v>10.8779</v>
      </c>
      <c r="Q7447" s="3390"/>
      <c r="R7447" s="2339"/>
    </row>
    <row r="7448" spans="1:18" s="22" customFormat="1">
      <c r="A7448"/>
      <c r="B7448" s="1042"/>
      <c r="C7448" s="19"/>
      <c r="D7448" s="1430" t="s">
        <v>1067</v>
      </c>
      <c r="E7448" s="1857" t="s">
        <v>1508</v>
      </c>
      <c r="F7448" s="1403" t="s">
        <v>5</v>
      </c>
      <c r="G7448" s="1991">
        <v>1</v>
      </c>
      <c r="H7448" s="1937">
        <f>G7448*H7447</f>
        <v>1.1599999999999999</v>
      </c>
      <c r="I7448" s="1286"/>
      <c r="J7448" s="198"/>
      <c r="K7448" s="1307">
        <f>H7448*J7447</f>
        <v>0.28999999999999998</v>
      </c>
      <c r="L7448" s="1335">
        <f t="shared" si="1008"/>
        <v>0</v>
      </c>
      <c r="M7448" s="1302">
        <v>18.28</v>
      </c>
      <c r="N7448" s="1718">
        <f>G7448*M7448</f>
        <v>18.28</v>
      </c>
      <c r="O7448" s="1290">
        <f>H7448*M7448</f>
        <v>21.204799999999999</v>
      </c>
      <c r="P7448" s="1720">
        <f>M7448*K7448</f>
        <v>5.3011999999999997</v>
      </c>
      <c r="Q7448" s="3396"/>
      <c r="R7448" s="2339"/>
    </row>
    <row r="7449" spans="1:18" s="22" customFormat="1">
      <c r="A7449"/>
      <c r="B7449" s="1042"/>
      <c r="C7449" s="19"/>
      <c r="D7449" s="1430" t="s">
        <v>1077</v>
      </c>
      <c r="E7449" s="1857" t="s">
        <v>1508</v>
      </c>
      <c r="F7449" s="1403" t="s">
        <v>37</v>
      </c>
      <c r="G7449" s="1991">
        <v>1</v>
      </c>
      <c r="H7449" s="1937">
        <f>G7449*H7447</f>
        <v>1.1599999999999999</v>
      </c>
      <c r="I7449" s="197"/>
      <c r="J7449" s="198"/>
      <c r="K7449" s="1307">
        <f>H7449*J7447</f>
        <v>0.28999999999999998</v>
      </c>
      <c r="L7449" s="1335">
        <f t="shared" si="1008"/>
        <v>0</v>
      </c>
      <c r="M7449" s="1302">
        <v>19.23</v>
      </c>
      <c r="N7449" s="1718">
        <f>G7449*M7449</f>
        <v>19.23</v>
      </c>
      <c r="O7449" s="1290">
        <f>H7449*M7449</f>
        <v>22.306799999999999</v>
      </c>
      <c r="P7449" s="1720">
        <f>M7449*K7449</f>
        <v>5.5766999999999998</v>
      </c>
      <c r="Q7449" s="3396"/>
      <c r="R7449" s="2339"/>
    </row>
    <row r="7450" spans="1:18" s="22" customFormat="1">
      <c r="A7450"/>
      <c r="B7450" s="225"/>
      <c r="C7450" s="16"/>
      <c r="D7450" s="1359"/>
      <c r="E7450" s="1858"/>
      <c r="F7450" s="1361"/>
      <c r="G7450" s="1361"/>
      <c r="H7450" s="1466"/>
      <c r="I7450" s="1289"/>
      <c r="J7450" s="8"/>
      <c r="K7450" s="1307"/>
      <c r="L7450" s="1335"/>
      <c r="M7450" s="1302"/>
      <c r="N7450" s="1700"/>
      <c r="O7450" s="1290"/>
      <c r="P7450" s="1332"/>
      <c r="Q7450" s="3391"/>
      <c r="R7450" s="2339"/>
    </row>
    <row r="7451" spans="1:18" s="22" customFormat="1" ht="15" customHeight="1">
      <c r="A7451" s="19" t="s">
        <v>3764</v>
      </c>
      <c r="B7451" s="4325" t="s">
        <v>1654</v>
      </c>
      <c r="C7451" s="3350"/>
      <c r="D7451" s="4327"/>
      <c r="E7451" s="4329" t="s">
        <v>1507</v>
      </c>
      <c r="F7451" s="4338" t="s">
        <v>1664</v>
      </c>
      <c r="G7451" s="4331" t="s">
        <v>1568</v>
      </c>
      <c r="H7451" s="4331" t="s">
        <v>1574</v>
      </c>
      <c r="I7451" s="1572" t="s">
        <v>1559</v>
      </c>
      <c r="J7451" s="1294" t="s">
        <v>1560</v>
      </c>
      <c r="K7451" s="1294" t="s">
        <v>1561</v>
      </c>
      <c r="L7451" s="4333" t="s">
        <v>3765</v>
      </c>
      <c r="M7451" s="4335" t="s">
        <v>1571</v>
      </c>
      <c r="N7451" s="4323" t="s">
        <v>1776</v>
      </c>
      <c r="O7451" s="3347" t="s">
        <v>1563</v>
      </c>
      <c r="P7451" s="1336" t="s">
        <v>1562</v>
      </c>
      <c r="Q7451" s="3389"/>
      <c r="R7451" s="1699" t="s">
        <v>1327</v>
      </c>
    </row>
    <row r="7452" spans="1:18" s="22" customFormat="1">
      <c r="A7452" s="1599" t="s">
        <v>2349</v>
      </c>
      <c r="B7452" s="4326"/>
      <c r="C7452" s="3351"/>
      <c r="D7452" s="4328"/>
      <c r="E7452" s="4330"/>
      <c r="F7452" s="4338"/>
      <c r="G7452" s="4332"/>
      <c r="H7452" s="4332"/>
      <c r="I7452" s="1345">
        <v>248.4</v>
      </c>
      <c r="J7452" s="1307">
        <v>0.25</v>
      </c>
      <c r="K7452" s="1297">
        <f>I7452*J7452</f>
        <v>62.1</v>
      </c>
      <c r="L7452" s="4334"/>
      <c r="M7452" s="4335"/>
      <c r="N7452" s="4324"/>
      <c r="O7452" s="1298">
        <f>SUM(O7454:O7462)</f>
        <v>11.479840000000001</v>
      </c>
      <c r="P7452" s="1337">
        <f>O7452*K7452</f>
        <v>712.89806400000009</v>
      </c>
      <c r="Q7452" s="3390"/>
      <c r="R7452" s="1721">
        <f>SUM(P7454:P7463)</f>
        <v>712.89806400000009</v>
      </c>
    </row>
    <row r="7453" spans="1:18" s="22" customFormat="1">
      <c r="A7453" s="1320"/>
      <c r="B7453" s="1511"/>
      <c r="C7453" s="18"/>
      <c r="D7453" s="1463"/>
      <c r="E7453" s="2121"/>
      <c r="F7453" s="1368" t="s">
        <v>1</v>
      </c>
      <c r="G7453" s="1464"/>
      <c r="H7453" s="1426"/>
      <c r="I7453" s="1391"/>
      <c r="J7453" s="1369"/>
      <c r="K7453" s="1369"/>
      <c r="L7453" s="1554"/>
      <c r="M7453" s="1369"/>
      <c r="N7453" s="1369"/>
      <c r="O7453" s="1369"/>
      <c r="P7453" s="1367"/>
      <c r="Q7453" s="3387"/>
      <c r="R7453" s="2338"/>
    </row>
    <row r="7454" spans="1:18" s="22" customFormat="1">
      <c r="A7454" s="1320"/>
      <c r="B7454" s="595"/>
      <c r="C7454" s="1042"/>
      <c r="D7454" s="1598"/>
      <c r="E7454" s="2152"/>
      <c r="F7454" s="1598"/>
      <c r="G7454" s="1494"/>
      <c r="H7454" s="1372"/>
      <c r="I7454" s="1286" t="str">
        <f>IF(COUNT(#REF!)=0,"",(SUM(#REF!)/COUNT(#REF!)))</f>
        <v/>
      </c>
      <c r="J7454" s="1287"/>
      <c r="K7454" s="1307"/>
      <c r="L7454" s="1335"/>
      <c r="M7454" s="1499"/>
      <c r="N7454" s="1499"/>
      <c r="O7454" s="1291"/>
      <c r="P7454" s="1332"/>
      <c r="Q7454" s="3391"/>
      <c r="R7454" s="2338"/>
    </row>
    <row r="7455" spans="1:18" s="22" customFormat="1">
      <c r="A7455" s="1320"/>
      <c r="B7455" s="595"/>
      <c r="C7455" s="1042"/>
      <c r="D7455" s="1598"/>
      <c r="E7455" s="2152"/>
      <c r="F7455" s="1598"/>
      <c r="G7455" s="1494"/>
      <c r="H7455" s="1372"/>
      <c r="I7455" s="1286" t="str">
        <f t="shared" ref="I7455:I7456" si="1009">IF(COUNT(H7456:O7456)=0,"",(SUM(H7456:O7456)/COUNT(H7456:O7456)))</f>
        <v/>
      </c>
      <c r="J7455" s="1287"/>
      <c r="K7455" s="1307"/>
      <c r="L7455" s="1335"/>
      <c r="M7455" s="1499"/>
      <c r="N7455" s="1499"/>
      <c r="O7455" s="1291"/>
      <c r="P7455" s="1332"/>
      <c r="Q7455" s="3391"/>
      <c r="R7455" s="2338"/>
    </row>
    <row r="7456" spans="1:18" s="22" customFormat="1">
      <c r="A7456" s="1320"/>
      <c r="B7456" s="595"/>
      <c r="C7456" s="1042"/>
      <c r="D7456" s="1370"/>
      <c r="E7456" s="2152"/>
      <c r="F7456" s="1471"/>
      <c r="G7456" s="1494"/>
      <c r="H7456" s="1372"/>
      <c r="I7456" s="1286" t="str">
        <f t="shared" si="1009"/>
        <v/>
      </c>
      <c r="J7456" s="1287"/>
      <c r="K7456" s="1307"/>
      <c r="L7456" s="1335"/>
      <c r="M7456" s="1499"/>
      <c r="N7456" s="1499"/>
      <c r="O7456" s="1291"/>
      <c r="P7456" s="1332"/>
      <c r="Q7456" s="3391"/>
      <c r="R7456" s="2338"/>
    </row>
    <row r="7457" spans="1:18" s="22" customFormat="1">
      <c r="A7457" s="1320"/>
      <c r="B7457" s="595"/>
      <c r="C7457" s="1042"/>
      <c r="D7457" s="1404"/>
      <c r="E7457" s="1858"/>
      <c r="F7457" s="1465" t="s">
        <v>2</v>
      </c>
      <c r="G7457" s="1466"/>
      <c r="H7457" s="1362"/>
      <c r="I7457" s="1380"/>
      <c r="J7457" s="1381"/>
      <c r="K7457" s="1381"/>
      <c r="L7457" s="1458"/>
      <c r="M7457" s="1362"/>
      <c r="N7457" s="1705"/>
      <c r="O7457" s="1469"/>
      <c r="P7457" s="1470"/>
      <c r="Q7457" s="3398"/>
      <c r="R7457" s="2338"/>
    </row>
    <row r="7458" spans="1:18" s="22" customFormat="1">
      <c r="A7458" s="1320"/>
      <c r="B7458" s="595"/>
      <c r="C7458" s="1042"/>
      <c r="D7458" s="1402" t="s">
        <v>1067</v>
      </c>
      <c r="E7458" s="1857" t="s">
        <v>1508</v>
      </c>
      <c r="F7458" s="1430" t="s">
        <v>1512</v>
      </c>
      <c r="G7458" s="1362">
        <v>0.628</v>
      </c>
      <c r="H7458" s="1362"/>
      <c r="I7458" s="197"/>
      <c r="J7458" s="198"/>
      <c r="K7458" s="1307">
        <f>G7458*K7452</f>
        <v>38.998800000000003</v>
      </c>
      <c r="L7458" s="1335">
        <f t="shared" ref="L7458" si="1010">K7458*$K$7441</f>
        <v>0</v>
      </c>
      <c r="M7458" s="1499">
        <v>18.28</v>
      </c>
      <c r="N7458" s="1499"/>
      <c r="O7458" s="1291">
        <f>(G7458*M7458)</f>
        <v>11.479840000000001</v>
      </c>
      <c r="P7458" s="1332">
        <f>M7458*K7458</f>
        <v>712.89806400000009</v>
      </c>
      <c r="Q7458" s="3391"/>
      <c r="R7458" s="2338"/>
    </row>
    <row r="7459" spans="1:18" s="22" customFormat="1">
      <c r="A7459" s="1320"/>
      <c r="B7459" s="595"/>
      <c r="C7459" s="1042"/>
      <c r="D7459" s="1402"/>
      <c r="E7459" s="1857"/>
      <c r="F7459" s="1430"/>
      <c r="G7459" s="1362"/>
      <c r="H7459" s="1362"/>
      <c r="I7459" s="197"/>
      <c r="J7459" s="198"/>
      <c r="K7459" s="1307"/>
      <c r="L7459" s="1335"/>
      <c r="M7459" s="1499"/>
      <c r="N7459" s="1499"/>
      <c r="O7459" s="1291"/>
      <c r="P7459" s="1332"/>
      <c r="Q7459" s="3391"/>
      <c r="R7459" s="2338"/>
    </row>
    <row r="7460" spans="1:18" s="22" customFormat="1">
      <c r="A7460" s="1320"/>
      <c r="B7460" s="595"/>
      <c r="C7460" s="1042"/>
      <c r="D7460" s="1411"/>
      <c r="E7460" s="2123"/>
      <c r="F7460" s="1475" t="s">
        <v>3</v>
      </c>
      <c r="G7460" s="1373"/>
      <c r="H7460" s="1376"/>
      <c r="I7460" s="1382"/>
      <c r="J7460" s="1383"/>
      <c r="K7460" s="1373"/>
      <c r="L7460" s="1413"/>
      <c r="M7460" s="1508"/>
      <c r="N7460" s="1706"/>
      <c r="O7460" s="1486"/>
      <c r="P7460" s="1373"/>
      <c r="Q7460" s="3387"/>
      <c r="R7460" s="2338"/>
    </row>
    <row r="7461" spans="1:18" s="22" customFormat="1">
      <c r="A7461" s="1320"/>
      <c r="B7461" s="595"/>
      <c r="C7461" s="1042"/>
      <c r="D7461" s="1378"/>
      <c r="E7461" s="2139"/>
      <c r="F7461" s="1476"/>
      <c r="G7461" s="1477"/>
      <c r="H7461" s="1379"/>
      <c r="I7461" s="1289"/>
      <c r="J7461" s="1341"/>
      <c r="K7461" s="1307"/>
      <c r="L7461" s="1335"/>
      <c r="M7461" s="1499"/>
      <c r="N7461" s="1499"/>
      <c r="O7461" s="1291"/>
      <c r="P7461" s="1332"/>
      <c r="Q7461" s="3391"/>
      <c r="R7461" s="2338"/>
    </row>
    <row r="7462" spans="1:18" s="22" customFormat="1">
      <c r="A7462" s="1320"/>
      <c r="B7462" s="595"/>
      <c r="C7462" s="1042"/>
      <c r="D7462" s="1482"/>
      <c r="E7462" s="2141"/>
      <c r="F7462" s="1483"/>
      <c r="G7462" s="1483"/>
      <c r="H7462" s="1484"/>
      <c r="I7462" s="1349"/>
      <c r="J7462" s="1341"/>
      <c r="K7462" s="1307"/>
      <c r="L7462" s="1335"/>
      <c r="M7462" s="1499"/>
      <c r="N7462" s="1499"/>
      <c r="O7462" s="1291"/>
      <c r="P7462" s="1332"/>
      <c r="Q7462" s="3391"/>
      <c r="R7462" s="2338"/>
    </row>
    <row r="7463" spans="1:18" s="22" customFormat="1">
      <c r="A7463" s="1320"/>
      <c r="B7463" s="1512"/>
      <c r="C7463" s="223"/>
      <c r="D7463" s="1440"/>
      <c r="E7463" s="2132"/>
      <c r="F7463" s="1441"/>
      <c r="G7463" s="1441"/>
      <c r="H7463" s="1442"/>
      <c r="I7463" s="197" t="str">
        <f>IF(COUNT(H7464:O7464)=0,"",(SUM(H7464:O7464)/COUNT(H7464:O7464)))</f>
        <v/>
      </c>
      <c r="J7463" s="198"/>
      <c r="K7463" s="1307"/>
      <c r="L7463" s="1335"/>
      <c r="M7463" s="1499"/>
      <c r="N7463" s="1701"/>
      <c r="O7463" s="1290"/>
      <c r="P7463" s="1332"/>
      <c r="Q7463" s="3391"/>
      <c r="R7463" s="2338"/>
    </row>
    <row r="7464" spans="1:18" s="22" customFormat="1">
      <c r="A7464" s="19" t="s">
        <v>3764</v>
      </c>
      <c r="B7464" s="4325" t="s">
        <v>2350</v>
      </c>
      <c r="C7464" s="3350"/>
      <c r="D7464" s="4327"/>
      <c r="E7464" s="4329" t="s">
        <v>1507</v>
      </c>
      <c r="F7464" s="4338" t="s">
        <v>2351</v>
      </c>
      <c r="G7464" s="4331" t="s">
        <v>1568</v>
      </c>
      <c r="H7464" s="4331" t="s">
        <v>1574</v>
      </c>
      <c r="I7464" s="1572" t="s">
        <v>1559</v>
      </c>
      <c r="J7464" s="1294" t="s">
        <v>1560</v>
      </c>
      <c r="K7464" s="1294" t="s">
        <v>1561</v>
      </c>
      <c r="L7464" s="4333" t="s">
        <v>3765</v>
      </c>
      <c r="M7464" s="4335" t="s">
        <v>1571</v>
      </c>
      <c r="N7464" s="4323" t="s">
        <v>1776</v>
      </c>
      <c r="O7464" s="3347" t="s">
        <v>1563</v>
      </c>
      <c r="P7464" s="1336" t="s">
        <v>1562</v>
      </c>
      <c r="Q7464" s="3389"/>
      <c r="R7464" s="1699" t="s">
        <v>1327</v>
      </c>
    </row>
    <row r="7465" spans="1:18" s="22" customFormat="1">
      <c r="A7465" s="1599" t="s">
        <v>2349</v>
      </c>
      <c r="B7465" s="4326"/>
      <c r="C7465" s="3351"/>
      <c r="D7465" s="4328"/>
      <c r="E7465" s="4330"/>
      <c r="F7465" s="4338"/>
      <c r="G7465" s="4332"/>
      <c r="H7465" s="4332"/>
      <c r="I7465" s="1345">
        <v>110.25</v>
      </c>
      <c r="J7465" s="1307">
        <v>0.25</v>
      </c>
      <c r="K7465" s="1297">
        <f>I7465*J7465</f>
        <v>27.5625</v>
      </c>
      <c r="L7465" s="4334"/>
      <c r="M7465" s="4335"/>
      <c r="N7465" s="4324"/>
      <c r="O7465" s="1298">
        <f>SUM(O7467:O7475)</f>
        <v>6.3979999999999997</v>
      </c>
      <c r="P7465" s="1337">
        <f>O7465*K7465</f>
        <v>176.344875</v>
      </c>
      <c r="Q7465" s="3390"/>
      <c r="R7465" s="1721">
        <f>SUM(P7467:P7476)</f>
        <v>176.344875</v>
      </c>
    </row>
    <row r="7466" spans="1:18" s="22" customFormat="1">
      <c r="A7466" s="1320"/>
      <c r="B7466" s="1511"/>
      <c r="C7466" s="18"/>
      <c r="D7466" s="1463"/>
      <c r="E7466" s="2121"/>
      <c r="F7466" s="1368" t="s">
        <v>1</v>
      </c>
      <c r="G7466" s="1464"/>
      <c r="H7466" s="1426"/>
      <c r="I7466" s="1391"/>
      <c r="J7466" s="1369"/>
      <c r="K7466" s="1369"/>
      <c r="L7466" s="1554"/>
      <c r="M7466" s="1369"/>
      <c r="N7466" s="1369"/>
      <c r="O7466" s="1369"/>
      <c r="P7466" s="1367"/>
      <c r="Q7466" s="3387"/>
      <c r="R7466" s="2338"/>
    </row>
    <row r="7467" spans="1:18" s="22" customFormat="1">
      <c r="A7467" s="1320"/>
      <c r="B7467" s="595"/>
      <c r="C7467" s="1042"/>
      <c r="D7467" s="1371"/>
      <c r="E7467" s="2144"/>
      <c r="F7467" s="1471"/>
      <c r="G7467" s="1494"/>
      <c r="H7467" s="1372"/>
      <c r="I7467" s="1346" t="str">
        <f>IF(COUNT(#REF!)=0,"",(SUM(#REF!)/COUNT(#REF!)))</f>
        <v/>
      </c>
      <c r="J7467" s="1341"/>
      <c r="K7467" s="1307"/>
      <c r="L7467" s="1335"/>
      <c r="M7467" s="1302"/>
      <c r="N7467" s="1302"/>
      <c r="O7467" s="1291"/>
      <c r="P7467" s="1332"/>
      <c r="Q7467" s="3391"/>
      <c r="R7467" s="2338"/>
    </row>
    <row r="7468" spans="1:18" s="22" customFormat="1">
      <c r="A7468" s="1320"/>
      <c r="B7468" s="595"/>
      <c r="C7468" s="1042"/>
      <c r="D7468" s="1598"/>
      <c r="E7468" s="2152"/>
      <c r="F7468" s="1598"/>
      <c r="G7468" s="1494"/>
      <c r="H7468" s="1372"/>
      <c r="I7468" s="1286" t="str">
        <f>IF(COUNT(#REF!)=0,"",(SUM(#REF!)/COUNT(#REF!)))</f>
        <v/>
      </c>
      <c r="J7468" s="1287"/>
      <c r="K7468" s="1307"/>
      <c r="L7468" s="1335"/>
      <c r="M7468" s="1499"/>
      <c r="N7468" s="1499"/>
      <c r="O7468" s="1291"/>
      <c r="P7468" s="1332"/>
      <c r="Q7468" s="3391"/>
      <c r="R7468" s="2338"/>
    </row>
    <row r="7469" spans="1:18" s="22" customFormat="1">
      <c r="A7469" s="1320"/>
      <c r="B7469" s="595"/>
      <c r="C7469" s="1042"/>
      <c r="D7469" s="1598"/>
      <c r="E7469" s="2152"/>
      <c r="F7469" s="1598"/>
      <c r="G7469" s="1494"/>
      <c r="H7469" s="1372"/>
      <c r="I7469" s="1286" t="str">
        <f>IF(COUNT(#REF!)=0,"",(SUM(#REF!)/COUNT(#REF!)))</f>
        <v/>
      </c>
      <c r="J7469" s="1287"/>
      <c r="K7469" s="1307"/>
      <c r="L7469" s="1335"/>
      <c r="M7469" s="1499"/>
      <c r="N7469" s="1499"/>
      <c r="O7469" s="1291"/>
      <c r="P7469" s="1332"/>
      <c r="Q7469" s="3391"/>
      <c r="R7469" s="2338"/>
    </row>
    <row r="7470" spans="1:18" s="22" customFormat="1">
      <c r="A7470" s="1320"/>
      <c r="B7470" s="595"/>
      <c r="C7470" s="1042"/>
      <c r="D7470" s="1404"/>
      <c r="E7470" s="1858"/>
      <c r="F7470" s="1465" t="s">
        <v>2</v>
      </c>
      <c r="G7470" s="1466"/>
      <c r="H7470" s="1362"/>
      <c r="I7470" s="1380"/>
      <c r="J7470" s="1381"/>
      <c r="K7470" s="1381"/>
      <c r="L7470" s="1458"/>
      <c r="M7470" s="1362"/>
      <c r="N7470" s="1705"/>
      <c r="O7470" s="1469"/>
      <c r="P7470" s="1470"/>
      <c r="Q7470" s="3398"/>
      <c r="R7470" s="2338"/>
    </row>
    <row r="7471" spans="1:18" s="22" customFormat="1">
      <c r="A7471" s="1320"/>
      <c r="B7471" s="595"/>
      <c r="C7471" s="1042"/>
      <c r="D7471" s="1402" t="s">
        <v>1067</v>
      </c>
      <c r="E7471" s="1857" t="s">
        <v>1508</v>
      </c>
      <c r="F7471" s="1430" t="s">
        <v>1512</v>
      </c>
      <c r="G7471" s="1362">
        <v>0.35</v>
      </c>
      <c r="H7471" s="1362"/>
      <c r="I7471" s="197"/>
      <c r="J7471" s="198"/>
      <c r="K7471" s="1307">
        <f>G7471*K7465</f>
        <v>9.6468749999999996</v>
      </c>
      <c r="L7471" s="1335">
        <f t="shared" ref="L7471" si="1011">K7471*$K$7441</f>
        <v>0</v>
      </c>
      <c r="M7471" s="1499">
        <v>18.28</v>
      </c>
      <c r="N7471" s="1499"/>
      <c r="O7471" s="1291">
        <f>G7471*M7471</f>
        <v>6.3979999999999997</v>
      </c>
      <c r="P7471" s="1332">
        <f>M7471*K7471</f>
        <v>176.344875</v>
      </c>
      <c r="Q7471" s="3391"/>
      <c r="R7471" s="2338"/>
    </row>
    <row r="7472" spans="1:18" s="22" customFormat="1">
      <c r="A7472" s="1320"/>
      <c r="B7472" s="595"/>
      <c r="C7472" s="1042"/>
      <c r="D7472" s="1402"/>
      <c r="E7472" s="1857"/>
      <c r="F7472" s="1430"/>
      <c r="G7472" s="1362"/>
      <c r="H7472" s="1362"/>
      <c r="I7472" s="197"/>
      <c r="J7472" s="198"/>
      <c r="K7472" s="1307"/>
      <c r="L7472" s="1335"/>
      <c r="M7472" s="1499"/>
      <c r="N7472" s="1499"/>
      <c r="O7472" s="1291"/>
      <c r="P7472" s="1332"/>
      <c r="Q7472" s="3391"/>
      <c r="R7472" s="2338"/>
    </row>
    <row r="7473" spans="1:18" s="22" customFormat="1">
      <c r="A7473" s="1320"/>
      <c r="B7473" s="595"/>
      <c r="C7473" s="1042"/>
      <c r="D7473" s="1411"/>
      <c r="E7473" s="2123"/>
      <c r="F7473" s="1475" t="s">
        <v>3</v>
      </c>
      <c r="G7473" s="1373"/>
      <c r="H7473" s="1376"/>
      <c r="I7473" s="1382"/>
      <c r="J7473" s="1383"/>
      <c r="K7473" s="1373"/>
      <c r="L7473" s="1413"/>
      <c r="M7473" s="1508"/>
      <c r="N7473" s="1706"/>
      <c r="O7473" s="1486"/>
      <c r="P7473" s="1373"/>
      <c r="Q7473" s="3387"/>
      <c r="R7473" s="2338"/>
    </row>
    <row r="7474" spans="1:18" s="22" customFormat="1">
      <c r="A7474" s="1320"/>
      <c r="B7474" s="595"/>
      <c r="C7474" s="1042"/>
      <c r="D7474" s="1478"/>
      <c r="E7474" s="2140"/>
      <c r="F7474" s="1479"/>
      <c r="G7474" s="1480"/>
      <c r="H7474" s="1481"/>
      <c r="I7474" s="1347"/>
      <c r="J7474" s="1348"/>
      <c r="K7474" s="1307"/>
      <c r="L7474" s="1335"/>
      <c r="M7474" s="1509"/>
      <c r="N7474" s="1509"/>
      <c r="O7474" s="1339"/>
      <c r="P7474" s="1332"/>
      <c r="Q7474" s="3391"/>
      <c r="R7474" s="2338"/>
    </row>
    <row r="7475" spans="1:18" s="22" customFormat="1">
      <c r="A7475" s="1320"/>
      <c r="B7475" s="595"/>
      <c r="C7475" s="1042"/>
      <c r="D7475" s="1482"/>
      <c r="E7475" s="2141"/>
      <c r="F7475" s="1483"/>
      <c r="G7475" s="1483"/>
      <c r="H7475" s="1484"/>
      <c r="I7475" s="1349"/>
      <c r="J7475" s="1341"/>
      <c r="K7475" s="1307"/>
      <c r="L7475" s="1335"/>
      <c r="M7475" s="1499"/>
      <c r="N7475" s="1499"/>
      <c r="O7475" s="1291"/>
      <c r="P7475" s="1332"/>
      <c r="Q7475" s="3391"/>
      <c r="R7475" s="2338"/>
    </row>
    <row r="7476" spans="1:18" s="22" customFormat="1">
      <c r="A7476" s="1320"/>
      <c r="B7476" s="1512"/>
      <c r="C7476" s="223"/>
      <c r="D7476" s="1440"/>
      <c r="E7476" s="2132"/>
      <c r="F7476" s="1441"/>
      <c r="G7476" s="1441"/>
      <c r="H7476" s="1442"/>
      <c r="I7476" s="197" t="str">
        <f>IF(COUNT(H7477:O7477)=0,"",(SUM(H7477:O7477)/COUNT(H7477:O7477)))</f>
        <v/>
      </c>
      <c r="J7476" s="198"/>
      <c r="K7476" s="1307"/>
      <c r="L7476" s="1335"/>
      <c r="M7476" s="1499"/>
      <c r="N7476" s="1701"/>
      <c r="O7476" s="1290"/>
      <c r="P7476" s="1332"/>
      <c r="Q7476" s="3391"/>
      <c r="R7476" s="2338"/>
    </row>
    <row r="7477" spans="1:18" s="22" customFormat="1">
      <c r="A7477" s="19" t="s">
        <v>3764</v>
      </c>
      <c r="B7477" s="4325" t="s">
        <v>2350</v>
      </c>
      <c r="C7477" s="3350"/>
      <c r="D7477" s="4327"/>
      <c r="E7477" s="4329" t="s">
        <v>1507</v>
      </c>
      <c r="F7477" s="4338" t="s">
        <v>2351</v>
      </c>
      <c r="G7477" s="4331" t="s">
        <v>1568</v>
      </c>
      <c r="H7477" s="4331" t="s">
        <v>1574</v>
      </c>
      <c r="I7477" s="1572" t="s">
        <v>1559</v>
      </c>
      <c r="J7477" s="1294" t="s">
        <v>1560</v>
      </c>
      <c r="K7477" s="1294" t="s">
        <v>1561</v>
      </c>
      <c r="L7477" s="4333" t="s">
        <v>3765</v>
      </c>
      <c r="M7477" s="4335" t="s">
        <v>1571</v>
      </c>
      <c r="N7477" s="4323" t="s">
        <v>1776</v>
      </c>
      <c r="O7477" s="3347" t="s">
        <v>1563</v>
      </c>
      <c r="P7477" s="1336" t="s">
        <v>1562</v>
      </c>
      <c r="Q7477" s="3389"/>
      <c r="R7477" s="1699" t="s">
        <v>1327</v>
      </c>
    </row>
    <row r="7478" spans="1:18" s="22" customFormat="1">
      <c r="A7478" s="1599" t="s">
        <v>2349</v>
      </c>
      <c r="B7478" s="4326"/>
      <c r="C7478" s="3351"/>
      <c r="D7478" s="4328"/>
      <c r="E7478" s="4330"/>
      <c r="F7478" s="4338"/>
      <c r="G7478" s="4332"/>
      <c r="H7478" s="4332"/>
      <c r="I7478" s="1345">
        <v>110.25</v>
      </c>
      <c r="J7478" s="1307">
        <v>0.25</v>
      </c>
      <c r="K7478" s="1297">
        <f>I7478*J7478</f>
        <v>27.5625</v>
      </c>
      <c r="L7478" s="4334"/>
      <c r="M7478" s="4335"/>
      <c r="N7478" s="4324"/>
      <c r="O7478" s="1298">
        <f>SUM(O7480:O7488)</f>
        <v>6.3979999999999997</v>
      </c>
      <c r="P7478" s="1337">
        <f>O7478*K7478</f>
        <v>176.344875</v>
      </c>
      <c r="Q7478" s="3390"/>
      <c r="R7478" s="1721">
        <f>SUM(P7480:P7489)</f>
        <v>176.344875</v>
      </c>
    </row>
    <row r="7479" spans="1:18" s="22" customFormat="1">
      <c r="A7479" s="1320"/>
      <c r="B7479" s="1511"/>
      <c r="C7479" s="18"/>
      <c r="D7479" s="1463"/>
      <c r="E7479" s="2121"/>
      <c r="F7479" s="1368" t="s">
        <v>1</v>
      </c>
      <c r="G7479" s="1464"/>
      <c r="H7479" s="1426"/>
      <c r="I7479" s="1391"/>
      <c r="J7479" s="1369"/>
      <c r="K7479" s="1369"/>
      <c r="L7479" s="1554"/>
      <c r="M7479" s="1369"/>
      <c r="N7479" s="1369"/>
      <c r="O7479" s="1369"/>
      <c r="P7479" s="1367"/>
      <c r="Q7479" s="3387"/>
      <c r="R7479" s="2338"/>
    </row>
    <row r="7480" spans="1:18" s="22" customFormat="1">
      <c r="A7480" s="1320"/>
      <c r="B7480" s="595"/>
      <c r="C7480" s="1042"/>
      <c r="D7480" s="1370"/>
      <c r="E7480" s="2152"/>
      <c r="F7480" s="1471"/>
      <c r="G7480" s="1494"/>
      <c r="H7480" s="1372"/>
      <c r="I7480" s="1286" t="str">
        <f>IF(COUNT(#REF!)=0,"",(SUM(#REF!)/COUNT(#REF!)))</f>
        <v/>
      </c>
      <c r="J7480" s="1287"/>
      <c r="K7480" s="1307"/>
      <c r="L7480" s="1335"/>
      <c r="M7480" s="1499"/>
      <c r="N7480" s="1499"/>
      <c r="O7480" s="1291"/>
      <c r="P7480" s="1332"/>
      <c r="Q7480" s="3391"/>
      <c r="R7480" s="2338"/>
    </row>
    <row r="7481" spans="1:18" s="22" customFormat="1">
      <c r="A7481" s="1320"/>
      <c r="B7481" s="595"/>
      <c r="C7481" s="1042"/>
      <c r="D7481" s="1370"/>
      <c r="E7481" s="2152"/>
      <c r="F7481" s="1471"/>
      <c r="G7481" s="1494"/>
      <c r="H7481" s="1372"/>
      <c r="I7481" s="1286" t="str">
        <f>IF(COUNT(#REF!)=0,"",(SUM(#REF!)/COUNT(#REF!)))</f>
        <v/>
      </c>
      <c r="J7481" s="1287"/>
      <c r="K7481" s="1307"/>
      <c r="L7481" s="1335"/>
      <c r="M7481" s="1499"/>
      <c r="N7481" s="1499"/>
      <c r="O7481" s="1291"/>
      <c r="P7481" s="1332"/>
      <c r="Q7481" s="3391"/>
      <c r="R7481" s="2338"/>
    </row>
    <row r="7482" spans="1:18" s="22" customFormat="1">
      <c r="A7482" s="1320"/>
      <c r="B7482" s="595"/>
      <c r="C7482" s="1042"/>
      <c r="D7482" s="1370"/>
      <c r="E7482" s="2152"/>
      <c r="F7482" s="1471"/>
      <c r="G7482" s="1494"/>
      <c r="H7482" s="1372"/>
      <c r="I7482" s="1286" t="str">
        <f t="shared" ref="I7482" si="1012">IF(COUNT(H7483:O7483)=0,"",(SUM(H7483:O7483)/COUNT(H7483:O7483)))</f>
        <v/>
      </c>
      <c r="J7482" s="1287"/>
      <c r="K7482" s="1307"/>
      <c r="L7482" s="1335"/>
      <c r="M7482" s="1499"/>
      <c r="N7482" s="1499"/>
      <c r="O7482" s="1291"/>
      <c r="P7482" s="1332"/>
      <c r="Q7482" s="3391"/>
      <c r="R7482" s="2338"/>
    </row>
    <row r="7483" spans="1:18" s="22" customFormat="1">
      <c r="A7483" s="1320"/>
      <c r="B7483" s="595"/>
      <c r="C7483" s="1042"/>
      <c r="D7483" s="1404"/>
      <c r="E7483" s="1858"/>
      <c r="F7483" s="1465" t="s">
        <v>2</v>
      </c>
      <c r="G7483" s="1466"/>
      <c r="H7483" s="1362"/>
      <c r="I7483" s="1380"/>
      <c r="J7483" s="1381"/>
      <c r="K7483" s="1381"/>
      <c r="L7483" s="1458"/>
      <c r="M7483" s="1362"/>
      <c r="N7483" s="1705"/>
      <c r="O7483" s="1469"/>
      <c r="P7483" s="1470"/>
      <c r="Q7483" s="3398"/>
      <c r="R7483" s="2338"/>
    </row>
    <row r="7484" spans="1:18" s="22" customFormat="1">
      <c r="A7484" s="1320"/>
      <c r="B7484" s="595"/>
      <c r="C7484" s="1042"/>
      <c r="D7484" s="1402" t="s">
        <v>1067</v>
      </c>
      <c r="E7484" s="1857" t="s">
        <v>1508</v>
      </c>
      <c r="F7484" s="1430" t="s">
        <v>1512</v>
      </c>
      <c r="G7484" s="1362">
        <v>0.35</v>
      </c>
      <c r="H7484" s="1362"/>
      <c r="I7484" s="197"/>
      <c r="J7484" s="198"/>
      <c r="K7484" s="1307">
        <f>G7484*K7478</f>
        <v>9.6468749999999996</v>
      </c>
      <c r="L7484" s="1335">
        <f t="shared" ref="L7484" si="1013">K7484*$K$7441</f>
        <v>0</v>
      </c>
      <c r="M7484" s="1499">
        <v>18.28</v>
      </c>
      <c r="N7484" s="1499"/>
      <c r="O7484" s="1291">
        <f>G7484*M7484</f>
        <v>6.3979999999999997</v>
      </c>
      <c r="P7484" s="1332">
        <f>M7484*K7484</f>
        <v>176.344875</v>
      </c>
      <c r="Q7484" s="3391"/>
      <c r="R7484" s="2338"/>
    </row>
    <row r="7485" spans="1:18" s="22" customFormat="1">
      <c r="A7485" s="1320"/>
      <c r="B7485" s="595"/>
      <c r="C7485" s="1042"/>
      <c r="D7485" s="1402"/>
      <c r="E7485" s="1857"/>
      <c r="F7485" s="1430"/>
      <c r="G7485" s="1362"/>
      <c r="H7485" s="1362"/>
      <c r="I7485" s="197"/>
      <c r="J7485" s="198"/>
      <c r="K7485" s="1307"/>
      <c r="L7485" s="1335"/>
      <c r="M7485" s="1499"/>
      <c r="N7485" s="1499"/>
      <c r="O7485" s="1291"/>
      <c r="P7485" s="1332"/>
      <c r="Q7485" s="3391"/>
      <c r="R7485" s="2338"/>
    </row>
    <row r="7486" spans="1:18" s="22" customFormat="1">
      <c r="A7486" s="1320"/>
      <c r="B7486" s="595"/>
      <c r="C7486" s="1042"/>
      <c r="D7486" s="1411"/>
      <c r="E7486" s="2123"/>
      <c r="F7486" s="1475" t="s">
        <v>3</v>
      </c>
      <c r="G7486" s="1373"/>
      <c r="H7486" s="1376"/>
      <c r="I7486" s="1382"/>
      <c r="J7486" s="1383"/>
      <c r="K7486" s="1373"/>
      <c r="L7486" s="1413"/>
      <c r="M7486" s="1508"/>
      <c r="N7486" s="1706"/>
      <c r="O7486" s="1486"/>
      <c r="P7486" s="1373"/>
      <c r="Q7486" s="3387"/>
      <c r="R7486" s="2338"/>
    </row>
    <row r="7487" spans="1:18" s="22" customFormat="1">
      <c r="A7487" s="1320"/>
      <c r="B7487" s="595"/>
      <c r="C7487" s="1042"/>
      <c r="D7487" s="1378"/>
      <c r="E7487" s="2139"/>
      <c r="F7487" s="1476"/>
      <c r="G7487" s="1477"/>
      <c r="H7487" s="1379"/>
      <c r="I7487" s="1289"/>
      <c r="J7487" s="1341"/>
      <c r="K7487" s="1307"/>
      <c r="L7487" s="1335"/>
      <c r="M7487" s="1499"/>
      <c r="N7487" s="1499"/>
      <c r="O7487" s="1291"/>
      <c r="P7487" s="1332"/>
      <c r="Q7487" s="3391"/>
      <c r="R7487" s="2338"/>
    </row>
    <row r="7488" spans="1:18" s="22" customFormat="1">
      <c r="A7488" s="1320"/>
      <c r="B7488" s="595"/>
      <c r="C7488" s="1042"/>
      <c r="D7488" s="1482"/>
      <c r="E7488" s="2141"/>
      <c r="F7488" s="1483"/>
      <c r="G7488" s="1483"/>
      <c r="H7488" s="1484"/>
      <c r="I7488" s="1349"/>
      <c r="J7488" s="1341"/>
      <c r="K7488" s="1307"/>
      <c r="L7488" s="1335"/>
      <c r="M7488" s="1499"/>
      <c r="N7488" s="1499"/>
      <c r="O7488" s="1291"/>
      <c r="P7488" s="1332"/>
      <c r="Q7488" s="3391"/>
      <c r="R7488" s="2338"/>
    </row>
    <row r="7489" spans="1:18" s="22" customFormat="1">
      <c r="A7489" s="1320"/>
      <c r="B7489" s="1512"/>
      <c r="C7489" s="223"/>
      <c r="D7489" s="1440"/>
      <c r="E7489" s="2132"/>
      <c r="F7489" s="1441"/>
      <c r="G7489" s="1441"/>
      <c r="H7489" s="1442"/>
      <c r="I7489" s="197" t="str">
        <f>IF(COUNT(H7490:O7490)=0,"",(SUM(H7490:O7490)/COUNT(H7490:O7490)))</f>
        <v/>
      </c>
      <c r="J7489" s="198"/>
      <c r="K7489" s="1307"/>
      <c r="L7489" s="1335"/>
      <c r="M7489" s="1499"/>
      <c r="N7489" s="1701"/>
      <c r="O7489" s="1290"/>
      <c r="P7489" s="1332"/>
      <c r="Q7489" s="3391"/>
      <c r="R7489" s="2338"/>
    </row>
    <row r="7490" spans="1:18" s="22" customFormat="1">
      <c r="A7490" s="19" t="s">
        <v>3764</v>
      </c>
      <c r="B7490" s="4325" t="s">
        <v>2353</v>
      </c>
      <c r="C7490" s="3350"/>
      <c r="D7490" s="4327"/>
      <c r="E7490" s="4329" t="s">
        <v>1504</v>
      </c>
      <c r="F7490" s="4338" t="s">
        <v>2354</v>
      </c>
      <c r="G7490" s="4331" t="s">
        <v>1568</v>
      </c>
      <c r="H7490" s="4331" t="s">
        <v>1574</v>
      </c>
      <c r="I7490" s="1572" t="s">
        <v>1559</v>
      </c>
      <c r="J7490" s="1294" t="s">
        <v>1560</v>
      </c>
      <c r="K7490" s="1294" t="s">
        <v>1561</v>
      </c>
      <c r="L7490" s="4333" t="s">
        <v>3765</v>
      </c>
      <c r="M7490" s="4335" t="s">
        <v>1571</v>
      </c>
      <c r="N7490" s="4323" t="s">
        <v>1776</v>
      </c>
      <c r="O7490" s="3347" t="s">
        <v>1563</v>
      </c>
      <c r="P7490" s="1336" t="s">
        <v>1562</v>
      </c>
      <c r="Q7490" s="3389"/>
      <c r="R7490" s="1699" t="s">
        <v>1327</v>
      </c>
    </row>
    <row r="7491" spans="1:18" s="22" customFormat="1">
      <c r="A7491" s="1599" t="s">
        <v>2349</v>
      </c>
      <c r="B7491" s="4326"/>
      <c r="C7491" s="3351"/>
      <c r="D7491" s="4328"/>
      <c r="E7491" s="4330"/>
      <c r="F7491" s="4338"/>
      <c r="G7491" s="4332"/>
      <c r="H7491" s="4332"/>
      <c r="I7491" s="1345">
        <v>4</v>
      </c>
      <c r="J7491" s="1307">
        <v>0.25</v>
      </c>
      <c r="K7491" s="1297">
        <f>I7491*J7491</f>
        <v>1</v>
      </c>
      <c r="L7491" s="4334"/>
      <c r="M7491" s="4335"/>
      <c r="N7491" s="4324"/>
      <c r="O7491" s="1298">
        <f>SUM(O7493:O7501)</f>
        <v>4.57</v>
      </c>
      <c r="P7491" s="1337">
        <f>O7491*K7491</f>
        <v>4.57</v>
      </c>
      <c r="Q7491" s="3390"/>
      <c r="R7491" s="1721">
        <f>SUM(P7493:P7502)</f>
        <v>4.57</v>
      </c>
    </row>
    <row r="7492" spans="1:18" s="22" customFormat="1">
      <c r="A7492" s="1320"/>
      <c r="B7492" s="1511"/>
      <c r="C7492" s="18"/>
      <c r="D7492" s="1463"/>
      <c r="E7492" s="2121"/>
      <c r="F7492" s="1368" t="s">
        <v>1</v>
      </c>
      <c r="G7492" s="1464"/>
      <c r="H7492" s="1426"/>
      <c r="I7492" s="1391"/>
      <c r="J7492" s="1369"/>
      <c r="K7492" s="1369"/>
      <c r="L7492" s="1554"/>
      <c r="M7492" s="1369"/>
      <c r="N7492" s="1369"/>
      <c r="O7492" s="1369"/>
      <c r="P7492" s="1367"/>
      <c r="Q7492" s="3387"/>
      <c r="R7492" s="2338"/>
    </row>
    <row r="7493" spans="1:18" s="22" customFormat="1">
      <c r="A7493" s="1320"/>
      <c r="B7493" s="595"/>
      <c r="C7493" s="1042"/>
      <c r="D7493" s="1371"/>
      <c r="E7493" s="2144"/>
      <c r="F7493" s="1471"/>
      <c r="G7493" s="1494"/>
      <c r="H7493" s="1372"/>
      <c r="I7493" s="1346" t="str">
        <f>IF(COUNT(#REF!)=0,"",(SUM(#REF!)/COUNT(#REF!)))</f>
        <v/>
      </c>
      <c r="J7493" s="1341"/>
      <c r="K7493" s="1307"/>
      <c r="L7493" s="1335"/>
      <c r="M7493" s="1302"/>
      <c r="N7493" s="1302"/>
      <c r="O7493" s="1291"/>
      <c r="P7493" s="1332"/>
      <c r="Q7493" s="3391"/>
      <c r="R7493" s="2338"/>
    </row>
    <row r="7494" spans="1:18" s="22" customFormat="1">
      <c r="A7494" s="1320"/>
      <c r="B7494" s="595"/>
      <c r="C7494" s="1042"/>
      <c r="D7494" s="1370"/>
      <c r="E7494" s="2152"/>
      <c r="F7494" s="1471"/>
      <c r="G7494" s="1494"/>
      <c r="H7494" s="1372"/>
      <c r="I7494" s="1286" t="str">
        <f>IF(COUNT(#REF!)=0,"",(SUM(#REF!)/COUNT(#REF!)))</f>
        <v/>
      </c>
      <c r="J7494" s="1287"/>
      <c r="K7494" s="1307"/>
      <c r="L7494" s="1335"/>
      <c r="M7494" s="1499"/>
      <c r="N7494" s="1499"/>
      <c r="O7494" s="1291"/>
      <c r="P7494" s="1332"/>
      <c r="Q7494" s="3391"/>
      <c r="R7494" s="2338"/>
    </row>
    <row r="7495" spans="1:18" s="22" customFormat="1">
      <c r="A7495" s="1320"/>
      <c r="B7495" s="595"/>
      <c r="C7495" s="1042"/>
      <c r="D7495" s="1370"/>
      <c r="E7495" s="2152"/>
      <c r="F7495" s="1471"/>
      <c r="G7495" s="1494"/>
      <c r="H7495" s="1372"/>
      <c r="I7495" s="1286" t="str">
        <f t="shared" ref="I7495" si="1014">IF(COUNT(H7496:O7496)=0,"",(SUM(H7496:O7496)/COUNT(H7496:O7496)))</f>
        <v/>
      </c>
      <c r="J7495" s="1287"/>
      <c r="K7495" s="1307"/>
      <c r="L7495" s="1335"/>
      <c r="M7495" s="1499"/>
      <c r="N7495" s="1499"/>
      <c r="O7495" s="1291"/>
      <c r="P7495" s="1332"/>
      <c r="Q7495" s="3391"/>
      <c r="R7495" s="2338"/>
    </row>
    <row r="7496" spans="1:18" s="22" customFormat="1">
      <c r="A7496" s="1320"/>
      <c r="B7496" s="595"/>
      <c r="C7496" s="1042"/>
      <c r="D7496" s="1404"/>
      <c r="E7496" s="1858"/>
      <c r="F7496" s="1465" t="s">
        <v>2</v>
      </c>
      <c r="G7496" s="1466"/>
      <c r="H7496" s="1362"/>
      <c r="I7496" s="1380"/>
      <c r="J7496" s="1381"/>
      <c r="K7496" s="1381"/>
      <c r="L7496" s="1458"/>
      <c r="M7496" s="1362"/>
      <c r="N7496" s="1705"/>
      <c r="O7496" s="1469"/>
      <c r="P7496" s="1470"/>
      <c r="Q7496" s="3398"/>
      <c r="R7496" s="2338"/>
    </row>
    <row r="7497" spans="1:18" s="22" customFormat="1">
      <c r="A7497" s="1320"/>
      <c r="B7497" s="595"/>
      <c r="C7497" s="1042"/>
      <c r="D7497" s="1402" t="s">
        <v>1067</v>
      </c>
      <c r="E7497" s="1857" t="s">
        <v>1508</v>
      </c>
      <c r="F7497" s="1430" t="s">
        <v>1512</v>
      </c>
      <c r="G7497" s="1362">
        <v>0.25</v>
      </c>
      <c r="H7497" s="1362"/>
      <c r="I7497" s="197"/>
      <c r="J7497" s="198"/>
      <c r="K7497" s="1307">
        <f>G7497*K7491</f>
        <v>0.25</v>
      </c>
      <c r="L7497" s="1335">
        <f t="shared" ref="L7497" si="1015">K7497*$K$7441</f>
        <v>0</v>
      </c>
      <c r="M7497" s="1499">
        <v>18.28</v>
      </c>
      <c r="N7497" s="1499"/>
      <c r="O7497" s="1291">
        <f>G7497*M7497</f>
        <v>4.57</v>
      </c>
      <c r="P7497" s="1332">
        <f>M7497*K7497</f>
        <v>4.57</v>
      </c>
      <c r="Q7497" s="3391"/>
      <c r="R7497" s="2338"/>
    </row>
    <row r="7498" spans="1:18" s="22" customFormat="1">
      <c r="A7498" s="1320"/>
      <c r="B7498" s="595"/>
      <c r="C7498" s="1042"/>
      <c r="D7498" s="1402"/>
      <c r="E7498" s="1857"/>
      <c r="F7498" s="1430"/>
      <c r="G7498" s="1362"/>
      <c r="H7498" s="1362"/>
      <c r="I7498" s="197"/>
      <c r="J7498" s="198"/>
      <c r="K7498" s="1307"/>
      <c r="L7498" s="1335"/>
      <c r="M7498" s="1499"/>
      <c r="N7498" s="1499"/>
      <c r="O7498" s="1291"/>
      <c r="P7498" s="1332"/>
      <c r="Q7498" s="3391"/>
      <c r="R7498" s="2338"/>
    </row>
    <row r="7499" spans="1:18" s="22" customFormat="1">
      <c r="A7499" s="1320"/>
      <c r="B7499" s="595"/>
      <c r="C7499" s="1042"/>
      <c r="D7499" s="1411"/>
      <c r="E7499" s="2123"/>
      <c r="F7499" s="1475" t="s">
        <v>3</v>
      </c>
      <c r="G7499" s="1373"/>
      <c r="H7499" s="1376"/>
      <c r="I7499" s="1382"/>
      <c r="J7499" s="1383"/>
      <c r="K7499" s="1373"/>
      <c r="L7499" s="1413"/>
      <c r="M7499" s="1508"/>
      <c r="N7499" s="1706"/>
      <c r="O7499" s="1486"/>
      <c r="P7499" s="1373"/>
      <c r="Q7499" s="3387"/>
      <c r="R7499" s="2338"/>
    </row>
    <row r="7500" spans="1:18" s="22" customFormat="1">
      <c r="A7500" s="1320"/>
      <c r="B7500" s="595"/>
      <c r="C7500" s="1042"/>
      <c r="D7500" s="1478"/>
      <c r="E7500" s="2140"/>
      <c r="F7500" s="1479"/>
      <c r="G7500" s="1480"/>
      <c r="H7500" s="1481"/>
      <c r="I7500" s="1347"/>
      <c r="J7500" s="1348"/>
      <c r="K7500" s="1307"/>
      <c r="L7500" s="1335"/>
      <c r="M7500" s="1509"/>
      <c r="N7500" s="1509"/>
      <c r="O7500" s="1339"/>
      <c r="P7500" s="1332"/>
      <c r="Q7500" s="3391"/>
      <c r="R7500" s="2338"/>
    </row>
    <row r="7501" spans="1:18" s="22" customFormat="1">
      <c r="A7501" s="1320"/>
      <c r="B7501" s="595"/>
      <c r="C7501" s="1042"/>
      <c r="D7501" s="1482"/>
      <c r="E7501" s="2141"/>
      <c r="F7501" s="1483"/>
      <c r="G7501" s="1483"/>
      <c r="H7501" s="1484"/>
      <c r="I7501" s="1349"/>
      <c r="J7501" s="1341"/>
      <c r="K7501" s="1307"/>
      <c r="L7501" s="1335"/>
      <c r="M7501" s="1499"/>
      <c r="N7501" s="1499"/>
      <c r="O7501" s="1291"/>
      <c r="P7501" s="1332"/>
      <c r="Q7501" s="3391"/>
      <c r="R7501" s="2338"/>
    </row>
    <row r="7502" spans="1:18" s="22" customFormat="1">
      <c r="A7502" s="1320"/>
      <c r="B7502" s="1512"/>
      <c r="C7502" s="223"/>
      <c r="D7502" s="1440"/>
      <c r="E7502" s="2132"/>
      <c r="F7502" s="1441"/>
      <c r="G7502" s="1441"/>
      <c r="H7502" s="1442"/>
      <c r="I7502" s="197" t="str">
        <f>IF(COUNT(H7503:O7503)=0,"",(SUM(H7503:O7503)/COUNT(H7503:O7503)))</f>
        <v/>
      </c>
      <c r="J7502" s="198"/>
      <c r="K7502" s="1307"/>
      <c r="L7502" s="1335"/>
      <c r="M7502" s="1499"/>
      <c r="N7502" s="1701"/>
      <c r="O7502" s="1290"/>
      <c r="P7502" s="1332"/>
      <c r="Q7502" s="3391"/>
      <c r="R7502" s="2338"/>
    </row>
    <row r="7503" spans="1:18" s="22" customFormat="1">
      <c r="A7503" s="19" t="s">
        <v>3764</v>
      </c>
      <c r="B7503" s="4325" t="s">
        <v>2353</v>
      </c>
      <c r="C7503" s="3350"/>
      <c r="D7503" s="4327"/>
      <c r="E7503" s="4329" t="s">
        <v>1504</v>
      </c>
      <c r="F7503" s="4338" t="s">
        <v>2354</v>
      </c>
      <c r="G7503" s="4331" t="s">
        <v>1568</v>
      </c>
      <c r="H7503" s="4331" t="s">
        <v>1574</v>
      </c>
      <c r="I7503" s="1572" t="s">
        <v>1559</v>
      </c>
      <c r="J7503" s="1294" t="s">
        <v>1560</v>
      </c>
      <c r="K7503" s="1294" t="s">
        <v>1561</v>
      </c>
      <c r="L7503" s="4333" t="s">
        <v>3765</v>
      </c>
      <c r="M7503" s="4335" t="s">
        <v>1571</v>
      </c>
      <c r="N7503" s="4323" t="s">
        <v>1776</v>
      </c>
      <c r="O7503" s="3347" t="s">
        <v>1563</v>
      </c>
      <c r="P7503" s="1336" t="s">
        <v>1562</v>
      </c>
      <c r="Q7503" s="3389"/>
      <c r="R7503" s="1699" t="s">
        <v>1327</v>
      </c>
    </row>
    <row r="7504" spans="1:18" s="22" customFormat="1">
      <c r="A7504" s="1599" t="s">
        <v>2349</v>
      </c>
      <c r="B7504" s="4326"/>
      <c r="C7504" s="3351"/>
      <c r="D7504" s="4328"/>
      <c r="E7504" s="4330"/>
      <c r="F7504" s="4338"/>
      <c r="G7504" s="4332"/>
      <c r="H7504" s="4332"/>
      <c r="I7504" s="1345">
        <v>4</v>
      </c>
      <c r="J7504" s="1307">
        <v>0.25</v>
      </c>
      <c r="K7504" s="1297">
        <f>I7504*J7504</f>
        <v>1</v>
      </c>
      <c r="L7504" s="4334"/>
      <c r="M7504" s="4335"/>
      <c r="N7504" s="4324"/>
      <c r="O7504" s="1298">
        <f>SUM(O7506:O7514)</f>
        <v>4.57</v>
      </c>
      <c r="P7504" s="1337">
        <f>O7504*K7504</f>
        <v>4.57</v>
      </c>
      <c r="Q7504" s="3390"/>
      <c r="R7504" s="1721">
        <f>SUM(P7506:P7515)</f>
        <v>4.57</v>
      </c>
    </row>
    <row r="7505" spans="1:18" s="22" customFormat="1">
      <c r="A7505" s="1320"/>
      <c r="B7505" s="1511"/>
      <c r="C7505" s="18"/>
      <c r="D7505" s="1463"/>
      <c r="E7505" s="2121"/>
      <c r="F7505" s="1368" t="s">
        <v>1</v>
      </c>
      <c r="G7505" s="1464"/>
      <c r="H7505" s="1426"/>
      <c r="I7505" s="1391"/>
      <c r="J7505" s="1369"/>
      <c r="K7505" s="1369"/>
      <c r="L7505" s="1554"/>
      <c r="M7505" s="1369"/>
      <c r="N7505" s="1369"/>
      <c r="O7505" s="1369"/>
      <c r="P7505" s="1367"/>
      <c r="Q7505" s="3387"/>
      <c r="R7505" s="2338"/>
    </row>
    <row r="7506" spans="1:18" s="22" customFormat="1">
      <c r="A7506" s="1320"/>
      <c r="B7506" s="595"/>
      <c r="C7506" s="1042"/>
      <c r="D7506" s="1371"/>
      <c r="E7506" s="2144"/>
      <c r="F7506" s="1471"/>
      <c r="G7506" s="1494"/>
      <c r="H7506" s="1372"/>
      <c r="I7506" s="1346" t="str">
        <f>IF(COUNT(#REF!)=0,"",(SUM(#REF!)/COUNT(#REF!)))</f>
        <v/>
      </c>
      <c r="J7506" s="1341"/>
      <c r="K7506" s="1307"/>
      <c r="L7506" s="1335"/>
      <c r="M7506" s="1302"/>
      <c r="N7506" s="1302"/>
      <c r="O7506" s="1291"/>
      <c r="P7506" s="1332"/>
      <c r="Q7506" s="3391"/>
      <c r="R7506" s="2338"/>
    </row>
    <row r="7507" spans="1:18" s="22" customFormat="1">
      <c r="A7507" s="1320"/>
      <c r="B7507" s="595"/>
      <c r="C7507" s="1042"/>
      <c r="D7507" s="1370"/>
      <c r="E7507" s="2152"/>
      <c r="F7507" s="1471"/>
      <c r="G7507" s="1494"/>
      <c r="H7507" s="1372"/>
      <c r="I7507" s="1286" t="str">
        <f>IF(COUNT(#REF!)=0,"",(SUM(#REF!)/COUNT(#REF!)))</f>
        <v/>
      </c>
      <c r="J7507" s="1287"/>
      <c r="K7507" s="1307"/>
      <c r="L7507" s="1335"/>
      <c r="M7507" s="1499"/>
      <c r="N7507" s="1499"/>
      <c r="O7507" s="1291"/>
      <c r="P7507" s="1332"/>
      <c r="Q7507" s="3391"/>
      <c r="R7507" s="2338"/>
    </row>
    <row r="7508" spans="1:18" s="22" customFormat="1">
      <c r="A7508" s="1320"/>
      <c r="B7508" s="595"/>
      <c r="C7508" s="1042"/>
      <c r="D7508" s="1370"/>
      <c r="E7508" s="2152"/>
      <c r="F7508" s="1471"/>
      <c r="G7508" s="1494"/>
      <c r="H7508" s="1372"/>
      <c r="I7508" s="1286" t="str">
        <f t="shared" ref="I7508" si="1016">IF(COUNT(H7509:O7509)=0,"",(SUM(H7509:O7509)/COUNT(H7509:O7509)))</f>
        <v/>
      </c>
      <c r="J7508" s="1287"/>
      <c r="K7508" s="1307"/>
      <c r="L7508" s="1335"/>
      <c r="M7508" s="1499"/>
      <c r="N7508" s="1499"/>
      <c r="O7508" s="1291"/>
      <c r="P7508" s="1332"/>
      <c r="Q7508" s="3391"/>
      <c r="R7508" s="2338"/>
    </row>
    <row r="7509" spans="1:18" s="22" customFormat="1">
      <c r="A7509" s="1320"/>
      <c r="B7509" s="595"/>
      <c r="C7509" s="1042"/>
      <c r="D7509" s="1404"/>
      <c r="E7509" s="1858"/>
      <c r="F7509" s="1465" t="s">
        <v>2</v>
      </c>
      <c r="G7509" s="1466"/>
      <c r="H7509" s="1362"/>
      <c r="I7509" s="1380"/>
      <c r="J7509" s="1381"/>
      <c r="K7509" s="1381"/>
      <c r="L7509" s="1458"/>
      <c r="M7509" s="1362"/>
      <c r="N7509" s="1705"/>
      <c r="O7509" s="1469"/>
      <c r="P7509" s="1470"/>
      <c r="Q7509" s="3398"/>
      <c r="R7509" s="2338"/>
    </row>
    <row r="7510" spans="1:18" s="22" customFormat="1">
      <c r="A7510" s="1320"/>
      <c r="B7510" s="595"/>
      <c r="C7510" s="1042"/>
      <c r="D7510" s="1402" t="s">
        <v>1067</v>
      </c>
      <c r="E7510" s="1857" t="s">
        <v>1508</v>
      </c>
      <c r="F7510" s="1430" t="s">
        <v>1512</v>
      </c>
      <c r="G7510" s="1362">
        <v>0.25</v>
      </c>
      <c r="H7510" s="1362"/>
      <c r="I7510" s="197"/>
      <c r="J7510" s="198"/>
      <c r="K7510" s="1307">
        <f>G7510*K7504</f>
        <v>0.25</v>
      </c>
      <c r="L7510" s="1335">
        <f t="shared" ref="L7510" si="1017">K7510*$K$7441</f>
        <v>0</v>
      </c>
      <c r="M7510" s="1499">
        <v>18.28</v>
      </c>
      <c r="N7510" s="1499"/>
      <c r="O7510" s="1291">
        <f>G7510*M7510</f>
        <v>4.57</v>
      </c>
      <c r="P7510" s="1332">
        <f>M7510*K7510</f>
        <v>4.57</v>
      </c>
      <c r="Q7510" s="3391"/>
      <c r="R7510" s="2338"/>
    </row>
    <row r="7511" spans="1:18" s="22" customFormat="1">
      <c r="A7511" s="1320"/>
      <c r="B7511" s="595"/>
      <c r="C7511" s="1042"/>
      <c r="D7511" s="1402"/>
      <c r="E7511" s="1857"/>
      <c r="F7511" s="1430"/>
      <c r="G7511" s="1362"/>
      <c r="H7511" s="1362"/>
      <c r="I7511" s="197"/>
      <c r="J7511" s="198"/>
      <c r="K7511" s="1307"/>
      <c r="L7511" s="1335"/>
      <c r="M7511" s="1499"/>
      <c r="N7511" s="1499"/>
      <c r="O7511" s="1291"/>
      <c r="P7511" s="1332"/>
      <c r="Q7511" s="3391"/>
      <c r="R7511" s="2338"/>
    </row>
    <row r="7512" spans="1:18" s="22" customFormat="1">
      <c r="A7512" s="1320"/>
      <c r="B7512" s="595"/>
      <c r="C7512" s="1042"/>
      <c r="D7512" s="1411"/>
      <c r="E7512" s="2123"/>
      <c r="F7512" s="1475" t="s">
        <v>3</v>
      </c>
      <c r="G7512" s="1373"/>
      <c r="H7512" s="1376"/>
      <c r="I7512" s="1382"/>
      <c r="J7512" s="1383"/>
      <c r="K7512" s="1373"/>
      <c r="L7512" s="1413"/>
      <c r="M7512" s="1508"/>
      <c r="N7512" s="1706"/>
      <c r="O7512" s="1486"/>
      <c r="P7512" s="1373"/>
      <c r="Q7512" s="3387"/>
      <c r="R7512" s="2338"/>
    </row>
    <row r="7513" spans="1:18" s="22" customFormat="1">
      <c r="A7513" s="1320"/>
      <c r="B7513" s="595"/>
      <c r="C7513" s="1042"/>
      <c r="D7513" s="1478"/>
      <c r="E7513" s="2140"/>
      <c r="F7513" s="1479"/>
      <c r="G7513" s="1480"/>
      <c r="H7513" s="1481"/>
      <c r="I7513" s="1347"/>
      <c r="J7513" s="1348"/>
      <c r="K7513" s="1307"/>
      <c r="L7513" s="1335"/>
      <c r="M7513" s="1509"/>
      <c r="N7513" s="1509"/>
      <c r="O7513" s="1339"/>
      <c r="P7513" s="1332"/>
      <c r="Q7513" s="3391"/>
      <c r="R7513" s="2338"/>
    </row>
    <row r="7514" spans="1:18" s="22" customFormat="1">
      <c r="A7514" s="1320"/>
      <c r="B7514" s="595"/>
      <c r="C7514" s="1042"/>
      <c r="D7514" s="1482"/>
      <c r="E7514" s="2141"/>
      <c r="F7514" s="1483"/>
      <c r="G7514" s="1483"/>
      <c r="H7514" s="1484"/>
      <c r="I7514" s="1349"/>
      <c r="J7514" s="1341"/>
      <c r="K7514" s="1307"/>
      <c r="L7514" s="1335"/>
      <c r="M7514" s="1499"/>
      <c r="N7514" s="1499"/>
      <c r="O7514" s="1291"/>
      <c r="P7514" s="1332"/>
      <c r="Q7514" s="3391"/>
      <c r="R7514" s="2338"/>
    </row>
    <row r="7515" spans="1:18" s="22" customFormat="1">
      <c r="A7515" s="1320"/>
      <c r="B7515" s="1512"/>
      <c r="C7515" s="223"/>
      <c r="D7515" s="1440"/>
      <c r="E7515" s="2132"/>
      <c r="F7515" s="1441"/>
      <c r="G7515" s="1441"/>
      <c r="H7515" s="1442"/>
      <c r="I7515" s="197" t="str">
        <f>IF(COUNT(H7516:O7516)=0,"",(SUM(H7516:O7516)/COUNT(H7516:O7516)))</f>
        <v/>
      </c>
      <c r="J7515" s="198"/>
      <c r="K7515" s="1307"/>
      <c r="L7515" s="1335"/>
      <c r="M7515" s="1499"/>
      <c r="N7515" s="1701"/>
      <c r="O7515" s="1290"/>
      <c r="P7515" s="1332"/>
      <c r="Q7515" s="3391"/>
      <c r="R7515" s="2338"/>
    </row>
    <row r="7516" spans="1:18" s="22" customFormat="1">
      <c r="A7516" s="19" t="s">
        <v>3764</v>
      </c>
      <c r="B7516" s="4325" t="s">
        <v>2356</v>
      </c>
      <c r="C7516" s="3350"/>
      <c r="D7516" s="4327"/>
      <c r="E7516" s="4329" t="s">
        <v>1504</v>
      </c>
      <c r="F7516" s="4338" t="s">
        <v>2355</v>
      </c>
      <c r="G7516" s="4331" t="s">
        <v>1568</v>
      </c>
      <c r="H7516" s="4331" t="s">
        <v>1574</v>
      </c>
      <c r="I7516" s="1572" t="s">
        <v>1559</v>
      </c>
      <c r="J7516" s="1294" t="s">
        <v>1560</v>
      </c>
      <c r="K7516" s="1294" t="s">
        <v>1561</v>
      </c>
      <c r="L7516" s="4333" t="s">
        <v>3765</v>
      </c>
      <c r="M7516" s="4335" t="s">
        <v>1571</v>
      </c>
      <c r="N7516" s="4323" t="s">
        <v>1776</v>
      </c>
      <c r="O7516" s="3347" t="s">
        <v>1563</v>
      </c>
      <c r="P7516" s="1336" t="s">
        <v>1562</v>
      </c>
      <c r="Q7516" s="3389"/>
      <c r="R7516" s="1699" t="s">
        <v>1327</v>
      </c>
    </row>
    <row r="7517" spans="1:18" s="22" customFormat="1">
      <c r="A7517" s="1599" t="s">
        <v>2349</v>
      </c>
      <c r="B7517" s="4326"/>
      <c r="C7517" s="3351"/>
      <c r="D7517" s="4328"/>
      <c r="E7517" s="4330"/>
      <c r="F7517" s="4338"/>
      <c r="G7517" s="4332"/>
      <c r="H7517" s="4332"/>
      <c r="I7517" s="1345">
        <v>8</v>
      </c>
      <c r="J7517" s="1307">
        <v>0.25</v>
      </c>
      <c r="K7517" s="1297">
        <f>I7517*J7517</f>
        <v>2</v>
      </c>
      <c r="L7517" s="4334"/>
      <c r="M7517" s="4335"/>
      <c r="N7517" s="4324"/>
      <c r="O7517" s="1298">
        <f>SUM(O7519:O7527)</f>
        <v>3.6560000000000006</v>
      </c>
      <c r="P7517" s="1337">
        <f>O7517*K7517</f>
        <v>7.3120000000000012</v>
      </c>
      <c r="Q7517" s="3390"/>
      <c r="R7517" s="1721">
        <f>SUM(P7519:P7528)</f>
        <v>7.3120000000000012</v>
      </c>
    </row>
    <row r="7518" spans="1:18" s="22" customFormat="1">
      <c r="A7518" s="1320"/>
      <c r="B7518" s="1511"/>
      <c r="C7518" s="18"/>
      <c r="D7518" s="1463"/>
      <c r="E7518" s="2121"/>
      <c r="F7518" s="1368" t="s">
        <v>1</v>
      </c>
      <c r="G7518" s="1464"/>
      <c r="H7518" s="1426"/>
      <c r="I7518" s="1391"/>
      <c r="J7518" s="1369"/>
      <c r="K7518" s="1369"/>
      <c r="L7518" s="1554"/>
      <c r="M7518" s="1369"/>
      <c r="N7518" s="1369"/>
      <c r="O7518" s="1369"/>
      <c r="P7518" s="1367"/>
      <c r="Q7518" s="3387"/>
      <c r="R7518" s="2338"/>
    </row>
    <row r="7519" spans="1:18" s="22" customFormat="1">
      <c r="A7519" s="1320"/>
      <c r="B7519" s="595"/>
      <c r="C7519" s="1042"/>
      <c r="D7519" s="1371"/>
      <c r="E7519" s="2144"/>
      <c r="F7519" s="1471"/>
      <c r="G7519" s="1494"/>
      <c r="H7519" s="1372"/>
      <c r="I7519" s="1346" t="str">
        <f>IF(COUNT(#REF!)=0,"",(SUM(#REF!)/COUNT(#REF!)))</f>
        <v/>
      </c>
      <c r="J7519" s="1341"/>
      <c r="K7519" s="1307"/>
      <c r="L7519" s="1335"/>
      <c r="M7519" s="1302"/>
      <c r="N7519" s="1302"/>
      <c r="O7519" s="1291"/>
      <c r="P7519" s="1332"/>
      <c r="Q7519" s="3391"/>
      <c r="R7519" s="2338"/>
    </row>
    <row r="7520" spans="1:18" s="22" customFormat="1">
      <c r="A7520" s="1320"/>
      <c r="B7520" s="595"/>
      <c r="C7520" s="1042"/>
      <c r="D7520" s="1370"/>
      <c r="E7520" s="2152"/>
      <c r="F7520" s="1471"/>
      <c r="G7520" s="1494"/>
      <c r="H7520" s="1372"/>
      <c r="I7520" s="1286" t="str">
        <f>IF(COUNT(#REF!)=0,"",(SUM(#REF!)/COUNT(#REF!)))</f>
        <v/>
      </c>
      <c r="J7520" s="1287"/>
      <c r="K7520" s="1307"/>
      <c r="L7520" s="1335"/>
      <c r="M7520" s="1499"/>
      <c r="N7520" s="1499"/>
      <c r="O7520" s="1291"/>
      <c r="P7520" s="1332"/>
      <c r="Q7520" s="3391"/>
      <c r="R7520" s="2338"/>
    </row>
    <row r="7521" spans="1:18" s="22" customFormat="1">
      <c r="A7521" s="1320"/>
      <c r="B7521" s="595"/>
      <c r="C7521" s="1042"/>
      <c r="D7521" s="1370"/>
      <c r="E7521" s="2152"/>
      <c r="F7521" s="1471"/>
      <c r="G7521" s="1494"/>
      <c r="H7521" s="1372"/>
      <c r="I7521" s="1286" t="str">
        <f t="shared" ref="I7521" si="1018">IF(COUNT(H7522:O7522)=0,"",(SUM(H7522:O7522)/COUNT(H7522:O7522)))</f>
        <v/>
      </c>
      <c r="J7521" s="1287"/>
      <c r="K7521" s="1307"/>
      <c r="L7521" s="1335"/>
      <c r="M7521" s="1499"/>
      <c r="N7521" s="1499"/>
      <c r="O7521" s="1291"/>
      <c r="P7521" s="1332"/>
      <c r="Q7521" s="3391"/>
      <c r="R7521" s="2338"/>
    </row>
    <row r="7522" spans="1:18" s="22" customFormat="1">
      <c r="A7522" s="1320"/>
      <c r="B7522" s="595"/>
      <c r="C7522" s="1042"/>
      <c r="D7522" s="1404"/>
      <c r="E7522" s="1858"/>
      <c r="F7522" s="1465" t="s">
        <v>2</v>
      </c>
      <c r="G7522" s="1466"/>
      <c r="H7522" s="1362"/>
      <c r="I7522" s="1380"/>
      <c r="J7522" s="1381"/>
      <c r="K7522" s="1381"/>
      <c r="L7522" s="1458"/>
      <c r="M7522" s="1362"/>
      <c r="N7522" s="1705"/>
      <c r="O7522" s="1469"/>
      <c r="P7522" s="1470"/>
      <c r="Q7522" s="3398"/>
      <c r="R7522" s="2338"/>
    </row>
    <row r="7523" spans="1:18" s="22" customFormat="1">
      <c r="A7523" s="1320"/>
      <c r="B7523" s="595"/>
      <c r="C7523" s="1042"/>
      <c r="D7523" s="1402" t="s">
        <v>1067</v>
      </c>
      <c r="E7523" s="1857" t="s">
        <v>1508</v>
      </c>
      <c r="F7523" s="1430" t="s">
        <v>1512</v>
      </c>
      <c r="G7523" s="1362">
        <v>0.2</v>
      </c>
      <c r="H7523" s="1362"/>
      <c r="I7523" s="197"/>
      <c r="J7523" s="198"/>
      <c r="K7523" s="1307">
        <f>G7523*K7517</f>
        <v>0.4</v>
      </c>
      <c r="L7523" s="1335">
        <f t="shared" ref="L7523" si="1019">K7523*$K$7441</f>
        <v>0</v>
      </c>
      <c r="M7523" s="1499">
        <v>18.28</v>
      </c>
      <c r="N7523" s="1499"/>
      <c r="O7523" s="1291">
        <f>G7523*M7523</f>
        <v>3.6560000000000006</v>
      </c>
      <c r="P7523" s="1332">
        <f>M7523*K7523</f>
        <v>7.3120000000000012</v>
      </c>
      <c r="Q7523" s="3391"/>
      <c r="R7523" s="2338"/>
    </row>
    <row r="7524" spans="1:18" s="22" customFormat="1">
      <c r="A7524" s="1320"/>
      <c r="B7524" s="595"/>
      <c r="C7524" s="1042"/>
      <c r="D7524" s="1402"/>
      <c r="E7524" s="1857"/>
      <c r="F7524" s="1430"/>
      <c r="G7524" s="1362"/>
      <c r="H7524" s="1362"/>
      <c r="I7524" s="197"/>
      <c r="J7524" s="198"/>
      <c r="K7524" s="1307"/>
      <c r="L7524" s="1335"/>
      <c r="M7524" s="1499"/>
      <c r="N7524" s="1499"/>
      <c r="O7524" s="1291"/>
      <c r="P7524" s="1332"/>
      <c r="Q7524" s="3391"/>
      <c r="R7524" s="2338"/>
    </row>
    <row r="7525" spans="1:18" s="22" customFormat="1">
      <c r="A7525" s="1320"/>
      <c r="B7525" s="595"/>
      <c r="C7525" s="1042"/>
      <c r="D7525" s="1411"/>
      <c r="E7525" s="2123"/>
      <c r="F7525" s="1475" t="s">
        <v>3</v>
      </c>
      <c r="G7525" s="1373"/>
      <c r="H7525" s="1376"/>
      <c r="I7525" s="1382"/>
      <c r="J7525" s="1383"/>
      <c r="K7525" s="1373"/>
      <c r="L7525" s="1413"/>
      <c r="M7525" s="1508"/>
      <c r="N7525" s="1706"/>
      <c r="O7525" s="1486"/>
      <c r="P7525" s="1373"/>
      <c r="Q7525" s="3387"/>
      <c r="R7525" s="2338"/>
    </row>
    <row r="7526" spans="1:18" s="22" customFormat="1">
      <c r="A7526" s="1320"/>
      <c r="B7526" s="595"/>
      <c r="C7526" s="1042"/>
      <c r="D7526" s="1378"/>
      <c r="E7526" s="2139"/>
      <c r="F7526" s="1476"/>
      <c r="G7526" s="1477"/>
      <c r="H7526" s="1379"/>
      <c r="I7526" s="1289"/>
      <c r="J7526" s="1341"/>
      <c r="K7526" s="1307"/>
      <c r="L7526" s="1335"/>
      <c r="M7526" s="1499"/>
      <c r="N7526" s="1499"/>
      <c r="O7526" s="1291"/>
      <c r="P7526" s="1332"/>
      <c r="Q7526" s="3391"/>
      <c r="R7526" s="2338"/>
    </row>
    <row r="7527" spans="1:18" s="22" customFormat="1">
      <c r="A7527" s="1320"/>
      <c r="B7527" s="595"/>
      <c r="C7527" s="1042"/>
      <c r="D7527" s="1482"/>
      <c r="E7527" s="2141"/>
      <c r="F7527" s="1483"/>
      <c r="G7527" s="1483"/>
      <c r="H7527" s="1484"/>
      <c r="I7527" s="1349"/>
      <c r="J7527" s="1341"/>
      <c r="K7527" s="1307"/>
      <c r="L7527" s="1335"/>
      <c r="M7527" s="1499"/>
      <c r="N7527" s="1499"/>
      <c r="O7527" s="1291"/>
      <c r="P7527" s="1332"/>
      <c r="Q7527" s="3391"/>
      <c r="R7527" s="2338"/>
    </row>
    <row r="7528" spans="1:18" s="22" customFormat="1">
      <c r="A7528" s="1320"/>
      <c r="B7528" s="1512"/>
      <c r="C7528" s="223"/>
      <c r="D7528" s="1440"/>
      <c r="E7528" s="2132"/>
      <c r="F7528" s="1441"/>
      <c r="G7528" s="1441"/>
      <c r="H7528" s="1442"/>
      <c r="I7528" s="197" t="str">
        <f>IF(COUNT(H7529:O7529)=0,"",(SUM(H7529:O7529)/COUNT(H7529:O7529)))</f>
        <v/>
      </c>
      <c r="J7528" s="198"/>
      <c r="K7528" s="1307"/>
      <c r="L7528" s="1335"/>
      <c r="M7528" s="1499"/>
      <c r="N7528" s="1701"/>
      <c r="O7528" s="1290"/>
      <c r="P7528" s="1332"/>
      <c r="Q7528" s="3391"/>
      <c r="R7528" s="2338"/>
    </row>
    <row r="7529" spans="1:18" s="22" customFormat="1" ht="15" customHeight="1">
      <c r="A7529" s="19" t="s">
        <v>3764</v>
      </c>
      <c r="B7529" s="4325" t="s">
        <v>2357</v>
      </c>
      <c r="C7529" s="3350"/>
      <c r="D7529" s="4327"/>
      <c r="E7529" s="4329" t="s">
        <v>1504</v>
      </c>
      <c r="F7529" s="4338" t="s">
        <v>2358</v>
      </c>
      <c r="G7529" s="4331" t="s">
        <v>1568</v>
      </c>
      <c r="H7529" s="4331" t="s">
        <v>1574</v>
      </c>
      <c r="I7529" s="1572" t="s">
        <v>1559</v>
      </c>
      <c r="J7529" s="1294" t="s">
        <v>1560</v>
      </c>
      <c r="K7529" s="1294" t="s">
        <v>1561</v>
      </c>
      <c r="L7529" s="4333" t="s">
        <v>3765</v>
      </c>
      <c r="M7529" s="4335" t="s">
        <v>1571</v>
      </c>
      <c r="N7529" s="4323" t="s">
        <v>1776</v>
      </c>
      <c r="O7529" s="3347" t="s">
        <v>1563</v>
      </c>
      <c r="P7529" s="1336" t="s">
        <v>1562</v>
      </c>
      <c r="Q7529" s="3389"/>
      <c r="R7529" s="1699" t="s">
        <v>1327</v>
      </c>
    </row>
    <row r="7530" spans="1:18" s="22" customFormat="1">
      <c r="A7530" s="1599" t="s">
        <v>2349</v>
      </c>
      <c r="B7530" s="4326"/>
      <c r="C7530" s="3351"/>
      <c r="D7530" s="4328"/>
      <c r="E7530" s="4330"/>
      <c r="F7530" s="4338"/>
      <c r="G7530" s="4332"/>
      <c r="H7530" s="4332"/>
      <c r="I7530" s="1345">
        <v>4</v>
      </c>
      <c r="J7530" s="1307">
        <v>0.25</v>
      </c>
      <c r="K7530" s="1297">
        <f>I7530*J7530</f>
        <v>1</v>
      </c>
      <c r="L7530" s="4334"/>
      <c r="M7530" s="4335"/>
      <c r="N7530" s="4324"/>
      <c r="O7530" s="1298">
        <f>SUM(O7532:O7540)</f>
        <v>2.742</v>
      </c>
      <c r="P7530" s="1337">
        <f>O7530*K7530</f>
        <v>2.742</v>
      </c>
      <c r="Q7530" s="3390"/>
      <c r="R7530" s="1721">
        <f>SUM(P7532:P7541)</f>
        <v>2.742</v>
      </c>
    </row>
    <row r="7531" spans="1:18" s="22" customFormat="1">
      <c r="A7531" s="1320"/>
      <c r="B7531" s="1511"/>
      <c r="C7531" s="18"/>
      <c r="D7531" s="1463"/>
      <c r="E7531" s="2121"/>
      <c r="F7531" s="1368" t="s">
        <v>1</v>
      </c>
      <c r="G7531" s="1464"/>
      <c r="H7531" s="1426"/>
      <c r="I7531" s="1391"/>
      <c r="J7531" s="1369"/>
      <c r="K7531" s="1369"/>
      <c r="L7531" s="1554"/>
      <c r="M7531" s="1369"/>
      <c r="N7531" s="1369"/>
      <c r="O7531" s="1369"/>
      <c r="P7531" s="1367"/>
      <c r="Q7531" s="3387"/>
      <c r="R7531" s="2338"/>
    </row>
    <row r="7532" spans="1:18" s="22" customFormat="1">
      <c r="A7532" s="1320"/>
      <c r="B7532" s="595"/>
      <c r="C7532" s="1042"/>
      <c r="D7532" s="1598"/>
      <c r="E7532" s="2152"/>
      <c r="F7532" s="1598"/>
      <c r="G7532" s="1494"/>
      <c r="H7532" s="1372"/>
      <c r="I7532" s="1286" t="str">
        <f t="shared" ref="I7532" si="1020">IF(COUNT(H7533:O7533)=0,"",(SUM(H7533:O7533)/COUNT(H7533:O7533)))</f>
        <v/>
      </c>
      <c r="J7532" s="1287"/>
      <c r="K7532" s="1307"/>
      <c r="L7532" s="1335"/>
      <c r="M7532" s="1499"/>
      <c r="N7532" s="1499"/>
      <c r="O7532" s="1291"/>
      <c r="P7532" s="1332"/>
      <c r="Q7532" s="3391"/>
      <c r="R7532" s="2338"/>
    </row>
    <row r="7533" spans="1:18" s="22" customFormat="1">
      <c r="A7533" s="1320"/>
      <c r="B7533" s="595"/>
      <c r="C7533" s="1042"/>
      <c r="D7533" s="1370"/>
      <c r="E7533" s="2152"/>
      <c r="F7533" s="1471"/>
      <c r="G7533" s="1494"/>
      <c r="H7533" s="1372"/>
      <c r="I7533" s="1286" t="str">
        <f>IF(COUNT(#REF!)=0,"",(SUM(#REF!)/COUNT(#REF!)))</f>
        <v/>
      </c>
      <c r="J7533" s="1287"/>
      <c r="K7533" s="1307"/>
      <c r="L7533" s="1335"/>
      <c r="M7533" s="1499"/>
      <c r="N7533" s="1499"/>
      <c r="O7533" s="1291"/>
      <c r="P7533" s="1332"/>
      <c r="Q7533" s="3391"/>
      <c r="R7533" s="2338"/>
    </row>
    <row r="7534" spans="1:18" s="22" customFormat="1">
      <c r="A7534" s="1320"/>
      <c r="B7534" s="595"/>
      <c r="C7534" s="1042"/>
      <c r="D7534" s="1370"/>
      <c r="E7534" s="2152"/>
      <c r="F7534" s="1471"/>
      <c r="G7534" s="1494"/>
      <c r="H7534" s="1372"/>
      <c r="I7534" s="1286" t="str">
        <f t="shared" ref="I7534" si="1021">IF(COUNT(H7535:O7535)=0,"",(SUM(H7535:O7535)/COUNT(H7535:O7535)))</f>
        <v/>
      </c>
      <c r="J7534" s="1287"/>
      <c r="K7534" s="1307"/>
      <c r="L7534" s="1335"/>
      <c r="M7534" s="1499"/>
      <c r="N7534" s="1499"/>
      <c r="O7534" s="1291"/>
      <c r="P7534" s="1332"/>
      <c r="Q7534" s="3391"/>
      <c r="R7534" s="2338"/>
    </row>
    <row r="7535" spans="1:18" s="22" customFormat="1">
      <c r="A7535" s="1320"/>
      <c r="B7535" s="595"/>
      <c r="C7535" s="1042"/>
      <c r="D7535" s="1404"/>
      <c r="E7535" s="1858"/>
      <c r="F7535" s="1465" t="s">
        <v>2</v>
      </c>
      <c r="G7535" s="1466"/>
      <c r="H7535" s="1362"/>
      <c r="I7535" s="1380"/>
      <c r="J7535" s="1381"/>
      <c r="K7535" s="1381"/>
      <c r="L7535" s="1458"/>
      <c r="M7535" s="1362"/>
      <c r="N7535" s="1705"/>
      <c r="O7535" s="1469"/>
      <c r="P7535" s="1470"/>
      <c r="Q7535" s="3398"/>
      <c r="R7535" s="2338"/>
    </row>
    <row r="7536" spans="1:18" s="22" customFormat="1">
      <c r="A7536" s="1320"/>
      <c r="B7536" s="595"/>
      <c r="C7536" s="1042"/>
      <c r="D7536" s="1402" t="s">
        <v>1067</v>
      </c>
      <c r="E7536" s="1857" t="s">
        <v>1508</v>
      </c>
      <c r="F7536" s="1430" t="s">
        <v>1512</v>
      </c>
      <c r="G7536" s="1362">
        <v>0.15</v>
      </c>
      <c r="H7536" s="1362"/>
      <c r="I7536" s="197"/>
      <c r="J7536" s="198"/>
      <c r="K7536" s="1307">
        <f>G7536*K7530</f>
        <v>0.15</v>
      </c>
      <c r="L7536" s="1335">
        <f t="shared" ref="L7536" si="1022">K7536*$K$7441</f>
        <v>0</v>
      </c>
      <c r="M7536" s="1499">
        <v>18.28</v>
      </c>
      <c r="N7536" s="1499"/>
      <c r="O7536" s="1291">
        <f>G7536*M7536</f>
        <v>2.742</v>
      </c>
      <c r="P7536" s="1332">
        <f>M7536*K7536</f>
        <v>2.742</v>
      </c>
      <c r="Q7536" s="3391"/>
      <c r="R7536" s="2338"/>
    </row>
    <row r="7537" spans="1:18" s="22" customFormat="1">
      <c r="A7537" s="1320"/>
      <c r="B7537" s="595"/>
      <c r="C7537" s="1042"/>
      <c r="D7537" s="1402"/>
      <c r="E7537" s="1857"/>
      <c r="F7537" s="1430"/>
      <c r="G7537" s="1362"/>
      <c r="H7537" s="1362"/>
      <c r="I7537" s="197"/>
      <c r="J7537" s="198"/>
      <c r="K7537" s="1307"/>
      <c r="L7537" s="1335"/>
      <c r="M7537" s="1499"/>
      <c r="N7537" s="1499"/>
      <c r="O7537" s="1291"/>
      <c r="P7537" s="1332"/>
      <c r="Q7537" s="3391"/>
      <c r="R7537" s="2338"/>
    </row>
    <row r="7538" spans="1:18" s="22" customFormat="1">
      <c r="A7538" s="1320"/>
      <c r="B7538" s="595"/>
      <c r="C7538" s="1042"/>
      <c r="D7538" s="1411"/>
      <c r="E7538" s="2123"/>
      <c r="F7538" s="1475" t="s">
        <v>3</v>
      </c>
      <c r="G7538" s="1373"/>
      <c r="H7538" s="1376"/>
      <c r="I7538" s="1382"/>
      <c r="J7538" s="1383"/>
      <c r="K7538" s="1373"/>
      <c r="L7538" s="1413"/>
      <c r="M7538" s="1508"/>
      <c r="N7538" s="1706"/>
      <c r="O7538" s="1486"/>
      <c r="P7538" s="1373"/>
      <c r="Q7538" s="3387"/>
      <c r="R7538" s="2338"/>
    </row>
    <row r="7539" spans="1:18" s="22" customFormat="1">
      <c r="A7539" s="1320"/>
      <c r="B7539" s="595"/>
      <c r="C7539" s="1042"/>
      <c r="D7539" s="1378"/>
      <c r="E7539" s="2139"/>
      <c r="F7539" s="1476"/>
      <c r="G7539" s="1477"/>
      <c r="H7539" s="1379"/>
      <c r="I7539" s="1289"/>
      <c r="J7539" s="1341"/>
      <c r="K7539" s="1307"/>
      <c r="L7539" s="1335"/>
      <c r="M7539" s="1499"/>
      <c r="N7539" s="1499"/>
      <c r="O7539" s="1291"/>
      <c r="P7539" s="1332"/>
      <c r="Q7539" s="3391"/>
      <c r="R7539" s="2338"/>
    </row>
    <row r="7540" spans="1:18" s="22" customFormat="1">
      <c r="A7540" s="1320"/>
      <c r="B7540" s="595"/>
      <c r="C7540" s="1042"/>
      <c r="D7540" s="1482"/>
      <c r="E7540" s="2141"/>
      <c r="F7540" s="1483"/>
      <c r="G7540" s="1483"/>
      <c r="H7540" s="1484"/>
      <c r="I7540" s="1349"/>
      <c r="J7540" s="1341"/>
      <c r="K7540" s="1307"/>
      <c r="L7540" s="1335"/>
      <c r="M7540" s="1499"/>
      <c r="N7540" s="1499"/>
      <c r="O7540" s="1291"/>
      <c r="P7540" s="1332"/>
      <c r="Q7540" s="3391"/>
      <c r="R7540" s="2338"/>
    </row>
    <row r="7541" spans="1:18" s="22" customFormat="1">
      <c r="A7541" s="1320"/>
      <c r="B7541" s="1512"/>
      <c r="C7541" s="223"/>
      <c r="D7541" s="1440"/>
      <c r="E7541" s="2132"/>
      <c r="F7541" s="1441"/>
      <c r="G7541" s="1441"/>
      <c r="H7541" s="1442"/>
      <c r="I7541" s="197" t="str">
        <f>IF(COUNT(H7542:O7542)=0,"",(SUM(H7542:O7542)/COUNT(H7542:O7542)))</f>
        <v/>
      </c>
      <c r="J7541" s="198"/>
      <c r="K7541" s="1307"/>
      <c r="L7541" s="1335"/>
      <c r="M7541" s="1499"/>
      <c r="N7541" s="1701"/>
      <c r="O7541" s="1290"/>
      <c r="P7541" s="1332"/>
      <c r="Q7541" s="3391"/>
      <c r="R7541" s="2338"/>
    </row>
    <row r="7542" spans="1:18" s="22" customFormat="1" ht="15" customHeight="1">
      <c r="A7542" s="19" t="s">
        <v>3764</v>
      </c>
      <c r="B7542" s="4325" t="s">
        <v>2359</v>
      </c>
      <c r="C7542" s="3350"/>
      <c r="D7542" s="4327"/>
      <c r="E7542" s="4329" t="s">
        <v>1504</v>
      </c>
      <c r="F7542" s="4338" t="s">
        <v>2360</v>
      </c>
      <c r="G7542" s="4331" t="s">
        <v>1568</v>
      </c>
      <c r="H7542" s="4331" t="s">
        <v>1574</v>
      </c>
      <c r="I7542" s="1572" t="s">
        <v>1559</v>
      </c>
      <c r="J7542" s="1294" t="s">
        <v>1560</v>
      </c>
      <c r="K7542" s="1294" t="s">
        <v>1561</v>
      </c>
      <c r="L7542" s="4333" t="s">
        <v>3765</v>
      </c>
      <c r="M7542" s="4335" t="s">
        <v>1571</v>
      </c>
      <c r="N7542" s="4323" t="s">
        <v>1776</v>
      </c>
      <c r="O7542" s="3347" t="s">
        <v>1563</v>
      </c>
      <c r="P7542" s="1336" t="s">
        <v>1562</v>
      </c>
      <c r="Q7542" s="3389"/>
      <c r="R7542" s="1699" t="s">
        <v>1327</v>
      </c>
    </row>
    <row r="7543" spans="1:18" s="22" customFormat="1">
      <c r="A7543" s="1599" t="s">
        <v>2349</v>
      </c>
      <c r="B7543" s="4326"/>
      <c r="C7543" s="3351"/>
      <c r="D7543" s="4328"/>
      <c r="E7543" s="4330"/>
      <c r="F7543" s="4338"/>
      <c r="G7543" s="4332"/>
      <c r="H7543" s="4332"/>
      <c r="I7543" s="1345">
        <v>4</v>
      </c>
      <c r="J7543" s="1307">
        <v>0.25</v>
      </c>
      <c r="K7543" s="1297">
        <f>I7543*J7543</f>
        <v>1</v>
      </c>
      <c r="L7543" s="4334"/>
      <c r="M7543" s="4335"/>
      <c r="N7543" s="4324"/>
      <c r="O7543" s="1298">
        <f>SUM(O7545:O7553)</f>
        <v>3.6560000000000006</v>
      </c>
      <c r="P7543" s="1337">
        <f>O7543*K7543</f>
        <v>3.6560000000000006</v>
      </c>
      <c r="Q7543" s="3390"/>
      <c r="R7543" s="1721">
        <f>SUM(P7545:P7554)</f>
        <v>3.6560000000000006</v>
      </c>
    </row>
    <row r="7544" spans="1:18" s="22" customFormat="1">
      <c r="A7544" s="1320"/>
      <c r="B7544" s="1511"/>
      <c r="C7544" s="18"/>
      <c r="D7544" s="1463"/>
      <c r="E7544" s="2121"/>
      <c r="F7544" s="1368" t="s">
        <v>1</v>
      </c>
      <c r="G7544" s="1464"/>
      <c r="H7544" s="1426"/>
      <c r="I7544" s="1391"/>
      <c r="J7544" s="1369"/>
      <c r="K7544" s="1369"/>
      <c r="L7544" s="1554"/>
      <c r="M7544" s="1369"/>
      <c r="N7544" s="1369"/>
      <c r="O7544" s="1369"/>
      <c r="P7544" s="1367"/>
      <c r="Q7544" s="3387"/>
      <c r="R7544" s="2338"/>
    </row>
    <row r="7545" spans="1:18" s="22" customFormat="1">
      <c r="A7545" s="1320"/>
      <c r="B7545" s="595"/>
      <c r="C7545" s="1042"/>
      <c r="D7545" s="1371"/>
      <c r="E7545" s="2144"/>
      <c r="F7545" s="1471"/>
      <c r="G7545" s="1494"/>
      <c r="H7545" s="1372"/>
      <c r="I7545" s="1346" t="str">
        <f>IF(COUNT(#REF!)=0,"",(SUM(#REF!)/COUNT(#REF!)))</f>
        <v/>
      </c>
      <c r="J7545" s="1341"/>
      <c r="K7545" s="1307"/>
      <c r="L7545" s="1335"/>
      <c r="M7545" s="1302"/>
      <c r="N7545" s="1302"/>
      <c r="O7545" s="1291"/>
      <c r="P7545" s="1332"/>
      <c r="Q7545" s="3391"/>
      <c r="R7545" s="2338"/>
    </row>
    <row r="7546" spans="1:18" s="22" customFormat="1">
      <c r="A7546" s="1320"/>
      <c r="B7546" s="595"/>
      <c r="C7546" s="1042"/>
      <c r="D7546" s="1370"/>
      <c r="E7546" s="2152"/>
      <c r="F7546" s="1471"/>
      <c r="G7546" s="1494"/>
      <c r="H7546" s="1372"/>
      <c r="I7546" s="1286" t="str">
        <f>IF(COUNT(#REF!)=0,"",(SUM(#REF!)/COUNT(#REF!)))</f>
        <v/>
      </c>
      <c r="J7546" s="1287"/>
      <c r="K7546" s="1307"/>
      <c r="L7546" s="1335"/>
      <c r="M7546" s="1499"/>
      <c r="N7546" s="1499"/>
      <c r="O7546" s="1291"/>
      <c r="P7546" s="1332"/>
      <c r="Q7546" s="3391"/>
      <c r="R7546" s="2338"/>
    </row>
    <row r="7547" spans="1:18" s="22" customFormat="1">
      <c r="A7547" s="1320"/>
      <c r="B7547" s="595"/>
      <c r="C7547" s="1042"/>
      <c r="D7547" s="1370"/>
      <c r="E7547" s="2152"/>
      <c r="F7547" s="1471"/>
      <c r="G7547" s="1494"/>
      <c r="H7547" s="1372"/>
      <c r="I7547" s="1286" t="str">
        <f t="shared" ref="I7547" si="1023">IF(COUNT(H7548:O7548)=0,"",(SUM(H7548:O7548)/COUNT(H7548:O7548)))</f>
        <v/>
      </c>
      <c r="J7547" s="1287"/>
      <c r="K7547" s="1307"/>
      <c r="L7547" s="1335"/>
      <c r="M7547" s="1499"/>
      <c r="N7547" s="1499"/>
      <c r="O7547" s="1291"/>
      <c r="P7547" s="1332"/>
      <c r="Q7547" s="3391"/>
      <c r="R7547" s="2338"/>
    </row>
    <row r="7548" spans="1:18" s="22" customFormat="1">
      <c r="A7548" s="1320"/>
      <c r="B7548" s="595"/>
      <c r="C7548" s="1042"/>
      <c r="D7548" s="1404"/>
      <c r="E7548" s="1858"/>
      <c r="F7548" s="1465" t="s">
        <v>2</v>
      </c>
      <c r="G7548" s="1466"/>
      <c r="H7548" s="1362"/>
      <c r="I7548" s="1380"/>
      <c r="J7548" s="1381"/>
      <c r="K7548" s="1381"/>
      <c r="L7548" s="1458"/>
      <c r="M7548" s="1362"/>
      <c r="N7548" s="1705"/>
      <c r="O7548" s="1469"/>
      <c r="P7548" s="1470"/>
      <c r="Q7548" s="3398"/>
      <c r="R7548" s="2338"/>
    </row>
    <row r="7549" spans="1:18" s="22" customFormat="1">
      <c r="A7549" s="1320"/>
      <c r="B7549" s="595"/>
      <c r="C7549" s="1042"/>
      <c r="D7549" s="1402" t="s">
        <v>1067</v>
      </c>
      <c r="E7549" s="1857" t="s">
        <v>1508</v>
      </c>
      <c r="F7549" s="1430" t="s">
        <v>1512</v>
      </c>
      <c r="G7549" s="1362">
        <v>0.2</v>
      </c>
      <c r="H7549" s="1362"/>
      <c r="I7549" s="197"/>
      <c r="J7549" s="198"/>
      <c r="K7549" s="1307">
        <f>G7549*K7543</f>
        <v>0.2</v>
      </c>
      <c r="L7549" s="1335">
        <f t="shared" ref="L7549" si="1024">K7549*$K$7441</f>
        <v>0</v>
      </c>
      <c r="M7549" s="1499">
        <v>18.28</v>
      </c>
      <c r="N7549" s="1499"/>
      <c r="O7549" s="1291">
        <f>G7549*M7549</f>
        <v>3.6560000000000006</v>
      </c>
      <c r="P7549" s="1332">
        <f>M7549*K7549</f>
        <v>3.6560000000000006</v>
      </c>
      <c r="Q7549" s="3391"/>
      <c r="R7549" s="2338"/>
    </row>
    <row r="7550" spans="1:18" s="22" customFormat="1">
      <c r="A7550" s="1320"/>
      <c r="B7550" s="595"/>
      <c r="C7550" s="1042"/>
      <c r="D7550" s="1402"/>
      <c r="E7550" s="1857"/>
      <c r="F7550" s="1430"/>
      <c r="G7550" s="1362"/>
      <c r="H7550" s="1362"/>
      <c r="I7550" s="197"/>
      <c r="J7550" s="198"/>
      <c r="K7550" s="1307"/>
      <c r="L7550" s="1335"/>
      <c r="M7550" s="1499"/>
      <c r="N7550" s="1499"/>
      <c r="O7550" s="1291"/>
      <c r="P7550" s="1332"/>
      <c r="Q7550" s="3391"/>
      <c r="R7550" s="2338"/>
    </row>
    <row r="7551" spans="1:18" s="22" customFormat="1">
      <c r="A7551" s="1320"/>
      <c r="B7551" s="595"/>
      <c r="C7551" s="1042"/>
      <c r="D7551" s="1411"/>
      <c r="E7551" s="2123"/>
      <c r="F7551" s="1475" t="s">
        <v>3</v>
      </c>
      <c r="G7551" s="1373"/>
      <c r="H7551" s="1376"/>
      <c r="I7551" s="1382"/>
      <c r="J7551" s="1383"/>
      <c r="K7551" s="1373"/>
      <c r="L7551" s="1413"/>
      <c r="M7551" s="1508"/>
      <c r="N7551" s="1706"/>
      <c r="O7551" s="1486"/>
      <c r="P7551" s="1373"/>
      <c r="Q7551" s="3387"/>
      <c r="R7551" s="2338"/>
    </row>
    <row r="7552" spans="1:18" s="22" customFormat="1">
      <c r="A7552" s="1320"/>
      <c r="B7552" s="595"/>
      <c r="C7552" s="1042"/>
      <c r="D7552" s="1378"/>
      <c r="E7552" s="2139"/>
      <c r="F7552" s="1476"/>
      <c r="G7552" s="1477"/>
      <c r="H7552" s="1379"/>
      <c r="I7552" s="1289"/>
      <c r="J7552" s="1341"/>
      <c r="K7552" s="1307"/>
      <c r="L7552" s="1335"/>
      <c r="M7552" s="1499"/>
      <c r="N7552" s="1499"/>
      <c r="O7552" s="1291"/>
      <c r="P7552" s="1332"/>
      <c r="Q7552" s="3391"/>
      <c r="R7552" s="2338"/>
    </row>
    <row r="7553" spans="1:18" s="22" customFormat="1">
      <c r="A7553" s="1320"/>
      <c r="B7553" s="595"/>
      <c r="C7553" s="1042"/>
      <c r="D7553" s="1482"/>
      <c r="E7553" s="2141"/>
      <c r="F7553" s="1483"/>
      <c r="G7553" s="1483"/>
      <c r="H7553" s="1484"/>
      <c r="I7553" s="1349"/>
      <c r="J7553" s="1341"/>
      <c r="K7553" s="1307"/>
      <c r="L7553" s="1335"/>
      <c r="M7553" s="1499"/>
      <c r="N7553" s="1499"/>
      <c r="O7553" s="1291"/>
      <c r="P7553" s="1332"/>
      <c r="Q7553" s="3391"/>
      <c r="R7553" s="2338"/>
    </row>
    <row r="7554" spans="1:18" s="22" customFormat="1">
      <c r="A7554" s="1320"/>
      <c r="B7554" s="1512"/>
      <c r="C7554" s="223"/>
      <c r="D7554" s="1440"/>
      <c r="E7554" s="2132"/>
      <c r="F7554" s="1441"/>
      <c r="G7554" s="1441"/>
      <c r="H7554" s="1442"/>
      <c r="I7554" s="197" t="str">
        <f>IF(COUNT(H7555:O7555)=0,"",(SUM(H7555:O7555)/COUNT(H7555:O7555)))</f>
        <v/>
      </c>
      <c r="J7554" s="198"/>
      <c r="K7554" s="1307"/>
      <c r="L7554" s="1335"/>
      <c r="M7554" s="1499"/>
      <c r="N7554" s="1701"/>
      <c r="O7554" s="1290"/>
      <c r="P7554" s="1332"/>
      <c r="Q7554" s="3391"/>
      <c r="R7554" s="2338"/>
    </row>
    <row r="7555" spans="1:18" s="22" customFormat="1">
      <c r="A7555" s="19" t="s">
        <v>3764</v>
      </c>
      <c r="B7555" s="4325" t="s">
        <v>2361</v>
      </c>
      <c r="C7555" s="3350"/>
      <c r="D7555" s="4327"/>
      <c r="E7555" s="4329" t="s">
        <v>1504</v>
      </c>
      <c r="F7555" s="4338" t="s">
        <v>2362</v>
      </c>
      <c r="G7555" s="4331" t="s">
        <v>1568</v>
      </c>
      <c r="H7555" s="4331" t="s">
        <v>1574</v>
      </c>
      <c r="I7555" s="1572" t="s">
        <v>1559</v>
      </c>
      <c r="J7555" s="1294" t="s">
        <v>1560</v>
      </c>
      <c r="K7555" s="1294" t="s">
        <v>1561</v>
      </c>
      <c r="L7555" s="4333" t="s">
        <v>3765</v>
      </c>
      <c r="M7555" s="4335" t="s">
        <v>1571</v>
      </c>
      <c r="N7555" s="4323" t="s">
        <v>1776</v>
      </c>
      <c r="O7555" s="3347" t="s">
        <v>1563</v>
      </c>
      <c r="P7555" s="1336" t="s">
        <v>1562</v>
      </c>
      <c r="Q7555" s="3389"/>
      <c r="R7555" s="1699" t="s">
        <v>1327</v>
      </c>
    </row>
    <row r="7556" spans="1:18" s="22" customFormat="1">
      <c r="A7556" s="1599" t="s">
        <v>2349</v>
      </c>
      <c r="B7556" s="4326"/>
      <c r="C7556" s="3351"/>
      <c r="D7556" s="4328"/>
      <c r="E7556" s="4330"/>
      <c r="F7556" s="4338"/>
      <c r="G7556" s="4332"/>
      <c r="H7556" s="4332"/>
      <c r="I7556" s="1345">
        <v>4</v>
      </c>
      <c r="J7556" s="1307">
        <v>0.25</v>
      </c>
      <c r="K7556" s="1297">
        <f>I7556*J7556</f>
        <v>1</v>
      </c>
      <c r="L7556" s="4334"/>
      <c r="M7556" s="4335"/>
      <c r="N7556" s="4324"/>
      <c r="O7556" s="1298">
        <f>SUM(O7558:O7566)</f>
        <v>3.6560000000000006</v>
      </c>
      <c r="P7556" s="1337">
        <f>O7556*K7556</f>
        <v>3.6560000000000006</v>
      </c>
      <c r="Q7556" s="3390"/>
      <c r="R7556" s="1721">
        <f>SUM(P7558:P7567)</f>
        <v>3.6560000000000006</v>
      </c>
    </row>
    <row r="7557" spans="1:18" s="22" customFormat="1">
      <c r="A7557" s="1320"/>
      <c r="B7557" s="1511"/>
      <c r="C7557" s="18"/>
      <c r="D7557" s="1463"/>
      <c r="E7557" s="2121"/>
      <c r="F7557" s="1368" t="s">
        <v>1</v>
      </c>
      <c r="G7557" s="1464"/>
      <c r="H7557" s="1426"/>
      <c r="I7557" s="1391"/>
      <c r="J7557" s="1369"/>
      <c r="K7557" s="1369"/>
      <c r="L7557" s="1554"/>
      <c r="M7557" s="1369"/>
      <c r="N7557" s="1369"/>
      <c r="O7557" s="1369"/>
      <c r="P7557" s="1367"/>
      <c r="Q7557" s="3387"/>
      <c r="R7557" s="2338"/>
    </row>
    <row r="7558" spans="1:18" s="22" customFormat="1">
      <c r="A7558" s="1320"/>
      <c r="B7558" s="595"/>
      <c r="C7558" s="1042"/>
      <c r="D7558" s="1371"/>
      <c r="E7558" s="2144"/>
      <c r="F7558" s="1471"/>
      <c r="G7558" s="1494"/>
      <c r="H7558" s="1372"/>
      <c r="I7558" s="1346" t="str">
        <f>IF(COUNT(#REF!)=0,"",(SUM(#REF!)/COUNT(#REF!)))</f>
        <v/>
      </c>
      <c r="J7558" s="1341"/>
      <c r="K7558" s="1307"/>
      <c r="L7558" s="1335"/>
      <c r="M7558" s="1302"/>
      <c r="N7558" s="1302"/>
      <c r="O7558" s="1291"/>
      <c r="P7558" s="1332"/>
      <c r="Q7558" s="3391"/>
      <c r="R7558" s="2338"/>
    </row>
    <row r="7559" spans="1:18" s="22" customFormat="1">
      <c r="A7559" s="1320"/>
      <c r="B7559" s="595"/>
      <c r="C7559" s="1042"/>
      <c r="D7559" s="1370"/>
      <c r="E7559" s="2152"/>
      <c r="F7559" s="1471"/>
      <c r="G7559" s="1494"/>
      <c r="H7559" s="1372"/>
      <c r="I7559" s="1286" t="str">
        <f>IF(COUNT(#REF!)=0,"",(SUM(#REF!)/COUNT(#REF!)))</f>
        <v/>
      </c>
      <c r="J7559" s="1287"/>
      <c r="K7559" s="1307"/>
      <c r="L7559" s="1335"/>
      <c r="M7559" s="1499"/>
      <c r="N7559" s="1499"/>
      <c r="O7559" s="1291"/>
      <c r="P7559" s="1332"/>
      <c r="Q7559" s="3391"/>
      <c r="R7559" s="2338"/>
    </row>
    <row r="7560" spans="1:18" s="22" customFormat="1">
      <c r="A7560" s="1320"/>
      <c r="B7560" s="595"/>
      <c r="C7560" s="1042"/>
      <c r="D7560" s="1370"/>
      <c r="E7560" s="2152"/>
      <c r="F7560" s="1471"/>
      <c r="G7560" s="1494"/>
      <c r="H7560" s="1372"/>
      <c r="I7560" s="1286" t="str">
        <f t="shared" ref="I7560" si="1025">IF(COUNT(H7561:O7561)=0,"",(SUM(H7561:O7561)/COUNT(H7561:O7561)))</f>
        <v/>
      </c>
      <c r="J7560" s="1287"/>
      <c r="K7560" s="1307"/>
      <c r="L7560" s="1335"/>
      <c r="M7560" s="1499"/>
      <c r="N7560" s="1499"/>
      <c r="O7560" s="1291"/>
      <c r="P7560" s="1332"/>
      <c r="Q7560" s="3391"/>
      <c r="R7560" s="2338"/>
    </row>
    <row r="7561" spans="1:18" s="22" customFormat="1">
      <c r="A7561" s="1320"/>
      <c r="B7561" s="595"/>
      <c r="C7561" s="1042"/>
      <c r="D7561" s="1404"/>
      <c r="E7561" s="1858"/>
      <c r="F7561" s="1465" t="s">
        <v>2</v>
      </c>
      <c r="G7561" s="1466"/>
      <c r="H7561" s="1362"/>
      <c r="I7561" s="1380"/>
      <c r="J7561" s="1381"/>
      <c r="K7561" s="1381"/>
      <c r="L7561" s="1458"/>
      <c r="M7561" s="1362"/>
      <c r="N7561" s="1705"/>
      <c r="O7561" s="1469"/>
      <c r="P7561" s="1470"/>
      <c r="Q7561" s="3398"/>
      <c r="R7561" s="2338"/>
    </row>
    <row r="7562" spans="1:18" s="22" customFormat="1">
      <c r="A7562" s="1320"/>
      <c r="B7562" s="595"/>
      <c r="C7562" s="1042"/>
      <c r="D7562" s="1402" t="s">
        <v>1067</v>
      </c>
      <c r="E7562" s="1857" t="s">
        <v>1508</v>
      </c>
      <c r="F7562" s="1430" t="s">
        <v>1512</v>
      </c>
      <c r="G7562" s="1362">
        <v>0.2</v>
      </c>
      <c r="H7562" s="1362"/>
      <c r="I7562" s="197"/>
      <c r="J7562" s="198"/>
      <c r="K7562" s="1307">
        <f>G7562*K7556</f>
        <v>0.2</v>
      </c>
      <c r="L7562" s="1335">
        <f t="shared" ref="L7562" si="1026">K7562*$K$7441</f>
        <v>0</v>
      </c>
      <c r="M7562" s="1499">
        <v>18.28</v>
      </c>
      <c r="N7562" s="1499"/>
      <c r="O7562" s="1291">
        <f>G7562*M7562</f>
        <v>3.6560000000000006</v>
      </c>
      <c r="P7562" s="1332">
        <f>M7562*K7562</f>
        <v>3.6560000000000006</v>
      </c>
      <c r="Q7562" s="3391"/>
      <c r="R7562" s="2338"/>
    </row>
    <row r="7563" spans="1:18" s="22" customFormat="1">
      <c r="A7563" s="1320"/>
      <c r="B7563" s="595"/>
      <c r="C7563" s="1042"/>
      <c r="D7563" s="1402"/>
      <c r="E7563" s="1857"/>
      <c r="F7563" s="1430"/>
      <c r="G7563" s="1362"/>
      <c r="H7563" s="1362"/>
      <c r="I7563" s="197"/>
      <c r="J7563" s="198"/>
      <c r="K7563" s="1307"/>
      <c r="L7563" s="1335"/>
      <c r="M7563" s="1499"/>
      <c r="N7563" s="1499"/>
      <c r="O7563" s="1291"/>
      <c r="P7563" s="1332"/>
      <c r="Q7563" s="3391"/>
      <c r="R7563" s="2338"/>
    </row>
    <row r="7564" spans="1:18" s="22" customFormat="1">
      <c r="A7564" s="1320"/>
      <c r="B7564" s="595"/>
      <c r="C7564" s="1042"/>
      <c r="D7564" s="1411"/>
      <c r="E7564" s="2123"/>
      <c r="F7564" s="1475" t="s">
        <v>3</v>
      </c>
      <c r="G7564" s="1373"/>
      <c r="H7564" s="1376"/>
      <c r="I7564" s="1382"/>
      <c r="J7564" s="1383"/>
      <c r="K7564" s="1373"/>
      <c r="L7564" s="1413"/>
      <c r="M7564" s="1508"/>
      <c r="N7564" s="1706"/>
      <c r="O7564" s="1486"/>
      <c r="P7564" s="1373"/>
      <c r="Q7564" s="3387"/>
      <c r="R7564" s="2338"/>
    </row>
    <row r="7565" spans="1:18" s="22" customFormat="1">
      <c r="A7565" s="1320"/>
      <c r="B7565" s="595"/>
      <c r="C7565" s="1042"/>
      <c r="D7565" s="1378"/>
      <c r="E7565" s="2139"/>
      <c r="F7565" s="1476"/>
      <c r="G7565" s="1477"/>
      <c r="H7565" s="1379"/>
      <c r="I7565" s="1289"/>
      <c r="J7565" s="1341"/>
      <c r="K7565" s="1307"/>
      <c r="L7565" s="1335"/>
      <c r="M7565" s="1499"/>
      <c r="N7565" s="1499"/>
      <c r="O7565" s="1291"/>
      <c r="P7565" s="1332"/>
      <c r="Q7565" s="3391"/>
      <c r="R7565" s="2338"/>
    </row>
    <row r="7566" spans="1:18" s="22" customFormat="1">
      <c r="A7566" s="1320"/>
      <c r="B7566" s="595"/>
      <c r="C7566" s="1042"/>
      <c r="D7566" s="1482"/>
      <c r="E7566" s="2141"/>
      <c r="F7566" s="1483"/>
      <c r="G7566" s="1483"/>
      <c r="H7566" s="1484"/>
      <c r="I7566" s="1349"/>
      <c r="J7566" s="1341"/>
      <c r="K7566" s="1307"/>
      <c r="L7566" s="1335"/>
      <c r="M7566" s="1499"/>
      <c r="N7566" s="1499"/>
      <c r="O7566" s="1291"/>
      <c r="P7566" s="1332"/>
      <c r="Q7566" s="3391"/>
      <c r="R7566" s="2338"/>
    </row>
    <row r="7567" spans="1:18" s="22" customFormat="1">
      <c r="A7567" s="1320"/>
      <c r="B7567" s="1512"/>
      <c r="C7567" s="223"/>
      <c r="D7567" s="1440"/>
      <c r="E7567" s="2132"/>
      <c r="F7567" s="1441"/>
      <c r="G7567" s="1441"/>
      <c r="H7567" s="1442"/>
      <c r="I7567" s="197" t="str">
        <f>IF(COUNT(H7568:O7568)=0,"",(SUM(H7568:O7568)/COUNT(H7568:O7568)))</f>
        <v/>
      </c>
      <c r="J7567" s="198"/>
      <c r="K7567" s="1307"/>
      <c r="L7567" s="1335"/>
      <c r="M7567" s="1499"/>
      <c r="N7567" s="1701"/>
      <c r="O7567" s="1290"/>
      <c r="P7567" s="1332"/>
      <c r="Q7567" s="3391"/>
      <c r="R7567" s="2338"/>
    </row>
    <row r="7568" spans="1:18" s="22" customFormat="1" ht="15" customHeight="1">
      <c r="A7568" s="19" t="s">
        <v>3764</v>
      </c>
      <c r="B7568" s="4325" t="s">
        <v>1496</v>
      </c>
      <c r="C7568" s="3350"/>
      <c r="D7568" s="4327"/>
      <c r="E7568" s="4329" t="s">
        <v>1507</v>
      </c>
      <c r="F7568" s="4338" t="s">
        <v>2363</v>
      </c>
      <c r="G7568" s="4331" t="s">
        <v>1568</v>
      </c>
      <c r="H7568" s="4331" t="s">
        <v>1574</v>
      </c>
      <c r="I7568" s="1572" t="s">
        <v>1559</v>
      </c>
      <c r="J7568" s="1294" t="s">
        <v>1560</v>
      </c>
      <c r="K7568" s="1294" t="s">
        <v>1561</v>
      </c>
      <c r="L7568" s="4333" t="s">
        <v>3765</v>
      </c>
      <c r="M7568" s="4335" t="s">
        <v>1571</v>
      </c>
      <c r="N7568" s="4323" t="s">
        <v>1776</v>
      </c>
      <c r="O7568" s="3347" t="s">
        <v>1563</v>
      </c>
      <c r="P7568" s="1336" t="s">
        <v>1562</v>
      </c>
      <c r="Q7568" s="3389"/>
      <c r="R7568" s="1699" t="s">
        <v>1327</v>
      </c>
    </row>
    <row r="7569" spans="1:18" s="22" customFormat="1">
      <c r="A7569" s="1599" t="s">
        <v>2349</v>
      </c>
      <c r="B7569" s="4326"/>
      <c r="C7569" s="3351"/>
      <c r="D7569" s="4328"/>
      <c r="E7569" s="4330"/>
      <c r="F7569" s="4338"/>
      <c r="G7569" s="4332"/>
      <c r="H7569" s="4332"/>
      <c r="I7569" s="1345">
        <v>0.25</v>
      </c>
      <c r="J7569" s="1307">
        <v>0.25</v>
      </c>
      <c r="K7569" s="1297">
        <f>I7569*J7569</f>
        <v>6.25E-2</v>
      </c>
      <c r="L7569" s="4334"/>
      <c r="M7569" s="4335"/>
      <c r="N7569" s="4324"/>
      <c r="O7569" s="1298">
        <f>SUM(O7571:O7580)</f>
        <v>80.073490000000007</v>
      </c>
      <c r="P7569" s="1337">
        <f>O7569*K7569</f>
        <v>5.0045931250000004</v>
      </c>
      <c r="Q7569" s="3390"/>
      <c r="R7569" s="1721">
        <f>SUM(P7571:P7581)</f>
        <v>5.0045931250000004</v>
      </c>
    </row>
    <row r="7570" spans="1:18" s="22" customFormat="1">
      <c r="A7570" s="1320"/>
      <c r="B7570" s="1511"/>
      <c r="C7570" s="18"/>
      <c r="D7570" s="1463"/>
      <c r="E7570" s="2121"/>
      <c r="F7570" s="1368" t="s">
        <v>1</v>
      </c>
      <c r="G7570" s="1464"/>
      <c r="H7570" s="1426"/>
      <c r="I7570" s="1391"/>
      <c r="J7570" s="1369"/>
      <c r="K7570" s="1369"/>
      <c r="L7570" s="1554"/>
      <c r="M7570" s="1369"/>
      <c r="N7570" s="1369"/>
      <c r="O7570" s="1369"/>
      <c r="P7570" s="1367"/>
      <c r="Q7570" s="3387"/>
      <c r="R7570" s="2338"/>
    </row>
    <row r="7571" spans="1:18" s="22" customFormat="1">
      <c r="A7571" s="1320"/>
      <c r="B7571" s="595"/>
      <c r="C7571" s="1042"/>
      <c r="D7571" s="1371"/>
      <c r="E7571" s="2144"/>
      <c r="F7571" s="1471"/>
      <c r="G7571" s="1494"/>
      <c r="H7571" s="1372"/>
      <c r="I7571" s="1346" t="str">
        <f>IF(COUNT(#REF!)=0,"",(SUM(#REF!)/COUNT(#REF!)))</f>
        <v/>
      </c>
      <c r="J7571" s="1341"/>
      <c r="K7571" s="1307"/>
      <c r="L7571" s="1335"/>
      <c r="M7571" s="1302"/>
      <c r="N7571" s="1302"/>
      <c r="O7571" s="1291"/>
      <c r="P7571" s="1332"/>
      <c r="Q7571" s="3391"/>
      <c r="R7571" s="2338"/>
    </row>
    <row r="7572" spans="1:18" s="22" customFormat="1">
      <c r="A7572" s="1320"/>
      <c r="B7572" s="595"/>
      <c r="C7572" s="1042"/>
      <c r="D7572" s="1370"/>
      <c r="E7572" s="2152"/>
      <c r="F7572" s="1471"/>
      <c r="G7572" s="1494"/>
      <c r="H7572" s="1372"/>
      <c r="I7572" s="1286" t="str">
        <f>IF(COUNT(#REF!)=0,"",(SUM(#REF!)/COUNT(#REF!)))</f>
        <v/>
      </c>
      <c r="J7572" s="1287"/>
      <c r="K7572" s="1307"/>
      <c r="L7572" s="1335"/>
      <c r="M7572" s="1499"/>
      <c r="N7572" s="1499"/>
      <c r="O7572" s="1291"/>
      <c r="P7572" s="1332"/>
      <c r="Q7572" s="3391"/>
      <c r="R7572" s="2338"/>
    </row>
    <row r="7573" spans="1:18" s="22" customFormat="1">
      <c r="A7573" s="1320"/>
      <c r="B7573" s="595"/>
      <c r="C7573" s="1042"/>
      <c r="D7573" s="1370"/>
      <c r="E7573" s="2152"/>
      <c r="F7573" s="1471"/>
      <c r="G7573" s="1494"/>
      <c r="H7573" s="1372"/>
      <c r="I7573" s="1286" t="str">
        <f t="shared" ref="I7573" si="1027">IF(COUNT(H7574:O7574)=0,"",(SUM(H7574:O7574)/COUNT(H7574:O7574)))</f>
        <v/>
      </c>
      <c r="J7573" s="1287"/>
      <c r="K7573" s="1307"/>
      <c r="L7573" s="1335"/>
      <c r="M7573" s="1499"/>
      <c r="N7573" s="1499"/>
      <c r="O7573" s="1291"/>
      <c r="P7573" s="1332"/>
      <c r="Q7573" s="3391"/>
      <c r="R7573" s="2338"/>
    </row>
    <row r="7574" spans="1:18" s="22" customFormat="1">
      <c r="A7574" s="1320"/>
      <c r="B7574" s="595"/>
      <c r="C7574" s="1042"/>
      <c r="D7574" s="1404"/>
      <c r="E7574" s="1858"/>
      <c r="F7574" s="1465" t="s">
        <v>2</v>
      </c>
      <c r="G7574" s="1466"/>
      <c r="H7574" s="1362"/>
      <c r="I7574" s="1380"/>
      <c r="J7574" s="1381"/>
      <c r="K7574" s="1381"/>
      <c r="L7574" s="1458"/>
      <c r="M7574" s="1362"/>
      <c r="N7574" s="1705"/>
      <c r="O7574" s="1469"/>
      <c r="P7574" s="1470"/>
      <c r="Q7574" s="3398"/>
      <c r="R7574" s="2338"/>
    </row>
    <row r="7575" spans="1:18" s="22" customFormat="1">
      <c r="A7575" s="1320"/>
      <c r="B7575" s="595"/>
      <c r="C7575" s="1042"/>
      <c r="D7575" s="1402" t="s">
        <v>1067</v>
      </c>
      <c r="E7575" s="1857" t="s">
        <v>1508</v>
      </c>
      <c r="F7575" s="1430" t="s">
        <v>1512</v>
      </c>
      <c r="G7575" s="1362">
        <v>3.7290000000000001</v>
      </c>
      <c r="H7575" s="1362"/>
      <c r="I7575" s="197"/>
      <c r="J7575" s="198"/>
      <c r="K7575" s="1307">
        <f>G7575*K7569</f>
        <v>0.23306250000000001</v>
      </c>
      <c r="L7575" s="1335">
        <f t="shared" ref="L7575" si="1028">K7575*$K$7441</f>
        <v>0</v>
      </c>
      <c r="M7575" s="1499">
        <v>18.28</v>
      </c>
      <c r="N7575" s="1499"/>
      <c r="O7575" s="1291">
        <f>G7575*M7575</f>
        <v>68.166120000000006</v>
      </c>
      <c r="P7575" s="1332">
        <f>M7575*K7575</f>
        <v>4.2603825000000004</v>
      </c>
      <c r="Q7575" s="3391"/>
      <c r="R7575" s="2338"/>
    </row>
    <row r="7576" spans="1:18" s="22" customFormat="1">
      <c r="A7576" s="1320"/>
      <c r="B7576" s="595"/>
      <c r="C7576" s="1042"/>
      <c r="D7576" s="1402"/>
      <c r="E7576" s="1857"/>
      <c r="F7576" s="1430"/>
      <c r="G7576" s="1362"/>
      <c r="H7576" s="1362"/>
      <c r="I7576" s="197"/>
      <c r="J7576" s="198"/>
      <c r="K7576" s="1307"/>
      <c r="L7576" s="1335"/>
      <c r="M7576" s="1499"/>
      <c r="N7576" s="1499"/>
      <c r="O7576" s="1291"/>
      <c r="P7576" s="1332"/>
      <c r="Q7576" s="3391"/>
      <c r="R7576" s="2338"/>
    </row>
    <row r="7577" spans="1:18" s="22" customFormat="1">
      <c r="A7577" s="1320"/>
      <c r="B7577" s="595"/>
      <c r="C7577" s="1042"/>
      <c r="D7577" s="1411"/>
      <c r="E7577" s="2123"/>
      <c r="F7577" s="1475" t="s">
        <v>3</v>
      </c>
      <c r="G7577" s="1373"/>
      <c r="H7577" s="1376"/>
      <c r="I7577" s="1382"/>
      <c r="J7577" s="1383"/>
      <c r="K7577" s="1373"/>
      <c r="L7577" s="1413"/>
      <c r="M7577" s="1508"/>
      <c r="N7577" s="1706"/>
      <c r="O7577" s="1486"/>
      <c r="P7577" s="1373"/>
      <c r="Q7577" s="3387"/>
      <c r="R7577" s="2338"/>
    </row>
    <row r="7578" spans="1:18" s="22" customFormat="1">
      <c r="A7578" s="1320"/>
      <c r="B7578" s="595"/>
      <c r="C7578" s="1042"/>
      <c r="D7578" s="1476" t="s">
        <v>1073</v>
      </c>
      <c r="E7578" s="2139" t="s">
        <v>1508</v>
      </c>
      <c r="F7578" s="1476" t="s">
        <v>1509</v>
      </c>
      <c r="G7578" s="1379">
        <v>5.8000000000000003E-2</v>
      </c>
      <c r="H7578" s="1379"/>
      <c r="I7578" s="1289"/>
      <c r="J7578" s="1341"/>
      <c r="K7578" s="1307">
        <f>G7578*K7569</f>
        <v>3.6250000000000002E-3</v>
      </c>
      <c r="L7578" s="1335"/>
      <c r="M7578" s="1499">
        <v>25.6</v>
      </c>
      <c r="N7578" s="1499"/>
      <c r="O7578" s="1291">
        <f>G7578*M7578</f>
        <v>1.4848000000000001</v>
      </c>
      <c r="P7578" s="1332">
        <f>M7578*K7578</f>
        <v>9.2800000000000007E-2</v>
      </c>
      <c r="Q7578" s="3391"/>
      <c r="R7578" s="2338"/>
    </row>
    <row r="7579" spans="1:18" s="22" customFormat="1">
      <c r="A7579" s="1320"/>
      <c r="B7579" s="595"/>
      <c r="C7579" s="1042"/>
      <c r="D7579" s="1476" t="s">
        <v>1066</v>
      </c>
      <c r="E7579" s="2139" t="s">
        <v>1508</v>
      </c>
      <c r="F7579" s="1476" t="s">
        <v>1510</v>
      </c>
      <c r="G7579" s="1379">
        <v>1.0999999999999999E-2</v>
      </c>
      <c r="H7579" s="1481"/>
      <c r="I7579" s="1347"/>
      <c r="J7579" s="1348"/>
      <c r="K7579" s="1307">
        <f>G7579*K7569</f>
        <v>6.8749999999999996E-4</v>
      </c>
      <c r="L7579" s="1335"/>
      <c r="M7579" s="1499">
        <v>23.87</v>
      </c>
      <c r="N7579" s="1509"/>
      <c r="O7579" s="1291">
        <f>G7579*M7579</f>
        <v>0.26256999999999997</v>
      </c>
      <c r="P7579" s="1332">
        <f>M7579*K7579</f>
        <v>1.6410624999999998E-2</v>
      </c>
      <c r="Q7579" s="3391"/>
      <c r="R7579" s="2338"/>
    </row>
    <row r="7580" spans="1:18" s="22" customFormat="1">
      <c r="A7580" s="1320"/>
      <c r="B7580" s="595"/>
      <c r="C7580" s="1042"/>
      <c r="D7580" s="1476" t="s">
        <v>1080</v>
      </c>
      <c r="E7580" s="2139" t="s">
        <v>1508</v>
      </c>
      <c r="F7580" s="1476" t="s">
        <v>1511</v>
      </c>
      <c r="G7580" s="1379">
        <v>1.6</v>
      </c>
      <c r="H7580" s="1484"/>
      <c r="I7580" s="1349"/>
      <c r="J7580" s="1341"/>
      <c r="K7580" s="1307">
        <f>G7580*K7569</f>
        <v>0.1</v>
      </c>
      <c r="L7580" s="1335"/>
      <c r="M7580" s="1499">
        <v>6.35</v>
      </c>
      <c r="N7580" s="1499"/>
      <c r="O7580" s="1291">
        <f>G7580*M7580</f>
        <v>10.16</v>
      </c>
      <c r="P7580" s="1332">
        <f>M7580*K7580</f>
        <v>0.63500000000000001</v>
      </c>
      <c r="Q7580" s="3391"/>
      <c r="R7580" s="2338"/>
    </row>
    <row r="7581" spans="1:18" s="22" customFormat="1">
      <c r="A7581" s="1320"/>
      <c r="B7581" s="1512"/>
      <c r="C7581" s="223"/>
      <c r="D7581" s="1440"/>
      <c r="E7581" s="2132"/>
      <c r="F7581" s="1441"/>
      <c r="G7581" s="1441"/>
      <c r="H7581" s="1442"/>
      <c r="I7581" s="197" t="str">
        <f>IF(COUNT(#REF!)=0,"",(SUM(#REF!)/COUNT(#REF!)))</f>
        <v/>
      </c>
      <c r="J7581" s="198"/>
      <c r="K7581" s="1307" t="str">
        <f>IF(COUNT(I7581)=0,"",(I7581*J7581))</f>
        <v/>
      </c>
      <c r="L7581" s="1335"/>
      <c r="M7581" s="1499"/>
      <c r="N7581" s="1701"/>
      <c r="O7581" s="1290"/>
      <c r="P7581" s="1332"/>
      <c r="Q7581" s="3391"/>
      <c r="R7581" s="2338"/>
    </row>
    <row r="7582" spans="1:18" s="22" customFormat="1">
      <c r="A7582" s="18" t="s">
        <v>3764</v>
      </c>
      <c r="B7582" s="4325" t="s">
        <v>2364</v>
      </c>
      <c r="C7582" s="3350"/>
      <c r="D7582" s="4327"/>
      <c r="E7582" s="4329" t="s">
        <v>1504</v>
      </c>
      <c r="F7582" s="4336" t="s">
        <v>2370</v>
      </c>
      <c r="G7582" s="4331" t="s">
        <v>1568</v>
      </c>
      <c r="H7582" s="4331" t="s">
        <v>1574</v>
      </c>
      <c r="I7582" s="1572" t="s">
        <v>1559</v>
      </c>
      <c r="J7582" s="1294" t="s">
        <v>1560</v>
      </c>
      <c r="K7582" s="1294" t="s">
        <v>1569</v>
      </c>
      <c r="L7582" s="4333" t="s">
        <v>3765</v>
      </c>
      <c r="M7582" s="4335" t="s">
        <v>1571</v>
      </c>
      <c r="N7582" s="4323" t="s">
        <v>1776</v>
      </c>
      <c r="O7582" s="3347" t="s">
        <v>1563</v>
      </c>
      <c r="P7582" s="1336" t="s">
        <v>1562</v>
      </c>
      <c r="Q7582" s="3389"/>
      <c r="R7582" s="1699" t="s">
        <v>1327</v>
      </c>
    </row>
    <row r="7583" spans="1:18" s="22" customFormat="1">
      <c r="A7583" s="1599" t="s">
        <v>2349</v>
      </c>
      <c r="B7583" s="4326"/>
      <c r="C7583" s="3351"/>
      <c r="D7583" s="4328"/>
      <c r="E7583" s="4330"/>
      <c r="F7583" s="4336"/>
      <c r="G7583" s="4332"/>
      <c r="H7583" s="4332"/>
      <c r="I7583" s="1345">
        <v>4</v>
      </c>
      <c r="J7583" s="1307">
        <v>0.25</v>
      </c>
      <c r="K7583" s="1666">
        <f>I7583*J7583</f>
        <v>1</v>
      </c>
      <c r="L7583" s="4334"/>
      <c r="M7583" s="4335"/>
      <c r="N7583" s="4324"/>
      <c r="O7583" s="1298">
        <f>SUM(O7585:O7592)</f>
        <v>54.771749999999997</v>
      </c>
      <c r="P7583" s="1337">
        <f>O7583*K7583</f>
        <v>54.771749999999997</v>
      </c>
      <c r="Q7583" s="3390"/>
      <c r="R7583" s="1721">
        <f>SUM(P7585:P7592)</f>
        <v>54.771749999999997</v>
      </c>
    </row>
    <row r="7584" spans="1:18" s="22" customFormat="1">
      <c r="A7584" s="1320"/>
      <c r="B7584" s="1949"/>
      <c r="C7584" s="1327"/>
      <c r="D7584" s="1367"/>
      <c r="E7584" s="2121"/>
      <c r="F7584" s="1389" t="s">
        <v>1</v>
      </c>
      <c r="G7584" s="1389"/>
      <c r="H7584" s="1369"/>
      <c r="I7584" s="2088"/>
      <c r="J7584" s="1369"/>
      <c r="K7584" s="1391"/>
      <c r="L7584" s="1559"/>
      <c r="M7584" s="1369"/>
      <c r="N7584" s="1369"/>
      <c r="O7584" s="1369"/>
      <c r="P7584" s="1392"/>
      <c r="Q7584" s="3395"/>
      <c r="R7584" s="2339"/>
    </row>
    <row r="7585" spans="1:18" s="22" customFormat="1">
      <c r="A7585" s="1320"/>
      <c r="B7585" s="1599"/>
      <c r="C7585" s="1320"/>
      <c r="D7585" s="1668" t="s">
        <v>2371</v>
      </c>
      <c r="E7585" s="2166" t="s">
        <v>1527</v>
      </c>
      <c r="F7585" s="1668" t="s">
        <v>2372</v>
      </c>
      <c r="G7585" s="1958">
        <v>1.5149999999999999</v>
      </c>
      <c r="H7585" s="1367"/>
      <c r="I7585" s="1299"/>
      <c r="J7585" s="1300"/>
      <c r="K7585" s="1307">
        <f>K7583*G7585</f>
        <v>1.5149999999999999</v>
      </c>
      <c r="L7585" s="1335">
        <f t="shared" ref="L7585:L7589" si="1029">K7585*$K$7441</f>
        <v>0</v>
      </c>
      <c r="M7585" s="1499">
        <v>4.6500000000000004</v>
      </c>
      <c r="N7585" s="1700"/>
      <c r="O7585" s="1290">
        <f>G7585*M7585</f>
        <v>7.0447500000000005</v>
      </c>
      <c r="P7585" s="1332">
        <f>M7585*K7585</f>
        <v>7.0447500000000005</v>
      </c>
      <c r="Q7585" s="3391"/>
      <c r="R7585" s="2339"/>
    </row>
    <row r="7586" spans="1:18" s="22" customFormat="1">
      <c r="A7586" s="1042"/>
      <c r="B7586" s="1599"/>
      <c r="C7586" s="1042"/>
      <c r="D7586" s="1668" t="s">
        <v>2373</v>
      </c>
      <c r="E7586" s="2166" t="s">
        <v>1504</v>
      </c>
      <c r="F7586" s="1668" t="s">
        <v>2374</v>
      </c>
      <c r="G7586" s="1958">
        <v>1</v>
      </c>
      <c r="H7586" s="1674"/>
      <c r="I7586" s="1299"/>
      <c r="J7586" s="1300"/>
      <c r="K7586" s="1307">
        <f>K7583*G7586</f>
        <v>1</v>
      </c>
      <c r="L7586" s="1335">
        <f t="shared" si="1029"/>
        <v>0</v>
      </c>
      <c r="M7586" s="1499">
        <v>4</v>
      </c>
      <c r="N7586" s="1700"/>
      <c r="O7586" s="1290">
        <f>G7586*M7586</f>
        <v>4</v>
      </c>
      <c r="P7586" s="1332">
        <f>M7586*K7586</f>
        <v>4</v>
      </c>
      <c r="Q7586" s="3391"/>
      <c r="R7586" s="2339"/>
    </row>
    <row r="7587" spans="1:18" s="22" customFormat="1">
      <c r="A7587" s="1042"/>
      <c r="B7587" s="1599"/>
      <c r="C7587" s="1042"/>
      <c r="D7587" s="1668" t="s">
        <v>2375</v>
      </c>
      <c r="E7587" s="2166" t="s">
        <v>1504</v>
      </c>
      <c r="F7587" s="1668" t="s">
        <v>2376</v>
      </c>
      <c r="G7587" s="1958">
        <v>1</v>
      </c>
      <c r="H7587" s="1674"/>
      <c r="I7587" s="1299"/>
      <c r="J7587" s="1300"/>
      <c r="K7587" s="1307">
        <f>G7587*K7583</f>
        <v>1</v>
      </c>
      <c r="L7587" s="1335">
        <f t="shared" si="1029"/>
        <v>0</v>
      </c>
      <c r="M7587" s="1499">
        <v>15.8</v>
      </c>
      <c r="N7587" s="1700"/>
      <c r="O7587" s="1290">
        <f>G7587*M7587</f>
        <v>15.8</v>
      </c>
      <c r="P7587" s="1332">
        <f>M7587*K7587</f>
        <v>15.8</v>
      </c>
      <c r="Q7587" s="3391"/>
      <c r="R7587" s="2339"/>
    </row>
    <row r="7588" spans="1:18" s="22" customFormat="1">
      <c r="A7588" s="1042"/>
      <c r="B7588" s="1599"/>
      <c r="C7588" s="1042"/>
      <c r="D7588" s="1587" t="s">
        <v>1082</v>
      </c>
      <c r="E7588" s="2138" t="s">
        <v>1504</v>
      </c>
      <c r="F7588" s="1587" t="s">
        <v>1541</v>
      </c>
      <c r="G7588" s="1588">
        <v>1</v>
      </c>
      <c r="H7588" s="1674"/>
      <c r="I7588" s="1299"/>
      <c r="J7588" s="1300"/>
      <c r="K7588" s="1307">
        <f>K7583*G7588</f>
        <v>1</v>
      </c>
      <c r="L7588" s="1335">
        <f t="shared" si="1029"/>
        <v>0</v>
      </c>
      <c r="M7588" s="1302">
        <v>0.3</v>
      </c>
      <c r="N7588" s="1700"/>
      <c r="O7588" s="1290">
        <f>G7588*M7588</f>
        <v>0.3</v>
      </c>
      <c r="P7588" s="1332">
        <f>M7588*K7588</f>
        <v>0.3</v>
      </c>
      <c r="Q7588" s="3391"/>
      <c r="R7588" s="2339"/>
    </row>
    <row r="7589" spans="1:18" s="22" customFormat="1">
      <c r="A7589" s="1042"/>
      <c r="B7589" s="1599"/>
      <c r="C7589" s="1042"/>
      <c r="D7589" s="1598" t="s">
        <v>1097</v>
      </c>
      <c r="E7589" s="2154" t="s">
        <v>1504</v>
      </c>
      <c r="F7589" s="1598" t="s">
        <v>1632</v>
      </c>
      <c r="G7589" s="1612">
        <v>1.8</v>
      </c>
      <c r="H7589" s="1369"/>
      <c r="I7589" s="1299"/>
      <c r="J7589" s="1300"/>
      <c r="K7589" s="1307">
        <f>G7589*K7583</f>
        <v>1.8</v>
      </c>
      <c r="L7589" s="1335">
        <f t="shared" si="1029"/>
        <v>0</v>
      </c>
      <c r="M7589" s="1499">
        <v>0.55000000000000004</v>
      </c>
      <c r="N7589" s="1700"/>
      <c r="O7589" s="1290">
        <f>G7589*M7589</f>
        <v>0.9900000000000001</v>
      </c>
      <c r="P7589" s="1332">
        <f>M7589*K7589</f>
        <v>0.9900000000000001</v>
      </c>
      <c r="Q7589" s="3391"/>
      <c r="R7589" s="2339"/>
    </row>
    <row r="7590" spans="1:18" s="22" customFormat="1">
      <c r="A7590" s="1042"/>
      <c r="B7590" s="1599"/>
      <c r="C7590" s="1042"/>
      <c r="D7590" s="1359"/>
      <c r="E7590" s="1858"/>
      <c r="F7590" s="1360" t="s">
        <v>2</v>
      </c>
      <c r="G7590" s="1360"/>
      <c r="H7590" s="1362"/>
      <c r="I7590" s="1380"/>
      <c r="J7590" s="1381"/>
      <c r="K7590" s="1381"/>
      <c r="L7590" s="1458"/>
      <c r="M7590" s="1362"/>
      <c r="N7590" s="1362"/>
      <c r="O7590" s="1362"/>
      <c r="P7590" s="1359"/>
      <c r="Q7590" s="3387"/>
      <c r="R7590" s="2339"/>
    </row>
    <row r="7591" spans="1:18" s="22" customFormat="1">
      <c r="A7591" s="1321"/>
      <c r="B7591" s="2053"/>
      <c r="C7591" s="1321"/>
      <c r="D7591" s="1655" t="s">
        <v>1099</v>
      </c>
      <c r="E7591" s="1859" t="s">
        <v>1508</v>
      </c>
      <c r="F7591" s="1655" t="s">
        <v>1633</v>
      </c>
      <c r="G7591" s="1625">
        <v>0.8</v>
      </c>
      <c r="H7591" s="1386"/>
      <c r="I7591" s="1299"/>
      <c r="J7591" s="1300"/>
      <c r="K7591" s="1307">
        <f>G7591*K7583</f>
        <v>0.8</v>
      </c>
      <c r="L7591" s="1335">
        <f t="shared" ref="L7591" si="1030">K7591*$K$7441</f>
        <v>0</v>
      </c>
      <c r="M7591" s="1302">
        <v>19.23</v>
      </c>
      <c r="N7591" s="1700"/>
      <c r="O7591" s="1290">
        <f>G7591*M7591</f>
        <v>15.384</v>
      </c>
      <c r="P7591" s="1332">
        <f>M7591*K7591</f>
        <v>15.384</v>
      </c>
      <c r="Q7591" s="3391"/>
      <c r="R7591" s="2339"/>
    </row>
    <row r="7592" spans="1:18" s="22" customFormat="1">
      <c r="A7592"/>
      <c r="B7592" s="1042"/>
      <c r="C7592" s="2086" t="s">
        <v>1755</v>
      </c>
      <c r="D7592" s="1311"/>
      <c r="E7592" s="2176" t="s">
        <v>1508</v>
      </c>
      <c r="F7592" s="1648" t="s">
        <v>1524</v>
      </c>
      <c r="G7592" s="1990"/>
      <c r="H7592" s="1457">
        <v>0.3</v>
      </c>
      <c r="I7592" s="1444"/>
      <c r="J7592" s="1366"/>
      <c r="K7592" s="1445"/>
      <c r="L7592" s="1457"/>
      <c r="M7592" s="1447"/>
      <c r="N7592" s="1447">
        <f>SUM(N7593:N7594)</f>
        <v>37.510000000000005</v>
      </c>
      <c r="O7592" s="1447">
        <f>SUM(O7593:O7594)</f>
        <v>11.253</v>
      </c>
      <c r="P7592" s="1447">
        <f>SUM(P7593:P7594)</f>
        <v>11.253</v>
      </c>
      <c r="Q7592" s="3391"/>
      <c r="R7592" s="2339"/>
    </row>
    <row r="7593" spans="1:18" s="22" customFormat="1">
      <c r="A7593"/>
      <c r="B7593" s="1042"/>
      <c r="C7593" s="19"/>
      <c r="D7593" s="1430" t="s">
        <v>1067</v>
      </c>
      <c r="E7593" s="1857" t="s">
        <v>1508</v>
      </c>
      <c r="F7593" s="1403" t="s">
        <v>5</v>
      </c>
      <c r="G7593" s="1991">
        <v>1</v>
      </c>
      <c r="H7593" s="1937">
        <f>G7593*H7592</f>
        <v>0.3</v>
      </c>
      <c r="I7593" s="1286"/>
      <c r="J7593" s="198"/>
      <c r="K7593" s="1307">
        <f>H7593*K7583</f>
        <v>0.3</v>
      </c>
      <c r="L7593" s="1335">
        <f t="shared" ref="L7593:L7594" si="1031">K7593*$K$7441</f>
        <v>0</v>
      </c>
      <c r="M7593" s="1302">
        <v>18.28</v>
      </c>
      <c r="N7593" s="1718">
        <f>G7593*M7593</f>
        <v>18.28</v>
      </c>
      <c r="O7593" s="1290">
        <f>H7593*M7593</f>
        <v>5.484</v>
      </c>
      <c r="P7593" s="1332">
        <f>M7593*K7593</f>
        <v>5.484</v>
      </c>
      <c r="Q7593" s="3391"/>
      <c r="R7593" s="2339"/>
    </row>
    <row r="7594" spans="1:18" s="22" customFormat="1">
      <c r="A7594"/>
      <c r="B7594" s="1042"/>
      <c r="C7594" s="19"/>
      <c r="D7594" s="1430" t="s">
        <v>1077</v>
      </c>
      <c r="E7594" s="1857" t="s">
        <v>1508</v>
      </c>
      <c r="F7594" s="1403" t="s">
        <v>37</v>
      </c>
      <c r="G7594" s="1991">
        <v>1</v>
      </c>
      <c r="H7594" s="1937">
        <f>G7594*H7592</f>
        <v>0.3</v>
      </c>
      <c r="I7594" s="197"/>
      <c r="J7594" s="198"/>
      <c r="K7594" s="1307">
        <f>H7594*K7583</f>
        <v>0.3</v>
      </c>
      <c r="L7594" s="1335">
        <f t="shared" si="1031"/>
        <v>0</v>
      </c>
      <c r="M7594" s="1302">
        <v>19.23</v>
      </c>
      <c r="N7594" s="1718">
        <f>G7594*M7594</f>
        <v>19.23</v>
      </c>
      <c r="O7594" s="1290">
        <f>H7594*M7594</f>
        <v>5.7690000000000001</v>
      </c>
      <c r="P7594" s="1332">
        <f>M7594*K7594</f>
        <v>5.7690000000000001</v>
      </c>
      <c r="Q7594" s="3391"/>
      <c r="R7594" s="2339"/>
    </row>
    <row r="7595" spans="1:18" s="22" customFormat="1">
      <c r="A7595" s="16"/>
      <c r="B7595" s="1599"/>
      <c r="C7595" s="1320"/>
      <c r="D7595" s="1430"/>
      <c r="E7595" s="1857"/>
      <c r="F7595" s="1430"/>
      <c r="G7595" s="1822"/>
      <c r="H7595" s="1359"/>
      <c r="I7595" s="1299"/>
      <c r="J7595" s="1300"/>
      <c r="K7595" s="1307"/>
      <c r="L7595" s="1335"/>
      <c r="M7595" s="1302"/>
      <c r="N7595" s="1700"/>
      <c r="O7595" s="1290"/>
      <c r="P7595" s="1332"/>
      <c r="Q7595" s="3391"/>
      <c r="R7595" s="2339"/>
    </row>
    <row r="7596" spans="1:18" s="22" customFormat="1">
      <c r="A7596"/>
      <c r="B7596" s="1320"/>
      <c r="C7596" s="16"/>
      <c r="D7596" s="1359"/>
      <c r="E7596" s="1858"/>
      <c r="F7596" s="1474"/>
      <c r="G7596" s="1474"/>
      <c r="H7596" s="1466"/>
      <c r="I7596" s="1289"/>
      <c r="J7596" s="8"/>
      <c r="K7596" s="1307"/>
      <c r="L7596" s="1335"/>
      <c r="M7596" s="1302"/>
      <c r="N7596" s="1700"/>
      <c r="O7596" s="1290"/>
      <c r="P7596" s="1332"/>
      <c r="Q7596" s="3391"/>
      <c r="R7596" s="1296"/>
    </row>
    <row r="7597" spans="1:18" s="22" customFormat="1">
      <c r="A7597" s="1320"/>
      <c r="B7597" s="1599"/>
      <c r="C7597" s="1320"/>
      <c r="D7597" s="1373"/>
      <c r="E7597" s="2123"/>
      <c r="F7597" s="1374" t="s">
        <v>3</v>
      </c>
      <c r="G7597" s="1375"/>
      <c r="H7597" s="1376"/>
      <c r="I7597" s="1382"/>
      <c r="J7597" s="1383"/>
      <c r="K7597" s="1383"/>
      <c r="L7597" s="1413"/>
      <c r="M7597" s="1376"/>
      <c r="N7597" s="1376"/>
      <c r="O7597" s="1376"/>
      <c r="P7597" s="1373"/>
      <c r="Q7597" s="3387"/>
      <c r="R7597" s="2339"/>
    </row>
    <row r="7598" spans="1:18" s="22" customFormat="1">
      <c r="A7598" s="1321"/>
      <c r="B7598" s="2053"/>
      <c r="C7598" s="1321"/>
      <c r="D7598" s="1827"/>
      <c r="E7598" s="2173"/>
      <c r="F7598" s="1827"/>
      <c r="G7598" s="1828"/>
      <c r="H7598" s="1379"/>
      <c r="I7598" s="1299"/>
      <c r="J7598" s="1300"/>
      <c r="K7598" s="1307"/>
      <c r="L7598" s="1335"/>
      <c r="M7598" s="1302"/>
      <c r="N7598" s="1700"/>
      <c r="O7598" s="1290"/>
      <c r="P7598" s="1332"/>
      <c r="Q7598" s="3391"/>
      <c r="R7598" s="2339"/>
    </row>
    <row r="7599" spans="1:18" s="22" customFormat="1">
      <c r="A7599" s="1321"/>
      <c r="B7599" s="2053"/>
      <c r="C7599" s="1321"/>
      <c r="D7599" s="1377"/>
      <c r="E7599" s="2124"/>
      <c r="F7599" s="1378"/>
      <c r="G7599" s="1378"/>
      <c r="H7599" s="1379"/>
      <c r="I7599" s="1299"/>
      <c r="J7599" s="1300"/>
      <c r="K7599" s="1307"/>
      <c r="L7599" s="1335"/>
      <c r="M7599" s="1302"/>
      <c r="N7599" s="1700"/>
      <c r="O7599" s="1290"/>
      <c r="P7599" s="1333"/>
      <c r="Q7599" s="3391"/>
      <c r="R7599" s="2339"/>
    </row>
    <row r="7600" spans="1:18" s="22" customFormat="1">
      <c r="A7600" s="1042"/>
      <c r="B7600" s="1765"/>
      <c r="C7600" s="223"/>
      <c r="D7600" s="1373"/>
      <c r="E7600" s="2161"/>
      <c r="F7600" s="1678"/>
      <c r="G7600" s="1678"/>
      <c r="H7600" s="1376"/>
      <c r="I7600" s="1299"/>
      <c r="J7600" s="1300"/>
      <c r="K7600" s="1307"/>
      <c r="L7600" s="1335"/>
      <c r="M7600" s="1302"/>
      <c r="N7600" s="1700"/>
      <c r="O7600" s="1290"/>
      <c r="P7600" s="1332"/>
      <c r="Q7600" s="3391"/>
      <c r="R7600" s="2352">
        <v>42164</v>
      </c>
    </row>
    <row r="7601" spans="1:18" s="22" customFormat="1">
      <c r="A7601" s="18" t="s">
        <v>3764</v>
      </c>
      <c r="B7601" s="4325" t="s">
        <v>2377</v>
      </c>
      <c r="C7601" s="3350"/>
      <c r="D7601" s="4327"/>
      <c r="E7601" s="4329" t="s">
        <v>1504</v>
      </c>
      <c r="F7601" s="4336" t="s">
        <v>2378</v>
      </c>
      <c r="G7601" s="4331" t="s">
        <v>1568</v>
      </c>
      <c r="H7601" s="4331" t="s">
        <v>1574</v>
      </c>
      <c r="I7601" s="1572" t="s">
        <v>1559</v>
      </c>
      <c r="J7601" s="1294" t="s">
        <v>1560</v>
      </c>
      <c r="K7601" s="1294" t="s">
        <v>1569</v>
      </c>
      <c r="L7601" s="4333" t="s">
        <v>3765</v>
      </c>
      <c r="M7601" s="4335" t="s">
        <v>1571</v>
      </c>
      <c r="N7601" s="4323" t="s">
        <v>1776</v>
      </c>
      <c r="O7601" s="3347" t="s">
        <v>1563</v>
      </c>
      <c r="P7601" s="1336" t="s">
        <v>1562</v>
      </c>
      <c r="Q7601" s="3389"/>
      <c r="R7601" s="1699" t="s">
        <v>1327</v>
      </c>
    </row>
    <row r="7602" spans="1:18" s="22" customFormat="1">
      <c r="A7602" s="1599" t="s">
        <v>2349</v>
      </c>
      <c r="B7602" s="4326"/>
      <c r="C7602" s="3351"/>
      <c r="D7602" s="4328"/>
      <c r="E7602" s="4330"/>
      <c r="F7602" s="4336"/>
      <c r="G7602" s="4332"/>
      <c r="H7602" s="4332"/>
      <c r="I7602" s="1345">
        <v>4</v>
      </c>
      <c r="J7602" s="1307">
        <v>0.25</v>
      </c>
      <c r="K7602" s="1666">
        <f>I7602*J7602</f>
        <v>1</v>
      </c>
      <c r="L7602" s="4334"/>
      <c r="M7602" s="4335"/>
      <c r="N7602" s="4324"/>
      <c r="O7602" s="1298">
        <f>SUM(O7604:O7611)</f>
        <v>28.233150000000006</v>
      </c>
      <c r="P7602" s="1337">
        <f>O7602*K7602</f>
        <v>28.233150000000006</v>
      </c>
      <c r="Q7602" s="3390"/>
      <c r="R7602" s="1721">
        <f>SUM(P7604:P7611)</f>
        <v>28.233150000000006</v>
      </c>
    </row>
    <row r="7603" spans="1:18" s="22" customFormat="1">
      <c r="A7603" s="1320"/>
      <c r="B7603" s="1949"/>
      <c r="C7603" s="1327"/>
      <c r="D7603" s="1367"/>
      <c r="E7603" s="2121"/>
      <c r="F7603" s="1389" t="s">
        <v>1</v>
      </c>
      <c r="G7603" s="1389"/>
      <c r="H7603" s="1369"/>
      <c r="I7603" s="2088"/>
      <c r="J7603" s="1369"/>
      <c r="K7603" s="1391"/>
      <c r="L7603" s="1559"/>
      <c r="M7603" s="1369"/>
      <c r="N7603" s="1369"/>
      <c r="O7603" s="1369"/>
      <c r="P7603" s="1392"/>
      <c r="Q7603" s="3395"/>
      <c r="R7603" s="2339"/>
    </row>
    <row r="7604" spans="1:18" s="22" customFormat="1">
      <c r="A7604" s="1320"/>
      <c r="B7604" s="1599"/>
      <c r="C7604" s="1320"/>
      <c r="D7604" s="1668" t="s">
        <v>2371</v>
      </c>
      <c r="E7604" s="2166" t="s">
        <v>1527</v>
      </c>
      <c r="F7604" s="1668" t="s">
        <v>2372</v>
      </c>
      <c r="G7604" s="1958">
        <v>1.5149999999999999</v>
      </c>
      <c r="H7604" s="1367"/>
      <c r="I7604" s="1299"/>
      <c r="J7604" s="1300"/>
      <c r="K7604" s="1307">
        <f>K7602*G7604</f>
        <v>1.5149999999999999</v>
      </c>
      <c r="L7604" s="1335">
        <f t="shared" ref="L7604:L7607" si="1032">K7604*$K$7441</f>
        <v>0</v>
      </c>
      <c r="M7604" s="1499">
        <v>4.6500000000000004</v>
      </c>
      <c r="N7604" s="1700"/>
      <c r="O7604" s="1290">
        <f>G7604*M7604</f>
        <v>7.0447500000000005</v>
      </c>
      <c r="P7604" s="1332">
        <f>M7604*K7604</f>
        <v>7.0447500000000005</v>
      </c>
      <c r="Q7604" s="3391"/>
      <c r="R7604" s="2339"/>
    </row>
    <row r="7605" spans="1:18" s="22" customFormat="1">
      <c r="A7605" s="1042"/>
      <c r="B7605" s="1599"/>
      <c r="C7605" s="1042"/>
      <c r="D7605" s="1668" t="s">
        <v>2379</v>
      </c>
      <c r="E7605" s="2166" t="s">
        <v>1527</v>
      </c>
      <c r="F7605" s="1668" t="s">
        <v>2380</v>
      </c>
      <c r="G7605" s="1958">
        <v>0.60599999999999998</v>
      </c>
      <c r="H7605" s="1674"/>
      <c r="I7605" s="1299"/>
      <c r="J7605" s="1300"/>
      <c r="K7605" s="1307">
        <f>G7605*K7602</f>
        <v>0.60599999999999998</v>
      </c>
      <c r="L7605" s="1335">
        <f t="shared" si="1032"/>
        <v>0</v>
      </c>
      <c r="M7605" s="1499">
        <v>2.9</v>
      </c>
      <c r="N7605" s="1700"/>
      <c r="O7605" s="1290">
        <f>G7605*M7605</f>
        <v>1.7573999999999999</v>
      </c>
      <c r="P7605" s="1332">
        <f>M7605*K7605</f>
        <v>1.7573999999999999</v>
      </c>
      <c r="Q7605" s="3391"/>
      <c r="R7605" s="2339"/>
    </row>
    <row r="7606" spans="1:18" s="22" customFormat="1">
      <c r="A7606" s="1042"/>
      <c r="B7606" s="1599"/>
      <c r="C7606" s="1042"/>
      <c r="D7606" s="1587" t="s">
        <v>1082</v>
      </c>
      <c r="E7606" s="2138" t="s">
        <v>1504</v>
      </c>
      <c r="F7606" s="1587" t="s">
        <v>1541</v>
      </c>
      <c r="G7606" s="1588">
        <v>1</v>
      </c>
      <c r="H7606" s="1674"/>
      <c r="I7606" s="1299"/>
      <c r="J7606" s="1300"/>
      <c r="K7606" s="1307">
        <f>K7602*G7606</f>
        <v>1</v>
      </c>
      <c r="L7606" s="1335">
        <f t="shared" si="1032"/>
        <v>0</v>
      </c>
      <c r="M7606" s="1302">
        <v>0.3</v>
      </c>
      <c r="N7606" s="1700"/>
      <c r="O7606" s="1290">
        <f>G7606*M7606</f>
        <v>0.3</v>
      </c>
      <c r="P7606" s="1332">
        <f>M7606*K7606</f>
        <v>0.3</v>
      </c>
      <c r="Q7606" s="3391"/>
      <c r="R7606" s="2339"/>
    </row>
    <row r="7607" spans="1:18" s="22" customFormat="1">
      <c r="A7607" s="1042"/>
      <c r="B7607" s="1599"/>
      <c r="C7607" s="1042"/>
      <c r="D7607" s="1654" t="s">
        <v>1097</v>
      </c>
      <c r="E7607" s="2300" t="s">
        <v>1504</v>
      </c>
      <c r="F7607" s="1654" t="s">
        <v>1632</v>
      </c>
      <c r="G7607" s="2185">
        <v>2</v>
      </c>
      <c r="H7607" s="1369"/>
      <c r="I7607" s="1299"/>
      <c r="J7607" s="1300"/>
      <c r="K7607" s="1307">
        <f>G7607*K7602</f>
        <v>2</v>
      </c>
      <c r="L7607" s="1335">
        <f t="shared" si="1032"/>
        <v>0</v>
      </c>
      <c r="M7607" s="1499">
        <v>0.55000000000000004</v>
      </c>
      <c r="N7607" s="1700"/>
      <c r="O7607" s="1290">
        <f>G7607*M7607</f>
        <v>1.1000000000000001</v>
      </c>
      <c r="P7607" s="1332">
        <f>M7607*K7607</f>
        <v>1.1000000000000001</v>
      </c>
      <c r="Q7607" s="3391"/>
      <c r="R7607" s="2339"/>
    </row>
    <row r="7608" spans="1:18" s="22" customFormat="1">
      <c r="A7608" s="1042"/>
      <c r="B7608" s="1599"/>
      <c r="C7608" s="1042"/>
      <c r="D7608" s="1587"/>
      <c r="E7608" s="2138"/>
      <c r="F7608" s="1587"/>
      <c r="G7608" s="1588"/>
      <c r="H7608" s="1369"/>
      <c r="I7608" s="1299"/>
      <c r="J7608" s="1300"/>
      <c r="K7608" s="1307"/>
      <c r="L7608" s="1335"/>
      <c r="M7608" s="1499"/>
      <c r="N7608" s="1700"/>
      <c r="O7608" s="1290"/>
      <c r="P7608" s="1332"/>
      <c r="Q7608" s="3391"/>
      <c r="R7608" s="2339"/>
    </row>
    <row r="7609" spans="1:18" s="22" customFormat="1">
      <c r="A7609" s="1042"/>
      <c r="B7609" s="1599"/>
      <c r="C7609" s="1042"/>
      <c r="D7609" s="1359"/>
      <c r="E7609" s="1858"/>
      <c r="F7609" s="1360" t="s">
        <v>2</v>
      </c>
      <c r="G7609" s="1360"/>
      <c r="H7609" s="1362"/>
      <c r="I7609" s="1380"/>
      <c r="J7609" s="1381"/>
      <c r="K7609" s="1381"/>
      <c r="L7609" s="1458"/>
      <c r="M7609" s="1362"/>
      <c r="N7609" s="1362"/>
      <c r="O7609" s="1362"/>
      <c r="P7609" s="1359"/>
      <c r="Q7609" s="3387"/>
      <c r="R7609" s="2339"/>
    </row>
    <row r="7610" spans="1:18" s="22" customFormat="1">
      <c r="A7610" s="1321"/>
      <c r="B7610" s="2053"/>
      <c r="C7610" s="1321"/>
      <c r="D7610" s="1655" t="s">
        <v>1099</v>
      </c>
      <c r="E7610" s="1859" t="s">
        <v>1508</v>
      </c>
      <c r="F7610" s="1655" t="s">
        <v>1633</v>
      </c>
      <c r="G7610" s="1625">
        <v>0.45</v>
      </c>
      <c r="H7610" s="1386"/>
      <c r="I7610" s="1299"/>
      <c r="J7610" s="1300"/>
      <c r="K7610" s="1307">
        <f>G7610*K7602</f>
        <v>0.45</v>
      </c>
      <c r="L7610" s="1335">
        <f t="shared" ref="L7610" si="1033">K7610*$K$7441</f>
        <v>0</v>
      </c>
      <c r="M7610" s="1302">
        <v>19.23</v>
      </c>
      <c r="N7610" s="1700"/>
      <c r="O7610" s="1290">
        <f>G7610*M7610</f>
        <v>8.6535000000000011</v>
      </c>
      <c r="P7610" s="1332">
        <f>M7610*K7610</f>
        <v>8.6535000000000011</v>
      </c>
      <c r="Q7610" s="3391"/>
      <c r="R7610" s="2339"/>
    </row>
    <row r="7611" spans="1:18" s="22" customFormat="1">
      <c r="A7611"/>
      <c r="B7611" s="1042"/>
      <c r="C7611" s="2086" t="s">
        <v>1755</v>
      </c>
      <c r="D7611" s="1311"/>
      <c r="E7611" s="2176" t="s">
        <v>1508</v>
      </c>
      <c r="F7611" s="1648" t="s">
        <v>1524</v>
      </c>
      <c r="G7611" s="1990"/>
      <c r="H7611" s="1457">
        <v>0.25</v>
      </c>
      <c r="I7611" s="1444"/>
      <c r="J7611" s="1366"/>
      <c r="K7611" s="1445"/>
      <c r="L7611" s="1457"/>
      <c r="M7611" s="1447"/>
      <c r="N7611" s="1447">
        <f>SUM(N7612:N7613)</f>
        <v>37.510000000000005</v>
      </c>
      <c r="O7611" s="1447">
        <f>SUM(O7612:O7613)</f>
        <v>9.3775000000000013</v>
      </c>
      <c r="P7611" s="1447">
        <f>SUM(P7612:P7613)</f>
        <v>9.3775000000000013</v>
      </c>
      <c r="Q7611" s="3391"/>
      <c r="R7611" s="2339"/>
    </row>
    <row r="7612" spans="1:18" s="22" customFormat="1">
      <c r="A7612"/>
      <c r="B7612" s="1042"/>
      <c r="C7612" s="19"/>
      <c r="D7612" s="1430" t="s">
        <v>1067</v>
      </c>
      <c r="E7612" s="1857" t="s">
        <v>1508</v>
      </c>
      <c r="F7612" s="1403" t="s">
        <v>5</v>
      </c>
      <c r="G7612" s="1991">
        <v>1</v>
      </c>
      <c r="H7612" s="1937">
        <f>G7612*H7611</f>
        <v>0.25</v>
      </c>
      <c r="I7612" s="1286"/>
      <c r="J7612" s="198"/>
      <c r="K7612" s="1307">
        <f>H7612*K7602</f>
        <v>0.25</v>
      </c>
      <c r="L7612" s="1335">
        <f t="shared" ref="L7612:L7613" si="1034">K7612*$K$7441</f>
        <v>0</v>
      </c>
      <c r="M7612" s="1302">
        <v>18.28</v>
      </c>
      <c r="N7612" s="1718">
        <f>G7612*M7612</f>
        <v>18.28</v>
      </c>
      <c r="O7612" s="1290">
        <f>H7612*M7612</f>
        <v>4.57</v>
      </c>
      <c r="P7612" s="1332">
        <f>M7612*K7612</f>
        <v>4.57</v>
      </c>
      <c r="Q7612" s="3391"/>
      <c r="R7612" s="2339"/>
    </row>
    <row r="7613" spans="1:18" s="22" customFormat="1">
      <c r="A7613"/>
      <c r="B7613" s="1042"/>
      <c r="C7613" s="19"/>
      <c r="D7613" s="1430" t="s">
        <v>1077</v>
      </c>
      <c r="E7613" s="1857" t="s">
        <v>1508</v>
      </c>
      <c r="F7613" s="1403" t="s">
        <v>37</v>
      </c>
      <c r="G7613" s="1991">
        <v>1</v>
      </c>
      <c r="H7613" s="1937">
        <f>G7613*H7611</f>
        <v>0.25</v>
      </c>
      <c r="I7613" s="197"/>
      <c r="J7613" s="198"/>
      <c r="K7613" s="1307">
        <f>H7613*K7602</f>
        <v>0.25</v>
      </c>
      <c r="L7613" s="1335">
        <f t="shared" si="1034"/>
        <v>0</v>
      </c>
      <c r="M7613" s="1302">
        <v>19.23</v>
      </c>
      <c r="N7613" s="1718">
        <f>G7613*M7613</f>
        <v>19.23</v>
      </c>
      <c r="O7613" s="1290">
        <f>H7613*M7613</f>
        <v>4.8075000000000001</v>
      </c>
      <c r="P7613" s="1332">
        <f>M7613*K7613</f>
        <v>4.8075000000000001</v>
      </c>
      <c r="Q7613" s="3391"/>
      <c r="R7613" s="2339"/>
    </row>
    <row r="7614" spans="1:18" s="22" customFormat="1">
      <c r="A7614" s="16"/>
      <c r="B7614" s="1599"/>
      <c r="C7614" s="1320"/>
      <c r="D7614" s="1430"/>
      <c r="E7614" s="1857"/>
      <c r="F7614" s="1430"/>
      <c r="G7614" s="1822"/>
      <c r="H7614" s="1359"/>
      <c r="I7614" s="1299"/>
      <c r="J7614" s="1300"/>
      <c r="K7614" s="1307"/>
      <c r="L7614" s="1335"/>
      <c r="M7614" s="1302"/>
      <c r="N7614" s="1700"/>
      <c r="O7614" s="1290"/>
      <c r="P7614" s="1332"/>
      <c r="Q7614" s="3391"/>
      <c r="R7614" s="2339"/>
    </row>
    <row r="7615" spans="1:18" s="22" customFormat="1">
      <c r="A7615"/>
      <c r="B7615" s="1320"/>
      <c r="C7615" s="16"/>
      <c r="D7615" s="1359"/>
      <c r="E7615" s="1858"/>
      <c r="F7615" s="1474"/>
      <c r="G7615" s="1474"/>
      <c r="H7615" s="1466"/>
      <c r="I7615" s="1289"/>
      <c r="J7615" s="8"/>
      <c r="K7615" s="1307"/>
      <c r="L7615" s="1335"/>
      <c r="M7615" s="1302"/>
      <c r="N7615" s="1700"/>
      <c r="O7615" s="1290"/>
      <c r="P7615" s="1332"/>
      <c r="Q7615" s="3391"/>
      <c r="R7615" s="1296"/>
    </row>
    <row r="7616" spans="1:18" s="22" customFormat="1">
      <c r="A7616" s="1320"/>
      <c r="B7616" s="1599"/>
      <c r="C7616" s="1320"/>
      <c r="D7616" s="1373"/>
      <c r="E7616" s="2123"/>
      <c r="F7616" s="1374" t="s">
        <v>3</v>
      </c>
      <c r="G7616" s="1375"/>
      <c r="H7616" s="1376"/>
      <c r="I7616" s="1382"/>
      <c r="J7616" s="1383"/>
      <c r="K7616" s="1383"/>
      <c r="L7616" s="1413"/>
      <c r="M7616" s="1376"/>
      <c r="N7616" s="1376"/>
      <c r="O7616" s="1376"/>
      <c r="P7616" s="1373"/>
      <c r="Q7616" s="3387"/>
      <c r="R7616" s="2353"/>
    </row>
    <row r="7617" spans="1:18" s="22" customFormat="1">
      <c r="A7617" s="1321"/>
      <c r="B7617" s="2053"/>
      <c r="C7617" s="1321"/>
      <c r="D7617" s="1827"/>
      <c r="E7617" s="2173"/>
      <c r="F7617" s="1827"/>
      <c r="G7617" s="1828"/>
      <c r="H7617" s="1379"/>
      <c r="I7617" s="1299"/>
      <c r="J7617" s="1300"/>
      <c r="K7617" s="1307"/>
      <c r="L7617" s="1335"/>
      <c r="M7617" s="1302"/>
      <c r="N7617" s="1700"/>
      <c r="O7617" s="1290"/>
      <c r="P7617" s="1332"/>
      <c r="Q7617" s="3391"/>
      <c r="R7617" s="2339"/>
    </row>
    <row r="7618" spans="1:18" s="22" customFormat="1">
      <c r="A7618" s="1321"/>
      <c r="B7618" s="2053"/>
      <c r="C7618" s="1321"/>
      <c r="D7618" s="1377"/>
      <c r="E7618" s="2124"/>
      <c r="F7618" s="1378"/>
      <c r="G7618" s="1378"/>
      <c r="H7618" s="1379"/>
      <c r="I7618" s="1299"/>
      <c r="J7618" s="1300"/>
      <c r="K7618" s="1307"/>
      <c r="L7618" s="1335"/>
      <c r="M7618" s="1302"/>
      <c r="N7618" s="1700"/>
      <c r="O7618" s="1290"/>
      <c r="P7618" s="1333"/>
      <c r="Q7618" s="3391"/>
      <c r="R7618" s="2339"/>
    </row>
    <row r="7619" spans="1:18" s="22" customFormat="1">
      <c r="A7619" s="1042"/>
      <c r="B7619" s="1765"/>
      <c r="C7619" s="223"/>
      <c r="D7619" s="1373"/>
      <c r="E7619" s="2161"/>
      <c r="F7619" s="1678"/>
      <c r="G7619" s="1678"/>
      <c r="H7619" s="1376"/>
      <c r="I7619" s="1299"/>
      <c r="J7619" s="1300"/>
      <c r="K7619" s="1307"/>
      <c r="L7619" s="1335"/>
      <c r="M7619" s="1302"/>
      <c r="N7619" s="1700"/>
      <c r="O7619" s="1290"/>
      <c r="P7619" s="1332"/>
      <c r="Q7619" s="3391"/>
      <c r="R7619" s="2339"/>
    </row>
    <row r="7620" spans="1:18" s="22" customFormat="1">
      <c r="A7620" s="18" t="s">
        <v>3764</v>
      </c>
      <c r="B7620" s="4325" t="s">
        <v>2381</v>
      </c>
      <c r="C7620" s="3350"/>
      <c r="D7620" s="4327"/>
      <c r="E7620" s="4329" t="s">
        <v>1504</v>
      </c>
      <c r="F7620" s="4336" t="s">
        <v>2382</v>
      </c>
      <c r="G7620" s="4331" t="s">
        <v>1568</v>
      </c>
      <c r="H7620" s="4331" t="s">
        <v>1574</v>
      </c>
      <c r="I7620" s="1572" t="s">
        <v>1559</v>
      </c>
      <c r="J7620" s="1294" t="s">
        <v>1560</v>
      </c>
      <c r="K7620" s="1294" t="s">
        <v>1569</v>
      </c>
      <c r="L7620" s="4333" t="s">
        <v>3765</v>
      </c>
      <c r="M7620" s="4335" t="s">
        <v>1571</v>
      </c>
      <c r="N7620" s="4323" t="s">
        <v>1776</v>
      </c>
      <c r="O7620" s="3347" t="s">
        <v>1563</v>
      </c>
      <c r="P7620" s="1336" t="s">
        <v>1562</v>
      </c>
      <c r="Q7620" s="3389"/>
      <c r="R7620" s="1699" t="s">
        <v>1327</v>
      </c>
    </row>
    <row r="7621" spans="1:18" s="22" customFormat="1">
      <c r="A7621" s="1599" t="s">
        <v>2349</v>
      </c>
      <c r="B7621" s="4326"/>
      <c r="C7621" s="3351"/>
      <c r="D7621" s="4328"/>
      <c r="E7621" s="4330"/>
      <c r="F7621" s="4336"/>
      <c r="G7621" s="4332"/>
      <c r="H7621" s="4332"/>
      <c r="I7621" s="1345">
        <v>4</v>
      </c>
      <c r="J7621" s="1307">
        <v>0.25</v>
      </c>
      <c r="K7621" s="1666">
        <f>I7621*J7621</f>
        <v>1</v>
      </c>
      <c r="L7621" s="4334"/>
      <c r="M7621" s="4335"/>
      <c r="N7621" s="4324"/>
      <c r="O7621" s="1298">
        <f>SUM(O7623:O7630)</f>
        <v>20.181699999999999</v>
      </c>
      <c r="P7621" s="1337">
        <f>O7621*K7621</f>
        <v>20.181699999999999</v>
      </c>
      <c r="Q7621" s="3390"/>
      <c r="R7621" s="1721">
        <f>SUM(P7623:P7630)</f>
        <v>20.181699999999999</v>
      </c>
    </row>
    <row r="7622" spans="1:18" s="22" customFormat="1">
      <c r="A7622" s="1320"/>
      <c r="B7622" s="1949"/>
      <c r="C7622" s="1327"/>
      <c r="D7622" s="1367"/>
      <c r="E7622" s="2121"/>
      <c r="F7622" s="1389" t="s">
        <v>1</v>
      </c>
      <c r="G7622" s="1389"/>
      <c r="H7622" s="1369"/>
      <c r="I7622" s="2088"/>
      <c r="J7622" s="1369"/>
      <c r="K7622" s="1391"/>
      <c r="L7622" s="1559"/>
      <c r="M7622" s="1369"/>
      <c r="N7622" s="1369"/>
      <c r="O7622" s="1369"/>
      <c r="P7622" s="1392"/>
      <c r="Q7622" s="3395"/>
      <c r="R7622" s="2339"/>
    </row>
    <row r="7623" spans="1:18" s="22" customFormat="1">
      <c r="A7623" s="1320"/>
      <c r="B7623" s="1599"/>
      <c r="C7623" s="1320"/>
      <c r="D7623" s="1668" t="s">
        <v>2379</v>
      </c>
      <c r="E7623" s="2166" t="s">
        <v>1527</v>
      </c>
      <c r="F7623" s="1668" t="s">
        <v>2380</v>
      </c>
      <c r="G7623" s="1958">
        <v>1.3129999999999999</v>
      </c>
      <c r="H7623" s="1674"/>
      <c r="I7623" s="1299"/>
      <c r="J7623" s="1300"/>
      <c r="K7623" s="1307">
        <f>G7623*K7621</f>
        <v>1.3129999999999999</v>
      </c>
      <c r="L7623" s="1335">
        <f t="shared" ref="L7623:L7625" si="1035">K7623*$K$7441</f>
        <v>0</v>
      </c>
      <c r="M7623" s="1499">
        <v>2.9</v>
      </c>
      <c r="N7623" s="1700"/>
      <c r="O7623" s="1290">
        <f>G7623*M7623</f>
        <v>3.8076999999999996</v>
      </c>
      <c r="P7623" s="1332">
        <f>M7623*K7623</f>
        <v>3.8076999999999996</v>
      </c>
      <c r="Q7623" s="3391"/>
      <c r="R7623" s="2339"/>
    </row>
    <row r="7624" spans="1:18" s="22" customFormat="1">
      <c r="A7624" s="1042"/>
      <c r="B7624" s="1599"/>
      <c r="C7624" s="1042"/>
      <c r="D7624" s="1587" t="s">
        <v>1082</v>
      </c>
      <c r="E7624" s="2138" t="s">
        <v>1504</v>
      </c>
      <c r="F7624" s="1587" t="s">
        <v>1541</v>
      </c>
      <c r="G7624" s="1588">
        <v>1</v>
      </c>
      <c r="H7624" s="1674"/>
      <c r="I7624" s="1299"/>
      <c r="J7624" s="1300"/>
      <c r="K7624" s="1307">
        <f>K7621*G7624</f>
        <v>1</v>
      </c>
      <c r="L7624" s="1335">
        <f t="shared" si="1035"/>
        <v>0</v>
      </c>
      <c r="M7624" s="1302">
        <v>0.3</v>
      </c>
      <c r="N7624" s="1700"/>
      <c r="O7624" s="1290">
        <f>G7624*M7624</f>
        <v>0.3</v>
      </c>
      <c r="P7624" s="1332">
        <f>M7624*K7624</f>
        <v>0.3</v>
      </c>
      <c r="Q7624" s="3391"/>
      <c r="R7624" s="2339"/>
    </row>
    <row r="7625" spans="1:18" s="22" customFormat="1">
      <c r="A7625" s="1042"/>
      <c r="B7625" s="1599"/>
      <c r="C7625" s="1042"/>
      <c r="D7625" s="1654" t="s">
        <v>1097</v>
      </c>
      <c r="E7625" s="2300" t="s">
        <v>1504</v>
      </c>
      <c r="F7625" s="1654" t="s">
        <v>1632</v>
      </c>
      <c r="G7625" s="2185">
        <v>1.6</v>
      </c>
      <c r="H7625" s="1369"/>
      <c r="I7625" s="1299"/>
      <c r="J7625" s="1300"/>
      <c r="K7625" s="1307">
        <f>G7625*K7621</f>
        <v>1.6</v>
      </c>
      <c r="L7625" s="1335">
        <f t="shared" si="1035"/>
        <v>0</v>
      </c>
      <c r="M7625" s="1499">
        <v>0.55000000000000004</v>
      </c>
      <c r="N7625" s="1700"/>
      <c r="O7625" s="1290">
        <f>G7625*M7625</f>
        <v>0.88000000000000012</v>
      </c>
      <c r="P7625" s="1332">
        <f>M7625*K7625</f>
        <v>0.88000000000000012</v>
      </c>
      <c r="Q7625" s="3391"/>
      <c r="R7625" s="2339"/>
    </row>
    <row r="7626" spans="1:18" s="22" customFormat="1">
      <c r="A7626" s="1042"/>
      <c r="B7626" s="1599"/>
      <c r="C7626" s="1042"/>
      <c r="D7626" s="1654"/>
      <c r="E7626" s="2300"/>
      <c r="F7626" s="1654"/>
      <c r="G7626" s="2185"/>
      <c r="H7626" s="1369"/>
      <c r="I7626" s="1299"/>
      <c r="J7626" s="1300"/>
      <c r="K7626" s="1307"/>
      <c r="L7626" s="1335"/>
      <c r="M7626" s="1499"/>
      <c r="N7626" s="1700"/>
      <c r="O7626" s="1290"/>
      <c r="P7626" s="1332"/>
      <c r="Q7626" s="3391"/>
      <c r="R7626" s="2339"/>
    </row>
    <row r="7627" spans="1:18" s="22" customFormat="1">
      <c r="A7627" s="1042"/>
      <c r="B7627" s="1599"/>
      <c r="C7627" s="1042"/>
      <c r="D7627" s="1587"/>
      <c r="E7627" s="2138"/>
      <c r="F7627" s="1587"/>
      <c r="G7627" s="1588"/>
      <c r="H7627" s="1369"/>
      <c r="I7627" s="1299"/>
      <c r="J7627" s="1300"/>
      <c r="K7627" s="1307"/>
      <c r="L7627" s="1335"/>
      <c r="M7627" s="1499"/>
      <c r="N7627" s="1700"/>
      <c r="O7627" s="1290"/>
      <c r="P7627" s="1332"/>
      <c r="Q7627" s="3391"/>
      <c r="R7627" s="2339"/>
    </row>
    <row r="7628" spans="1:18" s="22" customFormat="1">
      <c r="A7628" s="1042"/>
      <c r="B7628" s="1599"/>
      <c r="C7628" s="1042"/>
      <c r="D7628" s="1359"/>
      <c r="E7628" s="1858"/>
      <c r="F7628" s="1360" t="s">
        <v>2</v>
      </c>
      <c r="G7628" s="1360"/>
      <c r="H7628" s="1362"/>
      <c r="I7628" s="1380"/>
      <c r="J7628" s="1381"/>
      <c r="K7628" s="1381"/>
      <c r="L7628" s="1458"/>
      <c r="M7628" s="1362"/>
      <c r="N7628" s="1362"/>
      <c r="O7628" s="1362"/>
      <c r="P7628" s="1359"/>
      <c r="Q7628" s="3387"/>
      <c r="R7628" s="2339"/>
    </row>
    <row r="7629" spans="1:18" s="22" customFormat="1">
      <c r="A7629" s="1321"/>
      <c r="B7629" s="2053"/>
      <c r="C7629" s="1321"/>
      <c r="D7629" s="1655" t="s">
        <v>1099</v>
      </c>
      <c r="E7629" s="1859" t="s">
        <v>1508</v>
      </c>
      <c r="F7629" s="1655" t="s">
        <v>1633</v>
      </c>
      <c r="G7629" s="1625">
        <v>0.4</v>
      </c>
      <c r="H7629" s="1386"/>
      <c r="I7629" s="1299"/>
      <c r="J7629" s="1300"/>
      <c r="K7629" s="1307">
        <f>G7629*K7621</f>
        <v>0.4</v>
      </c>
      <c r="L7629" s="1335">
        <f t="shared" ref="L7629" si="1036">K7629*$K$7441</f>
        <v>0</v>
      </c>
      <c r="M7629" s="1302">
        <v>19.23</v>
      </c>
      <c r="N7629" s="1700"/>
      <c r="O7629" s="1290">
        <f>G7629*M7629</f>
        <v>7.6920000000000002</v>
      </c>
      <c r="P7629" s="1332">
        <f>M7629*K7629</f>
        <v>7.6920000000000002</v>
      </c>
      <c r="Q7629" s="3391"/>
      <c r="R7629" s="2339"/>
    </row>
    <row r="7630" spans="1:18" s="22" customFormat="1">
      <c r="A7630"/>
      <c r="B7630" s="1042"/>
      <c r="C7630" s="2086" t="s">
        <v>1755</v>
      </c>
      <c r="D7630" s="1311"/>
      <c r="E7630" s="2176" t="s">
        <v>1508</v>
      </c>
      <c r="F7630" s="1648" t="s">
        <v>1524</v>
      </c>
      <c r="G7630" s="1990"/>
      <c r="H7630" s="1457">
        <v>0.2</v>
      </c>
      <c r="I7630" s="1444"/>
      <c r="J7630" s="1366"/>
      <c r="K7630" s="1445"/>
      <c r="L7630" s="1457"/>
      <c r="M7630" s="1447"/>
      <c r="N7630" s="1447">
        <f>SUM(N7631:N7632)</f>
        <v>37.510000000000005</v>
      </c>
      <c r="O7630" s="1447">
        <f>SUM(O7631:O7632)</f>
        <v>7.5020000000000007</v>
      </c>
      <c r="P7630" s="1447">
        <f>SUM(P7631:P7632)</f>
        <v>7.5020000000000007</v>
      </c>
      <c r="Q7630" s="3391"/>
      <c r="R7630" s="2339"/>
    </row>
    <row r="7631" spans="1:18" s="22" customFormat="1">
      <c r="A7631"/>
      <c r="B7631" s="1042"/>
      <c r="C7631" s="19"/>
      <c r="D7631" s="1430" t="s">
        <v>1067</v>
      </c>
      <c r="E7631" s="1857" t="s">
        <v>1508</v>
      </c>
      <c r="F7631" s="1403" t="s">
        <v>5</v>
      </c>
      <c r="G7631" s="1991">
        <v>1</v>
      </c>
      <c r="H7631" s="1937">
        <f>G7631*H7630</f>
        <v>0.2</v>
      </c>
      <c r="I7631" s="1286"/>
      <c r="J7631" s="198"/>
      <c r="K7631" s="1307">
        <f>H7631*K7621</f>
        <v>0.2</v>
      </c>
      <c r="L7631" s="1335">
        <f t="shared" ref="L7631:L7632" si="1037">K7631*$K$7441</f>
        <v>0</v>
      </c>
      <c r="M7631" s="1302">
        <v>18.28</v>
      </c>
      <c r="N7631" s="1718">
        <f>G7631*M7631</f>
        <v>18.28</v>
      </c>
      <c r="O7631" s="1290">
        <f>H7631*M7631</f>
        <v>3.6560000000000006</v>
      </c>
      <c r="P7631" s="1332">
        <f>M7631*K7631</f>
        <v>3.6560000000000006</v>
      </c>
      <c r="Q7631" s="3391"/>
      <c r="R7631" s="2339"/>
    </row>
    <row r="7632" spans="1:18" s="22" customFormat="1">
      <c r="A7632"/>
      <c r="B7632" s="1042"/>
      <c r="C7632" s="19"/>
      <c r="D7632" s="1430" t="s">
        <v>1077</v>
      </c>
      <c r="E7632" s="1857" t="s">
        <v>1508</v>
      </c>
      <c r="F7632" s="1403" t="s">
        <v>37</v>
      </c>
      <c r="G7632" s="1991">
        <v>1</v>
      </c>
      <c r="H7632" s="1937">
        <f>G7632*H7630</f>
        <v>0.2</v>
      </c>
      <c r="I7632" s="197"/>
      <c r="J7632" s="198"/>
      <c r="K7632" s="1307">
        <f>H7632*K7621</f>
        <v>0.2</v>
      </c>
      <c r="L7632" s="1335">
        <f t="shared" si="1037"/>
        <v>0</v>
      </c>
      <c r="M7632" s="1302">
        <v>19.23</v>
      </c>
      <c r="N7632" s="1718">
        <f>G7632*M7632</f>
        <v>19.23</v>
      </c>
      <c r="O7632" s="1290">
        <f>H7632*M7632</f>
        <v>3.8460000000000001</v>
      </c>
      <c r="P7632" s="1332">
        <f>M7632*K7632</f>
        <v>3.8460000000000001</v>
      </c>
      <c r="Q7632" s="3391"/>
      <c r="R7632" s="2339"/>
    </row>
    <row r="7633" spans="1:18" s="22" customFormat="1">
      <c r="A7633" s="16"/>
      <c r="B7633" s="1599"/>
      <c r="C7633" s="1320"/>
      <c r="D7633" s="1430"/>
      <c r="E7633" s="1857"/>
      <c r="F7633" s="1430"/>
      <c r="G7633" s="1822"/>
      <c r="H7633" s="1359"/>
      <c r="I7633" s="1299"/>
      <c r="J7633" s="1300"/>
      <c r="K7633" s="1307"/>
      <c r="L7633" s="1335"/>
      <c r="M7633" s="1302"/>
      <c r="N7633" s="1700"/>
      <c r="O7633" s="1290"/>
      <c r="P7633" s="1332"/>
      <c r="Q7633" s="3391"/>
      <c r="R7633" s="2339"/>
    </row>
    <row r="7634" spans="1:18" s="22" customFormat="1">
      <c r="A7634"/>
      <c r="B7634" s="1320"/>
      <c r="C7634" s="16"/>
      <c r="D7634" s="1359"/>
      <c r="E7634" s="1858"/>
      <c r="F7634" s="1474"/>
      <c r="G7634" s="1474"/>
      <c r="H7634" s="1466"/>
      <c r="I7634" s="1289"/>
      <c r="J7634" s="8"/>
      <c r="K7634" s="1307"/>
      <c r="L7634" s="1335"/>
      <c r="M7634" s="1302"/>
      <c r="N7634" s="1700"/>
      <c r="O7634" s="1290"/>
      <c r="P7634" s="1332"/>
      <c r="Q7634" s="3391"/>
      <c r="R7634" s="1296"/>
    </row>
    <row r="7635" spans="1:18" s="22" customFormat="1">
      <c r="A7635" s="1320"/>
      <c r="B7635" s="1599"/>
      <c r="C7635" s="1320"/>
      <c r="D7635" s="1373"/>
      <c r="E7635" s="2123"/>
      <c r="F7635" s="1374" t="s">
        <v>3</v>
      </c>
      <c r="G7635" s="1375"/>
      <c r="H7635" s="1376"/>
      <c r="I7635" s="1382"/>
      <c r="J7635" s="1383"/>
      <c r="K7635" s="1383"/>
      <c r="L7635" s="1413"/>
      <c r="M7635" s="1376"/>
      <c r="N7635" s="1376"/>
      <c r="O7635" s="1376"/>
      <c r="P7635" s="1373"/>
      <c r="Q7635" s="3387"/>
      <c r="R7635" s="2353"/>
    </row>
    <row r="7636" spans="1:18" s="22" customFormat="1">
      <c r="A7636" s="1321"/>
      <c r="B7636" s="2053"/>
      <c r="C7636" s="1321"/>
      <c r="D7636" s="1827"/>
      <c r="E7636" s="2173"/>
      <c r="F7636" s="1827"/>
      <c r="G7636" s="1828"/>
      <c r="H7636" s="1379"/>
      <c r="I7636" s="1299"/>
      <c r="J7636" s="1300"/>
      <c r="K7636" s="1307"/>
      <c r="L7636" s="1335"/>
      <c r="M7636" s="1302"/>
      <c r="N7636" s="1700"/>
      <c r="O7636" s="1290"/>
      <c r="P7636" s="1332"/>
      <c r="Q7636" s="3391"/>
      <c r="R7636" s="2339"/>
    </row>
    <row r="7637" spans="1:18" s="22" customFormat="1">
      <c r="A7637" s="1321"/>
      <c r="B7637" s="2053"/>
      <c r="C7637" s="1321"/>
      <c r="D7637" s="1377"/>
      <c r="E7637" s="2124"/>
      <c r="F7637" s="1378"/>
      <c r="G7637" s="1378"/>
      <c r="H7637" s="1379"/>
      <c r="I7637" s="1299"/>
      <c r="J7637" s="1300"/>
      <c r="K7637" s="1307"/>
      <c r="L7637" s="1335"/>
      <c r="M7637" s="1302"/>
      <c r="N7637" s="1700"/>
      <c r="O7637" s="1290"/>
      <c r="P7637" s="1333"/>
      <c r="Q7637" s="3391"/>
      <c r="R7637" s="2339"/>
    </row>
    <row r="7638" spans="1:18" s="22" customFormat="1">
      <c r="A7638" s="1042"/>
      <c r="B7638" s="1765"/>
      <c r="C7638" s="223"/>
      <c r="D7638" s="1373"/>
      <c r="E7638" s="2161"/>
      <c r="F7638" s="1678"/>
      <c r="G7638" s="1678"/>
      <c r="H7638" s="1376"/>
      <c r="I7638" s="1299"/>
      <c r="J7638" s="1300"/>
      <c r="K7638" s="1307"/>
      <c r="L7638" s="1335"/>
      <c r="M7638" s="1302"/>
      <c r="N7638" s="1700"/>
      <c r="O7638" s="1290"/>
      <c r="P7638" s="1332"/>
      <c r="Q7638" s="3391"/>
      <c r="R7638" s="2339"/>
    </row>
    <row r="7639" spans="1:18" s="22" customFormat="1">
      <c r="A7639" s="18" t="s">
        <v>3764</v>
      </c>
      <c r="B7639" s="4325" t="s">
        <v>2383</v>
      </c>
      <c r="C7639" s="3350"/>
      <c r="D7639" s="4327"/>
      <c r="E7639" s="4329" t="s">
        <v>1504</v>
      </c>
      <c r="F7639" s="4336" t="s">
        <v>2384</v>
      </c>
      <c r="G7639" s="4331" t="s">
        <v>1568</v>
      </c>
      <c r="H7639" s="4331" t="s">
        <v>1574</v>
      </c>
      <c r="I7639" s="1572" t="s">
        <v>1559</v>
      </c>
      <c r="J7639" s="1294" t="s">
        <v>1560</v>
      </c>
      <c r="K7639" s="1294" t="s">
        <v>1569</v>
      </c>
      <c r="L7639" s="4333" t="s">
        <v>3765</v>
      </c>
      <c r="M7639" s="4335" t="s">
        <v>1571</v>
      </c>
      <c r="N7639" s="4323" t="s">
        <v>1776</v>
      </c>
      <c r="O7639" s="3347" t="s">
        <v>1563</v>
      </c>
      <c r="P7639" s="1336" t="s">
        <v>1562</v>
      </c>
      <c r="Q7639" s="3389"/>
      <c r="R7639" s="1699" t="s">
        <v>1327</v>
      </c>
    </row>
    <row r="7640" spans="1:18" s="22" customFormat="1">
      <c r="A7640" s="1599" t="s">
        <v>2349</v>
      </c>
      <c r="B7640" s="4326"/>
      <c r="C7640" s="3351"/>
      <c r="D7640" s="4328"/>
      <c r="E7640" s="4330"/>
      <c r="F7640" s="4336"/>
      <c r="G7640" s="4332"/>
      <c r="H7640" s="4332"/>
      <c r="I7640" s="1345">
        <v>4</v>
      </c>
      <c r="J7640" s="1307">
        <v>0.25</v>
      </c>
      <c r="K7640" s="1666">
        <f>I7640*J7640</f>
        <v>1</v>
      </c>
      <c r="L7640" s="4334"/>
      <c r="M7640" s="4335"/>
      <c r="N7640" s="4324"/>
      <c r="O7640" s="1298">
        <f>SUM(O7642:O7650)</f>
        <v>23.951750000000001</v>
      </c>
      <c r="P7640" s="1337">
        <f>O7640*K7640</f>
        <v>23.951750000000001</v>
      </c>
      <c r="Q7640" s="3390"/>
      <c r="R7640" s="1721">
        <f>SUM(P7642:P7650)</f>
        <v>23.951750000000001</v>
      </c>
    </row>
    <row r="7641" spans="1:18" s="22" customFormat="1">
      <c r="A7641" s="1320"/>
      <c r="B7641" s="1949"/>
      <c r="C7641" s="1327"/>
      <c r="D7641" s="1367"/>
      <c r="E7641" s="2121"/>
      <c r="F7641" s="1389" t="s">
        <v>1</v>
      </c>
      <c r="G7641" s="1389"/>
      <c r="H7641" s="1369"/>
      <c r="I7641" s="2088"/>
      <c r="J7641" s="1369"/>
      <c r="K7641" s="1391"/>
      <c r="L7641" s="1559"/>
      <c r="M7641" s="1369"/>
      <c r="N7641" s="1369"/>
      <c r="O7641" s="1369"/>
      <c r="P7641" s="1392"/>
      <c r="Q7641" s="3395"/>
      <c r="R7641" s="2339"/>
    </row>
    <row r="7642" spans="1:18" s="22" customFormat="1">
      <c r="A7642" s="1320"/>
      <c r="B7642" s="1599"/>
      <c r="C7642" s="1320"/>
      <c r="D7642" s="1654" t="s">
        <v>2371</v>
      </c>
      <c r="E7642" s="2300" t="s">
        <v>1527</v>
      </c>
      <c r="F7642" s="1654" t="s">
        <v>2372</v>
      </c>
      <c r="G7642" s="2185">
        <v>1.5149999999999999</v>
      </c>
      <c r="H7642" s="1369"/>
      <c r="I7642" s="1299"/>
      <c r="J7642" s="1300"/>
      <c r="K7642" s="1307">
        <f>G7642*K7640</f>
        <v>1.5149999999999999</v>
      </c>
      <c r="L7642" s="1335">
        <f t="shared" ref="L7642:L7645" si="1038">K7642*$K$7441</f>
        <v>0</v>
      </c>
      <c r="M7642" s="1499">
        <v>4.6500000000000004</v>
      </c>
      <c r="N7642" s="1700"/>
      <c r="O7642" s="1290">
        <f>G7642*M7642</f>
        <v>7.0447500000000005</v>
      </c>
      <c r="P7642" s="1332">
        <f>M7642*K7642</f>
        <v>7.0447500000000005</v>
      </c>
      <c r="Q7642" s="3391"/>
      <c r="R7642" s="2339"/>
    </row>
    <row r="7643" spans="1:18" s="22" customFormat="1">
      <c r="A7643" s="1320"/>
      <c r="B7643" s="1599"/>
      <c r="C7643" s="1320"/>
      <c r="D7643" s="1654" t="s">
        <v>2385</v>
      </c>
      <c r="E7643" s="2300" t="s">
        <v>1504</v>
      </c>
      <c r="F7643" s="1654" t="s">
        <v>2386</v>
      </c>
      <c r="G7643" s="2185">
        <v>1</v>
      </c>
      <c r="H7643" s="1369"/>
      <c r="I7643" s="1299"/>
      <c r="J7643" s="1300"/>
      <c r="K7643" s="1307">
        <f>G7643*K7640</f>
        <v>1</v>
      </c>
      <c r="L7643" s="1335">
        <f t="shared" si="1038"/>
        <v>0</v>
      </c>
      <c r="M7643" s="1499">
        <v>3.15</v>
      </c>
      <c r="N7643" s="1700"/>
      <c r="O7643" s="1290">
        <f>G7643*M7643</f>
        <v>3.15</v>
      </c>
      <c r="P7643" s="1332">
        <f>M7643*K7643</f>
        <v>3.15</v>
      </c>
      <c r="Q7643" s="3391"/>
      <c r="R7643" s="2339"/>
    </row>
    <row r="7644" spans="1:18" s="22" customFormat="1">
      <c r="A7644" s="1042"/>
      <c r="B7644" s="1599"/>
      <c r="C7644" s="1042"/>
      <c r="D7644" s="1654" t="s">
        <v>1082</v>
      </c>
      <c r="E7644" s="2300" t="s">
        <v>1504</v>
      </c>
      <c r="F7644" s="1654" t="s">
        <v>1541</v>
      </c>
      <c r="G7644" s="2185">
        <v>1</v>
      </c>
      <c r="H7644" s="1369"/>
      <c r="I7644" s="1299"/>
      <c r="J7644" s="1300"/>
      <c r="K7644" s="1307">
        <f>K7640*G7644</f>
        <v>1</v>
      </c>
      <c r="L7644" s="1335">
        <f t="shared" si="1038"/>
        <v>0</v>
      </c>
      <c r="M7644" s="1499">
        <v>0.3</v>
      </c>
      <c r="N7644" s="1700"/>
      <c r="O7644" s="1290">
        <f>G7644*M7644</f>
        <v>0.3</v>
      </c>
      <c r="P7644" s="1332">
        <f>M7644*K7644</f>
        <v>0.3</v>
      </c>
      <c r="Q7644" s="3391"/>
      <c r="R7644" s="2339"/>
    </row>
    <row r="7645" spans="1:18" s="22" customFormat="1">
      <c r="A7645" s="1042"/>
      <c r="B7645" s="1599"/>
      <c r="C7645" s="1042"/>
      <c r="D7645" s="1654" t="s">
        <v>1097</v>
      </c>
      <c r="E7645" s="2300" t="s">
        <v>1504</v>
      </c>
      <c r="F7645" s="1654" t="s">
        <v>1632</v>
      </c>
      <c r="G7645" s="2185">
        <v>2</v>
      </c>
      <c r="H7645" s="1369"/>
      <c r="I7645" s="1299">
        <f t="shared" ref="I7645" ca="1" si="1039">IF(COUNT(H7645:O7645)=0,"",(SUM(H7645:O7645)/COUNT(H7645:O7645)))</f>
        <v>0.91250015573333343</v>
      </c>
      <c r="J7645" s="1300"/>
      <c r="K7645" s="1307">
        <f>G7645*K7640</f>
        <v>2</v>
      </c>
      <c r="L7645" s="1335">
        <f t="shared" si="1038"/>
        <v>0</v>
      </c>
      <c r="M7645" s="1499">
        <v>0.55000000000000004</v>
      </c>
      <c r="N7645" s="1700"/>
      <c r="O7645" s="1290">
        <f>G7645*M7645</f>
        <v>1.1000000000000001</v>
      </c>
      <c r="P7645" s="1332">
        <f>M7645*K7645</f>
        <v>1.1000000000000001</v>
      </c>
      <c r="Q7645" s="3391"/>
      <c r="R7645" s="2339"/>
    </row>
    <row r="7646" spans="1:18" s="22" customFormat="1">
      <c r="A7646" s="1042"/>
      <c r="B7646" s="1599"/>
      <c r="C7646" s="1042"/>
      <c r="D7646" s="1654"/>
      <c r="E7646" s="2300"/>
      <c r="F7646" s="1654"/>
      <c r="G7646" s="2185"/>
      <c r="H7646" s="1369"/>
      <c r="I7646" s="1299"/>
      <c r="J7646" s="1300"/>
      <c r="K7646" s="1307"/>
      <c r="L7646" s="1335"/>
      <c r="M7646" s="1499"/>
      <c r="N7646" s="1700"/>
      <c r="O7646" s="1290"/>
      <c r="P7646" s="1332"/>
      <c r="Q7646" s="3391"/>
      <c r="R7646" s="2339"/>
    </row>
    <row r="7647" spans="1:18" s="22" customFormat="1">
      <c r="A7647" s="1042"/>
      <c r="B7647" s="1599"/>
      <c r="C7647" s="1042"/>
      <c r="D7647" s="1587"/>
      <c r="E7647" s="2138"/>
      <c r="F7647" s="1587"/>
      <c r="G7647" s="1588"/>
      <c r="H7647" s="1369"/>
      <c r="I7647" s="1299"/>
      <c r="J7647" s="1300"/>
      <c r="K7647" s="1307"/>
      <c r="L7647" s="1335"/>
      <c r="M7647" s="1499"/>
      <c r="N7647" s="1700"/>
      <c r="O7647" s="1290"/>
      <c r="P7647" s="1332"/>
      <c r="Q7647" s="3391"/>
      <c r="R7647" s="2339"/>
    </row>
    <row r="7648" spans="1:18" s="22" customFormat="1">
      <c r="A7648" s="1042"/>
      <c r="B7648" s="1599"/>
      <c r="C7648" s="1042"/>
      <c r="D7648" s="1359"/>
      <c r="E7648" s="1858"/>
      <c r="F7648" s="1360" t="s">
        <v>2</v>
      </c>
      <c r="G7648" s="1360"/>
      <c r="H7648" s="1362"/>
      <c r="I7648" s="1380"/>
      <c r="J7648" s="1381"/>
      <c r="K7648" s="1381"/>
      <c r="L7648" s="1458"/>
      <c r="M7648" s="1362"/>
      <c r="N7648" s="1362"/>
      <c r="O7648" s="1362"/>
      <c r="P7648" s="1359"/>
      <c r="Q7648" s="3387"/>
      <c r="R7648" s="2339"/>
    </row>
    <row r="7649" spans="1:18" s="22" customFormat="1">
      <c r="A7649" s="1321"/>
      <c r="B7649" s="2053"/>
      <c r="C7649" s="1321"/>
      <c r="D7649" s="1655" t="s">
        <v>1099</v>
      </c>
      <c r="E7649" s="1859" t="s">
        <v>1508</v>
      </c>
      <c r="F7649" s="1655" t="s">
        <v>1633</v>
      </c>
      <c r="G7649" s="1625">
        <v>0.35</v>
      </c>
      <c r="H7649" s="1386"/>
      <c r="I7649" s="1299"/>
      <c r="J7649" s="1300"/>
      <c r="K7649" s="1307">
        <f>G7649*K7640</f>
        <v>0.35</v>
      </c>
      <c r="L7649" s="1335">
        <f t="shared" ref="L7649" si="1040">K7649*$K$7441</f>
        <v>0</v>
      </c>
      <c r="M7649" s="1302">
        <v>19.23</v>
      </c>
      <c r="N7649" s="1700"/>
      <c r="O7649" s="1290">
        <f>G7649*M7649</f>
        <v>6.7305000000000001</v>
      </c>
      <c r="P7649" s="1332">
        <f>M7649*K7649</f>
        <v>6.7305000000000001</v>
      </c>
      <c r="Q7649" s="3391"/>
      <c r="R7649" s="2339"/>
    </row>
    <row r="7650" spans="1:18" s="22" customFormat="1">
      <c r="A7650"/>
      <c r="B7650" s="1042"/>
      <c r="C7650" s="2086" t="s">
        <v>1755</v>
      </c>
      <c r="D7650" s="1311"/>
      <c r="E7650" s="2176" t="s">
        <v>1508</v>
      </c>
      <c r="F7650" s="1648" t="s">
        <v>1524</v>
      </c>
      <c r="G7650" s="1990"/>
      <c r="H7650" s="1457">
        <v>0.15</v>
      </c>
      <c r="I7650" s="1444"/>
      <c r="J7650" s="1366"/>
      <c r="K7650" s="1445"/>
      <c r="L7650" s="1457"/>
      <c r="M7650" s="1447"/>
      <c r="N7650" s="1447">
        <f>SUM(N7651:N7652)</f>
        <v>37.510000000000005</v>
      </c>
      <c r="O7650" s="1447">
        <f>SUM(O7651:O7652)</f>
        <v>5.6265000000000001</v>
      </c>
      <c r="P7650" s="1447">
        <f>SUM(P7651:P7652)</f>
        <v>5.6265000000000001</v>
      </c>
      <c r="Q7650" s="3391"/>
      <c r="R7650" s="2339"/>
    </row>
    <row r="7651" spans="1:18" s="22" customFormat="1">
      <c r="A7651"/>
      <c r="B7651" s="1042"/>
      <c r="C7651" s="19"/>
      <c r="D7651" s="1430" t="s">
        <v>1067</v>
      </c>
      <c r="E7651" s="1857" t="s">
        <v>1508</v>
      </c>
      <c r="F7651" s="1403" t="s">
        <v>5</v>
      </c>
      <c r="G7651" s="1991">
        <v>1</v>
      </c>
      <c r="H7651" s="1937">
        <f>G7651*H7650</f>
        <v>0.15</v>
      </c>
      <c r="I7651" s="1286"/>
      <c r="J7651" s="198"/>
      <c r="K7651" s="1307">
        <f>H7651*K7640</f>
        <v>0.15</v>
      </c>
      <c r="L7651" s="1335">
        <f t="shared" ref="L7651:L7652" si="1041">K7651*$K$7441</f>
        <v>0</v>
      </c>
      <c r="M7651" s="1302">
        <v>18.28</v>
      </c>
      <c r="N7651" s="1718">
        <f>G7651*M7651</f>
        <v>18.28</v>
      </c>
      <c r="O7651" s="1290">
        <f>H7651*M7651</f>
        <v>2.742</v>
      </c>
      <c r="P7651" s="1332">
        <f>M7651*K7651</f>
        <v>2.742</v>
      </c>
      <c r="Q7651" s="3391"/>
      <c r="R7651" s="2339"/>
    </row>
    <row r="7652" spans="1:18" s="22" customFormat="1">
      <c r="A7652"/>
      <c r="B7652" s="1042"/>
      <c r="C7652" s="19"/>
      <c r="D7652" s="1430" t="s">
        <v>1077</v>
      </c>
      <c r="E7652" s="1857" t="s">
        <v>1508</v>
      </c>
      <c r="F7652" s="1403" t="s">
        <v>37</v>
      </c>
      <c r="G7652" s="1991">
        <v>1</v>
      </c>
      <c r="H7652" s="1937">
        <f>G7652*H7650</f>
        <v>0.15</v>
      </c>
      <c r="I7652" s="197"/>
      <c r="J7652" s="198"/>
      <c r="K7652" s="1307">
        <f>H7652*K7640</f>
        <v>0.15</v>
      </c>
      <c r="L7652" s="1335">
        <f t="shared" si="1041"/>
        <v>0</v>
      </c>
      <c r="M7652" s="1302">
        <v>19.23</v>
      </c>
      <c r="N7652" s="1718">
        <f>G7652*M7652</f>
        <v>19.23</v>
      </c>
      <c r="O7652" s="1290">
        <f>H7652*M7652</f>
        <v>2.8845000000000001</v>
      </c>
      <c r="P7652" s="1332">
        <f>M7652*K7652</f>
        <v>2.8845000000000001</v>
      </c>
      <c r="Q7652" s="3391"/>
      <c r="R7652" s="2339"/>
    </row>
    <row r="7653" spans="1:18" s="22" customFormat="1">
      <c r="A7653" s="16"/>
      <c r="B7653" s="1599"/>
      <c r="C7653" s="1320"/>
      <c r="D7653" s="1430"/>
      <c r="E7653" s="1857"/>
      <c r="F7653" s="1430"/>
      <c r="G7653" s="1822"/>
      <c r="H7653" s="1359"/>
      <c r="I7653" s="1299"/>
      <c r="J7653" s="1300"/>
      <c r="K7653" s="1307"/>
      <c r="L7653" s="1335"/>
      <c r="M7653" s="1302"/>
      <c r="N7653" s="1700"/>
      <c r="O7653" s="1290"/>
      <c r="P7653" s="1332"/>
      <c r="Q7653" s="3391"/>
      <c r="R7653" s="2339"/>
    </row>
    <row r="7654" spans="1:18" s="22" customFormat="1">
      <c r="A7654"/>
      <c r="B7654" s="1320"/>
      <c r="C7654" s="16"/>
      <c r="D7654" s="1359"/>
      <c r="E7654" s="1858"/>
      <c r="F7654" s="1474"/>
      <c r="G7654" s="1474"/>
      <c r="H7654" s="1466"/>
      <c r="I7654" s="1289"/>
      <c r="J7654" s="8"/>
      <c r="K7654" s="1307"/>
      <c r="L7654" s="1335"/>
      <c r="M7654" s="1302"/>
      <c r="N7654" s="1700"/>
      <c r="O7654" s="1290"/>
      <c r="P7654" s="1332"/>
      <c r="Q7654" s="3391"/>
      <c r="R7654" s="1296"/>
    </row>
    <row r="7655" spans="1:18" s="22" customFormat="1">
      <c r="A7655" s="1320"/>
      <c r="B7655" s="1599"/>
      <c r="C7655" s="1320"/>
      <c r="D7655" s="1373"/>
      <c r="E7655" s="2123"/>
      <c r="F7655" s="1374" t="s">
        <v>3</v>
      </c>
      <c r="G7655" s="1375"/>
      <c r="H7655" s="1376"/>
      <c r="I7655" s="1382"/>
      <c r="J7655" s="1383"/>
      <c r="K7655" s="1383"/>
      <c r="L7655" s="1413"/>
      <c r="M7655" s="1376"/>
      <c r="N7655" s="1376"/>
      <c r="O7655" s="1376"/>
      <c r="P7655" s="1373"/>
      <c r="Q7655" s="3387"/>
      <c r="R7655" s="2353"/>
    </row>
    <row r="7656" spans="1:18" s="22" customFormat="1">
      <c r="A7656" s="1321"/>
      <c r="B7656" s="2053"/>
      <c r="C7656" s="1321"/>
      <c r="D7656" s="1827"/>
      <c r="E7656" s="2173"/>
      <c r="F7656" s="1827"/>
      <c r="G7656" s="1828"/>
      <c r="H7656" s="1379"/>
      <c r="I7656" s="1299"/>
      <c r="J7656" s="1300"/>
      <c r="K7656" s="1307"/>
      <c r="L7656" s="1335"/>
      <c r="M7656" s="1302"/>
      <c r="N7656" s="1700"/>
      <c r="O7656" s="1290"/>
      <c r="P7656" s="1332"/>
      <c r="Q7656" s="3391"/>
      <c r="R7656" s="2339"/>
    </row>
    <row r="7657" spans="1:18" s="22" customFormat="1">
      <c r="A7657" s="1321"/>
      <c r="B7657" s="2053"/>
      <c r="C7657" s="1321"/>
      <c r="D7657" s="1377"/>
      <c r="E7657" s="2124"/>
      <c r="F7657" s="1378"/>
      <c r="G7657" s="1378"/>
      <c r="H7657" s="1379"/>
      <c r="I7657" s="1299"/>
      <c r="J7657" s="1300"/>
      <c r="K7657" s="1307"/>
      <c r="L7657" s="1335"/>
      <c r="M7657" s="1302"/>
      <c r="N7657" s="1700"/>
      <c r="O7657" s="1290"/>
      <c r="P7657" s="1333"/>
      <c r="Q7657" s="3391"/>
      <c r="R7657" s="2339"/>
    </row>
    <row r="7658" spans="1:18" s="22" customFormat="1">
      <c r="A7658" s="1042"/>
      <c r="B7658" s="1765"/>
      <c r="C7658" s="223"/>
      <c r="D7658" s="1373"/>
      <c r="E7658" s="2161"/>
      <c r="F7658" s="1678"/>
      <c r="G7658" s="1678"/>
      <c r="H7658" s="1376"/>
      <c r="I7658" s="1299"/>
      <c r="J7658" s="1300"/>
      <c r="K7658" s="1307"/>
      <c r="L7658" s="1335"/>
      <c r="M7658" s="1302"/>
      <c r="N7658" s="1700"/>
      <c r="O7658" s="1290"/>
      <c r="P7658" s="1332"/>
      <c r="Q7658" s="3391"/>
      <c r="R7658" s="2339"/>
    </row>
    <row r="7659" spans="1:18" s="22" customFormat="1">
      <c r="A7659" s="18" t="s">
        <v>3764</v>
      </c>
      <c r="B7659" s="4325" t="s">
        <v>2387</v>
      </c>
      <c r="C7659" s="3350"/>
      <c r="D7659" s="4327"/>
      <c r="E7659" s="4329" t="s">
        <v>1504</v>
      </c>
      <c r="F7659" s="4336" t="s">
        <v>2388</v>
      </c>
      <c r="G7659" s="4331" t="s">
        <v>1568</v>
      </c>
      <c r="H7659" s="4331" t="s">
        <v>1574</v>
      </c>
      <c r="I7659" s="1572" t="s">
        <v>1559</v>
      </c>
      <c r="J7659" s="1294" t="s">
        <v>1560</v>
      </c>
      <c r="K7659" s="1294" t="s">
        <v>1569</v>
      </c>
      <c r="L7659" s="4333" t="s">
        <v>3765</v>
      </c>
      <c r="M7659" s="4335" t="s">
        <v>1571</v>
      </c>
      <c r="N7659" s="4323" t="s">
        <v>1776</v>
      </c>
      <c r="O7659" s="3347" t="s">
        <v>1563</v>
      </c>
      <c r="P7659" s="1336" t="s">
        <v>1562</v>
      </c>
      <c r="Q7659" s="3389"/>
      <c r="R7659" s="1699" t="s">
        <v>1327</v>
      </c>
    </row>
    <row r="7660" spans="1:18" s="22" customFormat="1">
      <c r="A7660" s="1599" t="s">
        <v>2349</v>
      </c>
      <c r="B7660" s="4326"/>
      <c r="C7660" s="3351"/>
      <c r="D7660" s="4328"/>
      <c r="E7660" s="4330"/>
      <c r="F7660" s="4336"/>
      <c r="G7660" s="4332"/>
      <c r="H7660" s="4332"/>
      <c r="I7660" s="1345">
        <v>4</v>
      </c>
      <c r="J7660" s="1307">
        <v>0.25</v>
      </c>
      <c r="K7660" s="1666">
        <f>I7660*J7660</f>
        <v>1</v>
      </c>
      <c r="L7660" s="4334"/>
      <c r="M7660" s="4335"/>
      <c r="N7660" s="4324"/>
      <c r="O7660" s="1298">
        <f>SUM(O7662:O7669)</f>
        <v>44.158000000000001</v>
      </c>
      <c r="P7660" s="1337">
        <f>O7660*K7660</f>
        <v>44.158000000000001</v>
      </c>
      <c r="Q7660" s="3390"/>
      <c r="R7660" s="1721">
        <f>SUM(P7662:P7669)</f>
        <v>44.158000000000001</v>
      </c>
    </row>
    <row r="7661" spans="1:18" s="22" customFormat="1">
      <c r="A7661" s="1320"/>
      <c r="B7661" s="1949"/>
      <c r="C7661" s="1327"/>
      <c r="D7661" s="1367"/>
      <c r="E7661" s="2121"/>
      <c r="F7661" s="1389" t="s">
        <v>1</v>
      </c>
      <c r="G7661" s="1389"/>
      <c r="H7661" s="1369"/>
      <c r="I7661" s="2088"/>
      <c r="J7661" s="1369"/>
      <c r="K7661" s="1391"/>
      <c r="L7661" s="1559"/>
      <c r="M7661" s="1369"/>
      <c r="N7661" s="1369"/>
      <c r="O7661" s="1369"/>
      <c r="P7661" s="1392"/>
      <c r="Q7661" s="3395"/>
      <c r="R7661" s="2339"/>
    </row>
    <row r="7662" spans="1:18" s="22" customFormat="1">
      <c r="A7662" s="1320"/>
      <c r="B7662" s="1599"/>
      <c r="C7662" s="1320"/>
      <c r="D7662" s="1668" t="s">
        <v>2389</v>
      </c>
      <c r="E7662" s="2166" t="s">
        <v>1527</v>
      </c>
      <c r="F7662" s="1668" t="s">
        <v>2390</v>
      </c>
      <c r="G7662" s="1958">
        <v>1</v>
      </c>
      <c r="H7662" s="1369"/>
      <c r="I7662" s="1299"/>
      <c r="J7662" s="1300"/>
      <c r="K7662" s="1307">
        <f>G7662*K7660</f>
        <v>1</v>
      </c>
      <c r="L7662" s="1335">
        <f t="shared" ref="L7662:L7664" si="1042">K7662*$K$7441</f>
        <v>0</v>
      </c>
      <c r="M7662" s="1499">
        <v>25</v>
      </c>
      <c r="N7662" s="1700"/>
      <c r="O7662" s="1290">
        <f>G7662*M7662</f>
        <v>25</v>
      </c>
      <c r="P7662" s="1332">
        <f>M7662*K7662</f>
        <v>25</v>
      </c>
      <c r="Q7662" s="3391"/>
      <c r="R7662" s="2339"/>
    </row>
    <row r="7663" spans="1:18" s="22" customFormat="1">
      <c r="A7663" s="1042"/>
      <c r="B7663" s="1599"/>
      <c r="C7663" s="1042"/>
      <c r="D7663" s="1654" t="s">
        <v>1082</v>
      </c>
      <c r="E7663" s="2300" t="s">
        <v>1504</v>
      </c>
      <c r="F7663" s="1654" t="s">
        <v>1541</v>
      </c>
      <c r="G7663" s="2185">
        <v>1</v>
      </c>
      <c r="H7663" s="1369"/>
      <c r="I7663" s="1299"/>
      <c r="J7663" s="1300"/>
      <c r="K7663" s="1307">
        <f>K7660*G7663</f>
        <v>1</v>
      </c>
      <c r="L7663" s="1335">
        <f t="shared" si="1042"/>
        <v>0</v>
      </c>
      <c r="M7663" s="1499">
        <v>0.3</v>
      </c>
      <c r="N7663" s="1700"/>
      <c r="O7663" s="1290">
        <f>G7663*M7663</f>
        <v>0.3</v>
      </c>
      <c r="P7663" s="1332">
        <f>M7663*K7663</f>
        <v>0.3</v>
      </c>
      <c r="Q7663" s="3391"/>
      <c r="R7663" s="2339"/>
    </row>
    <row r="7664" spans="1:18" s="22" customFormat="1">
      <c r="A7664" s="1042"/>
      <c r="B7664" s="1599"/>
      <c r="C7664" s="1042"/>
      <c r="D7664" s="1654" t="s">
        <v>1097</v>
      </c>
      <c r="E7664" s="2300" t="s">
        <v>1504</v>
      </c>
      <c r="F7664" s="1654" t="s">
        <v>1632</v>
      </c>
      <c r="G7664" s="2185">
        <v>5</v>
      </c>
      <c r="H7664" s="1369"/>
      <c r="I7664" s="1299">
        <f t="shared" ref="I7664" ca="1" si="1043">IF(COUNT(H7664:O7664)=0,"",(SUM(H7664:O7664)/COUNT(H7664:O7664)))</f>
        <v>2.0750003541333335</v>
      </c>
      <c r="J7664" s="1300"/>
      <c r="K7664" s="1307">
        <f>G7664*K7660</f>
        <v>5</v>
      </c>
      <c r="L7664" s="1335">
        <f t="shared" si="1042"/>
        <v>0</v>
      </c>
      <c r="M7664" s="1499">
        <v>0.55000000000000004</v>
      </c>
      <c r="N7664" s="1700"/>
      <c r="O7664" s="1290">
        <f>G7664*M7664</f>
        <v>2.75</v>
      </c>
      <c r="P7664" s="1332">
        <f>M7664*K7664</f>
        <v>2.75</v>
      </c>
      <c r="Q7664" s="3391"/>
      <c r="R7664" s="2339"/>
    </row>
    <row r="7665" spans="1:18" s="22" customFormat="1">
      <c r="A7665" s="1042"/>
      <c r="B7665" s="1599"/>
      <c r="C7665" s="1042"/>
      <c r="D7665" s="1654"/>
      <c r="E7665" s="2300"/>
      <c r="F7665" s="1654"/>
      <c r="G7665" s="2185"/>
      <c r="H7665" s="1369"/>
      <c r="I7665" s="1299"/>
      <c r="J7665" s="1300"/>
      <c r="K7665" s="1307"/>
      <c r="L7665" s="1335"/>
      <c r="M7665" s="1499"/>
      <c r="N7665" s="1700"/>
      <c r="O7665" s="1290"/>
      <c r="P7665" s="1332"/>
      <c r="Q7665" s="3391"/>
      <c r="R7665" s="2339"/>
    </row>
    <row r="7666" spans="1:18" s="22" customFormat="1">
      <c r="A7666" s="1042"/>
      <c r="B7666" s="1599"/>
      <c r="C7666" s="1042"/>
      <c r="D7666" s="1587"/>
      <c r="E7666" s="2138"/>
      <c r="F7666" s="1587"/>
      <c r="G7666" s="1588"/>
      <c r="H7666" s="1369"/>
      <c r="I7666" s="1299"/>
      <c r="J7666" s="1300"/>
      <c r="K7666" s="1307"/>
      <c r="L7666" s="1335"/>
      <c r="M7666" s="1499"/>
      <c r="N7666" s="1700"/>
      <c r="O7666" s="1290"/>
      <c r="P7666" s="1332"/>
      <c r="Q7666" s="3391"/>
      <c r="R7666" s="2339"/>
    </row>
    <row r="7667" spans="1:18" s="22" customFormat="1">
      <c r="A7667" s="1042"/>
      <c r="B7667" s="1599"/>
      <c r="C7667" s="1042"/>
      <c r="D7667" s="1359"/>
      <c r="E7667" s="1858"/>
      <c r="F7667" s="1360" t="s">
        <v>2</v>
      </c>
      <c r="G7667" s="1360"/>
      <c r="H7667" s="1362"/>
      <c r="I7667" s="1380"/>
      <c r="J7667" s="1381"/>
      <c r="K7667" s="1381"/>
      <c r="L7667" s="1458"/>
      <c r="M7667" s="1362"/>
      <c r="N7667" s="1362"/>
      <c r="O7667" s="1362"/>
      <c r="P7667" s="1359"/>
      <c r="Q7667" s="3387"/>
      <c r="R7667" s="2339"/>
    </row>
    <row r="7668" spans="1:18" s="22" customFormat="1">
      <c r="A7668" s="1321"/>
      <c r="B7668" s="2053"/>
      <c r="C7668" s="1321"/>
      <c r="D7668" s="1655" t="s">
        <v>1099</v>
      </c>
      <c r="E7668" s="1859" t="s">
        <v>1508</v>
      </c>
      <c r="F7668" s="1655" t="s">
        <v>1633</v>
      </c>
      <c r="G7668" s="1625">
        <v>0.35</v>
      </c>
      <c r="H7668" s="1386"/>
      <c r="I7668" s="1299"/>
      <c r="J7668" s="1300"/>
      <c r="K7668" s="1307">
        <f>G7668*K7660</f>
        <v>0.35</v>
      </c>
      <c r="L7668" s="1335">
        <f t="shared" ref="L7668" si="1044">K7668*$K$7441</f>
        <v>0</v>
      </c>
      <c r="M7668" s="1302">
        <v>19.23</v>
      </c>
      <c r="N7668" s="1700"/>
      <c r="O7668" s="1290">
        <f>G7668*M7668</f>
        <v>6.7305000000000001</v>
      </c>
      <c r="P7668" s="1332">
        <f>M7668*K7668</f>
        <v>6.7305000000000001</v>
      </c>
      <c r="Q7668" s="3391"/>
      <c r="R7668" s="2339"/>
    </row>
    <row r="7669" spans="1:18" s="22" customFormat="1">
      <c r="A7669"/>
      <c r="B7669" s="1042"/>
      <c r="C7669" s="2086" t="s">
        <v>1755</v>
      </c>
      <c r="D7669" s="1311"/>
      <c r="E7669" s="2176" t="s">
        <v>1508</v>
      </c>
      <c r="F7669" s="1648" t="s">
        <v>1524</v>
      </c>
      <c r="G7669" s="1990"/>
      <c r="H7669" s="1457">
        <v>0.25</v>
      </c>
      <c r="I7669" s="1444"/>
      <c r="J7669" s="1366"/>
      <c r="K7669" s="1445"/>
      <c r="L7669" s="1457"/>
      <c r="M7669" s="1447"/>
      <c r="N7669" s="1447">
        <f>SUM(N7670:N7671)</f>
        <v>37.510000000000005</v>
      </c>
      <c r="O7669" s="1447">
        <f>SUM(O7670:O7671)</f>
        <v>9.3775000000000013</v>
      </c>
      <c r="P7669" s="1447">
        <f>SUM(P7670:P7671)</f>
        <v>9.3775000000000013</v>
      </c>
      <c r="Q7669" s="3391"/>
      <c r="R7669" s="2339"/>
    </row>
    <row r="7670" spans="1:18" s="22" customFormat="1">
      <c r="A7670"/>
      <c r="B7670" s="1042"/>
      <c r="C7670" s="19"/>
      <c r="D7670" s="1430" t="s">
        <v>1067</v>
      </c>
      <c r="E7670" s="1857" t="s">
        <v>1508</v>
      </c>
      <c r="F7670" s="1403" t="s">
        <v>5</v>
      </c>
      <c r="G7670" s="1991">
        <v>1</v>
      </c>
      <c r="H7670" s="1937">
        <f>G7670*H7669</f>
        <v>0.25</v>
      </c>
      <c r="I7670" s="1286"/>
      <c r="J7670" s="198"/>
      <c r="K7670" s="1307">
        <f>H7670*K7660</f>
        <v>0.25</v>
      </c>
      <c r="L7670" s="1335">
        <f t="shared" ref="L7670:L7671" si="1045">K7670*$K$7441</f>
        <v>0</v>
      </c>
      <c r="M7670" s="1302">
        <v>18.28</v>
      </c>
      <c r="N7670" s="1718">
        <f>G7670*M7670</f>
        <v>18.28</v>
      </c>
      <c r="O7670" s="1290">
        <f>H7670*M7670</f>
        <v>4.57</v>
      </c>
      <c r="P7670" s="1332">
        <f>M7670*K7670</f>
        <v>4.57</v>
      </c>
      <c r="Q7670" s="3391"/>
      <c r="R7670" s="2339"/>
    </row>
    <row r="7671" spans="1:18" s="22" customFormat="1">
      <c r="A7671"/>
      <c r="B7671" s="1042"/>
      <c r="C7671" s="19"/>
      <c r="D7671" s="1430" t="s">
        <v>1077</v>
      </c>
      <c r="E7671" s="1857" t="s">
        <v>1508</v>
      </c>
      <c r="F7671" s="1403" t="s">
        <v>37</v>
      </c>
      <c r="G7671" s="1991">
        <v>1</v>
      </c>
      <c r="H7671" s="1937">
        <f>G7671*H7669</f>
        <v>0.25</v>
      </c>
      <c r="I7671" s="197"/>
      <c r="J7671" s="198"/>
      <c r="K7671" s="1307">
        <f>H7671*K7660</f>
        <v>0.25</v>
      </c>
      <c r="L7671" s="1335">
        <f t="shared" si="1045"/>
        <v>0</v>
      </c>
      <c r="M7671" s="1302">
        <v>19.23</v>
      </c>
      <c r="N7671" s="1718">
        <f>G7671*M7671</f>
        <v>19.23</v>
      </c>
      <c r="O7671" s="1290">
        <f>H7671*M7671</f>
        <v>4.8075000000000001</v>
      </c>
      <c r="P7671" s="1332">
        <f>M7671*K7671</f>
        <v>4.8075000000000001</v>
      </c>
      <c r="Q7671" s="3391"/>
      <c r="R7671" s="2339"/>
    </row>
    <row r="7672" spans="1:18" s="22" customFormat="1">
      <c r="A7672" s="16"/>
      <c r="B7672" s="1599"/>
      <c r="C7672" s="1320"/>
      <c r="D7672" s="1430"/>
      <c r="E7672" s="1857"/>
      <c r="F7672" s="1430"/>
      <c r="G7672" s="1822"/>
      <c r="H7672" s="1359"/>
      <c r="I7672" s="1299"/>
      <c r="J7672" s="1300"/>
      <c r="K7672" s="1307"/>
      <c r="L7672" s="1335"/>
      <c r="M7672" s="1302"/>
      <c r="N7672" s="1700"/>
      <c r="O7672" s="1290"/>
      <c r="P7672" s="1332"/>
      <c r="Q7672" s="3391"/>
      <c r="R7672" s="2339"/>
    </row>
    <row r="7673" spans="1:18" s="22" customFormat="1">
      <c r="A7673"/>
      <c r="B7673" s="1320"/>
      <c r="C7673" s="16"/>
      <c r="D7673" s="1359"/>
      <c r="E7673" s="1858"/>
      <c r="F7673" s="1474"/>
      <c r="G7673" s="1474"/>
      <c r="H7673" s="1466"/>
      <c r="I7673" s="1289"/>
      <c r="J7673" s="8"/>
      <c r="K7673" s="1307"/>
      <c r="L7673" s="1335"/>
      <c r="M7673" s="1302"/>
      <c r="N7673" s="1700"/>
      <c r="O7673" s="1290"/>
      <c r="P7673" s="1332"/>
      <c r="Q7673" s="3391"/>
      <c r="R7673" s="1296"/>
    </row>
    <row r="7674" spans="1:18" s="22" customFormat="1">
      <c r="A7674" s="1320"/>
      <c r="B7674" s="1599"/>
      <c r="C7674" s="1320"/>
      <c r="D7674" s="1373"/>
      <c r="E7674" s="2123"/>
      <c r="F7674" s="1374" t="s">
        <v>3</v>
      </c>
      <c r="G7674" s="1375"/>
      <c r="H7674" s="1376"/>
      <c r="I7674" s="1382"/>
      <c r="J7674" s="1383"/>
      <c r="K7674" s="1383"/>
      <c r="L7674" s="1413"/>
      <c r="M7674" s="1376"/>
      <c r="N7674" s="1376"/>
      <c r="O7674" s="1376"/>
      <c r="P7674" s="1373"/>
      <c r="Q7674" s="3387"/>
      <c r="R7674" s="2353"/>
    </row>
    <row r="7675" spans="1:18" s="22" customFormat="1">
      <c r="A7675" s="1321"/>
      <c r="B7675" s="2053"/>
      <c r="C7675" s="1321"/>
      <c r="D7675" s="1827"/>
      <c r="E7675" s="2173"/>
      <c r="F7675" s="1827"/>
      <c r="G7675" s="1828"/>
      <c r="H7675" s="1379"/>
      <c r="I7675" s="1299"/>
      <c r="J7675" s="1300"/>
      <c r="K7675" s="1307"/>
      <c r="L7675" s="1335"/>
      <c r="M7675" s="1302"/>
      <c r="N7675" s="1700"/>
      <c r="O7675" s="1290"/>
      <c r="P7675" s="1332"/>
      <c r="Q7675" s="3391"/>
      <c r="R7675" s="2339"/>
    </row>
    <row r="7676" spans="1:18" s="22" customFormat="1">
      <c r="A7676" s="1321"/>
      <c r="B7676" s="2053"/>
      <c r="C7676" s="1321"/>
      <c r="D7676" s="1377"/>
      <c r="E7676" s="2124"/>
      <c r="F7676" s="1378"/>
      <c r="G7676" s="1378"/>
      <c r="H7676" s="1379"/>
      <c r="I7676" s="1299"/>
      <c r="J7676" s="1300"/>
      <c r="K7676" s="1307"/>
      <c r="L7676" s="1335"/>
      <c r="M7676" s="1302"/>
      <c r="N7676" s="1700"/>
      <c r="O7676" s="1290"/>
      <c r="P7676" s="1333"/>
      <c r="Q7676" s="3391"/>
      <c r="R7676" s="2339"/>
    </row>
    <row r="7677" spans="1:18" s="22" customFormat="1">
      <c r="A7677" s="1042"/>
      <c r="B7677" s="1765"/>
      <c r="C7677" s="223"/>
      <c r="D7677" s="1373"/>
      <c r="E7677" s="2161"/>
      <c r="F7677" s="1678"/>
      <c r="G7677" s="1678"/>
      <c r="H7677" s="1376"/>
      <c r="I7677" s="1299"/>
      <c r="J7677" s="1300"/>
      <c r="K7677" s="1307"/>
      <c r="L7677" s="1335"/>
      <c r="M7677" s="1302"/>
      <c r="N7677" s="1700"/>
      <c r="O7677" s="1290"/>
      <c r="P7677" s="1332"/>
      <c r="Q7677" s="3391"/>
      <c r="R7677" s="2339"/>
    </row>
    <row r="7678" spans="1:18" s="22" customFormat="1">
      <c r="A7678" s="18" t="s">
        <v>3764</v>
      </c>
      <c r="B7678" s="4325" t="s">
        <v>2391</v>
      </c>
      <c r="C7678" s="3350"/>
      <c r="D7678" s="4327"/>
      <c r="E7678" s="4329" t="s">
        <v>1504</v>
      </c>
      <c r="F7678" s="4336" t="s">
        <v>2392</v>
      </c>
      <c r="G7678" s="4331" t="s">
        <v>1568</v>
      </c>
      <c r="H7678" s="4331" t="s">
        <v>1574</v>
      </c>
      <c r="I7678" s="1572" t="s">
        <v>1559</v>
      </c>
      <c r="J7678" s="1294" t="s">
        <v>1560</v>
      </c>
      <c r="K7678" s="1294" t="s">
        <v>1569</v>
      </c>
      <c r="L7678" s="4333" t="s">
        <v>3765</v>
      </c>
      <c r="M7678" s="4335" t="s">
        <v>1571</v>
      </c>
      <c r="N7678" s="4323" t="s">
        <v>1776</v>
      </c>
      <c r="O7678" s="3347" t="s">
        <v>1563</v>
      </c>
      <c r="P7678" s="1336" t="s">
        <v>1562</v>
      </c>
      <c r="Q7678" s="3389"/>
      <c r="R7678" s="1699" t="s">
        <v>1327</v>
      </c>
    </row>
    <row r="7679" spans="1:18" s="22" customFormat="1">
      <c r="A7679" s="1599" t="s">
        <v>2349</v>
      </c>
      <c r="B7679" s="4326"/>
      <c r="C7679" s="3351"/>
      <c r="D7679" s="4328"/>
      <c r="E7679" s="4330"/>
      <c r="F7679" s="4336"/>
      <c r="G7679" s="4332"/>
      <c r="H7679" s="4332"/>
      <c r="I7679" s="1345">
        <v>4</v>
      </c>
      <c r="J7679" s="1307">
        <v>0.25</v>
      </c>
      <c r="K7679" s="1666">
        <f>I7679*J7679</f>
        <v>1</v>
      </c>
      <c r="L7679" s="4334"/>
      <c r="M7679" s="4335"/>
      <c r="N7679" s="4324"/>
      <c r="O7679" s="1298">
        <f>SUM(O7681:O7688)</f>
        <v>21.7562</v>
      </c>
      <c r="P7679" s="1337">
        <f>O7679*K7679</f>
        <v>21.7562</v>
      </c>
      <c r="Q7679" s="3390"/>
      <c r="R7679" s="1721">
        <f>SUM(P7681:P7688)</f>
        <v>21.7562</v>
      </c>
    </row>
    <row r="7680" spans="1:18" s="22" customFormat="1">
      <c r="A7680" s="1320"/>
      <c r="B7680" s="1949"/>
      <c r="C7680" s="1327"/>
      <c r="D7680" s="1367"/>
      <c r="E7680" s="2121"/>
      <c r="F7680" s="1389" t="s">
        <v>1</v>
      </c>
      <c r="G7680" s="1389"/>
      <c r="H7680" s="1369"/>
      <c r="I7680" s="2088"/>
      <c r="J7680" s="1369"/>
      <c r="K7680" s="1391"/>
      <c r="L7680" s="1559"/>
      <c r="M7680" s="1369"/>
      <c r="N7680" s="1369"/>
      <c r="O7680" s="1369"/>
      <c r="P7680" s="1392"/>
      <c r="Q7680" s="3395"/>
      <c r="R7680" s="2339"/>
    </row>
    <row r="7681" spans="1:18" s="22" customFormat="1">
      <c r="A7681" s="1320"/>
      <c r="B7681" s="1599"/>
      <c r="C7681" s="1320"/>
      <c r="D7681" s="1668" t="s">
        <v>2379</v>
      </c>
      <c r="E7681" s="2166" t="s">
        <v>1527</v>
      </c>
      <c r="F7681" s="1668" t="s">
        <v>2380</v>
      </c>
      <c r="G7681" s="1958">
        <v>1.8180000000000001</v>
      </c>
      <c r="H7681" s="1369"/>
      <c r="I7681" s="1299"/>
      <c r="J7681" s="1300"/>
      <c r="K7681" s="1307">
        <f>G7681*K7679</f>
        <v>1.8180000000000001</v>
      </c>
      <c r="L7681" s="1335">
        <f t="shared" ref="L7681:L7683" si="1046">K7681*$K$7441</f>
        <v>0</v>
      </c>
      <c r="M7681" s="1499">
        <v>2.9</v>
      </c>
      <c r="N7681" s="1700"/>
      <c r="O7681" s="1290">
        <f>G7681*M7681</f>
        <v>5.2721999999999998</v>
      </c>
      <c r="P7681" s="1332">
        <f>M7681*K7681</f>
        <v>5.2721999999999998</v>
      </c>
      <c r="Q7681" s="3391"/>
      <c r="R7681" s="2339"/>
    </row>
    <row r="7682" spans="1:18" s="22" customFormat="1">
      <c r="A7682" s="1042"/>
      <c r="B7682" s="1599"/>
      <c r="C7682" s="1042"/>
      <c r="D7682" s="1654" t="s">
        <v>1082</v>
      </c>
      <c r="E7682" s="2300" t="s">
        <v>1504</v>
      </c>
      <c r="F7682" s="1654" t="s">
        <v>1541</v>
      </c>
      <c r="G7682" s="2185">
        <v>1</v>
      </c>
      <c r="H7682" s="1369"/>
      <c r="I7682" s="1299"/>
      <c r="J7682" s="1300"/>
      <c r="K7682" s="1307">
        <f>K7679*G7682</f>
        <v>1</v>
      </c>
      <c r="L7682" s="1335">
        <f t="shared" si="1046"/>
        <v>0</v>
      </c>
      <c r="M7682" s="1499">
        <v>0.3</v>
      </c>
      <c r="N7682" s="1700"/>
      <c r="O7682" s="1290">
        <f>G7682*M7682</f>
        <v>0.3</v>
      </c>
      <c r="P7682" s="1332">
        <f>M7682*K7682</f>
        <v>0.3</v>
      </c>
      <c r="Q7682" s="3391"/>
      <c r="R7682" s="2339"/>
    </row>
    <row r="7683" spans="1:18" s="22" customFormat="1">
      <c r="A7683" s="1042"/>
      <c r="B7683" s="1599"/>
      <c r="C7683" s="1042"/>
      <c r="D7683" s="1654" t="s">
        <v>1097</v>
      </c>
      <c r="E7683" s="2300" t="s">
        <v>1504</v>
      </c>
      <c r="F7683" s="1654" t="s">
        <v>1632</v>
      </c>
      <c r="G7683" s="2185">
        <v>1.8</v>
      </c>
      <c r="H7683" s="1369"/>
      <c r="I7683" s="1299">
        <f t="shared" ref="I7683" ca="1" si="1047">IF(COUNT(H7683:O7683)=0,"",(SUM(H7683:O7683)/COUNT(H7683:O7683)))</f>
        <v>0.83500014250666665</v>
      </c>
      <c r="J7683" s="1300"/>
      <c r="K7683" s="1307">
        <f>G7683*K7679</f>
        <v>1.8</v>
      </c>
      <c r="L7683" s="1335">
        <f t="shared" si="1046"/>
        <v>0</v>
      </c>
      <c r="M7683" s="1499">
        <v>0.55000000000000004</v>
      </c>
      <c r="N7683" s="1700"/>
      <c r="O7683" s="1290">
        <f>G7683*M7683</f>
        <v>0.9900000000000001</v>
      </c>
      <c r="P7683" s="1332">
        <f>M7683*K7683</f>
        <v>0.9900000000000001</v>
      </c>
      <c r="Q7683" s="3391"/>
      <c r="R7683" s="2339"/>
    </row>
    <row r="7684" spans="1:18" s="22" customFormat="1">
      <c r="A7684" s="1042"/>
      <c r="B7684" s="1599"/>
      <c r="C7684" s="1042"/>
      <c r="D7684" s="1654"/>
      <c r="E7684" s="2300"/>
      <c r="F7684" s="1654"/>
      <c r="G7684" s="2185"/>
      <c r="H7684" s="1369"/>
      <c r="I7684" s="1299"/>
      <c r="J7684" s="1300"/>
      <c r="K7684" s="1307"/>
      <c r="L7684" s="1335"/>
      <c r="M7684" s="1499"/>
      <c r="N7684" s="1700"/>
      <c r="O7684" s="1290"/>
      <c r="P7684" s="1332"/>
      <c r="Q7684" s="3391"/>
      <c r="R7684" s="2339"/>
    </row>
    <row r="7685" spans="1:18" s="22" customFormat="1">
      <c r="A7685" s="1042"/>
      <c r="B7685" s="1599"/>
      <c r="C7685" s="1042"/>
      <c r="D7685" s="1587"/>
      <c r="E7685" s="2138"/>
      <c r="F7685" s="1587"/>
      <c r="G7685" s="1588"/>
      <c r="H7685" s="1369"/>
      <c r="I7685" s="1299"/>
      <c r="J7685" s="1300"/>
      <c r="K7685" s="1307"/>
      <c r="L7685" s="1335"/>
      <c r="M7685" s="1499"/>
      <c r="N7685" s="1700"/>
      <c r="O7685" s="1290"/>
      <c r="P7685" s="1332"/>
      <c r="Q7685" s="3391"/>
      <c r="R7685" s="2339"/>
    </row>
    <row r="7686" spans="1:18" s="22" customFormat="1">
      <c r="A7686" s="1042"/>
      <c r="B7686" s="1599"/>
      <c r="C7686" s="1042"/>
      <c r="D7686" s="1359"/>
      <c r="E7686" s="1858"/>
      <c r="F7686" s="1360" t="s">
        <v>2</v>
      </c>
      <c r="G7686" s="1360"/>
      <c r="H7686" s="1362"/>
      <c r="I7686" s="1380"/>
      <c r="J7686" s="1381"/>
      <c r="K7686" s="1381"/>
      <c r="L7686" s="1458"/>
      <c r="M7686" s="1362"/>
      <c r="N7686" s="1362"/>
      <c r="O7686" s="1362"/>
      <c r="P7686" s="1359"/>
      <c r="Q7686" s="3387"/>
      <c r="R7686" s="2339"/>
    </row>
    <row r="7687" spans="1:18" s="22" customFormat="1">
      <c r="A7687" s="1321"/>
      <c r="B7687" s="2053"/>
      <c r="C7687" s="1321"/>
      <c r="D7687" s="1655" t="s">
        <v>1099</v>
      </c>
      <c r="E7687" s="1859" t="s">
        <v>1508</v>
      </c>
      <c r="F7687" s="1655" t="s">
        <v>1633</v>
      </c>
      <c r="G7687" s="1625">
        <v>0.4</v>
      </c>
      <c r="H7687" s="1386"/>
      <c r="I7687" s="1299"/>
      <c r="J7687" s="1300"/>
      <c r="K7687" s="1307">
        <f>G7687*K7679</f>
        <v>0.4</v>
      </c>
      <c r="L7687" s="1335">
        <f t="shared" ref="L7687" si="1048">K7687*$K$7441</f>
        <v>0</v>
      </c>
      <c r="M7687" s="1302">
        <v>19.23</v>
      </c>
      <c r="N7687" s="1700"/>
      <c r="O7687" s="1290">
        <f>G7687*M7687</f>
        <v>7.6920000000000002</v>
      </c>
      <c r="P7687" s="1332">
        <f>M7687*K7687</f>
        <v>7.6920000000000002</v>
      </c>
      <c r="Q7687" s="3391"/>
      <c r="R7687" s="2339"/>
    </row>
    <row r="7688" spans="1:18" s="22" customFormat="1">
      <c r="A7688"/>
      <c r="B7688" s="1042"/>
      <c r="C7688" s="2086" t="s">
        <v>1755</v>
      </c>
      <c r="D7688" s="1311"/>
      <c r="E7688" s="2176" t="s">
        <v>1508</v>
      </c>
      <c r="F7688" s="1648" t="s">
        <v>1524</v>
      </c>
      <c r="G7688" s="1990"/>
      <c r="H7688" s="1457">
        <v>0.2</v>
      </c>
      <c r="I7688" s="1444"/>
      <c r="J7688" s="1366"/>
      <c r="K7688" s="1445"/>
      <c r="L7688" s="1457"/>
      <c r="M7688" s="1447"/>
      <c r="N7688" s="1447">
        <f>SUM(N7689:N7690)</f>
        <v>37.510000000000005</v>
      </c>
      <c r="O7688" s="1447">
        <f>SUM(O7689:O7690)</f>
        <v>7.5020000000000007</v>
      </c>
      <c r="P7688" s="1447">
        <f>SUM(P7689:P7690)</f>
        <v>7.5020000000000007</v>
      </c>
      <c r="Q7688" s="3391"/>
      <c r="R7688" s="2339"/>
    </row>
    <row r="7689" spans="1:18" s="22" customFormat="1">
      <c r="A7689"/>
      <c r="B7689" s="1042"/>
      <c r="C7689" s="19"/>
      <c r="D7689" s="1430" t="s">
        <v>1067</v>
      </c>
      <c r="E7689" s="1857" t="s">
        <v>1508</v>
      </c>
      <c r="F7689" s="1403" t="s">
        <v>5</v>
      </c>
      <c r="G7689" s="1991">
        <v>1</v>
      </c>
      <c r="H7689" s="1937">
        <f>G7689*H7688</f>
        <v>0.2</v>
      </c>
      <c r="I7689" s="1286"/>
      <c r="J7689" s="198"/>
      <c r="K7689" s="1307">
        <f>H7689*K7679</f>
        <v>0.2</v>
      </c>
      <c r="L7689" s="1335">
        <f t="shared" ref="L7689:L7690" si="1049">K7689*$K$7441</f>
        <v>0</v>
      </c>
      <c r="M7689" s="1302">
        <v>18.28</v>
      </c>
      <c r="N7689" s="1718">
        <f>G7689*M7689</f>
        <v>18.28</v>
      </c>
      <c r="O7689" s="1290">
        <f>H7689*M7689</f>
        <v>3.6560000000000006</v>
      </c>
      <c r="P7689" s="1332">
        <f>M7689*K7689</f>
        <v>3.6560000000000006</v>
      </c>
      <c r="Q7689" s="3391"/>
      <c r="R7689" s="2339"/>
    </row>
    <row r="7690" spans="1:18" s="22" customFormat="1">
      <c r="A7690"/>
      <c r="B7690" s="1042"/>
      <c r="C7690" s="19"/>
      <c r="D7690" s="1430" t="s">
        <v>1077</v>
      </c>
      <c r="E7690" s="1857" t="s">
        <v>1508</v>
      </c>
      <c r="F7690" s="1403" t="s">
        <v>37</v>
      </c>
      <c r="G7690" s="1991">
        <v>1</v>
      </c>
      <c r="H7690" s="1937">
        <f>G7690*H7688</f>
        <v>0.2</v>
      </c>
      <c r="I7690" s="197"/>
      <c r="J7690" s="198"/>
      <c r="K7690" s="1307">
        <f>H7690*K7679</f>
        <v>0.2</v>
      </c>
      <c r="L7690" s="1335">
        <f t="shared" si="1049"/>
        <v>0</v>
      </c>
      <c r="M7690" s="1302">
        <v>19.23</v>
      </c>
      <c r="N7690" s="1718">
        <f>G7690*M7690</f>
        <v>19.23</v>
      </c>
      <c r="O7690" s="1290">
        <f>H7690*M7690</f>
        <v>3.8460000000000001</v>
      </c>
      <c r="P7690" s="1332">
        <f>M7690*K7690</f>
        <v>3.8460000000000001</v>
      </c>
      <c r="Q7690" s="3391"/>
      <c r="R7690" s="2339"/>
    </row>
    <row r="7691" spans="1:18" s="22" customFormat="1">
      <c r="A7691" s="16"/>
      <c r="B7691" s="1599"/>
      <c r="C7691" s="1320"/>
      <c r="D7691" s="1430"/>
      <c r="E7691" s="1857"/>
      <c r="F7691" s="1430"/>
      <c r="G7691" s="1822"/>
      <c r="H7691" s="1359"/>
      <c r="I7691" s="1299"/>
      <c r="J7691" s="1300"/>
      <c r="K7691" s="1307"/>
      <c r="L7691" s="1335"/>
      <c r="M7691" s="1302"/>
      <c r="N7691" s="1700"/>
      <c r="O7691" s="1290"/>
      <c r="P7691" s="1332"/>
      <c r="Q7691" s="3391"/>
      <c r="R7691" s="2339"/>
    </row>
    <row r="7692" spans="1:18" s="22" customFormat="1">
      <c r="A7692"/>
      <c r="B7692" s="1320"/>
      <c r="C7692" s="16"/>
      <c r="D7692" s="1359"/>
      <c r="E7692" s="1858"/>
      <c r="F7692" s="1474"/>
      <c r="G7692" s="1474"/>
      <c r="H7692" s="1466"/>
      <c r="I7692" s="1289"/>
      <c r="J7692" s="8"/>
      <c r="K7692" s="1307"/>
      <c r="L7692" s="1335"/>
      <c r="M7692" s="1302"/>
      <c r="N7692" s="1700"/>
      <c r="O7692" s="1290"/>
      <c r="P7692" s="1332"/>
      <c r="Q7692" s="3391"/>
      <c r="R7692" s="1296"/>
    </row>
    <row r="7693" spans="1:18" s="22" customFormat="1">
      <c r="A7693" s="1320"/>
      <c r="B7693" s="1599"/>
      <c r="C7693" s="1320"/>
      <c r="D7693" s="1373"/>
      <c r="E7693" s="2123"/>
      <c r="F7693" s="1374" t="s">
        <v>3</v>
      </c>
      <c r="G7693" s="1375"/>
      <c r="H7693" s="1376"/>
      <c r="I7693" s="1382"/>
      <c r="J7693" s="1383"/>
      <c r="K7693" s="1383"/>
      <c r="L7693" s="1413"/>
      <c r="M7693" s="1376"/>
      <c r="N7693" s="1376"/>
      <c r="O7693" s="1376"/>
      <c r="P7693" s="1373"/>
      <c r="Q7693" s="3387"/>
      <c r="R7693" s="2353"/>
    </row>
    <row r="7694" spans="1:18" s="22" customFormat="1">
      <c r="A7694" s="1321"/>
      <c r="B7694" s="2053"/>
      <c r="C7694" s="1321"/>
      <c r="D7694" s="1827"/>
      <c r="E7694" s="2173"/>
      <c r="F7694" s="1827"/>
      <c r="G7694" s="1828"/>
      <c r="H7694" s="1379"/>
      <c r="I7694" s="1299"/>
      <c r="J7694" s="1300"/>
      <c r="K7694" s="1307"/>
      <c r="L7694" s="1335"/>
      <c r="M7694" s="1302"/>
      <c r="N7694" s="1700"/>
      <c r="O7694" s="1290"/>
      <c r="P7694" s="1332"/>
      <c r="Q7694" s="3391"/>
      <c r="R7694" s="2339"/>
    </row>
    <row r="7695" spans="1:18" s="22" customFormat="1">
      <c r="A7695" s="1321"/>
      <c r="B7695" s="2053"/>
      <c r="C7695" s="1321"/>
      <c r="D7695" s="1377"/>
      <c r="E7695" s="2124"/>
      <c r="F7695" s="1378"/>
      <c r="G7695" s="1378"/>
      <c r="H7695" s="1379"/>
      <c r="I7695" s="1299"/>
      <c r="J7695" s="1300"/>
      <c r="K7695" s="1307"/>
      <c r="L7695" s="1335"/>
      <c r="M7695" s="1302"/>
      <c r="N7695" s="1700"/>
      <c r="O7695" s="1290"/>
      <c r="P7695" s="1333"/>
      <c r="Q7695" s="3391"/>
      <c r="R7695" s="2339"/>
    </row>
    <row r="7696" spans="1:18" s="22" customFormat="1">
      <c r="A7696" s="1042"/>
      <c r="B7696" s="1765"/>
      <c r="C7696" s="223"/>
      <c r="D7696" s="1373"/>
      <c r="E7696" s="2161"/>
      <c r="F7696" s="1678"/>
      <c r="G7696" s="1678"/>
      <c r="H7696" s="1376"/>
      <c r="I7696" s="1299"/>
      <c r="J7696" s="1300"/>
      <c r="K7696" s="1307"/>
      <c r="L7696" s="1335"/>
      <c r="M7696" s="1302"/>
      <c r="N7696" s="1700"/>
      <c r="O7696" s="1290"/>
      <c r="P7696" s="1332"/>
      <c r="Q7696" s="3391"/>
      <c r="R7696" s="2339"/>
    </row>
    <row r="7697" spans="1:18" s="22" customFormat="1" ht="15" customHeight="1">
      <c r="A7697" s="18" t="s">
        <v>3764</v>
      </c>
      <c r="B7697" s="4325" t="s">
        <v>2393</v>
      </c>
      <c r="C7697" s="3350"/>
      <c r="D7697" s="4327"/>
      <c r="E7697" s="4329" t="s">
        <v>1504</v>
      </c>
      <c r="F7697" s="4336" t="s">
        <v>2394</v>
      </c>
      <c r="G7697" s="4331" t="s">
        <v>1568</v>
      </c>
      <c r="H7697" s="4331" t="s">
        <v>1574</v>
      </c>
      <c r="I7697" s="1572" t="s">
        <v>1559</v>
      </c>
      <c r="J7697" s="1294" t="s">
        <v>1560</v>
      </c>
      <c r="K7697" s="1294" t="s">
        <v>1569</v>
      </c>
      <c r="L7697" s="4333" t="s">
        <v>3765</v>
      </c>
      <c r="M7697" s="4335" t="s">
        <v>1571</v>
      </c>
      <c r="N7697" s="4323" t="s">
        <v>1776</v>
      </c>
      <c r="O7697" s="3347" t="s">
        <v>1563</v>
      </c>
      <c r="P7697" s="1336" t="s">
        <v>1562</v>
      </c>
      <c r="Q7697" s="3389"/>
      <c r="R7697" s="1699" t="s">
        <v>1327</v>
      </c>
    </row>
    <row r="7698" spans="1:18" s="22" customFormat="1">
      <c r="A7698" s="1599" t="s">
        <v>2349</v>
      </c>
      <c r="B7698" s="4326"/>
      <c r="C7698" s="3351"/>
      <c r="D7698" s="4328"/>
      <c r="E7698" s="4330"/>
      <c r="F7698" s="4336"/>
      <c r="G7698" s="4332"/>
      <c r="H7698" s="4332"/>
      <c r="I7698" s="1345">
        <v>4</v>
      </c>
      <c r="J7698" s="1307">
        <v>0.25</v>
      </c>
      <c r="K7698" s="1666">
        <f>I7698*J7698</f>
        <v>1</v>
      </c>
      <c r="L7698" s="4334"/>
      <c r="M7698" s="4335"/>
      <c r="N7698" s="4324"/>
      <c r="O7698" s="1298">
        <f>SUM(O7700:O7708)</f>
        <v>25.827249999999999</v>
      </c>
      <c r="P7698" s="1337">
        <f>O7698*K7698</f>
        <v>25.827249999999999</v>
      </c>
      <c r="Q7698" s="3390"/>
      <c r="R7698" s="1721">
        <f>SUM(P7700:P7708)</f>
        <v>25.827249999999999</v>
      </c>
    </row>
    <row r="7699" spans="1:18" s="22" customFormat="1">
      <c r="A7699" s="1320"/>
      <c r="B7699" s="1949"/>
      <c r="C7699" s="1327"/>
      <c r="D7699" s="1367"/>
      <c r="E7699" s="2121"/>
      <c r="F7699" s="1389" t="s">
        <v>1</v>
      </c>
      <c r="G7699" s="1389"/>
      <c r="H7699" s="1369"/>
      <c r="I7699" s="2088"/>
      <c r="J7699" s="1369"/>
      <c r="K7699" s="1391"/>
      <c r="L7699" s="1559"/>
      <c r="M7699" s="1369"/>
      <c r="N7699" s="1369"/>
      <c r="O7699" s="1369"/>
      <c r="P7699" s="1392"/>
      <c r="Q7699" s="3395"/>
      <c r="R7699" s="2339"/>
    </row>
    <row r="7700" spans="1:18" s="22" customFormat="1">
      <c r="A7700" s="1320"/>
      <c r="B7700" s="1599"/>
      <c r="C7700" s="1320"/>
      <c r="D7700" s="1668" t="s">
        <v>2379</v>
      </c>
      <c r="E7700" s="2166" t="s">
        <v>1527</v>
      </c>
      <c r="F7700" s="1668" t="s">
        <v>2380</v>
      </c>
      <c r="G7700" s="1958">
        <v>1.5149999999999999</v>
      </c>
      <c r="H7700" s="1369"/>
      <c r="I7700" s="1299"/>
      <c r="J7700" s="1300"/>
      <c r="K7700" s="1307">
        <f>G7700*K7698</f>
        <v>1.5149999999999999</v>
      </c>
      <c r="L7700" s="1335">
        <f t="shared" ref="L7700:L7703" si="1050">K7700*$K$7441</f>
        <v>0</v>
      </c>
      <c r="M7700" s="1499">
        <v>4.6500000000000004</v>
      </c>
      <c r="N7700" s="1700"/>
      <c r="O7700" s="1290">
        <f>G7700*M7700</f>
        <v>7.0447500000000005</v>
      </c>
      <c r="P7700" s="1332">
        <f>M7700*K7700</f>
        <v>7.0447500000000005</v>
      </c>
      <c r="Q7700" s="3391"/>
      <c r="R7700" s="2339"/>
    </row>
    <row r="7701" spans="1:18" s="22" customFormat="1">
      <c r="A7701" s="1320"/>
      <c r="B7701" s="1599"/>
      <c r="C7701" s="1320"/>
      <c r="D7701" s="1668" t="s">
        <v>2385</v>
      </c>
      <c r="E7701" s="2166" t="s">
        <v>1504</v>
      </c>
      <c r="F7701" s="1668" t="s">
        <v>2386</v>
      </c>
      <c r="G7701" s="1958">
        <v>1</v>
      </c>
      <c r="H7701" s="1369"/>
      <c r="I7701" s="1299"/>
      <c r="J7701" s="1300"/>
      <c r="K7701" s="1307">
        <f>G7701*K7698</f>
        <v>1</v>
      </c>
      <c r="L7701" s="1335">
        <f t="shared" si="1050"/>
        <v>0</v>
      </c>
      <c r="M7701" s="1499">
        <v>3.15</v>
      </c>
      <c r="N7701" s="1700"/>
      <c r="O7701" s="1290">
        <f>G7701*M7701</f>
        <v>3.15</v>
      </c>
      <c r="P7701" s="1332">
        <f>M7701*K7701</f>
        <v>3.15</v>
      </c>
      <c r="Q7701" s="3391"/>
      <c r="R7701" s="2339"/>
    </row>
    <row r="7702" spans="1:18" s="22" customFormat="1">
      <c r="A7702" s="1042"/>
      <c r="B7702" s="1599"/>
      <c r="C7702" s="1042"/>
      <c r="D7702" s="1654" t="s">
        <v>1082</v>
      </c>
      <c r="E7702" s="2300" t="s">
        <v>1504</v>
      </c>
      <c r="F7702" s="1654" t="s">
        <v>1541</v>
      </c>
      <c r="G7702" s="2185">
        <v>1</v>
      </c>
      <c r="H7702" s="1369"/>
      <c r="I7702" s="1299"/>
      <c r="J7702" s="1300"/>
      <c r="K7702" s="1307">
        <f>K7698*G7702</f>
        <v>1</v>
      </c>
      <c r="L7702" s="1335">
        <f t="shared" si="1050"/>
        <v>0</v>
      </c>
      <c r="M7702" s="1499">
        <v>0.3</v>
      </c>
      <c r="N7702" s="1700"/>
      <c r="O7702" s="1290">
        <f>G7702*M7702</f>
        <v>0.3</v>
      </c>
      <c r="P7702" s="1332">
        <f>M7702*K7702</f>
        <v>0.3</v>
      </c>
      <c r="Q7702" s="3391"/>
      <c r="R7702" s="2339"/>
    </row>
    <row r="7703" spans="1:18" s="22" customFormat="1">
      <c r="A7703" s="1042"/>
      <c r="B7703" s="1599"/>
      <c r="C7703" s="1042"/>
      <c r="D7703" s="1654" t="s">
        <v>1097</v>
      </c>
      <c r="E7703" s="2300" t="s">
        <v>1504</v>
      </c>
      <c r="F7703" s="1654" t="s">
        <v>1632</v>
      </c>
      <c r="G7703" s="2185">
        <v>2</v>
      </c>
      <c r="H7703" s="1369"/>
      <c r="I7703" s="1299">
        <f t="shared" ref="I7703" ca="1" si="1051">IF(COUNT(H7703:O7703)=0,"",(SUM(H7703:O7703)/COUNT(H7703:O7703)))</f>
        <v>0.91250015573333343</v>
      </c>
      <c r="J7703" s="1300"/>
      <c r="K7703" s="1307">
        <f>G7703*K7698</f>
        <v>2</v>
      </c>
      <c r="L7703" s="1335">
        <f t="shared" si="1050"/>
        <v>0</v>
      </c>
      <c r="M7703" s="1499">
        <v>0.55000000000000004</v>
      </c>
      <c r="N7703" s="1700"/>
      <c r="O7703" s="1290">
        <f>G7703*M7703</f>
        <v>1.1000000000000001</v>
      </c>
      <c r="P7703" s="1332">
        <f>M7703*K7703</f>
        <v>1.1000000000000001</v>
      </c>
      <c r="Q7703" s="3391"/>
      <c r="R7703" s="2339"/>
    </row>
    <row r="7704" spans="1:18" s="22" customFormat="1">
      <c r="A7704" s="1042"/>
      <c r="B7704" s="1599"/>
      <c r="C7704" s="1042"/>
      <c r="D7704" s="1654"/>
      <c r="E7704" s="2300"/>
      <c r="F7704" s="1654"/>
      <c r="G7704" s="2185"/>
      <c r="H7704" s="1369"/>
      <c r="I7704" s="1299"/>
      <c r="J7704" s="1300"/>
      <c r="K7704" s="1307"/>
      <c r="L7704" s="1335"/>
      <c r="M7704" s="1499"/>
      <c r="N7704" s="1700"/>
      <c r="O7704" s="1290"/>
      <c r="P7704" s="1332"/>
      <c r="Q7704" s="3391"/>
      <c r="R7704" s="2339"/>
    </row>
    <row r="7705" spans="1:18" s="22" customFormat="1">
      <c r="A7705" s="1042"/>
      <c r="B7705" s="1599"/>
      <c r="C7705" s="1042"/>
      <c r="D7705" s="1587"/>
      <c r="E7705" s="2138"/>
      <c r="F7705" s="1587"/>
      <c r="G7705" s="1588"/>
      <c r="H7705" s="1369"/>
      <c r="I7705" s="1299"/>
      <c r="J7705" s="1300"/>
      <c r="K7705" s="1307"/>
      <c r="L7705" s="1335"/>
      <c r="M7705" s="1499"/>
      <c r="N7705" s="1700"/>
      <c r="O7705" s="1290"/>
      <c r="P7705" s="1332"/>
      <c r="Q7705" s="3391"/>
      <c r="R7705" s="2339"/>
    </row>
    <row r="7706" spans="1:18" s="22" customFormat="1">
      <c r="A7706" s="1042"/>
      <c r="B7706" s="1599"/>
      <c r="C7706" s="1042"/>
      <c r="D7706" s="1359"/>
      <c r="E7706" s="1858"/>
      <c r="F7706" s="1360" t="s">
        <v>2</v>
      </c>
      <c r="G7706" s="1360"/>
      <c r="H7706" s="1362"/>
      <c r="I7706" s="1380"/>
      <c r="J7706" s="1381"/>
      <c r="K7706" s="1381"/>
      <c r="L7706" s="1458"/>
      <c r="M7706" s="1362"/>
      <c r="N7706" s="1362"/>
      <c r="O7706" s="1362"/>
      <c r="P7706" s="1359"/>
      <c r="Q7706" s="3387"/>
      <c r="R7706" s="2339"/>
    </row>
    <row r="7707" spans="1:18" s="22" customFormat="1">
      <c r="A7707" s="1321"/>
      <c r="B7707" s="2053"/>
      <c r="C7707" s="1321"/>
      <c r="D7707" s="1655" t="s">
        <v>1099</v>
      </c>
      <c r="E7707" s="1859" t="s">
        <v>1508</v>
      </c>
      <c r="F7707" s="1655" t="s">
        <v>1633</v>
      </c>
      <c r="G7707" s="1625">
        <v>0.35</v>
      </c>
      <c r="H7707" s="1386"/>
      <c r="I7707" s="1299"/>
      <c r="J7707" s="1300"/>
      <c r="K7707" s="1307">
        <f>G7707*K7698</f>
        <v>0.35</v>
      </c>
      <c r="L7707" s="1335">
        <f t="shared" ref="L7707" si="1052">K7707*$K$7441</f>
        <v>0</v>
      </c>
      <c r="M7707" s="1302">
        <v>19.23</v>
      </c>
      <c r="N7707" s="1700"/>
      <c r="O7707" s="1290">
        <f>G7707*M7707</f>
        <v>6.7305000000000001</v>
      </c>
      <c r="P7707" s="1332">
        <f>M7707*K7707</f>
        <v>6.7305000000000001</v>
      </c>
      <c r="Q7707" s="3391"/>
      <c r="R7707" s="2339"/>
    </row>
    <row r="7708" spans="1:18" s="22" customFormat="1">
      <c r="A7708"/>
      <c r="B7708" s="1042"/>
      <c r="C7708" s="2086" t="s">
        <v>1755</v>
      </c>
      <c r="D7708" s="1311"/>
      <c r="E7708" s="2176" t="s">
        <v>1508</v>
      </c>
      <c r="F7708" s="1648" t="s">
        <v>1524</v>
      </c>
      <c r="G7708" s="1990"/>
      <c r="H7708" s="1457">
        <v>0.2</v>
      </c>
      <c r="I7708" s="1444"/>
      <c r="J7708" s="1366"/>
      <c r="K7708" s="1445"/>
      <c r="L7708" s="1457"/>
      <c r="M7708" s="1447"/>
      <c r="N7708" s="1447">
        <f>SUM(N7709:N7710)</f>
        <v>37.510000000000005</v>
      </c>
      <c r="O7708" s="1447">
        <f>SUM(O7709:O7710)</f>
        <v>7.5020000000000007</v>
      </c>
      <c r="P7708" s="1447">
        <f>SUM(P7709:P7710)</f>
        <v>7.5020000000000007</v>
      </c>
      <c r="Q7708" s="3391"/>
      <c r="R7708" s="2339"/>
    </row>
    <row r="7709" spans="1:18" s="22" customFormat="1">
      <c r="A7709"/>
      <c r="B7709" s="1042"/>
      <c r="C7709" s="19"/>
      <c r="D7709" s="1430" t="s">
        <v>1067</v>
      </c>
      <c r="E7709" s="1857" t="s">
        <v>1508</v>
      </c>
      <c r="F7709" s="1403" t="s">
        <v>5</v>
      </c>
      <c r="G7709" s="1991">
        <v>1</v>
      </c>
      <c r="H7709" s="1937">
        <f>G7709*H7708</f>
        <v>0.2</v>
      </c>
      <c r="I7709" s="1286"/>
      <c r="J7709" s="198"/>
      <c r="K7709" s="1307">
        <f>H7709*K7698</f>
        <v>0.2</v>
      </c>
      <c r="L7709" s="1335">
        <f t="shared" ref="L7709:L7710" si="1053">K7709*$K$7441</f>
        <v>0</v>
      </c>
      <c r="M7709" s="1302">
        <v>18.28</v>
      </c>
      <c r="N7709" s="1718">
        <f>G7709*M7709</f>
        <v>18.28</v>
      </c>
      <c r="O7709" s="1290">
        <f>H7709*M7709</f>
        <v>3.6560000000000006</v>
      </c>
      <c r="P7709" s="1332">
        <f>M7709*K7709</f>
        <v>3.6560000000000006</v>
      </c>
      <c r="Q7709" s="3391"/>
      <c r="R7709" s="2339"/>
    </row>
    <row r="7710" spans="1:18" s="22" customFormat="1">
      <c r="A7710"/>
      <c r="B7710" s="1042"/>
      <c r="C7710" s="19"/>
      <c r="D7710" s="1430" t="s">
        <v>1077</v>
      </c>
      <c r="E7710" s="1857" t="s">
        <v>1508</v>
      </c>
      <c r="F7710" s="1403" t="s">
        <v>37</v>
      </c>
      <c r="G7710" s="1991">
        <v>1</v>
      </c>
      <c r="H7710" s="1937">
        <f>G7710*H7708</f>
        <v>0.2</v>
      </c>
      <c r="I7710" s="197"/>
      <c r="J7710" s="198"/>
      <c r="K7710" s="1307">
        <f>H7710*K7698</f>
        <v>0.2</v>
      </c>
      <c r="L7710" s="1335">
        <f t="shared" si="1053"/>
        <v>0</v>
      </c>
      <c r="M7710" s="1302">
        <v>19.23</v>
      </c>
      <c r="N7710" s="1718">
        <f>G7710*M7710</f>
        <v>19.23</v>
      </c>
      <c r="O7710" s="1290">
        <f>H7710*M7710</f>
        <v>3.8460000000000001</v>
      </c>
      <c r="P7710" s="1332">
        <f>M7710*K7710</f>
        <v>3.8460000000000001</v>
      </c>
      <c r="Q7710" s="3391"/>
      <c r="R7710" s="2339"/>
    </row>
    <row r="7711" spans="1:18" s="22" customFormat="1">
      <c r="A7711" s="16"/>
      <c r="B7711" s="1599"/>
      <c r="C7711" s="1320"/>
      <c r="D7711" s="1430"/>
      <c r="E7711" s="1857"/>
      <c r="F7711" s="1430"/>
      <c r="G7711" s="1822"/>
      <c r="H7711" s="1359"/>
      <c r="I7711" s="1299"/>
      <c r="J7711" s="1300"/>
      <c r="K7711" s="1307"/>
      <c r="L7711" s="1335"/>
      <c r="M7711" s="1302"/>
      <c r="N7711" s="1700"/>
      <c r="O7711" s="1290"/>
      <c r="P7711" s="1332"/>
      <c r="Q7711" s="3391"/>
      <c r="R7711" s="2339"/>
    </row>
    <row r="7712" spans="1:18" s="22" customFormat="1">
      <c r="A7712"/>
      <c r="B7712" s="1320"/>
      <c r="C7712" s="16"/>
      <c r="D7712" s="1359"/>
      <c r="E7712" s="1858"/>
      <c r="F7712" s="1474"/>
      <c r="G7712" s="1474"/>
      <c r="H7712" s="1466"/>
      <c r="I7712" s="1289"/>
      <c r="J7712" s="8"/>
      <c r="K7712" s="1307"/>
      <c r="L7712" s="1335"/>
      <c r="M7712" s="1302"/>
      <c r="N7712" s="1700"/>
      <c r="O7712" s="1290"/>
      <c r="P7712" s="1332"/>
      <c r="Q7712" s="3391"/>
      <c r="R7712" s="1296"/>
    </row>
    <row r="7713" spans="1:18" s="22" customFormat="1">
      <c r="A7713" s="1320"/>
      <c r="B7713" s="1599"/>
      <c r="C7713" s="1320"/>
      <c r="D7713" s="1373"/>
      <c r="E7713" s="2123"/>
      <c r="F7713" s="1374" t="s">
        <v>3</v>
      </c>
      <c r="G7713" s="1375"/>
      <c r="H7713" s="1376"/>
      <c r="I7713" s="1382"/>
      <c r="J7713" s="1383"/>
      <c r="K7713" s="1383"/>
      <c r="L7713" s="1413"/>
      <c r="M7713" s="1376"/>
      <c r="N7713" s="1376"/>
      <c r="O7713" s="1376"/>
      <c r="P7713" s="1373"/>
      <c r="Q7713" s="3387"/>
      <c r="R7713" s="2353"/>
    </row>
    <row r="7714" spans="1:18" s="22" customFormat="1">
      <c r="A7714" s="1321"/>
      <c r="B7714" s="2053"/>
      <c r="C7714" s="1321"/>
      <c r="D7714" s="1827"/>
      <c r="E7714" s="2173"/>
      <c r="F7714" s="1827"/>
      <c r="G7714" s="1828"/>
      <c r="H7714" s="1379"/>
      <c r="I7714" s="1299"/>
      <c r="J7714" s="1300"/>
      <c r="K7714" s="1307"/>
      <c r="L7714" s="1335"/>
      <c r="M7714" s="1302"/>
      <c r="N7714" s="1700"/>
      <c r="O7714" s="1290"/>
      <c r="P7714" s="1332"/>
      <c r="Q7714" s="3391"/>
      <c r="R7714" s="2339"/>
    </row>
    <row r="7715" spans="1:18" s="22" customFormat="1">
      <c r="A7715" s="1321"/>
      <c r="B7715" s="2053"/>
      <c r="C7715" s="1321"/>
      <c r="D7715" s="1377"/>
      <c r="E7715" s="2124"/>
      <c r="F7715" s="1378"/>
      <c r="G7715" s="1378"/>
      <c r="H7715" s="1379"/>
      <c r="I7715" s="1299"/>
      <c r="J7715" s="1300"/>
      <c r="K7715" s="1307"/>
      <c r="L7715" s="1335"/>
      <c r="M7715" s="1302"/>
      <c r="N7715" s="1700"/>
      <c r="O7715" s="1290"/>
      <c r="P7715" s="1333"/>
      <c r="Q7715" s="3391"/>
      <c r="R7715" s="2339"/>
    </row>
    <row r="7716" spans="1:18" s="22" customFormat="1">
      <c r="A7716" s="1042"/>
      <c r="B7716" s="1765"/>
      <c r="C7716" s="223"/>
      <c r="D7716" s="1373"/>
      <c r="E7716" s="2161"/>
      <c r="F7716" s="1678"/>
      <c r="G7716" s="1678"/>
      <c r="H7716" s="1376"/>
      <c r="I7716" s="1299"/>
      <c r="J7716" s="1300"/>
      <c r="K7716" s="1307"/>
      <c r="L7716" s="1335"/>
      <c r="M7716" s="1302"/>
      <c r="N7716" s="1700"/>
      <c r="O7716" s="1290"/>
      <c r="P7716" s="1332"/>
      <c r="Q7716" s="3391"/>
      <c r="R7716" s="2339"/>
    </row>
    <row r="7717" spans="1:18" s="22" customFormat="1" ht="15" customHeight="1">
      <c r="A7717" s="88" t="s">
        <v>3764</v>
      </c>
      <c r="B7717" s="4367" t="s">
        <v>1502</v>
      </c>
      <c r="C7717" s="3350"/>
      <c r="D7717" s="4327"/>
      <c r="E7717" s="4337" t="s">
        <v>1507</v>
      </c>
      <c r="F7717" s="4338" t="s">
        <v>2782</v>
      </c>
      <c r="G7717" s="4331" t="s">
        <v>1568</v>
      </c>
      <c r="H7717" s="4331" t="s">
        <v>1574</v>
      </c>
      <c r="I7717" s="1572" t="s">
        <v>1559</v>
      </c>
      <c r="J7717" s="1294" t="s">
        <v>1560</v>
      </c>
      <c r="K7717" s="1294" t="s">
        <v>1561</v>
      </c>
      <c r="L7717" s="4333" t="s">
        <v>3765</v>
      </c>
      <c r="M7717" s="4335" t="s">
        <v>1571</v>
      </c>
      <c r="N7717" s="4323" t="s">
        <v>1776</v>
      </c>
      <c r="O7717" s="3347" t="s">
        <v>1563</v>
      </c>
      <c r="P7717" s="1336" t="s">
        <v>1562</v>
      </c>
      <c r="Q7717" s="3389"/>
      <c r="R7717" s="1699" t="s">
        <v>1327</v>
      </c>
    </row>
    <row r="7718" spans="1:18" s="22" customFormat="1">
      <c r="A7718" s="1599" t="s">
        <v>2349</v>
      </c>
      <c r="B7718" s="4369"/>
      <c r="C7718" s="3351"/>
      <c r="D7718" s="4328"/>
      <c r="E7718" s="4337"/>
      <c r="F7718" s="4338"/>
      <c r="G7718" s="4332"/>
      <c r="H7718" s="4332"/>
      <c r="I7718" s="1345">
        <v>110.25</v>
      </c>
      <c r="J7718" s="1307">
        <v>0.25</v>
      </c>
      <c r="K7718" s="1297">
        <f>I7718*J7718</f>
        <v>27.5625</v>
      </c>
      <c r="L7718" s="4334"/>
      <c r="M7718" s="4335"/>
      <c r="N7718" s="4324"/>
      <c r="O7718" s="1298">
        <f>O7720+O7721+O7722+O7726+O7734+O7735</f>
        <v>62.83</v>
      </c>
      <c r="P7718" s="1337">
        <f>O7718*K7718</f>
        <v>1731.7518749999999</v>
      </c>
      <c r="Q7718" s="3390"/>
      <c r="R7718" s="1721">
        <f>P7720+P7721+P7722+P7726+P7734+P7735</f>
        <v>5.9410338724800003</v>
      </c>
    </row>
    <row r="7719" spans="1:18" s="22" customFormat="1">
      <c r="A7719" s="553"/>
      <c r="B7719" s="18"/>
      <c r="C7719" s="552"/>
      <c r="D7719" s="1367"/>
      <c r="E7719" s="2121"/>
      <c r="F7719" s="1389" t="s">
        <v>1</v>
      </c>
      <c r="G7719" s="1472"/>
      <c r="H7719" s="1369"/>
      <c r="I7719" s="1391"/>
      <c r="J7719" s="1369"/>
      <c r="K7719" s="1369"/>
      <c r="L7719" s="1554"/>
      <c r="M7719" s="1487"/>
      <c r="N7719" s="1487"/>
      <c r="O7719" s="1487"/>
      <c r="P7719" s="1367"/>
      <c r="Q7719" s="3387"/>
      <c r="R7719" s="2338"/>
    </row>
    <row r="7720" spans="1:18" s="22" customFormat="1">
      <c r="A7720" s="553"/>
      <c r="B7720" s="1042"/>
      <c r="C7720" s="88"/>
      <c r="D7720" s="1421" t="s">
        <v>1094</v>
      </c>
      <c r="E7720" s="1856" t="s">
        <v>1517</v>
      </c>
      <c r="F7720" s="1421" t="s">
        <v>1543</v>
      </c>
      <c r="G7720" s="2102">
        <v>0.02</v>
      </c>
      <c r="H7720" s="1367"/>
      <c r="I7720" s="1617"/>
      <c r="J7720" s="198"/>
      <c r="K7720" s="1732">
        <f>G7720*K7718</f>
        <v>0.55125000000000002</v>
      </c>
      <c r="L7720" s="1335">
        <f t="shared" ref="L7720:L7721" si="1054">K7720*$K$7441</f>
        <v>0</v>
      </c>
      <c r="M7720" s="1302">
        <v>8.39</v>
      </c>
      <c r="N7720" s="1700"/>
      <c r="O7720" s="1290">
        <f>ROUND(G7720*M7720,2)</f>
        <v>0.17</v>
      </c>
      <c r="P7720" s="1332">
        <f>M7720*K7720</f>
        <v>4.6249875000000005</v>
      </c>
      <c r="Q7720" s="3391"/>
      <c r="R7720" s="2338"/>
    </row>
    <row r="7721" spans="1:18" s="22" customFormat="1">
      <c r="A7721" s="553"/>
      <c r="B7721" s="1042"/>
      <c r="C7721" s="88"/>
      <c r="D7721" s="1370" t="s">
        <v>1545</v>
      </c>
      <c r="E7721" s="2122" t="s">
        <v>1504</v>
      </c>
      <c r="F7721" s="1370" t="s">
        <v>1546</v>
      </c>
      <c r="G7721" s="1748">
        <v>8</v>
      </c>
      <c r="H7721" s="1367"/>
      <c r="I7721" s="1286"/>
      <c r="J7721" s="198"/>
      <c r="K7721" s="1307">
        <f>G7721*$K$379</f>
        <v>0.16800000000000001</v>
      </c>
      <c r="L7721" s="1335">
        <f t="shared" si="1054"/>
        <v>0</v>
      </c>
      <c r="M7721" s="1302">
        <v>3.5</v>
      </c>
      <c r="N7721" s="1700"/>
      <c r="O7721" s="1290">
        <f>ROUND(G7721*M7721,2)</f>
        <v>28</v>
      </c>
      <c r="P7721" s="1332">
        <f>M7721*K7721</f>
        <v>0.58800000000000008</v>
      </c>
      <c r="Q7721" s="3391"/>
      <c r="R7721" s="2338"/>
    </row>
    <row r="7722" spans="1:18" s="22" customFormat="1">
      <c r="A7722" s="553"/>
      <c r="B7722" s="1042"/>
      <c r="C7722" s="1317" t="s">
        <v>1155</v>
      </c>
      <c r="D7722" s="1311"/>
      <c r="E7722" s="2131" t="s">
        <v>1517</v>
      </c>
      <c r="F7722" s="1343" t="s">
        <v>1544</v>
      </c>
      <c r="G7722" s="1461"/>
      <c r="H7722" s="1344">
        <v>1E-3</v>
      </c>
      <c r="I7722" s="1497"/>
      <c r="J7722" s="1388"/>
      <c r="K7722" s="1459"/>
      <c r="L7722" s="1457"/>
      <c r="M7722" s="1446"/>
      <c r="N7722" s="1446">
        <f>SUM(N7723:N7725)</f>
        <v>114.04755</v>
      </c>
      <c r="O7722" s="1446">
        <f>SUM(O7723:O7725)</f>
        <v>0.12000000000000001</v>
      </c>
      <c r="P7722" s="1446">
        <f>SUM(P7723:P7725)</f>
        <v>2.3949985500000006E-3</v>
      </c>
      <c r="Q7722" s="3391"/>
      <c r="R7722" s="2338"/>
    </row>
    <row r="7723" spans="1:18" s="22" customFormat="1">
      <c r="A7723" s="553"/>
      <c r="B7723" s="1042"/>
      <c r="C7723" s="1511"/>
      <c r="D7723" s="1451" t="s">
        <v>1069</v>
      </c>
      <c r="E7723" s="1856" t="s">
        <v>1517</v>
      </c>
      <c r="F7723" s="1421" t="s">
        <v>1578</v>
      </c>
      <c r="G7723" s="1452">
        <v>0.89100000000000001</v>
      </c>
      <c r="H7723" s="1453">
        <f>G7723*$H$383</f>
        <v>8.9100000000000008E-4</v>
      </c>
      <c r="I7723" s="1286"/>
      <c r="J7723" s="198"/>
      <c r="K7723" s="1307">
        <f t="shared" ref="K7723" si="1055">H7723*$K$379</f>
        <v>1.8711000000000004E-5</v>
      </c>
      <c r="L7723" s="1335">
        <f t="shared" ref="L7723:L7725" si="1056">K7723*$K$7441</f>
        <v>0</v>
      </c>
      <c r="M7723" s="1302">
        <v>0.55000000000000004</v>
      </c>
      <c r="N7723" s="1724">
        <f>G7723*M7723</f>
        <v>0.49005000000000004</v>
      </c>
      <c r="O7723" s="1725">
        <f>ROUND(H7723*M7723,2)</f>
        <v>0</v>
      </c>
      <c r="P7723" s="1720">
        <f>M7723*K7723</f>
        <v>1.0291050000000004E-5</v>
      </c>
      <c r="Q7723" s="3396"/>
      <c r="R7723" s="2338"/>
    </row>
    <row r="7724" spans="1:18" s="22" customFormat="1">
      <c r="A7724" s="553"/>
      <c r="B7724" s="1042"/>
      <c r="C7724" s="595"/>
      <c r="D7724" s="1367" t="s">
        <v>1394</v>
      </c>
      <c r="E7724" s="1856" t="s">
        <v>1577</v>
      </c>
      <c r="F7724" s="1421" t="s">
        <v>1579</v>
      </c>
      <c r="G7724" s="1452">
        <v>0.51500000000000001</v>
      </c>
      <c r="H7724" s="1453">
        <f>G7724*$H$383</f>
        <v>5.1500000000000005E-4</v>
      </c>
      <c r="I7724" s="1286"/>
      <c r="J7724" s="198"/>
      <c r="K7724" s="1307">
        <f>H7724*$K$379</f>
        <v>1.0815000000000002E-5</v>
      </c>
      <c r="L7724" s="1335">
        <f t="shared" si="1056"/>
        <v>0</v>
      </c>
      <c r="M7724" s="1302">
        <v>92.54</v>
      </c>
      <c r="N7724" s="1724">
        <f>G7724*M7724</f>
        <v>47.658100000000005</v>
      </c>
      <c r="O7724" s="1725">
        <f>ROUND(H7724*M7724,2)</f>
        <v>0.05</v>
      </c>
      <c r="P7724" s="1720">
        <f>M7724*K7724</f>
        <v>1.0008201000000004E-3</v>
      </c>
      <c r="Q7724" s="3396"/>
      <c r="R7724" s="2338"/>
    </row>
    <row r="7725" spans="1:18" s="22" customFormat="1">
      <c r="A7725" s="553"/>
      <c r="B7725" s="1042"/>
      <c r="C7725" s="1512"/>
      <c r="D7725" s="1443" t="s">
        <v>1067</v>
      </c>
      <c r="E7725" s="1857" t="s">
        <v>1508</v>
      </c>
      <c r="F7725" s="1430" t="s">
        <v>1512</v>
      </c>
      <c r="G7725" s="1431">
        <v>3.605</v>
      </c>
      <c r="H7725" s="1454">
        <f>G7725*$H$383</f>
        <v>3.6050000000000001E-3</v>
      </c>
      <c r="I7725" s="1286"/>
      <c r="J7725" s="198"/>
      <c r="K7725" s="1307">
        <f t="shared" ref="K7725" si="1057">H7725*$K$379</f>
        <v>7.5705000000000008E-5</v>
      </c>
      <c r="L7725" s="1335">
        <f t="shared" si="1056"/>
        <v>0</v>
      </c>
      <c r="M7725" s="1302">
        <v>18.28</v>
      </c>
      <c r="N7725" s="1724">
        <f>G7725*M7725</f>
        <v>65.8994</v>
      </c>
      <c r="O7725" s="1725">
        <f>ROUND(H7725*M7725,2)</f>
        <v>7.0000000000000007E-2</v>
      </c>
      <c r="P7725" s="1720">
        <f>M7725*K7725</f>
        <v>1.3838874000000002E-3</v>
      </c>
      <c r="Q7725" s="3396"/>
      <c r="R7725" s="2338"/>
    </row>
    <row r="7726" spans="1:18" s="22" customFormat="1">
      <c r="A7726" s="553"/>
      <c r="B7726" s="1042"/>
      <c r="C7726" s="1317" t="s">
        <v>1127</v>
      </c>
      <c r="D7726" s="1311"/>
      <c r="E7726" s="2131" t="s">
        <v>1517</v>
      </c>
      <c r="F7726" s="1343" t="s">
        <v>1519</v>
      </c>
      <c r="G7726" s="1461"/>
      <c r="H7726" s="1344">
        <v>3.1E-2</v>
      </c>
      <c r="I7726" s="1497"/>
      <c r="J7726" s="1388"/>
      <c r="K7726" s="1445"/>
      <c r="L7726" s="1457"/>
      <c r="M7726" s="1446"/>
      <c r="N7726" s="1446">
        <f>SUM(N7727:N7730)</f>
        <v>50.044430000000006</v>
      </c>
      <c r="O7726" s="1446">
        <f>SUM(O7727:O7730)</f>
        <v>1.54</v>
      </c>
      <c r="P7726" s="1446">
        <f>SUM(P7727:P7730)</f>
        <v>3.2578923930000003E-2</v>
      </c>
      <c r="Q7726" s="3391"/>
      <c r="R7726" s="2338"/>
    </row>
    <row r="7727" spans="1:18" s="22" customFormat="1">
      <c r="A7727"/>
      <c r="B7727" s="1042"/>
      <c r="C7727"/>
      <c r="D7727" s="1367" t="s">
        <v>1069</v>
      </c>
      <c r="E7727" s="1856" t="s">
        <v>1517</v>
      </c>
      <c r="F7727" s="1397" t="s">
        <v>1578</v>
      </c>
      <c r="G7727" s="1416">
        <v>0.26300000000000001</v>
      </c>
      <c r="H7727" s="1399">
        <f>$H$477*G7727</f>
        <v>8.1530000000000005E-3</v>
      </c>
      <c r="I7727" s="197"/>
      <c r="J7727" s="198"/>
      <c r="K7727" s="1307">
        <f t="shared" ref="K7727:K7730" si="1058">H7727*$K$379</f>
        <v>1.7121300000000003E-4</v>
      </c>
      <c r="L7727" s="1335">
        <f t="shared" ref="L7727:L7730" si="1059">K7727*$K$7441</f>
        <v>0</v>
      </c>
      <c r="M7727" s="1302">
        <v>0.55000000000000004</v>
      </c>
      <c r="N7727" s="1724">
        <f>G7727*M7727</f>
        <v>0.14465000000000003</v>
      </c>
      <c r="O7727" s="1725">
        <f>ROUND(H7727*M7727,2)</f>
        <v>0</v>
      </c>
      <c r="P7727" s="1720">
        <f>M7727*K7727</f>
        <v>9.4167150000000019E-5</v>
      </c>
      <c r="Q7727" s="3396"/>
      <c r="R7727" s="2338"/>
    </row>
    <row r="7728" spans="1:18" s="22" customFormat="1">
      <c r="A7728" s="553"/>
      <c r="B7728" s="1042"/>
      <c r="C7728" s="88"/>
      <c r="D7728" s="1367" t="s">
        <v>1394</v>
      </c>
      <c r="E7728" s="1856" t="s">
        <v>1577</v>
      </c>
      <c r="F7728" s="1397" t="s">
        <v>1579</v>
      </c>
      <c r="G7728" s="1416">
        <v>0.25800000000000001</v>
      </c>
      <c r="H7728" s="1399">
        <f>$H$477*G7728</f>
        <v>7.9979999999999999E-3</v>
      </c>
      <c r="I7728" s="197"/>
      <c r="J7728" s="198"/>
      <c r="K7728" s="1307">
        <f t="shared" si="1058"/>
        <v>1.6795800000000001E-4</v>
      </c>
      <c r="L7728" s="1335">
        <f t="shared" si="1059"/>
        <v>0</v>
      </c>
      <c r="M7728" s="1302">
        <v>92.54</v>
      </c>
      <c r="N7728" s="1724">
        <f>G7728*M7728</f>
        <v>23.875320000000002</v>
      </c>
      <c r="O7728" s="1725">
        <f>ROUND(H7728*M7728,2)</f>
        <v>0.74</v>
      </c>
      <c r="P7728" s="1720">
        <f>M7728*K7728</f>
        <v>1.5542833320000001E-2</v>
      </c>
      <c r="Q7728" s="3396"/>
      <c r="R7728" s="2338"/>
    </row>
    <row r="7729" spans="1:18" s="22" customFormat="1">
      <c r="A7729" s="553"/>
      <c r="B7729" s="1042"/>
      <c r="C7729" s="88"/>
      <c r="D7729" s="1367" t="s">
        <v>1576</v>
      </c>
      <c r="E7729" s="1856" t="s">
        <v>1517</v>
      </c>
      <c r="F7729" s="1397" t="s">
        <v>1580</v>
      </c>
      <c r="G7729" s="1416">
        <v>1.1020000000000001</v>
      </c>
      <c r="H7729" s="1399">
        <f>$H$477*G7729</f>
        <v>3.4162000000000005E-2</v>
      </c>
      <c r="I7729" s="197"/>
      <c r="J7729" s="198"/>
      <c r="K7729" s="1307">
        <f t="shared" si="1058"/>
        <v>7.1740200000000012E-4</v>
      </c>
      <c r="L7729" s="1335">
        <f t="shared" si="1059"/>
        <v>0</v>
      </c>
      <c r="M7729" s="1302">
        <v>6.53</v>
      </c>
      <c r="N7729" s="1724">
        <f>G7729*M7729</f>
        <v>7.196060000000001</v>
      </c>
      <c r="O7729" s="1725">
        <f>ROUND(H7729*M7729,2)</f>
        <v>0.22</v>
      </c>
      <c r="P7729" s="1720">
        <f>M7729*K7729</f>
        <v>4.684635060000001E-3</v>
      </c>
      <c r="Q7729" s="3396"/>
      <c r="R7729" s="2338"/>
    </row>
    <row r="7730" spans="1:18" s="22" customFormat="1">
      <c r="A7730" s="553"/>
      <c r="B7730" s="1042"/>
      <c r="C7730" s="88"/>
      <c r="D7730" s="1359" t="s">
        <v>1067</v>
      </c>
      <c r="E7730" s="1857" t="s">
        <v>1508</v>
      </c>
      <c r="F7730" s="1406" t="s">
        <v>1512</v>
      </c>
      <c r="G7730" s="1407">
        <v>1.03</v>
      </c>
      <c r="H7730" s="1408">
        <f>$H$477*G7730</f>
        <v>3.193E-2</v>
      </c>
      <c r="I7730" s="197"/>
      <c r="J7730" s="198"/>
      <c r="K7730" s="1307">
        <f t="shared" si="1058"/>
        <v>6.7053000000000002E-4</v>
      </c>
      <c r="L7730" s="1335">
        <f t="shared" si="1059"/>
        <v>0</v>
      </c>
      <c r="M7730" s="1302">
        <v>18.28</v>
      </c>
      <c r="N7730" s="1724">
        <f>G7730*M7730</f>
        <v>18.828400000000002</v>
      </c>
      <c r="O7730" s="1725">
        <f>ROUND(H7730*M7730,2)</f>
        <v>0.57999999999999996</v>
      </c>
      <c r="P7730" s="1720">
        <f>M7730*K7730</f>
        <v>1.2257288400000002E-2</v>
      </c>
      <c r="Q7730" s="3396"/>
      <c r="R7730" s="2338"/>
    </row>
    <row r="7731" spans="1:18" s="22" customFormat="1">
      <c r="A7731" s="553"/>
      <c r="B7731" s="1042"/>
      <c r="C7731" s="88"/>
      <c r="D7731" s="1367"/>
      <c r="E7731" s="1856"/>
      <c r="F7731" s="1397"/>
      <c r="G7731" s="1416"/>
      <c r="H7731" s="1399"/>
      <c r="I7731" s="197"/>
      <c r="J7731" s="198"/>
      <c r="K7731" s="1307"/>
      <c r="L7731" s="1335"/>
      <c r="M7731" s="1302"/>
      <c r="N7731" s="1724"/>
      <c r="O7731" s="1719"/>
      <c r="P7731" s="1720"/>
      <c r="Q7731" s="3396"/>
      <c r="R7731" s="2338"/>
    </row>
    <row r="7732" spans="1:18" s="22" customFormat="1">
      <c r="A7732" s="553"/>
      <c r="B7732" s="1042"/>
      <c r="C7732" s="88"/>
      <c r="D7732" s="1367"/>
      <c r="E7732" s="1856"/>
      <c r="F7732" s="1397"/>
      <c r="G7732" s="1416"/>
      <c r="H7732" s="1399"/>
      <c r="I7732" s="197"/>
      <c r="J7732" s="198"/>
      <c r="K7732" s="1307"/>
      <c r="L7732" s="1335"/>
      <c r="M7732" s="1302"/>
      <c r="N7732" s="1724"/>
      <c r="O7732" s="1719"/>
      <c r="P7732" s="1720"/>
      <c r="Q7732" s="3396"/>
      <c r="R7732" s="2338"/>
    </row>
    <row r="7733" spans="1:18" s="22" customFormat="1">
      <c r="A7733" s="553"/>
      <c r="B7733" s="1042"/>
      <c r="C7733" s="88"/>
      <c r="D7733" s="1359"/>
      <c r="E7733" s="1858"/>
      <c r="F7733" s="1465" t="s">
        <v>2</v>
      </c>
      <c r="G7733" s="1466"/>
      <c r="H7733" s="1362"/>
      <c r="I7733" s="1381"/>
      <c r="J7733" s="1381"/>
      <c r="K7733" s="1359"/>
      <c r="L7733" s="1458"/>
      <c r="M7733" s="1498"/>
      <c r="N7733" s="1498"/>
      <c r="O7733" s="1498"/>
      <c r="P7733" s="1359"/>
      <c r="Q7733" s="3387"/>
      <c r="R7733" s="2338"/>
    </row>
    <row r="7734" spans="1:18" s="22" customFormat="1">
      <c r="A7734" s="553"/>
      <c r="B7734" s="1042"/>
      <c r="C7734" s="88"/>
      <c r="D7734" s="1363" t="s">
        <v>1134</v>
      </c>
      <c r="E7734" s="2125" t="s">
        <v>1508</v>
      </c>
      <c r="F7734" s="1363" t="s">
        <v>1547</v>
      </c>
      <c r="G7734" s="1408">
        <v>1.163</v>
      </c>
      <c r="H7734" s="1359"/>
      <c r="I7734" s="1340"/>
      <c r="J7734" s="198"/>
      <c r="K7734" s="1307">
        <f>G7734*$K$379</f>
        <v>2.4423000000000004E-2</v>
      </c>
      <c r="L7734" s="1335">
        <f t="shared" ref="L7734:L7735" si="1060">K7734*$K$7441</f>
        <v>0</v>
      </c>
      <c r="M7734" s="1302">
        <v>19.23</v>
      </c>
      <c r="N7734" s="1700"/>
      <c r="O7734" s="1290">
        <f>ROUND(G7734*M7734,2)</f>
        <v>22.36</v>
      </c>
      <c r="P7734" s="1332">
        <f>M7734*K7734</f>
        <v>0.46965429000000009</v>
      </c>
      <c r="Q7734" s="3391"/>
      <c r="R7734" s="2338"/>
    </row>
    <row r="7735" spans="1:18" s="22" customFormat="1">
      <c r="A7735" s="553"/>
      <c r="B7735" s="1042"/>
      <c r="C7735" s="88"/>
      <c r="D7735" s="1363" t="s">
        <v>1067</v>
      </c>
      <c r="E7735" s="2125" t="s">
        <v>1508</v>
      </c>
      <c r="F7735" s="1363" t="s">
        <v>1512</v>
      </c>
      <c r="G7735" s="1408">
        <v>0.58199999999999996</v>
      </c>
      <c r="H7735" s="1359"/>
      <c r="I7735" s="1340"/>
      <c r="J7735" s="198"/>
      <c r="K7735" s="1307">
        <f>G7735*$K$379</f>
        <v>1.2222E-2</v>
      </c>
      <c r="L7735" s="1335">
        <f t="shared" si="1060"/>
        <v>0</v>
      </c>
      <c r="M7735" s="1302">
        <v>18.28</v>
      </c>
      <c r="N7735" s="1700"/>
      <c r="O7735" s="1290">
        <f>ROUND(G7735*M7735,2)</f>
        <v>10.64</v>
      </c>
      <c r="P7735" s="1332">
        <f>M7735*K7735</f>
        <v>0.22341816</v>
      </c>
      <c r="Q7735" s="3391"/>
      <c r="R7735" s="2338"/>
    </row>
    <row r="7736" spans="1:18" s="22" customFormat="1">
      <c r="A7736" s="553"/>
      <c r="B7736" s="1042"/>
      <c r="C7736" s="88"/>
      <c r="D7736" s="1363"/>
      <c r="E7736" s="2125"/>
      <c r="F7736" s="1363"/>
      <c r="G7736" s="1474"/>
      <c r="H7736" s="1408"/>
      <c r="I7736" s="1340"/>
      <c r="J7736" s="198"/>
      <c r="K7736" s="1307"/>
      <c r="L7736" s="1335"/>
      <c r="M7736" s="1302"/>
      <c r="N7736" s="1700"/>
      <c r="O7736" s="1290"/>
      <c r="P7736" s="1332"/>
      <c r="Q7736" s="3391"/>
      <c r="R7736" s="2338"/>
    </row>
    <row r="7737" spans="1:18" s="22" customFormat="1">
      <c r="A7737" s="553"/>
      <c r="B7737" s="1042"/>
      <c r="C7737" s="88"/>
      <c r="D7737" s="1373"/>
      <c r="E7737" s="2123"/>
      <c r="F7737" s="1475" t="s">
        <v>3</v>
      </c>
      <c r="G7737" s="1377"/>
      <c r="H7737" s="1376"/>
      <c r="I7737" s="1383" t="str">
        <f>IF(COUNT(H7738:O7738)=0,"",(SUM(H7738:O7738)/COUNT(H7738:O7738)))</f>
        <v/>
      </c>
      <c r="J7737" s="1383"/>
      <c r="K7737" s="1383"/>
      <c r="L7737" s="1413"/>
      <c r="M7737" s="1376"/>
      <c r="N7737" s="1376"/>
      <c r="O7737" s="1376"/>
      <c r="P7737" s="1373"/>
      <c r="Q7737" s="3387"/>
      <c r="R7737" s="2338"/>
    </row>
    <row r="7738" spans="1:18" s="22" customFormat="1">
      <c r="A7738" s="553"/>
      <c r="B7738" s="1042"/>
      <c r="C7738" s="88"/>
      <c r="D7738" s="1440"/>
      <c r="E7738" s="2132"/>
      <c r="F7738" s="1441"/>
      <c r="G7738" s="1441"/>
      <c r="H7738" s="1442"/>
      <c r="I7738" s="197" t="str">
        <f>IF(COUNT(H7739:O7739)=0,"",(SUM(H7739:O7739)/COUNT(H7739:O7739)))</f>
        <v/>
      </c>
      <c r="J7738" s="198"/>
      <c r="K7738" s="1307"/>
      <c r="L7738" s="1335"/>
      <c r="M7738" s="1499"/>
      <c r="N7738" s="1701"/>
      <c r="O7738" s="1290"/>
      <c r="P7738" s="1332"/>
      <c r="Q7738" s="3391"/>
      <c r="R7738" s="2338"/>
    </row>
    <row r="7739" spans="1:18" s="22" customFormat="1">
      <c r="A7739" s="553"/>
      <c r="B7739" s="1042"/>
      <c r="C7739" s="88"/>
      <c r="D7739" s="1440"/>
      <c r="E7739" s="2132"/>
      <c r="F7739" s="1441"/>
      <c r="G7739" s="1441"/>
      <c r="H7739" s="1442"/>
      <c r="I7739" s="197" t="str">
        <f>IF(COUNT(#REF!)=0,"",(SUM(#REF!)/COUNT(#REF!)))</f>
        <v/>
      </c>
      <c r="J7739" s="198"/>
      <c r="K7739" s="1307"/>
      <c r="L7739" s="1335"/>
      <c r="M7739" s="1499"/>
      <c r="N7739" s="1701"/>
      <c r="O7739" s="1290"/>
      <c r="P7739" s="1332"/>
      <c r="Q7739" s="3391"/>
      <c r="R7739" s="2338"/>
    </row>
    <row r="7740" spans="1:18" s="22" customFormat="1">
      <c r="A7740" s="554"/>
      <c r="B7740" s="223"/>
      <c r="C7740" s="581"/>
      <c r="D7740" s="1440"/>
      <c r="E7740" s="2132"/>
      <c r="F7740" s="1441"/>
      <c r="G7740" s="1441"/>
      <c r="H7740" s="1442"/>
      <c r="I7740" s="197"/>
      <c r="J7740" s="198"/>
      <c r="K7740" s="1307"/>
      <c r="L7740" s="1335"/>
      <c r="M7740" s="1499"/>
      <c r="N7740" s="1701"/>
      <c r="O7740" s="1290"/>
      <c r="P7740" s="1332"/>
      <c r="Q7740" s="3391"/>
      <c r="R7740" s="2338"/>
    </row>
    <row r="7741" spans="1:18" s="22" customFormat="1" ht="15" customHeight="1">
      <c r="A7741" s="18" t="s">
        <v>3764</v>
      </c>
      <c r="B7741" s="4325" t="s">
        <v>1659</v>
      </c>
      <c r="C7741" s="3350"/>
      <c r="D7741" s="4327"/>
      <c r="E7741" s="4337" t="s">
        <v>1507</v>
      </c>
      <c r="F7741" s="4338" t="s">
        <v>1685</v>
      </c>
      <c r="G7741" s="4331" t="s">
        <v>1568</v>
      </c>
      <c r="H7741" s="4331" t="s">
        <v>1574</v>
      </c>
      <c r="I7741" s="1572" t="s">
        <v>1559</v>
      </c>
      <c r="J7741" s="1294" t="s">
        <v>1560</v>
      </c>
      <c r="K7741" s="1294" t="s">
        <v>1561</v>
      </c>
      <c r="L7741" s="4333" t="s">
        <v>3765</v>
      </c>
      <c r="M7741" s="4335" t="s">
        <v>1571</v>
      </c>
      <c r="N7741" s="4323" t="s">
        <v>1776</v>
      </c>
      <c r="O7741" s="3347" t="s">
        <v>1563</v>
      </c>
      <c r="P7741" s="1336" t="s">
        <v>1562</v>
      </c>
      <c r="Q7741" s="3389"/>
      <c r="R7741" s="1699" t="s">
        <v>1327</v>
      </c>
    </row>
    <row r="7742" spans="1:18" s="22" customFormat="1">
      <c r="A7742" s="1599" t="s">
        <v>2349</v>
      </c>
      <c r="B7742" s="4326"/>
      <c r="C7742" s="3351"/>
      <c r="D7742" s="4328"/>
      <c r="E7742" s="4337"/>
      <c r="F7742" s="4338"/>
      <c r="G7742" s="4332"/>
      <c r="H7742" s="4332"/>
      <c r="I7742" s="1345">
        <v>248.4</v>
      </c>
      <c r="J7742" s="1307">
        <v>0.25</v>
      </c>
      <c r="K7742" s="1297">
        <f>I7742*J7742</f>
        <v>62.1</v>
      </c>
      <c r="L7742" s="4334"/>
      <c r="M7742" s="4335"/>
      <c r="N7742" s="4324"/>
      <c r="O7742" s="1298">
        <f>O7744+O7752</f>
        <v>13.241683030000001</v>
      </c>
      <c r="P7742" s="1337">
        <f>K7742*O7742</f>
        <v>822.30851616300004</v>
      </c>
      <c r="Q7742" s="3390"/>
      <c r="R7742" s="1721">
        <f>P7744+P7752</f>
        <v>822.30851616300015</v>
      </c>
    </row>
    <row r="7743" spans="1:18" s="22" customFormat="1">
      <c r="A7743" s="19"/>
      <c r="B7743" s="551"/>
      <c r="C7743" s="18"/>
      <c r="D7743" s="1400"/>
      <c r="E7743" s="2121"/>
      <c r="F7743" s="1389" t="s">
        <v>1</v>
      </c>
      <c r="G7743" s="1472"/>
      <c r="H7743" s="1369"/>
      <c r="I7743" s="1391"/>
      <c r="J7743" s="1369"/>
      <c r="K7743" s="1369"/>
      <c r="L7743" s="1554"/>
      <c r="M7743" s="1487"/>
      <c r="N7743" s="1487"/>
      <c r="O7743" s="1487"/>
      <c r="P7743" s="1367"/>
      <c r="Q7743" s="3387"/>
      <c r="R7743" s="2338"/>
    </row>
    <row r="7744" spans="1:18" s="22" customFormat="1">
      <c r="A7744" s="19"/>
      <c r="B7744" s="1042"/>
      <c r="C7744" s="1317" t="s">
        <v>1127</v>
      </c>
      <c r="D7744" s="1311"/>
      <c r="E7744" s="2131" t="s">
        <v>1517</v>
      </c>
      <c r="F7744" s="1343" t="s">
        <v>1519</v>
      </c>
      <c r="G7744" s="1461"/>
      <c r="H7744" s="1344">
        <v>2.1000000000000001E-2</v>
      </c>
      <c r="I7744" s="1497"/>
      <c r="J7744" s="1388"/>
      <c r="K7744" s="1445"/>
      <c r="L7744" s="1457"/>
      <c r="M7744" s="1446"/>
      <c r="N7744" s="1447">
        <f>SUM(N7745:N7746)</f>
        <v>24.019970000000001</v>
      </c>
      <c r="O7744" s="1447">
        <f>SUM(O7745:O7748)</f>
        <v>1.0509330300000002</v>
      </c>
      <c r="P7744" s="1447">
        <f>SUM(P7745:P7748)</f>
        <v>65.262941163000008</v>
      </c>
      <c r="Q7744" s="3391"/>
      <c r="R7744" s="2338"/>
    </row>
    <row r="7745" spans="1:20" s="22" customFormat="1">
      <c r="A7745" s="19"/>
      <c r="B7745" s="1042"/>
      <c r="C7745"/>
      <c r="D7745" s="1367" t="s">
        <v>1069</v>
      </c>
      <c r="E7745" s="1856" t="s">
        <v>1517</v>
      </c>
      <c r="F7745" s="1397" t="s">
        <v>1578</v>
      </c>
      <c r="G7745" s="1416">
        <v>0.26300000000000001</v>
      </c>
      <c r="H7745" s="1399">
        <f>G7745*$H$907</f>
        <v>5.523000000000001E-3</v>
      </c>
      <c r="I7745" s="197"/>
      <c r="J7745" s="198"/>
      <c r="K7745" s="1307">
        <f>H7745*K7742</f>
        <v>0.34297830000000007</v>
      </c>
      <c r="L7745" s="1335">
        <f t="shared" ref="L7745:L7748" si="1061">K7745*$K$7441</f>
        <v>0</v>
      </c>
      <c r="M7745" s="1302">
        <v>0.55000000000000004</v>
      </c>
      <c r="N7745" s="1724">
        <f>G7745*M7745</f>
        <v>0.14465000000000003</v>
      </c>
      <c r="O7745" s="1726">
        <f>H7745*M7745</f>
        <v>3.0376500000000007E-3</v>
      </c>
      <c r="P7745" s="1727">
        <f>M7745*K7745</f>
        <v>0.18863806500000005</v>
      </c>
      <c r="Q7745" s="3396"/>
      <c r="R7745" s="2338"/>
    </row>
    <row r="7746" spans="1:20" s="22" customFormat="1">
      <c r="A7746" s="19"/>
      <c r="B7746" s="1042"/>
      <c r="C7746" s="88"/>
      <c r="D7746" s="1367" t="s">
        <v>1394</v>
      </c>
      <c r="E7746" s="1856" t="s">
        <v>1577</v>
      </c>
      <c r="F7746" s="1397" t="s">
        <v>1579</v>
      </c>
      <c r="G7746" s="1416">
        <v>0.25800000000000001</v>
      </c>
      <c r="H7746" s="1399">
        <f>G7746*$H$907</f>
        <v>5.4180000000000001E-3</v>
      </c>
      <c r="I7746" s="197"/>
      <c r="J7746" s="198"/>
      <c r="K7746" s="1307">
        <f>H7746*K7742</f>
        <v>0.33645780000000003</v>
      </c>
      <c r="L7746" s="1335">
        <f t="shared" si="1061"/>
        <v>0</v>
      </c>
      <c r="M7746" s="1302">
        <v>92.54</v>
      </c>
      <c r="N7746" s="1724">
        <f>G7746*M7746</f>
        <v>23.875320000000002</v>
      </c>
      <c r="O7746" s="1726">
        <f>H7746*M7746</f>
        <v>0.50138172000000003</v>
      </c>
      <c r="P7746" s="1720">
        <f>M7746*K7746</f>
        <v>31.135804812000003</v>
      </c>
      <c r="Q7746" s="3396"/>
      <c r="R7746" s="2338"/>
    </row>
    <row r="7747" spans="1:20" s="22" customFormat="1">
      <c r="A7747" s="19"/>
      <c r="B7747" s="1042"/>
      <c r="C7747" s="88"/>
      <c r="D7747" s="1367" t="s">
        <v>1576</v>
      </c>
      <c r="E7747" s="1856" t="s">
        <v>1517</v>
      </c>
      <c r="F7747" s="1397" t="s">
        <v>1580</v>
      </c>
      <c r="G7747" s="1416">
        <v>1.1020000000000001</v>
      </c>
      <c r="H7747" s="1399">
        <f>G7747*$H$907</f>
        <v>2.3142000000000003E-2</v>
      </c>
      <c r="I7747" s="197"/>
      <c r="J7747" s="198"/>
      <c r="K7747" s="1307">
        <f>H7747*K7742</f>
        <v>1.4371182000000002</v>
      </c>
      <c r="L7747" s="1335">
        <f t="shared" si="1061"/>
        <v>0</v>
      </c>
      <c r="M7747" s="1302">
        <v>6.53</v>
      </c>
      <c r="N7747" s="1724">
        <f>G7747*M7747</f>
        <v>7.196060000000001</v>
      </c>
      <c r="O7747" s="1726">
        <f>H7747*M7747</f>
        <v>0.15111726000000003</v>
      </c>
      <c r="P7747" s="1720">
        <f>M7747*K7747</f>
        <v>9.3843818460000019</v>
      </c>
      <c r="Q7747" s="3396"/>
      <c r="R7747" s="2338"/>
    </row>
    <row r="7748" spans="1:20" s="22" customFormat="1">
      <c r="A7748" s="19"/>
      <c r="B7748" s="1042"/>
      <c r="C7748" s="88"/>
      <c r="D7748" s="1359" t="s">
        <v>1067</v>
      </c>
      <c r="E7748" s="1857" t="s">
        <v>1508</v>
      </c>
      <c r="F7748" s="1406" t="s">
        <v>1512</v>
      </c>
      <c r="G7748" s="1407">
        <v>1.03</v>
      </c>
      <c r="H7748" s="1408">
        <f>G7748*$H$907</f>
        <v>2.1630000000000003E-2</v>
      </c>
      <c r="I7748" s="197"/>
      <c r="J7748" s="198"/>
      <c r="K7748" s="1307">
        <f>H7748*K7742</f>
        <v>1.3432230000000003</v>
      </c>
      <c r="L7748" s="1335">
        <f t="shared" si="1061"/>
        <v>0</v>
      </c>
      <c r="M7748" s="1302">
        <v>18.28</v>
      </c>
      <c r="N7748" s="1724">
        <f>G7748*M7748</f>
        <v>18.828400000000002</v>
      </c>
      <c r="O7748" s="1726">
        <f>H7748*M7748</f>
        <v>0.39539640000000009</v>
      </c>
      <c r="P7748" s="1720">
        <f>M7748*K7748</f>
        <v>24.554116440000005</v>
      </c>
      <c r="Q7748" s="3396"/>
      <c r="R7748" s="2338"/>
    </row>
    <row r="7749" spans="1:20" s="22" customFormat="1">
      <c r="A7749" s="19"/>
      <c r="B7749" s="1042"/>
      <c r="C7749" s="88"/>
      <c r="D7749" s="1367"/>
      <c r="E7749" s="1856"/>
      <c r="F7749" s="1397"/>
      <c r="G7749" s="1416"/>
      <c r="H7749" s="1399"/>
      <c r="I7749" s="197"/>
      <c r="J7749" s="198"/>
      <c r="K7749" s="1307"/>
      <c r="L7749" s="1335"/>
      <c r="M7749" s="1302"/>
      <c r="N7749" s="1724"/>
      <c r="O7749" s="1726"/>
      <c r="P7749" s="1720"/>
      <c r="Q7749" s="3396"/>
      <c r="R7749" s="2338"/>
    </row>
    <row r="7750" spans="1:20" s="22" customFormat="1">
      <c r="A7750" s="19"/>
      <c r="B7750" s="1042"/>
      <c r="C7750" s="88"/>
      <c r="D7750" s="1367"/>
      <c r="E7750" s="1856"/>
      <c r="F7750" s="1397"/>
      <c r="G7750" s="1416"/>
      <c r="H7750" s="1399"/>
      <c r="I7750" s="197"/>
      <c r="J7750" s="198"/>
      <c r="K7750" s="1307"/>
      <c r="L7750" s="1335"/>
      <c r="M7750" s="1302"/>
      <c r="N7750" s="1724"/>
      <c r="O7750" s="1726"/>
      <c r="P7750" s="1720"/>
      <c r="Q7750" s="3396"/>
      <c r="R7750" s="2338"/>
    </row>
    <row r="7751" spans="1:20" s="22" customFormat="1">
      <c r="A7751" s="19"/>
      <c r="B7751" s="1042"/>
      <c r="C7751" s="88"/>
      <c r="D7751" s="1359"/>
      <c r="E7751" s="1858"/>
      <c r="F7751" s="1465" t="s">
        <v>2</v>
      </c>
      <c r="G7751" s="1466"/>
      <c r="H7751" s="1362"/>
      <c r="I7751" s="1381"/>
      <c r="J7751" s="1381"/>
      <c r="K7751" s="1359"/>
      <c r="L7751" s="1458"/>
      <c r="M7751" s="1498"/>
      <c r="N7751" s="1498"/>
      <c r="O7751" s="1498"/>
      <c r="P7751" s="1359"/>
      <c r="Q7751" s="3387"/>
      <c r="R7751" s="2338"/>
    </row>
    <row r="7752" spans="1:20" s="22" customFormat="1">
      <c r="A7752" s="19"/>
      <c r="B7752" s="1042"/>
      <c r="C7752" s="1358" t="s">
        <v>1523</v>
      </c>
      <c r="D7752" s="1329"/>
      <c r="E7752" s="2135" t="s">
        <v>1508</v>
      </c>
      <c r="F7752" s="1330" t="s">
        <v>1524</v>
      </c>
      <c r="G7752" s="1461"/>
      <c r="H7752" s="1584">
        <v>0.32500000000000001</v>
      </c>
      <c r="I7752" s="1488"/>
      <c r="J7752" s="1388"/>
      <c r="K7752" s="1510"/>
      <c r="L7752" s="1445"/>
      <c r="M7752" s="1446"/>
      <c r="N7752" s="1447">
        <f>SUM(N7753:N7754)</f>
        <v>37.510000000000005</v>
      </c>
      <c r="O7752" s="1447">
        <f>SUM(O7753:O7754)</f>
        <v>12.190750000000001</v>
      </c>
      <c r="P7752" s="1447">
        <f>SUM(P7753:P7754)</f>
        <v>757.0455750000001</v>
      </c>
      <c r="Q7752" s="3391"/>
      <c r="R7752" s="2338"/>
    </row>
    <row r="7753" spans="1:20" s="22" customFormat="1">
      <c r="A7753" s="19"/>
      <c r="B7753" s="1042"/>
      <c r="C7753" s="1042"/>
      <c r="D7753" s="1402" t="s">
        <v>1067</v>
      </c>
      <c r="E7753" s="1857" t="s">
        <v>1508</v>
      </c>
      <c r="F7753" s="1430" t="s">
        <v>5</v>
      </c>
      <c r="G7753" s="1362">
        <v>1</v>
      </c>
      <c r="H7753" s="1408">
        <f>G7753*$H$915</f>
        <v>0.32500000000000001</v>
      </c>
      <c r="I7753" s="1340"/>
      <c r="J7753" s="198"/>
      <c r="K7753" s="1307">
        <f>H7753*K7742</f>
        <v>20.182500000000001</v>
      </c>
      <c r="L7753" s="1335">
        <f t="shared" ref="L7753:L7754" si="1062">K7753*$K$7441</f>
        <v>0</v>
      </c>
      <c r="M7753" s="1302">
        <v>18.28</v>
      </c>
      <c r="N7753" s="1724">
        <f>G7753*M7753</f>
        <v>18.28</v>
      </c>
      <c r="O7753" s="1726">
        <f>H7753*M7753</f>
        <v>5.9410000000000007</v>
      </c>
      <c r="P7753" s="1727">
        <f>M7753*K7753</f>
        <v>368.93610000000007</v>
      </c>
      <c r="Q7753" s="3396"/>
      <c r="R7753" s="2338"/>
    </row>
    <row r="7754" spans="1:20" s="22" customFormat="1">
      <c r="A7754" s="19"/>
      <c r="B7754" s="1042"/>
      <c r="C7754" s="1042"/>
      <c r="D7754" s="1402" t="s">
        <v>1077</v>
      </c>
      <c r="E7754" s="1857" t="s">
        <v>1508</v>
      </c>
      <c r="F7754" s="1430" t="s">
        <v>37</v>
      </c>
      <c r="G7754" s="1362">
        <v>1</v>
      </c>
      <c r="H7754" s="1408">
        <f>G7754*$H$915</f>
        <v>0.32500000000000001</v>
      </c>
      <c r="I7754" s="198"/>
      <c r="J7754" s="198"/>
      <c r="K7754" s="1307">
        <f>H7754*K7742</f>
        <v>20.182500000000001</v>
      </c>
      <c r="L7754" s="1335">
        <f t="shared" si="1062"/>
        <v>0</v>
      </c>
      <c r="M7754" s="1302">
        <v>19.23</v>
      </c>
      <c r="N7754" s="1724">
        <f>G7754*M7754</f>
        <v>19.23</v>
      </c>
      <c r="O7754" s="1719">
        <f>(H7754*M7754)</f>
        <v>6.2497500000000006</v>
      </c>
      <c r="P7754" s="1332">
        <f>M7754*K7754</f>
        <v>388.10947500000003</v>
      </c>
      <c r="Q7754" s="3391"/>
      <c r="R7754" s="2338"/>
    </row>
    <row r="7755" spans="1:20" s="22" customFormat="1">
      <c r="A7755" s="19"/>
      <c r="B7755" s="1042"/>
      <c r="C7755" s="88"/>
      <c r="D7755" s="1373"/>
      <c r="E7755" s="2123"/>
      <c r="F7755" s="1475" t="s">
        <v>3</v>
      </c>
      <c r="G7755" s="1377"/>
      <c r="H7755" s="1376"/>
      <c r="I7755" s="1383" t="s">
        <v>506</v>
      </c>
      <c r="J7755" s="1383"/>
      <c r="K7755" s="1383"/>
      <c r="L7755" s="1413"/>
      <c r="M7755" s="1376"/>
      <c r="N7755" s="1376"/>
      <c r="O7755" s="1376"/>
      <c r="P7755" s="1373"/>
      <c r="Q7755" s="3387"/>
      <c r="R7755" s="2338"/>
    </row>
    <row r="7756" spans="1:20" s="22" customFormat="1">
      <c r="A7756" s="19"/>
      <c r="B7756" s="1042"/>
      <c r="C7756" s="88"/>
      <c r="D7756" s="1616"/>
      <c r="E7756" s="2155"/>
      <c r="F7756" s="1616"/>
      <c r="G7756" s="1442"/>
      <c r="H7756" s="1442"/>
      <c r="I7756" s="198"/>
      <c r="J7756" s="198"/>
      <c r="K7756" s="1307"/>
      <c r="L7756" s="1335"/>
      <c r="M7756" s="1302"/>
      <c r="N7756" s="1700"/>
      <c r="O7756" s="1290"/>
      <c r="P7756" s="1332"/>
      <c r="Q7756" s="3391"/>
      <c r="R7756" s="2338"/>
    </row>
    <row r="7757" spans="1:20" s="22" customFormat="1">
      <c r="A7757" s="19"/>
      <c r="B7757" s="1042"/>
      <c r="C7757" s="88"/>
      <c r="D7757" s="1440"/>
      <c r="E7757" s="2132"/>
      <c r="F7757" s="1441"/>
      <c r="G7757" s="1441"/>
      <c r="H7757" s="1442"/>
      <c r="I7757" s="197" t="s">
        <v>506</v>
      </c>
      <c r="J7757" s="198"/>
      <c r="K7757" s="1307"/>
      <c r="L7757" s="1335"/>
      <c r="M7757" s="1499"/>
      <c r="N7757" s="1701"/>
      <c r="O7757" s="1290"/>
      <c r="P7757" s="1332"/>
      <c r="Q7757" s="3391"/>
      <c r="R7757" s="2338"/>
    </row>
    <row r="7758" spans="1:20" s="22" customFormat="1">
      <c r="A7758" s="19"/>
      <c r="B7758" s="223"/>
      <c r="C7758" s="581"/>
      <c r="D7758" s="1440"/>
      <c r="E7758" s="2132"/>
      <c r="F7758" s="1441"/>
      <c r="G7758" s="1441"/>
      <c r="H7758" s="1442"/>
      <c r="I7758" s="197"/>
      <c r="J7758" s="198"/>
      <c r="K7758" s="1307"/>
      <c r="L7758" s="1335"/>
      <c r="M7758" s="1499"/>
      <c r="N7758" s="1701"/>
      <c r="O7758" s="1290"/>
      <c r="P7758" s="1332"/>
      <c r="Q7758" s="3391"/>
      <c r="R7758" s="2338"/>
    </row>
    <row r="7759" spans="1:20" s="22" customFormat="1" ht="15" customHeight="1">
      <c r="A7759" s="18" t="s">
        <v>3764</v>
      </c>
      <c r="B7759" s="4325" t="s">
        <v>1660</v>
      </c>
      <c r="C7759" s="3350"/>
      <c r="D7759" s="4327"/>
      <c r="E7759" s="4337" t="s">
        <v>1507</v>
      </c>
      <c r="F7759" s="4338" t="s">
        <v>1689</v>
      </c>
      <c r="G7759" s="4331" t="s">
        <v>1568</v>
      </c>
      <c r="H7759" s="4331" t="s">
        <v>1574</v>
      </c>
      <c r="I7759" s="1572" t="s">
        <v>1559</v>
      </c>
      <c r="J7759" s="1294" t="s">
        <v>1560</v>
      </c>
      <c r="K7759" s="1294" t="s">
        <v>1561</v>
      </c>
      <c r="L7759" s="4333" t="s">
        <v>3765</v>
      </c>
      <c r="M7759" s="4335" t="s">
        <v>1571</v>
      </c>
      <c r="N7759" s="4323" t="s">
        <v>1776</v>
      </c>
      <c r="O7759" s="3347" t="s">
        <v>1563</v>
      </c>
      <c r="P7759" s="1336" t="s">
        <v>1562</v>
      </c>
      <c r="Q7759" s="3389"/>
      <c r="R7759" s="1699" t="s">
        <v>1327</v>
      </c>
      <c r="S7759" s="19"/>
      <c r="T7759" s="19"/>
    </row>
    <row r="7760" spans="1:20" s="22" customFormat="1">
      <c r="A7760" s="1599" t="s">
        <v>2349</v>
      </c>
      <c r="B7760" s="4390"/>
      <c r="C7760" s="3354"/>
      <c r="D7760" s="4368"/>
      <c r="E7760" s="4329"/>
      <c r="F7760" s="4338"/>
      <c r="G7760" s="4332"/>
      <c r="H7760" s="4332"/>
      <c r="I7760" s="1345">
        <v>248.4</v>
      </c>
      <c r="J7760" s="1307">
        <v>0.25</v>
      </c>
      <c r="K7760" s="1297">
        <f>I7760*J7760</f>
        <v>62.1</v>
      </c>
      <c r="L7760" s="4334"/>
      <c r="M7760" s="4335"/>
      <c r="N7760" s="4324"/>
      <c r="O7760" s="1298">
        <f>SUM(O7762:O7774)</f>
        <v>19.719749999999998</v>
      </c>
      <c r="P7760" s="1337">
        <f>K7760*O7760</f>
        <v>1224.5964749999998</v>
      </c>
      <c r="Q7760" s="3390"/>
      <c r="R7760" s="1721">
        <f>SUM(P7762:P7774)</f>
        <v>1224.5964750000001</v>
      </c>
      <c r="S7760" s="19"/>
      <c r="T7760" s="19"/>
    </row>
    <row r="7761" spans="1:20" s="22" customFormat="1">
      <c r="A7761" s="19"/>
      <c r="B7761" s="1628"/>
      <c r="C7761" s="3352"/>
      <c r="D7761" s="1400"/>
      <c r="E7761" s="2121"/>
      <c r="F7761" s="1389" t="s">
        <v>1</v>
      </c>
      <c r="G7761" s="1629"/>
      <c r="H7761" s="1629"/>
      <c r="I7761" s="1630"/>
      <c r="J7761" s="1609"/>
      <c r="K7761" s="1424"/>
      <c r="L7761" s="1631"/>
      <c r="M7761" s="1426"/>
      <c r="N7761" s="1710"/>
      <c r="O7761" s="1632"/>
      <c r="P7761" s="1633"/>
      <c r="Q7761" s="3390"/>
      <c r="R7761" s="2338"/>
      <c r="S7761" s="19"/>
      <c r="T7761" s="19"/>
    </row>
    <row r="7762" spans="1:20" s="22" customFormat="1">
      <c r="A7762" s="19"/>
      <c r="B7762" s="553"/>
      <c r="C7762" s="1042"/>
      <c r="D7762" s="1626" t="s">
        <v>1145</v>
      </c>
      <c r="E7762" s="2156" t="s">
        <v>1577</v>
      </c>
      <c r="F7762" s="1587" t="s">
        <v>1690</v>
      </c>
      <c r="G7762" s="1588">
        <v>1E-3</v>
      </c>
      <c r="H7762" s="1367"/>
      <c r="I7762" s="1349"/>
      <c r="J7762" s="8"/>
      <c r="K7762" s="1307">
        <f>G7762*K7760</f>
        <v>6.2100000000000002E-2</v>
      </c>
      <c r="L7762" s="1335">
        <f t="shared" ref="L7762:L7765" si="1063">K7762*$K$7441</f>
        <v>0</v>
      </c>
      <c r="M7762" s="1302">
        <v>246.4</v>
      </c>
      <c r="N7762" s="1700"/>
      <c r="O7762" s="1290">
        <f>G7762*M7762</f>
        <v>0.24640000000000001</v>
      </c>
      <c r="P7762" s="1332">
        <f>M7762*K7762</f>
        <v>15.301440000000001</v>
      </c>
      <c r="Q7762" s="3391"/>
      <c r="R7762" s="2338"/>
      <c r="S7762" s="19"/>
      <c r="T7762" s="19"/>
    </row>
    <row r="7763" spans="1:20" s="22" customFormat="1">
      <c r="A7763" s="19"/>
      <c r="B7763" s="553"/>
      <c r="C7763" s="1042"/>
      <c r="D7763" s="1618" t="s">
        <v>1147</v>
      </c>
      <c r="E7763" s="2138" t="s">
        <v>1357</v>
      </c>
      <c r="F7763" s="1587" t="s">
        <v>1691</v>
      </c>
      <c r="G7763" s="1588">
        <v>1</v>
      </c>
      <c r="H7763" s="1367"/>
      <c r="I7763" s="1617"/>
      <c r="J7763" s="198"/>
      <c r="K7763" s="1307">
        <f>G7763*K7760</f>
        <v>62.1</v>
      </c>
      <c r="L7763" s="1335">
        <f t="shared" si="1063"/>
        <v>0</v>
      </c>
      <c r="M7763" s="1302">
        <v>0.22</v>
      </c>
      <c r="N7763" s="1700"/>
      <c r="O7763" s="1290">
        <f>G7763*M7763</f>
        <v>0.22</v>
      </c>
      <c r="P7763" s="1332">
        <f>M7763*K7763</f>
        <v>13.662000000000001</v>
      </c>
      <c r="Q7763" s="3391"/>
      <c r="R7763" s="2338"/>
      <c r="S7763" s="19"/>
      <c r="T7763" s="19"/>
    </row>
    <row r="7764" spans="1:20" s="22" customFormat="1">
      <c r="A7764" s="19"/>
      <c r="B7764" s="553"/>
      <c r="C7764" s="1042"/>
      <c r="D7764" s="1618" t="s">
        <v>1692</v>
      </c>
      <c r="E7764" s="2138" t="s">
        <v>1504</v>
      </c>
      <c r="F7764" s="1587" t="s">
        <v>1693</v>
      </c>
      <c r="G7764" s="1588">
        <v>47.17</v>
      </c>
      <c r="H7764" s="1367"/>
      <c r="I7764" s="1286"/>
      <c r="J7764" s="198"/>
      <c r="K7764" s="1307">
        <f>G7764*K7760</f>
        <v>2929.2570000000001</v>
      </c>
      <c r="L7764" s="1335">
        <f t="shared" si="1063"/>
        <v>0</v>
      </c>
      <c r="M7764" s="1302">
        <v>0.17</v>
      </c>
      <c r="N7764" s="1700"/>
      <c r="O7764" s="1290">
        <f>G7764*M7764</f>
        <v>8.0189000000000004</v>
      </c>
      <c r="P7764" s="1332">
        <f>M7764*K7764</f>
        <v>497.97369000000003</v>
      </c>
      <c r="Q7764" s="3391"/>
      <c r="R7764" s="2338"/>
      <c r="S7764" s="19"/>
      <c r="T7764" s="19"/>
    </row>
    <row r="7765" spans="1:20" s="22" customFormat="1">
      <c r="A7765" s="16"/>
      <c r="B7765" s="1599"/>
      <c r="C7765" s="1320"/>
      <c r="D7765" s="1598" t="s">
        <v>1097</v>
      </c>
      <c r="E7765" s="1856" t="s">
        <v>1504</v>
      </c>
      <c r="F7765" s="1598" t="s">
        <v>1632</v>
      </c>
      <c r="G7765" s="1399">
        <v>1</v>
      </c>
      <c r="H7765" s="1399"/>
      <c r="I7765" s="198"/>
      <c r="J7765" s="198"/>
      <c r="K7765" s="1307">
        <f>G7765*K7760</f>
        <v>62.1</v>
      </c>
      <c r="L7765" s="1335">
        <f t="shared" si="1063"/>
        <v>0</v>
      </c>
      <c r="M7765" s="1499">
        <v>0.55000000000000004</v>
      </c>
      <c r="N7765" s="1701"/>
      <c r="O7765" s="1291">
        <f>G7765*M7765</f>
        <v>0.55000000000000004</v>
      </c>
      <c r="P7765" s="1332">
        <f>M7765*K7765</f>
        <v>34.155000000000001</v>
      </c>
      <c r="Q7765" s="3391"/>
      <c r="R7765" s="3363"/>
      <c r="S7765" s="16"/>
      <c r="T7765" s="16"/>
    </row>
    <row r="7766" spans="1:20" s="22" customFormat="1">
      <c r="A7766" s="19"/>
      <c r="B7766" s="553"/>
      <c r="C7766" s="1042"/>
      <c r="D7766" s="1598"/>
      <c r="E7766" s="1856"/>
      <c r="F7766" s="1598"/>
      <c r="G7766" s="1399"/>
      <c r="H7766" s="1399"/>
      <c r="I7766" s="198"/>
      <c r="J7766" s="198"/>
      <c r="K7766" s="1307"/>
      <c r="L7766" s="1335"/>
      <c r="M7766" s="1499"/>
      <c r="N7766" s="1701"/>
      <c r="O7766" s="1291"/>
      <c r="P7766" s="1332"/>
      <c r="Q7766" s="3391"/>
      <c r="R7766" s="2338"/>
      <c r="S7766" s="19"/>
      <c r="T7766" s="19"/>
    </row>
    <row r="7767" spans="1:20" s="22" customFormat="1">
      <c r="A7767" s="19"/>
      <c r="B7767" s="553"/>
      <c r="C7767" s="1042"/>
      <c r="D7767" s="1404"/>
      <c r="E7767" s="1858"/>
      <c r="F7767" s="1465" t="s">
        <v>2</v>
      </c>
      <c r="G7767" s="1466"/>
      <c r="H7767" s="1362"/>
      <c r="I7767" s="1381"/>
      <c r="J7767" s="1381"/>
      <c r="K7767" s="1359"/>
      <c r="L7767" s="1458"/>
      <c r="M7767" s="1498"/>
      <c r="N7767" s="1498"/>
      <c r="O7767" s="1498"/>
      <c r="P7767" s="1359"/>
      <c r="Q7767" s="3387"/>
      <c r="R7767" s="2338"/>
      <c r="S7767" s="19"/>
      <c r="T7767" s="19"/>
    </row>
    <row r="7768" spans="1:20" s="22" customFormat="1">
      <c r="A7768" s="19"/>
      <c r="B7768" s="553"/>
      <c r="C7768" s="1042"/>
      <c r="D7768" s="1627" t="s">
        <v>1088</v>
      </c>
      <c r="E7768" s="2157" t="s">
        <v>1508</v>
      </c>
      <c r="F7768" s="1620" t="s">
        <v>1694</v>
      </c>
      <c r="G7768" s="1621">
        <v>0.375</v>
      </c>
      <c r="H7768" s="1359"/>
      <c r="I7768" s="1340"/>
      <c r="J7768" s="198"/>
      <c r="K7768" s="1307">
        <f>G7768*K7760</f>
        <v>23.287500000000001</v>
      </c>
      <c r="L7768" s="1335">
        <f t="shared" ref="L7768:L7769" si="1064">K7768*$K$7441</f>
        <v>0</v>
      </c>
      <c r="M7768" s="1729">
        <v>19.23</v>
      </c>
      <c r="N7768" s="1730"/>
      <c r="O7768" s="1290">
        <f>G7768*M7768</f>
        <v>7.2112499999999997</v>
      </c>
      <c r="P7768" s="1332">
        <f>M7768*K7768</f>
        <v>447.81862500000005</v>
      </c>
      <c r="Q7768" s="3391"/>
      <c r="R7768" s="2338"/>
      <c r="S7768" s="19"/>
      <c r="T7768" s="19"/>
    </row>
    <row r="7769" spans="1:20" s="22" customFormat="1">
      <c r="A7769" s="19"/>
      <c r="B7769" s="553"/>
      <c r="C7769" s="1042"/>
      <c r="D7769" s="1627" t="s">
        <v>1067</v>
      </c>
      <c r="E7769" s="2157" t="s">
        <v>1508</v>
      </c>
      <c r="F7769" s="1620" t="s">
        <v>1512</v>
      </c>
      <c r="G7769" s="1621">
        <v>0.19</v>
      </c>
      <c r="H7769" s="1359"/>
      <c r="I7769" s="1340"/>
      <c r="J7769" s="198"/>
      <c r="K7769" s="1307">
        <f>G7769*K7760</f>
        <v>11.799000000000001</v>
      </c>
      <c r="L7769" s="1335">
        <f t="shared" si="1064"/>
        <v>0</v>
      </c>
      <c r="M7769" s="1729">
        <v>18.28</v>
      </c>
      <c r="N7769" s="1730"/>
      <c r="O7769" s="1290">
        <f>(G7769*M7769)</f>
        <v>3.4732000000000003</v>
      </c>
      <c r="P7769" s="1332">
        <f>M7769*K7769</f>
        <v>215.68572000000003</v>
      </c>
      <c r="Q7769" s="3391"/>
      <c r="R7769" s="2338"/>
      <c r="S7769" s="19"/>
      <c r="T7769" s="19"/>
    </row>
    <row r="7770" spans="1:20" s="22" customFormat="1">
      <c r="A7770" s="19"/>
      <c r="B7770" s="553"/>
      <c r="C7770" s="1042"/>
      <c r="D7770" s="1627"/>
      <c r="E7770" s="2157"/>
      <c r="F7770" s="1620"/>
      <c r="G7770" s="1621"/>
      <c r="H7770" s="1359"/>
      <c r="I7770" s="1340"/>
      <c r="J7770" s="198"/>
      <c r="K7770" s="1307"/>
      <c r="L7770" s="1335"/>
      <c r="M7770" s="1729"/>
      <c r="N7770" s="1730"/>
      <c r="O7770" s="1290"/>
      <c r="P7770" s="1332"/>
      <c r="Q7770" s="3391"/>
      <c r="R7770" s="2338"/>
      <c r="S7770" s="19"/>
      <c r="T7770" s="19"/>
    </row>
    <row r="7771" spans="1:20" s="22" customFormat="1">
      <c r="A7771" s="19"/>
      <c r="B7771" s="553"/>
      <c r="C7771" s="1042"/>
      <c r="D7771" s="1411"/>
      <c r="E7771" s="2123"/>
      <c r="F7771" s="1475" t="s">
        <v>3</v>
      </c>
      <c r="G7771" s="1377"/>
      <c r="H7771" s="1376"/>
      <c r="I7771" s="1383" t="s">
        <v>506</v>
      </c>
      <c r="J7771" s="1383"/>
      <c r="K7771" s="1383"/>
      <c r="L7771" s="1413"/>
      <c r="M7771" s="1376"/>
      <c r="N7771" s="1376"/>
      <c r="O7771" s="1376"/>
      <c r="P7771" s="1373"/>
      <c r="Q7771" s="3387"/>
      <c r="R7771" s="2338"/>
      <c r="S7771" s="19"/>
      <c r="T7771" s="19"/>
    </row>
    <row r="7772" spans="1:20" s="22" customFormat="1">
      <c r="A7772" s="19"/>
      <c r="B7772" s="553"/>
      <c r="C7772" s="1042"/>
      <c r="D7772" s="1440"/>
      <c r="E7772" s="2132"/>
      <c r="F7772" s="1441"/>
      <c r="G7772" s="1441"/>
      <c r="H7772" s="1442"/>
      <c r="I7772" s="197" t="s">
        <v>506</v>
      </c>
      <c r="J7772" s="198"/>
      <c r="K7772" s="1307"/>
      <c r="L7772" s="1335"/>
      <c r="M7772" s="1499"/>
      <c r="N7772" s="1701"/>
      <c r="O7772" s="1290"/>
      <c r="P7772" s="1332"/>
      <c r="Q7772" s="3391"/>
      <c r="R7772" s="2338"/>
      <c r="S7772" s="19"/>
      <c r="T7772" s="19"/>
    </row>
    <row r="7773" spans="1:20" s="22" customFormat="1">
      <c r="A7773" s="19"/>
      <c r="B7773" s="553"/>
      <c r="C7773" s="1320"/>
      <c r="D7773" s="1440"/>
      <c r="E7773" s="2132"/>
      <c r="F7773" s="1441"/>
      <c r="G7773" s="1441"/>
      <c r="H7773" s="1442"/>
      <c r="I7773" s="197" t="s">
        <v>506</v>
      </c>
      <c r="J7773" s="198"/>
      <c r="K7773" s="1307"/>
      <c r="L7773" s="1335"/>
      <c r="M7773" s="1499"/>
      <c r="N7773" s="1701"/>
      <c r="O7773" s="1290"/>
      <c r="P7773" s="1332"/>
      <c r="Q7773" s="3391"/>
      <c r="R7773" s="2338"/>
      <c r="S7773" s="19"/>
      <c r="T7773" s="19"/>
    </row>
    <row r="7774" spans="1:20" s="22" customFormat="1">
      <c r="A7774" s="19"/>
      <c r="B7774" s="554"/>
      <c r="C7774" s="225"/>
      <c r="D7774" s="1440"/>
      <c r="E7774" s="2132"/>
      <c r="F7774" s="1441"/>
      <c r="G7774" s="1441"/>
      <c r="H7774" s="1442"/>
      <c r="I7774" s="197"/>
      <c r="J7774" s="198"/>
      <c r="K7774" s="1307"/>
      <c r="L7774" s="1335"/>
      <c r="M7774" s="1499"/>
      <c r="N7774" s="1701"/>
      <c r="O7774" s="1290"/>
      <c r="P7774" s="1332"/>
      <c r="Q7774" s="3391"/>
      <c r="R7774" s="2338"/>
      <c r="S7774" s="19"/>
      <c r="T7774" s="19"/>
    </row>
    <row r="7775" spans="1:20" s="22" customFormat="1">
      <c r="A7775" s="18" t="s">
        <v>3764</v>
      </c>
      <c r="B7775" s="4325" t="s">
        <v>2395</v>
      </c>
      <c r="C7775" s="3350"/>
      <c r="D7775" s="4327"/>
      <c r="E7775" s="4337" t="s">
        <v>1507</v>
      </c>
      <c r="F7775" s="4338" t="s">
        <v>2396</v>
      </c>
      <c r="G7775" s="4331" t="s">
        <v>1568</v>
      </c>
      <c r="H7775" s="4331" t="s">
        <v>1574</v>
      </c>
      <c r="I7775" s="1572" t="s">
        <v>1559</v>
      </c>
      <c r="J7775" s="1294" t="s">
        <v>1560</v>
      </c>
      <c r="K7775" s="1294" t="s">
        <v>1561</v>
      </c>
      <c r="L7775" s="4333" t="s">
        <v>3765</v>
      </c>
      <c r="M7775" s="4335" t="s">
        <v>1571</v>
      </c>
      <c r="N7775" s="4323" t="s">
        <v>1776</v>
      </c>
      <c r="O7775" s="3347" t="s">
        <v>1563</v>
      </c>
      <c r="P7775" s="1336" t="s">
        <v>1562</v>
      </c>
      <c r="Q7775" s="3389"/>
      <c r="R7775" s="1699" t="s">
        <v>1327</v>
      </c>
    </row>
    <row r="7776" spans="1:20" s="22" customFormat="1">
      <c r="A7776" s="1599" t="s">
        <v>2349</v>
      </c>
      <c r="B7776" s="4390"/>
      <c r="C7776" s="3354"/>
      <c r="D7776" s="4368"/>
      <c r="E7776" s="4329"/>
      <c r="F7776" s="4338"/>
      <c r="G7776" s="4332"/>
      <c r="H7776" s="4332"/>
      <c r="I7776" s="1345">
        <v>110.25</v>
      </c>
      <c r="J7776" s="1307">
        <v>0.25</v>
      </c>
      <c r="K7776" s="1297">
        <f>I7776*J7776</f>
        <v>27.5625</v>
      </c>
      <c r="L7776" s="4334"/>
      <c r="M7776" s="4335"/>
      <c r="N7776" s="4324"/>
      <c r="O7776" s="1298">
        <f>SUM(O7778:O7790)</f>
        <v>16.57151</v>
      </c>
      <c r="P7776" s="1337">
        <f>K7776*O7776</f>
        <v>456.75224437499998</v>
      </c>
      <c r="Q7776" s="3390"/>
      <c r="R7776" s="1721">
        <f>SUM(P7778:P7790)</f>
        <v>456.75224437500009</v>
      </c>
    </row>
    <row r="7777" spans="1:18" s="22" customFormat="1">
      <c r="A7777" s="19"/>
      <c r="B7777" s="1628"/>
      <c r="C7777" s="3352"/>
      <c r="D7777" s="1400"/>
      <c r="E7777" s="2121"/>
      <c r="F7777" s="1389" t="s">
        <v>1</v>
      </c>
      <c r="G7777" s="1629"/>
      <c r="H7777" s="1629"/>
      <c r="I7777" s="1630"/>
      <c r="J7777" s="1609"/>
      <c r="K7777" s="1424"/>
      <c r="L7777" s="1631"/>
      <c r="M7777" s="1426"/>
      <c r="N7777" s="1710"/>
      <c r="O7777" s="1632"/>
      <c r="P7777" s="1633"/>
      <c r="Q7777" s="3390"/>
      <c r="R7777" s="2338"/>
    </row>
    <row r="7778" spans="1:18" s="22" customFormat="1">
      <c r="A7778" s="19"/>
      <c r="B7778" s="553"/>
      <c r="C7778" s="1042"/>
      <c r="D7778" s="1598" t="s">
        <v>1168</v>
      </c>
      <c r="E7778" s="2154" t="s">
        <v>1507</v>
      </c>
      <c r="F7778" s="1598" t="s">
        <v>2397</v>
      </c>
      <c r="G7778" s="1612">
        <v>1.103</v>
      </c>
      <c r="H7778" s="1367"/>
      <c r="I7778" s="1349"/>
      <c r="J7778" s="8"/>
      <c r="K7778" s="1307">
        <f>G7778*K7776</f>
        <v>30.4014375</v>
      </c>
      <c r="L7778" s="1335">
        <f t="shared" ref="L7778:L7780" si="1065">K7778*$K$7441</f>
        <v>0</v>
      </c>
      <c r="M7778" s="1302">
        <v>3.85</v>
      </c>
      <c r="N7778" s="1700"/>
      <c r="O7778" s="1290">
        <f>G7778*M7778</f>
        <v>4.24655</v>
      </c>
      <c r="P7778" s="1332">
        <f>M7778*K7778</f>
        <v>117.045534375</v>
      </c>
      <c r="Q7778" s="3391"/>
      <c r="R7778" s="2338"/>
    </row>
    <row r="7779" spans="1:18" s="22" customFormat="1">
      <c r="A7779" s="19"/>
      <c r="B7779" s="553"/>
      <c r="C7779" s="1042"/>
      <c r="D7779" s="1598" t="s">
        <v>1167</v>
      </c>
      <c r="E7779" s="2154" t="s">
        <v>1517</v>
      </c>
      <c r="F7779" s="1598" t="s">
        <v>2398</v>
      </c>
      <c r="G7779" s="1612">
        <v>1E-3</v>
      </c>
      <c r="H7779" s="1367"/>
      <c r="I7779" s="1617"/>
      <c r="J7779" s="198"/>
      <c r="K7779" s="1307">
        <f>G7779*K7776</f>
        <v>2.75625E-2</v>
      </c>
      <c r="L7779" s="1335">
        <f t="shared" si="1065"/>
        <v>0</v>
      </c>
      <c r="M7779" s="1302">
        <v>173.61</v>
      </c>
      <c r="N7779" s="1700"/>
      <c r="O7779" s="1290">
        <f>G7779*M7779</f>
        <v>0.17361000000000001</v>
      </c>
      <c r="P7779" s="1332">
        <f>M7779*K7779</f>
        <v>4.785125625</v>
      </c>
      <c r="Q7779" s="3391"/>
      <c r="R7779" s="2338"/>
    </row>
    <row r="7780" spans="1:18" s="22" customFormat="1">
      <c r="A7780" s="1042"/>
      <c r="B7780" s="1599"/>
      <c r="C7780" s="1042"/>
      <c r="D7780" s="1654" t="s">
        <v>1082</v>
      </c>
      <c r="E7780" s="2300" t="s">
        <v>1504</v>
      </c>
      <c r="F7780" s="1654" t="s">
        <v>1541</v>
      </c>
      <c r="G7780" s="2185">
        <v>1</v>
      </c>
      <c r="H7780" s="1369"/>
      <c r="I7780" s="1299"/>
      <c r="J7780" s="1300"/>
      <c r="K7780" s="1307">
        <f>K7776*G7780</f>
        <v>27.5625</v>
      </c>
      <c r="L7780" s="1335">
        <f t="shared" si="1065"/>
        <v>0</v>
      </c>
      <c r="M7780" s="1499">
        <v>0.3</v>
      </c>
      <c r="N7780" s="1700"/>
      <c r="O7780" s="1290">
        <f>G7780*M7780</f>
        <v>0.3</v>
      </c>
      <c r="P7780" s="1332">
        <f>M7780*K7780</f>
        <v>8.2687499999999989</v>
      </c>
      <c r="Q7780" s="3391"/>
      <c r="R7780" s="2339"/>
    </row>
    <row r="7781" spans="1:18" s="22" customFormat="1">
      <c r="A7781" s="16"/>
      <c r="B7781" s="1599"/>
      <c r="C7781" s="1320"/>
      <c r="D7781" s="1598"/>
      <c r="E7781" s="1856"/>
      <c r="F7781" s="1598"/>
      <c r="G7781" s="1399"/>
      <c r="H7781" s="1399"/>
      <c r="I7781" s="198"/>
      <c r="J7781" s="198"/>
      <c r="K7781" s="1307"/>
      <c r="L7781" s="1335"/>
      <c r="M7781" s="1499"/>
      <c r="N7781" s="1701"/>
      <c r="O7781" s="1291"/>
      <c r="P7781" s="1332"/>
      <c r="Q7781" s="3391"/>
      <c r="R7781" s="3363"/>
    </row>
    <row r="7782" spans="1:18" s="22" customFormat="1">
      <c r="A7782" s="19"/>
      <c r="B7782" s="553"/>
      <c r="C7782" s="1042"/>
      <c r="D7782" s="1598"/>
      <c r="E7782" s="1856"/>
      <c r="F7782" s="1598"/>
      <c r="G7782" s="1399"/>
      <c r="H7782" s="1399"/>
      <c r="I7782" s="198"/>
      <c r="J7782" s="198"/>
      <c r="K7782" s="1307"/>
      <c r="L7782" s="1335"/>
      <c r="M7782" s="1499"/>
      <c r="N7782" s="1701"/>
      <c r="O7782" s="1291"/>
      <c r="P7782" s="1332"/>
      <c r="Q7782" s="3391"/>
      <c r="R7782" s="2338"/>
    </row>
    <row r="7783" spans="1:18" s="22" customFormat="1">
      <c r="A7783" s="19"/>
      <c r="B7783" s="553"/>
      <c r="C7783" s="1042"/>
      <c r="D7783" s="1404"/>
      <c r="E7783" s="1858"/>
      <c r="F7783" s="1465" t="s">
        <v>2</v>
      </c>
      <c r="G7783" s="1466"/>
      <c r="H7783" s="1362"/>
      <c r="I7783" s="1381"/>
      <c r="J7783" s="1381"/>
      <c r="K7783" s="1359"/>
      <c r="L7783" s="1458"/>
      <c r="M7783" s="1498"/>
      <c r="N7783" s="1498"/>
      <c r="O7783" s="1498"/>
      <c r="P7783" s="1359"/>
      <c r="Q7783" s="3387"/>
      <c r="R7783" s="2338"/>
    </row>
    <row r="7784" spans="1:18" s="22" customFormat="1">
      <c r="A7784" s="19"/>
      <c r="B7784" s="553"/>
      <c r="C7784" s="1042"/>
      <c r="D7784" s="1598" t="s">
        <v>1169</v>
      </c>
      <c r="E7784" s="2154" t="s">
        <v>1508</v>
      </c>
      <c r="F7784" s="1598" t="s">
        <v>2399</v>
      </c>
      <c r="G7784" s="1612">
        <v>0.54500000000000004</v>
      </c>
      <c r="H7784" s="1367"/>
      <c r="I7784" s="1340"/>
      <c r="J7784" s="198"/>
      <c r="K7784" s="1307">
        <f>G7784*K7776</f>
        <v>15.021562500000002</v>
      </c>
      <c r="L7784" s="1335">
        <f t="shared" ref="L7784:L7785" si="1066">K7784*$K$7441</f>
        <v>0</v>
      </c>
      <c r="M7784" s="1729">
        <v>19.23</v>
      </c>
      <c r="N7784" s="1730"/>
      <c r="O7784" s="1290">
        <f>G7784*M7784</f>
        <v>10.480350000000001</v>
      </c>
      <c r="P7784" s="1332">
        <f>M7784*K7784</f>
        <v>288.86464687500006</v>
      </c>
      <c r="Q7784" s="3391"/>
      <c r="R7784" s="2338"/>
    </row>
    <row r="7785" spans="1:18" s="22" customFormat="1">
      <c r="A7785" s="19"/>
      <c r="B7785" s="553"/>
      <c r="C7785" s="1042"/>
      <c r="D7785" s="1618" t="s">
        <v>1067</v>
      </c>
      <c r="E7785" s="2138" t="s">
        <v>1508</v>
      </c>
      <c r="F7785" s="1587" t="s">
        <v>1512</v>
      </c>
      <c r="G7785" s="1588">
        <v>7.4999999999999997E-2</v>
      </c>
      <c r="H7785" s="1367"/>
      <c r="I7785" s="1340"/>
      <c r="J7785" s="198"/>
      <c r="K7785" s="1307">
        <f>G7785*K7776</f>
        <v>2.0671874999999997</v>
      </c>
      <c r="L7785" s="1335">
        <f t="shared" si="1066"/>
        <v>0</v>
      </c>
      <c r="M7785" s="1729">
        <v>18.28</v>
      </c>
      <c r="N7785" s="1730"/>
      <c r="O7785" s="1290">
        <f>(G7785*M7785)</f>
        <v>1.371</v>
      </c>
      <c r="P7785" s="1332">
        <f>M7785*K7785</f>
        <v>37.788187499999999</v>
      </c>
      <c r="Q7785" s="3391"/>
      <c r="R7785" s="2338"/>
    </row>
    <row r="7786" spans="1:18" s="22" customFormat="1">
      <c r="A7786" s="19"/>
      <c r="B7786" s="553"/>
      <c r="C7786" s="1042"/>
      <c r="D7786" s="1618"/>
      <c r="E7786" s="2138"/>
      <c r="F7786" s="1587"/>
      <c r="G7786" s="1588"/>
      <c r="H7786" s="1367"/>
      <c r="I7786" s="1340"/>
      <c r="J7786" s="198"/>
      <c r="K7786" s="1307"/>
      <c r="L7786" s="1335"/>
      <c r="M7786" s="1729"/>
      <c r="N7786" s="1730"/>
      <c r="O7786" s="1290"/>
      <c r="P7786" s="1332"/>
      <c r="Q7786" s="3391"/>
      <c r="R7786" s="2338"/>
    </row>
    <row r="7787" spans="1:18" s="22" customFormat="1">
      <c r="A7787" s="19"/>
      <c r="B7787" s="553"/>
      <c r="C7787" s="1042"/>
      <c r="D7787" s="1411"/>
      <c r="E7787" s="2123"/>
      <c r="F7787" s="1475" t="s">
        <v>3</v>
      </c>
      <c r="G7787" s="1377"/>
      <c r="H7787" s="1376"/>
      <c r="I7787" s="1383" t="s">
        <v>506</v>
      </c>
      <c r="J7787" s="1383"/>
      <c r="K7787" s="1383"/>
      <c r="L7787" s="1413"/>
      <c r="M7787" s="1376"/>
      <c r="N7787" s="1376"/>
      <c r="O7787" s="1376"/>
      <c r="P7787" s="1373"/>
      <c r="Q7787" s="3387"/>
      <c r="R7787" s="2338"/>
    </row>
    <row r="7788" spans="1:18" s="22" customFormat="1">
      <c r="A7788" s="19"/>
      <c r="B7788" s="553"/>
      <c r="C7788" s="1042"/>
      <c r="D7788" s="1440"/>
      <c r="E7788" s="2132"/>
      <c r="F7788" s="1441"/>
      <c r="G7788" s="1441"/>
      <c r="H7788" s="1442"/>
      <c r="I7788" s="197" t="s">
        <v>506</v>
      </c>
      <c r="J7788" s="198"/>
      <c r="K7788" s="1307"/>
      <c r="L7788" s="1335"/>
      <c r="M7788" s="1499"/>
      <c r="N7788" s="1701"/>
      <c r="O7788" s="1290"/>
      <c r="P7788" s="1332"/>
      <c r="Q7788" s="3391"/>
      <c r="R7788" s="2338"/>
    </row>
    <row r="7789" spans="1:18" s="22" customFormat="1">
      <c r="A7789" s="19"/>
      <c r="B7789" s="553"/>
      <c r="C7789" s="1320"/>
      <c r="D7789" s="1440"/>
      <c r="E7789" s="2132"/>
      <c r="F7789" s="1441"/>
      <c r="G7789" s="1441"/>
      <c r="H7789" s="1442"/>
      <c r="I7789" s="197" t="s">
        <v>506</v>
      </c>
      <c r="J7789" s="198"/>
      <c r="K7789" s="1307"/>
      <c r="L7789" s="1335"/>
      <c r="M7789" s="1499"/>
      <c r="N7789" s="1701"/>
      <c r="O7789" s="1290"/>
      <c r="P7789" s="1332"/>
      <c r="Q7789" s="3391"/>
      <c r="R7789" s="2338"/>
    </row>
    <row r="7790" spans="1:18" s="22" customFormat="1">
      <c r="A7790" s="19"/>
      <c r="B7790" s="554"/>
      <c r="C7790" s="225"/>
      <c r="D7790" s="1440"/>
      <c r="E7790" s="2132"/>
      <c r="F7790" s="1441"/>
      <c r="G7790" s="1441"/>
      <c r="H7790" s="1442"/>
      <c r="I7790" s="197"/>
      <c r="J7790" s="198"/>
      <c r="K7790" s="1307"/>
      <c r="L7790" s="1335"/>
      <c r="M7790" s="1499"/>
      <c r="N7790" s="1701"/>
      <c r="O7790" s="1290"/>
      <c r="P7790" s="1332"/>
      <c r="Q7790" s="3391"/>
      <c r="R7790" s="2338"/>
    </row>
    <row r="7791" spans="1:18" s="22" customFormat="1" ht="15" customHeight="1">
      <c r="A7791" s="18" t="s">
        <v>3764</v>
      </c>
      <c r="B7791" s="4325" t="s">
        <v>2400</v>
      </c>
      <c r="C7791" s="3350"/>
      <c r="D7791" s="4327"/>
      <c r="E7791" s="4337" t="s">
        <v>1507</v>
      </c>
      <c r="F7791" s="4338" t="s">
        <v>2401</v>
      </c>
      <c r="G7791" s="4331" t="s">
        <v>1568</v>
      </c>
      <c r="H7791" s="4331" t="s">
        <v>1574</v>
      </c>
      <c r="I7791" s="1572" t="s">
        <v>1559</v>
      </c>
      <c r="J7791" s="1294" t="s">
        <v>1560</v>
      </c>
      <c r="K7791" s="1294" t="s">
        <v>1561</v>
      </c>
      <c r="L7791" s="4333" t="s">
        <v>3765</v>
      </c>
      <c r="M7791" s="4335" t="s">
        <v>1571</v>
      </c>
      <c r="N7791" s="4323" t="s">
        <v>1776</v>
      </c>
      <c r="O7791" s="3347" t="s">
        <v>1563</v>
      </c>
      <c r="P7791" s="1336" t="s">
        <v>1562</v>
      </c>
      <c r="Q7791" s="3389"/>
      <c r="R7791" s="1699" t="s">
        <v>1327</v>
      </c>
    </row>
    <row r="7792" spans="1:18" s="22" customFormat="1">
      <c r="A7792" s="1599" t="s">
        <v>2349</v>
      </c>
      <c r="B7792" s="4326"/>
      <c r="C7792" s="3354"/>
      <c r="D7792" s="4328"/>
      <c r="E7792" s="4337"/>
      <c r="F7792" s="4338"/>
      <c r="G7792" s="4332"/>
      <c r="H7792" s="4332"/>
      <c r="I7792" s="1345">
        <v>110.25</v>
      </c>
      <c r="J7792" s="1307">
        <v>0.25</v>
      </c>
      <c r="K7792" s="1297">
        <f>I7792*J7792</f>
        <v>27.5625</v>
      </c>
      <c r="L7792" s="4334"/>
      <c r="M7792" s="4335"/>
      <c r="N7792" s="4324"/>
      <c r="O7792" s="1298">
        <f>SUM(O7794:O7806)</f>
        <v>3.9815999999999998</v>
      </c>
      <c r="P7792" s="1337">
        <f>K7792*O7792</f>
        <v>109.74284999999999</v>
      </c>
      <c r="Q7792" s="3390"/>
      <c r="R7792" s="1721">
        <f>SUM(P7794:P7806)</f>
        <v>109.74285</v>
      </c>
    </row>
    <row r="7793" spans="1:18" s="22" customFormat="1">
      <c r="A7793" s="19"/>
      <c r="B7793" s="551"/>
      <c r="C7793" s="18"/>
      <c r="D7793" s="1400"/>
      <c r="E7793" s="2121"/>
      <c r="F7793" s="1389" t="s">
        <v>1</v>
      </c>
      <c r="G7793" s="1369"/>
      <c r="H7793" s="1629"/>
      <c r="I7793" s="1391"/>
      <c r="J7793" s="1369"/>
      <c r="K7793" s="1369"/>
      <c r="L7793" s="1554"/>
      <c r="M7793" s="1487"/>
      <c r="N7793" s="1487"/>
      <c r="O7793" s="1487"/>
      <c r="P7793" s="1367"/>
      <c r="Q7793" s="3387"/>
      <c r="R7793" s="2338"/>
    </row>
    <row r="7794" spans="1:18" s="22" customFormat="1">
      <c r="A7794" s="19"/>
      <c r="B7794" s="553"/>
      <c r="C7794" s="1042"/>
      <c r="D7794" s="1615" t="s">
        <v>1698</v>
      </c>
      <c r="E7794" s="1856" t="s">
        <v>1357</v>
      </c>
      <c r="F7794" s="1421" t="s">
        <v>1699</v>
      </c>
      <c r="G7794" s="2090">
        <v>0.45</v>
      </c>
      <c r="H7794" s="1367"/>
      <c r="I7794" s="1342"/>
      <c r="J7794" s="198"/>
      <c r="K7794" s="1307">
        <f>G7794*K7792</f>
        <v>12.403125000000001</v>
      </c>
      <c r="L7794" s="1335">
        <f t="shared" ref="L7794:L7796" si="1067">K7794*$K$7441</f>
        <v>0</v>
      </c>
      <c r="M7794" s="1302">
        <v>1.7</v>
      </c>
      <c r="N7794" s="1700"/>
      <c r="O7794" s="1290">
        <f>(G7794*M7794)</f>
        <v>0.76500000000000001</v>
      </c>
      <c r="P7794" s="1332">
        <f>M7794*K7794</f>
        <v>21.085312500000001</v>
      </c>
      <c r="Q7794" s="3391"/>
      <c r="R7794" s="2338"/>
    </row>
    <row r="7795" spans="1:18" s="22" customFormat="1">
      <c r="A7795" s="19"/>
      <c r="B7795" s="553"/>
      <c r="C7795" s="1042"/>
      <c r="D7795" s="1615" t="s">
        <v>1214</v>
      </c>
      <c r="E7795" s="1856" t="s">
        <v>1357</v>
      </c>
      <c r="F7795" s="1421" t="s">
        <v>1700</v>
      </c>
      <c r="G7795" s="1452">
        <v>0.35</v>
      </c>
      <c r="H7795" s="1367"/>
      <c r="I7795" s="1286"/>
      <c r="J7795" s="198"/>
      <c r="K7795" s="1307">
        <f>G7795*K7792</f>
        <v>9.6468749999999996</v>
      </c>
      <c r="L7795" s="1335">
        <f t="shared" si="1067"/>
        <v>0</v>
      </c>
      <c r="M7795" s="1302">
        <v>4.2</v>
      </c>
      <c r="N7795" s="1700"/>
      <c r="O7795" s="1290">
        <f>(G7795*M7795)</f>
        <v>1.47</v>
      </c>
      <c r="P7795" s="1332">
        <f>M7795*K7795</f>
        <v>40.516874999999999</v>
      </c>
      <c r="Q7795" s="3391"/>
      <c r="R7795" s="3363"/>
    </row>
    <row r="7796" spans="1:18" s="22" customFormat="1">
      <c r="A7796" s="19"/>
      <c r="B7796" s="553"/>
      <c r="C7796" s="1320"/>
      <c r="D7796" s="1400" t="s">
        <v>1701</v>
      </c>
      <c r="E7796" s="1856" t="s">
        <v>1504</v>
      </c>
      <c r="F7796" s="1421" t="s">
        <v>1541</v>
      </c>
      <c r="G7796" s="1399">
        <v>0.2</v>
      </c>
      <c r="H7796" s="1369"/>
      <c r="I7796" s="1614"/>
      <c r="J7796" s="1341"/>
      <c r="K7796" s="1307">
        <f>G7796*K7792</f>
        <v>5.5125000000000002</v>
      </c>
      <c r="L7796" s="1335">
        <f t="shared" si="1067"/>
        <v>0</v>
      </c>
      <c r="M7796" s="1302">
        <v>0.3</v>
      </c>
      <c r="N7796" s="1700"/>
      <c r="O7796" s="1290">
        <f>(G7796*M7796)</f>
        <v>0.06</v>
      </c>
      <c r="P7796" s="1332">
        <f>M7796*K7796</f>
        <v>1.6537500000000001</v>
      </c>
      <c r="Q7796" s="3391"/>
      <c r="R7796" s="3363"/>
    </row>
    <row r="7797" spans="1:18" s="22" customFormat="1">
      <c r="A7797" s="19"/>
      <c r="B7797" s="553"/>
      <c r="C7797" s="1320"/>
      <c r="D7797" s="1400"/>
      <c r="E7797" s="1856"/>
      <c r="F7797" s="1421"/>
      <c r="G7797" s="1399"/>
      <c r="H7797" s="1399"/>
      <c r="I7797" s="1614"/>
      <c r="J7797" s="1341"/>
      <c r="K7797" s="1307"/>
      <c r="L7797" s="1335"/>
      <c r="M7797" s="1302"/>
      <c r="N7797" s="1700"/>
      <c r="O7797" s="1290"/>
      <c r="P7797" s="1332"/>
      <c r="Q7797" s="3391"/>
      <c r="R7797" s="3363"/>
    </row>
    <row r="7798" spans="1:18" s="22" customFormat="1">
      <c r="A7798" s="19"/>
      <c r="B7798" s="553"/>
      <c r="C7798" s="1042"/>
      <c r="D7798" s="1400"/>
      <c r="E7798" s="1856"/>
      <c r="F7798" s="1421"/>
      <c r="G7798" s="1399"/>
      <c r="H7798" s="1399"/>
      <c r="I7798" s="1614"/>
      <c r="J7798" s="1341"/>
      <c r="K7798" s="1307"/>
      <c r="L7798" s="1335"/>
      <c r="M7798" s="1302"/>
      <c r="N7798" s="1700"/>
      <c r="O7798" s="1290"/>
      <c r="P7798" s="1332"/>
      <c r="Q7798" s="3391"/>
      <c r="R7798" s="3363"/>
    </row>
    <row r="7799" spans="1:18" s="22" customFormat="1">
      <c r="A7799" s="19"/>
      <c r="B7799" s="553"/>
      <c r="C7799" s="1042"/>
      <c r="D7799" s="1404"/>
      <c r="E7799" s="1858"/>
      <c r="F7799" s="1465" t="s">
        <v>2</v>
      </c>
      <c r="G7799" s="1362"/>
      <c r="H7799" s="1362"/>
      <c r="I7799" s="1381"/>
      <c r="J7799" s="1381"/>
      <c r="K7799" s="1359"/>
      <c r="L7799" s="1458"/>
      <c r="M7799" s="1498"/>
      <c r="N7799" s="1498"/>
      <c r="O7799" s="1498"/>
      <c r="P7799" s="1359"/>
      <c r="Q7799" s="3387"/>
      <c r="R7799" s="3363"/>
    </row>
    <row r="7800" spans="1:18" s="22" customFormat="1">
      <c r="A7800" s="19"/>
      <c r="B7800" s="553"/>
      <c r="C7800" s="1042"/>
      <c r="D7800" s="1623" t="s">
        <v>2113</v>
      </c>
      <c r="E7800" s="2158" t="s">
        <v>1508</v>
      </c>
      <c r="F7800" s="1801" t="s">
        <v>2112</v>
      </c>
      <c r="G7800" s="2216">
        <v>0.09</v>
      </c>
      <c r="H7800" s="1367"/>
      <c r="I7800" s="1340"/>
      <c r="J7800" s="198"/>
      <c r="K7800" s="1307">
        <f>G7800*K7792</f>
        <v>2.4806249999999999</v>
      </c>
      <c r="L7800" s="1335">
        <f t="shared" ref="L7800" si="1068">K7800*$K$7441</f>
        <v>0</v>
      </c>
      <c r="M7800" s="1302">
        <v>18.739999999999998</v>
      </c>
      <c r="N7800" s="1700"/>
      <c r="O7800" s="1290">
        <f>(G7800*M7800)</f>
        <v>1.6865999999999999</v>
      </c>
      <c r="P7800" s="1332">
        <f>M7800*K7800</f>
        <v>46.486912499999995</v>
      </c>
      <c r="Q7800" s="3391"/>
      <c r="R7800" s="3363"/>
    </row>
    <row r="7801" spans="1:18" s="22" customFormat="1">
      <c r="A7801"/>
      <c r="B7801" s="553"/>
      <c r="C7801" s="1042"/>
      <c r="D7801" s="1623"/>
      <c r="E7801" s="2158"/>
      <c r="F7801" s="1801"/>
      <c r="G7801" s="2217"/>
      <c r="H7801" s="1367"/>
      <c r="I7801" s="1340"/>
      <c r="J7801" s="198"/>
      <c r="K7801" s="1307"/>
      <c r="L7801" s="1335"/>
      <c r="M7801" s="1302"/>
      <c r="N7801" s="1700"/>
      <c r="O7801" s="1290"/>
      <c r="P7801" s="1332"/>
      <c r="Q7801" s="3391"/>
      <c r="R7801" s="2344"/>
    </row>
    <row r="7802" spans="1:18" s="22" customFormat="1">
      <c r="A7802"/>
      <c r="B7802" s="553"/>
      <c r="C7802" s="1042"/>
      <c r="D7802" s="1623"/>
      <c r="E7802" s="2158"/>
      <c r="F7802" s="1801"/>
      <c r="G7802" s="2218"/>
      <c r="H7802" s="1367"/>
      <c r="I7802" s="1340"/>
      <c r="J7802" s="198"/>
      <c r="K7802" s="1307"/>
      <c r="L7802" s="1335"/>
      <c r="M7802" s="1302"/>
      <c r="N7802" s="1700"/>
      <c r="O7802" s="1290"/>
      <c r="P7802" s="1332"/>
      <c r="Q7802" s="3391"/>
      <c r="R7802" s="3363"/>
    </row>
    <row r="7803" spans="1:18" s="22" customFormat="1">
      <c r="A7803"/>
      <c r="B7803" s="553"/>
      <c r="C7803" s="1042"/>
      <c r="D7803" s="1411"/>
      <c r="E7803" s="2123"/>
      <c r="F7803" s="1475" t="s">
        <v>3</v>
      </c>
      <c r="G7803" s="1376"/>
      <c r="H7803" s="1376"/>
      <c r="I7803" s="1383" t="s">
        <v>506</v>
      </c>
      <c r="J7803" s="1383"/>
      <c r="K7803" s="1383"/>
      <c r="L7803" s="1413"/>
      <c r="M7803" s="1376"/>
      <c r="N7803" s="1376"/>
      <c r="O7803" s="1376"/>
      <c r="P7803" s="1373"/>
      <c r="Q7803" s="3387"/>
      <c r="R7803" s="3363"/>
    </row>
    <row r="7804" spans="1:18" s="22" customFormat="1">
      <c r="A7804"/>
      <c r="B7804" s="553"/>
      <c r="C7804" s="1042"/>
      <c r="D7804" s="1440"/>
      <c r="E7804" s="2132"/>
      <c r="F7804" s="1441"/>
      <c r="G7804" s="1442"/>
      <c r="H7804" s="1442"/>
      <c r="I7804" s="197" t="s">
        <v>506</v>
      </c>
      <c r="J7804" s="198"/>
      <c r="K7804" s="1307"/>
      <c r="L7804" s="1335"/>
      <c r="M7804" s="1499"/>
      <c r="N7804" s="1701"/>
      <c r="O7804" s="1290"/>
      <c r="P7804" s="1332"/>
      <c r="Q7804" s="3391"/>
      <c r="R7804" s="1173"/>
    </row>
    <row r="7805" spans="1:18" s="22" customFormat="1">
      <c r="A7805"/>
      <c r="B7805" s="553"/>
      <c r="C7805" s="1042"/>
      <c r="D7805" s="1440"/>
      <c r="E7805" s="2132"/>
      <c r="F7805" s="1441"/>
      <c r="G7805" s="1442"/>
      <c r="H7805" s="1442"/>
      <c r="I7805" s="197" t="s">
        <v>506</v>
      </c>
      <c r="J7805" s="198"/>
      <c r="K7805" s="1307"/>
      <c r="L7805" s="1335"/>
      <c r="M7805" s="1499"/>
      <c r="N7805" s="1701"/>
      <c r="O7805" s="1290"/>
      <c r="P7805" s="1332"/>
      <c r="Q7805" s="3391"/>
      <c r="R7805" s="2338"/>
    </row>
    <row r="7806" spans="1:18" s="22" customFormat="1">
      <c r="A7806"/>
      <c r="B7806" s="554"/>
      <c r="C7806" s="223"/>
      <c r="D7806" s="1440"/>
      <c r="E7806" s="2132"/>
      <c r="F7806" s="1955"/>
      <c r="G7806" s="1956"/>
      <c r="H7806" s="1442"/>
      <c r="I7806" s="197"/>
      <c r="J7806" s="198"/>
      <c r="K7806" s="1307"/>
      <c r="L7806" s="1335"/>
      <c r="M7806" s="1499"/>
      <c r="N7806" s="1701"/>
      <c r="O7806" s="1290"/>
      <c r="P7806" s="1332"/>
      <c r="Q7806" s="3391"/>
      <c r="R7806" s="2338"/>
    </row>
    <row r="7807" spans="1:18" s="22" customFormat="1">
      <c r="B7807" s="16"/>
      <c r="C7807" s="16"/>
      <c r="D7807" s="1795"/>
      <c r="E7807" s="2179"/>
      <c r="F7807" s="1795"/>
      <c r="G7807" s="1797"/>
      <c r="H7807" s="1797"/>
      <c r="I7807" s="1561"/>
      <c r="J7807" s="1561"/>
      <c r="K7807" s="1639"/>
      <c r="L7807" s="1640"/>
      <c r="M7807" s="1292"/>
      <c r="N7807" s="1292"/>
      <c r="O7807" s="1292"/>
      <c r="P7807" s="1292"/>
      <c r="Q7807" s="3391"/>
      <c r="R7807" s="3363"/>
    </row>
    <row r="7808" spans="1:18" s="22" customFormat="1">
      <c r="A7808" s="4391" t="s">
        <v>202</v>
      </c>
      <c r="B7808" s="4392"/>
      <c r="C7808" s="4392"/>
      <c r="D7808" s="4392"/>
      <c r="E7808" s="1303" t="s">
        <v>1504</v>
      </c>
      <c r="F7808" s="2115" t="s">
        <v>2754</v>
      </c>
      <c r="G7808" s="1288"/>
      <c r="H7808" s="1288"/>
      <c r="I7808" s="1557"/>
      <c r="J7808" s="1288"/>
      <c r="K7808" s="1288"/>
      <c r="L7808" s="1557"/>
      <c r="M7808" s="1288"/>
      <c r="N7808" s="1288"/>
      <c r="O7808" s="1288"/>
      <c r="P7808" s="1283"/>
      <c r="Q7808" s="3386"/>
      <c r="R7808" s="2339"/>
    </row>
    <row r="7809" spans="1:18" s="16" customFormat="1" ht="28.5">
      <c r="D7809" s="1795"/>
      <c r="E7809" s="2179"/>
      <c r="F7809" s="1795"/>
      <c r="G7809" s="1795"/>
      <c r="H7809" s="1797"/>
      <c r="I7809" s="1561"/>
      <c r="J7809" s="1561"/>
      <c r="K7809" s="1639"/>
      <c r="L7809" s="2375" t="s">
        <v>2856</v>
      </c>
      <c r="M7809" s="1292"/>
      <c r="N7809" s="1292"/>
      <c r="O7809" s="1292"/>
      <c r="P7809" s="1292"/>
      <c r="Q7809" s="3391"/>
      <c r="R7809" s="3363"/>
    </row>
    <row r="7810" spans="1:18" s="22" customFormat="1">
      <c r="A7810" s="4393" t="s">
        <v>162</v>
      </c>
      <c r="B7810" s="4394"/>
      <c r="C7810" s="4394"/>
      <c r="D7810" s="4395"/>
      <c r="E7810" s="4396" t="s">
        <v>1549</v>
      </c>
      <c r="F7810" s="4397" t="s">
        <v>1550</v>
      </c>
      <c r="G7810" s="4399" t="s">
        <v>1566</v>
      </c>
      <c r="H7810" s="4400"/>
      <c r="I7810" s="4400"/>
      <c r="J7810" s="4400"/>
      <c r="K7810" s="4400"/>
      <c r="L7810" s="4401"/>
      <c r="M7810" s="4405" t="s">
        <v>1567</v>
      </c>
      <c r="N7810" s="4405"/>
      <c r="O7810" s="4405"/>
      <c r="P7810" s="4405"/>
      <c r="Q7810" s="3395"/>
      <c r="R7810" s="2339"/>
    </row>
    <row r="7811" spans="1:18" s="22" customFormat="1" ht="15" thickBot="1">
      <c r="A7811" s="1324" t="s">
        <v>3766</v>
      </c>
      <c r="B7811" s="1325" t="s">
        <v>1513</v>
      </c>
      <c r="C7811" s="1326" t="s">
        <v>1573</v>
      </c>
      <c r="D7811" s="1323" t="s">
        <v>1514</v>
      </c>
      <c r="E7811" s="4396"/>
      <c r="F7811" s="4398"/>
      <c r="G7811" s="4402"/>
      <c r="H7811" s="4403"/>
      <c r="I7811" s="4403"/>
      <c r="J7811" s="4403"/>
      <c r="K7811" s="4403"/>
      <c r="L7811" s="4404"/>
      <c r="M7811" s="4405"/>
      <c r="N7811" s="4405"/>
      <c r="O7811" s="4405"/>
      <c r="P7811" s="4405"/>
      <c r="Q7811" s="3395"/>
      <c r="R7811" s="2339"/>
    </row>
    <row r="7812" spans="1:18" s="22" customFormat="1" ht="38.25" customHeight="1">
      <c r="A7812" s="4374" t="s">
        <v>2403</v>
      </c>
      <c r="B7812" s="4375"/>
      <c r="C7812" s="4375"/>
      <c r="D7812" s="4376"/>
      <c r="E7812" s="4380" t="s">
        <v>1527</v>
      </c>
      <c r="F7812" s="4382" t="s">
        <v>2404</v>
      </c>
      <c r="G7812" s="4406" t="s">
        <v>294</v>
      </c>
      <c r="H7812" s="4407"/>
      <c r="I7812" s="1665" t="s">
        <v>1565</v>
      </c>
      <c r="J7812" s="3348" t="s">
        <v>1575</v>
      </c>
      <c r="K7812" s="4406" t="s">
        <v>289</v>
      </c>
      <c r="L7812" s="4407"/>
      <c r="M7812" s="4408" t="s">
        <v>3349</v>
      </c>
      <c r="N7812" s="4408"/>
      <c r="O7812" s="4408"/>
      <c r="P7812" s="4409"/>
      <c r="Q7812" s="4244" t="s">
        <v>3965</v>
      </c>
      <c r="R7812" s="2339"/>
    </row>
    <row r="7813" spans="1:18" s="22" customFormat="1" ht="20.25" customHeight="1" thickBot="1">
      <c r="A7813" s="4377"/>
      <c r="B7813" s="4378"/>
      <c r="C7813" s="4378"/>
      <c r="D7813" s="4379"/>
      <c r="E7813" s="4381"/>
      <c r="F7813" s="4383"/>
      <c r="G7813" s="4451">
        <f>IF('Seleccion proyecto HEREVEA02'!G59="Sustitución y reposición en polietileno",'Seleccion proyecto HEREVEA02'!E59,0)</f>
        <v>0</v>
      </c>
      <c r="H7813" s="4452"/>
      <c r="I7813" s="3353">
        <f>IF('Seleccion proyecto HEREVEA02'!H59=0,0,IF('Seleccion proyecto HEREVEA02'!H59="1 a 30",0.3,IF('Seleccion proyecto HEREVEA02'!H59="31 a 60",0.6,IF('Seleccion proyecto HEREVEA02'!H59="61 a 100",1))))</f>
        <v>0</v>
      </c>
      <c r="J7813" s="1351">
        <f>'Seleccion proyecto HEREVEA02'!L8</f>
        <v>11100.968999999999</v>
      </c>
      <c r="K7813" s="4358">
        <f>G7813*I7813*J7813</f>
        <v>0</v>
      </c>
      <c r="L7813" s="4359"/>
      <c r="M7813" s="4360">
        <f>P7816+P7817+P7818+P7823+P7836+P7849+P7863+P7884+P7903+P7922+P7941+P7960+P7979+P8008+P8068+P7993+P8053+P8023+P8038</f>
        <v>19.582831549999998</v>
      </c>
      <c r="N7813" s="4361"/>
      <c r="O7813" s="4361"/>
      <c r="P7813" s="4362"/>
      <c r="Q7813" s="4245">
        <f>M7813*K7813</f>
        <v>0</v>
      </c>
      <c r="R7813" s="2339"/>
    </row>
    <row r="7814" spans="1:18" s="22" customFormat="1">
      <c r="A7814" s="553"/>
      <c r="B7814" s="4339"/>
      <c r="C7814" s="3361"/>
      <c r="D7814" s="4340"/>
      <c r="E7814" s="4342"/>
      <c r="F7814" s="4344" t="s">
        <v>2</v>
      </c>
      <c r="G7814" s="4346" t="s">
        <v>1568</v>
      </c>
      <c r="H7814" s="4348" t="s">
        <v>1574</v>
      </c>
      <c r="I7814" s="4350"/>
      <c r="J7814" s="4351" t="s">
        <v>1560</v>
      </c>
      <c r="K7814" s="4351" t="s">
        <v>1569</v>
      </c>
      <c r="L7814" s="4333" t="s">
        <v>3765</v>
      </c>
      <c r="M7814" s="4352" t="s">
        <v>1571</v>
      </c>
      <c r="N7814" s="4353" t="s">
        <v>1776</v>
      </c>
      <c r="O7814" s="4354" t="s">
        <v>1563</v>
      </c>
      <c r="P7814" s="4356" t="s">
        <v>1562</v>
      </c>
      <c r="Q7814" s="3389"/>
      <c r="R7814" s="2339"/>
    </row>
    <row r="7815" spans="1:18" s="22" customFormat="1">
      <c r="A7815" s="2083"/>
      <c r="B7815" s="4339"/>
      <c r="C7815" s="3361"/>
      <c r="D7815" s="4341"/>
      <c r="E7815" s="4343"/>
      <c r="F7815" s="4345"/>
      <c r="G7815" s="4347"/>
      <c r="H7815" s="4349"/>
      <c r="I7815" s="4350"/>
      <c r="J7815" s="4351"/>
      <c r="K7815" s="4351"/>
      <c r="L7815" s="4334"/>
      <c r="M7815" s="4352"/>
      <c r="N7815" s="4353"/>
      <c r="O7815" s="4355"/>
      <c r="P7815" s="4357"/>
      <c r="Q7815" s="3389"/>
      <c r="R7815" s="2339"/>
    </row>
    <row r="7816" spans="1:18" s="22" customFormat="1">
      <c r="A7816" s="2053"/>
      <c r="B7816" s="1321"/>
      <c r="C7816" s="1295"/>
      <c r="D7816" s="1363" t="s">
        <v>1067</v>
      </c>
      <c r="E7816" s="2125" t="s">
        <v>1508</v>
      </c>
      <c r="F7816" s="1385" t="s">
        <v>1512</v>
      </c>
      <c r="G7816" s="1998">
        <v>4.45</v>
      </c>
      <c r="H7816" s="2084"/>
      <c r="I7816" s="2085"/>
      <c r="J7816" s="1589">
        <v>5.0000000000000001E-3</v>
      </c>
      <c r="K7816" s="1307">
        <f>G7816*J7816</f>
        <v>2.2250000000000002E-2</v>
      </c>
      <c r="L7816" s="1335">
        <f>K7816*$K$7813</f>
        <v>0</v>
      </c>
      <c r="M7816" s="1302">
        <v>18.28</v>
      </c>
      <c r="N7816" s="1700"/>
      <c r="O7816" s="1290">
        <f>G7816*M7816</f>
        <v>81.346000000000004</v>
      </c>
      <c r="P7816" s="1337">
        <f>M7816*K7816</f>
        <v>0.40673000000000009</v>
      </c>
      <c r="Q7816" s="3390"/>
      <c r="R7816" s="2339"/>
    </row>
    <row r="7817" spans="1:18" s="22" customFormat="1">
      <c r="A7817" s="1599"/>
      <c r="B7817" s="1320"/>
      <c r="C7817" s="16"/>
      <c r="D7817" s="1359" t="s">
        <v>1099</v>
      </c>
      <c r="E7817" s="1858" t="s">
        <v>1508</v>
      </c>
      <c r="F7817" s="1404" t="s">
        <v>2405</v>
      </c>
      <c r="G7817" s="2096">
        <v>4.54</v>
      </c>
      <c r="H7817" s="1359"/>
      <c r="I7817" s="1289"/>
      <c r="J7817" s="8">
        <v>5.0000000000000001E-3</v>
      </c>
      <c r="K7817" s="1307">
        <f>G7817*J7817</f>
        <v>2.2700000000000001E-2</v>
      </c>
      <c r="L7817" s="1335">
        <f>K7817*$K$7813</f>
        <v>0</v>
      </c>
      <c r="M7817" s="1302">
        <v>19.23</v>
      </c>
      <c r="N7817" s="1700"/>
      <c r="O7817" s="1290">
        <f>G7817*M7817</f>
        <v>87.304200000000009</v>
      </c>
      <c r="P7817" s="1337">
        <f>M7817*K7817</f>
        <v>0.43652100000000005</v>
      </c>
      <c r="Q7817" s="3390"/>
      <c r="R7817" s="2339"/>
    </row>
    <row r="7818" spans="1:18" s="22" customFormat="1">
      <c r="A7818"/>
      <c r="B7818" s="1042"/>
      <c r="C7818" s="2086" t="s">
        <v>2282</v>
      </c>
      <c r="D7818" s="1311"/>
      <c r="E7818" s="2176" t="s">
        <v>1508</v>
      </c>
      <c r="F7818" s="1648" t="s">
        <v>2283</v>
      </c>
      <c r="G7818" s="1990"/>
      <c r="H7818" s="1338">
        <v>1.28</v>
      </c>
      <c r="I7818" s="1444"/>
      <c r="J7818" s="1388">
        <v>5.0000000000000001E-3</v>
      </c>
      <c r="K7818" s="1445"/>
      <c r="L7818" s="1457"/>
      <c r="M7818" s="1447"/>
      <c r="N7818" s="1447">
        <f>SUM(N7819:N7820)</f>
        <v>37.019999999999996</v>
      </c>
      <c r="O7818" s="1447">
        <f>SUM(O7819:O7820)</f>
        <v>47.385599999999997</v>
      </c>
      <c r="P7818" s="1447">
        <f>SUM(P7819:P7820)</f>
        <v>0.23692800000000003</v>
      </c>
      <c r="Q7818" s="3391"/>
      <c r="R7818" s="2337"/>
    </row>
    <row r="7819" spans="1:18" s="22" customFormat="1">
      <c r="A7819"/>
      <c r="B7819" s="1042"/>
      <c r="C7819" s="19"/>
      <c r="D7819" s="1430" t="s">
        <v>1067</v>
      </c>
      <c r="E7819" s="1857" t="s">
        <v>1508</v>
      </c>
      <c r="F7819" s="1403" t="s">
        <v>5</v>
      </c>
      <c r="G7819" s="1991">
        <v>1</v>
      </c>
      <c r="H7819" s="1408">
        <f>G7819*H7818</f>
        <v>1.28</v>
      </c>
      <c r="I7819" s="1286"/>
      <c r="J7819" s="198"/>
      <c r="K7819" s="1307">
        <f>H7819*J7818</f>
        <v>6.4000000000000003E-3</v>
      </c>
      <c r="L7819" s="1335">
        <f t="shared" ref="L7819:L7820" si="1069">K7819*$K$7813</f>
        <v>0</v>
      </c>
      <c r="M7819" s="1302">
        <v>18.28</v>
      </c>
      <c r="N7819" s="1718">
        <f>G7819*M7819</f>
        <v>18.28</v>
      </c>
      <c r="O7819" s="1290">
        <f>H7819*M7819</f>
        <v>23.398400000000002</v>
      </c>
      <c r="P7819" s="1720">
        <f>M7819*K7819</f>
        <v>0.11699200000000001</v>
      </c>
      <c r="Q7819" s="3396"/>
      <c r="R7819" s="2337"/>
    </row>
    <row r="7820" spans="1:18" s="22" customFormat="1">
      <c r="A7820"/>
      <c r="B7820" s="1042"/>
      <c r="C7820" s="19"/>
      <c r="D7820" s="1430" t="s">
        <v>1165</v>
      </c>
      <c r="E7820" s="1857" t="s">
        <v>1508</v>
      </c>
      <c r="F7820" s="1394" t="s">
        <v>114</v>
      </c>
      <c r="G7820" s="2183">
        <v>1</v>
      </c>
      <c r="H7820" s="1395">
        <f>G7820*H7818</f>
        <v>1.28</v>
      </c>
      <c r="I7820" s="197"/>
      <c r="J7820" s="198"/>
      <c r="K7820" s="1307">
        <f>H7820*J7818</f>
        <v>6.4000000000000003E-3</v>
      </c>
      <c r="L7820" s="1335">
        <f t="shared" si="1069"/>
        <v>0</v>
      </c>
      <c r="M7820" s="1302">
        <v>18.739999999999998</v>
      </c>
      <c r="N7820" s="1718">
        <f>G7820*M7820</f>
        <v>18.739999999999998</v>
      </c>
      <c r="O7820" s="1290">
        <f>H7820*M7820</f>
        <v>23.987199999999998</v>
      </c>
      <c r="P7820" s="1720">
        <f>M7820*K7820</f>
        <v>0.119936</v>
      </c>
      <c r="Q7820" s="3396"/>
      <c r="R7820" s="2337"/>
    </row>
    <row r="7821" spans="1:18" s="22" customFormat="1">
      <c r="A7821"/>
      <c r="B7821" s="225"/>
      <c r="C7821" s="16"/>
      <c r="D7821" s="1359"/>
      <c r="E7821" s="1858"/>
      <c r="F7821" s="1361"/>
      <c r="G7821" s="1361"/>
      <c r="H7821" s="1466"/>
      <c r="I7821" s="1289"/>
      <c r="J7821" s="8"/>
      <c r="K7821" s="1307"/>
      <c r="L7821" s="1335"/>
      <c r="M7821" s="1302"/>
      <c r="N7821" s="1700"/>
      <c r="O7821" s="1290"/>
      <c r="P7821" s="1332"/>
      <c r="Q7821" s="3391"/>
      <c r="R7821" s="2339"/>
    </row>
    <row r="7822" spans="1:18" s="22" customFormat="1">
      <c r="A7822" s="19" t="s">
        <v>3764</v>
      </c>
      <c r="B7822" s="4325" t="s">
        <v>2406</v>
      </c>
      <c r="C7822" s="3350"/>
      <c r="D7822" s="4327"/>
      <c r="E7822" s="4329" t="s">
        <v>1504</v>
      </c>
      <c r="F7822" s="4338" t="s">
        <v>2407</v>
      </c>
      <c r="G7822" s="4331" t="s">
        <v>1568</v>
      </c>
      <c r="H7822" s="4331" t="s">
        <v>1574</v>
      </c>
      <c r="I7822" s="1572" t="s">
        <v>1559</v>
      </c>
      <c r="J7822" s="1294" t="s">
        <v>1560</v>
      </c>
      <c r="K7822" s="1294" t="s">
        <v>1561</v>
      </c>
      <c r="L7822" s="4333" t="s">
        <v>3765</v>
      </c>
      <c r="M7822" s="4335" t="s">
        <v>1571</v>
      </c>
      <c r="N7822" s="4323" t="s">
        <v>1776</v>
      </c>
      <c r="O7822" s="3347" t="s">
        <v>1563</v>
      </c>
      <c r="P7822" s="1336" t="s">
        <v>1562</v>
      </c>
      <c r="Q7822" s="3389"/>
      <c r="R7822" s="1699" t="s">
        <v>1327</v>
      </c>
    </row>
    <row r="7823" spans="1:18" s="22" customFormat="1">
      <c r="A7823" s="1599" t="s">
        <v>2403</v>
      </c>
      <c r="B7823" s="4326"/>
      <c r="C7823" s="3351"/>
      <c r="D7823" s="4328"/>
      <c r="E7823" s="4330"/>
      <c r="F7823" s="4338"/>
      <c r="G7823" s="4332"/>
      <c r="H7823" s="4332"/>
      <c r="I7823" s="1345">
        <v>0.4</v>
      </c>
      <c r="J7823" s="1307">
        <v>5.0000000000000001E-3</v>
      </c>
      <c r="K7823" s="1297">
        <f>I7823*J7823</f>
        <v>2E-3</v>
      </c>
      <c r="L7823" s="4334"/>
      <c r="M7823" s="4335"/>
      <c r="N7823" s="4324"/>
      <c r="O7823" s="1298">
        <f>SUM(O7825:O7833)</f>
        <v>2.5592000000000006</v>
      </c>
      <c r="P7823" s="1337">
        <f>O7823*K7823</f>
        <v>5.1184000000000012E-3</v>
      </c>
      <c r="Q7823" s="3390"/>
      <c r="R7823" s="1721">
        <f>SUM(P7825:P7834)</f>
        <v>5.1184000000000012E-3</v>
      </c>
    </row>
    <row r="7824" spans="1:18" s="22" customFormat="1">
      <c r="A7824" s="1320"/>
      <c r="B7824" s="1511"/>
      <c r="C7824" s="18"/>
      <c r="D7824" s="1463"/>
      <c r="E7824" s="2121"/>
      <c r="F7824" s="1368" t="s">
        <v>1</v>
      </c>
      <c r="G7824" s="1464"/>
      <c r="H7824" s="1426"/>
      <c r="I7824" s="1391"/>
      <c r="J7824" s="1369"/>
      <c r="K7824" s="1369"/>
      <c r="L7824" s="1554"/>
      <c r="M7824" s="1369"/>
      <c r="N7824" s="1369"/>
      <c r="O7824" s="1369"/>
      <c r="P7824" s="1367"/>
      <c r="Q7824" s="3387"/>
      <c r="R7824" s="2338"/>
    </row>
    <row r="7825" spans="1:18" s="22" customFormat="1">
      <c r="A7825" s="1320"/>
      <c r="B7825" s="595"/>
      <c r="C7825" s="1042"/>
      <c r="D7825" s="1598"/>
      <c r="E7825" s="2152"/>
      <c r="F7825" s="1598"/>
      <c r="G7825" s="1494"/>
      <c r="H7825" s="1372"/>
      <c r="I7825" s="1286" t="str">
        <f>IF(COUNT(#REF!)=0,"",(SUM(#REF!)/COUNT(#REF!)))</f>
        <v/>
      </c>
      <c r="J7825" s="1287"/>
      <c r="K7825" s="1307"/>
      <c r="L7825" s="1335"/>
      <c r="M7825" s="1499"/>
      <c r="N7825" s="1499"/>
      <c r="O7825" s="1291"/>
      <c r="P7825" s="1332"/>
      <c r="Q7825" s="3391"/>
      <c r="R7825" s="2338"/>
    </row>
    <row r="7826" spans="1:18" s="22" customFormat="1">
      <c r="A7826" s="1320"/>
      <c r="B7826" s="595"/>
      <c r="C7826" s="1042"/>
      <c r="D7826" s="1598"/>
      <c r="E7826" s="2152"/>
      <c r="F7826" s="1598"/>
      <c r="G7826" s="1494"/>
      <c r="H7826" s="1372"/>
      <c r="I7826" s="1286" t="str">
        <f t="shared" ref="I7826:I7827" si="1070">IF(COUNT(H7827:O7827)=0,"",(SUM(H7827:O7827)/COUNT(H7827:O7827)))</f>
        <v/>
      </c>
      <c r="J7826" s="1287"/>
      <c r="K7826" s="1307"/>
      <c r="L7826" s="1335"/>
      <c r="M7826" s="1499"/>
      <c r="N7826" s="1499"/>
      <c r="O7826" s="1291"/>
      <c r="P7826" s="1332"/>
      <c r="Q7826" s="3391"/>
      <c r="R7826" s="2338"/>
    </row>
    <row r="7827" spans="1:18" s="22" customFormat="1">
      <c r="A7827" s="1320"/>
      <c r="B7827" s="595"/>
      <c r="C7827" s="1042"/>
      <c r="D7827" s="1370"/>
      <c r="E7827" s="2152"/>
      <c r="F7827" s="1471"/>
      <c r="G7827" s="1494"/>
      <c r="H7827" s="1372"/>
      <c r="I7827" s="1286" t="str">
        <f t="shared" si="1070"/>
        <v/>
      </c>
      <c r="J7827" s="1287"/>
      <c r="K7827" s="1307"/>
      <c r="L7827" s="1335"/>
      <c r="M7827" s="1499"/>
      <c r="N7827" s="1499"/>
      <c r="O7827" s="1291"/>
      <c r="P7827" s="1332"/>
      <c r="Q7827" s="3391"/>
      <c r="R7827" s="2338"/>
    </row>
    <row r="7828" spans="1:18" s="22" customFormat="1">
      <c r="A7828" s="1320"/>
      <c r="B7828" s="595"/>
      <c r="C7828" s="1042"/>
      <c r="D7828" s="1404"/>
      <c r="E7828" s="1858"/>
      <c r="F7828" s="1465" t="s">
        <v>2</v>
      </c>
      <c r="G7828" s="1466"/>
      <c r="H7828" s="1362"/>
      <c r="I7828" s="1380"/>
      <c r="J7828" s="1381"/>
      <c r="K7828" s="1381"/>
      <c r="L7828" s="1458"/>
      <c r="M7828" s="1362"/>
      <c r="N7828" s="1705"/>
      <c r="O7828" s="1469"/>
      <c r="P7828" s="1470"/>
      <c r="Q7828" s="3398"/>
      <c r="R7828" s="2338"/>
    </row>
    <row r="7829" spans="1:18" s="22" customFormat="1">
      <c r="A7829" s="1320"/>
      <c r="B7829" s="595"/>
      <c r="C7829" s="1042"/>
      <c r="D7829" s="1402" t="s">
        <v>1067</v>
      </c>
      <c r="E7829" s="1857" t="s">
        <v>1508</v>
      </c>
      <c r="F7829" s="1430" t="s">
        <v>1512</v>
      </c>
      <c r="G7829" s="1362">
        <v>0.14000000000000001</v>
      </c>
      <c r="H7829" s="1362"/>
      <c r="I7829" s="197"/>
      <c r="J7829" s="198"/>
      <c r="K7829" s="1732">
        <f>G7829*K7823</f>
        <v>2.8000000000000003E-4</v>
      </c>
      <c r="L7829" s="1335">
        <f>K7829*$K$7813</f>
        <v>0</v>
      </c>
      <c r="M7829" s="1499">
        <v>18.28</v>
      </c>
      <c r="N7829" s="1499"/>
      <c r="O7829" s="1291">
        <f>(G7829*M7829)</f>
        <v>2.5592000000000006</v>
      </c>
      <c r="P7829" s="1332">
        <f>M7829*K7829</f>
        <v>5.1184000000000012E-3</v>
      </c>
      <c r="Q7829" s="3391"/>
      <c r="R7829" s="2338"/>
    </row>
    <row r="7830" spans="1:18" s="22" customFormat="1">
      <c r="A7830" s="1320"/>
      <c r="B7830" s="595"/>
      <c r="C7830" s="1042"/>
      <c r="D7830" s="1402"/>
      <c r="E7830" s="1857"/>
      <c r="F7830" s="1430"/>
      <c r="G7830" s="1362"/>
      <c r="H7830" s="1362"/>
      <c r="I7830" s="197"/>
      <c r="J7830" s="198"/>
      <c r="K7830" s="1307"/>
      <c r="L7830" s="1335"/>
      <c r="M7830" s="1499"/>
      <c r="N7830" s="1499"/>
      <c r="O7830" s="1291"/>
      <c r="P7830" s="1332"/>
      <c r="Q7830" s="3391"/>
      <c r="R7830" s="2338"/>
    </row>
    <row r="7831" spans="1:18" s="22" customFormat="1">
      <c r="A7831" s="1320"/>
      <c r="B7831" s="595"/>
      <c r="C7831" s="1042"/>
      <c r="D7831" s="1411"/>
      <c r="E7831" s="2123"/>
      <c r="F7831" s="1475" t="s">
        <v>3</v>
      </c>
      <c r="G7831" s="1373"/>
      <c r="H7831" s="1376"/>
      <c r="I7831" s="1382"/>
      <c r="J7831" s="1383"/>
      <c r="K7831" s="1373"/>
      <c r="L7831" s="1413"/>
      <c r="M7831" s="1508"/>
      <c r="N7831" s="1706"/>
      <c r="O7831" s="1486"/>
      <c r="P7831" s="1373"/>
      <c r="Q7831" s="3387"/>
      <c r="R7831" s="2338"/>
    </row>
    <row r="7832" spans="1:18" s="22" customFormat="1">
      <c r="A7832" s="1320"/>
      <c r="B7832" s="595"/>
      <c r="C7832" s="1042"/>
      <c r="D7832" s="1378"/>
      <c r="E7832" s="2139"/>
      <c r="F7832" s="1476"/>
      <c r="G7832" s="1477"/>
      <c r="H7832" s="1379"/>
      <c r="I7832" s="1289"/>
      <c r="J7832" s="1341"/>
      <c r="K7832" s="1307"/>
      <c r="L7832" s="1335"/>
      <c r="M7832" s="1499"/>
      <c r="N7832" s="1499"/>
      <c r="O7832" s="1291"/>
      <c r="P7832" s="1332"/>
      <c r="Q7832" s="3391"/>
      <c r="R7832" s="2338"/>
    </row>
    <row r="7833" spans="1:18" s="22" customFormat="1">
      <c r="A7833" s="1320"/>
      <c r="B7833" s="595"/>
      <c r="C7833" s="1042"/>
      <c r="D7833" s="1482"/>
      <c r="E7833" s="2141"/>
      <c r="F7833" s="1483"/>
      <c r="G7833" s="1483"/>
      <c r="H7833" s="1484"/>
      <c r="I7833" s="1349"/>
      <c r="J7833" s="1341"/>
      <c r="K7833" s="1307"/>
      <c r="L7833" s="1335"/>
      <c r="M7833" s="1499"/>
      <c r="N7833" s="1499"/>
      <c r="O7833" s="1291"/>
      <c r="P7833" s="1332"/>
      <c r="Q7833" s="3391"/>
      <c r="R7833" s="2338"/>
    </row>
    <row r="7834" spans="1:18" s="22" customFormat="1">
      <c r="A7834" s="1320"/>
      <c r="B7834" s="1512"/>
      <c r="C7834" s="223"/>
      <c r="D7834" s="1440"/>
      <c r="E7834" s="2132"/>
      <c r="F7834" s="1441"/>
      <c r="G7834" s="1441"/>
      <c r="H7834" s="1442"/>
      <c r="I7834" s="197" t="str">
        <f>IF(COUNT(H7835:O7835)=0,"",(SUM(H7835:O7835)/COUNT(H7835:O7835)))</f>
        <v/>
      </c>
      <c r="J7834" s="198"/>
      <c r="K7834" s="1307"/>
      <c r="L7834" s="1335"/>
      <c r="M7834" s="1499"/>
      <c r="N7834" s="1701"/>
      <c r="O7834" s="1290"/>
      <c r="P7834" s="1332"/>
      <c r="Q7834" s="3391"/>
      <c r="R7834" s="2338"/>
    </row>
    <row r="7835" spans="1:18" s="22" customFormat="1">
      <c r="A7835" s="19" t="s">
        <v>3764</v>
      </c>
      <c r="B7835" s="4325" t="s">
        <v>2297</v>
      </c>
      <c r="C7835" s="3350"/>
      <c r="D7835" s="4327"/>
      <c r="E7835" s="4329" t="s">
        <v>1527</v>
      </c>
      <c r="F7835" s="4338" t="s">
        <v>2298</v>
      </c>
      <c r="G7835" s="4331" t="s">
        <v>1568</v>
      </c>
      <c r="H7835" s="4331" t="s">
        <v>1574</v>
      </c>
      <c r="I7835" s="1572" t="s">
        <v>1559</v>
      </c>
      <c r="J7835" s="1294" t="s">
        <v>1560</v>
      </c>
      <c r="K7835" s="1294" t="s">
        <v>1561</v>
      </c>
      <c r="L7835" s="4333" t="s">
        <v>3765</v>
      </c>
      <c r="M7835" s="4335" t="s">
        <v>1571</v>
      </c>
      <c r="N7835" s="4323" t="s">
        <v>1776</v>
      </c>
      <c r="O7835" s="3347" t="s">
        <v>1563</v>
      </c>
      <c r="P7835" s="1336" t="s">
        <v>1562</v>
      </c>
      <c r="Q7835" s="3389"/>
      <c r="R7835" s="1699" t="s">
        <v>1327</v>
      </c>
    </row>
    <row r="7836" spans="1:18" s="22" customFormat="1">
      <c r="A7836" s="1599" t="s">
        <v>2403</v>
      </c>
      <c r="B7836" s="4326"/>
      <c r="C7836" s="3351"/>
      <c r="D7836" s="4328"/>
      <c r="E7836" s="4330"/>
      <c r="F7836" s="4338"/>
      <c r="G7836" s="4332"/>
      <c r="H7836" s="4332"/>
      <c r="I7836" s="1345">
        <v>198</v>
      </c>
      <c r="J7836" s="1307">
        <v>5.0000000000000001E-3</v>
      </c>
      <c r="K7836" s="1297">
        <f>I7836*J7836</f>
        <v>0.99</v>
      </c>
      <c r="L7836" s="4334"/>
      <c r="M7836" s="4335"/>
      <c r="N7836" s="4324"/>
      <c r="O7836" s="1298">
        <f>SUM(O7838:O7847)</f>
        <v>2.0473600000000003</v>
      </c>
      <c r="P7836" s="1337">
        <f>O7836*K7836</f>
        <v>2.0268864000000004</v>
      </c>
      <c r="Q7836" s="3390"/>
      <c r="R7836" s="1721">
        <f>SUM(P7838:P7847)</f>
        <v>2.0268864000000004</v>
      </c>
    </row>
    <row r="7837" spans="1:18" s="22" customFormat="1">
      <c r="A7837" s="1320"/>
      <c r="B7837" s="1511"/>
      <c r="C7837" s="18"/>
      <c r="D7837" s="1463"/>
      <c r="E7837" s="2121"/>
      <c r="F7837" s="1368" t="s">
        <v>1</v>
      </c>
      <c r="G7837" s="1464"/>
      <c r="H7837" s="1426"/>
      <c r="I7837" s="1391"/>
      <c r="J7837" s="1369"/>
      <c r="K7837" s="1369"/>
      <c r="L7837" s="1554"/>
      <c r="M7837" s="1369"/>
      <c r="N7837" s="1369"/>
      <c r="O7837" s="1369"/>
      <c r="P7837" s="1367"/>
      <c r="Q7837" s="3387"/>
      <c r="R7837" s="2338"/>
    </row>
    <row r="7838" spans="1:18" s="22" customFormat="1">
      <c r="A7838" s="1320"/>
      <c r="B7838" s="595"/>
      <c r="C7838" s="1042"/>
      <c r="D7838" s="1598"/>
      <c r="E7838" s="2152"/>
      <c r="F7838" s="1598"/>
      <c r="G7838" s="1494"/>
      <c r="H7838" s="1372"/>
      <c r="I7838" s="1286" t="str">
        <f>IF(COUNT(#REF!)=0,"",(SUM(#REF!)/COUNT(#REF!)))</f>
        <v/>
      </c>
      <c r="J7838" s="1287"/>
      <c r="K7838" s="1307"/>
      <c r="L7838" s="1335"/>
      <c r="M7838" s="1499"/>
      <c r="N7838" s="1499"/>
      <c r="O7838" s="1291"/>
      <c r="P7838" s="1332"/>
      <c r="Q7838" s="3391"/>
      <c r="R7838" s="2338"/>
    </row>
    <row r="7839" spans="1:18" s="22" customFormat="1">
      <c r="A7839" s="1320"/>
      <c r="B7839" s="595"/>
      <c r="C7839" s="1042"/>
      <c r="D7839" s="1598"/>
      <c r="E7839" s="2152"/>
      <c r="F7839" s="1598"/>
      <c r="G7839" s="1494"/>
      <c r="H7839" s="1372"/>
      <c r="I7839" s="1286" t="str">
        <f t="shared" ref="I7839:I7840" si="1071">IF(COUNT(H7840:O7840)=0,"",(SUM(H7840:O7840)/COUNT(H7840:O7840)))</f>
        <v/>
      </c>
      <c r="J7839" s="1287"/>
      <c r="K7839" s="1307"/>
      <c r="L7839" s="1335"/>
      <c r="M7839" s="1499"/>
      <c r="N7839" s="1499"/>
      <c r="O7839" s="1291"/>
      <c r="P7839" s="1332"/>
      <c r="Q7839" s="3391"/>
      <c r="R7839" s="2338"/>
    </row>
    <row r="7840" spans="1:18" s="22" customFormat="1">
      <c r="A7840" s="1320"/>
      <c r="B7840" s="595"/>
      <c r="C7840" s="1042"/>
      <c r="D7840" s="1370"/>
      <c r="E7840" s="2152"/>
      <c r="F7840" s="1471"/>
      <c r="G7840" s="1494"/>
      <c r="H7840" s="1372"/>
      <c r="I7840" s="1286" t="str">
        <f t="shared" si="1071"/>
        <v/>
      </c>
      <c r="J7840" s="1287"/>
      <c r="K7840" s="1307"/>
      <c r="L7840" s="1335"/>
      <c r="M7840" s="1499"/>
      <c r="N7840" s="1499"/>
      <c r="O7840" s="1291"/>
      <c r="P7840" s="1332"/>
      <c r="Q7840" s="3391"/>
      <c r="R7840" s="2338"/>
    </row>
    <row r="7841" spans="1:19" s="22" customFormat="1">
      <c r="A7841" s="1320"/>
      <c r="B7841" s="595"/>
      <c r="C7841" s="1042"/>
      <c r="D7841" s="1404"/>
      <c r="E7841" s="1858"/>
      <c r="F7841" s="1465" t="s">
        <v>2</v>
      </c>
      <c r="G7841" s="1466"/>
      <c r="H7841" s="1362"/>
      <c r="I7841" s="1380"/>
      <c r="J7841" s="1381"/>
      <c r="K7841" s="1381"/>
      <c r="L7841" s="1458"/>
      <c r="M7841" s="1362"/>
      <c r="N7841" s="1705"/>
      <c r="O7841" s="1469"/>
      <c r="P7841" s="1470"/>
      <c r="Q7841" s="3398"/>
      <c r="R7841" s="2338"/>
    </row>
    <row r="7842" spans="1:19" s="22" customFormat="1">
      <c r="A7842" s="1320"/>
      <c r="B7842" s="595"/>
      <c r="C7842" s="1042"/>
      <c r="D7842" s="1402" t="s">
        <v>1067</v>
      </c>
      <c r="E7842" s="1857" t="s">
        <v>1508</v>
      </c>
      <c r="F7842" s="1430" t="s">
        <v>1512</v>
      </c>
      <c r="G7842" s="1362">
        <v>0.112</v>
      </c>
      <c r="H7842" s="1362"/>
      <c r="I7842" s="197"/>
      <c r="J7842" s="198"/>
      <c r="K7842" s="1307">
        <f>G7842*K7836</f>
        <v>0.11088000000000001</v>
      </c>
      <c r="L7842" s="1335">
        <f>K7842*$K$7813</f>
        <v>0</v>
      </c>
      <c r="M7842" s="1499">
        <v>18.28</v>
      </c>
      <c r="N7842" s="1499"/>
      <c r="O7842" s="1291">
        <f>(G7842*M7842)</f>
        <v>2.0473600000000003</v>
      </c>
      <c r="P7842" s="1332">
        <f>M7842*K7842</f>
        <v>2.0268864000000004</v>
      </c>
      <c r="Q7842" s="3391"/>
      <c r="R7842" s="2338"/>
    </row>
    <row r="7843" spans="1:19" s="22" customFormat="1">
      <c r="A7843" s="1320"/>
      <c r="B7843" s="595"/>
      <c r="C7843" s="1042"/>
      <c r="D7843" s="1402"/>
      <c r="E7843" s="1857"/>
      <c r="F7843" s="1430"/>
      <c r="G7843" s="1362"/>
      <c r="H7843" s="1362"/>
      <c r="I7843" s="197"/>
      <c r="J7843" s="198"/>
      <c r="K7843" s="1307"/>
      <c r="L7843" s="1335"/>
      <c r="M7843" s="1499"/>
      <c r="N7843" s="1499"/>
      <c r="O7843" s="1291"/>
      <c r="P7843" s="1332"/>
      <c r="Q7843" s="3391"/>
      <c r="R7843" s="2338"/>
    </row>
    <row r="7844" spans="1:19" s="22" customFormat="1">
      <c r="A7844" s="1320"/>
      <c r="B7844" s="595"/>
      <c r="C7844" s="1042"/>
      <c r="D7844" s="1411"/>
      <c r="E7844" s="2123"/>
      <c r="F7844" s="1475" t="s">
        <v>3</v>
      </c>
      <c r="G7844" s="1373"/>
      <c r="H7844" s="1376"/>
      <c r="I7844" s="1382"/>
      <c r="J7844" s="1383"/>
      <c r="K7844" s="1373"/>
      <c r="L7844" s="1413"/>
      <c r="M7844" s="1508"/>
      <c r="N7844" s="1706"/>
      <c r="O7844" s="1486"/>
      <c r="P7844" s="1373"/>
      <c r="Q7844" s="3387"/>
      <c r="R7844" s="2338"/>
    </row>
    <row r="7845" spans="1:19" s="22" customFormat="1">
      <c r="A7845" s="1320"/>
      <c r="B7845" s="595"/>
      <c r="C7845" s="1042"/>
      <c r="D7845" s="1378"/>
      <c r="E7845" s="2139"/>
      <c r="F7845" s="1476"/>
      <c r="G7845" s="1477"/>
      <c r="H7845" s="1379"/>
      <c r="I7845" s="1289"/>
      <c r="J7845" s="1341"/>
      <c r="K7845" s="1307"/>
      <c r="L7845" s="1335"/>
      <c r="M7845" s="1499"/>
      <c r="N7845" s="1499"/>
      <c r="O7845" s="1291"/>
      <c r="P7845" s="1332"/>
      <c r="Q7845" s="3391"/>
      <c r="R7845" s="2338"/>
    </row>
    <row r="7846" spans="1:19" s="22" customFormat="1">
      <c r="A7846" s="1320"/>
      <c r="B7846" s="595"/>
      <c r="C7846" s="1042"/>
      <c r="D7846" s="1482"/>
      <c r="E7846" s="2141"/>
      <c r="F7846" s="1483"/>
      <c r="G7846" s="1483"/>
      <c r="H7846" s="1484"/>
      <c r="I7846" s="1349"/>
      <c r="J7846" s="1341"/>
      <c r="K7846" s="1307"/>
      <c r="L7846" s="1335"/>
      <c r="M7846" s="1499"/>
      <c r="N7846" s="1499"/>
      <c r="O7846" s="1291"/>
      <c r="P7846" s="1332"/>
      <c r="Q7846" s="3391"/>
      <c r="R7846" s="2338"/>
    </row>
    <row r="7847" spans="1:19" s="22" customFormat="1">
      <c r="A7847" s="1320"/>
      <c r="B7847" s="1512"/>
      <c r="C7847" s="223"/>
      <c r="D7847" s="1440"/>
      <c r="E7847" s="2132"/>
      <c r="F7847" s="1441"/>
      <c r="G7847" s="1441"/>
      <c r="H7847" s="1442"/>
      <c r="I7847" s="197" t="str">
        <f>IF(COUNT(H7848:O7848)=0,"",(SUM(H7848:O7848)/COUNT(H7848:O7848)))</f>
        <v/>
      </c>
      <c r="J7847" s="198"/>
      <c r="K7847" s="1307"/>
      <c r="L7847" s="1335"/>
      <c r="M7847" s="1499"/>
      <c r="N7847" s="1701"/>
      <c r="O7847" s="1290"/>
      <c r="P7847" s="1332"/>
      <c r="Q7847" s="3391"/>
      <c r="R7847" s="2338"/>
    </row>
    <row r="7848" spans="1:19" s="22" customFormat="1">
      <c r="A7848" s="18" t="s">
        <v>3764</v>
      </c>
      <c r="B7848" s="4325" t="s">
        <v>2408</v>
      </c>
      <c r="C7848" s="3350"/>
      <c r="D7848" s="4327"/>
      <c r="E7848" s="4329" t="s">
        <v>1504</v>
      </c>
      <c r="F7848" s="4336" t="s">
        <v>2409</v>
      </c>
      <c r="G7848" s="4331" t="s">
        <v>1568</v>
      </c>
      <c r="H7848" s="4331" t="s">
        <v>1574</v>
      </c>
      <c r="I7848" s="1572" t="s">
        <v>1559</v>
      </c>
      <c r="J7848" s="1294" t="s">
        <v>1560</v>
      </c>
      <c r="K7848" s="1294" t="s">
        <v>1569</v>
      </c>
      <c r="L7848" s="4333" t="s">
        <v>3765</v>
      </c>
      <c r="M7848" s="4335" t="s">
        <v>1571</v>
      </c>
      <c r="N7848" s="4323" t="s">
        <v>1776</v>
      </c>
      <c r="O7848" s="3347" t="s">
        <v>1563</v>
      </c>
      <c r="P7848" s="1336" t="s">
        <v>1562</v>
      </c>
      <c r="Q7848" s="3389"/>
      <c r="R7848" s="1699" t="s">
        <v>1327</v>
      </c>
    </row>
    <row r="7849" spans="1:19" s="22" customFormat="1">
      <c r="A7849" s="1599" t="s">
        <v>2403</v>
      </c>
      <c r="B7849" s="4326"/>
      <c r="C7849" s="3351"/>
      <c r="D7849" s="4328"/>
      <c r="E7849" s="4330"/>
      <c r="F7849" s="4336"/>
      <c r="G7849" s="4332"/>
      <c r="H7849" s="4332"/>
      <c r="I7849" s="1345">
        <v>0.4</v>
      </c>
      <c r="J7849" s="1307">
        <v>5.0000000000000001E-3</v>
      </c>
      <c r="K7849" s="1666">
        <f>I7849*J7849</f>
        <v>2E-3</v>
      </c>
      <c r="L7849" s="4334"/>
      <c r="M7849" s="4335"/>
      <c r="N7849" s="4324"/>
      <c r="O7849" s="1298">
        <f>SUM(O7851:O7855)</f>
        <v>790.28</v>
      </c>
      <c r="P7849" s="1337">
        <f>O7849*K7849</f>
        <v>1.58056</v>
      </c>
      <c r="Q7849" s="3390"/>
      <c r="R7849" s="1721">
        <f>SUM(P7851:P7855)</f>
        <v>1.58056</v>
      </c>
    </row>
    <row r="7850" spans="1:19" s="22" customFormat="1">
      <c r="A7850" s="1320"/>
      <c r="B7850" s="1949"/>
      <c r="C7850" s="1327"/>
      <c r="D7850" s="1367"/>
      <c r="E7850" s="2121"/>
      <c r="F7850" s="1389" t="s">
        <v>1</v>
      </c>
      <c r="G7850" s="1389"/>
      <c r="H7850" s="1369"/>
      <c r="I7850" s="2088"/>
      <c r="J7850" s="1369"/>
      <c r="K7850" s="1391"/>
      <c r="L7850" s="1559"/>
      <c r="M7850" s="1369"/>
      <c r="N7850" s="1369"/>
      <c r="O7850" s="1369"/>
      <c r="P7850" s="1392"/>
      <c r="Q7850" s="3395"/>
      <c r="R7850" s="2339"/>
      <c r="S7850" s="16"/>
    </row>
    <row r="7851" spans="1:19" s="22" customFormat="1" ht="36">
      <c r="A7851" s="2309" t="s">
        <v>2778</v>
      </c>
      <c r="B7851" s="1599"/>
      <c r="C7851" s="1320"/>
      <c r="D7851" s="2186" t="s">
        <v>2410</v>
      </c>
      <c r="E7851" s="2301" t="s">
        <v>1504</v>
      </c>
      <c r="F7851" s="2186" t="s">
        <v>2411</v>
      </c>
      <c r="G7851" s="1958">
        <v>1</v>
      </c>
      <c r="H7851" s="1369"/>
      <c r="I7851" s="1299"/>
      <c r="J7851" s="1300"/>
      <c r="K7851" s="1307">
        <f>G7851*K7849</f>
        <v>2E-3</v>
      </c>
      <c r="L7851" s="1335">
        <f>K7851*$K$7813</f>
        <v>0</v>
      </c>
      <c r="M7851" s="1499">
        <v>790.28</v>
      </c>
      <c r="N7851" s="1700"/>
      <c r="O7851" s="1290">
        <f>G7851*M7851</f>
        <v>790.28</v>
      </c>
      <c r="P7851" s="1332">
        <f>M7851*K7851</f>
        <v>1.58056</v>
      </c>
      <c r="Q7851" s="3402"/>
      <c r="R7851" s="2354"/>
      <c r="S7851" s="16"/>
    </row>
    <row r="7852" spans="1:19" s="22" customFormat="1">
      <c r="A7852" s="4453" t="s">
        <v>2412</v>
      </c>
      <c r="B7852" s="1599"/>
      <c r="C7852" s="1320"/>
      <c r="D7852" s="1668"/>
      <c r="E7852" s="2166"/>
      <c r="F7852" s="1668"/>
      <c r="G7852" s="1958"/>
      <c r="H7852" s="1369"/>
      <c r="I7852" s="1299"/>
      <c r="J7852" s="1300"/>
      <c r="K7852" s="1307"/>
      <c r="L7852" s="1335"/>
      <c r="M7852" s="1499"/>
      <c r="N7852" s="1700"/>
      <c r="O7852" s="1290"/>
      <c r="P7852" s="1332"/>
      <c r="Q7852" s="3402"/>
      <c r="R7852" s="4454" t="s">
        <v>2412</v>
      </c>
      <c r="S7852" s="16"/>
    </row>
    <row r="7853" spans="1:19" s="22" customFormat="1">
      <c r="A7853" s="4453"/>
      <c r="B7853" s="1599"/>
      <c r="C7853" s="1042"/>
      <c r="D7853" s="1587"/>
      <c r="E7853" s="2138"/>
      <c r="F7853" s="1587"/>
      <c r="G7853" s="1588"/>
      <c r="H7853" s="1369"/>
      <c r="I7853" s="1299"/>
      <c r="J7853" s="1300"/>
      <c r="K7853" s="1307"/>
      <c r="L7853" s="1335"/>
      <c r="M7853" s="1499"/>
      <c r="N7853" s="1700"/>
      <c r="O7853" s="1290"/>
      <c r="P7853" s="1332"/>
      <c r="Q7853" s="3402"/>
      <c r="R7853" s="4454"/>
      <c r="S7853" s="16"/>
    </row>
    <row r="7854" spans="1:19" s="22" customFormat="1">
      <c r="A7854" s="4453"/>
      <c r="B7854" s="1599"/>
      <c r="C7854" s="1042"/>
      <c r="D7854" s="1359"/>
      <c r="E7854" s="1858"/>
      <c r="F7854" s="1360" t="s">
        <v>2</v>
      </c>
      <c r="G7854" s="1360"/>
      <c r="H7854" s="1362"/>
      <c r="I7854" s="1380"/>
      <c r="J7854" s="1381"/>
      <c r="K7854" s="1381"/>
      <c r="L7854" s="1458"/>
      <c r="M7854" s="1362"/>
      <c r="N7854" s="1362"/>
      <c r="O7854" s="1362"/>
      <c r="P7854" s="1359"/>
      <c r="Q7854" s="3403"/>
      <c r="R7854" s="4454"/>
      <c r="S7854" s="16"/>
    </row>
    <row r="7855" spans="1:19" s="22" customFormat="1">
      <c r="A7855" s="4453"/>
      <c r="B7855" s="2053"/>
      <c r="C7855" s="1321"/>
      <c r="D7855" s="1655"/>
      <c r="E7855" s="1859"/>
      <c r="F7855" s="1655"/>
      <c r="G7855" s="1625"/>
      <c r="H7855" s="1386"/>
      <c r="I7855" s="1299"/>
      <c r="J7855" s="1300"/>
      <c r="K7855" s="1307"/>
      <c r="L7855" s="1335"/>
      <c r="M7855" s="1302"/>
      <c r="N7855" s="1700"/>
      <c r="O7855" s="1290"/>
      <c r="P7855" s="1332"/>
      <c r="Q7855" s="3402"/>
      <c r="R7855" s="4454"/>
      <c r="S7855" s="16"/>
    </row>
    <row r="7856" spans="1:19" s="22" customFormat="1">
      <c r="A7856" s="1978"/>
      <c r="B7856" s="1599"/>
      <c r="C7856" s="1320"/>
      <c r="D7856" s="1430"/>
      <c r="E7856" s="1857"/>
      <c r="F7856" s="1430"/>
      <c r="G7856" s="1822"/>
      <c r="H7856" s="1359"/>
      <c r="I7856" s="1299"/>
      <c r="J7856" s="1300"/>
      <c r="K7856" s="1307"/>
      <c r="L7856" s="1335"/>
      <c r="M7856" s="1302"/>
      <c r="N7856" s="1700"/>
      <c r="O7856" s="1290"/>
      <c r="P7856" s="1332"/>
      <c r="Q7856" s="3391"/>
      <c r="R7856" s="2355"/>
      <c r="S7856" s="16"/>
    </row>
    <row r="7857" spans="1:19" s="22" customFormat="1">
      <c r="A7857" s="1982"/>
      <c r="B7857" s="1320"/>
      <c r="C7857" s="16"/>
      <c r="D7857" s="1359"/>
      <c r="E7857" s="1858"/>
      <c r="F7857" s="1474"/>
      <c r="G7857" s="1474"/>
      <c r="H7857" s="1466"/>
      <c r="I7857" s="1289"/>
      <c r="J7857" s="8"/>
      <c r="K7857" s="1307"/>
      <c r="L7857" s="1335"/>
      <c r="M7857" s="1302"/>
      <c r="N7857" s="1700"/>
      <c r="O7857" s="1290"/>
      <c r="P7857" s="1332"/>
      <c r="Q7857" s="3391"/>
      <c r="R7857" s="2349"/>
      <c r="S7857" s="16"/>
    </row>
    <row r="7858" spans="1:19" s="22" customFormat="1">
      <c r="A7858" s="2042"/>
      <c r="B7858" s="1599"/>
      <c r="C7858" s="1320"/>
      <c r="D7858" s="1373"/>
      <c r="E7858" s="2123"/>
      <c r="F7858" s="1374" t="s">
        <v>3</v>
      </c>
      <c r="G7858" s="1375"/>
      <c r="H7858" s="1376"/>
      <c r="I7858" s="1382"/>
      <c r="J7858" s="1383"/>
      <c r="K7858" s="1383"/>
      <c r="L7858" s="1413"/>
      <c r="M7858" s="1376"/>
      <c r="N7858" s="1376"/>
      <c r="O7858" s="1376"/>
      <c r="P7858" s="1373"/>
      <c r="Q7858" s="3403"/>
      <c r="R7858" s="2354"/>
      <c r="S7858" s="16"/>
    </row>
    <row r="7859" spans="1:19" s="22" customFormat="1">
      <c r="A7859" s="2043"/>
      <c r="B7859" s="2053"/>
      <c r="C7859" s="1321"/>
      <c r="D7859" s="1827"/>
      <c r="E7859" s="2173"/>
      <c r="F7859" s="1827"/>
      <c r="G7859" s="1828"/>
      <c r="H7859" s="1379"/>
      <c r="I7859" s="1299"/>
      <c r="J7859" s="1300"/>
      <c r="K7859" s="1307"/>
      <c r="L7859" s="1335"/>
      <c r="M7859" s="1302"/>
      <c r="N7859" s="1700"/>
      <c r="O7859" s="1290"/>
      <c r="P7859" s="1332"/>
      <c r="Q7859" s="3402"/>
      <c r="R7859" s="2188"/>
      <c r="S7859" s="16"/>
    </row>
    <row r="7860" spans="1:19" s="22" customFormat="1">
      <c r="A7860" s="2043"/>
      <c r="B7860" s="2053"/>
      <c r="C7860" s="1321"/>
      <c r="D7860" s="1377"/>
      <c r="E7860" s="2124"/>
      <c r="F7860" s="1378"/>
      <c r="G7860" s="1378"/>
      <c r="H7860" s="1379"/>
      <c r="I7860" s="1299"/>
      <c r="J7860" s="1300"/>
      <c r="K7860" s="1307"/>
      <c r="L7860" s="1335"/>
      <c r="M7860" s="1302"/>
      <c r="N7860" s="1700"/>
      <c r="O7860" s="1290"/>
      <c r="P7860" s="1333"/>
      <c r="Q7860" s="3402"/>
      <c r="R7860" s="2188"/>
      <c r="S7860" s="16"/>
    </row>
    <row r="7861" spans="1:19" s="22" customFormat="1">
      <c r="A7861" s="2042"/>
      <c r="B7861" s="1765"/>
      <c r="C7861" s="223"/>
      <c r="D7861" s="1373"/>
      <c r="E7861" s="2161"/>
      <c r="F7861" s="1678"/>
      <c r="G7861" s="1678"/>
      <c r="H7861" s="1376"/>
      <c r="I7861" s="1299"/>
      <c r="J7861" s="1300"/>
      <c r="K7861" s="1307"/>
      <c r="L7861" s="1335"/>
      <c r="M7861" s="1302"/>
      <c r="N7861" s="1700"/>
      <c r="O7861" s="1290"/>
      <c r="P7861" s="1332"/>
      <c r="Q7861" s="3402"/>
      <c r="R7861" s="2354"/>
      <c r="S7861" s="16"/>
    </row>
    <row r="7862" spans="1:19" s="22" customFormat="1">
      <c r="A7862" s="18" t="s">
        <v>3764</v>
      </c>
      <c r="B7862" s="4325" t="s">
        <v>2434</v>
      </c>
      <c r="C7862" s="3350"/>
      <c r="D7862" s="4327"/>
      <c r="E7862" s="4329" t="s">
        <v>1504</v>
      </c>
      <c r="F7862" s="4336" t="s">
        <v>2435</v>
      </c>
      <c r="G7862" s="4331" t="s">
        <v>1568</v>
      </c>
      <c r="H7862" s="4331" t="s">
        <v>1574</v>
      </c>
      <c r="I7862" s="1572" t="s">
        <v>1559</v>
      </c>
      <c r="J7862" s="1294" t="s">
        <v>1560</v>
      </c>
      <c r="K7862" s="1294" t="s">
        <v>1569</v>
      </c>
      <c r="L7862" s="4333" t="s">
        <v>3765</v>
      </c>
      <c r="M7862" s="4335" t="s">
        <v>1571</v>
      </c>
      <c r="N7862" s="4323" t="s">
        <v>1776</v>
      </c>
      <c r="O7862" s="3347" t="s">
        <v>1563</v>
      </c>
      <c r="P7862" s="1336" t="s">
        <v>1562</v>
      </c>
      <c r="Q7862" s="3389"/>
      <c r="R7862" s="1699" t="s">
        <v>1327</v>
      </c>
    </row>
    <row r="7863" spans="1:19" s="22" customFormat="1">
      <c r="A7863" s="1599" t="s">
        <v>2403</v>
      </c>
      <c r="B7863" s="4326"/>
      <c r="C7863" s="3351"/>
      <c r="D7863" s="4328"/>
      <c r="E7863" s="4330"/>
      <c r="F7863" s="4336"/>
      <c r="G7863" s="4332"/>
      <c r="H7863" s="4332"/>
      <c r="I7863" s="1345">
        <v>0.4</v>
      </c>
      <c r="J7863" s="1307">
        <v>5.0000000000000001E-3</v>
      </c>
      <c r="K7863" s="1666">
        <f>I7863*J7863</f>
        <v>2E-3</v>
      </c>
      <c r="L7863" s="4334"/>
      <c r="M7863" s="4335"/>
      <c r="N7863" s="4324"/>
      <c r="O7863" s="1298">
        <f>SUM(O7865:O7875)</f>
        <v>785.67100000000005</v>
      </c>
      <c r="P7863" s="1337">
        <f>O7863*K7863</f>
        <v>1.5713420000000002</v>
      </c>
      <c r="Q7863" s="3390"/>
      <c r="R7863" s="1721">
        <f>SUM(P7865:P7874)</f>
        <v>1.6224799999999997</v>
      </c>
    </row>
    <row r="7864" spans="1:19" s="22" customFormat="1">
      <c r="A7864" s="1320"/>
      <c r="B7864" s="1949"/>
      <c r="C7864" s="1327"/>
      <c r="D7864" s="1367"/>
      <c r="E7864" s="2121"/>
      <c r="F7864" s="1389" t="s">
        <v>1</v>
      </c>
      <c r="G7864" s="1389"/>
      <c r="H7864" s="1369"/>
      <c r="I7864" s="2088"/>
      <c r="J7864" s="1369"/>
      <c r="K7864" s="1391"/>
      <c r="L7864" s="1559"/>
      <c r="M7864" s="1369"/>
      <c r="N7864" s="1369"/>
      <c r="O7864" s="1369"/>
      <c r="P7864" s="1392"/>
      <c r="Q7864" s="3395"/>
      <c r="R7864" s="2339"/>
      <c r="S7864" s="16"/>
    </row>
    <row r="7865" spans="1:19" s="22" customFormat="1">
      <c r="A7865" s="1320"/>
      <c r="B7865" s="1599"/>
      <c r="C7865" s="1320"/>
      <c r="D7865" s="1598" t="s">
        <v>2444</v>
      </c>
      <c r="E7865" s="2154" t="s">
        <v>1504</v>
      </c>
      <c r="F7865" s="1598" t="s">
        <v>2445</v>
      </c>
      <c r="G7865" s="1612">
        <v>2</v>
      </c>
      <c r="H7865" s="1369"/>
      <c r="I7865" s="1299"/>
      <c r="J7865" s="1300"/>
      <c r="K7865" s="1307">
        <f>G7865*K7863</f>
        <v>4.0000000000000001E-3</v>
      </c>
      <c r="L7865" s="1335">
        <f t="shared" ref="L7865:L7870" si="1072">K7865*$K$7813</f>
        <v>0</v>
      </c>
      <c r="M7865" s="1499">
        <v>11.25</v>
      </c>
      <c r="N7865" s="1700"/>
      <c r="O7865" s="1290">
        <f>G7865*M7865</f>
        <v>22.5</v>
      </c>
      <c r="P7865" s="1332">
        <f t="shared" ref="P7865:P7870" si="1073">M7865*K7865</f>
        <v>4.4999999999999998E-2</v>
      </c>
      <c r="Q7865" s="3402"/>
      <c r="R7865" s="2356"/>
      <c r="S7865" s="16"/>
    </row>
    <row r="7866" spans="1:19" s="22" customFormat="1">
      <c r="A7866" s="1320"/>
      <c r="B7866" s="1599"/>
      <c r="C7866" s="1320"/>
      <c r="D7866" s="1598" t="s">
        <v>2436</v>
      </c>
      <c r="E7866" s="2154" t="s">
        <v>1504</v>
      </c>
      <c r="F7866" s="1598" t="s">
        <v>2437</v>
      </c>
      <c r="G7866" s="1612">
        <v>20</v>
      </c>
      <c r="H7866" s="1369"/>
      <c r="I7866" s="1299"/>
      <c r="J7866" s="1300"/>
      <c r="K7866" s="1307">
        <f>G7866*K7863</f>
        <v>0.04</v>
      </c>
      <c r="L7866" s="1335">
        <f t="shared" si="1072"/>
        <v>0</v>
      </c>
      <c r="M7866" s="1499">
        <v>5.55</v>
      </c>
      <c r="N7866" s="1700"/>
      <c r="O7866" s="1290">
        <f>G7866*M7866</f>
        <v>111</v>
      </c>
      <c r="P7866" s="1332">
        <f t="shared" si="1073"/>
        <v>0.222</v>
      </c>
      <c r="Q7866" s="3402"/>
      <c r="R7866" s="2356"/>
      <c r="S7866" s="16"/>
    </row>
    <row r="7867" spans="1:19" s="22" customFormat="1">
      <c r="A7867" s="1320"/>
      <c r="B7867" s="1599"/>
      <c r="C7867" s="1320"/>
      <c r="D7867" s="1598" t="s">
        <v>2438</v>
      </c>
      <c r="E7867" s="2154" t="s">
        <v>1504</v>
      </c>
      <c r="F7867" s="1598" t="s">
        <v>2439</v>
      </c>
      <c r="G7867" s="1612">
        <v>20</v>
      </c>
      <c r="H7867" s="1369"/>
      <c r="I7867" s="1299"/>
      <c r="J7867" s="1300"/>
      <c r="K7867" s="1307">
        <f>G7867*K7863</f>
        <v>0.04</v>
      </c>
      <c r="L7867" s="1335">
        <f t="shared" si="1072"/>
        <v>0</v>
      </c>
      <c r="M7867" s="1499">
        <v>7.1</v>
      </c>
      <c r="N7867" s="1700"/>
      <c r="O7867" s="1290">
        <f>G7867*M7867</f>
        <v>142</v>
      </c>
      <c r="P7867" s="1332">
        <f t="shared" si="1073"/>
        <v>0.28399999999999997</v>
      </c>
      <c r="Q7867" s="3402"/>
      <c r="R7867" s="2356"/>
      <c r="S7867" s="16"/>
    </row>
    <row r="7868" spans="1:19" s="22" customFormat="1" ht="15" customHeight="1">
      <c r="A7868" s="2187"/>
      <c r="B7868" s="1599"/>
      <c r="C7868" s="1320"/>
      <c r="D7868" s="1598" t="s">
        <v>2440</v>
      </c>
      <c r="E7868" s="2154" t="s">
        <v>1504</v>
      </c>
      <c r="F7868" s="1598" t="s">
        <v>2441</v>
      </c>
      <c r="G7868" s="1612">
        <v>20</v>
      </c>
      <c r="H7868" s="1369"/>
      <c r="I7868" s="1299"/>
      <c r="J7868" s="1300"/>
      <c r="K7868" s="1307">
        <f>G7868*K7863</f>
        <v>0.04</v>
      </c>
      <c r="L7868" s="1335">
        <f t="shared" si="1072"/>
        <v>0</v>
      </c>
      <c r="M7868" s="1499">
        <v>10.45</v>
      </c>
      <c r="N7868" s="1700"/>
      <c r="O7868" s="1290">
        <f>G7868*M7868</f>
        <v>209</v>
      </c>
      <c r="P7868" s="1332">
        <f t="shared" si="1073"/>
        <v>0.41799999999999998</v>
      </c>
      <c r="Q7868" s="3402"/>
      <c r="R7868" s="2357"/>
      <c r="S7868" s="16"/>
    </row>
    <row r="7869" spans="1:19" s="22" customFormat="1" ht="15" customHeight="1">
      <c r="A7869" s="2187"/>
      <c r="B7869" s="1599"/>
      <c r="C7869" s="1320"/>
      <c r="D7869" s="1598" t="s">
        <v>2442</v>
      </c>
      <c r="E7869" s="2154" t="s">
        <v>1504</v>
      </c>
      <c r="F7869" s="1598" t="s">
        <v>2443</v>
      </c>
      <c r="G7869" s="1612">
        <v>1</v>
      </c>
      <c r="H7869" s="1369"/>
      <c r="I7869" s="1299"/>
      <c r="J7869" s="1300"/>
      <c r="K7869" s="1307">
        <f>G7869*K7863</f>
        <v>2E-3</v>
      </c>
      <c r="L7869" s="1335">
        <f t="shared" si="1072"/>
        <v>0</v>
      </c>
      <c r="M7869" s="1499">
        <v>229.39</v>
      </c>
      <c r="N7869" s="1700"/>
      <c r="O7869" s="1290">
        <f>G7869*M7869</f>
        <v>229.39</v>
      </c>
      <c r="P7869" s="1332">
        <f t="shared" si="1073"/>
        <v>0.45877999999999997</v>
      </c>
      <c r="Q7869" s="3402"/>
      <c r="R7869" s="2357"/>
      <c r="S7869" s="16"/>
    </row>
    <row r="7870" spans="1:19" s="22" customFormat="1">
      <c r="A7870" s="19"/>
      <c r="B7870" s="553"/>
      <c r="C7870" s="1320"/>
      <c r="D7870" s="1400" t="s">
        <v>1701</v>
      </c>
      <c r="E7870" s="1856" t="s">
        <v>1504</v>
      </c>
      <c r="F7870" s="1421" t="s">
        <v>1541</v>
      </c>
      <c r="G7870" s="1554">
        <v>4</v>
      </c>
      <c r="H7870" s="1399"/>
      <c r="I7870" s="1614"/>
      <c r="J7870" s="1341"/>
      <c r="K7870" s="1307">
        <f>G7870*K7863</f>
        <v>8.0000000000000002E-3</v>
      </c>
      <c r="L7870" s="1335">
        <f t="shared" si="1072"/>
        <v>0</v>
      </c>
      <c r="M7870" s="1302">
        <v>0.3</v>
      </c>
      <c r="N7870" s="1700"/>
      <c r="O7870" s="1290">
        <f>(G7870*M7870)</f>
        <v>1.2</v>
      </c>
      <c r="P7870" s="1332">
        <f t="shared" si="1073"/>
        <v>2.3999999999999998E-3</v>
      </c>
      <c r="Q7870" s="3391"/>
      <c r="R7870" s="3363"/>
    </row>
    <row r="7871" spans="1:19" s="22" customFormat="1" ht="15" customHeight="1">
      <c r="A7871" s="2187"/>
      <c r="B7871" s="1599"/>
      <c r="C7871" s="1042"/>
      <c r="D7871" s="1654"/>
      <c r="E7871" s="2300"/>
      <c r="F7871" s="1654"/>
      <c r="G7871" s="2185"/>
      <c r="H7871" s="1369"/>
      <c r="I7871" s="1299"/>
      <c r="J7871" s="1300"/>
      <c r="K7871" s="1307"/>
      <c r="L7871" s="1335"/>
      <c r="M7871" s="1499"/>
      <c r="N7871" s="1700"/>
      <c r="O7871" s="1290"/>
      <c r="P7871" s="1332"/>
      <c r="Q7871" s="3402"/>
      <c r="R7871" s="2357"/>
      <c r="S7871" s="16"/>
    </row>
    <row r="7872" spans="1:19" s="22" customFormat="1" ht="15" customHeight="1">
      <c r="A7872" s="2187"/>
      <c r="B7872" s="1599"/>
      <c r="C7872" s="1042"/>
      <c r="D7872" s="1587"/>
      <c r="E7872" s="2138"/>
      <c r="F7872" s="1587"/>
      <c r="G7872" s="1588"/>
      <c r="H7872" s="1369"/>
      <c r="I7872" s="1299"/>
      <c r="J7872" s="1300"/>
      <c r="K7872" s="1307"/>
      <c r="L7872" s="1335"/>
      <c r="M7872" s="1499"/>
      <c r="N7872" s="1700"/>
      <c r="O7872" s="1290"/>
      <c r="P7872" s="1332"/>
      <c r="Q7872" s="3402"/>
      <c r="R7872" s="2357"/>
      <c r="S7872" s="16"/>
    </row>
    <row r="7873" spans="1:19" s="22" customFormat="1" ht="15" customHeight="1">
      <c r="A7873" s="2187"/>
      <c r="B7873" s="1599"/>
      <c r="C7873" s="1042"/>
      <c r="D7873" s="1359"/>
      <c r="E7873" s="1858"/>
      <c r="F7873" s="1360" t="s">
        <v>2</v>
      </c>
      <c r="G7873" s="1360"/>
      <c r="H7873" s="1362"/>
      <c r="I7873" s="1380"/>
      <c r="J7873" s="1381"/>
      <c r="K7873" s="1381"/>
      <c r="L7873" s="1458"/>
      <c r="M7873" s="1362"/>
      <c r="N7873" s="1362"/>
      <c r="O7873" s="1362"/>
      <c r="P7873" s="1359"/>
      <c r="Q7873" s="3403"/>
      <c r="R7873" s="2357"/>
      <c r="S7873" s="16"/>
    </row>
    <row r="7874" spans="1:19" s="22" customFormat="1" ht="21.75" customHeight="1">
      <c r="A7874" s="2187"/>
      <c r="B7874" s="2053"/>
      <c r="C7874" s="1321"/>
      <c r="D7874" s="1655" t="s">
        <v>1099</v>
      </c>
      <c r="E7874" s="1859" t="s">
        <v>1508</v>
      </c>
      <c r="F7874" s="1655" t="s">
        <v>1633</v>
      </c>
      <c r="G7874" s="1994">
        <v>2.5</v>
      </c>
      <c r="H7874" s="1386"/>
      <c r="I7874" s="1299"/>
      <c r="J7874" s="1300"/>
      <c r="K7874" s="1307">
        <f>G7874*K7865</f>
        <v>0.01</v>
      </c>
      <c r="L7874" s="1335">
        <f>K7874*$K$7813</f>
        <v>0</v>
      </c>
      <c r="M7874" s="1302">
        <v>19.23</v>
      </c>
      <c r="N7874" s="1700"/>
      <c r="O7874" s="1290">
        <f>G7874*M7874</f>
        <v>48.075000000000003</v>
      </c>
      <c r="P7874" s="1332">
        <f>M7874*K7874</f>
        <v>0.1923</v>
      </c>
      <c r="Q7874" s="3402"/>
      <c r="R7874" s="2357"/>
      <c r="S7874" s="16"/>
    </row>
    <row r="7875" spans="1:19" s="22" customFormat="1">
      <c r="A7875" s="19"/>
      <c r="B7875" s="1042"/>
      <c r="C7875" s="1358" t="s">
        <v>1523</v>
      </c>
      <c r="D7875" s="1329"/>
      <c r="E7875" s="2135" t="s">
        <v>1508</v>
      </c>
      <c r="F7875" s="1330" t="s">
        <v>1524</v>
      </c>
      <c r="G7875" s="1461"/>
      <c r="H7875" s="2189">
        <v>0.6</v>
      </c>
      <c r="I7875" s="1488"/>
      <c r="J7875" s="1388"/>
      <c r="K7875" s="1510"/>
      <c r="L7875" s="1445"/>
      <c r="M7875" s="1446"/>
      <c r="N7875" s="1447">
        <f>SUM(N7876:N7877)</f>
        <v>37.510000000000005</v>
      </c>
      <c r="O7875" s="1447">
        <f>SUM(O7876:O7877)</f>
        <v>22.506</v>
      </c>
      <c r="P7875" s="1447">
        <f>SUM(P7876:P7877)</f>
        <v>9.0023999999999993E-2</v>
      </c>
      <c r="Q7875" s="3391"/>
      <c r="R7875" s="2338"/>
    </row>
    <row r="7876" spans="1:19" s="22" customFormat="1">
      <c r="A7876" s="19"/>
      <c r="B7876" s="1042"/>
      <c r="C7876" s="1042"/>
      <c r="D7876" s="1402" t="s">
        <v>1067</v>
      </c>
      <c r="E7876" s="1857" t="s">
        <v>1508</v>
      </c>
      <c r="F7876" s="1430" t="s">
        <v>5</v>
      </c>
      <c r="G7876" s="1381">
        <v>1</v>
      </c>
      <c r="H7876" s="1937">
        <f>G7876*H7875</f>
        <v>0.6</v>
      </c>
      <c r="I7876" s="1340"/>
      <c r="J7876" s="198"/>
      <c r="K7876" s="1307">
        <f>H7876*K7865</f>
        <v>2.3999999999999998E-3</v>
      </c>
      <c r="L7876" s="1335">
        <f t="shared" ref="L7876:L7877" si="1074">K7876*$K$7813</f>
        <v>0</v>
      </c>
      <c r="M7876" s="1302">
        <v>18.28</v>
      </c>
      <c r="N7876" s="1724">
        <f>G7876*M7876</f>
        <v>18.28</v>
      </c>
      <c r="O7876" s="1726">
        <f>H7876*M7876</f>
        <v>10.968</v>
      </c>
      <c r="P7876" s="1727">
        <f>M7876*K7876</f>
        <v>4.3872000000000001E-2</v>
      </c>
      <c r="Q7876" s="3396"/>
      <c r="R7876" s="2338"/>
    </row>
    <row r="7877" spans="1:19" s="22" customFormat="1">
      <c r="A7877" s="19"/>
      <c r="B7877" s="1042"/>
      <c r="C7877" s="1042"/>
      <c r="D7877" s="1402" t="s">
        <v>1077</v>
      </c>
      <c r="E7877" s="1857" t="s">
        <v>1508</v>
      </c>
      <c r="F7877" s="1430" t="s">
        <v>37</v>
      </c>
      <c r="G7877" s="1381">
        <v>1</v>
      </c>
      <c r="H7877" s="1937">
        <f>G7877*H7875</f>
        <v>0.6</v>
      </c>
      <c r="I7877" s="198"/>
      <c r="J7877" s="198"/>
      <c r="K7877" s="1307">
        <f>H7877*K7865</f>
        <v>2.3999999999999998E-3</v>
      </c>
      <c r="L7877" s="1335">
        <f t="shared" si="1074"/>
        <v>0</v>
      </c>
      <c r="M7877" s="1302">
        <v>19.23</v>
      </c>
      <c r="N7877" s="1724">
        <f>G7877*M7877</f>
        <v>19.23</v>
      </c>
      <c r="O7877" s="1719">
        <f>(H7877*M7877)</f>
        <v>11.538</v>
      </c>
      <c r="P7877" s="1332">
        <f>M7877*K7877</f>
        <v>4.6151999999999999E-2</v>
      </c>
      <c r="Q7877" s="3391"/>
      <c r="R7877" s="2338"/>
    </row>
    <row r="7878" spans="1:19" s="22" customFormat="1">
      <c r="B7878" s="1320"/>
      <c r="C7878" s="16"/>
      <c r="D7878" s="1359"/>
      <c r="E7878" s="1858"/>
      <c r="F7878" s="1474"/>
      <c r="G7878" s="1474"/>
      <c r="H7878" s="1466"/>
      <c r="I7878" s="1289"/>
      <c r="J7878" s="8"/>
      <c r="K7878" s="1307"/>
      <c r="L7878" s="1335"/>
      <c r="M7878" s="1302"/>
      <c r="N7878" s="1700"/>
      <c r="O7878" s="1290"/>
      <c r="P7878" s="1332"/>
      <c r="Q7878" s="3391"/>
      <c r="R7878" s="2344"/>
      <c r="S7878" s="16"/>
    </row>
    <row r="7879" spans="1:19" s="22" customFormat="1">
      <c r="A7879" s="1320"/>
      <c r="B7879" s="1599"/>
      <c r="C7879" s="1320"/>
      <c r="D7879" s="1373"/>
      <c r="E7879" s="2123"/>
      <c r="F7879" s="1374" t="s">
        <v>3</v>
      </c>
      <c r="G7879" s="1375"/>
      <c r="H7879" s="1376"/>
      <c r="I7879" s="1382"/>
      <c r="J7879" s="1383"/>
      <c r="K7879" s="1383"/>
      <c r="L7879" s="1413"/>
      <c r="M7879" s="1376"/>
      <c r="N7879" s="1376"/>
      <c r="O7879" s="1376"/>
      <c r="P7879" s="1373"/>
      <c r="Q7879" s="3403"/>
      <c r="R7879" s="2356"/>
      <c r="S7879" s="16"/>
    </row>
    <row r="7880" spans="1:19" s="22" customFormat="1">
      <c r="A7880" s="1321"/>
      <c r="B7880" s="2053"/>
      <c r="C7880" s="1321"/>
      <c r="D7880" s="1827"/>
      <c r="E7880" s="2173"/>
      <c r="F7880" s="1827"/>
      <c r="G7880" s="1828"/>
      <c r="H7880" s="1379"/>
      <c r="I7880" s="1299"/>
      <c r="J7880" s="1300"/>
      <c r="K7880" s="1307"/>
      <c r="L7880" s="1335"/>
      <c r="M7880" s="1302"/>
      <c r="N7880" s="1700"/>
      <c r="O7880" s="1290"/>
      <c r="P7880" s="1332"/>
      <c r="Q7880" s="3402"/>
      <c r="R7880" s="2053"/>
      <c r="S7880" s="16"/>
    </row>
    <row r="7881" spans="1:19" s="22" customFormat="1">
      <c r="A7881" s="1321"/>
      <c r="B7881" s="2053"/>
      <c r="C7881" s="1321"/>
      <c r="D7881" s="1377"/>
      <c r="E7881" s="2124"/>
      <c r="F7881" s="1378"/>
      <c r="G7881" s="1378"/>
      <c r="H7881" s="1379"/>
      <c r="I7881" s="1299"/>
      <c r="J7881" s="1300"/>
      <c r="K7881" s="1307"/>
      <c r="L7881" s="1335"/>
      <c r="M7881" s="1302"/>
      <c r="N7881" s="1700"/>
      <c r="O7881" s="1290"/>
      <c r="P7881" s="1333"/>
      <c r="Q7881" s="3402"/>
      <c r="R7881" s="2053"/>
      <c r="S7881" s="16"/>
    </row>
    <row r="7882" spans="1:19" s="22" customFormat="1">
      <c r="A7882" s="1320"/>
      <c r="B7882" s="1765"/>
      <c r="C7882" s="223"/>
      <c r="D7882" s="1373"/>
      <c r="E7882" s="2161"/>
      <c r="F7882" s="1678"/>
      <c r="G7882" s="1678"/>
      <c r="H7882" s="1376"/>
      <c r="I7882" s="1299"/>
      <c r="J7882" s="1300"/>
      <c r="K7882" s="1307"/>
      <c r="L7882" s="1335"/>
      <c r="M7882" s="1302"/>
      <c r="N7882" s="1700"/>
      <c r="O7882" s="1290"/>
      <c r="P7882" s="1332"/>
      <c r="Q7882" s="3402"/>
      <c r="R7882" s="2356"/>
      <c r="S7882" s="16"/>
    </row>
    <row r="7883" spans="1:19" s="22" customFormat="1">
      <c r="A7883" s="18" t="s">
        <v>3764</v>
      </c>
      <c r="B7883" s="4325" t="s">
        <v>2300</v>
      </c>
      <c r="C7883" s="3350"/>
      <c r="D7883" s="4327"/>
      <c r="E7883" s="4329" t="s">
        <v>1527</v>
      </c>
      <c r="F7883" s="4336" t="s">
        <v>2301</v>
      </c>
      <c r="G7883" s="4331" t="s">
        <v>1568</v>
      </c>
      <c r="H7883" s="4331" t="s">
        <v>1574</v>
      </c>
      <c r="I7883" s="1572" t="s">
        <v>1559</v>
      </c>
      <c r="J7883" s="1294" t="s">
        <v>1560</v>
      </c>
      <c r="K7883" s="1294" t="s">
        <v>1569</v>
      </c>
      <c r="L7883" s="4333" t="s">
        <v>3765</v>
      </c>
      <c r="M7883" s="4335" t="s">
        <v>1571</v>
      </c>
      <c r="N7883" s="4323" t="s">
        <v>1776</v>
      </c>
      <c r="O7883" s="3347" t="s">
        <v>1563</v>
      </c>
      <c r="P7883" s="1336" t="s">
        <v>1562</v>
      </c>
      <c r="Q7883" s="3389"/>
      <c r="R7883" s="1699" t="s">
        <v>1327</v>
      </c>
      <c r="S7883" s="16"/>
    </row>
    <row r="7884" spans="1:19" s="22" customFormat="1">
      <c r="A7884" s="1599" t="s">
        <v>2403</v>
      </c>
      <c r="B7884" s="4326"/>
      <c r="C7884" s="3351"/>
      <c r="D7884" s="4328"/>
      <c r="E7884" s="4330"/>
      <c r="F7884" s="4336"/>
      <c r="G7884" s="4332"/>
      <c r="H7884" s="4332"/>
      <c r="I7884" s="1345">
        <v>42</v>
      </c>
      <c r="J7884" s="1307">
        <v>5.0000000000000001E-3</v>
      </c>
      <c r="K7884" s="1666">
        <f>I7884*J7884</f>
        <v>0.21</v>
      </c>
      <c r="L7884" s="4334"/>
      <c r="M7884" s="4335"/>
      <c r="N7884" s="4324"/>
      <c r="O7884" s="1298">
        <f>SUM(O7886:O7894)</f>
        <v>6.2087000000000003</v>
      </c>
      <c r="P7884" s="1337">
        <f>O7884*K7884</f>
        <v>1.3038270000000001</v>
      </c>
      <c r="Q7884" s="3390"/>
      <c r="R7884" s="1721">
        <f>SUM(P7886:P7894)</f>
        <v>1.3038269999999998</v>
      </c>
      <c r="S7884" s="16"/>
    </row>
    <row r="7885" spans="1:19" s="22" customFormat="1">
      <c r="A7885" s="1320"/>
      <c r="B7885" s="1949"/>
      <c r="C7885" s="1327"/>
      <c r="D7885" s="1367"/>
      <c r="E7885" s="2121"/>
      <c r="F7885" s="1389" t="s">
        <v>1</v>
      </c>
      <c r="G7885" s="1389"/>
      <c r="H7885" s="1369"/>
      <c r="I7885" s="2088"/>
      <c r="J7885" s="1369"/>
      <c r="K7885" s="1391"/>
      <c r="L7885" s="1559"/>
      <c r="M7885" s="1369"/>
      <c r="N7885" s="1369"/>
      <c r="O7885" s="1369"/>
      <c r="P7885" s="1392"/>
      <c r="Q7885" s="3395"/>
      <c r="R7885" s="2344"/>
      <c r="S7885" s="16"/>
    </row>
    <row r="7886" spans="1:19" s="22" customFormat="1">
      <c r="A7886" s="1320"/>
      <c r="B7886" s="1599"/>
      <c r="C7886" s="1320"/>
      <c r="D7886" s="1598" t="s">
        <v>2302</v>
      </c>
      <c r="E7886" s="2154" t="s">
        <v>1527</v>
      </c>
      <c r="F7886" s="1598" t="s">
        <v>2303</v>
      </c>
      <c r="G7886" s="1612">
        <v>1.01</v>
      </c>
      <c r="H7886" s="1369"/>
      <c r="I7886" s="1299"/>
      <c r="J7886" s="1300"/>
      <c r="K7886" s="1307">
        <f>G7886*K7884</f>
        <v>0.21209999999999998</v>
      </c>
      <c r="L7886" s="1335">
        <f t="shared" ref="L7886:L7889" si="1075">K7886*$K$7813</f>
        <v>0</v>
      </c>
      <c r="M7886" s="1499">
        <v>1.33</v>
      </c>
      <c r="N7886" s="1700"/>
      <c r="O7886" s="1290">
        <f>G7886*M7886</f>
        <v>1.3433000000000002</v>
      </c>
      <c r="P7886" s="1332">
        <f>M7886*K7886</f>
        <v>0.28209299999999998</v>
      </c>
      <c r="Q7886" s="3402"/>
      <c r="R7886" s="2356"/>
      <c r="S7886" s="16"/>
    </row>
    <row r="7887" spans="1:19" s="22" customFormat="1" ht="19.5" customHeight="1">
      <c r="A7887" s="2187"/>
      <c r="B7887" s="1599"/>
      <c r="C7887" s="1320"/>
      <c r="D7887" s="1598" t="s">
        <v>2304</v>
      </c>
      <c r="E7887" s="2154" t="s">
        <v>1527</v>
      </c>
      <c r="F7887" s="1598" t="s">
        <v>2305</v>
      </c>
      <c r="G7887" s="1612">
        <v>1.01</v>
      </c>
      <c r="H7887" s="1369"/>
      <c r="I7887" s="1299"/>
      <c r="J7887" s="1300"/>
      <c r="K7887" s="1307">
        <f>G7887*K7884</f>
        <v>0.21209999999999998</v>
      </c>
      <c r="L7887" s="1335">
        <f t="shared" si="1075"/>
        <v>0</v>
      </c>
      <c r="M7887" s="1499">
        <v>0.2</v>
      </c>
      <c r="N7887" s="1700"/>
      <c r="O7887" s="1290">
        <f>G7887*M7887</f>
        <v>0.20200000000000001</v>
      </c>
      <c r="P7887" s="1332">
        <f>M7887*K7887</f>
        <v>4.2419999999999999E-2</v>
      </c>
      <c r="Q7887" s="3402"/>
      <c r="R7887" s="2357"/>
      <c r="S7887" s="16"/>
    </row>
    <row r="7888" spans="1:19" s="22" customFormat="1" ht="20.25" customHeight="1">
      <c r="A7888" s="2187"/>
      <c r="B7888" s="1599"/>
      <c r="C7888" s="1042"/>
      <c r="D7888" s="1598" t="s">
        <v>1082</v>
      </c>
      <c r="E7888" s="2154" t="s">
        <v>1504</v>
      </c>
      <c r="F7888" s="1598" t="s">
        <v>1541</v>
      </c>
      <c r="G7888" s="1995">
        <v>0.7</v>
      </c>
      <c r="H7888" s="1369"/>
      <c r="I7888" s="1299"/>
      <c r="J7888" s="1300"/>
      <c r="K7888" s="1307">
        <f>G7888*K7884</f>
        <v>0.14699999999999999</v>
      </c>
      <c r="L7888" s="1335">
        <f t="shared" si="1075"/>
        <v>0</v>
      </c>
      <c r="M7888" s="1499">
        <v>0.3</v>
      </c>
      <c r="N7888" s="1700"/>
      <c r="O7888" s="1290">
        <f>G7888*M7888</f>
        <v>0.21</v>
      </c>
      <c r="P7888" s="1332">
        <f>M7888*K7888</f>
        <v>4.4099999999999993E-2</v>
      </c>
      <c r="Q7888" s="3402"/>
      <c r="R7888" s="2357"/>
      <c r="S7888" s="16"/>
    </row>
    <row r="7889" spans="1:20" s="22" customFormat="1" ht="13.5" customHeight="1">
      <c r="A7889" s="16"/>
      <c r="B7889" s="1599"/>
      <c r="C7889" s="1320"/>
      <c r="D7889" s="1598" t="s">
        <v>1097</v>
      </c>
      <c r="E7889" s="1856" t="s">
        <v>1504</v>
      </c>
      <c r="F7889" s="1598" t="s">
        <v>1632</v>
      </c>
      <c r="G7889" s="1399">
        <v>3.98</v>
      </c>
      <c r="H7889" s="1399"/>
      <c r="I7889" s="198"/>
      <c r="J7889" s="198"/>
      <c r="K7889" s="1307">
        <f>G7889*K7884</f>
        <v>0.83579999999999999</v>
      </c>
      <c r="L7889" s="1335">
        <f t="shared" si="1075"/>
        <v>0</v>
      </c>
      <c r="M7889" s="1499">
        <v>0.55000000000000004</v>
      </c>
      <c r="N7889" s="1701"/>
      <c r="O7889" s="1291">
        <f>G7889*M7889</f>
        <v>2.1890000000000001</v>
      </c>
      <c r="P7889" s="1332">
        <f>M7889*K7889</f>
        <v>0.45969000000000004</v>
      </c>
      <c r="Q7889" s="3391"/>
      <c r="R7889" s="3363"/>
      <c r="S7889" s="16"/>
      <c r="T7889" s="16"/>
    </row>
    <row r="7890" spans="1:20" s="22" customFormat="1" ht="16.5" customHeight="1">
      <c r="A7890" s="2187"/>
      <c r="B7890" s="1599"/>
      <c r="C7890" s="1042"/>
      <c r="D7890" s="1598"/>
      <c r="E7890" s="2154"/>
      <c r="F7890" s="1598"/>
      <c r="G7890" s="1995"/>
      <c r="H7890" s="1369"/>
      <c r="I7890" s="1299"/>
      <c r="J7890" s="1300"/>
      <c r="K7890" s="1307"/>
      <c r="L7890" s="1335"/>
      <c r="M7890" s="1499"/>
      <c r="N7890" s="1700"/>
      <c r="O7890" s="1290"/>
      <c r="P7890" s="1332"/>
      <c r="Q7890" s="3402"/>
      <c r="R7890" s="2357"/>
      <c r="S7890" s="16"/>
    </row>
    <row r="7891" spans="1:20" s="22" customFormat="1">
      <c r="A7891" s="16"/>
      <c r="B7891" s="1599"/>
      <c r="C7891" s="1320"/>
      <c r="D7891" s="1598"/>
      <c r="E7891" s="1856"/>
      <c r="F7891" s="1598"/>
      <c r="G7891" s="1399"/>
      <c r="H7891" s="1399"/>
      <c r="I7891" s="198"/>
      <c r="J7891" s="198"/>
      <c r="K7891" s="1307"/>
      <c r="L7891" s="1335"/>
      <c r="M7891" s="1499"/>
      <c r="N7891" s="1701"/>
      <c r="O7891" s="1291"/>
      <c r="P7891" s="1332"/>
      <c r="Q7891" s="3391"/>
      <c r="R7891" s="3363"/>
      <c r="S7891" s="16"/>
      <c r="T7891" s="16"/>
    </row>
    <row r="7892" spans="1:20" s="22" customFormat="1" ht="26">
      <c r="A7892" s="2187"/>
      <c r="B7892" s="1599"/>
      <c r="C7892" s="1042"/>
      <c r="D7892" s="1359"/>
      <c r="E7892" s="1858"/>
      <c r="F7892" s="1360" t="s">
        <v>2</v>
      </c>
      <c r="G7892" s="1360"/>
      <c r="H7892" s="1362"/>
      <c r="I7892" s="1380"/>
      <c r="J7892" s="1381"/>
      <c r="K7892" s="1381"/>
      <c r="L7892" s="1458"/>
      <c r="M7892" s="1362"/>
      <c r="N7892" s="1362"/>
      <c r="O7892" s="1362"/>
      <c r="P7892" s="1359"/>
      <c r="Q7892" s="3403"/>
      <c r="R7892" s="2357"/>
      <c r="S7892" s="16"/>
    </row>
    <row r="7893" spans="1:20" s="22" customFormat="1" ht="26">
      <c r="A7893" s="2187"/>
      <c r="B7893" s="2053"/>
      <c r="C7893" s="1321"/>
      <c r="D7893" s="1655" t="s">
        <v>1099</v>
      </c>
      <c r="E7893" s="1859" t="s">
        <v>1508</v>
      </c>
      <c r="F7893" s="1655" t="s">
        <v>1633</v>
      </c>
      <c r="G7893" s="1809">
        <v>0.06</v>
      </c>
      <c r="H7893" s="1386"/>
      <c r="I7893" s="1299"/>
      <c r="J7893" s="1300"/>
      <c r="K7893" s="1307">
        <f>G7893*K7884</f>
        <v>1.2599999999999998E-2</v>
      </c>
      <c r="L7893" s="1335">
        <f>K7893*$K$7813</f>
        <v>0</v>
      </c>
      <c r="M7893" s="1302">
        <v>19.23</v>
      </c>
      <c r="N7893" s="1700"/>
      <c r="O7893" s="1290">
        <f>G7893*M7893</f>
        <v>1.1537999999999999</v>
      </c>
      <c r="P7893" s="1332">
        <f>M7893*K7893</f>
        <v>0.24229799999999999</v>
      </c>
      <c r="Q7893" s="3402"/>
      <c r="R7893" s="2357"/>
      <c r="S7893" s="16"/>
    </row>
    <row r="7894" spans="1:20" s="22" customFormat="1">
      <c r="A7894"/>
      <c r="B7894" s="1042"/>
      <c r="C7894" s="2086" t="s">
        <v>2282</v>
      </c>
      <c r="D7894" s="1311"/>
      <c r="E7894" s="2176" t="s">
        <v>1508</v>
      </c>
      <c r="F7894" s="1648" t="s">
        <v>2283</v>
      </c>
      <c r="G7894" s="1990"/>
      <c r="H7894" s="1338">
        <v>0.03</v>
      </c>
      <c r="I7894" s="1444"/>
      <c r="J7894" s="1388"/>
      <c r="K7894" s="1445"/>
      <c r="L7894" s="1457"/>
      <c r="M7894" s="1447"/>
      <c r="N7894" s="1447">
        <f>SUM(N7895:N7896)</f>
        <v>37.019999999999996</v>
      </c>
      <c r="O7894" s="1447">
        <f>SUM(O7895:O7896)</f>
        <v>1.1105999999999998</v>
      </c>
      <c r="P7894" s="1447">
        <f>SUM(P7895:P7896)</f>
        <v>0.23322599999999996</v>
      </c>
      <c r="Q7894" s="3391"/>
      <c r="R7894" s="2337"/>
    </row>
    <row r="7895" spans="1:20" s="22" customFormat="1">
      <c r="A7895"/>
      <c r="B7895" s="1042"/>
      <c r="C7895" s="19"/>
      <c r="D7895" s="1430" t="s">
        <v>1067</v>
      </c>
      <c r="E7895" s="1857" t="s">
        <v>1508</v>
      </c>
      <c r="F7895" s="1403" t="s">
        <v>5</v>
      </c>
      <c r="G7895" s="1991">
        <v>1</v>
      </c>
      <c r="H7895" s="1408">
        <f>G7895*H7894</f>
        <v>0.03</v>
      </c>
      <c r="I7895" s="1286"/>
      <c r="J7895" s="198"/>
      <c r="K7895" s="1307">
        <f>H7895*K7884</f>
        <v>6.2999999999999992E-3</v>
      </c>
      <c r="L7895" s="1335">
        <f t="shared" ref="L7895:L7896" si="1076">K7895*$K$7813</f>
        <v>0</v>
      </c>
      <c r="M7895" s="1302">
        <v>18.28</v>
      </c>
      <c r="N7895" s="1718">
        <f>G7895*M7895</f>
        <v>18.28</v>
      </c>
      <c r="O7895" s="1290">
        <f>H7895*M7895</f>
        <v>0.5484</v>
      </c>
      <c r="P7895" s="1720">
        <f>M7895*K7895</f>
        <v>0.11516399999999999</v>
      </c>
      <c r="Q7895" s="3396"/>
      <c r="R7895" s="2337"/>
    </row>
    <row r="7896" spans="1:20" s="22" customFormat="1">
      <c r="A7896"/>
      <c r="B7896" s="1042"/>
      <c r="C7896" s="19"/>
      <c r="D7896" s="1430" t="s">
        <v>1165</v>
      </c>
      <c r="E7896" s="1857" t="s">
        <v>1508</v>
      </c>
      <c r="F7896" s="1394" t="s">
        <v>114</v>
      </c>
      <c r="G7896" s="2183">
        <v>1</v>
      </c>
      <c r="H7896" s="1395">
        <f>G7896*H7894</f>
        <v>0.03</v>
      </c>
      <c r="I7896" s="197"/>
      <c r="J7896" s="198"/>
      <c r="K7896" s="1307">
        <f>H7896*K7884</f>
        <v>6.2999999999999992E-3</v>
      </c>
      <c r="L7896" s="1335">
        <f t="shared" si="1076"/>
        <v>0</v>
      </c>
      <c r="M7896" s="1302">
        <v>18.739999999999998</v>
      </c>
      <c r="N7896" s="1718">
        <f>G7896*M7896</f>
        <v>18.739999999999998</v>
      </c>
      <c r="O7896" s="1290">
        <f>H7896*M7896</f>
        <v>0.56219999999999992</v>
      </c>
      <c r="P7896" s="1720">
        <f>M7896*K7896</f>
        <v>0.11806199999999997</v>
      </c>
      <c r="Q7896" s="3396"/>
      <c r="R7896" s="2337"/>
    </row>
    <row r="7897" spans="1:20" s="22" customFormat="1">
      <c r="B7897" s="1320"/>
      <c r="C7897" s="16"/>
      <c r="D7897" s="1359"/>
      <c r="E7897" s="1858"/>
      <c r="F7897" s="1474"/>
      <c r="G7897" s="1474"/>
      <c r="H7897" s="1466"/>
      <c r="I7897" s="1289"/>
      <c r="J7897" s="8"/>
      <c r="K7897" s="1307"/>
      <c r="L7897" s="1335"/>
      <c r="M7897" s="1302"/>
      <c r="N7897" s="1700"/>
      <c r="O7897" s="1290"/>
      <c r="P7897" s="1332"/>
      <c r="Q7897" s="3391"/>
      <c r="R7897" s="2344"/>
      <c r="S7897" s="16"/>
    </row>
    <row r="7898" spans="1:20" s="22" customFormat="1">
      <c r="A7898" s="1320"/>
      <c r="B7898" s="1599"/>
      <c r="C7898" s="1320"/>
      <c r="D7898" s="1373"/>
      <c r="E7898" s="2123"/>
      <c r="F7898" s="1374" t="s">
        <v>3</v>
      </c>
      <c r="G7898" s="1375"/>
      <c r="H7898" s="1376"/>
      <c r="I7898" s="1382"/>
      <c r="J7898" s="1383"/>
      <c r="K7898" s="1383"/>
      <c r="L7898" s="1413"/>
      <c r="M7898" s="1376"/>
      <c r="N7898" s="1376"/>
      <c r="O7898" s="1376"/>
      <c r="P7898" s="1373"/>
      <c r="Q7898" s="3403"/>
      <c r="R7898" s="2356"/>
      <c r="S7898" s="16"/>
    </row>
    <row r="7899" spans="1:20" s="22" customFormat="1">
      <c r="A7899" s="1321"/>
      <c r="B7899" s="2053"/>
      <c r="C7899" s="1321"/>
      <c r="D7899" s="1827"/>
      <c r="E7899" s="2173"/>
      <c r="F7899" s="1827"/>
      <c r="G7899" s="1828"/>
      <c r="H7899" s="1379"/>
      <c r="I7899" s="1299"/>
      <c r="J7899" s="1300"/>
      <c r="K7899" s="1307"/>
      <c r="L7899" s="1335"/>
      <c r="M7899" s="1302"/>
      <c r="N7899" s="1700"/>
      <c r="O7899" s="1290"/>
      <c r="P7899" s="1332"/>
      <c r="Q7899" s="3402"/>
      <c r="R7899" s="2053"/>
      <c r="S7899" s="16"/>
    </row>
    <row r="7900" spans="1:20" s="22" customFormat="1">
      <c r="A7900" s="1321"/>
      <c r="B7900" s="2053"/>
      <c r="C7900" s="1321"/>
      <c r="D7900" s="1377"/>
      <c r="E7900" s="2124"/>
      <c r="F7900" s="1378"/>
      <c r="G7900" s="1378"/>
      <c r="H7900" s="1379"/>
      <c r="I7900" s="1299"/>
      <c r="J7900" s="1300"/>
      <c r="K7900" s="1307"/>
      <c r="L7900" s="1335"/>
      <c r="M7900" s="1302"/>
      <c r="N7900" s="1700"/>
      <c r="O7900" s="1290"/>
      <c r="P7900" s="1333"/>
      <c r="Q7900" s="3402"/>
      <c r="R7900" s="2053"/>
      <c r="S7900" s="16"/>
    </row>
    <row r="7901" spans="1:20" s="22" customFormat="1">
      <c r="A7901" s="1320"/>
      <c r="B7901" s="1765"/>
      <c r="C7901" s="223"/>
      <c r="D7901" s="1373"/>
      <c r="E7901" s="2161"/>
      <c r="F7901" s="1678"/>
      <c r="G7901" s="1678"/>
      <c r="H7901" s="1376"/>
      <c r="I7901" s="1299"/>
      <c r="J7901" s="1300"/>
      <c r="K7901" s="1307"/>
      <c r="L7901" s="1335"/>
      <c r="M7901" s="1302"/>
      <c r="N7901" s="1700"/>
      <c r="O7901" s="1290"/>
      <c r="P7901" s="1332"/>
      <c r="Q7901" s="3402"/>
      <c r="R7901" s="2356"/>
      <c r="S7901" s="16"/>
    </row>
    <row r="7902" spans="1:20" s="22" customFormat="1">
      <c r="A7902" s="18" t="s">
        <v>3764</v>
      </c>
      <c r="B7902" s="4325" t="s">
        <v>2306</v>
      </c>
      <c r="C7902" s="3350"/>
      <c r="D7902" s="4327"/>
      <c r="E7902" s="4329" t="s">
        <v>1527</v>
      </c>
      <c r="F7902" s="4336" t="s">
        <v>2307</v>
      </c>
      <c r="G7902" s="4331" t="s">
        <v>1568</v>
      </c>
      <c r="H7902" s="4331" t="s">
        <v>1574</v>
      </c>
      <c r="I7902" s="1572" t="s">
        <v>1559</v>
      </c>
      <c r="J7902" s="1294" t="s">
        <v>1560</v>
      </c>
      <c r="K7902" s="1294" t="s">
        <v>1569</v>
      </c>
      <c r="L7902" s="4333" t="s">
        <v>3765</v>
      </c>
      <c r="M7902" s="4335" t="s">
        <v>1571</v>
      </c>
      <c r="N7902" s="4323" t="s">
        <v>1776</v>
      </c>
      <c r="O7902" s="3347" t="s">
        <v>1563</v>
      </c>
      <c r="P7902" s="1336" t="s">
        <v>1562</v>
      </c>
      <c r="Q7902" s="3389"/>
      <c r="R7902" s="1699" t="s">
        <v>1327</v>
      </c>
      <c r="S7902" s="16"/>
    </row>
    <row r="7903" spans="1:20" s="22" customFormat="1">
      <c r="A7903" s="1599" t="s">
        <v>2403</v>
      </c>
      <c r="B7903" s="4326"/>
      <c r="C7903" s="3351"/>
      <c r="D7903" s="4328"/>
      <c r="E7903" s="4330"/>
      <c r="F7903" s="4336"/>
      <c r="G7903" s="4332"/>
      <c r="H7903" s="4332"/>
      <c r="I7903" s="1345">
        <v>46</v>
      </c>
      <c r="J7903" s="1307">
        <v>5.0000000000000001E-3</v>
      </c>
      <c r="K7903" s="1666">
        <f>I7903*J7903</f>
        <v>0.23</v>
      </c>
      <c r="L7903" s="4334"/>
      <c r="M7903" s="4335"/>
      <c r="N7903" s="4324"/>
      <c r="O7903" s="1298">
        <f>SUM(O7905:O7913)</f>
        <v>7.7683</v>
      </c>
      <c r="P7903" s="1337">
        <f>O7903*K7903</f>
        <v>1.7867090000000001</v>
      </c>
      <c r="Q7903" s="3390"/>
      <c r="R7903" s="1721">
        <f>SUM(P7905:P7913)</f>
        <v>1.7867089999999997</v>
      </c>
      <c r="S7903" s="16"/>
    </row>
    <row r="7904" spans="1:20" s="22" customFormat="1">
      <c r="A7904" s="1320"/>
      <c r="B7904" s="1949"/>
      <c r="C7904" s="1327"/>
      <c r="D7904" s="1367"/>
      <c r="E7904" s="2121"/>
      <c r="F7904" s="1389" t="s">
        <v>1</v>
      </c>
      <c r="G7904" s="1389"/>
      <c r="H7904" s="1369"/>
      <c r="I7904" s="2088"/>
      <c r="J7904" s="1369"/>
      <c r="K7904" s="1391"/>
      <c r="L7904" s="1559"/>
      <c r="M7904" s="1369"/>
      <c r="N7904" s="1369"/>
      <c r="O7904" s="1369"/>
      <c r="P7904" s="1392"/>
      <c r="Q7904" s="3395"/>
      <c r="R7904" s="2344"/>
      <c r="S7904" s="16"/>
    </row>
    <row r="7905" spans="1:19" s="22" customFormat="1" ht="17.25" customHeight="1">
      <c r="A7905" s="1320"/>
      <c r="B7905" s="1599"/>
      <c r="C7905" s="1320"/>
      <c r="D7905" s="1598" t="s">
        <v>2308</v>
      </c>
      <c r="E7905" s="2154" t="s">
        <v>1527</v>
      </c>
      <c r="F7905" s="1598" t="s">
        <v>2309</v>
      </c>
      <c r="G7905" s="1612">
        <v>1.01</v>
      </c>
      <c r="H7905" s="1369"/>
      <c r="I7905" s="1299"/>
      <c r="J7905" s="1300"/>
      <c r="K7905" s="1307">
        <f>G7905*K7903</f>
        <v>0.23230000000000001</v>
      </c>
      <c r="L7905" s="1335">
        <f t="shared" ref="L7905:L7908" si="1077">K7905*$K$7813</f>
        <v>0</v>
      </c>
      <c r="M7905" s="1302">
        <v>1.88</v>
      </c>
      <c r="N7905" s="1700"/>
      <c r="O7905" s="1290">
        <f>G7905*M7905</f>
        <v>1.8987999999999998</v>
      </c>
      <c r="P7905" s="1332">
        <f>M7905*K7905</f>
        <v>0.436724</v>
      </c>
      <c r="Q7905" s="3402"/>
      <c r="R7905" s="2356"/>
      <c r="S7905" s="16"/>
    </row>
    <row r="7906" spans="1:19" s="22" customFormat="1" ht="20.25" customHeight="1">
      <c r="A7906" s="2187"/>
      <c r="B7906" s="1599"/>
      <c r="C7906" s="1320"/>
      <c r="D7906" s="1598" t="s">
        <v>2310</v>
      </c>
      <c r="E7906" s="2154" t="s">
        <v>1527</v>
      </c>
      <c r="F7906" s="1598" t="s">
        <v>2311</v>
      </c>
      <c r="G7906" s="1612">
        <v>1.01</v>
      </c>
      <c r="H7906" s="1369"/>
      <c r="I7906" s="1299"/>
      <c r="J7906" s="1300"/>
      <c r="K7906" s="1307">
        <f>G7906*K7903</f>
        <v>0.23230000000000001</v>
      </c>
      <c r="L7906" s="1335">
        <f t="shared" si="1077"/>
        <v>0</v>
      </c>
      <c r="M7906" s="1302">
        <v>0.41</v>
      </c>
      <c r="N7906" s="1700"/>
      <c r="O7906" s="1290">
        <f>G7906*M7906</f>
        <v>0.41409999999999997</v>
      </c>
      <c r="P7906" s="1332">
        <f>M7906*K7906</f>
        <v>9.5242999999999994E-2</v>
      </c>
      <c r="Q7906" s="3402"/>
      <c r="R7906" s="2357"/>
      <c r="S7906" s="16"/>
    </row>
    <row r="7907" spans="1:19" s="22" customFormat="1" ht="21" customHeight="1">
      <c r="A7907" s="2187"/>
      <c r="B7907" s="1599"/>
      <c r="C7907" s="1042"/>
      <c r="D7907" s="1598" t="s">
        <v>1082</v>
      </c>
      <c r="E7907" s="2154" t="s">
        <v>1504</v>
      </c>
      <c r="F7907" s="1598" t="s">
        <v>1541</v>
      </c>
      <c r="G7907" s="1995">
        <v>0.7</v>
      </c>
      <c r="H7907" s="1369"/>
      <c r="I7907" s="1299"/>
      <c r="J7907" s="1300"/>
      <c r="K7907" s="1307">
        <f>G7907*K7903</f>
        <v>0.161</v>
      </c>
      <c r="L7907" s="1335">
        <f t="shared" si="1077"/>
        <v>0</v>
      </c>
      <c r="M7907" s="1499">
        <v>0.3</v>
      </c>
      <c r="N7907" s="1700"/>
      <c r="O7907" s="1290">
        <f>G7907*M7907</f>
        <v>0.21</v>
      </c>
      <c r="P7907" s="1332">
        <f>M7907*K7907</f>
        <v>4.8300000000000003E-2</v>
      </c>
      <c r="Q7907" s="3402"/>
      <c r="R7907" s="2357"/>
      <c r="S7907" s="16"/>
    </row>
    <row r="7908" spans="1:19" s="22" customFormat="1" ht="23.25" customHeight="1">
      <c r="A7908" s="16"/>
      <c r="B7908" s="1599"/>
      <c r="C7908" s="1320"/>
      <c r="D7908" s="1598" t="s">
        <v>1097</v>
      </c>
      <c r="E7908" s="1856" t="s">
        <v>1504</v>
      </c>
      <c r="F7908" s="1598" t="s">
        <v>1632</v>
      </c>
      <c r="G7908" s="1399">
        <v>5.42</v>
      </c>
      <c r="H7908" s="1399"/>
      <c r="I7908" s="198"/>
      <c r="J7908" s="198"/>
      <c r="K7908" s="1307">
        <f>G7908*K7903</f>
        <v>1.2465999999999999</v>
      </c>
      <c r="L7908" s="1335">
        <f t="shared" si="1077"/>
        <v>0</v>
      </c>
      <c r="M7908" s="1499">
        <v>0.55000000000000004</v>
      </c>
      <c r="N7908" s="1701"/>
      <c r="O7908" s="1291">
        <f>G7908*M7908</f>
        <v>2.9810000000000003</v>
      </c>
      <c r="P7908" s="1332">
        <f>M7908*K7908</f>
        <v>0.68562999999999996</v>
      </c>
      <c r="Q7908" s="3391"/>
      <c r="R7908" s="3363"/>
      <c r="S7908" s="16"/>
    </row>
    <row r="7909" spans="1:19" s="22" customFormat="1" ht="19.5" customHeight="1">
      <c r="A7909" s="2187"/>
      <c r="B7909" s="1599"/>
      <c r="C7909" s="1042"/>
      <c r="D7909" s="1598"/>
      <c r="E7909" s="2154"/>
      <c r="F7909" s="1598"/>
      <c r="G7909" s="1995"/>
      <c r="H7909" s="1369"/>
      <c r="I7909" s="1299"/>
      <c r="J7909" s="1300"/>
      <c r="K7909" s="1307"/>
      <c r="L7909" s="1335"/>
      <c r="M7909" s="1499"/>
      <c r="N7909" s="1700"/>
      <c r="O7909" s="1290"/>
      <c r="P7909" s="1332"/>
      <c r="Q7909" s="3402"/>
      <c r="R7909" s="2357"/>
      <c r="S7909" s="16"/>
    </row>
    <row r="7910" spans="1:19" s="22" customFormat="1" ht="18.75" customHeight="1">
      <c r="A7910" s="16"/>
      <c r="B7910" s="1599"/>
      <c r="C7910" s="1320"/>
      <c r="D7910" s="1598"/>
      <c r="E7910" s="1856"/>
      <c r="F7910" s="1598"/>
      <c r="G7910" s="1399"/>
      <c r="H7910" s="1399"/>
      <c r="I7910" s="198"/>
      <c r="J7910" s="198"/>
      <c r="K7910" s="1307"/>
      <c r="L7910" s="1335"/>
      <c r="M7910" s="1499"/>
      <c r="N7910" s="1701"/>
      <c r="O7910" s="1291"/>
      <c r="P7910" s="1332"/>
      <c r="Q7910" s="3391"/>
      <c r="R7910" s="3363"/>
      <c r="S7910" s="16"/>
    </row>
    <row r="7911" spans="1:19" s="22" customFormat="1" ht="26">
      <c r="A7911" s="2187"/>
      <c r="B7911" s="1599"/>
      <c r="C7911" s="1042"/>
      <c r="D7911" s="1359"/>
      <c r="E7911" s="1858"/>
      <c r="F7911" s="1360" t="s">
        <v>2</v>
      </c>
      <c r="G7911" s="1360"/>
      <c r="H7911" s="1362"/>
      <c r="I7911" s="1380"/>
      <c r="J7911" s="1381"/>
      <c r="K7911" s="1381"/>
      <c r="L7911" s="1458"/>
      <c r="M7911" s="1362"/>
      <c r="N7911" s="1362"/>
      <c r="O7911" s="1362"/>
      <c r="P7911" s="1359"/>
      <c r="Q7911" s="3403"/>
      <c r="R7911" s="2357"/>
      <c r="S7911" s="16"/>
    </row>
    <row r="7912" spans="1:19" s="22" customFormat="1" ht="26">
      <c r="A7912" s="2187"/>
      <c r="B7912" s="2053"/>
      <c r="C7912" s="1321"/>
      <c r="D7912" s="1655" t="s">
        <v>1099</v>
      </c>
      <c r="E7912" s="1859" t="s">
        <v>1508</v>
      </c>
      <c r="F7912" s="1655" t="s">
        <v>1633</v>
      </c>
      <c r="G7912" s="1809">
        <v>0.06</v>
      </c>
      <c r="H7912" s="1386"/>
      <c r="I7912" s="1299"/>
      <c r="J7912" s="1300"/>
      <c r="K7912" s="1307">
        <f>G7912*K7903</f>
        <v>1.38E-2</v>
      </c>
      <c r="L7912" s="1335">
        <f>K7912*$K$7813</f>
        <v>0</v>
      </c>
      <c r="M7912" s="1302">
        <v>19.23</v>
      </c>
      <c r="N7912" s="1700"/>
      <c r="O7912" s="1290">
        <f>G7912*M7912</f>
        <v>1.1537999999999999</v>
      </c>
      <c r="P7912" s="1332">
        <f>M7912*K7912</f>
        <v>0.265374</v>
      </c>
      <c r="Q7912" s="3402"/>
      <c r="R7912" s="2357"/>
      <c r="S7912" s="16"/>
    </row>
    <row r="7913" spans="1:19" s="22" customFormat="1">
      <c r="A7913"/>
      <c r="B7913" s="1042"/>
      <c r="C7913" s="2086" t="s">
        <v>2282</v>
      </c>
      <c r="D7913" s="1311"/>
      <c r="E7913" s="2176" t="s">
        <v>1508</v>
      </c>
      <c r="F7913" s="1648" t="s">
        <v>2283</v>
      </c>
      <c r="G7913" s="1990"/>
      <c r="H7913" s="1338">
        <v>0.03</v>
      </c>
      <c r="I7913" s="1444"/>
      <c r="J7913" s="1388"/>
      <c r="K7913" s="1445"/>
      <c r="L7913" s="1457"/>
      <c r="M7913" s="1447"/>
      <c r="N7913" s="1447">
        <f>SUM(N7914:N7915)</f>
        <v>37.019999999999996</v>
      </c>
      <c r="O7913" s="1447">
        <f>SUM(O7914:O7915)</f>
        <v>1.1105999999999998</v>
      </c>
      <c r="P7913" s="1447">
        <f>SUM(P7914:P7915)</f>
        <v>0.25543799999999994</v>
      </c>
      <c r="Q7913" s="3391"/>
      <c r="R7913" s="2337"/>
    </row>
    <row r="7914" spans="1:19" s="22" customFormat="1">
      <c r="A7914"/>
      <c r="B7914" s="1042"/>
      <c r="C7914" s="19"/>
      <c r="D7914" s="1430" t="s">
        <v>1067</v>
      </c>
      <c r="E7914" s="1857" t="s">
        <v>1508</v>
      </c>
      <c r="F7914" s="1403" t="s">
        <v>5</v>
      </c>
      <c r="G7914" s="1991">
        <v>1</v>
      </c>
      <c r="H7914" s="1408">
        <f>G7914*H7913</f>
        <v>0.03</v>
      </c>
      <c r="I7914" s="1286"/>
      <c r="J7914" s="198"/>
      <c r="K7914" s="1307">
        <f>H7914*K7903</f>
        <v>6.8999999999999999E-3</v>
      </c>
      <c r="L7914" s="1335">
        <f t="shared" ref="L7914:L7915" si="1078">K7914*$K$7813</f>
        <v>0</v>
      </c>
      <c r="M7914" s="1302">
        <v>18.28</v>
      </c>
      <c r="N7914" s="1718">
        <f>G7914*M7914</f>
        <v>18.28</v>
      </c>
      <c r="O7914" s="1290">
        <f>H7914*M7914</f>
        <v>0.5484</v>
      </c>
      <c r="P7914" s="1720">
        <f>M7914*K7914</f>
        <v>0.12613199999999999</v>
      </c>
      <c r="Q7914" s="3396"/>
      <c r="R7914" s="2337"/>
    </row>
    <row r="7915" spans="1:19" s="22" customFormat="1">
      <c r="A7915"/>
      <c r="B7915" s="1042"/>
      <c r="C7915" s="19"/>
      <c r="D7915" s="1430" t="s">
        <v>1165</v>
      </c>
      <c r="E7915" s="1857" t="s">
        <v>1508</v>
      </c>
      <c r="F7915" s="1394" t="s">
        <v>114</v>
      </c>
      <c r="G7915" s="2183">
        <v>1</v>
      </c>
      <c r="H7915" s="1395">
        <f>G7915*H7913</f>
        <v>0.03</v>
      </c>
      <c r="I7915" s="197"/>
      <c r="J7915" s="198"/>
      <c r="K7915" s="1307">
        <f>H7915*K7903</f>
        <v>6.8999999999999999E-3</v>
      </c>
      <c r="L7915" s="1335">
        <f t="shared" si="1078"/>
        <v>0</v>
      </c>
      <c r="M7915" s="1302">
        <v>18.739999999999998</v>
      </c>
      <c r="N7915" s="1718">
        <f>G7915*M7915</f>
        <v>18.739999999999998</v>
      </c>
      <c r="O7915" s="1290">
        <f>H7915*M7915</f>
        <v>0.56219999999999992</v>
      </c>
      <c r="P7915" s="1720">
        <f>M7915*K7915</f>
        <v>0.12930599999999998</v>
      </c>
      <c r="Q7915" s="3396"/>
      <c r="R7915" s="2337"/>
    </row>
    <row r="7916" spans="1:19" s="22" customFormat="1">
      <c r="B7916" s="1320"/>
      <c r="C7916" s="16"/>
      <c r="D7916" s="1359"/>
      <c r="E7916" s="1858"/>
      <c r="F7916" s="1474"/>
      <c r="G7916" s="1474"/>
      <c r="H7916" s="1466"/>
      <c r="I7916" s="1289"/>
      <c r="J7916" s="8"/>
      <c r="K7916" s="1307"/>
      <c r="L7916" s="1335"/>
      <c r="M7916" s="1302"/>
      <c r="N7916" s="1700"/>
      <c r="O7916" s="1290"/>
      <c r="P7916" s="1332"/>
      <c r="Q7916" s="3391"/>
      <c r="R7916" s="2344"/>
      <c r="S7916" s="16"/>
    </row>
    <row r="7917" spans="1:19" s="22" customFormat="1">
      <c r="A7917" s="1320"/>
      <c r="B7917" s="1599"/>
      <c r="C7917" s="1320"/>
      <c r="D7917" s="1373"/>
      <c r="E7917" s="2123"/>
      <c r="F7917" s="1374" t="s">
        <v>3</v>
      </c>
      <c r="G7917" s="1375"/>
      <c r="H7917" s="1376"/>
      <c r="I7917" s="1382"/>
      <c r="J7917" s="1383"/>
      <c r="K7917" s="1383"/>
      <c r="L7917" s="1413"/>
      <c r="M7917" s="1376"/>
      <c r="N7917" s="1376"/>
      <c r="O7917" s="1376"/>
      <c r="P7917" s="1373"/>
      <c r="Q7917" s="3403"/>
      <c r="R7917" s="2356"/>
      <c r="S7917" s="16"/>
    </row>
    <row r="7918" spans="1:19" s="22" customFormat="1">
      <c r="A7918" s="1321"/>
      <c r="B7918" s="2053"/>
      <c r="C7918" s="1321"/>
      <c r="D7918" s="1827"/>
      <c r="E7918" s="2173"/>
      <c r="F7918" s="1827"/>
      <c r="G7918" s="1828"/>
      <c r="H7918" s="1379"/>
      <c r="I7918" s="1299"/>
      <c r="J7918" s="1300"/>
      <c r="K7918" s="1307"/>
      <c r="L7918" s="1335"/>
      <c r="M7918" s="1302"/>
      <c r="N7918" s="1700"/>
      <c r="O7918" s="1290"/>
      <c r="P7918" s="1332"/>
      <c r="Q7918" s="3402"/>
      <c r="R7918" s="2053"/>
      <c r="S7918" s="16"/>
    </row>
    <row r="7919" spans="1:19" s="22" customFormat="1">
      <c r="A7919" s="1321"/>
      <c r="B7919" s="2053"/>
      <c r="C7919" s="1321"/>
      <c r="D7919" s="1377"/>
      <c r="E7919" s="2124"/>
      <c r="F7919" s="1378"/>
      <c r="G7919" s="1378"/>
      <c r="H7919" s="1379"/>
      <c r="I7919" s="1299"/>
      <c r="J7919" s="1300"/>
      <c r="K7919" s="1307"/>
      <c r="L7919" s="1335"/>
      <c r="M7919" s="1302"/>
      <c r="N7919" s="1700"/>
      <c r="O7919" s="1290"/>
      <c r="P7919" s="1333"/>
      <c r="Q7919" s="3402"/>
      <c r="R7919" s="2053"/>
      <c r="S7919" s="16"/>
    </row>
    <row r="7920" spans="1:19" s="22" customFormat="1">
      <c r="A7920" s="1320"/>
      <c r="B7920" s="1765"/>
      <c r="C7920" s="223"/>
      <c r="D7920" s="1373"/>
      <c r="E7920" s="2161"/>
      <c r="F7920" s="1678"/>
      <c r="G7920" s="1678"/>
      <c r="H7920" s="1376"/>
      <c r="I7920" s="1299"/>
      <c r="J7920" s="1300"/>
      <c r="K7920" s="1307"/>
      <c r="L7920" s="1335"/>
      <c r="M7920" s="1302"/>
      <c r="N7920" s="1700"/>
      <c r="O7920" s="1290"/>
      <c r="P7920" s="1332"/>
      <c r="Q7920" s="3402"/>
      <c r="R7920" s="2356"/>
      <c r="S7920" s="16"/>
    </row>
    <row r="7921" spans="1:18" s="22" customFormat="1">
      <c r="A7921" s="18" t="s">
        <v>3764</v>
      </c>
      <c r="B7921" s="4325" t="s">
        <v>2312</v>
      </c>
      <c r="C7921" s="3350"/>
      <c r="D7921" s="4327"/>
      <c r="E7921" s="4329" t="s">
        <v>1527</v>
      </c>
      <c r="F7921" s="4336" t="s">
        <v>2413</v>
      </c>
      <c r="G7921" s="4331" t="s">
        <v>1568</v>
      </c>
      <c r="H7921" s="4331" t="s">
        <v>1574</v>
      </c>
      <c r="I7921" s="1572" t="s">
        <v>1559</v>
      </c>
      <c r="J7921" s="1294" t="s">
        <v>1560</v>
      </c>
      <c r="K7921" s="1294" t="s">
        <v>1569</v>
      </c>
      <c r="L7921" s="4333" t="s">
        <v>3765</v>
      </c>
      <c r="M7921" s="4335" t="s">
        <v>1571</v>
      </c>
      <c r="N7921" s="4323" t="s">
        <v>1776</v>
      </c>
      <c r="O7921" s="3347" t="s">
        <v>1563</v>
      </c>
      <c r="P7921" s="1336" t="s">
        <v>1562</v>
      </c>
      <c r="Q7921" s="3389"/>
      <c r="R7921" s="1699" t="s">
        <v>1327</v>
      </c>
    </row>
    <row r="7922" spans="1:18" s="22" customFormat="1">
      <c r="A7922" s="1599" t="s">
        <v>2403</v>
      </c>
      <c r="B7922" s="4326"/>
      <c r="C7922" s="3351"/>
      <c r="D7922" s="4328"/>
      <c r="E7922" s="4330"/>
      <c r="F7922" s="4336"/>
      <c r="G7922" s="4332"/>
      <c r="H7922" s="4332"/>
      <c r="I7922" s="1345">
        <v>32</v>
      </c>
      <c r="J7922" s="1307">
        <v>5.0000000000000001E-3</v>
      </c>
      <c r="K7922" s="1666">
        <f>I7922*J7922</f>
        <v>0.16</v>
      </c>
      <c r="L7922" s="4334"/>
      <c r="M7922" s="4335"/>
      <c r="N7922" s="4324"/>
      <c r="O7922" s="1298">
        <f>SUM(O7924:O7932)</f>
        <v>9.202</v>
      </c>
      <c r="P7922" s="1337">
        <f>O7922*K7922</f>
        <v>1.4723200000000001</v>
      </c>
      <c r="Q7922" s="3390"/>
      <c r="R7922" s="1721">
        <f>SUM(P7924:P7932)</f>
        <v>1.4723199999999999</v>
      </c>
    </row>
    <row r="7923" spans="1:18" s="22" customFormat="1">
      <c r="A7923" s="1320"/>
      <c r="B7923" s="1949"/>
      <c r="C7923" s="1327"/>
      <c r="D7923" s="1367"/>
      <c r="E7923" s="2121"/>
      <c r="F7923" s="1389" t="s">
        <v>1</v>
      </c>
      <c r="G7923" s="1389"/>
      <c r="H7923" s="1369"/>
      <c r="I7923" s="2088"/>
      <c r="J7923" s="1369"/>
      <c r="K7923" s="1391"/>
      <c r="L7923" s="1559"/>
      <c r="M7923" s="1369"/>
      <c r="N7923" s="1369"/>
      <c r="O7923" s="1369"/>
      <c r="P7923" s="1392"/>
      <c r="Q7923" s="3395"/>
      <c r="R7923" s="2344"/>
    </row>
    <row r="7924" spans="1:18" s="22" customFormat="1">
      <c r="A7924" s="1320"/>
      <c r="B7924" s="1599"/>
      <c r="C7924" s="1320"/>
      <c r="D7924" s="1598" t="s">
        <v>2314</v>
      </c>
      <c r="E7924" s="2154" t="s">
        <v>1527</v>
      </c>
      <c r="F7924" s="1598" t="s">
        <v>2315</v>
      </c>
      <c r="G7924" s="1612">
        <v>1.01</v>
      </c>
      <c r="H7924" s="1369"/>
      <c r="I7924" s="1299"/>
      <c r="J7924" s="1300"/>
      <c r="K7924" s="1307">
        <f>G7924*K7922</f>
        <v>0.16159999999999999</v>
      </c>
      <c r="L7924" s="1335">
        <f t="shared" ref="L7924:L7927" si="1079">K7924*$K$7813</f>
        <v>0</v>
      </c>
      <c r="M7924" s="1302">
        <v>3.55</v>
      </c>
      <c r="N7924" s="1700"/>
      <c r="O7924" s="1290">
        <f>G7924*M7924</f>
        <v>3.5854999999999997</v>
      </c>
      <c r="P7924" s="1332">
        <f>M7924*K7924</f>
        <v>0.57367999999999997</v>
      </c>
      <c r="Q7924" s="3402"/>
      <c r="R7924" s="2356"/>
    </row>
    <row r="7925" spans="1:18" s="22" customFormat="1" ht="20.25" customHeight="1">
      <c r="A7925" s="2187"/>
      <c r="B7925" s="1599"/>
      <c r="C7925" s="1320"/>
      <c r="D7925" s="1598" t="s">
        <v>2310</v>
      </c>
      <c r="E7925" s="2154" t="s">
        <v>1527</v>
      </c>
      <c r="F7925" s="1598" t="s">
        <v>2311</v>
      </c>
      <c r="G7925" s="1612">
        <v>1.01</v>
      </c>
      <c r="H7925" s="1369"/>
      <c r="I7925" s="1299"/>
      <c r="J7925" s="1300"/>
      <c r="K7925" s="1307">
        <f>G7925*K7922</f>
        <v>0.16159999999999999</v>
      </c>
      <c r="L7925" s="1335">
        <f t="shared" si="1079"/>
        <v>0</v>
      </c>
      <c r="M7925" s="1302">
        <v>0.41</v>
      </c>
      <c r="N7925" s="1700"/>
      <c r="O7925" s="1290">
        <f>G7925*M7925</f>
        <v>0.41409999999999997</v>
      </c>
      <c r="P7925" s="1332">
        <f>M7925*K7925</f>
        <v>6.6255999999999995E-2</v>
      </c>
      <c r="Q7925" s="3402"/>
      <c r="R7925" s="2357"/>
    </row>
    <row r="7926" spans="1:18" s="22" customFormat="1" ht="19.5" customHeight="1">
      <c r="A7926" s="2187"/>
      <c r="B7926" s="1599"/>
      <c r="C7926" s="1042"/>
      <c r="D7926" s="1598" t="s">
        <v>1082</v>
      </c>
      <c r="E7926" s="2154" t="s">
        <v>1504</v>
      </c>
      <c r="F7926" s="1598" t="s">
        <v>1541</v>
      </c>
      <c r="G7926" s="1995">
        <v>0.7</v>
      </c>
      <c r="H7926" s="1369"/>
      <c r="I7926" s="1299"/>
      <c r="J7926" s="1300"/>
      <c r="K7926" s="1307">
        <f>G7926*K7922</f>
        <v>0.11199999999999999</v>
      </c>
      <c r="L7926" s="1335">
        <f t="shared" si="1079"/>
        <v>0</v>
      </c>
      <c r="M7926" s="1499">
        <v>0.3</v>
      </c>
      <c r="N7926" s="1700"/>
      <c r="O7926" s="1290">
        <f>G7926*M7926</f>
        <v>0.21</v>
      </c>
      <c r="P7926" s="1332">
        <f>M7926*K7926</f>
        <v>3.3599999999999998E-2</v>
      </c>
      <c r="Q7926" s="3402"/>
      <c r="R7926" s="2357"/>
    </row>
    <row r="7927" spans="1:18" s="22" customFormat="1">
      <c r="A7927" s="16"/>
      <c r="B7927" s="1599"/>
      <c r="C7927" s="1320"/>
      <c r="D7927" s="1598" t="s">
        <v>1097</v>
      </c>
      <c r="E7927" s="1856" t="s">
        <v>1504</v>
      </c>
      <c r="F7927" s="1598" t="s">
        <v>1632</v>
      </c>
      <c r="G7927" s="1651">
        <v>4.96</v>
      </c>
      <c r="H7927" s="1399"/>
      <c r="I7927" s="198"/>
      <c r="J7927" s="198"/>
      <c r="K7927" s="1307">
        <f>G7927*K7922</f>
        <v>0.79359999999999997</v>
      </c>
      <c r="L7927" s="1335">
        <f t="shared" si="1079"/>
        <v>0</v>
      </c>
      <c r="M7927" s="1499">
        <v>0.55000000000000004</v>
      </c>
      <c r="N7927" s="1701"/>
      <c r="O7927" s="1291">
        <f>G7927*M7927</f>
        <v>2.7280000000000002</v>
      </c>
      <c r="P7927" s="1332">
        <f>M7927*K7927</f>
        <v>0.43648000000000003</v>
      </c>
      <c r="Q7927" s="3391"/>
      <c r="R7927" s="3363"/>
    </row>
    <row r="7928" spans="1:18" s="22" customFormat="1" ht="15.75" customHeight="1">
      <c r="A7928" s="2187"/>
      <c r="B7928" s="1599"/>
      <c r="C7928" s="1042"/>
      <c r="D7928" s="1598"/>
      <c r="E7928" s="2154"/>
      <c r="F7928" s="1598"/>
      <c r="G7928" s="1995"/>
      <c r="H7928" s="1369"/>
      <c r="I7928" s="1299"/>
      <c r="J7928" s="1300"/>
      <c r="K7928" s="1307"/>
      <c r="L7928" s="1335"/>
      <c r="M7928" s="1499"/>
      <c r="N7928" s="1700"/>
      <c r="O7928" s="1290"/>
      <c r="P7928" s="1332"/>
      <c r="Q7928" s="3402"/>
      <c r="R7928" s="2357"/>
    </row>
    <row r="7929" spans="1:18" s="22" customFormat="1">
      <c r="A7929" s="16"/>
      <c r="B7929" s="1599"/>
      <c r="C7929" s="1320"/>
      <c r="D7929" s="1598"/>
      <c r="E7929" s="1856"/>
      <c r="F7929" s="1598"/>
      <c r="G7929" s="1399"/>
      <c r="H7929" s="1399"/>
      <c r="I7929" s="198"/>
      <c r="J7929" s="198"/>
      <c r="K7929" s="1307"/>
      <c r="L7929" s="1335"/>
      <c r="M7929" s="1499"/>
      <c r="N7929" s="1701"/>
      <c r="O7929" s="1291"/>
      <c r="P7929" s="1332"/>
      <c r="Q7929" s="3391"/>
      <c r="R7929" s="3363"/>
    </row>
    <row r="7930" spans="1:18" s="22" customFormat="1" ht="26">
      <c r="A7930" s="2187"/>
      <c r="B7930" s="1599"/>
      <c r="C7930" s="1042"/>
      <c r="D7930" s="1359"/>
      <c r="E7930" s="1858"/>
      <c r="F7930" s="1360" t="s">
        <v>2</v>
      </c>
      <c r="G7930" s="1360"/>
      <c r="H7930" s="1362"/>
      <c r="I7930" s="1380"/>
      <c r="J7930" s="1381"/>
      <c r="K7930" s="1381"/>
      <c r="L7930" s="1458"/>
      <c r="M7930" s="1362"/>
      <c r="N7930" s="1362"/>
      <c r="O7930" s="1362"/>
      <c r="P7930" s="1359"/>
      <c r="Q7930" s="3403"/>
      <c r="R7930" s="2357"/>
    </row>
    <row r="7931" spans="1:18" s="22" customFormat="1" ht="26">
      <c r="A7931" s="2187"/>
      <c r="B7931" s="2053"/>
      <c r="C7931" s="1321"/>
      <c r="D7931" s="1655" t="s">
        <v>1099</v>
      </c>
      <c r="E7931" s="1859" t="s">
        <v>1508</v>
      </c>
      <c r="F7931" s="1655" t="s">
        <v>1633</v>
      </c>
      <c r="G7931" s="1809">
        <v>0.06</v>
      </c>
      <c r="H7931" s="1386"/>
      <c r="I7931" s="1299"/>
      <c r="J7931" s="1300"/>
      <c r="K7931" s="1307">
        <f>G7931*K7922</f>
        <v>9.5999999999999992E-3</v>
      </c>
      <c r="L7931" s="1335">
        <f>K7931*$K$7813</f>
        <v>0</v>
      </c>
      <c r="M7931" s="1302">
        <v>19.23</v>
      </c>
      <c r="N7931" s="1700"/>
      <c r="O7931" s="1290">
        <f>G7931*M7931</f>
        <v>1.1537999999999999</v>
      </c>
      <c r="P7931" s="1332">
        <f>M7931*K7931</f>
        <v>0.18460799999999999</v>
      </c>
      <c r="Q7931" s="3402"/>
      <c r="R7931" s="2357"/>
    </row>
    <row r="7932" spans="1:18" s="22" customFormat="1">
      <c r="A7932"/>
      <c r="B7932" s="1042"/>
      <c r="C7932" s="2086" t="s">
        <v>2282</v>
      </c>
      <c r="D7932" s="1311"/>
      <c r="E7932" s="2176" t="s">
        <v>1508</v>
      </c>
      <c r="F7932" s="1648" t="s">
        <v>2283</v>
      </c>
      <c r="G7932" s="1990"/>
      <c r="H7932" s="1338">
        <v>0.03</v>
      </c>
      <c r="I7932" s="1444"/>
      <c r="J7932" s="1388"/>
      <c r="K7932" s="1445"/>
      <c r="L7932" s="1457"/>
      <c r="M7932" s="1447"/>
      <c r="N7932" s="1447">
        <f>SUM(N7933:N7934)</f>
        <v>37.019999999999996</v>
      </c>
      <c r="O7932" s="1447">
        <f>SUM(O7933:O7934)</f>
        <v>1.1105999999999998</v>
      </c>
      <c r="P7932" s="1447">
        <f>SUM(P7933:P7934)</f>
        <v>0.17769599999999999</v>
      </c>
      <c r="Q7932" s="3391"/>
      <c r="R7932" s="2337"/>
    </row>
    <row r="7933" spans="1:18" s="22" customFormat="1">
      <c r="A7933"/>
      <c r="B7933" s="1042"/>
      <c r="C7933" s="19"/>
      <c r="D7933" s="1430" t="s">
        <v>1067</v>
      </c>
      <c r="E7933" s="1857" t="s">
        <v>1508</v>
      </c>
      <c r="F7933" s="1403" t="s">
        <v>5</v>
      </c>
      <c r="G7933" s="1991">
        <v>1</v>
      </c>
      <c r="H7933" s="1408">
        <f>G7933*H7932</f>
        <v>0.03</v>
      </c>
      <c r="I7933" s="1286"/>
      <c r="J7933" s="198"/>
      <c r="K7933" s="1307">
        <f>H7933*K7922</f>
        <v>4.7999999999999996E-3</v>
      </c>
      <c r="L7933" s="1335">
        <f t="shared" ref="L7933:L7934" si="1080">K7933*$K$7813</f>
        <v>0</v>
      </c>
      <c r="M7933" s="1302">
        <v>18.28</v>
      </c>
      <c r="N7933" s="1718">
        <f>G7933*M7933</f>
        <v>18.28</v>
      </c>
      <c r="O7933" s="1290">
        <f>H7933*M7933</f>
        <v>0.5484</v>
      </c>
      <c r="P7933" s="1720">
        <f>M7933*K7933</f>
        <v>8.7744000000000003E-2</v>
      </c>
      <c r="Q7933" s="3396"/>
      <c r="R7933" s="2337"/>
    </row>
    <row r="7934" spans="1:18" s="22" customFormat="1">
      <c r="A7934"/>
      <c r="B7934" s="1042"/>
      <c r="C7934" s="19"/>
      <c r="D7934" s="1430" t="s">
        <v>1165</v>
      </c>
      <c r="E7934" s="1857" t="s">
        <v>1508</v>
      </c>
      <c r="F7934" s="1394" t="s">
        <v>114</v>
      </c>
      <c r="G7934" s="2183">
        <v>1</v>
      </c>
      <c r="H7934" s="1395">
        <f>G7934*H7932</f>
        <v>0.03</v>
      </c>
      <c r="I7934" s="197"/>
      <c r="J7934" s="198"/>
      <c r="K7934" s="1307">
        <f>H7934*K7922</f>
        <v>4.7999999999999996E-3</v>
      </c>
      <c r="L7934" s="1335">
        <f t="shared" si="1080"/>
        <v>0</v>
      </c>
      <c r="M7934" s="1302">
        <v>18.739999999999998</v>
      </c>
      <c r="N7934" s="1718">
        <f>G7934*M7934</f>
        <v>18.739999999999998</v>
      </c>
      <c r="O7934" s="1290">
        <f>H7934*M7934</f>
        <v>0.56219999999999992</v>
      </c>
      <c r="P7934" s="1720">
        <f>M7934*K7934</f>
        <v>8.995199999999999E-2</v>
      </c>
      <c r="Q7934" s="3396"/>
      <c r="R7934" s="2337"/>
    </row>
    <row r="7935" spans="1:18" s="22" customFormat="1">
      <c r="B7935" s="1320"/>
      <c r="C7935" s="16"/>
      <c r="D7935" s="1359"/>
      <c r="E7935" s="1858"/>
      <c r="F7935" s="1474"/>
      <c r="G7935" s="1474"/>
      <c r="H7935" s="1466"/>
      <c r="I7935" s="1289"/>
      <c r="J7935" s="8"/>
      <c r="K7935" s="1307"/>
      <c r="L7935" s="1335"/>
      <c r="M7935" s="1302"/>
      <c r="N7935" s="1700"/>
      <c r="O7935" s="1290"/>
      <c r="P7935" s="1332"/>
      <c r="Q7935" s="3391"/>
      <c r="R7935" s="2344"/>
    </row>
    <row r="7936" spans="1:18" s="22" customFormat="1">
      <c r="A7936" s="1320"/>
      <c r="B7936" s="1599"/>
      <c r="C7936" s="1320"/>
      <c r="D7936" s="1373"/>
      <c r="E7936" s="2123"/>
      <c r="F7936" s="1374" t="s">
        <v>3</v>
      </c>
      <c r="G7936" s="1375"/>
      <c r="H7936" s="1376"/>
      <c r="I7936" s="1382"/>
      <c r="J7936" s="1383"/>
      <c r="K7936" s="1383"/>
      <c r="L7936" s="1413"/>
      <c r="M7936" s="1376"/>
      <c r="N7936" s="1376"/>
      <c r="O7936" s="1376"/>
      <c r="P7936" s="1373"/>
      <c r="Q7936" s="3403"/>
      <c r="R7936" s="2356"/>
    </row>
    <row r="7937" spans="1:18" s="22" customFormat="1">
      <c r="A7937" s="1321"/>
      <c r="B7937" s="2053"/>
      <c r="C7937" s="1321"/>
      <c r="D7937" s="1827"/>
      <c r="E7937" s="2173"/>
      <c r="F7937" s="1827"/>
      <c r="G7937" s="1828"/>
      <c r="H7937" s="1379"/>
      <c r="I7937" s="1299"/>
      <c r="J7937" s="1300"/>
      <c r="K7937" s="1307"/>
      <c r="L7937" s="1335"/>
      <c r="M7937" s="1302"/>
      <c r="N7937" s="1700"/>
      <c r="O7937" s="1290"/>
      <c r="P7937" s="1332"/>
      <c r="Q7937" s="3402"/>
      <c r="R7937" s="2053"/>
    </row>
    <row r="7938" spans="1:18" s="22" customFormat="1">
      <c r="A7938" s="1321"/>
      <c r="B7938" s="2053"/>
      <c r="C7938" s="1321"/>
      <c r="D7938" s="1377"/>
      <c r="E7938" s="2124"/>
      <c r="F7938" s="1378"/>
      <c r="G7938" s="1378"/>
      <c r="H7938" s="1379"/>
      <c r="I7938" s="1299"/>
      <c r="J7938" s="1300"/>
      <c r="K7938" s="1307"/>
      <c r="L7938" s="1335"/>
      <c r="M7938" s="1302"/>
      <c r="N7938" s="1700"/>
      <c r="O7938" s="1290"/>
      <c r="P7938" s="1333"/>
      <c r="Q7938" s="3402"/>
      <c r="R7938" s="2053"/>
    </row>
    <row r="7939" spans="1:18" s="22" customFormat="1">
      <c r="A7939" s="1320"/>
      <c r="B7939" s="1765"/>
      <c r="C7939" s="223"/>
      <c r="D7939" s="1373"/>
      <c r="E7939" s="2161"/>
      <c r="F7939" s="1678"/>
      <c r="G7939" s="1678"/>
      <c r="H7939" s="1376"/>
      <c r="I7939" s="1299"/>
      <c r="J7939" s="1300"/>
      <c r="K7939" s="1307"/>
      <c r="L7939" s="1335"/>
      <c r="M7939" s="1302"/>
      <c r="N7939" s="1700"/>
      <c r="O7939" s="1290"/>
      <c r="P7939" s="1332"/>
      <c r="Q7939" s="3402"/>
      <c r="R7939" s="2356"/>
    </row>
    <row r="7940" spans="1:18" s="22" customFormat="1">
      <c r="A7940" s="18" t="s">
        <v>3764</v>
      </c>
      <c r="B7940" s="4325" t="s">
        <v>2414</v>
      </c>
      <c r="C7940" s="3350"/>
      <c r="D7940" s="4327"/>
      <c r="E7940" s="4329" t="s">
        <v>1527</v>
      </c>
      <c r="F7940" s="4336" t="s">
        <v>2415</v>
      </c>
      <c r="G7940" s="4331" t="s">
        <v>1568</v>
      </c>
      <c r="H7940" s="4331" t="s">
        <v>1574</v>
      </c>
      <c r="I7940" s="1572" t="s">
        <v>1559</v>
      </c>
      <c r="J7940" s="1294" t="s">
        <v>1560</v>
      </c>
      <c r="K7940" s="1294" t="s">
        <v>1569</v>
      </c>
      <c r="L7940" s="4333" t="s">
        <v>3765</v>
      </c>
      <c r="M7940" s="4335" t="s">
        <v>1571</v>
      </c>
      <c r="N7940" s="4323" t="s">
        <v>1776</v>
      </c>
      <c r="O7940" s="3347" t="s">
        <v>1563</v>
      </c>
      <c r="P7940" s="1336" t="s">
        <v>1562</v>
      </c>
      <c r="Q7940" s="3389"/>
      <c r="R7940" s="1699" t="s">
        <v>1327</v>
      </c>
    </row>
    <row r="7941" spans="1:18" s="22" customFormat="1">
      <c r="A7941" s="1599" t="s">
        <v>2403</v>
      </c>
      <c r="B7941" s="4326"/>
      <c r="C7941" s="3351"/>
      <c r="D7941" s="4328"/>
      <c r="E7941" s="4330"/>
      <c r="F7941" s="4336"/>
      <c r="G7941" s="4332"/>
      <c r="H7941" s="4332"/>
      <c r="I7941" s="1345">
        <v>33</v>
      </c>
      <c r="J7941" s="1307">
        <v>5.0000000000000001E-3</v>
      </c>
      <c r="K7941" s="1666">
        <f>I7941*J7941</f>
        <v>0.16500000000000001</v>
      </c>
      <c r="L7941" s="4334"/>
      <c r="M7941" s="4335"/>
      <c r="N7941" s="4324"/>
      <c r="O7941" s="1298">
        <f>SUM(O7943:O7951)</f>
        <v>12.186900000000001</v>
      </c>
      <c r="P7941" s="1337">
        <f>O7941*K7941</f>
        <v>2.0108385000000002</v>
      </c>
      <c r="Q7941" s="3390"/>
      <c r="R7941" s="1721">
        <f>SUM(P7943:P7951)</f>
        <v>2.0108385000000002</v>
      </c>
    </row>
    <row r="7942" spans="1:18" s="22" customFormat="1" ht="18.75" customHeight="1">
      <c r="A7942" s="1320"/>
      <c r="B7942" s="1949"/>
      <c r="C7942" s="1327"/>
      <c r="D7942" s="1367"/>
      <c r="E7942" s="2121"/>
      <c r="F7942" s="1389" t="s">
        <v>1</v>
      </c>
      <c r="G7942" s="1389"/>
      <c r="H7942" s="1369"/>
      <c r="I7942" s="2088"/>
      <c r="J7942" s="1369"/>
      <c r="K7942" s="1391"/>
      <c r="L7942" s="1559"/>
      <c r="M7942" s="1369"/>
      <c r="N7942" s="1369"/>
      <c r="O7942" s="1369"/>
      <c r="P7942" s="1392"/>
      <c r="Q7942" s="3395"/>
      <c r="R7942" s="2344"/>
    </row>
    <row r="7943" spans="1:18" s="22" customFormat="1" ht="21" customHeight="1">
      <c r="A7943" s="1320"/>
      <c r="B7943" s="1599"/>
      <c r="C7943" s="1320"/>
      <c r="D7943" s="1598" t="s">
        <v>2416</v>
      </c>
      <c r="E7943" s="2154" t="s">
        <v>1527</v>
      </c>
      <c r="F7943" s="1598" t="s">
        <v>2417</v>
      </c>
      <c r="G7943" s="1612">
        <v>1.01</v>
      </c>
      <c r="H7943" s="1369"/>
      <c r="I7943" s="1299"/>
      <c r="J7943" s="1300"/>
      <c r="K7943" s="1307">
        <f>G7943*K7941</f>
        <v>0.16665000000000002</v>
      </c>
      <c r="L7943" s="1335">
        <f t="shared" ref="L7943:L7946" si="1081">K7943*$K$7813</f>
        <v>0</v>
      </c>
      <c r="M7943" s="1302">
        <v>5.45</v>
      </c>
      <c r="N7943" s="1700"/>
      <c r="O7943" s="1290">
        <f>G7943*M7943</f>
        <v>5.5045000000000002</v>
      </c>
      <c r="P7943" s="1332">
        <f>M7943*K7943</f>
        <v>0.90824250000000017</v>
      </c>
      <c r="Q7943" s="3402"/>
      <c r="R7943" s="2356"/>
    </row>
    <row r="7944" spans="1:18" s="22" customFormat="1" ht="26">
      <c r="A7944" s="2187"/>
      <c r="B7944" s="1599"/>
      <c r="C7944" s="1320"/>
      <c r="D7944" s="1598" t="s">
        <v>2367</v>
      </c>
      <c r="E7944" s="2154" t="s">
        <v>1527</v>
      </c>
      <c r="F7944" s="1598" t="s">
        <v>2368</v>
      </c>
      <c r="G7944" s="1612">
        <v>1.01</v>
      </c>
      <c r="H7944" s="1369"/>
      <c r="I7944" s="1299"/>
      <c r="J7944" s="1300"/>
      <c r="K7944" s="1307">
        <f>G7944*K7941</f>
        <v>0.16665000000000002</v>
      </c>
      <c r="L7944" s="1335">
        <f t="shared" si="1081"/>
        <v>0</v>
      </c>
      <c r="M7944" s="1302">
        <v>0.85</v>
      </c>
      <c r="N7944" s="1700"/>
      <c r="O7944" s="1290">
        <f>G7944*M7944</f>
        <v>0.85849999999999993</v>
      </c>
      <c r="P7944" s="1332">
        <f>M7944*K7944</f>
        <v>0.14165250000000001</v>
      </c>
      <c r="Q7944" s="3402"/>
      <c r="R7944" s="2357"/>
    </row>
    <row r="7945" spans="1:18" s="22" customFormat="1" ht="21.75" customHeight="1">
      <c r="A7945" s="2187"/>
      <c r="B7945" s="1599"/>
      <c r="C7945" s="1042"/>
      <c r="D7945" s="1598" t="s">
        <v>1082</v>
      </c>
      <c r="E7945" s="2154" t="s">
        <v>1504</v>
      </c>
      <c r="F7945" s="1598" t="s">
        <v>1541</v>
      </c>
      <c r="G7945" s="1995">
        <v>0.7</v>
      </c>
      <c r="H7945" s="1369"/>
      <c r="I7945" s="1299"/>
      <c r="J7945" s="1300"/>
      <c r="K7945" s="1307">
        <f>G7945*K7941</f>
        <v>0.11549999999999999</v>
      </c>
      <c r="L7945" s="1335">
        <f t="shared" si="1081"/>
        <v>0</v>
      </c>
      <c r="M7945" s="1499">
        <v>0.3</v>
      </c>
      <c r="N7945" s="1700"/>
      <c r="O7945" s="1290">
        <f>G7945*M7945</f>
        <v>0.21</v>
      </c>
      <c r="P7945" s="1332">
        <f>M7945*K7945</f>
        <v>3.4649999999999993E-2</v>
      </c>
      <c r="Q7945" s="3402"/>
      <c r="R7945" s="2357"/>
    </row>
    <row r="7946" spans="1:18" s="22" customFormat="1" ht="20.25" customHeight="1">
      <c r="A7946" s="16"/>
      <c r="B7946" s="1599"/>
      <c r="C7946" s="1320"/>
      <c r="D7946" s="1598" t="s">
        <v>1097</v>
      </c>
      <c r="E7946" s="1856" t="s">
        <v>1504</v>
      </c>
      <c r="F7946" s="1598" t="s">
        <v>1632</v>
      </c>
      <c r="G7946" s="1651">
        <v>6.09</v>
      </c>
      <c r="H7946" s="1399"/>
      <c r="I7946" s="198"/>
      <c r="J7946" s="198"/>
      <c r="K7946" s="1307">
        <f>G7946*K7941</f>
        <v>1.00485</v>
      </c>
      <c r="L7946" s="1335">
        <f t="shared" si="1081"/>
        <v>0</v>
      </c>
      <c r="M7946" s="1499">
        <v>0.55000000000000004</v>
      </c>
      <c r="N7946" s="1701"/>
      <c r="O7946" s="1291">
        <f>G7946*M7946</f>
        <v>3.3495000000000004</v>
      </c>
      <c r="P7946" s="1332">
        <f>M7946*K7946</f>
        <v>0.55266750000000009</v>
      </c>
      <c r="Q7946" s="3391"/>
      <c r="R7946" s="3363"/>
    </row>
    <row r="7947" spans="1:18" s="22" customFormat="1" ht="20.25" customHeight="1">
      <c r="A7947" s="2187"/>
      <c r="B7947" s="1599"/>
      <c r="C7947" s="1042"/>
      <c r="D7947" s="1598"/>
      <c r="E7947" s="2154"/>
      <c r="F7947" s="1598"/>
      <c r="G7947" s="1995"/>
      <c r="H7947" s="1369"/>
      <c r="I7947" s="1299"/>
      <c r="J7947" s="1300"/>
      <c r="K7947" s="1307"/>
      <c r="L7947" s="1335"/>
      <c r="M7947" s="1499"/>
      <c r="N7947" s="1700"/>
      <c r="O7947" s="1290"/>
      <c r="P7947" s="1332"/>
      <c r="Q7947" s="3402"/>
      <c r="R7947" s="2357"/>
    </row>
    <row r="7948" spans="1:18" s="22" customFormat="1" ht="16.5" customHeight="1">
      <c r="A7948" s="16"/>
      <c r="B7948" s="1599"/>
      <c r="C7948" s="1320"/>
      <c r="D7948" s="1598"/>
      <c r="E7948" s="1856"/>
      <c r="F7948" s="1598"/>
      <c r="G7948" s="1399"/>
      <c r="H7948" s="1399"/>
      <c r="I7948" s="198"/>
      <c r="J7948" s="198"/>
      <c r="K7948" s="1307"/>
      <c r="L7948" s="1335"/>
      <c r="M7948" s="1499"/>
      <c r="N7948" s="1701"/>
      <c r="O7948" s="1291"/>
      <c r="P7948" s="1332"/>
      <c r="Q7948" s="3391"/>
      <c r="R7948" s="3363"/>
    </row>
    <row r="7949" spans="1:18" s="22" customFormat="1" ht="26">
      <c r="A7949" s="2187"/>
      <c r="B7949" s="1599"/>
      <c r="C7949" s="1042"/>
      <c r="D7949" s="1359"/>
      <c r="E7949" s="1858"/>
      <c r="F7949" s="1360" t="s">
        <v>2</v>
      </c>
      <c r="G7949" s="1360"/>
      <c r="H7949" s="1362"/>
      <c r="I7949" s="1380"/>
      <c r="J7949" s="1381"/>
      <c r="K7949" s="1381"/>
      <c r="L7949" s="1458"/>
      <c r="M7949" s="1362"/>
      <c r="N7949" s="1362"/>
      <c r="O7949" s="1362"/>
      <c r="P7949" s="1359"/>
      <c r="Q7949" s="3403"/>
      <c r="R7949" s="2357"/>
    </row>
    <row r="7950" spans="1:18" s="22" customFormat="1" ht="26">
      <c r="A7950" s="2187"/>
      <c r="B7950" s="2053"/>
      <c r="C7950" s="1321"/>
      <c r="D7950" s="1655" t="s">
        <v>1099</v>
      </c>
      <c r="E7950" s="1859" t="s">
        <v>1508</v>
      </c>
      <c r="F7950" s="1655" t="s">
        <v>1633</v>
      </c>
      <c r="G7950" s="1809">
        <v>0.06</v>
      </c>
      <c r="H7950" s="1386"/>
      <c r="I7950" s="1299"/>
      <c r="J7950" s="1300"/>
      <c r="K7950" s="1307">
        <f>G7950*K7941</f>
        <v>9.9000000000000008E-3</v>
      </c>
      <c r="L7950" s="1335">
        <f>K7950*$K$7813</f>
        <v>0</v>
      </c>
      <c r="M7950" s="1302">
        <v>19.23</v>
      </c>
      <c r="N7950" s="1700"/>
      <c r="O7950" s="1290">
        <f>G7950*M7950</f>
        <v>1.1537999999999999</v>
      </c>
      <c r="P7950" s="1332">
        <f>M7950*K7950</f>
        <v>0.19037700000000002</v>
      </c>
      <c r="Q7950" s="3402"/>
      <c r="R7950" s="2357"/>
    </row>
    <row r="7951" spans="1:18" s="22" customFormat="1">
      <c r="A7951"/>
      <c r="B7951" s="1042"/>
      <c r="C7951" s="2086" t="s">
        <v>2282</v>
      </c>
      <c r="D7951" s="1311"/>
      <c r="E7951" s="2176" t="s">
        <v>1508</v>
      </c>
      <c r="F7951" s="1648" t="s">
        <v>2283</v>
      </c>
      <c r="G7951" s="1990"/>
      <c r="H7951" s="1338">
        <v>0.03</v>
      </c>
      <c r="I7951" s="1444"/>
      <c r="J7951" s="1388"/>
      <c r="K7951" s="1445"/>
      <c r="L7951" s="1457"/>
      <c r="M7951" s="1447"/>
      <c r="N7951" s="1447">
        <f>SUM(N7952:N7953)</f>
        <v>37.019999999999996</v>
      </c>
      <c r="O7951" s="1447">
        <f>SUM(O7952:O7953)</f>
        <v>1.1105999999999998</v>
      </c>
      <c r="P7951" s="1447">
        <f>SUM(P7952:P7953)</f>
        <v>0.183249</v>
      </c>
      <c r="Q7951" s="3391"/>
      <c r="R7951" s="2337"/>
    </row>
    <row r="7952" spans="1:18" s="22" customFormat="1">
      <c r="A7952"/>
      <c r="B7952" s="1042"/>
      <c r="C7952" s="19"/>
      <c r="D7952" s="1430" t="s">
        <v>1067</v>
      </c>
      <c r="E7952" s="1857" t="s">
        <v>1508</v>
      </c>
      <c r="F7952" s="1403" t="s">
        <v>5</v>
      </c>
      <c r="G7952" s="1991">
        <v>1</v>
      </c>
      <c r="H7952" s="1408">
        <f>G7952*H7951</f>
        <v>0.03</v>
      </c>
      <c r="I7952" s="1286"/>
      <c r="J7952" s="198"/>
      <c r="K7952" s="1307">
        <f>H7952*K7941</f>
        <v>4.9500000000000004E-3</v>
      </c>
      <c r="L7952" s="1335">
        <f t="shared" ref="L7952:L7953" si="1082">K7952*$K$7813</f>
        <v>0</v>
      </c>
      <c r="M7952" s="1302">
        <v>18.28</v>
      </c>
      <c r="N7952" s="1718">
        <f>G7952*M7952</f>
        <v>18.28</v>
      </c>
      <c r="O7952" s="1290">
        <f>H7952*M7952</f>
        <v>0.5484</v>
      </c>
      <c r="P7952" s="1720">
        <f>M7952*K7952</f>
        <v>9.0486000000000011E-2</v>
      </c>
      <c r="Q7952" s="3396"/>
      <c r="R7952" s="2337"/>
    </row>
    <row r="7953" spans="1:18" s="22" customFormat="1">
      <c r="A7953"/>
      <c r="B7953" s="1042"/>
      <c r="C7953" s="19"/>
      <c r="D7953" s="1430" t="s">
        <v>1165</v>
      </c>
      <c r="E7953" s="1857" t="s">
        <v>1508</v>
      </c>
      <c r="F7953" s="1394" t="s">
        <v>114</v>
      </c>
      <c r="G7953" s="2183">
        <v>1</v>
      </c>
      <c r="H7953" s="1395">
        <f>G7953*H7951</f>
        <v>0.03</v>
      </c>
      <c r="I7953" s="197"/>
      <c r="J7953" s="198"/>
      <c r="K7953" s="1307">
        <f>H7953*K7941</f>
        <v>4.9500000000000004E-3</v>
      </c>
      <c r="L7953" s="1335">
        <f t="shared" si="1082"/>
        <v>0</v>
      </c>
      <c r="M7953" s="1302">
        <v>18.739999999999998</v>
      </c>
      <c r="N7953" s="1718">
        <f>G7953*M7953</f>
        <v>18.739999999999998</v>
      </c>
      <c r="O7953" s="1290">
        <f>H7953*M7953</f>
        <v>0.56219999999999992</v>
      </c>
      <c r="P7953" s="1720">
        <f>M7953*K7953</f>
        <v>9.2762999999999998E-2</v>
      </c>
      <c r="Q7953" s="3396"/>
      <c r="R7953" s="2337"/>
    </row>
    <row r="7954" spans="1:18" s="22" customFormat="1">
      <c r="B7954" s="1320"/>
      <c r="C7954" s="16"/>
      <c r="D7954" s="1359"/>
      <c r="E7954" s="1858"/>
      <c r="F7954" s="1474"/>
      <c r="G7954" s="1474"/>
      <c r="H7954" s="1466"/>
      <c r="I7954" s="1289"/>
      <c r="J7954" s="8"/>
      <c r="K7954" s="1307"/>
      <c r="L7954" s="1335"/>
      <c r="M7954" s="1302"/>
      <c r="N7954" s="1700"/>
      <c r="O7954" s="1290"/>
      <c r="P7954" s="1332"/>
      <c r="Q7954" s="3391"/>
      <c r="R7954" s="2344"/>
    </row>
    <row r="7955" spans="1:18" s="22" customFormat="1">
      <c r="A7955" s="1320"/>
      <c r="B7955" s="1599"/>
      <c r="C7955" s="1320"/>
      <c r="D7955" s="1373"/>
      <c r="E7955" s="2123"/>
      <c r="F7955" s="1374" t="s">
        <v>3</v>
      </c>
      <c r="G7955" s="1375"/>
      <c r="H7955" s="1376"/>
      <c r="I7955" s="1382"/>
      <c r="J7955" s="1383"/>
      <c r="K7955" s="1383"/>
      <c r="L7955" s="1413"/>
      <c r="M7955" s="1376"/>
      <c r="N7955" s="1376"/>
      <c r="O7955" s="1376"/>
      <c r="P7955" s="1373"/>
      <c r="Q7955" s="3403"/>
      <c r="R7955" s="2356"/>
    </row>
    <row r="7956" spans="1:18" s="22" customFormat="1">
      <c r="A7956" s="1321"/>
      <c r="B7956" s="2053"/>
      <c r="C7956" s="1321"/>
      <c r="D7956" s="1827"/>
      <c r="E7956" s="2173"/>
      <c r="F7956" s="1827"/>
      <c r="G7956" s="1828"/>
      <c r="H7956" s="1379"/>
      <c r="I7956" s="1299"/>
      <c r="J7956" s="1300"/>
      <c r="K7956" s="1307"/>
      <c r="L7956" s="1335"/>
      <c r="M7956" s="1302"/>
      <c r="N7956" s="1700"/>
      <c r="O7956" s="1290"/>
      <c r="P7956" s="1332"/>
      <c r="Q7956" s="3402"/>
      <c r="R7956" s="2053"/>
    </row>
    <row r="7957" spans="1:18" s="22" customFormat="1">
      <c r="A7957" s="1321"/>
      <c r="B7957" s="2053"/>
      <c r="C7957" s="1321"/>
      <c r="D7957" s="1377"/>
      <c r="E7957" s="2124"/>
      <c r="F7957" s="1378"/>
      <c r="G7957" s="1378"/>
      <c r="H7957" s="1379"/>
      <c r="I7957" s="1299"/>
      <c r="J7957" s="1300"/>
      <c r="K7957" s="1307"/>
      <c r="L7957" s="1335"/>
      <c r="M7957" s="1302"/>
      <c r="N7957" s="1700"/>
      <c r="O7957" s="1290"/>
      <c r="P7957" s="1333"/>
      <c r="Q7957" s="3402"/>
      <c r="R7957" s="2053"/>
    </row>
    <row r="7958" spans="1:18" s="22" customFormat="1">
      <c r="A7958" s="1320"/>
      <c r="B7958" s="1765"/>
      <c r="C7958" s="223"/>
      <c r="D7958" s="1373"/>
      <c r="E7958" s="2161"/>
      <c r="F7958" s="1678"/>
      <c r="G7958" s="1678"/>
      <c r="H7958" s="1376"/>
      <c r="I7958" s="1299"/>
      <c r="J7958" s="1300"/>
      <c r="K7958" s="1307"/>
      <c r="L7958" s="1335"/>
      <c r="M7958" s="1302"/>
      <c r="N7958" s="1700"/>
      <c r="O7958" s="1290"/>
      <c r="P7958" s="1332"/>
      <c r="Q7958" s="3402"/>
      <c r="R7958" s="2356"/>
    </row>
    <row r="7959" spans="1:18" s="22" customFormat="1">
      <c r="A7959" s="18" t="s">
        <v>3764</v>
      </c>
      <c r="B7959" s="4325" t="s">
        <v>2369</v>
      </c>
      <c r="C7959" s="3350"/>
      <c r="D7959" s="4327"/>
      <c r="E7959" s="4329" t="s">
        <v>1527</v>
      </c>
      <c r="F7959" s="4336" t="s">
        <v>2418</v>
      </c>
      <c r="G7959" s="4331" t="s">
        <v>1568</v>
      </c>
      <c r="H7959" s="4331" t="s">
        <v>1574</v>
      </c>
      <c r="I7959" s="1572" t="s">
        <v>1559</v>
      </c>
      <c r="J7959" s="1294" t="s">
        <v>1560</v>
      </c>
      <c r="K7959" s="1294" t="s">
        <v>1569</v>
      </c>
      <c r="L7959" s="4333" t="s">
        <v>3765</v>
      </c>
      <c r="M7959" s="4335" t="s">
        <v>1571</v>
      </c>
      <c r="N7959" s="4323" t="s">
        <v>1776</v>
      </c>
      <c r="O7959" s="3347" t="s">
        <v>1563</v>
      </c>
      <c r="P7959" s="1336" t="s">
        <v>1562</v>
      </c>
      <c r="Q7959" s="3389"/>
      <c r="R7959" s="1699" t="s">
        <v>1327</v>
      </c>
    </row>
    <row r="7960" spans="1:18" s="22" customFormat="1">
      <c r="A7960" s="1599" t="s">
        <v>2403</v>
      </c>
      <c r="B7960" s="4326"/>
      <c r="C7960" s="3351"/>
      <c r="D7960" s="4328"/>
      <c r="E7960" s="4330"/>
      <c r="F7960" s="4336"/>
      <c r="G7960" s="4332"/>
      <c r="H7960" s="4332"/>
      <c r="I7960" s="1345">
        <v>45</v>
      </c>
      <c r="J7960" s="1307">
        <v>5.0000000000000001E-3</v>
      </c>
      <c r="K7960" s="1666">
        <f>I7960*J7960</f>
        <v>0.22500000000000001</v>
      </c>
      <c r="L7960" s="4334"/>
      <c r="M7960" s="4335"/>
      <c r="N7960" s="4324"/>
      <c r="O7960" s="1298">
        <f>SUM(O7962:O7970)</f>
        <v>17.060050000000004</v>
      </c>
      <c r="P7960" s="1337">
        <f>O7960*K7960</f>
        <v>3.8385112500000012</v>
      </c>
      <c r="Q7960" s="3390"/>
      <c r="R7960" s="1721">
        <f>SUM(P7962:P7970)</f>
        <v>3.8385112499999998</v>
      </c>
    </row>
    <row r="7961" spans="1:18" s="22" customFormat="1" ht="19.5" customHeight="1">
      <c r="A7961" s="1320"/>
      <c r="B7961" s="1949"/>
      <c r="C7961" s="1327"/>
      <c r="D7961" s="1367"/>
      <c r="E7961" s="2121"/>
      <c r="F7961" s="1389" t="s">
        <v>1</v>
      </c>
      <c r="G7961" s="1389"/>
      <c r="H7961" s="1369"/>
      <c r="I7961" s="2088"/>
      <c r="J7961" s="1369"/>
      <c r="K7961" s="1391"/>
      <c r="L7961" s="1559"/>
      <c r="M7961" s="1369"/>
      <c r="N7961" s="1369"/>
      <c r="O7961" s="1369"/>
      <c r="P7961" s="1392"/>
      <c r="Q7961" s="3395"/>
      <c r="R7961" s="2344"/>
    </row>
    <row r="7962" spans="1:18" s="22" customFormat="1" ht="21" customHeight="1">
      <c r="A7962" s="1320"/>
      <c r="B7962" s="1599"/>
      <c r="C7962" s="1320"/>
      <c r="D7962" s="1598" t="s">
        <v>2365</v>
      </c>
      <c r="E7962" s="2154" t="s">
        <v>1527</v>
      </c>
      <c r="F7962" s="1598" t="s">
        <v>2366</v>
      </c>
      <c r="G7962" s="1612">
        <v>1.01</v>
      </c>
      <c r="H7962" s="1369"/>
      <c r="I7962" s="1299"/>
      <c r="J7962" s="1300"/>
      <c r="K7962" s="1307">
        <f>G7962*K7960</f>
        <v>0.22725000000000001</v>
      </c>
      <c r="L7962" s="1335">
        <f t="shared" ref="L7962:L7965" si="1083">K7962*$K$7813</f>
        <v>0</v>
      </c>
      <c r="M7962" s="1302">
        <v>8.93</v>
      </c>
      <c r="N7962" s="1700"/>
      <c r="O7962" s="1290">
        <f>G7962*M7962</f>
        <v>9.0192999999999994</v>
      </c>
      <c r="P7962" s="1332">
        <f>M7962*K7962</f>
        <v>2.0293424999999998</v>
      </c>
      <c r="Q7962" s="3402"/>
      <c r="R7962" s="2356"/>
    </row>
    <row r="7963" spans="1:18" s="22" customFormat="1" ht="26">
      <c r="A7963" s="2187"/>
      <c r="B7963" s="1599"/>
      <c r="C7963" s="1320"/>
      <c r="D7963" s="1598" t="s">
        <v>2367</v>
      </c>
      <c r="E7963" s="2154" t="s">
        <v>1527</v>
      </c>
      <c r="F7963" s="1598" t="s">
        <v>2368</v>
      </c>
      <c r="G7963" s="1612">
        <v>1.01</v>
      </c>
      <c r="H7963" s="1369"/>
      <c r="I7963" s="1299"/>
      <c r="J7963" s="1300"/>
      <c r="K7963" s="1307">
        <f>G7963*K7960</f>
        <v>0.22725000000000001</v>
      </c>
      <c r="L7963" s="1335">
        <f t="shared" si="1083"/>
        <v>0</v>
      </c>
      <c r="M7963" s="1302">
        <v>0.86</v>
      </c>
      <c r="N7963" s="1700"/>
      <c r="O7963" s="1290">
        <f>G7963*M7963</f>
        <v>0.86860000000000004</v>
      </c>
      <c r="P7963" s="1332">
        <f>M7963*K7963</f>
        <v>0.195435</v>
      </c>
      <c r="Q7963" s="3402"/>
      <c r="R7963" s="2357"/>
    </row>
    <row r="7964" spans="1:18" s="22" customFormat="1" ht="21.75" customHeight="1">
      <c r="A7964" s="2187"/>
      <c r="B7964" s="1599"/>
      <c r="C7964" s="1042"/>
      <c r="D7964" s="1598" t="s">
        <v>1082</v>
      </c>
      <c r="E7964" s="2154" t="s">
        <v>1504</v>
      </c>
      <c r="F7964" s="1598" t="s">
        <v>1541</v>
      </c>
      <c r="G7964" s="1995">
        <v>0.7</v>
      </c>
      <c r="H7964" s="1369"/>
      <c r="I7964" s="1299"/>
      <c r="J7964" s="1300"/>
      <c r="K7964" s="1307">
        <f>G7964*K7960</f>
        <v>0.1575</v>
      </c>
      <c r="L7964" s="1335">
        <f t="shared" si="1083"/>
        <v>0</v>
      </c>
      <c r="M7964" s="1499">
        <v>0.3</v>
      </c>
      <c r="N7964" s="1700"/>
      <c r="O7964" s="1290">
        <f>G7964*M7964</f>
        <v>0.21</v>
      </c>
      <c r="P7964" s="1332">
        <f>M7964*K7964</f>
        <v>4.725E-2</v>
      </c>
      <c r="Q7964" s="3402"/>
      <c r="R7964" s="2357"/>
    </row>
    <row r="7965" spans="1:18" s="22" customFormat="1" ht="21" customHeight="1">
      <c r="A7965" s="16"/>
      <c r="B7965" s="1599"/>
      <c r="C7965" s="1320"/>
      <c r="D7965" s="1598" t="s">
        <v>1097</v>
      </c>
      <c r="E7965" s="1856" t="s">
        <v>1504</v>
      </c>
      <c r="F7965" s="1598" t="s">
        <v>1632</v>
      </c>
      <c r="G7965" s="1651">
        <v>8.0299999999999994</v>
      </c>
      <c r="H7965" s="1399"/>
      <c r="I7965" s="198"/>
      <c r="J7965" s="198"/>
      <c r="K7965" s="1307">
        <f>G7965*K7960</f>
        <v>1.8067499999999999</v>
      </c>
      <c r="L7965" s="1335">
        <f t="shared" si="1083"/>
        <v>0</v>
      </c>
      <c r="M7965" s="1499">
        <v>0.55000000000000004</v>
      </c>
      <c r="N7965" s="1701"/>
      <c r="O7965" s="1291">
        <f>G7965*M7965</f>
        <v>4.4165000000000001</v>
      </c>
      <c r="P7965" s="1332">
        <f>M7965*K7965</f>
        <v>0.9937125</v>
      </c>
      <c r="Q7965" s="3391"/>
      <c r="R7965" s="3363"/>
    </row>
    <row r="7966" spans="1:18" s="22" customFormat="1" ht="18.75" customHeight="1">
      <c r="A7966" s="2187"/>
      <c r="B7966" s="1599"/>
      <c r="C7966" s="1042"/>
      <c r="D7966" s="1598"/>
      <c r="E7966" s="2154"/>
      <c r="F7966" s="1598"/>
      <c r="G7966" s="1995"/>
      <c r="H7966" s="1369"/>
      <c r="I7966" s="1299"/>
      <c r="J7966" s="1300"/>
      <c r="K7966" s="1307"/>
      <c r="L7966" s="1335"/>
      <c r="M7966" s="1499"/>
      <c r="N7966" s="1700"/>
      <c r="O7966" s="1290"/>
      <c r="P7966" s="1332"/>
      <c r="Q7966" s="3402"/>
      <c r="R7966" s="2357"/>
    </row>
    <row r="7967" spans="1:18" s="22" customFormat="1" ht="17.25" customHeight="1">
      <c r="A7967" s="16"/>
      <c r="B7967" s="1599"/>
      <c r="C7967" s="1320"/>
      <c r="D7967" s="1598"/>
      <c r="E7967" s="1856"/>
      <c r="F7967" s="1598"/>
      <c r="G7967" s="1399"/>
      <c r="H7967" s="1399"/>
      <c r="I7967" s="198"/>
      <c r="J7967" s="198"/>
      <c r="K7967" s="1307"/>
      <c r="L7967" s="1335"/>
      <c r="M7967" s="1499"/>
      <c r="N7967" s="1701"/>
      <c r="O7967" s="1291"/>
      <c r="P7967" s="1332"/>
      <c r="Q7967" s="3391"/>
      <c r="R7967" s="3363"/>
    </row>
    <row r="7968" spans="1:18" s="22" customFormat="1" ht="26">
      <c r="A7968" s="2187"/>
      <c r="B7968" s="1599"/>
      <c r="C7968" s="1042"/>
      <c r="D7968" s="1359"/>
      <c r="E7968" s="1858"/>
      <c r="F7968" s="1360" t="s">
        <v>2</v>
      </c>
      <c r="G7968" s="1360"/>
      <c r="H7968" s="1362"/>
      <c r="I7968" s="1380"/>
      <c r="J7968" s="1381"/>
      <c r="K7968" s="1381"/>
      <c r="L7968" s="1458"/>
      <c r="M7968" s="1362"/>
      <c r="N7968" s="1362"/>
      <c r="O7968" s="1362"/>
      <c r="P7968" s="1359"/>
      <c r="Q7968" s="3403"/>
      <c r="R7968" s="2357"/>
    </row>
    <row r="7969" spans="1:18" s="22" customFormat="1" ht="26">
      <c r="A7969" s="2187"/>
      <c r="B7969" s="2053"/>
      <c r="C7969" s="1321"/>
      <c r="D7969" s="1655" t="s">
        <v>1099</v>
      </c>
      <c r="E7969" s="1859" t="s">
        <v>1508</v>
      </c>
      <c r="F7969" s="1655" t="s">
        <v>1633</v>
      </c>
      <c r="G7969" s="1809">
        <v>6.5000000000000002E-2</v>
      </c>
      <c r="H7969" s="1386"/>
      <c r="I7969" s="1299"/>
      <c r="J7969" s="1300"/>
      <c r="K7969" s="1307">
        <f>G7969*K7960</f>
        <v>1.4625000000000001E-2</v>
      </c>
      <c r="L7969" s="1335">
        <f>K7969*$K$7813</f>
        <v>0</v>
      </c>
      <c r="M7969" s="1302">
        <v>19.23</v>
      </c>
      <c r="N7969" s="1700"/>
      <c r="O7969" s="1290">
        <f>G7969*M7969</f>
        <v>1.2499500000000001</v>
      </c>
      <c r="P7969" s="1332">
        <f>M7969*K7969</f>
        <v>0.28123875000000004</v>
      </c>
      <c r="Q7969" s="3402"/>
      <c r="R7969" s="2357"/>
    </row>
    <row r="7970" spans="1:18" s="22" customFormat="1">
      <c r="A7970"/>
      <c r="B7970" s="1042"/>
      <c r="C7970" s="2086" t="s">
        <v>2282</v>
      </c>
      <c r="D7970" s="1311"/>
      <c r="E7970" s="2176" t="s">
        <v>1508</v>
      </c>
      <c r="F7970" s="1648" t="s">
        <v>2283</v>
      </c>
      <c r="G7970" s="1990"/>
      <c r="H7970" s="1338">
        <v>3.5000000000000003E-2</v>
      </c>
      <c r="I7970" s="1444"/>
      <c r="J7970" s="1388"/>
      <c r="K7970" s="1445"/>
      <c r="L7970" s="1457"/>
      <c r="M7970" s="1447"/>
      <c r="N7970" s="1447">
        <f>SUM(N7971:N7972)</f>
        <v>37.019999999999996</v>
      </c>
      <c r="O7970" s="1447">
        <f>SUM(O7971:O7972)</f>
        <v>1.2957000000000001</v>
      </c>
      <c r="P7970" s="1447">
        <f>SUM(P7971:P7972)</f>
        <v>0.29153250000000008</v>
      </c>
      <c r="Q7970" s="3391"/>
      <c r="R7970" s="2337"/>
    </row>
    <row r="7971" spans="1:18" s="22" customFormat="1">
      <c r="A7971"/>
      <c r="B7971" s="1042"/>
      <c r="C7971" s="19"/>
      <c r="D7971" s="1430" t="s">
        <v>1067</v>
      </c>
      <c r="E7971" s="1857" t="s">
        <v>1508</v>
      </c>
      <c r="F7971" s="1403" t="s">
        <v>5</v>
      </c>
      <c r="G7971" s="1991">
        <v>1</v>
      </c>
      <c r="H7971" s="1408">
        <f>G7971*H7970</f>
        <v>3.5000000000000003E-2</v>
      </c>
      <c r="I7971" s="1286"/>
      <c r="J7971" s="198"/>
      <c r="K7971" s="1307">
        <f>H7971*K7960</f>
        <v>7.8750000000000018E-3</v>
      </c>
      <c r="L7971" s="1335">
        <f t="shared" ref="L7971:L7972" si="1084">K7971*$K$7813</f>
        <v>0</v>
      </c>
      <c r="M7971" s="1302">
        <v>18.28</v>
      </c>
      <c r="N7971" s="1718">
        <f>G7971*M7971</f>
        <v>18.28</v>
      </c>
      <c r="O7971" s="1290">
        <f>H7971*M7971</f>
        <v>0.63980000000000015</v>
      </c>
      <c r="P7971" s="1720">
        <f>M7971*K7971</f>
        <v>0.14395500000000006</v>
      </c>
      <c r="Q7971" s="3396"/>
      <c r="R7971" s="2337"/>
    </row>
    <row r="7972" spans="1:18" s="22" customFormat="1">
      <c r="A7972"/>
      <c r="B7972" s="1042"/>
      <c r="C7972" s="19"/>
      <c r="D7972" s="1430" t="s">
        <v>1165</v>
      </c>
      <c r="E7972" s="1857" t="s">
        <v>1508</v>
      </c>
      <c r="F7972" s="1394" t="s">
        <v>114</v>
      </c>
      <c r="G7972" s="2183">
        <v>1</v>
      </c>
      <c r="H7972" s="1395">
        <f>G7972*H7970</f>
        <v>3.5000000000000003E-2</v>
      </c>
      <c r="I7972" s="197"/>
      <c r="J7972" s="198"/>
      <c r="K7972" s="1307">
        <f>H7972*K7960</f>
        <v>7.8750000000000018E-3</v>
      </c>
      <c r="L7972" s="1335">
        <f t="shared" si="1084"/>
        <v>0</v>
      </c>
      <c r="M7972" s="1302">
        <v>18.739999999999998</v>
      </c>
      <c r="N7972" s="1718">
        <f>G7972*M7972</f>
        <v>18.739999999999998</v>
      </c>
      <c r="O7972" s="1290">
        <f>H7972*M7972</f>
        <v>0.65590000000000004</v>
      </c>
      <c r="P7972" s="1720">
        <f>M7972*K7972</f>
        <v>0.14757750000000003</v>
      </c>
      <c r="Q7972" s="3396"/>
      <c r="R7972" s="2337"/>
    </row>
    <row r="7973" spans="1:18" s="22" customFormat="1">
      <c r="B7973" s="1320"/>
      <c r="C7973" s="16"/>
      <c r="D7973" s="1359"/>
      <c r="E7973" s="1858"/>
      <c r="F7973" s="1474"/>
      <c r="G7973" s="1474"/>
      <c r="H7973" s="1466"/>
      <c r="I7973" s="1289"/>
      <c r="J7973" s="8"/>
      <c r="K7973" s="1307"/>
      <c r="L7973" s="1335"/>
      <c r="M7973" s="1302"/>
      <c r="N7973" s="1700"/>
      <c r="O7973" s="1290"/>
      <c r="P7973" s="1332"/>
      <c r="Q7973" s="3391"/>
      <c r="R7973" s="2344"/>
    </row>
    <row r="7974" spans="1:18" s="22" customFormat="1">
      <c r="A7974" s="1320"/>
      <c r="B7974" s="1599"/>
      <c r="C7974" s="1320"/>
      <c r="D7974" s="1373"/>
      <c r="E7974" s="2123"/>
      <c r="F7974" s="1374" t="s">
        <v>3</v>
      </c>
      <c r="G7974" s="1375"/>
      <c r="H7974" s="1376"/>
      <c r="I7974" s="1382"/>
      <c r="J7974" s="1383"/>
      <c r="K7974" s="1383"/>
      <c r="L7974" s="1413"/>
      <c r="M7974" s="1376"/>
      <c r="N7974" s="1376"/>
      <c r="O7974" s="1376"/>
      <c r="P7974" s="1373"/>
      <c r="Q7974" s="3403"/>
      <c r="R7974" s="2356"/>
    </row>
    <row r="7975" spans="1:18" s="22" customFormat="1">
      <c r="A7975" s="1321"/>
      <c r="B7975" s="2053"/>
      <c r="C7975" s="1321"/>
      <c r="D7975" s="1827"/>
      <c r="E7975" s="2173"/>
      <c r="F7975" s="1827"/>
      <c r="G7975" s="1828"/>
      <c r="H7975" s="1379"/>
      <c r="I7975" s="1299"/>
      <c r="J7975" s="1300"/>
      <c r="K7975" s="1307"/>
      <c r="L7975" s="1335"/>
      <c r="M7975" s="1302"/>
      <c r="N7975" s="1700"/>
      <c r="O7975" s="1290"/>
      <c r="P7975" s="1332"/>
      <c r="Q7975" s="3402"/>
      <c r="R7975" s="2053"/>
    </row>
    <row r="7976" spans="1:18" s="22" customFormat="1">
      <c r="A7976" s="1321"/>
      <c r="B7976" s="2053"/>
      <c r="C7976" s="1321"/>
      <c r="D7976" s="1377"/>
      <c r="E7976" s="2124"/>
      <c r="F7976" s="1378"/>
      <c r="G7976" s="1378"/>
      <c r="H7976" s="1379"/>
      <c r="I7976" s="1299"/>
      <c r="J7976" s="1300"/>
      <c r="K7976" s="1307"/>
      <c r="L7976" s="1335"/>
      <c r="M7976" s="1302"/>
      <c r="N7976" s="1700"/>
      <c r="O7976" s="1290"/>
      <c r="P7976" s="1333"/>
      <c r="Q7976" s="3402"/>
      <c r="R7976" s="2053"/>
    </row>
    <row r="7977" spans="1:18" s="22" customFormat="1">
      <c r="A7977" s="1320"/>
      <c r="B7977" s="1765"/>
      <c r="C7977" s="223"/>
      <c r="D7977" s="1373"/>
      <c r="E7977" s="2161"/>
      <c r="F7977" s="1678"/>
      <c r="G7977" s="1678"/>
      <c r="H7977" s="1376"/>
      <c r="I7977" s="1299"/>
      <c r="J7977" s="1300"/>
      <c r="K7977" s="1307"/>
      <c r="L7977" s="1335"/>
      <c r="M7977" s="1302"/>
      <c r="N7977" s="1700"/>
      <c r="O7977" s="1290"/>
      <c r="P7977" s="1332"/>
      <c r="Q7977" s="3402"/>
      <c r="R7977" s="2356"/>
    </row>
    <row r="7978" spans="1:18" s="22" customFormat="1">
      <c r="A7978" s="18" t="s">
        <v>3764</v>
      </c>
      <c r="B7978" s="4325" t="s">
        <v>2316</v>
      </c>
      <c r="C7978" s="3350"/>
      <c r="D7978" s="4327"/>
      <c r="E7978" s="4329" t="s">
        <v>1504</v>
      </c>
      <c r="F7978" s="4336" t="s">
        <v>2317</v>
      </c>
      <c r="G7978" s="4331" t="s">
        <v>1568</v>
      </c>
      <c r="H7978" s="4331" t="s">
        <v>1574</v>
      </c>
      <c r="I7978" s="1572" t="s">
        <v>1559</v>
      </c>
      <c r="J7978" s="1294" t="s">
        <v>1560</v>
      </c>
      <c r="K7978" s="1294" t="s">
        <v>1569</v>
      </c>
      <c r="L7978" s="4333" t="s">
        <v>3765</v>
      </c>
      <c r="M7978" s="4335" t="s">
        <v>1571</v>
      </c>
      <c r="N7978" s="4323" t="s">
        <v>1776</v>
      </c>
      <c r="O7978" s="3347" t="s">
        <v>1563</v>
      </c>
      <c r="P7978" s="1336" t="s">
        <v>1562</v>
      </c>
      <c r="Q7978" s="3389"/>
      <c r="R7978" s="1699" t="s">
        <v>1327</v>
      </c>
    </row>
    <row r="7979" spans="1:18" s="22" customFormat="1">
      <c r="A7979" s="1599" t="s">
        <v>2403</v>
      </c>
      <c r="B7979" s="4326"/>
      <c r="C7979" s="3351"/>
      <c r="D7979" s="4328"/>
      <c r="E7979" s="4330"/>
      <c r="F7979" s="4336"/>
      <c r="G7979" s="4332"/>
      <c r="H7979" s="4332"/>
      <c r="I7979" s="1345">
        <v>12</v>
      </c>
      <c r="J7979" s="1307">
        <v>5.0000000000000001E-3</v>
      </c>
      <c r="K7979" s="1666">
        <f>I7979*J7979</f>
        <v>0.06</v>
      </c>
      <c r="L7979" s="4334"/>
      <c r="M7979" s="4335"/>
      <c r="N7979" s="4324"/>
      <c r="O7979" s="1298">
        <f>SUM(O7981:O7986)</f>
        <v>8.557500000000001</v>
      </c>
      <c r="P7979" s="1337">
        <f>O7979*K7979</f>
        <v>0.51345000000000007</v>
      </c>
      <c r="Q7979" s="3390"/>
      <c r="R7979" s="1721">
        <f>SUM(P7981:P7986)</f>
        <v>0.51344999999999996</v>
      </c>
    </row>
    <row r="7980" spans="1:18" s="22" customFormat="1">
      <c r="A7980" s="1320"/>
      <c r="B7980" s="1949"/>
      <c r="C7980" s="1327"/>
      <c r="D7980" s="1367"/>
      <c r="E7980" s="2121"/>
      <c r="F7980" s="1389" t="s">
        <v>1</v>
      </c>
      <c r="G7980" s="1389"/>
      <c r="H7980" s="1369"/>
      <c r="I7980" s="2088"/>
      <c r="J7980" s="1369"/>
      <c r="K7980" s="1391"/>
      <c r="L7980" s="1559"/>
      <c r="M7980" s="1369"/>
      <c r="N7980" s="1369"/>
      <c r="O7980" s="1369"/>
      <c r="P7980" s="1392"/>
      <c r="Q7980" s="3395"/>
      <c r="R7980" s="2344"/>
    </row>
    <row r="7981" spans="1:18" s="22" customFormat="1">
      <c r="A7981" s="1320"/>
      <c r="B7981" s="1599"/>
      <c r="C7981" s="1320"/>
      <c r="D7981" s="1598" t="s">
        <v>2318</v>
      </c>
      <c r="E7981" s="2154" t="s">
        <v>1504</v>
      </c>
      <c r="F7981" s="1598" t="s">
        <v>2317</v>
      </c>
      <c r="G7981" s="1995">
        <v>1</v>
      </c>
      <c r="H7981" s="1369"/>
      <c r="I7981" s="1299"/>
      <c r="J7981" s="1300"/>
      <c r="K7981" s="1307">
        <f>G7981*K7979</f>
        <v>0.06</v>
      </c>
      <c r="L7981" s="1335">
        <f t="shared" ref="L7981:L7982" si="1085">K7981*$K$7813</f>
        <v>0</v>
      </c>
      <c r="M7981" s="1302">
        <v>3.45</v>
      </c>
      <c r="N7981" s="1700"/>
      <c r="O7981" s="1290">
        <f>G7981*M7981</f>
        <v>3.45</v>
      </c>
      <c r="P7981" s="1332">
        <f>M7981*K7981</f>
        <v>0.20699999999999999</v>
      </c>
      <c r="Q7981" s="3402"/>
      <c r="R7981" s="2356"/>
    </row>
    <row r="7982" spans="1:18" s="22" customFormat="1" ht="26">
      <c r="A7982" s="2187"/>
      <c r="B7982" s="1599"/>
      <c r="C7982" s="1042"/>
      <c r="D7982" s="1598" t="s">
        <v>1082</v>
      </c>
      <c r="E7982" s="2154" t="s">
        <v>1504</v>
      </c>
      <c r="F7982" s="1598" t="s">
        <v>1541</v>
      </c>
      <c r="G7982" s="1995">
        <v>1</v>
      </c>
      <c r="H7982" s="1369"/>
      <c r="I7982" s="1299"/>
      <c r="J7982" s="1300"/>
      <c r="K7982" s="1307">
        <f>G7982*K7979</f>
        <v>0.06</v>
      </c>
      <c r="L7982" s="1335">
        <f t="shared" si="1085"/>
        <v>0</v>
      </c>
      <c r="M7982" s="1499">
        <v>0.3</v>
      </c>
      <c r="N7982" s="1700"/>
      <c r="O7982" s="1290">
        <f>G7982*M7982</f>
        <v>0.3</v>
      </c>
      <c r="P7982" s="1332">
        <f>M7982*K7982</f>
        <v>1.7999999999999999E-2</v>
      </c>
      <c r="Q7982" s="3402"/>
      <c r="R7982" s="2357"/>
    </row>
    <row r="7983" spans="1:18" s="22" customFormat="1" ht="18" customHeight="1">
      <c r="A7983" s="2187"/>
      <c r="B7983" s="1599"/>
      <c r="C7983" s="1042"/>
      <c r="D7983" s="1598"/>
      <c r="E7983" s="2154"/>
      <c r="F7983" s="1598"/>
      <c r="G7983" s="1995"/>
      <c r="H7983" s="1369"/>
      <c r="I7983" s="1299"/>
      <c r="J7983" s="1300"/>
      <c r="K7983" s="1307"/>
      <c r="L7983" s="1335"/>
      <c r="M7983" s="1499"/>
      <c r="N7983" s="1700"/>
      <c r="O7983" s="1290"/>
      <c r="P7983" s="1332"/>
      <c r="Q7983" s="3402"/>
      <c r="R7983" s="2357"/>
    </row>
    <row r="7984" spans="1:18" s="22" customFormat="1" ht="18" customHeight="1">
      <c r="A7984" s="16"/>
      <c r="B7984" s="1599"/>
      <c r="C7984" s="1320"/>
      <c r="D7984" s="1598"/>
      <c r="E7984" s="1856"/>
      <c r="F7984" s="1598"/>
      <c r="G7984" s="1399"/>
      <c r="H7984" s="1399"/>
      <c r="I7984" s="198"/>
      <c r="J7984" s="198"/>
      <c r="K7984" s="1307"/>
      <c r="L7984" s="1335"/>
      <c r="M7984" s="1499"/>
      <c r="N7984" s="1701"/>
      <c r="O7984" s="1291"/>
      <c r="P7984" s="1332"/>
      <c r="Q7984" s="3391"/>
      <c r="R7984" s="3363"/>
    </row>
    <row r="7985" spans="1:18" s="22" customFormat="1" ht="26">
      <c r="A7985" s="2187"/>
      <c r="B7985" s="1599"/>
      <c r="C7985" s="1042"/>
      <c r="D7985" s="1359"/>
      <c r="E7985" s="1858"/>
      <c r="F7985" s="1360" t="s">
        <v>2</v>
      </c>
      <c r="G7985" s="1360"/>
      <c r="H7985" s="1362"/>
      <c r="I7985" s="1380"/>
      <c r="J7985" s="1381"/>
      <c r="K7985" s="1381"/>
      <c r="L7985" s="1458"/>
      <c r="M7985" s="1362"/>
      <c r="N7985" s="1362"/>
      <c r="O7985" s="1362"/>
      <c r="P7985" s="1359"/>
      <c r="Q7985" s="3403"/>
      <c r="R7985" s="2357"/>
    </row>
    <row r="7986" spans="1:18" s="22" customFormat="1" ht="26">
      <c r="A7986" s="2187"/>
      <c r="B7986" s="2053"/>
      <c r="C7986" s="1321"/>
      <c r="D7986" s="1655" t="s">
        <v>1099</v>
      </c>
      <c r="E7986" s="1859" t="s">
        <v>1508</v>
      </c>
      <c r="F7986" s="1655" t="s">
        <v>1633</v>
      </c>
      <c r="G7986" s="1809">
        <v>0.25</v>
      </c>
      <c r="H7986" s="1386"/>
      <c r="I7986" s="1299"/>
      <c r="J7986" s="1300"/>
      <c r="K7986" s="1307">
        <f>G7986*K7979</f>
        <v>1.4999999999999999E-2</v>
      </c>
      <c r="L7986" s="1335">
        <f>K7986*$K$7813</f>
        <v>0</v>
      </c>
      <c r="M7986" s="1302">
        <v>19.23</v>
      </c>
      <c r="N7986" s="1700"/>
      <c r="O7986" s="1290">
        <f>G7986*M7986</f>
        <v>4.8075000000000001</v>
      </c>
      <c r="P7986" s="1332">
        <f>M7986*K7986</f>
        <v>0.28844999999999998</v>
      </c>
      <c r="Q7986" s="3402"/>
      <c r="R7986" s="2357"/>
    </row>
    <row r="7987" spans="1:18" s="22" customFormat="1">
      <c r="B7987" s="1320"/>
      <c r="C7987" s="16"/>
      <c r="D7987" s="1359"/>
      <c r="E7987" s="1858"/>
      <c r="F7987" s="1474"/>
      <c r="G7987" s="1474"/>
      <c r="H7987" s="1466"/>
      <c r="I7987" s="1289"/>
      <c r="J7987" s="8"/>
      <c r="K7987" s="1307"/>
      <c r="L7987" s="1335"/>
      <c r="M7987" s="1302"/>
      <c r="N7987" s="1700"/>
      <c r="O7987" s="1290"/>
      <c r="P7987" s="1332"/>
      <c r="Q7987" s="3391"/>
      <c r="R7987" s="2344"/>
    </row>
    <row r="7988" spans="1:18" s="22" customFormat="1">
      <c r="A7988" s="1320"/>
      <c r="B7988" s="1599"/>
      <c r="C7988" s="1320"/>
      <c r="D7988" s="1373"/>
      <c r="E7988" s="2123"/>
      <c r="F7988" s="1374" t="s">
        <v>3</v>
      </c>
      <c r="G7988" s="1375"/>
      <c r="H7988" s="1376"/>
      <c r="I7988" s="1382"/>
      <c r="J7988" s="1383"/>
      <c r="K7988" s="1383"/>
      <c r="L7988" s="1413"/>
      <c r="M7988" s="1376"/>
      <c r="N7988" s="1376"/>
      <c r="O7988" s="1376"/>
      <c r="P7988" s="1373"/>
      <c r="Q7988" s="3403"/>
      <c r="R7988" s="2356"/>
    </row>
    <row r="7989" spans="1:18" s="22" customFormat="1">
      <c r="A7989" s="1321"/>
      <c r="B7989" s="2053"/>
      <c r="C7989" s="1321"/>
      <c r="D7989" s="1827"/>
      <c r="E7989" s="2173"/>
      <c r="F7989" s="1827"/>
      <c r="G7989" s="1828"/>
      <c r="H7989" s="1379"/>
      <c r="I7989" s="1299"/>
      <c r="J7989" s="1300"/>
      <c r="K7989" s="1307"/>
      <c r="L7989" s="1335"/>
      <c r="M7989" s="1302"/>
      <c r="N7989" s="1700"/>
      <c r="O7989" s="1290"/>
      <c r="P7989" s="1332"/>
      <c r="Q7989" s="3402"/>
      <c r="R7989" s="2053"/>
    </row>
    <row r="7990" spans="1:18" s="22" customFormat="1">
      <c r="A7990" s="1321"/>
      <c r="B7990" s="2053"/>
      <c r="C7990" s="1321"/>
      <c r="D7990" s="1377"/>
      <c r="E7990" s="2124"/>
      <c r="F7990" s="1378"/>
      <c r="G7990" s="1378"/>
      <c r="H7990" s="1379"/>
      <c r="I7990" s="1299"/>
      <c r="J7990" s="1300"/>
      <c r="K7990" s="1307"/>
      <c r="L7990" s="1335"/>
      <c r="M7990" s="1302"/>
      <c r="N7990" s="1700"/>
      <c r="O7990" s="1290"/>
      <c r="P7990" s="1333"/>
      <c r="Q7990" s="3402"/>
      <c r="R7990" s="2053"/>
    </row>
    <row r="7991" spans="1:18" s="22" customFormat="1">
      <c r="A7991" s="1320"/>
      <c r="B7991" s="1765"/>
      <c r="C7991" s="223"/>
      <c r="D7991" s="1373"/>
      <c r="E7991" s="2161"/>
      <c r="F7991" s="1678"/>
      <c r="G7991" s="1678"/>
      <c r="H7991" s="1376"/>
      <c r="I7991" s="1299"/>
      <c r="J7991" s="1300"/>
      <c r="K7991" s="1307"/>
      <c r="L7991" s="1335"/>
      <c r="M7991" s="1302"/>
      <c r="N7991" s="1700"/>
      <c r="O7991" s="1290"/>
      <c r="P7991" s="1332"/>
      <c r="Q7991" s="3402"/>
      <c r="R7991" s="2356"/>
    </row>
    <row r="7992" spans="1:18" s="22" customFormat="1" ht="15" customHeight="1">
      <c r="A7992" s="18" t="s">
        <v>3764</v>
      </c>
      <c r="B7992" s="4325" t="s">
        <v>2319</v>
      </c>
      <c r="C7992" s="3350"/>
      <c r="D7992" s="4327"/>
      <c r="E7992" s="4329" t="s">
        <v>1504</v>
      </c>
      <c r="F7992" s="4336" t="s">
        <v>2320</v>
      </c>
      <c r="G7992" s="4331" t="s">
        <v>1568</v>
      </c>
      <c r="H7992" s="4331" t="s">
        <v>1574</v>
      </c>
      <c r="I7992" s="1572" t="s">
        <v>1559</v>
      </c>
      <c r="J7992" s="1294" t="s">
        <v>1560</v>
      </c>
      <c r="K7992" s="1294" t="s">
        <v>1569</v>
      </c>
      <c r="L7992" s="4333" t="s">
        <v>3765</v>
      </c>
      <c r="M7992" s="4335" t="s">
        <v>1571</v>
      </c>
      <c r="N7992" s="4323" t="s">
        <v>1776</v>
      </c>
      <c r="O7992" s="3347" t="s">
        <v>1563</v>
      </c>
      <c r="P7992" s="1336" t="s">
        <v>1562</v>
      </c>
      <c r="Q7992" s="3389"/>
      <c r="R7992" s="1699" t="s">
        <v>1327</v>
      </c>
    </row>
    <row r="7993" spans="1:18" s="22" customFormat="1">
      <c r="A7993" s="1599" t="s">
        <v>2403</v>
      </c>
      <c r="B7993" s="4326"/>
      <c r="C7993" s="3351"/>
      <c r="D7993" s="4328"/>
      <c r="E7993" s="4330"/>
      <c r="F7993" s="4336"/>
      <c r="G7993" s="4332"/>
      <c r="H7993" s="4332"/>
      <c r="I7993" s="1345">
        <v>12</v>
      </c>
      <c r="J7993" s="1307">
        <v>5.0000000000000001E-3</v>
      </c>
      <c r="K7993" s="1666">
        <f>I7993*J7993</f>
        <v>0.06</v>
      </c>
      <c r="L7993" s="4334"/>
      <c r="M7993" s="4335"/>
      <c r="N7993" s="4324"/>
      <c r="O7993" s="1298">
        <f>SUM(O7995:O8000)</f>
        <v>11.077500000000001</v>
      </c>
      <c r="P7993" s="1337">
        <f>O7993*K7993</f>
        <v>0.66464999999999996</v>
      </c>
      <c r="Q7993" s="3390"/>
      <c r="R7993" s="1721">
        <f>SUM(P7995:P8000)</f>
        <v>0.66464999999999996</v>
      </c>
    </row>
    <row r="7994" spans="1:18" s="22" customFormat="1" ht="21" customHeight="1">
      <c r="A7994" s="1320"/>
      <c r="B7994" s="1949"/>
      <c r="C7994" s="1327"/>
      <c r="D7994" s="1367"/>
      <c r="E7994" s="2121"/>
      <c r="F7994" s="1389" t="s">
        <v>1</v>
      </c>
      <c r="G7994" s="1389"/>
      <c r="H7994" s="1369"/>
      <c r="I7994" s="2088"/>
      <c r="J7994" s="1369"/>
      <c r="K7994" s="1391"/>
      <c r="L7994" s="1559"/>
      <c r="M7994" s="1369"/>
      <c r="N7994" s="1369"/>
      <c r="O7994" s="1369"/>
      <c r="P7994" s="1392"/>
      <c r="Q7994" s="3395"/>
      <c r="R7994" s="2344"/>
    </row>
    <row r="7995" spans="1:18" s="22" customFormat="1" ht="23.25" customHeight="1">
      <c r="A7995" s="1320"/>
      <c r="B7995" s="1599"/>
      <c r="C7995" s="1320"/>
      <c r="D7995" s="1598" t="s">
        <v>2321</v>
      </c>
      <c r="E7995" s="2154" t="s">
        <v>1504</v>
      </c>
      <c r="F7995" s="1598" t="s">
        <v>2320</v>
      </c>
      <c r="G7995" s="1995">
        <v>1</v>
      </c>
      <c r="H7995" s="1369"/>
      <c r="I7995" s="1299"/>
      <c r="J7995" s="1300"/>
      <c r="K7995" s="1307">
        <f>G7995*K7993</f>
        <v>0.06</v>
      </c>
      <c r="L7995" s="1335">
        <f t="shared" ref="L7995:L7996" si="1086">K7995*$K$7813</f>
        <v>0</v>
      </c>
      <c r="M7995" s="1302">
        <v>5.97</v>
      </c>
      <c r="N7995" s="1700"/>
      <c r="O7995" s="1290">
        <f>G7995*M7995</f>
        <v>5.97</v>
      </c>
      <c r="P7995" s="1332">
        <f>M7995*K7995</f>
        <v>0.35819999999999996</v>
      </c>
      <c r="Q7995" s="3402"/>
      <c r="R7995" s="2356"/>
    </row>
    <row r="7996" spans="1:18" s="22" customFormat="1" ht="26">
      <c r="A7996" s="2187"/>
      <c r="B7996" s="1599"/>
      <c r="C7996" s="1042"/>
      <c r="D7996" s="1598" t="s">
        <v>1082</v>
      </c>
      <c r="E7996" s="2154" t="s">
        <v>1504</v>
      </c>
      <c r="F7996" s="1598" t="s">
        <v>1541</v>
      </c>
      <c r="G7996" s="1995">
        <v>1</v>
      </c>
      <c r="H7996" s="1369"/>
      <c r="I7996" s="1299"/>
      <c r="J7996" s="1300"/>
      <c r="K7996" s="1307">
        <f>G7996*K7993</f>
        <v>0.06</v>
      </c>
      <c r="L7996" s="1335">
        <f t="shared" si="1086"/>
        <v>0</v>
      </c>
      <c r="M7996" s="1499">
        <v>0.3</v>
      </c>
      <c r="N7996" s="1700"/>
      <c r="O7996" s="1290">
        <f>G7996*M7996</f>
        <v>0.3</v>
      </c>
      <c r="P7996" s="1332">
        <f>M7996*K7996</f>
        <v>1.7999999999999999E-2</v>
      </c>
      <c r="Q7996" s="3402"/>
      <c r="R7996" s="2357"/>
    </row>
    <row r="7997" spans="1:18" s="22" customFormat="1" ht="16.5" customHeight="1">
      <c r="A7997" s="2187"/>
      <c r="B7997" s="1599"/>
      <c r="C7997" s="1042"/>
      <c r="D7997" s="1598"/>
      <c r="E7997" s="2154"/>
      <c r="F7997" s="1598"/>
      <c r="G7997" s="1995"/>
      <c r="H7997" s="1369"/>
      <c r="I7997" s="1299"/>
      <c r="J7997" s="1300"/>
      <c r="K7997" s="1307"/>
      <c r="L7997" s="1335"/>
      <c r="M7997" s="1499"/>
      <c r="N7997" s="1700"/>
      <c r="O7997" s="1290"/>
      <c r="P7997" s="1332"/>
      <c r="Q7997" s="3402"/>
      <c r="R7997" s="2357"/>
    </row>
    <row r="7998" spans="1:18" s="22" customFormat="1">
      <c r="A7998" s="16"/>
      <c r="B7998" s="1599"/>
      <c r="C7998" s="1320"/>
      <c r="D7998" s="1598"/>
      <c r="E7998" s="1856"/>
      <c r="F7998" s="1598"/>
      <c r="G7998" s="1399"/>
      <c r="H7998" s="1399"/>
      <c r="I7998" s="198"/>
      <c r="J7998" s="198"/>
      <c r="K7998" s="1307"/>
      <c r="L7998" s="1335"/>
      <c r="M7998" s="1499"/>
      <c r="N7998" s="1701"/>
      <c r="O7998" s="1291"/>
      <c r="P7998" s="1332"/>
      <c r="Q7998" s="3391"/>
      <c r="R7998" s="3363"/>
    </row>
    <row r="7999" spans="1:18" s="22" customFormat="1" ht="20.25" customHeight="1">
      <c r="A7999" s="2187"/>
      <c r="B7999" s="1599"/>
      <c r="C7999" s="1042"/>
      <c r="D7999" s="1359"/>
      <c r="E7999" s="1858"/>
      <c r="F7999" s="1360" t="s">
        <v>2</v>
      </c>
      <c r="G7999" s="1360"/>
      <c r="H7999" s="1362"/>
      <c r="I7999" s="1380"/>
      <c r="J7999" s="1381"/>
      <c r="K7999" s="1381"/>
      <c r="L7999" s="1458"/>
      <c r="M7999" s="1362"/>
      <c r="N7999" s="1362"/>
      <c r="O7999" s="1362"/>
      <c r="P7999" s="1359"/>
      <c r="Q7999" s="3403"/>
      <c r="R7999" s="2357"/>
    </row>
    <row r="8000" spans="1:18" s="22" customFormat="1" ht="26">
      <c r="A8000" s="2187"/>
      <c r="B8000" s="2053"/>
      <c r="C8000" s="1321"/>
      <c r="D8000" s="1655" t="s">
        <v>1099</v>
      </c>
      <c r="E8000" s="1859" t="s">
        <v>1508</v>
      </c>
      <c r="F8000" s="1655" t="s">
        <v>1633</v>
      </c>
      <c r="G8000" s="1809">
        <v>0.25</v>
      </c>
      <c r="H8000" s="1386"/>
      <c r="I8000" s="1299"/>
      <c r="J8000" s="1300"/>
      <c r="K8000" s="1307">
        <f>G8000*K7993</f>
        <v>1.4999999999999999E-2</v>
      </c>
      <c r="L8000" s="1335">
        <f>K8000*$K$7813</f>
        <v>0</v>
      </c>
      <c r="M8000" s="1302">
        <v>19.23</v>
      </c>
      <c r="N8000" s="1700"/>
      <c r="O8000" s="1290">
        <f>G8000*M8000</f>
        <v>4.8075000000000001</v>
      </c>
      <c r="P8000" s="1332">
        <f>M8000*K8000</f>
        <v>0.28844999999999998</v>
      </c>
      <c r="Q8000" s="3402"/>
      <c r="R8000" s="2357"/>
    </row>
    <row r="8001" spans="1:18" s="22" customFormat="1">
      <c r="A8001"/>
      <c r="B8001" s="1042"/>
      <c r="C8001" s="19"/>
      <c r="D8001" s="1430"/>
      <c r="E8001" s="1857"/>
      <c r="F8001" s="1403"/>
      <c r="G8001" s="1991"/>
      <c r="H8001" s="1408"/>
      <c r="I8001" s="1286"/>
      <c r="J8001" s="198"/>
      <c r="K8001" s="1307"/>
      <c r="L8001" s="1335"/>
      <c r="M8001" s="1302"/>
      <c r="N8001" s="1718"/>
      <c r="O8001" s="1290"/>
      <c r="P8001" s="1720"/>
      <c r="Q8001" s="3396"/>
      <c r="R8001" s="2337"/>
    </row>
    <row r="8002" spans="1:18" s="22" customFormat="1">
      <c r="B8002" s="1320"/>
      <c r="C8002" s="16"/>
      <c r="D8002" s="1359"/>
      <c r="E8002" s="1858"/>
      <c r="F8002" s="1474"/>
      <c r="G8002" s="1474"/>
      <c r="H8002" s="1466"/>
      <c r="I8002" s="1289"/>
      <c r="J8002" s="8"/>
      <c r="K8002" s="1307"/>
      <c r="L8002" s="1335"/>
      <c r="M8002" s="1302"/>
      <c r="N8002" s="1700"/>
      <c r="O8002" s="1290"/>
      <c r="P8002" s="1332"/>
      <c r="Q8002" s="3391"/>
      <c r="R8002" s="2344"/>
    </row>
    <row r="8003" spans="1:18" s="22" customFormat="1" ht="19.5" customHeight="1">
      <c r="A8003" s="1320"/>
      <c r="B8003" s="1599"/>
      <c r="C8003" s="1320"/>
      <c r="D8003" s="1373"/>
      <c r="E8003" s="2123"/>
      <c r="F8003" s="1374" t="s">
        <v>3</v>
      </c>
      <c r="G8003" s="1375"/>
      <c r="H8003" s="1376"/>
      <c r="I8003" s="1382"/>
      <c r="J8003" s="1383"/>
      <c r="K8003" s="1383"/>
      <c r="L8003" s="1413"/>
      <c r="M8003" s="1376"/>
      <c r="N8003" s="1376"/>
      <c r="O8003" s="1376"/>
      <c r="P8003" s="1373"/>
      <c r="Q8003" s="3403"/>
      <c r="R8003" s="2356"/>
    </row>
    <row r="8004" spans="1:18" s="22" customFormat="1">
      <c r="A8004" s="1321"/>
      <c r="B8004" s="2053"/>
      <c r="C8004" s="1321"/>
      <c r="D8004" s="1827"/>
      <c r="E8004" s="2173"/>
      <c r="F8004" s="1827"/>
      <c r="G8004" s="1828"/>
      <c r="H8004" s="1379"/>
      <c r="I8004" s="1299"/>
      <c r="J8004" s="1300"/>
      <c r="K8004" s="1307"/>
      <c r="L8004" s="1335"/>
      <c r="M8004" s="1302"/>
      <c r="N8004" s="1700"/>
      <c r="O8004" s="1290"/>
      <c r="P8004" s="1332"/>
      <c r="Q8004" s="3402"/>
      <c r="R8004" s="2053"/>
    </row>
    <row r="8005" spans="1:18" s="22" customFormat="1">
      <c r="A8005" s="1321"/>
      <c r="B8005" s="2053"/>
      <c r="C8005" s="1321"/>
      <c r="D8005" s="1377"/>
      <c r="E8005" s="2124"/>
      <c r="F8005" s="1378"/>
      <c r="G8005" s="1378"/>
      <c r="H8005" s="1379"/>
      <c r="I8005" s="1299"/>
      <c r="J8005" s="1300"/>
      <c r="K8005" s="1307"/>
      <c r="L8005" s="1335"/>
      <c r="M8005" s="1302"/>
      <c r="N8005" s="1700"/>
      <c r="O8005" s="1290"/>
      <c r="P8005" s="1333"/>
      <c r="Q8005" s="3402"/>
      <c r="R8005" s="2053"/>
    </row>
    <row r="8006" spans="1:18" s="22" customFormat="1">
      <c r="A8006" s="1320"/>
      <c r="B8006" s="1765"/>
      <c r="C8006" s="223"/>
      <c r="D8006" s="1373"/>
      <c r="E8006" s="2161"/>
      <c r="F8006" s="1678"/>
      <c r="G8006" s="1678"/>
      <c r="H8006" s="1376"/>
      <c r="I8006" s="1299"/>
      <c r="J8006" s="1300"/>
      <c r="K8006" s="1307"/>
      <c r="L8006" s="1335"/>
      <c r="M8006" s="1302"/>
      <c r="N8006" s="1700"/>
      <c r="O8006" s="1290"/>
      <c r="P8006" s="1332"/>
      <c r="Q8006" s="3402"/>
      <c r="R8006" s="2356"/>
    </row>
    <row r="8007" spans="1:18" s="22" customFormat="1">
      <c r="A8007" s="18" t="s">
        <v>3764</v>
      </c>
      <c r="B8007" s="4325" t="s">
        <v>2322</v>
      </c>
      <c r="C8007" s="3350"/>
      <c r="D8007" s="4327"/>
      <c r="E8007" s="4329" t="s">
        <v>1504</v>
      </c>
      <c r="F8007" s="4336" t="s">
        <v>2323</v>
      </c>
      <c r="G8007" s="4331" t="s">
        <v>1568</v>
      </c>
      <c r="H8007" s="4331" t="s">
        <v>1574</v>
      </c>
      <c r="I8007" s="1572" t="s">
        <v>1559</v>
      </c>
      <c r="J8007" s="1294" t="s">
        <v>1560</v>
      </c>
      <c r="K8007" s="1294" t="s">
        <v>1569</v>
      </c>
      <c r="L8007" s="4333" t="s">
        <v>3765</v>
      </c>
      <c r="M8007" s="4335" t="s">
        <v>1571</v>
      </c>
      <c r="N8007" s="4323" t="s">
        <v>1776</v>
      </c>
      <c r="O8007" s="3347" t="s">
        <v>1563</v>
      </c>
      <c r="P8007" s="1336" t="s">
        <v>1562</v>
      </c>
      <c r="Q8007" s="3389"/>
      <c r="R8007" s="1699" t="s">
        <v>1327</v>
      </c>
    </row>
    <row r="8008" spans="1:18" s="22" customFormat="1">
      <c r="A8008" s="1599" t="s">
        <v>2403</v>
      </c>
      <c r="B8008" s="4326"/>
      <c r="C8008" s="3351"/>
      <c r="D8008" s="4328"/>
      <c r="E8008" s="4330"/>
      <c r="F8008" s="4336"/>
      <c r="G8008" s="4332"/>
      <c r="H8008" s="4332"/>
      <c r="I8008" s="1345">
        <v>4</v>
      </c>
      <c r="J8008" s="1307">
        <v>5.0000000000000001E-3</v>
      </c>
      <c r="K8008" s="1666">
        <f>I8008*J8008</f>
        <v>0.02</v>
      </c>
      <c r="L8008" s="4334"/>
      <c r="M8008" s="4335"/>
      <c r="N8008" s="4324"/>
      <c r="O8008" s="1298">
        <f>SUM(O8010:O8015)</f>
        <v>18.009</v>
      </c>
      <c r="P8008" s="1337">
        <f>O8008*K8008</f>
        <v>0.36018</v>
      </c>
      <c r="Q8008" s="3390"/>
      <c r="R8008" s="1721">
        <f>SUM(P8010:P8015)</f>
        <v>0.36018</v>
      </c>
    </row>
    <row r="8009" spans="1:18" s="22" customFormat="1">
      <c r="A8009" s="1320"/>
      <c r="B8009" s="1949"/>
      <c r="C8009" s="1327"/>
      <c r="D8009" s="1367"/>
      <c r="E8009" s="2121"/>
      <c r="F8009" s="1389" t="s">
        <v>1</v>
      </c>
      <c r="G8009" s="1389"/>
      <c r="H8009" s="1369"/>
      <c r="I8009" s="2088"/>
      <c r="J8009" s="1369"/>
      <c r="K8009" s="1391"/>
      <c r="L8009" s="1559"/>
      <c r="M8009" s="1369"/>
      <c r="N8009" s="1369"/>
      <c r="O8009" s="1369"/>
      <c r="P8009" s="1392"/>
      <c r="Q8009" s="3395"/>
      <c r="R8009" s="2344"/>
    </row>
    <row r="8010" spans="1:18" s="22" customFormat="1" ht="18.75" customHeight="1">
      <c r="A8010" s="1320"/>
      <c r="B8010" s="1599"/>
      <c r="C8010" s="1320"/>
      <c r="D8010" s="1598" t="s">
        <v>2324</v>
      </c>
      <c r="E8010" s="2154" t="s">
        <v>1504</v>
      </c>
      <c r="F8010" s="1598" t="s">
        <v>2323</v>
      </c>
      <c r="G8010" s="1995">
        <v>1</v>
      </c>
      <c r="H8010" s="1369"/>
      <c r="I8010" s="1299"/>
      <c r="J8010" s="1300"/>
      <c r="K8010" s="1307">
        <f>G8010*K8008</f>
        <v>0.02</v>
      </c>
      <c r="L8010" s="1335">
        <f t="shared" ref="L8010:L8011" si="1087">K8010*$K$7813</f>
        <v>0</v>
      </c>
      <c r="M8010" s="1302">
        <v>11.94</v>
      </c>
      <c r="N8010" s="1700"/>
      <c r="O8010" s="1290">
        <f>G8010*M8010</f>
        <v>11.94</v>
      </c>
      <c r="P8010" s="1332">
        <f>M8010*K8010</f>
        <v>0.23879999999999998</v>
      </c>
      <c r="Q8010" s="3402"/>
      <c r="R8010" s="2356"/>
    </row>
    <row r="8011" spans="1:18" s="22" customFormat="1" ht="21.75" customHeight="1">
      <c r="A8011" s="2187"/>
      <c r="B8011" s="1599"/>
      <c r="C8011" s="1042"/>
      <c r="D8011" s="1598" t="s">
        <v>1082</v>
      </c>
      <c r="E8011" s="2154" t="s">
        <v>1504</v>
      </c>
      <c r="F8011" s="1598" t="s">
        <v>1541</v>
      </c>
      <c r="G8011" s="1995">
        <v>1</v>
      </c>
      <c r="H8011" s="1369"/>
      <c r="I8011" s="1299"/>
      <c r="J8011" s="1300"/>
      <c r="K8011" s="1307">
        <f>G8011*K8008</f>
        <v>0.02</v>
      </c>
      <c r="L8011" s="1335">
        <f t="shared" si="1087"/>
        <v>0</v>
      </c>
      <c r="M8011" s="1499">
        <v>0.3</v>
      </c>
      <c r="N8011" s="1700"/>
      <c r="O8011" s="1290">
        <f>G8011*M8011</f>
        <v>0.3</v>
      </c>
      <c r="P8011" s="1332">
        <f>M8011*K8011</f>
        <v>6.0000000000000001E-3</v>
      </c>
      <c r="Q8011" s="3402"/>
      <c r="R8011" s="2357"/>
    </row>
    <row r="8012" spans="1:18" s="22" customFormat="1" ht="12.75" customHeight="1">
      <c r="A8012" s="16"/>
      <c r="B8012" s="1599"/>
      <c r="C8012" s="1320"/>
      <c r="D8012" s="1598"/>
      <c r="E8012" s="1856"/>
      <c r="F8012" s="1598"/>
      <c r="G8012" s="1651"/>
      <c r="H8012" s="1399"/>
      <c r="I8012" s="198"/>
      <c r="J8012" s="198"/>
      <c r="K8012" s="1307"/>
      <c r="L8012" s="1335"/>
      <c r="M8012" s="1499"/>
      <c r="N8012" s="1701"/>
      <c r="O8012" s="1291"/>
      <c r="P8012" s="1332"/>
      <c r="Q8012" s="3391"/>
      <c r="R8012" s="3363"/>
    </row>
    <row r="8013" spans="1:18" s="22" customFormat="1" ht="13.5" customHeight="1">
      <c r="A8013" s="16"/>
      <c r="B8013" s="1599"/>
      <c r="C8013" s="1320"/>
      <c r="D8013" s="1598"/>
      <c r="E8013" s="1856"/>
      <c r="F8013" s="1598"/>
      <c r="G8013" s="1399"/>
      <c r="H8013" s="1399"/>
      <c r="I8013" s="198"/>
      <c r="J8013" s="198"/>
      <c r="K8013" s="1307"/>
      <c r="L8013" s="1335"/>
      <c r="M8013" s="1499"/>
      <c r="N8013" s="1701"/>
      <c r="O8013" s="1291"/>
      <c r="P8013" s="1332"/>
      <c r="Q8013" s="3391"/>
      <c r="R8013" s="3363"/>
    </row>
    <row r="8014" spans="1:18" s="22" customFormat="1" ht="26">
      <c r="A8014" s="2187"/>
      <c r="B8014" s="1599"/>
      <c r="C8014" s="1042"/>
      <c r="D8014" s="1359"/>
      <c r="E8014" s="1858"/>
      <c r="F8014" s="1360" t="s">
        <v>2</v>
      </c>
      <c r="G8014" s="1360"/>
      <c r="H8014" s="1362"/>
      <c r="I8014" s="1380"/>
      <c r="J8014" s="1381"/>
      <c r="K8014" s="1381"/>
      <c r="L8014" s="1458"/>
      <c r="M8014" s="1362"/>
      <c r="N8014" s="1362"/>
      <c r="O8014" s="1362"/>
      <c r="P8014" s="1359"/>
      <c r="Q8014" s="3403"/>
      <c r="R8014" s="2357"/>
    </row>
    <row r="8015" spans="1:18" s="22" customFormat="1" ht="20.25" customHeight="1">
      <c r="A8015" s="2187"/>
      <c r="B8015" s="2053"/>
      <c r="C8015" s="1321"/>
      <c r="D8015" s="1655" t="s">
        <v>1099</v>
      </c>
      <c r="E8015" s="1859" t="s">
        <v>1508</v>
      </c>
      <c r="F8015" s="1655" t="s">
        <v>1633</v>
      </c>
      <c r="G8015" s="1809">
        <v>0.3</v>
      </c>
      <c r="H8015" s="1386"/>
      <c r="I8015" s="1299"/>
      <c r="J8015" s="1300"/>
      <c r="K8015" s="1307">
        <f>G8015*K8008</f>
        <v>6.0000000000000001E-3</v>
      </c>
      <c r="L8015" s="1335">
        <f>K8015*$K$7813</f>
        <v>0</v>
      </c>
      <c r="M8015" s="1302">
        <v>19.23</v>
      </c>
      <c r="N8015" s="1700"/>
      <c r="O8015" s="1290">
        <f>G8015*M8015</f>
        <v>5.7690000000000001</v>
      </c>
      <c r="P8015" s="1332">
        <f>M8015*K8015</f>
        <v>0.11538000000000001</v>
      </c>
      <c r="Q8015" s="3402"/>
      <c r="R8015" s="2357"/>
    </row>
    <row r="8016" spans="1:18" s="22" customFormat="1">
      <c r="A8016"/>
      <c r="B8016" s="1042"/>
      <c r="C8016" s="19"/>
      <c r="D8016" s="1430"/>
      <c r="E8016" s="1857"/>
      <c r="F8016" s="1403"/>
      <c r="G8016" s="1991"/>
      <c r="H8016" s="1408"/>
      <c r="I8016" s="1286"/>
      <c r="J8016" s="198"/>
      <c r="K8016" s="1307"/>
      <c r="L8016" s="1335"/>
      <c r="M8016" s="1302"/>
      <c r="N8016" s="1718"/>
      <c r="O8016" s="1290"/>
      <c r="P8016" s="1720"/>
      <c r="Q8016" s="3396"/>
      <c r="R8016" s="2337"/>
    </row>
    <row r="8017" spans="1:18" s="22" customFormat="1">
      <c r="B8017" s="1320"/>
      <c r="C8017" s="16"/>
      <c r="D8017" s="1359"/>
      <c r="E8017" s="1858"/>
      <c r="F8017" s="1474"/>
      <c r="G8017" s="1474"/>
      <c r="H8017" s="1466"/>
      <c r="I8017" s="1289"/>
      <c r="J8017" s="8"/>
      <c r="K8017" s="1307"/>
      <c r="L8017" s="1335"/>
      <c r="M8017" s="1302"/>
      <c r="N8017" s="1700"/>
      <c r="O8017" s="1290"/>
      <c r="P8017" s="1332"/>
      <c r="Q8017" s="3391"/>
      <c r="R8017" s="2344"/>
    </row>
    <row r="8018" spans="1:18" s="22" customFormat="1">
      <c r="A8018" s="1320"/>
      <c r="B8018" s="1599"/>
      <c r="C8018" s="1320"/>
      <c r="D8018" s="1373"/>
      <c r="E8018" s="2123"/>
      <c r="F8018" s="1374" t="s">
        <v>3</v>
      </c>
      <c r="G8018" s="1375"/>
      <c r="H8018" s="1376"/>
      <c r="I8018" s="1382"/>
      <c r="J8018" s="1383"/>
      <c r="K8018" s="1383"/>
      <c r="L8018" s="1413"/>
      <c r="M8018" s="1376"/>
      <c r="N8018" s="1376"/>
      <c r="O8018" s="1376"/>
      <c r="P8018" s="1373"/>
      <c r="Q8018" s="3403"/>
      <c r="R8018" s="2356"/>
    </row>
    <row r="8019" spans="1:18" s="22" customFormat="1">
      <c r="A8019" s="1321"/>
      <c r="B8019" s="2053"/>
      <c r="C8019" s="1321"/>
      <c r="D8019" s="1827"/>
      <c r="E8019" s="2173"/>
      <c r="F8019" s="1827"/>
      <c r="G8019" s="1828"/>
      <c r="H8019" s="1379"/>
      <c r="I8019" s="1299"/>
      <c r="J8019" s="1300"/>
      <c r="K8019" s="1307"/>
      <c r="L8019" s="1335"/>
      <c r="M8019" s="1302"/>
      <c r="N8019" s="1700"/>
      <c r="O8019" s="1290"/>
      <c r="P8019" s="1332"/>
      <c r="Q8019" s="3402"/>
      <c r="R8019" s="2053"/>
    </row>
    <row r="8020" spans="1:18" s="22" customFormat="1">
      <c r="A8020" s="1321"/>
      <c r="B8020" s="2053"/>
      <c r="C8020" s="1321"/>
      <c r="D8020" s="1377"/>
      <c r="E8020" s="2124"/>
      <c r="F8020" s="1378"/>
      <c r="G8020" s="1378"/>
      <c r="H8020" s="1379"/>
      <c r="I8020" s="1299"/>
      <c r="J8020" s="1300"/>
      <c r="K8020" s="1307"/>
      <c r="L8020" s="1335"/>
      <c r="M8020" s="1302"/>
      <c r="N8020" s="1700"/>
      <c r="O8020" s="1290"/>
      <c r="P8020" s="1333"/>
      <c r="Q8020" s="3402"/>
      <c r="R8020" s="2053"/>
    </row>
    <row r="8021" spans="1:18" s="22" customFormat="1">
      <c r="A8021" s="1320"/>
      <c r="B8021" s="1765"/>
      <c r="C8021" s="223"/>
      <c r="D8021" s="1373"/>
      <c r="E8021" s="2161"/>
      <c r="F8021" s="1678"/>
      <c r="G8021" s="1678"/>
      <c r="H8021" s="1376"/>
      <c r="I8021" s="1299"/>
      <c r="J8021" s="1300"/>
      <c r="K8021" s="1307"/>
      <c r="L8021" s="1335"/>
      <c r="M8021" s="1302"/>
      <c r="N8021" s="1700"/>
      <c r="O8021" s="1290"/>
      <c r="P8021" s="1332"/>
      <c r="Q8021" s="3402"/>
      <c r="R8021" s="2356"/>
    </row>
    <row r="8022" spans="1:18" s="22" customFormat="1">
      <c r="A8022" s="18" t="s">
        <v>3764</v>
      </c>
      <c r="B8022" s="4325" t="s">
        <v>2419</v>
      </c>
      <c r="C8022" s="3350"/>
      <c r="D8022" s="4327"/>
      <c r="E8022" s="4329" t="s">
        <v>1504</v>
      </c>
      <c r="F8022" s="4336" t="s">
        <v>2420</v>
      </c>
      <c r="G8022" s="4331" t="s">
        <v>1568</v>
      </c>
      <c r="H8022" s="4331" t="s">
        <v>1574</v>
      </c>
      <c r="I8022" s="1572" t="s">
        <v>1559</v>
      </c>
      <c r="J8022" s="1294" t="s">
        <v>1560</v>
      </c>
      <c r="K8022" s="1294" t="s">
        <v>1569</v>
      </c>
      <c r="L8022" s="4333" t="s">
        <v>3765</v>
      </c>
      <c r="M8022" s="4335" t="s">
        <v>1571</v>
      </c>
      <c r="N8022" s="4323" t="s">
        <v>1776</v>
      </c>
      <c r="O8022" s="3347" t="s">
        <v>1563</v>
      </c>
      <c r="P8022" s="1336" t="s">
        <v>1562</v>
      </c>
      <c r="Q8022" s="3389"/>
      <c r="R8022" s="1699" t="s">
        <v>1327</v>
      </c>
    </row>
    <row r="8023" spans="1:18" s="22" customFormat="1">
      <c r="A8023" s="1599" t="s">
        <v>2403</v>
      </c>
      <c r="B8023" s="4326"/>
      <c r="C8023" s="3351"/>
      <c r="D8023" s="4328"/>
      <c r="E8023" s="4330"/>
      <c r="F8023" s="4336"/>
      <c r="G8023" s="4332"/>
      <c r="H8023" s="4332"/>
      <c r="I8023" s="1345">
        <v>2</v>
      </c>
      <c r="J8023" s="1307">
        <v>5.0000000000000001E-3</v>
      </c>
      <c r="K8023" s="1666">
        <f>I8023*J8023</f>
        <v>0.01</v>
      </c>
      <c r="L8023" s="4334"/>
      <c r="M8023" s="4335"/>
      <c r="N8023" s="4324"/>
      <c r="O8023" s="1298">
        <f>SUM(O8025:O8030)</f>
        <v>48.247499999999995</v>
      </c>
      <c r="P8023" s="1337">
        <f>O8023*K8023</f>
        <v>0.48247499999999999</v>
      </c>
      <c r="Q8023" s="3390"/>
      <c r="R8023" s="1721">
        <f>SUM(P8025:P8030)</f>
        <v>0.48247499999999999</v>
      </c>
    </row>
    <row r="8024" spans="1:18" s="22" customFormat="1" ht="19.5" customHeight="1">
      <c r="A8024" s="1320"/>
      <c r="B8024" s="1949"/>
      <c r="C8024" s="1327"/>
      <c r="D8024" s="1367"/>
      <c r="E8024" s="2121"/>
      <c r="F8024" s="1389" t="s">
        <v>1</v>
      </c>
      <c r="G8024" s="1389"/>
      <c r="H8024" s="1369"/>
      <c r="I8024" s="2088"/>
      <c r="J8024" s="1369"/>
      <c r="K8024" s="1391"/>
      <c r="L8024" s="1559"/>
      <c r="M8024" s="1369"/>
      <c r="N8024" s="1369"/>
      <c r="O8024" s="1369"/>
      <c r="P8024" s="1392"/>
      <c r="Q8024" s="3395"/>
      <c r="R8024" s="2344"/>
    </row>
    <row r="8025" spans="1:18" s="22" customFormat="1" ht="21.75" customHeight="1">
      <c r="A8025" s="1320"/>
      <c r="B8025" s="1599"/>
      <c r="C8025" s="1320"/>
      <c r="D8025" s="1598" t="s">
        <v>2421</v>
      </c>
      <c r="E8025" s="2154" t="s">
        <v>1504</v>
      </c>
      <c r="F8025" s="1598" t="s">
        <v>2422</v>
      </c>
      <c r="G8025" s="1995">
        <v>1</v>
      </c>
      <c r="H8025" s="1369"/>
      <c r="I8025" s="1299"/>
      <c r="J8025" s="1300"/>
      <c r="K8025" s="1307">
        <f>G8025*K8023</f>
        <v>0.01</v>
      </c>
      <c r="L8025" s="1335">
        <f t="shared" ref="L8025:L8026" si="1088">K8025*$K$7813</f>
        <v>0</v>
      </c>
      <c r="M8025" s="1302">
        <v>43.14</v>
      </c>
      <c r="N8025" s="1700"/>
      <c r="O8025" s="1290">
        <f>G8025*M8025</f>
        <v>43.14</v>
      </c>
      <c r="P8025" s="1332">
        <f>M8025*K8025</f>
        <v>0.43140000000000001</v>
      </c>
      <c r="Q8025" s="3402"/>
      <c r="R8025" s="2356"/>
    </row>
    <row r="8026" spans="1:18" s="22" customFormat="1" ht="26">
      <c r="A8026" s="2187"/>
      <c r="B8026" s="1599"/>
      <c r="C8026" s="1042"/>
      <c r="D8026" s="1598" t="s">
        <v>1082</v>
      </c>
      <c r="E8026" s="2154" t="s">
        <v>1504</v>
      </c>
      <c r="F8026" s="1598" t="s">
        <v>1541</v>
      </c>
      <c r="G8026" s="1995">
        <v>1</v>
      </c>
      <c r="H8026" s="1369"/>
      <c r="I8026" s="1299"/>
      <c r="J8026" s="1300"/>
      <c r="K8026" s="1307">
        <f>G8026*K8023</f>
        <v>0.01</v>
      </c>
      <c r="L8026" s="1335">
        <f t="shared" si="1088"/>
        <v>0</v>
      </c>
      <c r="M8026" s="1499">
        <v>0.3</v>
      </c>
      <c r="N8026" s="1700"/>
      <c r="O8026" s="1290">
        <f>G8026*M8026</f>
        <v>0.3</v>
      </c>
      <c r="P8026" s="1332">
        <f>M8026*K8026</f>
        <v>3.0000000000000001E-3</v>
      </c>
      <c r="Q8026" s="3402"/>
      <c r="R8026" s="2357"/>
    </row>
    <row r="8027" spans="1:18" s="22" customFormat="1">
      <c r="A8027" s="16"/>
      <c r="B8027" s="1599"/>
      <c r="C8027" s="1320"/>
      <c r="D8027" s="1598"/>
      <c r="E8027" s="1856"/>
      <c r="F8027" s="1598"/>
      <c r="G8027" s="1651"/>
      <c r="H8027" s="1399"/>
      <c r="I8027" s="198"/>
      <c r="J8027" s="198"/>
      <c r="K8027" s="1307"/>
      <c r="L8027" s="1335"/>
      <c r="M8027" s="1499"/>
      <c r="N8027" s="1701"/>
      <c r="O8027" s="1291"/>
      <c r="P8027" s="1332"/>
      <c r="Q8027" s="3391"/>
      <c r="R8027" s="3363"/>
    </row>
    <row r="8028" spans="1:18" s="22" customFormat="1">
      <c r="A8028" s="16"/>
      <c r="B8028" s="1599"/>
      <c r="C8028" s="1320"/>
      <c r="D8028" s="1598"/>
      <c r="E8028" s="1856"/>
      <c r="F8028" s="1598"/>
      <c r="G8028" s="1399"/>
      <c r="H8028" s="1399"/>
      <c r="I8028" s="198"/>
      <c r="J8028" s="198"/>
      <c r="K8028" s="1307"/>
      <c r="L8028" s="1335"/>
      <c r="M8028" s="1499"/>
      <c r="N8028" s="1701"/>
      <c r="O8028" s="1291"/>
      <c r="P8028" s="1332"/>
      <c r="Q8028" s="3391"/>
      <c r="R8028" s="3363"/>
    </row>
    <row r="8029" spans="1:18" s="22" customFormat="1" ht="26">
      <c r="A8029" s="2187"/>
      <c r="B8029" s="1599"/>
      <c r="C8029" s="1042"/>
      <c r="D8029" s="1359"/>
      <c r="E8029" s="1858"/>
      <c r="F8029" s="1360" t="s">
        <v>2</v>
      </c>
      <c r="G8029" s="1360"/>
      <c r="H8029" s="1362"/>
      <c r="I8029" s="1380"/>
      <c r="J8029" s="1381"/>
      <c r="K8029" s="1381"/>
      <c r="L8029" s="1458"/>
      <c r="M8029" s="1362"/>
      <c r="N8029" s="1362"/>
      <c r="O8029" s="1362"/>
      <c r="P8029" s="1359"/>
      <c r="Q8029" s="3403"/>
      <c r="R8029" s="2357"/>
    </row>
    <row r="8030" spans="1:18" s="22" customFormat="1" ht="26">
      <c r="A8030" s="2187"/>
      <c r="B8030" s="2053"/>
      <c r="C8030" s="1321"/>
      <c r="D8030" s="1655" t="s">
        <v>1099</v>
      </c>
      <c r="E8030" s="1859" t="s">
        <v>1508</v>
      </c>
      <c r="F8030" s="1655" t="s">
        <v>1633</v>
      </c>
      <c r="G8030" s="1809">
        <v>0.25</v>
      </c>
      <c r="H8030" s="1386"/>
      <c r="I8030" s="1299"/>
      <c r="J8030" s="1300"/>
      <c r="K8030" s="1307">
        <f>G8030*K8023</f>
        <v>2.5000000000000001E-3</v>
      </c>
      <c r="L8030" s="1335">
        <f>K8030*$K$7813</f>
        <v>0</v>
      </c>
      <c r="M8030" s="1302">
        <v>19.23</v>
      </c>
      <c r="N8030" s="1700"/>
      <c r="O8030" s="1290">
        <f>G8030*M8030</f>
        <v>4.8075000000000001</v>
      </c>
      <c r="P8030" s="1332">
        <f>M8030*K8030</f>
        <v>4.8075E-2</v>
      </c>
      <c r="Q8030" s="3402"/>
      <c r="R8030" s="2357"/>
    </row>
    <row r="8031" spans="1:18" s="22" customFormat="1">
      <c r="A8031"/>
      <c r="B8031" s="1042"/>
      <c r="C8031" s="19"/>
      <c r="D8031" s="1430"/>
      <c r="E8031" s="1857"/>
      <c r="F8031" s="1403"/>
      <c r="G8031" s="1991"/>
      <c r="H8031" s="1408"/>
      <c r="I8031" s="1286"/>
      <c r="J8031" s="198"/>
      <c r="K8031" s="1307"/>
      <c r="L8031" s="1335"/>
      <c r="M8031" s="1302"/>
      <c r="N8031" s="1718"/>
      <c r="O8031" s="1290"/>
      <c r="P8031" s="1720"/>
      <c r="Q8031" s="3396"/>
      <c r="R8031" s="2337"/>
    </row>
    <row r="8032" spans="1:18" s="22" customFormat="1">
      <c r="B8032" s="1320"/>
      <c r="C8032" s="16"/>
      <c r="D8032" s="1359"/>
      <c r="E8032" s="1858"/>
      <c r="F8032" s="1474"/>
      <c r="G8032" s="1474"/>
      <c r="H8032" s="1466"/>
      <c r="I8032" s="1289"/>
      <c r="J8032" s="8"/>
      <c r="K8032" s="1307"/>
      <c r="L8032" s="1335"/>
      <c r="M8032" s="1302"/>
      <c r="N8032" s="1700"/>
      <c r="O8032" s="1290"/>
      <c r="P8032" s="1332"/>
      <c r="Q8032" s="3391"/>
      <c r="R8032" s="2344"/>
    </row>
    <row r="8033" spans="1:18" s="22" customFormat="1">
      <c r="A8033" s="1320"/>
      <c r="B8033" s="1599"/>
      <c r="C8033" s="1320"/>
      <c r="D8033" s="1373"/>
      <c r="E8033" s="2123"/>
      <c r="F8033" s="1374" t="s">
        <v>3</v>
      </c>
      <c r="G8033" s="1375"/>
      <c r="H8033" s="1376"/>
      <c r="I8033" s="1382"/>
      <c r="J8033" s="1383"/>
      <c r="K8033" s="1383"/>
      <c r="L8033" s="1413"/>
      <c r="M8033" s="1376"/>
      <c r="N8033" s="1376"/>
      <c r="O8033" s="1376"/>
      <c r="P8033" s="1373"/>
      <c r="Q8033" s="3403"/>
      <c r="R8033" s="2356"/>
    </row>
    <row r="8034" spans="1:18" s="22" customFormat="1">
      <c r="A8034" s="1321"/>
      <c r="B8034" s="2053"/>
      <c r="C8034" s="1321"/>
      <c r="D8034" s="1827"/>
      <c r="E8034" s="2173"/>
      <c r="F8034" s="1827"/>
      <c r="G8034" s="1828"/>
      <c r="H8034" s="1379"/>
      <c r="I8034" s="1299"/>
      <c r="J8034" s="1300"/>
      <c r="K8034" s="1307"/>
      <c r="L8034" s="1335"/>
      <c r="M8034" s="1302"/>
      <c r="N8034" s="1700"/>
      <c r="O8034" s="1290"/>
      <c r="P8034" s="1332"/>
      <c r="Q8034" s="3402"/>
      <c r="R8034" s="2053"/>
    </row>
    <row r="8035" spans="1:18" s="22" customFormat="1">
      <c r="A8035" s="1321"/>
      <c r="B8035" s="2053"/>
      <c r="C8035" s="1321"/>
      <c r="D8035" s="1377"/>
      <c r="E8035" s="2124"/>
      <c r="F8035" s="1378"/>
      <c r="G8035" s="1378"/>
      <c r="H8035" s="1379"/>
      <c r="I8035" s="1299"/>
      <c r="J8035" s="1300"/>
      <c r="K8035" s="1307"/>
      <c r="L8035" s="1335"/>
      <c r="M8035" s="1302"/>
      <c r="N8035" s="1700"/>
      <c r="O8035" s="1290"/>
      <c r="P8035" s="1333"/>
      <c r="Q8035" s="3402"/>
      <c r="R8035" s="2053"/>
    </row>
    <row r="8036" spans="1:18" s="22" customFormat="1">
      <c r="A8036" s="1320"/>
      <c r="B8036" s="1765"/>
      <c r="C8036" s="223"/>
      <c r="D8036" s="1373"/>
      <c r="E8036" s="2161"/>
      <c r="F8036" s="1678"/>
      <c r="G8036" s="1678"/>
      <c r="H8036" s="1376"/>
      <c r="I8036" s="1299"/>
      <c r="J8036" s="1300"/>
      <c r="K8036" s="1307"/>
      <c r="L8036" s="1335"/>
      <c r="M8036" s="1302"/>
      <c r="N8036" s="1700"/>
      <c r="O8036" s="1290"/>
      <c r="P8036" s="1332"/>
      <c r="Q8036" s="3402"/>
      <c r="R8036" s="2356"/>
    </row>
    <row r="8037" spans="1:18" s="22" customFormat="1">
      <c r="A8037" s="18" t="s">
        <v>3764</v>
      </c>
      <c r="B8037" s="4325" t="s">
        <v>2423</v>
      </c>
      <c r="C8037" s="3350"/>
      <c r="D8037" s="4327"/>
      <c r="E8037" s="4329" t="s">
        <v>1504</v>
      </c>
      <c r="F8037" s="4336" t="s">
        <v>2424</v>
      </c>
      <c r="G8037" s="4331" t="s">
        <v>1568</v>
      </c>
      <c r="H8037" s="4331" t="s">
        <v>1574</v>
      </c>
      <c r="I8037" s="1572" t="s">
        <v>1559</v>
      </c>
      <c r="J8037" s="1294" t="s">
        <v>1560</v>
      </c>
      <c r="K8037" s="1294" t="s">
        <v>1569</v>
      </c>
      <c r="L8037" s="4333" t="s">
        <v>3765</v>
      </c>
      <c r="M8037" s="4335" t="s">
        <v>1571</v>
      </c>
      <c r="N8037" s="4323" t="s">
        <v>1776</v>
      </c>
      <c r="O8037" s="3347" t="s">
        <v>1563</v>
      </c>
      <c r="P8037" s="1336" t="s">
        <v>1562</v>
      </c>
      <c r="Q8037" s="3389"/>
      <c r="R8037" s="1699" t="s">
        <v>1327</v>
      </c>
    </row>
    <row r="8038" spans="1:18" s="22" customFormat="1">
      <c r="A8038" s="1599" t="s">
        <v>2403</v>
      </c>
      <c r="B8038" s="4326"/>
      <c r="C8038" s="3351"/>
      <c r="D8038" s="4328"/>
      <c r="E8038" s="4330"/>
      <c r="F8038" s="4336"/>
      <c r="G8038" s="4332"/>
      <c r="H8038" s="4332"/>
      <c r="I8038" s="1345">
        <v>2</v>
      </c>
      <c r="J8038" s="1307">
        <v>5.0000000000000001E-3</v>
      </c>
      <c r="K8038" s="1666">
        <f>I8038*J8038</f>
        <v>0.01</v>
      </c>
      <c r="L8038" s="4334"/>
      <c r="M8038" s="4335"/>
      <c r="N8038" s="4324"/>
      <c r="O8038" s="1298">
        <f>SUM(O8040:O8045)</f>
        <v>55.848999999999997</v>
      </c>
      <c r="P8038" s="1337">
        <f>O8038*K8038</f>
        <v>0.55848999999999993</v>
      </c>
      <c r="Q8038" s="3390"/>
      <c r="R8038" s="1721">
        <f>SUM(P8040:P8045)</f>
        <v>0.55849000000000004</v>
      </c>
    </row>
    <row r="8039" spans="1:18" s="22" customFormat="1" ht="21" customHeight="1">
      <c r="A8039" s="1320"/>
      <c r="B8039" s="1949"/>
      <c r="C8039" s="1327"/>
      <c r="D8039" s="1367"/>
      <c r="E8039" s="2121"/>
      <c r="F8039" s="1389" t="s">
        <v>1</v>
      </c>
      <c r="G8039" s="1389"/>
      <c r="H8039" s="1369"/>
      <c r="I8039" s="2088"/>
      <c r="J8039" s="1369"/>
      <c r="K8039" s="1391"/>
      <c r="L8039" s="1559"/>
      <c r="M8039" s="1369"/>
      <c r="N8039" s="1369"/>
      <c r="O8039" s="1369"/>
      <c r="P8039" s="1392"/>
      <c r="Q8039" s="3395"/>
      <c r="R8039" s="2344"/>
    </row>
    <row r="8040" spans="1:18" s="22" customFormat="1" ht="21.75" customHeight="1">
      <c r="A8040" s="1320"/>
      <c r="B8040" s="1599"/>
      <c r="C8040" s="1320"/>
      <c r="D8040" s="1598" t="s">
        <v>2425</v>
      </c>
      <c r="E8040" s="2154" t="s">
        <v>1504</v>
      </c>
      <c r="F8040" s="1598" t="s">
        <v>2426</v>
      </c>
      <c r="G8040" s="1995">
        <v>1</v>
      </c>
      <c r="H8040" s="1369"/>
      <c r="I8040" s="1299"/>
      <c r="J8040" s="1300"/>
      <c r="K8040" s="1307">
        <f>G8040*K8038</f>
        <v>0.01</v>
      </c>
      <c r="L8040" s="1335">
        <f t="shared" ref="L8040:L8041" si="1089">K8040*$K$7813</f>
        <v>0</v>
      </c>
      <c r="M8040" s="1302">
        <v>49.78</v>
      </c>
      <c r="N8040" s="1700"/>
      <c r="O8040" s="1290">
        <f>G8040*M8040</f>
        <v>49.78</v>
      </c>
      <c r="P8040" s="1332">
        <f>M8040*K8040</f>
        <v>0.49780000000000002</v>
      </c>
      <c r="Q8040" s="3402"/>
      <c r="R8040" s="2356"/>
    </row>
    <row r="8041" spans="1:18" s="22" customFormat="1" ht="26">
      <c r="A8041" s="2187"/>
      <c r="B8041" s="1599"/>
      <c r="C8041" s="1042"/>
      <c r="D8041" s="1598" t="s">
        <v>1082</v>
      </c>
      <c r="E8041" s="2154" t="s">
        <v>1504</v>
      </c>
      <c r="F8041" s="1598" t="s">
        <v>1541</v>
      </c>
      <c r="G8041" s="1995">
        <v>1</v>
      </c>
      <c r="H8041" s="1369"/>
      <c r="I8041" s="1299"/>
      <c r="J8041" s="1300"/>
      <c r="K8041" s="1307">
        <f>G8041*K8038</f>
        <v>0.01</v>
      </c>
      <c r="L8041" s="1335">
        <f t="shared" si="1089"/>
        <v>0</v>
      </c>
      <c r="M8041" s="1499">
        <v>0.3</v>
      </c>
      <c r="N8041" s="1700"/>
      <c r="O8041" s="1290">
        <f>G8041*M8041</f>
        <v>0.3</v>
      </c>
      <c r="P8041" s="1332">
        <f>M8041*K8041</f>
        <v>3.0000000000000001E-3</v>
      </c>
      <c r="Q8041" s="3402"/>
      <c r="R8041" s="2357"/>
    </row>
    <row r="8042" spans="1:18" s="22" customFormat="1" ht="17.25" customHeight="1">
      <c r="A8042" s="2187"/>
      <c r="B8042" s="1599"/>
      <c r="C8042" s="1042"/>
      <c r="D8042" s="1598"/>
      <c r="E8042" s="2154"/>
      <c r="F8042" s="1598"/>
      <c r="G8042" s="1995"/>
      <c r="H8042" s="1369"/>
      <c r="I8042" s="1299"/>
      <c r="J8042" s="1300"/>
      <c r="K8042" s="1307"/>
      <c r="L8042" s="1335"/>
      <c r="M8042" s="1499"/>
      <c r="N8042" s="1700"/>
      <c r="O8042" s="1290"/>
      <c r="P8042" s="1332"/>
      <c r="Q8042" s="3402"/>
      <c r="R8042" s="2357"/>
    </row>
    <row r="8043" spans="1:18" s="22" customFormat="1" ht="23.25" customHeight="1">
      <c r="A8043" s="16"/>
      <c r="B8043" s="1599"/>
      <c r="C8043" s="1320"/>
      <c r="D8043" s="1598"/>
      <c r="E8043" s="1856"/>
      <c r="F8043" s="1598"/>
      <c r="G8043" s="1399"/>
      <c r="H8043" s="1399"/>
      <c r="I8043" s="198"/>
      <c r="J8043" s="198"/>
      <c r="K8043" s="1307"/>
      <c r="L8043" s="1335"/>
      <c r="M8043" s="1499"/>
      <c r="N8043" s="1701"/>
      <c r="O8043" s="1291"/>
      <c r="P8043" s="1332"/>
      <c r="Q8043" s="3391"/>
      <c r="R8043" s="3363"/>
    </row>
    <row r="8044" spans="1:18" s="22" customFormat="1" ht="26">
      <c r="A8044" s="2187"/>
      <c r="B8044" s="1599"/>
      <c r="C8044" s="1042"/>
      <c r="D8044" s="1359"/>
      <c r="E8044" s="1858"/>
      <c r="F8044" s="1360" t="s">
        <v>2</v>
      </c>
      <c r="G8044" s="1360"/>
      <c r="H8044" s="1362"/>
      <c r="I8044" s="1380"/>
      <c r="J8044" s="1381"/>
      <c r="K8044" s="1381"/>
      <c r="L8044" s="1458"/>
      <c r="M8044" s="1362"/>
      <c r="N8044" s="1362"/>
      <c r="O8044" s="1362"/>
      <c r="P8044" s="1359"/>
      <c r="Q8044" s="3403"/>
      <c r="R8044" s="2357"/>
    </row>
    <row r="8045" spans="1:18" s="22" customFormat="1" ht="26">
      <c r="A8045" s="2187"/>
      <c r="B8045" s="2053"/>
      <c r="C8045" s="1321"/>
      <c r="D8045" s="1655" t="s">
        <v>1099</v>
      </c>
      <c r="E8045" s="1859" t="s">
        <v>1508</v>
      </c>
      <c r="F8045" s="1655" t="s">
        <v>1633</v>
      </c>
      <c r="G8045" s="1994">
        <v>0.3</v>
      </c>
      <c r="H8045" s="1386"/>
      <c r="I8045" s="1299"/>
      <c r="J8045" s="1300"/>
      <c r="K8045" s="1307">
        <f>G8045*K8038</f>
        <v>3.0000000000000001E-3</v>
      </c>
      <c r="L8045" s="1335">
        <f>K8045*$K$7813</f>
        <v>0</v>
      </c>
      <c r="M8045" s="1302">
        <v>19.23</v>
      </c>
      <c r="N8045" s="1700"/>
      <c r="O8045" s="1290">
        <f>G8045*M8045</f>
        <v>5.7690000000000001</v>
      </c>
      <c r="P8045" s="1332">
        <f>M8045*K8045</f>
        <v>5.7690000000000005E-2</v>
      </c>
      <c r="Q8045" s="3402"/>
      <c r="R8045" s="2357"/>
    </row>
    <row r="8046" spans="1:18" s="22" customFormat="1">
      <c r="A8046"/>
      <c r="B8046" s="1042"/>
      <c r="C8046" s="19"/>
      <c r="D8046" s="1430"/>
      <c r="E8046" s="1857"/>
      <c r="F8046" s="1403"/>
      <c r="G8046" s="1991"/>
      <c r="H8046" s="1408"/>
      <c r="I8046" s="1286"/>
      <c r="J8046" s="198"/>
      <c r="K8046" s="1307"/>
      <c r="L8046" s="1335"/>
      <c r="M8046" s="1302"/>
      <c r="N8046" s="1718"/>
      <c r="O8046" s="1290"/>
      <c r="P8046" s="1720"/>
      <c r="Q8046" s="3396"/>
      <c r="R8046" s="2337"/>
    </row>
    <row r="8047" spans="1:18" s="22" customFormat="1">
      <c r="B8047" s="1320"/>
      <c r="C8047" s="16"/>
      <c r="D8047" s="1359"/>
      <c r="E8047" s="1858"/>
      <c r="F8047" s="1474"/>
      <c r="G8047" s="1474"/>
      <c r="H8047" s="1466"/>
      <c r="I8047" s="1289"/>
      <c r="J8047" s="8"/>
      <c r="K8047" s="1307"/>
      <c r="L8047" s="1335"/>
      <c r="M8047" s="1302"/>
      <c r="N8047" s="1700"/>
      <c r="O8047" s="1290"/>
      <c r="P8047" s="1332"/>
      <c r="Q8047" s="3391"/>
      <c r="R8047" s="2344"/>
    </row>
    <row r="8048" spans="1:18" s="22" customFormat="1">
      <c r="A8048" s="1320"/>
      <c r="B8048" s="1599"/>
      <c r="C8048" s="1320"/>
      <c r="D8048" s="1373"/>
      <c r="E8048" s="2123"/>
      <c r="F8048" s="1374" t="s">
        <v>3</v>
      </c>
      <c r="G8048" s="1375"/>
      <c r="H8048" s="1376"/>
      <c r="I8048" s="1382"/>
      <c r="J8048" s="1383"/>
      <c r="K8048" s="1383"/>
      <c r="L8048" s="1413"/>
      <c r="M8048" s="1376"/>
      <c r="N8048" s="1376"/>
      <c r="O8048" s="1376"/>
      <c r="P8048" s="1373"/>
      <c r="Q8048" s="3403"/>
      <c r="R8048" s="2356"/>
    </row>
    <row r="8049" spans="1:18" s="22" customFormat="1">
      <c r="A8049" s="1321"/>
      <c r="B8049" s="2053"/>
      <c r="C8049" s="1321"/>
      <c r="D8049" s="1827"/>
      <c r="E8049" s="2173"/>
      <c r="F8049" s="1827"/>
      <c r="G8049" s="1828"/>
      <c r="H8049" s="1379"/>
      <c r="I8049" s="1299"/>
      <c r="J8049" s="1300"/>
      <c r="K8049" s="1307"/>
      <c r="L8049" s="1335"/>
      <c r="M8049" s="1302"/>
      <c r="N8049" s="1700"/>
      <c r="O8049" s="1290"/>
      <c r="P8049" s="1332"/>
      <c r="Q8049" s="3402"/>
      <c r="R8049" s="2053"/>
    </row>
    <row r="8050" spans="1:18" s="22" customFormat="1">
      <c r="A8050" s="1321"/>
      <c r="B8050" s="2053"/>
      <c r="C8050" s="1321"/>
      <c r="D8050" s="1377"/>
      <c r="E8050" s="2124"/>
      <c r="F8050" s="1378"/>
      <c r="G8050" s="1378"/>
      <c r="H8050" s="1379"/>
      <c r="I8050" s="1299"/>
      <c r="J8050" s="1300"/>
      <c r="K8050" s="1307"/>
      <c r="L8050" s="1335"/>
      <c r="M8050" s="1302"/>
      <c r="N8050" s="1700"/>
      <c r="O8050" s="1290"/>
      <c r="P8050" s="1333"/>
      <c r="Q8050" s="3402"/>
      <c r="R8050" s="2053"/>
    </row>
    <row r="8051" spans="1:18" s="22" customFormat="1">
      <c r="A8051" s="1320"/>
      <c r="B8051" s="1765"/>
      <c r="C8051" s="223"/>
      <c r="D8051" s="1373"/>
      <c r="E8051" s="2161"/>
      <c r="F8051" s="1678"/>
      <c r="G8051" s="1678"/>
      <c r="H8051" s="1376"/>
      <c r="I8051" s="1299"/>
      <c r="J8051" s="1300"/>
      <c r="K8051" s="1307"/>
      <c r="L8051" s="1335"/>
      <c r="M8051" s="1302"/>
      <c r="N8051" s="1700"/>
      <c r="O8051" s="1290"/>
      <c r="P8051" s="1332"/>
      <c r="Q8051" s="3402"/>
      <c r="R8051" s="2356"/>
    </row>
    <row r="8052" spans="1:18" s="22" customFormat="1">
      <c r="A8052" s="18" t="s">
        <v>3764</v>
      </c>
      <c r="B8052" s="4325" t="s">
        <v>2427</v>
      </c>
      <c r="C8052" s="3350"/>
      <c r="D8052" s="4327"/>
      <c r="E8052" s="4329" t="s">
        <v>1504</v>
      </c>
      <c r="F8052" s="4336" t="s">
        <v>2428</v>
      </c>
      <c r="G8052" s="4331" t="s">
        <v>1568</v>
      </c>
      <c r="H8052" s="4331" t="s">
        <v>1574</v>
      </c>
      <c r="I8052" s="1572" t="s">
        <v>1559</v>
      </c>
      <c r="J8052" s="1294" t="s">
        <v>1560</v>
      </c>
      <c r="K8052" s="1294" t="s">
        <v>1569</v>
      </c>
      <c r="L8052" s="4333" t="s">
        <v>3765</v>
      </c>
      <c r="M8052" s="4335" t="s">
        <v>1571</v>
      </c>
      <c r="N8052" s="4323" t="s">
        <v>1776</v>
      </c>
      <c r="O8052" s="3347" t="s">
        <v>1563</v>
      </c>
      <c r="P8052" s="1336" t="s">
        <v>1562</v>
      </c>
      <c r="Q8052" s="3389"/>
      <c r="R8052" s="1699" t="s">
        <v>1327</v>
      </c>
    </row>
    <row r="8053" spans="1:18" s="22" customFormat="1">
      <c r="A8053" s="1599" t="s">
        <v>2403</v>
      </c>
      <c r="B8053" s="4326"/>
      <c r="C8053" s="3351"/>
      <c r="D8053" s="4328"/>
      <c r="E8053" s="4330"/>
      <c r="F8053" s="4336"/>
      <c r="G8053" s="4332"/>
      <c r="H8053" s="4332"/>
      <c r="I8053" s="1345">
        <v>2</v>
      </c>
      <c r="J8053" s="1307">
        <v>5.0000000000000001E-3</v>
      </c>
      <c r="K8053" s="1666">
        <f>I8053*J8053</f>
        <v>0.01</v>
      </c>
      <c r="L8053" s="4334"/>
      <c r="M8053" s="4335"/>
      <c r="N8053" s="4324"/>
      <c r="O8053" s="1298">
        <f>SUM(O8055:O8060)</f>
        <v>13.119</v>
      </c>
      <c r="P8053" s="1337">
        <f>O8053*K8053</f>
        <v>0.13119</v>
      </c>
      <c r="Q8053" s="3390"/>
      <c r="R8053" s="1721">
        <f>SUM(P8055:P8060)</f>
        <v>0.13119</v>
      </c>
    </row>
    <row r="8054" spans="1:18" s="22" customFormat="1" ht="17.25" customHeight="1">
      <c r="A8054" s="1320"/>
      <c r="B8054" s="1949"/>
      <c r="C8054" s="1327"/>
      <c r="D8054" s="1367"/>
      <c r="E8054" s="2121"/>
      <c r="F8054" s="1389" t="s">
        <v>1</v>
      </c>
      <c r="G8054" s="1389"/>
      <c r="H8054" s="1369"/>
      <c r="I8054" s="2088"/>
      <c r="J8054" s="1369"/>
      <c r="K8054" s="1391"/>
      <c r="L8054" s="1559"/>
      <c r="M8054" s="1369"/>
      <c r="N8054" s="1369"/>
      <c r="O8054" s="1369"/>
      <c r="P8054" s="1392"/>
      <c r="Q8054" s="3395"/>
      <c r="R8054" s="2344"/>
    </row>
    <row r="8055" spans="1:18" s="22" customFormat="1">
      <c r="A8055" s="1320"/>
      <c r="B8055" s="1599"/>
      <c r="C8055" s="1320"/>
      <c r="D8055" s="1598" t="s">
        <v>2429</v>
      </c>
      <c r="E8055" s="2154" t="s">
        <v>1504</v>
      </c>
      <c r="F8055" s="1598" t="s">
        <v>2430</v>
      </c>
      <c r="G8055" s="1995">
        <v>1</v>
      </c>
      <c r="H8055" s="1369"/>
      <c r="I8055" s="1299"/>
      <c r="J8055" s="1300"/>
      <c r="K8055" s="1307">
        <f>G8055*K8053</f>
        <v>0.01</v>
      </c>
      <c r="L8055" s="1335">
        <f t="shared" ref="L8055:L8056" si="1090">K8055*$K$7813</f>
        <v>0</v>
      </c>
      <c r="M8055" s="1302">
        <v>7.05</v>
      </c>
      <c r="N8055" s="1700"/>
      <c r="O8055" s="1290">
        <f>G8055*M8055</f>
        <v>7.05</v>
      </c>
      <c r="P8055" s="1332">
        <f>M8055*K8055</f>
        <v>7.0499999999999993E-2</v>
      </c>
      <c r="Q8055" s="3402"/>
      <c r="R8055" s="2356"/>
    </row>
    <row r="8056" spans="1:18" s="22" customFormat="1" ht="26">
      <c r="A8056" s="2187"/>
      <c r="B8056" s="1599"/>
      <c r="C8056" s="1042"/>
      <c r="D8056" s="1598" t="s">
        <v>1082</v>
      </c>
      <c r="E8056" s="2154" t="s">
        <v>1504</v>
      </c>
      <c r="F8056" s="1598" t="s">
        <v>1541</v>
      </c>
      <c r="G8056" s="1995">
        <v>1</v>
      </c>
      <c r="H8056" s="1369"/>
      <c r="I8056" s="1299"/>
      <c r="J8056" s="1300"/>
      <c r="K8056" s="1307">
        <f>G8056*K8053</f>
        <v>0.01</v>
      </c>
      <c r="L8056" s="1335">
        <f t="shared" si="1090"/>
        <v>0</v>
      </c>
      <c r="M8056" s="1499">
        <v>0.3</v>
      </c>
      <c r="N8056" s="1700"/>
      <c r="O8056" s="1290">
        <f>G8056*M8056</f>
        <v>0.3</v>
      </c>
      <c r="P8056" s="1332">
        <f>M8056*K8056</f>
        <v>3.0000000000000001E-3</v>
      </c>
      <c r="Q8056" s="3402"/>
      <c r="R8056" s="2357"/>
    </row>
    <row r="8057" spans="1:18" s="22" customFormat="1" ht="18" customHeight="1">
      <c r="A8057" s="2187"/>
      <c r="B8057" s="1599"/>
      <c r="C8057" s="1042"/>
      <c r="D8057" s="1598"/>
      <c r="E8057" s="2154"/>
      <c r="F8057" s="1598"/>
      <c r="G8057" s="1995"/>
      <c r="H8057" s="1369"/>
      <c r="I8057" s="1299"/>
      <c r="J8057" s="1300"/>
      <c r="K8057" s="1307"/>
      <c r="L8057" s="1335"/>
      <c r="M8057" s="1499"/>
      <c r="N8057" s="1700"/>
      <c r="O8057" s="1290"/>
      <c r="P8057" s="1332"/>
      <c r="Q8057" s="3402"/>
      <c r="R8057" s="2357"/>
    </row>
    <row r="8058" spans="1:18" s="22" customFormat="1" ht="19.5" customHeight="1">
      <c r="A8058" s="16"/>
      <c r="B8058" s="1599"/>
      <c r="C8058" s="1320"/>
      <c r="D8058" s="1598"/>
      <c r="E8058" s="1856"/>
      <c r="F8058" s="1598"/>
      <c r="G8058" s="1399"/>
      <c r="H8058" s="1399"/>
      <c r="I8058" s="198"/>
      <c r="J8058" s="198"/>
      <c r="K8058" s="1307"/>
      <c r="L8058" s="1335"/>
      <c r="M8058" s="1499"/>
      <c r="N8058" s="1701"/>
      <c r="O8058" s="1291"/>
      <c r="P8058" s="1332"/>
      <c r="Q8058" s="3391"/>
      <c r="R8058" s="3363"/>
    </row>
    <row r="8059" spans="1:18" s="22" customFormat="1" ht="19.5" customHeight="1">
      <c r="A8059" s="2187"/>
      <c r="B8059" s="1599"/>
      <c r="C8059" s="1042"/>
      <c r="D8059" s="1359"/>
      <c r="E8059" s="1858"/>
      <c r="F8059" s="1360" t="s">
        <v>2</v>
      </c>
      <c r="G8059" s="1360"/>
      <c r="H8059" s="1362"/>
      <c r="I8059" s="1380"/>
      <c r="J8059" s="1381"/>
      <c r="K8059" s="1381"/>
      <c r="L8059" s="1458"/>
      <c r="M8059" s="1362"/>
      <c r="N8059" s="1362"/>
      <c r="O8059" s="1362"/>
      <c r="P8059" s="1359"/>
      <c r="Q8059" s="3403"/>
      <c r="R8059" s="2357"/>
    </row>
    <row r="8060" spans="1:18" s="22" customFormat="1" ht="26">
      <c r="A8060" s="2187"/>
      <c r="B8060" s="2053"/>
      <c r="C8060" s="1321"/>
      <c r="D8060" s="1655" t="s">
        <v>1099</v>
      </c>
      <c r="E8060" s="1859" t="s">
        <v>1508</v>
      </c>
      <c r="F8060" s="1655" t="s">
        <v>1633</v>
      </c>
      <c r="G8060" s="1994">
        <v>0.3</v>
      </c>
      <c r="H8060" s="1386"/>
      <c r="I8060" s="1299"/>
      <c r="J8060" s="1300"/>
      <c r="K8060" s="1307">
        <f>G8060*K8053</f>
        <v>3.0000000000000001E-3</v>
      </c>
      <c r="L8060" s="1335">
        <f>K8060*$K$7813</f>
        <v>0</v>
      </c>
      <c r="M8060" s="1302">
        <v>19.23</v>
      </c>
      <c r="N8060" s="1700"/>
      <c r="O8060" s="1290">
        <f>G8060*M8060</f>
        <v>5.7690000000000001</v>
      </c>
      <c r="P8060" s="1332">
        <f>M8060*K8060</f>
        <v>5.7690000000000005E-2</v>
      </c>
      <c r="Q8060" s="3402"/>
      <c r="R8060" s="2357"/>
    </row>
    <row r="8061" spans="1:18" s="22" customFormat="1">
      <c r="A8061"/>
      <c r="B8061" s="1042"/>
      <c r="C8061" s="19"/>
      <c r="D8061" s="1430"/>
      <c r="E8061" s="1857"/>
      <c r="F8061" s="1403"/>
      <c r="G8061" s="1991"/>
      <c r="H8061" s="1408"/>
      <c r="I8061" s="1286"/>
      <c r="J8061" s="198"/>
      <c r="K8061" s="1307"/>
      <c r="L8061" s="1335"/>
      <c r="M8061" s="1302"/>
      <c r="N8061" s="1718"/>
      <c r="O8061" s="1290"/>
      <c r="P8061" s="1720"/>
      <c r="Q8061" s="3396"/>
      <c r="R8061" s="2337"/>
    </row>
    <row r="8062" spans="1:18" s="22" customFormat="1">
      <c r="B8062" s="1320"/>
      <c r="C8062" s="16"/>
      <c r="D8062" s="1359"/>
      <c r="E8062" s="1858"/>
      <c r="F8062" s="1474"/>
      <c r="G8062" s="1474"/>
      <c r="H8062" s="1466"/>
      <c r="I8062" s="1289"/>
      <c r="J8062" s="8"/>
      <c r="K8062" s="1307"/>
      <c r="L8062" s="1335"/>
      <c r="M8062" s="1302"/>
      <c r="N8062" s="1700"/>
      <c r="O8062" s="1290"/>
      <c r="P8062" s="1332"/>
      <c r="Q8062" s="3391"/>
      <c r="R8062" s="2344"/>
    </row>
    <row r="8063" spans="1:18" s="22" customFormat="1">
      <c r="A8063" s="1320"/>
      <c r="B8063" s="1599"/>
      <c r="C8063" s="1320"/>
      <c r="D8063" s="1373"/>
      <c r="E8063" s="2123"/>
      <c r="F8063" s="1374" t="s">
        <v>3</v>
      </c>
      <c r="G8063" s="1375"/>
      <c r="H8063" s="1376"/>
      <c r="I8063" s="1382"/>
      <c r="J8063" s="1383"/>
      <c r="K8063" s="1383"/>
      <c r="L8063" s="1413"/>
      <c r="M8063" s="1376"/>
      <c r="N8063" s="1376"/>
      <c r="O8063" s="1376"/>
      <c r="P8063" s="1373"/>
      <c r="Q8063" s="3403"/>
      <c r="R8063" s="2356"/>
    </row>
    <row r="8064" spans="1:18" s="22" customFormat="1">
      <c r="A8064" s="1321"/>
      <c r="B8064" s="2053"/>
      <c r="C8064" s="1321"/>
      <c r="D8064" s="1827"/>
      <c r="E8064" s="2173"/>
      <c r="F8064" s="1827"/>
      <c r="G8064" s="1828"/>
      <c r="H8064" s="1379"/>
      <c r="I8064" s="1299"/>
      <c r="J8064" s="1300"/>
      <c r="K8064" s="1307"/>
      <c r="L8064" s="1335"/>
      <c r="M8064" s="1302"/>
      <c r="N8064" s="1700"/>
      <c r="O8064" s="1290"/>
      <c r="P8064" s="1332"/>
      <c r="Q8064" s="3402"/>
      <c r="R8064" s="2053"/>
    </row>
    <row r="8065" spans="1:18" s="22" customFormat="1">
      <c r="A8065" s="1321"/>
      <c r="B8065" s="2053"/>
      <c r="C8065" s="1321"/>
      <c r="D8065" s="1377"/>
      <c r="E8065" s="2124"/>
      <c r="F8065" s="1378"/>
      <c r="G8065" s="1378"/>
      <c r="H8065" s="1379"/>
      <c r="I8065" s="1299"/>
      <c r="J8065" s="1300"/>
      <c r="K8065" s="1307"/>
      <c r="L8065" s="1335"/>
      <c r="M8065" s="1302"/>
      <c r="N8065" s="1700"/>
      <c r="O8065" s="1290"/>
      <c r="P8065" s="1333"/>
      <c r="Q8065" s="3402"/>
      <c r="R8065" s="2053"/>
    </row>
    <row r="8066" spans="1:18" s="22" customFormat="1">
      <c r="A8066" s="1320"/>
      <c r="B8066" s="1765"/>
      <c r="C8066" s="223"/>
      <c r="D8066" s="1373"/>
      <c r="E8066" s="2161"/>
      <c r="F8066" s="1678"/>
      <c r="G8066" s="1678"/>
      <c r="H8066" s="1376"/>
      <c r="I8066" s="1299"/>
      <c r="J8066" s="1300"/>
      <c r="K8066" s="1307"/>
      <c r="L8066" s="1335"/>
      <c r="M8066" s="1302"/>
      <c r="N8066" s="1700"/>
      <c r="O8066" s="1290"/>
      <c r="P8066" s="1332"/>
      <c r="Q8066" s="3402"/>
      <c r="R8066" s="2356"/>
    </row>
    <row r="8067" spans="1:18" s="22" customFormat="1">
      <c r="A8067" s="18" t="s">
        <v>3764</v>
      </c>
      <c r="B8067" s="4325" t="s">
        <v>2319</v>
      </c>
      <c r="C8067" s="3350"/>
      <c r="D8067" s="4327"/>
      <c r="E8067" s="4329" t="s">
        <v>1504</v>
      </c>
      <c r="F8067" s="4336" t="s">
        <v>2431</v>
      </c>
      <c r="G8067" s="4331" t="s">
        <v>1568</v>
      </c>
      <c r="H8067" s="4331" t="s">
        <v>1574</v>
      </c>
      <c r="I8067" s="1572" t="s">
        <v>1559</v>
      </c>
      <c r="J8067" s="1294" t="s">
        <v>1560</v>
      </c>
      <c r="K8067" s="1294" t="s">
        <v>1569</v>
      </c>
      <c r="L8067" s="4333" t="s">
        <v>3765</v>
      </c>
      <c r="M8067" s="4335" t="s">
        <v>1571</v>
      </c>
      <c r="N8067" s="4323" t="s">
        <v>1776</v>
      </c>
      <c r="O8067" s="3347" t="s">
        <v>1563</v>
      </c>
      <c r="P8067" s="1336" t="s">
        <v>1562</v>
      </c>
      <c r="Q8067" s="3389"/>
      <c r="R8067" s="1699" t="s">
        <v>1327</v>
      </c>
    </row>
    <row r="8068" spans="1:18" s="22" customFormat="1">
      <c r="A8068" s="1599" t="s">
        <v>2403</v>
      </c>
      <c r="B8068" s="4326"/>
      <c r="C8068" s="3351"/>
      <c r="D8068" s="4328"/>
      <c r="E8068" s="4330"/>
      <c r="F8068" s="4336"/>
      <c r="G8068" s="4332"/>
      <c r="H8068" s="4332"/>
      <c r="I8068" s="1345">
        <v>2</v>
      </c>
      <c r="J8068" s="1307">
        <v>5.0000000000000001E-3</v>
      </c>
      <c r="K8068" s="1666">
        <f>I8068*J8068</f>
        <v>0.01</v>
      </c>
      <c r="L8068" s="4334"/>
      <c r="M8068" s="4335"/>
      <c r="N8068" s="4324"/>
      <c r="O8068" s="1298">
        <f>SUM(O8070:O8075)</f>
        <v>19.610500000000002</v>
      </c>
      <c r="P8068" s="1337">
        <f>O8068*K8068</f>
        <v>0.19610500000000003</v>
      </c>
      <c r="Q8068" s="3390"/>
      <c r="R8068" s="1721">
        <f>SUM(P8070:P8075)</f>
        <v>0.19610499999999997</v>
      </c>
    </row>
    <row r="8069" spans="1:18" s="22" customFormat="1">
      <c r="A8069" s="1320"/>
      <c r="B8069" s="1949"/>
      <c r="C8069" s="1327"/>
      <c r="D8069" s="1367"/>
      <c r="E8069" s="2121"/>
      <c r="F8069" s="1389" t="s">
        <v>1</v>
      </c>
      <c r="G8069" s="1389"/>
      <c r="H8069" s="1369"/>
      <c r="I8069" s="2088"/>
      <c r="J8069" s="1369"/>
      <c r="K8069" s="1391"/>
      <c r="L8069" s="1559"/>
      <c r="M8069" s="1369"/>
      <c r="N8069" s="1369"/>
      <c r="O8069" s="1369"/>
      <c r="P8069" s="1392"/>
      <c r="Q8069" s="3395"/>
      <c r="R8069" s="2344"/>
    </row>
    <row r="8070" spans="1:18" s="22" customFormat="1" ht="21.75" customHeight="1">
      <c r="A8070" s="1320"/>
      <c r="B8070" s="1599"/>
      <c r="C8070" s="1320"/>
      <c r="D8070" s="1598" t="s">
        <v>2432</v>
      </c>
      <c r="E8070" s="2154" t="s">
        <v>1504</v>
      </c>
      <c r="F8070" s="1598" t="s">
        <v>2433</v>
      </c>
      <c r="G8070" s="1995">
        <v>1</v>
      </c>
      <c r="H8070" s="1369"/>
      <c r="I8070" s="1299"/>
      <c r="J8070" s="1300"/>
      <c r="K8070" s="1307">
        <f>G8070*K8068</f>
        <v>0.01</v>
      </c>
      <c r="L8070" s="1335">
        <f t="shared" ref="L8070:L8071" si="1091">K8070*$K$7813</f>
        <v>0</v>
      </c>
      <c r="M8070" s="1302">
        <v>12.58</v>
      </c>
      <c r="N8070" s="1700"/>
      <c r="O8070" s="1290">
        <f>G8070*M8070</f>
        <v>12.58</v>
      </c>
      <c r="P8070" s="1332">
        <f>M8070*K8070</f>
        <v>0.1258</v>
      </c>
      <c r="Q8070" s="3402"/>
      <c r="R8070" s="2356"/>
    </row>
    <row r="8071" spans="1:18" s="22" customFormat="1" ht="20.25" customHeight="1">
      <c r="A8071" s="2187"/>
      <c r="B8071" s="1599"/>
      <c r="C8071" s="1042"/>
      <c r="D8071" s="1598" t="s">
        <v>1082</v>
      </c>
      <c r="E8071" s="2154" t="s">
        <v>1504</v>
      </c>
      <c r="F8071" s="1598" t="s">
        <v>1541</v>
      </c>
      <c r="G8071" s="1995">
        <v>1</v>
      </c>
      <c r="H8071" s="1369"/>
      <c r="I8071" s="1299"/>
      <c r="J8071" s="1300"/>
      <c r="K8071" s="1307">
        <f>G8071*K8068</f>
        <v>0.01</v>
      </c>
      <c r="L8071" s="1335">
        <f t="shared" si="1091"/>
        <v>0</v>
      </c>
      <c r="M8071" s="1499">
        <v>0.3</v>
      </c>
      <c r="N8071" s="1700"/>
      <c r="O8071" s="1290">
        <f>G8071*M8071</f>
        <v>0.3</v>
      </c>
      <c r="P8071" s="1332">
        <f>M8071*K8071</f>
        <v>3.0000000000000001E-3</v>
      </c>
      <c r="Q8071" s="3402"/>
      <c r="R8071" s="2357"/>
    </row>
    <row r="8072" spans="1:18" s="22" customFormat="1" ht="19.5" customHeight="1">
      <c r="A8072" s="2187"/>
      <c r="B8072" s="1599"/>
      <c r="C8072" s="1042"/>
      <c r="D8072" s="1598"/>
      <c r="E8072" s="2154"/>
      <c r="F8072" s="1598"/>
      <c r="G8072" s="1995"/>
      <c r="H8072" s="1369"/>
      <c r="I8072" s="1299"/>
      <c r="J8072" s="1300"/>
      <c r="K8072" s="1307"/>
      <c r="L8072" s="1335"/>
      <c r="M8072" s="1499"/>
      <c r="N8072" s="1700"/>
      <c r="O8072" s="1290"/>
      <c r="P8072" s="1332"/>
      <c r="Q8072" s="3402"/>
      <c r="R8072" s="2357"/>
    </row>
    <row r="8073" spans="1:18" s="22" customFormat="1">
      <c r="A8073" s="16"/>
      <c r="B8073" s="1599"/>
      <c r="C8073" s="1320"/>
      <c r="D8073" s="1598"/>
      <c r="E8073" s="1856"/>
      <c r="F8073" s="1598"/>
      <c r="G8073" s="1399"/>
      <c r="H8073" s="1399"/>
      <c r="I8073" s="198"/>
      <c r="J8073" s="198"/>
      <c r="K8073" s="1307"/>
      <c r="L8073" s="1335"/>
      <c r="M8073" s="1499"/>
      <c r="N8073" s="1701"/>
      <c r="O8073" s="1291"/>
      <c r="P8073" s="1332"/>
      <c r="Q8073" s="3391"/>
      <c r="R8073" s="3363"/>
    </row>
    <row r="8074" spans="1:18" s="22" customFormat="1" ht="26">
      <c r="A8074" s="2187"/>
      <c r="B8074" s="1599"/>
      <c r="C8074" s="1042"/>
      <c r="D8074" s="1359"/>
      <c r="E8074" s="1858"/>
      <c r="F8074" s="1360" t="s">
        <v>2</v>
      </c>
      <c r="G8074" s="1360"/>
      <c r="H8074" s="1362"/>
      <c r="I8074" s="1380"/>
      <c r="J8074" s="1381"/>
      <c r="K8074" s="1381"/>
      <c r="L8074" s="1458"/>
      <c r="M8074" s="1362"/>
      <c r="N8074" s="1362"/>
      <c r="O8074" s="1362"/>
      <c r="P8074" s="1359"/>
      <c r="Q8074" s="3403"/>
      <c r="R8074" s="2357"/>
    </row>
    <row r="8075" spans="1:18" s="22" customFormat="1" ht="26">
      <c r="A8075" s="2187"/>
      <c r="B8075" s="2053"/>
      <c r="C8075" s="1321"/>
      <c r="D8075" s="1655" t="s">
        <v>1099</v>
      </c>
      <c r="E8075" s="1859" t="s">
        <v>1508</v>
      </c>
      <c r="F8075" s="1655" t="s">
        <v>1633</v>
      </c>
      <c r="G8075" s="1994">
        <v>0.35</v>
      </c>
      <c r="H8075" s="1386"/>
      <c r="I8075" s="1299"/>
      <c r="J8075" s="1300"/>
      <c r="K8075" s="1307">
        <f>G8075*K8068</f>
        <v>3.4999999999999996E-3</v>
      </c>
      <c r="L8075" s="1335">
        <f>K8075*$K$7813</f>
        <v>0</v>
      </c>
      <c r="M8075" s="1302">
        <v>19.23</v>
      </c>
      <c r="N8075" s="1700"/>
      <c r="O8075" s="1290">
        <f>G8075*M8075</f>
        <v>6.7305000000000001</v>
      </c>
      <c r="P8075" s="1332">
        <f>M8075*K8075</f>
        <v>6.730499999999999E-2</v>
      </c>
      <c r="Q8075" s="3402"/>
      <c r="R8075" s="2357"/>
    </row>
    <row r="8076" spans="1:18" s="22" customFormat="1">
      <c r="A8076"/>
      <c r="B8076" s="1042"/>
      <c r="C8076" s="19"/>
      <c r="D8076" s="1430"/>
      <c r="E8076" s="1857"/>
      <c r="F8076" s="1403"/>
      <c r="G8076" s="1991"/>
      <c r="H8076" s="1408"/>
      <c r="I8076" s="1286"/>
      <c r="J8076" s="198"/>
      <c r="K8076" s="1307"/>
      <c r="L8076" s="1335"/>
      <c r="M8076" s="1302"/>
      <c r="N8076" s="1718"/>
      <c r="O8076" s="1290"/>
      <c r="P8076" s="1720"/>
      <c r="Q8076" s="3396"/>
      <c r="R8076" s="2337"/>
    </row>
    <row r="8077" spans="1:18" s="22" customFormat="1">
      <c r="B8077" s="1320"/>
      <c r="C8077" s="16"/>
      <c r="D8077" s="1359"/>
      <c r="E8077" s="1858"/>
      <c r="F8077" s="1474"/>
      <c r="G8077" s="1474"/>
      <c r="H8077" s="1466"/>
      <c r="I8077" s="1289"/>
      <c r="J8077" s="8"/>
      <c r="K8077" s="1307"/>
      <c r="L8077" s="1335"/>
      <c r="M8077" s="1302"/>
      <c r="N8077" s="1700"/>
      <c r="O8077" s="1290"/>
      <c r="P8077" s="1332"/>
      <c r="Q8077" s="3391"/>
      <c r="R8077" s="2344"/>
    </row>
    <row r="8078" spans="1:18" s="22" customFormat="1">
      <c r="A8078" s="1320"/>
      <c r="B8078" s="1599"/>
      <c r="C8078" s="1320"/>
      <c r="D8078" s="1373"/>
      <c r="E8078" s="2123"/>
      <c r="F8078" s="1374" t="s">
        <v>3</v>
      </c>
      <c r="G8078" s="1375"/>
      <c r="H8078" s="1376"/>
      <c r="I8078" s="1382"/>
      <c r="J8078" s="1383"/>
      <c r="K8078" s="1383"/>
      <c r="L8078" s="1413"/>
      <c r="M8078" s="1376"/>
      <c r="N8078" s="1376"/>
      <c r="O8078" s="1376"/>
      <c r="P8078" s="1373"/>
      <c r="Q8078" s="3403"/>
      <c r="R8078" s="2356"/>
    </row>
    <row r="8079" spans="1:18" s="22" customFormat="1">
      <c r="A8079" s="1321"/>
      <c r="B8079" s="2053"/>
      <c r="C8079" s="1321"/>
      <c r="D8079" s="1827"/>
      <c r="E8079" s="2173"/>
      <c r="F8079" s="1827"/>
      <c r="G8079" s="1828"/>
      <c r="H8079" s="1379"/>
      <c r="I8079" s="1299"/>
      <c r="J8079" s="1300"/>
      <c r="K8079" s="1307"/>
      <c r="L8079" s="1335"/>
      <c r="M8079" s="1302"/>
      <c r="N8079" s="1700"/>
      <c r="O8079" s="1290"/>
      <c r="P8079" s="1332"/>
      <c r="Q8079" s="3402"/>
      <c r="R8079" s="2053"/>
    </row>
    <row r="8080" spans="1:18" s="22" customFormat="1">
      <c r="A8080" s="1321"/>
      <c r="B8080" s="2053"/>
      <c r="C8080" s="1321"/>
      <c r="D8080" s="1377"/>
      <c r="E8080" s="2124"/>
      <c r="F8080" s="1378"/>
      <c r="G8080" s="1378"/>
      <c r="H8080" s="1379"/>
      <c r="I8080" s="1299"/>
      <c r="J8080" s="1300"/>
      <c r="K8080" s="1307"/>
      <c r="L8080" s="1335"/>
      <c r="M8080" s="1302"/>
      <c r="N8080" s="1700"/>
      <c r="O8080" s="1290"/>
      <c r="P8080" s="1333"/>
      <c r="Q8080" s="3402"/>
      <c r="R8080" s="2053"/>
    </row>
    <row r="8081" spans="1:25" s="22" customFormat="1">
      <c r="A8081" s="1320"/>
      <c r="B8081" s="1765"/>
      <c r="C8081" s="223"/>
      <c r="D8081" s="4065"/>
      <c r="E8081" s="3943"/>
      <c r="F8081" s="3979"/>
      <c r="G8081" s="3979"/>
      <c r="H8081" s="3945"/>
      <c r="I8081" s="1299"/>
      <c r="J8081" s="3939"/>
      <c r="K8081" s="1307"/>
      <c r="L8081" s="1335"/>
      <c r="M8081" s="3918"/>
      <c r="N8081" s="1700"/>
      <c r="O8081" s="1290"/>
      <c r="P8081" s="3919"/>
      <c r="Q8081" s="3402"/>
      <c r="R8081" s="2356"/>
    </row>
    <row r="8082" spans="1:25" s="16" customFormat="1" ht="15" thickBot="1">
      <c r="E8082" s="2182"/>
      <c r="F8082" s="2080"/>
      <c r="G8082" s="2080"/>
      <c r="H8082" s="13"/>
      <c r="I8082" s="1561"/>
      <c r="J8082" s="13"/>
      <c r="K8082" s="1639"/>
      <c r="L8082" s="1640"/>
      <c r="M8082" s="1292"/>
      <c r="N8082" s="1292"/>
      <c r="O8082" s="1292"/>
      <c r="P8082" s="1292"/>
      <c r="Q8082" s="3391"/>
      <c r="R8082" s="4156"/>
    </row>
    <row r="8083" spans="1:25" s="22" customFormat="1" ht="34.5" customHeight="1">
      <c r="A8083" s="4374" t="s">
        <v>3877</v>
      </c>
      <c r="B8083" s="4375"/>
      <c r="C8083" s="4375"/>
      <c r="D8083" s="4376"/>
      <c r="E8083" s="4380" t="s">
        <v>1527</v>
      </c>
      <c r="F8083" s="4382" t="s">
        <v>3878</v>
      </c>
      <c r="G8083" s="4415" t="s">
        <v>294</v>
      </c>
      <c r="H8083" s="4416"/>
      <c r="I8083" s="4166" t="s">
        <v>1565</v>
      </c>
      <c r="J8083" s="4167" t="s">
        <v>1575</v>
      </c>
      <c r="K8083" s="4415" t="s">
        <v>289</v>
      </c>
      <c r="L8083" s="4416"/>
      <c r="M8083" s="4385" t="s">
        <v>3349</v>
      </c>
      <c r="N8083" s="4385"/>
      <c r="O8083" s="4385"/>
      <c r="P8083" s="4409"/>
      <c r="Q8083" s="4244" t="s">
        <v>3966</v>
      </c>
      <c r="R8083" s="2339"/>
      <c r="S8083" s="4117" t="s">
        <v>3893</v>
      </c>
      <c r="T8083" s="1661"/>
      <c r="U8083" s="1661"/>
      <c r="V8083" s="1661"/>
      <c r="W8083" s="1661"/>
      <c r="X8083" s="1661"/>
      <c r="Y8083" s="1661"/>
    </row>
    <row r="8084" spans="1:25" s="22" customFormat="1" ht="21.75" customHeight="1" thickBot="1">
      <c r="A8084" s="4377"/>
      <c r="B8084" s="4378"/>
      <c r="C8084" s="4378"/>
      <c r="D8084" s="4379"/>
      <c r="E8084" s="4381"/>
      <c r="F8084" s="4383"/>
      <c r="G8084" s="4451">
        <f>IF('Seleccion proyecto HEREVEA02'!G59="Sustitución y reposición en cobre",'Seleccion proyecto HEREVEA02'!E59,0)</f>
        <v>0</v>
      </c>
      <c r="H8084" s="4452"/>
      <c r="I8084" s="4153">
        <f>IF('Seleccion proyecto HEREVEA02'!H59=0,0,IF('Seleccion proyecto HEREVEA02'!H59="1 a 30",0.3,IF('Seleccion proyecto HEREVEA02'!H59="31 a 60",0.6,IF('Seleccion proyecto HEREVEA02'!H59="61 a 100",1))))</f>
        <v>0</v>
      </c>
      <c r="J8084" s="1351">
        <f>'Seleccion proyecto HEREVEA02'!L8</f>
        <v>11100.968999999999</v>
      </c>
      <c r="K8084" s="4358">
        <f>G8084*I8084*J8084</f>
        <v>0</v>
      </c>
      <c r="L8084" s="4359"/>
      <c r="M8084" s="4360">
        <f>P8087+P8088+P8089+P8094+P8108+P8122+P8153+P8177+P8196+P8215+P8234+P8249+P8264+P8279+P8309+P8294</f>
        <v>23.279133651840002</v>
      </c>
      <c r="N8084" s="4361"/>
      <c r="O8084" s="4361"/>
      <c r="P8084" s="4362"/>
      <c r="Q8084" s="4245">
        <f>M8084*K8084</f>
        <v>0</v>
      </c>
      <c r="R8084" s="2339"/>
      <c r="S8084" s="4117" t="s">
        <v>3892</v>
      </c>
      <c r="T8084" s="1661"/>
      <c r="U8084" s="1661"/>
      <c r="V8084" s="1661"/>
      <c r="W8084" s="1661"/>
      <c r="X8084" s="1661"/>
      <c r="Y8084" s="1661"/>
    </row>
    <row r="8085" spans="1:25" s="22" customFormat="1">
      <c r="A8085" s="553"/>
      <c r="B8085" s="4339"/>
      <c r="C8085" s="4155"/>
      <c r="D8085" s="4340"/>
      <c r="E8085" s="4342"/>
      <c r="F8085" s="4344" t="s">
        <v>2</v>
      </c>
      <c r="G8085" s="4346" t="s">
        <v>1568</v>
      </c>
      <c r="H8085" s="4348" t="s">
        <v>1574</v>
      </c>
      <c r="I8085" s="4350" t="s">
        <v>1559</v>
      </c>
      <c r="J8085" s="4351" t="s">
        <v>1560</v>
      </c>
      <c r="K8085" s="4351" t="s">
        <v>1569</v>
      </c>
      <c r="L8085" s="4333" t="s">
        <v>3765</v>
      </c>
      <c r="M8085" s="4352" t="s">
        <v>1571</v>
      </c>
      <c r="N8085" s="4353" t="s">
        <v>1776</v>
      </c>
      <c r="O8085" s="4354" t="s">
        <v>1563</v>
      </c>
      <c r="P8085" s="4356" t="s">
        <v>1562</v>
      </c>
      <c r="Q8085" s="3389"/>
      <c r="R8085" s="1699" t="s">
        <v>1327</v>
      </c>
      <c r="S8085" s="16"/>
    </row>
    <row r="8086" spans="1:25" s="22" customFormat="1">
      <c r="A8086" s="2083"/>
      <c r="B8086" s="4339"/>
      <c r="C8086" s="4155"/>
      <c r="D8086" s="4341"/>
      <c r="E8086" s="4343"/>
      <c r="F8086" s="4345"/>
      <c r="G8086" s="4347"/>
      <c r="H8086" s="4349"/>
      <c r="I8086" s="4350"/>
      <c r="J8086" s="4351"/>
      <c r="K8086" s="4351"/>
      <c r="L8086" s="4334"/>
      <c r="M8086" s="4352"/>
      <c r="N8086" s="4353"/>
      <c r="O8086" s="4355"/>
      <c r="P8086" s="4357"/>
      <c r="Q8086" s="3389"/>
      <c r="R8086" s="1721">
        <f>P8087+P8088+P8089</f>
        <v>1.9777824000000002</v>
      </c>
      <c r="S8086" s="16"/>
    </row>
    <row r="8087" spans="1:25" s="22" customFormat="1">
      <c r="A8087" s="2053"/>
      <c r="B8087" s="1321"/>
      <c r="C8087" s="1295"/>
      <c r="D8087" s="1363" t="s">
        <v>1067</v>
      </c>
      <c r="E8087" s="2125" t="s">
        <v>1508</v>
      </c>
      <c r="F8087" s="1385" t="s">
        <v>1512</v>
      </c>
      <c r="G8087" s="2019">
        <v>5.6000000000000001E-2</v>
      </c>
      <c r="H8087" s="2084"/>
      <c r="I8087" s="2085">
        <v>198</v>
      </c>
      <c r="J8087" s="1589">
        <v>5.0000000000000001E-3</v>
      </c>
      <c r="K8087" s="1307">
        <f>G8087*I8087*J8087</f>
        <v>5.5440000000000003E-2</v>
      </c>
      <c r="L8087" s="1335">
        <f>K8087*$K$8084</f>
        <v>0</v>
      </c>
      <c r="M8087" s="1302">
        <v>18.28</v>
      </c>
      <c r="N8087" s="1700"/>
      <c r="O8087" s="1290">
        <f>G8087*M8087</f>
        <v>1.0236800000000001</v>
      </c>
      <c r="P8087" s="1337">
        <f>M8087*K8087</f>
        <v>1.0134432000000002</v>
      </c>
      <c r="Q8087" s="3390"/>
      <c r="R8087" s="2339"/>
      <c r="S8087" s="16"/>
    </row>
    <row r="8088" spans="1:25" s="22" customFormat="1">
      <c r="A8088" s="1599"/>
      <c r="B8088" s="1320"/>
      <c r="C8088" s="16"/>
      <c r="D8088" s="1359" t="s">
        <v>1593</v>
      </c>
      <c r="E8088" s="1858" t="s">
        <v>1508</v>
      </c>
      <c r="F8088" s="1404" t="s">
        <v>3895</v>
      </c>
      <c r="G8088" s="4185">
        <v>3.6999999999999998E-2</v>
      </c>
      <c r="H8088" s="1359"/>
      <c r="I8088" s="1289">
        <v>198</v>
      </c>
      <c r="J8088" s="8">
        <v>5.0000000000000001E-3</v>
      </c>
      <c r="K8088" s="1307">
        <f>G8088*I8088*J8088</f>
        <v>3.6629999999999996E-2</v>
      </c>
      <c r="L8088" s="1335">
        <f>K8088*$K$8084</f>
        <v>0</v>
      </c>
      <c r="M8088" s="1302">
        <v>19.23</v>
      </c>
      <c r="N8088" s="1700"/>
      <c r="O8088" s="1290">
        <f>G8088*M8088</f>
        <v>0.71150999999999998</v>
      </c>
      <c r="P8088" s="1337">
        <f>M8088*K8088</f>
        <v>0.70439489999999993</v>
      </c>
      <c r="Q8088" s="3390"/>
      <c r="R8088" s="2339"/>
      <c r="S8088" s="16"/>
    </row>
    <row r="8089" spans="1:25" s="22" customFormat="1">
      <c r="A8089"/>
      <c r="B8089" s="1042"/>
      <c r="C8089" s="2086" t="s">
        <v>1755</v>
      </c>
      <c r="D8089" s="1311"/>
      <c r="E8089" s="2176" t="s">
        <v>1508</v>
      </c>
      <c r="F8089" s="1648" t="s">
        <v>1524</v>
      </c>
      <c r="G8089" s="1990"/>
      <c r="H8089" s="2097">
        <v>7.0000000000000001E-3</v>
      </c>
      <c r="I8089" s="1444">
        <v>198</v>
      </c>
      <c r="J8089" s="1366">
        <v>5.0000000000000001E-3</v>
      </c>
      <c r="K8089" s="1445"/>
      <c r="L8089" s="1457"/>
      <c r="M8089" s="1447"/>
      <c r="N8089" s="1447">
        <f>SUM(N8090:N8091)</f>
        <v>37.510000000000005</v>
      </c>
      <c r="O8089" s="1447">
        <f>SUM(O8090:O8091)</f>
        <v>0.26257000000000003</v>
      </c>
      <c r="P8089" s="1337">
        <f>SUM(P8090:P8091)</f>
        <v>0.25994430000000002</v>
      </c>
      <c r="Q8089" s="3390"/>
      <c r="R8089" s="2337"/>
      <c r="S8089" s="16"/>
    </row>
    <row r="8090" spans="1:25" s="22" customFormat="1">
      <c r="A8090"/>
      <c r="B8090" s="1042"/>
      <c r="C8090" s="19"/>
      <c r="D8090" s="1430" t="s">
        <v>1067</v>
      </c>
      <c r="E8090" s="1857" t="s">
        <v>1508</v>
      </c>
      <c r="F8090" s="1403" t="s">
        <v>5</v>
      </c>
      <c r="G8090" s="1991">
        <v>1</v>
      </c>
      <c r="H8090" s="1937">
        <f>G8090*H8089</f>
        <v>7.0000000000000001E-3</v>
      </c>
      <c r="I8090" s="1286"/>
      <c r="J8090" s="198"/>
      <c r="K8090" s="1307">
        <f>H8090*I8089*J8089</f>
        <v>6.9300000000000004E-3</v>
      </c>
      <c r="L8090" s="1335">
        <f t="shared" ref="L8090:L8091" si="1092">K8090*$K$8084</f>
        <v>0</v>
      </c>
      <c r="M8090" s="1302">
        <v>18.28</v>
      </c>
      <c r="N8090" s="1718">
        <f>G8090*M8090</f>
        <v>18.28</v>
      </c>
      <c r="O8090" s="1290">
        <f>H8090*M8090</f>
        <v>0.12796000000000002</v>
      </c>
      <c r="P8090" s="1720">
        <f>M8090*K8090</f>
        <v>0.12668040000000003</v>
      </c>
      <c r="Q8090" s="3396"/>
      <c r="R8090" s="2337"/>
      <c r="S8090" s="16"/>
    </row>
    <row r="8091" spans="1:25" s="22" customFormat="1">
      <c r="A8091"/>
      <c r="B8091" s="1042"/>
      <c r="C8091" s="19"/>
      <c r="D8091" s="1430" t="s">
        <v>1077</v>
      </c>
      <c r="E8091" s="1857" t="s">
        <v>1508</v>
      </c>
      <c r="F8091" s="1403" t="s">
        <v>37</v>
      </c>
      <c r="G8091" s="1991">
        <v>1</v>
      </c>
      <c r="H8091" s="1937">
        <f>G8091*H8089</f>
        <v>7.0000000000000001E-3</v>
      </c>
      <c r="I8091" s="197"/>
      <c r="J8091" s="198"/>
      <c r="K8091" s="1307">
        <f>H8091*I8089*J8089</f>
        <v>6.9300000000000004E-3</v>
      </c>
      <c r="L8091" s="1335">
        <f t="shared" si="1092"/>
        <v>0</v>
      </c>
      <c r="M8091" s="1302">
        <v>19.23</v>
      </c>
      <c r="N8091" s="1718">
        <f>G8091*M8091</f>
        <v>19.23</v>
      </c>
      <c r="O8091" s="1290">
        <f>H8091*M8091</f>
        <v>0.13461000000000001</v>
      </c>
      <c r="P8091" s="1720">
        <f>M8091*K8091</f>
        <v>0.13326390000000002</v>
      </c>
      <c r="Q8091" s="3396"/>
      <c r="R8091" s="2337"/>
      <c r="S8091" s="16"/>
    </row>
    <row r="8092" spans="1:25" s="22" customFormat="1">
      <c r="A8092"/>
      <c r="B8092" s="225"/>
      <c r="C8092" s="16"/>
      <c r="D8092" s="1359"/>
      <c r="E8092" s="1858"/>
      <c r="F8092" s="1361"/>
      <c r="G8092" s="1361"/>
      <c r="H8092" s="1466"/>
      <c r="I8092" s="1289"/>
      <c r="J8092" s="8"/>
      <c r="K8092" s="1307"/>
      <c r="L8092" s="1335"/>
      <c r="M8092" s="1302"/>
      <c r="N8092" s="1700"/>
      <c r="O8092" s="1290"/>
      <c r="P8092" s="1332"/>
      <c r="Q8092" s="3391"/>
      <c r="R8092" s="1296"/>
      <c r="S8092" s="16"/>
    </row>
    <row r="8093" spans="1:25" s="22" customFormat="1" ht="15" customHeight="1">
      <c r="A8093" s="18" t="s">
        <v>3764</v>
      </c>
      <c r="B8093" s="4325" t="s">
        <v>2406</v>
      </c>
      <c r="C8093" s="4150"/>
      <c r="D8093" s="4327"/>
      <c r="E8093" s="4329" t="s">
        <v>1527</v>
      </c>
      <c r="F8093" s="4336" t="s">
        <v>3879</v>
      </c>
      <c r="G8093" s="4331" t="s">
        <v>1568</v>
      </c>
      <c r="H8093" s="4331" t="s">
        <v>1574</v>
      </c>
      <c r="I8093" s="1572" t="s">
        <v>1559</v>
      </c>
      <c r="J8093" s="1294" t="s">
        <v>1560</v>
      </c>
      <c r="K8093" s="1294" t="s">
        <v>1569</v>
      </c>
      <c r="L8093" s="4333" t="s">
        <v>3765</v>
      </c>
      <c r="M8093" s="4335" t="s">
        <v>1571</v>
      </c>
      <c r="N8093" s="4323" t="s">
        <v>1776</v>
      </c>
      <c r="O8093" s="4148" t="s">
        <v>1563</v>
      </c>
      <c r="P8093" s="1336" t="s">
        <v>1562</v>
      </c>
      <c r="R8093" s="1699" t="s">
        <v>1327</v>
      </c>
      <c r="S8093" s="16"/>
    </row>
    <row r="8094" spans="1:25" s="22" customFormat="1">
      <c r="A8094" s="1662" t="s">
        <v>3877</v>
      </c>
      <c r="B8094" s="4326"/>
      <c r="C8094" s="4151"/>
      <c r="D8094" s="4328"/>
      <c r="E8094" s="4330"/>
      <c r="F8094" s="4336"/>
      <c r="G8094" s="4332"/>
      <c r="H8094" s="4332"/>
      <c r="I8094" s="1345">
        <v>0.4</v>
      </c>
      <c r="J8094" s="1307">
        <v>5.0000000000000001E-3</v>
      </c>
      <c r="K8094" s="1297">
        <f>I8094*J8094</f>
        <v>2E-3</v>
      </c>
      <c r="L8094" s="4334"/>
      <c r="M8094" s="4335"/>
      <c r="N8094" s="4324"/>
      <c r="O8094" s="1298">
        <f>SUM(O8096:O8101)</f>
        <v>2.5592000000000006</v>
      </c>
      <c r="P8094" s="1337">
        <f>O8094*K8094</f>
        <v>5.1184000000000012E-3</v>
      </c>
      <c r="R8094" s="1721">
        <f>O8100</f>
        <v>2.5592000000000006</v>
      </c>
      <c r="S8094" s="16"/>
    </row>
    <row r="8095" spans="1:25" s="22" customFormat="1">
      <c r="A8095" s="1320"/>
      <c r="B8095" s="1949"/>
      <c r="C8095" s="1327"/>
      <c r="D8095" s="1367"/>
      <c r="E8095" s="2121"/>
      <c r="F8095" s="1389" t="s">
        <v>1</v>
      </c>
      <c r="G8095" s="1389"/>
      <c r="H8095" s="1369"/>
      <c r="I8095" s="2088"/>
      <c r="J8095" s="1369"/>
      <c r="K8095" s="1391"/>
      <c r="L8095" s="1559"/>
      <c r="M8095" s="1369"/>
      <c r="N8095" s="1369"/>
      <c r="O8095" s="1369"/>
      <c r="P8095" s="1392"/>
      <c r="Q8095" s="3395"/>
      <c r="R8095" s="1296"/>
      <c r="S8095" s="16"/>
    </row>
    <row r="8096" spans="1:25" s="22" customFormat="1">
      <c r="A8096" s="1320"/>
      <c r="B8096" s="1599"/>
      <c r="C8096" s="1320"/>
      <c r="D8096" s="1668"/>
      <c r="E8096" s="2166"/>
      <c r="F8096" s="1668"/>
      <c r="G8096" s="2117"/>
      <c r="H8096" s="1369"/>
      <c r="I8096" s="1299"/>
      <c r="J8096" s="1300"/>
      <c r="K8096" s="1307"/>
      <c r="L8096" s="1335"/>
      <c r="M8096" s="1302"/>
      <c r="N8096" s="1700"/>
      <c r="O8096" s="1290"/>
      <c r="P8096" s="1332"/>
      <c r="Q8096" s="3391"/>
      <c r="R8096" s="1296"/>
      <c r="S8096" s="16"/>
    </row>
    <row r="8097" spans="1:19" s="22" customFormat="1">
      <c r="A8097" s="1042"/>
      <c r="B8097" s="1599"/>
      <c r="C8097" s="1042"/>
      <c r="D8097" s="1598"/>
      <c r="E8097" s="2154"/>
      <c r="F8097" s="1598"/>
      <c r="G8097" s="1995"/>
      <c r="H8097" s="1674"/>
      <c r="I8097" s="1299"/>
      <c r="J8097" s="1300"/>
      <c r="K8097" s="1307"/>
      <c r="L8097" s="1335"/>
      <c r="M8097" s="1302"/>
      <c r="N8097" s="1700"/>
      <c r="O8097" s="1290"/>
      <c r="P8097" s="1332"/>
      <c r="Q8097" s="3391"/>
      <c r="R8097" s="1296"/>
      <c r="S8097" s="16"/>
    </row>
    <row r="8098" spans="1:19" s="22" customFormat="1">
      <c r="A8098" s="1042"/>
      <c r="B8098" s="1599"/>
      <c r="C8098" s="1042"/>
      <c r="D8098" s="1367"/>
      <c r="E8098" s="2121"/>
      <c r="F8098" s="1436"/>
      <c r="G8098" s="1436"/>
      <c r="H8098" s="1369"/>
      <c r="I8098" s="1299" t="str">
        <f t="shared" ref="I8098" ca="1" si="1093">IF(COUNT(H8098:O8098)=0,"",(SUM(H8098:O8098)/COUNT(H8098:O8098)))</f>
        <v/>
      </c>
      <c r="J8098" s="1300"/>
      <c r="K8098" s="1307"/>
      <c r="L8098" s="1335"/>
      <c r="M8098" s="1302"/>
      <c r="N8098" s="1700"/>
      <c r="O8098" s="1290"/>
      <c r="P8098" s="1332"/>
      <c r="Q8098" s="3391"/>
      <c r="R8098" s="1296"/>
      <c r="S8098" s="16"/>
    </row>
    <row r="8099" spans="1:19" s="22" customFormat="1">
      <c r="A8099" s="1042"/>
      <c r="B8099" s="1599"/>
      <c r="C8099" s="1042"/>
      <c r="D8099" s="1359"/>
      <c r="E8099" s="1858"/>
      <c r="F8099" s="1360" t="s">
        <v>2</v>
      </c>
      <c r="G8099" s="1360"/>
      <c r="H8099" s="1362"/>
      <c r="I8099" s="1380"/>
      <c r="J8099" s="1381"/>
      <c r="K8099" s="1381"/>
      <c r="L8099" s="1458"/>
      <c r="M8099" s="1362"/>
      <c r="N8099" s="1362"/>
      <c r="O8099" s="1362"/>
      <c r="P8099" s="1359"/>
      <c r="Q8099" s="3387"/>
      <c r="R8099" s="1296"/>
      <c r="S8099" s="16"/>
    </row>
    <row r="8100" spans="1:19" s="22" customFormat="1">
      <c r="A8100" s="2053"/>
      <c r="B8100" s="1321"/>
      <c r="C8100" s="1295"/>
      <c r="D8100" s="1363" t="s">
        <v>1067</v>
      </c>
      <c r="E8100" s="2125" t="s">
        <v>1508</v>
      </c>
      <c r="F8100" s="1385" t="s">
        <v>1512</v>
      </c>
      <c r="G8100" s="2019">
        <v>0.14000000000000001</v>
      </c>
      <c r="H8100" s="2084"/>
      <c r="I8100" s="2085"/>
      <c r="J8100" s="1589"/>
      <c r="K8100" s="1732">
        <f>G8100*K8094</f>
        <v>2.8000000000000003E-4</v>
      </c>
      <c r="L8100" s="1335">
        <f>K8100*$K$7278</f>
        <v>0</v>
      </c>
      <c r="M8100" s="1302">
        <v>18.28</v>
      </c>
      <c r="N8100" s="1700"/>
      <c r="O8100" s="1290">
        <f>G8100*M8100</f>
        <v>2.5592000000000006</v>
      </c>
      <c r="P8100" s="1332">
        <f>M8100*K8100</f>
        <v>5.1184000000000012E-3</v>
      </c>
      <c r="Q8100" s="3391"/>
      <c r="R8100" s="1296"/>
      <c r="S8100" s="16"/>
    </row>
    <row r="8101" spans="1:19" s="22" customFormat="1">
      <c r="A8101" s="1320"/>
      <c r="B8101" s="1599"/>
      <c r="C8101" s="1320"/>
      <c r="D8101" s="1624"/>
      <c r="E8101" s="2158"/>
      <c r="F8101" s="1624"/>
      <c r="G8101" s="2116"/>
      <c r="H8101" s="1359"/>
      <c r="I8101" s="1299"/>
      <c r="J8101" s="1300"/>
      <c r="K8101" s="1307"/>
      <c r="L8101" s="1335"/>
      <c r="M8101" s="1302"/>
      <c r="N8101" s="1700"/>
      <c r="O8101" s="1290"/>
      <c r="P8101" s="1332"/>
      <c r="Q8101" s="3391"/>
      <c r="R8101" s="1296"/>
      <c r="S8101" s="16"/>
    </row>
    <row r="8102" spans="1:19" s="22" customFormat="1">
      <c r="A8102"/>
      <c r="B8102" s="1320"/>
      <c r="C8102" s="16"/>
      <c r="D8102" s="1359"/>
      <c r="E8102" s="1858"/>
      <c r="F8102" s="1361"/>
      <c r="G8102" s="1361"/>
      <c r="H8102" s="1466"/>
      <c r="I8102" s="1289"/>
      <c r="J8102" s="8"/>
      <c r="K8102" s="1307"/>
      <c r="L8102" s="1335"/>
      <c r="M8102" s="1302"/>
      <c r="N8102" s="1700"/>
      <c r="O8102" s="1290"/>
      <c r="P8102" s="1332"/>
      <c r="Q8102" s="3391"/>
      <c r="R8102" s="1296"/>
      <c r="S8102" s="16"/>
    </row>
    <row r="8103" spans="1:19" s="22" customFormat="1">
      <c r="A8103" s="1320"/>
      <c r="B8103" s="1599"/>
      <c r="C8103" s="1320"/>
      <c r="D8103" s="1373"/>
      <c r="E8103" s="2123"/>
      <c r="F8103" s="1374" t="s">
        <v>3</v>
      </c>
      <c r="G8103" s="1375"/>
      <c r="H8103" s="1376"/>
      <c r="I8103" s="1382"/>
      <c r="J8103" s="1383"/>
      <c r="K8103" s="1383"/>
      <c r="L8103" s="1413"/>
      <c r="M8103" s="1376"/>
      <c r="N8103" s="1376"/>
      <c r="O8103" s="1376"/>
      <c r="P8103" s="1373"/>
      <c r="Q8103" s="3387"/>
      <c r="R8103" s="1296"/>
      <c r="S8103"/>
    </row>
    <row r="8104" spans="1:19" s="22" customFormat="1">
      <c r="A8104" s="1321"/>
      <c r="B8104" s="2053"/>
      <c r="C8104" s="1321"/>
      <c r="D8104" s="1377"/>
      <c r="E8104" s="2124"/>
      <c r="F8104" s="1378"/>
      <c r="G8104" s="1378"/>
      <c r="H8104" s="1379"/>
      <c r="I8104" s="1299"/>
      <c r="J8104" s="1300"/>
      <c r="K8104" s="1307"/>
      <c r="L8104" s="1335"/>
      <c r="M8104" s="1302"/>
      <c r="N8104" s="1700"/>
      <c r="O8104" s="1290"/>
      <c r="P8104" s="1332"/>
      <c r="Q8104" s="3391"/>
      <c r="R8104" s="1296"/>
      <c r="S8104"/>
    </row>
    <row r="8105" spans="1:19" s="22" customFormat="1">
      <c r="A8105" s="1321"/>
      <c r="B8105" s="2053"/>
      <c r="C8105" s="1321"/>
      <c r="D8105" s="1377"/>
      <c r="E8105" s="2124"/>
      <c r="F8105" s="1378"/>
      <c r="G8105" s="1378"/>
      <c r="H8105" s="1379"/>
      <c r="I8105" s="1299"/>
      <c r="J8105" s="1300"/>
      <c r="K8105" s="1307"/>
      <c r="L8105" s="1335"/>
      <c r="M8105" s="1302"/>
      <c r="N8105" s="1700"/>
      <c r="O8105" s="1290"/>
      <c r="P8105" s="1333"/>
      <c r="Q8105" s="3391"/>
      <c r="R8105" s="1296"/>
      <c r="S8105"/>
    </row>
    <row r="8106" spans="1:19" s="22" customFormat="1">
      <c r="A8106" s="1042"/>
      <c r="B8106" s="1765"/>
      <c r="C8106" s="223"/>
      <c r="D8106" s="1373"/>
      <c r="E8106" s="2161"/>
      <c r="F8106" s="1678"/>
      <c r="G8106" s="1678"/>
      <c r="H8106" s="1376"/>
      <c r="I8106" s="1299"/>
      <c r="J8106" s="1300"/>
      <c r="K8106" s="1307"/>
      <c r="L8106" s="1335"/>
      <c r="M8106" s="1302"/>
      <c r="N8106" s="1700"/>
      <c r="O8106" s="1290"/>
      <c r="P8106" s="1332"/>
      <c r="Q8106" s="3391"/>
      <c r="R8106" s="2339"/>
      <c r="S8106" s="16"/>
    </row>
    <row r="8107" spans="1:19" s="22" customFormat="1">
      <c r="A8107" s="18" t="s">
        <v>3764</v>
      </c>
      <c r="B8107" s="4325" t="s">
        <v>2297</v>
      </c>
      <c r="C8107" s="4150"/>
      <c r="D8107" s="4327"/>
      <c r="E8107" s="4329" t="s">
        <v>1527</v>
      </c>
      <c r="F8107" s="4336" t="s">
        <v>2298</v>
      </c>
      <c r="G8107" s="4331" t="s">
        <v>1568</v>
      </c>
      <c r="H8107" s="4331" t="s">
        <v>1574</v>
      </c>
      <c r="I8107" s="1572" t="s">
        <v>1559</v>
      </c>
      <c r="J8107" s="1294" t="s">
        <v>1560</v>
      </c>
      <c r="K8107" s="1294" t="s">
        <v>1569</v>
      </c>
      <c r="L8107" s="4333" t="s">
        <v>3765</v>
      </c>
      <c r="M8107" s="4335" t="s">
        <v>1571</v>
      </c>
      <c r="N8107" s="4323" t="s">
        <v>1776</v>
      </c>
      <c r="O8107" s="4148" t="s">
        <v>1563</v>
      </c>
      <c r="P8107" s="1336" t="s">
        <v>1562</v>
      </c>
      <c r="Q8107" s="3389"/>
      <c r="R8107" s="1699" t="s">
        <v>1327</v>
      </c>
      <c r="S8107" s="16"/>
    </row>
    <row r="8108" spans="1:19" s="22" customFormat="1">
      <c r="A8108" s="1662" t="s">
        <v>3877</v>
      </c>
      <c r="B8108" s="4326"/>
      <c r="C8108" s="4151"/>
      <c r="D8108" s="4328"/>
      <c r="E8108" s="4330"/>
      <c r="F8108" s="4336"/>
      <c r="G8108" s="4332"/>
      <c r="H8108" s="4332"/>
      <c r="I8108" s="1345">
        <v>198</v>
      </c>
      <c r="J8108" s="1307">
        <v>5.0000000000000001E-3</v>
      </c>
      <c r="K8108" s="1666">
        <f>I8108*J8108</f>
        <v>0.99</v>
      </c>
      <c r="L8108" s="4334"/>
      <c r="M8108" s="4335"/>
      <c r="N8108" s="4324"/>
      <c r="O8108" s="1298">
        <f>SUM(O8110:O8115)</f>
        <v>2.0473600000000003</v>
      </c>
      <c r="P8108" s="1337">
        <f>O8108*K8108</f>
        <v>2.0268864000000004</v>
      </c>
      <c r="Q8108" s="3390"/>
      <c r="R8108" s="1721">
        <f>P8114</f>
        <v>2.0268864000000004</v>
      </c>
      <c r="S8108" s="16"/>
    </row>
    <row r="8109" spans="1:19" s="22" customFormat="1">
      <c r="A8109" s="1320"/>
      <c r="B8109" s="1949"/>
      <c r="C8109" s="1327"/>
      <c r="D8109" s="1367"/>
      <c r="E8109" s="2121"/>
      <c r="F8109" s="1389" t="s">
        <v>1</v>
      </c>
      <c r="G8109" s="1389"/>
      <c r="H8109" s="1369"/>
      <c r="I8109" s="2088"/>
      <c r="J8109" s="1369"/>
      <c r="K8109" s="1391"/>
      <c r="L8109" s="1559"/>
      <c r="M8109" s="1369"/>
      <c r="N8109" s="1369"/>
      <c r="O8109" s="1369"/>
      <c r="P8109" s="1392"/>
      <c r="Q8109" s="3395"/>
      <c r="R8109" s="2339"/>
      <c r="S8109" s="16"/>
    </row>
    <row r="8110" spans="1:19" s="22" customFormat="1">
      <c r="A8110" s="1320"/>
      <c r="B8110" s="1599"/>
      <c r="C8110" s="1320"/>
      <c r="D8110" s="1668"/>
      <c r="E8110" s="2166"/>
      <c r="F8110" s="1668"/>
      <c r="G8110" s="2117"/>
      <c r="H8110" s="1369"/>
      <c r="I8110" s="1299"/>
      <c r="J8110" s="1300"/>
      <c r="K8110" s="1307"/>
      <c r="L8110" s="1335"/>
      <c r="M8110" s="1302"/>
      <c r="N8110" s="1700"/>
      <c r="O8110" s="1290"/>
      <c r="P8110" s="1332"/>
      <c r="Q8110" s="3391"/>
      <c r="R8110" s="2339"/>
      <c r="S8110" s="16"/>
    </row>
    <row r="8111" spans="1:19" s="22" customFormat="1">
      <c r="A8111" s="1042"/>
      <c r="B8111" s="1599"/>
      <c r="C8111" s="1042"/>
      <c r="D8111" s="1598"/>
      <c r="E8111" s="2154"/>
      <c r="F8111" s="1598"/>
      <c r="G8111" s="1995"/>
      <c r="H8111" s="1674"/>
      <c r="I8111" s="1299"/>
      <c r="J8111" s="1300"/>
      <c r="K8111" s="1307"/>
      <c r="L8111" s="1335"/>
      <c r="M8111" s="1302"/>
      <c r="N8111" s="1700"/>
      <c r="O8111" s="1290"/>
      <c r="P8111" s="1332"/>
      <c r="Q8111" s="3391"/>
      <c r="R8111" s="2339"/>
      <c r="S8111" s="16"/>
    </row>
    <row r="8112" spans="1:19" s="22" customFormat="1">
      <c r="A8112" s="1042"/>
      <c r="B8112" s="1599"/>
      <c r="C8112" s="1042"/>
      <c r="D8112" s="1367"/>
      <c r="E8112" s="2121"/>
      <c r="F8112" s="1436"/>
      <c r="G8112" s="1436"/>
      <c r="H8112" s="1369"/>
      <c r="I8112" s="1299" t="str">
        <f t="shared" ref="I8112" ca="1" si="1094">IF(COUNT(H8112:O8112)=0,"",(SUM(H8112:O8112)/COUNT(H8112:O8112)))</f>
        <v/>
      </c>
      <c r="J8112" s="1300"/>
      <c r="K8112" s="1307"/>
      <c r="L8112" s="1335"/>
      <c r="M8112" s="1302"/>
      <c r="N8112" s="1700"/>
      <c r="O8112" s="1290"/>
      <c r="P8112" s="1332"/>
      <c r="Q8112" s="3391"/>
      <c r="R8112" s="2339"/>
      <c r="S8112" s="16"/>
    </row>
    <row r="8113" spans="1:19" s="22" customFormat="1">
      <c r="A8113" s="1042"/>
      <c r="B8113" s="1599"/>
      <c r="C8113" s="1042"/>
      <c r="D8113" s="1359"/>
      <c r="E8113" s="1858"/>
      <c r="F8113" s="1360" t="s">
        <v>2</v>
      </c>
      <c r="G8113" s="1360"/>
      <c r="H8113" s="1362"/>
      <c r="I8113" s="1380"/>
      <c r="J8113" s="1381"/>
      <c r="K8113" s="1381"/>
      <c r="L8113" s="1458"/>
      <c r="M8113" s="1362"/>
      <c r="N8113" s="1362"/>
      <c r="O8113" s="1362"/>
      <c r="P8113" s="1359"/>
      <c r="Q8113" s="3387"/>
      <c r="R8113" s="2339"/>
      <c r="S8113" s="16"/>
    </row>
    <row r="8114" spans="1:19" s="22" customFormat="1">
      <c r="A8114" s="2053"/>
      <c r="B8114" s="1321"/>
      <c r="C8114" s="1295"/>
      <c r="D8114" s="1363" t="s">
        <v>1067</v>
      </c>
      <c r="E8114" s="2125" t="s">
        <v>1508</v>
      </c>
      <c r="F8114" s="1385" t="s">
        <v>1512</v>
      </c>
      <c r="G8114" s="2019">
        <v>0.112</v>
      </c>
      <c r="H8114" s="2084"/>
      <c r="I8114" s="2085"/>
      <c r="J8114" s="1589"/>
      <c r="K8114" s="1307">
        <f>G8114*K8108</f>
        <v>0.11088000000000001</v>
      </c>
      <c r="L8114" s="1335">
        <f>K8114*$K$7278</f>
        <v>0</v>
      </c>
      <c r="M8114" s="1302">
        <v>18.28</v>
      </c>
      <c r="N8114" s="1700"/>
      <c r="O8114" s="1290">
        <f>G8114*M8114</f>
        <v>2.0473600000000003</v>
      </c>
      <c r="P8114" s="1332">
        <f>M8114*K8114</f>
        <v>2.0268864000000004</v>
      </c>
      <c r="Q8114" s="3391"/>
      <c r="R8114" s="2339"/>
      <c r="S8114" s="16"/>
    </row>
    <row r="8115" spans="1:19" s="22" customFormat="1">
      <c r="A8115" s="1320"/>
      <c r="B8115" s="1599"/>
      <c r="C8115" s="1320"/>
      <c r="D8115" s="1624"/>
      <c r="E8115" s="2158"/>
      <c r="F8115" s="1624"/>
      <c r="G8115" s="2116"/>
      <c r="H8115" s="1359"/>
      <c r="I8115" s="1299"/>
      <c r="J8115" s="1300"/>
      <c r="K8115" s="1307"/>
      <c r="L8115" s="1335"/>
      <c r="M8115" s="1302"/>
      <c r="N8115" s="1700"/>
      <c r="O8115" s="1290"/>
      <c r="P8115" s="1332"/>
      <c r="Q8115" s="3391"/>
      <c r="R8115" s="2339"/>
      <c r="S8115" s="16"/>
    </row>
    <row r="8116" spans="1:19" s="22" customFormat="1">
      <c r="A8116"/>
      <c r="B8116" s="1320"/>
      <c r="C8116" s="16"/>
      <c r="D8116" s="1359"/>
      <c r="E8116" s="1858"/>
      <c r="F8116" s="1361"/>
      <c r="G8116" s="1361"/>
      <c r="H8116" s="1466"/>
      <c r="I8116" s="1289"/>
      <c r="J8116" s="8"/>
      <c r="K8116" s="1307"/>
      <c r="L8116" s="1335"/>
      <c r="M8116" s="1302"/>
      <c r="N8116" s="1700"/>
      <c r="O8116" s="1290"/>
      <c r="P8116" s="1332"/>
      <c r="Q8116" s="3391"/>
      <c r="R8116" s="1296"/>
      <c r="S8116" s="16"/>
    </row>
    <row r="8117" spans="1:19" s="22" customFormat="1">
      <c r="A8117" s="1320"/>
      <c r="B8117" s="1599"/>
      <c r="C8117" s="1320"/>
      <c r="D8117" s="1373"/>
      <c r="E8117" s="2123"/>
      <c r="F8117" s="1374" t="s">
        <v>3</v>
      </c>
      <c r="G8117" s="1375"/>
      <c r="H8117" s="1376"/>
      <c r="I8117" s="1382"/>
      <c r="J8117" s="1383"/>
      <c r="K8117" s="1383"/>
      <c r="L8117" s="1413"/>
      <c r="M8117" s="1376"/>
      <c r="N8117" s="1376"/>
      <c r="O8117" s="1376"/>
      <c r="P8117" s="1373"/>
      <c r="Q8117" s="3387"/>
      <c r="R8117" s="2339"/>
      <c r="S8117" s="16"/>
    </row>
    <row r="8118" spans="1:19" s="22" customFormat="1">
      <c r="A8118" s="1321"/>
      <c r="B8118" s="2053"/>
      <c r="C8118" s="1321"/>
      <c r="D8118" s="1377"/>
      <c r="E8118" s="2124"/>
      <c r="F8118" s="1378"/>
      <c r="G8118" s="1378"/>
      <c r="H8118" s="1379"/>
      <c r="I8118" s="1299"/>
      <c r="J8118" s="1300"/>
      <c r="K8118" s="1307"/>
      <c r="L8118" s="1335"/>
      <c r="M8118" s="1302"/>
      <c r="N8118" s="1700"/>
      <c r="O8118" s="1290"/>
      <c r="P8118" s="1332"/>
      <c r="Q8118" s="3391"/>
      <c r="R8118" s="2339"/>
      <c r="S8118" s="16"/>
    </row>
    <row r="8119" spans="1:19" s="22" customFormat="1">
      <c r="A8119" s="1321"/>
      <c r="B8119" s="2053"/>
      <c r="C8119" s="1321"/>
      <c r="D8119" s="1377"/>
      <c r="E8119" s="2124"/>
      <c r="F8119" s="1378"/>
      <c r="G8119" s="1378"/>
      <c r="H8119" s="1379"/>
      <c r="I8119" s="1299"/>
      <c r="J8119" s="1300"/>
      <c r="K8119" s="1307"/>
      <c r="L8119" s="1335"/>
      <c r="M8119" s="1302"/>
      <c r="N8119" s="1700"/>
      <c r="O8119" s="1290"/>
      <c r="P8119" s="1333"/>
      <c r="Q8119" s="3391"/>
      <c r="R8119" s="2339"/>
      <c r="S8119" s="16"/>
    </row>
    <row r="8120" spans="1:19" s="22" customFormat="1">
      <c r="A8120" s="1042"/>
      <c r="B8120" s="1765"/>
      <c r="C8120" s="223"/>
      <c r="D8120" s="1373"/>
      <c r="E8120" s="2161"/>
      <c r="F8120" s="1678"/>
      <c r="G8120" s="1678"/>
      <c r="H8120" s="1376"/>
      <c r="I8120" s="1299"/>
      <c r="J8120" s="1300"/>
      <c r="K8120" s="1307"/>
      <c r="L8120" s="1335"/>
      <c r="M8120" s="1302"/>
      <c r="N8120" s="1700"/>
      <c r="O8120" s="1290"/>
      <c r="P8120" s="1332"/>
      <c r="Q8120" s="3391"/>
      <c r="R8120" s="2339"/>
      <c r="S8120" s="16"/>
    </row>
    <row r="8121" spans="1:19" s="22" customFormat="1">
      <c r="A8121" s="18" t="s">
        <v>3764</v>
      </c>
      <c r="B8121" s="4325" t="s">
        <v>3880</v>
      </c>
      <c r="C8121" s="4150"/>
      <c r="D8121" s="4327"/>
      <c r="E8121" s="4329" t="s">
        <v>1527</v>
      </c>
      <c r="F8121" s="4336" t="s">
        <v>3881</v>
      </c>
      <c r="G8121" s="4331" t="s">
        <v>1568</v>
      </c>
      <c r="H8121" s="4331" t="s">
        <v>1574</v>
      </c>
      <c r="I8121" s="1572" t="s">
        <v>1559</v>
      </c>
      <c r="J8121" s="1294" t="s">
        <v>1560</v>
      </c>
      <c r="K8121" s="1294" t="s">
        <v>1569</v>
      </c>
      <c r="L8121" s="4333" t="s">
        <v>3765</v>
      </c>
      <c r="M8121" s="4335" t="s">
        <v>1571</v>
      </c>
      <c r="N8121" s="4323" t="s">
        <v>1776</v>
      </c>
      <c r="O8121" s="4148" t="s">
        <v>1563</v>
      </c>
      <c r="P8121" s="1336" t="s">
        <v>1562</v>
      </c>
      <c r="Q8121" s="3389"/>
      <c r="R8121" s="1699" t="s">
        <v>1327</v>
      </c>
      <c r="S8121" s="16"/>
    </row>
    <row r="8122" spans="1:19" s="22" customFormat="1">
      <c r="A8122" s="1662" t="s">
        <v>3877</v>
      </c>
      <c r="B8122" s="4326"/>
      <c r="C8122" s="4151"/>
      <c r="D8122" s="4328"/>
      <c r="E8122" s="4330"/>
      <c r="F8122" s="4336"/>
      <c r="G8122" s="4332"/>
      <c r="H8122" s="4332"/>
      <c r="I8122" s="1345">
        <v>10.8</v>
      </c>
      <c r="J8122" s="1307">
        <v>5.0000000000000001E-3</v>
      </c>
      <c r="K8122" s="1666">
        <f>I8122*J8122</f>
        <v>5.4000000000000006E-2</v>
      </c>
      <c r="L8122" s="4334"/>
      <c r="M8122" s="4335"/>
      <c r="N8122" s="4324"/>
      <c r="O8122" s="1298">
        <f>SUM(O8124:O8130)+O8135+O8143+O8144+O8145+O8146+O8149</f>
        <v>72.503097848888885</v>
      </c>
      <c r="P8122" s="1337">
        <f>O8122*K8122</f>
        <v>3.9151672838400002</v>
      </c>
      <c r="Q8122" s="3390"/>
      <c r="R8122" s="1721">
        <f>SUM(P8124:P8130)+P8135+P8143+P8144+P8145+P8146+P8149</f>
        <v>3.9151672838400002</v>
      </c>
      <c r="S8122" s="16"/>
    </row>
    <row r="8123" spans="1:19" s="22" customFormat="1">
      <c r="A8123" s="1320"/>
      <c r="B8123" s="1949"/>
      <c r="C8123" s="1327"/>
      <c r="D8123" s="1367"/>
      <c r="E8123" s="2121"/>
      <c r="F8123" s="1389" t="s">
        <v>1</v>
      </c>
      <c r="G8123" s="1389"/>
      <c r="H8123" s="1369"/>
      <c r="I8123" s="2088"/>
      <c r="J8123" s="1369"/>
      <c r="K8123" s="1391"/>
      <c r="L8123" s="1559"/>
      <c r="M8123" s="1369"/>
      <c r="N8123" s="1369"/>
      <c r="O8123" s="1369"/>
      <c r="P8123" s="1392"/>
      <c r="Q8123" s="3395"/>
      <c r="R8123" s="2339"/>
      <c r="S8123" s="16"/>
    </row>
    <row r="8124" spans="1:19" s="22" customFormat="1">
      <c r="A8124" s="1320"/>
      <c r="B8124" s="1599"/>
      <c r="C8124" s="1320"/>
      <c r="D8124" s="1598" t="s">
        <v>1123</v>
      </c>
      <c r="E8124" s="2154" t="s">
        <v>1521</v>
      </c>
      <c r="F8124" s="1598" t="s">
        <v>1679</v>
      </c>
      <c r="G8124" s="1995">
        <v>3.1820370370370367E-2</v>
      </c>
      <c r="H8124" s="1369"/>
      <c r="I8124" s="1299"/>
      <c r="J8124" s="1300"/>
      <c r="K8124" s="1307">
        <f>K8122*G8124</f>
        <v>1.7183000000000001E-3</v>
      </c>
      <c r="L8124" s="1335">
        <f t="shared" ref="L8124:L8127" si="1095">K8124*$K$7278</f>
        <v>0</v>
      </c>
      <c r="M8124" s="1302">
        <v>61.71</v>
      </c>
      <c r="N8124" s="1700"/>
      <c r="O8124" s="1290">
        <f>G8124*M8124</f>
        <v>1.9636350555555553</v>
      </c>
      <c r="P8124" s="1332">
        <f>M8124*K8124</f>
        <v>0.106036293</v>
      </c>
      <c r="Q8124" s="3391"/>
      <c r="R8124" s="2339"/>
      <c r="S8124" s="16"/>
    </row>
    <row r="8125" spans="1:19" s="22" customFormat="1">
      <c r="A8125" s="1042"/>
      <c r="B8125" s="1599"/>
      <c r="C8125" s="1042"/>
      <c r="D8125" s="1598" t="s">
        <v>3882</v>
      </c>
      <c r="E8125" s="2154" t="s">
        <v>1577</v>
      </c>
      <c r="F8125" s="1598" t="s">
        <v>1690</v>
      </c>
      <c r="G8125" s="1995">
        <v>9.0000000000000008E-4</v>
      </c>
      <c r="H8125" s="1674"/>
      <c r="I8125" s="1299"/>
      <c r="J8125" s="1300"/>
      <c r="K8125" s="1307">
        <f>K8122*G8125</f>
        <v>4.8600000000000009E-5</v>
      </c>
      <c r="L8125" s="1335">
        <f t="shared" si="1095"/>
        <v>0</v>
      </c>
      <c r="M8125" s="1302">
        <v>246.4</v>
      </c>
      <c r="N8125" s="1700"/>
      <c r="O8125" s="1290">
        <f>G8125*M8125</f>
        <v>0.22176000000000001</v>
      </c>
      <c r="P8125" s="1332">
        <f>M8125*K8125</f>
        <v>1.1975040000000003E-2</v>
      </c>
      <c r="Q8125" s="3391"/>
      <c r="R8125" s="2339"/>
      <c r="S8125" s="16"/>
    </row>
    <row r="8126" spans="1:19" s="22" customFormat="1">
      <c r="A8126" s="1042"/>
      <c r="B8126" s="1599"/>
      <c r="C8126" s="1042"/>
      <c r="D8126" s="1598" t="s">
        <v>2945</v>
      </c>
      <c r="E8126" s="2154" t="s">
        <v>1357</v>
      </c>
      <c r="F8126" s="1598" t="s">
        <v>1691</v>
      </c>
      <c r="G8126" s="1995">
        <v>0.9</v>
      </c>
      <c r="H8126" s="1674"/>
      <c r="I8126" s="1299"/>
      <c r="J8126" s="1300"/>
      <c r="K8126" s="1307">
        <f>K8122*G8126</f>
        <v>4.8600000000000004E-2</v>
      </c>
      <c r="L8126" s="1335">
        <f t="shared" si="1095"/>
        <v>0</v>
      </c>
      <c r="M8126" s="1302">
        <v>0.22</v>
      </c>
      <c r="N8126" s="1700"/>
      <c r="O8126" s="1290">
        <f>G8126*M8126</f>
        <v>0.19800000000000001</v>
      </c>
      <c r="P8126" s="1332">
        <f>M8126*K8126</f>
        <v>1.0692000000000002E-2</v>
      </c>
      <c r="Q8126" s="3391"/>
      <c r="R8126" s="2339"/>
    </row>
    <row r="8127" spans="1:19" s="22" customFormat="1">
      <c r="A8127" s="1042"/>
      <c r="B8127" s="1599"/>
      <c r="C8127" s="1042"/>
      <c r="D8127" s="1598" t="s">
        <v>3374</v>
      </c>
      <c r="E8127" s="2154" t="s">
        <v>1504</v>
      </c>
      <c r="F8127" s="1598" t="s">
        <v>3375</v>
      </c>
      <c r="G8127" s="1995">
        <v>33.453000000000003</v>
      </c>
      <c r="H8127" s="1674"/>
      <c r="I8127" s="1299"/>
      <c r="J8127" s="1300"/>
      <c r="K8127" s="1307">
        <f>K8122*G8127</f>
        <v>1.8064620000000005</v>
      </c>
      <c r="L8127" s="1335">
        <f t="shared" si="1095"/>
        <v>0</v>
      </c>
      <c r="M8127" s="1302">
        <v>0.5</v>
      </c>
      <c r="N8127" s="1700"/>
      <c r="O8127" s="1290">
        <f>G8127*M8127</f>
        <v>16.726500000000001</v>
      </c>
      <c r="P8127" s="1332">
        <f>M8127*K8127</f>
        <v>0.90323100000000023</v>
      </c>
      <c r="Q8127" s="3391"/>
      <c r="R8127" s="2339"/>
    </row>
    <row r="8128" spans="1:19" s="22" customFormat="1">
      <c r="A8128" s="1042"/>
      <c r="B8128" s="1599"/>
      <c r="C8128" s="1042"/>
      <c r="D8128" s="1367" t="s">
        <v>3883</v>
      </c>
      <c r="E8128" s="2121" t="s">
        <v>1507</v>
      </c>
      <c r="F8128" s="2288" t="s">
        <v>3884</v>
      </c>
      <c r="G8128" s="2088">
        <v>9.3518518518518515E-2</v>
      </c>
      <c r="H8128" s="1369"/>
      <c r="I8128" s="1299" t="str">
        <f t="shared" ref="I8128" ca="1" si="1096">IF(COUNT(H8128:O8128)=0,"",(SUM(H8128:O8128)/COUNT(H8128:O8128)))</f>
        <v/>
      </c>
      <c r="J8128" s="1300"/>
      <c r="K8128" s="1307">
        <f>K8122*G8128</f>
        <v>5.0500000000000007E-3</v>
      </c>
      <c r="L8128" s="1335">
        <f t="shared" ref="L8128:L8129" si="1097">K8128*$K$7278</f>
        <v>0</v>
      </c>
      <c r="M8128" s="1302">
        <v>8.5500000000000007</v>
      </c>
      <c r="N8128" s="1700"/>
      <c r="O8128" s="1290">
        <f t="shared" ref="O8128:O8129" si="1098">G8128*M8128</f>
        <v>0.79958333333333331</v>
      </c>
      <c r="P8128" s="1332">
        <f t="shared" ref="P8128:P8129" si="1099">M8128*K8128</f>
        <v>4.3177500000000008E-2</v>
      </c>
      <c r="Q8128" s="3391"/>
      <c r="R8128" s="2339"/>
    </row>
    <row r="8129" spans="1:18" s="22" customFormat="1">
      <c r="A8129" s="1042"/>
      <c r="B8129" s="1599"/>
      <c r="C8129" s="1042"/>
      <c r="D8129" s="1367" t="s">
        <v>3885</v>
      </c>
      <c r="E8129" s="2121" t="s">
        <v>1504</v>
      </c>
      <c r="F8129" s="2288" t="s">
        <v>1632</v>
      </c>
      <c r="G8129" s="2088">
        <v>5</v>
      </c>
      <c r="H8129" s="1369"/>
      <c r="I8129" s="1299"/>
      <c r="J8129" s="1300"/>
      <c r="K8129" s="1307">
        <f>K8122*G8129</f>
        <v>0.27</v>
      </c>
      <c r="L8129" s="1335">
        <f t="shared" si="1097"/>
        <v>0</v>
      </c>
      <c r="M8129" s="1302">
        <v>0.55000000000000004</v>
      </c>
      <c r="N8129" s="1700"/>
      <c r="O8129" s="1290">
        <f t="shared" si="1098"/>
        <v>2.75</v>
      </c>
      <c r="P8129" s="1332">
        <f t="shared" si="1099"/>
        <v>0.14850000000000002</v>
      </c>
      <c r="Q8129" s="3391"/>
      <c r="R8129" s="2339"/>
    </row>
    <row r="8130" spans="1:18" s="16" customFormat="1">
      <c r="B8130" s="1042"/>
      <c r="C8130" s="1356" t="s">
        <v>1127</v>
      </c>
      <c r="D8130" s="1311"/>
      <c r="E8130" s="2137" t="s">
        <v>1517</v>
      </c>
      <c r="F8130" s="1319" t="s">
        <v>1519</v>
      </c>
      <c r="G8130" s="1353"/>
      <c r="H8130" s="1456">
        <v>1.9E-2</v>
      </c>
      <c r="I8130" s="1444"/>
      <c r="J8130" s="1388"/>
      <c r="K8130" s="1445"/>
      <c r="L8130" s="1457"/>
      <c r="M8130" s="1447"/>
      <c r="N8130" s="1447">
        <f>SUM(N8131:N8134)</f>
        <v>50.044430000000006</v>
      </c>
      <c r="O8130" s="1447">
        <f>SUM(O8131:O8134)</f>
        <v>0.9508441700000001</v>
      </c>
      <c r="P8130" s="1446">
        <f>SUM(P8131:P8134)</f>
        <v>5.1345585180000014E-2</v>
      </c>
      <c r="Q8130" s="3391"/>
      <c r="R8130" s="2337"/>
    </row>
    <row r="8131" spans="1:18" s="16" customFormat="1" ht="13.5" customHeight="1">
      <c r="B8131" s="1042"/>
      <c r="C8131" s="1327"/>
      <c r="D8131" s="1400" t="s">
        <v>1069</v>
      </c>
      <c r="E8131" s="1856" t="s">
        <v>1517</v>
      </c>
      <c r="F8131" s="1397" t="s">
        <v>1578</v>
      </c>
      <c r="G8131" s="1416">
        <v>0.26300000000000001</v>
      </c>
      <c r="H8131" s="1399">
        <f>G8131*H8130</f>
        <v>4.9969999999999997E-3</v>
      </c>
      <c r="I8131" s="197"/>
      <c r="J8131" s="198"/>
      <c r="K8131" s="1307">
        <f>H8131*K8122</f>
        <v>2.69838E-4</v>
      </c>
      <c r="L8131" s="1335">
        <f>K8131*$K$9072</f>
        <v>0</v>
      </c>
      <c r="M8131" s="1302">
        <v>0.55000000000000004</v>
      </c>
      <c r="N8131" s="1718">
        <f>G8131*M8131</f>
        <v>0.14465000000000003</v>
      </c>
      <c r="O8131" s="1290">
        <f>H8131*M8131</f>
        <v>2.7483500000000001E-3</v>
      </c>
      <c r="P8131" s="1332">
        <f>M8131*K8131</f>
        <v>1.4841090000000001E-4</v>
      </c>
      <c r="Q8131" s="3391"/>
      <c r="R8131" s="2337"/>
    </row>
    <row r="8132" spans="1:18">
      <c r="A8132" s="16"/>
      <c r="B8132" s="1042"/>
      <c r="C8132" s="1320"/>
      <c r="D8132" s="1400" t="s">
        <v>1394</v>
      </c>
      <c r="E8132" s="1856" t="s">
        <v>1577</v>
      </c>
      <c r="F8132" s="1397" t="s">
        <v>1579</v>
      </c>
      <c r="G8132" s="1416">
        <v>0.25800000000000001</v>
      </c>
      <c r="H8132" s="1399">
        <f>G8132*H8130</f>
        <v>4.9020000000000001E-3</v>
      </c>
      <c r="I8132" s="197"/>
      <c r="J8132" s="198"/>
      <c r="K8132" s="1307">
        <f>H8132*K8122</f>
        <v>2.6470800000000005E-4</v>
      </c>
      <c r="L8132" s="1335">
        <f>K8132*$K$9072</f>
        <v>0</v>
      </c>
      <c r="M8132" s="1302">
        <v>92.54</v>
      </c>
      <c r="N8132" s="1718">
        <f>G8132*M8132</f>
        <v>23.875320000000002</v>
      </c>
      <c r="O8132" s="1290">
        <f>H8132*M8132</f>
        <v>0.45363108000000002</v>
      </c>
      <c r="P8132" s="1332">
        <f>M8132*K8132</f>
        <v>2.4496078320000007E-2</v>
      </c>
      <c r="Q8132" s="3391"/>
      <c r="R8132" s="2337"/>
    </row>
    <row r="8133" spans="1:18">
      <c r="A8133" s="16"/>
      <c r="B8133" s="1042"/>
      <c r="C8133" s="1320"/>
      <c r="D8133" s="1400" t="s">
        <v>1576</v>
      </c>
      <c r="E8133" s="1856" t="s">
        <v>1517</v>
      </c>
      <c r="F8133" s="1397" t="s">
        <v>1580</v>
      </c>
      <c r="G8133" s="1416">
        <v>1.1020000000000001</v>
      </c>
      <c r="H8133" s="1399">
        <f>G8133*H8130</f>
        <v>2.0938000000000002E-2</v>
      </c>
      <c r="I8133" s="197"/>
      <c r="J8133" s="198"/>
      <c r="K8133" s="1307">
        <f>H8133*K8122</f>
        <v>1.1306520000000002E-3</v>
      </c>
      <c r="L8133" s="1335">
        <f>K8133*$K$9072</f>
        <v>0</v>
      </c>
      <c r="M8133" s="1302">
        <v>6.53</v>
      </c>
      <c r="N8133" s="1718">
        <f>G8133*M8133</f>
        <v>7.196060000000001</v>
      </c>
      <c r="O8133" s="1290">
        <f>H8133*M8133</f>
        <v>0.13672514000000002</v>
      </c>
      <c r="P8133" s="1332">
        <f>M8133*K8133</f>
        <v>7.3831575600000017E-3</v>
      </c>
      <c r="Q8133" s="3391"/>
      <c r="R8133" s="2337"/>
    </row>
    <row r="8134" spans="1:18">
      <c r="A8134" s="16"/>
      <c r="B8134" s="1042"/>
      <c r="C8134" s="1320"/>
      <c r="D8134" s="1404" t="s">
        <v>1067</v>
      </c>
      <c r="E8134" s="1857" t="s">
        <v>1508</v>
      </c>
      <c r="F8134" s="1406" t="s">
        <v>1512</v>
      </c>
      <c r="G8134" s="1407">
        <v>1.03</v>
      </c>
      <c r="H8134" s="1408">
        <f>G8134*H8130</f>
        <v>1.9570000000000001E-2</v>
      </c>
      <c r="I8134" s="197"/>
      <c r="J8134" s="198"/>
      <c r="K8134" s="1307">
        <f>H8134*K8122</f>
        <v>1.0567800000000002E-3</v>
      </c>
      <c r="L8134" s="1335">
        <f>K8134*$K$9072</f>
        <v>0</v>
      </c>
      <c r="M8134" s="1302">
        <v>18.28</v>
      </c>
      <c r="N8134" s="1718">
        <f>G8134*M8134</f>
        <v>18.828400000000002</v>
      </c>
      <c r="O8134" s="1290">
        <f>H8134*M8134</f>
        <v>0.35773960000000005</v>
      </c>
      <c r="P8134" s="1332">
        <f>M8134*K8134</f>
        <v>1.9317938400000005E-2</v>
      </c>
      <c r="Q8134" s="3391"/>
      <c r="R8134" s="2337"/>
    </row>
    <row r="8135" spans="1:18">
      <c r="A8135" s="1042"/>
      <c r="B8135" s="22"/>
      <c r="C8135" s="1658" t="s">
        <v>1122</v>
      </c>
      <c r="D8135" s="1311"/>
      <c r="E8135" s="1855" t="s">
        <v>1517</v>
      </c>
      <c r="F8135" s="1647" t="s">
        <v>1681</v>
      </c>
      <c r="G8135" s="1688"/>
      <c r="H8135" s="1688">
        <v>8.9999999999999993E-3</v>
      </c>
      <c r="I8135" s="1444"/>
      <c r="J8135" s="1388"/>
      <c r="K8135" s="1510"/>
      <c r="L8135" s="1445"/>
      <c r="M8135" s="1500"/>
      <c r="N8135" s="1501">
        <f>SUM(N8136:N8140)</f>
        <v>51.667310000000001</v>
      </c>
      <c r="O8135" s="1501">
        <f>SUM(O8136:O8140)</f>
        <v>0.46500578999999997</v>
      </c>
      <c r="P8135" s="1501">
        <f>SUM(P8136:P8140)</f>
        <v>2.5110312660000002E-2</v>
      </c>
      <c r="Q8135" s="3391"/>
      <c r="R8135" s="1296"/>
    </row>
    <row r="8136" spans="1:18">
      <c r="A8136" s="1042"/>
      <c r="B8136" s="22"/>
      <c r="C8136" s="1042"/>
      <c r="D8136" s="1451" t="s">
        <v>1069</v>
      </c>
      <c r="E8136" s="1856" t="s">
        <v>1517</v>
      </c>
      <c r="F8136" s="1421" t="s">
        <v>1578</v>
      </c>
      <c r="G8136" s="1452">
        <v>0.26300000000000001</v>
      </c>
      <c r="H8136" s="1453">
        <f>H8135*G8136</f>
        <v>2.3669999999999997E-3</v>
      </c>
      <c r="I8136" s="1286"/>
      <c r="J8136" s="198"/>
      <c r="K8136" s="1307">
        <f>H8136*K8122</f>
        <v>1.27818E-4</v>
      </c>
      <c r="L8136" s="1335">
        <f>K8136*$K$10256</f>
        <v>1.27818E-4</v>
      </c>
      <c r="M8136" s="1302">
        <v>0.55000000000000004</v>
      </c>
      <c r="N8136" s="1724">
        <f>G8136*M8136</f>
        <v>0.14465000000000003</v>
      </c>
      <c r="O8136" s="1726">
        <f>H8136*M8136</f>
        <v>1.30185E-3</v>
      </c>
      <c r="P8136" s="1727">
        <f>M8136*K8136</f>
        <v>7.0299900000000008E-5</v>
      </c>
      <c r="Q8136" s="3396"/>
      <c r="R8136" s="1296"/>
    </row>
    <row r="8137" spans="1:18">
      <c r="A8137" s="1042"/>
      <c r="B8137" s="22"/>
      <c r="C8137" s="1320"/>
      <c r="D8137" s="1367" t="s">
        <v>1394</v>
      </c>
      <c r="E8137" s="1856" t="s">
        <v>1577</v>
      </c>
      <c r="F8137" s="1421" t="s">
        <v>1579</v>
      </c>
      <c r="G8137" s="1452">
        <v>0.25800000000000001</v>
      </c>
      <c r="H8137" s="1453">
        <f>H8135*G8137</f>
        <v>2.3219999999999998E-3</v>
      </c>
      <c r="I8137" s="1286"/>
      <c r="J8137" s="198"/>
      <c r="K8137" s="1307">
        <f>H8137*K8122</f>
        <v>1.2538800000000001E-4</v>
      </c>
      <c r="L8137" s="1335">
        <f>K8137*$K$10256</f>
        <v>1.2538800000000001E-4</v>
      </c>
      <c r="M8137" s="1302">
        <v>92.54</v>
      </c>
      <c r="N8137" s="1724">
        <f>G8137*M8137</f>
        <v>23.875320000000002</v>
      </c>
      <c r="O8137" s="1719">
        <f>H8137*M8137</f>
        <v>0.21487787999999999</v>
      </c>
      <c r="P8137" s="1720">
        <f>M8137*K8137</f>
        <v>1.1603405520000002E-2</v>
      </c>
      <c r="Q8137" s="3396"/>
      <c r="R8137" s="1296"/>
    </row>
    <row r="8138" spans="1:18">
      <c r="A8138" s="1042"/>
      <c r="B8138" s="22"/>
      <c r="C8138" s="1320"/>
      <c r="D8138" s="1603" t="s">
        <v>1682</v>
      </c>
      <c r="E8138" s="1856" t="s">
        <v>1683</v>
      </c>
      <c r="F8138" s="1421" t="s">
        <v>1684</v>
      </c>
      <c r="G8138" s="1452">
        <v>1.288</v>
      </c>
      <c r="H8138" s="1453">
        <f>H8135*G8138</f>
        <v>1.1592E-2</v>
      </c>
      <c r="I8138" s="1286"/>
      <c r="J8138" s="198"/>
      <c r="K8138" s="1307">
        <f>H8138*K8122</f>
        <v>6.2596800000000008E-4</v>
      </c>
      <c r="L8138" s="1335">
        <f>K8138*$K$10256</f>
        <v>6.2596800000000008E-4</v>
      </c>
      <c r="M8138" s="1302">
        <v>1.26</v>
      </c>
      <c r="N8138" s="1724">
        <f>G8138*M8138</f>
        <v>1.6228800000000001</v>
      </c>
      <c r="O8138" s="1719">
        <f>H8138*M8138</f>
        <v>1.460592E-2</v>
      </c>
      <c r="P8138" s="1720">
        <f>M8138*K8138</f>
        <v>7.8871968000000011E-4</v>
      </c>
      <c r="Q8138" s="3396"/>
      <c r="R8138" s="1296"/>
    </row>
    <row r="8139" spans="1:18">
      <c r="A8139" s="1042"/>
      <c r="B8139" s="22"/>
      <c r="C8139" s="1320"/>
      <c r="D8139" s="1603" t="s">
        <v>1576</v>
      </c>
      <c r="E8139" s="1856" t="s">
        <v>1517</v>
      </c>
      <c r="F8139" s="1421" t="s">
        <v>1580</v>
      </c>
      <c r="G8139" s="1452">
        <v>1.1020000000000001</v>
      </c>
      <c r="H8139" s="1453">
        <f>H8135*G8139</f>
        <v>9.9179999999999997E-3</v>
      </c>
      <c r="I8139" s="1286"/>
      <c r="J8139" s="198"/>
      <c r="K8139" s="1307">
        <f>H8139*K8122</f>
        <v>5.35572E-4</v>
      </c>
      <c r="L8139" s="1335">
        <f>K8139*$K$10256</f>
        <v>5.35572E-4</v>
      </c>
      <c r="M8139" s="1302">
        <v>6.53</v>
      </c>
      <c r="N8139" s="1724">
        <f>G8139*M8139</f>
        <v>7.196060000000001</v>
      </c>
      <c r="O8139" s="1719">
        <f>H8139*M8139</f>
        <v>6.4764539999999995E-2</v>
      </c>
      <c r="P8139" s="1720">
        <f>M8139*K8139</f>
        <v>3.4972851599999999E-3</v>
      </c>
      <c r="Q8139" s="3396"/>
      <c r="R8139" s="1296"/>
    </row>
    <row r="8140" spans="1:18">
      <c r="A8140" s="1042"/>
      <c r="B8140" s="22"/>
      <c r="C8140" s="1320"/>
      <c r="D8140" s="1443" t="s">
        <v>1067</v>
      </c>
      <c r="E8140" s="1857" t="s">
        <v>1508</v>
      </c>
      <c r="F8140" s="1430" t="s">
        <v>1512</v>
      </c>
      <c r="G8140" s="1431">
        <v>1.03</v>
      </c>
      <c r="H8140" s="1431">
        <f>H8135*G8140</f>
        <v>9.2699999999999987E-3</v>
      </c>
      <c r="I8140" s="1286"/>
      <c r="J8140" s="198"/>
      <c r="K8140" s="1307">
        <f>H8140*K8122</f>
        <v>5.0058000000000004E-4</v>
      </c>
      <c r="L8140" s="1335">
        <f>K8140*$K$10256</f>
        <v>5.0058000000000004E-4</v>
      </c>
      <c r="M8140" s="1302">
        <v>18.28</v>
      </c>
      <c r="N8140" s="1724">
        <f>G8140*M8140</f>
        <v>18.828400000000002</v>
      </c>
      <c r="O8140" s="1719">
        <f>H8140*M8140</f>
        <v>0.16945559999999998</v>
      </c>
      <c r="P8140" s="1720">
        <f>M8140*K8140</f>
        <v>9.1506024000000009E-3</v>
      </c>
      <c r="Q8140" s="3396"/>
      <c r="R8140" s="1296"/>
    </row>
    <row r="8141" spans="1:18">
      <c r="A8141" s="1042"/>
      <c r="B8141" s="22"/>
      <c r="C8141" s="1320"/>
      <c r="D8141" s="4119"/>
      <c r="E8141" s="4175"/>
      <c r="F8141" s="3951"/>
      <c r="G8141" s="4176"/>
      <c r="H8141" s="4020"/>
      <c r="I8141" s="1286"/>
      <c r="J8141" s="3991"/>
      <c r="K8141" s="1307"/>
      <c r="L8141" s="1335"/>
      <c r="M8141" s="3918"/>
      <c r="N8141" s="1724"/>
      <c r="O8141" s="1719"/>
      <c r="P8141" s="4177"/>
      <c r="Q8141" s="3396"/>
      <c r="R8141" s="1296"/>
    </row>
    <row r="8142" spans="1:18" s="22" customFormat="1">
      <c r="A8142" s="1042"/>
      <c r="B8142" s="1599"/>
      <c r="C8142" s="1042"/>
      <c r="D8142" s="1359"/>
      <c r="E8142" s="1858"/>
      <c r="F8142" s="1360" t="s">
        <v>2</v>
      </c>
      <c r="G8142" s="1360"/>
      <c r="H8142" s="1362"/>
      <c r="I8142" s="1380"/>
      <c r="J8142" s="1381"/>
      <c r="K8142" s="1381"/>
      <c r="L8142" s="1458"/>
      <c r="M8142" s="1362"/>
      <c r="N8142" s="1362"/>
      <c r="O8142" s="1362"/>
      <c r="P8142" s="1359"/>
      <c r="Q8142" s="3387"/>
      <c r="R8142" s="2339"/>
    </row>
    <row r="8143" spans="1:18" s="22" customFormat="1">
      <c r="A8143" s="1321"/>
      <c r="B8143" s="2053"/>
      <c r="C8143" s="1321"/>
      <c r="D8143" s="1655" t="s">
        <v>1121</v>
      </c>
      <c r="E8143" s="1859" t="s">
        <v>1508</v>
      </c>
      <c r="F8143" s="1655" t="s">
        <v>1663</v>
      </c>
      <c r="G8143" s="1625">
        <v>0.52508148148148148</v>
      </c>
      <c r="H8143" s="1386"/>
      <c r="I8143" s="1299"/>
      <c r="J8143" s="1300"/>
      <c r="K8143" s="1307">
        <f>G8143*K8122</f>
        <v>2.8354400000000002E-2</v>
      </c>
      <c r="L8143" s="1335">
        <f t="shared" ref="L8143" si="1100">K8143*$K$7278</f>
        <v>0</v>
      </c>
      <c r="M8143" s="1302">
        <v>19.23</v>
      </c>
      <c r="N8143" s="1700"/>
      <c r="O8143" s="1290">
        <f>G8143*M8143</f>
        <v>10.097316888888889</v>
      </c>
      <c r="P8143" s="1332">
        <f>M8143*K8143</f>
        <v>0.5452551120000001</v>
      </c>
      <c r="Q8143" s="3391"/>
      <c r="R8143" s="2339"/>
    </row>
    <row r="8144" spans="1:18" s="22" customFormat="1" ht="18.75" customHeight="1">
      <c r="A8144"/>
      <c r="B8144" s="1042"/>
      <c r="C8144" s="19"/>
      <c r="D8144" s="1430" t="s">
        <v>1088</v>
      </c>
      <c r="E8144" s="1857" t="s">
        <v>1508</v>
      </c>
      <c r="F8144" s="1403" t="s">
        <v>1694</v>
      </c>
      <c r="G8144" s="1991">
        <v>0.94229999999999992</v>
      </c>
      <c r="H8144" s="1408"/>
      <c r="I8144" s="1286"/>
      <c r="J8144" s="198"/>
      <c r="K8144" s="1307">
        <f>G8144*K8122</f>
        <v>5.0884200000000004E-2</v>
      </c>
      <c r="L8144" s="1335">
        <f t="shared" ref="L8144:L8146" si="1101">K8144*$K$7278</f>
        <v>0</v>
      </c>
      <c r="M8144" s="1302">
        <v>19.23</v>
      </c>
      <c r="N8144" s="1718"/>
      <c r="O8144" s="1290">
        <f t="shared" ref="O8144:O8146" si="1102">G8144*M8144</f>
        <v>18.120428999999998</v>
      </c>
      <c r="P8144" s="1332">
        <f t="shared" ref="P8144:P8146" si="1103">M8144*K8144</f>
        <v>0.97850316600000009</v>
      </c>
      <c r="Q8144" s="3396"/>
      <c r="R8144" s="2337"/>
    </row>
    <row r="8145" spans="1:18" s="22" customFormat="1">
      <c r="A8145"/>
      <c r="B8145" s="1042"/>
      <c r="C8145" s="19"/>
      <c r="D8145" s="1430" t="s">
        <v>1133</v>
      </c>
      <c r="E8145" s="1857" t="s">
        <v>1508</v>
      </c>
      <c r="F8145" s="1394" t="s">
        <v>1955</v>
      </c>
      <c r="G8145" s="2183">
        <v>1.3888888888888888E-2</v>
      </c>
      <c r="H8145" s="1395"/>
      <c r="I8145" s="197"/>
      <c r="J8145" s="198"/>
      <c r="K8145" s="1307">
        <f>G8145*K8122</f>
        <v>7.5000000000000002E-4</v>
      </c>
      <c r="L8145" s="1335">
        <f t="shared" si="1101"/>
        <v>0</v>
      </c>
      <c r="M8145" s="1302">
        <v>19.23</v>
      </c>
      <c r="N8145" s="1718"/>
      <c r="O8145" s="1290">
        <f t="shared" si="1102"/>
        <v>0.26708333333333334</v>
      </c>
      <c r="P8145" s="1332">
        <f t="shared" si="1103"/>
        <v>1.4422500000000001E-2</v>
      </c>
      <c r="Q8145" s="3396"/>
      <c r="R8145" s="2337"/>
    </row>
    <row r="8146" spans="1:18" s="22" customFormat="1">
      <c r="A8146" s="16"/>
      <c r="B8146" s="1599"/>
      <c r="C8146" s="1320"/>
      <c r="D8146" s="1430" t="s">
        <v>1067</v>
      </c>
      <c r="E8146" s="1857" t="s">
        <v>1508</v>
      </c>
      <c r="F8146" s="1430" t="s">
        <v>1512</v>
      </c>
      <c r="G8146" s="1822">
        <v>1.0861458333333334</v>
      </c>
      <c r="H8146" s="1359"/>
      <c r="I8146" s="1299"/>
      <c r="J8146" s="1300"/>
      <c r="K8146" s="1307">
        <f>G8146*K8122</f>
        <v>5.8651875000000006E-2</v>
      </c>
      <c r="L8146" s="1335">
        <f t="shared" si="1101"/>
        <v>0</v>
      </c>
      <c r="M8146" s="1302">
        <v>18.28</v>
      </c>
      <c r="N8146" s="1700"/>
      <c r="O8146" s="1290">
        <f t="shared" si="1102"/>
        <v>19.854745833333336</v>
      </c>
      <c r="P8146" s="1332">
        <f t="shared" si="1103"/>
        <v>1.0721562750000002</v>
      </c>
      <c r="Q8146" s="3391"/>
      <c r="R8146" s="2339"/>
    </row>
    <row r="8147" spans="1:18" s="22" customFormat="1">
      <c r="A8147"/>
      <c r="B8147" s="1320"/>
      <c r="C8147" s="16"/>
      <c r="D8147" s="1359"/>
      <c r="E8147" s="1858"/>
      <c r="F8147" s="1474"/>
      <c r="G8147" s="1474"/>
      <c r="H8147" s="1466"/>
      <c r="I8147" s="1289"/>
      <c r="J8147" s="8"/>
      <c r="K8147" s="1307"/>
      <c r="L8147" s="1335"/>
      <c r="M8147" s="1302"/>
      <c r="N8147" s="1700"/>
      <c r="O8147" s="1290"/>
      <c r="P8147" s="1332"/>
      <c r="Q8147" s="3391"/>
      <c r="R8147" s="1296"/>
    </row>
    <row r="8148" spans="1:18" s="22" customFormat="1">
      <c r="A8148" s="1320"/>
      <c r="B8148" s="1599"/>
      <c r="C8148" s="1320"/>
      <c r="D8148" s="1373"/>
      <c r="E8148" s="2123"/>
      <c r="F8148" s="1374" t="s">
        <v>3</v>
      </c>
      <c r="G8148" s="1375"/>
      <c r="H8148" s="1376"/>
      <c r="I8148" s="1382"/>
      <c r="J8148" s="1383"/>
      <c r="K8148" s="1383"/>
      <c r="L8148" s="1413"/>
      <c r="M8148" s="1376"/>
      <c r="N8148" s="1376"/>
      <c r="O8148" s="1376"/>
      <c r="P8148" s="1373"/>
      <c r="Q8148" s="3387"/>
      <c r="R8148" s="2339"/>
    </row>
    <row r="8149" spans="1:18" s="22" customFormat="1">
      <c r="A8149" s="1321"/>
      <c r="B8149" s="2053"/>
      <c r="C8149" s="1321"/>
      <c r="D8149" s="1827" t="s">
        <v>1080</v>
      </c>
      <c r="E8149" s="2173" t="s">
        <v>1508</v>
      </c>
      <c r="F8149" s="1827" t="s">
        <v>1511</v>
      </c>
      <c r="G8149" s="1828">
        <v>1.3888888888888888E-2</v>
      </c>
      <c r="H8149" s="1379"/>
      <c r="I8149" s="1299"/>
      <c r="J8149" s="1300"/>
      <c r="K8149" s="1307">
        <f>G8149*K8122</f>
        <v>7.5000000000000002E-4</v>
      </c>
      <c r="L8149" s="1335">
        <f t="shared" ref="L8149" si="1104">K8149*$K$7278</f>
        <v>0</v>
      </c>
      <c r="M8149" s="1302">
        <v>6.35</v>
      </c>
      <c r="N8149" s="1700"/>
      <c r="O8149" s="1290">
        <f t="shared" ref="O8149" si="1105">G8149*M8149</f>
        <v>8.8194444444444436E-2</v>
      </c>
      <c r="P8149" s="1332">
        <f t="shared" ref="P8149" si="1106">M8149*K8149</f>
        <v>4.7625000000000002E-3</v>
      </c>
      <c r="Q8149" s="3391"/>
      <c r="R8149" s="2339"/>
    </row>
    <row r="8150" spans="1:18" s="22" customFormat="1">
      <c r="A8150" s="1321"/>
      <c r="B8150" s="2053"/>
      <c r="C8150" s="1321"/>
      <c r="D8150" s="1377"/>
      <c r="E8150" s="2124"/>
      <c r="F8150" s="1378"/>
      <c r="G8150" s="1378"/>
      <c r="H8150" s="1379"/>
      <c r="I8150" s="1299"/>
      <c r="J8150" s="1300"/>
      <c r="K8150" s="1307"/>
      <c r="L8150" s="1335"/>
      <c r="M8150" s="1302"/>
      <c r="N8150" s="1700"/>
      <c r="O8150" s="1290"/>
      <c r="P8150" s="1333"/>
      <c r="Q8150" s="3391"/>
      <c r="R8150" s="2339"/>
    </row>
    <row r="8151" spans="1:18" s="22" customFormat="1">
      <c r="A8151" s="1042"/>
      <c r="B8151" s="1765"/>
      <c r="C8151" s="223"/>
      <c r="D8151" s="1373"/>
      <c r="E8151" s="2161"/>
      <c r="F8151" s="1678"/>
      <c r="G8151" s="1678"/>
      <c r="H8151" s="1376"/>
      <c r="I8151" s="1299"/>
      <c r="J8151" s="1300"/>
      <c r="K8151" s="1307"/>
      <c r="L8151" s="1335"/>
      <c r="M8151" s="1302"/>
      <c r="N8151" s="1700"/>
      <c r="O8151" s="1290"/>
      <c r="P8151" s="1332"/>
      <c r="Q8151" s="3391"/>
      <c r="R8151" s="2339"/>
    </row>
    <row r="8152" spans="1:18" s="22" customFormat="1">
      <c r="A8152" s="18" t="s">
        <v>3764</v>
      </c>
      <c r="B8152" s="4325" t="s">
        <v>2434</v>
      </c>
      <c r="C8152" s="4161"/>
      <c r="D8152" s="4327"/>
      <c r="E8152" s="4329" t="s">
        <v>1504</v>
      </c>
      <c r="F8152" s="4336" t="s">
        <v>2435</v>
      </c>
      <c r="G8152" s="4331" t="s">
        <v>1568</v>
      </c>
      <c r="H8152" s="4331" t="s">
        <v>1574</v>
      </c>
      <c r="I8152" s="1572" t="s">
        <v>1559</v>
      </c>
      <c r="J8152" s="1294" t="s">
        <v>1560</v>
      </c>
      <c r="K8152" s="1294" t="s">
        <v>1569</v>
      </c>
      <c r="L8152" s="4333" t="s">
        <v>3765</v>
      </c>
      <c r="M8152" s="4335" t="s">
        <v>1571</v>
      </c>
      <c r="N8152" s="4323" t="s">
        <v>1776</v>
      </c>
      <c r="O8152" s="4160" t="s">
        <v>1563</v>
      </c>
      <c r="P8152" s="1336" t="s">
        <v>1562</v>
      </c>
      <c r="Q8152" s="3389"/>
      <c r="R8152" s="1699" t="s">
        <v>1327</v>
      </c>
    </row>
    <row r="8153" spans="1:18" s="22" customFormat="1">
      <c r="A8153" s="1662" t="s">
        <v>3877</v>
      </c>
      <c r="B8153" s="4326"/>
      <c r="C8153" s="4162"/>
      <c r="D8153" s="4328"/>
      <c r="E8153" s="4330"/>
      <c r="F8153" s="4336"/>
      <c r="G8153" s="4332"/>
      <c r="H8153" s="4332"/>
      <c r="I8153" s="1345">
        <v>0.4</v>
      </c>
      <c r="J8153" s="1307">
        <v>5.0000000000000001E-3</v>
      </c>
      <c r="K8153" s="1297">
        <f>I8153*J8153</f>
        <v>2E-3</v>
      </c>
      <c r="L8153" s="4334"/>
      <c r="M8153" s="4335"/>
      <c r="N8153" s="4324"/>
      <c r="O8153" s="1298">
        <f>SUM(O8155:O8167)</f>
        <v>785.37700000000007</v>
      </c>
      <c r="P8153" s="1337">
        <f>O8153*K8153</f>
        <v>1.5707540000000002</v>
      </c>
      <c r="Q8153" s="3390"/>
      <c r="R8153" s="1721">
        <f>SUM(P8155:P8167)</f>
        <v>1.5707539999999998</v>
      </c>
    </row>
    <row r="8154" spans="1:18" s="22" customFormat="1">
      <c r="A8154" s="1320"/>
      <c r="B8154" s="1949"/>
      <c r="C8154" s="1327"/>
      <c r="D8154" s="1367"/>
      <c r="E8154" s="2121"/>
      <c r="F8154" s="1389" t="s">
        <v>1</v>
      </c>
      <c r="G8154" s="1389"/>
      <c r="H8154" s="1369"/>
      <c r="I8154" s="2088"/>
      <c r="J8154" s="1369"/>
      <c r="K8154" s="1391"/>
      <c r="L8154" s="1559"/>
      <c r="M8154" s="1369"/>
      <c r="N8154" s="1369"/>
      <c r="O8154" s="1369"/>
      <c r="P8154" s="1392"/>
      <c r="Q8154" s="3395"/>
      <c r="R8154" s="2339"/>
    </row>
    <row r="8155" spans="1:18" s="22" customFormat="1">
      <c r="A8155" s="1320"/>
      <c r="B8155" s="1599"/>
      <c r="C8155" s="1320"/>
      <c r="D8155" s="1598" t="s">
        <v>2442</v>
      </c>
      <c r="E8155" s="2154" t="s">
        <v>1504</v>
      </c>
      <c r="F8155" s="1598" t="s">
        <v>2443</v>
      </c>
      <c r="G8155" s="1612">
        <v>1</v>
      </c>
      <c r="H8155" s="1369"/>
      <c r="I8155" s="1299"/>
      <c r="J8155" s="1300"/>
      <c r="K8155" s="1307">
        <f>K8153*G8155</f>
        <v>2E-3</v>
      </c>
      <c r="L8155" s="1335">
        <f t="shared" ref="L8155:L8156" si="1107">K8155*$K$7278</f>
        <v>0</v>
      </c>
      <c r="M8155" s="1302">
        <v>229.39</v>
      </c>
      <c r="N8155" s="1700"/>
      <c r="O8155" s="1290">
        <f>G8155*M8155</f>
        <v>229.39</v>
      </c>
      <c r="P8155" s="1332">
        <f>M8155*K8155</f>
        <v>0.45877999999999997</v>
      </c>
      <c r="Q8155" s="3391"/>
      <c r="R8155" s="2339"/>
    </row>
    <row r="8156" spans="1:18" s="22" customFormat="1">
      <c r="A8156" s="1042"/>
      <c r="B8156" s="1599"/>
      <c r="C8156" s="1042"/>
      <c r="D8156" s="1598" t="s">
        <v>2440</v>
      </c>
      <c r="E8156" s="2154" t="s">
        <v>1504</v>
      </c>
      <c r="F8156" s="1598" t="s">
        <v>2441</v>
      </c>
      <c r="G8156" s="1612">
        <v>20</v>
      </c>
      <c r="H8156" s="1674"/>
      <c r="I8156" s="1299"/>
      <c r="J8156" s="1300"/>
      <c r="K8156" s="1307">
        <f>K8153*G8156</f>
        <v>0.04</v>
      </c>
      <c r="L8156" s="1335">
        <f t="shared" si="1107"/>
        <v>0</v>
      </c>
      <c r="M8156" s="1302">
        <v>10.45</v>
      </c>
      <c r="N8156" s="1700"/>
      <c r="O8156" s="1290">
        <f>G8156*M8156</f>
        <v>209</v>
      </c>
      <c r="P8156" s="1332">
        <f>M8156*K8156</f>
        <v>0.41799999999999998</v>
      </c>
      <c r="Q8156" s="3391"/>
      <c r="R8156" s="2339"/>
    </row>
    <row r="8157" spans="1:18" s="22" customFormat="1">
      <c r="A8157" s="1042"/>
      <c r="B8157" s="1599"/>
      <c r="C8157" s="1042"/>
      <c r="D8157" s="1598" t="s">
        <v>2438</v>
      </c>
      <c r="E8157" s="2154" t="s">
        <v>1504</v>
      </c>
      <c r="F8157" s="1598" t="s">
        <v>2439</v>
      </c>
      <c r="G8157" s="1612">
        <v>20</v>
      </c>
      <c r="H8157" s="3963"/>
      <c r="I8157" s="1299"/>
      <c r="J8157" s="3939"/>
      <c r="K8157" s="1307">
        <f>K8153*G8157</f>
        <v>0.04</v>
      </c>
      <c r="L8157" s="1335">
        <f t="shared" ref="L8157:L8160" si="1108">K8157*$K$7278</f>
        <v>0</v>
      </c>
      <c r="M8157" s="3918">
        <v>7.1</v>
      </c>
      <c r="N8157" s="1700"/>
      <c r="O8157" s="1290">
        <f t="shared" ref="O8157:O8160" si="1109">G8157*M8157</f>
        <v>142</v>
      </c>
      <c r="P8157" s="1332">
        <f t="shared" ref="P8157:P8159" si="1110">M8157*K8157</f>
        <v>0.28399999999999997</v>
      </c>
      <c r="Q8157" s="3391"/>
      <c r="R8157" s="2339"/>
    </row>
    <row r="8158" spans="1:18" s="22" customFormat="1">
      <c r="A8158" s="1042"/>
      <c r="B8158" s="1599"/>
      <c r="C8158" s="1042"/>
      <c r="D8158" s="1598" t="s">
        <v>2436</v>
      </c>
      <c r="E8158" s="2154" t="s">
        <v>1504</v>
      </c>
      <c r="F8158" s="1598" t="s">
        <v>2437</v>
      </c>
      <c r="G8158" s="1612">
        <v>20</v>
      </c>
      <c r="H8158" s="3963"/>
      <c r="I8158" s="1299"/>
      <c r="J8158" s="3939"/>
      <c r="K8158" s="1307">
        <f>K8153*G8158</f>
        <v>0.04</v>
      </c>
      <c r="L8158" s="1335">
        <f t="shared" si="1108"/>
        <v>0</v>
      </c>
      <c r="M8158" s="3918">
        <v>5.55</v>
      </c>
      <c r="N8158" s="1700"/>
      <c r="O8158" s="1290">
        <f t="shared" si="1109"/>
        <v>111</v>
      </c>
      <c r="P8158" s="1332">
        <f t="shared" si="1110"/>
        <v>0.222</v>
      </c>
      <c r="Q8158" s="3391"/>
      <c r="R8158" s="2339"/>
    </row>
    <row r="8159" spans="1:18" s="22" customFormat="1">
      <c r="A8159" s="1042"/>
      <c r="B8159" s="1599"/>
      <c r="C8159" s="1042"/>
      <c r="D8159" s="1598" t="s">
        <v>2444</v>
      </c>
      <c r="E8159" s="2154" t="s">
        <v>1504</v>
      </c>
      <c r="F8159" s="1598" t="s">
        <v>2445</v>
      </c>
      <c r="G8159" s="1612">
        <v>2</v>
      </c>
      <c r="H8159" s="3963"/>
      <c r="I8159" s="1299"/>
      <c r="J8159" s="3939"/>
      <c r="K8159" s="1307">
        <f>K8153*G8159</f>
        <v>4.0000000000000001E-3</v>
      </c>
      <c r="L8159" s="1335">
        <f t="shared" si="1108"/>
        <v>0</v>
      </c>
      <c r="M8159" s="3918">
        <v>11.25</v>
      </c>
      <c r="N8159" s="1700"/>
      <c r="O8159" s="1290">
        <f t="shared" si="1109"/>
        <v>22.5</v>
      </c>
      <c r="P8159" s="1332">
        <f t="shared" si="1110"/>
        <v>4.4999999999999998E-2</v>
      </c>
      <c r="Q8159" s="3391"/>
      <c r="R8159" s="2339"/>
    </row>
    <row r="8160" spans="1:18" s="22" customFormat="1">
      <c r="A8160" s="1042"/>
      <c r="B8160" s="1599"/>
      <c r="C8160" s="1042"/>
      <c r="D8160" s="1598" t="s">
        <v>1082</v>
      </c>
      <c r="E8160" s="2154" t="s">
        <v>1504</v>
      </c>
      <c r="F8160" s="1598" t="s">
        <v>1541</v>
      </c>
      <c r="G8160" s="1612">
        <v>4</v>
      </c>
      <c r="H8160" s="3963"/>
      <c r="I8160" s="1299"/>
      <c r="J8160" s="3939"/>
      <c r="K8160" s="1307">
        <f>K8153*G8160</f>
        <v>8.0000000000000002E-3</v>
      </c>
      <c r="L8160" s="1335">
        <f t="shared" si="1108"/>
        <v>0</v>
      </c>
      <c r="M8160" s="3918">
        <v>0.3</v>
      </c>
      <c r="N8160" s="1700"/>
      <c r="O8160" s="1290">
        <f t="shared" si="1109"/>
        <v>1.2</v>
      </c>
      <c r="P8160" s="1739">
        <f>M8160*K8160</f>
        <v>2.3999999999999998E-3</v>
      </c>
      <c r="Q8160" s="3391"/>
      <c r="R8160" s="2339"/>
    </row>
    <row r="8161" spans="1:19" s="22" customFormat="1">
      <c r="A8161" s="1042"/>
      <c r="B8161" s="1599"/>
      <c r="C8161" s="1042"/>
      <c r="D8161" s="1598"/>
      <c r="E8161" s="2154"/>
      <c r="F8161" s="1598"/>
      <c r="G8161" s="1612"/>
      <c r="H8161" s="3963"/>
      <c r="I8161" s="1299"/>
      <c r="J8161" s="3939"/>
      <c r="K8161" s="1307"/>
      <c r="L8161" s="1335"/>
      <c r="M8161" s="3918"/>
      <c r="N8161" s="1700"/>
      <c r="O8161" s="1290"/>
      <c r="P8161" s="3919"/>
      <c r="Q8161" s="3391"/>
      <c r="R8161" s="2339"/>
    </row>
    <row r="8162" spans="1:19" s="22" customFormat="1">
      <c r="A8162" s="1042"/>
      <c r="B8162" s="1599"/>
      <c r="C8162" s="1042"/>
      <c r="D8162" s="1598"/>
      <c r="E8162" s="2154"/>
      <c r="F8162" s="1598"/>
      <c r="G8162" s="1612"/>
      <c r="H8162" s="1674"/>
      <c r="I8162" s="1299"/>
      <c r="J8162" s="1300"/>
      <c r="K8162" s="1307"/>
      <c r="L8162" s="1335"/>
      <c r="M8162" s="1302"/>
      <c r="N8162" s="1700"/>
      <c r="O8162" s="1290"/>
      <c r="P8162" s="1332"/>
      <c r="Q8162" s="3391"/>
      <c r="R8162" s="2339"/>
    </row>
    <row r="8163" spans="1:19" s="22" customFormat="1">
      <c r="A8163" s="1042"/>
      <c r="B8163" s="1599"/>
      <c r="C8163" s="1042"/>
      <c r="D8163" s="1598"/>
      <c r="E8163" s="2154"/>
      <c r="F8163" s="1598"/>
      <c r="G8163" s="1612"/>
      <c r="H8163" s="1674"/>
      <c r="I8163" s="1299"/>
      <c r="J8163" s="1300"/>
      <c r="K8163" s="1307"/>
      <c r="L8163" s="1335"/>
      <c r="M8163" s="1302"/>
      <c r="N8163" s="1700"/>
      <c r="O8163" s="1290"/>
      <c r="P8163" s="1332"/>
      <c r="Q8163" s="3391"/>
      <c r="R8163" s="2339"/>
    </row>
    <row r="8164" spans="1:19" s="22" customFormat="1">
      <c r="A8164" s="1042"/>
      <c r="B8164" s="1599"/>
      <c r="C8164" s="1042"/>
      <c r="D8164" s="1367"/>
      <c r="E8164" s="2121"/>
      <c r="F8164" s="1436"/>
      <c r="G8164" s="1436"/>
      <c r="H8164" s="1391"/>
      <c r="I8164" s="1299"/>
      <c r="J8164" s="1300"/>
      <c r="K8164" s="1307"/>
      <c r="L8164" s="1335"/>
      <c r="M8164" s="1302"/>
      <c r="N8164" s="1700"/>
      <c r="O8164" s="1290"/>
      <c r="P8164" s="1332"/>
      <c r="Q8164" s="3391"/>
      <c r="R8164" s="2339"/>
    </row>
    <row r="8165" spans="1:19" s="22" customFormat="1">
      <c r="A8165" s="1042"/>
      <c r="B8165" s="1599"/>
      <c r="C8165" s="1042"/>
      <c r="D8165" s="1359"/>
      <c r="E8165" s="1858"/>
      <c r="F8165" s="1360" t="s">
        <v>2</v>
      </c>
      <c r="G8165" s="1360"/>
      <c r="H8165" s="1381"/>
      <c r="I8165" s="1380"/>
      <c r="J8165" s="1381"/>
      <c r="K8165" s="1381"/>
      <c r="L8165" s="1458"/>
      <c r="M8165" s="1362"/>
      <c r="N8165" s="1362"/>
      <c r="O8165" s="1362"/>
      <c r="P8165" s="1359"/>
      <c r="Q8165" s="3387"/>
      <c r="R8165" s="2339"/>
    </row>
    <row r="8166" spans="1:19" s="22" customFormat="1">
      <c r="A8166" s="1321"/>
      <c r="B8166" s="2053"/>
      <c r="C8166" s="1321"/>
      <c r="D8166" s="1655" t="s">
        <v>1099</v>
      </c>
      <c r="E8166" s="1859" t="s">
        <v>1508</v>
      </c>
      <c r="F8166" s="1655" t="s">
        <v>1633</v>
      </c>
      <c r="G8166" s="1625">
        <v>2.5</v>
      </c>
      <c r="H8166" s="4178"/>
      <c r="I8166" s="1299"/>
      <c r="J8166" s="1300"/>
      <c r="K8166" s="1307">
        <f>G8166*K8153</f>
        <v>5.0000000000000001E-3</v>
      </c>
      <c r="L8166" s="1335">
        <f t="shared" ref="L8166" si="1111">K8166*$K$7278</f>
        <v>0</v>
      </c>
      <c r="M8166" s="1302">
        <v>19.23</v>
      </c>
      <c r="N8166" s="1700"/>
      <c r="O8166" s="1290">
        <f>G8166*M8166</f>
        <v>48.075000000000003</v>
      </c>
      <c r="P8166" s="1332">
        <f>M8166*K8166</f>
        <v>9.6149999999999999E-2</v>
      </c>
      <c r="Q8166" s="3391"/>
      <c r="R8166" s="2339"/>
    </row>
    <row r="8167" spans="1:19" s="22" customFormat="1">
      <c r="A8167"/>
      <c r="B8167" s="1042"/>
      <c r="C8167" s="2086" t="s">
        <v>2282</v>
      </c>
      <c r="D8167" s="1311"/>
      <c r="E8167" s="2176" t="s">
        <v>1508</v>
      </c>
      <c r="F8167" s="1648" t="s">
        <v>2283</v>
      </c>
      <c r="G8167" s="1990"/>
      <c r="H8167" s="1457">
        <v>0.6</v>
      </c>
      <c r="I8167" s="1444"/>
      <c r="J8167" s="1388"/>
      <c r="K8167" s="1445"/>
      <c r="L8167" s="1457"/>
      <c r="M8167" s="1447"/>
      <c r="N8167" s="1447">
        <f>SUM(N8168:N8169)</f>
        <v>37.019999999999996</v>
      </c>
      <c r="O8167" s="1447">
        <f>SUM(O8168:O8169)</f>
        <v>22.211999999999996</v>
      </c>
      <c r="P8167" s="1447">
        <f>SUM(P8168:P8169)</f>
        <v>4.4423999999999998E-2</v>
      </c>
      <c r="Q8167" s="3391"/>
      <c r="R8167" s="2337"/>
    </row>
    <row r="8168" spans="1:19" s="22" customFormat="1">
      <c r="A8168"/>
      <c r="B8168" s="1042"/>
      <c r="C8168" s="19"/>
      <c r="D8168" s="1430" t="s">
        <v>1067</v>
      </c>
      <c r="E8168" s="1857" t="s">
        <v>1508</v>
      </c>
      <c r="F8168" s="1403" t="s">
        <v>5</v>
      </c>
      <c r="G8168" s="1991">
        <v>1</v>
      </c>
      <c r="H8168" s="1937">
        <f>G8168*H8167</f>
        <v>0.6</v>
      </c>
      <c r="I8168" s="1286"/>
      <c r="J8168" s="198"/>
      <c r="K8168" s="1307">
        <f>H8168*K8153</f>
        <v>1.1999999999999999E-3</v>
      </c>
      <c r="L8168" s="1335">
        <f t="shared" ref="L8168:L8169" si="1112">K8168*$K$7278</f>
        <v>0</v>
      </c>
      <c r="M8168" s="1302">
        <v>18.28</v>
      </c>
      <c r="N8168" s="1718">
        <f>G8168*M8168</f>
        <v>18.28</v>
      </c>
      <c r="O8168" s="1290">
        <f>H8168*M8168</f>
        <v>10.968</v>
      </c>
      <c r="P8168" s="1720">
        <f>M8168*K8168</f>
        <v>2.1936000000000001E-2</v>
      </c>
      <c r="Q8168" s="3396"/>
      <c r="R8168" s="2337"/>
    </row>
    <row r="8169" spans="1:19" s="22" customFormat="1">
      <c r="A8169"/>
      <c r="B8169" s="1042"/>
      <c r="C8169" s="19"/>
      <c r="D8169" s="1430" t="s">
        <v>1165</v>
      </c>
      <c r="E8169" s="1857" t="s">
        <v>1508</v>
      </c>
      <c r="F8169" s="1394" t="s">
        <v>114</v>
      </c>
      <c r="G8169" s="2183">
        <v>1</v>
      </c>
      <c r="H8169" s="3417">
        <f>G8169*H8167</f>
        <v>0.6</v>
      </c>
      <c r="I8169" s="197"/>
      <c r="J8169" s="198"/>
      <c r="K8169" s="1307">
        <f>H8169*K8153</f>
        <v>1.1999999999999999E-3</v>
      </c>
      <c r="L8169" s="1335">
        <f t="shared" si="1112"/>
        <v>0</v>
      </c>
      <c r="M8169" s="1302">
        <v>18.739999999999998</v>
      </c>
      <c r="N8169" s="1718">
        <f>G8169*M8169</f>
        <v>18.739999999999998</v>
      </c>
      <c r="O8169" s="1290">
        <f>H8169*M8169</f>
        <v>11.243999999999998</v>
      </c>
      <c r="P8169" s="1720">
        <f>M8169*K8169</f>
        <v>2.2487999999999998E-2</v>
      </c>
      <c r="Q8169" s="3396"/>
      <c r="R8169" s="2337"/>
    </row>
    <row r="8170" spans="1:19" s="22" customFormat="1">
      <c r="A8170" s="16"/>
      <c r="B8170" s="1599"/>
      <c r="C8170" s="1320"/>
      <c r="D8170" s="1430"/>
      <c r="E8170" s="1857"/>
      <c r="F8170" s="1430"/>
      <c r="G8170" s="1822"/>
      <c r="H8170" s="1359"/>
      <c r="I8170" s="1299"/>
      <c r="J8170" s="1300"/>
      <c r="K8170" s="1307"/>
      <c r="L8170" s="1335"/>
      <c r="M8170" s="1302"/>
      <c r="N8170" s="1700"/>
      <c r="O8170" s="1290"/>
      <c r="P8170" s="1332"/>
      <c r="Q8170" s="3391"/>
      <c r="R8170" s="2339"/>
    </row>
    <row r="8171" spans="1:19" s="22" customFormat="1">
      <c r="A8171"/>
      <c r="B8171" s="1320"/>
      <c r="C8171" s="16"/>
      <c r="D8171" s="1359"/>
      <c r="E8171" s="1858"/>
      <c r="F8171" s="1474"/>
      <c r="G8171" s="1474"/>
      <c r="H8171" s="1466"/>
      <c r="I8171" s="1289"/>
      <c r="J8171" s="8"/>
      <c r="K8171" s="1307"/>
      <c r="L8171" s="1335"/>
      <c r="M8171" s="1302"/>
      <c r="N8171" s="1700"/>
      <c r="O8171" s="1290"/>
      <c r="P8171" s="1332"/>
      <c r="Q8171" s="3391"/>
      <c r="R8171" s="1296"/>
    </row>
    <row r="8172" spans="1:19" s="22" customFormat="1">
      <c r="A8172" s="1320"/>
      <c r="B8172" s="1599"/>
      <c r="C8172" s="1320"/>
      <c r="D8172" s="1373"/>
      <c r="E8172" s="2123"/>
      <c r="F8172" s="1374" t="s">
        <v>3</v>
      </c>
      <c r="G8172" s="1375"/>
      <c r="H8172" s="1376"/>
      <c r="I8172" s="1382"/>
      <c r="J8172" s="1383"/>
      <c r="K8172" s="1383"/>
      <c r="L8172" s="1413"/>
      <c r="M8172" s="1376"/>
      <c r="N8172" s="1376"/>
      <c r="O8172" s="1376"/>
      <c r="P8172" s="1373"/>
      <c r="Q8172" s="3387"/>
      <c r="R8172" s="2339"/>
    </row>
    <row r="8173" spans="1:19" s="22" customFormat="1">
      <c r="A8173" s="1321"/>
      <c r="B8173" s="2053"/>
      <c r="C8173" s="1321"/>
      <c r="D8173" s="1827"/>
      <c r="E8173" s="2173"/>
      <c r="F8173" s="1827"/>
      <c r="G8173" s="1828"/>
      <c r="H8173" s="1379"/>
      <c r="I8173" s="1299"/>
      <c r="J8173" s="1300"/>
      <c r="K8173" s="1307"/>
      <c r="L8173" s="1335"/>
      <c r="M8173" s="1302"/>
      <c r="N8173" s="1700"/>
      <c r="O8173" s="1290"/>
      <c r="P8173" s="1332"/>
      <c r="Q8173" s="3391"/>
      <c r="R8173" s="2339"/>
    </row>
    <row r="8174" spans="1:19" s="22" customFormat="1">
      <c r="A8174" s="1321"/>
      <c r="B8174" s="2053"/>
      <c r="C8174" s="1321"/>
      <c r="D8174" s="1377"/>
      <c r="E8174" s="2124"/>
      <c r="F8174" s="1378"/>
      <c r="G8174" s="1378"/>
      <c r="H8174" s="1379"/>
      <c r="I8174" s="1299"/>
      <c r="J8174" s="1300"/>
      <c r="K8174" s="1307"/>
      <c r="L8174" s="1335"/>
      <c r="M8174" s="1302"/>
      <c r="N8174" s="1700"/>
      <c r="O8174" s="1290"/>
      <c r="P8174" s="1333"/>
      <c r="Q8174" s="3391"/>
      <c r="R8174" s="2339"/>
    </row>
    <row r="8175" spans="1:19" s="22" customFormat="1">
      <c r="A8175" s="1042"/>
      <c r="B8175" s="1765"/>
      <c r="C8175" s="223"/>
      <c r="D8175" s="1373"/>
      <c r="E8175" s="2161"/>
      <c r="F8175" s="1678"/>
      <c r="G8175" s="1678"/>
      <c r="H8175" s="1376"/>
      <c r="I8175" s="1299"/>
      <c r="J8175" s="1300"/>
      <c r="K8175" s="1307"/>
      <c r="L8175" s="1335"/>
      <c r="M8175" s="1302"/>
      <c r="N8175" s="1700"/>
      <c r="O8175" s="1290"/>
      <c r="P8175" s="1332"/>
      <c r="Q8175" s="3391"/>
      <c r="R8175" s="2339"/>
    </row>
    <row r="8176" spans="1:19" s="22" customFormat="1">
      <c r="A8176" s="18" t="s">
        <v>3764</v>
      </c>
      <c r="B8176" s="4325" t="s">
        <v>3886</v>
      </c>
      <c r="C8176" s="4150"/>
      <c r="D8176" s="4327"/>
      <c r="E8176" s="4329" t="s">
        <v>1527</v>
      </c>
      <c r="F8176" s="4336" t="s">
        <v>3891</v>
      </c>
      <c r="G8176" s="4331" t="s">
        <v>1568</v>
      </c>
      <c r="H8176" s="4331" t="s">
        <v>1574</v>
      </c>
      <c r="I8176" s="1572" t="s">
        <v>1559</v>
      </c>
      <c r="J8176" s="1294" t="s">
        <v>1560</v>
      </c>
      <c r="K8176" s="1294" t="s">
        <v>1569</v>
      </c>
      <c r="L8176" s="4333" t="s">
        <v>3765</v>
      </c>
      <c r="M8176" s="4335" t="s">
        <v>1571</v>
      </c>
      <c r="N8176" s="4323" t="s">
        <v>1776</v>
      </c>
      <c r="O8176" s="4148" t="s">
        <v>1563</v>
      </c>
      <c r="P8176" s="1336" t="s">
        <v>1562</v>
      </c>
      <c r="Q8176" s="3389"/>
      <c r="R8176" s="1699" t="s">
        <v>1327</v>
      </c>
      <c r="S8176" s="16"/>
    </row>
    <row r="8177" spans="1:19" s="22" customFormat="1">
      <c r="A8177" s="1662" t="s">
        <v>3877</v>
      </c>
      <c r="B8177" s="4326"/>
      <c r="C8177" s="4151"/>
      <c r="D8177" s="4328"/>
      <c r="E8177" s="4330"/>
      <c r="F8177" s="4336"/>
      <c r="G8177" s="4332"/>
      <c r="H8177" s="4332"/>
      <c r="I8177" s="1345">
        <v>42</v>
      </c>
      <c r="J8177" s="1307">
        <v>5.0000000000000001E-3</v>
      </c>
      <c r="K8177" s="1666">
        <f>I8177*J8177</f>
        <v>0.21</v>
      </c>
      <c r="L8177" s="4334"/>
      <c r="M8177" s="4335"/>
      <c r="N8177" s="4324"/>
      <c r="O8177" s="1298">
        <f>SUM(O8179:O8186)</f>
        <v>9.0747999999999998</v>
      </c>
      <c r="P8177" s="1337">
        <f>O8177*K8177</f>
        <v>1.905708</v>
      </c>
      <c r="Q8177" s="3390"/>
      <c r="R8177" s="1721">
        <f>SUM(P8179:P8186)</f>
        <v>1.905708</v>
      </c>
      <c r="S8177" s="16"/>
    </row>
    <row r="8178" spans="1:19" s="22" customFormat="1">
      <c r="A8178" s="1320"/>
      <c r="B8178" s="1949"/>
      <c r="C8178" s="1327"/>
      <c r="D8178" s="1367"/>
      <c r="E8178" s="2121"/>
      <c r="F8178" s="1389" t="s">
        <v>1</v>
      </c>
      <c r="G8178" s="1389"/>
      <c r="H8178" s="1369"/>
      <c r="I8178" s="2088"/>
      <c r="J8178" s="1369"/>
      <c r="K8178" s="1391"/>
      <c r="L8178" s="1559"/>
      <c r="M8178" s="1369"/>
      <c r="N8178" s="1369"/>
      <c r="O8178" s="1369"/>
      <c r="P8178" s="1392"/>
      <c r="Q8178" s="3395"/>
      <c r="R8178" s="2339"/>
      <c r="S8178" s="16"/>
    </row>
    <row r="8179" spans="1:19" s="22" customFormat="1">
      <c r="A8179" s="1042"/>
      <c r="B8179" s="1599"/>
      <c r="C8179" s="1042"/>
      <c r="D8179" s="1598" t="s">
        <v>2338</v>
      </c>
      <c r="E8179" s="2154" t="s">
        <v>1527</v>
      </c>
      <c r="F8179" s="1598" t="s">
        <v>2339</v>
      </c>
      <c r="G8179" s="1612">
        <v>1.01</v>
      </c>
      <c r="H8179" s="1674"/>
      <c r="I8179" s="1299"/>
      <c r="J8179" s="1300"/>
      <c r="K8179" s="1307">
        <f>K8177*G8179</f>
        <v>0.21209999999999998</v>
      </c>
      <c r="L8179" s="1335">
        <f t="shared" ref="L8179:L8181" si="1113">K8179*$K$7278</f>
        <v>0</v>
      </c>
      <c r="M8179" s="1302">
        <v>3.37</v>
      </c>
      <c r="N8179" s="1700"/>
      <c r="O8179" s="1290">
        <f>G8179*M8179</f>
        <v>3.4037000000000002</v>
      </c>
      <c r="P8179" s="1332">
        <f>M8179*K8179</f>
        <v>0.714777</v>
      </c>
      <c r="Q8179" s="3391"/>
      <c r="R8179" s="2339"/>
      <c r="S8179" s="16"/>
    </row>
    <row r="8180" spans="1:19" s="22" customFormat="1">
      <c r="A8180" s="1042"/>
      <c r="B8180" s="1599"/>
      <c r="C8180" s="1042"/>
      <c r="D8180" s="1598" t="s">
        <v>2304</v>
      </c>
      <c r="E8180" s="2154" t="s">
        <v>1527</v>
      </c>
      <c r="F8180" s="1598" t="s">
        <v>2305</v>
      </c>
      <c r="G8180" s="1612">
        <v>1.01</v>
      </c>
      <c r="H8180" s="3963"/>
      <c r="I8180" s="1299"/>
      <c r="J8180" s="3939"/>
      <c r="K8180" s="1307">
        <f>K8177*G8180</f>
        <v>0.21209999999999998</v>
      </c>
      <c r="L8180" s="1335">
        <f t="shared" ref="L8180" si="1114">K8180*$K$7278</f>
        <v>0</v>
      </c>
      <c r="M8180" s="3918">
        <v>0.2</v>
      </c>
      <c r="N8180" s="1700"/>
      <c r="O8180" s="1290">
        <f>G8180*M8180</f>
        <v>0.20200000000000001</v>
      </c>
      <c r="P8180" s="1332">
        <f>M8180*K8180</f>
        <v>4.2419999999999999E-2</v>
      </c>
      <c r="Q8180" s="3391"/>
      <c r="R8180" s="2339"/>
    </row>
    <row r="8181" spans="1:19" s="22" customFormat="1">
      <c r="A8181" s="1042"/>
      <c r="B8181" s="1599"/>
      <c r="C8181" s="1042"/>
      <c r="D8181" s="1598" t="s">
        <v>1097</v>
      </c>
      <c r="E8181" s="2154" t="s">
        <v>1504</v>
      </c>
      <c r="F8181" s="1598" t="s">
        <v>1632</v>
      </c>
      <c r="G8181" s="1612">
        <v>0.55000000000000004</v>
      </c>
      <c r="H8181" s="1674"/>
      <c r="I8181" s="1299"/>
      <c r="J8181" s="1300"/>
      <c r="K8181" s="1307">
        <f>K8177*G8181</f>
        <v>0.11550000000000001</v>
      </c>
      <c r="L8181" s="1335">
        <f t="shared" si="1113"/>
        <v>0</v>
      </c>
      <c r="M8181" s="1302">
        <v>0.55000000000000004</v>
      </c>
      <c r="N8181" s="1700"/>
      <c r="O8181" s="1290">
        <f>G8181*M8181</f>
        <v>0.30250000000000005</v>
      </c>
      <c r="P8181" s="1332">
        <f>M8181*K8181</f>
        <v>6.3525000000000012E-2</v>
      </c>
      <c r="Q8181" s="3391"/>
      <c r="R8181" s="2339"/>
    </row>
    <row r="8182" spans="1:19" s="22" customFormat="1">
      <c r="A8182" s="1042"/>
      <c r="B8182" s="1599"/>
      <c r="C8182" s="1042"/>
      <c r="D8182" s="1598" t="s">
        <v>1082</v>
      </c>
      <c r="E8182" s="2154" t="s">
        <v>1504</v>
      </c>
      <c r="F8182" s="1598" t="s">
        <v>1541</v>
      </c>
      <c r="G8182" s="1612">
        <v>0.7</v>
      </c>
      <c r="H8182" s="1674"/>
      <c r="I8182" s="1299"/>
      <c r="J8182" s="1300"/>
      <c r="K8182" s="1307">
        <f>K8177*G8182</f>
        <v>0.14699999999999999</v>
      </c>
      <c r="L8182" s="1335">
        <f>K8182*$K$7278</f>
        <v>0</v>
      </c>
      <c r="M8182" s="1302">
        <v>0.3</v>
      </c>
      <c r="N8182" s="1700"/>
      <c r="O8182" s="1290">
        <f>G8182*M8182</f>
        <v>0.21</v>
      </c>
      <c r="P8182" s="1332">
        <f>M8182*K8182</f>
        <v>4.4099999999999993E-2</v>
      </c>
      <c r="Q8182" s="3391"/>
      <c r="R8182" s="2339"/>
    </row>
    <row r="8183" spans="1:19" s="22" customFormat="1">
      <c r="A8183" s="1042"/>
      <c r="B8183" s="1599"/>
      <c r="C8183" s="1042"/>
      <c r="D8183" s="1367"/>
      <c r="E8183" s="2121"/>
      <c r="F8183" s="1436"/>
      <c r="G8183" s="1436"/>
      <c r="H8183" s="1369"/>
      <c r="I8183" s="1299" t="str">
        <f t="shared" ref="I8183" ca="1" si="1115">IF(COUNT(H8183:O8183)=0,"",(SUM(H8183:O8183)/COUNT(H8183:O8183)))</f>
        <v/>
      </c>
      <c r="J8183" s="1300"/>
      <c r="K8183" s="1307"/>
      <c r="L8183" s="1335"/>
      <c r="M8183" s="1302"/>
      <c r="N8183" s="1700"/>
      <c r="O8183" s="1290"/>
      <c r="P8183" s="1332"/>
      <c r="Q8183" s="3391"/>
      <c r="R8183" s="2339"/>
    </row>
    <row r="8184" spans="1:19" s="22" customFormat="1">
      <c r="A8184" s="1042"/>
      <c r="B8184" s="1599"/>
      <c r="C8184" s="1042"/>
      <c r="D8184" s="1359"/>
      <c r="E8184" s="1858"/>
      <c r="F8184" s="1360" t="s">
        <v>2</v>
      </c>
      <c r="G8184" s="1360"/>
      <c r="H8184" s="1362"/>
      <c r="I8184" s="1380"/>
      <c r="J8184" s="1381"/>
      <c r="K8184" s="1381"/>
      <c r="L8184" s="1458"/>
      <c r="M8184" s="1362"/>
      <c r="N8184" s="1362"/>
      <c r="O8184" s="1362"/>
      <c r="P8184" s="1359"/>
      <c r="Q8184" s="3387"/>
      <c r="R8184" s="2339"/>
    </row>
    <row r="8185" spans="1:19" s="22" customFormat="1">
      <c r="A8185" s="1321"/>
      <c r="B8185" s="2053"/>
      <c r="C8185" s="1321"/>
      <c r="D8185" s="1655" t="s">
        <v>1099</v>
      </c>
      <c r="E8185" s="1859" t="s">
        <v>1508</v>
      </c>
      <c r="F8185" s="1655" t="s">
        <v>1633</v>
      </c>
      <c r="G8185" s="1625">
        <v>0.2</v>
      </c>
      <c r="H8185" s="1386"/>
      <c r="I8185" s="1299"/>
      <c r="J8185" s="1300"/>
      <c r="K8185" s="1307">
        <f>G8185*K8177</f>
        <v>4.2000000000000003E-2</v>
      </c>
      <c r="L8185" s="1335">
        <f t="shared" ref="L8185" si="1116">K8185*$K$7278</f>
        <v>0</v>
      </c>
      <c r="M8185" s="1302">
        <v>19.23</v>
      </c>
      <c r="N8185" s="1700"/>
      <c r="O8185" s="1290">
        <f>G8185*M8185</f>
        <v>3.8460000000000001</v>
      </c>
      <c r="P8185" s="1332">
        <f>M8185*K8185</f>
        <v>0.80766000000000004</v>
      </c>
      <c r="Q8185" s="3391"/>
      <c r="R8185" s="2339"/>
    </row>
    <row r="8186" spans="1:19" s="22" customFormat="1">
      <c r="A8186"/>
      <c r="B8186" s="1042"/>
      <c r="C8186" s="2086" t="s">
        <v>2282</v>
      </c>
      <c r="D8186" s="1311"/>
      <c r="E8186" s="2176" t="s">
        <v>1508</v>
      </c>
      <c r="F8186" s="1648" t="s">
        <v>2283</v>
      </c>
      <c r="G8186" s="1990"/>
      <c r="H8186" s="1338">
        <v>0.03</v>
      </c>
      <c r="I8186" s="1444"/>
      <c r="J8186" s="1388"/>
      <c r="K8186" s="1445"/>
      <c r="L8186" s="1457"/>
      <c r="M8186" s="1447"/>
      <c r="N8186" s="1447">
        <f>SUM(N8187:N8188)</f>
        <v>37.019999999999996</v>
      </c>
      <c r="O8186" s="1447">
        <f>SUM(O8187:O8188)</f>
        <v>1.1105999999999998</v>
      </c>
      <c r="P8186" s="1447">
        <f>SUM(P8187:P8188)</f>
        <v>0.23322599999999996</v>
      </c>
      <c r="Q8186" s="3391"/>
      <c r="R8186" s="2337"/>
    </row>
    <row r="8187" spans="1:19" s="22" customFormat="1">
      <c r="A8187"/>
      <c r="B8187" s="1042"/>
      <c r="C8187" s="19"/>
      <c r="D8187" s="1430" t="s">
        <v>1067</v>
      </c>
      <c r="E8187" s="1857" t="s">
        <v>1508</v>
      </c>
      <c r="F8187" s="1403" t="s">
        <v>5</v>
      </c>
      <c r="G8187" s="1991">
        <v>1</v>
      </c>
      <c r="H8187" s="1408">
        <f>G8187*H8186</f>
        <v>0.03</v>
      </c>
      <c r="I8187" s="1286"/>
      <c r="J8187" s="198"/>
      <c r="K8187" s="1307">
        <f>H8187*K8177</f>
        <v>6.2999999999999992E-3</v>
      </c>
      <c r="L8187" s="1335">
        <f t="shared" ref="L8187:L8188" si="1117">K8187*$K$7278</f>
        <v>0</v>
      </c>
      <c r="M8187" s="1302">
        <v>18.28</v>
      </c>
      <c r="N8187" s="1718">
        <f>G8187*M8187</f>
        <v>18.28</v>
      </c>
      <c r="O8187" s="1290">
        <f>H8187*M8187</f>
        <v>0.5484</v>
      </c>
      <c r="P8187" s="1720">
        <f>M8187*K8187</f>
        <v>0.11516399999999999</v>
      </c>
      <c r="Q8187" s="3396"/>
      <c r="R8187" s="2337"/>
    </row>
    <row r="8188" spans="1:19" s="22" customFormat="1">
      <c r="A8188"/>
      <c r="B8188" s="1042"/>
      <c r="C8188" s="19"/>
      <c r="D8188" s="1430" t="s">
        <v>1165</v>
      </c>
      <c r="E8188" s="1857" t="s">
        <v>1508</v>
      </c>
      <c r="F8188" s="1394" t="s">
        <v>114</v>
      </c>
      <c r="G8188" s="2183">
        <v>1</v>
      </c>
      <c r="H8188" s="1395">
        <f>G8188*H8186</f>
        <v>0.03</v>
      </c>
      <c r="I8188" s="197"/>
      <c r="J8188" s="198"/>
      <c r="K8188" s="1307">
        <f>H8188*K8177</f>
        <v>6.2999999999999992E-3</v>
      </c>
      <c r="L8188" s="1335">
        <f t="shared" si="1117"/>
        <v>0</v>
      </c>
      <c r="M8188" s="1302">
        <v>18.739999999999998</v>
      </c>
      <c r="N8188" s="1718">
        <f>G8188*M8188</f>
        <v>18.739999999999998</v>
      </c>
      <c r="O8188" s="1290">
        <f>H8188*M8188</f>
        <v>0.56219999999999992</v>
      </c>
      <c r="P8188" s="1720">
        <f>M8188*K8188</f>
        <v>0.11806199999999997</v>
      </c>
      <c r="Q8188" s="3396"/>
      <c r="R8188" s="2337"/>
    </row>
    <row r="8189" spans="1:19" s="22" customFormat="1">
      <c r="A8189" s="16"/>
      <c r="B8189" s="1599"/>
      <c r="C8189" s="1320"/>
      <c r="D8189" s="1430"/>
      <c r="E8189" s="1857"/>
      <c r="F8189" s="1430"/>
      <c r="G8189" s="1822"/>
      <c r="H8189" s="1359"/>
      <c r="I8189" s="1299"/>
      <c r="J8189" s="1300"/>
      <c r="K8189" s="1307"/>
      <c r="L8189" s="1335"/>
      <c r="M8189" s="1302"/>
      <c r="N8189" s="1700"/>
      <c r="O8189" s="1290"/>
      <c r="P8189" s="1332"/>
      <c r="Q8189" s="3391"/>
      <c r="R8189" s="2339"/>
    </row>
    <row r="8190" spans="1:19" s="22" customFormat="1">
      <c r="A8190"/>
      <c r="B8190" s="1320"/>
      <c r="C8190" s="16"/>
      <c r="D8190" s="1359"/>
      <c r="E8190" s="1858"/>
      <c r="F8190" s="1474"/>
      <c r="G8190" s="1474"/>
      <c r="H8190" s="1466"/>
      <c r="I8190" s="1289"/>
      <c r="J8190" s="8"/>
      <c r="K8190" s="1307"/>
      <c r="L8190" s="1335"/>
      <c r="M8190" s="1302"/>
      <c r="N8190" s="1700"/>
      <c r="O8190" s="1290"/>
      <c r="P8190" s="1332"/>
      <c r="Q8190" s="3391"/>
      <c r="R8190" s="1296"/>
    </row>
    <row r="8191" spans="1:19" s="22" customFormat="1">
      <c r="A8191" s="1320"/>
      <c r="B8191" s="1599"/>
      <c r="C8191" s="1320"/>
      <c r="D8191" s="1373"/>
      <c r="E8191" s="2123"/>
      <c r="F8191" s="1374" t="s">
        <v>3</v>
      </c>
      <c r="G8191" s="1375"/>
      <c r="H8191" s="1376"/>
      <c r="I8191" s="1382"/>
      <c r="J8191" s="1383"/>
      <c r="K8191" s="1383"/>
      <c r="L8191" s="1413"/>
      <c r="M8191" s="1376"/>
      <c r="N8191" s="1376"/>
      <c r="O8191" s="1376"/>
      <c r="P8191" s="1373"/>
      <c r="Q8191" s="3387"/>
      <c r="R8191" s="2339"/>
    </row>
    <row r="8192" spans="1:19" s="22" customFormat="1">
      <c r="A8192" s="1321"/>
      <c r="B8192" s="2053"/>
      <c r="C8192" s="1321"/>
      <c r="D8192" s="1827"/>
      <c r="E8192" s="2173"/>
      <c r="F8192" s="1827"/>
      <c r="G8192" s="1828"/>
      <c r="H8192" s="1379"/>
      <c r="I8192" s="1299"/>
      <c r="J8192" s="1300"/>
      <c r="K8192" s="1307"/>
      <c r="L8192" s="1335"/>
      <c r="M8192" s="1302"/>
      <c r="N8192" s="1700"/>
      <c r="O8192" s="1290"/>
      <c r="P8192" s="1332"/>
      <c r="Q8192" s="3391"/>
      <c r="R8192" s="2339"/>
    </row>
    <row r="8193" spans="1:18" s="22" customFormat="1">
      <c r="A8193" s="1321"/>
      <c r="B8193" s="2053"/>
      <c r="C8193" s="1321"/>
      <c r="D8193" s="1377"/>
      <c r="E8193" s="2124"/>
      <c r="F8193" s="1378"/>
      <c r="G8193" s="1378"/>
      <c r="H8193" s="1379"/>
      <c r="I8193" s="1299"/>
      <c r="J8193" s="1300"/>
      <c r="K8193" s="1307"/>
      <c r="L8193" s="1335"/>
      <c r="M8193" s="1302"/>
      <c r="N8193" s="1700"/>
      <c r="O8193" s="1290"/>
      <c r="P8193" s="1333"/>
      <c r="Q8193" s="3391"/>
      <c r="R8193" s="2339"/>
    </row>
    <row r="8194" spans="1:18" s="22" customFormat="1">
      <c r="A8194" s="1042"/>
      <c r="B8194" s="1765"/>
      <c r="C8194" s="223"/>
      <c r="D8194" s="1373"/>
      <c r="E8194" s="2161"/>
      <c r="F8194" s="1678"/>
      <c r="G8194" s="1678"/>
      <c r="H8194" s="1376"/>
      <c r="I8194" s="1299"/>
      <c r="J8194" s="1300"/>
      <c r="K8194" s="1307"/>
      <c r="L8194" s="1335"/>
      <c r="M8194" s="1302"/>
      <c r="N8194" s="1700"/>
      <c r="O8194" s="1290"/>
      <c r="P8194" s="1332"/>
      <c r="Q8194" s="3391"/>
      <c r="R8194" s="2339"/>
    </row>
    <row r="8195" spans="1:18" s="22" customFormat="1">
      <c r="A8195" s="18" t="s">
        <v>3764</v>
      </c>
      <c r="B8195" s="4325" t="s">
        <v>3887</v>
      </c>
      <c r="C8195" s="4150"/>
      <c r="D8195" s="4327"/>
      <c r="E8195" s="4329" t="s">
        <v>1527</v>
      </c>
      <c r="F8195" s="4336" t="s">
        <v>3889</v>
      </c>
      <c r="G8195" s="4331" t="s">
        <v>1568</v>
      </c>
      <c r="H8195" s="4331" t="s">
        <v>1574</v>
      </c>
      <c r="I8195" s="1572" t="s">
        <v>1559</v>
      </c>
      <c r="J8195" s="1294" t="s">
        <v>1560</v>
      </c>
      <c r="K8195" s="1294" t="s">
        <v>1569</v>
      </c>
      <c r="L8195" s="4333" t="s">
        <v>3765</v>
      </c>
      <c r="M8195" s="4335" t="s">
        <v>1571</v>
      </c>
      <c r="N8195" s="4323" t="s">
        <v>1776</v>
      </c>
      <c r="O8195" s="4148" t="s">
        <v>1563</v>
      </c>
      <c r="P8195" s="1336" t="s">
        <v>1562</v>
      </c>
      <c r="Q8195" s="3389"/>
      <c r="R8195" s="1699" t="s">
        <v>1327</v>
      </c>
    </row>
    <row r="8196" spans="1:18" s="22" customFormat="1">
      <c r="A8196" s="1662" t="s">
        <v>3877</v>
      </c>
      <c r="B8196" s="4326"/>
      <c r="C8196" s="4151"/>
      <c r="D8196" s="4328"/>
      <c r="E8196" s="4330"/>
      <c r="F8196" s="4336"/>
      <c r="G8196" s="4332"/>
      <c r="H8196" s="4332"/>
      <c r="I8196" s="1345">
        <v>46</v>
      </c>
      <c r="J8196" s="1307">
        <v>5.0000000000000001E-3</v>
      </c>
      <c r="K8196" s="1666">
        <f>I8196*J8196</f>
        <v>0.23</v>
      </c>
      <c r="L8196" s="4334"/>
      <c r="M8196" s="4335"/>
      <c r="N8196" s="4324"/>
      <c r="O8196" s="1298">
        <f>SUM(O8198:O8205)</f>
        <v>11.0763</v>
      </c>
      <c r="P8196" s="1337">
        <f>O8196*K8196</f>
        <v>2.5475490000000001</v>
      </c>
      <c r="Q8196" s="3390"/>
      <c r="R8196" s="1721">
        <f>SUM(P8198:P8205)</f>
        <v>2.5475490000000001</v>
      </c>
    </row>
    <row r="8197" spans="1:18" s="22" customFormat="1">
      <c r="A8197" s="1320"/>
      <c r="B8197" s="1949"/>
      <c r="C8197" s="1327"/>
      <c r="D8197" s="1367"/>
      <c r="E8197" s="2121"/>
      <c r="F8197" s="1389" t="s">
        <v>1</v>
      </c>
      <c r="G8197" s="1389"/>
      <c r="H8197" s="1369"/>
      <c r="I8197" s="2088"/>
      <c r="J8197" s="1369"/>
      <c r="K8197" s="1391"/>
      <c r="L8197" s="1559"/>
      <c r="M8197" s="1369"/>
      <c r="N8197" s="1369"/>
      <c r="O8197" s="1369"/>
      <c r="P8197" s="1392"/>
      <c r="Q8197" s="3395"/>
      <c r="R8197" s="2339"/>
    </row>
    <row r="8198" spans="1:18" s="22" customFormat="1">
      <c r="A8198" s="1320"/>
      <c r="B8198" s="1599"/>
      <c r="C8198" s="1320"/>
      <c r="D8198" s="1598" t="s">
        <v>2342</v>
      </c>
      <c r="E8198" s="2154" t="s">
        <v>1527</v>
      </c>
      <c r="F8198" s="1598" t="s">
        <v>2343</v>
      </c>
      <c r="G8198" s="1612">
        <v>1.01</v>
      </c>
      <c r="H8198" s="1369"/>
      <c r="I8198" s="1299"/>
      <c r="J8198" s="1300"/>
      <c r="K8198" s="1307">
        <f>K8196*G8198</f>
        <v>0.23230000000000001</v>
      </c>
      <c r="L8198" s="1335">
        <f t="shared" ref="L8198:L8201" si="1118">K8198*$K$7278</f>
        <v>0</v>
      </c>
      <c r="M8198" s="1302">
        <v>5.0599999999999996</v>
      </c>
      <c r="N8198" s="1700"/>
      <c r="O8198" s="1290">
        <f>G8198*M8198</f>
        <v>5.1105999999999998</v>
      </c>
      <c r="P8198" s="1332">
        <f>M8198*K8198</f>
        <v>1.175438</v>
      </c>
      <c r="Q8198" s="3391"/>
      <c r="R8198" s="2339"/>
    </row>
    <row r="8199" spans="1:18" s="22" customFormat="1">
      <c r="A8199" s="1042"/>
      <c r="B8199" s="1599"/>
      <c r="C8199" s="1042"/>
      <c r="D8199" s="1598" t="s">
        <v>2310</v>
      </c>
      <c r="E8199" s="2154" t="s">
        <v>1527</v>
      </c>
      <c r="F8199" s="1598" t="s">
        <v>2311</v>
      </c>
      <c r="G8199" s="1612">
        <v>1.01</v>
      </c>
      <c r="H8199" s="3963"/>
      <c r="I8199" s="1299"/>
      <c r="J8199" s="3939"/>
      <c r="K8199" s="1307">
        <f>K8196*G8199</f>
        <v>0.23230000000000001</v>
      </c>
      <c r="L8199" s="1335">
        <f t="shared" si="1118"/>
        <v>0</v>
      </c>
      <c r="M8199" s="3918">
        <v>0.41</v>
      </c>
      <c r="N8199" s="1700"/>
      <c r="O8199" s="1290">
        <f>G8199*M8199</f>
        <v>0.41409999999999997</v>
      </c>
      <c r="P8199" s="1332">
        <f>M8199*K8199</f>
        <v>9.5242999999999994E-2</v>
      </c>
      <c r="Q8199" s="3391"/>
      <c r="R8199" s="2339"/>
    </row>
    <row r="8200" spans="1:18" s="22" customFormat="1">
      <c r="A8200" s="1042"/>
      <c r="B8200" s="1599"/>
      <c r="C8200" s="1042"/>
      <c r="D8200" s="1598" t="s">
        <v>1082</v>
      </c>
      <c r="E8200" s="2154" t="s">
        <v>1504</v>
      </c>
      <c r="F8200" s="1598" t="s">
        <v>1541</v>
      </c>
      <c r="G8200" s="1612">
        <v>0.7</v>
      </c>
      <c r="H8200" s="1674"/>
      <c r="I8200" s="1299"/>
      <c r="J8200" s="1300"/>
      <c r="K8200" s="1307">
        <f>K8196*G8200</f>
        <v>0.161</v>
      </c>
      <c r="L8200" s="1335">
        <f t="shared" si="1118"/>
        <v>0</v>
      </c>
      <c r="M8200" s="1302">
        <v>0.3</v>
      </c>
      <c r="N8200" s="1700"/>
      <c r="O8200" s="1290">
        <f>G8200*M8200</f>
        <v>0.21</v>
      </c>
      <c r="P8200" s="1332">
        <f>M8200*K8200</f>
        <v>4.8300000000000003E-2</v>
      </c>
      <c r="Q8200" s="3391"/>
      <c r="R8200" s="2339"/>
    </row>
    <row r="8201" spans="1:18" s="22" customFormat="1">
      <c r="A8201" s="1042"/>
      <c r="B8201" s="1599"/>
      <c r="C8201" s="1042"/>
      <c r="D8201" s="1598" t="s">
        <v>1097</v>
      </c>
      <c r="E8201" s="2154" t="s">
        <v>1504</v>
      </c>
      <c r="F8201" s="1598" t="s">
        <v>1632</v>
      </c>
      <c r="G8201" s="1612">
        <v>0.7</v>
      </c>
      <c r="H8201" s="1674"/>
      <c r="I8201" s="1299"/>
      <c r="J8201" s="1300"/>
      <c r="K8201" s="1307">
        <f>K8196*G8201</f>
        <v>0.161</v>
      </c>
      <c r="L8201" s="1335">
        <f t="shared" si="1118"/>
        <v>0</v>
      </c>
      <c r="M8201" s="1302">
        <v>0.55000000000000004</v>
      </c>
      <c r="N8201" s="1700"/>
      <c r="O8201" s="1290">
        <f>G8201*M8201</f>
        <v>0.38500000000000001</v>
      </c>
      <c r="P8201" s="1332">
        <f>M8201*K8201</f>
        <v>8.8550000000000004E-2</v>
      </c>
      <c r="Q8201" s="3391"/>
      <c r="R8201" s="2339"/>
    </row>
    <row r="8202" spans="1:18" s="22" customFormat="1">
      <c r="A8202" s="1042"/>
      <c r="B8202" s="1599"/>
      <c r="C8202" s="1042"/>
      <c r="D8202" s="1367"/>
      <c r="E8202" s="2121"/>
      <c r="F8202" s="1436"/>
      <c r="G8202" s="1436"/>
      <c r="H8202" s="1369"/>
      <c r="I8202" s="1299" t="str">
        <f t="shared" ref="I8202" ca="1" si="1119">IF(COUNT(H8202:O8202)=0,"",(SUM(H8202:O8202)/COUNT(H8202:O8202)))</f>
        <v/>
      </c>
      <c r="J8202" s="1300"/>
      <c r="K8202" s="1307"/>
      <c r="L8202" s="1335"/>
      <c r="M8202" s="1302"/>
      <c r="N8202" s="1700"/>
      <c r="O8202" s="1290"/>
      <c r="P8202" s="1332"/>
      <c r="Q8202" s="3391"/>
      <c r="R8202" s="2339"/>
    </row>
    <row r="8203" spans="1:18" s="22" customFormat="1">
      <c r="A8203" s="1042"/>
      <c r="B8203" s="1599"/>
      <c r="C8203" s="1042"/>
      <c r="D8203" s="1359"/>
      <c r="E8203" s="1858"/>
      <c r="F8203" s="1360" t="s">
        <v>2</v>
      </c>
      <c r="G8203" s="1360"/>
      <c r="H8203" s="1362"/>
      <c r="I8203" s="1380"/>
      <c r="J8203" s="1381"/>
      <c r="K8203" s="1381"/>
      <c r="L8203" s="1458"/>
      <c r="M8203" s="1362"/>
      <c r="N8203" s="1362"/>
      <c r="O8203" s="1362"/>
      <c r="P8203" s="1359"/>
      <c r="Q8203" s="3387"/>
      <c r="R8203" s="2339"/>
    </row>
    <row r="8204" spans="1:18" s="22" customFormat="1">
      <c r="A8204" s="1321"/>
      <c r="B8204" s="2053"/>
      <c r="C8204" s="1321"/>
      <c r="D8204" s="1655" t="s">
        <v>1099</v>
      </c>
      <c r="E8204" s="1859" t="s">
        <v>1508</v>
      </c>
      <c r="F8204" s="1655" t="s">
        <v>1633</v>
      </c>
      <c r="G8204" s="1625">
        <v>0.2</v>
      </c>
      <c r="H8204" s="1386"/>
      <c r="I8204" s="1299"/>
      <c r="J8204" s="1300"/>
      <c r="K8204" s="1307">
        <f>G8204*K8196</f>
        <v>4.6000000000000006E-2</v>
      </c>
      <c r="L8204" s="1335">
        <f t="shared" ref="L8204" si="1120">K8204*$K$7278</f>
        <v>0</v>
      </c>
      <c r="M8204" s="1302">
        <v>19.23</v>
      </c>
      <c r="N8204" s="1700"/>
      <c r="O8204" s="1290">
        <f>G8204*M8204</f>
        <v>3.8460000000000001</v>
      </c>
      <c r="P8204" s="1332">
        <f>M8204*K8204</f>
        <v>0.88458000000000014</v>
      </c>
      <c r="Q8204" s="3391"/>
      <c r="R8204" s="2339"/>
    </row>
    <row r="8205" spans="1:18" s="22" customFormat="1">
      <c r="A8205"/>
      <c r="B8205" s="1042"/>
      <c r="C8205" s="2086" t="s">
        <v>2282</v>
      </c>
      <c r="D8205" s="1311"/>
      <c r="E8205" s="2176" t="s">
        <v>1508</v>
      </c>
      <c r="F8205" s="1648" t="s">
        <v>2283</v>
      </c>
      <c r="G8205" s="1990"/>
      <c r="H8205" s="1338">
        <v>0.03</v>
      </c>
      <c r="I8205" s="1444"/>
      <c r="J8205" s="1388"/>
      <c r="K8205" s="1445"/>
      <c r="L8205" s="1457"/>
      <c r="M8205" s="1447"/>
      <c r="N8205" s="1447">
        <f>SUM(N8206:N8207)</f>
        <v>37.019999999999996</v>
      </c>
      <c r="O8205" s="1447">
        <f>SUM(O8206:O8207)</f>
        <v>1.1105999999999998</v>
      </c>
      <c r="P8205" s="1447">
        <f>SUM(P8206:P8207)</f>
        <v>0.25543799999999994</v>
      </c>
      <c r="Q8205" s="3391"/>
      <c r="R8205" s="2337"/>
    </row>
    <row r="8206" spans="1:18" s="22" customFormat="1">
      <c r="A8206"/>
      <c r="B8206" s="1042"/>
      <c r="C8206" s="19"/>
      <c r="D8206" s="1430" t="s">
        <v>1067</v>
      </c>
      <c r="E8206" s="1857" t="s">
        <v>1508</v>
      </c>
      <c r="F8206" s="1403" t="s">
        <v>5</v>
      </c>
      <c r="G8206" s="1991">
        <v>1</v>
      </c>
      <c r="H8206" s="1408">
        <f>G8206*H8205</f>
        <v>0.03</v>
      </c>
      <c r="I8206" s="1286"/>
      <c r="J8206" s="198"/>
      <c r="K8206" s="1307">
        <f>H8206*K8196</f>
        <v>6.8999999999999999E-3</v>
      </c>
      <c r="L8206" s="1335">
        <f t="shared" ref="L8206:L8207" si="1121">K8206*$K$7278</f>
        <v>0</v>
      </c>
      <c r="M8206" s="1302">
        <v>18.28</v>
      </c>
      <c r="N8206" s="1718">
        <f>G8206*M8206</f>
        <v>18.28</v>
      </c>
      <c r="O8206" s="1290">
        <f>H8206*M8206</f>
        <v>0.5484</v>
      </c>
      <c r="P8206" s="1720">
        <f>M8206*K8206</f>
        <v>0.12613199999999999</v>
      </c>
      <c r="Q8206" s="3396"/>
      <c r="R8206" s="2337"/>
    </row>
    <row r="8207" spans="1:18" s="22" customFormat="1">
      <c r="A8207"/>
      <c r="B8207" s="1042"/>
      <c r="C8207" s="19"/>
      <c r="D8207" s="1430" t="s">
        <v>1165</v>
      </c>
      <c r="E8207" s="1857" t="s">
        <v>1508</v>
      </c>
      <c r="F8207" s="1394" t="s">
        <v>114</v>
      </c>
      <c r="G8207" s="2183">
        <v>1</v>
      </c>
      <c r="H8207" s="1395">
        <f>G8207*H8205</f>
        <v>0.03</v>
      </c>
      <c r="I8207" s="197"/>
      <c r="J8207" s="198"/>
      <c r="K8207" s="1307">
        <f>H8207*K8196</f>
        <v>6.8999999999999999E-3</v>
      </c>
      <c r="L8207" s="1335">
        <f t="shared" si="1121"/>
        <v>0</v>
      </c>
      <c r="M8207" s="1302">
        <v>18.739999999999998</v>
      </c>
      <c r="N8207" s="1718">
        <f>G8207*M8207</f>
        <v>18.739999999999998</v>
      </c>
      <c r="O8207" s="1290">
        <f>H8207*M8207</f>
        <v>0.56219999999999992</v>
      </c>
      <c r="P8207" s="1720">
        <f>M8207*K8207</f>
        <v>0.12930599999999998</v>
      </c>
      <c r="Q8207" s="3396"/>
      <c r="R8207" s="2337"/>
    </row>
    <row r="8208" spans="1:18" s="22" customFormat="1">
      <c r="A8208" s="16"/>
      <c r="B8208" s="1599"/>
      <c r="C8208" s="1320"/>
      <c r="D8208" s="1430"/>
      <c r="E8208" s="1857"/>
      <c r="F8208" s="1430"/>
      <c r="G8208" s="1822"/>
      <c r="H8208" s="1359"/>
      <c r="I8208" s="1299"/>
      <c r="J8208" s="1300"/>
      <c r="K8208" s="1307"/>
      <c r="L8208" s="1335"/>
      <c r="M8208" s="1302"/>
      <c r="N8208" s="1700"/>
      <c r="O8208" s="1290"/>
      <c r="P8208" s="1332"/>
      <c r="Q8208" s="3391"/>
      <c r="R8208" s="2339"/>
    </row>
    <row r="8209" spans="1:18" s="22" customFormat="1">
      <c r="A8209"/>
      <c r="B8209" s="1320"/>
      <c r="C8209" s="16"/>
      <c r="D8209" s="1359"/>
      <c r="E8209" s="1858"/>
      <c r="F8209" s="1474"/>
      <c r="G8209" s="1474"/>
      <c r="H8209" s="1466"/>
      <c r="I8209" s="1289"/>
      <c r="J8209" s="8"/>
      <c r="K8209" s="1307"/>
      <c r="L8209" s="1335"/>
      <c r="M8209" s="1302"/>
      <c r="N8209" s="1700"/>
      <c r="O8209" s="1290"/>
      <c r="P8209" s="1332"/>
      <c r="Q8209" s="3391"/>
      <c r="R8209" s="1296"/>
    </row>
    <row r="8210" spans="1:18" s="22" customFormat="1">
      <c r="A8210" s="1320"/>
      <c r="B8210" s="1599"/>
      <c r="C8210" s="1320"/>
      <c r="D8210" s="1373"/>
      <c r="E8210" s="2123"/>
      <c r="F8210" s="1374" t="s">
        <v>3</v>
      </c>
      <c r="G8210" s="1375"/>
      <c r="H8210" s="1376"/>
      <c r="I8210" s="1382"/>
      <c r="J8210" s="1383"/>
      <c r="K8210" s="1383"/>
      <c r="L8210" s="1413"/>
      <c r="M8210" s="1376"/>
      <c r="N8210" s="1376"/>
      <c r="O8210" s="1376"/>
      <c r="P8210" s="1373"/>
      <c r="Q8210" s="3387"/>
      <c r="R8210" s="2339"/>
    </row>
    <row r="8211" spans="1:18" s="22" customFormat="1">
      <c r="A8211" s="1321"/>
      <c r="B8211" s="2053"/>
      <c r="C8211" s="1321"/>
      <c r="D8211" s="1827"/>
      <c r="E8211" s="2173"/>
      <c r="F8211" s="1827"/>
      <c r="G8211" s="1828"/>
      <c r="H8211" s="1379"/>
      <c r="I8211" s="1299"/>
      <c r="J8211" s="1300"/>
      <c r="K8211" s="1307"/>
      <c r="L8211" s="1335"/>
      <c r="M8211" s="1302"/>
      <c r="N8211" s="1700"/>
      <c r="O8211" s="1290"/>
      <c r="P8211" s="1332"/>
      <c r="Q8211" s="3391"/>
      <c r="R8211" s="2339"/>
    </row>
    <row r="8212" spans="1:18" s="22" customFormat="1">
      <c r="A8212" s="1321"/>
      <c r="B8212" s="2053"/>
      <c r="C8212" s="1321"/>
      <c r="D8212" s="1377"/>
      <c r="E8212" s="2124"/>
      <c r="F8212" s="1378"/>
      <c r="G8212" s="1378"/>
      <c r="H8212" s="1379"/>
      <c r="I8212" s="1299"/>
      <c r="J8212" s="1300"/>
      <c r="K8212" s="1307"/>
      <c r="L8212" s="1335"/>
      <c r="M8212" s="1302"/>
      <c r="N8212" s="1700"/>
      <c r="O8212" s="1290"/>
      <c r="P8212" s="1333"/>
      <c r="Q8212" s="3391"/>
      <c r="R8212" s="2339"/>
    </row>
    <row r="8213" spans="1:18" s="22" customFormat="1">
      <c r="A8213" s="1042"/>
      <c r="B8213" s="1765"/>
      <c r="C8213" s="223"/>
      <c r="D8213" s="1373"/>
      <c r="E8213" s="2161"/>
      <c r="F8213" s="1678"/>
      <c r="G8213" s="1678"/>
      <c r="H8213" s="1376"/>
      <c r="I8213" s="1299"/>
      <c r="J8213" s="1300"/>
      <c r="K8213" s="1307"/>
      <c r="L8213" s="1335"/>
      <c r="M8213" s="1302"/>
      <c r="N8213" s="1700"/>
      <c r="O8213" s="1290"/>
      <c r="P8213" s="1332"/>
      <c r="Q8213" s="3391"/>
      <c r="R8213" s="2339"/>
    </row>
    <row r="8214" spans="1:18" s="22" customFormat="1">
      <c r="A8214" s="18" t="s">
        <v>3764</v>
      </c>
      <c r="B8214" s="4325" t="s">
        <v>3888</v>
      </c>
      <c r="C8214" s="4150"/>
      <c r="D8214" s="4327"/>
      <c r="E8214" s="4329" t="s">
        <v>1527</v>
      </c>
      <c r="F8214" s="4336" t="s">
        <v>3890</v>
      </c>
      <c r="G8214" s="4331" t="s">
        <v>1568</v>
      </c>
      <c r="H8214" s="4331" t="s">
        <v>1574</v>
      </c>
      <c r="I8214" s="1572" t="s">
        <v>1559</v>
      </c>
      <c r="J8214" s="1294" t="s">
        <v>1560</v>
      </c>
      <c r="K8214" s="1294" t="s">
        <v>1569</v>
      </c>
      <c r="L8214" s="4333" t="s">
        <v>3765</v>
      </c>
      <c r="M8214" s="4335" t="s">
        <v>1571</v>
      </c>
      <c r="N8214" s="4323" t="s">
        <v>1776</v>
      </c>
      <c r="O8214" s="4148" t="s">
        <v>1563</v>
      </c>
      <c r="P8214" s="1336" t="s">
        <v>1562</v>
      </c>
      <c r="Q8214" s="3389"/>
      <c r="R8214" s="1699" t="s">
        <v>1327</v>
      </c>
    </row>
    <row r="8215" spans="1:18" s="22" customFormat="1">
      <c r="A8215" s="1662" t="s">
        <v>3877</v>
      </c>
      <c r="B8215" s="4326"/>
      <c r="C8215" s="4151"/>
      <c r="D8215" s="4328"/>
      <c r="E8215" s="4330"/>
      <c r="F8215" s="4336"/>
      <c r="G8215" s="4332"/>
      <c r="H8215" s="4332"/>
      <c r="I8215" s="1345">
        <v>110</v>
      </c>
      <c r="J8215" s="1307">
        <v>5.0000000000000001E-3</v>
      </c>
      <c r="K8215" s="1666">
        <f>I8215*J8215</f>
        <v>0.55000000000000004</v>
      </c>
      <c r="L8215" s="4334"/>
      <c r="M8215" s="4335"/>
      <c r="N8215" s="4324"/>
      <c r="O8215" s="1298">
        <f>SUM(O8217:O8224)</f>
        <v>12.3657</v>
      </c>
      <c r="P8215" s="1337">
        <f>O8215*K8215</f>
        <v>6.8011350000000004</v>
      </c>
      <c r="Q8215" s="3390"/>
      <c r="R8215" s="1721">
        <f>SUM(P8217:P8224)</f>
        <v>6.8011350000000013</v>
      </c>
    </row>
    <row r="8216" spans="1:18" s="22" customFormat="1">
      <c r="A8216" s="1320"/>
      <c r="B8216" s="1949"/>
      <c r="C8216" s="1327"/>
      <c r="D8216" s="1367"/>
      <c r="E8216" s="2121"/>
      <c r="F8216" s="1389" t="s">
        <v>1</v>
      </c>
      <c r="G8216" s="1389"/>
      <c r="H8216" s="1369"/>
      <c r="I8216" s="2088"/>
      <c r="J8216" s="1369"/>
      <c r="K8216" s="1391"/>
      <c r="L8216" s="1559"/>
      <c r="M8216" s="1369"/>
      <c r="N8216" s="1369"/>
      <c r="O8216" s="1369"/>
      <c r="P8216" s="1392"/>
      <c r="Q8216" s="3395"/>
      <c r="R8216" s="2339"/>
    </row>
    <row r="8217" spans="1:18" s="22" customFormat="1">
      <c r="A8217" s="1320"/>
      <c r="B8217" s="1599"/>
      <c r="C8217" s="1320"/>
      <c r="D8217" s="1598" t="s">
        <v>2346</v>
      </c>
      <c r="E8217" s="2154" t="s">
        <v>1527</v>
      </c>
      <c r="F8217" s="1598" t="s">
        <v>2347</v>
      </c>
      <c r="G8217" s="1612">
        <v>1.01</v>
      </c>
      <c r="H8217" s="1369"/>
      <c r="I8217" s="1299"/>
      <c r="J8217" s="1300"/>
      <c r="K8217" s="1307">
        <f>K8215*G8217</f>
        <v>0.5555000000000001</v>
      </c>
      <c r="L8217" s="1335">
        <f t="shared" ref="L8217:L8220" si="1122">K8217*$K$7278</f>
        <v>0</v>
      </c>
      <c r="M8217" s="1302">
        <v>6.5</v>
      </c>
      <c r="N8217" s="1700"/>
      <c r="O8217" s="1290">
        <f>G8217*M8217</f>
        <v>6.5650000000000004</v>
      </c>
      <c r="P8217" s="1332">
        <f>M8217*K8217</f>
        <v>3.6107500000000008</v>
      </c>
      <c r="Q8217" s="3391"/>
      <c r="R8217" s="2339"/>
    </row>
    <row r="8218" spans="1:18" s="22" customFormat="1">
      <c r="A8218" s="1042"/>
      <c r="B8218" s="1599"/>
      <c r="C8218" s="1042"/>
      <c r="D8218" s="1598" t="s">
        <v>2310</v>
      </c>
      <c r="E8218" s="2154" t="s">
        <v>1527</v>
      </c>
      <c r="F8218" s="1598" t="s">
        <v>2311</v>
      </c>
      <c r="G8218" s="1612">
        <v>1.01</v>
      </c>
      <c r="H8218" s="1674"/>
      <c r="I8218" s="1299"/>
      <c r="J8218" s="1300"/>
      <c r="K8218" s="1307">
        <f>K8215*G8218</f>
        <v>0.5555000000000001</v>
      </c>
      <c r="L8218" s="1335">
        <f t="shared" si="1122"/>
        <v>0</v>
      </c>
      <c r="M8218" s="1302">
        <v>0.41</v>
      </c>
      <c r="N8218" s="1700"/>
      <c r="O8218" s="1290">
        <f>G8218*M8218</f>
        <v>0.41409999999999997</v>
      </c>
      <c r="P8218" s="1332">
        <f>M8218*K8218</f>
        <v>0.22775500000000004</v>
      </c>
      <c r="Q8218" s="3391"/>
      <c r="R8218" s="2339"/>
    </row>
    <row r="8219" spans="1:18" s="22" customFormat="1">
      <c r="A8219" s="1042"/>
      <c r="B8219" s="1599"/>
      <c r="C8219" s="1042"/>
      <c r="D8219" s="1598" t="s">
        <v>1082</v>
      </c>
      <c r="E8219" s="2154" t="s">
        <v>1504</v>
      </c>
      <c r="F8219" s="1598" t="s">
        <v>1541</v>
      </c>
      <c r="G8219" s="1612">
        <v>0.7</v>
      </c>
      <c r="H8219" s="1674"/>
      <c r="I8219" s="1299"/>
      <c r="J8219" s="1300"/>
      <c r="K8219" s="1307">
        <f>K8215*G8219</f>
        <v>0.38500000000000001</v>
      </c>
      <c r="L8219" s="1335">
        <f t="shared" si="1122"/>
        <v>0</v>
      </c>
      <c r="M8219" s="1302">
        <v>0.3</v>
      </c>
      <c r="N8219" s="1700"/>
      <c r="O8219" s="1290">
        <f>G8219*M8219</f>
        <v>0.21</v>
      </c>
      <c r="P8219" s="1332">
        <f>M8219*K8219</f>
        <v>0.11549999999999999</v>
      </c>
      <c r="Q8219" s="3391"/>
      <c r="R8219" s="2339"/>
    </row>
    <row r="8220" spans="1:18" s="22" customFormat="1">
      <c r="A8220" s="1042"/>
      <c r="B8220" s="1599"/>
      <c r="C8220" s="1042"/>
      <c r="D8220" s="1598" t="s">
        <v>1097</v>
      </c>
      <c r="E8220" s="2154" t="s">
        <v>1504</v>
      </c>
      <c r="F8220" s="1598" t="s">
        <v>1632</v>
      </c>
      <c r="G8220" s="1612">
        <v>0.4</v>
      </c>
      <c r="H8220" s="1674"/>
      <c r="I8220" s="1299"/>
      <c r="J8220" s="1300"/>
      <c r="K8220" s="1307">
        <f>K8215*G8220</f>
        <v>0.22000000000000003</v>
      </c>
      <c r="L8220" s="1335">
        <f t="shared" si="1122"/>
        <v>0</v>
      </c>
      <c r="M8220" s="1302">
        <v>0.55000000000000004</v>
      </c>
      <c r="N8220" s="1700"/>
      <c r="O8220" s="1290">
        <f>G8220*M8220</f>
        <v>0.22000000000000003</v>
      </c>
      <c r="P8220" s="1332">
        <f>M8220*K8220</f>
        <v>0.12100000000000002</v>
      </c>
      <c r="Q8220" s="3391"/>
      <c r="R8220" s="2339"/>
    </row>
    <row r="8221" spans="1:18" s="22" customFormat="1">
      <c r="A8221" s="1042"/>
      <c r="B8221" s="1599"/>
      <c r="C8221" s="1042"/>
      <c r="D8221" s="1367"/>
      <c r="E8221" s="2121"/>
      <c r="F8221" s="1436"/>
      <c r="G8221" s="1436"/>
      <c r="H8221" s="1369"/>
      <c r="I8221" s="1299" t="str">
        <f t="shared" ref="I8221" ca="1" si="1123">IF(COUNT(H8221:O8221)=0,"",(SUM(H8221:O8221)/COUNT(H8221:O8221)))</f>
        <v/>
      </c>
      <c r="J8221" s="1300"/>
      <c r="K8221" s="1307"/>
      <c r="L8221" s="1335"/>
      <c r="M8221" s="1302"/>
      <c r="N8221" s="1700"/>
      <c r="O8221" s="1290"/>
      <c r="P8221" s="1332"/>
      <c r="Q8221" s="3391"/>
      <c r="R8221" s="2339"/>
    </row>
    <row r="8222" spans="1:18" s="22" customFormat="1">
      <c r="A8222" s="1042"/>
      <c r="B8222" s="1599"/>
      <c r="C8222" s="1042"/>
      <c r="D8222" s="1359"/>
      <c r="E8222" s="1858"/>
      <c r="F8222" s="1360" t="s">
        <v>2</v>
      </c>
      <c r="G8222" s="1360"/>
      <c r="H8222" s="1362"/>
      <c r="I8222" s="1380"/>
      <c r="J8222" s="1381"/>
      <c r="K8222" s="1381"/>
      <c r="L8222" s="1458"/>
      <c r="M8222" s="1362"/>
      <c r="N8222" s="1362"/>
      <c r="O8222" s="1362"/>
      <c r="P8222" s="1359"/>
      <c r="Q8222" s="3387"/>
      <c r="R8222" s="2339"/>
    </row>
    <row r="8223" spans="1:18" s="22" customFormat="1">
      <c r="A8223" s="1321"/>
      <c r="B8223" s="2053"/>
      <c r="C8223" s="1321"/>
      <c r="D8223" s="1655" t="s">
        <v>1099</v>
      </c>
      <c r="E8223" s="1859" t="s">
        <v>1508</v>
      </c>
      <c r="F8223" s="1655" t="s">
        <v>1633</v>
      </c>
      <c r="G8223" s="1625">
        <v>0.2</v>
      </c>
      <c r="H8223" s="1386"/>
      <c r="I8223" s="1299"/>
      <c r="J8223" s="1300"/>
      <c r="K8223" s="1307">
        <f>G8223*K8215</f>
        <v>0.11000000000000001</v>
      </c>
      <c r="L8223" s="1335">
        <f t="shared" ref="L8223" si="1124">K8223*$K$7278</f>
        <v>0</v>
      </c>
      <c r="M8223" s="1302">
        <v>19.23</v>
      </c>
      <c r="N8223" s="1700"/>
      <c r="O8223" s="1290">
        <f>G8223*M8223</f>
        <v>3.8460000000000001</v>
      </c>
      <c r="P8223" s="1332">
        <f>M8223*K8223</f>
        <v>2.1153000000000004</v>
      </c>
      <c r="Q8223" s="3391"/>
      <c r="R8223" s="2339"/>
    </row>
    <row r="8224" spans="1:18" s="22" customFormat="1">
      <c r="A8224"/>
      <c r="B8224" s="1042"/>
      <c r="C8224" s="2086" t="s">
        <v>2282</v>
      </c>
      <c r="D8224" s="1311"/>
      <c r="E8224" s="2176" t="s">
        <v>1508</v>
      </c>
      <c r="F8224" s="1648" t="s">
        <v>2283</v>
      </c>
      <c r="G8224" s="1990"/>
      <c r="H8224" s="1338">
        <v>0.03</v>
      </c>
      <c r="I8224" s="1444"/>
      <c r="J8224" s="1388"/>
      <c r="K8224" s="1445"/>
      <c r="L8224" s="1457"/>
      <c r="M8224" s="1447"/>
      <c r="N8224" s="1447">
        <f>SUM(N8225:N8226)</f>
        <v>37.019999999999996</v>
      </c>
      <c r="O8224" s="1447">
        <f>SUM(O8225:O8226)</f>
        <v>1.1105999999999998</v>
      </c>
      <c r="P8224" s="1447">
        <f>SUM(P8225:P8226)</f>
        <v>0.61082999999999998</v>
      </c>
      <c r="Q8224" s="3391"/>
      <c r="R8224" s="2337"/>
    </row>
    <row r="8225" spans="1:18" s="22" customFormat="1">
      <c r="A8225"/>
      <c r="B8225" s="1042"/>
      <c r="C8225" s="19"/>
      <c r="D8225" s="1430" t="s">
        <v>1067</v>
      </c>
      <c r="E8225" s="1857" t="s">
        <v>1508</v>
      </c>
      <c r="F8225" s="1403" t="s">
        <v>5</v>
      </c>
      <c r="G8225" s="1991">
        <v>1</v>
      </c>
      <c r="H8225" s="1408">
        <f>G8225*H8224</f>
        <v>0.03</v>
      </c>
      <c r="I8225" s="1286"/>
      <c r="J8225" s="198"/>
      <c r="K8225" s="1307">
        <f>H8225*K8215</f>
        <v>1.6500000000000001E-2</v>
      </c>
      <c r="L8225" s="1335">
        <f t="shared" ref="L8225:L8226" si="1125">K8225*$K$7278</f>
        <v>0</v>
      </c>
      <c r="M8225" s="1302">
        <v>18.28</v>
      </c>
      <c r="N8225" s="1718">
        <f>G8225*M8225</f>
        <v>18.28</v>
      </c>
      <c r="O8225" s="1290">
        <f>H8225*M8225</f>
        <v>0.5484</v>
      </c>
      <c r="P8225" s="1720">
        <f>M8225*K8225</f>
        <v>0.30162000000000005</v>
      </c>
      <c r="Q8225" s="3396"/>
      <c r="R8225" s="2337"/>
    </row>
    <row r="8226" spans="1:18" s="22" customFormat="1">
      <c r="A8226"/>
      <c r="B8226" s="1042"/>
      <c r="C8226" s="19"/>
      <c r="D8226" s="1430" t="s">
        <v>1165</v>
      </c>
      <c r="E8226" s="1857" t="s">
        <v>1508</v>
      </c>
      <c r="F8226" s="1394" t="s">
        <v>114</v>
      </c>
      <c r="G8226" s="2183">
        <v>1</v>
      </c>
      <c r="H8226" s="1395">
        <f>G8226*H8224</f>
        <v>0.03</v>
      </c>
      <c r="I8226" s="197"/>
      <c r="J8226" s="198"/>
      <c r="K8226" s="1307">
        <f>H8226*K8215</f>
        <v>1.6500000000000001E-2</v>
      </c>
      <c r="L8226" s="1335">
        <f t="shared" si="1125"/>
        <v>0</v>
      </c>
      <c r="M8226" s="1302">
        <v>18.739999999999998</v>
      </c>
      <c r="N8226" s="1718">
        <f>G8226*M8226</f>
        <v>18.739999999999998</v>
      </c>
      <c r="O8226" s="1290">
        <f>H8226*M8226</f>
        <v>0.56219999999999992</v>
      </c>
      <c r="P8226" s="1720">
        <f>M8226*K8226</f>
        <v>0.30920999999999998</v>
      </c>
      <c r="Q8226" s="3396"/>
      <c r="R8226" s="2337"/>
    </row>
    <row r="8227" spans="1:18" s="22" customFormat="1">
      <c r="A8227" s="16"/>
      <c r="B8227" s="1599"/>
      <c r="C8227" s="1320"/>
      <c r="D8227" s="1430"/>
      <c r="E8227" s="1857"/>
      <c r="F8227" s="1430"/>
      <c r="G8227" s="1822"/>
      <c r="H8227" s="1359"/>
      <c r="I8227" s="1299"/>
      <c r="J8227" s="1300"/>
      <c r="K8227" s="1307"/>
      <c r="L8227" s="1335"/>
      <c r="M8227" s="1302"/>
      <c r="N8227" s="1700"/>
      <c r="O8227" s="1290"/>
      <c r="P8227" s="1332"/>
      <c r="Q8227" s="3391"/>
      <c r="R8227" s="2339"/>
    </row>
    <row r="8228" spans="1:18" s="22" customFormat="1">
      <c r="A8228"/>
      <c r="B8228" s="1320"/>
      <c r="C8228" s="16"/>
      <c r="D8228" s="1359"/>
      <c r="E8228" s="1858"/>
      <c r="F8228" s="1474"/>
      <c r="G8228" s="1474"/>
      <c r="H8228" s="1466"/>
      <c r="I8228" s="1289"/>
      <c r="J8228" s="8"/>
      <c r="K8228" s="1307"/>
      <c r="L8228" s="1335"/>
      <c r="M8228" s="1302"/>
      <c r="N8228" s="1700"/>
      <c r="O8228" s="1290"/>
      <c r="P8228" s="1332"/>
      <c r="Q8228" s="3391"/>
      <c r="R8228" s="1296"/>
    </row>
    <row r="8229" spans="1:18" s="22" customFormat="1">
      <c r="A8229" s="1320"/>
      <c r="B8229" s="1599"/>
      <c r="C8229" s="1320"/>
      <c r="D8229" s="1373"/>
      <c r="E8229" s="2123"/>
      <c r="F8229" s="1374" t="s">
        <v>3</v>
      </c>
      <c r="G8229" s="1375"/>
      <c r="H8229" s="1376"/>
      <c r="I8229" s="1382"/>
      <c r="J8229" s="1383"/>
      <c r="K8229" s="1383"/>
      <c r="L8229" s="1413"/>
      <c r="M8229" s="1376"/>
      <c r="N8229" s="1376"/>
      <c r="O8229" s="1376"/>
      <c r="P8229" s="1373"/>
      <c r="Q8229" s="3387"/>
      <c r="R8229" s="2339"/>
    </row>
    <row r="8230" spans="1:18" s="22" customFormat="1">
      <c r="A8230" s="1321"/>
      <c r="B8230" s="2053"/>
      <c r="C8230" s="1321"/>
      <c r="D8230" s="1827"/>
      <c r="E8230" s="2173"/>
      <c r="F8230" s="1827"/>
      <c r="G8230" s="1828"/>
      <c r="H8230" s="1379"/>
      <c r="I8230" s="1299"/>
      <c r="J8230" s="1300"/>
      <c r="K8230" s="1307"/>
      <c r="L8230" s="1335"/>
      <c r="M8230" s="1302"/>
      <c r="N8230" s="1700"/>
      <c r="O8230" s="1290"/>
      <c r="P8230" s="1332"/>
      <c r="Q8230" s="3391"/>
      <c r="R8230" s="2339"/>
    </row>
    <row r="8231" spans="1:18" s="22" customFormat="1">
      <c r="A8231" s="1321"/>
      <c r="B8231" s="2053"/>
      <c r="C8231" s="1321"/>
      <c r="D8231" s="1377"/>
      <c r="E8231" s="2124"/>
      <c r="F8231" s="1378"/>
      <c r="G8231" s="1378"/>
      <c r="H8231" s="1379"/>
      <c r="I8231" s="1299"/>
      <c r="J8231" s="1300"/>
      <c r="K8231" s="1307"/>
      <c r="L8231" s="1335"/>
      <c r="M8231" s="1302"/>
      <c r="N8231" s="1700"/>
      <c r="O8231" s="1290"/>
      <c r="P8231" s="1333"/>
      <c r="Q8231" s="3391"/>
      <c r="R8231" s="2339"/>
    </row>
    <row r="8232" spans="1:18" s="22" customFormat="1">
      <c r="A8232" s="1042"/>
      <c r="B8232" s="1765"/>
      <c r="C8232" s="223"/>
      <c r="D8232" s="1373"/>
      <c r="E8232" s="2161"/>
      <c r="F8232" s="1678"/>
      <c r="G8232" s="1678"/>
      <c r="H8232" s="1376"/>
      <c r="I8232" s="1299"/>
      <c r="J8232" s="1300"/>
      <c r="K8232" s="1307"/>
      <c r="L8232" s="1335"/>
      <c r="M8232" s="1302"/>
      <c r="N8232" s="1700"/>
      <c r="O8232" s="1290"/>
      <c r="P8232" s="1332"/>
      <c r="Q8232" s="3391"/>
      <c r="R8232" s="2339"/>
    </row>
    <row r="8233" spans="1:18" s="22" customFormat="1">
      <c r="A8233" s="18" t="s">
        <v>3764</v>
      </c>
      <c r="B8233" s="4325" t="s">
        <v>2316</v>
      </c>
      <c r="C8233" s="4150"/>
      <c r="D8233" s="4327"/>
      <c r="E8233" s="4329" t="s">
        <v>1504</v>
      </c>
      <c r="F8233" s="4336" t="s">
        <v>2317</v>
      </c>
      <c r="G8233" s="4331" t="s">
        <v>1568</v>
      </c>
      <c r="H8233" s="4331" t="s">
        <v>1574</v>
      </c>
      <c r="I8233" s="1572" t="s">
        <v>1559</v>
      </c>
      <c r="J8233" s="1294" t="s">
        <v>1560</v>
      </c>
      <c r="K8233" s="1294" t="s">
        <v>1569</v>
      </c>
      <c r="L8233" s="4333" t="s">
        <v>3765</v>
      </c>
      <c r="M8233" s="4335" t="s">
        <v>1571</v>
      </c>
      <c r="N8233" s="4323" t="s">
        <v>1776</v>
      </c>
      <c r="O8233" s="4148" t="s">
        <v>1563</v>
      </c>
      <c r="P8233" s="1336" t="s">
        <v>1562</v>
      </c>
      <c r="Q8233" s="3389"/>
      <c r="R8233" s="1699" t="s">
        <v>1327</v>
      </c>
    </row>
    <row r="8234" spans="1:18" s="22" customFormat="1">
      <c r="A8234" s="1662" t="s">
        <v>3877</v>
      </c>
      <c r="B8234" s="4326"/>
      <c r="C8234" s="4151"/>
      <c r="D8234" s="4328"/>
      <c r="E8234" s="4330"/>
      <c r="F8234" s="4336"/>
      <c r="G8234" s="4332"/>
      <c r="H8234" s="4332"/>
      <c r="I8234" s="1345">
        <v>12</v>
      </c>
      <c r="J8234" s="1307">
        <v>5.0000000000000001E-3</v>
      </c>
      <c r="K8234" s="1666">
        <f>I8234*J8234</f>
        <v>0.06</v>
      </c>
      <c r="L8234" s="4334"/>
      <c r="M8234" s="4335"/>
      <c r="N8234" s="4324"/>
      <c r="O8234" s="1298">
        <f>SUM(O8236:O8241)</f>
        <v>8.557500000000001</v>
      </c>
      <c r="P8234" s="1337">
        <f>O8234*K8234</f>
        <v>0.51345000000000007</v>
      </c>
      <c r="Q8234" s="3390"/>
      <c r="R8234" s="1721">
        <f>SUM(P8236:P8241)</f>
        <v>0.51344999999999996</v>
      </c>
    </row>
    <row r="8235" spans="1:18" s="22" customFormat="1">
      <c r="A8235" s="1320"/>
      <c r="B8235" s="1949"/>
      <c r="C8235" s="1327"/>
      <c r="D8235" s="1367"/>
      <c r="E8235" s="2121"/>
      <c r="F8235" s="1389" t="s">
        <v>1</v>
      </c>
      <c r="G8235" s="1389"/>
      <c r="H8235" s="1369"/>
      <c r="I8235" s="2088"/>
      <c r="J8235" s="1369"/>
      <c r="K8235" s="1391"/>
      <c r="L8235" s="1559"/>
      <c r="M8235" s="1369"/>
      <c r="N8235" s="1369"/>
      <c r="O8235" s="1369"/>
      <c r="P8235" s="1392"/>
      <c r="Q8235" s="3395"/>
      <c r="R8235" s="2339"/>
    </row>
    <row r="8236" spans="1:18" s="22" customFormat="1">
      <c r="A8236" s="1320"/>
      <c r="B8236" s="1599"/>
      <c r="C8236" s="1320"/>
      <c r="D8236" s="1598" t="s">
        <v>2318</v>
      </c>
      <c r="E8236" s="2154" t="s">
        <v>1504</v>
      </c>
      <c r="F8236" s="1598" t="s">
        <v>2317</v>
      </c>
      <c r="G8236" s="1612">
        <v>1</v>
      </c>
      <c r="H8236" s="1367"/>
      <c r="I8236" s="1299"/>
      <c r="J8236" s="1300"/>
      <c r="K8236" s="1307">
        <f>K8234*G8236</f>
        <v>0.06</v>
      </c>
      <c r="L8236" s="1335">
        <f t="shared" ref="L8236:L8237" si="1126">K8236*$K$7278</f>
        <v>0</v>
      </c>
      <c r="M8236" s="1302">
        <v>3.45</v>
      </c>
      <c r="N8236" s="1700"/>
      <c r="O8236" s="1290">
        <f>G8236*M8236</f>
        <v>3.45</v>
      </c>
      <c r="P8236" s="1332">
        <f>M8236*K8236</f>
        <v>0.20699999999999999</v>
      </c>
      <c r="Q8236" s="3391"/>
      <c r="R8236" s="2339"/>
    </row>
    <row r="8237" spans="1:18" s="22" customFormat="1">
      <c r="A8237" s="1042"/>
      <c r="B8237" s="1599"/>
      <c r="C8237" s="1042"/>
      <c r="D8237" s="1587" t="s">
        <v>1082</v>
      </c>
      <c r="E8237" s="2138" t="s">
        <v>1504</v>
      </c>
      <c r="F8237" s="1587" t="s">
        <v>1541</v>
      </c>
      <c r="G8237" s="1588">
        <v>1</v>
      </c>
      <c r="H8237" s="1674"/>
      <c r="I8237" s="1299"/>
      <c r="J8237" s="1300"/>
      <c r="K8237" s="1307">
        <f>K8234*G8237</f>
        <v>0.06</v>
      </c>
      <c r="L8237" s="1335">
        <f t="shared" si="1126"/>
        <v>0</v>
      </c>
      <c r="M8237" s="1302">
        <v>0.3</v>
      </c>
      <c r="N8237" s="1700"/>
      <c r="O8237" s="1290">
        <f>G8237*M8237</f>
        <v>0.3</v>
      </c>
      <c r="P8237" s="1332">
        <f>M8237*K8237</f>
        <v>1.7999999999999999E-2</v>
      </c>
      <c r="Q8237" s="3391"/>
      <c r="R8237" s="2339"/>
    </row>
    <row r="8238" spans="1:18" s="22" customFormat="1">
      <c r="A8238" s="1042"/>
      <c r="B8238" s="1599"/>
      <c r="C8238" s="1042"/>
      <c r="D8238" s="1587"/>
      <c r="E8238" s="2138"/>
      <c r="F8238" s="1587"/>
      <c r="G8238" s="1588"/>
      <c r="H8238" s="1674"/>
      <c r="I8238" s="1299"/>
      <c r="J8238" s="1300"/>
      <c r="K8238" s="1307"/>
      <c r="L8238" s="1335"/>
      <c r="M8238" s="1302"/>
      <c r="N8238" s="1700"/>
      <c r="O8238" s="1290"/>
      <c r="P8238" s="1332"/>
      <c r="Q8238" s="3391"/>
      <c r="R8238" s="2339"/>
    </row>
    <row r="8239" spans="1:18" s="22" customFormat="1">
      <c r="A8239" s="1042"/>
      <c r="B8239" s="1599"/>
      <c r="C8239" s="1042"/>
      <c r="D8239" s="1367"/>
      <c r="E8239" s="2121"/>
      <c r="F8239" s="1436"/>
      <c r="G8239" s="1436"/>
      <c r="H8239" s="1369"/>
      <c r="I8239" s="1299" t="str">
        <f t="shared" ref="I8239" ca="1" si="1127">IF(COUNT(H8239:O8239)=0,"",(SUM(H8239:O8239)/COUNT(H8239:O8239)))</f>
        <v/>
      </c>
      <c r="J8239" s="1300"/>
      <c r="K8239" s="1307"/>
      <c r="L8239" s="1335"/>
      <c r="M8239" s="1302"/>
      <c r="N8239" s="1700"/>
      <c r="O8239" s="1290"/>
      <c r="P8239" s="1332"/>
      <c r="Q8239" s="3391"/>
      <c r="R8239" s="2339"/>
    </row>
    <row r="8240" spans="1:18" s="22" customFormat="1">
      <c r="A8240" s="1042"/>
      <c r="B8240" s="1599"/>
      <c r="C8240" s="1042"/>
      <c r="D8240" s="1359"/>
      <c r="E8240" s="1858"/>
      <c r="F8240" s="1360" t="s">
        <v>2</v>
      </c>
      <c r="G8240" s="1360"/>
      <c r="H8240" s="1362"/>
      <c r="I8240" s="1380"/>
      <c r="J8240" s="1381"/>
      <c r="K8240" s="1381"/>
      <c r="L8240" s="1458"/>
      <c r="M8240" s="1362"/>
      <c r="N8240" s="1362"/>
      <c r="O8240" s="1362"/>
      <c r="P8240" s="1359"/>
      <c r="Q8240" s="3387"/>
      <c r="R8240" s="2339"/>
    </row>
    <row r="8241" spans="1:18" s="22" customFormat="1">
      <c r="A8241" s="1321"/>
      <c r="B8241" s="2053"/>
      <c r="C8241" s="1321"/>
      <c r="D8241" s="1655" t="s">
        <v>1099</v>
      </c>
      <c r="E8241" s="1859" t="s">
        <v>1508</v>
      </c>
      <c r="F8241" s="1655" t="s">
        <v>1633</v>
      </c>
      <c r="G8241" s="1625">
        <v>0.25</v>
      </c>
      <c r="H8241" s="1386"/>
      <c r="I8241" s="1299"/>
      <c r="J8241" s="1300"/>
      <c r="K8241" s="1307">
        <f>G8241*K8234</f>
        <v>1.4999999999999999E-2</v>
      </c>
      <c r="L8241" s="1335">
        <f t="shared" ref="L8241" si="1128">K8241*$K$7278</f>
        <v>0</v>
      </c>
      <c r="M8241" s="1302">
        <v>19.23</v>
      </c>
      <c r="N8241" s="1700"/>
      <c r="O8241" s="1290">
        <f>G8241*M8241</f>
        <v>4.8075000000000001</v>
      </c>
      <c r="P8241" s="1332">
        <f>M8241*K8241</f>
        <v>0.28844999999999998</v>
      </c>
      <c r="Q8241" s="3391"/>
      <c r="R8241" s="2339"/>
    </row>
    <row r="8242" spans="1:18" s="22" customFormat="1">
      <c r="A8242"/>
      <c r="B8242" s="1042"/>
      <c r="C8242" s="19"/>
      <c r="D8242" s="1430"/>
      <c r="E8242" s="1857"/>
      <c r="F8242" s="1403"/>
      <c r="G8242" s="1991"/>
      <c r="H8242" s="1408"/>
      <c r="I8242" s="1286"/>
      <c r="J8242" s="198"/>
      <c r="K8242" s="1307"/>
      <c r="L8242" s="1335"/>
      <c r="M8242" s="1302"/>
      <c r="N8242" s="1718"/>
      <c r="O8242" s="1290"/>
      <c r="P8242" s="1720"/>
      <c r="Q8242" s="3396"/>
      <c r="R8242" s="2337"/>
    </row>
    <row r="8243" spans="1:18" s="22" customFormat="1">
      <c r="A8243"/>
      <c r="B8243" s="1320"/>
      <c r="C8243" s="16"/>
      <c r="D8243" s="1359"/>
      <c r="E8243" s="1858"/>
      <c r="F8243" s="1474"/>
      <c r="G8243" s="1474"/>
      <c r="H8243" s="1466"/>
      <c r="I8243" s="1289"/>
      <c r="J8243" s="8"/>
      <c r="K8243" s="1307"/>
      <c r="L8243" s="1335"/>
      <c r="M8243" s="1302"/>
      <c r="N8243" s="1700"/>
      <c r="O8243" s="1290"/>
      <c r="P8243" s="1332"/>
      <c r="Q8243" s="3391"/>
      <c r="R8243" s="1296"/>
    </row>
    <row r="8244" spans="1:18" s="22" customFormat="1">
      <c r="A8244" s="1320"/>
      <c r="B8244" s="1599"/>
      <c r="C8244" s="1320"/>
      <c r="D8244" s="1373"/>
      <c r="E8244" s="2123"/>
      <c r="F8244" s="1374" t="s">
        <v>3</v>
      </c>
      <c r="G8244" s="1375"/>
      <c r="H8244" s="1376"/>
      <c r="I8244" s="1382"/>
      <c r="J8244" s="1383"/>
      <c r="K8244" s="1383"/>
      <c r="L8244" s="1413"/>
      <c r="M8244" s="1376"/>
      <c r="N8244" s="1376"/>
      <c r="O8244" s="1376"/>
      <c r="P8244" s="1373"/>
      <c r="Q8244" s="3387"/>
      <c r="R8244" s="2339"/>
    </row>
    <row r="8245" spans="1:18" s="22" customFormat="1">
      <c r="A8245" s="1321"/>
      <c r="B8245" s="2053"/>
      <c r="C8245" s="1321"/>
      <c r="D8245" s="1827"/>
      <c r="E8245" s="2173"/>
      <c r="F8245" s="1827"/>
      <c r="G8245" s="1828"/>
      <c r="H8245" s="1379"/>
      <c r="I8245" s="1299"/>
      <c r="J8245" s="1300"/>
      <c r="K8245" s="1307"/>
      <c r="L8245" s="1335"/>
      <c r="M8245" s="1302"/>
      <c r="N8245" s="1700"/>
      <c r="O8245" s="1290"/>
      <c r="P8245" s="1332"/>
      <c r="Q8245" s="3391"/>
      <c r="R8245" s="2339"/>
    </row>
    <row r="8246" spans="1:18" s="22" customFormat="1">
      <c r="A8246" s="1321"/>
      <c r="B8246" s="2053"/>
      <c r="C8246" s="1321"/>
      <c r="D8246" s="1377"/>
      <c r="E8246" s="2124"/>
      <c r="F8246" s="1378"/>
      <c r="G8246" s="1378"/>
      <c r="H8246" s="1379"/>
      <c r="I8246" s="1299"/>
      <c r="J8246" s="1300"/>
      <c r="K8246" s="1307"/>
      <c r="L8246" s="1335"/>
      <c r="M8246" s="1302"/>
      <c r="N8246" s="1700"/>
      <c r="O8246" s="1290"/>
      <c r="P8246" s="1333"/>
      <c r="Q8246" s="3391"/>
      <c r="R8246" s="2339"/>
    </row>
    <row r="8247" spans="1:18" s="22" customFormat="1">
      <c r="A8247" s="1042"/>
      <c r="B8247" s="1765"/>
      <c r="C8247" s="223"/>
      <c r="D8247" s="1373"/>
      <c r="E8247" s="2161"/>
      <c r="F8247" s="1678"/>
      <c r="G8247" s="1678"/>
      <c r="H8247" s="1376"/>
      <c r="I8247" s="1299"/>
      <c r="J8247" s="1300"/>
      <c r="K8247" s="1307"/>
      <c r="L8247" s="1335"/>
      <c r="M8247" s="1302"/>
      <c r="N8247" s="1700"/>
      <c r="O8247" s="1290"/>
      <c r="P8247" s="1332"/>
      <c r="Q8247" s="3391"/>
      <c r="R8247" s="2339"/>
    </row>
    <row r="8248" spans="1:18" s="22" customFormat="1">
      <c r="A8248" s="18" t="s">
        <v>3764</v>
      </c>
      <c r="B8248" s="4325" t="s">
        <v>2319</v>
      </c>
      <c r="C8248" s="4150"/>
      <c r="D8248" s="4327"/>
      <c r="E8248" s="4329" t="s">
        <v>1504</v>
      </c>
      <c r="F8248" s="4336" t="s">
        <v>2320</v>
      </c>
      <c r="G8248" s="4331" t="s">
        <v>1568</v>
      </c>
      <c r="H8248" s="4331" t="s">
        <v>1574</v>
      </c>
      <c r="I8248" s="1572" t="s">
        <v>1559</v>
      </c>
      <c r="J8248" s="1294" t="s">
        <v>1560</v>
      </c>
      <c r="K8248" s="1294" t="s">
        <v>1569</v>
      </c>
      <c r="L8248" s="4333" t="s">
        <v>3765</v>
      </c>
      <c r="M8248" s="4335" t="s">
        <v>1571</v>
      </c>
      <c r="N8248" s="4323" t="s">
        <v>1776</v>
      </c>
      <c r="O8248" s="4148" t="s">
        <v>1563</v>
      </c>
      <c r="P8248" s="1336" t="s">
        <v>1562</v>
      </c>
      <c r="Q8248" s="3389"/>
      <c r="R8248" s="1699" t="s">
        <v>1327</v>
      </c>
    </row>
    <row r="8249" spans="1:18" s="22" customFormat="1">
      <c r="A8249" s="1662" t="s">
        <v>3877</v>
      </c>
      <c r="B8249" s="4326"/>
      <c r="C8249" s="4151"/>
      <c r="D8249" s="4328"/>
      <c r="E8249" s="4330"/>
      <c r="F8249" s="4336"/>
      <c r="G8249" s="4332"/>
      <c r="H8249" s="4332"/>
      <c r="I8249" s="1345">
        <v>12</v>
      </c>
      <c r="J8249" s="1307">
        <v>5.0000000000000001E-3</v>
      </c>
      <c r="K8249" s="1666">
        <f>I8249*J8249</f>
        <v>0.06</v>
      </c>
      <c r="L8249" s="4334"/>
      <c r="M8249" s="4335"/>
      <c r="N8249" s="4324"/>
      <c r="O8249" s="1298">
        <f>SUM(O8251:O8256)</f>
        <v>11.077500000000001</v>
      </c>
      <c r="P8249" s="1337">
        <f>O8249*K8249</f>
        <v>0.66464999999999996</v>
      </c>
      <c r="Q8249" s="3390"/>
      <c r="R8249" s="1721">
        <f>SUM(P8251:P8256)</f>
        <v>0.66464999999999996</v>
      </c>
    </row>
    <row r="8250" spans="1:18" s="22" customFormat="1">
      <c r="A8250" s="1320"/>
      <c r="B8250" s="1949"/>
      <c r="C8250" s="1327"/>
      <c r="D8250" s="1367"/>
      <c r="E8250" s="2121"/>
      <c r="F8250" s="1389" t="s">
        <v>1</v>
      </c>
      <c r="G8250" s="1389"/>
      <c r="H8250" s="1369"/>
      <c r="I8250" s="2088"/>
      <c r="J8250" s="1369"/>
      <c r="K8250" s="1391"/>
      <c r="L8250" s="1559"/>
      <c r="M8250" s="1369"/>
      <c r="N8250" s="1369"/>
      <c r="O8250" s="1369"/>
      <c r="P8250" s="1392"/>
      <c r="Q8250" s="3395"/>
      <c r="R8250" s="2339"/>
    </row>
    <row r="8251" spans="1:18" s="22" customFormat="1">
      <c r="A8251" s="1320"/>
      <c r="B8251" s="1599"/>
      <c r="C8251" s="1320"/>
      <c r="D8251" s="1598" t="s">
        <v>2321</v>
      </c>
      <c r="E8251" s="2154" t="s">
        <v>1504</v>
      </c>
      <c r="F8251" s="1598" t="s">
        <v>2320</v>
      </c>
      <c r="G8251" s="1612">
        <v>1</v>
      </c>
      <c r="H8251" s="1367"/>
      <c r="I8251" s="1299"/>
      <c r="J8251" s="1300"/>
      <c r="K8251" s="1307">
        <f>K8249*G8251</f>
        <v>0.06</v>
      </c>
      <c r="L8251" s="1335">
        <f t="shared" ref="L8251:L8252" si="1129">K8251*$K$7278</f>
        <v>0</v>
      </c>
      <c r="M8251" s="1302">
        <v>5.97</v>
      </c>
      <c r="N8251" s="1700"/>
      <c r="O8251" s="1290">
        <f>G8251*M8251</f>
        <v>5.97</v>
      </c>
      <c r="P8251" s="1332">
        <f>M8251*K8251</f>
        <v>0.35819999999999996</v>
      </c>
      <c r="Q8251" s="3391"/>
      <c r="R8251" s="2339"/>
    </row>
    <row r="8252" spans="1:18" s="22" customFormat="1">
      <c r="A8252" s="1042"/>
      <c r="B8252" s="1599"/>
      <c r="C8252" s="1042"/>
      <c r="D8252" s="1587" t="s">
        <v>1082</v>
      </c>
      <c r="E8252" s="2138" t="s">
        <v>1504</v>
      </c>
      <c r="F8252" s="1587" t="s">
        <v>1541</v>
      </c>
      <c r="G8252" s="1588">
        <v>1</v>
      </c>
      <c r="H8252" s="1674"/>
      <c r="I8252" s="1299"/>
      <c r="J8252" s="1300"/>
      <c r="K8252" s="1307">
        <f>K8249*G8252</f>
        <v>0.06</v>
      </c>
      <c r="L8252" s="1335">
        <f t="shared" si="1129"/>
        <v>0</v>
      </c>
      <c r="M8252" s="1302">
        <v>0.3</v>
      </c>
      <c r="N8252" s="1700"/>
      <c r="O8252" s="1290">
        <f>G8252*M8252</f>
        <v>0.3</v>
      </c>
      <c r="P8252" s="1332">
        <f>M8252*K8252</f>
        <v>1.7999999999999999E-2</v>
      </c>
      <c r="Q8252" s="3391"/>
      <c r="R8252" s="2339"/>
    </row>
    <row r="8253" spans="1:18" s="22" customFormat="1">
      <c r="A8253" s="1042"/>
      <c r="B8253" s="1599"/>
      <c r="C8253" s="1042"/>
      <c r="D8253" s="1587"/>
      <c r="E8253" s="2138"/>
      <c r="F8253" s="1587"/>
      <c r="G8253" s="1588"/>
      <c r="H8253" s="1674"/>
      <c r="I8253" s="1299"/>
      <c r="J8253" s="1300"/>
      <c r="K8253" s="1307"/>
      <c r="L8253" s="1335"/>
      <c r="M8253" s="1302"/>
      <c r="N8253" s="1700"/>
      <c r="O8253" s="1290"/>
      <c r="P8253" s="1332"/>
      <c r="Q8253" s="3391"/>
      <c r="R8253" s="2339"/>
    </row>
    <row r="8254" spans="1:18" s="22" customFormat="1">
      <c r="A8254" s="1042"/>
      <c r="B8254" s="1599"/>
      <c r="C8254" s="1042"/>
      <c r="D8254" s="1367"/>
      <c r="E8254" s="2121"/>
      <c r="F8254" s="1436"/>
      <c r="G8254" s="1436"/>
      <c r="H8254" s="1369"/>
      <c r="I8254" s="1299" t="str">
        <f t="shared" ref="I8254" ca="1" si="1130">IF(COUNT(H8254:O8254)=0,"",(SUM(H8254:O8254)/COUNT(H8254:O8254)))</f>
        <v/>
      </c>
      <c r="J8254" s="1300"/>
      <c r="K8254" s="1307"/>
      <c r="L8254" s="1335"/>
      <c r="M8254" s="1302"/>
      <c r="N8254" s="1700"/>
      <c r="O8254" s="1290"/>
      <c r="P8254" s="1332"/>
      <c r="Q8254" s="3391"/>
      <c r="R8254" s="2339"/>
    </row>
    <row r="8255" spans="1:18" s="22" customFormat="1">
      <c r="A8255" s="1042"/>
      <c r="B8255" s="1599"/>
      <c r="C8255" s="1042"/>
      <c r="D8255" s="1359"/>
      <c r="E8255" s="1858"/>
      <c r="F8255" s="1360" t="s">
        <v>2</v>
      </c>
      <c r="G8255" s="1360"/>
      <c r="H8255" s="1362"/>
      <c r="I8255" s="1380"/>
      <c r="J8255" s="1381"/>
      <c r="K8255" s="1381"/>
      <c r="L8255" s="1458"/>
      <c r="M8255" s="1362"/>
      <c r="N8255" s="1362"/>
      <c r="O8255" s="1362"/>
      <c r="P8255" s="1359"/>
      <c r="Q8255" s="3387"/>
      <c r="R8255" s="2339"/>
    </row>
    <row r="8256" spans="1:18" s="22" customFormat="1">
      <c r="A8256" s="1321"/>
      <c r="B8256" s="2053"/>
      <c r="C8256" s="1321"/>
      <c r="D8256" s="1655" t="s">
        <v>1099</v>
      </c>
      <c r="E8256" s="1859" t="s">
        <v>1508</v>
      </c>
      <c r="F8256" s="1655" t="s">
        <v>1633</v>
      </c>
      <c r="G8256" s="1625">
        <v>0.25</v>
      </c>
      <c r="H8256" s="1386"/>
      <c r="I8256" s="1299"/>
      <c r="J8256" s="1300"/>
      <c r="K8256" s="1307">
        <f>G8256*K8249</f>
        <v>1.4999999999999999E-2</v>
      </c>
      <c r="L8256" s="1335">
        <f t="shared" ref="L8256" si="1131">K8256*$K$7278</f>
        <v>0</v>
      </c>
      <c r="M8256" s="1302">
        <v>19.23</v>
      </c>
      <c r="N8256" s="1700"/>
      <c r="O8256" s="1290">
        <f>G8256*M8256</f>
        <v>4.8075000000000001</v>
      </c>
      <c r="P8256" s="1332">
        <f>M8256*K8256</f>
        <v>0.28844999999999998</v>
      </c>
      <c r="Q8256" s="3391"/>
      <c r="R8256" s="2339"/>
    </row>
    <row r="8257" spans="1:18" s="22" customFormat="1">
      <c r="A8257"/>
      <c r="B8257" s="1042"/>
      <c r="C8257" s="19"/>
      <c r="D8257" s="1430"/>
      <c r="E8257" s="1857"/>
      <c r="F8257" s="1403"/>
      <c r="G8257" s="1991"/>
      <c r="H8257" s="1408"/>
      <c r="I8257" s="1286"/>
      <c r="J8257" s="198"/>
      <c r="K8257" s="1307"/>
      <c r="L8257" s="1335"/>
      <c r="M8257" s="1302"/>
      <c r="N8257" s="1718"/>
      <c r="O8257" s="1290"/>
      <c r="P8257" s="1720"/>
      <c r="Q8257" s="3396"/>
      <c r="R8257" s="2337"/>
    </row>
    <row r="8258" spans="1:18" s="22" customFormat="1">
      <c r="A8258"/>
      <c r="B8258" s="1320"/>
      <c r="C8258" s="16"/>
      <c r="D8258" s="1359"/>
      <c r="E8258" s="1858"/>
      <c r="F8258" s="1474"/>
      <c r="G8258" s="1474"/>
      <c r="H8258" s="1466"/>
      <c r="I8258" s="1289"/>
      <c r="J8258" s="8"/>
      <c r="K8258" s="1307"/>
      <c r="L8258" s="1335"/>
      <c r="M8258" s="1302"/>
      <c r="N8258" s="1700"/>
      <c r="O8258" s="1290"/>
      <c r="P8258" s="1332"/>
      <c r="Q8258" s="3391"/>
      <c r="R8258" s="1296"/>
    </row>
    <row r="8259" spans="1:18" s="22" customFormat="1">
      <c r="A8259" s="1320"/>
      <c r="B8259" s="1599"/>
      <c r="C8259" s="1320"/>
      <c r="D8259" s="1373"/>
      <c r="E8259" s="2123"/>
      <c r="F8259" s="1374" t="s">
        <v>3</v>
      </c>
      <c r="G8259" s="1375"/>
      <c r="H8259" s="1376"/>
      <c r="I8259" s="1382"/>
      <c r="J8259" s="1383"/>
      <c r="K8259" s="1383"/>
      <c r="L8259" s="1413"/>
      <c r="M8259" s="1376"/>
      <c r="N8259" s="1376"/>
      <c r="O8259" s="1376"/>
      <c r="P8259" s="1373"/>
      <c r="Q8259" s="3387"/>
      <c r="R8259" s="2339"/>
    </row>
    <row r="8260" spans="1:18" s="22" customFormat="1">
      <c r="A8260" s="1321"/>
      <c r="B8260" s="2053"/>
      <c r="C8260" s="1321"/>
      <c r="D8260" s="1827"/>
      <c r="E8260" s="2173"/>
      <c r="F8260" s="1827"/>
      <c r="G8260" s="1828"/>
      <c r="H8260" s="1379"/>
      <c r="I8260" s="1299"/>
      <c r="J8260" s="1300"/>
      <c r="K8260" s="1307"/>
      <c r="L8260" s="1335"/>
      <c r="M8260" s="1302"/>
      <c r="N8260" s="1700"/>
      <c r="O8260" s="1290"/>
      <c r="P8260" s="1332"/>
      <c r="Q8260" s="3391"/>
      <c r="R8260" s="2339"/>
    </row>
    <row r="8261" spans="1:18" s="22" customFormat="1">
      <c r="A8261" s="1321"/>
      <c r="B8261" s="2053"/>
      <c r="C8261" s="1321"/>
      <c r="D8261" s="1377"/>
      <c r="E8261" s="2124"/>
      <c r="F8261" s="1378"/>
      <c r="G8261" s="1378"/>
      <c r="H8261" s="1379"/>
      <c r="I8261" s="1299"/>
      <c r="J8261" s="1300"/>
      <c r="K8261" s="1307"/>
      <c r="L8261" s="1335"/>
      <c r="M8261" s="1302"/>
      <c r="N8261" s="1700"/>
      <c r="O8261" s="1290"/>
      <c r="P8261" s="1333"/>
      <c r="Q8261" s="3391"/>
      <c r="R8261" s="2339"/>
    </row>
    <row r="8262" spans="1:18" s="22" customFormat="1">
      <c r="A8262" s="1042"/>
      <c r="B8262" s="1765"/>
      <c r="C8262" s="223"/>
      <c r="D8262" s="1373"/>
      <c r="E8262" s="2161"/>
      <c r="F8262" s="1678"/>
      <c r="G8262" s="1678"/>
      <c r="H8262" s="1376"/>
      <c r="I8262" s="1299"/>
      <c r="J8262" s="1300"/>
      <c r="K8262" s="1307"/>
      <c r="L8262" s="1335"/>
      <c r="M8262" s="1302"/>
      <c r="N8262" s="1700"/>
      <c r="O8262" s="1290"/>
      <c r="P8262" s="1332"/>
      <c r="Q8262" s="3391"/>
      <c r="R8262" s="2339"/>
    </row>
    <row r="8263" spans="1:18" s="22" customFormat="1">
      <c r="A8263" s="18" t="s">
        <v>3764</v>
      </c>
      <c r="B8263" s="4325" t="s">
        <v>2322</v>
      </c>
      <c r="C8263" s="4150"/>
      <c r="D8263" s="4327"/>
      <c r="E8263" s="4329" t="s">
        <v>1504</v>
      </c>
      <c r="F8263" s="4336" t="s">
        <v>2323</v>
      </c>
      <c r="G8263" s="4331" t="s">
        <v>1568</v>
      </c>
      <c r="H8263" s="4331" t="s">
        <v>1574</v>
      </c>
      <c r="I8263" s="1572" t="s">
        <v>1559</v>
      </c>
      <c r="J8263" s="1294" t="s">
        <v>1560</v>
      </c>
      <c r="K8263" s="1294" t="s">
        <v>1569</v>
      </c>
      <c r="L8263" s="4333" t="s">
        <v>3765</v>
      </c>
      <c r="M8263" s="4335" t="s">
        <v>1571</v>
      </c>
      <c r="N8263" s="4323" t="s">
        <v>1776</v>
      </c>
      <c r="O8263" s="4148" t="s">
        <v>1563</v>
      </c>
      <c r="P8263" s="1336" t="s">
        <v>1562</v>
      </c>
      <c r="Q8263" s="3389"/>
      <c r="R8263" s="1699" t="s">
        <v>1327</v>
      </c>
    </row>
    <row r="8264" spans="1:18" s="22" customFormat="1">
      <c r="A8264" s="1662" t="s">
        <v>3877</v>
      </c>
      <c r="B8264" s="4326"/>
      <c r="C8264" s="4151"/>
      <c r="D8264" s="4328"/>
      <c r="E8264" s="4330"/>
      <c r="F8264" s="4336"/>
      <c r="G8264" s="4332"/>
      <c r="H8264" s="4332"/>
      <c r="I8264" s="1345">
        <v>4</v>
      </c>
      <c r="J8264" s="1307">
        <v>5.0000000000000001E-3</v>
      </c>
      <c r="K8264" s="1666">
        <f>I8264*J8264</f>
        <v>0.02</v>
      </c>
      <c r="L8264" s="4334"/>
      <c r="M8264" s="4335"/>
      <c r="N8264" s="4324"/>
      <c r="O8264" s="1298">
        <f>SUM(O8266:O8271)</f>
        <v>18.009</v>
      </c>
      <c r="P8264" s="1337">
        <f>O8264*K8264</f>
        <v>0.36018</v>
      </c>
      <c r="Q8264" s="3390"/>
      <c r="R8264" s="1721">
        <f>SUM(P8266:P8271)</f>
        <v>0.36018</v>
      </c>
    </row>
    <row r="8265" spans="1:18" s="22" customFormat="1">
      <c r="A8265" s="1320"/>
      <c r="B8265" s="1949"/>
      <c r="C8265" s="1327"/>
      <c r="D8265" s="1367"/>
      <c r="E8265" s="2121"/>
      <c r="F8265" s="1389" t="s">
        <v>1</v>
      </c>
      <c r="G8265" s="1389"/>
      <c r="H8265" s="1369"/>
      <c r="I8265" s="2088"/>
      <c r="J8265" s="1369"/>
      <c r="K8265" s="1391"/>
      <c r="L8265" s="1559"/>
      <c r="M8265" s="1369"/>
      <c r="N8265" s="1369"/>
      <c r="O8265" s="1369"/>
      <c r="P8265" s="1392"/>
      <c r="Q8265" s="3395"/>
      <c r="R8265" s="2339"/>
    </row>
    <row r="8266" spans="1:18" s="22" customFormat="1">
      <c r="A8266" s="1320"/>
      <c r="B8266" s="1599"/>
      <c r="C8266" s="1320"/>
      <c r="D8266" s="1598" t="s">
        <v>2324</v>
      </c>
      <c r="E8266" s="2154" t="s">
        <v>1504</v>
      </c>
      <c r="F8266" s="1598" t="s">
        <v>2323</v>
      </c>
      <c r="G8266" s="1612">
        <v>1</v>
      </c>
      <c r="H8266" s="1367"/>
      <c r="I8266" s="1299"/>
      <c r="J8266" s="1300"/>
      <c r="K8266" s="1307">
        <f>K8264*G8266</f>
        <v>0.02</v>
      </c>
      <c r="L8266" s="1335">
        <f t="shared" ref="L8266:L8267" si="1132">K8266*$K$7278</f>
        <v>0</v>
      </c>
      <c r="M8266" s="1302">
        <v>11.94</v>
      </c>
      <c r="N8266" s="1700"/>
      <c r="O8266" s="1290">
        <f>G8266*M8266</f>
        <v>11.94</v>
      </c>
      <c r="P8266" s="1332">
        <f>M8266*K8266</f>
        <v>0.23879999999999998</v>
      </c>
      <c r="Q8266" s="3391"/>
      <c r="R8266" s="2339"/>
    </row>
    <row r="8267" spans="1:18" s="22" customFormat="1">
      <c r="A8267" s="1042"/>
      <c r="B8267" s="1599"/>
      <c r="C8267" s="1042"/>
      <c r="D8267" s="1587" t="s">
        <v>1082</v>
      </c>
      <c r="E8267" s="2138" t="s">
        <v>1504</v>
      </c>
      <c r="F8267" s="1587" t="s">
        <v>1541</v>
      </c>
      <c r="G8267" s="1588">
        <v>1</v>
      </c>
      <c r="H8267" s="1674"/>
      <c r="I8267" s="1299"/>
      <c r="J8267" s="1300"/>
      <c r="K8267" s="1307">
        <f>K8264*G8267</f>
        <v>0.02</v>
      </c>
      <c r="L8267" s="1335">
        <f t="shared" si="1132"/>
        <v>0</v>
      </c>
      <c r="M8267" s="1302">
        <v>0.3</v>
      </c>
      <c r="N8267" s="1700"/>
      <c r="O8267" s="1290">
        <f>G8267*M8267</f>
        <v>0.3</v>
      </c>
      <c r="P8267" s="1332">
        <f>M8267*K8267</f>
        <v>6.0000000000000001E-3</v>
      </c>
      <c r="Q8267" s="3391"/>
      <c r="R8267" s="2339"/>
    </row>
    <row r="8268" spans="1:18" s="22" customFormat="1">
      <c r="A8268" s="1042"/>
      <c r="B8268" s="1599"/>
      <c r="C8268" s="1042"/>
      <c r="D8268" s="1587"/>
      <c r="E8268" s="2138"/>
      <c r="F8268" s="1587"/>
      <c r="G8268" s="1588"/>
      <c r="H8268" s="1674"/>
      <c r="I8268" s="1299"/>
      <c r="J8268" s="1300"/>
      <c r="K8268" s="1307"/>
      <c r="L8268" s="1335"/>
      <c r="M8268" s="1302"/>
      <c r="N8268" s="1700"/>
      <c r="O8268" s="1290"/>
      <c r="P8268" s="1332"/>
      <c r="Q8268" s="3391"/>
      <c r="R8268" s="2339"/>
    </row>
    <row r="8269" spans="1:18" s="22" customFormat="1">
      <c r="A8269" s="1042"/>
      <c r="B8269" s="1599"/>
      <c r="C8269" s="1042"/>
      <c r="D8269" s="1367"/>
      <c r="E8269" s="2121"/>
      <c r="F8269" s="1436"/>
      <c r="G8269" s="1436"/>
      <c r="H8269" s="1369"/>
      <c r="I8269" s="1299"/>
      <c r="J8269" s="1300"/>
      <c r="K8269" s="1307"/>
      <c r="L8269" s="1335"/>
      <c r="M8269" s="1302"/>
      <c r="N8269" s="1700"/>
      <c r="O8269" s="1290"/>
      <c r="P8269" s="1332"/>
      <c r="Q8269" s="3391"/>
      <c r="R8269" s="2339"/>
    </row>
    <row r="8270" spans="1:18" s="22" customFormat="1">
      <c r="A8270" s="1042"/>
      <c r="B8270" s="1599"/>
      <c r="C8270" s="1042"/>
      <c r="D8270" s="1359"/>
      <c r="E8270" s="1858"/>
      <c r="F8270" s="1360" t="s">
        <v>2</v>
      </c>
      <c r="G8270" s="1360"/>
      <c r="H8270" s="1362"/>
      <c r="I8270" s="1380"/>
      <c r="J8270" s="1381"/>
      <c r="K8270" s="1381"/>
      <c r="L8270" s="1458"/>
      <c r="M8270" s="1362"/>
      <c r="N8270" s="1362"/>
      <c r="O8270" s="1362"/>
      <c r="P8270" s="1359"/>
      <c r="Q8270" s="3387"/>
      <c r="R8270" s="2339"/>
    </row>
    <row r="8271" spans="1:18" s="22" customFormat="1">
      <c r="A8271" s="1321"/>
      <c r="B8271" s="2053"/>
      <c r="C8271" s="1321"/>
      <c r="D8271" s="1655" t="s">
        <v>1099</v>
      </c>
      <c r="E8271" s="1859" t="s">
        <v>1508</v>
      </c>
      <c r="F8271" s="1655" t="s">
        <v>1633</v>
      </c>
      <c r="G8271" s="1625">
        <v>0.3</v>
      </c>
      <c r="H8271" s="1386"/>
      <c r="I8271" s="1299"/>
      <c r="J8271" s="1300"/>
      <c r="K8271" s="1307">
        <f>G8271*K8264</f>
        <v>6.0000000000000001E-3</v>
      </c>
      <c r="L8271" s="1335">
        <f t="shared" ref="L8271" si="1133">K8271*$K$7278</f>
        <v>0</v>
      </c>
      <c r="M8271" s="1302">
        <v>19.23</v>
      </c>
      <c r="N8271" s="1700"/>
      <c r="O8271" s="1290">
        <f>G8271*M8271</f>
        <v>5.7690000000000001</v>
      </c>
      <c r="P8271" s="1332">
        <f>M8271*K8271</f>
        <v>0.11538000000000001</v>
      </c>
      <c r="Q8271" s="3391"/>
      <c r="R8271" s="2339"/>
    </row>
    <row r="8272" spans="1:18" s="22" customFormat="1">
      <c r="A8272"/>
      <c r="B8272" s="1042"/>
      <c r="C8272" s="19"/>
      <c r="D8272" s="1430"/>
      <c r="E8272" s="1857"/>
      <c r="F8272" s="1403"/>
      <c r="G8272" s="1991"/>
      <c r="H8272" s="1408"/>
      <c r="I8272" s="1286"/>
      <c r="J8272" s="198"/>
      <c r="K8272" s="1307"/>
      <c r="L8272" s="1335"/>
      <c r="M8272" s="1302"/>
      <c r="N8272" s="1718"/>
      <c r="O8272" s="1290"/>
      <c r="P8272" s="1720"/>
      <c r="Q8272" s="3396"/>
      <c r="R8272" s="2337"/>
    </row>
    <row r="8273" spans="1:18" s="22" customFormat="1">
      <c r="A8273"/>
      <c r="B8273" s="1320"/>
      <c r="C8273" s="16"/>
      <c r="D8273" s="1359"/>
      <c r="E8273" s="1858"/>
      <c r="F8273" s="1474"/>
      <c r="G8273" s="1474"/>
      <c r="H8273" s="1466"/>
      <c r="I8273" s="1289"/>
      <c r="J8273" s="8"/>
      <c r="K8273" s="1307"/>
      <c r="L8273" s="1335"/>
      <c r="M8273" s="1302"/>
      <c r="N8273" s="1700"/>
      <c r="O8273" s="1290"/>
      <c r="P8273" s="1332"/>
      <c r="Q8273" s="3391"/>
      <c r="R8273" s="1296"/>
    </row>
    <row r="8274" spans="1:18" s="22" customFormat="1">
      <c r="A8274" s="1320"/>
      <c r="B8274" s="1599"/>
      <c r="C8274" s="1320"/>
      <c r="D8274" s="1373"/>
      <c r="E8274" s="2123"/>
      <c r="F8274" s="1374" t="s">
        <v>3</v>
      </c>
      <c r="G8274" s="1375"/>
      <c r="H8274" s="1376"/>
      <c r="I8274" s="1382"/>
      <c r="J8274" s="1383"/>
      <c r="K8274" s="1383"/>
      <c r="L8274" s="1413"/>
      <c r="M8274" s="1376"/>
      <c r="N8274" s="1376"/>
      <c r="O8274" s="1376"/>
      <c r="P8274" s="1373"/>
      <c r="Q8274" s="3387"/>
      <c r="R8274" s="2339"/>
    </row>
    <row r="8275" spans="1:18" s="22" customFormat="1">
      <c r="A8275" s="1321"/>
      <c r="B8275" s="2053"/>
      <c r="C8275" s="1321"/>
      <c r="D8275" s="1827"/>
      <c r="E8275" s="2173"/>
      <c r="F8275" s="1827"/>
      <c r="G8275" s="1828"/>
      <c r="H8275" s="1379"/>
      <c r="I8275" s="1299"/>
      <c r="J8275" s="1300"/>
      <c r="K8275" s="1307"/>
      <c r="L8275" s="1335"/>
      <c r="M8275" s="1302"/>
      <c r="N8275" s="1700"/>
      <c r="O8275" s="1290"/>
      <c r="P8275" s="1332"/>
      <c r="Q8275" s="3391"/>
      <c r="R8275" s="2339"/>
    </row>
    <row r="8276" spans="1:18" s="22" customFormat="1">
      <c r="A8276" s="1321"/>
      <c r="B8276" s="2053"/>
      <c r="C8276" s="1321"/>
      <c r="D8276" s="1377"/>
      <c r="E8276" s="2124"/>
      <c r="F8276" s="1378"/>
      <c r="G8276" s="1378"/>
      <c r="H8276" s="1379"/>
      <c r="I8276" s="1299"/>
      <c r="J8276" s="1300"/>
      <c r="K8276" s="1307"/>
      <c r="L8276" s="1335"/>
      <c r="M8276" s="1302"/>
      <c r="N8276" s="1700"/>
      <c r="O8276" s="1290"/>
      <c r="P8276" s="1333"/>
      <c r="Q8276" s="3391"/>
      <c r="R8276" s="2339"/>
    </row>
    <row r="8277" spans="1:18" s="22" customFormat="1">
      <c r="A8277" s="1042"/>
      <c r="B8277" s="1765"/>
      <c r="C8277" s="223"/>
      <c r="D8277" s="1373"/>
      <c r="E8277" s="2161"/>
      <c r="F8277" s="1678"/>
      <c r="G8277" s="1678"/>
      <c r="H8277" s="1376"/>
      <c r="I8277" s="1299"/>
      <c r="J8277" s="1300"/>
      <c r="K8277" s="1307"/>
      <c r="L8277" s="1335"/>
      <c r="M8277" s="1302"/>
      <c r="N8277" s="1700"/>
      <c r="O8277" s="1290"/>
      <c r="P8277" s="1332"/>
      <c r="Q8277" s="3391"/>
      <c r="R8277" s="2339"/>
    </row>
    <row r="8278" spans="1:18" s="22" customFormat="1">
      <c r="A8278" s="18" t="s">
        <v>3764</v>
      </c>
      <c r="B8278" s="4325" t="s">
        <v>3894</v>
      </c>
      <c r="C8278" s="4150"/>
      <c r="D8278" s="4327"/>
      <c r="E8278" s="4329" t="s">
        <v>1504</v>
      </c>
      <c r="F8278" s="4336" t="s">
        <v>2428</v>
      </c>
      <c r="G8278" s="4331" t="s">
        <v>1568</v>
      </c>
      <c r="H8278" s="4331" t="s">
        <v>1574</v>
      </c>
      <c r="I8278" s="1572" t="s">
        <v>1559</v>
      </c>
      <c r="J8278" s="1294" t="s">
        <v>1560</v>
      </c>
      <c r="K8278" s="1294" t="s">
        <v>1569</v>
      </c>
      <c r="L8278" s="4333" t="s">
        <v>3765</v>
      </c>
      <c r="M8278" s="4335" t="s">
        <v>1571</v>
      </c>
      <c r="N8278" s="4323" t="s">
        <v>1776</v>
      </c>
      <c r="O8278" s="4148" t="s">
        <v>1563</v>
      </c>
      <c r="P8278" s="1336" t="s">
        <v>1562</v>
      </c>
      <c r="Q8278" s="3389"/>
      <c r="R8278" s="1699" t="s">
        <v>1327</v>
      </c>
    </row>
    <row r="8279" spans="1:18" s="22" customFormat="1">
      <c r="A8279" s="1662" t="s">
        <v>3877</v>
      </c>
      <c r="B8279" s="4326"/>
      <c r="C8279" s="4151"/>
      <c r="D8279" s="4328"/>
      <c r="E8279" s="4330"/>
      <c r="F8279" s="4336"/>
      <c r="G8279" s="4332"/>
      <c r="H8279" s="4332"/>
      <c r="I8279" s="1345">
        <v>4</v>
      </c>
      <c r="J8279" s="1307">
        <v>5.0000000000000001E-3</v>
      </c>
      <c r="K8279" s="1666">
        <f>I8279*J8279</f>
        <v>0.02</v>
      </c>
      <c r="L8279" s="4334"/>
      <c r="M8279" s="4335"/>
      <c r="N8279" s="4324"/>
      <c r="O8279" s="1298">
        <f>SUM(O8281:O8286)</f>
        <v>13.119</v>
      </c>
      <c r="P8279" s="1337">
        <f>O8279*K8279</f>
        <v>0.26238</v>
      </c>
      <c r="Q8279" s="3390"/>
      <c r="R8279" s="1721">
        <f>SUM(P8281:P8286)</f>
        <v>0.26238</v>
      </c>
    </row>
    <row r="8280" spans="1:18" s="22" customFormat="1">
      <c r="A8280" s="1320"/>
      <c r="B8280" s="1949"/>
      <c r="C8280" s="1327"/>
      <c r="D8280" s="1367"/>
      <c r="E8280" s="2121"/>
      <c r="F8280" s="1389" t="s">
        <v>1</v>
      </c>
      <c r="G8280" s="1389"/>
      <c r="H8280" s="1369"/>
      <c r="I8280" s="2088"/>
      <c r="J8280" s="1369"/>
      <c r="K8280" s="1391"/>
      <c r="L8280" s="1559"/>
      <c r="M8280" s="1369"/>
      <c r="N8280" s="1369"/>
      <c r="O8280" s="1369"/>
      <c r="P8280" s="1392"/>
      <c r="Q8280" s="3395"/>
      <c r="R8280" s="2339"/>
    </row>
    <row r="8281" spans="1:18" s="22" customFormat="1">
      <c r="A8281" s="1320"/>
      <c r="B8281" s="1599"/>
      <c r="C8281" s="1320"/>
      <c r="D8281" s="1598" t="s">
        <v>2429</v>
      </c>
      <c r="E8281" s="2154" t="s">
        <v>1504</v>
      </c>
      <c r="F8281" s="1598" t="s">
        <v>2430</v>
      </c>
      <c r="G8281" s="1612">
        <v>1</v>
      </c>
      <c r="H8281" s="1367"/>
      <c r="I8281" s="1299"/>
      <c r="J8281" s="1300"/>
      <c r="K8281" s="1307">
        <f>K8279*G8281</f>
        <v>0.02</v>
      </c>
      <c r="L8281" s="1335">
        <f t="shared" ref="L8281:L8282" si="1134">K8281*$K$7278</f>
        <v>0</v>
      </c>
      <c r="M8281" s="1302">
        <v>7.05</v>
      </c>
      <c r="N8281" s="1700"/>
      <c r="O8281" s="1290">
        <f>G8281*M8281</f>
        <v>7.05</v>
      </c>
      <c r="P8281" s="1332">
        <f>M8281*K8281</f>
        <v>0.14099999999999999</v>
      </c>
      <c r="Q8281" s="3391"/>
      <c r="R8281" s="2339"/>
    </row>
    <row r="8282" spans="1:18" s="22" customFormat="1">
      <c r="A8282" s="1042"/>
      <c r="B8282" s="1599"/>
      <c r="C8282" s="1042"/>
      <c r="D8282" s="1587" t="s">
        <v>1082</v>
      </c>
      <c r="E8282" s="2138" t="s">
        <v>1504</v>
      </c>
      <c r="F8282" s="1587" t="s">
        <v>1541</v>
      </c>
      <c r="G8282" s="1588">
        <v>1</v>
      </c>
      <c r="H8282" s="1674"/>
      <c r="I8282" s="1299"/>
      <c r="J8282" s="1300"/>
      <c r="K8282" s="1307">
        <f>K8279*G8282</f>
        <v>0.02</v>
      </c>
      <c r="L8282" s="1335">
        <f t="shared" si="1134"/>
        <v>0</v>
      </c>
      <c r="M8282" s="1302">
        <v>0.3</v>
      </c>
      <c r="N8282" s="1700"/>
      <c r="O8282" s="1290">
        <f>G8282*M8282</f>
        <v>0.3</v>
      </c>
      <c r="P8282" s="1332">
        <f>M8282*K8282</f>
        <v>6.0000000000000001E-3</v>
      </c>
      <c r="Q8282" s="3391"/>
      <c r="R8282" s="2339"/>
    </row>
    <row r="8283" spans="1:18" s="22" customFormat="1">
      <c r="A8283" s="1042"/>
      <c r="B8283" s="1599"/>
      <c r="C8283" s="1042"/>
      <c r="D8283" s="1587"/>
      <c r="E8283" s="2138"/>
      <c r="F8283" s="1587"/>
      <c r="G8283" s="1588"/>
      <c r="H8283" s="1674"/>
      <c r="I8283" s="1299"/>
      <c r="J8283" s="1300"/>
      <c r="K8283" s="1307"/>
      <c r="L8283" s="1335"/>
      <c r="M8283" s="1302"/>
      <c r="N8283" s="1700"/>
      <c r="O8283" s="1290"/>
      <c r="P8283" s="1332"/>
      <c r="Q8283" s="3391"/>
      <c r="R8283" s="2339"/>
    </row>
    <row r="8284" spans="1:18" s="22" customFormat="1">
      <c r="A8284" s="1042"/>
      <c r="B8284" s="1599"/>
      <c r="C8284" s="1042"/>
      <c r="D8284" s="1367"/>
      <c r="E8284" s="2121"/>
      <c r="F8284" s="1436"/>
      <c r="G8284" s="1436"/>
      <c r="H8284" s="1369"/>
      <c r="I8284" s="1299"/>
      <c r="J8284" s="1300"/>
      <c r="K8284" s="1307"/>
      <c r="L8284" s="1335"/>
      <c r="M8284" s="1302"/>
      <c r="N8284" s="1700"/>
      <c r="O8284" s="1290"/>
      <c r="P8284" s="1332"/>
      <c r="Q8284" s="3391"/>
      <c r="R8284" s="2339"/>
    </row>
    <row r="8285" spans="1:18" s="22" customFormat="1">
      <c r="A8285" s="1042"/>
      <c r="B8285" s="1599"/>
      <c r="C8285" s="1042"/>
      <c r="D8285" s="1359"/>
      <c r="E8285" s="1858"/>
      <c r="F8285" s="1360" t="s">
        <v>2</v>
      </c>
      <c r="G8285" s="1360"/>
      <c r="H8285" s="1362"/>
      <c r="I8285" s="1380"/>
      <c r="J8285" s="1381"/>
      <c r="K8285" s="1381"/>
      <c r="L8285" s="1458"/>
      <c r="M8285" s="1362"/>
      <c r="N8285" s="1362"/>
      <c r="O8285" s="1362"/>
      <c r="P8285" s="1359"/>
      <c r="Q8285" s="3387"/>
      <c r="R8285" s="2339"/>
    </row>
    <row r="8286" spans="1:18" s="22" customFormat="1">
      <c r="A8286" s="1321"/>
      <c r="B8286" s="2053"/>
      <c r="C8286" s="1321"/>
      <c r="D8286" s="1655" t="s">
        <v>1099</v>
      </c>
      <c r="E8286" s="1859" t="s">
        <v>1508</v>
      </c>
      <c r="F8286" s="1655" t="s">
        <v>1633</v>
      </c>
      <c r="G8286" s="1625">
        <v>0.3</v>
      </c>
      <c r="H8286" s="1386"/>
      <c r="I8286" s="1299"/>
      <c r="J8286" s="1300"/>
      <c r="K8286" s="1307">
        <f>G8286*K8279</f>
        <v>6.0000000000000001E-3</v>
      </c>
      <c r="L8286" s="1335">
        <f t="shared" ref="L8286" si="1135">K8286*$K$7278</f>
        <v>0</v>
      </c>
      <c r="M8286" s="1302">
        <v>19.23</v>
      </c>
      <c r="N8286" s="1700"/>
      <c r="O8286" s="1290">
        <f>G8286*M8286</f>
        <v>5.7690000000000001</v>
      </c>
      <c r="P8286" s="1332">
        <f>M8286*K8286</f>
        <v>0.11538000000000001</v>
      </c>
      <c r="Q8286" s="3391"/>
      <c r="R8286" s="2339"/>
    </row>
    <row r="8287" spans="1:18" s="22" customFormat="1">
      <c r="A8287"/>
      <c r="B8287" s="1042"/>
      <c r="C8287" s="19"/>
      <c r="D8287" s="1430"/>
      <c r="E8287" s="1857"/>
      <c r="F8287" s="1403"/>
      <c r="G8287" s="1991"/>
      <c r="H8287" s="1408"/>
      <c r="I8287" s="1286"/>
      <c r="J8287" s="198"/>
      <c r="K8287" s="1307"/>
      <c r="L8287" s="1335"/>
      <c r="M8287" s="1302"/>
      <c r="N8287" s="1718"/>
      <c r="O8287" s="1290"/>
      <c r="P8287" s="1720"/>
      <c r="Q8287" s="3396"/>
      <c r="R8287" s="2337"/>
    </row>
    <row r="8288" spans="1:18" s="22" customFormat="1">
      <c r="A8288"/>
      <c r="B8288" s="1320"/>
      <c r="C8288" s="16"/>
      <c r="D8288" s="1359"/>
      <c r="E8288" s="1858"/>
      <c r="F8288" s="1474"/>
      <c r="G8288" s="1474"/>
      <c r="H8288" s="1466"/>
      <c r="I8288" s="1289"/>
      <c r="J8288" s="8"/>
      <c r="K8288" s="1307"/>
      <c r="L8288" s="1335"/>
      <c r="M8288" s="1302"/>
      <c r="N8288" s="1700"/>
      <c r="O8288" s="1290"/>
      <c r="P8288" s="1332"/>
      <c r="Q8288" s="3391"/>
      <c r="R8288" s="1296"/>
    </row>
    <row r="8289" spans="1:18" s="22" customFormat="1">
      <c r="A8289" s="1320"/>
      <c r="B8289" s="1599"/>
      <c r="C8289" s="1320"/>
      <c r="D8289" s="1373"/>
      <c r="E8289" s="2123"/>
      <c r="F8289" s="1374" t="s">
        <v>3</v>
      </c>
      <c r="G8289" s="1375"/>
      <c r="H8289" s="1376"/>
      <c r="I8289" s="1382"/>
      <c r="J8289" s="1383"/>
      <c r="K8289" s="1383"/>
      <c r="L8289" s="1413"/>
      <c r="M8289" s="1376"/>
      <c r="N8289" s="1376"/>
      <c r="O8289" s="1376"/>
      <c r="P8289" s="1373"/>
      <c r="Q8289" s="3387"/>
      <c r="R8289" s="2339"/>
    </row>
    <row r="8290" spans="1:18" s="22" customFormat="1">
      <c r="A8290" s="1321"/>
      <c r="B8290" s="2053"/>
      <c r="C8290" s="1321"/>
      <c r="D8290" s="1827"/>
      <c r="E8290" s="2173"/>
      <c r="F8290" s="1827"/>
      <c r="G8290" s="1828"/>
      <c r="H8290" s="1379"/>
      <c r="I8290" s="1299"/>
      <c r="J8290" s="1300"/>
      <c r="K8290" s="1307"/>
      <c r="L8290" s="1335"/>
      <c r="M8290" s="1302"/>
      <c r="N8290" s="1700"/>
      <c r="O8290" s="1290"/>
      <c r="P8290" s="1332"/>
      <c r="Q8290" s="3391"/>
      <c r="R8290" s="2339"/>
    </row>
    <row r="8291" spans="1:18" s="22" customFormat="1">
      <c r="A8291" s="1321"/>
      <c r="B8291" s="2053"/>
      <c r="C8291" s="1321"/>
      <c r="D8291" s="1377"/>
      <c r="E8291" s="2124"/>
      <c r="F8291" s="1378"/>
      <c r="G8291" s="1378"/>
      <c r="H8291" s="1379"/>
      <c r="I8291" s="1299"/>
      <c r="J8291" s="1300"/>
      <c r="K8291" s="1307"/>
      <c r="L8291" s="1335"/>
      <c r="M8291" s="1302"/>
      <c r="N8291" s="1700"/>
      <c r="O8291" s="1290"/>
      <c r="P8291" s="1333"/>
      <c r="Q8291" s="3391"/>
      <c r="R8291" s="2339"/>
    </row>
    <row r="8292" spans="1:18" s="22" customFormat="1">
      <c r="A8292" s="1042"/>
      <c r="B8292" s="1765"/>
      <c r="C8292" s="223"/>
      <c r="D8292" s="1373"/>
      <c r="E8292" s="2161"/>
      <c r="F8292" s="1678"/>
      <c r="G8292" s="1678"/>
      <c r="H8292" s="1376"/>
      <c r="I8292" s="1299"/>
      <c r="J8292" s="1300"/>
      <c r="K8292" s="1307"/>
      <c r="L8292" s="1335"/>
      <c r="M8292" s="1302"/>
      <c r="N8292" s="1700"/>
      <c r="O8292" s="1290"/>
      <c r="P8292" s="1332"/>
      <c r="Q8292" s="3391"/>
      <c r="R8292" s="2339"/>
    </row>
    <row r="8293" spans="1:18" s="22" customFormat="1">
      <c r="A8293" s="1042"/>
      <c r="B8293" s="4325" t="s">
        <v>1712</v>
      </c>
      <c r="C8293" s="4163"/>
      <c r="D8293" s="4327"/>
      <c r="E8293" s="4337" t="s">
        <v>1507</v>
      </c>
      <c r="F8293" s="4338" t="s">
        <v>1714</v>
      </c>
      <c r="G8293" s="4331" t="s">
        <v>1574</v>
      </c>
      <c r="H8293" s="4331" t="s">
        <v>1568</v>
      </c>
      <c r="I8293" s="1572" t="s">
        <v>1559</v>
      </c>
      <c r="J8293" s="1294" t="s">
        <v>1560</v>
      </c>
      <c r="K8293" s="1294" t="s">
        <v>1561</v>
      </c>
      <c r="L8293" s="4333" t="s">
        <v>3765</v>
      </c>
      <c r="M8293" s="4335" t="s">
        <v>1571</v>
      </c>
      <c r="N8293" s="4323" t="s">
        <v>1776</v>
      </c>
      <c r="O8293" s="4160" t="s">
        <v>1563</v>
      </c>
      <c r="P8293" s="1336" t="s">
        <v>1562</v>
      </c>
      <c r="Q8293" s="3389"/>
      <c r="R8293" s="1699" t="s">
        <v>1327</v>
      </c>
    </row>
    <row r="8294" spans="1:18" s="22" customFormat="1">
      <c r="A8294" s="1042"/>
      <c r="B8294" s="4326"/>
      <c r="C8294" s="4162"/>
      <c r="D8294" s="4328"/>
      <c r="E8294" s="4337"/>
      <c r="F8294" s="4338"/>
      <c r="G8294" s="4332"/>
      <c r="H8294" s="4332"/>
      <c r="I8294" s="1345">
        <v>8.64</v>
      </c>
      <c r="J8294" s="1307">
        <v>5.0000000000000001E-3</v>
      </c>
      <c r="K8294" s="1297">
        <f>I8294*J8294</f>
        <v>4.3200000000000002E-2</v>
      </c>
      <c r="L8294" s="4334"/>
      <c r="M8294" s="4335"/>
      <c r="N8294" s="4324"/>
      <c r="O8294" s="1298">
        <f>SUM(O8296:O8306)</f>
        <v>7.8734500000000001</v>
      </c>
      <c r="P8294" s="1337">
        <f>K8294*O8294</f>
        <v>0.34013304</v>
      </c>
      <c r="Q8294" s="3390"/>
      <c r="R8294" s="1721">
        <f>SUM(P8296:P8307)</f>
        <v>0.34013304</v>
      </c>
    </row>
    <row r="8295" spans="1:18" s="22" customFormat="1">
      <c r="A8295" s="1042"/>
      <c r="B8295" s="551"/>
      <c r="C8295" s="18"/>
      <c r="D8295" s="1400"/>
      <c r="E8295" s="2121"/>
      <c r="F8295" s="1389" t="s">
        <v>1</v>
      </c>
      <c r="G8295" s="1472"/>
      <c r="H8295" s="1369"/>
      <c r="I8295" s="1391"/>
      <c r="J8295" s="1369"/>
      <c r="K8295" s="1369"/>
      <c r="L8295" s="1554"/>
      <c r="M8295" s="1487"/>
      <c r="N8295" s="1487"/>
      <c r="O8295" s="1487"/>
      <c r="P8295" s="1367"/>
      <c r="Q8295" s="3387"/>
      <c r="R8295" s="2338"/>
    </row>
    <row r="8296" spans="1:18" s="22" customFormat="1">
      <c r="A8296" s="1042"/>
      <c r="B8296" s="553"/>
      <c r="C8296" s="1042"/>
      <c r="D8296" s="1615" t="s">
        <v>1128</v>
      </c>
      <c r="E8296" s="1856" t="s">
        <v>1517</v>
      </c>
      <c r="F8296" s="1421" t="s">
        <v>1695</v>
      </c>
      <c r="G8296" s="1367"/>
      <c r="H8296" s="1604">
        <v>1.4999999999999999E-2</v>
      </c>
      <c r="I8296" s="1342"/>
      <c r="J8296" s="198"/>
      <c r="K8296" s="1307">
        <f>H8296*K8294</f>
        <v>6.4800000000000003E-4</v>
      </c>
      <c r="L8296" s="1335">
        <f>K8296*$K$8584</f>
        <v>0</v>
      </c>
      <c r="M8296" s="1302">
        <v>104.28</v>
      </c>
      <c r="N8296" s="1700"/>
      <c r="O8296" s="1290">
        <f>(H8296*M8296)</f>
        <v>1.5642</v>
      </c>
      <c r="P8296" s="1332">
        <f>M8296*K8296</f>
        <v>6.7573439999999999E-2</v>
      </c>
      <c r="Q8296" s="3391"/>
      <c r="R8296" s="2338"/>
    </row>
    <row r="8297" spans="1:18" s="22" customFormat="1">
      <c r="A8297" s="1042"/>
      <c r="B8297" s="553"/>
      <c r="C8297" s="1042"/>
      <c r="D8297" s="1428" t="s">
        <v>1152</v>
      </c>
      <c r="E8297" s="2122" t="s">
        <v>1517</v>
      </c>
      <c r="F8297" s="1370" t="s">
        <v>1696</v>
      </c>
      <c r="G8297" s="1367"/>
      <c r="H8297" s="1452">
        <v>5.0000000000000001E-3</v>
      </c>
      <c r="I8297" s="1286"/>
      <c r="J8297" s="198"/>
      <c r="K8297" s="1307">
        <f>H8297*K8294</f>
        <v>2.1600000000000002E-4</v>
      </c>
      <c r="L8297" s="1335">
        <f>K8297*$K$8584</f>
        <v>0</v>
      </c>
      <c r="M8297" s="1302">
        <v>108.05</v>
      </c>
      <c r="N8297" s="1700"/>
      <c r="O8297" s="1290">
        <f>(H8297*M8297)</f>
        <v>0.54025000000000001</v>
      </c>
      <c r="P8297" s="1332">
        <f>M8297*K8297</f>
        <v>2.33388E-2</v>
      </c>
      <c r="Q8297" s="3391"/>
      <c r="R8297" s="2338"/>
    </row>
    <row r="8298" spans="1:18" s="22" customFormat="1">
      <c r="A8298" s="1042"/>
      <c r="B8298" s="553"/>
      <c r="C8298" s="1320"/>
      <c r="D8298" s="1396"/>
      <c r="E8298" s="1856"/>
      <c r="F8298" s="1421"/>
      <c r="G8298" s="1452"/>
      <c r="H8298" s="1453"/>
      <c r="I8298" s="1286"/>
      <c r="J8298" s="198"/>
      <c r="K8298" s="1307"/>
      <c r="L8298" s="1335"/>
      <c r="M8298" s="1302"/>
      <c r="N8298" s="1700"/>
      <c r="O8298" s="1290"/>
      <c r="P8298" s="1332"/>
      <c r="Q8298" s="3391"/>
      <c r="R8298" s="2338"/>
    </row>
    <row r="8299" spans="1:18" s="22" customFormat="1">
      <c r="A8299" s="1042"/>
      <c r="B8299" s="553"/>
      <c r="C8299" s="1042"/>
      <c r="D8299" s="1400"/>
      <c r="E8299" s="1856"/>
      <c r="F8299" s="1397"/>
      <c r="G8299" s="1416"/>
      <c r="H8299" s="1399"/>
      <c r="I8299" s="197"/>
      <c r="J8299" s="198"/>
      <c r="K8299" s="1307"/>
      <c r="L8299" s="1335"/>
      <c r="M8299" s="1302"/>
      <c r="N8299" s="1700"/>
      <c r="O8299" s="1290"/>
      <c r="P8299" s="1332"/>
      <c r="Q8299" s="3391"/>
      <c r="R8299" s="2338"/>
    </row>
    <row r="8300" spans="1:18" s="22" customFormat="1">
      <c r="A8300" s="1042"/>
      <c r="B8300" s="553"/>
      <c r="C8300" s="1042"/>
      <c r="D8300" s="1404"/>
      <c r="E8300" s="1858"/>
      <c r="F8300" s="1465" t="s">
        <v>2</v>
      </c>
      <c r="G8300" s="1466"/>
      <c r="H8300" s="1362"/>
      <c r="I8300" s="1381"/>
      <c r="J8300" s="1381"/>
      <c r="K8300" s="1359"/>
      <c r="L8300" s="1458"/>
      <c r="M8300" s="1498"/>
      <c r="N8300" s="1498"/>
      <c r="O8300" s="1498"/>
      <c r="P8300" s="1359"/>
      <c r="Q8300" s="3387"/>
      <c r="R8300" s="2338"/>
    </row>
    <row r="8301" spans="1:18" s="22" customFormat="1">
      <c r="A8301" s="1042"/>
      <c r="B8301" s="553"/>
      <c r="C8301" s="1042"/>
      <c r="D8301" s="1622" t="s">
        <v>1153</v>
      </c>
      <c r="E8301" s="2125" t="s">
        <v>1508</v>
      </c>
      <c r="F8301" s="1363" t="s">
        <v>1697</v>
      </c>
      <c r="G8301" s="1466"/>
      <c r="H8301" s="1408">
        <v>0.3</v>
      </c>
      <c r="I8301" s="1340"/>
      <c r="J8301" s="198"/>
      <c r="K8301" s="1307">
        <f>H8301*K8294</f>
        <v>1.2960000000000001E-2</v>
      </c>
      <c r="L8301" s="1335">
        <f t="shared" ref="L8301" si="1136">K8301*$K$8584</f>
        <v>0</v>
      </c>
      <c r="M8301" s="1302">
        <v>19.23</v>
      </c>
      <c r="N8301" s="1700"/>
      <c r="O8301" s="1290">
        <f>(H8301*M8301)</f>
        <v>5.7690000000000001</v>
      </c>
      <c r="P8301" s="1332">
        <f>M8301*K8301</f>
        <v>0.24922080000000002</v>
      </c>
      <c r="Q8301" s="3391"/>
      <c r="R8301" s="2338"/>
    </row>
    <row r="8302" spans="1:18" s="22" customFormat="1">
      <c r="A8302" s="1042"/>
      <c r="B8302" s="553"/>
      <c r="C8302" s="1042"/>
      <c r="D8302" s="1622"/>
      <c r="E8302" s="2125"/>
      <c r="F8302" s="1363"/>
      <c r="G8302" s="1474"/>
      <c r="H8302" s="1408"/>
      <c r="I8302" s="1340"/>
      <c r="J8302" s="198"/>
      <c r="K8302" s="1307"/>
      <c r="L8302" s="1335"/>
      <c r="M8302" s="1302"/>
      <c r="N8302" s="1700"/>
      <c r="O8302" s="1290"/>
      <c r="P8302" s="1332"/>
      <c r="Q8302" s="3391"/>
      <c r="R8302" s="2338"/>
    </row>
    <row r="8303" spans="1:18" s="22" customFormat="1">
      <c r="A8303" s="1042"/>
      <c r="B8303" s="553"/>
      <c r="C8303" s="1042"/>
      <c r="D8303" s="1622"/>
      <c r="E8303" s="2125"/>
      <c r="F8303" s="1363"/>
      <c r="G8303" s="1474"/>
      <c r="H8303" s="1408"/>
      <c r="I8303" s="1340"/>
      <c r="J8303" s="198"/>
      <c r="K8303" s="1307"/>
      <c r="L8303" s="1335"/>
      <c r="M8303" s="1302"/>
      <c r="N8303" s="1700"/>
      <c r="O8303" s="1290"/>
      <c r="P8303" s="1332"/>
      <c r="Q8303" s="3391"/>
      <c r="R8303" s="2338"/>
    </row>
    <row r="8304" spans="1:18" s="22" customFormat="1">
      <c r="A8304" s="1042"/>
      <c r="B8304" s="553"/>
      <c r="C8304" s="1042"/>
      <c r="D8304" s="1411"/>
      <c r="E8304" s="2123"/>
      <c r="F8304" s="1475" t="s">
        <v>3</v>
      </c>
      <c r="G8304" s="1377"/>
      <c r="H8304" s="1376"/>
      <c r="I8304" s="1383" t="s">
        <v>506</v>
      </c>
      <c r="J8304" s="1383"/>
      <c r="K8304" s="1383"/>
      <c r="L8304" s="1413"/>
      <c r="M8304" s="1376"/>
      <c r="N8304" s="1376"/>
      <c r="O8304" s="1376"/>
      <c r="P8304" s="1373"/>
      <c r="Q8304" s="3387"/>
      <c r="R8304" s="2338"/>
    </row>
    <row r="8305" spans="1:19" s="22" customFormat="1">
      <c r="A8305" s="1042"/>
      <c r="B8305" s="553"/>
      <c r="C8305" s="1042"/>
      <c r="D8305" s="1440"/>
      <c r="E8305" s="2132"/>
      <c r="F8305" s="1441"/>
      <c r="G8305" s="1441"/>
      <c r="H8305" s="1442"/>
      <c r="I8305" s="197" t="s">
        <v>506</v>
      </c>
      <c r="J8305" s="198"/>
      <c r="K8305" s="1307"/>
      <c r="L8305" s="1335"/>
      <c r="M8305" s="1499"/>
      <c r="N8305" s="1701"/>
      <c r="O8305" s="1290"/>
      <c r="P8305" s="1332"/>
      <c r="Q8305" s="3391"/>
      <c r="R8305" s="2338"/>
    </row>
    <row r="8306" spans="1:19" s="22" customFormat="1">
      <c r="A8306" s="1042"/>
      <c r="B8306" s="553"/>
      <c r="C8306" s="1042"/>
      <c r="D8306" s="1440"/>
      <c r="E8306" s="2132"/>
      <c r="F8306" s="1441"/>
      <c r="G8306" s="1441"/>
      <c r="H8306" s="1442"/>
      <c r="I8306" s="197" t="s">
        <v>506</v>
      </c>
      <c r="J8306" s="198"/>
      <c r="K8306" s="1307"/>
      <c r="L8306" s="1335"/>
      <c r="M8306" s="1499"/>
      <c r="N8306" s="1701"/>
      <c r="O8306" s="1290"/>
      <c r="P8306" s="1332"/>
      <c r="Q8306" s="3391"/>
      <c r="R8306" s="2338"/>
    </row>
    <row r="8307" spans="1:19" s="22" customFormat="1">
      <c r="A8307" s="1042"/>
      <c r="B8307" s="554"/>
      <c r="C8307" s="223"/>
      <c r="D8307" s="1440"/>
      <c r="E8307" s="2132"/>
      <c r="F8307" s="1441"/>
      <c r="G8307" s="1441"/>
      <c r="H8307" s="1442"/>
      <c r="I8307" s="197"/>
      <c r="J8307" s="198"/>
      <c r="K8307" s="1307"/>
      <c r="L8307" s="1335"/>
      <c r="M8307" s="1499"/>
      <c r="N8307" s="1701"/>
      <c r="O8307" s="1290"/>
      <c r="P8307" s="1332"/>
      <c r="Q8307" s="3391"/>
      <c r="R8307" s="2338"/>
    </row>
    <row r="8308" spans="1:19" s="22" customFormat="1" ht="15" customHeight="1">
      <c r="A8308" s="19"/>
      <c r="B8308" s="4325" t="s">
        <v>1661</v>
      </c>
      <c r="C8308" s="4161"/>
      <c r="D8308" s="4327"/>
      <c r="E8308" s="4337" t="s">
        <v>1507</v>
      </c>
      <c r="F8308" s="4338" t="s">
        <v>1706</v>
      </c>
      <c r="G8308" s="4331" t="s">
        <v>1574</v>
      </c>
      <c r="H8308" s="4331" t="s">
        <v>1568</v>
      </c>
      <c r="I8308" s="1572" t="s">
        <v>1559</v>
      </c>
      <c r="J8308" s="1294" t="s">
        <v>1560</v>
      </c>
      <c r="K8308" s="1294" t="s">
        <v>1561</v>
      </c>
      <c r="L8308" s="4333" t="s">
        <v>3765</v>
      </c>
      <c r="M8308" s="4335" t="s">
        <v>1571</v>
      </c>
      <c r="N8308" s="4323" t="s">
        <v>1776</v>
      </c>
      <c r="O8308" s="4160" t="s">
        <v>1563</v>
      </c>
      <c r="P8308" s="1336" t="s">
        <v>1562</v>
      </c>
      <c r="Q8308" s="3389"/>
      <c r="R8308" s="1699" t="s">
        <v>1327</v>
      </c>
      <c r="S8308" s="4159"/>
    </row>
    <row r="8309" spans="1:19" s="22" customFormat="1">
      <c r="A8309" s="2083"/>
      <c r="B8309" s="4326"/>
      <c r="C8309" s="4163"/>
      <c r="D8309" s="4328"/>
      <c r="E8309" s="4337"/>
      <c r="F8309" s="4338"/>
      <c r="G8309" s="4332"/>
      <c r="H8309" s="4332"/>
      <c r="I8309" s="1345">
        <v>8.64</v>
      </c>
      <c r="J8309" s="1307">
        <v>5.0000000000000001E-3</v>
      </c>
      <c r="K8309" s="1297">
        <f>I8309*J8309</f>
        <v>4.3200000000000002E-2</v>
      </c>
      <c r="L8309" s="4334"/>
      <c r="M8309" s="4335"/>
      <c r="N8309" s="4324"/>
      <c r="O8309" s="1298">
        <f>SUM(O8311:O8323)</f>
        <v>8.9870400000000004</v>
      </c>
      <c r="P8309" s="1337">
        <f>K8309*O8309</f>
        <v>0.38824012800000002</v>
      </c>
      <c r="Q8309" s="3390"/>
      <c r="R8309" s="1721">
        <f>SUM(P8311:P8323)</f>
        <v>0.38824012800000002</v>
      </c>
    </row>
    <row r="8310" spans="1:19" s="22" customFormat="1">
      <c r="A8310" s="1320"/>
      <c r="B8310" s="551"/>
      <c r="C8310" s="18"/>
      <c r="D8310" s="1400"/>
      <c r="E8310" s="2121"/>
      <c r="F8310" s="1389" t="s">
        <v>1</v>
      </c>
      <c r="G8310" s="1472"/>
      <c r="H8310" s="1369"/>
      <c r="I8310" s="1391"/>
      <c r="J8310" s="1369"/>
      <c r="K8310" s="1369"/>
      <c r="L8310" s="1554"/>
      <c r="M8310" s="1487"/>
      <c r="N8310" s="1487"/>
      <c r="O8310" s="1487"/>
      <c r="P8310" s="1367"/>
      <c r="Q8310" s="3387"/>
      <c r="R8310" s="2338"/>
    </row>
    <row r="8311" spans="1:19" s="16" customFormat="1">
      <c r="A8311" s="1320"/>
      <c r="B8311" s="553"/>
      <c r="C8311" s="1042"/>
      <c r="D8311" s="1615" t="s">
        <v>1698</v>
      </c>
      <c r="E8311" s="1856" t="s">
        <v>1357</v>
      </c>
      <c r="F8311" s="1421" t="s">
        <v>1699</v>
      </c>
      <c r="G8311" s="1367"/>
      <c r="H8311" s="2090">
        <v>0.45</v>
      </c>
      <c r="I8311" s="1342"/>
      <c r="J8311" s="198"/>
      <c r="K8311" s="1307">
        <f>H8311*K8309</f>
        <v>1.9440000000000002E-2</v>
      </c>
      <c r="L8311" s="1335">
        <f t="shared" ref="L8311:L8313" si="1137">K8311*$K$8584</f>
        <v>0</v>
      </c>
      <c r="M8311" s="1302">
        <v>1.7</v>
      </c>
      <c r="N8311" s="1700"/>
      <c r="O8311" s="1290">
        <f>(H8311*M8311)</f>
        <v>0.76500000000000001</v>
      </c>
      <c r="P8311" s="1332">
        <f>M8311*K8311</f>
        <v>3.3048000000000001E-2</v>
      </c>
      <c r="Q8311" s="3391"/>
      <c r="R8311" s="2338"/>
    </row>
    <row r="8312" spans="1:19" s="22" customFormat="1">
      <c r="A8312" s="1042"/>
      <c r="B8312" s="553"/>
      <c r="C8312" s="1042"/>
      <c r="D8312" s="1615" t="s">
        <v>1214</v>
      </c>
      <c r="E8312" s="1856" t="s">
        <v>1357</v>
      </c>
      <c r="F8312" s="1421" t="s">
        <v>1700</v>
      </c>
      <c r="G8312" s="1367"/>
      <c r="H8312" s="1452">
        <v>0.35</v>
      </c>
      <c r="I8312" s="1286"/>
      <c r="J8312" s="198"/>
      <c r="K8312" s="1307">
        <f>H8312*K8309</f>
        <v>1.512E-2</v>
      </c>
      <c r="L8312" s="1335">
        <f t="shared" si="1137"/>
        <v>0</v>
      </c>
      <c r="M8312" s="1302">
        <v>4.2</v>
      </c>
      <c r="N8312" s="1700"/>
      <c r="O8312" s="1290">
        <f>(H8312*M8312)</f>
        <v>1.47</v>
      </c>
      <c r="P8312" s="1332">
        <f>M8312*K8312</f>
        <v>6.3504000000000005E-2</v>
      </c>
      <c r="Q8312" s="3391"/>
      <c r="R8312" s="4165"/>
    </row>
    <row r="8313" spans="1:19" s="22" customFormat="1">
      <c r="A8313" s="1042"/>
      <c r="B8313" s="553"/>
      <c r="C8313" s="1320"/>
      <c r="D8313" s="1400" t="s">
        <v>1701</v>
      </c>
      <c r="E8313" s="1856" t="s">
        <v>1504</v>
      </c>
      <c r="F8313" s="1421" t="s">
        <v>1541</v>
      </c>
      <c r="G8313" s="1367"/>
      <c r="H8313" s="1399">
        <v>0.2</v>
      </c>
      <c r="I8313" s="1614"/>
      <c r="J8313" s="1341"/>
      <c r="K8313" s="1307">
        <f>H8313*K8309</f>
        <v>8.6400000000000001E-3</v>
      </c>
      <c r="L8313" s="1335">
        <f t="shared" si="1137"/>
        <v>0</v>
      </c>
      <c r="M8313" s="1302">
        <v>0.3</v>
      </c>
      <c r="N8313" s="1700"/>
      <c r="O8313" s="1290">
        <f>(H8313*M8313)</f>
        <v>0.06</v>
      </c>
      <c r="P8313" s="1332">
        <f>M8313*K8313</f>
        <v>2.5920000000000001E-3</v>
      </c>
      <c r="Q8313" s="3391"/>
      <c r="R8313" s="4165"/>
    </row>
    <row r="8314" spans="1:19" s="22" customFormat="1">
      <c r="A8314" s="1042"/>
      <c r="B8314" s="553"/>
      <c r="C8314" s="1320"/>
      <c r="D8314" s="1400"/>
      <c r="E8314" s="1856"/>
      <c r="F8314" s="1421"/>
      <c r="G8314" s="1367"/>
      <c r="H8314" s="1399"/>
      <c r="I8314" s="1614"/>
      <c r="J8314" s="1341"/>
      <c r="K8314" s="1307"/>
      <c r="L8314" s="1335"/>
      <c r="M8314" s="1302"/>
      <c r="N8314" s="1700"/>
      <c r="O8314" s="1290"/>
      <c r="P8314" s="1332"/>
      <c r="Q8314" s="3391"/>
      <c r="R8314" s="4165"/>
    </row>
    <row r="8315" spans="1:19" s="22" customFormat="1">
      <c r="A8315" s="1042"/>
      <c r="B8315" s="553"/>
      <c r="C8315" s="1042"/>
      <c r="D8315" s="1400"/>
      <c r="E8315" s="1856"/>
      <c r="F8315" s="1421"/>
      <c r="G8315" s="1367"/>
      <c r="H8315" s="1399"/>
      <c r="I8315" s="1614"/>
      <c r="J8315" s="1341"/>
      <c r="K8315" s="1307"/>
      <c r="L8315" s="1335"/>
      <c r="M8315" s="1302"/>
      <c r="N8315" s="1700"/>
      <c r="O8315" s="1290"/>
      <c r="P8315" s="1332"/>
      <c r="Q8315" s="3391"/>
      <c r="R8315" s="4165"/>
    </row>
    <row r="8316" spans="1:19" s="22" customFormat="1" ht="15" customHeight="1">
      <c r="A8316"/>
      <c r="B8316" s="553"/>
      <c r="C8316" s="1042"/>
      <c r="D8316" s="1404"/>
      <c r="E8316" s="1858"/>
      <c r="F8316" s="1465" t="s">
        <v>2</v>
      </c>
      <c r="G8316" s="1466"/>
      <c r="H8316" s="1362"/>
      <c r="I8316" s="1381"/>
      <c r="J8316" s="1381"/>
      <c r="K8316" s="1359"/>
      <c r="L8316" s="1458"/>
      <c r="M8316" s="1498"/>
      <c r="N8316" s="1498"/>
      <c r="O8316" s="1498"/>
      <c r="P8316" s="1359"/>
      <c r="Q8316" s="3387"/>
      <c r="R8316" s="4165"/>
    </row>
    <row r="8317" spans="1:19" s="22" customFormat="1">
      <c r="A8317" s="16"/>
      <c r="B8317" s="553"/>
      <c r="C8317" s="1042"/>
      <c r="D8317" s="1623" t="s">
        <v>1702</v>
      </c>
      <c r="E8317" s="2158" t="s">
        <v>1508</v>
      </c>
      <c r="F8317" s="1801" t="s">
        <v>1703</v>
      </c>
      <c r="G8317" s="1359"/>
      <c r="H8317" s="1803">
        <v>0.34799999999999998</v>
      </c>
      <c r="I8317" s="1340"/>
      <c r="J8317" s="198"/>
      <c r="K8317" s="1307">
        <f>H8317*K8309</f>
        <v>1.5033599999999999E-2</v>
      </c>
      <c r="L8317" s="1335">
        <f t="shared" ref="L8317" si="1138">K8317*$K$8584</f>
        <v>0</v>
      </c>
      <c r="M8317" s="1302">
        <v>19.23</v>
      </c>
      <c r="N8317" s="1700"/>
      <c r="O8317" s="1290">
        <f>(H8317*M8317)</f>
        <v>6.6920399999999995</v>
      </c>
      <c r="P8317" s="1332">
        <f>M8317*K8317</f>
        <v>0.28909612800000001</v>
      </c>
      <c r="Q8317" s="3391"/>
      <c r="R8317" s="4165"/>
    </row>
    <row r="8318" spans="1:19" s="22" customFormat="1">
      <c r="A8318"/>
      <c r="B8318" s="553"/>
      <c r="C8318" s="1042"/>
      <c r="D8318" s="1623"/>
      <c r="E8318" s="2158"/>
      <c r="F8318" s="1801"/>
      <c r="G8318" s="1359"/>
      <c r="H8318" s="1803"/>
      <c r="I8318" s="1340"/>
      <c r="J8318" s="198"/>
      <c r="K8318" s="1307"/>
      <c r="L8318" s="1335"/>
      <c r="M8318" s="1302"/>
      <c r="N8318" s="1700"/>
      <c r="O8318" s="1290"/>
      <c r="P8318" s="1332"/>
      <c r="Q8318" s="3391"/>
      <c r="R8318" s="2344"/>
    </row>
    <row r="8319" spans="1:19" s="22" customFormat="1">
      <c r="A8319" s="1320"/>
      <c r="B8319" s="553"/>
      <c r="C8319" s="1042"/>
      <c r="D8319" s="1623"/>
      <c r="E8319" s="2158"/>
      <c r="F8319" s="1801"/>
      <c r="G8319" s="1359"/>
      <c r="H8319" s="1803"/>
      <c r="I8319" s="1340"/>
      <c r="J8319" s="198"/>
      <c r="K8319" s="1307"/>
      <c r="L8319" s="1335"/>
      <c r="M8319" s="1302"/>
      <c r="N8319" s="1700"/>
      <c r="O8319" s="1290"/>
      <c r="P8319" s="1332"/>
      <c r="Q8319" s="3391"/>
      <c r="R8319" s="4165"/>
    </row>
    <row r="8320" spans="1:19" s="22" customFormat="1">
      <c r="A8320" s="1321"/>
      <c r="B8320" s="553"/>
      <c r="C8320" s="1042"/>
      <c r="D8320" s="1411"/>
      <c r="E8320" s="2123"/>
      <c r="F8320" s="1475" t="s">
        <v>3</v>
      </c>
      <c r="G8320" s="1377"/>
      <c r="H8320" s="1376"/>
      <c r="I8320" s="1383" t="s">
        <v>506</v>
      </c>
      <c r="J8320" s="1383"/>
      <c r="K8320" s="1383"/>
      <c r="L8320" s="1413"/>
      <c r="M8320" s="1376"/>
      <c r="N8320" s="1376"/>
      <c r="O8320" s="1376"/>
      <c r="P8320" s="1373"/>
      <c r="Q8320" s="3387"/>
      <c r="R8320" s="4165"/>
    </row>
    <row r="8321" spans="1:18" s="22" customFormat="1">
      <c r="A8321" s="1321"/>
      <c r="B8321" s="553"/>
      <c r="C8321" s="1042"/>
      <c r="D8321" s="1440"/>
      <c r="E8321" s="2132"/>
      <c r="F8321" s="1441"/>
      <c r="G8321" s="1441"/>
      <c r="H8321" s="1442"/>
      <c r="I8321" s="197" t="s">
        <v>506</v>
      </c>
      <c r="J8321" s="198"/>
      <c r="K8321" s="1307"/>
      <c r="L8321" s="1335"/>
      <c r="M8321" s="1499"/>
      <c r="N8321" s="1701"/>
      <c r="O8321" s="1290"/>
      <c r="P8321" s="1332"/>
      <c r="Q8321" s="3391"/>
      <c r="R8321" s="1173"/>
    </row>
    <row r="8322" spans="1:18" s="22" customFormat="1">
      <c r="A8322" s="1042"/>
      <c r="B8322" s="553"/>
      <c r="C8322" s="1042"/>
      <c r="D8322" s="1440"/>
      <c r="E8322" s="2132"/>
      <c r="F8322" s="1441"/>
      <c r="G8322" s="1441"/>
      <c r="H8322" s="1442"/>
      <c r="I8322" s="197" t="s">
        <v>506</v>
      </c>
      <c r="J8322" s="198"/>
      <c r="K8322" s="1307"/>
      <c r="L8322" s="1335"/>
      <c r="M8322" s="1499"/>
      <c r="N8322" s="1701"/>
      <c r="O8322" s="1290"/>
      <c r="P8322" s="1332"/>
      <c r="Q8322" s="3391"/>
      <c r="R8322" s="2338"/>
    </row>
    <row r="8323" spans="1:18" s="22" customFormat="1">
      <c r="A8323" s="16"/>
      <c r="B8323" s="554"/>
      <c r="C8323" s="223"/>
      <c r="D8323" s="1440"/>
      <c r="E8323" s="2132"/>
      <c r="F8323" s="1441"/>
      <c r="G8323" s="1441"/>
      <c r="H8323" s="1442"/>
      <c r="I8323" s="197"/>
      <c r="J8323" s="198"/>
      <c r="K8323" s="1307"/>
      <c r="L8323" s="1335"/>
      <c r="M8323" s="1499"/>
      <c r="N8323" s="1701"/>
      <c r="O8323" s="1290"/>
      <c r="P8323" s="1332"/>
      <c r="Q8323" s="3391"/>
      <c r="R8323" s="2338"/>
    </row>
    <row r="8324" spans="1:18" s="22" customFormat="1">
      <c r="A8324" s="16"/>
      <c r="B8324" s="1596"/>
      <c r="C8324" s="1596"/>
      <c r="D8324" s="4180"/>
      <c r="E8324" s="4181"/>
      <c r="F8324" s="1959"/>
      <c r="G8324" s="1960"/>
      <c r="H8324" s="1797"/>
      <c r="I8324" s="1961"/>
      <c r="J8324" s="4182"/>
      <c r="K8324" s="1963"/>
      <c r="L8324" s="1964"/>
      <c r="M8324" s="4183"/>
      <c r="N8324" s="1966"/>
      <c r="O8324" s="1966"/>
      <c r="P8324" s="4184"/>
      <c r="Q8324" s="3391"/>
      <c r="R8324" s="4165"/>
    </row>
    <row r="8325" spans="1:18" s="22" customFormat="1" ht="15" customHeight="1">
      <c r="A8325" s="4391" t="s">
        <v>204</v>
      </c>
      <c r="B8325" s="4392"/>
      <c r="C8325" s="4392"/>
      <c r="D8325" s="4392"/>
      <c r="E8325" s="1303" t="s">
        <v>1504</v>
      </c>
      <c r="F8325" s="2115" t="s">
        <v>2755</v>
      </c>
      <c r="G8325" s="1288"/>
      <c r="H8325" s="1288"/>
      <c r="I8325" s="1557"/>
      <c r="J8325" s="1288"/>
      <c r="K8325" s="1288"/>
      <c r="L8325" s="1557"/>
      <c r="M8325" s="1288"/>
      <c r="N8325" s="1288"/>
      <c r="O8325" s="1288"/>
      <c r="P8325" s="1283"/>
      <c r="Q8325" s="3386"/>
      <c r="R8325" s="2339"/>
    </row>
    <row r="8326" spans="1:18" s="22" customFormat="1" ht="28.5">
      <c r="A8326" s="16"/>
      <c r="B8326" s="16"/>
      <c r="C8326" s="16"/>
      <c r="D8326" s="16"/>
      <c r="E8326" s="2182"/>
      <c r="F8326" s="2080"/>
      <c r="G8326" s="2080"/>
      <c r="H8326" s="13"/>
      <c r="I8326" s="1561"/>
      <c r="J8326" s="13"/>
      <c r="K8326" s="1639"/>
      <c r="L8326" s="2375" t="s">
        <v>2856</v>
      </c>
      <c r="M8326" s="1292"/>
      <c r="N8326" s="1292"/>
      <c r="O8326" s="1292"/>
      <c r="P8326" s="1292"/>
      <c r="Q8326" s="3391"/>
      <c r="R8326" s="3363"/>
    </row>
    <row r="8327" spans="1:18" s="22" customFormat="1">
      <c r="A8327" s="4393" t="s">
        <v>162</v>
      </c>
      <c r="B8327" s="4394"/>
      <c r="C8327" s="4394"/>
      <c r="D8327" s="4395"/>
      <c r="E8327" s="4396" t="s">
        <v>1549</v>
      </c>
      <c r="F8327" s="4397" t="s">
        <v>1550</v>
      </c>
      <c r="G8327" s="4399" t="s">
        <v>1566</v>
      </c>
      <c r="H8327" s="4400"/>
      <c r="I8327" s="4400"/>
      <c r="J8327" s="4400"/>
      <c r="K8327" s="4400"/>
      <c r="L8327" s="4401"/>
      <c r="M8327" s="4405" t="s">
        <v>1567</v>
      </c>
      <c r="N8327" s="4405"/>
      <c r="O8327" s="4405"/>
      <c r="P8327" s="4405"/>
      <c r="Q8327" s="3395"/>
      <c r="R8327" s="2339"/>
    </row>
    <row r="8328" spans="1:18" s="22" customFormat="1" ht="15" thickBot="1">
      <c r="A8328" s="1975" t="s">
        <v>3766</v>
      </c>
      <c r="B8328" s="1294" t="s">
        <v>1513</v>
      </c>
      <c r="C8328" s="1976" t="s">
        <v>1573</v>
      </c>
      <c r="D8328" s="1977" t="s">
        <v>1514</v>
      </c>
      <c r="E8328" s="4396"/>
      <c r="F8328" s="4397"/>
      <c r="G8328" s="4402"/>
      <c r="H8328" s="4403"/>
      <c r="I8328" s="4403"/>
      <c r="J8328" s="4403"/>
      <c r="K8328" s="4403"/>
      <c r="L8328" s="4404"/>
      <c r="M8328" s="4405"/>
      <c r="N8328" s="4405"/>
      <c r="O8328" s="4405"/>
      <c r="P8328" s="4405"/>
      <c r="Q8328" s="3395"/>
      <c r="R8328" s="2339"/>
    </row>
    <row r="8329" spans="1:18" s="22" customFormat="1" ht="34.5" customHeight="1">
      <c r="A8329" s="4374" t="s">
        <v>2447</v>
      </c>
      <c r="B8329" s="4375"/>
      <c r="C8329" s="4375"/>
      <c r="D8329" s="4376"/>
      <c r="E8329" s="4380" t="s">
        <v>1504</v>
      </c>
      <c r="F8329" s="4382" t="s">
        <v>2783</v>
      </c>
      <c r="G8329" s="4406" t="s">
        <v>294</v>
      </c>
      <c r="H8329" s="4407"/>
      <c r="I8329" s="1665" t="s">
        <v>1565</v>
      </c>
      <c r="J8329" s="3348" t="s">
        <v>1575</v>
      </c>
      <c r="K8329" s="4406" t="s">
        <v>289</v>
      </c>
      <c r="L8329" s="4407"/>
      <c r="M8329" s="4408" t="s">
        <v>3349</v>
      </c>
      <c r="N8329" s="4408"/>
      <c r="O8329" s="4408"/>
      <c r="P8329" s="4409"/>
      <c r="Q8329" s="4244" t="s">
        <v>3967</v>
      </c>
      <c r="R8329" s="2339"/>
    </row>
    <row r="8330" spans="1:18" s="22" customFormat="1" ht="25.5" customHeight="1" thickBot="1">
      <c r="A8330" s="4377"/>
      <c r="B8330" s="4378"/>
      <c r="C8330" s="4378"/>
      <c r="D8330" s="4379"/>
      <c r="E8330" s="4381"/>
      <c r="F8330" s="4383"/>
      <c r="G8330" s="4451">
        <f>IF('Seleccion proyecto HEREVEA02'!G60="Sustitución y reposición",'Seleccion proyecto HEREVEA02'!E60,0)</f>
        <v>0</v>
      </c>
      <c r="H8330" s="4452"/>
      <c r="I8330" s="3353">
        <f>IF('Seleccion proyecto HEREVEA02'!H60=0,0,IF('Seleccion proyecto HEREVEA02'!H60="1 a 30",0.3,IF('Seleccion proyecto HEREVEA02'!H60="31 a 60",0.6,IF('Seleccion proyecto HEREVEA02'!H10="61 a 100",1))))</f>
        <v>0</v>
      </c>
      <c r="J8330" s="1351">
        <f>'Seleccion proyecto HEREVEA02'!L8</f>
        <v>11100.968999999999</v>
      </c>
      <c r="K8330" s="4358">
        <f>G8330*I8330*J8330</f>
        <v>0</v>
      </c>
      <c r="L8330" s="4359"/>
      <c r="M8330" s="4360">
        <f>P8333+P8334+P8335+P8340+P8353+P8366+P8379+P8392+P8405+P8425+P8444+P8466+P8487+P8525+P8606+P8507+P8544+P8562+P8634</f>
        <v>159.51748800000001</v>
      </c>
      <c r="N8330" s="4361"/>
      <c r="O8330" s="4361"/>
      <c r="P8330" s="4362"/>
      <c r="Q8330" s="4245">
        <f>M8330*K8330</f>
        <v>0</v>
      </c>
      <c r="R8330" s="2339"/>
    </row>
    <row r="8331" spans="1:18" s="22" customFormat="1">
      <c r="A8331" s="553"/>
      <c r="B8331" s="4339"/>
      <c r="C8331" s="3361"/>
      <c r="D8331" s="4340"/>
      <c r="E8331" s="4342"/>
      <c r="F8331" s="4344" t="s">
        <v>2</v>
      </c>
      <c r="G8331" s="4346" t="s">
        <v>1568</v>
      </c>
      <c r="H8331" s="4348" t="s">
        <v>1574</v>
      </c>
      <c r="I8331" s="4350"/>
      <c r="J8331" s="4351" t="s">
        <v>1560</v>
      </c>
      <c r="K8331" s="4351" t="s">
        <v>1569</v>
      </c>
      <c r="L8331" s="4333" t="s">
        <v>3765</v>
      </c>
      <c r="M8331" s="4352" t="s">
        <v>1571</v>
      </c>
      <c r="N8331" s="4353" t="s">
        <v>1776</v>
      </c>
      <c r="O8331" s="4354" t="s">
        <v>1563</v>
      </c>
      <c r="P8331" s="4356" t="s">
        <v>1562</v>
      </c>
      <c r="Q8331" s="3389"/>
      <c r="R8331" s="2339"/>
    </row>
    <row r="8332" spans="1:18" s="22" customFormat="1">
      <c r="A8332" s="2083"/>
      <c r="B8332" s="4339"/>
      <c r="C8332" s="3361"/>
      <c r="D8332" s="4341"/>
      <c r="E8332" s="4343"/>
      <c r="F8332" s="4345"/>
      <c r="G8332" s="4347"/>
      <c r="H8332" s="4349"/>
      <c r="I8332" s="4350"/>
      <c r="J8332" s="4351"/>
      <c r="K8332" s="4351"/>
      <c r="L8332" s="4334"/>
      <c r="M8332" s="4352"/>
      <c r="N8332" s="4353"/>
      <c r="O8332" s="4355"/>
      <c r="P8332" s="4357"/>
      <c r="Q8332" s="3389"/>
      <c r="R8332" s="2339"/>
    </row>
    <row r="8333" spans="1:18" s="22" customFormat="1">
      <c r="A8333" s="2053"/>
      <c r="B8333" s="1321"/>
      <c r="C8333" s="1295"/>
      <c r="D8333" s="1363" t="s">
        <v>1067</v>
      </c>
      <c r="E8333" s="2125" t="s">
        <v>1508</v>
      </c>
      <c r="F8333" s="1385" t="s">
        <v>1512</v>
      </c>
      <c r="G8333" s="1998">
        <v>1.38</v>
      </c>
      <c r="H8333" s="2084"/>
      <c r="I8333" s="2085"/>
      <c r="J8333" s="2085">
        <v>0.05</v>
      </c>
      <c r="K8333" s="1307">
        <f>G8333*J8333</f>
        <v>6.8999999999999992E-2</v>
      </c>
      <c r="L8333" s="1335">
        <f>K8333*$K$8330</f>
        <v>0</v>
      </c>
      <c r="M8333" s="1302">
        <v>18.28</v>
      </c>
      <c r="N8333" s="1700"/>
      <c r="O8333" s="1290">
        <f>G8333*M8333</f>
        <v>25.226399999999998</v>
      </c>
      <c r="P8333" s="1337">
        <f>M8333*K8333</f>
        <v>1.26132</v>
      </c>
      <c r="Q8333" s="3390"/>
      <c r="R8333" s="2339"/>
    </row>
    <row r="8334" spans="1:18" s="22" customFormat="1">
      <c r="A8334" s="1599"/>
      <c r="B8334" s="1320"/>
      <c r="C8334" s="16"/>
      <c r="D8334" s="1359" t="s">
        <v>1099</v>
      </c>
      <c r="E8334" s="1858" t="s">
        <v>1508</v>
      </c>
      <c r="F8334" s="1404" t="s">
        <v>2405</v>
      </c>
      <c r="G8334" s="2096">
        <v>2.2799999999999998</v>
      </c>
      <c r="H8334" s="1359"/>
      <c r="I8334" s="1289"/>
      <c r="J8334" s="1341">
        <v>0.05</v>
      </c>
      <c r="K8334" s="1307">
        <f>G8334*J8334</f>
        <v>0.11399999999999999</v>
      </c>
      <c r="L8334" s="1335">
        <f>K8334*$K$8330</f>
        <v>0</v>
      </c>
      <c r="M8334" s="1302">
        <v>19.23</v>
      </c>
      <c r="N8334" s="1700"/>
      <c r="O8334" s="1290">
        <f>G8334*M8334</f>
        <v>43.8444</v>
      </c>
      <c r="P8334" s="1337">
        <f>M8334*K8334</f>
        <v>2.1922199999999998</v>
      </c>
      <c r="Q8334" s="3390"/>
      <c r="R8334" s="2339"/>
    </row>
    <row r="8335" spans="1:18" s="22" customFormat="1">
      <c r="A8335"/>
      <c r="B8335" s="1042"/>
      <c r="C8335" s="2086" t="s">
        <v>2282</v>
      </c>
      <c r="D8335" s="1311"/>
      <c r="E8335" s="2176" t="s">
        <v>1508</v>
      </c>
      <c r="F8335" s="1648" t="s">
        <v>2283</v>
      </c>
      <c r="G8335" s="1990"/>
      <c r="H8335" s="1338">
        <v>0.62</v>
      </c>
      <c r="I8335" s="1444"/>
      <c r="J8335" s="1388">
        <v>0.05</v>
      </c>
      <c r="K8335" s="1445"/>
      <c r="L8335" s="1457"/>
      <c r="M8335" s="1447"/>
      <c r="N8335" s="1447">
        <f>SUM(N8336:N8337)</f>
        <v>37.019999999999996</v>
      </c>
      <c r="O8335" s="1447">
        <f>SUM(O8336:O8337)</f>
        <v>22.952399999999997</v>
      </c>
      <c r="P8335" s="1447">
        <f>SUM(P8336:P8337)</f>
        <v>1.1476199999999999</v>
      </c>
      <c r="Q8335" s="3391"/>
      <c r="R8335" s="2337"/>
    </row>
    <row r="8336" spans="1:18" s="22" customFormat="1">
      <c r="A8336"/>
      <c r="B8336" s="1042"/>
      <c r="C8336" s="19"/>
      <c r="D8336" s="1430" t="s">
        <v>1067</v>
      </c>
      <c r="E8336" s="1857" t="s">
        <v>1508</v>
      </c>
      <c r="F8336" s="1403" t="s">
        <v>5</v>
      </c>
      <c r="G8336" s="1991">
        <v>1</v>
      </c>
      <c r="H8336" s="1408">
        <f>G8336*H8335</f>
        <v>0.62</v>
      </c>
      <c r="I8336" s="1286"/>
      <c r="J8336" s="198"/>
      <c r="K8336" s="1307">
        <f>H8336*J8335</f>
        <v>3.1E-2</v>
      </c>
      <c r="L8336" s="1335">
        <f t="shared" ref="L8336:L8337" si="1139">K8336*$K$8330</f>
        <v>0</v>
      </c>
      <c r="M8336" s="1302">
        <v>18.28</v>
      </c>
      <c r="N8336" s="1718">
        <f>G8336*M8336</f>
        <v>18.28</v>
      </c>
      <c r="O8336" s="1290">
        <f>H8336*M8336</f>
        <v>11.333600000000001</v>
      </c>
      <c r="P8336" s="1720">
        <f>M8336*K8336</f>
        <v>0.56668000000000007</v>
      </c>
      <c r="Q8336" s="3396"/>
      <c r="R8336" s="2337"/>
    </row>
    <row r="8337" spans="1:18" s="22" customFormat="1">
      <c r="A8337"/>
      <c r="B8337" s="1042"/>
      <c r="C8337" s="19"/>
      <c r="D8337" s="1430" t="s">
        <v>1165</v>
      </c>
      <c r="E8337" s="1857" t="s">
        <v>1508</v>
      </c>
      <c r="F8337" s="1394" t="s">
        <v>114</v>
      </c>
      <c r="G8337" s="2183">
        <v>1</v>
      </c>
      <c r="H8337" s="1395">
        <f>G8337*H8335</f>
        <v>0.62</v>
      </c>
      <c r="I8337" s="197"/>
      <c r="J8337" s="198"/>
      <c r="K8337" s="1307">
        <f>H8337*J8335</f>
        <v>3.1E-2</v>
      </c>
      <c r="L8337" s="1335">
        <f t="shared" si="1139"/>
        <v>0</v>
      </c>
      <c r="M8337" s="1302">
        <v>18.739999999999998</v>
      </c>
      <c r="N8337" s="1718">
        <f>G8337*M8337</f>
        <v>18.739999999999998</v>
      </c>
      <c r="O8337" s="1290">
        <f>H8337*M8337</f>
        <v>11.618799999999998</v>
      </c>
      <c r="P8337" s="1720">
        <f>M8337*K8337</f>
        <v>0.5809399999999999</v>
      </c>
      <c r="Q8337" s="3396"/>
      <c r="R8337" s="2337"/>
    </row>
    <row r="8338" spans="1:18" s="22" customFormat="1">
      <c r="A8338"/>
      <c r="B8338" s="225"/>
      <c r="C8338" s="16"/>
      <c r="D8338" s="1359"/>
      <c r="E8338" s="1858"/>
      <c r="F8338" s="1361"/>
      <c r="G8338" s="1361"/>
      <c r="H8338" s="1466"/>
      <c r="I8338" s="1289"/>
      <c r="J8338" s="8"/>
      <c r="K8338" s="1307"/>
      <c r="L8338" s="1335"/>
      <c r="M8338" s="1302"/>
      <c r="N8338" s="1700"/>
      <c r="O8338" s="1290"/>
      <c r="P8338" s="1332"/>
      <c r="Q8338" s="3391"/>
      <c r="R8338" s="2339"/>
    </row>
    <row r="8339" spans="1:18" s="22" customFormat="1">
      <c r="A8339" s="19" t="s">
        <v>3764</v>
      </c>
      <c r="B8339" s="4325" t="s">
        <v>2446</v>
      </c>
      <c r="C8339" s="3350"/>
      <c r="D8339" s="4327"/>
      <c r="E8339" s="4329" t="s">
        <v>1504</v>
      </c>
      <c r="F8339" s="4338" t="s">
        <v>3898</v>
      </c>
      <c r="G8339" s="4331" t="s">
        <v>1568</v>
      </c>
      <c r="H8339" s="4331" t="s">
        <v>1574</v>
      </c>
      <c r="I8339" s="1572" t="s">
        <v>1559</v>
      </c>
      <c r="J8339" s="1294" t="s">
        <v>1560</v>
      </c>
      <c r="K8339" s="1294" t="s">
        <v>1561</v>
      </c>
      <c r="L8339" s="4333" t="s">
        <v>3765</v>
      </c>
      <c r="M8339" s="4335" t="s">
        <v>1571</v>
      </c>
      <c r="N8339" s="4323" t="s">
        <v>1776</v>
      </c>
      <c r="O8339" s="3347" t="s">
        <v>1563</v>
      </c>
      <c r="P8339" s="1336" t="s">
        <v>1562</v>
      </c>
      <c r="Q8339" s="3389"/>
      <c r="R8339" s="1699" t="s">
        <v>1327</v>
      </c>
    </row>
    <row r="8340" spans="1:18" s="22" customFormat="1">
      <c r="A8340" s="1599" t="s">
        <v>2447</v>
      </c>
      <c r="B8340" s="4326"/>
      <c r="C8340" s="3351"/>
      <c r="D8340" s="4328"/>
      <c r="E8340" s="4330"/>
      <c r="F8340" s="4338"/>
      <c r="G8340" s="4332"/>
      <c r="H8340" s="4332"/>
      <c r="I8340" s="1345">
        <v>4</v>
      </c>
      <c r="J8340" s="1307">
        <v>0.05</v>
      </c>
      <c r="K8340" s="1666">
        <f>I8340*J8340</f>
        <v>0.2</v>
      </c>
      <c r="L8340" s="4334"/>
      <c r="M8340" s="4335"/>
      <c r="N8340" s="4324"/>
      <c r="O8340" s="1298">
        <f>SUM(O8342:O8350)</f>
        <v>9.6884000000000015</v>
      </c>
      <c r="P8340" s="1337">
        <f>O8340*K8340</f>
        <v>1.9376800000000003</v>
      </c>
      <c r="Q8340" s="3390"/>
      <c r="R8340" s="1721">
        <f>SUM(P8342:P8351)</f>
        <v>1.9376800000000003</v>
      </c>
    </row>
    <row r="8341" spans="1:18" s="22" customFormat="1">
      <c r="A8341" s="1320"/>
      <c r="B8341" s="1511"/>
      <c r="C8341" s="18"/>
      <c r="D8341" s="1463"/>
      <c r="E8341" s="2121"/>
      <c r="F8341" s="1368" t="s">
        <v>1</v>
      </c>
      <c r="G8341" s="1464"/>
      <c r="H8341" s="1426"/>
      <c r="I8341" s="1391"/>
      <c r="J8341" s="1369"/>
      <c r="K8341" s="1369"/>
      <c r="L8341" s="1554"/>
      <c r="M8341" s="1369"/>
      <c r="N8341" s="1369"/>
      <c r="O8341" s="1369"/>
      <c r="P8341" s="1367"/>
      <c r="Q8341" s="3387"/>
      <c r="R8341" s="2338"/>
    </row>
    <row r="8342" spans="1:18" s="22" customFormat="1">
      <c r="A8342" s="1320"/>
      <c r="B8342" s="595"/>
      <c r="C8342" s="1042"/>
      <c r="D8342" s="1598"/>
      <c r="E8342" s="2152"/>
      <c r="F8342" s="1598"/>
      <c r="G8342" s="1494"/>
      <c r="H8342" s="1372"/>
      <c r="I8342" s="1286" t="str">
        <f>IF(COUNT(#REF!)=0,"",(SUM(#REF!)/COUNT(#REF!)))</f>
        <v/>
      </c>
      <c r="J8342" s="1287"/>
      <c r="K8342" s="1307"/>
      <c r="L8342" s="1335"/>
      <c r="M8342" s="1499"/>
      <c r="N8342" s="1499"/>
      <c r="O8342" s="1291"/>
      <c r="P8342" s="1332"/>
      <c r="Q8342" s="3391"/>
      <c r="R8342" s="2338"/>
    </row>
    <row r="8343" spans="1:18" s="22" customFormat="1">
      <c r="A8343" s="1320"/>
      <c r="B8343" s="595"/>
      <c r="C8343" s="1042"/>
      <c r="D8343" s="1598"/>
      <c r="E8343" s="2152"/>
      <c r="F8343" s="1598"/>
      <c r="G8343" s="1494"/>
      <c r="H8343" s="1372"/>
      <c r="I8343" s="1286" t="str">
        <f t="shared" ref="I8343:I8344" si="1140">IF(COUNT(H8344:O8344)=0,"",(SUM(H8344:O8344)/COUNT(H8344:O8344)))</f>
        <v/>
      </c>
      <c r="J8343" s="1287"/>
      <c r="K8343" s="1307"/>
      <c r="L8343" s="1335"/>
      <c r="M8343" s="1499"/>
      <c r="N8343" s="1499"/>
      <c r="O8343" s="1291"/>
      <c r="P8343" s="1332"/>
      <c r="Q8343" s="3391"/>
      <c r="R8343" s="2338"/>
    </row>
    <row r="8344" spans="1:18" s="22" customFormat="1">
      <c r="A8344" s="1320"/>
      <c r="B8344" s="595"/>
      <c r="C8344" s="1042"/>
      <c r="D8344" s="1370"/>
      <c r="E8344" s="2152"/>
      <c r="F8344" s="1471"/>
      <c r="G8344" s="1494"/>
      <c r="H8344" s="1372"/>
      <c r="I8344" s="1286" t="str">
        <f t="shared" si="1140"/>
        <v/>
      </c>
      <c r="J8344" s="1287"/>
      <c r="K8344" s="1307"/>
      <c r="L8344" s="1335"/>
      <c r="M8344" s="1499"/>
      <c r="N8344" s="1499"/>
      <c r="O8344" s="1291"/>
      <c r="P8344" s="1332"/>
      <c r="Q8344" s="3391"/>
      <c r="R8344" s="2338"/>
    </row>
    <row r="8345" spans="1:18" s="22" customFormat="1">
      <c r="A8345" s="1320"/>
      <c r="B8345" s="595"/>
      <c r="C8345" s="1042"/>
      <c r="D8345" s="1404"/>
      <c r="E8345" s="1858"/>
      <c r="F8345" s="1465" t="s">
        <v>2</v>
      </c>
      <c r="G8345" s="1466"/>
      <c r="H8345" s="1362"/>
      <c r="I8345" s="1380"/>
      <c r="J8345" s="1381"/>
      <c r="K8345" s="1381"/>
      <c r="L8345" s="1458"/>
      <c r="M8345" s="1362"/>
      <c r="N8345" s="1705"/>
      <c r="O8345" s="1469"/>
      <c r="P8345" s="1470"/>
      <c r="Q8345" s="3398"/>
      <c r="R8345" s="2338"/>
    </row>
    <row r="8346" spans="1:18" s="22" customFormat="1">
      <c r="A8346" s="1320"/>
      <c r="B8346" s="595"/>
      <c r="C8346" s="1042"/>
      <c r="D8346" s="1402" t="s">
        <v>1067</v>
      </c>
      <c r="E8346" s="1857" t="s">
        <v>1508</v>
      </c>
      <c r="F8346" s="1430" t="s">
        <v>1512</v>
      </c>
      <c r="G8346" s="1362">
        <v>0.53</v>
      </c>
      <c r="H8346" s="1362"/>
      <c r="I8346" s="197"/>
      <c r="J8346" s="198"/>
      <c r="K8346" s="1307">
        <f>G8346*K8340</f>
        <v>0.10600000000000001</v>
      </c>
      <c r="L8346" s="1335">
        <f>K8346*$K$8330</f>
        <v>0</v>
      </c>
      <c r="M8346" s="1499">
        <v>18.28</v>
      </c>
      <c r="N8346" s="1499"/>
      <c r="O8346" s="1291">
        <f>(G8346*M8346)</f>
        <v>9.6884000000000015</v>
      </c>
      <c r="P8346" s="1332">
        <f>M8346*K8346</f>
        <v>1.9376800000000003</v>
      </c>
      <c r="Q8346" s="3391"/>
      <c r="R8346" s="2338"/>
    </row>
    <row r="8347" spans="1:18" s="22" customFormat="1">
      <c r="A8347" s="1320"/>
      <c r="B8347" s="595"/>
      <c r="C8347" s="1042"/>
      <c r="D8347" s="1402"/>
      <c r="E8347" s="1857"/>
      <c r="F8347" s="1430"/>
      <c r="G8347" s="1362"/>
      <c r="H8347" s="1362"/>
      <c r="I8347" s="197"/>
      <c r="J8347" s="198"/>
      <c r="K8347" s="1307"/>
      <c r="L8347" s="1335"/>
      <c r="M8347" s="1499"/>
      <c r="N8347" s="1499"/>
      <c r="O8347" s="1291"/>
      <c r="P8347" s="1332"/>
      <c r="Q8347" s="3391"/>
      <c r="R8347" s="2338"/>
    </row>
    <row r="8348" spans="1:18" s="22" customFormat="1">
      <c r="A8348" s="1320"/>
      <c r="B8348" s="595"/>
      <c r="C8348" s="1042"/>
      <c r="D8348" s="1411"/>
      <c r="E8348" s="2123"/>
      <c r="F8348" s="1475" t="s">
        <v>3</v>
      </c>
      <c r="G8348" s="1373"/>
      <c r="H8348" s="1376"/>
      <c r="I8348" s="1382"/>
      <c r="J8348" s="1383"/>
      <c r="K8348" s="1373"/>
      <c r="L8348" s="1413"/>
      <c r="M8348" s="1508"/>
      <c r="N8348" s="1706"/>
      <c r="O8348" s="1486"/>
      <c r="P8348" s="1373"/>
      <c r="Q8348" s="3387"/>
      <c r="R8348" s="2338"/>
    </row>
    <row r="8349" spans="1:18" s="22" customFormat="1">
      <c r="A8349" s="1320"/>
      <c r="B8349" s="595"/>
      <c r="C8349" s="1042"/>
      <c r="D8349" s="1378"/>
      <c r="E8349" s="2139"/>
      <c r="F8349" s="1476"/>
      <c r="G8349" s="1477"/>
      <c r="H8349" s="1379"/>
      <c r="I8349" s="1289"/>
      <c r="J8349" s="1341"/>
      <c r="K8349" s="1307"/>
      <c r="L8349" s="1335"/>
      <c r="M8349" s="1499"/>
      <c r="N8349" s="1499"/>
      <c r="O8349" s="1291"/>
      <c r="P8349" s="1332"/>
      <c r="Q8349" s="3391"/>
      <c r="R8349" s="2338"/>
    </row>
    <row r="8350" spans="1:18" s="22" customFormat="1">
      <c r="A8350" s="1320"/>
      <c r="B8350" s="595"/>
      <c r="C8350" s="1042"/>
      <c r="D8350" s="1482"/>
      <c r="E8350" s="2141"/>
      <c r="F8350" s="1483"/>
      <c r="G8350" s="1483"/>
      <c r="H8350" s="1484"/>
      <c r="I8350" s="1349"/>
      <c r="J8350" s="1341"/>
      <c r="K8350" s="1307"/>
      <c r="L8350" s="1335"/>
      <c r="M8350" s="1499"/>
      <c r="N8350" s="1499"/>
      <c r="O8350" s="1291"/>
      <c r="P8350" s="1332"/>
      <c r="Q8350" s="3391"/>
      <c r="R8350" s="2338"/>
    </row>
    <row r="8351" spans="1:18" s="22" customFormat="1">
      <c r="A8351" s="1320"/>
      <c r="B8351" s="1512"/>
      <c r="C8351" s="223"/>
      <c r="D8351" s="1440"/>
      <c r="E8351" s="2132"/>
      <c r="F8351" s="1441"/>
      <c r="G8351" s="1441"/>
      <c r="H8351" s="1442"/>
      <c r="I8351" s="197" t="str">
        <f>IF(COUNT(H8352:O8352)=0,"",(SUM(H8352:O8352)/COUNT(H8352:O8352)))</f>
        <v/>
      </c>
      <c r="J8351" s="198"/>
      <c r="K8351" s="1307"/>
      <c r="L8351" s="1335"/>
      <c r="M8351" s="1499"/>
      <c r="N8351" s="1701"/>
      <c r="O8351" s="1290"/>
      <c r="P8351" s="1332"/>
      <c r="Q8351" s="3391"/>
      <c r="R8351" s="2338"/>
    </row>
    <row r="8352" spans="1:18" s="22" customFormat="1">
      <c r="A8352" s="19" t="s">
        <v>3764</v>
      </c>
      <c r="B8352" s="4325" t="s">
        <v>2448</v>
      </c>
      <c r="C8352" s="3350"/>
      <c r="D8352" s="4327"/>
      <c r="E8352" s="4329" t="s">
        <v>1504</v>
      </c>
      <c r="F8352" s="4338" t="s">
        <v>2449</v>
      </c>
      <c r="G8352" s="4331" t="s">
        <v>1568</v>
      </c>
      <c r="H8352" s="4331" t="s">
        <v>1574</v>
      </c>
      <c r="I8352" s="1572" t="s">
        <v>1559</v>
      </c>
      <c r="J8352" s="1294" t="s">
        <v>1560</v>
      </c>
      <c r="K8352" s="1294" t="s">
        <v>1561</v>
      </c>
      <c r="L8352" s="4333" t="s">
        <v>3765</v>
      </c>
      <c r="M8352" s="4335" t="s">
        <v>1571</v>
      </c>
      <c r="N8352" s="4323" t="s">
        <v>1776</v>
      </c>
      <c r="O8352" s="3347" t="s">
        <v>1563</v>
      </c>
      <c r="P8352" s="1336" t="s">
        <v>1562</v>
      </c>
      <c r="Q8352" s="3389"/>
      <c r="R8352" s="1699" t="s">
        <v>1327</v>
      </c>
    </row>
    <row r="8353" spans="1:18" s="22" customFormat="1">
      <c r="A8353" s="1599" t="s">
        <v>2447</v>
      </c>
      <c r="B8353" s="4326"/>
      <c r="C8353" s="3351"/>
      <c r="D8353" s="4328"/>
      <c r="E8353" s="4330"/>
      <c r="F8353" s="4338"/>
      <c r="G8353" s="4332"/>
      <c r="H8353" s="4332"/>
      <c r="I8353" s="1345">
        <v>4</v>
      </c>
      <c r="J8353" s="1307">
        <v>0.05</v>
      </c>
      <c r="K8353" s="1666">
        <f>I8353*J8353</f>
        <v>0.2</v>
      </c>
      <c r="L8353" s="4334"/>
      <c r="M8353" s="4335"/>
      <c r="N8353" s="4324"/>
      <c r="O8353" s="1298">
        <f>SUM(O8355:O8363)</f>
        <v>4.57</v>
      </c>
      <c r="P8353" s="1337">
        <f>O8353*K8353</f>
        <v>0.91400000000000015</v>
      </c>
      <c r="Q8353" s="3390"/>
      <c r="R8353" s="1721">
        <f>SUM(P8355:P8364)</f>
        <v>0.91400000000000015</v>
      </c>
    </row>
    <row r="8354" spans="1:18" s="22" customFormat="1">
      <c r="A8354" s="1320"/>
      <c r="B8354" s="1511"/>
      <c r="C8354" s="18"/>
      <c r="D8354" s="1463"/>
      <c r="E8354" s="2121"/>
      <c r="F8354" s="1368" t="s">
        <v>1</v>
      </c>
      <c r="G8354" s="1464"/>
      <c r="H8354" s="1426"/>
      <c r="I8354" s="1391"/>
      <c r="J8354" s="1369"/>
      <c r="K8354" s="1369"/>
      <c r="L8354" s="1554"/>
      <c r="M8354" s="1369"/>
      <c r="N8354" s="1369"/>
      <c r="O8354" s="1369"/>
      <c r="P8354" s="1367"/>
      <c r="Q8354" s="3387"/>
      <c r="R8354" s="2338"/>
    </row>
    <row r="8355" spans="1:18" s="22" customFormat="1">
      <c r="A8355" s="1320"/>
      <c r="B8355" s="595"/>
      <c r="C8355" s="1042"/>
      <c r="D8355" s="1598"/>
      <c r="E8355" s="2152"/>
      <c r="F8355" s="1598"/>
      <c r="G8355" s="1494"/>
      <c r="H8355" s="1372"/>
      <c r="I8355" s="1286" t="str">
        <f t="shared" ref="I8355:I8357" si="1141">IF(COUNT(H8356:O8356)=0,"",(SUM(H8356:O8356)/COUNT(H8356:O8356)))</f>
        <v/>
      </c>
      <c r="J8355" s="1287"/>
      <c r="K8355" s="1307"/>
      <c r="L8355" s="1335"/>
      <c r="M8355" s="1499"/>
      <c r="N8355" s="1499"/>
      <c r="O8355" s="1291"/>
      <c r="P8355" s="1332"/>
      <c r="Q8355" s="3391"/>
      <c r="R8355" s="2338"/>
    </row>
    <row r="8356" spans="1:18" s="22" customFormat="1">
      <c r="A8356" s="1320"/>
      <c r="B8356" s="595"/>
      <c r="C8356" s="1042"/>
      <c r="D8356" s="1370"/>
      <c r="E8356" s="2152"/>
      <c r="F8356" s="1471"/>
      <c r="G8356" s="1494"/>
      <c r="H8356" s="1372"/>
      <c r="I8356" s="1286" t="str">
        <f>IF(COUNT(#REF!)=0,"",(SUM(#REF!)/COUNT(#REF!)))</f>
        <v/>
      </c>
      <c r="J8356" s="1287"/>
      <c r="K8356" s="1307"/>
      <c r="L8356" s="1335"/>
      <c r="M8356" s="1499"/>
      <c r="N8356" s="1499"/>
      <c r="O8356" s="1291"/>
      <c r="P8356" s="1332"/>
      <c r="Q8356" s="3391"/>
      <c r="R8356" s="2338"/>
    </row>
    <row r="8357" spans="1:18" s="22" customFormat="1">
      <c r="A8357" s="1320"/>
      <c r="B8357" s="595"/>
      <c r="C8357" s="1042"/>
      <c r="D8357" s="1370"/>
      <c r="E8357" s="2152"/>
      <c r="F8357" s="1471"/>
      <c r="G8357" s="1494"/>
      <c r="H8357" s="1372"/>
      <c r="I8357" s="1286" t="str">
        <f t="shared" si="1141"/>
        <v/>
      </c>
      <c r="J8357" s="1287"/>
      <c r="K8357" s="1307"/>
      <c r="L8357" s="1335"/>
      <c r="M8357" s="1499"/>
      <c r="N8357" s="1499"/>
      <c r="O8357" s="1291"/>
      <c r="P8357" s="1332"/>
      <c r="Q8357" s="3391"/>
      <c r="R8357" s="2338"/>
    </row>
    <row r="8358" spans="1:18" s="22" customFormat="1">
      <c r="A8358" s="1320"/>
      <c r="B8358" s="595"/>
      <c r="C8358" s="1042"/>
      <c r="D8358" s="1404"/>
      <c r="E8358" s="1858"/>
      <c r="F8358" s="1465" t="s">
        <v>2</v>
      </c>
      <c r="G8358" s="1466"/>
      <c r="H8358" s="1362"/>
      <c r="I8358" s="1380"/>
      <c r="J8358" s="1381"/>
      <c r="K8358" s="1381"/>
      <c r="L8358" s="1458"/>
      <c r="M8358" s="1362"/>
      <c r="N8358" s="1705"/>
      <c r="O8358" s="1469"/>
      <c r="P8358" s="1470"/>
      <c r="Q8358" s="3398"/>
      <c r="R8358" s="2338"/>
    </row>
    <row r="8359" spans="1:18" s="22" customFormat="1">
      <c r="A8359" s="1320"/>
      <c r="B8359" s="595"/>
      <c r="C8359" s="1042"/>
      <c r="D8359" s="1402" t="s">
        <v>1067</v>
      </c>
      <c r="E8359" s="1857" t="s">
        <v>1508</v>
      </c>
      <c r="F8359" s="1430" t="s">
        <v>1512</v>
      </c>
      <c r="G8359" s="1362">
        <v>0.25</v>
      </c>
      <c r="H8359" s="1362"/>
      <c r="I8359" s="197"/>
      <c r="J8359" s="198"/>
      <c r="K8359" s="1307">
        <f>G8359*K8353</f>
        <v>0.05</v>
      </c>
      <c r="L8359" s="1335">
        <f>K8359*$K$8330</f>
        <v>0</v>
      </c>
      <c r="M8359" s="1499">
        <v>18.28</v>
      </c>
      <c r="N8359" s="1499"/>
      <c r="O8359" s="1291">
        <f>(G8359*M8359)</f>
        <v>4.57</v>
      </c>
      <c r="P8359" s="1332">
        <f>M8359*K8359</f>
        <v>0.91400000000000015</v>
      </c>
      <c r="Q8359" s="3391"/>
      <c r="R8359" s="2338"/>
    </row>
    <row r="8360" spans="1:18" s="22" customFormat="1">
      <c r="A8360" s="1320"/>
      <c r="B8360" s="595"/>
      <c r="C8360" s="1042"/>
      <c r="D8360" s="1402"/>
      <c r="E8360" s="1857"/>
      <c r="F8360" s="1430"/>
      <c r="G8360" s="1362"/>
      <c r="H8360" s="1362"/>
      <c r="I8360" s="197"/>
      <c r="J8360" s="198"/>
      <c r="K8360" s="1307"/>
      <c r="L8360" s="1335"/>
      <c r="M8360" s="1499"/>
      <c r="N8360" s="1499"/>
      <c r="O8360" s="1291"/>
      <c r="P8360" s="1332"/>
      <c r="Q8360" s="3391"/>
      <c r="R8360" s="2338"/>
    </row>
    <row r="8361" spans="1:18" s="22" customFormat="1">
      <c r="A8361" s="1320"/>
      <c r="B8361" s="595"/>
      <c r="C8361" s="1042"/>
      <c r="D8361" s="1411"/>
      <c r="E8361" s="2123"/>
      <c r="F8361" s="1475" t="s">
        <v>3</v>
      </c>
      <c r="G8361" s="1373"/>
      <c r="H8361" s="1376"/>
      <c r="I8361" s="1382"/>
      <c r="J8361" s="1383"/>
      <c r="K8361" s="1373"/>
      <c r="L8361" s="1413"/>
      <c r="M8361" s="1508"/>
      <c r="N8361" s="1706"/>
      <c r="O8361" s="1486"/>
      <c r="P8361" s="1373"/>
      <c r="Q8361" s="3387"/>
      <c r="R8361" s="2338"/>
    </row>
    <row r="8362" spans="1:18" s="22" customFormat="1">
      <c r="A8362" s="1320"/>
      <c r="B8362" s="595"/>
      <c r="C8362" s="1042"/>
      <c r="D8362" s="1378"/>
      <c r="E8362" s="2139"/>
      <c r="F8362" s="1476"/>
      <c r="G8362" s="1477"/>
      <c r="H8362" s="1379"/>
      <c r="I8362" s="1289"/>
      <c r="J8362" s="1341"/>
      <c r="K8362" s="1307"/>
      <c r="L8362" s="1335"/>
      <c r="M8362" s="1499"/>
      <c r="N8362" s="1499"/>
      <c r="O8362" s="1291"/>
      <c r="P8362" s="1332"/>
      <c r="Q8362" s="3391"/>
      <c r="R8362" s="2338"/>
    </row>
    <row r="8363" spans="1:18" s="22" customFormat="1">
      <c r="A8363" s="1320"/>
      <c r="B8363" s="595"/>
      <c r="C8363" s="1042"/>
      <c r="D8363" s="1482"/>
      <c r="E8363" s="2141"/>
      <c r="F8363" s="1483"/>
      <c r="G8363" s="1483"/>
      <c r="H8363" s="1484"/>
      <c r="I8363" s="1349"/>
      <c r="J8363" s="1341"/>
      <c r="K8363" s="1307"/>
      <c r="L8363" s="1335"/>
      <c r="M8363" s="1499"/>
      <c r="N8363" s="1499"/>
      <c r="O8363" s="1291"/>
      <c r="P8363" s="1332"/>
      <c r="Q8363" s="3391"/>
      <c r="R8363" s="2338"/>
    </row>
    <row r="8364" spans="1:18" s="22" customFormat="1" ht="15" customHeight="1">
      <c r="A8364" s="1320"/>
      <c r="B8364" s="1512"/>
      <c r="C8364" s="223"/>
      <c r="D8364" s="1440"/>
      <c r="E8364" s="2132"/>
      <c r="F8364" s="1441"/>
      <c r="G8364" s="1441"/>
      <c r="H8364" s="1442"/>
      <c r="I8364" s="197" t="str">
        <f>IF(COUNT(H8365:O8365)=0,"",(SUM(H8365:O8365)/COUNT(H8365:O8365)))</f>
        <v/>
      </c>
      <c r="J8364" s="198"/>
      <c r="K8364" s="1307"/>
      <c r="L8364" s="1335"/>
      <c r="M8364" s="1499"/>
      <c r="N8364" s="1701"/>
      <c r="O8364" s="1290"/>
      <c r="P8364" s="1332"/>
      <c r="Q8364" s="3391"/>
      <c r="R8364" s="2338"/>
    </row>
    <row r="8365" spans="1:18" s="22" customFormat="1">
      <c r="A8365" s="19" t="s">
        <v>3764</v>
      </c>
      <c r="B8365" s="4325" t="s">
        <v>2450</v>
      </c>
      <c r="C8365" s="3350"/>
      <c r="D8365" s="4327"/>
      <c r="E8365" s="4329" t="s">
        <v>1504</v>
      </c>
      <c r="F8365" s="4338" t="s">
        <v>2451</v>
      </c>
      <c r="G8365" s="4331" t="s">
        <v>1568</v>
      </c>
      <c r="H8365" s="4331" t="s">
        <v>1574</v>
      </c>
      <c r="I8365" s="1572" t="s">
        <v>1559</v>
      </c>
      <c r="J8365" s="1294" t="s">
        <v>1560</v>
      </c>
      <c r="K8365" s="1294" t="s">
        <v>1561</v>
      </c>
      <c r="L8365" s="4333" t="s">
        <v>3765</v>
      </c>
      <c r="M8365" s="4335" t="s">
        <v>1571</v>
      </c>
      <c r="N8365" s="4323" t="s">
        <v>1776</v>
      </c>
      <c r="O8365" s="3347" t="s">
        <v>1563</v>
      </c>
      <c r="P8365" s="1336" t="s">
        <v>1562</v>
      </c>
      <c r="Q8365" s="3389"/>
      <c r="R8365" s="1699" t="s">
        <v>1327</v>
      </c>
    </row>
    <row r="8366" spans="1:18" s="22" customFormat="1">
      <c r="A8366" s="1599" t="s">
        <v>2447</v>
      </c>
      <c r="B8366" s="4326"/>
      <c r="C8366" s="3351"/>
      <c r="D8366" s="4328"/>
      <c r="E8366" s="4330"/>
      <c r="F8366" s="4338"/>
      <c r="G8366" s="4332"/>
      <c r="H8366" s="4332"/>
      <c r="I8366" s="1345">
        <v>4</v>
      </c>
      <c r="J8366" s="1307">
        <v>0.05</v>
      </c>
      <c r="K8366" s="1666">
        <f>I8366*J8366</f>
        <v>0.2</v>
      </c>
      <c r="L8366" s="4334"/>
      <c r="M8366" s="4335"/>
      <c r="N8366" s="4324"/>
      <c r="O8366" s="1298">
        <f>SUM(O8368:O8376)</f>
        <v>8.2260000000000009</v>
      </c>
      <c r="P8366" s="1337">
        <f>O8366*K8366</f>
        <v>1.6452000000000002</v>
      </c>
      <c r="Q8366" s="3390"/>
      <c r="R8366" s="1721">
        <f>SUM(P8368:P8377)</f>
        <v>1.6452000000000002</v>
      </c>
    </row>
    <row r="8367" spans="1:18" s="22" customFormat="1">
      <c r="A8367" s="1320"/>
      <c r="B8367" s="1511"/>
      <c r="C8367" s="18"/>
      <c r="D8367" s="1463"/>
      <c r="E8367" s="2121"/>
      <c r="F8367" s="1368" t="s">
        <v>1</v>
      </c>
      <c r="G8367" s="1464"/>
      <c r="H8367" s="1426"/>
      <c r="I8367" s="1391"/>
      <c r="J8367" s="1369"/>
      <c r="K8367" s="1369"/>
      <c r="L8367" s="1554"/>
      <c r="M8367" s="1369"/>
      <c r="N8367" s="1369"/>
      <c r="O8367" s="1369"/>
      <c r="P8367" s="1367"/>
      <c r="Q8367" s="3387"/>
      <c r="R8367" s="2338"/>
    </row>
    <row r="8368" spans="1:18" s="22" customFormat="1">
      <c r="A8368" s="1320"/>
      <c r="B8368" s="595"/>
      <c r="C8368" s="1042"/>
      <c r="D8368" s="1598"/>
      <c r="E8368" s="2152"/>
      <c r="F8368" s="1598"/>
      <c r="G8368" s="1494"/>
      <c r="H8368" s="1372"/>
      <c r="I8368" s="1286" t="str">
        <f>IF(COUNT(#REF!)=0,"",(SUM(#REF!)/COUNT(#REF!)))</f>
        <v/>
      </c>
      <c r="J8368" s="1287"/>
      <c r="K8368" s="1307"/>
      <c r="L8368" s="1335"/>
      <c r="M8368" s="1499"/>
      <c r="N8368" s="1499"/>
      <c r="O8368" s="1291"/>
      <c r="P8368" s="1332"/>
      <c r="Q8368" s="3391"/>
      <c r="R8368" s="2338"/>
    </row>
    <row r="8369" spans="1:18" s="22" customFormat="1">
      <c r="A8369" s="1320"/>
      <c r="B8369" s="595"/>
      <c r="C8369" s="1042"/>
      <c r="D8369" s="1598"/>
      <c r="E8369" s="2152"/>
      <c r="F8369" s="1598"/>
      <c r="G8369" s="1494"/>
      <c r="H8369" s="1372"/>
      <c r="I8369" s="1286" t="str">
        <f t="shared" ref="I8369:I8370" si="1142">IF(COUNT(H8370:O8370)=0,"",(SUM(H8370:O8370)/COUNT(H8370:O8370)))</f>
        <v/>
      </c>
      <c r="J8369" s="1287"/>
      <c r="K8369" s="1307"/>
      <c r="L8369" s="1335"/>
      <c r="M8369" s="1499"/>
      <c r="N8369" s="1499"/>
      <c r="O8369" s="1291"/>
      <c r="P8369" s="1332"/>
      <c r="Q8369" s="3391"/>
      <c r="R8369" s="2338"/>
    </row>
    <row r="8370" spans="1:18" s="22" customFormat="1">
      <c r="A8370" s="1320"/>
      <c r="B8370" s="595"/>
      <c r="C8370" s="1042"/>
      <c r="D8370" s="1370"/>
      <c r="E8370" s="2152"/>
      <c r="F8370" s="1471"/>
      <c r="G8370" s="1494"/>
      <c r="H8370" s="1372"/>
      <c r="I8370" s="1286" t="str">
        <f t="shared" si="1142"/>
        <v/>
      </c>
      <c r="J8370" s="1287"/>
      <c r="K8370" s="1307"/>
      <c r="L8370" s="1335"/>
      <c r="M8370" s="1499"/>
      <c r="N8370" s="1499"/>
      <c r="O8370" s="1291"/>
      <c r="P8370" s="1332"/>
      <c r="Q8370" s="3391"/>
      <c r="R8370" s="2338"/>
    </row>
    <row r="8371" spans="1:18" s="22" customFormat="1">
      <c r="A8371" s="1320"/>
      <c r="B8371" s="595"/>
      <c r="C8371" s="1042"/>
      <c r="D8371" s="1404"/>
      <c r="E8371" s="1858"/>
      <c r="F8371" s="1465" t="s">
        <v>2</v>
      </c>
      <c r="G8371" s="1466"/>
      <c r="H8371" s="1362"/>
      <c r="I8371" s="1380"/>
      <c r="J8371" s="1381"/>
      <c r="K8371" s="1381"/>
      <c r="L8371" s="1458"/>
      <c r="M8371" s="1362"/>
      <c r="N8371" s="1705"/>
      <c r="O8371" s="1469"/>
      <c r="P8371" s="1470"/>
      <c r="Q8371" s="3398"/>
      <c r="R8371" s="2338"/>
    </row>
    <row r="8372" spans="1:18" s="22" customFormat="1">
      <c r="A8372" s="1320"/>
      <c r="B8372" s="595"/>
      <c r="C8372" s="1042"/>
      <c r="D8372" s="1402" t="s">
        <v>1067</v>
      </c>
      <c r="E8372" s="1857" t="s">
        <v>1508</v>
      </c>
      <c r="F8372" s="1430" t="s">
        <v>1512</v>
      </c>
      <c r="G8372" s="1362">
        <v>0.45</v>
      </c>
      <c r="H8372" s="1362"/>
      <c r="I8372" s="197"/>
      <c r="J8372" s="198"/>
      <c r="K8372" s="1307">
        <f>G8372*K8366</f>
        <v>9.0000000000000011E-2</v>
      </c>
      <c r="L8372" s="1335">
        <f>K8372*$K$8330</f>
        <v>0</v>
      </c>
      <c r="M8372" s="1499">
        <v>18.28</v>
      </c>
      <c r="N8372" s="1499"/>
      <c r="O8372" s="1291">
        <f>(G8372*M8372)</f>
        <v>8.2260000000000009</v>
      </c>
      <c r="P8372" s="1332">
        <f>M8372*K8372</f>
        <v>1.6452000000000002</v>
      </c>
      <c r="Q8372" s="3391"/>
      <c r="R8372" s="2338"/>
    </row>
    <row r="8373" spans="1:18" s="22" customFormat="1">
      <c r="A8373" s="1320"/>
      <c r="B8373" s="595"/>
      <c r="C8373" s="1042"/>
      <c r="D8373" s="1402"/>
      <c r="E8373" s="1857"/>
      <c r="F8373" s="1430"/>
      <c r="G8373" s="1362"/>
      <c r="H8373" s="1362"/>
      <c r="I8373" s="197"/>
      <c r="J8373" s="198"/>
      <c r="K8373" s="1307"/>
      <c r="L8373" s="1335"/>
      <c r="M8373" s="1499"/>
      <c r="N8373" s="1499"/>
      <c r="O8373" s="1291"/>
      <c r="P8373" s="1332"/>
      <c r="Q8373" s="3391"/>
      <c r="R8373" s="2338"/>
    </row>
    <row r="8374" spans="1:18" s="22" customFormat="1">
      <c r="A8374" s="1320"/>
      <c r="B8374" s="595"/>
      <c r="C8374" s="1042"/>
      <c r="D8374" s="1411"/>
      <c r="E8374" s="2123"/>
      <c r="F8374" s="1475" t="s">
        <v>3</v>
      </c>
      <c r="G8374" s="1373"/>
      <c r="H8374" s="1376"/>
      <c r="I8374" s="1382"/>
      <c r="J8374" s="1383"/>
      <c r="K8374" s="1373"/>
      <c r="L8374" s="1413"/>
      <c r="M8374" s="1508"/>
      <c r="N8374" s="1706"/>
      <c r="O8374" s="1486"/>
      <c r="P8374" s="1373"/>
      <c r="Q8374" s="3387"/>
      <c r="R8374" s="2338"/>
    </row>
    <row r="8375" spans="1:18" s="22" customFormat="1">
      <c r="A8375" s="1320"/>
      <c r="B8375" s="595"/>
      <c r="C8375" s="1042"/>
      <c r="D8375" s="1378"/>
      <c r="E8375" s="2139"/>
      <c r="F8375" s="1476"/>
      <c r="G8375" s="1477"/>
      <c r="H8375" s="1379"/>
      <c r="I8375" s="1289"/>
      <c r="J8375" s="1341"/>
      <c r="K8375" s="1307"/>
      <c r="L8375" s="1335"/>
      <c r="M8375" s="1499"/>
      <c r="N8375" s="1499"/>
      <c r="O8375" s="1291"/>
      <c r="P8375" s="1332"/>
      <c r="Q8375" s="3391"/>
      <c r="R8375" s="2338"/>
    </row>
    <row r="8376" spans="1:18" s="22" customFormat="1">
      <c r="A8376" s="1320"/>
      <c r="B8376" s="595"/>
      <c r="C8376" s="1042"/>
      <c r="D8376" s="1482"/>
      <c r="E8376" s="2141"/>
      <c r="F8376" s="1483"/>
      <c r="G8376" s="1483"/>
      <c r="H8376" s="1484"/>
      <c r="I8376" s="1349"/>
      <c r="J8376" s="1341"/>
      <c r="K8376" s="1307"/>
      <c r="L8376" s="1335"/>
      <c r="M8376" s="1499"/>
      <c r="N8376" s="1499"/>
      <c r="O8376" s="1291"/>
      <c r="P8376" s="1332"/>
      <c r="Q8376" s="3391"/>
      <c r="R8376" s="2338"/>
    </row>
    <row r="8377" spans="1:18" s="22" customFormat="1">
      <c r="A8377" s="1320"/>
      <c r="B8377" s="1512"/>
      <c r="C8377" s="223"/>
      <c r="D8377" s="1440"/>
      <c r="E8377" s="2132"/>
      <c r="F8377" s="1441"/>
      <c r="G8377" s="1441"/>
      <c r="H8377" s="1442"/>
      <c r="I8377" s="197" t="str">
        <f>IF(COUNT(H8378:O8378)=0,"",(SUM(H8378:O8378)/COUNT(H8378:O8378)))</f>
        <v/>
      </c>
      <c r="J8377" s="198"/>
      <c r="K8377" s="1307"/>
      <c r="L8377" s="1335"/>
      <c r="M8377" s="1499"/>
      <c r="N8377" s="1701"/>
      <c r="O8377" s="1290"/>
      <c r="P8377" s="1332"/>
      <c r="Q8377" s="3391"/>
      <c r="R8377" s="2338"/>
    </row>
    <row r="8378" spans="1:18" s="22" customFormat="1">
      <c r="A8378" s="19" t="s">
        <v>3764</v>
      </c>
      <c r="B8378" s="4325" t="s">
        <v>2452</v>
      </c>
      <c r="C8378" s="3350"/>
      <c r="D8378" s="4327"/>
      <c r="E8378" s="4329" t="s">
        <v>1504</v>
      </c>
      <c r="F8378" s="4338" t="s">
        <v>2453</v>
      </c>
      <c r="G8378" s="4331" t="s">
        <v>1568</v>
      </c>
      <c r="H8378" s="4331" t="s">
        <v>1574</v>
      </c>
      <c r="I8378" s="1572" t="s">
        <v>1559</v>
      </c>
      <c r="J8378" s="1294" t="s">
        <v>1560</v>
      </c>
      <c r="K8378" s="1294" t="s">
        <v>1561</v>
      </c>
      <c r="L8378" s="4333" t="s">
        <v>3765</v>
      </c>
      <c r="M8378" s="4335" t="s">
        <v>1571</v>
      </c>
      <c r="N8378" s="4323" t="s">
        <v>1776</v>
      </c>
      <c r="O8378" s="3347" t="s">
        <v>1563</v>
      </c>
      <c r="P8378" s="1336" t="s">
        <v>1562</v>
      </c>
      <c r="Q8378" s="3389"/>
      <c r="R8378" s="1699" t="s">
        <v>1327</v>
      </c>
    </row>
    <row r="8379" spans="1:18" s="22" customFormat="1">
      <c r="A8379" s="1599" t="s">
        <v>2447</v>
      </c>
      <c r="B8379" s="4326"/>
      <c r="C8379" s="3351"/>
      <c r="D8379" s="4328"/>
      <c r="E8379" s="4330"/>
      <c r="F8379" s="4338"/>
      <c r="G8379" s="4332"/>
      <c r="H8379" s="4332"/>
      <c r="I8379" s="1345">
        <v>4</v>
      </c>
      <c r="J8379" s="1307">
        <v>0.05</v>
      </c>
      <c r="K8379" s="1666">
        <f>I8379*J8379</f>
        <v>0.2</v>
      </c>
      <c r="L8379" s="4334"/>
      <c r="M8379" s="4335"/>
      <c r="N8379" s="4324"/>
      <c r="O8379" s="1298">
        <f>SUM(O8381:O8389)</f>
        <v>4.57</v>
      </c>
      <c r="P8379" s="1337">
        <f>O8379*K8379</f>
        <v>0.91400000000000015</v>
      </c>
      <c r="Q8379" s="3390"/>
      <c r="R8379" s="1721">
        <f>SUM(P8381:P8390)</f>
        <v>0.91400000000000015</v>
      </c>
    </row>
    <row r="8380" spans="1:18" s="22" customFormat="1">
      <c r="A8380" s="1320"/>
      <c r="B8380" s="1511"/>
      <c r="C8380" s="18"/>
      <c r="D8380" s="1463"/>
      <c r="E8380" s="2121"/>
      <c r="F8380" s="1368" t="s">
        <v>1</v>
      </c>
      <c r="G8380" s="1464"/>
      <c r="H8380" s="1426"/>
      <c r="I8380" s="1391"/>
      <c r="J8380" s="1369"/>
      <c r="K8380" s="1369"/>
      <c r="L8380" s="1554"/>
      <c r="M8380" s="1369"/>
      <c r="N8380" s="1369"/>
      <c r="O8380" s="1369"/>
      <c r="P8380" s="1367"/>
      <c r="Q8380" s="3387"/>
      <c r="R8380" s="2338"/>
    </row>
    <row r="8381" spans="1:18" s="22" customFormat="1">
      <c r="A8381" s="1320"/>
      <c r="B8381" s="595"/>
      <c r="C8381" s="1042"/>
      <c r="D8381" s="1598"/>
      <c r="E8381" s="2152"/>
      <c r="F8381" s="1598"/>
      <c r="G8381" s="1494"/>
      <c r="H8381" s="1372"/>
      <c r="I8381" s="1286" t="str">
        <f>IF(COUNT(#REF!)=0,"",(SUM(#REF!)/COUNT(#REF!)))</f>
        <v/>
      </c>
      <c r="J8381" s="1287"/>
      <c r="K8381" s="1307"/>
      <c r="L8381" s="1335"/>
      <c r="M8381" s="1499"/>
      <c r="N8381" s="1499"/>
      <c r="O8381" s="1291"/>
      <c r="P8381" s="1332"/>
      <c r="Q8381" s="3391"/>
      <c r="R8381" s="2338"/>
    </row>
    <row r="8382" spans="1:18" s="22" customFormat="1">
      <c r="A8382" s="1320"/>
      <c r="B8382" s="595"/>
      <c r="C8382" s="1042"/>
      <c r="D8382" s="1598"/>
      <c r="E8382" s="2152"/>
      <c r="F8382" s="1598"/>
      <c r="G8382" s="1494"/>
      <c r="H8382" s="1372"/>
      <c r="I8382" s="1286" t="str">
        <f t="shared" ref="I8382:I8383" si="1143">IF(COUNT(H8383:O8383)=0,"",(SUM(H8383:O8383)/COUNT(H8383:O8383)))</f>
        <v/>
      </c>
      <c r="J8382" s="1287"/>
      <c r="K8382" s="1307"/>
      <c r="L8382" s="1335"/>
      <c r="M8382" s="1499"/>
      <c r="N8382" s="1499"/>
      <c r="O8382" s="1291"/>
      <c r="P8382" s="1332"/>
      <c r="Q8382" s="3391"/>
      <c r="R8382" s="2338"/>
    </row>
    <row r="8383" spans="1:18" s="22" customFormat="1">
      <c r="A8383" s="1320"/>
      <c r="B8383" s="595"/>
      <c r="C8383" s="1042"/>
      <c r="D8383" s="1370"/>
      <c r="E8383" s="2152"/>
      <c r="F8383" s="1471"/>
      <c r="G8383" s="1494"/>
      <c r="H8383" s="1372"/>
      <c r="I8383" s="1286" t="str">
        <f t="shared" si="1143"/>
        <v/>
      </c>
      <c r="J8383" s="1287"/>
      <c r="K8383" s="1307"/>
      <c r="L8383" s="1335"/>
      <c r="M8383" s="1499"/>
      <c r="N8383" s="1499"/>
      <c r="O8383" s="1291"/>
      <c r="P8383" s="1332"/>
      <c r="Q8383" s="3391"/>
      <c r="R8383" s="2338"/>
    </row>
    <row r="8384" spans="1:18" s="22" customFormat="1">
      <c r="A8384" s="1320"/>
      <c r="B8384" s="595"/>
      <c r="C8384" s="1042"/>
      <c r="D8384" s="1404"/>
      <c r="E8384" s="1858"/>
      <c r="F8384" s="1465" t="s">
        <v>2</v>
      </c>
      <c r="G8384" s="1466"/>
      <c r="H8384" s="1362"/>
      <c r="I8384" s="1380"/>
      <c r="J8384" s="1381"/>
      <c r="K8384" s="1381"/>
      <c r="L8384" s="1458"/>
      <c r="M8384" s="1362"/>
      <c r="N8384" s="1705"/>
      <c r="O8384" s="1469"/>
      <c r="P8384" s="1470"/>
      <c r="Q8384" s="3398"/>
      <c r="R8384" s="2338"/>
    </row>
    <row r="8385" spans="1:18" s="22" customFormat="1">
      <c r="A8385" s="1320"/>
      <c r="B8385" s="595"/>
      <c r="C8385" s="1042"/>
      <c r="D8385" s="1402" t="s">
        <v>1067</v>
      </c>
      <c r="E8385" s="1857" t="s">
        <v>1508</v>
      </c>
      <c r="F8385" s="1430" t="s">
        <v>1512</v>
      </c>
      <c r="G8385" s="1362">
        <v>0.25</v>
      </c>
      <c r="H8385" s="1362"/>
      <c r="I8385" s="197"/>
      <c r="J8385" s="198"/>
      <c r="K8385" s="1307">
        <f>G8385*K8379</f>
        <v>0.05</v>
      </c>
      <c r="L8385" s="1335">
        <f>K8385*$K$8330</f>
        <v>0</v>
      </c>
      <c r="M8385" s="1499">
        <v>18.28</v>
      </c>
      <c r="N8385" s="1499"/>
      <c r="O8385" s="1291">
        <f>(G8385*M8385)</f>
        <v>4.57</v>
      </c>
      <c r="P8385" s="1332">
        <f>M8385*K8385</f>
        <v>0.91400000000000015</v>
      </c>
      <c r="Q8385" s="3391"/>
      <c r="R8385" s="2338"/>
    </row>
    <row r="8386" spans="1:18" s="22" customFormat="1">
      <c r="A8386" s="1320"/>
      <c r="B8386" s="595"/>
      <c r="C8386" s="1042"/>
      <c r="D8386" s="1402"/>
      <c r="E8386" s="1857"/>
      <c r="F8386" s="1430"/>
      <c r="G8386" s="1362"/>
      <c r="H8386" s="1362"/>
      <c r="I8386" s="197"/>
      <c r="J8386" s="198"/>
      <c r="K8386" s="1307"/>
      <c r="L8386" s="1335"/>
      <c r="M8386" s="1499"/>
      <c r="N8386" s="1499"/>
      <c r="O8386" s="1291"/>
      <c r="P8386" s="1332"/>
      <c r="Q8386" s="3391"/>
      <c r="R8386" s="2338"/>
    </row>
    <row r="8387" spans="1:18" s="22" customFormat="1">
      <c r="A8387" s="1320"/>
      <c r="B8387" s="595"/>
      <c r="C8387" s="1042"/>
      <c r="D8387" s="1411"/>
      <c r="E8387" s="2123"/>
      <c r="F8387" s="1475" t="s">
        <v>3</v>
      </c>
      <c r="G8387" s="1373"/>
      <c r="H8387" s="1376"/>
      <c r="I8387" s="1382"/>
      <c r="J8387" s="1383"/>
      <c r="K8387" s="1373"/>
      <c r="L8387" s="1413"/>
      <c r="M8387" s="1508"/>
      <c r="N8387" s="1706"/>
      <c r="O8387" s="1486"/>
      <c r="P8387" s="1373"/>
      <c r="Q8387" s="3387"/>
      <c r="R8387" s="2338"/>
    </row>
    <row r="8388" spans="1:18" s="22" customFormat="1">
      <c r="A8388" s="1320"/>
      <c r="B8388" s="595"/>
      <c r="C8388" s="1042"/>
      <c r="D8388" s="1378"/>
      <c r="E8388" s="2139"/>
      <c r="F8388" s="1476"/>
      <c r="G8388" s="1477"/>
      <c r="H8388" s="1379"/>
      <c r="I8388" s="1289"/>
      <c r="J8388" s="1341"/>
      <c r="K8388" s="1307"/>
      <c r="L8388" s="1335"/>
      <c r="M8388" s="1499"/>
      <c r="N8388" s="1499"/>
      <c r="O8388" s="1291"/>
      <c r="P8388" s="1332"/>
      <c r="Q8388" s="3391"/>
      <c r="R8388" s="2338"/>
    </row>
    <row r="8389" spans="1:18" s="22" customFormat="1">
      <c r="A8389" s="1320"/>
      <c r="B8389" s="595"/>
      <c r="C8389" s="1042"/>
      <c r="D8389" s="1482"/>
      <c r="E8389" s="2141"/>
      <c r="F8389" s="1483"/>
      <c r="G8389" s="1483"/>
      <c r="H8389" s="1484"/>
      <c r="I8389" s="1349"/>
      <c r="J8389" s="1341"/>
      <c r="K8389" s="1307"/>
      <c r="L8389" s="1335"/>
      <c r="M8389" s="1499"/>
      <c r="N8389" s="1499"/>
      <c r="O8389" s="1291"/>
      <c r="P8389" s="1332"/>
      <c r="Q8389" s="3391"/>
      <c r="R8389" s="2338"/>
    </row>
    <row r="8390" spans="1:18" s="22" customFormat="1">
      <c r="A8390" s="1320"/>
      <c r="B8390" s="1512"/>
      <c r="C8390" s="223"/>
      <c r="D8390" s="1440"/>
      <c r="E8390" s="2132"/>
      <c r="F8390" s="1441"/>
      <c r="G8390" s="1441"/>
      <c r="H8390" s="1442"/>
      <c r="I8390" s="197" t="str">
        <f>IF(COUNT(H8391:O8391)=0,"",(SUM(H8391:O8391)/COUNT(H8391:O8391)))</f>
        <v/>
      </c>
      <c r="J8390" s="198"/>
      <c r="K8390" s="1307"/>
      <c r="L8390" s="1335"/>
      <c r="M8390" s="1499"/>
      <c r="N8390" s="1701"/>
      <c r="O8390" s="1290"/>
      <c r="P8390" s="1332"/>
      <c r="Q8390" s="3391"/>
      <c r="R8390" s="2338"/>
    </row>
    <row r="8391" spans="1:18" s="22" customFormat="1">
      <c r="A8391" s="19" t="s">
        <v>3764</v>
      </c>
      <c r="B8391" s="4325" t="s">
        <v>2454</v>
      </c>
      <c r="C8391" s="3350"/>
      <c r="D8391" s="4327"/>
      <c r="E8391" s="4329" t="s">
        <v>1504</v>
      </c>
      <c r="F8391" s="4338" t="s">
        <v>2455</v>
      </c>
      <c r="G8391" s="4331" t="s">
        <v>1568</v>
      </c>
      <c r="H8391" s="4331" t="s">
        <v>1574</v>
      </c>
      <c r="I8391" s="1572" t="s">
        <v>1559</v>
      </c>
      <c r="J8391" s="1294" t="s">
        <v>1560</v>
      </c>
      <c r="K8391" s="1294" t="s">
        <v>1561</v>
      </c>
      <c r="L8391" s="4333" t="s">
        <v>3765</v>
      </c>
      <c r="M8391" s="4335" t="s">
        <v>1571</v>
      </c>
      <c r="N8391" s="4323" t="s">
        <v>1776</v>
      </c>
      <c r="O8391" s="3347" t="s">
        <v>1563</v>
      </c>
      <c r="P8391" s="1336" t="s">
        <v>1562</v>
      </c>
      <c r="Q8391" s="3389"/>
      <c r="R8391" s="1699" t="s">
        <v>1327</v>
      </c>
    </row>
    <row r="8392" spans="1:18" s="22" customFormat="1">
      <c r="A8392" s="1599" t="s">
        <v>2447</v>
      </c>
      <c r="B8392" s="4326"/>
      <c r="C8392" s="3351"/>
      <c r="D8392" s="4328"/>
      <c r="E8392" s="4330"/>
      <c r="F8392" s="4338"/>
      <c r="G8392" s="4332"/>
      <c r="H8392" s="4332"/>
      <c r="I8392" s="1345">
        <v>4</v>
      </c>
      <c r="J8392" s="1307">
        <v>0.05</v>
      </c>
      <c r="K8392" s="1666">
        <f>I8392*J8392</f>
        <v>0.2</v>
      </c>
      <c r="L8392" s="4334"/>
      <c r="M8392" s="4335"/>
      <c r="N8392" s="4324"/>
      <c r="O8392" s="1298">
        <f>SUM(O8394:O8402)</f>
        <v>4.57</v>
      </c>
      <c r="P8392" s="1337">
        <f>O8392*K8392</f>
        <v>0.91400000000000015</v>
      </c>
      <c r="Q8392" s="3390"/>
      <c r="R8392" s="1721">
        <f>SUM(P8394:P8403)</f>
        <v>0.91400000000000015</v>
      </c>
    </row>
    <row r="8393" spans="1:18" s="22" customFormat="1" ht="17.25" customHeight="1">
      <c r="A8393" s="1320"/>
      <c r="B8393" s="1511"/>
      <c r="C8393" s="18"/>
      <c r="D8393" s="1463"/>
      <c r="E8393" s="2121"/>
      <c r="F8393" s="1368" t="s">
        <v>1</v>
      </c>
      <c r="G8393" s="1464"/>
      <c r="H8393" s="1426"/>
      <c r="I8393" s="1391"/>
      <c r="J8393" s="1369"/>
      <c r="K8393" s="1369"/>
      <c r="L8393" s="1554"/>
      <c r="M8393" s="1369"/>
      <c r="N8393" s="1369"/>
      <c r="O8393" s="1369"/>
      <c r="P8393" s="1367"/>
      <c r="Q8393" s="3387"/>
      <c r="R8393" s="2338"/>
    </row>
    <row r="8394" spans="1:18" s="22" customFormat="1" ht="19.5" customHeight="1">
      <c r="A8394" s="1320"/>
      <c r="B8394" s="595"/>
      <c r="C8394" s="1042"/>
      <c r="D8394" s="1598"/>
      <c r="E8394" s="2152"/>
      <c r="F8394" s="1598"/>
      <c r="G8394" s="1494"/>
      <c r="H8394" s="1372"/>
      <c r="I8394" s="1286" t="str">
        <f>IF(COUNT(#REF!)=0,"",(SUM(#REF!)/COUNT(#REF!)))</f>
        <v/>
      </c>
      <c r="J8394" s="1287"/>
      <c r="K8394" s="1307"/>
      <c r="L8394" s="1335"/>
      <c r="M8394" s="1499"/>
      <c r="N8394" s="1499"/>
      <c r="O8394" s="1291"/>
      <c r="P8394" s="1332"/>
      <c r="Q8394" s="3391"/>
      <c r="R8394" s="2338"/>
    </row>
    <row r="8395" spans="1:18" s="22" customFormat="1" ht="21.75" customHeight="1">
      <c r="A8395" s="1320"/>
      <c r="B8395" s="595"/>
      <c r="C8395" s="1042"/>
      <c r="D8395" s="1598"/>
      <c r="E8395" s="2152"/>
      <c r="F8395" s="1598"/>
      <c r="G8395" s="1494"/>
      <c r="H8395" s="1372"/>
      <c r="I8395" s="1286" t="str">
        <f t="shared" ref="I8395:I8396" si="1144">IF(COUNT(H8396:O8396)=0,"",(SUM(H8396:O8396)/COUNT(H8396:O8396)))</f>
        <v/>
      </c>
      <c r="J8395" s="1287"/>
      <c r="K8395" s="1307"/>
      <c r="L8395" s="1335"/>
      <c r="M8395" s="1499"/>
      <c r="N8395" s="1499"/>
      <c r="O8395" s="1291"/>
      <c r="P8395" s="1332"/>
      <c r="Q8395" s="3391"/>
      <c r="R8395" s="2338"/>
    </row>
    <row r="8396" spans="1:18" s="22" customFormat="1" ht="19.5" customHeight="1">
      <c r="A8396" s="1320"/>
      <c r="B8396" s="595"/>
      <c r="C8396" s="1042"/>
      <c r="D8396" s="1370"/>
      <c r="E8396" s="2152"/>
      <c r="F8396" s="1471"/>
      <c r="G8396" s="1494"/>
      <c r="H8396" s="1372"/>
      <c r="I8396" s="1286" t="str">
        <f t="shared" si="1144"/>
        <v/>
      </c>
      <c r="J8396" s="1287"/>
      <c r="K8396" s="1307"/>
      <c r="L8396" s="1335"/>
      <c r="M8396" s="1499"/>
      <c r="N8396" s="1499"/>
      <c r="O8396" s="1291"/>
      <c r="P8396" s="1332"/>
      <c r="Q8396" s="3391"/>
      <c r="R8396" s="2338"/>
    </row>
    <row r="8397" spans="1:18" s="22" customFormat="1" ht="19.5" customHeight="1">
      <c r="A8397" s="1320"/>
      <c r="B8397" s="595"/>
      <c r="C8397" s="1042"/>
      <c r="D8397" s="1404"/>
      <c r="E8397" s="1858"/>
      <c r="F8397" s="1465" t="s">
        <v>2</v>
      </c>
      <c r="G8397" s="1466"/>
      <c r="H8397" s="1362"/>
      <c r="I8397" s="1380"/>
      <c r="J8397" s="1381"/>
      <c r="K8397" s="1381"/>
      <c r="L8397" s="1458"/>
      <c r="M8397" s="1362"/>
      <c r="N8397" s="1705"/>
      <c r="O8397" s="1469"/>
      <c r="P8397" s="1470"/>
      <c r="Q8397" s="3398"/>
      <c r="R8397" s="2338"/>
    </row>
    <row r="8398" spans="1:18" s="22" customFormat="1" ht="19.5" customHeight="1">
      <c r="A8398" s="1320"/>
      <c r="B8398" s="595"/>
      <c r="C8398" s="1042"/>
      <c r="D8398" s="1402" t="s">
        <v>1067</v>
      </c>
      <c r="E8398" s="1857" t="s">
        <v>1508</v>
      </c>
      <c r="F8398" s="1430" t="s">
        <v>1512</v>
      </c>
      <c r="G8398" s="1362">
        <v>0.25</v>
      </c>
      <c r="H8398" s="1362"/>
      <c r="I8398" s="197"/>
      <c r="J8398" s="198"/>
      <c r="K8398" s="1307">
        <f>G8398*K8392</f>
        <v>0.05</v>
      </c>
      <c r="L8398" s="1335">
        <f>K8398*$K$8330</f>
        <v>0</v>
      </c>
      <c r="M8398" s="1499">
        <v>18.28</v>
      </c>
      <c r="N8398" s="1499"/>
      <c r="O8398" s="1291">
        <f>(G8398*M8398)</f>
        <v>4.57</v>
      </c>
      <c r="P8398" s="1332">
        <f>M8398*K8398</f>
        <v>0.91400000000000015</v>
      </c>
      <c r="Q8398" s="3391"/>
      <c r="R8398" s="2338"/>
    </row>
    <row r="8399" spans="1:18" s="22" customFormat="1">
      <c r="A8399" s="1320"/>
      <c r="B8399" s="595"/>
      <c r="C8399" s="1042"/>
      <c r="D8399" s="1402"/>
      <c r="E8399" s="1857"/>
      <c r="F8399" s="1430"/>
      <c r="G8399" s="1362"/>
      <c r="H8399" s="1362"/>
      <c r="I8399" s="197"/>
      <c r="J8399" s="198"/>
      <c r="K8399" s="1307"/>
      <c r="L8399" s="1335"/>
      <c r="M8399" s="1499"/>
      <c r="N8399" s="1499"/>
      <c r="O8399" s="1291"/>
      <c r="P8399" s="1332"/>
      <c r="Q8399" s="3391"/>
      <c r="R8399" s="2338"/>
    </row>
    <row r="8400" spans="1:18" s="22" customFormat="1">
      <c r="A8400" s="1320"/>
      <c r="B8400" s="595"/>
      <c r="C8400" s="1042"/>
      <c r="D8400" s="1411"/>
      <c r="E8400" s="2123"/>
      <c r="F8400" s="1475" t="s">
        <v>3</v>
      </c>
      <c r="G8400" s="1373"/>
      <c r="H8400" s="1376"/>
      <c r="I8400" s="1382"/>
      <c r="J8400" s="1383"/>
      <c r="K8400" s="1373"/>
      <c r="L8400" s="1413"/>
      <c r="M8400" s="1508"/>
      <c r="N8400" s="1706"/>
      <c r="O8400" s="1486"/>
      <c r="P8400" s="1373"/>
      <c r="Q8400" s="3387"/>
      <c r="R8400" s="2338"/>
    </row>
    <row r="8401" spans="1:18" s="22" customFormat="1">
      <c r="A8401" s="1320"/>
      <c r="B8401" s="595"/>
      <c r="C8401" s="1042"/>
      <c r="D8401" s="1378"/>
      <c r="E8401" s="2139"/>
      <c r="F8401" s="1476"/>
      <c r="G8401" s="1477"/>
      <c r="H8401" s="1379"/>
      <c r="I8401" s="1289"/>
      <c r="J8401" s="1341"/>
      <c r="K8401" s="1307"/>
      <c r="L8401" s="1335"/>
      <c r="M8401" s="1499"/>
      <c r="N8401" s="1499"/>
      <c r="O8401" s="1291"/>
      <c r="P8401" s="1332"/>
      <c r="Q8401" s="3391"/>
      <c r="R8401" s="2338"/>
    </row>
    <row r="8402" spans="1:18" s="22" customFormat="1">
      <c r="A8402" s="1320"/>
      <c r="B8402" s="595"/>
      <c r="C8402" s="1042"/>
      <c r="D8402" s="1482"/>
      <c r="E8402" s="2141"/>
      <c r="F8402" s="1483"/>
      <c r="G8402" s="1483"/>
      <c r="H8402" s="1484"/>
      <c r="I8402" s="1349"/>
      <c r="J8402" s="1341"/>
      <c r="K8402" s="1307"/>
      <c r="L8402" s="1335"/>
      <c r="M8402" s="1499"/>
      <c r="N8402" s="1499"/>
      <c r="O8402" s="1291"/>
      <c r="P8402" s="1332"/>
      <c r="Q8402" s="3391"/>
      <c r="R8402" s="2338"/>
    </row>
    <row r="8403" spans="1:18" s="22" customFormat="1">
      <c r="A8403" s="1320"/>
      <c r="B8403" s="1512"/>
      <c r="C8403" s="223"/>
      <c r="D8403" s="1440"/>
      <c r="E8403" s="2132"/>
      <c r="F8403" s="1441"/>
      <c r="G8403" s="1441"/>
      <c r="H8403" s="1442"/>
      <c r="I8403" s="197" t="str">
        <f>IF(COUNT(H8404:O8404)=0,"",(SUM(H8404:O8404)/COUNT(H8404:O8404)))</f>
        <v/>
      </c>
      <c r="J8403" s="198"/>
      <c r="K8403" s="1307"/>
      <c r="L8403" s="1335"/>
      <c r="M8403" s="1499"/>
      <c r="N8403" s="1701"/>
      <c r="O8403" s="1290"/>
      <c r="P8403" s="1332"/>
      <c r="Q8403" s="3391"/>
      <c r="R8403" s="2338"/>
    </row>
    <row r="8404" spans="1:18" s="22" customFormat="1">
      <c r="A8404" s="18" t="s">
        <v>3764</v>
      </c>
      <c r="B8404" s="4325" t="s">
        <v>2456</v>
      </c>
      <c r="C8404" s="3350"/>
      <c r="D8404" s="4327"/>
      <c r="E8404" s="4329" t="s">
        <v>1504</v>
      </c>
      <c r="F8404" s="4336" t="s">
        <v>2457</v>
      </c>
      <c r="G8404" s="4331" t="s">
        <v>1568</v>
      </c>
      <c r="H8404" s="4331" t="s">
        <v>1574</v>
      </c>
      <c r="I8404" s="1572" t="s">
        <v>1559</v>
      </c>
      <c r="J8404" s="1294" t="s">
        <v>1560</v>
      </c>
      <c r="K8404" s="1294" t="s">
        <v>1569</v>
      </c>
      <c r="L8404" s="4333" t="s">
        <v>3765</v>
      </c>
      <c r="M8404" s="4335" t="s">
        <v>1571</v>
      </c>
      <c r="N8404" s="4323" t="s">
        <v>1776</v>
      </c>
      <c r="O8404" s="3347" t="s">
        <v>1563</v>
      </c>
      <c r="P8404" s="1336" t="s">
        <v>1562</v>
      </c>
      <c r="Q8404" s="3389"/>
      <c r="R8404" s="1699" t="s">
        <v>1327</v>
      </c>
    </row>
    <row r="8405" spans="1:18" s="22" customFormat="1">
      <c r="A8405" s="1599" t="s">
        <v>2447</v>
      </c>
      <c r="B8405" s="4326"/>
      <c r="C8405" s="3351"/>
      <c r="D8405" s="4328"/>
      <c r="E8405" s="4330"/>
      <c r="F8405" s="4336"/>
      <c r="G8405" s="4332"/>
      <c r="H8405" s="4332"/>
      <c r="I8405" s="1345">
        <v>4</v>
      </c>
      <c r="J8405" s="1307">
        <v>0.05</v>
      </c>
      <c r="K8405" s="1666">
        <f>I8405*J8405</f>
        <v>0.2</v>
      </c>
      <c r="L8405" s="4334"/>
      <c r="M8405" s="4335"/>
      <c r="N8405" s="4324"/>
      <c r="O8405" s="1298">
        <f>SUM(O8407:O8415)</f>
        <v>53.12865</v>
      </c>
      <c r="P8405" s="1337">
        <f>O8405*K8405</f>
        <v>10.625730000000001</v>
      </c>
      <c r="Q8405" s="3390"/>
      <c r="R8405" s="1721">
        <f>SUM(P8407:P8415)</f>
        <v>10.625730000000001</v>
      </c>
    </row>
    <row r="8406" spans="1:18" s="22" customFormat="1">
      <c r="A8406" s="1320"/>
      <c r="B8406" s="1949"/>
      <c r="C8406" s="1327"/>
      <c r="D8406" s="1367"/>
      <c r="E8406" s="2121"/>
      <c r="F8406" s="1389" t="s">
        <v>1</v>
      </c>
      <c r="G8406" s="1389"/>
      <c r="H8406" s="1369"/>
      <c r="I8406" s="2088"/>
      <c r="J8406" s="1369"/>
      <c r="K8406" s="1391"/>
      <c r="L8406" s="1559"/>
      <c r="M8406" s="1369"/>
      <c r="N8406" s="1369"/>
      <c r="O8406" s="1369"/>
      <c r="P8406" s="1392"/>
      <c r="Q8406" s="3395"/>
      <c r="R8406" s="2344"/>
    </row>
    <row r="8407" spans="1:18" s="22" customFormat="1">
      <c r="A8407" s="1320"/>
      <c r="B8407" s="1599"/>
      <c r="C8407" s="1320"/>
      <c r="D8407" s="1598" t="s">
        <v>2458</v>
      </c>
      <c r="E8407" s="2154" t="s">
        <v>1504</v>
      </c>
      <c r="F8407" s="1598" t="s">
        <v>2459</v>
      </c>
      <c r="G8407" s="1995">
        <v>1</v>
      </c>
      <c r="H8407" s="1369"/>
      <c r="I8407" s="1299"/>
      <c r="J8407" s="1300"/>
      <c r="K8407" s="1307">
        <f>G8407*K8405</f>
        <v>0.2</v>
      </c>
      <c r="L8407" s="1335">
        <f t="shared" ref="L8407:L8410" si="1145">K8407*$K$8330</f>
        <v>0</v>
      </c>
      <c r="M8407" s="1302">
        <v>2.85</v>
      </c>
      <c r="N8407" s="1700"/>
      <c r="O8407" s="1290">
        <f>G8407*M8407</f>
        <v>2.85</v>
      </c>
      <c r="P8407" s="1332">
        <f>M8407*K8407</f>
        <v>0.57000000000000006</v>
      </c>
      <c r="Q8407" s="3402"/>
      <c r="R8407" s="2356"/>
    </row>
    <row r="8408" spans="1:18" s="22" customFormat="1" ht="26">
      <c r="A8408" s="2187"/>
      <c r="B8408" s="1599"/>
      <c r="C8408" s="1042"/>
      <c r="D8408" s="1598" t="s">
        <v>2460</v>
      </c>
      <c r="E8408" s="2154" t="s">
        <v>1504</v>
      </c>
      <c r="F8408" s="1598" t="s">
        <v>2461</v>
      </c>
      <c r="G8408" s="1995">
        <v>1.02</v>
      </c>
      <c r="H8408" s="1369"/>
      <c r="I8408" s="1299"/>
      <c r="J8408" s="1300"/>
      <c r="K8408" s="1307">
        <f>G8408*K8405</f>
        <v>0.20400000000000001</v>
      </c>
      <c r="L8408" s="1335">
        <f t="shared" si="1145"/>
        <v>0</v>
      </c>
      <c r="M8408" s="1499">
        <v>35.700000000000003</v>
      </c>
      <c r="N8408" s="1700"/>
      <c r="O8408" s="1290">
        <f>G8408*M8408</f>
        <v>36.414000000000001</v>
      </c>
      <c r="P8408" s="1332">
        <f>M8408*K8408</f>
        <v>7.2828000000000008</v>
      </c>
      <c r="Q8408" s="3402"/>
      <c r="R8408" s="2357"/>
    </row>
    <row r="8409" spans="1:18" s="22" customFormat="1" ht="26">
      <c r="A8409" s="2187"/>
      <c r="B8409" s="1599"/>
      <c r="C8409" s="1042"/>
      <c r="D8409" s="1598" t="s">
        <v>1082</v>
      </c>
      <c r="E8409" s="2154" t="s">
        <v>1504</v>
      </c>
      <c r="F8409" s="1598" t="s">
        <v>1541</v>
      </c>
      <c r="G8409" s="1995">
        <v>1</v>
      </c>
      <c r="H8409" s="1369"/>
      <c r="I8409" s="1299"/>
      <c r="J8409" s="1300"/>
      <c r="K8409" s="1307">
        <f>G8409*K8405</f>
        <v>0.2</v>
      </c>
      <c r="L8409" s="1335">
        <f t="shared" si="1145"/>
        <v>0</v>
      </c>
      <c r="M8409" s="1499">
        <v>0.3</v>
      </c>
      <c r="N8409" s="1700"/>
      <c r="O8409" s="1290">
        <f>G8409*M8409</f>
        <v>0.3</v>
      </c>
      <c r="P8409" s="1332">
        <f>M8409*K8409</f>
        <v>0.06</v>
      </c>
      <c r="Q8409" s="3402"/>
      <c r="R8409" s="2357"/>
    </row>
    <row r="8410" spans="1:18" s="22" customFormat="1">
      <c r="A8410" s="16"/>
      <c r="B8410" s="1599"/>
      <c r="C8410" s="1320"/>
      <c r="D8410" s="1598" t="s">
        <v>1097</v>
      </c>
      <c r="E8410" s="1856" t="s">
        <v>1504</v>
      </c>
      <c r="F8410" s="1598" t="s">
        <v>1632</v>
      </c>
      <c r="G8410" s="1651">
        <v>1</v>
      </c>
      <c r="H8410" s="1399"/>
      <c r="I8410" s="198"/>
      <c r="J8410" s="198"/>
      <c r="K8410" s="1307">
        <f>G8410*K8405</f>
        <v>0.2</v>
      </c>
      <c r="L8410" s="1335">
        <f t="shared" si="1145"/>
        <v>0</v>
      </c>
      <c r="M8410" s="1499">
        <v>0.55000000000000004</v>
      </c>
      <c r="N8410" s="1701"/>
      <c r="O8410" s="1290">
        <f>G8410*M8410</f>
        <v>0.55000000000000004</v>
      </c>
      <c r="P8410" s="1332">
        <f>M8410*K8410</f>
        <v>0.11000000000000001</v>
      </c>
      <c r="Q8410" s="3391"/>
      <c r="R8410" s="3363"/>
    </row>
    <row r="8411" spans="1:18" s="22" customFormat="1" ht="26">
      <c r="A8411" s="2187"/>
      <c r="B8411" s="1599"/>
      <c r="C8411" s="1042"/>
      <c r="D8411" s="1598"/>
      <c r="E8411" s="2154"/>
      <c r="F8411" s="1598"/>
      <c r="G8411" s="1995"/>
      <c r="H8411" s="1369"/>
      <c r="I8411" s="1299"/>
      <c r="J8411" s="1300"/>
      <c r="K8411" s="1307"/>
      <c r="L8411" s="1335"/>
      <c r="M8411" s="1499"/>
      <c r="N8411" s="1700"/>
      <c r="O8411" s="1290"/>
      <c r="P8411" s="1332"/>
      <c r="Q8411" s="3402"/>
      <c r="R8411" s="2357"/>
    </row>
    <row r="8412" spans="1:18" s="22" customFormat="1">
      <c r="A8412" s="16"/>
      <c r="B8412" s="1599"/>
      <c r="C8412" s="1320"/>
      <c r="D8412" s="1598"/>
      <c r="E8412" s="1856"/>
      <c r="F8412" s="1598"/>
      <c r="G8412" s="1399"/>
      <c r="H8412" s="1399"/>
      <c r="I8412" s="198"/>
      <c r="J8412" s="198"/>
      <c r="K8412" s="1307"/>
      <c r="L8412" s="1335"/>
      <c r="M8412" s="1499"/>
      <c r="N8412" s="1701"/>
      <c r="O8412" s="1291"/>
      <c r="P8412" s="1332"/>
      <c r="Q8412" s="3391"/>
      <c r="R8412" s="3363"/>
    </row>
    <row r="8413" spans="1:18" s="22" customFormat="1" ht="24.75" customHeight="1">
      <c r="A8413" s="2187"/>
      <c r="B8413" s="1599"/>
      <c r="C8413" s="1042"/>
      <c r="D8413" s="1359"/>
      <c r="E8413" s="1858"/>
      <c r="F8413" s="1360" t="s">
        <v>2</v>
      </c>
      <c r="G8413" s="1360"/>
      <c r="H8413" s="1362"/>
      <c r="I8413" s="1380"/>
      <c r="J8413" s="1381"/>
      <c r="K8413" s="1381"/>
      <c r="L8413" s="1458"/>
      <c r="M8413" s="1362"/>
      <c r="N8413" s="1362"/>
      <c r="O8413" s="1362"/>
      <c r="P8413" s="1359"/>
      <c r="Q8413" s="3403"/>
      <c r="R8413" s="2357"/>
    </row>
    <row r="8414" spans="1:18" s="22" customFormat="1" ht="21.75" customHeight="1">
      <c r="A8414" s="2187"/>
      <c r="B8414" s="2053"/>
      <c r="C8414" s="1321"/>
      <c r="D8414" s="1655" t="s">
        <v>1099</v>
      </c>
      <c r="E8414" s="1859" t="s">
        <v>1508</v>
      </c>
      <c r="F8414" s="1655" t="s">
        <v>1633</v>
      </c>
      <c r="G8414" s="1809">
        <v>0.55000000000000004</v>
      </c>
      <c r="H8414" s="1386"/>
      <c r="I8414" s="1299"/>
      <c r="J8414" s="1300"/>
      <c r="K8414" s="1307">
        <f>G8414*K8405</f>
        <v>0.11000000000000001</v>
      </c>
      <c r="L8414" s="1335">
        <f>K8414*$K$8330</f>
        <v>0</v>
      </c>
      <c r="M8414" s="1302">
        <v>19.23</v>
      </c>
      <c r="N8414" s="1700"/>
      <c r="O8414" s="1290">
        <f>G8414*M8414</f>
        <v>10.576500000000001</v>
      </c>
      <c r="P8414" s="1332">
        <f>M8414*K8414</f>
        <v>2.1153000000000004</v>
      </c>
      <c r="Q8414" s="3402"/>
      <c r="R8414" s="2357"/>
    </row>
    <row r="8415" spans="1:18" s="22" customFormat="1">
      <c r="A8415" s="19"/>
      <c r="B8415" s="1042"/>
      <c r="C8415" s="1358" t="s">
        <v>1523</v>
      </c>
      <c r="D8415" s="1329"/>
      <c r="E8415" s="2135" t="s">
        <v>1508</v>
      </c>
      <c r="F8415" s="1330" t="s">
        <v>1524</v>
      </c>
      <c r="G8415" s="1461"/>
      <c r="H8415" s="1776">
        <v>6.5000000000000002E-2</v>
      </c>
      <c r="I8415" s="1488"/>
      <c r="J8415" s="1388"/>
      <c r="K8415" s="1510"/>
      <c r="L8415" s="1445"/>
      <c r="M8415" s="1446"/>
      <c r="N8415" s="1447">
        <f>SUM(N8416:N8417)</f>
        <v>37.510000000000005</v>
      </c>
      <c r="O8415" s="1447">
        <f>SUM(O8416:O8417)</f>
        <v>2.4381500000000003</v>
      </c>
      <c r="P8415" s="1447">
        <f>SUM(P8416:P8417)</f>
        <v>0.48763000000000006</v>
      </c>
      <c r="Q8415" s="3391"/>
      <c r="R8415" s="2338"/>
    </row>
    <row r="8416" spans="1:18" s="22" customFormat="1" ht="18" customHeight="1">
      <c r="A8416" s="19"/>
      <c r="B8416" s="1042"/>
      <c r="C8416" s="1042"/>
      <c r="D8416" s="1402" t="s">
        <v>1067</v>
      </c>
      <c r="E8416" s="1857" t="s">
        <v>1508</v>
      </c>
      <c r="F8416" s="1430" t="s">
        <v>5</v>
      </c>
      <c r="G8416" s="1381">
        <v>1</v>
      </c>
      <c r="H8416" s="1408">
        <f>G8416*H8415</f>
        <v>6.5000000000000002E-2</v>
      </c>
      <c r="I8416" s="1340"/>
      <c r="J8416" s="198"/>
      <c r="K8416" s="1307">
        <f>H8416*K8405</f>
        <v>1.3000000000000001E-2</v>
      </c>
      <c r="L8416" s="1335">
        <f t="shared" ref="L8416:L8417" si="1146">K8416*$K$8330</f>
        <v>0</v>
      </c>
      <c r="M8416" s="1302">
        <v>18.28</v>
      </c>
      <c r="N8416" s="1724">
        <f>G8416*M8416</f>
        <v>18.28</v>
      </c>
      <c r="O8416" s="1726">
        <f>H8416*M8416</f>
        <v>1.1882000000000001</v>
      </c>
      <c r="P8416" s="1727">
        <f>M8416*K8416</f>
        <v>0.23764000000000005</v>
      </c>
      <c r="Q8416" s="3396"/>
      <c r="R8416" s="2338"/>
    </row>
    <row r="8417" spans="1:18" s="22" customFormat="1" ht="17.25" customHeight="1">
      <c r="A8417" s="19"/>
      <c r="B8417" s="1042"/>
      <c r="C8417" s="1042"/>
      <c r="D8417" s="1402" t="s">
        <v>1077</v>
      </c>
      <c r="E8417" s="1857" t="s">
        <v>1508</v>
      </c>
      <c r="F8417" s="1430" t="s">
        <v>37</v>
      </c>
      <c r="G8417" s="1381">
        <v>1</v>
      </c>
      <c r="H8417" s="1408">
        <f>G8417*H8415</f>
        <v>6.5000000000000002E-2</v>
      </c>
      <c r="I8417" s="198"/>
      <c r="J8417" s="198"/>
      <c r="K8417" s="1307">
        <f>H8417*K8405</f>
        <v>1.3000000000000001E-2</v>
      </c>
      <c r="L8417" s="1335">
        <f t="shared" si="1146"/>
        <v>0</v>
      </c>
      <c r="M8417" s="1302">
        <v>19.23</v>
      </c>
      <c r="N8417" s="1724">
        <f>G8417*M8417</f>
        <v>19.23</v>
      </c>
      <c r="O8417" s="1719">
        <f>(H8417*M8417)</f>
        <v>1.2499500000000001</v>
      </c>
      <c r="P8417" s="1727">
        <f>M8417*K8417</f>
        <v>0.24999000000000002</v>
      </c>
      <c r="Q8417" s="3396"/>
      <c r="R8417" s="2338"/>
    </row>
    <row r="8418" spans="1:18" s="22" customFormat="1">
      <c r="A8418"/>
      <c r="B8418" s="1042"/>
      <c r="C8418" s="19"/>
      <c r="D8418" s="1430"/>
      <c r="E8418" s="1857"/>
      <c r="F8418" s="1394"/>
      <c r="G8418" s="2183"/>
      <c r="H8418" s="1395"/>
      <c r="I8418" s="197"/>
      <c r="J8418" s="198"/>
      <c r="K8418" s="1307"/>
      <c r="L8418" s="1335"/>
      <c r="M8418" s="1302"/>
      <c r="N8418" s="1718"/>
      <c r="O8418" s="1290"/>
      <c r="P8418" s="1720"/>
      <c r="Q8418" s="3396"/>
      <c r="R8418" s="2337"/>
    </row>
    <row r="8419" spans="1:18" s="22" customFormat="1" ht="24.75" customHeight="1">
      <c r="B8419" s="1320"/>
      <c r="C8419" s="16"/>
      <c r="D8419" s="1359"/>
      <c r="E8419" s="1858"/>
      <c r="F8419" s="1474"/>
      <c r="G8419" s="1474"/>
      <c r="H8419" s="1466"/>
      <c r="I8419" s="1289"/>
      <c r="J8419" s="8"/>
      <c r="K8419" s="1307"/>
      <c r="L8419" s="1335"/>
      <c r="M8419" s="1302"/>
      <c r="N8419" s="1700"/>
      <c r="O8419" s="1290"/>
      <c r="P8419" s="1332"/>
      <c r="Q8419" s="3391"/>
      <c r="R8419" s="2344"/>
    </row>
    <row r="8420" spans="1:18" s="22" customFormat="1">
      <c r="A8420" s="1320"/>
      <c r="B8420" s="1599"/>
      <c r="C8420" s="1320"/>
      <c r="D8420" s="1373"/>
      <c r="E8420" s="2123"/>
      <c r="F8420" s="1374" t="s">
        <v>3</v>
      </c>
      <c r="G8420" s="1375"/>
      <c r="H8420" s="1376"/>
      <c r="I8420" s="1382"/>
      <c r="J8420" s="1383"/>
      <c r="K8420" s="1383"/>
      <c r="L8420" s="1413"/>
      <c r="M8420" s="1376"/>
      <c r="N8420" s="1376"/>
      <c r="O8420" s="1376"/>
      <c r="P8420" s="1373"/>
      <c r="Q8420" s="3403"/>
      <c r="R8420" s="2356"/>
    </row>
    <row r="8421" spans="1:18" s="22" customFormat="1">
      <c r="A8421" s="1321"/>
      <c r="B8421" s="2053"/>
      <c r="C8421" s="1321"/>
      <c r="D8421" s="1827"/>
      <c r="E8421" s="2173"/>
      <c r="F8421" s="1827"/>
      <c r="G8421" s="1828"/>
      <c r="H8421" s="1379"/>
      <c r="I8421" s="1299"/>
      <c r="J8421" s="1300"/>
      <c r="K8421" s="1307"/>
      <c r="L8421" s="1335"/>
      <c r="M8421" s="1302"/>
      <c r="N8421" s="1700"/>
      <c r="O8421" s="1290"/>
      <c r="P8421" s="1332"/>
      <c r="Q8421" s="3402"/>
      <c r="R8421" s="2053"/>
    </row>
    <row r="8422" spans="1:18" s="22" customFormat="1">
      <c r="A8422" s="1321"/>
      <c r="B8422" s="2053"/>
      <c r="C8422" s="1321"/>
      <c r="D8422" s="1377"/>
      <c r="E8422" s="2124"/>
      <c r="F8422" s="1378"/>
      <c r="G8422" s="1378"/>
      <c r="H8422" s="1379"/>
      <c r="I8422" s="1299"/>
      <c r="J8422" s="1300"/>
      <c r="K8422" s="1307"/>
      <c r="L8422" s="1335"/>
      <c r="M8422" s="1302"/>
      <c r="N8422" s="1700"/>
      <c r="O8422" s="1290"/>
      <c r="P8422" s="1333"/>
      <c r="Q8422" s="3402"/>
      <c r="R8422" s="2053"/>
    </row>
    <row r="8423" spans="1:18" s="22" customFormat="1">
      <c r="A8423" s="1320"/>
      <c r="B8423" s="1765"/>
      <c r="C8423" s="223"/>
      <c r="D8423" s="1373"/>
      <c r="E8423" s="2161"/>
      <c r="F8423" s="1678"/>
      <c r="G8423" s="1678"/>
      <c r="H8423" s="1376"/>
      <c r="I8423" s="1299"/>
      <c r="J8423" s="1300"/>
      <c r="K8423" s="1307"/>
      <c r="L8423" s="1335"/>
      <c r="M8423" s="1302"/>
      <c r="N8423" s="1700"/>
      <c r="O8423" s="1290"/>
      <c r="P8423" s="1332"/>
      <c r="Q8423" s="3402"/>
      <c r="R8423" s="2356"/>
    </row>
    <row r="8424" spans="1:18" s="22" customFormat="1">
      <c r="A8424" s="18" t="s">
        <v>3764</v>
      </c>
      <c r="B8424" s="4325" t="s">
        <v>2462</v>
      </c>
      <c r="C8424" s="3350"/>
      <c r="D8424" s="4327"/>
      <c r="E8424" s="4329" t="s">
        <v>1504</v>
      </c>
      <c r="F8424" s="4336" t="s">
        <v>2463</v>
      </c>
      <c r="G8424" s="4331" t="s">
        <v>1568</v>
      </c>
      <c r="H8424" s="4331" t="s">
        <v>1574</v>
      </c>
      <c r="I8424" s="1572" t="s">
        <v>1559</v>
      </c>
      <c r="J8424" s="1294" t="s">
        <v>1560</v>
      </c>
      <c r="K8424" s="1294" t="s">
        <v>1569</v>
      </c>
      <c r="L8424" s="4333" t="s">
        <v>3765</v>
      </c>
      <c r="M8424" s="4335" t="s">
        <v>1571</v>
      </c>
      <c r="N8424" s="4323" t="s">
        <v>1776</v>
      </c>
      <c r="O8424" s="3347" t="s">
        <v>1563</v>
      </c>
      <c r="P8424" s="1336" t="s">
        <v>1562</v>
      </c>
      <c r="Q8424" s="3389"/>
      <c r="R8424" s="1699" t="s">
        <v>1327</v>
      </c>
    </row>
    <row r="8425" spans="1:18" s="22" customFormat="1">
      <c r="A8425" s="1599" t="s">
        <v>2447</v>
      </c>
      <c r="B8425" s="4326"/>
      <c r="C8425" s="3351"/>
      <c r="D8425" s="4328"/>
      <c r="E8425" s="4330"/>
      <c r="F8425" s="4336"/>
      <c r="G8425" s="4332"/>
      <c r="H8425" s="4332"/>
      <c r="I8425" s="1345">
        <v>4</v>
      </c>
      <c r="J8425" s="1307">
        <v>0.05</v>
      </c>
      <c r="K8425" s="1666">
        <f>I8425*J8425</f>
        <v>0.2</v>
      </c>
      <c r="L8425" s="4334"/>
      <c r="M8425" s="4335"/>
      <c r="N8425" s="4324"/>
      <c r="O8425" s="1298">
        <f>SUM(O8427:O8434)</f>
        <v>98.130850000000009</v>
      </c>
      <c r="P8425" s="1337">
        <f>O8425*K8425</f>
        <v>19.626170000000002</v>
      </c>
      <c r="Q8425" s="3390"/>
      <c r="R8425" s="1721">
        <f>SUM(P8427:P8434)</f>
        <v>19.626169999999998</v>
      </c>
    </row>
    <row r="8426" spans="1:18" s="22" customFormat="1">
      <c r="A8426" s="1320"/>
      <c r="B8426" s="1949"/>
      <c r="C8426" s="1327"/>
      <c r="D8426" s="1367"/>
      <c r="E8426" s="2121"/>
      <c r="F8426" s="1389" t="s">
        <v>1</v>
      </c>
      <c r="G8426" s="1389"/>
      <c r="H8426" s="1369"/>
      <c r="I8426" s="2088"/>
      <c r="J8426" s="1369"/>
      <c r="K8426" s="1391"/>
      <c r="L8426" s="1559"/>
      <c r="M8426" s="1369"/>
      <c r="N8426" s="1369"/>
      <c r="O8426" s="1369"/>
      <c r="P8426" s="1392"/>
      <c r="Q8426" s="3395"/>
      <c r="R8426" s="2344"/>
    </row>
    <row r="8427" spans="1:18" s="22" customFormat="1" ht="26">
      <c r="A8427" s="2187"/>
      <c r="B8427" s="1599"/>
      <c r="C8427" s="1042"/>
      <c r="D8427" s="1668" t="s">
        <v>2464</v>
      </c>
      <c r="E8427" s="2166" t="s">
        <v>1504</v>
      </c>
      <c r="F8427" s="1668" t="s">
        <v>2465</v>
      </c>
      <c r="G8427" s="1958">
        <v>1.02</v>
      </c>
      <c r="H8427" s="1369"/>
      <c r="I8427" s="1299"/>
      <c r="J8427" s="1300"/>
      <c r="K8427" s="1307">
        <f>G8427*K8425</f>
        <v>0.20400000000000001</v>
      </c>
      <c r="L8427" s="1335">
        <f t="shared" ref="L8427:L8429" si="1147">K8427*$K$8330</f>
        <v>0</v>
      </c>
      <c r="M8427" s="1499">
        <v>87.12</v>
      </c>
      <c r="N8427" s="1700"/>
      <c r="O8427" s="1290">
        <f>G8427*M8427</f>
        <v>88.862400000000008</v>
      </c>
      <c r="P8427" s="1332">
        <f>M8427*K8427</f>
        <v>17.772480000000002</v>
      </c>
      <c r="Q8427" s="3402"/>
      <c r="R8427" s="2357"/>
    </row>
    <row r="8428" spans="1:18" s="22" customFormat="1" ht="26">
      <c r="A8428" s="2187"/>
      <c r="B8428" s="1599"/>
      <c r="C8428" s="1042"/>
      <c r="D8428" s="1598" t="s">
        <v>1082</v>
      </c>
      <c r="E8428" s="2154" t="s">
        <v>1504</v>
      </c>
      <c r="F8428" s="1598" t="s">
        <v>1541</v>
      </c>
      <c r="G8428" s="1995">
        <v>1</v>
      </c>
      <c r="H8428" s="1369"/>
      <c r="I8428" s="1299"/>
      <c r="J8428" s="1300"/>
      <c r="K8428" s="1307">
        <f>G8428*K8425</f>
        <v>0.2</v>
      </c>
      <c r="L8428" s="1335">
        <f t="shared" si="1147"/>
        <v>0</v>
      </c>
      <c r="M8428" s="1499">
        <v>0.3</v>
      </c>
      <c r="N8428" s="1700"/>
      <c r="O8428" s="1290">
        <f>G8428*M8428</f>
        <v>0.3</v>
      </c>
      <c r="P8428" s="1332">
        <f>M8428*K8428</f>
        <v>0.06</v>
      </c>
      <c r="Q8428" s="3402"/>
      <c r="R8428" s="2357"/>
    </row>
    <row r="8429" spans="1:18" s="22" customFormat="1">
      <c r="A8429" s="16"/>
      <c r="B8429" s="1599"/>
      <c r="C8429" s="1320"/>
      <c r="D8429" s="1598" t="s">
        <v>1097</v>
      </c>
      <c r="E8429" s="1856" t="s">
        <v>1504</v>
      </c>
      <c r="F8429" s="1598" t="s">
        <v>1632</v>
      </c>
      <c r="G8429" s="1651">
        <v>1</v>
      </c>
      <c r="H8429" s="1399"/>
      <c r="I8429" s="198"/>
      <c r="J8429" s="198"/>
      <c r="K8429" s="1307">
        <f>G8429*K8425</f>
        <v>0.2</v>
      </c>
      <c r="L8429" s="1335">
        <f t="shared" si="1147"/>
        <v>0</v>
      </c>
      <c r="M8429" s="1499">
        <v>0.55000000000000004</v>
      </c>
      <c r="N8429" s="1701"/>
      <c r="O8429" s="1290">
        <f>G8429*M8429</f>
        <v>0.55000000000000004</v>
      </c>
      <c r="P8429" s="1332">
        <f>M8429*K8429</f>
        <v>0.11000000000000001</v>
      </c>
      <c r="Q8429" s="3391"/>
      <c r="R8429" s="3363"/>
    </row>
    <row r="8430" spans="1:18" s="22" customFormat="1" ht="26">
      <c r="A8430" s="2187"/>
      <c r="B8430" s="1599"/>
      <c r="C8430" s="1042"/>
      <c r="D8430" s="1598"/>
      <c r="E8430" s="2154"/>
      <c r="F8430" s="1598"/>
      <c r="G8430" s="1995"/>
      <c r="H8430" s="1369"/>
      <c r="I8430" s="1299"/>
      <c r="J8430" s="1300"/>
      <c r="K8430" s="1307"/>
      <c r="L8430" s="1335"/>
      <c r="M8430" s="1499"/>
      <c r="N8430" s="1700"/>
      <c r="O8430" s="1290"/>
      <c r="P8430" s="1332"/>
      <c r="Q8430" s="3402"/>
      <c r="R8430" s="2357"/>
    </row>
    <row r="8431" spans="1:18" s="22" customFormat="1" ht="23.25" customHeight="1">
      <c r="A8431" s="16"/>
      <c r="B8431" s="1599"/>
      <c r="C8431" s="1320"/>
      <c r="D8431" s="1598"/>
      <c r="E8431" s="1856"/>
      <c r="F8431" s="1598"/>
      <c r="G8431" s="1399"/>
      <c r="H8431" s="1399"/>
      <c r="I8431" s="198"/>
      <c r="J8431" s="198"/>
      <c r="K8431" s="1307"/>
      <c r="L8431" s="1335"/>
      <c r="M8431" s="1499"/>
      <c r="N8431" s="1701"/>
      <c r="O8431" s="1291"/>
      <c r="P8431" s="1332"/>
      <c r="Q8431" s="3391"/>
      <c r="R8431" s="3363"/>
    </row>
    <row r="8432" spans="1:18" s="22" customFormat="1" ht="21.75" customHeight="1">
      <c r="A8432" s="2187"/>
      <c r="B8432" s="1599"/>
      <c r="C8432" s="1042"/>
      <c r="D8432" s="1359"/>
      <c r="E8432" s="1858"/>
      <c r="F8432" s="1360" t="s">
        <v>2</v>
      </c>
      <c r="G8432" s="1360"/>
      <c r="H8432" s="1362"/>
      <c r="I8432" s="1380"/>
      <c r="J8432" s="1381"/>
      <c r="K8432" s="1381"/>
      <c r="L8432" s="1458"/>
      <c r="M8432" s="1362"/>
      <c r="N8432" s="1362"/>
      <c r="O8432" s="1362"/>
      <c r="P8432" s="1359"/>
      <c r="Q8432" s="3403"/>
      <c r="R8432" s="2357"/>
    </row>
    <row r="8433" spans="1:18" s="22" customFormat="1" ht="26">
      <c r="A8433" s="2187"/>
      <c r="B8433" s="2053"/>
      <c r="C8433" s="1321"/>
      <c r="D8433" s="1655" t="s">
        <v>1099</v>
      </c>
      <c r="E8433" s="1859" t="s">
        <v>1508</v>
      </c>
      <c r="F8433" s="1655" t="s">
        <v>1633</v>
      </c>
      <c r="G8433" s="1809">
        <v>0.35</v>
      </c>
      <c r="H8433" s="1386"/>
      <c r="I8433" s="1299"/>
      <c r="J8433" s="1300"/>
      <c r="K8433" s="1307">
        <f>G8433*K8425</f>
        <v>6.9999999999999993E-2</v>
      </c>
      <c r="L8433" s="1335">
        <f>K8433*$K$8330</f>
        <v>0</v>
      </c>
      <c r="M8433" s="1302">
        <v>19.23</v>
      </c>
      <c r="N8433" s="1700"/>
      <c r="O8433" s="1290">
        <f>G8433*M8433</f>
        <v>6.7305000000000001</v>
      </c>
      <c r="P8433" s="1332">
        <f>M8433*K8433</f>
        <v>1.3460999999999999</v>
      </c>
      <c r="Q8433" s="3402"/>
      <c r="R8433" s="2357"/>
    </row>
    <row r="8434" spans="1:18" s="22" customFormat="1" ht="22.5" customHeight="1">
      <c r="A8434" s="19"/>
      <c r="B8434" s="1042"/>
      <c r="C8434" s="1358" t="s">
        <v>1523</v>
      </c>
      <c r="D8434" s="1329"/>
      <c r="E8434" s="2135" t="s">
        <v>1508</v>
      </c>
      <c r="F8434" s="1330" t="s">
        <v>1524</v>
      </c>
      <c r="G8434" s="1461"/>
      <c r="H8434" s="1776">
        <v>4.4999999999999998E-2</v>
      </c>
      <c r="I8434" s="1488"/>
      <c r="J8434" s="1388"/>
      <c r="K8434" s="1510"/>
      <c r="L8434" s="1445"/>
      <c r="M8434" s="1446"/>
      <c r="N8434" s="1447">
        <f>SUM(N8435:N8436)</f>
        <v>37.510000000000005</v>
      </c>
      <c r="O8434" s="1447">
        <f>SUM(O8435:O8436)</f>
        <v>1.6879499999999998</v>
      </c>
      <c r="P8434" s="1447">
        <f>SUM(P8435:P8436)</f>
        <v>0.33759</v>
      </c>
      <c r="Q8434" s="3391"/>
      <c r="R8434" s="2338"/>
    </row>
    <row r="8435" spans="1:18" s="22" customFormat="1">
      <c r="A8435" s="19"/>
      <c r="B8435" s="1042"/>
      <c r="C8435" s="1042"/>
      <c r="D8435" s="1402" t="s">
        <v>1067</v>
      </c>
      <c r="E8435" s="1857" t="s">
        <v>1508</v>
      </c>
      <c r="F8435" s="1430" t="s">
        <v>5</v>
      </c>
      <c r="G8435" s="1381">
        <v>1</v>
      </c>
      <c r="H8435" s="1408">
        <f>G8435*H8434</f>
        <v>4.4999999999999998E-2</v>
      </c>
      <c r="I8435" s="1340"/>
      <c r="J8435" s="198"/>
      <c r="K8435" s="1307">
        <f>H8435*K8425</f>
        <v>8.9999999999999993E-3</v>
      </c>
      <c r="L8435" s="1335">
        <f t="shared" ref="L8435:L8436" si="1148">K8435*$K$8330</f>
        <v>0</v>
      </c>
      <c r="M8435" s="1302">
        <v>18.28</v>
      </c>
      <c r="N8435" s="1724">
        <f>G8435*M8435</f>
        <v>18.28</v>
      </c>
      <c r="O8435" s="1726">
        <f>H8435*M8435</f>
        <v>0.8226</v>
      </c>
      <c r="P8435" s="1727">
        <f>M8435*K8435</f>
        <v>0.16452</v>
      </c>
      <c r="Q8435" s="3396"/>
      <c r="R8435" s="2338"/>
    </row>
    <row r="8436" spans="1:18" s="22" customFormat="1" ht="21.75" customHeight="1">
      <c r="A8436" s="19"/>
      <c r="B8436" s="1042"/>
      <c r="C8436" s="1042"/>
      <c r="D8436" s="1402" t="s">
        <v>1077</v>
      </c>
      <c r="E8436" s="1857" t="s">
        <v>1508</v>
      </c>
      <c r="F8436" s="1430" t="s">
        <v>37</v>
      </c>
      <c r="G8436" s="1381">
        <v>1</v>
      </c>
      <c r="H8436" s="1408">
        <f>G8436*H8434</f>
        <v>4.4999999999999998E-2</v>
      </c>
      <c r="I8436" s="198"/>
      <c r="J8436" s="198"/>
      <c r="K8436" s="1307">
        <f>H8436*K8425</f>
        <v>8.9999999999999993E-3</v>
      </c>
      <c r="L8436" s="1335">
        <f t="shared" si="1148"/>
        <v>0</v>
      </c>
      <c r="M8436" s="1302">
        <v>19.23</v>
      </c>
      <c r="N8436" s="1724">
        <f>G8436*M8436</f>
        <v>19.23</v>
      </c>
      <c r="O8436" s="1719">
        <f>(H8436*M8436)</f>
        <v>0.86534999999999995</v>
      </c>
      <c r="P8436" s="1727">
        <f>M8436*K8436</f>
        <v>0.17307</v>
      </c>
      <c r="Q8436" s="3396"/>
      <c r="R8436" s="2338"/>
    </row>
    <row r="8437" spans="1:18" s="22" customFormat="1" ht="21.75" customHeight="1">
      <c r="A8437"/>
      <c r="B8437" s="1042"/>
      <c r="C8437" s="19"/>
      <c r="D8437" s="1430"/>
      <c r="E8437" s="1857"/>
      <c r="F8437" s="1394"/>
      <c r="G8437" s="2183"/>
      <c r="H8437" s="1395"/>
      <c r="I8437" s="197"/>
      <c r="J8437" s="198"/>
      <c r="K8437" s="1307"/>
      <c r="L8437" s="1335"/>
      <c r="M8437" s="1302"/>
      <c r="N8437" s="1718"/>
      <c r="O8437" s="1290"/>
      <c r="P8437" s="1720"/>
      <c r="Q8437" s="3396"/>
      <c r="R8437" s="2337"/>
    </row>
    <row r="8438" spans="1:18" s="22" customFormat="1" ht="16.5" customHeight="1">
      <c r="B8438" s="1320"/>
      <c r="C8438" s="16"/>
      <c r="D8438" s="1359"/>
      <c r="E8438" s="1858"/>
      <c r="F8438" s="1474"/>
      <c r="G8438" s="1474"/>
      <c r="H8438" s="1466"/>
      <c r="I8438" s="1289"/>
      <c r="J8438" s="8"/>
      <c r="K8438" s="1307"/>
      <c r="L8438" s="1335"/>
      <c r="M8438" s="1302"/>
      <c r="N8438" s="1700"/>
      <c r="O8438" s="1290"/>
      <c r="P8438" s="1332"/>
      <c r="Q8438" s="3391"/>
      <c r="R8438" s="2344"/>
    </row>
    <row r="8439" spans="1:18" s="22" customFormat="1">
      <c r="A8439" s="1320"/>
      <c r="B8439" s="1599"/>
      <c r="C8439" s="1320"/>
      <c r="D8439" s="1373"/>
      <c r="E8439" s="2123"/>
      <c r="F8439" s="1374" t="s">
        <v>3</v>
      </c>
      <c r="G8439" s="1375"/>
      <c r="H8439" s="1376"/>
      <c r="I8439" s="1382"/>
      <c r="J8439" s="1383"/>
      <c r="K8439" s="1383"/>
      <c r="L8439" s="1413"/>
      <c r="M8439" s="1376"/>
      <c r="N8439" s="1376"/>
      <c r="O8439" s="1376"/>
      <c r="P8439" s="1373"/>
      <c r="Q8439" s="3403"/>
      <c r="R8439" s="2356"/>
    </row>
    <row r="8440" spans="1:18" s="22" customFormat="1">
      <c r="A8440" s="1321"/>
      <c r="B8440" s="2053"/>
      <c r="C8440" s="1321"/>
      <c r="D8440" s="1827"/>
      <c r="E8440" s="2173"/>
      <c r="F8440" s="1827"/>
      <c r="G8440" s="1828"/>
      <c r="H8440" s="1379"/>
      <c r="I8440" s="1299"/>
      <c r="J8440" s="1300"/>
      <c r="K8440" s="1307"/>
      <c r="L8440" s="1335"/>
      <c r="M8440" s="1302"/>
      <c r="N8440" s="1700"/>
      <c r="O8440" s="1290"/>
      <c r="P8440" s="1332"/>
      <c r="Q8440" s="3402"/>
      <c r="R8440" s="2053"/>
    </row>
    <row r="8441" spans="1:18" s="22" customFormat="1">
      <c r="A8441" s="1321"/>
      <c r="B8441" s="2053"/>
      <c r="C8441" s="1321"/>
      <c r="D8441" s="1377"/>
      <c r="E8441" s="2124"/>
      <c r="F8441" s="1378"/>
      <c r="G8441" s="1378"/>
      <c r="H8441" s="1379"/>
      <c r="I8441" s="1299"/>
      <c r="J8441" s="1300"/>
      <c r="K8441" s="1307"/>
      <c r="L8441" s="1335"/>
      <c r="M8441" s="1302"/>
      <c r="N8441" s="1700"/>
      <c r="O8441" s="1290"/>
      <c r="P8441" s="1333"/>
      <c r="Q8441" s="3402"/>
      <c r="R8441" s="2053"/>
    </row>
    <row r="8442" spans="1:18" s="22" customFormat="1">
      <c r="A8442" s="1320"/>
      <c r="B8442" s="1765"/>
      <c r="C8442" s="223"/>
      <c r="D8442" s="1373"/>
      <c r="E8442" s="2161"/>
      <c r="F8442" s="1678"/>
      <c r="G8442" s="1678"/>
      <c r="H8442" s="1376"/>
      <c r="I8442" s="1299"/>
      <c r="J8442" s="1300"/>
      <c r="K8442" s="1307"/>
      <c r="L8442" s="1335"/>
      <c r="M8442" s="1302"/>
      <c r="N8442" s="1700"/>
      <c r="O8442" s="1290"/>
      <c r="P8442" s="1332"/>
      <c r="Q8442" s="3402"/>
      <c r="R8442" s="2356"/>
    </row>
    <row r="8443" spans="1:18" s="22" customFormat="1">
      <c r="A8443" s="18" t="s">
        <v>3764</v>
      </c>
      <c r="B8443" s="4325" t="s">
        <v>2466</v>
      </c>
      <c r="C8443" s="3350"/>
      <c r="D8443" s="4327"/>
      <c r="E8443" s="4329" t="s">
        <v>1504</v>
      </c>
      <c r="F8443" s="4336" t="s">
        <v>2467</v>
      </c>
      <c r="G8443" s="4331" t="s">
        <v>1568</v>
      </c>
      <c r="H8443" s="4331" t="s">
        <v>1574</v>
      </c>
      <c r="I8443" s="1572" t="s">
        <v>1559</v>
      </c>
      <c r="J8443" s="1294" t="s">
        <v>1560</v>
      </c>
      <c r="K8443" s="1294" t="s">
        <v>1569</v>
      </c>
      <c r="L8443" s="4333" t="s">
        <v>3765</v>
      </c>
      <c r="M8443" s="4335" t="s">
        <v>1571</v>
      </c>
      <c r="N8443" s="4323" t="s">
        <v>1776</v>
      </c>
      <c r="O8443" s="3347" t="s">
        <v>1563</v>
      </c>
      <c r="P8443" s="1336" t="s">
        <v>1562</v>
      </c>
      <c r="Q8443" s="3389"/>
      <c r="R8443" s="1699" t="s">
        <v>1327</v>
      </c>
    </row>
    <row r="8444" spans="1:18" s="22" customFormat="1">
      <c r="A8444" s="1599" t="s">
        <v>2447</v>
      </c>
      <c r="B8444" s="4326"/>
      <c r="C8444" s="3351"/>
      <c r="D8444" s="4328"/>
      <c r="E8444" s="4330"/>
      <c r="F8444" s="4336"/>
      <c r="G8444" s="4332"/>
      <c r="H8444" s="4332"/>
      <c r="I8444" s="1345">
        <v>4</v>
      </c>
      <c r="J8444" s="1307">
        <v>0.05</v>
      </c>
      <c r="K8444" s="1666">
        <f>I8444*J8444</f>
        <v>0.2</v>
      </c>
      <c r="L8444" s="4334"/>
      <c r="M8444" s="4335"/>
      <c r="N8444" s="4324"/>
      <c r="O8444" s="1298">
        <f>SUM(O8446:O8456)</f>
        <v>147.57634999999999</v>
      </c>
      <c r="P8444" s="1337">
        <f>O8444*K8444</f>
        <v>29.515270000000001</v>
      </c>
      <c r="Q8444" s="3390"/>
      <c r="R8444" s="1721">
        <f>SUM(P8446:P8456)</f>
        <v>29.515269999999994</v>
      </c>
    </row>
    <row r="8445" spans="1:18" s="22" customFormat="1">
      <c r="A8445" s="1320"/>
      <c r="B8445" s="1949"/>
      <c r="C8445" s="1327"/>
      <c r="D8445" s="1367"/>
      <c r="E8445" s="2121"/>
      <c r="F8445" s="1389" t="s">
        <v>1</v>
      </c>
      <c r="G8445" s="1389"/>
      <c r="H8445" s="1369"/>
      <c r="I8445" s="2088"/>
      <c r="J8445" s="1369"/>
      <c r="K8445" s="1391"/>
      <c r="L8445" s="1559"/>
      <c r="M8445" s="1369"/>
      <c r="N8445" s="1369"/>
      <c r="O8445" s="1369"/>
      <c r="P8445" s="1392"/>
      <c r="Q8445" s="3395"/>
      <c r="R8445" s="2344"/>
    </row>
    <row r="8446" spans="1:18" s="22" customFormat="1">
      <c r="A8446" s="1320"/>
      <c r="B8446" s="1599"/>
      <c r="C8446" s="1320"/>
      <c r="D8446" s="1598" t="s">
        <v>2458</v>
      </c>
      <c r="E8446" s="2154" t="s">
        <v>1504</v>
      </c>
      <c r="F8446" s="1598" t="s">
        <v>2459</v>
      </c>
      <c r="G8446" s="1995">
        <v>1</v>
      </c>
      <c r="H8446" s="1369"/>
      <c r="I8446" s="1299"/>
      <c r="J8446" s="1300"/>
      <c r="K8446" s="1307">
        <f>G8446*K8444</f>
        <v>0.2</v>
      </c>
      <c r="L8446" s="1335">
        <f t="shared" ref="L8446:L8451" si="1149">K8446*$K$8330</f>
        <v>0</v>
      </c>
      <c r="M8446" s="1302">
        <v>2.85</v>
      </c>
      <c r="N8446" s="1700"/>
      <c r="O8446" s="1290">
        <f t="shared" ref="O8446:O8451" si="1150">G8446*M8446</f>
        <v>2.85</v>
      </c>
      <c r="P8446" s="1332">
        <f t="shared" ref="P8446:P8451" si="1151">M8446*K8446</f>
        <v>0.57000000000000006</v>
      </c>
      <c r="Q8446" s="3402"/>
      <c r="R8446" s="2356"/>
    </row>
    <row r="8447" spans="1:18" s="22" customFormat="1" ht="26">
      <c r="A8447" s="2187"/>
      <c r="B8447" s="1599"/>
      <c r="C8447" s="1042"/>
      <c r="D8447" s="1668" t="s">
        <v>2468</v>
      </c>
      <c r="E8447" s="2166" t="s">
        <v>1504</v>
      </c>
      <c r="F8447" s="1668" t="s">
        <v>2469</v>
      </c>
      <c r="G8447" s="1958">
        <v>1.02</v>
      </c>
      <c r="H8447" s="1369"/>
      <c r="I8447" s="1299"/>
      <c r="J8447" s="1300"/>
      <c r="K8447" s="1307">
        <f>G8447*K8444</f>
        <v>0.20400000000000001</v>
      </c>
      <c r="L8447" s="1335">
        <f t="shared" si="1149"/>
        <v>0</v>
      </c>
      <c r="M8447" s="1499">
        <v>102.35</v>
      </c>
      <c r="N8447" s="1700"/>
      <c r="O8447" s="1290">
        <f t="shared" si="1150"/>
        <v>104.39699999999999</v>
      </c>
      <c r="P8447" s="1332">
        <f t="shared" si="1151"/>
        <v>20.8794</v>
      </c>
      <c r="Q8447" s="3402"/>
      <c r="R8447" s="2357"/>
    </row>
    <row r="8448" spans="1:18" s="22" customFormat="1" ht="26">
      <c r="A8448" s="2187"/>
      <c r="B8448" s="1599"/>
      <c r="C8448" s="1042"/>
      <c r="D8448" s="1668" t="s">
        <v>2470</v>
      </c>
      <c r="E8448" s="2166" t="s">
        <v>1504</v>
      </c>
      <c r="F8448" s="1668" t="s">
        <v>2471</v>
      </c>
      <c r="G8448" s="1958">
        <v>1</v>
      </c>
      <c r="H8448" s="1369"/>
      <c r="I8448" s="1299"/>
      <c r="J8448" s="1300"/>
      <c r="K8448" s="1307">
        <f>G8448*K8444</f>
        <v>0.2</v>
      </c>
      <c r="L8448" s="1335">
        <f t="shared" si="1149"/>
        <v>0</v>
      </c>
      <c r="M8448" s="1499">
        <v>8.6300000000000008</v>
      </c>
      <c r="N8448" s="1700"/>
      <c r="O8448" s="1290">
        <f t="shared" si="1150"/>
        <v>8.6300000000000008</v>
      </c>
      <c r="P8448" s="1332">
        <f t="shared" si="1151"/>
        <v>1.7260000000000002</v>
      </c>
      <c r="Q8448" s="3402"/>
      <c r="R8448" s="2357"/>
    </row>
    <row r="8449" spans="1:18" s="22" customFormat="1" ht="26">
      <c r="A8449" s="2187"/>
      <c r="B8449" s="1599"/>
      <c r="C8449" s="1042"/>
      <c r="D8449" s="1668" t="s">
        <v>2472</v>
      </c>
      <c r="E8449" s="2166" t="s">
        <v>1504</v>
      </c>
      <c r="F8449" s="1668" t="s">
        <v>2473</v>
      </c>
      <c r="G8449" s="1958">
        <v>1</v>
      </c>
      <c r="H8449" s="1369"/>
      <c r="I8449" s="1299"/>
      <c r="J8449" s="1300"/>
      <c r="K8449" s="1307">
        <f>G8449*K8444</f>
        <v>0.2</v>
      </c>
      <c r="L8449" s="1335">
        <f t="shared" si="1149"/>
        <v>0</v>
      </c>
      <c r="M8449" s="1499">
        <v>4.3099999999999996</v>
      </c>
      <c r="N8449" s="1700"/>
      <c r="O8449" s="1290">
        <f t="shared" si="1150"/>
        <v>4.3099999999999996</v>
      </c>
      <c r="P8449" s="1332">
        <f t="shared" si="1151"/>
        <v>0.86199999999999999</v>
      </c>
      <c r="Q8449" s="3402"/>
      <c r="R8449" s="2357"/>
    </row>
    <row r="8450" spans="1:18" s="22" customFormat="1" ht="26">
      <c r="A8450" s="2187"/>
      <c r="B8450" s="1599"/>
      <c r="C8450" s="1042"/>
      <c r="D8450" s="1598" t="s">
        <v>1082</v>
      </c>
      <c r="E8450" s="2154" t="s">
        <v>1504</v>
      </c>
      <c r="F8450" s="1598" t="s">
        <v>1541</v>
      </c>
      <c r="G8450" s="1995">
        <v>1</v>
      </c>
      <c r="H8450" s="1369"/>
      <c r="I8450" s="1299"/>
      <c r="J8450" s="1300"/>
      <c r="K8450" s="1307">
        <f>G8450*K8444</f>
        <v>0.2</v>
      </c>
      <c r="L8450" s="1335">
        <f t="shared" si="1149"/>
        <v>0</v>
      </c>
      <c r="M8450" s="1499">
        <v>0.3</v>
      </c>
      <c r="N8450" s="1700"/>
      <c r="O8450" s="1290">
        <f t="shared" si="1150"/>
        <v>0.3</v>
      </c>
      <c r="P8450" s="1332">
        <f t="shared" si="1151"/>
        <v>0.06</v>
      </c>
      <c r="Q8450" s="3402"/>
      <c r="R8450" s="2357"/>
    </row>
    <row r="8451" spans="1:18" s="22" customFormat="1" ht="15" customHeight="1">
      <c r="A8451" s="16"/>
      <c r="B8451" s="1599"/>
      <c r="C8451" s="1320"/>
      <c r="D8451" s="1598" t="s">
        <v>1097</v>
      </c>
      <c r="E8451" s="1856" t="s">
        <v>1504</v>
      </c>
      <c r="F8451" s="1598" t="s">
        <v>1632</v>
      </c>
      <c r="G8451" s="1651">
        <v>1.5</v>
      </c>
      <c r="H8451" s="1399"/>
      <c r="I8451" s="198"/>
      <c r="J8451" s="198"/>
      <c r="K8451" s="1307">
        <f>G8451*K8444</f>
        <v>0.30000000000000004</v>
      </c>
      <c r="L8451" s="1335">
        <f t="shared" si="1149"/>
        <v>0</v>
      </c>
      <c r="M8451" s="1499">
        <v>0.55000000000000004</v>
      </c>
      <c r="N8451" s="1701"/>
      <c r="O8451" s="1290">
        <f t="shared" si="1150"/>
        <v>0.82500000000000007</v>
      </c>
      <c r="P8451" s="1332">
        <f t="shared" si="1151"/>
        <v>0.16500000000000004</v>
      </c>
      <c r="Q8451" s="3391"/>
      <c r="R8451" s="3363"/>
    </row>
    <row r="8452" spans="1:18" s="22" customFormat="1" ht="26">
      <c r="A8452" s="2187"/>
      <c r="B8452" s="1599"/>
      <c r="C8452" s="1042"/>
      <c r="D8452" s="1598"/>
      <c r="E8452" s="2154"/>
      <c r="F8452" s="1598"/>
      <c r="G8452" s="1995"/>
      <c r="H8452" s="1369"/>
      <c r="I8452" s="1299"/>
      <c r="J8452" s="1300"/>
      <c r="K8452" s="1307"/>
      <c r="L8452" s="1335"/>
      <c r="M8452" s="1499"/>
      <c r="N8452" s="1700"/>
      <c r="O8452" s="1290"/>
      <c r="P8452" s="1332"/>
      <c r="Q8452" s="3402"/>
      <c r="R8452" s="2357"/>
    </row>
    <row r="8453" spans="1:18" s="22" customFormat="1" ht="21" customHeight="1">
      <c r="A8453" s="16"/>
      <c r="B8453" s="1599"/>
      <c r="C8453" s="1320"/>
      <c r="D8453" s="1598"/>
      <c r="E8453" s="1856"/>
      <c r="F8453" s="1598"/>
      <c r="G8453" s="1399"/>
      <c r="H8453" s="1399"/>
      <c r="I8453" s="198"/>
      <c r="J8453" s="198"/>
      <c r="K8453" s="1307"/>
      <c r="L8453" s="1335"/>
      <c r="M8453" s="1499"/>
      <c r="N8453" s="1701"/>
      <c r="O8453" s="1291"/>
      <c r="P8453" s="1332"/>
      <c r="Q8453" s="3391"/>
      <c r="R8453" s="3363"/>
    </row>
    <row r="8454" spans="1:18" s="22" customFormat="1" ht="23.25" customHeight="1">
      <c r="A8454" s="2187"/>
      <c r="B8454" s="1599"/>
      <c r="C8454" s="1042"/>
      <c r="D8454" s="1359"/>
      <c r="E8454" s="1858"/>
      <c r="F8454" s="1360" t="s">
        <v>2</v>
      </c>
      <c r="G8454" s="1360"/>
      <c r="H8454" s="1362"/>
      <c r="I8454" s="1380"/>
      <c r="J8454" s="1381"/>
      <c r="K8454" s="1381"/>
      <c r="L8454" s="1458"/>
      <c r="M8454" s="1362"/>
      <c r="N8454" s="1362"/>
      <c r="O8454" s="1362"/>
      <c r="P8454" s="1359"/>
      <c r="Q8454" s="3403"/>
      <c r="R8454" s="2357"/>
    </row>
    <row r="8455" spans="1:18" s="22" customFormat="1" ht="26">
      <c r="A8455" s="2187"/>
      <c r="B8455" s="2053"/>
      <c r="C8455" s="1321"/>
      <c r="D8455" s="1655" t="s">
        <v>1099</v>
      </c>
      <c r="E8455" s="1859" t="s">
        <v>1508</v>
      </c>
      <c r="F8455" s="1655" t="s">
        <v>1633</v>
      </c>
      <c r="G8455" s="1809">
        <v>1.2</v>
      </c>
      <c r="H8455" s="1386"/>
      <c r="I8455" s="1299"/>
      <c r="J8455" s="1300"/>
      <c r="K8455" s="1307">
        <f>G8455*K8444</f>
        <v>0.24</v>
      </c>
      <c r="L8455" s="1335">
        <f>K8455*$K$8330</f>
        <v>0</v>
      </c>
      <c r="M8455" s="1302">
        <v>19.23</v>
      </c>
      <c r="N8455" s="1700"/>
      <c r="O8455" s="1290">
        <f>G8455*M8455</f>
        <v>23.076000000000001</v>
      </c>
      <c r="P8455" s="1332">
        <f>M8455*K8455</f>
        <v>4.6151999999999997</v>
      </c>
      <c r="Q8455" s="3402"/>
      <c r="R8455" s="2357"/>
    </row>
    <row r="8456" spans="1:18" s="22" customFormat="1">
      <c r="A8456" s="19"/>
      <c r="B8456" s="1042"/>
      <c r="C8456" s="1358" t="s">
        <v>1523</v>
      </c>
      <c r="D8456" s="1329"/>
      <c r="E8456" s="2135" t="s">
        <v>1508</v>
      </c>
      <c r="F8456" s="1330" t="s">
        <v>1524</v>
      </c>
      <c r="G8456" s="1461"/>
      <c r="H8456" s="1776">
        <v>8.5000000000000006E-2</v>
      </c>
      <c r="I8456" s="1488"/>
      <c r="J8456" s="1388"/>
      <c r="K8456" s="1510"/>
      <c r="L8456" s="1445"/>
      <c r="M8456" s="1446"/>
      <c r="N8456" s="1447">
        <f>SUM(N8457:N8458)</f>
        <v>37.510000000000005</v>
      </c>
      <c r="O8456" s="1447">
        <f>SUM(O8457:O8458)</f>
        <v>3.1883500000000007</v>
      </c>
      <c r="P8456" s="1447">
        <f>SUM(P8457:P8458)</f>
        <v>0.63767000000000007</v>
      </c>
      <c r="Q8456" s="3391"/>
      <c r="R8456" s="2338"/>
    </row>
    <row r="8457" spans="1:18" s="22" customFormat="1">
      <c r="A8457" s="19"/>
      <c r="B8457" s="1042"/>
      <c r="C8457" s="1042"/>
      <c r="D8457" s="1402" t="s">
        <v>1067</v>
      </c>
      <c r="E8457" s="1857" t="s">
        <v>1508</v>
      </c>
      <c r="F8457" s="1430" t="s">
        <v>5</v>
      </c>
      <c r="G8457" s="1381">
        <v>1</v>
      </c>
      <c r="H8457" s="1408">
        <f>G8457*H8456</f>
        <v>8.5000000000000006E-2</v>
      </c>
      <c r="I8457" s="1340"/>
      <c r="J8457" s="198"/>
      <c r="K8457" s="1307">
        <f>H8457*K8444</f>
        <v>1.7000000000000001E-2</v>
      </c>
      <c r="L8457" s="1335">
        <f t="shared" ref="L8457:L8458" si="1152">K8457*$K$8330</f>
        <v>0</v>
      </c>
      <c r="M8457" s="1302">
        <v>18.28</v>
      </c>
      <c r="N8457" s="1724">
        <f>G8457*M8457</f>
        <v>18.28</v>
      </c>
      <c r="O8457" s="1726">
        <f>H8457*M8457</f>
        <v>1.5538000000000003</v>
      </c>
      <c r="P8457" s="1727">
        <f>M8457*K8457</f>
        <v>0.31076000000000004</v>
      </c>
      <c r="Q8457" s="3396"/>
      <c r="R8457" s="2338"/>
    </row>
    <row r="8458" spans="1:18" s="22" customFormat="1" ht="21" customHeight="1">
      <c r="A8458" s="19"/>
      <c r="B8458" s="1042"/>
      <c r="C8458" s="1042"/>
      <c r="D8458" s="1402" t="s">
        <v>1077</v>
      </c>
      <c r="E8458" s="1857" t="s">
        <v>1508</v>
      </c>
      <c r="F8458" s="1430" t="s">
        <v>37</v>
      </c>
      <c r="G8458" s="1381">
        <v>1</v>
      </c>
      <c r="H8458" s="1408">
        <f>G8458*H8456</f>
        <v>8.5000000000000006E-2</v>
      </c>
      <c r="I8458" s="198"/>
      <c r="J8458" s="198"/>
      <c r="K8458" s="1307">
        <f>H8458*K8444</f>
        <v>1.7000000000000001E-2</v>
      </c>
      <c r="L8458" s="1335">
        <f t="shared" si="1152"/>
        <v>0</v>
      </c>
      <c r="M8458" s="1302">
        <v>19.23</v>
      </c>
      <c r="N8458" s="1724">
        <f>G8458*M8458</f>
        <v>19.23</v>
      </c>
      <c r="O8458" s="1719">
        <f>(H8458*M8458)</f>
        <v>1.6345500000000002</v>
      </c>
      <c r="P8458" s="1727">
        <f>M8458*K8458</f>
        <v>0.32691000000000003</v>
      </c>
      <c r="Q8458" s="3396"/>
      <c r="R8458" s="2338"/>
    </row>
    <row r="8459" spans="1:18" s="22" customFormat="1" ht="20.25" customHeight="1">
      <c r="A8459"/>
      <c r="B8459" s="1042"/>
      <c r="C8459" s="19"/>
      <c r="D8459" s="1430"/>
      <c r="E8459" s="1857"/>
      <c r="F8459" s="1394"/>
      <c r="G8459" s="2183"/>
      <c r="H8459" s="1395"/>
      <c r="I8459" s="197"/>
      <c r="J8459" s="198"/>
      <c r="K8459" s="1307"/>
      <c r="L8459" s="1335"/>
      <c r="M8459" s="1302"/>
      <c r="N8459" s="1718"/>
      <c r="O8459" s="1290"/>
      <c r="P8459" s="1720"/>
      <c r="Q8459" s="3396"/>
      <c r="R8459" s="2337"/>
    </row>
    <row r="8460" spans="1:18" s="22" customFormat="1" ht="19.5" customHeight="1">
      <c r="B8460" s="1320"/>
      <c r="C8460" s="16"/>
      <c r="D8460" s="1359"/>
      <c r="E8460" s="1858"/>
      <c r="F8460" s="1474"/>
      <c r="G8460" s="1474"/>
      <c r="H8460" s="1466"/>
      <c r="I8460" s="1289"/>
      <c r="J8460" s="8"/>
      <c r="K8460" s="1307"/>
      <c r="L8460" s="1335"/>
      <c r="M8460" s="1302"/>
      <c r="N8460" s="1700"/>
      <c r="O8460" s="1290"/>
      <c r="P8460" s="1332"/>
      <c r="Q8460" s="3391"/>
      <c r="R8460" s="2344"/>
    </row>
    <row r="8461" spans="1:18" s="22" customFormat="1">
      <c r="A8461" s="1320"/>
      <c r="B8461" s="1599"/>
      <c r="C8461" s="1320"/>
      <c r="D8461" s="1373"/>
      <c r="E8461" s="2123"/>
      <c r="F8461" s="1374" t="s">
        <v>3</v>
      </c>
      <c r="G8461" s="1375"/>
      <c r="H8461" s="1376"/>
      <c r="I8461" s="1382"/>
      <c r="J8461" s="1383"/>
      <c r="K8461" s="1383"/>
      <c r="L8461" s="1413"/>
      <c r="M8461" s="1376"/>
      <c r="N8461" s="1376"/>
      <c r="O8461" s="1376"/>
      <c r="P8461" s="1373"/>
      <c r="Q8461" s="3403"/>
      <c r="R8461" s="2356"/>
    </row>
    <row r="8462" spans="1:18" s="22" customFormat="1">
      <c r="A8462" s="1321"/>
      <c r="B8462" s="2053"/>
      <c r="C8462" s="1321"/>
      <c r="D8462" s="1827"/>
      <c r="E8462" s="2173"/>
      <c r="F8462" s="1827"/>
      <c r="G8462" s="1828"/>
      <c r="H8462" s="1379"/>
      <c r="I8462" s="1299"/>
      <c r="J8462" s="1300"/>
      <c r="K8462" s="1307"/>
      <c r="L8462" s="1335"/>
      <c r="M8462" s="1302"/>
      <c r="N8462" s="1700"/>
      <c r="O8462" s="1290"/>
      <c r="P8462" s="1332"/>
      <c r="Q8462" s="3402"/>
      <c r="R8462" s="2053"/>
    </row>
    <row r="8463" spans="1:18" s="22" customFormat="1">
      <c r="A8463" s="1321"/>
      <c r="B8463" s="2053"/>
      <c r="C8463" s="1321"/>
      <c r="D8463" s="1377"/>
      <c r="E8463" s="2124"/>
      <c r="F8463" s="1378"/>
      <c r="G8463" s="1378"/>
      <c r="H8463" s="1379"/>
      <c r="I8463" s="1299"/>
      <c r="J8463" s="1300"/>
      <c r="K8463" s="1307"/>
      <c r="L8463" s="1335"/>
      <c r="M8463" s="1302"/>
      <c r="N8463" s="1700"/>
      <c r="O8463" s="1290"/>
      <c r="P8463" s="1333"/>
      <c r="Q8463" s="3402"/>
      <c r="R8463" s="2053"/>
    </row>
    <row r="8464" spans="1:18" s="22" customFormat="1">
      <c r="A8464" s="1320"/>
      <c r="B8464" s="1765"/>
      <c r="C8464" s="223"/>
      <c r="D8464" s="1373"/>
      <c r="E8464" s="2161"/>
      <c r="F8464" s="1678"/>
      <c r="G8464" s="1678"/>
      <c r="H8464" s="1376"/>
      <c r="I8464" s="1299"/>
      <c r="J8464" s="1300"/>
      <c r="K8464" s="1307"/>
      <c r="L8464" s="1335"/>
      <c r="M8464" s="1302"/>
      <c r="N8464" s="1700"/>
      <c r="O8464" s="1290"/>
      <c r="P8464" s="1332"/>
      <c r="Q8464" s="3402"/>
      <c r="R8464" s="2356"/>
    </row>
    <row r="8465" spans="1:18" s="22" customFormat="1">
      <c r="A8465" s="18" t="s">
        <v>3764</v>
      </c>
      <c r="B8465" s="4325" t="s">
        <v>2474</v>
      </c>
      <c r="C8465" s="3350"/>
      <c r="D8465" s="4327"/>
      <c r="E8465" s="4329" t="s">
        <v>1504</v>
      </c>
      <c r="F8465" s="4336" t="s">
        <v>2475</v>
      </c>
      <c r="G8465" s="4331" t="s">
        <v>1568</v>
      </c>
      <c r="H8465" s="4331" t="s">
        <v>1574</v>
      </c>
      <c r="I8465" s="1572" t="s">
        <v>1559</v>
      </c>
      <c r="J8465" s="1294" t="s">
        <v>1560</v>
      </c>
      <c r="K8465" s="1294" t="s">
        <v>1569</v>
      </c>
      <c r="L8465" s="4333" t="s">
        <v>3765</v>
      </c>
      <c r="M8465" s="4335" t="s">
        <v>1571</v>
      </c>
      <c r="N8465" s="4323" t="s">
        <v>1776</v>
      </c>
      <c r="O8465" s="3347" t="s">
        <v>1563</v>
      </c>
      <c r="P8465" s="1336" t="s">
        <v>1562</v>
      </c>
      <c r="Q8465" s="3389"/>
      <c r="R8465" s="1699" t="s">
        <v>1327</v>
      </c>
    </row>
    <row r="8466" spans="1:18" s="22" customFormat="1">
      <c r="A8466" s="1599" t="s">
        <v>2447</v>
      </c>
      <c r="B8466" s="4326"/>
      <c r="C8466" s="3351"/>
      <c r="D8466" s="4328"/>
      <c r="E8466" s="4330"/>
      <c r="F8466" s="4336"/>
      <c r="G8466" s="4332"/>
      <c r="H8466" s="4332"/>
      <c r="I8466" s="1345">
        <v>4</v>
      </c>
      <c r="J8466" s="1307">
        <v>0.05</v>
      </c>
      <c r="K8466" s="1666">
        <f>I8466*J8466</f>
        <v>0.2</v>
      </c>
      <c r="L8466" s="4334"/>
      <c r="M8466" s="4335"/>
      <c r="N8466" s="4324"/>
      <c r="O8466" s="1298">
        <f>SUM(O8468:O8477)</f>
        <v>70.378949999999989</v>
      </c>
      <c r="P8466" s="1337">
        <f>O8466*K8466</f>
        <v>14.075789999999998</v>
      </c>
      <c r="Q8466" s="3390"/>
      <c r="R8466" s="1721">
        <f>SUM(P8468:P8477)</f>
        <v>14.075790000000001</v>
      </c>
    </row>
    <row r="8467" spans="1:18" s="22" customFormat="1">
      <c r="A8467" s="1320"/>
      <c r="B8467" s="1949"/>
      <c r="C8467" s="1327"/>
      <c r="D8467" s="1367"/>
      <c r="E8467" s="2121"/>
      <c r="F8467" s="1389" t="s">
        <v>1</v>
      </c>
      <c r="G8467" s="1389"/>
      <c r="H8467" s="1369"/>
      <c r="I8467" s="2088"/>
      <c r="J8467" s="1369"/>
      <c r="K8467" s="1391"/>
      <c r="L8467" s="1559"/>
      <c r="M8467" s="1369"/>
      <c r="N8467" s="1369"/>
      <c r="O8467" s="1369"/>
      <c r="P8467" s="1392"/>
      <c r="Q8467" s="3395"/>
      <c r="R8467" s="2344"/>
    </row>
    <row r="8468" spans="1:18" s="22" customFormat="1">
      <c r="A8468" s="1320"/>
      <c r="B8468" s="1599"/>
      <c r="C8468" s="1320"/>
      <c r="D8468" s="1598" t="s">
        <v>2476</v>
      </c>
      <c r="E8468" s="2154" t="s">
        <v>1504</v>
      </c>
      <c r="F8468" s="1598" t="s">
        <v>2477</v>
      </c>
      <c r="G8468" s="1612">
        <v>1.02</v>
      </c>
      <c r="H8468" s="1369"/>
      <c r="I8468" s="1299"/>
      <c r="J8468" s="1300"/>
      <c r="K8468" s="1307">
        <f>G8468*K8466</f>
        <v>0.20400000000000001</v>
      </c>
      <c r="L8468" s="1335">
        <f t="shared" ref="L8468:L8472" si="1153">K8468*$K$8330</f>
        <v>0</v>
      </c>
      <c r="M8468" s="1302">
        <v>22.4</v>
      </c>
      <c r="N8468" s="1700"/>
      <c r="O8468" s="1290">
        <f>G8468*M8468</f>
        <v>22.847999999999999</v>
      </c>
      <c r="P8468" s="1332">
        <f>M8468*K8468</f>
        <v>4.5696000000000003</v>
      </c>
      <c r="Q8468" s="3402"/>
      <c r="R8468" s="2356"/>
    </row>
    <row r="8469" spans="1:18" s="22" customFormat="1" ht="26">
      <c r="A8469" s="2187"/>
      <c r="B8469" s="1599"/>
      <c r="C8469" s="1042"/>
      <c r="D8469" s="1668" t="s">
        <v>1253</v>
      </c>
      <c r="E8469" s="2166" t="s">
        <v>1504</v>
      </c>
      <c r="F8469" s="1668" t="s">
        <v>2478</v>
      </c>
      <c r="G8469" s="1958">
        <v>1.02</v>
      </c>
      <c r="H8469" s="1369"/>
      <c r="I8469" s="1299"/>
      <c r="J8469" s="1300"/>
      <c r="K8469" s="1307">
        <f>G8469*K8466</f>
        <v>0.20400000000000001</v>
      </c>
      <c r="L8469" s="1335">
        <f t="shared" si="1153"/>
        <v>0</v>
      </c>
      <c r="M8469" s="1499">
        <v>27.23</v>
      </c>
      <c r="N8469" s="1700"/>
      <c r="O8469" s="1290">
        <f>G8469*M8469</f>
        <v>27.7746</v>
      </c>
      <c r="P8469" s="1332">
        <f>M8469*K8469</f>
        <v>5.5549200000000001</v>
      </c>
      <c r="Q8469" s="3402"/>
      <c r="R8469" s="2357"/>
    </row>
    <row r="8470" spans="1:18" s="22" customFormat="1" ht="26">
      <c r="A8470" s="2187"/>
      <c r="B8470" s="1599"/>
      <c r="C8470" s="1042"/>
      <c r="D8470" s="1668" t="s">
        <v>2479</v>
      </c>
      <c r="E8470" s="2166" t="s">
        <v>1504</v>
      </c>
      <c r="F8470" s="1668" t="s">
        <v>2480</v>
      </c>
      <c r="G8470" s="1958">
        <v>1</v>
      </c>
      <c r="H8470" s="1369"/>
      <c r="I8470" s="1299"/>
      <c r="J8470" s="1300"/>
      <c r="K8470" s="1307">
        <f>G8470*K8466</f>
        <v>0.2</v>
      </c>
      <c r="L8470" s="1335">
        <f t="shared" si="1153"/>
        <v>0</v>
      </c>
      <c r="M8470" s="1499">
        <v>4.07</v>
      </c>
      <c r="N8470" s="1700"/>
      <c r="O8470" s="1290">
        <f>G8470*M8470</f>
        <v>4.07</v>
      </c>
      <c r="P8470" s="1332">
        <f>M8470*K8470</f>
        <v>0.81400000000000006</v>
      </c>
      <c r="Q8470" s="3402"/>
      <c r="R8470" s="2357"/>
    </row>
    <row r="8471" spans="1:18" s="22" customFormat="1" ht="26">
      <c r="A8471" s="2187"/>
      <c r="B8471" s="1599"/>
      <c r="C8471" s="1042"/>
      <c r="D8471" s="1598" t="s">
        <v>1082</v>
      </c>
      <c r="E8471" s="2154" t="s">
        <v>1504</v>
      </c>
      <c r="F8471" s="1598" t="s">
        <v>1541</v>
      </c>
      <c r="G8471" s="1995">
        <v>1</v>
      </c>
      <c r="H8471" s="1369"/>
      <c r="I8471" s="1299"/>
      <c r="J8471" s="1300"/>
      <c r="K8471" s="1307">
        <f>G8471*K8466</f>
        <v>0.2</v>
      </c>
      <c r="L8471" s="1335">
        <f t="shared" si="1153"/>
        <v>0</v>
      </c>
      <c r="M8471" s="1499">
        <v>0.3</v>
      </c>
      <c r="N8471" s="1700"/>
      <c r="O8471" s="1290">
        <f>G8471*M8471</f>
        <v>0.3</v>
      </c>
      <c r="P8471" s="1332">
        <f>M8471*K8471</f>
        <v>0.06</v>
      </c>
      <c r="Q8471" s="3402"/>
      <c r="R8471" s="2357"/>
    </row>
    <row r="8472" spans="1:18" s="22" customFormat="1">
      <c r="A8472" s="16"/>
      <c r="B8472" s="1599"/>
      <c r="C8472" s="1320"/>
      <c r="D8472" s="1598" t="s">
        <v>1097</v>
      </c>
      <c r="E8472" s="1856" t="s">
        <v>1504</v>
      </c>
      <c r="F8472" s="1598" t="s">
        <v>1632</v>
      </c>
      <c r="G8472" s="1651">
        <v>1.2</v>
      </c>
      <c r="H8472" s="1399"/>
      <c r="I8472" s="198"/>
      <c r="J8472" s="198"/>
      <c r="K8472" s="1307">
        <f>G8472*K8466</f>
        <v>0.24</v>
      </c>
      <c r="L8472" s="1335">
        <f t="shared" si="1153"/>
        <v>0</v>
      </c>
      <c r="M8472" s="1499">
        <v>0.55000000000000004</v>
      </c>
      <c r="N8472" s="1701"/>
      <c r="O8472" s="1290">
        <f>G8472*M8472</f>
        <v>0.66</v>
      </c>
      <c r="P8472" s="1332">
        <f>M8472*K8472</f>
        <v>0.13200000000000001</v>
      </c>
      <c r="Q8472" s="3391"/>
      <c r="R8472" s="3363"/>
    </row>
    <row r="8473" spans="1:18" s="22" customFormat="1" ht="26">
      <c r="A8473" s="2187"/>
      <c r="B8473" s="1599"/>
      <c r="C8473" s="1042"/>
      <c r="D8473" s="1598"/>
      <c r="E8473" s="2154"/>
      <c r="F8473" s="1598"/>
      <c r="G8473" s="1995"/>
      <c r="H8473" s="1369"/>
      <c r="I8473" s="1299"/>
      <c r="J8473" s="1300"/>
      <c r="K8473" s="1307"/>
      <c r="L8473" s="1335"/>
      <c r="M8473" s="1499"/>
      <c r="N8473" s="1700"/>
      <c r="O8473" s="1290"/>
      <c r="P8473" s="1332"/>
      <c r="Q8473" s="3402"/>
      <c r="R8473" s="2357"/>
    </row>
    <row r="8474" spans="1:18" s="22" customFormat="1" ht="25.5" customHeight="1">
      <c r="A8474" s="16"/>
      <c r="B8474" s="1599"/>
      <c r="C8474" s="1320"/>
      <c r="D8474" s="1598"/>
      <c r="E8474" s="1856"/>
      <c r="F8474" s="1598"/>
      <c r="G8474" s="1399"/>
      <c r="H8474" s="1399"/>
      <c r="I8474" s="198"/>
      <c r="J8474" s="198"/>
      <c r="K8474" s="1307"/>
      <c r="L8474" s="1335"/>
      <c r="M8474" s="1499"/>
      <c r="N8474" s="1701"/>
      <c r="O8474" s="1291"/>
      <c r="P8474" s="1332"/>
      <c r="Q8474" s="3391"/>
      <c r="R8474" s="3363"/>
    </row>
    <row r="8475" spans="1:18" s="22" customFormat="1" ht="23.25" customHeight="1">
      <c r="A8475" s="2187"/>
      <c r="B8475" s="1599"/>
      <c r="C8475" s="1042"/>
      <c r="D8475" s="1359"/>
      <c r="E8475" s="1858"/>
      <c r="F8475" s="1360" t="s">
        <v>2</v>
      </c>
      <c r="G8475" s="1360"/>
      <c r="H8475" s="1362"/>
      <c r="I8475" s="1380"/>
      <c r="J8475" s="1381"/>
      <c r="K8475" s="1381"/>
      <c r="L8475" s="1458"/>
      <c r="M8475" s="1362"/>
      <c r="N8475" s="1362"/>
      <c r="O8475" s="1362"/>
      <c r="P8475" s="1359"/>
      <c r="Q8475" s="3403"/>
      <c r="R8475" s="2357"/>
    </row>
    <row r="8476" spans="1:18" s="22" customFormat="1" ht="21.75" customHeight="1">
      <c r="A8476" s="2187"/>
      <c r="B8476" s="2053"/>
      <c r="C8476" s="1321"/>
      <c r="D8476" s="1655" t="s">
        <v>1099</v>
      </c>
      <c r="E8476" s="1859" t="s">
        <v>1508</v>
      </c>
      <c r="F8476" s="1655" t="s">
        <v>1633</v>
      </c>
      <c r="G8476" s="1809">
        <v>0.6</v>
      </c>
      <c r="H8476" s="1386"/>
      <c r="I8476" s="1299"/>
      <c r="J8476" s="1300"/>
      <c r="K8476" s="1307">
        <f>G8476*K8466</f>
        <v>0.12</v>
      </c>
      <c r="L8476" s="1335">
        <f>K8476*$K$8330</f>
        <v>0</v>
      </c>
      <c r="M8476" s="1302">
        <v>19.23</v>
      </c>
      <c r="N8476" s="1700"/>
      <c r="O8476" s="1290">
        <f>G8476*M8476</f>
        <v>11.538</v>
      </c>
      <c r="P8476" s="1332">
        <f>M8476*K8476</f>
        <v>2.3075999999999999</v>
      </c>
      <c r="Q8476" s="3402"/>
      <c r="R8476" s="2357"/>
    </row>
    <row r="8477" spans="1:18" s="22" customFormat="1">
      <c r="A8477" s="19"/>
      <c r="B8477" s="1042"/>
      <c r="C8477" s="1358" t="s">
        <v>1523</v>
      </c>
      <c r="D8477" s="1329"/>
      <c r="E8477" s="2135" t="s">
        <v>1508</v>
      </c>
      <c r="F8477" s="1330" t="s">
        <v>1524</v>
      </c>
      <c r="G8477" s="1461"/>
      <c r="H8477" s="1776">
        <v>8.5000000000000006E-2</v>
      </c>
      <c r="I8477" s="1488"/>
      <c r="J8477" s="1388"/>
      <c r="K8477" s="1510"/>
      <c r="L8477" s="1445"/>
      <c r="M8477" s="1446"/>
      <c r="N8477" s="1447">
        <f>SUM(N8478:N8479)</f>
        <v>37.510000000000005</v>
      </c>
      <c r="O8477" s="1447">
        <f>SUM(O8478:O8479)</f>
        <v>3.1883500000000007</v>
      </c>
      <c r="P8477" s="1447">
        <f>SUM(P8478:P8479)</f>
        <v>0.63767000000000007</v>
      </c>
      <c r="Q8477" s="3391"/>
      <c r="R8477" s="2338"/>
    </row>
    <row r="8478" spans="1:18" s="22" customFormat="1" ht="21.75" customHeight="1">
      <c r="A8478" s="19"/>
      <c r="B8478" s="1042"/>
      <c r="C8478" s="1042"/>
      <c r="D8478" s="1402" t="s">
        <v>1067</v>
      </c>
      <c r="E8478" s="1857" t="s">
        <v>1508</v>
      </c>
      <c r="F8478" s="1430" t="s">
        <v>5</v>
      </c>
      <c r="G8478" s="1381">
        <v>1</v>
      </c>
      <c r="H8478" s="1408">
        <f>G8478*H8477</f>
        <v>8.5000000000000006E-2</v>
      </c>
      <c r="I8478" s="1340"/>
      <c r="J8478" s="198"/>
      <c r="K8478" s="1307">
        <f>H8478*K8466</f>
        <v>1.7000000000000001E-2</v>
      </c>
      <c r="L8478" s="1335">
        <f t="shared" ref="L8478:L8479" si="1154">K8478*$K$8330</f>
        <v>0</v>
      </c>
      <c r="M8478" s="1302">
        <v>18.28</v>
      </c>
      <c r="N8478" s="1724">
        <f>G8478*M8478</f>
        <v>18.28</v>
      </c>
      <c r="O8478" s="1726">
        <f>H8478*M8478</f>
        <v>1.5538000000000003</v>
      </c>
      <c r="P8478" s="1727">
        <f>M8478*K8478</f>
        <v>0.31076000000000004</v>
      </c>
      <c r="Q8478" s="3396"/>
      <c r="R8478" s="2338"/>
    </row>
    <row r="8479" spans="1:18" s="22" customFormat="1" ht="19.5" customHeight="1">
      <c r="A8479" s="19"/>
      <c r="B8479" s="1042"/>
      <c r="C8479" s="1042"/>
      <c r="D8479" s="1402" t="s">
        <v>1077</v>
      </c>
      <c r="E8479" s="1857" t="s">
        <v>1508</v>
      </c>
      <c r="F8479" s="1430" t="s">
        <v>37</v>
      </c>
      <c r="G8479" s="1381">
        <v>1</v>
      </c>
      <c r="H8479" s="1408">
        <f>G8479*H8477</f>
        <v>8.5000000000000006E-2</v>
      </c>
      <c r="I8479" s="198"/>
      <c r="J8479" s="198"/>
      <c r="K8479" s="1307">
        <f>H8479*K8466</f>
        <v>1.7000000000000001E-2</v>
      </c>
      <c r="L8479" s="1335">
        <f t="shared" si="1154"/>
        <v>0</v>
      </c>
      <c r="M8479" s="1302">
        <v>19.23</v>
      </c>
      <c r="N8479" s="1724">
        <f>G8479*M8479</f>
        <v>19.23</v>
      </c>
      <c r="O8479" s="1719">
        <f>(H8479*M8479)</f>
        <v>1.6345500000000002</v>
      </c>
      <c r="P8479" s="1727">
        <f>M8479*K8479</f>
        <v>0.32691000000000003</v>
      </c>
      <c r="Q8479" s="3396"/>
      <c r="R8479" s="2338"/>
    </row>
    <row r="8480" spans="1:18" s="22" customFormat="1" ht="18.75" customHeight="1">
      <c r="A8480"/>
      <c r="B8480" s="1042"/>
      <c r="C8480" s="19"/>
      <c r="D8480" s="1430"/>
      <c r="E8480" s="1857"/>
      <c r="F8480" s="1394"/>
      <c r="G8480" s="2183"/>
      <c r="H8480" s="1395"/>
      <c r="I8480" s="197"/>
      <c r="J8480" s="198"/>
      <c r="K8480" s="1307"/>
      <c r="L8480" s="1335"/>
      <c r="M8480" s="1302"/>
      <c r="N8480" s="1718"/>
      <c r="O8480" s="1290"/>
      <c r="P8480" s="1720"/>
      <c r="Q8480" s="3396"/>
      <c r="R8480" s="2337"/>
    </row>
    <row r="8481" spans="1:18" s="22" customFormat="1">
      <c r="B8481" s="1320"/>
      <c r="C8481" s="16"/>
      <c r="D8481" s="1359"/>
      <c r="E8481" s="1858"/>
      <c r="F8481" s="1474"/>
      <c r="G8481" s="1474"/>
      <c r="H8481" s="1466"/>
      <c r="I8481" s="1289"/>
      <c r="J8481" s="8"/>
      <c r="K8481" s="1307"/>
      <c r="L8481" s="1335"/>
      <c r="M8481" s="1302"/>
      <c r="N8481" s="1700"/>
      <c r="O8481" s="1290"/>
      <c r="P8481" s="1332"/>
      <c r="Q8481" s="3391"/>
      <c r="R8481" s="2344"/>
    </row>
    <row r="8482" spans="1:18" s="22" customFormat="1">
      <c r="A8482" s="1320"/>
      <c r="B8482" s="1599"/>
      <c r="C8482" s="1320"/>
      <c r="D8482" s="1373"/>
      <c r="E8482" s="2123"/>
      <c r="F8482" s="1374" t="s">
        <v>3</v>
      </c>
      <c r="G8482" s="1375"/>
      <c r="H8482" s="1376"/>
      <c r="I8482" s="1382"/>
      <c r="J8482" s="1383"/>
      <c r="K8482" s="1383"/>
      <c r="L8482" s="1413"/>
      <c r="M8482" s="1376"/>
      <c r="N8482" s="1376"/>
      <c r="O8482" s="1376"/>
      <c r="P8482" s="1373"/>
      <c r="Q8482" s="3403"/>
      <c r="R8482" s="2356"/>
    </row>
    <row r="8483" spans="1:18" s="22" customFormat="1">
      <c r="A8483" s="1321"/>
      <c r="B8483" s="2053"/>
      <c r="C8483" s="1321"/>
      <c r="D8483" s="1827"/>
      <c r="E8483" s="2173"/>
      <c r="F8483" s="1827"/>
      <c r="G8483" s="1828"/>
      <c r="H8483" s="1379"/>
      <c r="I8483" s="1299"/>
      <c r="J8483" s="1300"/>
      <c r="K8483" s="1307"/>
      <c r="L8483" s="1335"/>
      <c r="M8483" s="1302"/>
      <c r="N8483" s="1700"/>
      <c r="O8483" s="1290"/>
      <c r="P8483" s="1332"/>
      <c r="Q8483" s="3402"/>
      <c r="R8483" s="2053"/>
    </row>
    <row r="8484" spans="1:18" s="22" customFormat="1">
      <c r="A8484" s="1321"/>
      <c r="B8484" s="2053"/>
      <c r="C8484" s="1321"/>
      <c r="D8484" s="1377"/>
      <c r="E8484" s="2124"/>
      <c r="F8484" s="1378"/>
      <c r="G8484" s="1378"/>
      <c r="H8484" s="1379"/>
      <c r="I8484" s="1299"/>
      <c r="J8484" s="1300"/>
      <c r="K8484" s="1307"/>
      <c r="L8484" s="1335"/>
      <c r="M8484" s="1302"/>
      <c r="N8484" s="1700"/>
      <c r="O8484" s="1290"/>
      <c r="P8484" s="1333"/>
      <c r="Q8484" s="3402"/>
      <c r="R8484" s="2053"/>
    </row>
    <row r="8485" spans="1:18" s="22" customFormat="1">
      <c r="A8485" s="1320"/>
      <c r="B8485" s="1765"/>
      <c r="C8485" s="223"/>
      <c r="D8485" s="1373"/>
      <c r="E8485" s="2161"/>
      <c r="F8485" s="1678"/>
      <c r="G8485" s="1678"/>
      <c r="H8485" s="1376"/>
      <c r="I8485" s="1299"/>
      <c r="J8485" s="1300"/>
      <c r="K8485" s="1307"/>
      <c r="L8485" s="1335"/>
      <c r="M8485" s="1302"/>
      <c r="N8485" s="1700"/>
      <c r="O8485" s="1290"/>
      <c r="P8485" s="1332"/>
      <c r="Q8485" s="3402"/>
      <c r="R8485" s="2356"/>
    </row>
    <row r="8486" spans="1:18" s="22" customFormat="1">
      <c r="A8486" s="18" t="s">
        <v>3764</v>
      </c>
      <c r="B8486" s="4325" t="s">
        <v>2481</v>
      </c>
      <c r="C8486" s="3350"/>
      <c r="D8486" s="4327"/>
      <c r="E8486" s="4329" t="s">
        <v>1504</v>
      </c>
      <c r="F8486" s="4336" t="s">
        <v>2482</v>
      </c>
      <c r="G8486" s="4331" t="s">
        <v>1568</v>
      </c>
      <c r="H8486" s="4331" t="s">
        <v>1574</v>
      </c>
      <c r="I8486" s="1572" t="s">
        <v>1559</v>
      </c>
      <c r="J8486" s="1294" t="s">
        <v>1560</v>
      </c>
      <c r="K8486" s="1294" t="s">
        <v>1569</v>
      </c>
      <c r="L8486" s="4333" t="s">
        <v>3765</v>
      </c>
      <c r="M8486" s="4335" t="s">
        <v>1571</v>
      </c>
      <c r="N8486" s="4323" t="s">
        <v>1776</v>
      </c>
      <c r="O8486" s="3347" t="s">
        <v>1563</v>
      </c>
      <c r="P8486" s="1336" t="s">
        <v>1562</v>
      </c>
      <c r="Q8486" s="3389"/>
      <c r="R8486" s="1699" t="s">
        <v>1327</v>
      </c>
    </row>
    <row r="8487" spans="1:18" s="22" customFormat="1">
      <c r="A8487" s="1599" t="s">
        <v>2447</v>
      </c>
      <c r="B8487" s="4326"/>
      <c r="C8487" s="3351"/>
      <c r="D8487" s="4328"/>
      <c r="E8487" s="4330"/>
      <c r="F8487" s="4336"/>
      <c r="G8487" s="4332"/>
      <c r="H8487" s="4332"/>
      <c r="I8487" s="1345">
        <v>4</v>
      </c>
      <c r="J8487" s="1307">
        <v>0.05</v>
      </c>
      <c r="K8487" s="1666">
        <f>I8487*J8487</f>
        <v>0.2</v>
      </c>
      <c r="L8487" s="4334"/>
      <c r="M8487" s="4335"/>
      <c r="N8487" s="4324"/>
      <c r="O8487" s="1298">
        <f>SUM(O8489:O8497)</f>
        <v>82.792000000000002</v>
      </c>
      <c r="P8487" s="1337">
        <f>O8487*K8487</f>
        <v>16.558400000000002</v>
      </c>
      <c r="Q8487" s="3390"/>
      <c r="R8487" s="1721">
        <f>SUM(P8489:P8497)</f>
        <v>16.558400000000002</v>
      </c>
    </row>
    <row r="8488" spans="1:18" s="22" customFormat="1">
      <c r="A8488" s="1320"/>
      <c r="B8488" s="1949"/>
      <c r="C8488" s="1327"/>
      <c r="D8488" s="1367"/>
      <c r="E8488" s="2121"/>
      <c r="F8488" s="1389" t="s">
        <v>1</v>
      </c>
      <c r="G8488" s="1389"/>
      <c r="H8488" s="1369"/>
      <c r="I8488" s="2088"/>
      <c r="J8488" s="1369"/>
      <c r="K8488" s="1391"/>
      <c r="L8488" s="1559"/>
      <c r="M8488" s="1369"/>
      <c r="N8488" s="1369"/>
      <c r="O8488" s="1369"/>
      <c r="P8488" s="1392"/>
      <c r="Q8488" s="3395"/>
      <c r="R8488" s="2344"/>
    </row>
    <row r="8489" spans="1:18" s="22" customFormat="1">
      <c r="A8489" s="1320"/>
      <c r="B8489" s="1599"/>
      <c r="C8489" s="1320"/>
      <c r="D8489" s="1598" t="s">
        <v>2483</v>
      </c>
      <c r="E8489" s="2154" t="s">
        <v>1504</v>
      </c>
      <c r="F8489" s="1598" t="s">
        <v>2484</v>
      </c>
      <c r="G8489" s="1612">
        <v>1.02</v>
      </c>
      <c r="H8489" s="1369"/>
      <c r="I8489" s="1299"/>
      <c r="J8489" s="1300"/>
      <c r="K8489" s="1307">
        <f>G8489*K8487</f>
        <v>0.20400000000000001</v>
      </c>
      <c r="L8489" s="1335">
        <f t="shared" ref="L8489:L8492" si="1155">K8489*$K$8330</f>
        <v>0</v>
      </c>
      <c r="M8489" s="1302">
        <v>58.8</v>
      </c>
      <c r="N8489" s="1700"/>
      <c r="O8489" s="1290">
        <f>G8489*M8489</f>
        <v>59.975999999999999</v>
      </c>
      <c r="P8489" s="1332">
        <f>M8489*K8489</f>
        <v>11.995200000000001</v>
      </c>
      <c r="Q8489" s="3402"/>
      <c r="R8489" s="2356"/>
    </row>
    <row r="8490" spans="1:18" s="22" customFormat="1" ht="26">
      <c r="A8490" s="2187"/>
      <c r="B8490" s="1599"/>
      <c r="C8490" s="1042"/>
      <c r="D8490" s="1668" t="s">
        <v>1576</v>
      </c>
      <c r="E8490" s="2166" t="s">
        <v>1517</v>
      </c>
      <c r="F8490" s="1668" t="s">
        <v>1580</v>
      </c>
      <c r="G8490" s="1958">
        <v>0.05</v>
      </c>
      <c r="H8490" s="1369"/>
      <c r="I8490" s="1299"/>
      <c r="J8490" s="1300"/>
      <c r="K8490" s="1307">
        <f>G8490*K8487</f>
        <v>1.0000000000000002E-2</v>
      </c>
      <c r="L8490" s="1335">
        <f t="shared" si="1155"/>
        <v>0</v>
      </c>
      <c r="M8490" s="1499">
        <v>6.53</v>
      </c>
      <c r="N8490" s="1700"/>
      <c r="O8490" s="1290">
        <f>G8490*M8490</f>
        <v>0.32650000000000001</v>
      </c>
      <c r="P8490" s="1332">
        <f>M8490*K8490</f>
        <v>6.5300000000000011E-2</v>
      </c>
      <c r="Q8490" s="3402"/>
      <c r="R8490" s="2357"/>
    </row>
    <row r="8491" spans="1:18" s="22" customFormat="1" ht="26">
      <c r="A8491" s="2187"/>
      <c r="B8491" s="1599"/>
      <c r="C8491" s="1042"/>
      <c r="D8491" s="1598" t="s">
        <v>1082</v>
      </c>
      <c r="E8491" s="2154" t="s">
        <v>1504</v>
      </c>
      <c r="F8491" s="1598" t="s">
        <v>1541</v>
      </c>
      <c r="G8491" s="1995">
        <v>1</v>
      </c>
      <c r="H8491" s="1369"/>
      <c r="I8491" s="1299"/>
      <c r="J8491" s="1300"/>
      <c r="K8491" s="1307">
        <f>G8491*K8487</f>
        <v>0.2</v>
      </c>
      <c r="L8491" s="1335">
        <f t="shared" si="1155"/>
        <v>0</v>
      </c>
      <c r="M8491" s="1499">
        <v>0.3</v>
      </c>
      <c r="N8491" s="1700"/>
      <c r="O8491" s="1290">
        <f>G8491*M8491</f>
        <v>0.3</v>
      </c>
      <c r="P8491" s="1332">
        <f>M8491*K8491</f>
        <v>0.06</v>
      </c>
      <c r="Q8491" s="3402"/>
      <c r="R8491" s="2357"/>
    </row>
    <row r="8492" spans="1:18" s="22" customFormat="1" ht="15" customHeight="1">
      <c r="A8492" s="16"/>
      <c r="B8492" s="1599"/>
      <c r="C8492" s="1320"/>
      <c r="D8492" s="1598" t="s">
        <v>1097</v>
      </c>
      <c r="E8492" s="1856" t="s">
        <v>1504</v>
      </c>
      <c r="F8492" s="1598" t="s">
        <v>1632</v>
      </c>
      <c r="G8492" s="1651">
        <v>1</v>
      </c>
      <c r="H8492" s="1399"/>
      <c r="I8492" s="198"/>
      <c r="J8492" s="198"/>
      <c r="K8492" s="1307">
        <f>G8492*K8487</f>
        <v>0.2</v>
      </c>
      <c r="L8492" s="1335">
        <f t="shared" si="1155"/>
        <v>0</v>
      </c>
      <c r="M8492" s="1499">
        <v>0.55000000000000004</v>
      </c>
      <c r="N8492" s="1701"/>
      <c r="O8492" s="1290">
        <f>G8492*M8492</f>
        <v>0.55000000000000004</v>
      </c>
      <c r="P8492" s="1332">
        <f>M8492*K8492</f>
        <v>0.11000000000000001</v>
      </c>
      <c r="Q8492" s="3391"/>
      <c r="R8492" s="3363"/>
    </row>
    <row r="8493" spans="1:18" s="22" customFormat="1" ht="26">
      <c r="A8493" s="2187"/>
      <c r="B8493" s="1599"/>
      <c r="C8493" s="1042"/>
      <c r="D8493" s="1598"/>
      <c r="E8493" s="2154"/>
      <c r="F8493" s="1598"/>
      <c r="G8493" s="1995"/>
      <c r="H8493" s="1369"/>
      <c r="I8493" s="1299"/>
      <c r="J8493" s="1300"/>
      <c r="K8493" s="1307"/>
      <c r="L8493" s="1335"/>
      <c r="M8493" s="1499"/>
      <c r="N8493" s="1700"/>
      <c r="O8493" s="1290"/>
      <c r="P8493" s="1332"/>
      <c r="Q8493" s="3402"/>
      <c r="R8493" s="2357"/>
    </row>
    <row r="8494" spans="1:18" s="22" customFormat="1">
      <c r="A8494" s="16"/>
      <c r="B8494" s="1599"/>
      <c r="C8494" s="1320"/>
      <c r="D8494" s="1598"/>
      <c r="E8494" s="1856"/>
      <c r="F8494" s="1598"/>
      <c r="G8494" s="1399"/>
      <c r="H8494" s="1399"/>
      <c r="I8494" s="198"/>
      <c r="J8494" s="198"/>
      <c r="K8494" s="1307"/>
      <c r="L8494" s="1335"/>
      <c r="M8494" s="1499"/>
      <c r="N8494" s="1701"/>
      <c r="O8494" s="1291"/>
      <c r="P8494" s="1332"/>
      <c r="Q8494" s="3391"/>
      <c r="R8494" s="3363"/>
    </row>
    <row r="8495" spans="1:18" s="22" customFormat="1" ht="18.75" customHeight="1">
      <c r="A8495" s="2187"/>
      <c r="B8495" s="1599"/>
      <c r="C8495" s="1042"/>
      <c r="D8495" s="1359"/>
      <c r="E8495" s="1858"/>
      <c r="F8495" s="1360" t="s">
        <v>2</v>
      </c>
      <c r="G8495" s="1360"/>
      <c r="H8495" s="1362"/>
      <c r="I8495" s="1380"/>
      <c r="J8495" s="1381"/>
      <c r="K8495" s="1381"/>
      <c r="L8495" s="1458"/>
      <c r="M8495" s="1362"/>
      <c r="N8495" s="1362"/>
      <c r="O8495" s="1362"/>
      <c r="P8495" s="1359"/>
      <c r="Q8495" s="3403"/>
      <c r="R8495" s="2357"/>
    </row>
    <row r="8496" spans="1:18" s="22" customFormat="1" ht="21" customHeight="1">
      <c r="A8496" s="2187"/>
      <c r="B8496" s="2053"/>
      <c r="C8496" s="1321"/>
      <c r="D8496" s="1655" t="s">
        <v>1099</v>
      </c>
      <c r="E8496" s="1859" t="s">
        <v>1508</v>
      </c>
      <c r="F8496" s="1655" t="s">
        <v>1633</v>
      </c>
      <c r="G8496" s="1809">
        <v>0.15</v>
      </c>
      <c r="H8496" s="1386"/>
      <c r="I8496" s="1299"/>
      <c r="J8496" s="1300"/>
      <c r="K8496" s="1307">
        <f>G8496*K8487</f>
        <v>0.03</v>
      </c>
      <c r="L8496" s="1335">
        <f>K8496*$K$8330</f>
        <v>0</v>
      </c>
      <c r="M8496" s="1302">
        <v>19.23</v>
      </c>
      <c r="N8496" s="1700"/>
      <c r="O8496" s="1290">
        <f>G8496*M8496</f>
        <v>2.8845000000000001</v>
      </c>
      <c r="P8496" s="1332">
        <f>M8496*K8496</f>
        <v>0.57689999999999997</v>
      </c>
      <c r="Q8496" s="3402"/>
      <c r="R8496" s="2357"/>
    </row>
    <row r="8497" spans="1:18" s="22" customFormat="1" ht="19.5" customHeight="1">
      <c r="A8497" s="19"/>
      <c r="B8497" s="1042"/>
      <c r="C8497" s="1358" t="s">
        <v>1523</v>
      </c>
      <c r="D8497" s="1329"/>
      <c r="E8497" s="2135" t="s">
        <v>1508</v>
      </c>
      <c r="F8497" s="1330" t="s">
        <v>1524</v>
      </c>
      <c r="G8497" s="1461"/>
      <c r="H8497" s="1776">
        <v>0.5</v>
      </c>
      <c r="I8497" s="1488"/>
      <c r="J8497" s="1388"/>
      <c r="K8497" s="1510"/>
      <c r="L8497" s="1445"/>
      <c r="M8497" s="1446"/>
      <c r="N8497" s="1447">
        <f>SUM(N8498:N8499)</f>
        <v>37.510000000000005</v>
      </c>
      <c r="O8497" s="1447">
        <f>SUM(O8498:O8499)</f>
        <v>18.755000000000003</v>
      </c>
      <c r="P8497" s="1447">
        <f>SUM(P8498:P8499)</f>
        <v>3.7510000000000003</v>
      </c>
      <c r="Q8497" s="3391"/>
      <c r="R8497" s="2338"/>
    </row>
    <row r="8498" spans="1:18" s="22" customFormat="1" ht="19.5" customHeight="1">
      <c r="A8498" s="19"/>
      <c r="B8498" s="1042"/>
      <c r="C8498" s="1042"/>
      <c r="D8498" s="1402" t="s">
        <v>1067</v>
      </c>
      <c r="E8498" s="1857" t="s">
        <v>1508</v>
      </c>
      <c r="F8498" s="1430" t="s">
        <v>5</v>
      </c>
      <c r="G8498" s="1381">
        <v>1</v>
      </c>
      <c r="H8498" s="1408">
        <f>G8498*H8497</f>
        <v>0.5</v>
      </c>
      <c r="I8498" s="1340"/>
      <c r="J8498" s="198"/>
      <c r="K8498" s="1307">
        <f>H8498*K8487</f>
        <v>0.1</v>
      </c>
      <c r="L8498" s="1335">
        <f t="shared" ref="L8498:L8499" si="1156">K8498*$K$8330</f>
        <v>0</v>
      </c>
      <c r="M8498" s="1302">
        <v>18.28</v>
      </c>
      <c r="N8498" s="1724">
        <f>G8498*M8498</f>
        <v>18.28</v>
      </c>
      <c r="O8498" s="1726">
        <f>H8498*M8498</f>
        <v>9.14</v>
      </c>
      <c r="P8498" s="1727">
        <f>M8498*K8498</f>
        <v>1.8280000000000003</v>
      </c>
      <c r="Q8498" s="3396"/>
      <c r="R8498" s="2338"/>
    </row>
    <row r="8499" spans="1:18" s="22" customFormat="1" ht="19.5" customHeight="1">
      <c r="A8499" s="19"/>
      <c r="B8499" s="1042"/>
      <c r="C8499" s="1042"/>
      <c r="D8499" s="1402" t="s">
        <v>1077</v>
      </c>
      <c r="E8499" s="1857" t="s">
        <v>1508</v>
      </c>
      <c r="F8499" s="1430" t="s">
        <v>37</v>
      </c>
      <c r="G8499" s="1381">
        <v>1</v>
      </c>
      <c r="H8499" s="1408">
        <f>G8499*H8497</f>
        <v>0.5</v>
      </c>
      <c r="I8499" s="198"/>
      <c r="J8499" s="198"/>
      <c r="K8499" s="1307">
        <f>H8499*K8487</f>
        <v>0.1</v>
      </c>
      <c r="L8499" s="1335">
        <f t="shared" si="1156"/>
        <v>0</v>
      </c>
      <c r="M8499" s="1302">
        <v>19.23</v>
      </c>
      <c r="N8499" s="1724">
        <f>G8499*M8499</f>
        <v>19.23</v>
      </c>
      <c r="O8499" s="1719">
        <f>(H8499*M8499)</f>
        <v>9.6150000000000002</v>
      </c>
      <c r="P8499" s="1727">
        <f>M8499*K8499</f>
        <v>1.923</v>
      </c>
      <c r="Q8499" s="3396"/>
      <c r="R8499" s="2338"/>
    </row>
    <row r="8500" spans="1:18" s="22" customFormat="1" ht="21.75" customHeight="1">
      <c r="A8500"/>
      <c r="B8500" s="1042"/>
      <c r="C8500" s="19"/>
      <c r="D8500" s="1430"/>
      <c r="E8500" s="1857"/>
      <c r="F8500" s="1394"/>
      <c r="G8500" s="2183"/>
      <c r="H8500" s="1395"/>
      <c r="I8500" s="197"/>
      <c r="J8500" s="198"/>
      <c r="K8500" s="1307"/>
      <c r="L8500" s="1335"/>
      <c r="M8500" s="1302"/>
      <c r="N8500" s="1718"/>
      <c r="O8500" s="1290"/>
      <c r="P8500" s="1720"/>
      <c r="Q8500" s="3396"/>
      <c r="R8500" s="2337"/>
    </row>
    <row r="8501" spans="1:18" s="22" customFormat="1" ht="19.5" customHeight="1">
      <c r="B8501" s="1320"/>
      <c r="C8501" s="16"/>
      <c r="D8501" s="1359"/>
      <c r="E8501" s="1858"/>
      <c r="F8501" s="1474"/>
      <c r="G8501" s="1474"/>
      <c r="H8501" s="1466"/>
      <c r="I8501" s="1289"/>
      <c r="J8501" s="8"/>
      <c r="K8501" s="1307"/>
      <c r="L8501" s="1335"/>
      <c r="M8501" s="1302"/>
      <c r="N8501" s="1700"/>
      <c r="O8501" s="1290"/>
      <c r="P8501" s="1332"/>
      <c r="Q8501" s="3391"/>
      <c r="R8501" s="2344"/>
    </row>
    <row r="8502" spans="1:18" s="22" customFormat="1">
      <c r="A8502" s="1320"/>
      <c r="B8502" s="1599"/>
      <c r="C8502" s="1320"/>
      <c r="D8502" s="1373"/>
      <c r="E8502" s="2123"/>
      <c r="F8502" s="1374" t="s">
        <v>3</v>
      </c>
      <c r="G8502" s="1375"/>
      <c r="H8502" s="1376"/>
      <c r="I8502" s="1382"/>
      <c r="J8502" s="1383"/>
      <c r="K8502" s="1383"/>
      <c r="L8502" s="1413"/>
      <c r="M8502" s="1376"/>
      <c r="N8502" s="1376"/>
      <c r="O8502" s="1376"/>
      <c r="P8502" s="1373"/>
      <c r="Q8502" s="3403"/>
      <c r="R8502" s="2356"/>
    </row>
    <row r="8503" spans="1:18" s="22" customFormat="1">
      <c r="A8503" s="1321"/>
      <c r="B8503" s="2053"/>
      <c r="C8503" s="1321"/>
      <c r="D8503" s="1827"/>
      <c r="E8503" s="2173"/>
      <c r="F8503" s="1827"/>
      <c r="G8503" s="1828"/>
      <c r="H8503" s="1379"/>
      <c r="I8503" s="1299"/>
      <c r="J8503" s="1300"/>
      <c r="K8503" s="1307"/>
      <c r="L8503" s="1335"/>
      <c r="M8503" s="1302"/>
      <c r="N8503" s="1700"/>
      <c r="O8503" s="1290"/>
      <c r="P8503" s="1332"/>
      <c r="Q8503" s="3402"/>
      <c r="R8503" s="2053"/>
    </row>
    <row r="8504" spans="1:18" s="22" customFormat="1">
      <c r="A8504" s="1321"/>
      <c r="B8504" s="2053"/>
      <c r="C8504" s="1321"/>
      <c r="D8504" s="1377"/>
      <c r="E8504" s="2124"/>
      <c r="F8504" s="1378"/>
      <c r="G8504" s="1378"/>
      <c r="H8504" s="1379"/>
      <c r="I8504" s="1299"/>
      <c r="J8504" s="1300"/>
      <c r="K8504" s="1307"/>
      <c r="L8504" s="1335"/>
      <c r="M8504" s="1302"/>
      <c r="N8504" s="1700"/>
      <c r="O8504" s="1290"/>
      <c r="P8504" s="1333"/>
      <c r="Q8504" s="3402"/>
      <c r="R8504" s="2053"/>
    </row>
    <row r="8505" spans="1:18" s="22" customFormat="1">
      <c r="A8505" s="1320"/>
      <c r="B8505" s="1765"/>
      <c r="C8505" s="223"/>
      <c r="D8505" s="1373"/>
      <c r="E8505" s="2161"/>
      <c r="F8505" s="1678"/>
      <c r="G8505" s="1678"/>
      <c r="H8505" s="1376"/>
      <c r="I8505" s="1299"/>
      <c r="J8505" s="1300"/>
      <c r="K8505" s="1307"/>
      <c r="L8505" s="1335"/>
      <c r="M8505" s="1302"/>
      <c r="N8505" s="1700"/>
      <c r="O8505" s="1290"/>
      <c r="P8505" s="1332"/>
      <c r="Q8505" s="3402"/>
      <c r="R8505" s="2356"/>
    </row>
    <row r="8506" spans="1:18" s="22" customFormat="1">
      <c r="A8506" s="18" t="s">
        <v>3764</v>
      </c>
      <c r="B8506" s="4325" t="s">
        <v>2485</v>
      </c>
      <c r="C8506" s="3350"/>
      <c r="D8506" s="4327"/>
      <c r="E8506" s="4329" t="s">
        <v>1504</v>
      </c>
      <c r="F8506" s="4336" t="s">
        <v>2486</v>
      </c>
      <c r="G8506" s="4331" t="s">
        <v>1568</v>
      </c>
      <c r="H8506" s="4331" t="s">
        <v>1574</v>
      </c>
      <c r="I8506" s="1572" t="s">
        <v>1559</v>
      </c>
      <c r="J8506" s="1294" t="s">
        <v>1560</v>
      </c>
      <c r="K8506" s="1294" t="s">
        <v>1569</v>
      </c>
      <c r="L8506" s="4333" t="s">
        <v>3765</v>
      </c>
      <c r="M8506" s="4335" t="s">
        <v>1571</v>
      </c>
      <c r="N8506" s="4323" t="s">
        <v>1776</v>
      </c>
      <c r="O8506" s="3347" t="s">
        <v>1563</v>
      </c>
      <c r="P8506" s="1336" t="s">
        <v>1562</v>
      </c>
      <c r="Q8506" s="3389"/>
      <c r="R8506" s="1699" t="s">
        <v>1327</v>
      </c>
    </row>
    <row r="8507" spans="1:18" s="22" customFormat="1">
      <c r="A8507" s="1599" t="s">
        <v>2447</v>
      </c>
      <c r="B8507" s="4326"/>
      <c r="C8507" s="3351"/>
      <c r="D8507" s="4328"/>
      <c r="E8507" s="4330"/>
      <c r="F8507" s="4336"/>
      <c r="G8507" s="4332"/>
      <c r="H8507" s="4332"/>
      <c r="I8507" s="1345">
        <v>4</v>
      </c>
      <c r="J8507" s="1307">
        <v>0.05</v>
      </c>
      <c r="K8507" s="1666">
        <f>I8507*J8507</f>
        <v>0.2</v>
      </c>
      <c r="L8507" s="4334"/>
      <c r="M8507" s="4335"/>
      <c r="N8507" s="4324"/>
      <c r="O8507" s="1298">
        <f>SUM(O8509:O8517)</f>
        <v>67.564999999999984</v>
      </c>
      <c r="P8507" s="1337">
        <f>O8507*K8507</f>
        <v>13.512999999999998</v>
      </c>
      <c r="Q8507" s="3390"/>
      <c r="R8507" s="1721">
        <f>SUM(P8509:P8517)</f>
        <v>13.513</v>
      </c>
    </row>
    <row r="8508" spans="1:18" s="22" customFormat="1">
      <c r="A8508" s="1320"/>
      <c r="B8508" s="1949"/>
      <c r="C8508" s="1327"/>
      <c r="D8508" s="1367"/>
      <c r="E8508" s="2121"/>
      <c r="F8508" s="1389" t="s">
        <v>1</v>
      </c>
      <c r="G8508" s="1389"/>
      <c r="H8508" s="1369"/>
      <c r="I8508" s="2088"/>
      <c r="J8508" s="1369"/>
      <c r="K8508" s="1391"/>
      <c r="L8508" s="1559"/>
      <c r="M8508" s="1369"/>
      <c r="N8508" s="1369"/>
      <c r="O8508" s="1369"/>
      <c r="P8508" s="1392"/>
      <c r="Q8508" s="3395"/>
      <c r="R8508" s="2344"/>
    </row>
    <row r="8509" spans="1:18" s="22" customFormat="1">
      <c r="A8509" s="1320"/>
      <c r="B8509" s="1599"/>
      <c r="C8509" s="1320"/>
      <c r="D8509" s="1598" t="s">
        <v>2472</v>
      </c>
      <c r="E8509" s="2154" t="s">
        <v>1504</v>
      </c>
      <c r="F8509" s="1598" t="s">
        <v>2473</v>
      </c>
      <c r="G8509" s="1612">
        <v>2</v>
      </c>
      <c r="H8509" s="1369"/>
      <c r="I8509" s="1299"/>
      <c r="J8509" s="1300"/>
      <c r="K8509" s="1307">
        <f>G8509*K8507</f>
        <v>0.4</v>
      </c>
      <c r="L8509" s="1335">
        <f t="shared" ref="L8509:L8513" si="1157">K8509*$K$8330</f>
        <v>0</v>
      </c>
      <c r="M8509" s="1302">
        <v>4.3099999999999996</v>
      </c>
      <c r="N8509" s="1700"/>
      <c r="O8509" s="1290">
        <f>G8509*M8509</f>
        <v>8.6199999999999992</v>
      </c>
      <c r="P8509" s="1332">
        <f>M8509*K8509</f>
        <v>1.724</v>
      </c>
      <c r="Q8509" s="3402"/>
      <c r="R8509" s="2356"/>
    </row>
    <row r="8510" spans="1:18" s="22" customFormat="1">
      <c r="A8510" s="1320"/>
      <c r="B8510" s="1599"/>
      <c r="C8510" s="1320"/>
      <c r="D8510" s="1598" t="s">
        <v>2487</v>
      </c>
      <c r="E8510" s="2154" t="s">
        <v>1504</v>
      </c>
      <c r="F8510" s="1598" t="s">
        <v>2488</v>
      </c>
      <c r="G8510" s="1612">
        <v>1</v>
      </c>
      <c r="H8510" s="1369"/>
      <c r="I8510" s="1299"/>
      <c r="J8510" s="1300"/>
      <c r="K8510" s="1307">
        <f>G8510*K8507</f>
        <v>0.2</v>
      </c>
      <c r="L8510" s="1335">
        <f t="shared" si="1157"/>
        <v>0</v>
      </c>
      <c r="M8510" s="1499">
        <v>3.86</v>
      </c>
      <c r="N8510" s="1700"/>
      <c r="O8510" s="1290">
        <f>G8510*M8510</f>
        <v>3.86</v>
      </c>
      <c r="P8510" s="1332">
        <f>M8510*K8510</f>
        <v>0.77200000000000002</v>
      </c>
      <c r="Q8510" s="3402"/>
      <c r="R8510" s="2356"/>
    </row>
    <row r="8511" spans="1:18" s="22" customFormat="1" ht="26">
      <c r="A8511" s="2187"/>
      <c r="B8511" s="1599"/>
      <c r="C8511" s="1042"/>
      <c r="D8511" s="1668" t="s">
        <v>2489</v>
      </c>
      <c r="E8511" s="2166" t="s">
        <v>1504</v>
      </c>
      <c r="F8511" s="1668" t="s">
        <v>2490</v>
      </c>
      <c r="G8511" s="1958">
        <v>1</v>
      </c>
      <c r="H8511" s="1369"/>
      <c r="I8511" s="1299"/>
      <c r="J8511" s="1300"/>
      <c r="K8511" s="1307">
        <f>G8511*K8507</f>
        <v>0.2</v>
      </c>
      <c r="L8511" s="1335">
        <f t="shared" si="1157"/>
        <v>0</v>
      </c>
      <c r="M8511" s="1499">
        <v>44.62</v>
      </c>
      <c r="N8511" s="1700"/>
      <c r="O8511" s="1290">
        <f>G8511*M8511</f>
        <v>44.62</v>
      </c>
      <c r="P8511" s="1332">
        <f>M8511*K8511</f>
        <v>8.9239999999999995</v>
      </c>
      <c r="Q8511" s="3402"/>
      <c r="R8511" s="2357"/>
    </row>
    <row r="8512" spans="1:18" s="22" customFormat="1" ht="21" customHeight="1">
      <c r="A8512" s="2187"/>
      <c r="B8512" s="1599"/>
      <c r="C8512" s="1042"/>
      <c r="D8512" s="1598" t="s">
        <v>1082</v>
      </c>
      <c r="E8512" s="2154" t="s">
        <v>1504</v>
      </c>
      <c r="F8512" s="1598" t="s">
        <v>1541</v>
      </c>
      <c r="G8512" s="1995">
        <v>1</v>
      </c>
      <c r="H8512" s="1369"/>
      <c r="I8512" s="1299"/>
      <c r="J8512" s="1300"/>
      <c r="K8512" s="1307">
        <f>G8512*K8507</f>
        <v>0.2</v>
      </c>
      <c r="L8512" s="1335">
        <f t="shared" si="1157"/>
        <v>0</v>
      </c>
      <c r="M8512" s="1499">
        <v>0.3</v>
      </c>
      <c r="N8512" s="1700"/>
      <c r="O8512" s="1290">
        <f>G8512*M8512</f>
        <v>0.3</v>
      </c>
      <c r="P8512" s="1332">
        <f>M8512*K8512</f>
        <v>0.06</v>
      </c>
      <c r="Q8512" s="3402"/>
      <c r="R8512" s="2357"/>
    </row>
    <row r="8513" spans="1:18" s="22" customFormat="1" ht="21" customHeight="1">
      <c r="A8513" s="16"/>
      <c r="B8513" s="1599"/>
      <c r="C8513" s="1320"/>
      <c r="D8513" s="1598" t="s">
        <v>1097</v>
      </c>
      <c r="E8513" s="1856" t="s">
        <v>1504</v>
      </c>
      <c r="F8513" s="1598" t="s">
        <v>1632</v>
      </c>
      <c r="G8513" s="1651">
        <v>1</v>
      </c>
      <c r="H8513" s="1399"/>
      <c r="I8513" s="198"/>
      <c r="J8513" s="198"/>
      <c r="K8513" s="1307">
        <f>G8513*K8507</f>
        <v>0.2</v>
      </c>
      <c r="L8513" s="1335">
        <f t="shared" si="1157"/>
        <v>0</v>
      </c>
      <c r="M8513" s="1499">
        <v>0.55000000000000004</v>
      </c>
      <c r="N8513" s="1701"/>
      <c r="O8513" s="1290">
        <f>G8513*M8513</f>
        <v>0.55000000000000004</v>
      </c>
      <c r="P8513" s="1332">
        <f>M8513*K8513</f>
        <v>0.11000000000000001</v>
      </c>
      <c r="Q8513" s="3391"/>
      <c r="R8513" s="3363"/>
    </row>
    <row r="8514" spans="1:18" s="22" customFormat="1" ht="21" customHeight="1">
      <c r="A8514" s="2187"/>
      <c r="B8514" s="1599"/>
      <c r="C8514" s="1042"/>
      <c r="D8514" s="1598"/>
      <c r="E8514" s="2154"/>
      <c r="F8514" s="1598"/>
      <c r="G8514" s="1995"/>
      <c r="H8514" s="1369"/>
      <c r="I8514" s="1299"/>
      <c r="J8514" s="1300"/>
      <c r="K8514" s="1307"/>
      <c r="L8514" s="1335"/>
      <c r="M8514" s="1499"/>
      <c r="N8514" s="1700"/>
      <c r="O8514" s="1290"/>
      <c r="P8514" s="1332"/>
      <c r="Q8514" s="3402"/>
      <c r="R8514" s="2357"/>
    </row>
    <row r="8515" spans="1:18" s="22" customFormat="1">
      <c r="A8515" s="16"/>
      <c r="B8515" s="1599"/>
      <c r="C8515" s="1320"/>
      <c r="D8515" s="1598"/>
      <c r="E8515" s="1856"/>
      <c r="F8515" s="1598"/>
      <c r="G8515" s="1399"/>
      <c r="H8515" s="1399"/>
      <c r="I8515" s="198"/>
      <c r="J8515" s="198"/>
      <c r="K8515" s="1307"/>
      <c r="L8515" s="1335"/>
      <c r="M8515" s="1499"/>
      <c r="N8515" s="1701"/>
      <c r="O8515" s="1291"/>
      <c r="P8515" s="1332"/>
      <c r="Q8515" s="3391"/>
      <c r="R8515" s="3363"/>
    </row>
    <row r="8516" spans="1:18" s="22" customFormat="1" ht="26">
      <c r="A8516" s="2187"/>
      <c r="B8516" s="1599"/>
      <c r="C8516" s="1042"/>
      <c r="D8516" s="1359"/>
      <c r="E8516" s="1858"/>
      <c r="F8516" s="1360" t="s">
        <v>2</v>
      </c>
      <c r="G8516" s="1360"/>
      <c r="H8516" s="1362"/>
      <c r="I8516" s="1380"/>
      <c r="J8516" s="1381"/>
      <c r="K8516" s="1381"/>
      <c r="L8516" s="1458"/>
      <c r="M8516" s="1362"/>
      <c r="N8516" s="1362"/>
      <c r="O8516" s="1362"/>
      <c r="P8516" s="1359"/>
      <c r="Q8516" s="3403"/>
      <c r="R8516" s="2357"/>
    </row>
    <row r="8517" spans="1:18" s="22" customFormat="1" ht="21.75" customHeight="1">
      <c r="A8517" s="2187"/>
      <c r="B8517" s="2053"/>
      <c r="C8517" s="1321"/>
      <c r="D8517" s="1655" t="s">
        <v>1099</v>
      </c>
      <c r="E8517" s="1859" t="s">
        <v>1508</v>
      </c>
      <c r="F8517" s="1655" t="s">
        <v>1633</v>
      </c>
      <c r="G8517" s="1809">
        <v>0.5</v>
      </c>
      <c r="H8517" s="1386"/>
      <c r="I8517" s="1299"/>
      <c r="J8517" s="1300"/>
      <c r="K8517" s="1307">
        <f>G8517*K8507</f>
        <v>0.1</v>
      </c>
      <c r="L8517" s="1335">
        <f>K8517*$K$8330</f>
        <v>0</v>
      </c>
      <c r="M8517" s="1302">
        <v>19.23</v>
      </c>
      <c r="N8517" s="1700"/>
      <c r="O8517" s="1290">
        <f>G8517*M8517</f>
        <v>9.6150000000000002</v>
      </c>
      <c r="P8517" s="1332">
        <f>M8517*K8517</f>
        <v>1.923</v>
      </c>
      <c r="Q8517" s="3402"/>
      <c r="R8517" s="2357"/>
    </row>
    <row r="8518" spans="1:18" s="22" customFormat="1" ht="18.75" customHeight="1">
      <c r="A8518" s="19"/>
      <c r="B8518" s="1042"/>
      <c r="C8518" s="1042"/>
      <c r="D8518" s="1402"/>
      <c r="E8518" s="1857"/>
      <c r="F8518" s="1430"/>
      <c r="G8518" s="1381"/>
      <c r="H8518" s="1408"/>
      <c r="I8518" s="1340"/>
      <c r="J8518" s="198"/>
      <c r="K8518" s="1307"/>
      <c r="L8518" s="1335"/>
      <c r="M8518" s="1302"/>
      <c r="N8518" s="1724"/>
      <c r="O8518" s="1726"/>
      <c r="P8518" s="1727"/>
      <c r="Q8518" s="3396"/>
      <c r="R8518" s="2338"/>
    </row>
    <row r="8519" spans="1:18" s="22" customFormat="1" ht="16.5" customHeight="1">
      <c r="B8519" s="1320"/>
      <c r="C8519" s="16"/>
      <c r="D8519" s="1359"/>
      <c r="E8519" s="1858"/>
      <c r="F8519" s="1474"/>
      <c r="G8519" s="1474"/>
      <c r="H8519" s="1466"/>
      <c r="I8519" s="1289"/>
      <c r="J8519" s="8"/>
      <c r="K8519" s="1307"/>
      <c r="L8519" s="1335"/>
      <c r="M8519" s="1302"/>
      <c r="N8519" s="1700"/>
      <c r="O8519" s="1290"/>
      <c r="P8519" s="1332"/>
      <c r="Q8519" s="3391"/>
      <c r="R8519" s="2344"/>
    </row>
    <row r="8520" spans="1:18" s="22" customFormat="1" ht="18.75" customHeight="1">
      <c r="A8520" s="1320"/>
      <c r="B8520" s="1599"/>
      <c r="C8520" s="1320"/>
      <c r="D8520" s="1373"/>
      <c r="E8520" s="2123"/>
      <c r="F8520" s="1374" t="s">
        <v>3</v>
      </c>
      <c r="G8520" s="1375"/>
      <c r="H8520" s="1376"/>
      <c r="I8520" s="1382"/>
      <c r="J8520" s="1383"/>
      <c r="K8520" s="1383"/>
      <c r="L8520" s="1413"/>
      <c r="M8520" s="1376"/>
      <c r="N8520" s="1376"/>
      <c r="O8520" s="1376"/>
      <c r="P8520" s="1373"/>
      <c r="Q8520" s="3403"/>
      <c r="R8520" s="2356"/>
    </row>
    <row r="8521" spans="1:18" s="22" customFormat="1">
      <c r="A8521" s="1321"/>
      <c r="B8521" s="2053"/>
      <c r="C8521" s="1321"/>
      <c r="D8521" s="1827"/>
      <c r="E8521" s="2173"/>
      <c r="F8521" s="1827"/>
      <c r="G8521" s="1828"/>
      <c r="H8521" s="1379"/>
      <c r="I8521" s="1299"/>
      <c r="J8521" s="1300"/>
      <c r="K8521" s="1307"/>
      <c r="L8521" s="1335"/>
      <c r="M8521" s="1302"/>
      <c r="N8521" s="1700"/>
      <c r="O8521" s="1290"/>
      <c r="P8521" s="1332"/>
      <c r="Q8521" s="3402"/>
      <c r="R8521" s="2053"/>
    </row>
    <row r="8522" spans="1:18" s="22" customFormat="1">
      <c r="A8522" s="1321"/>
      <c r="B8522" s="2053"/>
      <c r="C8522" s="1321"/>
      <c r="D8522" s="1377"/>
      <c r="E8522" s="2124"/>
      <c r="F8522" s="1378"/>
      <c r="G8522" s="1378"/>
      <c r="H8522" s="1379"/>
      <c r="I8522" s="1299"/>
      <c r="J8522" s="1300"/>
      <c r="K8522" s="1307"/>
      <c r="L8522" s="1335"/>
      <c r="M8522" s="1302"/>
      <c r="N8522" s="1700"/>
      <c r="O8522" s="1290"/>
      <c r="P8522" s="1333"/>
      <c r="Q8522" s="3402"/>
      <c r="R8522" s="2053"/>
    </row>
    <row r="8523" spans="1:18" s="22" customFormat="1">
      <c r="A8523" s="1320"/>
      <c r="B8523" s="1765"/>
      <c r="C8523" s="223"/>
      <c r="D8523" s="1373"/>
      <c r="E8523" s="2161"/>
      <c r="F8523" s="1678"/>
      <c r="G8523" s="1678"/>
      <c r="H8523" s="1376"/>
      <c r="I8523" s="1299"/>
      <c r="J8523" s="1300"/>
      <c r="K8523" s="1307"/>
      <c r="L8523" s="1335"/>
      <c r="M8523" s="1302"/>
      <c r="N8523" s="1700"/>
      <c r="O8523" s="1290"/>
      <c r="P8523" s="1332"/>
      <c r="Q8523" s="3402"/>
      <c r="R8523" s="2356"/>
    </row>
    <row r="8524" spans="1:18" s="22" customFormat="1">
      <c r="A8524" s="18" t="s">
        <v>3764</v>
      </c>
      <c r="B8524" s="4325" t="s">
        <v>2491</v>
      </c>
      <c r="C8524" s="3350"/>
      <c r="D8524" s="4327"/>
      <c r="E8524" s="4329" t="s">
        <v>1504</v>
      </c>
      <c r="F8524" s="4336" t="s">
        <v>2492</v>
      </c>
      <c r="G8524" s="4331" t="s">
        <v>1568</v>
      </c>
      <c r="H8524" s="4331" t="s">
        <v>1574</v>
      </c>
      <c r="I8524" s="1572" t="s">
        <v>1559</v>
      </c>
      <c r="J8524" s="1294" t="s">
        <v>1560</v>
      </c>
      <c r="K8524" s="1294" t="s">
        <v>1569</v>
      </c>
      <c r="L8524" s="4333" t="s">
        <v>3765</v>
      </c>
      <c r="M8524" s="4335" t="s">
        <v>1571</v>
      </c>
      <c r="N8524" s="4323" t="s">
        <v>1776</v>
      </c>
      <c r="O8524" s="3347" t="s">
        <v>1563</v>
      </c>
      <c r="P8524" s="1336" t="s">
        <v>1562</v>
      </c>
      <c r="Q8524" s="3389"/>
      <c r="R8524" s="1699" t="s">
        <v>1327</v>
      </c>
    </row>
    <row r="8525" spans="1:18" s="22" customFormat="1">
      <c r="A8525" s="1599" t="s">
        <v>2447</v>
      </c>
      <c r="B8525" s="4326"/>
      <c r="C8525" s="3351"/>
      <c r="D8525" s="4328"/>
      <c r="E8525" s="4330"/>
      <c r="F8525" s="4336"/>
      <c r="G8525" s="4332"/>
      <c r="H8525" s="4332"/>
      <c r="I8525" s="1345">
        <v>4</v>
      </c>
      <c r="J8525" s="1307">
        <v>0.05</v>
      </c>
      <c r="K8525" s="1666">
        <f>I8525*J8525</f>
        <v>0.2</v>
      </c>
      <c r="L8525" s="4334"/>
      <c r="M8525" s="4335"/>
      <c r="N8525" s="4324"/>
      <c r="O8525" s="1298">
        <f>SUM(O8527:O8536)</f>
        <v>74.10499999999999</v>
      </c>
      <c r="P8525" s="1337">
        <f>O8525*K8525</f>
        <v>14.820999999999998</v>
      </c>
      <c r="Q8525" s="3390"/>
      <c r="R8525" s="1721">
        <f>SUM(P8527:P8536)</f>
        <v>14.821000000000002</v>
      </c>
    </row>
    <row r="8526" spans="1:18" s="22" customFormat="1">
      <c r="A8526" s="1320"/>
      <c r="B8526" s="1949"/>
      <c r="C8526" s="1327"/>
      <c r="D8526" s="1367"/>
      <c r="E8526" s="2121"/>
      <c r="F8526" s="1389" t="s">
        <v>1</v>
      </c>
      <c r="G8526" s="1389"/>
      <c r="H8526" s="1369"/>
      <c r="I8526" s="2088"/>
      <c r="J8526" s="1369"/>
      <c r="K8526" s="1391"/>
      <c r="L8526" s="1559"/>
      <c r="M8526" s="1369"/>
      <c r="N8526" s="1369"/>
      <c r="O8526" s="1369"/>
      <c r="P8526" s="1392"/>
      <c r="Q8526" s="3395"/>
      <c r="R8526" s="2344"/>
    </row>
    <row r="8527" spans="1:18" s="22" customFormat="1">
      <c r="A8527" s="1320"/>
      <c r="B8527" s="1599"/>
      <c r="C8527" s="1320"/>
      <c r="D8527" s="1598" t="s">
        <v>2493</v>
      </c>
      <c r="E8527" s="2154" t="s">
        <v>1504</v>
      </c>
      <c r="F8527" s="1598" t="s">
        <v>2494</v>
      </c>
      <c r="G8527" s="1612">
        <v>1</v>
      </c>
      <c r="H8527" s="1369"/>
      <c r="I8527" s="1299"/>
      <c r="J8527" s="1300"/>
      <c r="K8527" s="1307">
        <f>G8527*K8525</f>
        <v>0.2</v>
      </c>
      <c r="L8527" s="1335">
        <f t="shared" ref="L8527:L8532" si="1158">K8527*$K$8330</f>
        <v>0</v>
      </c>
      <c r="M8527" s="1302">
        <v>5.07</v>
      </c>
      <c r="N8527" s="1700"/>
      <c r="O8527" s="1290">
        <f t="shared" ref="O8527:O8532" si="1159">G8527*M8527</f>
        <v>5.07</v>
      </c>
      <c r="P8527" s="1332">
        <f t="shared" ref="P8527:P8532" si="1160">M8527*K8527</f>
        <v>1.014</v>
      </c>
      <c r="Q8527" s="3402"/>
      <c r="R8527" s="2356"/>
    </row>
    <row r="8528" spans="1:18" s="22" customFormat="1">
      <c r="A8528" s="1320"/>
      <c r="B8528" s="1599"/>
      <c r="C8528" s="1320"/>
      <c r="D8528" s="1598" t="s">
        <v>2472</v>
      </c>
      <c r="E8528" s="2154" t="s">
        <v>1504</v>
      </c>
      <c r="F8528" s="1598" t="s">
        <v>2473</v>
      </c>
      <c r="G8528" s="1612">
        <v>2</v>
      </c>
      <c r="H8528" s="1369"/>
      <c r="I8528" s="1299"/>
      <c r="J8528" s="1300"/>
      <c r="K8528" s="1307">
        <f>G8528*K8525</f>
        <v>0.4</v>
      </c>
      <c r="L8528" s="1335">
        <f t="shared" si="1158"/>
        <v>0</v>
      </c>
      <c r="M8528" s="1499">
        <v>4.3099999999999996</v>
      </c>
      <c r="N8528" s="1700"/>
      <c r="O8528" s="1290">
        <f t="shared" si="1159"/>
        <v>8.6199999999999992</v>
      </c>
      <c r="P8528" s="1332">
        <f t="shared" si="1160"/>
        <v>1.724</v>
      </c>
      <c r="Q8528" s="3402"/>
      <c r="R8528" s="2356"/>
    </row>
    <row r="8529" spans="1:18" s="22" customFormat="1" ht="26">
      <c r="A8529" s="2187"/>
      <c r="B8529" s="1599"/>
      <c r="C8529" s="1042"/>
      <c r="D8529" s="1668" t="s">
        <v>2487</v>
      </c>
      <c r="E8529" s="2166" t="s">
        <v>1504</v>
      </c>
      <c r="F8529" s="1668" t="s">
        <v>2488</v>
      </c>
      <c r="G8529" s="1958">
        <v>1</v>
      </c>
      <c r="H8529" s="1369"/>
      <c r="I8529" s="1299"/>
      <c r="J8529" s="1300"/>
      <c r="K8529" s="1307">
        <f>G8529*K8525</f>
        <v>0.2</v>
      </c>
      <c r="L8529" s="1335">
        <f t="shared" si="1158"/>
        <v>0</v>
      </c>
      <c r="M8529" s="1499">
        <v>3.86</v>
      </c>
      <c r="N8529" s="1700"/>
      <c r="O8529" s="1290">
        <f t="shared" si="1159"/>
        <v>3.86</v>
      </c>
      <c r="P8529" s="1332">
        <f t="shared" si="1160"/>
        <v>0.77200000000000002</v>
      </c>
      <c r="Q8529" s="3402"/>
      <c r="R8529" s="2357"/>
    </row>
    <row r="8530" spans="1:18" s="22" customFormat="1" ht="26">
      <c r="A8530" s="2187"/>
      <c r="B8530" s="1599"/>
      <c r="C8530" s="1042"/>
      <c r="D8530" s="1668" t="s">
        <v>2495</v>
      </c>
      <c r="E8530" s="2166" t="s">
        <v>1504</v>
      </c>
      <c r="F8530" s="1668" t="s">
        <v>2496</v>
      </c>
      <c r="G8530" s="1958">
        <v>1</v>
      </c>
      <c r="H8530" s="1369"/>
      <c r="I8530" s="1299"/>
      <c r="J8530" s="1300"/>
      <c r="K8530" s="1307">
        <f>G8530*K8525</f>
        <v>0.2</v>
      </c>
      <c r="L8530" s="1335">
        <f t="shared" si="1158"/>
        <v>0</v>
      </c>
      <c r="M8530" s="1499">
        <v>46.09</v>
      </c>
      <c r="N8530" s="1700"/>
      <c r="O8530" s="1290">
        <f t="shared" si="1159"/>
        <v>46.09</v>
      </c>
      <c r="P8530" s="1332">
        <f t="shared" si="1160"/>
        <v>9.2180000000000017</v>
      </c>
      <c r="Q8530" s="3402"/>
      <c r="R8530" s="2357"/>
    </row>
    <row r="8531" spans="1:18" s="22" customFormat="1" ht="26">
      <c r="A8531" s="2187"/>
      <c r="B8531" s="1599"/>
      <c r="C8531" s="1042"/>
      <c r="D8531" s="1598" t="s">
        <v>1082</v>
      </c>
      <c r="E8531" s="2154" t="s">
        <v>1504</v>
      </c>
      <c r="F8531" s="1598" t="s">
        <v>1541</v>
      </c>
      <c r="G8531" s="1995">
        <v>1</v>
      </c>
      <c r="H8531" s="1369"/>
      <c r="I8531" s="1299"/>
      <c r="J8531" s="1300"/>
      <c r="K8531" s="1307">
        <f>G8531*K8525</f>
        <v>0.2</v>
      </c>
      <c r="L8531" s="1335">
        <f t="shared" si="1158"/>
        <v>0</v>
      </c>
      <c r="M8531" s="1499">
        <v>0.3</v>
      </c>
      <c r="N8531" s="1700"/>
      <c r="O8531" s="1290">
        <f t="shared" si="1159"/>
        <v>0.3</v>
      </c>
      <c r="P8531" s="1332">
        <f t="shared" si="1160"/>
        <v>0.06</v>
      </c>
      <c r="Q8531" s="3402"/>
      <c r="R8531" s="2357"/>
    </row>
    <row r="8532" spans="1:18" s="22" customFormat="1" ht="21" customHeight="1">
      <c r="A8532" s="16"/>
      <c r="B8532" s="1599"/>
      <c r="C8532" s="1320"/>
      <c r="D8532" s="1598" t="s">
        <v>1097</v>
      </c>
      <c r="E8532" s="1856" t="s">
        <v>1504</v>
      </c>
      <c r="F8532" s="1598" t="s">
        <v>1632</v>
      </c>
      <c r="G8532" s="1651">
        <v>1</v>
      </c>
      <c r="H8532" s="1399"/>
      <c r="I8532" s="198"/>
      <c r="J8532" s="198"/>
      <c r="K8532" s="1307">
        <f>G8532*K8525</f>
        <v>0.2</v>
      </c>
      <c r="L8532" s="1335">
        <f t="shared" si="1158"/>
        <v>0</v>
      </c>
      <c r="M8532" s="1499">
        <v>0.55000000000000004</v>
      </c>
      <c r="N8532" s="1701"/>
      <c r="O8532" s="1290">
        <f t="shared" si="1159"/>
        <v>0.55000000000000004</v>
      </c>
      <c r="P8532" s="1332">
        <f t="shared" si="1160"/>
        <v>0.11000000000000001</v>
      </c>
      <c r="Q8532" s="3391"/>
      <c r="R8532" s="3363"/>
    </row>
    <row r="8533" spans="1:18" s="22" customFormat="1" ht="21" customHeight="1">
      <c r="A8533" s="2187"/>
      <c r="B8533" s="1599"/>
      <c r="C8533" s="1042"/>
      <c r="D8533" s="1598"/>
      <c r="E8533" s="2154"/>
      <c r="F8533" s="1598"/>
      <c r="G8533" s="1995"/>
      <c r="H8533" s="1369"/>
      <c r="I8533" s="1299"/>
      <c r="J8533" s="1300"/>
      <c r="K8533" s="1307"/>
      <c r="L8533" s="1335"/>
      <c r="M8533" s="1499"/>
      <c r="N8533" s="1700"/>
      <c r="O8533" s="1290"/>
      <c r="P8533" s="1332"/>
      <c r="Q8533" s="3402"/>
      <c r="R8533" s="2357"/>
    </row>
    <row r="8534" spans="1:18" s="22" customFormat="1" ht="22.5" customHeight="1">
      <c r="A8534" s="16"/>
      <c r="B8534" s="1599"/>
      <c r="C8534" s="1320"/>
      <c r="D8534" s="1598"/>
      <c r="E8534" s="1856"/>
      <c r="F8534" s="1598"/>
      <c r="G8534" s="1399"/>
      <c r="H8534" s="1399"/>
      <c r="I8534" s="198"/>
      <c r="J8534" s="198"/>
      <c r="K8534" s="1307"/>
      <c r="L8534" s="1335"/>
      <c r="M8534" s="1499"/>
      <c r="N8534" s="1701"/>
      <c r="O8534" s="1291"/>
      <c r="P8534" s="1332"/>
      <c r="Q8534" s="3391"/>
      <c r="R8534" s="3363"/>
    </row>
    <row r="8535" spans="1:18" s="22" customFormat="1" ht="22.5" customHeight="1">
      <c r="A8535" s="2187"/>
      <c r="B8535" s="1599"/>
      <c r="C8535" s="1042"/>
      <c r="D8535" s="1359"/>
      <c r="E8535" s="1858"/>
      <c r="F8535" s="1360" t="s">
        <v>2</v>
      </c>
      <c r="G8535" s="1360"/>
      <c r="H8535" s="1362"/>
      <c r="I8535" s="1380"/>
      <c r="J8535" s="1381"/>
      <c r="K8535" s="1381"/>
      <c r="L8535" s="1458"/>
      <c r="M8535" s="1362"/>
      <c r="N8535" s="1362"/>
      <c r="O8535" s="1362"/>
      <c r="P8535" s="1359"/>
      <c r="Q8535" s="3403"/>
      <c r="R8535" s="2357"/>
    </row>
    <row r="8536" spans="1:18" s="22" customFormat="1" ht="21" customHeight="1">
      <c r="A8536" s="2187"/>
      <c r="B8536" s="2053"/>
      <c r="C8536" s="1321"/>
      <c r="D8536" s="1655" t="s">
        <v>1099</v>
      </c>
      <c r="E8536" s="1859" t="s">
        <v>1508</v>
      </c>
      <c r="F8536" s="1655" t="s">
        <v>1633</v>
      </c>
      <c r="G8536" s="1809">
        <v>0.5</v>
      </c>
      <c r="H8536" s="1386"/>
      <c r="I8536" s="1299"/>
      <c r="J8536" s="1300"/>
      <c r="K8536" s="1307">
        <f>G8536*K8525</f>
        <v>0.1</v>
      </c>
      <c r="L8536" s="1335">
        <f>K8536*$K$8330</f>
        <v>0</v>
      </c>
      <c r="M8536" s="1302">
        <v>19.23</v>
      </c>
      <c r="N8536" s="1700"/>
      <c r="O8536" s="1290">
        <f>G8536*M8536</f>
        <v>9.6150000000000002</v>
      </c>
      <c r="P8536" s="1332">
        <f>M8536*K8536</f>
        <v>1.923</v>
      </c>
      <c r="Q8536" s="3402"/>
      <c r="R8536" s="2357"/>
    </row>
    <row r="8537" spans="1:18" s="22" customFormat="1" ht="15.75" customHeight="1">
      <c r="A8537" s="19"/>
      <c r="B8537" s="1042"/>
      <c r="C8537" s="1042"/>
      <c r="D8537" s="1402"/>
      <c r="E8537" s="1857"/>
      <c r="F8537" s="1430"/>
      <c r="G8537" s="1381"/>
      <c r="H8537" s="1408"/>
      <c r="I8537" s="1340"/>
      <c r="J8537" s="198"/>
      <c r="K8537" s="1307"/>
      <c r="L8537" s="1335"/>
      <c r="M8537" s="1302"/>
      <c r="N8537" s="1724"/>
      <c r="O8537" s="1726"/>
      <c r="P8537" s="1727"/>
      <c r="Q8537" s="3396"/>
      <c r="R8537" s="2338"/>
    </row>
    <row r="8538" spans="1:18" s="22" customFormat="1" ht="21" customHeight="1">
      <c r="B8538" s="1320"/>
      <c r="C8538" s="16"/>
      <c r="D8538" s="1359"/>
      <c r="E8538" s="1858"/>
      <c r="F8538" s="1474"/>
      <c r="G8538" s="1474"/>
      <c r="H8538" s="1466"/>
      <c r="I8538" s="1289"/>
      <c r="J8538" s="8"/>
      <c r="K8538" s="1307"/>
      <c r="L8538" s="1335"/>
      <c r="M8538" s="1302"/>
      <c r="N8538" s="1700"/>
      <c r="O8538" s="1290"/>
      <c r="P8538" s="1332"/>
      <c r="Q8538" s="3391"/>
      <c r="R8538" s="2344"/>
    </row>
    <row r="8539" spans="1:18" s="22" customFormat="1">
      <c r="A8539" s="1320"/>
      <c r="B8539" s="1599"/>
      <c r="C8539" s="1320"/>
      <c r="D8539" s="1373"/>
      <c r="E8539" s="2123"/>
      <c r="F8539" s="1374" t="s">
        <v>3</v>
      </c>
      <c r="G8539" s="1375"/>
      <c r="H8539" s="1376"/>
      <c r="I8539" s="1382"/>
      <c r="J8539" s="1383"/>
      <c r="K8539" s="1383"/>
      <c r="L8539" s="1413"/>
      <c r="M8539" s="1376"/>
      <c r="N8539" s="1376"/>
      <c r="O8539" s="1376"/>
      <c r="P8539" s="1373"/>
      <c r="Q8539" s="3403"/>
      <c r="R8539" s="2356"/>
    </row>
    <row r="8540" spans="1:18" s="22" customFormat="1" ht="22.5" customHeight="1">
      <c r="A8540" s="1321"/>
      <c r="B8540" s="2053"/>
      <c r="C8540" s="1321"/>
      <c r="D8540" s="1827"/>
      <c r="E8540" s="2173"/>
      <c r="F8540" s="1827"/>
      <c r="G8540" s="1828"/>
      <c r="H8540" s="1379"/>
      <c r="I8540" s="1299"/>
      <c r="J8540" s="1300"/>
      <c r="K8540" s="1307"/>
      <c r="L8540" s="1335"/>
      <c r="M8540" s="1302"/>
      <c r="N8540" s="1700"/>
      <c r="O8540" s="1290"/>
      <c r="P8540" s="1332"/>
      <c r="Q8540" s="3402"/>
      <c r="R8540" s="2053"/>
    </row>
    <row r="8541" spans="1:18" s="22" customFormat="1">
      <c r="A8541" s="1321"/>
      <c r="B8541" s="2053"/>
      <c r="C8541" s="1321"/>
      <c r="D8541" s="1377"/>
      <c r="E8541" s="2124"/>
      <c r="F8541" s="1378"/>
      <c r="G8541" s="1378"/>
      <c r="H8541" s="1379"/>
      <c r="I8541" s="1299"/>
      <c r="J8541" s="1300"/>
      <c r="K8541" s="1307"/>
      <c r="L8541" s="1335"/>
      <c r="M8541" s="1302"/>
      <c r="N8541" s="1700"/>
      <c r="O8541" s="1290"/>
      <c r="P8541" s="1333"/>
      <c r="Q8541" s="3402"/>
      <c r="R8541" s="2053"/>
    </row>
    <row r="8542" spans="1:18" s="22" customFormat="1">
      <c r="A8542" s="1320"/>
      <c r="B8542" s="1765"/>
      <c r="C8542" s="223"/>
      <c r="D8542" s="1373"/>
      <c r="E8542" s="2161"/>
      <c r="F8542" s="1678"/>
      <c r="G8542" s="1678"/>
      <c r="H8542" s="1376"/>
      <c r="I8542" s="1299"/>
      <c r="J8542" s="1300"/>
      <c r="K8542" s="1307"/>
      <c r="L8542" s="1335"/>
      <c r="M8542" s="1302"/>
      <c r="N8542" s="1700"/>
      <c r="O8542" s="1290"/>
      <c r="P8542" s="1332"/>
      <c r="Q8542" s="3402"/>
      <c r="R8542" s="2356"/>
    </row>
    <row r="8543" spans="1:18" s="22" customFormat="1">
      <c r="A8543" s="18" t="s">
        <v>3764</v>
      </c>
      <c r="B8543" s="4325" t="s">
        <v>2497</v>
      </c>
      <c r="C8543" s="3350"/>
      <c r="D8543" s="4327"/>
      <c r="E8543" s="4329" t="s">
        <v>1504</v>
      </c>
      <c r="F8543" s="4336" t="s">
        <v>2498</v>
      </c>
      <c r="G8543" s="4331" t="s">
        <v>1568</v>
      </c>
      <c r="H8543" s="4331" t="s">
        <v>1574</v>
      </c>
      <c r="I8543" s="1572" t="s">
        <v>1559</v>
      </c>
      <c r="J8543" s="1294" t="s">
        <v>1560</v>
      </c>
      <c r="K8543" s="1294" t="s">
        <v>1569</v>
      </c>
      <c r="L8543" s="4333" t="s">
        <v>3765</v>
      </c>
      <c r="M8543" s="4335" t="s">
        <v>1571</v>
      </c>
      <c r="N8543" s="4323" t="s">
        <v>1776</v>
      </c>
      <c r="O8543" s="3347" t="s">
        <v>1563</v>
      </c>
      <c r="P8543" s="1336" t="s">
        <v>1562</v>
      </c>
      <c r="Q8543" s="3389"/>
      <c r="R8543" s="1699" t="s">
        <v>1327</v>
      </c>
    </row>
    <row r="8544" spans="1:18" s="22" customFormat="1">
      <c r="A8544" s="1599" t="s">
        <v>2447</v>
      </c>
      <c r="B8544" s="4326"/>
      <c r="C8544" s="3351"/>
      <c r="D8544" s="4328"/>
      <c r="E8544" s="4330"/>
      <c r="F8544" s="4336"/>
      <c r="G8544" s="4332"/>
      <c r="H8544" s="4332"/>
      <c r="I8544" s="1345">
        <v>4</v>
      </c>
      <c r="J8544" s="1307">
        <v>0.05</v>
      </c>
      <c r="K8544" s="1666">
        <f>I8544*J8544</f>
        <v>0.2</v>
      </c>
      <c r="L8544" s="4334"/>
      <c r="M8544" s="4335"/>
      <c r="N8544" s="4324"/>
      <c r="O8544" s="1298">
        <f>SUM(O8546:O8554)</f>
        <v>68.304999999999993</v>
      </c>
      <c r="P8544" s="1337">
        <f>O8544*K8544</f>
        <v>13.661</v>
      </c>
      <c r="Q8544" s="3390"/>
      <c r="R8544" s="1721">
        <f>SUM(P8546:P8554)</f>
        <v>13.661000000000001</v>
      </c>
    </row>
    <row r="8545" spans="1:18" s="22" customFormat="1">
      <c r="A8545" s="1320"/>
      <c r="B8545" s="1949"/>
      <c r="C8545" s="1327"/>
      <c r="D8545" s="1367"/>
      <c r="E8545" s="2121"/>
      <c r="F8545" s="1389" t="s">
        <v>1</v>
      </c>
      <c r="G8545" s="1389"/>
      <c r="H8545" s="1369"/>
      <c r="I8545" s="2088"/>
      <c r="J8545" s="1369"/>
      <c r="K8545" s="1391"/>
      <c r="L8545" s="1559"/>
      <c r="M8545" s="1369"/>
      <c r="N8545" s="1369"/>
      <c r="O8545" s="1369"/>
      <c r="P8545" s="1392"/>
      <c r="Q8545" s="3395"/>
      <c r="R8545" s="2344"/>
    </row>
    <row r="8546" spans="1:18" s="22" customFormat="1">
      <c r="A8546" s="1320"/>
      <c r="B8546" s="1599"/>
      <c r="C8546" s="1320"/>
      <c r="D8546" s="1598" t="s">
        <v>2472</v>
      </c>
      <c r="E8546" s="2154" t="s">
        <v>1504</v>
      </c>
      <c r="F8546" s="1598" t="s">
        <v>2473</v>
      </c>
      <c r="G8546" s="1612">
        <v>2</v>
      </c>
      <c r="H8546" s="1369"/>
      <c r="I8546" s="1299"/>
      <c r="J8546" s="1300"/>
      <c r="K8546" s="1307">
        <f>G8546*K8544</f>
        <v>0.4</v>
      </c>
      <c r="L8546" s="1335">
        <f t="shared" ref="L8546:L8550" si="1161">K8546*$K$8330</f>
        <v>0</v>
      </c>
      <c r="M8546" s="1302">
        <v>4.3099999999999996</v>
      </c>
      <c r="N8546" s="1700"/>
      <c r="O8546" s="1290">
        <f>G8546*M8546</f>
        <v>8.6199999999999992</v>
      </c>
      <c r="P8546" s="1332">
        <f>M8546*K8546</f>
        <v>1.724</v>
      </c>
      <c r="Q8546" s="3402"/>
      <c r="R8546" s="2356"/>
    </row>
    <row r="8547" spans="1:18" s="22" customFormat="1">
      <c r="A8547" s="1320"/>
      <c r="B8547" s="1599"/>
      <c r="C8547" s="1320"/>
      <c r="D8547" s="1598" t="s">
        <v>2487</v>
      </c>
      <c r="E8547" s="2154" t="s">
        <v>1504</v>
      </c>
      <c r="F8547" s="1598" t="s">
        <v>2488</v>
      </c>
      <c r="G8547" s="1612">
        <v>1</v>
      </c>
      <c r="H8547" s="1369"/>
      <c r="I8547" s="1299"/>
      <c r="J8547" s="1300"/>
      <c r="K8547" s="1307">
        <f>G8547*K8544</f>
        <v>0.2</v>
      </c>
      <c r="L8547" s="1335">
        <f t="shared" si="1161"/>
        <v>0</v>
      </c>
      <c r="M8547" s="1499">
        <v>3.86</v>
      </c>
      <c r="N8547" s="1700"/>
      <c r="O8547" s="1290">
        <f>G8547*M8547</f>
        <v>3.86</v>
      </c>
      <c r="P8547" s="1332">
        <f>M8547*K8547</f>
        <v>0.77200000000000002</v>
      </c>
      <c r="Q8547" s="3402"/>
      <c r="R8547" s="2356"/>
    </row>
    <row r="8548" spans="1:18" s="22" customFormat="1" ht="26">
      <c r="A8548" s="2187"/>
      <c r="B8548" s="1599"/>
      <c r="C8548" s="1042"/>
      <c r="D8548" s="1668" t="s">
        <v>2499</v>
      </c>
      <c r="E8548" s="2166" t="s">
        <v>1504</v>
      </c>
      <c r="F8548" s="1668" t="s">
        <v>2500</v>
      </c>
      <c r="G8548" s="1958">
        <v>1</v>
      </c>
      <c r="H8548" s="1369"/>
      <c r="I8548" s="1299"/>
      <c r="J8548" s="1300"/>
      <c r="K8548" s="1307">
        <f>G8548*K8544</f>
        <v>0.2</v>
      </c>
      <c r="L8548" s="1335">
        <f t="shared" si="1161"/>
        <v>0</v>
      </c>
      <c r="M8548" s="1499">
        <v>45.36</v>
      </c>
      <c r="N8548" s="1700"/>
      <c r="O8548" s="1290">
        <f>G8548*M8548</f>
        <v>45.36</v>
      </c>
      <c r="P8548" s="1332">
        <f>M8548*K8548</f>
        <v>9.072000000000001</v>
      </c>
      <c r="Q8548" s="3402"/>
      <c r="R8548" s="2357"/>
    </row>
    <row r="8549" spans="1:18" s="22" customFormat="1" ht="26">
      <c r="A8549" s="2187"/>
      <c r="B8549" s="1599"/>
      <c r="C8549" s="1042"/>
      <c r="D8549" s="1598" t="s">
        <v>1082</v>
      </c>
      <c r="E8549" s="2154" t="s">
        <v>1504</v>
      </c>
      <c r="F8549" s="1598" t="s">
        <v>1541</v>
      </c>
      <c r="G8549" s="1995">
        <v>1</v>
      </c>
      <c r="H8549" s="1369"/>
      <c r="I8549" s="1299"/>
      <c r="J8549" s="1300"/>
      <c r="K8549" s="1307">
        <f>G8549*K8544</f>
        <v>0.2</v>
      </c>
      <c r="L8549" s="1335">
        <f t="shared" si="1161"/>
        <v>0</v>
      </c>
      <c r="M8549" s="1499">
        <v>0.3</v>
      </c>
      <c r="N8549" s="1700"/>
      <c r="O8549" s="1290">
        <f>G8549*M8549</f>
        <v>0.3</v>
      </c>
      <c r="P8549" s="1332">
        <f>M8549*K8549</f>
        <v>0.06</v>
      </c>
      <c r="Q8549" s="3402"/>
      <c r="R8549" s="2357"/>
    </row>
    <row r="8550" spans="1:18" s="22" customFormat="1" ht="19.5" customHeight="1">
      <c r="A8550" s="16"/>
      <c r="B8550" s="1599"/>
      <c r="C8550" s="1320"/>
      <c r="D8550" s="1598" t="s">
        <v>1097</v>
      </c>
      <c r="E8550" s="1856" t="s">
        <v>1504</v>
      </c>
      <c r="F8550" s="1598" t="s">
        <v>1632</v>
      </c>
      <c r="G8550" s="1651">
        <v>1</v>
      </c>
      <c r="H8550" s="1399"/>
      <c r="I8550" s="198"/>
      <c r="J8550" s="198"/>
      <c r="K8550" s="1307">
        <f>G8550*K8544</f>
        <v>0.2</v>
      </c>
      <c r="L8550" s="1335">
        <f t="shared" si="1161"/>
        <v>0</v>
      </c>
      <c r="M8550" s="1499">
        <v>0.55000000000000004</v>
      </c>
      <c r="N8550" s="1701"/>
      <c r="O8550" s="1290">
        <f>G8550*M8550</f>
        <v>0.55000000000000004</v>
      </c>
      <c r="P8550" s="1332">
        <f>M8550*K8550</f>
        <v>0.11000000000000001</v>
      </c>
      <c r="Q8550" s="3391"/>
      <c r="R8550" s="3363"/>
    </row>
    <row r="8551" spans="1:18" s="22" customFormat="1" ht="21.75" customHeight="1">
      <c r="A8551" s="2187"/>
      <c r="B8551" s="1599"/>
      <c r="C8551" s="1042"/>
      <c r="D8551" s="1598"/>
      <c r="E8551" s="2154"/>
      <c r="F8551" s="1598"/>
      <c r="G8551" s="1995"/>
      <c r="H8551" s="1369"/>
      <c r="I8551" s="1299"/>
      <c r="J8551" s="1300"/>
      <c r="K8551" s="1307"/>
      <c r="L8551" s="1335"/>
      <c r="M8551" s="1499"/>
      <c r="N8551" s="1700"/>
      <c r="O8551" s="1290"/>
      <c r="P8551" s="1332"/>
      <c r="Q8551" s="3402"/>
      <c r="R8551" s="2357"/>
    </row>
    <row r="8552" spans="1:18" s="22" customFormat="1">
      <c r="A8552" s="16"/>
      <c r="B8552" s="1599"/>
      <c r="C8552" s="1320"/>
      <c r="D8552" s="1598"/>
      <c r="E8552" s="1856"/>
      <c r="F8552" s="1598"/>
      <c r="G8552" s="1399"/>
      <c r="H8552" s="1399"/>
      <c r="I8552" s="198"/>
      <c r="J8552" s="198"/>
      <c r="K8552" s="1307"/>
      <c r="L8552" s="1335"/>
      <c r="M8552" s="1499"/>
      <c r="N8552" s="1701"/>
      <c r="O8552" s="1291"/>
      <c r="P8552" s="1332"/>
      <c r="Q8552" s="3391"/>
      <c r="R8552" s="3363"/>
    </row>
    <row r="8553" spans="1:18" s="22" customFormat="1" ht="21" customHeight="1">
      <c r="A8553" s="2187"/>
      <c r="B8553" s="1599"/>
      <c r="C8553" s="1042"/>
      <c r="D8553" s="1359"/>
      <c r="E8553" s="1858"/>
      <c r="F8553" s="1360" t="s">
        <v>2</v>
      </c>
      <c r="G8553" s="1360"/>
      <c r="H8553" s="1362"/>
      <c r="I8553" s="1380"/>
      <c r="J8553" s="1381"/>
      <c r="K8553" s="1381"/>
      <c r="L8553" s="1458"/>
      <c r="M8553" s="1362"/>
      <c r="N8553" s="1362"/>
      <c r="O8553" s="1362"/>
      <c r="P8553" s="1359"/>
      <c r="Q8553" s="3403"/>
      <c r="R8553" s="2357"/>
    </row>
    <row r="8554" spans="1:18" s="22" customFormat="1" ht="18" customHeight="1">
      <c r="A8554" s="2187"/>
      <c r="B8554" s="2053"/>
      <c r="C8554" s="1321"/>
      <c r="D8554" s="1655" t="s">
        <v>1099</v>
      </c>
      <c r="E8554" s="1859" t="s">
        <v>1508</v>
      </c>
      <c r="F8554" s="1655" t="s">
        <v>1633</v>
      </c>
      <c r="G8554" s="1809">
        <v>0.5</v>
      </c>
      <c r="H8554" s="1386"/>
      <c r="I8554" s="1299"/>
      <c r="J8554" s="1300"/>
      <c r="K8554" s="1307">
        <f>G8554*K8544</f>
        <v>0.1</v>
      </c>
      <c r="L8554" s="1335">
        <f>K8554*$K$8330</f>
        <v>0</v>
      </c>
      <c r="M8554" s="1302">
        <v>19.23</v>
      </c>
      <c r="N8554" s="1700"/>
      <c r="O8554" s="1290">
        <f>G8554*M8554</f>
        <v>9.6150000000000002</v>
      </c>
      <c r="P8554" s="1332">
        <f>M8554*K8554</f>
        <v>1.923</v>
      </c>
      <c r="Q8554" s="3402"/>
      <c r="R8554" s="2357"/>
    </row>
    <row r="8555" spans="1:18" s="22" customFormat="1" ht="18.75" customHeight="1">
      <c r="A8555" s="19"/>
      <c r="B8555" s="1042"/>
      <c r="C8555" s="1042"/>
      <c r="D8555" s="1402"/>
      <c r="E8555" s="1857"/>
      <c r="F8555" s="1430"/>
      <c r="G8555" s="1381"/>
      <c r="H8555" s="1408"/>
      <c r="I8555" s="1340"/>
      <c r="J8555" s="198"/>
      <c r="K8555" s="1307"/>
      <c r="L8555" s="1335"/>
      <c r="M8555" s="1302"/>
      <c r="N8555" s="1724"/>
      <c r="O8555" s="1726"/>
      <c r="P8555" s="1727"/>
      <c r="Q8555" s="3396"/>
      <c r="R8555" s="2338"/>
    </row>
    <row r="8556" spans="1:18" s="22" customFormat="1">
      <c r="B8556" s="1320"/>
      <c r="C8556" s="16"/>
      <c r="D8556" s="1359"/>
      <c r="E8556" s="1858"/>
      <c r="F8556" s="1474"/>
      <c r="G8556" s="1474"/>
      <c r="H8556" s="1466"/>
      <c r="I8556" s="1289"/>
      <c r="J8556" s="8"/>
      <c r="K8556" s="1307"/>
      <c r="L8556" s="1335"/>
      <c r="M8556" s="1302"/>
      <c r="N8556" s="1700"/>
      <c r="O8556" s="1290"/>
      <c r="P8556" s="1332"/>
      <c r="Q8556" s="3391"/>
      <c r="R8556" s="2344"/>
    </row>
    <row r="8557" spans="1:18" s="22" customFormat="1">
      <c r="A8557" s="1320"/>
      <c r="B8557" s="1599"/>
      <c r="C8557" s="1320"/>
      <c r="D8557" s="1373"/>
      <c r="E8557" s="2123"/>
      <c r="F8557" s="1374" t="s">
        <v>3</v>
      </c>
      <c r="G8557" s="1375"/>
      <c r="H8557" s="1376"/>
      <c r="I8557" s="1382"/>
      <c r="J8557" s="1383"/>
      <c r="K8557" s="1383"/>
      <c r="L8557" s="1413"/>
      <c r="M8557" s="1376"/>
      <c r="N8557" s="1376"/>
      <c r="O8557" s="1376"/>
      <c r="P8557" s="1373"/>
      <c r="Q8557" s="3403"/>
      <c r="R8557" s="2356"/>
    </row>
    <row r="8558" spans="1:18" s="22" customFormat="1">
      <c r="A8558" s="1321"/>
      <c r="B8558" s="2053"/>
      <c r="C8558" s="1321"/>
      <c r="D8558" s="1827"/>
      <c r="E8558" s="2173"/>
      <c r="F8558" s="1827"/>
      <c r="G8558" s="1828"/>
      <c r="H8558" s="1379"/>
      <c r="I8558" s="1299"/>
      <c r="J8558" s="1300"/>
      <c r="K8558" s="1307"/>
      <c r="L8558" s="1335"/>
      <c r="M8558" s="1302"/>
      <c r="N8558" s="1700"/>
      <c r="O8558" s="1290"/>
      <c r="P8558" s="1332"/>
      <c r="Q8558" s="3402"/>
      <c r="R8558" s="2053"/>
    </row>
    <row r="8559" spans="1:18" s="22" customFormat="1">
      <c r="A8559" s="1321"/>
      <c r="B8559" s="2053"/>
      <c r="C8559" s="1321"/>
      <c r="D8559" s="1377"/>
      <c r="E8559" s="2124"/>
      <c r="F8559" s="1378"/>
      <c r="G8559" s="1378"/>
      <c r="H8559" s="1379"/>
      <c r="I8559" s="1299"/>
      <c r="J8559" s="1300"/>
      <c r="K8559" s="1307"/>
      <c r="L8559" s="1335"/>
      <c r="M8559" s="1302"/>
      <c r="N8559" s="1700"/>
      <c r="O8559" s="1290"/>
      <c r="P8559" s="1333"/>
      <c r="Q8559" s="3402"/>
      <c r="R8559" s="2053"/>
    </row>
    <row r="8560" spans="1:18" s="22" customFormat="1">
      <c r="A8560" s="1320"/>
      <c r="B8560" s="1765"/>
      <c r="C8560" s="223"/>
      <c r="D8560" s="1373"/>
      <c r="E8560" s="2161"/>
      <c r="F8560" s="1678"/>
      <c r="G8560" s="1678"/>
      <c r="H8560" s="1376"/>
      <c r="I8560" s="1299"/>
      <c r="J8560" s="1300"/>
      <c r="K8560" s="1307"/>
      <c r="L8560" s="1335"/>
      <c r="M8560" s="1302"/>
      <c r="N8560" s="1700"/>
      <c r="O8560" s="1290"/>
      <c r="P8560" s="1332"/>
      <c r="Q8560" s="3402"/>
      <c r="R8560" s="2356"/>
    </row>
    <row r="8561" spans="1:18" s="22" customFormat="1">
      <c r="A8561" s="18" t="s">
        <v>3764</v>
      </c>
      <c r="B8561" s="4325" t="s">
        <v>2501</v>
      </c>
      <c r="C8561" s="3350"/>
      <c r="D8561" s="4327"/>
      <c r="E8561" s="4329" t="s">
        <v>1504</v>
      </c>
      <c r="F8561" s="4336" t="s">
        <v>2502</v>
      </c>
      <c r="G8561" s="4331" t="s">
        <v>1568</v>
      </c>
      <c r="H8561" s="4331" t="s">
        <v>1574</v>
      </c>
      <c r="I8561" s="1572" t="s">
        <v>1559</v>
      </c>
      <c r="J8561" s="1294" t="s">
        <v>1560</v>
      </c>
      <c r="K8561" s="1294" t="s">
        <v>1569</v>
      </c>
      <c r="L8561" s="4333" t="s">
        <v>3765</v>
      </c>
      <c r="M8561" s="4335" t="s">
        <v>1571</v>
      </c>
      <c r="N8561" s="4323" t="s">
        <v>1776</v>
      </c>
      <c r="O8561" s="3347" t="s">
        <v>1563</v>
      </c>
      <c r="P8561" s="1336" t="s">
        <v>1562</v>
      </c>
      <c r="Q8561" s="3389"/>
      <c r="R8561" s="1699" t="s">
        <v>1327</v>
      </c>
    </row>
    <row r="8562" spans="1:18" s="22" customFormat="1">
      <c r="A8562" s="1599" t="s">
        <v>2447</v>
      </c>
      <c r="B8562" s="4326"/>
      <c r="C8562" s="3351"/>
      <c r="D8562" s="4328"/>
      <c r="E8562" s="4330"/>
      <c r="F8562" s="4336"/>
      <c r="G8562" s="4332"/>
      <c r="H8562" s="4332"/>
      <c r="I8562" s="1345">
        <v>4</v>
      </c>
      <c r="J8562" s="1307">
        <v>0.05</v>
      </c>
      <c r="K8562" s="1666">
        <f>I8562*J8562</f>
        <v>0.2</v>
      </c>
      <c r="L8562" s="4334"/>
      <c r="M8562" s="4335"/>
      <c r="N8562" s="4324"/>
      <c r="O8562" s="1298">
        <f>SUM(O8564:O8571)</f>
        <v>71.871999999999986</v>
      </c>
      <c r="P8562" s="1337">
        <f>O8562*K8562</f>
        <v>14.374399999999998</v>
      </c>
      <c r="Q8562" s="3390"/>
      <c r="R8562" s="1721">
        <f>SUM(P8564:P8571)</f>
        <v>14.374400000000001</v>
      </c>
    </row>
    <row r="8563" spans="1:18" s="22" customFormat="1">
      <c r="A8563" s="1320"/>
      <c r="B8563" s="1949"/>
      <c r="C8563" s="1327"/>
      <c r="D8563" s="1367"/>
      <c r="E8563" s="2121"/>
      <c r="F8563" s="1389" t="s">
        <v>1</v>
      </c>
      <c r="G8563" s="1389"/>
      <c r="H8563" s="1369"/>
      <c r="I8563" s="2088"/>
      <c r="J8563" s="1369"/>
      <c r="K8563" s="1391"/>
      <c r="L8563" s="1559"/>
      <c r="M8563" s="1369"/>
      <c r="N8563" s="1369"/>
      <c r="O8563" s="1369"/>
      <c r="P8563" s="1392"/>
      <c r="Q8563" s="3395"/>
      <c r="R8563" s="2344"/>
    </row>
    <row r="8564" spans="1:18" s="22" customFormat="1">
      <c r="A8564" s="1320"/>
      <c r="B8564" s="1599"/>
      <c r="C8564" s="1320"/>
      <c r="D8564" s="1668" t="s">
        <v>2503</v>
      </c>
      <c r="E8564" s="2166" t="s">
        <v>1504</v>
      </c>
      <c r="F8564" s="1668" t="s">
        <v>2504</v>
      </c>
      <c r="G8564" s="2117">
        <v>1</v>
      </c>
      <c r="H8564" s="1369"/>
      <c r="I8564" s="1299"/>
      <c r="J8564" s="1300"/>
      <c r="K8564" s="1307">
        <f>G8564*K8562</f>
        <v>0.2</v>
      </c>
      <c r="L8564" s="1335">
        <f t="shared" ref="L8564:L8567" si="1162">K8564*$K$8330</f>
        <v>0</v>
      </c>
      <c r="M8564" s="1302">
        <v>54.13</v>
      </c>
      <c r="N8564" s="1700"/>
      <c r="O8564" s="1290">
        <f>G8564*M8564</f>
        <v>54.13</v>
      </c>
      <c r="P8564" s="1332">
        <f>M8564*K8564</f>
        <v>10.826000000000001</v>
      </c>
      <c r="Q8564" s="3402"/>
      <c r="R8564" s="2356"/>
    </row>
    <row r="8565" spans="1:18" s="22" customFormat="1">
      <c r="A8565" s="1320"/>
      <c r="B8565" s="1599"/>
      <c r="C8565" s="1320"/>
      <c r="D8565" s="1668" t="s">
        <v>2505</v>
      </c>
      <c r="E8565" s="2166" t="s">
        <v>1504</v>
      </c>
      <c r="F8565" s="1668" t="s">
        <v>2506</v>
      </c>
      <c r="G8565" s="2117">
        <v>1</v>
      </c>
      <c r="H8565" s="1369"/>
      <c r="I8565" s="1299"/>
      <c r="J8565" s="1300"/>
      <c r="K8565" s="1307">
        <f>G8565*K8562</f>
        <v>0.2</v>
      </c>
      <c r="L8565" s="1335">
        <f t="shared" si="1162"/>
        <v>0</v>
      </c>
      <c r="M8565" s="1499">
        <v>9.1999999999999993</v>
      </c>
      <c r="N8565" s="1700"/>
      <c r="O8565" s="1290">
        <f>G8565*M8565</f>
        <v>9.1999999999999993</v>
      </c>
      <c r="P8565" s="1332">
        <f>M8565*K8565</f>
        <v>1.8399999999999999</v>
      </c>
      <c r="Q8565" s="3402"/>
      <c r="R8565" s="2356"/>
    </row>
    <row r="8566" spans="1:18" s="22" customFormat="1" ht="26">
      <c r="A8566" s="2187"/>
      <c r="B8566" s="1599"/>
      <c r="C8566" s="1042"/>
      <c r="D8566" s="1598" t="s">
        <v>1082</v>
      </c>
      <c r="E8566" s="2154" t="s">
        <v>1504</v>
      </c>
      <c r="F8566" s="1598" t="s">
        <v>1541</v>
      </c>
      <c r="G8566" s="1995">
        <v>1</v>
      </c>
      <c r="H8566" s="1369"/>
      <c r="I8566" s="1299"/>
      <c r="J8566" s="1300"/>
      <c r="K8566" s="1307">
        <f>G8566*K8562</f>
        <v>0.2</v>
      </c>
      <c r="L8566" s="1335">
        <f t="shared" si="1162"/>
        <v>0</v>
      </c>
      <c r="M8566" s="1499">
        <v>0.3</v>
      </c>
      <c r="N8566" s="1700"/>
      <c r="O8566" s="1290">
        <f>G8566*M8566</f>
        <v>0.3</v>
      </c>
      <c r="P8566" s="1332">
        <f>M8566*K8566</f>
        <v>0.06</v>
      </c>
      <c r="Q8566" s="3402"/>
      <c r="R8566" s="2357"/>
    </row>
    <row r="8567" spans="1:18" s="22" customFormat="1">
      <c r="A8567" s="16"/>
      <c r="B8567" s="1599"/>
      <c r="C8567" s="1320"/>
      <c r="D8567" s="1598" t="s">
        <v>1097</v>
      </c>
      <c r="E8567" s="1856" t="s">
        <v>1504</v>
      </c>
      <c r="F8567" s="1598" t="s">
        <v>1632</v>
      </c>
      <c r="G8567" s="1651">
        <v>1</v>
      </c>
      <c r="H8567" s="1399"/>
      <c r="I8567" s="198"/>
      <c r="J8567" s="198"/>
      <c r="K8567" s="1307">
        <f>G8567*K8562</f>
        <v>0.2</v>
      </c>
      <c r="L8567" s="1335">
        <f t="shared" si="1162"/>
        <v>0</v>
      </c>
      <c r="M8567" s="1499">
        <v>0.55000000000000004</v>
      </c>
      <c r="N8567" s="1701"/>
      <c r="O8567" s="1290">
        <f>G8567*M8567</f>
        <v>0.55000000000000004</v>
      </c>
      <c r="P8567" s="1332">
        <f>M8567*K8567</f>
        <v>0.11000000000000001</v>
      </c>
      <c r="Q8567" s="3391"/>
      <c r="R8567" s="3363"/>
    </row>
    <row r="8568" spans="1:18" s="22" customFormat="1" ht="26">
      <c r="A8568" s="2187"/>
      <c r="B8568" s="1599"/>
      <c r="C8568" s="1042"/>
      <c r="D8568" s="1598"/>
      <c r="E8568" s="2154"/>
      <c r="F8568" s="1598"/>
      <c r="G8568" s="1995"/>
      <c r="H8568" s="1369"/>
      <c r="I8568" s="1299"/>
      <c r="J8568" s="1300"/>
      <c r="K8568" s="1307"/>
      <c r="L8568" s="1335"/>
      <c r="M8568" s="1499"/>
      <c r="N8568" s="1700"/>
      <c r="O8568" s="1290"/>
      <c r="P8568" s="1332"/>
      <c r="Q8568" s="3402"/>
      <c r="R8568" s="2357"/>
    </row>
    <row r="8569" spans="1:18" s="22" customFormat="1">
      <c r="A8569" s="16"/>
      <c r="B8569" s="1599"/>
      <c r="C8569" s="1320"/>
      <c r="D8569" s="1598"/>
      <c r="E8569" s="1856"/>
      <c r="F8569" s="1598"/>
      <c r="G8569" s="1399"/>
      <c r="H8569" s="1399"/>
      <c r="I8569" s="198"/>
      <c r="J8569" s="198"/>
      <c r="K8569" s="1307"/>
      <c r="L8569" s="1335"/>
      <c r="M8569" s="1499"/>
      <c r="N8569" s="1701"/>
      <c r="O8569" s="1291"/>
      <c r="P8569" s="1332"/>
      <c r="Q8569" s="3391"/>
      <c r="R8569" s="3363"/>
    </row>
    <row r="8570" spans="1:18" s="22" customFormat="1" ht="26">
      <c r="A8570" s="2187"/>
      <c r="B8570" s="1599"/>
      <c r="C8570" s="1042"/>
      <c r="D8570" s="1359"/>
      <c r="E8570" s="1858"/>
      <c r="F8570" s="1360" t="s">
        <v>2</v>
      </c>
      <c r="G8570" s="1360"/>
      <c r="H8570" s="1362"/>
      <c r="I8570" s="1380"/>
      <c r="J8570" s="1381"/>
      <c r="K8570" s="1381"/>
      <c r="L8570" s="1458"/>
      <c r="M8570" s="1362"/>
      <c r="N8570" s="1362"/>
      <c r="O8570" s="1362"/>
      <c r="P8570" s="1359"/>
      <c r="Q8570" s="3403"/>
      <c r="R8570" s="2357"/>
    </row>
    <row r="8571" spans="1:18" s="22" customFormat="1" ht="26">
      <c r="A8571" s="2187"/>
      <c r="B8571" s="2053"/>
      <c r="C8571" s="1321"/>
      <c r="D8571" s="1655" t="s">
        <v>1099</v>
      </c>
      <c r="E8571" s="1859" t="s">
        <v>1508</v>
      </c>
      <c r="F8571" s="1655" t="s">
        <v>1633</v>
      </c>
      <c r="G8571" s="1994">
        <v>0.4</v>
      </c>
      <c r="H8571" s="1386"/>
      <c r="I8571" s="1299"/>
      <c r="J8571" s="1300"/>
      <c r="K8571" s="1307">
        <f>G8571*K8562</f>
        <v>8.0000000000000016E-2</v>
      </c>
      <c r="L8571" s="1335">
        <f>K8571*$K$8330</f>
        <v>0</v>
      </c>
      <c r="M8571" s="1302">
        <v>19.23</v>
      </c>
      <c r="N8571" s="1700"/>
      <c r="O8571" s="1290">
        <f>G8571*M8571</f>
        <v>7.6920000000000002</v>
      </c>
      <c r="P8571" s="1332">
        <f>M8571*K8571</f>
        <v>1.5384000000000004</v>
      </c>
      <c r="Q8571" s="3402"/>
      <c r="R8571" s="2357"/>
    </row>
    <row r="8572" spans="1:18" s="22" customFormat="1">
      <c r="A8572" s="19"/>
      <c r="B8572" s="1042"/>
      <c r="C8572" s="1042"/>
      <c r="D8572" s="1402"/>
      <c r="E8572" s="1857"/>
      <c r="F8572" s="1430"/>
      <c r="G8572" s="1381"/>
      <c r="H8572" s="1408"/>
      <c r="I8572" s="1340"/>
      <c r="J8572" s="198"/>
      <c r="K8572" s="1307"/>
      <c r="L8572" s="1335"/>
      <c r="M8572" s="1302"/>
      <c r="N8572" s="1724"/>
      <c r="O8572" s="1726"/>
      <c r="P8572" s="1727"/>
      <c r="Q8572" s="3396"/>
      <c r="R8572" s="2338"/>
    </row>
    <row r="8573" spans="1:18" s="22" customFormat="1">
      <c r="B8573" s="1320"/>
      <c r="C8573" s="16"/>
      <c r="D8573" s="1359"/>
      <c r="E8573" s="1858"/>
      <c r="F8573" s="1474"/>
      <c r="G8573" s="1474"/>
      <c r="H8573" s="1466"/>
      <c r="I8573" s="1289"/>
      <c r="J8573" s="8"/>
      <c r="K8573" s="1307"/>
      <c r="L8573" s="1335"/>
      <c r="M8573" s="1302"/>
      <c r="N8573" s="1700"/>
      <c r="O8573" s="1290"/>
      <c r="P8573" s="1332"/>
      <c r="Q8573" s="3391"/>
      <c r="R8573" s="2344"/>
    </row>
    <row r="8574" spans="1:18" s="22" customFormat="1">
      <c r="A8574" s="1320"/>
      <c r="B8574" s="1599"/>
      <c r="C8574" s="1320"/>
      <c r="D8574" s="1373"/>
      <c r="E8574" s="2123"/>
      <c r="F8574" s="1374" t="s">
        <v>3</v>
      </c>
      <c r="G8574" s="1375"/>
      <c r="H8574" s="1376"/>
      <c r="I8574" s="1382"/>
      <c r="J8574" s="1383"/>
      <c r="K8574" s="1383"/>
      <c r="L8574" s="1413"/>
      <c r="M8574" s="1376"/>
      <c r="N8574" s="1376"/>
      <c r="O8574" s="1376"/>
      <c r="P8574" s="1373"/>
      <c r="Q8574" s="3403"/>
      <c r="R8574" s="2356"/>
    </row>
    <row r="8575" spans="1:18" s="22" customFormat="1">
      <c r="A8575" s="1321"/>
      <c r="B8575" s="2053"/>
      <c r="C8575" s="1321"/>
      <c r="D8575" s="1827"/>
      <c r="E8575" s="2173"/>
      <c r="F8575" s="1827"/>
      <c r="G8575" s="1828"/>
      <c r="H8575" s="1379"/>
      <c r="I8575" s="1299"/>
      <c r="J8575" s="1300"/>
      <c r="K8575" s="1307"/>
      <c r="L8575" s="1335"/>
      <c r="M8575" s="1302"/>
      <c r="N8575" s="1700"/>
      <c r="O8575" s="1290"/>
      <c r="P8575" s="1332"/>
      <c r="Q8575" s="3402"/>
      <c r="R8575" s="2053"/>
    </row>
    <row r="8576" spans="1:18" s="22" customFormat="1">
      <c r="A8576" s="1321"/>
      <c r="B8576" s="2053"/>
      <c r="C8576" s="1321"/>
      <c r="D8576" s="1377"/>
      <c r="E8576" s="2124"/>
      <c r="F8576" s="1378"/>
      <c r="G8576" s="1378"/>
      <c r="H8576" s="1379"/>
      <c r="I8576" s="1299"/>
      <c r="J8576" s="1300"/>
      <c r="K8576" s="1307"/>
      <c r="L8576" s="1335"/>
      <c r="M8576" s="1302"/>
      <c r="N8576" s="1700"/>
      <c r="O8576" s="1290"/>
      <c r="P8576" s="1333"/>
      <c r="Q8576" s="3402"/>
      <c r="R8576" s="2053"/>
    </row>
    <row r="8577" spans="1:24" s="22" customFormat="1">
      <c r="A8577" s="1320"/>
      <c r="B8577" s="1765"/>
      <c r="C8577" s="223"/>
      <c r="D8577" s="1373"/>
      <c r="E8577" s="2161"/>
      <c r="F8577" s="1678"/>
      <c r="G8577" s="1678"/>
      <c r="H8577" s="1376"/>
      <c r="I8577" s="1299"/>
      <c r="J8577" s="1300"/>
      <c r="K8577" s="1307"/>
      <c r="L8577" s="1335"/>
      <c r="M8577" s="1302"/>
      <c r="N8577" s="1700"/>
      <c r="O8577" s="1290"/>
      <c r="P8577" s="1332"/>
      <c r="Q8577" s="3402"/>
      <c r="R8577" s="2356"/>
    </row>
    <row r="8578" spans="1:24" s="22" customFormat="1">
      <c r="A8578" s="16"/>
      <c r="B8578" s="16"/>
      <c r="C8578" s="16"/>
      <c r="D8578" s="16"/>
      <c r="E8578" s="2182"/>
      <c r="F8578" s="2080"/>
      <c r="G8578" s="2080"/>
      <c r="H8578" s="13"/>
      <c r="I8578" s="1561"/>
      <c r="J8578" s="13"/>
      <c r="K8578" s="1639"/>
      <c r="L8578" s="1640"/>
      <c r="M8578" s="1292"/>
      <c r="N8578" s="1292"/>
      <c r="O8578" s="1292"/>
      <c r="P8578" s="1292"/>
      <c r="Q8578" s="3391"/>
      <c r="R8578" s="3363"/>
    </row>
    <row r="8579" spans="1:24" s="22" customFormat="1">
      <c r="A8579" s="4391" t="s">
        <v>97</v>
      </c>
      <c r="B8579" s="4392"/>
      <c r="C8579" s="4392"/>
      <c r="D8579" s="4392"/>
      <c r="E8579" s="1303" t="s">
        <v>1504</v>
      </c>
      <c r="F8579" s="2115" t="s">
        <v>2756</v>
      </c>
      <c r="G8579" s="1288"/>
      <c r="H8579" s="1288"/>
      <c r="I8579" s="1557"/>
      <c r="J8579" s="1288"/>
      <c r="K8579" s="1288"/>
      <c r="L8579" s="1557"/>
      <c r="M8579" s="1288"/>
      <c r="N8579" s="1288"/>
      <c r="O8579" s="1288"/>
      <c r="P8579" s="1283"/>
      <c r="Q8579" s="3386"/>
      <c r="R8579" s="2339"/>
    </row>
    <row r="8580" spans="1:24" s="22" customFormat="1" ht="28.5">
      <c r="A8580" s="16"/>
      <c r="B8580" s="16"/>
      <c r="C8580" s="16"/>
      <c r="D8580" s="16"/>
      <c r="E8580" s="2182"/>
      <c r="F8580" s="2080"/>
      <c r="G8580" s="2080"/>
      <c r="H8580" s="13"/>
      <c r="I8580" s="1561"/>
      <c r="J8580" s="13"/>
      <c r="K8580" s="1639"/>
      <c r="L8580" s="2375" t="s">
        <v>2856</v>
      </c>
      <c r="M8580" s="1292"/>
      <c r="N8580" s="1292"/>
      <c r="O8580" s="1292"/>
      <c r="P8580" s="1292"/>
      <c r="Q8580" s="3391"/>
      <c r="R8580" s="2344"/>
      <c r="S8580" s="4186" t="s">
        <v>3897</v>
      </c>
      <c r="T8580" s="1661"/>
      <c r="U8580" s="1661"/>
      <c r="V8580" s="1661"/>
      <c r="W8580" s="1661"/>
      <c r="X8580" s="1661"/>
    </row>
    <row r="8581" spans="1:24" s="22" customFormat="1">
      <c r="A8581" s="4393" t="s">
        <v>162</v>
      </c>
      <c r="B8581" s="4394"/>
      <c r="C8581" s="4394"/>
      <c r="D8581" s="4395"/>
      <c r="E8581" s="4396" t="s">
        <v>1549</v>
      </c>
      <c r="F8581" s="4397" t="s">
        <v>1550</v>
      </c>
      <c r="G8581" s="4399" t="s">
        <v>1566</v>
      </c>
      <c r="H8581" s="4400"/>
      <c r="I8581" s="4400"/>
      <c r="J8581" s="4400"/>
      <c r="K8581" s="4400"/>
      <c r="L8581" s="4401"/>
      <c r="M8581" s="4405" t="s">
        <v>1567</v>
      </c>
      <c r="N8581" s="4405"/>
      <c r="O8581" s="4405"/>
      <c r="P8581" s="4405"/>
      <c r="Q8581" s="3395"/>
      <c r="R8581" s="2339"/>
    </row>
    <row r="8582" spans="1:24" s="22" customFormat="1" ht="15" thickBot="1">
      <c r="A8582" s="1324" t="s">
        <v>3766</v>
      </c>
      <c r="B8582" s="1325" t="s">
        <v>1513</v>
      </c>
      <c r="C8582" s="1326" t="s">
        <v>1573</v>
      </c>
      <c r="D8582" s="1323" t="s">
        <v>1514</v>
      </c>
      <c r="E8582" s="4396"/>
      <c r="F8582" s="4398"/>
      <c r="G8582" s="4402"/>
      <c r="H8582" s="4403"/>
      <c r="I8582" s="4403"/>
      <c r="J8582" s="4403"/>
      <c r="K8582" s="4403"/>
      <c r="L8582" s="4404"/>
      <c r="M8582" s="4405"/>
      <c r="N8582" s="4405"/>
      <c r="O8582" s="4405"/>
      <c r="P8582" s="4405"/>
      <c r="Q8582" s="3395"/>
      <c r="R8582" s="2339"/>
    </row>
    <row r="8583" spans="1:24" s="22" customFormat="1" ht="39.75" customHeight="1">
      <c r="A8583" s="4374" t="s">
        <v>2512</v>
      </c>
      <c r="B8583" s="4375"/>
      <c r="C8583" s="4375"/>
      <c r="D8583" s="4376"/>
      <c r="E8583" s="4380" t="s">
        <v>1504</v>
      </c>
      <c r="F8583" s="4382" t="s">
        <v>3896</v>
      </c>
      <c r="G8583" s="4406" t="s">
        <v>294</v>
      </c>
      <c r="H8583" s="4407"/>
      <c r="I8583" s="1665" t="s">
        <v>1565</v>
      </c>
      <c r="J8583" s="3348" t="s">
        <v>1575</v>
      </c>
      <c r="K8583" s="4406" t="s">
        <v>289</v>
      </c>
      <c r="L8583" s="4407"/>
      <c r="M8583" s="4408" t="s">
        <v>3349</v>
      </c>
      <c r="N8583" s="4408"/>
      <c r="O8583" s="4408"/>
      <c r="P8583" s="4409"/>
      <c r="Q8583" s="4244" t="s">
        <v>3968</v>
      </c>
      <c r="R8583" s="2339"/>
    </row>
    <row r="8584" spans="1:24" s="22" customFormat="1" ht="25.5" customHeight="1" thickBot="1">
      <c r="A8584" s="4377"/>
      <c r="B8584" s="4378"/>
      <c r="C8584" s="4378"/>
      <c r="D8584" s="4379"/>
      <c r="E8584" s="4381"/>
      <c r="F8584" s="4383"/>
      <c r="G8584" s="4451">
        <f>IF('Seleccion proyecto HEREVEA02'!G61="Sustitución y reposición de ACS con energía solar térmica ",'Seleccion proyecto HEREVEA02'!E61,0)</f>
        <v>0</v>
      </c>
      <c r="H8584" s="4452"/>
      <c r="I8584" s="3353">
        <f>IF('Seleccion proyecto HEREVEA02'!H61=0,0,IF('Seleccion proyecto HEREVEA02'!H61=100,1))</f>
        <v>0</v>
      </c>
      <c r="J8584" s="1351">
        <f>'Seleccion proyecto HEREVEA02'!L8</f>
        <v>11100.968999999999</v>
      </c>
      <c r="K8584" s="4358">
        <f>G8584*I8584*J8584</f>
        <v>0</v>
      </c>
      <c r="L8584" s="4359"/>
      <c r="M8584" s="4360">
        <f>P8586+P8599+P8614+P8630+P8645+P8661+P8676+P8693+P8708+P8723+P8738+P8753+P8771+P8789+P8806+P8823+P8840+P8854+P8868+P8883+P8898+P8913+P8929+P8944+P8959+P8974+P8990+P9005</f>
        <v>2872.8731551400001</v>
      </c>
      <c r="N8584" s="4361"/>
      <c r="O8584" s="4361"/>
      <c r="P8584" s="4362"/>
      <c r="Q8584" s="4245">
        <f>M8584*K8584</f>
        <v>0</v>
      </c>
      <c r="R8584" s="2339"/>
    </row>
    <row r="8585" spans="1:24" s="22" customFormat="1">
      <c r="A8585" s="19" t="s">
        <v>3764</v>
      </c>
      <c r="B8585" s="4325" t="s">
        <v>2507</v>
      </c>
      <c r="C8585" s="3350"/>
      <c r="D8585" s="4327"/>
      <c r="E8585" s="4329" t="s">
        <v>1504</v>
      </c>
      <c r="F8585" s="4338" t="s">
        <v>2508</v>
      </c>
      <c r="G8585" s="4331" t="s">
        <v>1568</v>
      </c>
      <c r="H8585" s="4331" t="s">
        <v>1574</v>
      </c>
      <c r="I8585" s="1572" t="s">
        <v>1559</v>
      </c>
      <c r="J8585" s="1294" t="s">
        <v>1560</v>
      </c>
      <c r="K8585" s="1294" t="s">
        <v>1561</v>
      </c>
      <c r="L8585" s="4333" t="s">
        <v>3765</v>
      </c>
      <c r="M8585" s="4335" t="s">
        <v>1571</v>
      </c>
      <c r="N8585" s="4323" t="s">
        <v>1776</v>
      </c>
      <c r="O8585" s="3347" t="s">
        <v>1563</v>
      </c>
      <c r="P8585" s="1336" t="s">
        <v>1562</v>
      </c>
      <c r="Q8585" s="3389"/>
      <c r="R8585" s="1699" t="s">
        <v>1327</v>
      </c>
    </row>
    <row r="8586" spans="1:24" s="22" customFormat="1">
      <c r="A8586" s="1599" t="s">
        <v>2512</v>
      </c>
      <c r="B8586" s="4326"/>
      <c r="C8586" s="3351"/>
      <c r="D8586" s="4328"/>
      <c r="E8586" s="4330"/>
      <c r="F8586" s="4338"/>
      <c r="G8586" s="4332"/>
      <c r="H8586" s="4332"/>
      <c r="I8586" s="1345">
        <v>12</v>
      </c>
      <c r="J8586" s="1307">
        <v>8.3000000000000004E-2</v>
      </c>
      <c r="K8586" s="1297">
        <f>I8586*J8586</f>
        <v>0.996</v>
      </c>
      <c r="L8586" s="4334"/>
      <c r="M8586" s="4335"/>
      <c r="N8586" s="4324"/>
      <c r="O8586" s="1298">
        <f>SUM(O8588:O8596)</f>
        <v>4.57</v>
      </c>
      <c r="P8586" s="1337">
        <f>O8586*K8586</f>
        <v>4.5517200000000004</v>
      </c>
      <c r="Q8586" s="3390"/>
      <c r="R8586" s="1721">
        <f>SUM(P8588:P8597)</f>
        <v>4.5517200000000004</v>
      </c>
    </row>
    <row r="8587" spans="1:24" s="22" customFormat="1">
      <c r="A8587" s="1320"/>
      <c r="B8587" s="1511"/>
      <c r="C8587" s="18"/>
      <c r="D8587" s="1463"/>
      <c r="E8587" s="2121"/>
      <c r="F8587" s="1368" t="s">
        <v>1</v>
      </c>
      <c r="G8587" s="1464"/>
      <c r="H8587" s="1426"/>
      <c r="I8587" s="1391"/>
      <c r="J8587" s="1369"/>
      <c r="K8587" s="1369"/>
      <c r="L8587" s="1554"/>
      <c r="M8587" s="1369"/>
      <c r="N8587" s="1369"/>
      <c r="O8587" s="1369"/>
      <c r="P8587" s="1367"/>
      <c r="Q8587" s="3387"/>
      <c r="R8587" s="2338"/>
    </row>
    <row r="8588" spans="1:24" s="22" customFormat="1">
      <c r="A8588" s="1320"/>
      <c r="B8588" s="595"/>
      <c r="C8588" s="1042"/>
      <c r="D8588" s="1370"/>
      <c r="E8588" s="2152"/>
      <c r="F8588" s="1471"/>
      <c r="G8588" s="1494"/>
      <c r="H8588" s="1372"/>
      <c r="I8588" s="1286" t="str">
        <f>IF(COUNT(H8589:O8589)=0,"",(SUM(H8589:O8589)/COUNT(H8589:O8589)))</f>
        <v/>
      </c>
      <c r="J8588" s="1287"/>
      <c r="K8588" s="1307"/>
      <c r="L8588" s="1335"/>
      <c r="M8588" s="1499"/>
      <c r="N8588" s="1499"/>
      <c r="O8588" s="1291"/>
      <c r="P8588" s="1332"/>
      <c r="Q8588" s="3391"/>
      <c r="R8588" s="2338"/>
    </row>
    <row r="8589" spans="1:24" s="22" customFormat="1">
      <c r="A8589" s="1320"/>
      <c r="B8589" s="595"/>
      <c r="C8589" s="1042"/>
      <c r="D8589" s="1598"/>
      <c r="E8589" s="2152"/>
      <c r="F8589" s="1598"/>
      <c r="G8589" s="1494"/>
      <c r="H8589" s="1372"/>
      <c r="I8589" s="1286" t="str">
        <f>IF(COUNT(H8590:O8590)=0,"",(SUM(H8590:O8590)/COUNT(H8590:O8590)))</f>
        <v/>
      </c>
      <c r="J8589" s="1287"/>
      <c r="K8589" s="1307"/>
      <c r="L8589" s="1335"/>
      <c r="M8589" s="1499"/>
      <c r="N8589" s="1499"/>
      <c r="O8589" s="1291"/>
      <c r="P8589" s="1332"/>
      <c r="Q8589" s="3391"/>
      <c r="R8589" s="2338"/>
    </row>
    <row r="8590" spans="1:24" s="22" customFormat="1">
      <c r="A8590" s="1320"/>
      <c r="B8590" s="595"/>
      <c r="C8590" s="1042"/>
      <c r="D8590" s="1370"/>
      <c r="E8590" s="2152"/>
      <c r="F8590" s="1471"/>
      <c r="G8590" s="1494"/>
      <c r="H8590" s="1372"/>
      <c r="I8590" s="1286" t="str">
        <f>IF(COUNT(H8591:O8591)=0,"",(SUM(H8591:O8591)/COUNT(H8591:O8591)))</f>
        <v/>
      </c>
      <c r="J8590" s="1287"/>
      <c r="K8590" s="1307"/>
      <c r="L8590" s="1335"/>
      <c r="M8590" s="1499"/>
      <c r="N8590" s="1499"/>
      <c r="O8590" s="1291"/>
      <c r="P8590" s="1332"/>
      <c r="Q8590" s="3391"/>
      <c r="R8590" s="2338"/>
    </row>
    <row r="8591" spans="1:24" s="22" customFormat="1">
      <c r="A8591" s="1320"/>
      <c r="B8591" s="595"/>
      <c r="C8591" s="1042"/>
      <c r="D8591" s="1404"/>
      <c r="E8591" s="1858"/>
      <c r="F8591" s="1465" t="s">
        <v>2</v>
      </c>
      <c r="G8591" s="1466"/>
      <c r="H8591" s="1362"/>
      <c r="I8591" s="1380"/>
      <c r="J8591" s="1381"/>
      <c r="K8591" s="1381"/>
      <c r="L8591" s="1458"/>
      <c r="M8591" s="1362"/>
      <c r="N8591" s="1705"/>
      <c r="O8591" s="1469"/>
      <c r="P8591" s="1470"/>
      <c r="Q8591" s="3398"/>
      <c r="R8591" s="2338"/>
    </row>
    <row r="8592" spans="1:24" s="22" customFormat="1">
      <c r="A8592" s="1320"/>
      <c r="B8592" s="595"/>
      <c r="C8592" s="1042"/>
      <c r="D8592" s="1402" t="s">
        <v>1067</v>
      </c>
      <c r="E8592" s="1857" t="s">
        <v>1508</v>
      </c>
      <c r="F8592" s="1430" t="s">
        <v>1512</v>
      </c>
      <c r="G8592" s="1362">
        <v>0.25</v>
      </c>
      <c r="H8592" s="1362"/>
      <c r="I8592" s="197"/>
      <c r="J8592" s="198"/>
      <c r="K8592" s="1307">
        <f>G8592*K8586</f>
        <v>0.249</v>
      </c>
      <c r="L8592" s="1335">
        <f>K8592*$K$8584</f>
        <v>0</v>
      </c>
      <c r="M8592" s="1499">
        <v>18.28</v>
      </c>
      <c r="N8592" s="1499"/>
      <c r="O8592" s="1291">
        <f>(G8592*M8592)</f>
        <v>4.57</v>
      </c>
      <c r="P8592" s="1332">
        <f>M8592*K8592</f>
        <v>4.5517200000000004</v>
      </c>
      <c r="Q8592" s="3391"/>
      <c r="R8592" s="2338"/>
    </row>
    <row r="8593" spans="1:18" s="22" customFormat="1">
      <c r="A8593" s="1320"/>
      <c r="B8593" s="595"/>
      <c r="C8593" s="1042"/>
      <c r="D8593" s="1402"/>
      <c r="E8593" s="1857"/>
      <c r="F8593" s="1430"/>
      <c r="G8593" s="1362"/>
      <c r="H8593" s="1362"/>
      <c r="I8593" s="197"/>
      <c r="J8593" s="198"/>
      <c r="K8593" s="1307"/>
      <c r="L8593" s="1335"/>
      <c r="M8593" s="1499"/>
      <c r="N8593" s="1499"/>
      <c r="O8593" s="1291"/>
      <c r="P8593" s="1332"/>
      <c r="Q8593" s="3391"/>
      <c r="R8593" s="2338"/>
    </row>
    <row r="8594" spans="1:18" s="22" customFormat="1">
      <c r="A8594" s="1320"/>
      <c r="B8594" s="595"/>
      <c r="C8594" s="1042"/>
      <c r="D8594" s="1411"/>
      <c r="E8594" s="2123"/>
      <c r="F8594" s="1475" t="s">
        <v>3</v>
      </c>
      <c r="G8594" s="1373"/>
      <c r="H8594" s="1376"/>
      <c r="I8594" s="1382"/>
      <c r="J8594" s="1383"/>
      <c r="K8594" s="1373"/>
      <c r="L8594" s="1413"/>
      <c r="M8594" s="1508"/>
      <c r="N8594" s="1706"/>
      <c r="O8594" s="1486"/>
      <c r="P8594" s="1373"/>
      <c r="Q8594" s="3387"/>
      <c r="R8594" s="2338"/>
    </row>
    <row r="8595" spans="1:18" s="22" customFormat="1">
      <c r="A8595" s="1320"/>
      <c r="B8595" s="595"/>
      <c r="C8595" s="1042"/>
      <c r="D8595" s="1378"/>
      <c r="E8595" s="2139"/>
      <c r="F8595" s="1476"/>
      <c r="G8595" s="1477"/>
      <c r="H8595" s="1379"/>
      <c r="I8595" s="1289"/>
      <c r="J8595" s="1341"/>
      <c r="K8595" s="1307"/>
      <c r="L8595" s="1335"/>
      <c r="M8595" s="1499"/>
      <c r="N8595" s="1499"/>
      <c r="O8595" s="1291"/>
      <c r="P8595" s="1332"/>
      <c r="Q8595" s="3391"/>
      <c r="R8595" s="2338"/>
    </row>
    <row r="8596" spans="1:18" s="22" customFormat="1">
      <c r="A8596" s="1320"/>
      <c r="B8596" s="595"/>
      <c r="C8596" s="1042"/>
      <c r="D8596" s="1482"/>
      <c r="E8596" s="2141"/>
      <c r="F8596" s="1483"/>
      <c r="G8596" s="1483"/>
      <c r="H8596" s="1484"/>
      <c r="I8596" s="1349"/>
      <c r="J8596" s="1341"/>
      <c r="K8596" s="1307"/>
      <c r="L8596" s="1335"/>
      <c r="M8596" s="1499"/>
      <c r="N8596" s="1499"/>
      <c r="O8596" s="1291"/>
      <c r="P8596" s="1332"/>
      <c r="Q8596" s="3391"/>
      <c r="R8596" s="2338"/>
    </row>
    <row r="8597" spans="1:18" s="22" customFormat="1">
      <c r="A8597" s="1320"/>
      <c r="B8597" s="1512"/>
      <c r="C8597" s="223"/>
      <c r="D8597" s="1440"/>
      <c r="E8597" s="2132"/>
      <c r="F8597" s="1441"/>
      <c r="G8597" s="1441"/>
      <c r="H8597" s="1442"/>
      <c r="I8597" s="197" t="str">
        <f>IF(COUNT(H8598:O8598)=0,"",(SUM(H8598:O8598)/COUNT(H8598:O8598)))</f>
        <v/>
      </c>
      <c r="J8597" s="198"/>
      <c r="K8597" s="1307"/>
      <c r="L8597" s="1335"/>
      <c r="M8597" s="1499"/>
      <c r="N8597" s="1701"/>
      <c r="O8597" s="1290"/>
      <c r="P8597" s="1332"/>
      <c r="Q8597" s="3391"/>
      <c r="R8597" s="2338"/>
    </row>
    <row r="8598" spans="1:18" s="22" customFormat="1">
      <c r="A8598" s="19" t="s">
        <v>3764</v>
      </c>
      <c r="B8598" s="4325" t="s">
        <v>2509</v>
      </c>
      <c r="C8598" s="3350"/>
      <c r="D8598" s="4327"/>
      <c r="E8598" s="4329" t="s">
        <v>1504</v>
      </c>
      <c r="F8598" s="4338" t="s">
        <v>2510</v>
      </c>
      <c r="G8598" s="4331" t="s">
        <v>1568</v>
      </c>
      <c r="H8598" s="4331" t="s">
        <v>1574</v>
      </c>
      <c r="I8598" s="1572" t="s">
        <v>1559</v>
      </c>
      <c r="J8598" s="1294" t="s">
        <v>1560</v>
      </c>
      <c r="K8598" s="1294" t="s">
        <v>1561</v>
      </c>
      <c r="L8598" s="4333" t="s">
        <v>3765</v>
      </c>
      <c r="M8598" s="4335" t="s">
        <v>1571</v>
      </c>
      <c r="N8598" s="4323" t="s">
        <v>1776</v>
      </c>
      <c r="O8598" s="3347" t="s">
        <v>1563</v>
      </c>
      <c r="P8598" s="1336" t="s">
        <v>1562</v>
      </c>
      <c r="Q8598" s="3389"/>
      <c r="R8598" s="1699" t="s">
        <v>1327</v>
      </c>
    </row>
    <row r="8599" spans="1:18" s="22" customFormat="1" ht="15" customHeight="1">
      <c r="A8599" s="1599" t="s">
        <v>2512</v>
      </c>
      <c r="B8599" s="4326"/>
      <c r="C8599" s="3351"/>
      <c r="D8599" s="4328"/>
      <c r="E8599" s="4330"/>
      <c r="F8599" s="4338"/>
      <c r="G8599" s="4332"/>
      <c r="H8599" s="4332"/>
      <c r="I8599" s="1345">
        <v>12</v>
      </c>
      <c r="J8599" s="1307">
        <v>8.3000000000000004E-2</v>
      </c>
      <c r="K8599" s="1297">
        <f>I8599*J8599</f>
        <v>0.996</v>
      </c>
      <c r="L8599" s="4334"/>
      <c r="M8599" s="4335"/>
      <c r="N8599" s="4324"/>
      <c r="O8599" s="1298">
        <f>SUM(O8601:O8612)</f>
        <v>387.71049999999997</v>
      </c>
      <c r="P8599" s="1337">
        <f>O8599*K8599</f>
        <v>386.15965799999998</v>
      </c>
      <c r="Q8599" s="3390"/>
      <c r="R8599" s="1721">
        <f>SUM(P8601:P8612)</f>
        <v>381.37138800000008</v>
      </c>
    </row>
    <row r="8600" spans="1:18" s="22" customFormat="1">
      <c r="A8600" s="1320"/>
      <c r="B8600" s="1511"/>
      <c r="C8600" s="18"/>
      <c r="D8600" s="1463"/>
      <c r="E8600" s="2121"/>
      <c r="F8600" s="1368" t="s">
        <v>1</v>
      </c>
      <c r="G8600" s="1464"/>
      <c r="H8600" s="1426"/>
      <c r="I8600" s="1391"/>
      <c r="J8600" s="1369"/>
      <c r="K8600" s="1369"/>
      <c r="L8600" s="1554"/>
      <c r="M8600" s="1369"/>
      <c r="N8600" s="1369"/>
      <c r="O8600" s="1369"/>
      <c r="P8600" s="1367"/>
      <c r="Q8600" s="3387"/>
      <c r="R8600" s="2338"/>
    </row>
    <row r="8601" spans="1:18" s="22" customFormat="1">
      <c r="A8601" s="1320"/>
      <c r="B8601" s="595"/>
      <c r="C8601" s="1042"/>
      <c r="D8601" s="1598" t="s">
        <v>2511</v>
      </c>
      <c r="E8601" s="2154" t="s">
        <v>1504</v>
      </c>
      <c r="F8601" s="1598" t="s">
        <v>2510</v>
      </c>
      <c r="G8601" s="1995">
        <v>1</v>
      </c>
      <c r="H8601" s="1372"/>
      <c r="I8601" s="1286"/>
      <c r="J8601" s="1287"/>
      <c r="K8601" s="1307">
        <f>G8601*K8599</f>
        <v>0.996</v>
      </c>
      <c r="L8601" s="1335">
        <f t="shared" ref="L8601:L8602" si="1163">K8601*$K$8584</f>
        <v>0</v>
      </c>
      <c r="M8601" s="2190">
        <v>380.8</v>
      </c>
      <c r="N8601" s="1499"/>
      <c r="O8601" s="1291">
        <f>(G8601*M8601)</f>
        <v>380.8</v>
      </c>
      <c r="P8601" s="1332">
        <f>M8601*K8601</f>
        <v>379.27680000000004</v>
      </c>
      <c r="Q8601" s="3391"/>
      <c r="R8601" s="2338"/>
    </row>
    <row r="8602" spans="1:18" s="22" customFormat="1" ht="19.5" customHeight="1">
      <c r="A8602" s="1320"/>
      <c r="B8602" s="595"/>
      <c r="C8602" s="1042"/>
      <c r="D8602" s="1370" t="s">
        <v>1097</v>
      </c>
      <c r="E8602" s="2152" t="s">
        <v>1504</v>
      </c>
      <c r="F8602" s="1471" t="s">
        <v>1632</v>
      </c>
      <c r="G8602" s="1995">
        <v>0.5</v>
      </c>
      <c r="H8602" s="1372"/>
      <c r="I8602" s="1286" t="str">
        <f t="shared" ref="I8602" si="1164">IF(COUNT(H8603:O8603)=0,"",(SUM(H8603:O8603)/COUNT(H8603:O8603)))</f>
        <v/>
      </c>
      <c r="J8602" s="1287"/>
      <c r="K8602" s="1307">
        <f>G8602*K8599</f>
        <v>0.498</v>
      </c>
      <c r="L8602" s="1335">
        <f t="shared" si="1163"/>
        <v>0</v>
      </c>
      <c r="M8602" s="1499">
        <v>0.55000000000000004</v>
      </c>
      <c r="N8602" s="1499"/>
      <c r="O8602" s="1291">
        <f>(G8602*M8602)</f>
        <v>0.27500000000000002</v>
      </c>
      <c r="P8602" s="1332">
        <f>M8602*K8602</f>
        <v>0.27390000000000003</v>
      </c>
      <c r="Q8602" s="3391"/>
      <c r="R8602" s="2338"/>
    </row>
    <row r="8603" spans="1:18" s="22" customFormat="1" ht="22.5" customHeight="1">
      <c r="A8603" s="1320"/>
      <c r="B8603" s="595"/>
      <c r="C8603" s="1042"/>
      <c r="D8603" s="1598"/>
      <c r="E8603" s="2152"/>
      <c r="F8603" s="1598"/>
      <c r="G8603" s="1494"/>
      <c r="H8603" s="1372"/>
      <c r="I8603" s="1286" t="str">
        <f t="shared" ref="I8603:I8604" si="1165">IF(COUNT(H8604:O8604)=0,"",(SUM(H8604:O8604)/COUNT(H8604:O8604)))</f>
        <v/>
      </c>
      <c r="J8603" s="1287"/>
      <c r="K8603" s="1307"/>
      <c r="L8603" s="1335"/>
      <c r="M8603" s="1499"/>
      <c r="N8603" s="1499"/>
      <c r="O8603" s="1291"/>
      <c r="P8603" s="1332"/>
      <c r="Q8603" s="3391"/>
      <c r="R8603" s="2338"/>
    </row>
    <row r="8604" spans="1:18" s="22" customFormat="1" ht="19.5" customHeight="1">
      <c r="A8604" s="1320"/>
      <c r="B8604" s="595"/>
      <c r="C8604" s="1042"/>
      <c r="D8604" s="1370"/>
      <c r="E8604" s="2152"/>
      <c r="F8604" s="1471"/>
      <c r="G8604" s="1494"/>
      <c r="H8604" s="1372"/>
      <c r="I8604" s="1286" t="str">
        <f t="shared" si="1165"/>
        <v/>
      </c>
      <c r="J8604" s="1287"/>
      <c r="K8604" s="1307"/>
      <c r="L8604" s="1335"/>
      <c r="M8604" s="1499"/>
      <c r="N8604" s="1499"/>
      <c r="O8604" s="1291"/>
      <c r="P8604" s="1332"/>
      <c r="Q8604" s="3391"/>
      <c r="R8604" s="2338"/>
    </row>
    <row r="8605" spans="1:18" s="22" customFormat="1" ht="20.25" customHeight="1">
      <c r="A8605" s="1320"/>
      <c r="B8605" s="595"/>
      <c r="C8605" s="1042"/>
      <c r="D8605" s="1404"/>
      <c r="E8605" s="1858"/>
      <c r="F8605" s="1465" t="s">
        <v>2</v>
      </c>
      <c r="G8605" s="1466"/>
      <c r="H8605" s="1362"/>
      <c r="I8605" s="1380"/>
      <c r="J8605" s="1381"/>
      <c r="K8605" s="1381"/>
      <c r="L8605" s="1458"/>
      <c r="M8605" s="1362"/>
      <c r="N8605" s="1705"/>
      <c r="O8605" s="1469"/>
      <c r="P8605" s="1470"/>
      <c r="Q8605" s="3398"/>
      <c r="R8605" s="2338"/>
    </row>
    <row r="8606" spans="1:18" s="22" customFormat="1" ht="18" customHeight="1">
      <c r="A8606" s="1320"/>
      <c r="B8606" s="595"/>
      <c r="C8606" s="1042"/>
      <c r="D8606" s="1402" t="s">
        <v>1067</v>
      </c>
      <c r="E8606" s="1857" t="s">
        <v>1508</v>
      </c>
      <c r="F8606" s="1430" t="s">
        <v>1512</v>
      </c>
      <c r="G8606" s="1362">
        <v>0.1</v>
      </c>
      <c r="H8606" s="1362"/>
      <c r="I8606" s="197"/>
      <c r="J8606" s="198"/>
      <c r="K8606" s="1307">
        <f>G8606*K8599</f>
        <v>9.9600000000000008E-2</v>
      </c>
      <c r="L8606" s="1335">
        <f t="shared" ref="L8606:L8607" si="1166">K8606*$K$8584</f>
        <v>0</v>
      </c>
      <c r="M8606" s="1499">
        <v>18.28</v>
      </c>
      <c r="N8606" s="1499"/>
      <c r="O8606" s="1291">
        <f>(G8606*M8606)</f>
        <v>1.8280000000000003</v>
      </c>
      <c r="P8606" s="1332">
        <f>M8606*K8606</f>
        <v>1.8206880000000003</v>
      </c>
      <c r="Q8606" s="3391"/>
      <c r="R8606" s="2338"/>
    </row>
    <row r="8607" spans="1:18" s="22" customFormat="1" ht="21.75" customHeight="1">
      <c r="A8607" s="1320"/>
      <c r="B8607" s="595"/>
      <c r="C8607" s="1042"/>
      <c r="D8607" s="1402" t="s">
        <v>1099</v>
      </c>
      <c r="E8607" s="1857" t="s">
        <v>1508</v>
      </c>
      <c r="F8607" s="1430" t="s">
        <v>1633</v>
      </c>
      <c r="G8607" s="1362">
        <v>0.25</v>
      </c>
      <c r="H8607" s="1362"/>
      <c r="I8607" s="197"/>
      <c r="J8607" s="198"/>
      <c r="K8607" s="1307">
        <f>G8607*K8600</f>
        <v>0</v>
      </c>
      <c r="L8607" s="1335">
        <f t="shared" si="1166"/>
        <v>0</v>
      </c>
      <c r="M8607" s="1499">
        <v>19.23</v>
      </c>
      <c r="N8607" s="1499"/>
      <c r="O8607" s="1291">
        <f>(G8607*M8607)</f>
        <v>4.8075000000000001</v>
      </c>
      <c r="P8607" s="1332">
        <f>M8607*K8607</f>
        <v>0</v>
      </c>
      <c r="Q8607" s="3391"/>
      <c r="R8607" s="2338"/>
    </row>
    <row r="8608" spans="1:18" s="22" customFormat="1">
      <c r="A8608" s="1320"/>
      <c r="B8608" s="595"/>
      <c r="C8608" s="1042"/>
      <c r="D8608" s="1402"/>
      <c r="E8608" s="1857"/>
      <c r="F8608" s="1430"/>
      <c r="G8608" s="1362"/>
      <c r="H8608" s="1362"/>
      <c r="I8608" s="197"/>
      <c r="J8608" s="198"/>
      <c r="K8608" s="1307"/>
      <c r="L8608" s="1335"/>
      <c r="M8608" s="1972"/>
      <c r="N8608" s="1302"/>
      <c r="O8608" s="2310"/>
      <c r="P8608" s="1332"/>
      <c r="Q8608" s="3391"/>
      <c r="R8608" s="2338"/>
    </row>
    <row r="8609" spans="1:18" s="22" customFormat="1" ht="15" customHeight="1">
      <c r="A8609" s="1320"/>
      <c r="B8609" s="595"/>
      <c r="C8609" s="1042"/>
      <c r="D8609" s="1411"/>
      <c r="E8609" s="2123"/>
      <c r="F8609" s="1475" t="s">
        <v>3</v>
      </c>
      <c r="G8609" s="1373"/>
      <c r="H8609" s="1376"/>
      <c r="I8609" s="1382"/>
      <c r="J8609" s="1383"/>
      <c r="K8609" s="1373"/>
      <c r="L8609" s="1413"/>
      <c r="M8609" s="1508"/>
      <c r="N8609" s="2311"/>
      <c r="O8609" s="1486"/>
      <c r="P8609" s="1373"/>
      <c r="Q8609" s="3387"/>
      <c r="R8609" s="2338"/>
    </row>
    <row r="8610" spans="1:18" s="22" customFormat="1">
      <c r="A8610" s="1320"/>
      <c r="B8610" s="595"/>
      <c r="C8610" s="1042"/>
      <c r="D8610" s="1378"/>
      <c r="E8610" s="2139"/>
      <c r="F8610" s="1476"/>
      <c r="G8610" s="1477"/>
      <c r="H8610" s="1379"/>
      <c r="I8610" s="1289"/>
      <c r="J8610" s="1341"/>
      <c r="K8610" s="1307"/>
      <c r="L8610" s="1335"/>
      <c r="M8610" s="1499"/>
      <c r="N8610" s="1499"/>
      <c r="O8610" s="1291"/>
      <c r="P8610" s="1332"/>
      <c r="Q8610" s="3391"/>
      <c r="R8610" s="2338"/>
    </row>
    <row r="8611" spans="1:18" s="22" customFormat="1">
      <c r="A8611" s="1320"/>
      <c r="B8611" s="595"/>
      <c r="C8611" s="1042"/>
      <c r="D8611" s="1482"/>
      <c r="E8611" s="2141"/>
      <c r="F8611" s="1483"/>
      <c r="G8611" s="1483"/>
      <c r="H8611" s="1484"/>
      <c r="I8611" s="1349"/>
      <c r="J8611" s="1341"/>
      <c r="K8611" s="1307"/>
      <c r="L8611" s="1335"/>
      <c r="M8611" s="1499"/>
      <c r="N8611" s="1499"/>
      <c r="O8611" s="1291"/>
      <c r="P8611" s="1332"/>
      <c r="Q8611" s="3391"/>
      <c r="R8611" s="2338"/>
    </row>
    <row r="8612" spans="1:18" s="22" customFormat="1">
      <c r="A8612" s="1320"/>
      <c r="B8612" s="1512"/>
      <c r="C8612" s="223"/>
      <c r="D8612" s="1440"/>
      <c r="E8612" s="2132"/>
      <c r="F8612" s="1441"/>
      <c r="G8612" s="1441"/>
      <c r="H8612" s="1442"/>
      <c r="I8612" s="197" t="str">
        <f>IF(COUNT(#REF!)=0,"",(SUM(#REF!)/COUNT(#REF!)))</f>
        <v/>
      </c>
      <c r="J8612" s="198"/>
      <c r="K8612" s="1307"/>
      <c r="L8612" s="1335"/>
      <c r="M8612" s="1499"/>
      <c r="N8612" s="1701"/>
      <c r="O8612" s="1290"/>
      <c r="P8612" s="1332"/>
      <c r="Q8612" s="3391"/>
      <c r="R8612" s="2338"/>
    </row>
    <row r="8613" spans="1:18" s="22" customFormat="1">
      <c r="A8613" s="18" t="s">
        <v>3764</v>
      </c>
      <c r="B8613" s="4325" t="s">
        <v>2513</v>
      </c>
      <c r="C8613" s="3350"/>
      <c r="D8613" s="4327"/>
      <c r="E8613" s="4329" t="s">
        <v>1504</v>
      </c>
      <c r="F8613" s="4336" t="s">
        <v>2514</v>
      </c>
      <c r="G8613" s="4331" t="s">
        <v>1568</v>
      </c>
      <c r="H8613" s="4331" t="s">
        <v>1574</v>
      </c>
      <c r="I8613" s="1572" t="s">
        <v>1559</v>
      </c>
      <c r="J8613" s="1294" t="s">
        <v>1560</v>
      </c>
      <c r="K8613" s="1294" t="s">
        <v>1569</v>
      </c>
      <c r="L8613" s="4333" t="s">
        <v>3765</v>
      </c>
      <c r="M8613" s="4335" t="s">
        <v>1571</v>
      </c>
      <c r="N8613" s="4323" t="s">
        <v>1776</v>
      </c>
      <c r="O8613" s="3347" t="s">
        <v>1563</v>
      </c>
      <c r="P8613" s="1336" t="s">
        <v>1562</v>
      </c>
      <c r="Q8613" s="3389"/>
      <c r="R8613" s="1699" t="s">
        <v>1327</v>
      </c>
    </row>
    <row r="8614" spans="1:18" s="22" customFormat="1">
      <c r="A8614" s="1599" t="s">
        <v>2512</v>
      </c>
      <c r="B8614" s="4326"/>
      <c r="C8614" s="3351"/>
      <c r="D8614" s="4328"/>
      <c r="E8614" s="4330"/>
      <c r="F8614" s="4336"/>
      <c r="G8614" s="4332"/>
      <c r="H8614" s="4332"/>
      <c r="I8614" s="1345">
        <v>1</v>
      </c>
      <c r="J8614" s="1307">
        <v>8.3000000000000004E-2</v>
      </c>
      <c r="K8614" s="1666">
        <f>I8614*J8614</f>
        <v>8.3000000000000004E-2</v>
      </c>
      <c r="L8614" s="4334"/>
      <c r="M8614" s="4335"/>
      <c r="N8614" s="4324"/>
      <c r="O8614" s="1298">
        <f>SUM(O8616:O8622)</f>
        <v>548.7299999999999</v>
      </c>
      <c r="P8614" s="1337">
        <f>O8614*K8614</f>
        <v>45.544589999999992</v>
      </c>
      <c r="Q8614" s="3390"/>
      <c r="R8614" s="1721">
        <f>SUM(P8616:P8622)</f>
        <v>45.544590000000007</v>
      </c>
    </row>
    <row r="8615" spans="1:18" s="22" customFormat="1" ht="15" customHeight="1">
      <c r="A8615" s="1320"/>
      <c r="B8615" s="1949"/>
      <c r="C8615" s="1327"/>
      <c r="D8615" s="1367"/>
      <c r="E8615" s="2121"/>
      <c r="F8615" s="1389" t="s">
        <v>1</v>
      </c>
      <c r="G8615" s="1389"/>
      <c r="H8615" s="1369"/>
      <c r="I8615" s="2088"/>
      <c r="J8615" s="1369"/>
      <c r="K8615" s="1391"/>
      <c r="L8615" s="1559"/>
      <c r="M8615" s="1369"/>
      <c r="N8615" s="1369"/>
      <c r="O8615" s="1369"/>
      <c r="P8615" s="1392"/>
      <c r="Q8615" s="3395"/>
      <c r="R8615" s="2344"/>
    </row>
    <row r="8616" spans="1:18" s="22" customFormat="1">
      <c r="A8616" s="1320"/>
      <c r="B8616" s="1599"/>
      <c r="C8616" s="1320"/>
      <c r="D8616" s="1598" t="s">
        <v>2515</v>
      </c>
      <c r="E8616" s="2154" t="s">
        <v>1504</v>
      </c>
      <c r="F8616" s="1598" t="s">
        <v>2516</v>
      </c>
      <c r="G8616" s="1995">
        <v>1</v>
      </c>
      <c r="H8616" s="1369"/>
      <c r="I8616" s="1299"/>
      <c r="J8616" s="1300"/>
      <c r="K8616" s="1307">
        <f>G8616*K8614</f>
        <v>8.3000000000000004E-2</v>
      </c>
      <c r="L8616" s="1335">
        <f t="shared" ref="L8616:L8617" si="1167">K8616*$K$8584</f>
        <v>0</v>
      </c>
      <c r="M8616" s="1302">
        <v>529.14</v>
      </c>
      <c r="N8616" s="1700"/>
      <c r="O8616" s="1290">
        <f>G8616*M8616</f>
        <v>529.14</v>
      </c>
      <c r="P8616" s="1332">
        <f>M8616*K8616</f>
        <v>43.918620000000004</v>
      </c>
      <c r="Q8616" s="3402"/>
      <c r="R8616" s="2356"/>
    </row>
    <row r="8617" spans="1:18" s="22" customFormat="1" ht="21" customHeight="1">
      <c r="A8617" s="2187"/>
      <c r="B8617" s="1599"/>
      <c r="C8617" s="1042"/>
      <c r="D8617" s="1598" t="s">
        <v>1097</v>
      </c>
      <c r="E8617" s="2154" t="s">
        <v>1504</v>
      </c>
      <c r="F8617" s="1598" t="s">
        <v>1632</v>
      </c>
      <c r="G8617" s="1995">
        <v>1</v>
      </c>
      <c r="H8617" s="1369"/>
      <c r="I8617" s="1299"/>
      <c r="J8617" s="1300"/>
      <c r="K8617" s="1307">
        <f>G8617*K8614</f>
        <v>8.3000000000000004E-2</v>
      </c>
      <c r="L8617" s="1335">
        <f t="shared" si="1167"/>
        <v>0</v>
      </c>
      <c r="M8617" s="1499">
        <v>0.55000000000000004</v>
      </c>
      <c r="N8617" s="1700"/>
      <c r="O8617" s="1290">
        <f>G8617*M8617</f>
        <v>0.55000000000000004</v>
      </c>
      <c r="P8617" s="1332">
        <f>M8617*K8617</f>
        <v>4.5650000000000003E-2</v>
      </c>
      <c r="Q8617" s="3402"/>
      <c r="R8617" s="2357"/>
    </row>
    <row r="8618" spans="1:18" s="22" customFormat="1">
      <c r="A8618" s="16"/>
      <c r="B8618" s="1599"/>
      <c r="C8618" s="1320"/>
      <c r="D8618" s="1598"/>
      <c r="E8618" s="1856"/>
      <c r="F8618" s="1598"/>
      <c r="G8618" s="1651"/>
      <c r="H8618" s="1399"/>
      <c r="I8618" s="198"/>
      <c r="J8618" s="198"/>
      <c r="K8618" s="1307"/>
      <c r="L8618" s="1335"/>
      <c r="M8618" s="1499"/>
      <c r="N8618" s="1701"/>
      <c r="O8618" s="1290"/>
      <c r="P8618" s="1332"/>
      <c r="Q8618" s="3391"/>
      <c r="R8618" s="3363"/>
    </row>
    <row r="8619" spans="1:18" s="22" customFormat="1">
      <c r="A8619" s="16"/>
      <c r="B8619" s="1599"/>
      <c r="C8619" s="1320"/>
      <c r="D8619" s="1598"/>
      <c r="E8619" s="1856"/>
      <c r="F8619" s="1598"/>
      <c r="G8619" s="1399"/>
      <c r="H8619" s="1399"/>
      <c r="I8619" s="198"/>
      <c r="J8619" s="198"/>
      <c r="K8619" s="1307"/>
      <c r="L8619" s="1335"/>
      <c r="M8619" s="1499"/>
      <c r="N8619" s="1701"/>
      <c r="O8619" s="1291"/>
      <c r="P8619" s="1332"/>
      <c r="Q8619" s="3391"/>
      <c r="R8619" s="3363"/>
    </row>
    <row r="8620" spans="1:18" s="22" customFormat="1" ht="21" customHeight="1">
      <c r="A8620" s="2187"/>
      <c r="B8620" s="1599"/>
      <c r="C8620" s="1042"/>
      <c r="D8620" s="1359"/>
      <c r="E8620" s="1858"/>
      <c r="F8620" s="1360" t="s">
        <v>2</v>
      </c>
      <c r="G8620" s="1360"/>
      <c r="H8620" s="1362"/>
      <c r="I8620" s="1380"/>
      <c r="J8620" s="1381"/>
      <c r="K8620" s="1381"/>
      <c r="L8620" s="1458"/>
      <c r="M8620" s="1362"/>
      <c r="N8620" s="1362"/>
      <c r="O8620" s="1362"/>
      <c r="P8620" s="1359"/>
      <c r="Q8620" s="3403"/>
      <c r="R8620" s="2357"/>
    </row>
    <row r="8621" spans="1:18" s="22" customFormat="1" ht="21" customHeight="1">
      <c r="A8621" s="2187"/>
      <c r="B8621" s="2053"/>
      <c r="C8621" s="1321"/>
      <c r="D8621" s="1655" t="s">
        <v>1099</v>
      </c>
      <c r="E8621" s="1859" t="s">
        <v>1508</v>
      </c>
      <c r="F8621" s="1655" t="s">
        <v>1633</v>
      </c>
      <c r="G8621" s="1994">
        <v>0.8</v>
      </c>
      <c r="H8621" s="1386"/>
      <c r="I8621" s="1299"/>
      <c r="J8621" s="1300"/>
      <c r="K8621" s="1307">
        <f>G8621*K8614</f>
        <v>6.6400000000000001E-2</v>
      </c>
      <c r="L8621" s="1335">
        <f t="shared" ref="L8621:L8622" si="1168">K8621*$K$8584</f>
        <v>0</v>
      </c>
      <c r="M8621" s="1302">
        <v>19.23</v>
      </c>
      <c r="N8621" s="1700"/>
      <c r="O8621" s="1290">
        <f>G8621*M8621</f>
        <v>15.384</v>
      </c>
      <c r="P8621" s="1332">
        <f>M8621*K8621</f>
        <v>1.276872</v>
      </c>
      <c r="Q8621" s="3402"/>
      <c r="R8621" s="2357"/>
    </row>
    <row r="8622" spans="1:18" s="22" customFormat="1">
      <c r="A8622" s="19"/>
      <c r="B8622" s="1042"/>
      <c r="C8622" s="1042"/>
      <c r="D8622" s="1402" t="s">
        <v>1067</v>
      </c>
      <c r="E8622" s="1857" t="s">
        <v>1508</v>
      </c>
      <c r="F8622" s="1430" t="s">
        <v>5</v>
      </c>
      <c r="G8622" s="1381">
        <v>0.2</v>
      </c>
      <c r="H8622" s="1408"/>
      <c r="I8622" s="1340"/>
      <c r="J8622" s="198"/>
      <c r="K8622" s="1307">
        <f>G8622*K8614</f>
        <v>1.66E-2</v>
      </c>
      <c r="L8622" s="1335">
        <f t="shared" si="1168"/>
        <v>0</v>
      </c>
      <c r="M8622" s="1302">
        <v>18.28</v>
      </c>
      <c r="N8622" s="1724"/>
      <c r="O8622" s="1290">
        <f>G8622*M8622</f>
        <v>3.6560000000000006</v>
      </c>
      <c r="P8622" s="1332">
        <f>M8622*K8622</f>
        <v>0.303448</v>
      </c>
      <c r="Q8622" s="3391"/>
      <c r="R8622" s="2338"/>
    </row>
    <row r="8623" spans="1:18" s="22" customFormat="1">
      <c r="A8623"/>
      <c r="B8623" s="1042"/>
      <c r="C8623" s="19"/>
      <c r="D8623" s="1430"/>
      <c r="E8623" s="1857"/>
      <c r="F8623" s="1394"/>
      <c r="G8623" s="2183"/>
      <c r="H8623" s="1395"/>
      <c r="I8623" s="197"/>
      <c r="J8623" s="198"/>
      <c r="K8623" s="1307"/>
      <c r="L8623" s="1335"/>
      <c r="M8623" s="1302"/>
      <c r="N8623" s="1718"/>
      <c r="O8623" s="1290"/>
      <c r="P8623" s="1720"/>
      <c r="Q8623" s="3396"/>
      <c r="R8623" s="2337"/>
    </row>
    <row r="8624" spans="1:18" s="22" customFormat="1">
      <c r="B8624" s="1320"/>
      <c r="C8624" s="16"/>
      <c r="D8624" s="1359"/>
      <c r="E8624" s="1858"/>
      <c r="F8624" s="1474"/>
      <c r="G8624" s="1474"/>
      <c r="H8624" s="1466"/>
      <c r="I8624" s="1289"/>
      <c r="J8624" s="8"/>
      <c r="K8624" s="1307"/>
      <c r="L8624" s="1335"/>
      <c r="M8624" s="1302"/>
      <c r="N8624" s="1700"/>
      <c r="O8624" s="1290"/>
      <c r="P8624" s="1332"/>
      <c r="Q8624" s="3391"/>
      <c r="R8624" s="2344"/>
    </row>
    <row r="8625" spans="1:18" s="22" customFormat="1">
      <c r="A8625" s="1320"/>
      <c r="B8625" s="1599"/>
      <c r="C8625" s="1320"/>
      <c r="D8625" s="1373"/>
      <c r="E8625" s="2123"/>
      <c r="F8625" s="1374" t="s">
        <v>3</v>
      </c>
      <c r="G8625" s="1375"/>
      <c r="H8625" s="1376"/>
      <c r="I8625" s="1382"/>
      <c r="J8625" s="1383"/>
      <c r="K8625" s="1383"/>
      <c r="L8625" s="1413"/>
      <c r="M8625" s="1376"/>
      <c r="N8625" s="1376"/>
      <c r="O8625" s="1376"/>
      <c r="P8625" s="1373"/>
      <c r="Q8625" s="3403"/>
      <c r="R8625" s="2356"/>
    </row>
    <row r="8626" spans="1:18" s="22" customFormat="1">
      <c r="A8626" s="1321"/>
      <c r="B8626" s="2053"/>
      <c r="C8626" s="1321"/>
      <c r="D8626" s="1827"/>
      <c r="E8626" s="2173"/>
      <c r="F8626" s="1827"/>
      <c r="G8626" s="1828"/>
      <c r="H8626" s="1379"/>
      <c r="I8626" s="1299"/>
      <c r="J8626" s="1300"/>
      <c r="K8626" s="1307"/>
      <c r="L8626" s="1335"/>
      <c r="M8626" s="1302"/>
      <c r="N8626" s="1700"/>
      <c r="O8626" s="1290"/>
      <c r="P8626" s="1332"/>
      <c r="Q8626" s="3402"/>
      <c r="R8626" s="2053"/>
    </row>
    <row r="8627" spans="1:18" s="22" customFormat="1">
      <c r="A8627" s="1321"/>
      <c r="B8627" s="2053"/>
      <c r="C8627" s="1321"/>
      <c r="D8627" s="1377"/>
      <c r="E8627" s="2124"/>
      <c r="F8627" s="1378"/>
      <c r="G8627" s="1378"/>
      <c r="H8627" s="1379"/>
      <c r="I8627" s="1299"/>
      <c r="J8627" s="1300"/>
      <c r="K8627" s="1307"/>
      <c r="L8627" s="1335"/>
      <c r="M8627" s="1302"/>
      <c r="N8627" s="1700"/>
      <c r="O8627" s="1290"/>
      <c r="P8627" s="1333"/>
      <c r="Q8627" s="3402"/>
      <c r="R8627" s="2053"/>
    </row>
    <row r="8628" spans="1:18" s="22" customFormat="1">
      <c r="A8628" s="1320"/>
      <c r="B8628" s="1765"/>
      <c r="C8628" s="223"/>
      <c r="D8628" s="1373"/>
      <c r="E8628" s="2161"/>
      <c r="F8628" s="1678"/>
      <c r="G8628" s="1678"/>
      <c r="H8628" s="1376"/>
      <c r="I8628" s="1299"/>
      <c r="J8628" s="1300"/>
      <c r="K8628" s="1307"/>
      <c r="L8628" s="1335"/>
      <c r="M8628" s="1302"/>
      <c r="N8628" s="1700"/>
      <c r="O8628" s="1290"/>
      <c r="P8628" s="1332"/>
      <c r="Q8628" s="3402"/>
      <c r="R8628" s="2356"/>
    </row>
    <row r="8629" spans="1:18" s="22" customFormat="1">
      <c r="A8629" s="18" t="s">
        <v>3764</v>
      </c>
      <c r="B8629" s="4325" t="s">
        <v>2517</v>
      </c>
      <c r="C8629" s="3350"/>
      <c r="D8629" s="4327"/>
      <c r="E8629" s="4329" t="s">
        <v>1504</v>
      </c>
      <c r="F8629" s="4336" t="s">
        <v>2518</v>
      </c>
      <c r="G8629" s="4331" t="s">
        <v>1568</v>
      </c>
      <c r="H8629" s="4331" t="s">
        <v>1574</v>
      </c>
      <c r="I8629" s="1572" t="s">
        <v>1559</v>
      </c>
      <c r="J8629" s="1294" t="s">
        <v>1560</v>
      </c>
      <c r="K8629" s="1294" t="s">
        <v>1569</v>
      </c>
      <c r="L8629" s="4333" t="s">
        <v>3765</v>
      </c>
      <c r="M8629" s="4335" t="s">
        <v>1571</v>
      </c>
      <c r="N8629" s="4323" t="s">
        <v>1776</v>
      </c>
      <c r="O8629" s="3347" t="s">
        <v>1563</v>
      </c>
      <c r="P8629" s="1336" t="s">
        <v>1562</v>
      </c>
      <c r="Q8629" s="3389"/>
      <c r="R8629" s="1699" t="s">
        <v>1327</v>
      </c>
    </row>
    <row r="8630" spans="1:18" s="22" customFormat="1">
      <c r="A8630" s="1599" t="s">
        <v>2512</v>
      </c>
      <c r="B8630" s="4326"/>
      <c r="C8630" s="3351"/>
      <c r="D8630" s="4328"/>
      <c r="E8630" s="4330"/>
      <c r="F8630" s="4336"/>
      <c r="G8630" s="4332"/>
      <c r="H8630" s="4332"/>
      <c r="I8630" s="1345">
        <v>1</v>
      </c>
      <c r="J8630" s="1307">
        <v>8.3000000000000004E-2</v>
      </c>
      <c r="K8630" s="1666">
        <f>I8630*J8630</f>
        <v>8.3000000000000004E-2</v>
      </c>
      <c r="L8630" s="4334"/>
      <c r="M8630" s="4335"/>
      <c r="N8630" s="4324"/>
      <c r="O8630" s="1298">
        <f>SUM(O8632:O8638)</f>
        <v>109.82100000000001</v>
      </c>
      <c r="P8630" s="1337">
        <f>O8630*K8630</f>
        <v>9.1151430000000015</v>
      </c>
      <c r="Q8630" s="3390"/>
      <c r="R8630" s="1721">
        <f>SUM(P8632:P8638)</f>
        <v>9.1151429999999998</v>
      </c>
    </row>
    <row r="8631" spans="1:18" s="22" customFormat="1">
      <c r="A8631" s="1320"/>
      <c r="B8631" s="1949"/>
      <c r="C8631" s="1327"/>
      <c r="D8631" s="1367"/>
      <c r="E8631" s="2121"/>
      <c r="F8631" s="1389" t="s">
        <v>1</v>
      </c>
      <c r="G8631" s="1389"/>
      <c r="H8631" s="1369"/>
      <c r="I8631" s="2088"/>
      <c r="J8631" s="1369"/>
      <c r="K8631" s="1391"/>
      <c r="L8631" s="1559"/>
      <c r="M8631" s="1369"/>
      <c r="N8631" s="1369"/>
      <c r="O8631" s="1369"/>
      <c r="P8631" s="1392"/>
      <c r="Q8631" s="3395"/>
      <c r="R8631" s="2344"/>
    </row>
    <row r="8632" spans="1:18" s="22" customFormat="1">
      <c r="A8632" s="1320"/>
      <c r="B8632" s="1599"/>
      <c r="C8632" s="1320"/>
      <c r="D8632" s="1598" t="s">
        <v>2519</v>
      </c>
      <c r="E8632" s="2154" t="s">
        <v>1504</v>
      </c>
      <c r="F8632" s="1598" t="s">
        <v>2520</v>
      </c>
      <c r="G8632" s="1995">
        <v>1</v>
      </c>
      <c r="H8632" s="1369"/>
      <c r="I8632" s="1299"/>
      <c r="J8632" s="1300"/>
      <c r="K8632" s="1307">
        <f>G8632*K8630</f>
        <v>8.3000000000000004E-2</v>
      </c>
      <c r="L8632" s="1335">
        <f t="shared" ref="L8632:L8633" si="1169">K8632*$K$8584</f>
        <v>0</v>
      </c>
      <c r="M8632" s="1302">
        <v>105.7</v>
      </c>
      <c r="N8632" s="1700"/>
      <c r="O8632" s="1290">
        <f>G8632*M8632</f>
        <v>105.7</v>
      </c>
      <c r="P8632" s="1332">
        <f>M8632*K8632</f>
        <v>8.7731000000000012</v>
      </c>
      <c r="Q8632" s="3402"/>
      <c r="R8632" s="2356"/>
    </row>
    <row r="8633" spans="1:18" s="22" customFormat="1" ht="26">
      <c r="A8633" s="2187"/>
      <c r="B8633" s="1599"/>
      <c r="C8633" s="1042"/>
      <c r="D8633" s="1598" t="s">
        <v>1097</v>
      </c>
      <c r="E8633" s="2154" t="s">
        <v>1504</v>
      </c>
      <c r="F8633" s="1598" t="s">
        <v>1632</v>
      </c>
      <c r="G8633" s="1995">
        <v>0.5</v>
      </c>
      <c r="H8633" s="1369"/>
      <c r="I8633" s="1299"/>
      <c r="J8633" s="1300"/>
      <c r="K8633" s="1307">
        <f>G8633*K8630</f>
        <v>4.1500000000000002E-2</v>
      </c>
      <c r="L8633" s="1335">
        <f t="shared" si="1169"/>
        <v>0</v>
      </c>
      <c r="M8633" s="1499">
        <v>0.55000000000000004</v>
      </c>
      <c r="N8633" s="1700"/>
      <c r="O8633" s="1290">
        <f>G8633*M8633</f>
        <v>0.27500000000000002</v>
      </c>
      <c r="P8633" s="1332">
        <f>M8633*K8633</f>
        <v>2.2825000000000002E-2</v>
      </c>
      <c r="Q8633" s="3402"/>
      <c r="R8633" s="2357"/>
    </row>
    <row r="8634" spans="1:18" s="22" customFormat="1">
      <c r="A8634" s="16"/>
      <c r="B8634" s="1599"/>
      <c r="C8634" s="1320"/>
      <c r="D8634" s="1598"/>
      <c r="E8634" s="1856"/>
      <c r="F8634" s="1598"/>
      <c r="G8634" s="1651"/>
      <c r="H8634" s="1399"/>
      <c r="I8634" s="198"/>
      <c r="J8634" s="198"/>
      <c r="K8634" s="1307"/>
      <c r="L8634" s="1335"/>
      <c r="M8634" s="1499"/>
      <c r="N8634" s="1701"/>
      <c r="O8634" s="1290"/>
      <c r="P8634" s="1332"/>
      <c r="Q8634" s="3391"/>
      <c r="R8634" s="3363"/>
    </row>
    <row r="8635" spans="1:18" s="22" customFormat="1">
      <c r="A8635" s="16"/>
      <c r="B8635" s="1599"/>
      <c r="C8635" s="1320"/>
      <c r="D8635" s="1598"/>
      <c r="E8635" s="1856"/>
      <c r="F8635" s="1598"/>
      <c r="G8635" s="1399"/>
      <c r="H8635" s="1399"/>
      <c r="I8635" s="198"/>
      <c r="J8635" s="198"/>
      <c r="K8635" s="1307"/>
      <c r="L8635" s="1335"/>
      <c r="M8635" s="1499"/>
      <c r="N8635" s="1701"/>
      <c r="O8635" s="1291"/>
      <c r="P8635" s="1332"/>
      <c r="Q8635" s="3391"/>
      <c r="R8635" s="3363"/>
    </row>
    <row r="8636" spans="1:18" s="22" customFormat="1" ht="26">
      <c r="A8636" s="2187"/>
      <c r="B8636" s="1599"/>
      <c r="C8636" s="1042"/>
      <c r="D8636" s="1359"/>
      <c r="E8636" s="1858"/>
      <c r="F8636" s="1360" t="s">
        <v>2</v>
      </c>
      <c r="G8636" s="1360"/>
      <c r="H8636" s="1362"/>
      <c r="I8636" s="1380"/>
      <c r="J8636" s="1381"/>
      <c r="K8636" s="1381"/>
      <c r="L8636" s="1458"/>
      <c r="M8636" s="1362"/>
      <c r="N8636" s="1362"/>
      <c r="O8636" s="1362"/>
      <c r="P8636" s="1359"/>
      <c r="Q8636" s="3403"/>
      <c r="R8636" s="2357"/>
    </row>
    <row r="8637" spans="1:18" s="22" customFormat="1" ht="26">
      <c r="A8637" s="2187"/>
      <c r="B8637" s="2053"/>
      <c r="C8637" s="1321"/>
      <c r="D8637" s="1655" t="s">
        <v>1099</v>
      </c>
      <c r="E8637" s="1859" t="s">
        <v>1508</v>
      </c>
      <c r="F8637" s="1655" t="s">
        <v>1633</v>
      </c>
      <c r="G8637" s="1994">
        <v>0.2</v>
      </c>
      <c r="H8637" s="1386"/>
      <c r="I8637" s="1299"/>
      <c r="J8637" s="1300"/>
      <c r="K8637" s="1307">
        <f>G8637*K8630</f>
        <v>1.66E-2</v>
      </c>
      <c r="L8637" s="1335">
        <f>K8637*$K$8584</f>
        <v>0</v>
      </c>
      <c r="M8637" s="1302">
        <v>19.23</v>
      </c>
      <c r="N8637" s="1700"/>
      <c r="O8637" s="1290">
        <f>G8637*M8637</f>
        <v>3.8460000000000001</v>
      </c>
      <c r="P8637" s="1332">
        <f>M8637*K8637</f>
        <v>0.319218</v>
      </c>
      <c r="Q8637" s="3402"/>
      <c r="R8637" s="2357"/>
    </row>
    <row r="8638" spans="1:18" s="22" customFormat="1">
      <c r="A8638" s="19"/>
      <c r="B8638" s="1042"/>
      <c r="C8638" s="1042"/>
      <c r="D8638" s="1402"/>
      <c r="E8638" s="1857"/>
      <c r="F8638" s="1430"/>
      <c r="G8638" s="1381"/>
      <c r="H8638" s="1408"/>
      <c r="I8638" s="1340"/>
      <c r="J8638" s="198"/>
      <c r="K8638" s="1307"/>
      <c r="L8638" s="1335"/>
      <c r="M8638" s="1302"/>
      <c r="N8638" s="1724"/>
      <c r="O8638" s="1290"/>
      <c r="P8638" s="1332"/>
      <c r="Q8638" s="3391"/>
      <c r="R8638" s="2338"/>
    </row>
    <row r="8639" spans="1:18" s="22" customFormat="1">
      <c r="B8639" s="1320"/>
      <c r="C8639" s="16"/>
      <c r="D8639" s="1359"/>
      <c r="E8639" s="1858"/>
      <c r="F8639" s="1474"/>
      <c r="G8639" s="1474"/>
      <c r="H8639" s="1466"/>
      <c r="I8639" s="1289"/>
      <c r="J8639" s="8"/>
      <c r="K8639" s="1307"/>
      <c r="L8639" s="1335"/>
      <c r="M8639" s="1302"/>
      <c r="N8639" s="1700"/>
      <c r="O8639" s="1290"/>
      <c r="P8639" s="1332"/>
      <c r="Q8639" s="3391"/>
      <c r="R8639" s="2344"/>
    </row>
    <row r="8640" spans="1:18" s="22" customFormat="1">
      <c r="A8640" s="1320"/>
      <c r="B8640" s="1599"/>
      <c r="C8640" s="1320"/>
      <c r="D8640" s="1373"/>
      <c r="E8640" s="2123"/>
      <c r="F8640" s="1374" t="s">
        <v>3</v>
      </c>
      <c r="G8640" s="1375"/>
      <c r="H8640" s="1376"/>
      <c r="I8640" s="1382"/>
      <c r="J8640" s="1383"/>
      <c r="K8640" s="1383"/>
      <c r="L8640" s="1413"/>
      <c r="M8640" s="1376"/>
      <c r="N8640" s="1376"/>
      <c r="O8640" s="1376"/>
      <c r="P8640" s="1373"/>
      <c r="Q8640" s="3403"/>
      <c r="R8640" s="2356"/>
    </row>
    <row r="8641" spans="1:18" s="22" customFormat="1">
      <c r="A8641" s="1321"/>
      <c r="B8641" s="2053"/>
      <c r="C8641" s="1321"/>
      <c r="D8641" s="1827"/>
      <c r="E8641" s="2173"/>
      <c r="F8641" s="1827"/>
      <c r="G8641" s="1828"/>
      <c r="H8641" s="1379"/>
      <c r="I8641" s="1299"/>
      <c r="J8641" s="1300"/>
      <c r="K8641" s="1307"/>
      <c r="L8641" s="1335"/>
      <c r="M8641" s="1302"/>
      <c r="N8641" s="1700"/>
      <c r="O8641" s="1290"/>
      <c r="P8641" s="1332"/>
      <c r="Q8641" s="3402"/>
      <c r="R8641" s="2053"/>
    </row>
    <row r="8642" spans="1:18" s="22" customFormat="1">
      <c r="A8642" s="1321"/>
      <c r="B8642" s="2053"/>
      <c r="C8642" s="1321"/>
      <c r="D8642" s="1377"/>
      <c r="E8642" s="2124"/>
      <c r="F8642" s="1378"/>
      <c r="G8642" s="1378"/>
      <c r="H8642" s="1379"/>
      <c r="I8642" s="1299"/>
      <c r="J8642" s="1300"/>
      <c r="K8642" s="1307"/>
      <c r="L8642" s="1335"/>
      <c r="M8642" s="1302"/>
      <c r="N8642" s="1700"/>
      <c r="O8642" s="1290"/>
      <c r="P8642" s="1333"/>
      <c r="Q8642" s="3402"/>
      <c r="R8642" s="2053"/>
    </row>
    <row r="8643" spans="1:18" s="22" customFormat="1">
      <c r="A8643" s="1320"/>
      <c r="B8643" s="1765"/>
      <c r="C8643" s="223"/>
      <c r="D8643" s="1373"/>
      <c r="E8643" s="2161"/>
      <c r="F8643" s="1678"/>
      <c r="G8643" s="1678"/>
      <c r="H8643" s="1376"/>
      <c r="I8643" s="1299"/>
      <c r="J8643" s="1300"/>
      <c r="K8643" s="1307"/>
      <c r="L8643" s="1335"/>
      <c r="M8643" s="1302"/>
      <c r="N8643" s="1700"/>
      <c r="O8643" s="1290"/>
      <c r="P8643" s="1332"/>
      <c r="Q8643" s="3402"/>
      <c r="R8643" s="2356"/>
    </row>
    <row r="8644" spans="1:18" s="22" customFormat="1">
      <c r="A8644" s="18" t="s">
        <v>3764</v>
      </c>
      <c r="B8644" s="4325" t="s">
        <v>2521</v>
      </c>
      <c r="C8644" s="3350"/>
      <c r="D8644" s="4327"/>
      <c r="E8644" s="4329" t="s">
        <v>1504</v>
      </c>
      <c r="F8644" s="4336" t="s">
        <v>2522</v>
      </c>
      <c r="G8644" s="4331" t="s">
        <v>1568</v>
      </c>
      <c r="H8644" s="4331" t="s">
        <v>1574</v>
      </c>
      <c r="I8644" s="1572" t="s">
        <v>1559</v>
      </c>
      <c r="J8644" s="1294" t="s">
        <v>1560</v>
      </c>
      <c r="K8644" s="1294" t="s">
        <v>1569</v>
      </c>
      <c r="L8644" s="4333" t="s">
        <v>3765</v>
      </c>
      <c r="M8644" s="4335" t="s">
        <v>1571</v>
      </c>
      <c r="N8644" s="4323" t="s">
        <v>1776</v>
      </c>
      <c r="O8644" s="3347" t="s">
        <v>1563</v>
      </c>
      <c r="P8644" s="1336" t="s">
        <v>1562</v>
      </c>
      <c r="Q8644" s="3389"/>
      <c r="R8644" s="1699" t="s">
        <v>1327</v>
      </c>
    </row>
    <row r="8645" spans="1:18" s="22" customFormat="1">
      <c r="A8645" s="1599" t="s">
        <v>2512</v>
      </c>
      <c r="B8645" s="4326"/>
      <c r="C8645" s="3351"/>
      <c r="D8645" s="4328"/>
      <c r="E8645" s="4330"/>
      <c r="F8645" s="4336"/>
      <c r="G8645" s="4332"/>
      <c r="H8645" s="4332"/>
      <c r="I8645" s="1345">
        <v>12</v>
      </c>
      <c r="J8645" s="1307">
        <v>8.3000000000000004E-2</v>
      </c>
      <c r="K8645" s="1666">
        <f>I8645*J8645</f>
        <v>0.996</v>
      </c>
      <c r="L8645" s="4334"/>
      <c r="M8645" s="4335"/>
      <c r="N8645" s="4324"/>
      <c r="O8645" s="1298">
        <f>SUM(O8647:O8653)</f>
        <v>192.12500000000003</v>
      </c>
      <c r="P8645" s="1337">
        <f>O8645*K8645</f>
        <v>191.35650000000004</v>
      </c>
      <c r="Q8645" s="3390"/>
      <c r="R8645" s="1721">
        <f>SUM(P8647:P8653)</f>
        <v>191.35649999999998</v>
      </c>
    </row>
    <row r="8646" spans="1:18" s="22" customFormat="1">
      <c r="A8646" s="1320"/>
      <c r="B8646" s="1949"/>
      <c r="C8646" s="1327"/>
      <c r="D8646" s="1367"/>
      <c r="E8646" s="2121"/>
      <c r="F8646" s="1389" t="s">
        <v>1</v>
      </c>
      <c r="G8646" s="1389"/>
      <c r="H8646" s="1369"/>
      <c r="I8646" s="2088"/>
      <c r="J8646" s="1369"/>
      <c r="K8646" s="1391"/>
      <c r="L8646" s="1559"/>
      <c r="M8646" s="1369"/>
      <c r="N8646" s="1369"/>
      <c r="O8646" s="1369"/>
      <c r="P8646" s="1392"/>
      <c r="Q8646" s="3395"/>
      <c r="R8646" s="2344"/>
    </row>
    <row r="8647" spans="1:18" s="22" customFormat="1">
      <c r="A8647" s="1320"/>
      <c r="B8647" s="1599"/>
      <c r="C8647" s="1320"/>
      <c r="D8647" s="1598" t="s">
        <v>2523</v>
      </c>
      <c r="E8647" s="2154" t="s">
        <v>1504</v>
      </c>
      <c r="F8647" s="1598" t="s">
        <v>2524</v>
      </c>
      <c r="G8647" s="1995">
        <v>1</v>
      </c>
      <c r="H8647" s="1369"/>
      <c r="I8647" s="1299"/>
      <c r="J8647" s="1300"/>
      <c r="K8647" s="1307">
        <f>G8647*K8645</f>
        <v>0.996</v>
      </c>
      <c r="L8647" s="1335">
        <f t="shared" ref="L8647:L8648" si="1170">K8647*$K$8584</f>
        <v>0</v>
      </c>
      <c r="M8647" s="1302">
        <v>173</v>
      </c>
      <c r="N8647" s="1700"/>
      <c r="O8647" s="1290">
        <f>G8647*M8647</f>
        <v>173</v>
      </c>
      <c r="P8647" s="1332">
        <f>M8647*K8647</f>
        <v>172.30799999999999</v>
      </c>
      <c r="Q8647" s="3402"/>
      <c r="R8647" s="2356"/>
    </row>
    <row r="8648" spans="1:18" s="22" customFormat="1" ht="26">
      <c r="A8648" s="2187"/>
      <c r="B8648" s="1599"/>
      <c r="C8648" s="1042"/>
      <c r="D8648" s="1598" t="s">
        <v>1097</v>
      </c>
      <c r="E8648" s="2154" t="s">
        <v>1504</v>
      </c>
      <c r="F8648" s="1598" t="s">
        <v>1632</v>
      </c>
      <c r="G8648" s="1995">
        <v>0.5</v>
      </c>
      <c r="H8648" s="1369"/>
      <c r="I8648" s="1299"/>
      <c r="J8648" s="1300"/>
      <c r="K8648" s="1307">
        <f>G8648*K8645</f>
        <v>0.498</v>
      </c>
      <c r="L8648" s="1335">
        <f t="shared" si="1170"/>
        <v>0</v>
      </c>
      <c r="M8648" s="1499">
        <v>0.55000000000000004</v>
      </c>
      <c r="N8648" s="1700"/>
      <c r="O8648" s="1290">
        <f>G8648*M8648</f>
        <v>0.27500000000000002</v>
      </c>
      <c r="P8648" s="1332">
        <f>M8648*K8648</f>
        <v>0.27390000000000003</v>
      </c>
      <c r="Q8648" s="3402"/>
      <c r="R8648" s="2357"/>
    </row>
    <row r="8649" spans="1:18" s="22" customFormat="1">
      <c r="A8649" s="16"/>
      <c r="B8649" s="1599"/>
      <c r="C8649" s="1320"/>
      <c r="D8649" s="1598"/>
      <c r="E8649" s="1856"/>
      <c r="F8649" s="1598"/>
      <c r="G8649" s="1651"/>
      <c r="H8649" s="1399"/>
      <c r="I8649" s="198"/>
      <c r="J8649" s="198"/>
      <c r="K8649" s="1307"/>
      <c r="L8649" s="1335"/>
      <c r="M8649" s="1499"/>
      <c r="N8649" s="1701"/>
      <c r="O8649" s="1290"/>
      <c r="P8649" s="1332"/>
      <c r="Q8649" s="3391"/>
      <c r="R8649" s="3363"/>
    </row>
    <row r="8650" spans="1:18" s="22" customFormat="1">
      <c r="A8650" s="16"/>
      <c r="B8650" s="1599"/>
      <c r="C8650" s="1320"/>
      <c r="D8650" s="1598"/>
      <c r="E8650" s="1856"/>
      <c r="F8650" s="1598"/>
      <c r="G8650" s="1399"/>
      <c r="H8650" s="1399"/>
      <c r="I8650" s="198"/>
      <c r="J8650" s="198"/>
      <c r="K8650" s="1307"/>
      <c r="L8650" s="1335"/>
      <c r="M8650" s="1499"/>
      <c r="N8650" s="1701"/>
      <c r="O8650" s="1291"/>
      <c r="P8650" s="1332"/>
      <c r="Q8650" s="3391"/>
      <c r="R8650" s="3363"/>
    </row>
    <row r="8651" spans="1:18" s="22" customFormat="1" ht="26">
      <c r="A8651" s="2187"/>
      <c r="B8651" s="1599"/>
      <c r="C8651" s="1042"/>
      <c r="D8651" s="1359"/>
      <c r="E8651" s="1858"/>
      <c r="F8651" s="1360" t="s">
        <v>2</v>
      </c>
      <c r="G8651" s="1360"/>
      <c r="H8651" s="1362"/>
      <c r="I8651" s="1380"/>
      <c r="J8651" s="1381"/>
      <c r="K8651" s="1381"/>
      <c r="L8651" s="1458"/>
      <c r="M8651" s="1362"/>
      <c r="N8651" s="1362"/>
      <c r="O8651" s="1362"/>
      <c r="P8651" s="1359"/>
      <c r="Q8651" s="3403"/>
      <c r="R8651" s="2357"/>
    </row>
    <row r="8652" spans="1:18" s="22" customFormat="1" ht="26">
      <c r="A8652" s="2187"/>
      <c r="B8652" s="2053"/>
      <c r="C8652" s="1321"/>
      <c r="D8652" s="1655" t="s">
        <v>2525</v>
      </c>
      <c r="E8652" s="1859" t="s">
        <v>1508</v>
      </c>
      <c r="F8652" s="1655" t="s">
        <v>2526</v>
      </c>
      <c r="G8652" s="1994">
        <v>0.6</v>
      </c>
      <c r="H8652" s="1386"/>
      <c r="I8652" s="1299"/>
      <c r="J8652" s="1300"/>
      <c r="K8652" s="1307">
        <f>G8652*K8645</f>
        <v>0.59760000000000002</v>
      </c>
      <c r="L8652" s="1335">
        <f t="shared" ref="L8652:L8653" si="1171">K8652*$K$8584</f>
        <v>0</v>
      </c>
      <c r="M8652" s="1302">
        <v>19.23</v>
      </c>
      <c r="N8652" s="1700"/>
      <c r="O8652" s="1290">
        <f>G8652*M8652</f>
        <v>11.538</v>
      </c>
      <c r="P8652" s="1332">
        <f>M8652*K8652</f>
        <v>11.491848000000001</v>
      </c>
      <c r="Q8652" s="3402"/>
      <c r="R8652" s="2357"/>
    </row>
    <row r="8653" spans="1:18" s="22" customFormat="1">
      <c r="A8653" s="19"/>
      <c r="B8653" s="1042"/>
      <c r="C8653" s="1042"/>
      <c r="D8653" s="1402" t="s">
        <v>1067</v>
      </c>
      <c r="E8653" s="1857" t="s">
        <v>1508</v>
      </c>
      <c r="F8653" s="1430" t="s">
        <v>1512</v>
      </c>
      <c r="G8653" s="1381">
        <v>0.4</v>
      </c>
      <c r="H8653" s="1408"/>
      <c r="I8653" s="1340"/>
      <c r="J8653" s="198"/>
      <c r="K8653" s="1307">
        <f>G8653*K8645</f>
        <v>0.39840000000000003</v>
      </c>
      <c r="L8653" s="1335">
        <f t="shared" si="1171"/>
        <v>0</v>
      </c>
      <c r="M8653" s="1302">
        <v>18.28</v>
      </c>
      <c r="N8653" s="1700"/>
      <c r="O8653" s="1290">
        <f>G8653*M8653</f>
        <v>7.3120000000000012</v>
      </c>
      <c r="P8653" s="1332">
        <f>M8653*K8653</f>
        <v>7.2827520000000012</v>
      </c>
      <c r="Q8653" s="3391"/>
      <c r="R8653" s="2338"/>
    </row>
    <row r="8654" spans="1:18" s="22" customFormat="1">
      <c r="A8654"/>
      <c r="B8654" s="1042"/>
      <c r="C8654" s="19"/>
      <c r="D8654" s="1430"/>
      <c r="E8654" s="1857"/>
      <c r="F8654" s="1394"/>
      <c r="G8654" s="2183"/>
      <c r="H8654" s="1395"/>
      <c r="I8654" s="197"/>
      <c r="J8654" s="198"/>
      <c r="K8654" s="1307"/>
      <c r="L8654" s="1335"/>
      <c r="M8654" s="1302"/>
      <c r="N8654" s="1718"/>
      <c r="O8654" s="1290"/>
      <c r="P8654" s="1720"/>
      <c r="Q8654" s="3396"/>
      <c r="R8654" s="2337"/>
    </row>
    <row r="8655" spans="1:18" s="22" customFormat="1">
      <c r="B8655" s="1320"/>
      <c r="C8655" s="16"/>
      <c r="D8655" s="1359"/>
      <c r="E8655" s="1858"/>
      <c r="F8655" s="1474"/>
      <c r="G8655" s="1474"/>
      <c r="H8655" s="1466"/>
      <c r="I8655" s="1289"/>
      <c r="J8655" s="8"/>
      <c r="K8655" s="1307"/>
      <c r="L8655" s="1335"/>
      <c r="M8655" s="1302"/>
      <c r="N8655" s="1700"/>
      <c r="O8655" s="1290"/>
      <c r="P8655" s="1332"/>
      <c r="Q8655" s="3391"/>
      <c r="R8655" s="2344"/>
    </row>
    <row r="8656" spans="1:18" s="22" customFormat="1">
      <c r="A8656" s="1320"/>
      <c r="B8656" s="1599"/>
      <c r="C8656" s="1320"/>
      <c r="D8656" s="1373"/>
      <c r="E8656" s="2123"/>
      <c r="F8656" s="1374" t="s">
        <v>3</v>
      </c>
      <c r="G8656" s="1375"/>
      <c r="H8656" s="1376"/>
      <c r="I8656" s="1382"/>
      <c r="J8656" s="1383"/>
      <c r="K8656" s="1383"/>
      <c r="L8656" s="1413"/>
      <c r="M8656" s="1376"/>
      <c r="N8656" s="1376"/>
      <c r="O8656" s="1376"/>
      <c r="P8656" s="1373"/>
      <c r="Q8656" s="3403"/>
      <c r="R8656" s="2356"/>
    </row>
    <row r="8657" spans="1:18" s="22" customFormat="1">
      <c r="A8657" s="1321"/>
      <c r="B8657" s="2053"/>
      <c r="C8657" s="1321"/>
      <c r="D8657" s="1827"/>
      <c r="E8657" s="2173"/>
      <c r="F8657" s="1827"/>
      <c r="G8657" s="1828"/>
      <c r="H8657" s="1379"/>
      <c r="I8657" s="1299"/>
      <c r="J8657" s="1300"/>
      <c r="K8657" s="1307"/>
      <c r="L8657" s="1335"/>
      <c r="M8657" s="1302"/>
      <c r="N8657" s="1700"/>
      <c r="O8657" s="1290"/>
      <c r="P8657" s="1332"/>
      <c r="Q8657" s="3402"/>
      <c r="R8657" s="2053"/>
    </row>
    <row r="8658" spans="1:18" s="22" customFormat="1">
      <c r="A8658" s="1321"/>
      <c r="B8658" s="2053"/>
      <c r="C8658" s="1321"/>
      <c r="D8658" s="1377"/>
      <c r="E8658" s="2124"/>
      <c r="F8658" s="1378"/>
      <c r="G8658" s="1378"/>
      <c r="H8658" s="1379"/>
      <c r="I8658" s="1299"/>
      <c r="J8658" s="1300"/>
      <c r="K8658" s="1307"/>
      <c r="L8658" s="1335"/>
      <c r="M8658" s="1302"/>
      <c r="N8658" s="1700"/>
      <c r="O8658" s="1290"/>
      <c r="P8658" s="1333"/>
      <c r="Q8658" s="3402"/>
      <c r="R8658" s="2053"/>
    </row>
    <row r="8659" spans="1:18" s="22" customFormat="1">
      <c r="A8659" s="1320"/>
      <c r="B8659" s="1765"/>
      <c r="C8659" s="223"/>
      <c r="D8659" s="1373"/>
      <c r="E8659" s="2161"/>
      <c r="F8659" s="1678"/>
      <c r="G8659" s="1678"/>
      <c r="H8659" s="1376"/>
      <c r="I8659" s="1299"/>
      <c r="J8659" s="1300"/>
      <c r="K8659" s="1307"/>
      <c r="L8659" s="1335"/>
      <c r="M8659" s="1302"/>
      <c r="N8659" s="1700"/>
      <c r="O8659" s="1290"/>
      <c r="P8659" s="1332"/>
      <c r="Q8659" s="3402"/>
      <c r="R8659" s="2356"/>
    </row>
    <row r="8660" spans="1:18" s="22" customFormat="1">
      <c r="A8660" s="18" t="s">
        <v>3764</v>
      </c>
      <c r="B8660" s="4325" t="s">
        <v>2527</v>
      </c>
      <c r="C8660" s="3350"/>
      <c r="D8660" s="4327"/>
      <c r="E8660" s="4329" t="s">
        <v>1504</v>
      </c>
      <c r="F8660" s="4336" t="s">
        <v>2528</v>
      </c>
      <c r="G8660" s="4331" t="s">
        <v>1568</v>
      </c>
      <c r="H8660" s="4331" t="s">
        <v>1574</v>
      </c>
      <c r="I8660" s="1572" t="s">
        <v>1559</v>
      </c>
      <c r="J8660" s="1294" t="s">
        <v>1560</v>
      </c>
      <c r="K8660" s="1294" t="s">
        <v>1569</v>
      </c>
      <c r="L8660" s="4333" t="s">
        <v>3765</v>
      </c>
      <c r="M8660" s="4335" t="s">
        <v>1571</v>
      </c>
      <c r="N8660" s="4323" t="s">
        <v>1776</v>
      </c>
      <c r="O8660" s="3347" t="s">
        <v>1563</v>
      </c>
      <c r="P8660" s="1336" t="s">
        <v>1562</v>
      </c>
      <c r="Q8660" s="3389"/>
      <c r="R8660" s="1699" t="s">
        <v>1327</v>
      </c>
    </row>
    <row r="8661" spans="1:18" s="22" customFormat="1">
      <c r="A8661" s="1599" t="s">
        <v>2512</v>
      </c>
      <c r="B8661" s="4326"/>
      <c r="C8661" s="3351"/>
      <c r="D8661" s="4328"/>
      <c r="E8661" s="4330"/>
      <c r="F8661" s="4336"/>
      <c r="G8661" s="4332"/>
      <c r="H8661" s="4332"/>
      <c r="I8661" s="1345">
        <v>1</v>
      </c>
      <c r="J8661" s="1307">
        <v>8.3000000000000004E-2</v>
      </c>
      <c r="K8661" s="1666">
        <f>I8661*J8661</f>
        <v>8.3000000000000004E-2</v>
      </c>
      <c r="L8661" s="4334"/>
      <c r="M8661" s="4335"/>
      <c r="N8661" s="4324"/>
      <c r="O8661" s="1298">
        <f>SUM(O8663:O8668)</f>
        <v>726.08249999999998</v>
      </c>
      <c r="P8661" s="1337">
        <f>O8661*K8661</f>
        <v>60.264847500000002</v>
      </c>
      <c r="Q8661" s="3390"/>
      <c r="R8661" s="1721">
        <f>SUM(P8663:P8668)</f>
        <v>60.264847500000002</v>
      </c>
    </row>
    <row r="8662" spans="1:18" s="22" customFormat="1">
      <c r="A8662" s="1320"/>
      <c r="B8662" s="1949"/>
      <c r="C8662" s="1327"/>
      <c r="D8662" s="1367"/>
      <c r="E8662" s="2121"/>
      <c r="F8662" s="1389" t="s">
        <v>1</v>
      </c>
      <c r="G8662" s="1389"/>
      <c r="H8662" s="1369"/>
      <c r="I8662" s="2088"/>
      <c r="J8662" s="1369"/>
      <c r="K8662" s="1391"/>
      <c r="L8662" s="1559"/>
      <c r="M8662" s="1369"/>
      <c r="N8662" s="1369"/>
      <c r="O8662" s="1369"/>
      <c r="P8662" s="1392"/>
      <c r="Q8662" s="3395"/>
      <c r="R8662" s="2344"/>
    </row>
    <row r="8663" spans="1:18" s="22" customFormat="1">
      <c r="A8663" s="1320"/>
      <c r="B8663" s="1599"/>
      <c r="C8663" s="1320"/>
      <c r="D8663" s="1598" t="s">
        <v>2529</v>
      </c>
      <c r="E8663" s="2154" t="s">
        <v>1504</v>
      </c>
      <c r="F8663" s="1598" t="s">
        <v>2530</v>
      </c>
      <c r="G8663" s="1995">
        <v>1</v>
      </c>
      <c r="H8663" s="1369"/>
      <c r="I8663" s="1299"/>
      <c r="J8663" s="1300"/>
      <c r="K8663" s="1307">
        <f>G8663*K8661</f>
        <v>8.3000000000000004E-2</v>
      </c>
      <c r="L8663" s="1335">
        <f t="shared" ref="L8663:L8664" si="1172">K8663*$K$8584</f>
        <v>0</v>
      </c>
      <c r="M8663" s="1302">
        <v>721</v>
      </c>
      <c r="N8663" s="1700"/>
      <c r="O8663" s="1290">
        <f>G8663*M8663</f>
        <v>721</v>
      </c>
      <c r="P8663" s="1332">
        <f>M8663*K8663</f>
        <v>59.843000000000004</v>
      </c>
      <c r="Q8663" s="3402"/>
      <c r="R8663" s="2356"/>
    </row>
    <row r="8664" spans="1:18" s="22" customFormat="1" ht="26">
      <c r="A8664" s="2187"/>
      <c r="B8664" s="1599"/>
      <c r="C8664" s="1042"/>
      <c r="D8664" s="1598" t="s">
        <v>1097</v>
      </c>
      <c r="E8664" s="2154" t="s">
        <v>1504</v>
      </c>
      <c r="F8664" s="1598" t="s">
        <v>1632</v>
      </c>
      <c r="G8664" s="1995">
        <v>0.5</v>
      </c>
      <c r="H8664" s="1369"/>
      <c r="I8664" s="1299"/>
      <c r="J8664" s="1300"/>
      <c r="K8664" s="1307">
        <f>G8664*K8661</f>
        <v>4.1500000000000002E-2</v>
      </c>
      <c r="L8664" s="1335">
        <f t="shared" si="1172"/>
        <v>0</v>
      </c>
      <c r="M8664" s="1499">
        <v>0.55000000000000004</v>
      </c>
      <c r="N8664" s="1700"/>
      <c r="O8664" s="1290">
        <f>G8664*M8664</f>
        <v>0.27500000000000002</v>
      </c>
      <c r="P8664" s="1332">
        <f>M8664*K8664</f>
        <v>2.2825000000000002E-2</v>
      </c>
      <c r="Q8664" s="3402"/>
      <c r="R8664" s="2357"/>
    </row>
    <row r="8665" spans="1:18" s="22" customFormat="1">
      <c r="A8665" s="16"/>
      <c r="B8665" s="1599"/>
      <c r="C8665" s="1320"/>
      <c r="D8665" s="1598"/>
      <c r="E8665" s="1856"/>
      <c r="F8665" s="1598"/>
      <c r="G8665" s="1651"/>
      <c r="H8665" s="1399"/>
      <c r="I8665" s="198"/>
      <c r="J8665" s="198"/>
      <c r="K8665" s="1307"/>
      <c r="L8665" s="1335"/>
      <c r="M8665" s="1499"/>
      <c r="N8665" s="1701"/>
      <c r="O8665" s="1290"/>
      <c r="P8665" s="1332"/>
      <c r="Q8665" s="3391"/>
      <c r="R8665" s="3363"/>
    </row>
    <row r="8666" spans="1:18" s="22" customFormat="1" ht="15" customHeight="1">
      <c r="A8666" s="16"/>
      <c r="B8666" s="1599"/>
      <c r="C8666" s="1320"/>
      <c r="D8666" s="1598"/>
      <c r="E8666" s="1856"/>
      <c r="F8666" s="1598"/>
      <c r="G8666" s="1399"/>
      <c r="H8666" s="1399"/>
      <c r="I8666" s="198"/>
      <c r="J8666" s="198"/>
      <c r="K8666" s="1307"/>
      <c r="L8666" s="1335"/>
      <c r="M8666" s="1499"/>
      <c r="N8666" s="1701"/>
      <c r="O8666" s="1291"/>
      <c r="P8666" s="1332"/>
      <c r="Q8666" s="3391"/>
      <c r="R8666" s="3363"/>
    </row>
    <row r="8667" spans="1:18" s="22" customFormat="1" ht="26">
      <c r="A8667" s="2187"/>
      <c r="B8667" s="1599"/>
      <c r="C8667" s="1042"/>
      <c r="D8667" s="1359"/>
      <c r="E8667" s="1858"/>
      <c r="F8667" s="1360" t="s">
        <v>2</v>
      </c>
      <c r="G8667" s="1360"/>
      <c r="H8667" s="1362"/>
      <c r="I8667" s="1380"/>
      <c r="J8667" s="1381"/>
      <c r="K8667" s="1381"/>
      <c r="L8667" s="1458"/>
      <c r="M8667" s="1362"/>
      <c r="N8667" s="1362"/>
      <c r="O8667" s="1362"/>
      <c r="P8667" s="1359"/>
      <c r="Q8667" s="3403"/>
      <c r="R8667" s="2357"/>
    </row>
    <row r="8668" spans="1:18" s="22" customFormat="1" ht="26">
      <c r="A8668" s="2187"/>
      <c r="B8668" s="2053"/>
      <c r="C8668" s="1321"/>
      <c r="D8668" s="1655" t="s">
        <v>1099</v>
      </c>
      <c r="E8668" s="1859" t="s">
        <v>1508</v>
      </c>
      <c r="F8668" s="1655" t="s">
        <v>1633</v>
      </c>
      <c r="G8668" s="1994">
        <v>0.25</v>
      </c>
      <c r="H8668" s="1386"/>
      <c r="I8668" s="1299"/>
      <c r="J8668" s="1300"/>
      <c r="K8668" s="1307">
        <f>G8668*K8661</f>
        <v>2.0750000000000001E-2</v>
      </c>
      <c r="L8668" s="1335">
        <f>K8668*$K$8584</f>
        <v>0</v>
      </c>
      <c r="M8668" s="1302">
        <v>19.23</v>
      </c>
      <c r="N8668" s="1700"/>
      <c r="O8668" s="1290">
        <f>G8668*M8668</f>
        <v>4.8075000000000001</v>
      </c>
      <c r="P8668" s="1332">
        <f>M8668*K8668</f>
        <v>0.3990225</v>
      </c>
      <c r="Q8668" s="3402"/>
      <c r="R8668" s="2357"/>
    </row>
    <row r="8669" spans="1:18" s="22" customFormat="1">
      <c r="A8669"/>
      <c r="B8669" s="1042"/>
      <c r="C8669" s="19"/>
      <c r="D8669" s="1430"/>
      <c r="E8669" s="1857"/>
      <c r="F8669" s="1394"/>
      <c r="G8669" s="2183"/>
      <c r="H8669" s="1395"/>
      <c r="I8669" s="197"/>
      <c r="J8669" s="198"/>
      <c r="K8669" s="1307"/>
      <c r="L8669" s="1335"/>
      <c r="M8669" s="1302"/>
      <c r="N8669" s="1718"/>
      <c r="O8669" s="1290"/>
      <c r="P8669" s="1720"/>
      <c r="Q8669" s="3396"/>
      <c r="R8669" s="2337"/>
    </row>
    <row r="8670" spans="1:18" s="22" customFormat="1">
      <c r="B8670" s="1320"/>
      <c r="C8670" s="16"/>
      <c r="D8670" s="1359"/>
      <c r="E8670" s="1858"/>
      <c r="F8670" s="1474"/>
      <c r="G8670" s="1474"/>
      <c r="H8670" s="1466"/>
      <c r="I8670" s="1289"/>
      <c r="J8670" s="8"/>
      <c r="K8670" s="1307"/>
      <c r="L8670" s="1335"/>
      <c r="M8670" s="1302"/>
      <c r="N8670" s="1700"/>
      <c r="O8670" s="1290"/>
      <c r="P8670" s="1332"/>
      <c r="Q8670" s="3391"/>
      <c r="R8670" s="2344"/>
    </row>
    <row r="8671" spans="1:18" s="22" customFormat="1">
      <c r="A8671" s="1320"/>
      <c r="B8671" s="1599"/>
      <c r="C8671" s="1320"/>
      <c r="D8671" s="1373"/>
      <c r="E8671" s="2123"/>
      <c r="F8671" s="1374" t="s">
        <v>3</v>
      </c>
      <c r="G8671" s="1375"/>
      <c r="H8671" s="1376"/>
      <c r="I8671" s="1382"/>
      <c r="J8671" s="1383"/>
      <c r="K8671" s="1383"/>
      <c r="L8671" s="1413"/>
      <c r="M8671" s="1376"/>
      <c r="N8671" s="1376"/>
      <c r="O8671" s="1376"/>
      <c r="P8671" s="1373"/>
      <c r="Q8671" s="3403"/>
      <c r="R8671" s="2356"/>
    </row>
    <row r="8672" spans="1:18" s="22" customFormat="1">
      <c r="A8672" s="1321"/>
      <c r="B8672" s="2053"/>
      <c r="C8672" s="1321"/>
      <c r="D8672" s="1827"/>
      <c r="E8672" s="2173"/>
      <c r="F8672" s="1827"/>
      <c r="G8672" s="1828"/>
      <c r="H8672" s="1379"/>
      <c r="I8672" s="1299"/>
      <c r="J8672" s="1300"/>
      <c r="K8672" s="1307"/>
      <c r="L8672" s="1335"/>
      <c r="M8672" s="1302"/>
      <c r="N8672" s="1700"/>
      <c r="O8672" s="1290"/>
      <c r="P8672" s="1332"/>
      <c r="Q8672" s="3402"/>
      <c r="R8672" s="2053"/>
    </row>
    <row r="8673" spans="1:18" s="22" customFormat="1">
      <c r="A8673" s="1321"/>
      <c r="B8673" s="2053"/>
      <c r="C8673" s="1321"/>
      <c r="D8673" s="1377"/>
      <c r="E8673" s="2124"/>
      <c r="F8673" s="1378"/>
      <c r="G8673" s="1378"/>
      <c r="H8673" s="1379"/>
      <c r="I8673" s="1299"/>
      <c r="J8673" s="1300"/>
      <c r="K8673" s="1307"/>
      <c r="L8673" s="1335"/>
      <c r="M8673" s="1302"/>
      <c r="N8673" s="1700"/>
      <c r="O8673" s="1290"/>
      <c r="P8673" s="1333"/>
      <c r="Q8673" s="3402"/>
      <c r="R8673" s="2053"/>
    </row>
    <row r="8674" spans="1:18" s="22" customFormat="1">
      <c r="A8674" s="1320"/>
      <c r="B8674" s="1765"/>
      <c r="C8674" s="223"/>
      <c r="D8674" s="1373"/>
      <c r="E8674" s="2161"/>
      <c r="F8674" s="1678"/>
      <c r="G8674" s="1678"/>
      <c r="H8674" s="1376"/>
      <c r="I8674" s="1299"/>
      <c r="J8674" s="1300"/>
      <c r="K8674" s="1307"/>
      <c r="L8674" s="1335"/>
      <c r="M8674" s="1302"/>
      <c r="N8674" s="1700"/>
      <c r="O8674" s="1290"/>
      <c r="P8674" s="1332"/>
      <c r="Q8674" s="3402"/>
      <c r="R8674" s="2356"/>
    </row>
    <row r="8675" spans="1:18" s="22" customFormat="1">
      <c r="A8675" s="18" t="s">
        <v>3764</v>
      </c>
      <c r="B8675" s="4325" t="s">
        <v>2531</v>
      </c>
      <c r="C8675" s="3350"/>
      <c r="D8675" s="4327"/>
      <c r="E8675" s="4329" t="s">
        <v>1504</v>
      </c>
      <c r="F8675" s="4336" t="s">
        <v>2532</v>
      </c>
      <c r="G8675" s="4331" t="s">
        <v>1568</v>
      </c>
      <c r="H8675" s="4331" t="s">
        <v>1574</v>
      </c>
      <c r="I8675" s="1572" t="s">
        <v>1559</v>
      </c>
      <c r="J8675" s="1294" t="s">
        <v>1560</v>
      </c>
      <c r="K8675" s="1294" t="s">
        <v>1569</v>
      </c>
      <c r="L8675" s="4333" t="s">
        <v>3765</v>
      </c>
      <c r="M8675" s="4335" t="s">
        <v>1571</v>
      </c>
      <c r="N8675" s="4323" t="s">
        <v>1776</v>
      </c>
      <c r="O8675" s="3347" t="s">
        <v>1563</v>
      </c>
      <c r="P8675" s="1336" t="s">
        <v>1562</v>
      </c>
      <c r="Q8675" s="3389"/>
      <c r="R8675" s="1699" t="s">
        <v>1327</v>
      </c>
    </row>
    <row r="8676" spans="1:18" s="22" customFormat="1">
      <c r="A8676" s="1599" t="s">
        <v>2512</v>
      </c>
      <c r="B8676" s="4326"/>
      <c r="C8676" s="3351"/>
      <c r="D8676" s="4328"/>
      <c r="E8676" s="4330"/>
      <c r="F8676" s="4336"/>
      <c r="G8676" s="4332"/>
      <c r="H8676" s="4332"/>
      <c r="I8676" s="1345">
        <v>3</v>
      </c>
      <c r="J8676" s="1307">
        <v>8.3000000000000004E-2</v>
      </c>
      <c r="K8676" s="1666">
        <f>I8676*J8676</f>
        <v>0.249</v>
      </c>
      <c r="L8676" s="4334"/>
      <c r="M8676" s="4335"/>
      <c r="N8676" s="4324"/>
      <c r="O8676" s="1298">
        <f>SUM(O8678:O8686)</f>
        <v>33.092499999999994</v>
      </c>
      <c r="P8676" s="1337">
        <f>O8676*K8676</f>
        <v>8.2400324999999981</v>
      </c>
      <c r="Q8676" s="3390"/>
      <c r="R8676" s="1721">
        <f>SUM(P8678:P8686)</f>
        <v>8.2400324999999999</v>
      </c>
    </row>
    <row r="8677" spans="1:18" s="22" customFormat="1">
      <c r="A8677" s="1320"/>
      <c r="B8677" s="1949"/>
      <c r="C8677" s="1327"/>
      <c r="D8677" s="1367"/>
      <c r="E8677" s="2121"/>
      <c r="F8677" s="1389" t="s">
        <v>1</v>
      </c>
      <c r="G8677" s="1389"/>
      <c r="H8677" s="1369"/>
      <c r="I8677" s="2088"/>
      <c r="J8677" s="1369"/>
      <c r="K8677" s="1391"/>
      <c r="L8677" s="1559"/>
      <c r="M8677" s="1369"/>
      <c r="N8677" s="1369"/>
      <c r="O8677" s="1369"/>
      <c r="P8677" s="1392"/>
      <c r="Q8677" s="3395"/>
      <c r="R8677" s="2344"/>
    </row>
    <row r="8678" spans="1:18" s="22" customFormat="1">
      <c r="A8678" s="1320"/>
      <c r="B8678" s="1599"/>
      <c r="C8678" s="1320"/>
      <c r="D8678" s="1598" t="s">
        <v>2533</v>
      </c>
      <c r="E8678" s="2154" t="s">
        <v>1504</v>
      </c>
      <c r="F8678" s="1598" t="s">
        <v>2534</v>
      </c>
      <c r="G8678" s="1995">
        <v>1</v>
      </c>
      <c r="H8678" s="1369"/>
      <c r="I8678" s="1299"/>
      <c r="J8678" s="1300"/>
      <c r="K8678" s="1307">
        <f>G8678*K8676</f>
        <v>0.249</v>
      </c>
      <c r="L8678" s="1335">
        <f t="shared" ref="L8678:L8682" si="1173">K8678*$K$8584</f>
        <v>0</v>
      </c>
      <c r="M8678" s="1302">
        <v>9.24</v>
      </c>
      <c r="N8678" s="1700"/>
      <c r="O8678" s="1290">
        <f>G8678*M8678</f>
        <v>9.24</v>
      </c>
      <c r="P8678" s="1332">
        <f>M8678*K8678</f>
        <v>2.3007599999999999</v>
      </c>
      <c r="Q8678" s="3402"/>
      <c r="R8678" s="2356"/>
    </row>
    <row r="8679" spans="1:18" s="22" customFormat="1" ht="26">
      <c r="A8679" s="2187"/>
      <c r="B8679" s="1599"/>
      <c r="C8679" s="1042"/>
      <c r="D8679" s="1598" t="s">
        <v>2535</v>
      </c>
      <c r="E8679" s="2154" t="s">
        <v>1504</v>
      </c>
      <c r="F8679" s="1598" t="s">
        <v>2536</v>
      </c>
      <c r="G8679" s="1995">
        <v>1</v>
      </c>
      <c r="H8679" s="1369"/>
      <c r="I8679" s="1299"/>
      <c r="J8679" s="1300"/>
      <c r="K8679" s="1307">
        <f>G8679*K8676</f>
        <v>0.249</v>
      </c>
      <c r="L8679" s="1335">
        <f t="shared" si="1173"/>
        <v>0</v>
      </c>
      <c r="M8679" s="1499">
        <v>8.09</v>
      </c>
      <c r="N8679" s="1700"/>
      <c r="O8679" s="1290">
        <f>G8679*M8679</f>
        <v>8.09</v>
      </c>
      <c r="P8679" s="1332">
        <f>M8679*K8679</f>
        <v>2.0144099999999998</v>
      </c>
      <c r="Q8679" s="3402"/>
      <c r="R8679" s="2357"/>
    </row>
    <row r="8680" spans="1:18" s="22" customFormat="1">
      <c r="A8680" s="16"/>
      <c r="B8680" s="1599"/>
      <c r="C8680" s="1320"/>
      <c r="D8680" s="1598" t="s">
        <v>2537</v>
      </c>
      <c r="E8680" s="1856" t="s">
        <v>1504</v>
      </c>
      <c r="F8680" s="1598" t="s">
        <v>2538</v>
      </c>
      <c r="G8680" s="1651">
        <v>1</v>
      </c>
      <c r="H8680" s="1399"/>
      <c r="I8680" s="198"/>
      <c r="J8680" s="198"/>
      <c r="K8680" s="1307">
        <f>G8680*K8676</f>
        <v>0.249</v>
      </c>
      <c r="L8680" s="1335">
        <f t="shared" si="1173"/>
        <v>0</v>
      </c>
      <c r="M8680" s="1499">
        <v>5.65</v>
      </c>
      <c r="N8680" s="1701"/>
      <c r="O8680" s="1290">
        <f>G8680*M8680</f>
        <v>5.65</v>
      </c>
      <c r="P8680" s="1332">
        <f>M8680*K8680</f>
        <v>1.4068500000000002</v>
      </c>
      <c r="Q8680" s="3391"/>
      <c r="R8680" s="3363"/>
    </row>
    <row r="8681" spans="1:18" s="22" customFormat="1" ht="26">
      <c r="A8681" s="2187"/>
      <c r="B8681" s="1599"/>
      <c r="C8681" s="1042"/>
      <c r="D8681" s="1598" t="s">
        <v>2539</v>
      </c>
      <c r="E8681" s="2154" t="s">
        <v>1504</v>
      </c>
      <c r="F8681" s="1598" t="s">
        <v>2540</v>
      </c>
      <c r="G8681" s="1995">
        <v>1</v>
      </c>
      <c r="H8681" s="1369"/>
      <c r="I8681" s="1299"/>
      <c r="J8681" s="1300"/>
      <c r="K8681" s="1307">
        <f>G8681*K8676</f>
        <v>0.249</v>
      </c>
      <c r="L8681" s="1335">
        <f t="shared" si="1173"/>
        <v>0</v>
      </c>
      <c r="M8681" s="1499">
        <v>5.03</v>
      </c>
      <c r="N8681" s="1700"/>
      <c r="O8681" s="1290">
        <f>G8681*M8681</f>
        <v>5.03</v>
      </c>
      <c r="P8681" s="1332">
        <f>M8681*K8681</f>
        <v>1.25247</v>
      </c>
      <c r="Q8681" s="3402"/>
      <c r="R8681" s="2357"/>
    </row>
    <row r="8682" spans="1:18" s="22" customFormat="1">
      <c r="A8682" s="16"/>
      <c r="B8682" s="1599"/>
      <c r="C8682" s="1320"/>
      <c r="D8682" s="1598" t="s">
        <v>1097</v>
      </c>
      <c r="E8682" s="1856" t="s">
        <v>1504</v>
      </c>
      <c r="F8682" s="1598" t="s">
        <v>1632</v>
      </c>
      <c r="G8682" s="1651">
        <v>0.5</v>
      </c>
      <c r="H8682" s="1399"/>
      <c r="I8682" s="198"/>
      <c r="J8682" s="198"/>
      <c r="K8682" s="1307">
        <f>G8682*K8676</f>
        <v>0.1245</v>
      </c>
      <c r="L8682" s="1335">
        <f t="shared" si="1173"/>
        <v>0</v>
      </c>
      <c r="M8682" s="1499">
        <v>0.55000000000000004</v>
      </c>
      <c r="N8682" s="1701"/>
      <c r="O8682" s="1291">
        <f>G8682*M8682</f>
        <v>0.27500000000000002</v>
      </c>
      <c r="P8682" s="1332">
        <f>M8682*K8682</f>
        <v>6.8475000000000008E-2</v>
      </c>
      <c r="Q8682" s="3391"/>
      <c r="R8682" s="3363"/>
    </row>
    <row r="8683" spans="1:18" s="22" customFormat="1">
      <c r="A8683" s="16"/>
      <c r="B8683" s="1599"/>
      <c r="C8683" s="1320"/>
      <c r="D8683" s="2195"/>
      <c r="E8683" s="1856"/>
      <c r="F8683" s="2195"/>
      <c r="G8683" s="2273"/>
      <c r="H8683" s="1399"/>
      <c r="I8683" s="197"/>
      <c r="J8683" s="198"/>
      <c r="K8683" s="1307"/>
      <c r="L8683" s="1335"/>
      <c r="M8683" s="1499"/>
      <c r="N8683" s="1701"/>
      <c r="O8683" s="1291"/>
      <c r="P8683" s="1332"/>
      <c r="Q8683" s="3391"/>
      <c r="R8683" s="3363"/>
    </row>
    <row r="8684" spans="1:18" s="22" customFormat="1" ht="26">
      <c r="A8684" s="2187"/>
      <c r="B8684" s="1599"/>
      <c r="C8684" s="1042"/>
      <c r="D8684" s="1359"/>
      <c r="E8684" s="1858"/>
      <c r="F8684" s="1360" t="s">
        <v>2</v>
      </c>
      <c r="G8684" s="1360"/>
      <c r="H8684" s="1362"/>
      <c r="I8684" s="1380"/>
      <c r="J8684" s="1381"/>
      <c r="K8684" s="1381"/>
      <c r="L8684" s="1458"/>
      <c r="M8684" s="1362"/>
      <c r="N8684" s="1362"/>
      <c r="O8684" s="1362"/>
      <c r="P8684" s="1359"/>
      <c r="Q8684" s="3403"/>
      <c r="R8684" s="2357"/>
    </row>
    <row r="8685" spans="1:18" s="22" customFormat="1" ht="26">
      <c r="A8685" s="2187"/>
      <c r="B8685" s="2053"/>
      <c r="C8685" s="1321"/>
      <c r="D8685" s="1655" t="s">
        <v>1099</v>
      </c>
      <c r="E8685" s="1859" t="s">
        <v>1508</v>
      </c>
      <c r="F8685" s="1655" t="s">
        <v>1633</v>
      </c>
      <c r="G8685" s="1994">
        <v>0.25</v>
      </c>
      <c r="H8685" s="1386"/>
      <c r="I8685" s="1299"/>
      <c r="J8685" s="1300"/>
      <c r="K8685" s="1307">
        <f>G8685*K8676</f>
        <v>6.225E-2</v>
      </c>
      <c r="L8685" s="1335">
        <f>K8685*$K$8584</f>
        <v>0</v>
      </c>
      <c r="M8685" s="1302">
        <v>19.23</v>
      </c>
      <c r="N8685" s="1700"/>
      <c r="O8685" s="1290">
        <f>G8685*M8685</f>
        <v>4.8075000000000001</v>
      </c>
      <c r="P8685" s="1332">
        <f>M8685*K8685</f>
        <v>1.1970675</v>
      </c>
      <c r="Q8685" s="3402"/>
      <c r="R8685" s="2357"/>
    </row>
    <row r="8686" spans="1:18" s="22" customFormat="1">
      <c r="A8686" s="19"/>
      <c r="B8686" s="1042"/>
      <c r="C8686" s="1042"/>
      <c r="D8686" s="1402"/>
      <c r="E8686" s="1857"/>
      <c r="F8686" s="1430"/>
      <c r="G8686" s="1381"/>
      <c r="H8686" s="1408"/>
      <c r="I8686" s="1340"/>
      <c r="J8686" s="198"/>
      <c r="K8686" s="1307"/>
      <c r="L8686" s="1335"/>
      <c r="M8686" s="1302"/>
      <c r="N8686" s="1700"/>
      <c r="O8686" s="1290"/>
      <c r="P8686" s="1332"/>
      <c r="Q8686" s="3391"/>
      <c r="R8686" s="2338"/>
    </row>
    <row r="8687" spans="1:18" s="22" customFormat="1">
      <c r="B8687" s="1320"/>
      <c r="C8687" s="16"/>
      <c r="D8687" s="1359"/>
      <c r="E8687" s="1858"/>
      <c r="F8687" s="1474"/>
      <c r="G8687" s="1474"/>
      <c r="H8687" s="1466"/>
      <c r="I8687" s="1289"/>
      <c r="J8687" s="8"/>
      <c r="K8687" s="1307"/>
      <c r="L8687" s="1335"/>
      <c r="M8687" s="1302"/>
      <c r="N8687" s="1700"/>
      <c r="O8687" s="1290"/>
      <c r="P8687" s="1332"/>
      <c r="Q8687" s="3391"/>
      <c r="R8687" s="2344"/>
    </row>
    <row r="8688" spans="1:18" s="22" customFormat="1">
      <c r="A8688" s="1320"/>
      <c r="B8688" s="1599"/>
      <c r="C8688" s="1320"/>
      <c r="D8688" s="1373"/>
      <c r="E8688" s="2123"/>
      <c r="F8688" s="1374" t="s">
        <v>3</v>
      </c>
      <c r="G8688" s="1375"/>
      <c r="H8688" s="1376"/>
      <c r="I8688" s="1382"/>
      <c r="J8688" s="1383"/>
      <c r="K8688" s="1383"/>
      <c r="L8688" s="1413"/>
      <c r="M8688" s="1376"/>
      <c r="N8688" s="1376"/>
      <c r="O8688" s="1376"/>
      <c r="P8688" s="1373"/>
      <c r="Q8688" s="3403"/>
      <c r="R8688" s="2356"/>
    </row>
    <row r="8689" spans="1:18" s="22" customFormat="1">
      <c r="A8689" s="1321"/>
      <c r="B8689" s="2053"/>
      <c r="C8689" s="1321"/>
      <c r="D8689" s="1827"/>
      <c r="E8689" s="2173"/>
      <c r="F8689" s="1827"/>
      <c r="G8689" s="1828"/>
      <c r="H8689" s="1379"/>
      <c r="I8689" s="1299"/>
      <c r="J8689" s="1300"/>
      <c r="K8689" s="1307"/>
      <c r="L8689" s="1335"/>
      <c r="M8689" s="1302"/>
      <c r="N8689" s="1700"/>
      <c r="O8689" s="1290"/>
      <c r="P8689" s="1332"/>
      <c r="Q8689" s="3402"/>
      <c r="R8689" s="2053"/>
    </row>
    <row r="8690" spans="1:18" s="22" customFormat="1">
      <c r="A8690" s="1321"/>
      <c r="B8690" s="2053"/>
      <c r="C8690" s="1321"/>
      <c r="D8690" s="1377"/>
      <c r="E8690" s="2124"/>
      <c r="F8690" s="1378"/>
      <c r="G8690" s="1378"/>
      <c r="H8690" s="1379"/>
      <c r="I8690" s="1299"/>
      <c r="J8690" s="1300"/>
      <c r="K8690" s="1307"/>
      <c r="L8690" s="1335"/>
      <c r="M8690" s="1302"/>
      <c r="N8690" s="1700"/>
      <c r="O8690" s="1290"/>
      <c r="P8690" s="1333"/>
      <c r="Q8690" s="3402"/>
      <c r="R8690" s="2053"/>
    </row>
    <row r="8691" spans="1:18" s="22" customFormat="1">
      <c r="A8691" s="1320"/>
      <c r="B8691" s="1765"/>
      <c r="C8691" s="223"/>
      <c r="D8691" s="1373"/>
      <c r="E8691" s="2161"/>
      <c r="F8691" s="1678"/>
      <c r="G8691" s="1678"/>
      <c r="H8691" s="1376"/>
      <c r="I8691" s="1299"/>
      <c r="J8691" s="1300"/>
      <c r="K8691" s="1307"/>
      <c r="L8691" s="1335"/>
      <c r="M8691" s="1302"/>
      <c r="N8691" s="1700"/>
      <c r="O8691" s="1290"/>
      <c r="P8691" s="1332"/>
      <c r="Q8691" s="3402"/>
      <c r="R8691" s="2356"/>
    </row>
    <row r="8692" spans="1:18" s="22" customFormat="1">
      <c r="A8692" s="18" t="s">
        <v>3764</v>
      </c>
      <c r="B8692" s="4325" t="s">
        <v>2541</v>
      </c>
      <c r="C8692" s="3350"/>
      <c r="D8692" s="4327"/>
      <c r="E8692" s="4329" t="s">
        <v>1504</v>
      </c>
      <c r="F8692" s="4336" t="s">
        <v>2546</v>
      </c>
      <c r="G8692" s="4331" t="s">
        <v>1568</v>
      </c>
      <c r="H8692" s="4331" t="s">
        <v>1574</v>
      </c>
      <c r="I8692" s="1572" t="s">
        <v>1559</v>
      </c>
      <c r="J8692" s="1294" t="s">
        <v>1560</v>
      </c>
      <c r="K8692" s="1294" t="s">
        <v>1569</v>
      </c>
      <c r="L8692" s="4333" t="s">
        <v>3765</v>
      </c>
      <c r="M8692" s="4335" t="s">
        <v>1571</v>
      </c>
      <c r="N8692" s="4323" t="s">
        <v>1776</v>
      </c>
      <c r="O8692" s="3347" t="s">
        <v>1563</v>
      </c>
      <c r="P8692" s="1336" t="s">
        <v>1562</v>
      </c>
      <c r="Q8692" s="3389"/>
      <c r="R8692" s="1699" t="s">
        <v>1327</v>
      </c>
    </row>
    <row r="8693" spans="1:18" s="22" customFormat="1">
      <c r="A8693" s="1599" t="s">
        <v>2512</v>
      </c>
      <c r="B8693" s="4326"/>
      <c r="C8693" s="3351"/>
      <c r="D8693" s="4328"/>
      <c r="E8693" s="4330"/>
      <c r="F8693" s="4336"/>
      <c r="G8693" s="4332"/>
      <c r="H8693" s="4332"/>
      <c r="I8693" s="1345">
        <v>1</v>
      </c>
      <c r="J8693" s="1307">
        <v>8.3000000000000004E-2</v>
      </c>
      <c r="K8693" s="1666">
        <f>I8693*J8693</f>
        <v>8.3000000000000004E-2</v>
      </c>
      <c r="L8693" s="4334"/>
      <c r="M8693" s="4335"/>
      <c r="N8693" s="4324"/>
      <c r="O8693" s="1298">
        <f>SUM(O8695:O8701)</f>
        <v>28.097999999999999</v>
      </c>
      <c r="P8693" s="1337">
        <f>O8693*K8693</f>
        <v>2.3321339999999999</v>
      </c>
      <c r="Q8693" s="3390"/>
      <c r="R8693" s="1721">
        <f>SUM(P8695:P8701)</f>
        <v>2.3321340000000004</v>
      </c>
    </row>
    <row r="8694" spans="1:18" s="22" customFormat="1">
      <c r="A8694" s="1320"/>
      <c r="B8694" s="1949"/>
      <c r="C8694" s="1327"/>
      <c r="D8694" s="1367"/>
      <c r="E8694" s="2121"/>
      <c r="F8694" s="1389" t="s">
        <v>1</v>
      </c>
      <c r="G8694" s="1389"/>
      <c r="H8694" s="1369"/>
      <c r="I8694" s="2088"/>
      <c r="J8694" s="1369"/>
      <c r="K8694" s="1391"/>
      <c r="L8694" s="1559"/>
      <c r="M8694" s="1369"/>
      <c r="N8694" s="1369"/>
      <c r="O8694" s="1369"/>
      <c r="P8694" s="1392"/>
      <c r="Q8694" s="3395"/>
      <c r="R8694" s="2344"/>
    </row>
    <row r="8695" spans="1:18" s="22" customFormat="1">
      <c r="A8695" s="1320"/>
      <c r="B8695" s="1599"/>
      <c r="C8695" s="1320"/>
      <c r="D8695" s="1598" t="s">
        <v>2542</v>
      </c>
      <c r="E8695" s="2154" t="s">
        <v>1504</v>
      </c>
      <c r="F8695" s="1598" t="s">
        <v>2543</v>
      </c>
      <c r="G8695" s="1995">
        <v>1</v>
      </c>
      <c r="H8695" s="1369"/>
      <c r="I8695" s="1299"/>
      <c r="J8695" s="1300"/>
      <c r="K8695" s="1307">
        <f>G8695*K8693</f>
        <v>8.3000000000000004E-2</v>
      </c>
      <c r="L8695" s="1335">
        <f t="shared" ref="L8695:L8696" si="1174">K8695*$K$8584</f>
        <v>0</v>
      </c>
      <c r="M8695" s="1302">
        <v>25.9</v>
      </c>
      <c r="N8695" s="1700"/>
      <c r="O8695" s="1290">
        <f>G8695*M8695</f>
        <v>25.9</v>
      </c>
      <c r="P8695" s="1332">
        <f>M8695*K8695</f>
        <v>2.1497000000000002</v>
      </c>
      <c r="Q8695" s="3402"/>
      <c r="R8695" s="2356"/>
    </row>
    <row r="8696" spans="1:18" s="22" customFormat="1">
      <c r="A8696" s="16"/>
      <c r="B8696" s="1599"/>
      <c r="C8696" s="1320"/>
      <c r="D8696" s="1598" t="s">
        <v>1097</v>
      </c>
      <c r="E8696" s="1856" t="s">
        <v>1504</v>
      </c>
      <c r="F8696" s="1598" t="s">
        <v>1632</v>
      </c>
      <c r="G8696" s="1651">
        <v>0.5</v>
      </c>
      <c r="H8696" s="1399"/>
      <c r="I8696" s="198"/>
      <c r="J8696" s="198"/>
      <c r="K8696" s="1307">
        <f>G8696*K8693</f>
        <v>4.1500000000000002E-2</v>
      </c>
      <c r="L8696" s="1335">
        <f t="shared" si="1174"/>
        <v>0</v>
      </c>
      <c r="M8696" s="1499">
        <v>0.55000000000000004</v>
      </c>
      <c r="N8696" s="1701"/>
      <c r="O8696" s="1291">
        <f>G8696*M8696</f>
        <v>0.27500000000000002</v>
      </c>
      <c r="P8696" s="1332">
        <f>M8696*K8696</f>
        <v>2.2825000000000002E-2</v>
      </c>
      <c r="Q8696" s="3391"/>
      <c r="R8696" s="3363"/>
    </row>
    <row r="8697" spans="1:18" s="22" customFormat="1">
      <c r="A8697" s="16"/>
      <c r="B8697" s="1599"/>
      <c r="C8697" s="1320"/>
      <c r="D8697" s="1598"/>
      <c r="E8697" s="1856"/>
      <c r="F8697" s="1598"/>
      <c r="G8697" s="1651"/>
      <c r="H8697" s="1399"/>
      <c r="I8697" s="198"/>
      <c r="J8697" s="198"/>
      <c r="K8697" s="1307"/>
      <c r="L8697" s="1335"/>
      <c r="M8697" s="1499"/>
      <c r="N8697" s="1701"/>
      <c r="O8697" s="1290"/>
      <c r="P8697" s="1332"/>
      <c r="Q8697" s="3391"/>
      <c r="R8697" s="3363"/>
    </row>
    <row r="8698" spans="1:18" s="22" customFormat="1">
      <c r="A8698" s="16"/>
      <c r="B8698" s="1599"/>
      <c r="C8698" s="1320"/>
      <c r="D8698" s="1598"/>
      <c r="E8698" s="1856"/>
      <c r="F8698" s="1598"/>
      <c r="G8698" s="1399"/>
      <c r="H8698" s="1399"/>
      <c r="I8698" s="198"/>
      <c r="J8698" s="198"/>
      <c r="K8698" s="1307"/>
      <c r="L8698" s="1335"/>
      <c r="M8698" s="1499"/>
      <c r="N8698" s="1701"/>
      <c r="O8698" s="1291"/>
      <c r="P8698" s="1332"/>
      <c r="Q8698" s="3391"/>
      <c r="R8698" s="3363"/>
    </row>
    <row r="8699" spans="1:18" s="22" customFormat="1" ht="26">
      <c r="A8699" s="2187"/>
      <c r="B8699" s="1599"/>
      <c r="C8699" s="1042"/>
      <c r="D8699" s="1359"/>
      <c r="E8699" s="1858"/>
      <c r="F8699" s="1360" t="s">
        <v>2</v>
      </c>
      <c r="G8699" s="1360"/>
      <c r="H8699" s="1362"/>
      <c r="I8699" s="1380"/>
      <c r="J8699" s="1381"/>
      <c r="K8699" s="1381"/>
      <c r="L8699" s="1458"/>
      <c r="M8699" s="1362"/>
      <c r="N8699" s="1362"/>
      <c r="O8699" s="1362"/>
      <c r="P8699" s="1359"/>
      <c r="Q8699" s="3403"/>
      <c r="R8699" s="2357"/>
    </row>
    <row r="8700" spans="1:18" s="22" customFormat="1" ht="26">
      <c r="A8700" s="2187"/>
      <c r="B8700" s="2053"/>
      <c r="C8700" s="1321"/>
      <c r="D8700" s="1655" t="s">
        <v>1099</v>
      </c>
      <c r="E8700" s="1859" t="s">
        <v>1508</v>
      </c>
      <c r="F8700" s="1655" t="s">
        <v>1633</v>
      </c>
      <c r="G8700" s="1994">
        <v>0.1</v>
      </c>
      <c r="H8700" s="1386"/>
      <c r="I8700" s="1299"/>
      <c r="J8700" s="1300"/>
      <c r="K8700" s="1307">
        <f>G8700*K8693</f>
        <v>8.3000000000000001E-3</v>
      </c>
      <c r="L8700" s="1335">
        <f>K8700*$K$8584</f>
        <v>0</v>
      </c>
      <c r="M8700" s="1302">
        <v>19.23</v>
      </c>
      <c r="N8700" s="1700"/>
      <c r="O8700" s="1290">
        <f>G8700*M8700</f>
        <v>1.923</v>
      </c>
      <c r="P8700" s="1332">
        <f>M8700*K8700</f>
        <v>0.159609</v>
      </c>
      <c r="Q8700" s="3402"/>
      <c r="R8700" s="2357"/>
    </row>
    <row r="8701" spans="1:18" s="22" customFormat="1">
      <c r="A8701" s="19"/>
      <c r="B8701" s="1042"/>
      <c r="C8701" s="1042"/>
      <c r="D8701" s="1402"/>
      <c r="E8701" s="1857"/>
      <c r="F8701" s="1430"/>
      <c r="G8701" s="1381"/>
      <c r="H8701" s="1408"/>
      <c r="I8701" s="1340"/>
      <c r="J8701" s="198"/>
      <c r="K8701" s="1307"/>
      <c r="L8701" s="1335"/>
      <c r="M8701" s="1302"/>
      <c r="N8701" s="1700"/>
      <c r="O8701" s="1290"/>
      <c r="P8701" s="1332"/>
      <c r="Q8701" s="3391"/>
      <c r="R8701" s="2338"/>
    </row>
    <row r="8702" spans="1:18" s="22" customFormat="1">
      <c r="B8702" s="1320"/>
      <c r="C8702" s="16"/>
      <c r="D8702" s="1359"/>
      <c r="E8702" s="1858"/>
      <c r="F8702" s="1474"/>
      <c r="G8702" s="1474"/>
      <c r="H8702" s="1466"/>
      <c r="I8702" s="1289"/>
      <c r="J8702" s="8"/>
      <c r="K8702" s="1307"/>
      <c r="L8702" s="1335"/>
      <c r="M8702" s="1302"/>
      <c r="N8702" s="1700"/>
      <c r="O8702" s="1290"/>
      <c r="P8702" s="1332"/>
      <c r="Q8702" s="3391"/>
      <c r="R8702" s="2344"/>
    </row>
    <row r="8703" spans="1:18" s="22" customFormat="1">
      <c r="A8703" s="1320"/>
      <c r="B8703" s="1599"/>
      <c r="C8703" s="1320"/>
      <c r="D8703" s="1373"/>
      <c r="E8703" s="2123"/>
      <c r="F8703" s="1374" t="s">
        <v>3</v>
      </c>
      <c r="G8703" s="1375"/>
      <c r="H8703" s="1376"/>
      <c r="I8703" s="1382"/>
      <c r="J8703" s="1383"/>
      <c r="K8703" s="1383"/>
      <c r="L8703" s="1413"/>
      <c r="M8703" s="1376"/>
      <c r="N8703" s="1376"/>
      <c r="O8703" s="1376"/>
      <c r="P8703" s="1373"/>
      <c r="Q8703" s="3403"/>
      <c r="R8703" s="2356"/>
    </row>
    <row r="8704" spans="1:18" s="22" customFormat="1">
      <c r="A8704" s="1321"/>
      <c r="B8704" s="2053"/>
      <c r="C8704" s="1321"/>
      <c r="D8704" s="1827"/>
      <c r="E8704" s="2173"/>
      <c r="F8704" s="1827"/>
      <c r="G8704" s="1828"/>
      <c r="H8704" s="1379"/>
      <c r="I8704" s="1299"/>
      <c r="J8704" s="1300"/>
      <c r="K8704" s="1307"/>
      <c r="L8704" s="1335"/>
      <c r="M8704" s="1302"/>
      <c r="N8704" s="1700"/>
      <c r="O8704" s="1290"/>
      <c r="P8704" s="1332"/>
      <c r="Q8704" s="3402"/>
      <c r="R8704" s="2053"/>
    </row>
    <row r="8705" spans="1:18" s="22" customFormat="1">
      <c r="A8705" s="1321"/>
      <c r="B8705" s="2053"/>
      <c r="C8705" s="1321"/>
      <c r="D8705" s="1377"/>
      <c r="E8705" s="2124"/>
      <c r="F8705" s="1378"/>
      <c r="G8705" s="1378"/>
      <c r="H8705" s="1379"/>
      <c r="I8705" s="1299"/>
      <c r="J8705" s="1300"/>
      <c r="K8705" s="1307"/>
      <c r="L8705" s="1335"/>
      <c r="M8705" s="1302"/>
      <c r="N8705" s="1700"/>
      <c r="O8705" s="1290"/>
      <c r="P8705" s="1333"/>
      <c r="Q8705" s="3402"/>
      <c r="R8705" s="2053"/>
    </row>
    <row r="8706" spans="1:18" s="22" customFormat="1">
      <c r="A8706" s="1320"/>
      <c r="B8706" s="1765"/>
      <c r="C8706" s="223"/>
      <c r="D8706" s="1373"/>
      <c r="E8706" s="2161"/>
      <c r="F8706" s="1678"/>
      <c r="G8706" s="1678"/>
      <c r="H8706" s="1376"/>
      <c r="I8706" s="1299"/>
      <c r="J8706" s="1300"/>
      <c r="K8706" s="1307"/>
      <c r="L8706" s="1335"/>
      <c r="M8706" s="1302"/>
      <c r="N8706" s="1700"/>
      <c r="O8706" s="1290"/>
      <c r="P8706" s="1332"/>
      <c r="Q8706" s="3402"/>
      <c r="R8706" s="2356"/>
    </row>
    <row r="8707" spans="1:18" s="22" customFormat="1">
      <c r="A8707" s="18" t="s">
        <v>3764</v>
      </c>
      <c r="B8707" s="4325" t="s">
        <v>2544</v>
      </c>
      <c r="C8707" s="3350"/>
      <c r="D8707" s="4327"/>
      <c r="E8707" s="4329" t="s">
        <v>1504</v>
      </c>
      <c r="F8707" s="4336" t="s">
        <v>2545</v>
      </c>
      <c r="G8707" s="4331" t="s">
        <v>1568</v>
      </c>
      <c r="H8707" s="4331" t="s">
        <v>1574</v>
      </c>
      <c r="I8707" s="1572" t="s">
        <v>1559</v>
      </c>
      <c r="J8707" s="1294" t="s">
        <v>1560</v>
      </c>
      <c r="K8707" s="1294" t="s">
        <v>1569</v>
      </c>
      <c r="L8707" s="4333" t="s">
        <v>3765</v>
      </c>
      <c r="M8707" s="4335" t="s">
        <v>1571</v>
      </c>
      <c r="N8707" s="4323" t="s">
        <v>1776</v>
      </c>
      <c r="O8707" s="3347" t="s">
        <v>1563</v>
      </c>
      <c r="P8707" s="1336" t="s">
        <v>1562</v>
      </c>
      <c r="Q8707" s="3389"/>
      <c r="R8707" s="1699" t="s">
        <v>1327</v>
      </c>
    </row>
    <row r="8708" spans="1:18" s="22" customFormat="1">
      <c r="A8708" s="1599" t="s">
        <v>2512</v>
      </c>
      <c r="B8708" s="4326"/>
      <c r="C8708" s="3351"/>
      <c r="D8708" s="4328"/>
      <c r="E8708" s="4330"/>
      <c r="F8708" s="4336"/>
      <c r="G8708" s="4332"/>
      <c r="H8708" s="4332"/>
      <c r="I8708" s="1345">
        <v>1</v>
      </c>
      <c r="J8708" s="1307">
        <v>8.3000000000000004E-2</v>
      </c>
      <c r="K8708" s="1297">
        <f>I8708*J8708</f>
        <v>8.3000000000000004E-2</v>
      </c>
      <c r="L8708" s="4334"/>
      <c r="M8708" s="4335"/>
      <c r="N8708" s="4324"/>
      <c r="O8708" s="1298">
        <f>SUM(O8710:O8715)</f>
        <v>78.198000000000008</v>
      </c>
      <c r="P8708" s="1337">
        <f>O8708*K8708</f>
        <v>6.4904340000000014</v>
      </c>
      <c r="Q8708" s="3390"/>
      <c r="R8708" s="1721">
        <f>SUM(P8710:P8715)</f>
        <v>6.4904340000000005</v>
      </c>
    </row>
    <row r="8709" spans="1:18" s="22" customFormat="1">
      <c r="A8709" s="1320"/>
      <c r="B8709" s="1949"/>
      <c r="C8709" s="1327"/>
      <c r="D8709" s="1367"/>
      <c r="E8709" s="2121"/>
      <c r="F8709" s="1389" t="s">
        <v>1</v>
      </c>
      <c r="G8709" s="1389"/>
      <c r="H8709" s="1369"/>
      <c r="I8709" s="2088"/>
      <c r="J8709" s="1369"/>
      <c r="K8709" s="1391"/>
      <c r="L8709" s="1559"/>
      <c r="M8709" s="1369"/>
      <c r="N8709" s="1369"/>
      <c r="O8709" s="1369"/>
      <c r="P8709" s="1392"/>
      <c r="Q8709" s="3395"/>
      <c r="R8709" s="2344"/>
    </row>
    <row r="8710" spans="1:18" s="22" customFormat="1">
      <c r="A8710" s="1320"/>
      <c r="B8710" s="1599"/>
      <c r="C8710" s="1320"/>
      <c r="D8710" s="1598" t="s">
        <v>2547</v>
      </c>
      <c r="E8710" s="2154" t="s">
        <v>1504</v>
      </c>
      <c r="F8710" s="1598" t="s">
        <v>2548</v>
      </c>
      <c r="G8710" s="1995">
        <v>1</v>
      </c>
      <c r="H8710" s="1369"/>
      <c r="I8710" s="1299"/>
      <c r="J8710" s="1300"/>
      <c r="K8710" s="1307">
        <f>G8710*K8708</f>
        <v>8.3000000000000004E-2</v>
      </c>
      <c r="L8710" s="1335">
        <f t="shared" ref="L8710:L8711" si="1175">K8710*$K$8584</f>
        <v>0</v>
      </c>
      <c r="M8710" s="1302">
        <v>76</v>
      </c>
      <c r="N8710" s="1700"/>
      <c r="O8710" s="1290">
        <f>G8710*M8710</f>
        <v>76</v>
      </c>
      <c r="P8710" s="1332">
        <f>M8710*K8710</f>
        <v>6.3080000000000007</v>
      </c>
      <c r="Q8710" s="3402"/>
      <c r="R8710" s="2356"/>
    </row>
    <row r="8711" spans="1:18" s="22" customFormat="1">
      <c r="A8711" s="16"/>
      <c r="B8711" s="1599"/>
      <c r="C8711" s="1320"/>
      <c r="D8711" s="1598" t="s">
        <v>1097</v>
      </c>
      <c r="E8711" s="1856" t="s">
        <v>1504</v>
      </c>
      <c r="F8711" s="1598" t="s">
        <v>1632</v>
      </c>
      <c r="G8711" s="1651">
        <v>0.5</v>
      </c>
      <c r="H8711" s="1399"/>
      <c r="I8711" s="198"/>
      <c r="J8711" s="198"/>
      <c r="K8711" s="1307">
        <f>G8711*K8708</f>
        <v>4.1500000000000002E-2</v>
      </c>
      <c r="L8711" s="1335">
        <f t="shared" si="1175"/>
        <v>0</v>
      </c>
      <c r="M8711" s="1499">
        <v>0.55000000000000004</v>
      </c>
      <c r="N8711" s="1701"/>
      <c r="O8711" s="1291">
        <f>G8711*M8711</f>
        <v>0.27500000000000002</v>
      </c>
      <c r="P8711" s="1332">
        <f>M8711*K8711</f>
        <v>2.2825000000000002E-2</v>
      </c>
      <c r="Q8711" s="3391"/>
      <c r="R8711" s="3363"/>
    </row>
    <row r="8712" spans="1:18" s="22" customFormat="1">
      <c r="A8712" s="16"/>
      <c r="B8712" s="1599"/>
      <c r="C8712" s="1320"/>
      <c r="D8712" s="1598"/>
      <c r="E8712" s="1856"/>
      <c r="F8712" s="1598"/>
      <c r="G8712" s="1651"/>
      <c r="H8712" s="1399"/>
      <c r="I8712" s="198"/>
      <c r="J8712" s="198"/>
      <c r="K8712" s="1307"/>
      <c r="L8712" s="1335"/>
      <c r="M8712" s="1499"/>
      <c r="N8712" s="1701"/>
      <c r="O8712" s="1290"/>
      <c r="P8712" s="1332"/>
      <c r="Q8712" s="3391"/>
      <c r="R8712" s="3363"/>
    </row>
    <row r="8713" spans="1:18" s="22" customFormat="1">
      <c r="A8713" s="16"/>
      <c r="B8713" s="1599"/>
      <c r="C8713" s="1320"/>
      <c r="D8713" s="1598"/>
      <c r="E8713" s="1856"/>
      <c r="F8713" s="1598"/>
      <c r="G8713" s="1399"/>
      <c r="H8713" s="1399"/>
      <c r="I8713" s="198"/>
      <c r="J8713" s="198"/>
      <c r="K8713" s="1307"/>
      <c r="L8713" s="1335"/>
      <c r="M8713" s="1499"/>
      <c r="N8713" s="1701"/>
      <c r="O8713" s="1291"/>
      <c r="P8713" s="1332"/>
      <c r="Q8713" s="3391"/>
      <c r="R8713" s="3363"/>
    </row>
    <row r="8714" spans="1:18" s="22" customFormat="1" ht="26">
      <c r="A8714" s="2187"/>
      <c r="B8714" s="1599"/>
      <c r="C8714" s="1042"/>
      <c r="D8714" s="1359"/>
      <c r="E8714" s="1858"/>
      <c r="F8714" s="1360" t="s">
        <v>2</v>
      </c>
      <c r="G8714" s="1360"/>
      <c r="H8714" s="1362"/>
      <c r="I8714" s="1380"/>
      <c r="J8714" s="1381"/>
      <c r="K8714" s="1381"/>
      <c r="L8714" s="1458"/>
      <c r="M8714" s="1362"/>
      <c r="N8714" s="1362"/>
      <c r="O8714" s="1362"/>
      <c r="P8714" s="1359"/>
      <c r="Q8714" s="3403"/>
      <c r="R8714" s="2357"/>
    </row>
    <row r="8715" spans="1:18" s="22" customFormat="1" ht="26">
      <c r="A8715" s="2187"/>
      <c r="B8715" s="2053"/>
      <c r="C8715" s="1321"/>
      <c r="D8715" s="1655" t="s">
        <v>1099</v>
      </c>
      <c r="E8715" s="1859" t="s">
        <v>1508</v>
      </c>
      <c r="F8715" s="1655" t="s">
        <v>1633</v>
      </c>
      <c r="G8715" s="1994">
        <v>0.1</v>
      </c>
      <c r="H8715" s="1386"/>
      <c r="I8715" s="1299"/>
      <c r="J8715" s="1300"/>
      <c r="K8715" s="1307">
        <f>G8715*K8708</f>
        <v>8.3000000000000001E-3</v>
      </c>
      <c r="L8715" s="1335">
        <f>K8715*$K$8584</f>
        <v>0</v>
      </c>
      <c r="M8715" s="1302">
        <v>19.23</v>
      </c>
      <c r="N8715" s="1700"/>
      <c r="O8715" s="1290">
        <f>G8715*M8715</f>
        <v>1.923</v>
      </c>
      <c r="P8715" s="1332">
        <f>M8715*K8715</f>
        <v>0.159609</v>
      </c>
      <c r="Q8715" s="3402"/>
      <c r="R8715" s="2357"/>
    </row>
    <row r="8716" spans="1:18" s="22" customFormat="1">
      <c r="A8716"/>
      <c r="B8716" s="1042"/>
      <c r="C8716" s="19"/>
      <c r="D8716" s="1430"/>
      <c r="E8716" s="1857"/>
      <c r="F8716" s="1394"/>
      <c r="G8716" s="2183"/>
      <c r="H8716" s="1395"/>
      <c r="I8716" s="197"/>
      <c r="J8716" s="198"/>
      <c r="K8716" s="1307"/>
      <c r="L8716" s="1335"/>
      <c r="M8716" s="1302"/>
      <c r="N8716" s="1718"/>
      <c r="O8716" s="1290"/>
      <c r="P8716" s="1720"/>
      <c r="Q8716" s="3396"/>
      <c r="R8716" s="2337"/>
    </row>
    <row r="8717" spans="1:18" s="22" customFormat="1">
      <c r="B8717" s="1320"/>
      <c r="C8717" s="16"/>
      <c r="D8717" s="1359"/>
      <c r="E8717" s="1858"/>
      <c r="F8717" s="1474"/>
      <c r="G8717" s="1474"/>
      <c r="H8717" s="1466"/>
      <c r="I8717" s="1289"/>
      <c r="J8717" s="8"/>
      <c r="K8717" s="1307"/>
      <c r="L8717" s="1335"/>
      <c r="M8717" s="1302"/>
      <c r="N8717" s="1700"/>
      <c r="O8717" s="1290"/>
      <c r="P8717" s="1332"/>
      <c r="Q8717" s="3391"/>
      <c r="R8717" s="2344"/>
    </row>
    <row r="8718" spans="1:18" s="22" customFormat="1">
      <c r="A8718" s="1320"/>
      <c r="B8718" s="1599"/>
      <c r="C8718" s="1320"/>
      <c r="D8718" s="1373"/>
      <c r="E8718" s="2123"/>
      <c r="F8718" s="1374" t="s">
        <v>3</v>
      </c>
      <c r="G8718" s="1375"/>
      <c r="H8718" s="1376"/>
      <c r="I8718" s="1382"/>
      <c r="J8718" s="1383"/>
      <c r="K8718" s="1383"/>
      <c r="L8718" s="1413"/>
      <c r="M8718" s="1376"/>
      <c r="N8718" s="1376"/>
      <c r="O8718" s="1376"/>
      <c r="P8718" s="1373"/>
      <c r="Q8718" s="3403"/>
      <c r="R8718" s="2356"/>
    </row>
    <row r="8719" spans="1:18" s="22" customFormat="1">
      <c r="A8719" s="1321"/>
      <c r="B8719" s="2053"/>
      <c r="C8719" s="1321"/>
      <c r="D8719" s="1827"/>
      <c r="E8719" s="2173"/>
      <c r="F8719" s="1827"/>
      <c r="G8719" s="1828"/>
      <c r="H8719" s="1379"/>
      <c r="I8719" s="1299"/>
      <c r="J8719" s="1300"/>
      <c r="K8719" s="1307"/>
      <c r="L8719" s="1335"/>
      <c r="M8719" s="1302"/>
      <c r="N8719" s="1700"/>
      <c r="O8719" s="1290"/>
      <c r="P8719" s="1332"/>
      <c r="Q8719" s="3402"/>
      <c r="R8719" s="2053"/>
    </row>
    <row r="8720" spans="1:18" s="22" customFormat="1">
      <c r="A8720" s="1321"/>
      <c r="B8720" s="2053"/>
      <c r="C8720" s="1321"/>
      <c r="D8720" s="1377"/>
      <c r="E8720" s="2124"/>
      <c r="F8720" s="1378"/>
      <c r="G8720" s="1378"/>
      <c r="H8720" s="1379"/>
      <c r="I8720" s="1299"/>
      <c r="J8720" s="1300"/>
      <c r="K8720" s="1307"/>
      <c r="L8720" s="1335"/>
      <c r="M8720" s="1302"/>
      <c r="N8720" s="1700"/>
      <c r="O8720" s="1290"/>
      <c r="P8720" s="1333"/>
      <c r="Q8720" s="3402"/>
      <c r="R8720" s="2053"/>
    </row>
    <row r="8721" spans="1:18" s="22" customFormat="1">
      <c r="A8721" s="1320"/>
      <c r="B8721" s="1765"/>
      <c r="C8721" s="223"/>
      <c r="D8721" s="1373"/>
      <c r="E8721" s="2161"/>
      <c r="F8721" s="1678"/>
      <c r="G8721" s="1678"/>
      <c r="H8721" s="1376"/>
      <c r="I8721" s="1299"/>
      <c r="J8721" s="1300"/>
      <c r="K8721" s="1307"/>
      <c r="L8721" s="1335"/>
      <c r="M8721" s="1302"/>
      <c r="N8721" s="1700"/>
      <c r="O8721" s="1290"/>
      <c r="P8721" s="1332"/>
      <c r="Q8721" s="3402"/>
      <c r="R8721" s="2356"/>
    </row>
    <row r="8722" spans="1:18" s="22" customFormat="1">
      <c r="A8722" s="18" t="s">
        <v>3764</v>
      </c>
      <c r="B8722" s="4325" t="s">
        <v>2549</v>
      </c>
      <c r="C8722" s="3350"/>
      <c r="D8722" s="4327"/>
      <c r="E8722" s="4329" t="s">
        <v>1504</v>
      </c>
      <c r="F8722" s="4336" t="s">
        <v>2550</v>
      </c>
      <c r="G8722" s="4331" t="s">
        <v>1568</v>
      </c>
      <c r="H8722" s="4331" t="s">
        <v>1574</v>
      </c>
      <c r="I8722" s="1572" t="s">
        <v>1559</v>
      </c>
      <c r="J8722" s="1294" t="s">
        <v>1560</v>
      </c>
      <c r="K8722" s="1294" t="s">
        <v>1569</v>
      </c>
      <c r="L8722" s="4333" t="s">
        <v>3765</v>
      </c>
      <c r="M8722" s="4335" t="s">
        <v>1571</v>
      </c>
      <c r="N8722" s="4323" t="s">
        <v>1776</v>
      </c>
      <c r="O8722" s="3347" t="s">
        <v>1563</v>
      </c>
      <c r="P8722" s="1336" t="s">
        <v>1562</v>
      </c>
      <c r="Q8722" s="3389"/>
      <c r="R8722" s="1699" t="s">
        <v>1327</v>
      </c>
    </row>
    <row r="8723" spans="1:18" s="22" customFormat="1">
      <c r="A8723" s="1599" t="s">
        <v>2512</v>
      </c>
      <c r="B8723" s="4326"/>
      <c r="C8723" s="3351"/>
      <c r="D8723" s="4328"/>
      <c r="E8723" s="4330"/>
      <c r="F8723" s="4336"/>
      <c r="G8723" s="4332"/>
      <c r="H8723" s="4332"/>
      <c r="I8723" s="1345">
        <v>12</v>
      </c>
      <c r="J8723" s="1307">
        <v>8.3000000000000004E-2</v>
      </c>
      <c r="K8723" s="1297">
        <f>I8723*J8723</f>
        <v>0.996</v>
      </c>
      <c r="L8723" s="4334"/>
      <c r="M8723" s="4335"/>
      <c r="N8723" s="4324"/>
      <c r="O8723" s="1298">
        <f>SUM(O8725:O8731)</f>
        <v>373.44799999999998</v>
      </c>
      <c r="P8723" s="1337">
        <f>O8723*K8723</f>
        <v>371.95420799999999</v>
      </c>
      <c r="Q8723" s="3390"/>
      <c r="R8723" s="1721">
        <f>SUM(P8725:P8731)</f>
        <v>371.95420799999999</v>
      </c>
    </row>
    <row r="8724" spans="1:18" s="22" customFormat="1">
      <c r="A8724" s="1320"/>
      <c r="B8724" s="1949"/>
      <c r="C8724" s="1327"/>
      <c r="D8724" s="1367"/>
      <c r="E8724" s="2121"/>
      <c r="F8724" s="1389" t="s">
        <v>1</v>
      </c>
      <c r="G8724" s="1389"/>
      <c r="H8724" s="1369"/>
      <c r="I8724" s="2088"/>
      <c r="J8724" s="1369"/>
      <c r="K8724" s="1391"/>
      <c r="L8724" s="1559"/>
      <c r="M8724" s="1369"/>
      <c r="N8724" s="1369"/>
      <c r="O8724" s="1369"/>
      <c r="P8724" s="1392"/>
      <c r="Q8724" s="3395"/>
      <c r="R8724" s="2344"/>
    </row>
    <row r="8725" spans="1:18" s="22" customFormat="1">
      <c r="A8725" s="1320"/>
      <c r="B8725" s="1599"/>
      <c r="C8725" s="1320"/>
      <c r="D8725" s="1598" t="s">
        <v>2551</v>
      </c>
      <c r="E8725" s="2154" t="s">
        <v>1617</v>
      </c>
      <c r="F8725" s="1598" t="s">
        <v>2552</v>
      </c>
      <c r="G8725" s="1995">
        <v>1</v>
      </c>
      <c r="H8725" s="1369"/>
      <c r="I8725" s="1299"/>
      <c r="J8725" s="1300"/>
      <c r="K8725" s="1307">
        <f>G8725*K8723</f>
        <v>0.996</v>
      </c>
      <c r="L8725" s="1335">
        <f t="shared" ref="L8725:L8726" si="1176">K8725*$K$8584</f>
        <v>0</v>
      </c>
      <c r="M8725" s="1302">
        <v>264</v>
      </c>
      <c r="N8725" s="1700"/>
      <c r="O8725" s="1290">
        <f>G8725*M8725</f>
        <v>264</v>
      </c>
      <c r="P8725" s="1332">
        <f>M8725*K8725</f>
        <v>262.94400000000002</v>
      </c>
      <c r="Q8725" s="3402"/>
      <c r="R8725" s="2356"/>
    </row>
    <row r="8726" spans="1:18" s="22" customFormat="1">
      <c r="A8726" s="16"/>
      <c r="B8726" s="1599"/>
      <c r="C8726" s="1320"/>
      <c r="D8726" s="1598" t="s">
        <v>1097</v>
      </c>
      <c r="E8726" s="1856" t="s">
        <v>1504</v>
      </c>
      <c r="F8726" s="1598" t="s">
        <v>1632</v>
      </c>
      <c r="G8726" s="1651">
        <v>25</v>
      </c>
      <c r="H8726" s="1399"/>
      <c r="I8726" s="198"/>
      <c r="J8726" s="198"/>
      <c r="K8726" s="1350">
        <f>G8726*K8723</f>
        <v>24.9</v>
      </c>
      <c r="L8726" s="1335">
        <f t="shared" si="1176"/>
        <v>0</v>
      </c>
      <c r="M8726" s="1499">
        <v>0.55000000000000004</v>
      </c>
      <c r="N8726" s="1701"/>
      <c r="O8726" s="1291">
        <f>G8726*M8726</f>
        <v>13.750000000000002</v>
      </c>
      <c r="P8726" s="1332">
        <f>M8726*K8726</f>
        <v>13.695</v>
      </c>
      <c r="Q8726" s="3391"/>
      <c r="R8726" s="3363"/>
    </row>
    <row r="8727" spans="1:18" s="22" customFormat="1">
      <c r="A8727" s="16"/>
      <c r="B8727" s="1599"/>
      <c r="C8727" s="1320"/>
      <c r="D8727" s="1598"/>
      <c r="E8727" s="1856"/>
      <c r="F8727" s="1598"/>
      <c r="G8727" s="1651"/>
      <c r="H8727" s="1399"/>
      <c r="I8727" s="198"/>
      <c r="J8727" s="198"/>
      <c r="K8727" s="1307"/>
      <c r="L8727" s="1335"/>
      <c r="M8727" s="1499"/>
      <c r="N8727" s="1701"/>
      <c r="O8727" s="1290"/>
      <c r="P8727" s="1332"/>
      <c r="Q8727" s="3391"/>
      <c r="R8727" s="3363"/>
    </row>
    <row r="8728" spans="1:18" s="22" customFormat="1">
      <c r="A8728" s="16"/>
      <c r="B8728" s="1599"/>
      <c r="C8728" s="1320"/>
      <c r="D8728" s="1598"/>
      <c r="E8728" s="1856"/>
      <c r="F8728" s="1598"/>
      <c r="G8728" s="1399"/>
      <c r="H8728" s="1399"/>
      <c r="I8728" s="198"/>
      <c r="J8728" s="198"/>
      <c r="K8728" s="1307"/>
      <c r="L8728" s="1335"/>
      <c r="M8728" s="1499"/>
      <c r="N8728" s="1701"/>
      <c r="O8728" s="1291"/>
      <c r="P8728" s="1332"/>
      <c r="Q8728" s="3391"/>
      <c r="R8728" s="3363"/>
    </row>
    <row r="8729" spans="1:18" s="22" customFormat="1" ht="26">
      <c r="A8729" s="2187"/>
      <c r="B8729" s="1599"/>
      <c r="C8729" s="1042"/>
      <c r="D8729" s="1359"/>
      <c r="E8729" s="1858"/>
      <c r="F8729" s="1360" t="s">
        <v>2</v>
      </c>
      <c r="G8729" s="1360"/>
      <c r="H8729" s="1362"/>
      <c r="I8729" s="1380"/>
      <c r="J8729" s="1381"/>
      <c r="K8729" s="1381"/>
      <c r="L8729" s="1458"/>
      <c r="M8729" s="1362"/>
      <c r="N8729" s="1362"/>
      <c r="O8729" s="1362"/>
      <c r="P8729" s="1359"/>
      <c r="Q8729" s="3403"/>
      <c r="R8729" s="2357"/>
    </row>
    <row r="8730" spans="1:18" s="22" customFormat="1" ht="26">
      <c r="A8730" s="2187"/>
      <c r="B8730" s="2053"/>
      <c r="C8730" s="1321"/>
      <c r="D8730" s="1655" t="s">
        <v>1099</v>
      </c>
      <c r="E8730" s="1859" t="s">
        <v>1508</v>
      </c>
      <c r="F8730" s="1655" t="s">
        <v>1633</v>
      </c>
      <c r="G8730" s="1994">
        <v>2.6</v>
      </c>
      <c r="H8730" s="1386"/>
      <c r="I8730" s="1299"/>
      <c r="J8730" s="1300"/>
      <c r="K8730" s="1307">
        <f>G8730*K8723</f>
        <v>2.5895999999999999</v>
      </c>
      <c r="L8730" s="1335">
        <f t="shared" ref="L8730:L8731" si="1177">K8730*$K$8584</f>
        <v>0</v>
      </c>
      <c r="M8730" s="1302">
        <v>19.23</v>
      </c>
      <c r="N8730" s="1700"/>
      <c r="O8730" s="1290">
        <f>G8730*M8730</f>
        <v>49.998000000000005</v>
      </c>
      <c r="P8730" s="1332">
        <f>M8730*K8730</f>
        <v>49.798007999999996</v>
      </c>
      <c r="Q8730" s="3402"/>
      <c r="R8730" s="2357"/>
    </row>
    <row r="8731" spans="1:18" s="22" customFormat="1">
      <c r="A8731" s="19"/>
      <c r="B8731" s="1042"/>
      <c r="C8731" s="1042"/>
      <c r="D8731" s="1402" t="s">
        <v>1067</v>
      </c>
      <c r="E8731" s="1857" t="s">
        <v>1508</v>
      </c>
      <c r="F8731" s="1430" t="s">
        <v>1512</v>
      </c>
      <c r="G8731" s="1381">
        <v>2.5</v>
      </c>
      <c r="H8731" s="1408"/>
      <c r="I8731" s="1340"/>
      <c r="J8731" s="198"/>
      <c r="K8731" s="1307">
        <f>G8731*K8723</f>
        <v>2.4900000000000002</v>
      </c>
      <c r="L8731" s="1335">
        <f t="shared" si="1177"/>
        <v>0</v>
      </c>
      <c r="M8731" s="1302">
        <v>18.28</v>
      </c>
      <c r="N8731" s="1700"/>
      <c r="O8731" s="1290">
        <f>G8731*M8731</f>
        <v>45.7</v>
      </c>
      <c r="P8731" s="1332">
        <f>M8731*K8731</f>
        <v>45.51720000000001</v>
      </c>
      <c r="Q8731" s="3391"/>
      <c r="R8731" s="2338"/>
    </row>
    <row r="8732" spans="1:18" s="22" customFormat="1">
      <c r="A8732"/>
      <c r="B8732" s="1042"/>
      <c r="C8732" s="19"/>
      <c r="D8732" s="1430"/>
      <c r="E8732" s="1857"/>
      <c r="F8732" s="1394"/>
      <c r="G8732" s="2183"/>
      <c r="H8732" s="1395"/>
      <c r="I8732" s="197"/>
      <c r="J8732" s="198"/>
      <c r="K8732" s="1307"/>
      <c r="L8732" s="1335"/>
      <c r="M8732" s="1302"/>
      <c r="N8732" s="1718"/>
      <c r="O8732" s="1290"/>
      <c r="P8732" s="1720"/>
      <c r="Q8732" s="3396"/>
      <c r="R8732" s="2337"/>
    </row>
    <row r="8733" spans="1:18" s="22" customFormat="1">
      <c r="A8733" s="1320"/>
      <c r="B8733" s="1599"/>
      <c r="C8733" s="1320"/>
      <c r="D8733" s="1373"/>
      <c r="E8733" s="2123"/>
      <c r="F8733" s="1374" t="s">
        <v>3</v>
      </c>
      <c r="G8733" s="1375"/>
      <c r="H8733" s="1376"/>
      <c r="I8733" s="1382"/>
      <c r="J8733" s="1383"/>
      <c r="K8733" s="1383"/>
      <c r="L8733" s="1413"/>
      <c r="M8733" s="1376"/>
      <c r="N8733" s="1376"/>
      <c r="O8733" s="1376"/>
      <c r="P8733" s="1373"/>
      <c r="Q8733" s="3403"/>
      <c r="R8733" s="2356"/>
    </row>
    <row r="8734" spans="1:18" s="22" customFormat="1">
      <c r="A8734" s="1321"/>
      <c r="B8734" s="2053"/>
      <c r="C8734" s="1321"/>
      <c r="D8734" s="1827"/>
      <c r="E8734" s="2173"/>
      <c r="F8734" s="1827"/>
      <c r="G8734" s="1828"/>
      <c r="H8734" s="1379"/>
      <c r="I8734" s="1299"/>
      <c r="J8734" s="1300"/>
      <c r="K8734" s="1307"/>
      <c r="L8734" s="1335"/>
      <c r="M8734" s="1302"/>
      <c r="N8734" s="1700"/>
      <c r="O8734" s="1290"/>
      <c r="P8734" s="1332"/>
      <c r="Q8734" s="3402"/>
      <c r="R8734" s="2053"/>
    </row>
    <row r="8735" spans="1:18" s="22" customFormat="1">
      <c r="A8735" s="1321"/>
      <c r="B8735" s="2053"/>
      <c r="C8735" s="1321"/>
      <c r="D8735" s="1377"/>
      <c r="E8735" s="2124"/>
      <c r="F8735" s="1378"/>
      <c r="G8735" s="1378"/>
      <c r="H8735" s="1379"/>
      <c r="I8735" s="1299"/>
      <c r="J8735" s="1300"/>
      <c r="K8735" s="1307"/>
      <c r="L8735" s="1335"/>
      <c r="M8735" s="1302"/>
      <c r="N8735" s="1700"/>
      <c r="O8735" s="1290"/>
      <c r="P8735" s="1333"/>
      <c r="Q8735" s="3402"/>
      <c r="R8735" s="2053"/>
    </row>
    <row r="8736" spans="1:18" s="22" customFormat="1">
      <c r="A8736" s="1320"/>
      <c r="B8736" s="1765"/>
      <c r="C8736" s="223"/>
      <c r="D8736" s="1373"/>
      <c r="E8736" s="2161"/>
      <c r="F8736" s="1678"/>
      <c r="G8736" s="1678"/>
      <c r="H8736" s="1376"/>
      <c r="I8736" s="1299"/>
      <c r="J8736" s="1300"/>
      <c r="K8736" s="1307"/>
      <c r="L8736" s="1335"/>
      <c r="M8736" s="1302"/>
      <c r="N8736" s="1700"/>
      <c r="O8736" s="1290"/>
      <c r="P8736" s="1332"/>
      <c r="Q8736" s="3402"/>
      <c r="R8736" s="2356"/>
    </row>
    <row r="8737" spans="1:18" s="22" customFormat="1">
      <c r="A8737" s="18" t="s">
        <v>3764</v>
      </c>
      <c r="B8737" s="4325" t="s">
        <v>2553</v>
      </c>
      <c r="C8737" s="3350"/>
      <c r="D8737" s="4327"/>
      <c r="E8737" s="4329" t="s">
        <v>1683</v>
      </c>
      <c r="F8737" s="4336" t="s">
        <v>2554</v>
      </c>
      <c r="G8737" s="4331" t="s">
        <v>1568</v>
      </c>
      <c r="H8737" s="4331" t="s">
        <v>1574</v>
      </c>
      <c r="I8737" s="1572" t="s">
        <v>1559</v>
      </c>
      <c r="J8737" s="1294" t="s">
        <v>1560</v>
      </c>
      <c r="K8737" s="1294" t="s">
        <v>1569</v>
      </c>
      <c r="L8737" s="4333" t="s">
        <v>3765</v>
      </c>
      <c r="M8737" s="4335" t="s">
        <v>1571</v>
      </c>
      <c r="N8737" s="4323" t="s">
        <v>1776</v>
      </c>
      <c r="O8737" s="3347" t="s">
        <v>1563</v>
      </c>
      <c r="P8737" s="1336" t="s">
        <v>1562</v>
      </c>
      <c r="Q8737" s="3389"/>
      <c r="R8737" s="1699" t="s">
        <v>1327</v>
      </c>
    </row>
    <row r="8738" spans="1:18" s="22" customFormat="1">
      <c r="A8738" s="1599" t="s">
        <v>2512</v>
      </c>
      <c r="B8738" s="4326"/>
      <c r="C8738" s="3351"/>
      <c r="D8738" s="4328"/>
      <c r="E8738" s="4330"/>
      <c r="F8738" s="4336"/>
      <c r="G8738" s="4332"/>
      <c r="H8738" s="4332"/>
      <c r="I8738" s="1345">
        <v>150</v>
      </c>
      <c r="J8738" s="1307">
        <v>8.3000000000000004E-2</v>
      </c>
      <c r="K8738" s="1297">
        <f>I8738*J8738</f>
        <v>12.450000000000001</v>
      </c>
      <c r="L8738" s="4334"/>
      <c r="M8738" s="4335"/>
      <c r="N8738" s="4324"/>
      <c r="O8738" s="1298">
        <f>SUM(O8740:O8746)</f>
        <v>7.4573</v>
      </c>
      <c r="P8738" s="1337">
        <f>O8738*K8738</f>
        <v>92.843385000000012</v>
      </c>
      <c r="Q8738" s="3390"/>
      <c r="R8738" s="1721">
        <f>SUM(P8740:P8746)</f>
        <v>92.843385000000012</v>
      </c>
    </row>
    <row r="8739" spans="1:18" s="22" customFormat="1">
      <c r="A8739" s="1320"/>
      <c r="B8739" s="1949"/>
      <c r="C8739" s="1327"/>
      <c r="D8739" s="1367"/>
      <c r="E8739" s="2121"/>
      <c r="F8739" s="1389" t="s">
        <v>1</v>
      </c>
      <c r="G8739" s="1389"/>
      <c r="H8739" s="1369"/>
      <c r="I8739" s="2088"/>
      <c r="J8739" s="1369"/>
      <c r="K8739" s="1391"/>
      <c r="L8739" s="1559"/>
      <c r="M8739" s="1369"/>
      <c r="N8739" s="1369"/>
      <c r="O8739" s="1369"/>
      <c r="P8739" s="1392"/>
      <c r="Q8739" s="3395"/>
      <c r="R8739" s="2344"/>
    </row>
    <row r="8740" spans="1:18" s="22" customFormat="1">
      <c r="A8740" s="1320"/>
      <c r="B8740" s="1599"/>
      <c r="C8740" s="1320"/>
      <c r="D8740" s="1598" t="s">
        <v>2555</v>
      </c>
      <c r="E8740" s="2154" t="s">
        <v>1683</v>
      </c>
      <c r="F8740" s="1598" t="s">
        <v>2556</v>
      </c>
      <c r="G8740" s="1995">
        <v>1</v>
      </c>
      <c r="H8740" s="1369"/>
      <c r="I8740" s="1299"/>
      <c r="J8740" s="1300"/>
      <c r="K8740" s="1307">
        <f>G8740*K8738</f>
        <v>12.450000000000001</v>
      </c>
      <c r="L8740" s="1335">
        <f t="shared" ref="L8740:L8741" si="1178">K8740*$K$8584</f>
        <v>0</v>
      </c>
      <c r="M8740" s="1302">
        <v>7.1</v>
      </c>
      <c r="N8740" s="1700"/>
      <c r="O8740" s="1290">
        <f>G8740*M8740</f>
        <v>7.1</v>
      </c>
      <c r="P8740" s="1332">
        <f>M8740*K8740</f>
        <v>88.39500000000001</v>
      </c>
      <c r="Q8740" s="3402"/>
      <c r="R8740" s="2356"/>
    </row>
    <row r="8741" spans="1:18" s="22" customFormat="1">
      <c r="A8741" s="16"/>
      <c r="B8741" s="1599"/>
      <c r="C8741" s="1320"/>
      <c r="D8741" s="1598" t="s">
        <v>1097</v>
      </c>
      <c r="E8741" s="1856" t="s">
        <v>1504</v>
      </c>
      <c r="F8741" s="1598" t="s">
        <v>1632</v>
      </c>
      <c r="G8741" s="1651">
        <v>0.3</v>
      </c>
      <c r="H8741" s="1399"/>
      <c r="I8741" s="198"/>
      <c r="J8741" s="198"/>
      <c r="K8741" s="1350">
        <f>G8741*K8738</f>
        <v>3.7350000000000003</v>
      </c>
      <c r="L8741" s="1335">
        <f t="shared" si="1178"/>
        <v>0</v>
      </c>
      <c r="M8741" s="1499">
        <v>0.55000000000000004</v>
      </c>
      <c r="N8741" s="1701"/>
      <c r="O8741" s="1291">
        <f>G8741*M8741</f>
        <v>0.16500000000000001</v>
      </c>
      <c r="P8741" s="1332">
        <f>M8741*K8741</f>
        <v>2.0542500000000001</v>
      </c>
      <c r="Q8741" s="3391"/>
      <c r="R8741" s="3363"/>
    </row>
    <row r="8742" spans="1:18" s="22" customFormat="1">
      <c r="A8742" s="16"/>
      <c r="B8742" s="1599"/>
      <c r="C8742" s="1320"/>
      <c r="D8742" s="1598"/>
      <c r="E8742" s="1856"/>
      <c r="F8742" s="1598"/>
      <c r="G8742" s="1651"/>
      <c r="H8742" s="1399"/>
      <c r="I8742" s="198"/>
      <c r="J8742" s="198"/>
      <c r="K8742" s="1307"/>
      <c r="L8742" s="1335"/>
      <c r="M8742" s="1499"/>
      <c r="N8742" s="1701"/>
      <c r="O8742" s="1290"/>
      <c r="P8742" s="1332"/>
      <c r="Q8742" s="3391"/>
      <c r="R8742" s="3363"/>
    </row>
    <row r="8743" spans="1:18" s="22" customFormat="1">
      <c r="A8743" s="16"/>
      <c r="B8743" s="1599"/>
      <c r="C8743" s="1320"/>
      <c r="D8743" s="1598"/>
      <c r="E8743" s="1856"/>
      <c r="F8743" s="1598"/>
      <c r="G8743" s="1399"/>
      <c r="H8743" s="1399"/>
      <c r="I8743" s="198"/>
      <c r="J8743" s="198"/>
      <c r="K8743" s="1307"/>
      <c r="L8743" s="1335"/>
      <c r="M8743" s="1499"/>
      <c r="N8743" s="1701"/>
      <c r="O8743" s="1291"/>
      <c r="P8743" s="1332"/>
      <c r="Q8743" s="3391"/>
      <c r="R8743" s="3363"/>
    </row>
    <row r="8744" spans="1:18" s="22" customFormat="1" ht="26">
      <c r="A8744" s="2187"/>
      <c r="B8744" s="1599"/>
      <c r="C8744" s="1042"/>
      <c r="D8744" s="1359"/>
      <c r="E8744" s="1858"/>
      <c r="F8744" s="1360" t="s">
        <v>2</v>
      </c>
      <c r="G8744" s="1360"/>
      <c r="H8744" s="1362"/>
      <c r="I8744" s="1380"/>
      <c r="J8744" s="1381"/>
      <c r="K8744" s="1381"/>
      <c r="L8744" s="1458"/>
      <c r="M8744" s="1362"/>
      <c r="N8744" s="1362"/>
      <c r="O8744" s="1362"/>
      <c r="P8744" s="1359"/>
      <c r="Q8744" s="3403"/>
      <c r="R8744" s="2357"/>
    </row>
    <row r="8745" spans="1:18" s="22" customFormat="1" ht="26">
      <c r="A8745" s="2187"/>
      <c r="B8745" s="2053"/>
      <c r="C8745" s="1321"/>
      <c r="D8745" s="1655" t="s">
        <v>1099</v>
      </c>
      <c r="E8745" s="1859" t="s">
        <v>1508</v>
      </c>
      <c r="F8745" s="1655" t="s">
        <v>1633</v>
      </c>
      <c r="G8745" s="1994">
        <v>0.01</v>
      </c>
      <c r="H8745" s="1386"/>
      <c r="I8745" s="1299"/>
      <c r="J8745" s="1300"/>
      <c r="K8745" s="1307">
        <f>G8745*K8738</f>
        <v>0.12450000000000001</v>
      </c>
      <c r="L8745" s="1335">
        <f>K8745*$K$8584</f>
        <v>0</v>
      </c>
      <c r="M8745" s="1302">
        <v>19.23</v>
      </c>
      <c r="N8745" s="1700"/>
      <c r="O8745" s="1290">
        <f>G8745*M8745</f>
        <v>0.1923</v>
      </c>
      <c r="P8745" s="1332">
        <f>M8745*K8745</f>
        <v>2.3941350000000003</v>
      </c>
      <c r="Q8745" s="3402"/>
      <c r="R8745" s="2357"/>
    </row>
    <row r="8746" spans="1:18" s="22" customFormat="1">
      <c r="A8746" s="19"/>
      <c r="B8746" s="1042"/>
      <c r="C8746" s="1042"/>
      <c r="D8746" s="1402"/>
      <c r="E8746" s="1857"/>
      <c r="F8746" s="1430"/>
      <c r="G8746" s="1381"/>
      <c r="H8746" s="1408"/>
      <c r="I8746" s="1340"/>
      <c r="J8746" s="198"/>
      <c r="K8746" s="1307"/>
      <c r="L8746" s="1335"/>
      <c r="M8746" s="1302"/>
      <c r="N8746" s="1700"/>
      <c r="O8746" s="1290"/>
      <c r="P8746" s="1332"/>
      <c r="Q8746" s="3391"/>
      <c r="R8746" s="2338"/>
    </row>
    <row r="8747" spans="1:18" s="22" customFormat="1">
      <c r="B8747" s="1320"/>
      <c r="C8747" s="16"/>
      <c r="D8747" s="1359"/>
      <c r="E8747" s="1858"/>
      <c r="F8747" s="1474"/>
      <c r="G8747" s="1474"/>
      <c r="H8747" s="1466"/>
      <c r="I8747" s="1289"/>
      <c r="J8747" s="8"/>
      <c r="K8747" s="1307"/>
      <c r="L8747" s="1335"/>
      <c r="M8747" s="1302"/>
      <c r="N8747" s="1700"/>
      <c r="O8747" s="1290"/>
      <c r="P8747" s="1332"/>
      <c r="Q8747" s="3391"/>
      <c r="R8747" s="2344"/>
    </row>
    <row r="8748" spans="1:18" s="22" customFormat="1">
      <c r="A8748" s="1320"/>
      <c r="B8748" s="1599"/>
      <c r="C8748" s="1320"/>
      <c r="D8748" s="1373"/>
      <c r="E8748" s="2123"/>
      <c r="F8748" s="1374" t="s">
        <v>3</v>
      </c>
      <c r="G8748" s="1375"/>
      <c r="H8748" s="1376"/>
      <c r="I8748" s="1382"/>
      <c r="J8748" s="1383"/>
      <c r="K8748" s="1383"/>
      <c r="L8748" s="1413"/>
      <c r="M8748" s="1376"/>
      <c r="N8748" s="1376"/>
      <c r="O8748" s="1376"/>
      <c r="P8748" s="1373"/>
      <c r="Q8748" s="3403"/>
      <c r="R8748" s="2356"/>
    </row>
    <row r="8749" spans="1:18" s="22" customFormat="1">
      <c r="A8749" s="1321"/>
      <c r="B8749" s="2053"/>
      <c r="C8749" s="1321"/>
      <c r="D8749" s="1827"/>
      <c r="E8749" s="2173"/>
      <c r="F8749" s="1827"/>
      <c r="G8749" s="1828"/>
      <c r="H8749" s="1379"/>
      <c r="I8749" s="1299"/>
      <c r="J8749" s="1300"/>
      <c r="K8749" s="1307"/>
      <c r="L8749" s="1335"/>
      <c r="M8749" s="1302"/>
      <c r="N8749" s="1700"/>
      <c r="O8749" s="1290"/>
      <c r="P8749" s="1332"/>
      <c r="Q8749" s="3402"/>
      <c r="R8749" s="2053"/>
    </row>
    <row r="8750" spans="1:18" s="22" customFormat="1">
      <c r="A8750" s="1321"/>
      <c r="B8750" s="2053"/>
      <c r="C8750" s="1321"/>
      <c r="D8750" s="1377"/>
      <c r="E8750" s="2124"/>
      <c r="F8750" s="1378"/>
      <c r="G8750" s="1378"/>
      <c r="H8750" s="1379"/>
      <c r="I8750" s="1299"/>
      <c r="J8750" s="1300"/>
      <c r="K8750" s="1307"/>
      <c r="L8750" s="1335"/>
      <c r="M8750" s="1302"/>
      <c r="N8750" s="1700"/>
      <c r="O8750" s="1290"/>
      <c r="P8750" s="1333"/>
      <c r="Q8750" s="3402"/>
      <c r="R8750" s="2053"/>
    </row>
    <row r="8751" spans="1:18" s="22" customFormat="1">
      <c r="A8751" s="1320"/>
      <c r="B8751" s="1765"/>
      <c r="C8751" s="223"/>
      <c r="D8751" s="1373"/>
      <c r="E8751" s="2161"/>
      <c r="F8751" s="1678"/>
      <c r="G8751" s="1678"/>
      <c r="H8751" s="1376"/>
      <c r="I8751" s="1299"/>
      <c r="J8751" s="1300"/>
      <c r="K8751" s="1307"/>
      <c r="L8751" s="1335"/>
      <c r="M8751" s="1302"/>
      <c r="N8751" s="1700"/>
      <c r="O8751" s="1290"/>
      <c r="P8751" s="1332"/>
      <c r="Q8751" s="3402"/>
      <c r="R8751" s="2356"/>
    </row>
    <row r="8752" spans="1:18" s="22" customFormat="1">
      <c r="A8752" s="18" t="s">
        <v>3764</v>
      </c>
      <c r="B8752" s="4325" t="s">
        <v>2557</v>
      </c>
      <c r="C8752" s="3350"/>
      <c r="D8752" s="4327"/>
      <c r="E8752" s="4329" t="s">
        <v>1527</v>
      </c>
      <c r="F8752" s="4336" t="s">
        <v>2562</v>
      </c>
      <c r="G8752" s="4331" t="s">
        <v>1568</v>
      </c>
      <c r="H8752" s="4331" t="s">
        <v>1574</v>
      </c>
      <c r="I8752" s="1572" t="s">
        <v>1559</v>
      </c>
      <c r="J8752" s="1294" t="s">
        <v>1560</v>
      </c>
      <c r="K8752" s="1294" t="s">
        <v>1569</v>
      </c>
      <c r="L8752" s="4333" t="s">
        <v>3765</v>
      </c>
      <c r="M8752" s="4335" t="s">
        <v>1571</v>
      </c>
      <c r="N8752" s="4323" t="s">
        <v>1776</v>
      </c>
      <c r="O8752" s="3347" t="s">
        <v>1563</v>
      </c>
      <c r="P8752" s="1336" t="s">
        <v>1562</v>
      </c>
      <c r="Q8752" s="3389"/>
      <c r="R8752" s="1699" t="s">
        <v>1327</v>
      </c>
    </row>
    <row r="8753" spans="1:18" s="22" customFormat="1">
      <c r="A8753" s="1599" t="s">
        <v>2512</v>
      </c>
      <c r="B8753" s="4326"/>
      <c r="C8753" s="3351"/>
      <c r="D8753" s="4328"/>
      <c r="E8753" s="4330"/>
      <c r="F8753" s="4336"/>
      <c r="G8753" s="4332"/>
      <c r="H8753" s="4332"/>
      <c r="I8753" s="1345">
        <v>290</v>
      </c>
      <c r="J8753" s="1307">
        <v>8.3000000000000004E-2</v>
      </c>
      <c r="K8753" s="1297">
        <f>I8753*J8753</f>
        <v>24.07</v>
      </c>
      <c r="L8753" s="4334"/>
      <c r="M8753" s="4335"/>
      <c r="N8753" s="4324"/>
      <c r="O8753" s="1298">
        <f>SUM(O8755:O8761)</f>
        <v>23.873339999999999</v>
      </c>
      <c r="P8753" s="1337">
        <f>O8753*K8753</f>
        <v>574.63129379999998</v>
      </c>
      <c r="Q8753" s="3390"/>
      <c r="R8753" s="1721">
        <f>SUM(P8755:P8761)</f>
        <v>574.63129379999998</v>
      </c>
    </row>
    <row r="8754" spans="1:18" s="22" customFormat="1">
      <c r="A8754" s="1320"/>
      <c r="B8754" s="1949"/>
      <c r="C8754" s="1327"/>
      <c r="D8754" s="1367"/>
      <c r="E8754" s="2121"/>
      <c r="F8754" s="1389" t="s">
        <v>1</v>
      </c>
      <c r="G8754" s="1389"/>
      <c r="H8754" s="1369"/>
      <c r="I8754" s="2088"/>
      <c r="J8754" s="1369"/>
      <c r="K8754" s="1391"/>
      <c r="L8754" s="1559"/>
      <c r="M8754" s="1369"/>
      <c r="N8754" s="1369"/>
      <c r="O8754" s="1369"/>
      <c r="P8754" s="1392"/>
      <c r="Q8754" s="3395"/>
      <c r="R8754" s="2344"/>
    </row>
    <row r="8755" spans="1:18" s="22" customFormat="1">
      <c r="A8755" s="1320"/>
      <c r="B8755" s="1599"/>
      <c r="C8755" s="1320"/>
      <c r="D8755" s="1598" t="s">
        <v>2559</v>
      </c>
      <c r="E8755" s="2154" t="s">
        <v>1527</v>
      </c>
      <c r="F8755" s="1598" t="s">
        <v>2560</v>
      </c>
      <c r="G8755" s="1995">
        <v>1.01</v>
      </c>
      <c r="H8755" s="1369"/>
      <c r="I8755" s="1299"/>
      <c r="J8755" s="1300"/>
      <c r="K8755" s="1307">
        <f>G8755*K8753</f>
        <v>24.310700000000001</v>
      </c>
      <c r="L8755" s="1335">
        <f t="shared" ref="L8755:L8757" si="1179">K8755*$K$8584</f>
        <v>0</v>
      </c>
      <c r="M8755" s="1302">
        <v>18.399999999999999</v>
      </c>
      <c r="N8755" s="1700"/>
      <c r="O8755" s="1290">
        <f>G8755*M8755</f>
        <v>18.584</v>
      </c>
      <c r="P8755" s="1332">
        <f>M8755*K8755</f>
        <v>447.31687999999997</v>
      </c>
      <c r="Q8755" s="3402"/>
      <c r="R8755" s="2356"/>
    </row>
    <row r="8756" spans="1:18" s="22" customFormat="1">
      <c r="A8756" s="16"/>
      <c r="B8756" s="1599"/>
      <c r="C8756" s="1320"/>
      <c r="D8756" s="1598" t="s">
        <v>1097</v>
      </c>
      <c r="E8756" s="1856" t="s">
        <v>1504</v>
      </c>
      <c r="F8756" s="1598" t="s">
        <v>1632</v>
      </c>
      <c r="G8756" s="1651">
        <v>1</v>
      </c>
      <c r="H8756" s="1399"/>
      <c r="I8756" s="198"/>
      <c r="J8756" s="198"/>
      <c r="K8756" s="1350">
        <f>G8756*K8753</f>
        <v>24.07</v>
      </c>
      <c r="L8756" s="1335">
        <f t="shared" si="1179"/>
        <v>0</v>
      </c>
      <c r="M8756" s="1499">
        <v>0.55000000000000004</v>
      </c>
      <c r="N8756" s="1701"/>
      <c r="O8756" s="1291">
        <f>G8756*M8756</f>
        <v>0.55000000000000004</v>
      </c>
      <c r="P8756" s="1332">
        <f>M8756*K8756</f>
        <v>13.238500000000002</v>
      </c>
      <c r="Q8756" s="3391"/>
      <c r="R8756" s="3363"/>
    </row>
    <row r="8757" spans="1:18" s="22" customFormat="1">
      <c r="A8757" s="16"/>
      <c r="B8757" s="1599"/>
      <c r="C8757" s="1320"/>
      <c r="D8757" s="1598" t="s">
        <v>1082</v>
      </c>
      <c r="E8757" s="1856" t="s">
        <v>1504</v>
      </c>
      <c r="F8757" s="1598" t="s">
        <v>1541</v>
      </c>
      <c r="G8757" s="1651">
        <v>1</v>
      </c>
      <c r="H8757" s="1399"/>
      <c r="I8757" s="198"/>
      <c r="J8757" s="198"/>
      <c r="K8757" s="1350">
        <f>G8757*K8753</f>
        <v>24.07</v>
      </c>
      <c r="L8757" s="1335">
        <f t="shared" si="1179"/>
        <v>0</v>
      </c>
      <c r="M8757" s="1499">
        <v>0.3</v>
      </c>
      <c r="N8757" s="1701"/>
      <c r="O8757" s="1291">
        <f>G8757*M8757</f>
        <v>0.3</v>
      </c>
      <c r="P8757" s="1332">
        <f>M8757*K8757</f>
        <v>7.2210000000000001</v>
      </c>
      <c r="Q8757" s="3391"/>
      <c r="R8757" s="3363"/>
    </row>
    <row r="8758" spans="1:18" s="22" customFormat="1">
      <c r="A8758" s="16"/>
      <c r="B8758" s="1599"/>
      <c r="C8758" s="1320"/>
      <c r="D8758" s="1598"/>
      <c r="E8758" s="1856"/>
      <c r="F8758" s="1598"/>
      <c r="G8758" s="1399"/>
      <c r="H8758" s="1399"/>
      <c r="I8758" s="198"/>
      <c r="J8758" s="198"/>
      <c r="K8758" s="1307"/>
      <c r="L8758" s="1335"/>
      <c r="M8758" s="1499"/>
      <c r="N8758" s="1701"/>
      <c r="O8758" s="1291"/>
      <c r="P8758" s="1332"/>
      <c r="Q8758" s="3391"/>
      <c r="R8758" s="3363"/>
    </row>
    <row r="8759" spans="1:18" s="22" customFormat="1" ht="26">
      <c r="A8759" s="2187"/>
      <c r="B8759" s="1599"/>
      <c r="C8759" s="1042"/>
      <c r="D8759" s="1359"/>
      <c r="E8759" s="1858"/>
      <c r="F8759" s="1360" t="s">
        <v>2</v>
      </c>
      <c r="G8759" s="1360"/>
      <c r="H8759" s="1362"/>
      <c r="I8759" s="1380"/>
      <c r="J8759" s="1381"/>
      <c r="K8759" s="1381"/>
      <c r="L8759" s="1458"/>
      <c r="M8759" s="1362"/>
      <c r="N8759" s="1362"/>
      <c r="O8759" s="1362"/>
      <c r="P8759" s="1359"/>
      <c r="Q8759" s="3403"/>
      <c r="R8759" s="2357"/>
    </row>
    <row r="8760" spans="1:18" s="22" customFormat="1" ht="26">
      <c r="A8760" s="2187"/>
      <c r="B8760" s="2053"/>
      <c r="C8760" s="1321"/>
      <c r="D8760" s="1655" t="s">
        <v>1099</v>
      </c>
      <c r="E8760" s="1859" t="s">
        <v>1508</v>
      </c>
      <c r="F8760" s="1655" t="s">
        <v>1633</v>
      </c>
      <c r="G8760" s="1994">
        <v>0.15</v>
      </c>
      <c r="H8760" s="1386"/>
      <c r="I8760" s="1299"/>
      <c r="J8760" s="1300"/>
      <c r="K8760" s="1307">
        <f>G8760*K8753</f>
        <v>3.6105</v>
      </c>
      <c r="L8760" s="1335">
        <f t="shared" ref="L8760" si="1180">K8760*$K$8584</f>
        <v>0</v>
      </c>
      <c r="M8760" s="1302">
        <v>19.23</v>
      </c>
      <c r="N8760" s="1700"/>
      <c r="O8760" s="1290">
        <f>G8760*M8760</f>
        <v>2.8845000000000001</v>
      </c>
      <c r="P8760" s="1332">
        <f>M8760*K8760</f>
        <v>69.429915000000008</v>
      </c>
      <c r="Q8760" s="3402"/>
      <c r="R8760" s="2357"/>
    </row>
    <row r="8761" spans="1:18" s="22" customFormat="1">
      <c r="A8761"/>
      <c r="B8761" s="1042"/>
      <c r="C8761" s="2086" t="s">
        <v>2282</v>
      </c>
      <c r="D8761" s="1311"/>
      <c r="E8761" s="2176" t="s">
        <v>1508</v>
      </c>
      <c r="F8761" s="1648" t="s">
        <v>2283</v>
      </c>
      <c r="G8761" s="1990"/>
      <c r="H8761" s="1338">
        <v>4.2000000000000003E-2</v>
      </c>
      <c r="I8761" s="1444"/>
      <c r="J8761" s="1388"/>
      <c r="K8761" s="1445"/>
      <c r="L8761" s="1457"/>
      <c r="M8761" s="1447"/>
      <c r="N8761" s="1447">
        <f>SUM(N8762:N8763)</f>
        <v>37.019999999999996</v>
      </c>
      <c r="O8761" s="1447">
        <f>SUM(O8762:O8763)</f>
        <v>1.55484</v>
      </c>
      <c r="P8761" s="1447">
        <f>SUM(P8762:P8763)</f>
        <v>37.424998800000004</v>
      </c>
      <c r="Q8761" s="3391"/>
      <c r="R8761" s="2337"/>
    </row>
    <row r="8762" spans="1:18" s="22" customFormat="1">
      <c r="A8762"/>
      <c r="B8762" s="1042"/>
      <c r="C8762" s="19"/>
      <c r="D8762" s="1430" t="s">
        <v>1067</v>
      </c>
      <c r="E8762" s="1857" t="s">
        <v>1508</v>
      </c>
      <c r="F8762" s="1394" t="s">
        <v>5</v>
      </c>
      <c r="G8762" s="1991">
        <v>1</v>
      </c>
      <c r="H8762" s="1408">
        <f>G8762*H8761</f>
        <v>4.2000000000000003E-2</v>
      </c>
      <c r="I8762" s="1286"/>
      <c r="J8762" s="198"/>
      <c r="K8762" s="1307">
        <f>H8762*K8753</f>
        <v>1.0109400000000002</v>
      </c>
      <c r="L8762" s="1335">
        <f t="shared" ref="L8762:L8763" si="1181">K8762*$K$8584</f>
        <v>0</v>
      </c>
      <c r="M8762" s="1302">
        <v>18.28</v>
      </c>
      <c r="N8762" s="1718">
        <f>G8762*M8762</f>
        <v>18.28</v>
      </c>
      <c r="O8762" s="1290">
        <f>H8762*M8762</f>
        <v>0.76776000000000011</v>
      </c>
      <c r="P8762" s="1720">
        <f>M8762*K8762</f>
        <v>18.479983200000003</v>
      </c>
      <c r="Q8762" s="3396"/>
      <c r="R8762" s="2337"/>
    </row>
    <row r="8763" spans="1:18" s="22" customFormat="1">
      <c r="A8763"/>
      <c r="B8763" s="1042"/>
      <c r="C8763" s="19"/>
      <c r="D8763" s="1430" t="s">
        <v>1165</v>
      </c>
      <c r="E8763" s="1857" t="s">
        <v>1508</v>
      </c>
      <c r="F8763" s="1430" t="s">
        <v>114</v>
      </c>
      <c r="G8763" s="2183">
        <v>1</v>
      </c>
      <c r="H8763" s="1395">
        <f>G8763*H8761</f>
        <v>4.2000000000000003E-2</v>
      </c>
      <c r="I8763" s="197"/>
      <c r="J8763" s="198"/>
      <c r="K8763" s="1307">
        <f>H8763*K8753</f>
        <v>1.0109400000000002</v>
      </c>
      <c r="L8763" s="1335">
        <f t="shared" si="1181"/>
        <v>0</v>
      </c>
      <c r="M8763" s="1302">
        <v>18.739999999999998</v>
      </c>
      <c r="N8763" s="1718">
        <f>G8763*M8763</f>
        <v>18.739999999999998</v>
      </c>
      <c r="O8763" s="1290">
        <f>H8763*M8763</f>
        <v>0.78708</v>
      </c>
      <c r="P8763" s="1720">
        <f>M8763*K8763</f>
        <v>18.945015600000001</v>
      </c>
      <c r="Q8763" s="3396"/>
      <c r="R8763" s="2337"/>
    </row>
    <row r="8764" spans="1:18" s="22" customFormat="1">
      <c r="A8764" s="19"/>
      <c r="B8764" s="1042"/>
      <c r="C8764" s="19"/>
      <c r="D8764" s="1430"/>
      <c r="E8764" s="1857"/>
      <c r="F8764" s="1430"/>
      <c r="G8764" s="2191"/>
      <c r="H8764" s="1395"/>
      <c r="I8764" s="1346"/>
      <c r="J8764" s="198"/>
      <c r="K8764" s="1307"/>
      <c r="L8764" s="1335"/>
      <c r="M8764" s="1302"/>
      <c r="N8764" s="1700"/>
      <c r="O8764" s="1290"/>
      <c r="P8764" s="1332"/>
      <c r="Q8764" s="3391"/>
      <c r="R8764" s="2338"/>
    </row>
    <row r="8765" spans="1:18" s="22" customFormat="1">
      <c r="A8765"/>
      <c r="B8765" s="1042"/>
      <c r="C8765" s="19"/>
      <c r="D8765" s="1430"/>
      <c r="E8765" s="1857"/>
      <c r="F8765" s="1766"/>
      <c r="G8765" s="2183"/>
      <c r="H8765" s="1395"/>
      <c r="I8765" s="197"/>
      <c r="J8765" s="198"/>
      <c r="K8765" s="1307"/>
      <c r="L8765" s="1335"/>
      <c r="M8765" s="1302"/>
      <c r="N8765" s="1718"/>
      <c r="O8765" s="1290"/>
      <c r="P8765" s="1720"/>
      <c r="Q8765" s="3396"/>
      <c r="R8765" s="2337"/>
    </row>
    <row r="8766" spans="1:18" s="22" customFormat="1">
      <c r="A8766" s="1320"/>
      <c r="B8766" s="1599"/>
      <c r="C8766" s="1320"/>
      <c r="D8766" s="1373"/>
      <c r="E8766" s="2123"/>
      <c r="F8766" s="1374" t="s">
        <v>3</v>
      </c>
      <c r="G8766" s="1375"/>
      <c r="H8766" s="1376"/>
      <c r="I8766" s="1382"/>
      <c r="J8766" s="1383"/>
      <c r="K8766" s="1383"/>
      <c r="L8766" s="1413"/>
      <c r="M8766" s="1376"/>
      <c r="N8766" s="1376"/>
      <c r="O8766" s="1376"/>
      <c r="P8766" s="1373"/>
      <c r="Q8766" s="3403"/>
      <c r="R8766" s="2356"/>
    </row>
    <row r="8767" spans="1:18" s="22" customFormat="1">
      <c r="A8767" s="1321"/>
      <c r="B8767" s="2053"/>
      <c r="C8767" s="1321"/>
      <c r="D8767" s="1827"/>
      <c r="E8767" s="2173"/>
      <c r="F8767" s="1827"/>
      <c r="G8767" s="1828"/>
      <c r="H8767" s="1379"/>
      <c r="I8767" s="1299"/>
      <c r="J8767" s="1300"/>
      <c r="K8767" s="1307"/>
      <c r="L8767" s="1335"/>
      <c r="M8767" s="1302"/>
      <c r="N8767" s="1700"/>
      <c r="O8767" s="1290"/>
      <c r="P8767" s="1332"/>
      <c r="Q8767" s="3402"/>
      <c r="R8767" s="2053"/>
    </row>
    <row r="8768" spans="1:18" s="22" customFormat="1">
      <c r="A8768" s="1321"/>
      <c r="B8768" s="2053"/>
      <c r="C8768" s="1321"/>
      <c r="D8768" s="1377"/>
      <c r="E8768" s="2124"/>
      <c r="F8768" s="1378"/>
      <c r="G8768" s="1378"/>
      <c r="H8768" s="1379"/>
      <c r="I8768" s="1299"/>
      <c r="J8768" s="1300"/>
      <c r="K8768" s="1307"/>
      <c r="L8768" s="1335"/>
      <c r="M8768" s="1302"/>
      <c r="N8768" s="1700"/>
      <c r="O8768" s="1290"/>
      <c r="P8768" s="1333"/>
      <c r="Q8768" s="3402"/>
      <c r="R8768" s="2053"/>
    </row>
    <row r="8769" spans="1:18" s="22" customFormat="1">
      <c r="A8769" s="1320"/>
      <c r="B8769" s="1765"/>
      <c r="C8769" s="223"/>
      <c r="D8769" s="1373"/>
      <c r="E8769" s="2161"/>
      <c r="F8769" s="1678"/>
      <c r="G8769" s="1678"/>
      <c r="H8769" s="1376"/>
      <c r="I8769" s="1299"/>
      <c r="J8769" s="1300"/>
      <c r="K8769" s="1307"/>
      <c r="L8769" s="1335"/>
      <c r="M8769" s="1302"/>
      <c r="N8769" s="1700"/>
      <c r="O8769" s="1290"/>
      <c r="P8769" s="1332"/>
      <c r="Q8769" s="3402"/>
      <c r="R8769" s="2356"/>
    </row>
    <row r="8770" spans="1:18" s="22" customFormat="1">
      <c r="A8770" s="18" t="s">
        <v>3764</v>
      </c>
      <c r="B8770" s="4325" t="s">
        <v>2561</v>
      </c>
      <c r="C8770" s="3350"/>
      <c r="D8770" s="4327"/>
      <c r="E8770" s="4329" t="s">
        <v>1527</v>
      </c>
      <c r="F8770" s="4336" t="s">
        <v>2558</v>
      </c>
      <c r="G8770" s="4331" t="s">
        <v>1568</v>
      </c>
      <c r="H8770" s="4331" t="s">
        <v>1574</v>
      </c>
      <c r="I8770" s="1572" t="s">
        <v>1559</v>
      </c>
      <c r="J8770" s="1294" t="s">
        <v>1560</v>
      </c>
      <c r="K8770" s="1294" t="s">
        <v>1569</v>
      </c>
      <c r="L8770" s="4333" t="s">
        <v>3765</v>
      </c>
      <c r="M8770" s="4335" t="s">
        <v>1571</v>
      </c>
      <c r="N8770" s="4323" t="s">
        <v>1776</v>
      </c>
      <c r="O8770" s="3347" t="s">
        <v>1563</v>
      </c>
      <c r="P8770" s="1336" t="s">
        <v>1562</v>
      </c>
      <c r="Q8770" s="3389"/>
      <c r="R8770" s="1699" t="s">
        <v>1327</v>
      </c>
    </row>
    <row r="8771" spans="1:18" s="22" customFormat="1">
      <c r="A8771" s="1599" t="s">
        <v>2512</v>
      </c>
      <c r="B8771" s="4326"/>
      <c r="C8771" s="3351"/>
      <c r="D8771" s="4328"/>
      <c r="E8771" s="4330"/>
      <c r="F8771" s="4336"/>
      <c r="G8771" s="4332"/>
      <c r="H8771" s="4332"/>
      <c r="I8771" s="1345">
        <v>24</v>
      </c>
      <c r="J8771" s="1307">
        <v>8.3000000000000004E-2</v>
      </c>
      <c r="K8771" s="1297">
        <f>I8771*J8771</f>
        <v>1.992</v>
      </c>
      <c r="L8771" s="4334"/>
      <c r="M8771" s="4335"/>
      <c r="N8771" s="4324"/>
      <c r="O8771" s="1298">
        <f>SUM(O8773:O8779)</f>
        <v>25.570139999999999</v>
      </c>
      <c r="P8771" s="1337">
        <f>O8771*K8771</f>
        <v>50.935718879999996</v>
      </c>
      <c r="Q8771" s="3390"/>
      <c r="R8771" s="1721">
        <f>SUM(P8773:P8779)</f>
        <v>50.935718879999996</v>
      </c>
    </row>
    <row r="8772" spans="1:18" s="22" customFormat="1">
      <c r="A8772" s="1320"/>
      <c r="B8772" s="1949"/>
      <c r="C8772" s="1327"/>
      <c r="D8772" s="1367"/>
      <c r="E8772" s="2121"/>
      <c r="F8772" s="1389" t="s">
        <v>1</v>
      </c>
      <c r="G8772" s="1389"/>
      <c r="H8772" s="1369"/>
      <c r="I8772" s="2088"/>
      <c r="J8772" s="1369"/>
      <c r="K8772" s="1391"/>
      <c r="L8772" s="1559"/>
      <c r="M8772" s="1369"/>
      <c r="N8772" s="1369"/>
      <c r="O8772" s="1369"/>
      <c r="P8772" s="1392"/>
      <c r="Q8772" s="3395"/>
      <c r="R8772" s="2344"/>
    </row>
    <row r="8773" spans="1:18" s="22" customFormat="1">
      <c r="A8773" s="1320"/>
      <c r="B8773" s="1599"/>
      <c r="C8773" s="1320"/>
      <c r="D8773" s="1598" t="s">
        <v>2563</v>
      </c>
      <c r="E8773" s="2154" t="s">
        <v>1527</v>
      </c>
      <c r="F8773" s="1598" t="s">
        <v>2564</v>
      </c>
      <c r="G8773" s="1995">
        <v>1.01</v>
      </c>
      <c r="H8773" s="1369"/>
      <c r="I8773" s="1299"/>
      <c r="J8773" s="1300"/>
      <c r="K8773" s="1307">
        <f>G8773*K8771</f>
        <v>2.0119199999999999</v>
      </c>
      <c r="L8773" s="1335">
        <f t="shared" ref="L8773:L8775" si="1182">K8773*$K$8584</f>
        <v>0</v>
      </c>
      <c r="M8773" s="1302">
        <v>20.079999999999998</v>
      </c>
      <c r="N8773" s="1700"/>
      <c r="O8773" s="1290">
        <f>G8773*M8773</f>
        <v>20.280799999999999</v>
      </c>
      <c r="P8773" s="1332">
        <f>M8773*K8773</f>
        <v>40.399353599999998</v>
      </c>
      <c r="Q8773" s="3402"/>
      <c r="R8773" s="2356"/>
    </row>
    <row r="8774" spans="1:18" s="22" customFormat="1">
      <c r="A8774" s="16"/>
      <c r="B8774" s="1599"/>
      <c r="C8774" s="1320"/>
      <c r="D8774" s="1598" t="s">
        <v>1097</v>
      </c>
      <c r="E8774" s="1856" t="s">
        <v>1504</v>
      </c>
      <c r="F8774" s="1598" t="s">
        <v>1632</v>
      </c>
      <c r="G8774" s="1651">
        <v>1</v>
      </c>
      <c r="H8774" s="1399"/>
      <c r="I8774" s="198"/>
      <c r="J8774" s="198"/>
      <c r="K8774" s="1350">
        <f>G8774*K8771</f>
        <v>1.992</v>
      </c>
      <c r="L8774" s="1335">
        <f t="shared" si="1182"/>
        <v>0</v>
      </c>
      <c r="M8774" s="1499">
        <v>0.55000000000000004</v>
      </c>
      <c r="N8774" s="1701"/>
      <c r="O8774" s="1291">
        <f>G8774*M8774</f>
        <v>0.55000000000000004</v>
      </c>
      <c r="P8774" s="1332">
        <f>M8774*K8774</f>
        <v>1.0956000000000001</v>
      </c>
      <c r="Q8774" s="3391"/>
      <c r="R8774" s="3363"/>
    </row>
    <row r="8775" spans="1:18" s="22" customFormat="1">
      <c r="A8775" s="16"/>
      <c r="B8775" s="1599"/>
      <c r="C8775" s="1320"/>
      <c r="D8775" s="1598" t="s">
        <v>1082</v>
      </c>
      <c r="E8775" s="1856" t="s">
        <v>1504</v>
      </c>
      <c r="F8775" s="1598" t="s">
        <v>1541</v>
      </c>
      <c r="G8775" s="1651">
        <v>1</v>
      </c>
      <c r="H8775" s="1399"/>
      <c r="I8775" s="198"/>
      <c r="J8775" s="198"/>
      <c r="K8775" s="1350">
        <f>G8775*K8771</f>
        <v>1.992</v>
      </c>
      <c r="L8775" s="1335">
        <f t="shared" si="1182"/>
        <v>0</v>
      </c>
      <c r="M8775" s="1499">
        <v>0.3</v>
      </c>
      <c r="N8775" s="1701"/>
      <c r="O8775" s="1291">
        <f>G8775*M8775</f>
        <v>0.3</v>
      </c>
      <c r="P8775" s="1332">
        <f>M8775*K8775</f>
        <v>0.59760000000000002</v>
      </c>
      <c r="Q8775" s="3391"/>
      <c r="R8775" s="3363"/>
    </row>
    <row r="8776" spans="1:18" s="22" customFormat="1">
      <c r="A8776" s="16"/>
      <c r="B8776" s="1599"/>
      <c r="C8776" s="1320"/>
      <c r="D8776" s="1598"/>
      <c r="E8776" s="1856"/>
      <c r="F8776" s="1598"/>
      <c r="G8776" s="1399"/>
      <c r="H8776" s="1399"/>
      <c r="I8776" s="198"/>
      <c r="J8776" s="198"/>
      <c r="K8776" s="1307"/>
      <c r="L8776" s="1335"/>
      <c r="M8776" s="1499"/>
      <c r="N8776" s="1701"/>
      <c r="O8776" s="1291"/>
      <c r="P8776" s="1332"/>
      <c r="Q8776" s="3391"/>
      <c r="R8776" s="3363"/>
    </row>
    <row r="8777" spans="1:18" s="22" customFormat="1" ht="26">
      <c r="A8777" s="2187"/>
      <c r="B8777" s="1599"/>
      <c r="C8777" s="1042"/>
      <c r="D8777" s="1359"/>
      <c r="E8777" s="1858"/>
      <c r="F8777" s="1360" t="s">
        <v>2</v>
      </c>
      <c r="G8777" s="1360"/>
      <c r="H8777" s="1362"/>
      <c r="I8777" s="1380"/>
      <c r="J8777" s="1381"/>
      <c r="K8777" s="1381"/>
      <c r="L8777" s="1458"/>
      <c r="M8777" s="1362"/>
      <c r="N8777" s="1362"/>
      <c r="O8777" s="1362"/>
      <c r="P8777" s="1359"/>
      <c r="Q8777" s="3403"/>
      <c r="R8777" s="2357"/>
    </row>
    <row r="8778" spans="1:18" s="22" customFormat="1" ht="26">
      <c r="A8778" s="2187"/>
      <c r="B8778" s="2053"/>
      <c r="C8778" s="1321"/>
      <c r="D8778" s="1655" t="s">
        <v>1099</v>
      </c>
      <c r="E8778" s="1859" t="s">
        <v>1508</v>
      </c>
      <c r="F8778" s="1655" t="s">
        <v>1633</v>
      </c>
      <c r="G8778" s="1994">
        <v>0.15</v>
      </c>
      <c r="H8778" s="1386"/>
      <c r="I8778" s="1299"/>
      <c r="J8778" s="1300"/>
      <c r="K8778" s="1307">
        <f>G8778*K8771</f>
        <v>0.29880000000000001</v>
      </c>
      <c r="L8778" s="1335">
        <f t="shared" ref="L8778" si="1183">K8778*$K$8584</f>
        <v>0</v>
      </c>
      <c r="M8778" s="1302">
        <v>19.23</v>
      </c>
      <c r="N8778" s="1700"/>
      <c r="O8778" s="1290">
        <f>G8778*M8778</f>
        <v>2.8845000000000001</v>
      </c>
      <c r="P8778" s="1332">
        <f>M8778*K8778</f>
        <v>5.7459240000000005</v>
      </c>
      <c r="Q8778" s="3402"/>
      <c r="R8778" s="2357"/>
    </row>
    <row r="8779" spans="1:18" s="22" customFormat="1">
      <c r="A8779"/>
      <c r="B8779" s="1042"/>
      <c r="C8779" s="2086" t="s">
        <v>2282</v>
      </c>
      <c r="D8779" s="1311"/>
      <c r="E8779" s="2176" t="s">
        <v>1508</v>
      </c>
      <c r="F8779" s="1648" t="s">
        <v>2283</v>
      </c>
      <c r="G8779" s="1990"/>
      <c r="H8779" s="1338">
        <v>4.2000000000000003E-2</v>
      </c>
      <c r="I8779" s="1444"/>
      <c r="J8779" s="1388"/>
      <c r="K8779" s="1445"/>
      <c r="L8779" s="1457"/>
      <c r="M8779" s="1447"/>
      <c r="N8779" s="1447">
        <f>SUM(N8780:N8781)</f>
        <v>37.019999999999996</v>
      </c>
      <c r="O8779" s="1447">
        <f>SUM(O8780:O8781)</f>
        <v>1.55484</v>
      </c>
      <c r="P8779" s="1447">
        <f>SUM(P8780:P8781)</f>
        <v>3.09724128</v>
      </c>
      <c r="Q8779" s="3391"/>
      <c r="R8779" s="2337"/>
    </row>
    <row r="8780" spans="1:18" s="22" customFormat="1">
      <c r="A8780"/>
      <c r="B8780" s="1042"/>
      <c r="C8780" s="19"/>
      <c r="D8780" s="1430" t="s">
        <v>1067</v>
      </c>
      <c r="E8780" s="1857" t="s">
        <v>1508</v>
      </c>
      <c r="F8780" s="1394" t="s">
        <v>5</v>
      </c>
      <c r="G8780" s="1991">
        <v>1</v>
      </c>
      <c r="H8780" s="1408">
        <f>G8780*H8779</f>
        <v>4.2000000000000003E-2</v>
      </c>
      <c r="I8780" s="1286"/>
      <c r="J8780" s="198"/>
      <c r="K8780" s="1307">
        <f>H8780*K8771</f>
        <v>8.3664000000000002E-2</v>
      </c>
      <c r="L8780" s="1335">
        <f t="shared" ref="L8780:L8781" si="1184">K8780*$K$8584</f>
        <v>0</v>
      </c>
      <c r="M8780" s="1302">
        <v>18.28</v>
      </c>
      <c r="N8780" s="1718">
        <f>G8780*M8780</f>
        <v>18.28</v>
      </c>
      <c r="O8780" s="1290">
        <f>H8780*M8780</f>
        <v>0.76776000000000011</v>
      </c>
      <c r="P8780" s="1720">
        <f>M8780*K8780</f>
        <v>1.5293779200000002</v>
      </c>
      <c r="Q8780" s="3396"/>
      <c r="R8780" s="2337"/>
    </row>
    <row r="8781" spans="1:18" s="22" customFormat="1">
      <c r="A8781"/>
      <c r="B8781" s="1042"/>
      <c r="C8781" s="19"/>
      <c r="D8781" s="1430" t="s">
        <v>1165</v>
      </c>
      <c r="E8781" s="1857" t="s">
        <v>1508</v>
      </c>
      <c r="F8781" s="1430" t="s">
        <v>114</v>
      </c>
      <c r="G8781" s="2183">
        <v>1</v>
      </c>
      <c r="H8781" s="1395">
        <f>G8781*H8779</f>
        <v>4.2000000000000003E-2</v>
      </c>
      <c r="I8781" s="197"/>
      <c r="J8781" s="198"/>
      <c r="K8781" s="1307">
        <f>H8781*K8771</f>
        <v>8.3664000000000002E-2</v>
      </c>
      <c r="L8781" s="1335">
        <f t="shared" si="1184"/>
        <v>0</v>
      </c>
      <c r="M8781" s="1302">
        <v>18.739999999999998</v>
      </c>
      <c r="N8781" s="1718">
        <f>G8781*M8781</f>
        <v>18.739999999999998</v>
      </c>
      <c r="O8781" s="1290">
        <f>H8781*M8781</f>
        <v>0.78708</v>
      </c>
      <c r="P8781" s="1720">
        <f>M8781*K8781</f>
        <v>1.5678633599999998</v>
      </c>
      <c r="Q8781" s="3396"/>
      <c r="R8781" s="2337"/>
    </row>
    <row r="8782" spans="1:18" s="22" customFormat="1">
      <c r="A8782"/>
      <c r="B8782" s="1042"/>
      <c r="C8782" s="19"/>
      <c r="D8782" s="1430"/>
      <c r="E8782" s="1857"/>
      <c r="F8782" s="1766"/>
      <c r="G8782" s="2183"/>
      <c r="H8782" s="1395"/>
      <c r="I8782" s="197"/>
      <c r="J8782" s="198"/>
      <c r="K8782" s="1307"/>
      <c r="L8782" s="1335"/>
      <c r="M8782" s="1302"/>
      <c r="N8782" s="1718"/>
      <c r="O8782" s="1290"/>
      <c r="P8782" s="1720"/>
      <c r="Q8782" s="3396"/>
      <c r="R8782" s="2337"/>
    </row>
    <row r="8783" spans="1:18" s="22" customFormat="1">
      <c r="B8783" s="1320"/>
      <c r="C8783" s="16"/>
      <c r="D8783" s="1359"/>
      <c r="E8783" s="1858"/>
      <c r="F8783" s="1474"/>
      <c r="G8783" s="1474"/>
      <c r="H8783" s="1466"/>
      <c r="I8783" s="1289"/>
      <c r="J8783" s="8"/>
      <c r="K8783" s="1307"/>
      <c r="L8783" s="1335"/>
      <c r="M8783" s="1302"/>
      <c r="N8783" s="1700"/>
      <c r="O8783" s="1290"/>
      <c r="P8783" s="1332"/>
      <c r="Q8783" s="3391"/>
      <c r="R8783" s="2344"/>
    </row>
    <row r="8784" spans="1:18" s="22" customFormat="1">
      <c r="A8784" s="1320"/>
      <c r="B8784" s="1599"/>
      <c r="C8784" s="1320"/>
      <c r="D8784" s="1373"/>
      <c r="E8784" s="2123"/>
      <c r="F8784" s="1374" t="s">
        <v>3</v>
      </c>
      <c r="G8784" s="1375"/>
      <c r="H8784" s="1376"/>
      <c r="I8784" s="1382"/>
      <c r="J8784" s="1383"/>
      <c r="K8784" s="1383"/>
      <c r="L8784" s="1413"/>
      <c r="M8784" s="1376"/>
      <c r="N8784" s="1376"/>
      <c r="O8784" s="1376"/>
      <c r="P8784" s="1373"/>
      <c r="Q8784" s="3403"/>
      <c r="R8784" s="2356"/>
    </row>
    <row r="8785" spans="1:18" s="22" customFormat="1">
      <c r="A8785" s="1321"/>
      <c r="B8785" s="2053"/>
      <c r="C8785" s="1321"/>
      <c r="D8785" s="1827"/>
      <c r="E8785" s="2173"/>
      <c r="F8785" s="1827"/>
      <c r="G8785" s="1828"/>
      <c r="H8785" s="1379"/>
      <c r="I8785" s="1299"/>
      <c r="J8785" s="1300"/>
      <c r="K8785" s="1307"/>
      <c r="L8785" s="1335"/>
      <c r="M8785" s="1302"/>
      <c r="N8785" s="1700"/>
      <c r="O8785" s="1290"/>
      <c r="P8785" s="1332"/>
      <c r="Q8785" s="3402"/>
      <c r="R8785" s="2053"/>
    </row>
    <row r="8786" spans="1:18" s="22" customFormat="1">
      <c r="A8786" s="1321"/>
      <c r="B8786" s="2053"/>
      <c r="C8786" s="1321"/>
      <c r="D8786" s="1377"/>
      <c r="E8786" s="2124"/>
      <c r="F8786" s="1378"/>
      <c r="G8786" s="1378"/>
      <c r="H8786" s="1379"/>
      <c r="I8786" s="1299"/>
      <c r="J8786" s="1300"/>
      <c r="K8786" s="1307"/>
      <c r="L8786" s="1335"/>
      <c r="M8786" s="1302"/>
      <c r="N8786" s="1700"/>
      <c r="O8786" s="1290"/>
      <c r="P8786" s="1333"/>
      <c r="Q8786" s="3402"/>
      <c r="R8786" s="2053"/>
    </row>
    <row r="8787" spans="1:18" s="22" customFormat="1">
      <c r="A8787" s="1320"/>
      <c r="B8787" s="1765"/>
      <c r="C8787" s="223"/>
      <c r="D8787" s="1373"/>
      <c r="E8787" s="2161"/>
      <c r="F8787" s="1678"/>
      <c r="G8787" s="1678"/>
      <c r="H8787" s="1376"/>
      <c r="I8787" s="1299"/>
      <c r="J8787" s="1300"/>
      <c r="K8787" s="1307"/>
      <c r="L8787" s="1335"/>
      <c r="M8787" s="1302"/>
      <c r="N8787" s="1700"/>
      <c r="O8787" s="1290"/>
      <c r="P8787" s="1332"/>
      <c r="Q8787" s="3402"/>
      <c r="R8787" s="2356"/>
    </row>
    <row r="8788" spans="1:18" s="22" customFormat="1">
      <c r="A8788" s="18" t="s">
        <v>3764</v>
      </c>
      <c r="B8788" s="4325" t="s">
        <v>2565</v>
      </c>
      <c r="C8788" s="3350"/>
      <c r="D8788" s="4327"/>
      <c r="E8788" s="4329" t="s">
        <v>1527</v>
      </c>
      <c r="F8788" s="4336" t="s">
        <v>2566</v>
      </c>
      <c r="G8788" s="4331" t="s">
        <v>1568</v>
      </c>
      <c r="H8788" s="4331" t="s">
        <v>1574</v>
      </c>
      <c r="I8788" s="1572" t="s">
        <v>1559</v>
      </c>
      <c r="J8788" s="1294" t="s">
        <v>1560</v>
      </c>
      <c r="K8788" s="1294" t="s">
        <v>1569</v>
      </c>
      <c r="L8788" s="4333" t="s">
        <v>3765</v>
      </c>
      <c r="M8788" s="4335" t="s">
        <v>1571</v>
      </c>
      <c r="N8788" s="4323" t="s">
        <v>1776</v>
      </c>
      <c r="O8788" s="3347" t="s">
        <v>1563</v>
      </c>
      <c r="P8788" s="1336" t="s">
        <v>1562</v>
      </c>
      <c r="Q8788" s="3389"/>
      <c r="R8788" s="1699" t="s">
        <v>1327</v>
      </c>
    </row>
    <row r="8789" spans="1:18" s="22" customFormat="1">
      <c r="A8789" s="1599" t="s">
        <v>2512</v>
      </c>
      <c r="B8789" s="4326"/>
      <c r="C8789" s="3351"/>
      <c r="D8789" s="4328"/>
      <c r="E8789" s="4330"/>
      <c r="F8789" s="4336"/>
      <c r="G8789" s="4332"/>
      <c r="H8789" s="4332"/>
      <c r="I8789" s="1345">
        <v>36</v>
      </c>
      <c r="J8789" s="1307">
        <v>8.3000000000000004E-2</v>
      </c>
      <c r="K8789" s="1297">
        <f>I8789*J8789</f>
        <v>2.988</v>
      </c>
      <c r="L8789" s="4334"/>
      <c r="M8789" s="4335"/>
      <c r="N8789" s="4324"/>
      <c r="O8789" s="1298">
        <f>SUM(O8791:O8797)</f>
        <v>28.186040000000002</v>
      </c>
      <c r="P8789" s="1337">
        <f>O8789*K8789</f>
        <v>84.21988752</v>
      </c>
      <c r="Q8789" s="3390"/>
      <c r="R8789" s="1721">
        <f>SUM(P8791:P8797)</f>
        <v>84.21988752</v>
      </c>
    </row>
    <row r="8790" spans="1:18" s="22" customFormat="1">
      <c r="A8790" s="1320"/>
      <c r="B8790" s="1949"/>
      <c r="C8790" s="1327"/>
      <c r="D8790" s="1367"/>
      <c r="E8790" s="2121"/>
      <c r="F8790" s="1389" t="s">
        <v>1</v>
      </c>
      <c r="G8790" s="1389"/>
      <c r="H8790" s="1369"/>
      <c r="I8790" s="2088"/>
      <c r="J8790" s="1369"/>
      <c r="K8790" s="1391"/>
      <c r="L8790" s="1559"/>
      <c r="M8790" s="1369"/>
      <c r="N8790" s="1369"/>
      <c r="O8790" s="1369"/>
      <c r="P8790" s="1392"/>
      <c r="Q8790" s="3395"/>
      <c r="R8790" s="2344"/>
    </row>
    <row r="8791" spans="1:18" s="22" customFormat="1" ht="15" customHeight="1">
      <c r="A8791" s="1320"/>
      <c r="B8791" s="1599"/>
      <c r="C8791" s="1320"/>
      <c r="D8791" s="1598" t="s">
        <v>2567</v>
      </c>
      <c r="E8791" s="2154" t="s">
        <v>1527</v>
      </c>
      <c r="F8791" s="1598" t="s">
        <v>2568</v>
      </c>
      <c r="G8791" s="1995">
        <v>1.01</v>
      </c>
      <c r="H8791" s="1369"/>
      <c r="I8791" s="1299"/>
      <c r="J8791" s="1300"/>
      <c r="K8791" s="1307">
        <f>G8791*K8789</f>
        <v>3.0178799999999999</v>
      </c>
      <c r="L8791" s="1335">
        <f t="shared" ref="L8791:L8793" si="1185">K8791*$K$8584</f>
        <v>0</v>
      </c>
      <c r="M8791" s="1302">
        <v>22.67</v>
      </c>
      <c r="N8791" s="1700"/>
      <c r="O8791" s="1290">
        <f>G8791*M8791</f>
        <v>22.896700000000003</v>
      </c>
      <c r="P8791" s="1332">
        <f>M8791*K8791</f>
        <v>68.415339599999996</v>
      </c>
      <c r="Q8791" s="3402"/>
      <c r="R8791" s="2356"/>
    </row>
    <row r="8792" spans="1:18" s="22" customFormat="1">
      <c r="A8792" s="16"/>
      <c r="B8792" s="1599"/>
      <c r="C8792" s="1320"/>
      <c r="D8792" s="1598" t="s">
        <v>1097</v>
      </c>
      <c r="E8792" s="1856" t="s">
        <v>1504</v>
      </c>
      <c r="F8792" s="1598" t="s">
        <v>1632</v>
      </c>
      <c r="G8792" s="1651">
        <v>1</v>
      </c>
      <c r="H8792" s="1399"/>
      <c r="I8792" s="198"/>
      <c r="J8792" s="198"/>
      <c r="K8792" s="1350">
        <f>G8792*K8789</f>
        <v>2.988</v>
      </c>
      <c r="L8792" s="1335">
        <f t="shared" si="1185"/>
        <v>0</v>
      </c>
      <c r="M8792" s="1499">
        <v>0.55000000000000004</v>
      </c>
      <c r="N8792" s="1701"/>
      <c r="O8792" s="1291">
        <f>G8792*M8792</f>
        <v>0.55000000000000004</v>
      </c>
      <c r="P8792" s="1332">
        <f>M8792*K8792</f>
        <v>1.6434000000000002</v>
      </c>
      <c r="Q8792" s="3391"/>
      <c r="R8792" s="3363"/>
    </row>
    <row r="8793" spans="1:18" s="22" customFormat="1">
      <c r="A8793" s="16"/>
      <c r="B8793" s="1599"/>
      <c r="C8793" s="1320"/>
      <c r="D8793" s="1598" t="s">
        <v>1082</v>
      </c>
      <c r="E8793" s="1856" t="s">
        <v>1504</v>
      </c>
      <c r="F8793" s="1598" t="s">
        <v>1541</v>
      </c>
      <c r="G8793" s="1651">
        <v>1</v>
      </c>
      <c r="H8793" s="1399"/>
      <c r="I8793" s="198"/>
      <c r="J8793" s="198"/>
      <c r="K8793" s="1350">
        <f>G8793*K8789</f>
        <v>2.988</v>
      </c>
      <c r="L8793" s="1335">
        <f t="shared" si="1185"/>
        <v>0</v>
      </c>
      <c r="M8793" s="1499">
        <v>0.3</v>
      </c>
      <c r="N8793" s="1701"/>
      <c r="O8793" s="1291">
        <f>G8793*M8793</f>
        <v>0.3</v>
      </c>
      <c r="P8793" s="1332">
        <f>M8793*K8793</f>
        <v>0.89639999999999997</v>
      </c>
      <c r="Q8793" s="3391"/>
      <c r="R8793" s="3363"/>
    </row>
    <row r="8794" spans="1:18" s="22" customFormat="1">
      <c r="A8794" s="16"/>
      <c r="B8794" s="1599"/>
      <c r="C8794" s="1320"/>
      <c r="D8794" s="1598"/>
      <c r="E8794" s="1856"/>
      <c r="F8794" s="1598"/>
      <c r="G8794" s="1399"/>
      <c r="H8794" s="1399"/>
      <c r="I8794" s="198"/>
      <c r="J8794" s="198"/>
      <c r="K8794" s="1307"/>
      <c r="L8794" s="1335"/>
      <c r="M8794" s="1499"/>
      <c r="N8794" s="1701"/>
      <c r="O8794" s="1291"/>
      <c r="P8794" s="1332"/>
      <c r="Q8794" s="3391"/>
      <c r="R8794" s="3363"/>
    </row>
    <row r="8795" spans="1:18" s="22" customFormat="1" ht="26">
      <c r="A8795" s="2187"/>
      <c r="B8795" s="1599"/>
      <c r="C8795" s="1042"/>
      <c r="D8795" s="1359"/>
      <c r="E8795" s="1858"/>
      <c r="F8795" s="1360" t="s">
        <v>2</v>
      </c>
      <c r="G8795" s="1360"/>
      <c r="H8795" s="1362"/>
      <c r="I8795" s="1380"/>
      <c r="J8795" s="1381"/>
      <c r="K8795" s="1381"/>
      <c r="L8795" s="1458"/>
      <c r="M8795" s="1362"/>
      <c r="N8795" s="1362"/>
      <c r="O8795" s="1362"/>
      <c r="P8795" s="1359"/>
      <c r="Q8795" s="3403"/>
      <c r="R8795" s="2357"/>
    </row>
    <row r="8796" spans="1:18" s="22" customFormat="1" ht="26">
      <c r="A8796" s="2187"/>
      <c r="B8796" s="2053"/>
      <c r="C8796" s="1321"/>
      <c r="D8796" s="1655" t="s">
        <v>1099</v>
      </c>
      <c r="E8796" s="1859" t="s">
        <v>1508</v>
      </c>
      <c r="F8796" s="1655" t="s">
        <v>1633</v>
      </c>
      <c r="G8796" s="1994">
        <v>0.15</v>
      </c>
      <c r="H8796" s="1386"/>
      <c r="I8796" s="1299"/>
      <c r="J8796" s="1300"/>
      <c r="K8796" s="1307">
        <f>G8796*K8789</f>
        <v>0.44819999999999999</v>
      </c>
      <c r="L8796" s="1335">
        <f t="shared" ref="L8796" si="1186">K8796*$K$8584</f>
        <v>0</v>
      </c>
      <c r="M8796" s="1302">
        <v>19.23</v>
      </c>
      <c r="N8796" s="1700"/>
      <c r="O8796" s="1290">
        <f>G8796*M8796</f>
        <v>2.8845000000000001</v>
      </c>
      <c r="P8796" s="1332">
        <f>M8796*K8796</f>
        <v>8.6188859999999998</v>
      </c>
      <c r="Q8796" s="3402"/>
      <c r="R8796" s="2357"/>
    </row>
    <row r="8797" spans="1:18" s="22" customFormat="1">
      <c r="A8797"/>
      <c r="B8797" s="1042"/>
      <c r="C8797" s="2086" t="s">
        <v>2282</v>
      </c>
      <c r="D8797" s="1311"/>
      <c r="E8797" s="2176" t="s">
        <v>1508</v>
      </c>
      <c r="F8797" s="1648" t="s">
        <v>2283</v>
      </c>
      <c r="G8797" s="1990"/>
      <c r="H8797" s="1338">
        <v>4.2000000000000003E-2</v>
      </c>
      <c r="I8797" s="1444"/>
      <c r="J8797" s="1388"/>
      <c r="K8797" s="1445"/>
      <c r="L8797" s="1457"/>
      <c r="M8797" s="1447"/>
      <c r="N8797" s="1447">
        <f>SUM(N8798:N8799)</f>
        <v>37.019999999999996</v>
      </c>
      <c r="O8797" s="1447">
        <f>SUM(O8798:O8799)</f>
        <v>1.55484</v>
      </c>
      <c r="P8797" s="1447">
        <f>SUM(P8798:P8799)</f>
        <v>4.6458619199999998</v>
      </c>
      <c r="Q8797" s="3391"/>
      <c r="R8797" s="2337"/>
    </row>
    <row r="8798" spans="1:18" s="22" customFormat="1">
      <c r="A8798"/>
      <c r="B8798" s="1042"/>
      <c r="C8798" s="19"/>
      <c r="D8798" s="1430" t="s">
        <v>1067</v>
      </c>
      <c r="E8798" s="1857" t="s">
        <v>1508</v>
      </c>
      <c r="F8798" s="1394" t="s">
        <v>5</v>
      </c>
      <c r="G8798" s="1991">
        <v>1</v>
      </c>
      <c r="H8798" s="1408">
        <f>G8798*H8797</f>
        <v>4.2000000000000003E-2</v>
      </c>
      <c r="I8798" s="1286"/>
      <c r="J8798" s="198"/>
      <c r="K8798" s="1307">
        <f>H8798*K8789</f>
        <v>0.125496</v>
      </c>
      <c r="L8798" s="1335">
        <f t="shared" ref="L8798:L8799" si="1187">K8798*$K$8584</f>
        <v>0</v>
      </c>
      <c r="M8798" s="1302">
        <v>18.28</v>
      </c>
      <c r="N8798" s="1718">
        <f>G8798*M8798</f>
        <v>18.28</v>
      </c>
      <c r="O8798" s="1290">
        <f>H8798*M8798</f>
        <v>0.76776000000000011</v>
      </c>
      <c r="P8798" s="1720">
        <f>M8798*K8798</f>
        <v>2.2940668799999999</v>
      </c>
      <c r="Q8798" s="3396"/>
      <c r="R8798" s="2337"/>
    </row>
    <row r="8799" spans="1:18" s="22" customFormat="1">
      <c r="A8799"/>
      <c r="B8799" s="1042"/>
      <c r="C8799" s="19"/>
      <c r="D8799" s="1430" t="s">
        <v>1165</v>
      </c>
      <c r="E8799" s="1857" t="s">
        <v>1508</v>
      </c>
      <c r="F8799" s="1430" t="s">
        <v>114</v>
      </c>
      <c r="G8799" s="2183">
        <v>1</v>
      </c>
      <c r="H8799" s="1395">
        <f>G8799*H8797</f>
        <v>4.2000000000000003E-2</v>
      </c>
      <c r="I8799" s="197"/>
      <c r="J8799" s="198"/>
      <c r="K8799" s="1307">
        <f>H8799*K8789</f>
        <v>0.125496</v>
      </c>
      <c r="L8799" s="1335">
        <f t="shared" si="1187"/>
        <v>0</v>
      </c>
      <c r="M8799" s="1302">
        <v>18.739999999999998</v>
      </c>
      <c r="N8799" s="1718">
        <f>G8799*M8799</f>
        <v>18.739999999999998</v>
      </c>
      <c r="O8799" s="1290">
        <f>H8799*M8799</f>
        <v>0.78708</v>
      </c>
      <c r="P8799" s="1720">
        <f>M8799*K8799</f>
        <v>2.3517950399999998</v>
      </c>
      <c r="Q8799" s="3396"/>
      <c r="R8799" s="2337"/>
    </row>
    <row r="8800" spans="1:18" s="22" customFormat="1">
      <c r="B8800" s="1320"/>
      <c r="C8800" s="16"/>
      <c r="D8800" s="1359"/>
      <c r="E8800" s="1858"/>
      <c r="F8800" s="1474"/>
      <c r="G8800" s="1474"/>
      <c r="H8800" s="1466"/>
      <c r="I8800" s="1289"/>
      <c r="J8800" s="8"/>
      <c r="K8800" s="1307"/>
      <c r="L8800" s="1335"/>
      <c r="M8800" s="1302"/>
      <c r="N8800" s="1700"/>
      <c r="O8800" s="1290"/>
      <c r="P8800" s="1332"/>
      <c r="Q8800" s="3391"/>
      <c r="R8800" s="2344"/>
    </row>
    <row r="8801" spans="1:18" s="22" customFormat="1">
      <c r="A8801" s="1320"/>
      <c r="B8801" s="1599"/>
      <c r="C8801" s="1320"/>
      <c r="D8801" s="1373"/>
      <c r="E8801" s="2123"/>
      <c r="F8801" s="1374" t="s">
        <v>3</v>
      </c>
      <c r="G8801" s="1375"/>
      <c r="H8801" s="1376"/>
      <c r="I8801" s="1382"/>
      <c r="J8801" s="1383"/>
      <c r="K8801" s="1383"/>
      <c r="L8801" s="1413"/>
      <c r="M8801" s="1376"/>
      <c r="N8801" s="1376"/>
      <c r="O8801" s="1376"/>
      <c r="P8801" s="1373"/>
      <c r="Q8801" s="3403"/>
      <c r="R8801" s="2356"/>
    </row>
    <row r="8802" spans="1:18" s="22" customFormat="1">
      <c r="A8802" s="1321"/>
      <c r="B8802" s="2053"/>
      <c r="C8802" s="1321"/>
      <c r="D8802" s="1827"/>
      <c r="E8802" s="2173"/>
      <c r="F8802" s="1827"/>
      <c r="G8802" s="1828"/>
      <c r="H8802" s="1379"/>
      <c r="I8802" s="1299"/>
      <c r="J8802" s="1300"/>
      <c r="K8802" s="1307"/>
      <c r="L8802" s="1335"/>
      <c r="M8802" s="1302"/>
      <c r="N8802" s="1700"/>
      <c r="O8802" s="1290"/>
      <c r="P8802" s="1332"/>
      <c r="Q8802" s="3402"/>
      <c r="R8802" s="2053"/>
    </row>
    <row r="8803" spans="1:18" s="22" customFormat="1">
      <c r="A8803" s="1321"/>
      <c r="B8803" s="2053"/>
      <c r="C8803" s="1321"/>
      <c r="D8803" s="1827"/>
      <c r="E8803" s="2173"/>
      <c r="F8803" s="1827"/>
      <c r="G8803" s="1828"/>
      <c r="H8803" s="1379"/>
      <c r="I8803" s="1299"/>
      <c r="J8803" s="1300"/>
      <c r="K8803" s="1307"/>
      <c r="L8803" s="1335"/>
      <c r="M8803" s="1302"/>
      <c r="N8803" s="1700"/>
      <c r="O8803" s="1290"/>
      <c r="P8803" s="1332"/>
      <c r="Q8803" s="3402"/>
      <c r="R8803" s="2053"/>
    </row>
    <row r="8804" spans="1:18" s="22" customFormat="1">
      <c r="A8804" s="1321"/>
      <c r="B8804" s="2053"/>
      <c r="C8804" s="1321"/>
      <c r="D8804" s="1377"/>
      <c r="E8804" s="2124"/>
      <c r="F8804" s="1378"/>
      <c r="G8804" s="1378"/>
      <c r="H8804" s="1379"/>
      <c r="I8804" s="1299"/>
      <c r="J8804" s="1300"/>
      <c r="K8804" s="1307"/>
      <c r="L8804" s="1335"/>
      <c r="M8804" s="1302"/>
      <c r="N8804" s="1700"/>
      <c r="O8804" s="1290"/>
      <c r="P8804" s="1333"/>
      <c r="Q8804" s="3402"/>
      <c r="R8804" s="2053"/>
    </row>
    <row r="8805" spans="1:18" s="22" customFormat="1">
      <c r="A8805" s="18" t="s">
        <v>3764</v>
      </c>
      <c r="B8805" s="4325" t="s">
        <v>2571</v>
      </c>
      <c r="C8805" s="3350"/>
      <c r="D8805" s="4327"/>
      <c r="E8805" s="4329" t="s">
        <v>1527</v>
      </c>
      <c r="F8805" s="4336" t="s">
        <v>2572</v>
      </c>
      <c r="G8805" s="4331" t="s">
        <v>1568</v>
      </c>
      <c r="H8805" s="4331" t="s">
        <v>1574</v>
      </c>
      <c r="I8805" s="1572" t="s">
        <v>1559</v>
      </c>
      <c r="J8805" s="1294" t="s">
        <v>1560</v>
      </c>
      <c r="K8805" s="1294" t="s">
        <v>1569</v>
      </c>
      <c r="L8805" s="4333" t="s">
        <v>3765</v>
      </c>
      <c r="M8805" s="4335" t="s">
        <v>1571</v>
      </c>
      <c r="N8805" s="4323" t="s">
        <v>1776</v>
      </c>
      <c r="O8805" s="3347" t="s">
        <v>1563</v>
      </c>
      <c r="P8805" s="1336" t="s">
        <v>1562</v>
      </c>
      <c r="Q8805" s="3389"/>
      <c r="R8805" s="1699" t="s">
        <v>1327</v>
      </c>
    </row>
    <row r="8806" spans="1:18" s="22" customFormat="1">
      <c r="A8806" s="1599" t="s">
        <v>2512</v>
      </c>
      <c r="B8806" s="4326"/>
      <c r="C8806" s="3351"/>
      <c r="D8806" s="4328"/>
      <c r="E8806" s="4330"/>
      <c r="F8806" s="4336"/>
      <c r="G8806" s="4332"/>
      <c r="H8806" s="4332"/>
      <c r="I8806" s="1345">
        <v>12</v>
      </c>
      <c r="J8806" s="1307">
        <v>8.3000000000000004E-2</v>
      </c>
      <c r="K8806" s="1297">
        <f>I8806*J8806</f>
        <v>0.996</v>
      </c>
      <c r="L8806" s="4334"/>
      <c r="M8806" s="4335"/>
      <c r="N8806" s="4324"/>
      <c r="O8806" s="1298">
        <f>SUM(O8808:O8814)</f>
        <v>32.45834</v>
      </c>
      <c r="P8806" s="1337">
        <f>O8806*K8806</f>
        <v>32.328506640000001</v>
      </c>
      <c r="Q8806" s="3390"/>
      <c r="R8806" s="1721">
        <f>SUM(P8808:P8814)</f>
        <v>32.328506640000001</v>
      </c>
    </row>
    <row r="8807" spans="1:18" s="22" customFormat="1">
      <c r="A8807" s="1320"/>
      <c r="B8807" s="1949"/>
      <c r="C8807" s="1327"/>
      <c r="D8807" s="1367"/>
      <c r="E8807" s="2121"/>
      <c r="F8807" s="1389" t="s">
        <v>1</v>
      </c>
      <c r="G8807" s="1389"/>
      <c r="H8807" s="1369"/>
      <c r="I8807" s="2088"/>
      <c r="J8807" s="1369"/>
      <c r="K8807" s="1391"/>
      <c r="L8807" s="1559"/>
      <c r="M8807" s="1369"/>
      <c r="N8807" s="1369"/>
      <c r="O8807" s="1369"/>
      <c r="P8807" s="1392"/>
      <c r="Q8807" s="3395"/>
      <c r="R8807" s="2344"/>
    </row>
    <row r="8808" spans="1:18" s="22" customFormat="1">
      <c r="A8808" s="1320"/>
      <c r="B8808" s="1599"/>
      <c r="C8808" s="1320"/>
      <c r="D8808" s="1598" t="s">
        <v>2573</v>
      </c>
      <c r="E8808" s="2154" t="s">
        <v>1527</v>
      </c>
      <c r="F8808" s="1598" t="s">
        <v>2574</v>
      </c>
      <c r="G8808" s="1995">
        <v>1.01</v>
      </c>
      <c r="H8808" s="1369"/>
      <c r="I8808" s="1299"/>
      <c r="J8808" s="1300"/>
      <c r="K8808" s="1307">
        <f>G8808*K8806</f>
        <v>1.00596</v>
      </c>
      <c r="L8808" s="1335">
        <f t="shared" ref="L8808:L8810" si="1188">K8808*$K$8584</f>
        <v>0</v>
      </c>
      <c r="M8808" s="1302">
        <v>26.9</v>
      </c>
      <c r="N8808" s="1700"/>
      <c r="O8808" s="1290">
        <f>G8808*M8808</f>
        <v>27.169</v>
      </c>
      <c r="P8808" s="1332">
        <f>M8808*K8808</f>
        <v>27.060323999999998</v>
      </c>
      <c r="Q8808" s="3402"/>
      <c r="R8808" s="2356"/>
    </row>
    <row r="8809" spans="1:18" s="22" customFormat="1">
      <c r="A8809" s="16"/>
      <c r="B8809" s="1599"/>
      <c r="C8809" s="1320"/>
      <c r="D8809" s="1598" t="s">
        <v>1097</v>
      </c>
      <c r="E8809" s="1856" t="s">
        <v>1504</v>
      </c>
      <c r="F8809" s="1598" t="s">
        <v>1632</v>
      </c>
      <c r="G8809" s="1651">
        <v>1</v>
      </c>
      <c r="H8809" s="1399"/>
      <c r="I8809" s="198"/>
      <c r="J8809" s="198"/>
      <c r="K8809" s="1350">
        <f>G8809*K8806</f>
        <v>0.996</v>
      </c>
      <c r="L8809" s="1335">
        <f t="shared" si="1188"/>
        <v>0</v>
      </c>
      <c r="M8809" s="1499">
        <v>0.55000000000000004</v>
      </c>
      <c r="N8809" s="1701"/>
      <c r="O8809" s="1291">
        <f>G8809*M8809</f>
        <v>0.55000000000000004</v>
      </c>
      <c r="P8809" s="1332">
        <f>M8809*K8809</f>
        <v>0.54780000000000006</v>
      </c>
      <c r="Q8809" s="3391"/>
      <c r="R8809" s="3363"/>
    </row>
    <row r="8810" spans="1:18" s="22" customFormat="1">
      <c r="A8810" s="16"/>
      <c r="B8810" s="1599"/>
      <c r="C8810" s="1320"/>
      <c r="D8810" s="1598" t="s">
        <v>1082</v>
      </c>
      <c r="E8810" s="1856" t="s">
        <v>1504</v>
      </c>
      <c r="F8810" s="1598" t="s">
        <v>1541</v>
      </c>
      <c r="G8810" s="1651">
        <v>1</v>
      </c>
      <c r="H8810" s="1399"/>
      <c r="I8810" s="198"/>
      <c r="J8810" s="198"/>
      <c r="K8810" s="1350">
        <f>G8810*K8806</f>
        <v>0.996</v>
      </c>
      <c r="L8810" s="1335">
        <f t="shared" si="1188"/>
        <v>0</v>
      </c>
      <c r="M8810" s="1499">
        <v>0.3</v>
      </c>
      <c r="N8810" s="1701"/>
      <c r="O8810" s="1291">
        <f>G8810*M8810</f>
        <v>0.3</v>
      </c>
      <c r="P8810" s="1332">
        <f>M8810*K8810</f>
        <v>0.29880000000000001</v>
      </c>
      <c r="Q8810" s="3391"/>
      <c r="R8810" s="3363"/>
    </row>
    <row r="8811" spans="1:18" s="22" customFormat="1">
      <c r="A8811" s="16"/>
      <c r="B8811" s="1599"/>
      <c r="C8811" s="1320"/>
      <c r="D8811" s="1598"/>
      <c r="E8811" s="1856"/>
      <c r="F8811" s="1598"/>
      <c r="G8811" s="1399"/>
      <c r="H8811" s="1399"/>
      <c r="I8811" s="198"/>
      <c r="J8811" s="198"/>
      <c r="K8811" s="1307"/>
      <c r="L8811" s="1335"/>
      <c r="M8811" s="1499"/>
      <c r="N8811" s="1701"/>
      <c r="O8811" s="1291"/>
      <c r="P8811" s="1332"/>
      <c r="Q8811" s="3391"/>
      <c r="R8811" s="3363"/>
    </row>
    <row r="8812" spans="1:18" s="22" customFormat="1" ht="26">
      <c r="A8812" s="2187"/>
      <c r="B8812" s="1599"/>
      <c r="C8812" s="1042"/>
      <c r="D8812" s="1359"/>
      <c r="E8812" s="1858"/>
      <c r="F8812" s="1360" t="s">
        <v>2</v>
      </c>
      <c r="G8812" s="1360"/>
      <c r="H8812" s="1362"/>
      <c r="I8812" s="1380"/>
      <c r="J8812" s="1381"/>
      <c r="K8812" s="1381"/>
      <c r="L8812" s="1458"/>
      <c r="M8812" s="1362"/>
      <c r="N8812" s="1362"/>
      <c r="O8812" s="1362"/>
      <c r="P8812" s="1359"/>
      <c r="Q8812" s="3403"/>
      <c r="R8812" s="2357"/>
    </row>
    <row r="8813" spans="1:18" s="22" customFormat="1" ht="26">
      <c r="A8813" s="2187"/>
      <c r="B8813" s="2053"/>
      <c r="C8813" s="1321"/>
      <c r="D8813" s="1655" t="s">
        <v>1099</v>
      </c>
      <c r="E8813" s="1859" t="s">
        <v>1508</v>
      </c>
      <c r="F8813" s="1655" t="s">
        <v>1633</v>
      </c>
      <c r="G8813" s="1994">
        <v>0.15</v>
      </c>
      <c r="H8813" s="1386"/>
      <c r="I8813" s="1299"/>
      <c r="J8813" s="1300"/>
      <c r="K8813" s="1307">
        <f>G8813*K8806</f>
        <v>0.14940000000000001</v>
      </c>
      <c r="L8813" s="1335">
        <f t="shared" ref="L8813" si="1189">K8813*$K$8584</f>
        <v>0</v>
      </c>
      <c r="M8813" s="1302">
        <v>19.23</v>
      </c>
      <c r="N8813" s="1700"/>
      <c r="O8813" s="1290">
        <f>G8813*M8813</f>
        <v>2.8845000000000001</v>
      </c>
      <c r="P8813" s="1332">
        <f>M8813*K8813</f>
        <v>2.8729620000000002</v>
      </c>
      <c r="Q8813" s="3402"/>
      <c r="R8813" s="2357"/>
    </row>
    <row r="8814" spans="1:18" s="22" customFormat="1">
      <c r="A8814"/>
      <c r="B8814" s="1042"/>
      <c r="C8814" s="2086" t="s">
        <v>2282</v>
      </c>
      <c r="D8814" s="1311"/>
      <c r="E8814" s="2176" t="s">
        <v>1508</v>
      </c>
      <c r="F8814" s="1648" t="s">
        <v>2283</v>
      </c>
      <c r="G8814" s="1990"/>
      <c r="H8814" s="1338">
        <v>4.2000000000000003E-2</v>
      </c>
      <c r="I8814" s="1444"/>
      <c r="J8814" s="1388"/>
      <c r="K8814" s="1445"/>
      <c r="L8814" s="1457"/>
      <c r="M8814" s="1447"/>
      <c r="N8814" s="1447">
        <f>SUM(N8815:N8816)</f>
        <v>37.019999999999996</v>
      </c>
      <c r="O8814" s="1447">
        <f>SUM(O8815:O8816)</f>
        <v>1.55484</v>
      </c>
      <c r="P8814" s="1447">
        <f>SUM(P8815:P8816)</f>
        <v>1.54862064</v>
      </c>
      <c r="Q8814" s="3391"/>
      <c r="R8814" s="2337"/>
    </row>
    <row r="8815" spans="1:18" s="22" customFormat="1">
      <c r="A8815"/>
      <c r="B8815" s="1042"/>
      <c r="C8815" s="19"/>
      <c r="D8815" s="1430" t="s">
        <v>1067</v>
      </c>
      <c r="E8815" s="1857" t="s">
        <v>1508</v>
      </c>
      <c r="F8815" s="1394" t="s">
        <v>5</v>
      </c>
      <c r="G8815" s="1991">
        <v>1</v>
      </c>
      <c r="H8815" s="1408">
        <f>G8815*H8814</f>
        <v>4.2000000000000003E-2</v>
      </c>
      <c r="I8815" s="1286"/>
      <c r="J8815" s="198"/>
      <c r="K8815" s="1307">
        <f>H8815*K8806</f>
        <v>4.1832000000000001E-2</v>
      </c>
      <c r="L8815" s="1335">
        <f t="shared" ref="L8815:L8816" si="1190">K8815*$K$8584</f>
        <v>0</v>
      </c>
      <c r="M8815" s="1302">
        <v>18.28</v>
      </c>
      <c r="N8815" s="1718">
        <f>G8815*M8815</f>
        <v>18.28</v>
      </c>
      <c r="O8815" s="1290">
        <f>H8815*M8815</f>
        <v>0.76776000000000011</v>
      </c>
      <c r="P8815" s="1720">
        <f>M8815*K8815</f>
        <v>0.76468896000000008</v>
      </c>
      <c r="Q8815" s="3396"/>
      <c r="R8815" s="2337"/>
    </row>
    <row r="8816" spans="1:18" s="22" customFormat="1">
      <c r="A8816"/>
      <c r="B8816" s="1042"/>
      <c r="C8816" s="19"/>
      <c r="D8816" s="1430" t="s">
        <v>1165</v>
      </c>
      <c r="E8816" s="1857" t="s">
        <v>1508</v>
      </c>
      <c r="F8816" s="1430" t="s">
        <v>114</v>
      </c>
      <c r="G8816" s="2183">
        <v>1</v>
      </c>
      <c r="H8816" s="1395">
        <f>G8816*H8814</f>
        <v>4.2000000000000003E-2</v>
      </c>
      <c r="I8816" s="197"/>
      <c r="J8816" s="198"/>
      <c r="K8816" s="1307">
        <f>H8816*K8806</f>
        <v>4.1832000000000001E-2</v>
      </c>
      <c r="L8816" s="1335">
        <f t="shared" si="1190"/>
        <v>0</v>
      </c>
      <c r="M8816" s="1302">
        <v>18.739999999999998</v>
      </c>
      <c r="N8816" s="1718">
        <f>G8816*M8816</f>
        <v>18.739999999999998</v>
      </c>
      <c r="O8816" s="1290">
        <f>H8816*M8816</f>
        <v>0.78708</v>
      </c>
      <c r="P8816" s="1720">
        <f>M8816*K8816</f>
        <v>0.78393167999999991</v>
      </c>
      <c r="Q8816" s="3396"/>
      <c r="R8816" s="2337"/>
    </row>
    <row r="8817" spans="1:18" s="22" customFormat="1">
      <c r="B8817" s="1320"/>
      <c r="C8817" s="16"/>
      <c r="D8817" s="1359"/>
      <c r="E8817" s="1858"/>
      <c r="F8817" s="1474"/>
      <c r="G8817" s="1474"/>
      <c r="H8817" s="1466"/>
      <c r="I8817" s="1289"/>
      <c r="J8817" s="8"/>
      <c r="K8817" s="1307"/>
      <c r="L8817" s="1335"/>
      <c r="M8817" s="1302"/>
      <c r="N8817" s="1700"/>
      <c r="O8817" s="1290"/>
      <c r="P8817" s="1332"/>
      <c r="Q8817" s="3391"/>
      <c r="R8817" s="2344"/>
    </row>
    <row r="8818" spans="1:18" s="22" customFormat="1">
      <c r="A8818" s="1320"/>
      <c r="B8818" s="1599"/>
      <c r="C8818" s="1320"/>
      <c r="D8818" s="1373"/>
      <c r="E8818" s="2123"/>
      <c r="F8818" s="1374" t="s">
        <v>3</v>
      </c>
      <c r="G8818" s="1375"/>
      <c r="H8818" s="1376"/>
      <c r="I8818" s="1382"/>
      <c r="J8818" s="1383"/>
      <c r="K8818" s="1383"/>
      <c r="L8818" s="1413"/>
      <c r="M8818" s="1376"/>
      <c r="N8818" s="1376"/>
      <c r="O8818" s="1376"/>
      <c r="P8818" s="1373"/>
      <c r="Q8818" s="3403"/>
      <c r="R8818" s="2356"/>
    </row>
    <row r="8819" spans="1:18" s="22" customFormat="1">
      <c r="A8819" s="1321"/>
      <c r="B8819" s="2053"/>
      <c r="C8819" s="1321"/>
      <c r="D8819" s="1827"/>
      <c r="E8819" s="2173"/>
      <c r="F8819" s="1827"/>
      <c r="G8819" s="1828"/>
      <c r="H8819" s="1379"/>
      <c r="I8819" s="1299"/>
      <c r="J8819" s="1300"/>
      <c r="K8819" s="1307"/>
      <c r="L8819" s="1335"/>
      <c r="M8819" s="1302"/>
      <c r="N8819" s="1700"/>
      <c r="O8819" s="1290"/>
      <c r="P8819" s="1332"/>
      <c r="Q8819" s="3402"/>
      <c r="R8819" s="2053"/>
    </row>
    <row r="8820" spans="1:18" s="22" customFormat="1">
      <c r="A8820" s="1321"/>
      <c r="B8820" s="2053"/>
      <c r="C8820" s="1321"/>
      <c r="D8820" s="2219"/>
      <c r="E8820" s="2220"/>
      <c r="F8820" s="2221"/>
      <c r="G8820" s="2222"/>
      <c r="H8820" s="1379"/>
      <c r="I8820" s="1299"/>
      <c r="J8820" s="1300"/>
      <c r="K8820" s="1307"/>
      <c r="L8820" s="1335"/>
      <c r="M8820" s="1302"/>
      <c r="N8820" s="1700"/>
      <c r="O8820" s="1290"/>
      <c r="P8820" s="1333"/>
      <c r="Q8820" s="3402"/>
      <c r="R8820" s="2053"/>
    </row>
    <row r="8821" spans="1:18" s="22" customFormat="1">
      <c r="A8821" s="1321"/>
      <c r="B8821" s="2053"/>
      <c r="C8821" s="1321"/>
      <c r="D8821" s="1377"/>
      <c r="E8821" s="2124"/>
      <c r="F8821" s="1378"/>
      <c r="G8821" s="1378"/>
      <c r="H8821" s="1379"/>
      <c r="I8821" s="1299"/>
      <c r="J8821" s="1300"/>
      <c r="K8821" s="1307"/>
      <c r="L8821" s="1335"/>
      <c r="M8821" s="1302"/>
      <c r="N8821" s="1700"/>
      <c r="O8821" s="1290"/>
      <c r="P8821" s="1333"/>
      <c r="Q8821" s="3402"/>
      <c r="R8821" s="2053"/>
    </row>
    <row r="8822" spans="1:18" s="22" customFormat="1">
      <c r="A8822" s="18" t="s">
        <v>3764</v>
      </c>
      <c r="B8822" s="4325" t="s">
        <v>2575</v>
      </c>
      <c r="C8822" s="3350"/>
      <c r="D8822" s="4327"/>
      <c r="E8822" s="4329" t="s">
        <v>1527</v>
      </c>
      <c r="F8822" s="4336" t="s">
        <v>2576</v>
      </c>
      <c r="G8822" s="4331" t="s">
        <v>1568</v>
      </c>
      <c r="H8822" s="4331" t="s">
        <v>1574</v>
      </c>
      <c r="I8822" s="1572" t="s">
        <v>1559</v>
      </c>
      <c r="J8822" s="1294" t="s">
        <v>1560</v>
      </c>
      <c r="K8822" s="1294" t="s">
        <v>1569</v>
      </c>
      <c r="L8822" s="4333" t="s">
        <v>3765</v>
      </c>
      <c r="M8822" s="4335" t="s">
        <v>1571</v>
      </c>
      <c r="N8822" s="4323" t="s">
        <v>1776</v>
      </c>
      <c r="O8822" s="3347" t="s">
        <v>1563</v>
      </c>
      <c r="P8822" s="1336" t="s">
        <v>1562</v>
      </c>
      <c r="Q8822" s="3389"/>
      <c r="R8822" s="1699" t="s">
        <v>1327</v>
      </c>
    </row>
    <row r="8823" spans="1:18" s="22" customFormat="1">
      <c r="A8823" s="1599" t="s">
        <v>2512</v>
      </c>
      <c r="B8823" s="4326"/>
      <c r="C8823" s="3351"/>
      <c r="D8823" s="4328"/>
      <c r="E8823" s="4330"/>
      <c r="F8823" s="4336"/>
      <c r="G8823" s="4332"/>
      <c r="H8823" s="4332"/>
      <c r="I8823" s="1345">
        <v>12</v>
      </c>
      <c r="J8823" s="1307">
        <v>8.3000000000000004E-2</v>
      </c>
      <c r="K8823" s="1297">
        <f>I8823*J8823</f>
        <v>0.996</v>
      </c>
      <c r="L8823" s="4334"/>
      <c r="M8823" s="4335"/>
      <c r="N8823" s="4324"/>
      <c r="O8823" s="1298">
        <f>SUM(O8825:O8831)</f>
        <v>39.407139999999998</v>
      </c>
      <c r="P8823" s="1337">
        <f>O8823*K8823</f>
        <v>39.249511439999999</v>
      </c>
      <c r="Q8823" s="3390"/>
      <c r="R8823" s="1721">
        <f>SUM(P8825:P8831)</f>
        <v>39.249511440000006</v>
      </c>
    </row>
    <row r="8824" spans="1:18" s="22" customFormat="1">
      <c r="A8824" s="1320"/>
      <c r="B8824" s="1949"/>
      <c r="C8824" s="1327"/>
      <c r="D8824" s="1367"/>
      <c r="E8824" s="2121"/>
      <c r="F8824" s="1389" t="s">
        <v>1</v>
      </c>
      <c r="G8824" s="1389"/>
      <c r="H8824" s="1369"/>
      <c r="I8824" s="2088"/>
      <c r="J8824" s="1369"/>
      <c r="K8824" s="1391"/>
      <c r="L8824" s="1559"/>
      <c r="M8824" s="1369"/>
      <c r="N8824" s="1369"/>
      <c r="O8824" s="1369"/>
      <c r="P8824" s="1392"/>
      <c r="Q8824" s="3395"/>
      <c r="R8824" s="2344"/>
    </row>
    <row r="8825" spans="1:18" s="22" customFormat="1" ht="15" customHeight="1">
      <c r="A8825" s="1320"/>
      <c r="B8825" s="1599"/>
      <c r="C8825" s="1320"/>
      <c r="D8825" s="1598" t="s">
        <v>2577</v>
      </c>
      <c r="E8825" s="2154" t="s">
        <v>1527</v>
      </c>
      <c r="F8825" s="1598" t="s">
        <v>2578</v>
      </c>
      <c r="G8825" s="1995">
        <v>1.01</v>
      </c>
      <c r="H8825" s="1369"/>
      <c r="I8825" s="1299"/>
      <c r="J8825" s="1300"/>
      <c r="K8825" s="1307">
        <f>G8825*K8823</f>
        <v>1.00596</v>
      </c>
      <c r="L8825" s="1335">
        <f t="shared" ref="L8825:L8827" si="1191">K8825*$K$8584</f>
        <v>0</v>
      </c>
      <c r="M8825" s="1302">
        <v>33.78</v>
      </c>
      <c r="N8825" s="1700"/>
      <c r="O8825" s="1290">
        <f>G8825*M8825</f>
        <v>34.117800000000003</v>
      </c>
      <c r="P8825" s="1332">
        <f>M8825*K8825</f>
        <v>33.9813288</v>
      </c>
      <c r="Q8825" s="3402"/>
      <c r="R8825" s="2356"/>
    </row>
    <row r="8826" spans="1:18" s="22" customFormat="1">
      <c r="A8826" s="16"/>
      <c r="B8826" s="1599"/>
      <c r="C8826" s="1320"/>
      <c r="D8826" s="1598" t="s">
        <v>1097</v>
      </c>
      <c r="E8826" s="1856" t="s">
        <v>1504</v>
      </c>
      <c r="F8826" s="1598" t="s">
        <v>1632</v>
      </c>
      <c r="G8826" s="1651">
        <v>1</v>
      </c>
      <c r="H8826" s="1399"/>
      <c r="I8826" s="198"/>
      <c r="J8826" s="198"/>
      <c r="K8826" s="1350">
        <f>G8826*K8823</f>
        <v>0.996</v>
      </c>
      <c r="L8826" s="1335">
        <f t="shared" si="1191"/>
        <v>0</v>
      </c>
      <c r="M8826" s="1499">
        <v>0.55000000000000004</v>
      </c>
      <c r="N8826" s="1701"/>
      <c r="O8826" s="1291">
        <f>G8826*M8826</f>
        <v>0.55000000000000004</v>
      </c>
      <c r="P8826" s="1332">
        <f>M8826*K8826</f>
        <v>0.54780000000000006</v>
      </c>
      <c r="Q8826" s="3391"/>
      <c r="R8826" s="3363"/>
    </row>
    <row r="8827" spans="1:18" s="22" customFormat="1">
      <c r="A8827" s="16"/>
      <c r="B8827" s="1599"/>
      <c r="C8827" s="1320"/>
      <c r="D8827" s="1598" t="s">
        <v>1082</v>
      </c>
      <c r="E8827" s="1856" t="s">
        <v>1504</v>
      </c>
      <c r="F8827" s="1598" t="s">
        <v>1541</v>
      </c>
      <c r="G8827" s="1651">
        <v>1</v>
      </c>
      <c r="H8827" s="1399"/>
      <c r="I8827" s="198"/>
      <c r="J8827" s="198"/>
      <c r="K8827" s="1350">
        <f>G8827*K8823</f>
        <v>0.996</v>
      </c>
      <c r="L8827" s="1335">
        <f t="shared" si="1191"/>
        <v>0</v>
      </c>
      <c r="M8827" s="1499">
        <v>0.3</v>
      </c>
      <c r="N8827" s="1701"/>
      <c r="O8827" s="1291">
        <f>G8827*M8827</f>
        <v>0.3</v>
      </c>
      <c r="P8827" s="1332">
        <f>M8827*K8827</f>
        <v>0.29880000000000001</v>
      </c>
      <c r="Q8827" s="3391"/>
      <c r="R8827" s="3363"/>
    </row>
    <row r="8828" spans="1:18" s="22" customFormat="1">
      <c r="A8828" s="16"/>
      <c r="B8828" s="1599"/>
      <c r="C8828" s="1320"/>
      <c r="D8828" s="1598"/>
      <c r="E8828" s="1856"/>
      <c r="F8828" s="1598"/>
      <c r="G8828" s="1399"/>
      <c r="H8828" s="1399"/>
      <c r="I8828" s="198"/>
      <c r="J8828" s="198"/>
      <c r="K8828" s="1307"/>
      <c r="L8828" s="1335"/>
      <c r="M8828" s="1499"/>
      <c r="N8828" s="1701"/>
      <c r="O8828" s="1291"/>
      <c r="P8828" s="1332"/>
      <c r="Q8828" s="3391"/>
      <c r="R8828" s="3363"/>
    </row>
    <row r="8829" spans="1:18" s="22" customFormat="1" ht="26">
      <c r="A8829" s="2187"/>
      <c r="B8829" s="1599"/>
      <c r="C8829" s="1042"/>
      <c r="D8829" s="1359"/>
      <c r="E8829" s="1858"/>
      <c r="F8829" s="1360" t="s">
        <v>2</v>
      </c>
      <c r="G8829" s="1360"/>
      <c r="H8829" s="1362"/>
      <c r="I8829" s="1380"/>
      <c r="J8829" s="1381"/>
      <c r="K8829" s="1381"/>
      <c r="L8829" s="1458"/>
      <c r="M8829" s="1362"/>
      <c r="N8829" s="1362"/>
      <c r="O8829" s="1362"/>
      <c r="P8829" s="1359"/>
      <c r="Q8829" s="3403"/>
      <c r="R8829" s="2357"/>
    </row>
    <row r="8830" spans="1:18" s="22" customFormat="1" ht="26">
      <c r="A8830" s="2187"/>
      <c r="B8830" s="2053"/>
      <c r="C8830" s="1321"/>
      <c r="D8830" s="1655" t="s">
        <v>1099</v>
      </c>
      <c r="E8830" s="1859" t="s">
        <v>1508</v>
      </c>
      <c r="F8830" s="1655" t="s">
        <v>1633</v>
      </c>
      <c r="G8830" s="1994">
        <v>0.15</v>
      </c>
      <c r="H8830" s="1386"/>
      <c r="I8830" s="1299"/>
      <c r="J8830" s="1300"/>
      <c r="K8830" s="1307">
        <f>G8830*K8823</f>
        <v>0.14940000000000001</v>
      </c>
      <c r="L8830" s="1335">
        <f t="shared" ref="L8830" si="1192">K8830*$K$8584</f>
        <v>0</v>
      </c>
      <c r="M8830" s="1302">
        <v>19.23</v>
      </c>
      <c r="N8830" s="1700"/>
      <c r="O8830" s="1290">
        <f>G8830*M8830</f>
        <v>2.8845000000000001</v>
      </c>
      <c r="P8830" s="1332">
        <f>M8830*K8830</f>
        <v>2.8729620000000002</v>
      </c>
      <c r="Q8830" s="3402"/>
      <c r="R8830" s="2357"/>
    </row>
    <row r="8831" spans="1:18" s="22" customFormat="1">
      <c r="A8831"/>
      <c r="B8831" s="1042"/>
      <c r="C8831" s="2086" t="s">
        <v>2282</v>
      </c>
      <c r="D8831" s="1311"/>
      <c r="E8831" s="2176" t="s">
        <v>1508</v>
      </c>
      <c r="F8831" s="1648" t="s">
        <v>2283</v>
      </c>
      <c r="G8831" s="1990"/>
      <c r="H8831" s="1338">
        <v>4.2000000000000003E-2</v>
      </c>
      <c r="I8831" s="1444"/>
      <c r="J8831" s="1388"/>
      <c r="K8831" s="1445"/>
      <c r="L8831" s="1457"/>
      <c r="M8831" s="1447"/>
      <c r="N8831" s="1447">
        <f>SUM(N8832:N8833)</f>
        <v>37.019999999999996</v>
      </c>
      <c r="O8831" s="1447">
        <f>SUM(O8832:O8833)</f>
        <v>1.55484</v>
      </c>
      <c r="P8831" s="1447">
        <f>SUM(P8832:P8833)</f>
        <v>1.54862064</v>
      </c>
      <c r="Q8831" s="3391"/>
      <c r="R8831" s="2337"/>
    </row>
    <row r="8832" spans="1:18" s="22" customFormat="1">
      <c r="A8832"/>
      <c r="B8832" s="1042"/>
      <c r="C8832" s="19"/>
      <c r="D8832" s="1430" t="s">
        <v>1067</v>
      </c>
      <c r="E8832" s="1857" t="s">
        <v>1508</v>
      </c>
      <c r="F8832" s="1394" t="s">
        <v>5</v>
      </c>
      <c r="G8832" s="1991">
        <v>1</v>
      </c>
      <c r="H8832" s="1408">
        <f>G8832*H8831</f>
        <v>4.2000000000000003E-2</v>
      </c>
      <c r="I8832" s="1286"/>
      <c r="J8832" s="198"/>
      <c r="K8832" s="1307">
        <f>H8832*K8823</f>
        <v>4.1832000000000001E-2</v>
      </c>
      <c r="L8832" s="1335">
        <f t="shared" ref="L8832:L8833" si="1193">K8832*$K$8584</f>
        <v>0</v>
      </c>
      <c r="M8832" s="1302">
        <v>18.28</v>
      </c>
      <c r="N8832" s="1718">
        <f>G8832*M8832</f>
        <v>18.28</v>
      </c>
      <c r="O8832" s="1290">
        <f>H8832*M8832</f>
        <v>0.76776000000000011</v>
      </c>
      <c r="P8832" s="1720">
        <f>M8832*K8832</f>
        <v>0.76468896000000008</v>
      </c>
      <c r="Q8832" s="3396"/>
      <c r="R8832" s="2337"/>
    </row>
    <row r="8833" spans="1:18" s="22" customFormat="1">
      <c r="A8833"/>
      <c r="B8833" s="1042"/>
      <c r="C8833" s="19"/>
      <c r="D8833" s="1430" t="s">
        <v>1165</v>
      </c>
      <c r="E8833" s="1857" t="s">
        <v>1508</v>
      </c>
      <c r="F8833" s="1430" t="s">
        <v>114</v>
      </c>
      <c r="G8833" s="2183">
        <v>1</v>
      </c>
      <c r="H8833" s="1395">
        <f>G8833*H8831</f>
        <v>4.2000000000000003E-2</v>
      </c>
      <c r="I8833" s="197"/>
      <c r="J8833" s="198"/>
      <c r="K8833" s="1307">
        <f>H8833*K8823</f>
        <v>4.1832000000000001E-2</v>
      </c>
      <c r="L8833" s="1335">
        <f t="shared" si="1193"/>
        <v>0</v>
      </c>
      <c r="M8833" s="1302">
        <v>18.739999999999998</v>
      </c>
      <c r="N8833" s="1718">
        <f>G8833*M8833</f>
        <v>18.739999999999998</v>
      </c>
      <c r="O8833" s="1290">
        <f>H8833*M8833</f>
        <v>0.78708</v>
      </c>
      <c r="P8833" s="1720">
        <f>M8833*K8833</f>
        <v>0.78393167999999991</v>
      </c>
      <c r="Q8833" s="3396"/>
      <c r="R8833" s="2337"/>
    </row>
    <row r="8834" spans="1:18" s="22" customFormat="1">
      <c r="B8834" s="1320"/>
      <c r="C8834" s="16"/>
      <c r="D8834" s="1359"/>
      <c r="E8834" s="1858"/>
      <c r="F8834" s="1474"/>
      <c r="G8834" s="1474"/>
      <c r="H8834" s="1466"/>
      <c r="I8834" s="1289"/>
      <c r="J8834" s="8"/>
      <c r="K8834" s="1307"/>
      <c r="L8834" s="1335"/>
      <c r="M8834" s="1302"/>
      <c r="N8834" s="1700"/>
      <c r="O8834" s="1290"/>
      <c r="P8834" s="1332"/>
      <c r="Q8834" s="3391"/>
      <c r="R8834" s="2344"/>
    </row>
    <row r="8835" spans="1:18" s="22" customFormat="1">
      <c r="A8835" s="1320"/>
      <c r="B8835" s="1599"/>
      <c r="C8835" s="1320"/>
      <c r="D8835" s="1373"/>
      <c r="E8835" s="2123"/>
      <c r="F8835" s="1374" t="s">
        <v>3</v>
      </c>
      <c r="G8835" s="1375"/>
      <c r="H8835" s="1376"/>
      <c r="I8835" s="1382"/>
      <c r="J8835" s="1383"/>
      <c r="K8835" s="1383"/>
      <c r="L8835" s="1413"/>
      <c r="M8835" s="1376"/>
      <c r="N8835" s="1376"/>
      <c r="O8835" s="1376"/>
      <c r="P8835" s="1373"/>
      <c r="Q8835" s="3403"/>
      <c r="R8835" s="2356"/>
    </row>
    <row r="8836" spans="1:18" s="22" customFormat="1">
      <c r="A8836" s="1321"/>
      <c r="B8836" s="2053"/>
      <c r="C8836" s="1321"/>
      <c r="D8836" s="1827"/>
      <c r="E8836" s="2173"/>
      <c r="F8836" s="1827"/>
      <c r="G8836" s="1828"/>
      <c r="H8836" s="1379"/>
      <c r="I8836" s="1299"/>
      <c r="J8836" s="1300"/>
      <c r="K8836" s="1307"/>
      <c r="L8836" s="1335"/>
      <c r="M8836" s="1302"/>
      <c r="N8836" s="1700"/>
      <c r="O8836" s="1290"/>
      <c r="P8836" s="1332"/>
      <c r="Q8836" s="3402"/>
      <c r="R8836" s="2053"/>
    </row>
    <row r="8837" spans="1:18" s="22" customFormat="1">
      <c r="A8837" s="1321"/>
      <c r="B8837" s="2053"/>
      <c r="C8837" s="1321"/>
      <c r="D8837" s="2219"/>
      <c r="E8837" s="2220"/>
      <c r="F8837" s="2221"/>
      <c r="G8837" s="2222"/>
      <c r="H8837" s="1379"/>
      <c r="I8837" s="1299"/>
      <c r="J8837" s="1300"/>
      <c r="K8837" s="1307"/>
      <c r="L8837" s="1335"/>
      <c r="M8837" s="1302"/>
      <c r="N8837" s="1700"/>
      <c r="O8837" s="1290"/>
      <c r="P8837" s="1333"/>
      <c r="Q8837" s="3402"/>
      <c r="R8837" s="2053"/>
    </row>
    <row r="8838" spans="1:18" s="22" customFormat="1">
      <c r="A8838" s="1321"/>
      <c r="B8838" s="2053"/>
      <c r="C8838" s="1321"/>
      <c r="D8838" s="1377"/>
      <c r="E8838" s="2124"/>
      <c r="F8838" s="1378"/>
      <c r="G8838" s="1378"/>
      <c r="H8838" s="1379"/>
      <c r="I8838" s="1299"/>
      <c r="J8838" s="1300"/>
      <c r="K8838" s="1307"/>
      <c r="L8838" s="1335"/>
      <c r="M8838" s="1302"/>
      <c r="N8838" s="1700"/>
      <c r="O8838" s="1290"/>
      <c r="P8838" s="1333"/>
      <c r="Q8838" s="3402"/>
      <c r="R8838" s="2053"/>
    </row>
    <row r="8839" spans="1:18" s="22" customFormat="1">
      <c r="A8839" s="18" t="s">
        <v>3764</v>
      </c>
      <c r="B8839" s="4325" t="s">
        <v>2579</v>
      </c>
      <c r="C8839" s="3350"/>
      <c r="D8839" s="4327"/>
      <c r="E8839" s="4329" t="s">
        <v>1504</v>
      </c>
      <c r="F8839" s="4336" t="s">
        <v>2580</v>
      </c>
      <c r="G8839" s="4331" t="s">
        <v>1568</v>
      </c>
      <c r="H8839" s="4331" t="s">
        <v>1574</v>
      </c>
      <c r="I8839" s="1572" t="s">
        <v>1559</v>
      </c>
      <c r="J8839" s="1294" t="s">
        <v>1560</v>
      </c>
      <c r="K8839" s="1294" t="s">
        <v>1569</v>
      </c>
      <c r="L8839" s="4333" t="s">
        <v>3765</v>
      </c>
      <c r="M8839" s="4335" t="s">
        <v>1571</v>
      </c>
      <c r="N8839" s="4323" t="s">
        <v>1776</v>
      </c>
      <c r="O8839" s="3347" t="s">
        <v>1563</v>
      </c>
      <c r="P8839" s="1336" t="s">
        <v>1562</v>
      </c>
      <c r="Q8839" s="3389"/>
      <c r="R8839" s="1699" t="s">
        <v>1327</v>
      </c>
    </row>
    <row r="8840" spans="1:18" s="22" customFormat="1">
      <c r="A8840" s="1599" t="s">
        <v>2512</v>
      </c>
      <c r="B8840" s="4326"/>
      <c r="C8840" s="3351"/>
      <c r="D8840" s="4328"/>
      <c r="E8840" s="4330"/>
      <c r="F8840" s="4336"/>
      <c r="G8840" s="4332"/>
      <c r="H8840" s="4332"/>
      <c r="I8840" s="1345">
        <v>12</v>
      </c>
      <c r="J8840" s="1307">
        <v>8.3000000000000004E-2</v>
      </c>
      <c r="K8840" s="1297">
        <f>I8840*J8840</f>
        <v>0.996</v>
      </c>
      <c r="L8840" s="4334"/>
      <c r="M8840" s="4335"/>
      <c r="N8840" s="4324"/>
      <c r="O8840" s="1298">
        <f>SUM(O8842:O8847)</f>
        <v>233.87900000000002</v>
      </c>
      <c r="P8840" s="1337">
        <f>O8840*K8840</f>
        <v>232.94348400000001</v>
      </c>
      <c r="Q8840" s="3390"/>
      <c r="R8840" s="1721">
        <f>SUM(P8842:P8846)</f>
        <v>229.302108</v>
      </c>
    </row>
    <row r="8841" spans="1:18" s="22" customFormat="1">
      <c r="A8841" s="1320"/>
      <c r="B8841" s="1949"/>
      <c r="C8841" s="1327"/>
      <c r="D8841" s="1367"/>
      <c r="E8841" s="2121"/>
      <c r="F8841" s="1389" t="s">
        <v>1</v>
      </c>
      <c r="G8841" s="1389"/>
      <c r="H8841" s="1369"/>
      <c r="I8841" s="2088"/>
      <c r="J8841" s="1369"/>
      <c r="K8841" s="1391"/>
      <c r="L8841" s="1559"/>
      <c r="M8841" s="1369"/>
      <c r="N8841" s="1369"/>
      <c r="O8841" s="1369"/>
      <c r="P8841" s="1392"/>
      <c r="Q8841" s="3395"/>
      <c r="R8841" s="2344"/>
    </row>
    <row r="8842" spans="1:18" s="22" customFormat="1">
      <c r="A8842" s="1320"/>
      <c r="B8842" s="1599"/>
      <c r="C8842" s="1320"/>
      <c r="D8842" s="1598" t="s">
        <v>2581</v>
      </c>
      <c r="E8842" s="2154" t="s">
        <v>1504</v>
      </c>
      <c r="F8842" s="1598" t="s">
        <v>2582</v>
      </c>
      <c r="G8842" s="1995">
        <v>1</v>
      </c>
      <c r="H8842" s="1369"/>
      <c r="I8842" s="1299"/>
      <c r="J8842" s="1300"/>
      <c r="K8842" s="1307">
        <f>G8842*K8840</f>
        <v>0.996</v>
      </c>
      <c r="L8842" s="1335">
        <f t="shared" ref="L8842:L8843" si="1194">K8842*$K$8584</f>
        <v>0</v>
      </c>
      <c r="M8842" s="1302">
        <v>228</v>
      </c>
      <c r="N8842" s="1700"/>
      <c r="O8842" s="1290">
        <f>G8842*M8842</f>
        <v>228</v>
      </c>
      <c r="P8842" s="1332">
        <f>M8842*K8842</f>
        <v>227.08799999999999</v>
      </c>
      <c r="Q8842" s="3402"/>
      <c r="R8842" s="2356"/>
    </row>
    <row r="8843" spans="1:18" s="22" customFormat="1">
      <c r="A8843" s="16"/>
      <c r="B8843" s="1599"/>
      <c r="C8843" s="1320"/>
      <c r="D8843" s="1598" t="s">
        <v>1082</v>
      </c>
      <c r="E8843" s="1856" t="s">
        <v>1504</v>
      </c>
      <c r="F8843" s="1598" t="s">
        <v>1541</v>
      </c>
      <c r="G8843" s="1651">
        <v>1</v>
      </c>
      <c r="H8843" s="1399"/>
      <c r="I8843" s="198"/>
      <c r="J8843" s="198"/>
      <c r="K8843" s="1350">
        <f>G8843*K8840</f>
        <v>0.996</v>
      </c>
      <c r="L8843" s="1335">
        <f t="shared" si="1194"/>
        <v>0</v>
      </c>
      <c r="M8843" s="1499">
        <v>0.3</v>
      </c>
      <c r="N8843" s="1701"/>
      <c r="O8843" s="1291">
        <f>G8843*M8843</f>
        <v>0.3</v>
      </c>
      <c r="P8843" s="1332">
        <f>M8843*K8843</f>
        <v>0.29880000000000001</v>
      </c>
      <c r="Q8843" s="3391"/>
      <c r="R8843" s="3363"/>
    </row>
    <row r="8844" spans="1:18" s="22" customFormat="1">
      <c r="A8844" s="16"/>
      <c r="B8844" s="1599"/>
      <c r="C8844" s="1320"/>
      <c r="D8844" s="1598"/>
      <c r="E8844" s="1856"/>
      <c r="F8844" s="1598"/>
      <c r="G8844" s="1399"/>
      <c r="H8844" s="1399"/>
      <c r="I8844" s="198"/>
      <c r="J8844" s="198"/>
      <c r="K8844" s="1307"/>
      <c r="L8844" s="1335"/>
      <c r="M8844" s="1499"/>
      <c r="N8844" s="1701"/>
      <c r="O8844" s="1291"/>
      <c r="P8844" s="1332"/>
      <c r="Q8844" s="3391"/>
      <c r="R8844" s="3363"/>
    </row>
    <row r="8845" spans="1:18" s="22" customFormat="1" ht="26">
      <c r="A8845" s="2187"/>
      <c r="B8845" s="1599"/>
      <c r="C8845" s="1042"/>
      <c r="D8845" s="1359"/>
      <c r="E8845" s="1858"/>
      <c r="F8845" s="1360" t="s">
        <v>2</v>
      </c>
      <c r="G8845" s="1360"/>
      <c r="H8845" s="1362"/>
      <c r="I8845" s="1380"/>
      <c r="J8845" s="1381"/>
      <c r="K8845" s="1381"/>
      <c r="L8845" s="1458"/>
      <c r="M8845" s="1362"/>
      <c r="N8845" s="1362"/>
      <c r="O8845" s="1362"/>
      <c r="P8845" s="1359"/>
      <c r="Q8845" s="3403"/>
      <c r="R8845" s="2357"/>
    </row>
    <row r="8846" spans="1:18" s="22" customFormat="1" ht="26">
      <c r="A8846" s="2187"/>
      <c r="B8846" s="2053"/>
      <c r="C8846" s="1321"/>
      <c r="D8846" s="2192" t="s">
        <v>2525</v>
      </c>
      <c r="E8846" s="2267" t="s">
        <v>1508</v>
      </c>
      <c r="F8846" s="2192" t="s">
        <v>2526</v>
      </c>
      <c r="G8846" s="2193">
        <v>0.1</v>
      </c>
      <c r="H8846" s="1386"/>
      <c r="I8846" s="1299"/>
      <c r="J8846" s="1300"/>
      <c r="K8846" s="1307">
        <f>G8846*K8840</f>
        <v>9.9600000000000008E-2</v>
      </c>
      <c r="L8846" s="1335">
        <f t="shared" ref="L8846:L8847" si="1195">K8846*$K$8584</f>
        <v>0</v>
      </c>
      <c r="M8846" s="1302">
        <v>19.23</v>
      </c>
      <c r="N8846" s="1700"/>
      <c r="O8846" s="1290">
        <f>G8846*M8846</f>
        <v>1.923</v>
      </c>
      <c r="P8846" s="1332">
        <f>M8846*K8846</f>
        <v>1.9153080000000002</v>
      </c>
      <c r="Q8846" s="3402"/>
      <c r="R8846" s="2357"/>
    </row>
    <row r="8847" spans="1:18" s="22" customFormat="1">
      <c r="A8847" s="19"/>
      <c r="B8847" s="1042"/>
      <c r="C8847" s="19"/>
      <c r="D8847" s="1430" t="s">
        <v>1067</v>
      </c>
      <c r="E8847" s="1857" t="s">
        <v>1508</v>
      </c>
      <c r="F8847" s="1430" t="s">
        <v>1512</v>
      </c>
      <c r="G8847" s="1381">
        <v>0.2</v>
      </c>
      <c r="H8847" s="1395"/>
      <c r="I8847" s="1346"/>
      <c r="J8847" s="198"/>
      <c r="K8847" s="1307">
        <f>G8847*K8840</f>
        <v>0.19920000000000002</v>
      </c>
      <c r="L8847" s="1335">
        <f t="shared" si="1195"/>
        <v>0</v>
      </c>
      <c r="M8847" s="1302">
        <v>18.28</v>
      </c>
      <c r="N8847" s="1700"/>
      <c r="O8847" s="1290">
        <f>G8847*M8847</f>
        <v>3.6560000000000006</v>
      </c>
      <c r="P8847" s="1332">
        <f>M8847*K8847</f>
        <v>3.6413760000000006</v>
      </c>
      <c r="Q8847" s="3391"/>
      <c r="R8847" s="2338"/>
    </row>
    <row r="8848" spans="1:18" s="22" customFormat="1">
      <c r="B8848" s="1320"/>
      <c r="C8848" s="16"/>
      <c r="D8848" s="1359"/>
      <c r="E8848" s="1858"/>
      <c r="F8848" s="1474"/>
      <c r="G8848" s="1474"/>
      <c r="H8848" s="1466"/>
      <c r="I8848" s="1289"/>
      <c r="J8848" s="8"/>
      <c r="K8848" s="1307"/>
      <c r="L8848" s="1335"/>
      <c r="M8848" s="1302"/>
      <c r="N8848" s="1700"/>
      <c r="O8848" s="1290"/>
      <c r="P8848" s="1332"/>
      <c r="Q8848" s="3391"/>
      <c r="R8848" s="2344"/>
    </row>
    <row r="8849" spans="1:18" s="22" customFormat="1">
      <c r="A8849" s="1320"/>
      <c r="B8849" s="1599"/>
      <c r="C8849" s="1320"/>
      <c r="D8849" s="1373"/>
      <c r="E8849" s="2123"/>
      <c r="F8849" s="1374" t="s">
        <v>3</v>
      </c>
      <c r="G8849" s="1375"/>
      <c r="H8849" s="1376"/>
      <c r="I8849" s="1382"/>
      <c r="J8849" s="1383"/>
      <c r="K8849" s="1383"/>
      <c r="L8849" s="1413"/>
      <c r="M8849" s="1376"/>
      <c r="N8849" s="1376"/>
      <c r="O8849" s="1376"/>
      <c r="P8849" s="1373"/>
      <c r="Q8849" s="3403"/>
      <c r="R8849" s="2356"/>
    </row>
    <row r="8850" spans="1:18" s="22" customFormat="1">
      <c r="A8850" s="1321"/>
      <c r="B8850" s="2053"/>
      <c r="C8850" s="1321"/>
      <c r="D8850" s="2274"/>
      <c r="E8850" s="2275"/>
      <c r="F8850" s="1827"/>
      <c r="G8850" s="1828"/>
      <c r="H8850" s="1379"/>
      <c r="I8850" s="1299"/>
      <c r="J8850" s="1300"/>
      <c r="K8850" s="1307"/>
      <c r="L8850" s="1335"/>
      <c r="M8850" s="1302"/>
      <c r="N8850" s="1700"/>
      <c r="O8850" s="1290"/>
      <c r="P8850" s="1332"/>
      <c r="Q8850" s="3402"/>
      <c r="R8850" s="2053"/>
    </row>
    <row r="8851" spans="1:18" s="22" customFormat="1">
      <c r="A8851" s="1321"/>
      <c r="B8851" s="2053"/>
      <c r="C8851" s="1321"/>
      <c r="D8851" s="2276"/>
      <c r="E8851" s="2277"/>
      <c r="F8851" s="2221"/>
      <c r="G8851" s="2222"/>
      <c r="H8851" s="1379"/>
      <c r="I8851" s="1299"/>
      <c r="J8851" s="1300"/>
      <c r="K8851" s="1307"/>
      <c r="L8851" s="1335"/>
      <c r="M8851" s="1302"/>
      <c r="N8851" s="1700"/>
      <c r="O8851" s="1290"/>
      <c r="P8851" s="1333"/>
      <c r="Q8851" s="3402"/>
      <c r="R8851" s="2053"/>
    </row>
    <row r="8852" spans="1:18" s="22" customFormat="1">
      <c r="A8852" s="1321"/>
      <c r="B8852" s="2053"/>
      <c r="C8852" s="1321"/>
      <c r="D8852" s="1377"/>
      <c r="E8852" s="2124"/>
      <c r="F8852" s="1378"/>
      <c r="G8852" s="1378"/>
      <c r="H8852" s="1379"/>
      <c r="I8852" s="1299"/>
      <c r="J8852" s="1300"/>
      <c r="K8852" s="1307"/>
      <c r="L8852" s="1335"/>
      <c r="M8852" s="1302"/>
      <c r="N8852" s="1700"/>
      <c r="O8852" s="1290"/>
      <c r="P8852" s="1333"/>
      <c r="Q8852" s="3402"/>
      <c r="R8852" s="2053"/>
    </row>
    <row r="8853" spans="1:18" s="22" customFormat="1">
      <c r="A8853" s="18" t="s">
        <v>3764</v>
      </c>
      <c r="B8853" s="4325" t="s">
        <v>2583</v>
      </c>
      <c r="C8853" s="3350"/>
      <c r="D8853" s="4327"/>
      <c r="E8853" s="4329" t="s">
        <v>1504</v>
      </c>
      <c r="F8853" s="4336" t="s">
        <v>2584</v>
      </c>
      <c r="G8853" s="4331" t="s">
        <v>1568</v>
      </c>
      <c r="H8853" s="4331" t="s">
        <v>1574</v>
      </c>
      <c r="I8853" s="1572" t="s">
        <v>1559</v>
      </c>
      <c r="J8853" s="1294" t="s">
        <v>1560</v>
      </c>
      <c r="K8853" s="1294" t="s">
        <v>1569</v>
      </c>
      <c r="L8853" s="4333" t="s">
        <v>3765</v>
      </c>
      <c r="M8853" s="4335" t="s">
        <v>1571</v>
      </c>
      <c r="N8853" s="4323" t="s">
        <v>1776</v>
      </c>
      <c r="O8853" s="3347" t="s">
        <v>1563</v>
      </c>
      <c r="P8853" s="1336" t="s">
        <v>1562</v>
      </c>
      <c r="Q8853" s="3389"/>
      <c r="R8853" s="1699" t="s">
        <v>1327</v>
      </c>
    </row>
    <row r="8854" spans="1:18" s="22" customFormat="1">
      <c r="A8854" s="1599" t="s">
        <v>2512</v>
      </c>
      <c r="B8854" s="4326"/>
      <c r="C8854" s="3351"/>
      <c r="D8854" s="4328"/>
      <c r="E8854" s="4330"/>
      <c r="F8854" s="4336"/>
      <c r="G8854" s="4332"/>
      <c r="H8854" s="4332"/>
      <c r="I8854" s="1345">
        <v>12</v>
      </c>
      <c r="J8854" s="1307">
        <v>8.3000000000000004E-2</v>
      </c>
      <c r="K8854" s="1297">
        <f>I8854*J8854</f>
        <v>0.996</v>
      </c>
      <c r="L8854" s="4334"/>
      <c r="M8854" s="4335"/>
      <c r="N8854" s="4324"/>
      <c r="O8854" s="1298">
        <f>SUM(O8856:O8861)</f>
        <v>169.87900000000002</v>
      </c>
      <c r="P8854" s="1337">
        <f>O8854*K8854</f>
        <v>169.19948400000001</v>
      </c>
      <c r="Q8854" s="3390"/>
      <c r="R8854" s="1721">
        <f>SUM(P8856:P8861)</f>
        <v>169.19948400000001</v>
      </c>
    </row>
    <row r="8855" spans="1:18" s="22" customFormat="1">
      <c r="A8855" s="1320"/>
      <c r="B8855" s="1949"/>
      <c r="C8855" s="1327"/>
      <c r="D8855" s="1367"/>
      <c r="E8855" s="2121"/>
      <c r="F8855" s="1389" t="s">
        <v>1</v>
      </c>
      <c r="G8855" s="1389"/>
      <c r="H8855" s="1369"/>
      <c r="I8855" s="2088"/>
      <c r="J8855" s="1369"/>
      <c r="K8855" s="1391"/>
      <c r="L8855" s="1559"/>
      <c r="M8855" s="1369"/>
      <c r="N8855" s="1369"/>
      <c r="O8855" s="1369"/>
      <c r="P8855" s="1392"/>
      <c r="Q8855" s="3395"/>
      <c r="R8855" s="2344"/>
    </row>
    <row r="8856" spans="1:18" s="22" customFormat="1">
      <c r="A8856" s="1320"/>
      <c r="B8856" s="1599"/>
      <c r="C8856" s="1320"/>
      <c r="D8856" s="1598" t="s">
        <v>2585</v>
      </c>
      <c r="E8856" s="2154" t="s">
        <v>1504</v>
      </c>
      <c r="F8856" s="1598" t="s">
        <v>2586</v>
      </c>
      <c r="G8856" s="1995">
        <v>1</v>
      </c>
      <c r="H8856" s="1369"/>
      <c r="I8856" s="1299"/>
      <c r="J8856" s="1300"/>
      <c r="K8856" s="1307">
        <f>G8856*K8854</f>
        <v>0.996</v>
      </c>
      <c r="L8856" s="1335">
        <f t="shared" ref="L8856:L8857" si="1196">K8856*$K$8584</f>
        <v>0</v>
      </c>
      <c r="M8856" s="1302">
        <v>164</v>
      </c>
      <c r="N8856" s="1700"/>
      <c r="O8856" s="1290">
        <f>G8856*M8856</f>
        <v>164</v>
      </c>
      <c r="P8856" s="1332">
        <f>M8856*K8856</f>
        <v>163.34399999999999</v>
      </c>
      <c r="Q8856" s="3402"/>
      <c r="R8856" s="2356"/>
    </row>
    <row r="8857" spans="1:18" s="22" customFormat="1">
      <c r="A8857" s="16"/>
      <c r="B8857" s="1599"/>
      <c r="C8857" s="1320"/>
      <c r="D8857" s="1598" t="s">
        <v>1082</v>
      </c>
      <c r="E8857" s="1856" t="s">
        <v>1504</v>
      </c>
      <c r="F8857" s="1598" t="s">
        <v>1541</v>
      </c>
      <c r="G8857" s="1651">
        <v>1</v>
      </c>
      <c r="H8857" s="1399"/>
      <c r="I8857" s="198"/>
      <c r="J8857" s="198"/>
      <c r="K8857" s="1350">
        <f>G8857*K8854</f>
        <v>0.996</v>
      </c>
      <c r="L8857" s="1335">
        <f t="shared" si="1196"/>
        <v>0</v>
      </c>
      <c r="M8857" s="1499">
        <v>0.3</v>
      </c>
      <c r="N8857" s="1701"/>
      <c r="O8857" s="1291">
        <f>G8857*M8857</f>
        <v>0.3</v>
      </c>
      <c r="P8857" s="1332">
        <f>M8857*K8857</f>
        <v>0.29880000000000001</v>
      </c>
      <c r="Q8857" s="3391"/>
      <c r="R8857" s="3363"/>
    </row>
    <row r="8858" spans="1:18" s="22" customFormat="1">
      <c r="A8858" s="16"/>
      <c r="B8858" s="1599"/>
      <c r="C8858" s="1320"/>
      <c r="D8858" s="1598"/>
      <c r="E8858" s="1856"/>
      <c r="F8858" s="1598"/>
      <c r="G8858" s="1399"/>
      <c r="H8858" s="1399"/>
      <c r="I8858" s="198"/>
      <c r="J8858" s="198"/>
      <c r="K8858" s="1307"/>
      <c r="L8858" s="1335"/>
      <c r="M8858" s="1499"/>
      <c r="N8858" s="1701"/>
      <c r="O8858" s="1291"/>
      <c r="P8858" s="1332"/>
      <c r="Q8858" s="3391"/>
      <c r="R8858" s="3363"/>
    </row>
    <row r="8859" spans="1:18" s="22" customFormat="1" ht="18.75" customHeight="1">
      <c r="A8859" s="2187"/>
      <c r="B8859" s="1599"/>
      <c r="C8859" s="1042"/>
      <c r="D8859" s="1359"/>
      <c r="E8859" s="1858"/>
      <c r="F8859" s="1360" t="s">
        <v>2</v>
      </c>
      <c r="G8859" s="1360"/>
      <c r="H8859" s="1362"/>
      <c r="I8859" s="1380"/>
      <c r="J8859" s="1381"/>
      <c r="K8859" s="1381"/>
      <c r="L8859" s="1458"/>
      <c r="M8859" s="1362"/>
      <c r="N8859" s="1362"/>
      <c r="O8859" s="1362"/>
      <c r="P8859" s="1359"/>
      <c r="Q8859" s="3403"/>
      <c r="R8859" s="2357"/>
    </row>
    <row r="8860" spans="1:18" s="22" customFormat="1" ht="24" customHeight="1">
      <c r="A8860" s="2187"/>
      <c r="B8860" s="2053"/>
      <c r="C8860" s="1321"/>
      <c r="D8860" s="2192" t="s">
        <v>2525</v>
      </c>
      <c r="E8860" s="2267" t="s">
        <v>1508</v>
      </c>
      <c r="F8860" s="2192" t="s">
        <v>2526</v>
      </c>
      <c r="G8860" s="2194">
        <v>0.1</v>
      </c>
      <c r="H8860" s="1386"/>
      <c r="I8860" s="1299"/>
      <c r="J8860" s="1300"/>
      <c r="K8860" s="1307">
        <f>G8860*K8854</f>
        <v>9.9600000000000008E-2</v>
      </c>
      <c r="L8860" s="1335">
        <f t="shared" ref="L8860:L8861" si="1197">K8860*$K$8584</f>
        <v>0</v>
      </c>
      <c r="M8860" s="1302">
        <v>19.23</v>
      </c>
      <c r="N8860" s="1700"/>
      <c r="O8860" s="1290">
        <f>G8860*M8860</f>
        <v>1.923</v>
      </c>
      <c r="P8860" s="1332">
        <f>M8860*K8860</f>
        <v>1.9153080000000002</v>
      </c>
      <c r="Q8860" s="3402"/>
      <c r="R8860" s="2357"/>
    </row>
    <row r="8861" spans="1:18" s="22" customFormat="1" ht="20.25" customHeight="1">
      <c r="A8861" s="19"/>
      <c r="B8861" s="1042"/>
      <c r="C8861" s="19"/>
      <c r="D8861" s="1430" t="s">
        <v>1067</v>
      </c>
      <c r="E8861" s="1857" t="s">
        <v>1508</v>
      </c>
      <c r="F8861" s="1430" t="s">
        <v>1512</v>
      </c>
      <c r="G8861" s="1381">
        <v>0.2</v>
      </c>
      <c r="H8861" s="1395"/>
      <c r="I8861" s="1346"/>
      <c r="J8861" s="198"/>
      <c r="K8861" s="1307">
        <f>G8861*K8854</f>
        <v>0.19920000000000002</v>
      </c>
      <c r="L8861" s="1335">
        <f t="shared" si="1197"/>
        <v>0</v>
      </c>
      <c r="M8861" s="1302">
        <v>18.28</v>
      </c>
      <c r="N8861" s="1700"/>
      <c r="O8861" s="1290">
        <f>G8861*M8861</f>
        <v>3.6560000000000006</v>
      </c>
      <c r="P8861" s="1332">
        <f>M8861*K8861</f>
        <v>3.6413760000000006</v>
      </c>
      <c r="Q8861" s="3391"/>
      <c r="R8861" s="2338"/>
    </row>
    <row r="8862" spans="1:18" s="22" customFormat="1">
      <c r="B8862" s="1320"/>
      <c r="C8862" s="16"/>
      <c r="D8862" s="1359"/>
      <c r="E8862" s="1858"/>
      <c r="F8862" s="1474"/>
      <c r="G8862" s="1474"/>
      <c r="H8862" s="1466"/>
      <c r="I8862" s="1289"/>
      <c r="J8862" s="8"/>
      <c r="K8862" s="1307"/>
      <c r="L8862" s="1335"/>
      <c r="M8862" s="1302"/>
      <c r="N8862" s="1700"/>
      <c r="O8862" s="1290"/>
      <c r="P8862" s="1332"/>
      <c r="Q8862" s="3391"/>
      <c r="R8862" s="2344"/>
    </row>
    <row r="8863" spans="1:18" s="22" customFormat="1">
      <c r="A8863" s="1320"/>
      <c r="B8863" s="1599"/>
      <c r="C8863" s="1320"/>
      <c r="D8863" s="1373"/>
      <c r="E8863" s="2123"/>
      <c r="F8863" s="1374" t="s">
        <v>3</v>
      </c>
      <c r="G8863" s="1375"/>
      <c r="H8863" s="1376"/>
      <c r="I8863" s="1382"/>
      <c r="J8863" s="1383"/>
      <c r="K8863" s="1383"/>
      <c r="L8863" s="1413"/>
      <c r="M8863" s="1376"/>
      <c r="N8863" s="1376"/>
      <c r="O8863" s="1376"/>
      <c r="P8863" s="1373"/>
      <c r="Q8863" s="3403"/>
      <c r="R8863" s="2356"/>
    </row>
    <row r="8864" spans="1:18" s="22" customFormat="1">
      <c r="A8864" s="1321"/>
      <c r="B8864" s="2053"/>
      <c r="C8864" s="1321"/>
      <c r="D8864" s="2274"/>
      <c r="E8864" s="2275"/>
      <c r="F8864" s="1827"/>
      <c r="G8864" s="1828"/>
      <c r="H8864" s="1379"/>
      <c r="I8864" s="1299"/>
      <c r="J8864" s="1300"/>
      <c r="K8864" s="1307"/>
      <c r="L8864" s="1335"/>
      <c r="M8864" s="1302"/>
      <c r="N8864" s="1700"/>
      <c r="O8864" s="1290"/>
      <c r="P8864" s="1332"/>
      <c r="Q8864" s="3402"/>
      <c r="R8864" s="2053"/>
    </row>
    <row r="8865" spans="1:18" s="22" customFormat="1">
      <c r="A8865" s="1321"/>
      <c r="B8865" s="2053"/>
      <c r="C8865" s="1321"/>
      <c r="D8865" s="2276"/>
      <c r="E8865" s="2277"/>
      <c r="F8865" s="2221"/>
      <c r="G8865" s="2222"/>
      <c r="H8865" s="1379"/>
      <c r="I8865" s="1299"/>
      <c r="J8865" s="1300"/>
      <c r="K8865" s="1307"/>
      <c r="L8865" s="1335"/>
      <c r="M8865" s="1302"/>
      <c r="N8865" s="1700"/>
      <c r="O8865" s="1290"/>
      <c r="P8865" s="1333"/>
      <c r="Q8865" s="3402"/>
      <c r="R8865" s="2053"/>
    </row>
    <row r="8866" spans="1:18" s="22" customFormat="1">
      <c r="A8866" s="1321"/>
      <c r="B8866" s="2053"/>
      <c r="C8866" s="1321"/>
      <c r="D8866" s="1377"/>
      <c r="E8866" s="2124"/>
      <c r="F8866" s="1378"/>
      <c r="G8866" s="1378"/>
      <c r="H8866" s="1379"/>
      <c r="I8866" s="1299"/>
      <c r="J8866" s="1300"/>
      <c r="K8866" s="1307"/>
      <c r="L8866" s="1335"/>
      <c r="M8866" s="1302"/>
      <c r="N8866" s="1700"/>
      <c r="O8866" s="1290"/>
      <c r="P8866" s="1333"/>
      <c r="Q8866" s="3402"/>
      <c r="R8866" s="2053"/>
    </row>
    <row r="8867" spans="1:18" s="22" customFormat="1">
      <c r="A8867" s="18" t="s">
        <v>3764</v>
      </c>
      <c r="B8867" s="4325" t="s">
        <v>2587</v>
      </c>
      <c r="C8867" s="3350"/>
      <c r="D8867" s="4327"/>
      <c r="E8867" s="4329" t="s">
        <v>1504</v>
      </c>
      <c r="F8867" s="4336" t="s">
        <v>2588</v>
      </c>
      <c r="G8867" s="4331" t="s">
        <v>1568</v>
      </c>
      <c r="H8867" s="4331" t="s">
        <v>1574</v>
      </c>
      <c r="I8867" s="1572" t="s">
        <v>1559</v>
      </c>
      <c r="J8867" s="1294" t="s">
        <v>1560</v>
      </c>
      <c r="K8867" s="1294" t="s">
        <v>1569</v>
      </c>
      <c r="L8867" s="4333" t="s">
        <v>3765</v>
      </c>
      <c r="M8867" s="4335" t="s">
        <v>1571</v>
      </c>
      <c r="N8867" s="4323" t="s">
        <v>1776</v>
      </c>
      <c r="O8867" s="3347" t="s">
        <v>1563</v>
      </c>
      <c r="P8867" s="1336" t="s">
        <v>1562</v>
      </c>
      <c r="Q8867" s="3389"/>
      <c r="R8867" s="1699" t="s">
        <v>1327</v>
      </c>
    </row>
    <row r="8868" spans="1:18" s="22" customFormat="1">
      <c r="A8868" s="1599" t="s">
        <v>2512</v>
      </c>
      <c r="B8868" s="4326"/>
      <c r="C8868" s="3351"/>
      <c r="D8868" s="4328"/>
      <c r="E8868" s="4330"/>
      <c r="F8868" s="4336"/>
      <c r="G8868" s="4332"/>
      <c r="H8868" s="4332"/>
      <c r="I8868" s="1345">
        <v>1</v>
      </c>
      <c r="J8868" s="1307">
        <v>8.3000000000000004E-2</v>
      </c>
      <c r="K8868" s="1297">
        <f>I8868*J8868</f>
        <v>8.3000000000000004E-2</v>
      </c>
      <c r="L8868" s="4334"/>
      <c r="M8868" s="4335"/>
      <c r="N8868" s="4324"/>
      <c r="O8868" s="1298">
        <f>SUM(O8870:O8876)</f>
        <v>60.39</v>
      </c>
      <c r="P8868" s="1337">
        <f>O8868*K8868</f>
        <v>5.0123700000000007</v>
      </c>
      <c r="Q8868" s="3390"/>
      <c r="R8868" s="1721">
        <f>SUM(P8870:P8876)</f>
        <v>5.0123700000000007</v>
      </c>
    </row>
    <row r="8869" spans="1:18" s="22" customFormat="1">
      <c r="A8869" s="1320"/>
      <c r="B8869" s="1949"/>
      <c r="C8869" s="1327"/>
      <c r="D8869" s="1367"/>
      <c r="E8869" s="2121"/>
      <c r="F8869" s="1389" t="s">
        <v>1</v>
      </c>
      <c r="G8869" s="1389"/>
      <c r="H8869" s="1369"/>
      <c r="I8869" s="2088"/>
      <c r="J8869" s="1369"/>
      <c r="K8869" s="1391"/>
      <c r="L8869" s="1559"/>
      <c r="M8869" s="1369"/>
      <c r="N8869" s="1369"/>
      <c r="O8869" s="1369"/>
      <c r="P8869" s="1392"/>
      <c r="Q8869" s="3395"/>
      <c r="R8869" s="2344"/>
    </row>
    <row r="8870" spans="1:18" s="22" customFormat="1">
      <c r="A8870" s="1320"/>
      <c r="B8870" s="1599"/>
      <c r="C8870" s="1320"/>
      <c r="D8870" s="1598" t="s">
        <v>2589</v>
      </c>
      <c r="E8870" s="2154" t="s">
        <v>1504</v>
      </c>
      <c r="F8870" s="1598" t="s">
        <v>2590</v>
      </c>
      <c r="G8870" s="1995">
        <v>1</v>
      </c>
      <c r="H8870" s="1369"/>
      <c r="I8870" s="1299"/>
      <c r="J8870" s="1300"/>
      <c r="K8870" s="1307">
        <f>G8870*K8868</f>
        <v>8.3000000000000004E-2</v>
      </c>
      <c r="L8870" s="1335">
        <f t="shared" ref="L8870:L8872" si="1198">K8870*$K$8584</f>
        <v>0</v>
      </c>
      <c r="M8870" s="1302">
        <v>50.2</v>
      </c>
      <c r="N8870" s="1700"/>
      <c r="O8870" s="1290">
        <f>G8870*M8870</f>
        <v>50.2</v>
      </c>
      <c r="P8870" s="1332">
        <f>M8870*K8870</f>
        <v>4.1666000000000007</v>
      </c>
      <c r="Q8870" s="3402"/>
      <c r="R8870" s="2356"/>
    </row>
    <row r="8871" spans="1:18" s="22" customFormat="1">
      <c r="A8871" s="16"/>
      <c r="B8871" s="1599"/>
      <c r="C8871" s="1320"/>
      <c r="D8871" s="1598" t="s">
        <v>1082</v>
      </c>
      <c r="E8871" s="1856" t="s">
        <v>1504</v>
      </c>
      <c r="F8871" s="1598" t="s">
        <v>1541</v>
      </c>
      <c r="G8871" s="1651">
        <v>1</v>
      </c>
      <c r="H8871" s="1399"/>
      <c r="I8871" s="198"/>
      <c r="J8871" s="198"/>
      <c r="K8871" s="1350">
        <f>G8871*K8868</f>
        <v>8.3000000000000004E-2</v>
      </c>
      <c r="L8871" s="1335">
        <f t="shared" si="1198"/>
        <v>0</v>
      </c>
      <c r="M8871" s="1499">
        <v>0.3</v>
      </c>
      <c r="N8871" s="1701"/>
      <c r="O8871" s="1291">
        <f>G8871*M8871</f>
        <v>0.3</v>
      </c>
      <c r="P8871" s="1332">
        <f>M8871*K8871</f>
        <v>2.4900000000000002E-2</v>
      </c>
      <c r="Q8871" s="3391"/>
      <c r="R8871" s="3363"/>
    </row>
    <row r="8872" spans="1:18" s="22" customFormat="1">
      <c r="A8872" s="16"/>
      <c r="B8872" s="1599"/>
      <c r="C8872" s="1320"/>
      <c r="D8872" s="1598" t="s">
        <v>1097</v>
      </c>
      <c r="E8872" s="1856" t="s">
        <v>1504</v>
      </c>
      <c r="F8872" s="1598" t="s">
        <v>1632</v>
      </c>
      <c r="G8872" s="1651">
        <v>0.5</v>
      </c>
      <c r="H8872" s="1399"/>
      <c r="I8872" s="198"/>
      <c r="J8872" s="198"/>
      <c r="K8872" s="1350">
        <f>G8872*K8868</f>
        <v>4.1500000000000002E-2</v>
      </c>
      <c r="L8872" s="1335">
        <f t="shared" si="1198"/>
        <v>0</v>
      </c>
      <c r="M8872" s="1499">
        <v>0.55000000000000004</v>
      </c>
      <c r="N8872" s="1701"/>
      <c r="O8872" s="1291">
        <f>G8872*M8872</f>
        <v>0.27500000000000002</v>
      </c>
      <c r="P8872" s="1332">
        <f>M8872*K8872</f>
        <v>2.2825000000000002E-2</v>
      </c>
      <c r="Q8872" s="3391"/>
      <c r="R8872" s="3363"/>
    </row>
    <row r="8873" spans="1:18" s="22" customFormat="1">
      <c r="A8873" s="16"/>
      <c r="B8873" s="1599"/>
      <c r="C8873" s="1320"/>
      <c r="D8873" s="1598"/>
      <c r="E8873" s="1856"/>
      <c r="F8873" s="1598"/>
      <c r="G8873" s="1399"/>
      <c r="H8873" s="1399"/>
      <c r="I8873" s="198"/>
      <c r="J8873" s="198"/>
      <c r="K8873" s="1307"/>
      <c r="L8873" s="1335"/>
      <c r="M8873" s="1499"/>
      <c r="N8873" s="1701"/>
      <c r="O8873" s="1291"/>
      <c r="P8873" s="1332"/>
      <c r="Q8873" s="3391"/>
      <c r="R8873" s="3363"/>
    </row>
    <row r="8874" spans="1:18" s="22" customFormat="1" ht="26">
      <c r="A8874" s="2187"/>
      <c r="B8874" s="1599"/>
      <c r="C8874" s="1042"/>
      <c r="D8874" s="1359"/>
      <c r="E8874" s="1858"/>
      <c r="F8874" s="1360" t="s">
        <v>2</v>
      </c>
      <c r="G8874" s="1360"/>
      <c r="H8874" s="1362"/>
      <c r="I8874" s="1380"/>
      <c r="J8874" s="1381"/>
      <c r="K8874" s="1381"/>
      <c r="L8874" s="1458"/>
      <c r="M8874" s="1362"/>
      <c r="N8874" s="1362"/>
      <c r="O8874" s="1362"/>
      <c r="P8874" s="1359"/>
      <c r="Q8874" s="3403"/>
      <c r="R8874" s="2357"/>
    </row>
    <row r="8875" spans="1:18" s="22" customFormat="1" ht="26">
      <c r="A8875" s="2187"/>
      <c r="B8875" s="2053"/>
      <c r="C8875" s="1321"/>
      <c r="D8875" s="2192" t="s">
        <v>2525</v>
      </c>
      <c r="E8875" s="2267" t="s">
        <v>1508</v>
      </c>
      <c r="F8875" s="2192" t="s">
        <v>2526</v>
      </c>
      <c r="G8875" s="2194">
        <v>0.5</v>
      </c>
      <c r="H8875" s="1386"/>
      <c r="I8875" s="1299"/>
      <c r="J8875" s="1300"/>
      <c r="K8875" s="1307">
        <f>G8875*K8868</f>
        <v>4.1500000000000002E-2</v>
      </c>
      <c r="L8875" s="1335">
        <f t="shared" ref="L8875" si="1199">K8875*$K$8584</f>
        <v>0</v>
      </c>
      <c r="M8875" s="1302">
        <v>19.23</v>
      </c>
      <c r="N8875" s="1700"/>
      <c r="O8875" s="1290">
        <f>G8875*M8875</f>
        <v>9.6150000000000002</v>
      </c>
      <c r="P8875" s="1332">
        <f>M8875*K8875</f>
        <v>0.798045</v>
      </c>
      <c r="Q8875" s="3402"/>
      <c r="R8875" s="2357"/>
    </row>
    <row r="8876" spans="1:18" s="22" customFormat="1">
      <c r="A8876" s="19"/>
      <c r="B8876" s="1042"/>
      <c r="C8876" s="19"/>
      <c r="D8876" s="1430"/>
      <c r="E8876" s="1857"/>
      <c r="F8876" s="1430"/>
      <c r="G8876" s="1381"/>
      <c r="H8876" s="1395"/>
      <c r="I8876" s="1346"/>
      <c r="J8876" s="198"/>
      <c r="K8876" s="1307"/>
      <c r="L8876" s="1335"/>
      <c r="M8876" s="1302"/>
      <c r="N8876" s="1700"/>
      <c r="O8876" s="1290"/>
      <c r="P8876" s="1332"/>
      <c r="Q8876" s="3391"/>
      <c r="R8876" s="2338"/>
    </row>
    <row r="8877" spans="1:18" s="22" customFormat="1">
      <c r="B8877" s="1320"/>
      <c r="C8877" s="16"/>
      <c r="D8877" s="1359"/>
      <c r="E8877" s="1858"/>
      <c r="F8877" s="1474"/>
      <c r="G8877" s="1474"/>
      <c r="H8877" s="1466"/>
      <c r="I8877" s="1289"/>
      <c r="J8877" s="8"/>
      <c r="K8877" s="1307"/>
      <c r="L8877" s="1335"/>
      <c r="M8877" s="1302"/>
      <c r="N8877" s="1700"/>
      <c r="O8877" s="1290"/>
      <c r="P8877" s="1332"/>
      <c r="Q8877" s="3391"/>
      <c r="R8877" s="2344"/>
    </row>
    <row r="8878" spans="1:18" s="22" customFormat="1">
      <c r="A8878" s="1320"/>
      <c r="B8878" s="1599"/>
      <c r="C8878" s="1320"/>
      <c r="D8878" s="1373"/>
      <c r="E8878" s="2123"/>
      <c r="F8878" s="1374" t="s">
        <v>3</v>
      </c>
      <c r="G8878" s="1375"/>
      <c r="H8878" s="1376"/>
      <c r="I8878" s="1382"/>
      <c r="J8878" s="1383"/>
      <c r="K8878" s="1383"/>
      <c r="L8878" s="1413"/>
      <c r="M8878" s="1376"/>
      <c r="N8878" s="1376"/>
      <c r="O8878" s="1376"/>
      <c r="P8878" s="1373"/>
      <c r="Q8878" s="3403"/>
      <c r="R8878" s="2356"/>
    </row>
    <row r="8879" spans="1:18" s="22" customFormat="1">
      <c r="A8879" s="1321"/>
      <c r="B8879" s="2053"/>
      <c r="C8879" s="1321"/>
      <c r="D8879" s="2274"/>
      <c r="E8879" s="2275"/>
      <c r="F8879" s="1827"/>
      <c r="G8879" s="1828"/>
      <c r="H8879" s="1379"/>
      <c r="I8879" s="1299"/>
      <c r="J8879" s="1300"/>
      <c r="K8879" s="1307"/>
      <c r="L8879" s="1335"/>
      <c r="M8879" s="1302"/>
      <c r="N8879" s="1700"/>
      <c r="O8879" s="1290"/>
      <c r="P8879" s="1332"/>
      <c r="Q8879" s="3402"/>
      <c r="R8879" s="2053"/>
    </row>
    <row r="8880" spans="1:18" s="22" customFormat="1">
      <c r="A8880" s="1321"/>
      <c r="B8880" s="2053"/>
      <c r="C8880" s="1321"/>
      <c r="D8880" s="2276"/>
      <c r="E8880" s="2277"/>
      <c r="F8880" s="2221"/>
      <c r="G8880" s="2222"/>
      <c r="H8880" s="1379"/>
      <c r="I8880" s="1299"/>
      <c r="J8880" s="1300"/>
      <c r="K8880" s="1307"/>
      <c r="L8880" s="1335"/>
      <c r="M8880" s="1302"/>
      <c r="N8880" s="1700"/>
      <c r="O8880" s="1290"/>
      <c r="P8880" s="1333"/>
      <c r="Q8880" s="3402"/>
      <c r="R8880" s="2053"/>
    </row>
    <row r="8881" spans="1:18" s="22" customFormat="1">
      <c r="A8881" s="1321"/>
      <c r="B8881" s="2053"/>
      <c r="C8881" s="1321"/>
      <c r="D8881" s="1377"/>
      <c r="E8881" s="2124"/>
      <c r="F8881" s="1378"/>
      <c r="G8881" s="1378"/>
      <c r="H8881" s="1379"/>
      <c r="I8881" s="1299"/>
      <c r="J8881" s="1300"/>
      <c r="K8881" s="1307"/>
      <c r="L8881" s="1335"/>
      <c r="M8881" s="1302"/>
      <c r="N8881" s="1700"/>
      <c r="O8881" s="1290"/>
      <c r="P8881" s="1333"/>
      <c r="Q8881" s="3402"/>
      <c r="R8881" s="2053"/>
    </row>
    <row r="8882" spans="1:18" s="22" customFormat="1">
      <c r="A8882" s="18" t="s">
        <v>3764</v>
      </c>
      <c r="B8882" s="4325" t="s">
        <v>2591</v>
      </c>
      <c r="C8882" s="3350"/>
      <c r="D8882" s="4327"/>
      <c r="E8882" s="4329" t="s">
        <v>1504</v>
      </c>
      <c r="F8882" s="4336" t="s">
        <v>2592</v>
      </c>
      <c r="G8882" s="4331" t="s">
        <v>1568</v>
      </c>
      <c r="H8882" s="4331" t="s">
        <v>1574</v>
      </c>
      <c r="I8882" s="1572" t="s">
        <v>1559</v>
      </c>
      <c r="J8882" s="1294" t="s">
        <v>1560</v>
      </c>
      <c r="K8882" s="1294" t="s">
        <v>1569</v>
      </c>
      <c r="L8882" s="4333" t="s">
        <v>3765</v>
      </c>
      <c r="M8882" s="4335" t="s">
        <v>1571</v>
      </c>
      <c r="N8882" s="4323" t="s">
        <v>1776</v>
      </c>
      <c r="O8882" s="3347" t="s">
        <v>1563</v>
      </c>
      <c r="P8882" s="1336" t="s">
        <v>1562</v>
      </c>
      <c r="Q8882" s="3389"/>
      <c r="R8882" s="1699" t="s">
        <v>1327</v>
      </c>
    </row>
    <row r="8883" spans="1:18" s="22" customFormat="1">
      <c r="A8883" s="1599" t="s">
        <v>2512</v>
      </c>
      <c r="B8883" s="4326"/>
      <c r="C8883" s="3351"/>
      <c r="D8883" s="4328"/>
      <c r="E8883" s="4330"/>
      <c r="F8883" s="4336"/>
      <c r="G8883" s="4332"/>
      <c r="H8883" s="4332"/>
      <c r="I8883" s="1345">
        <v>1</v>
      </c>
      <c r="J8883" s="1307">
        <v>8.3000000000000004E-2</v>
      </c>
      <c r="K8883" s="1297">
        <f>I8883*J8883</f>
        <v>8.3000000000000004E-2</v>
      </c>
      <c r="L8883" s="4334"/>
      <c r="M8883" s="4335"/>
      <c r="N8883" s="4324"/>
      <c r="O8883" s="1298">
        <f>SUM(O8885:O8891)</f>
        <v>158.05000000000004</v>
      </c>
      <c r="P8883" s="1337">
        <f>O8883*K8883</f>
        <v>13.118150000000004</v>
      </c>
      <c r="Q8883" s="3390"/>
      <c r="R8883" s="1721">
        <f>SUM(P8885:P8891)</f>
        <v>13.093250000000001</v>
      </c>
    </row>
    <row r="8884" spans="1:18" s="22" customFormat="1">
      <c r="A8884" s="1320"/>
      <c r="B8884" s="1949"/>
      <c r="C8884" s="1327"/>
      <c r="D8884" s="1367"/>
      <c r="E8884" s="2121"/>
      <c r="F8884" s="1389" t="s">
        <v>1</v>
      </c>
      <c r="G8884" s="1389"/>
      <c r="H8884" s="1369"/>
      <c r="I8884" s="2088"/>
      <c r="J8884" s="1369"/>
      <c r="K8884" s="1391"/>
      <c r="L8884" s="1559"/>
      <c r="M8884" s="1369"/>
      <c r="N8884" s="1369"/>
      <c r="O8884" s="1369"/>
      <c r="P8884" s="1392"/>
      <c r="Q8884" s="3395"/>
      <c r="R8884" s="2344"/>
    </row>
    <row r="8885" spans="1:18" s="22" customFormat="1">
      <c r="A8885" s="1320"/>
      <c r="B8885" s="1599"/>
      <c r="C8885" s="1320"/>
      <c r="D8885" s="1598" t="s">
        <v>2593</v>
      </c>
      <c r="E8885" s="2154" t="s">
        <v>1504</v>
      </c>
      <c r="F8885" s="1598" t="s">
        <v>2594</v>
      </c>
      <c r="G8885" s="1995">
        <v>1</v>
      </c>
      <c r="H8885" s="1369"/>
      <c r="I8885" s="1299"/>
      <c r="J8885" s="1300"/>
      <c r="K8885" s="1307">
        <f>G8885*K8883</f>
        <v>8.3000000000000004E-2</v>
      </c>
      <c r="L8885" s="1335">
        <f t="shared" ref="L8885:L8887" si="1200">K8885*$K$8584</f>
        <v>0</v>
      </c>
      <c r="M8885" s="1302">
        <v>147.86000000000001</v>
      </c>
      <c r="N8885" s="1700"/>
      <c r="O8885" s="1290">
        <f>G8885*M8885</f>
        <v>147.86000000000001</v>
      </c>
      <c r="P8885" s="1332">
        <f>M8885*K8885</f>
        <v>12.272380000000002</v>
      </c>
      <c r="Q8885" s="3402"/>
      <c r="R8885" s="2356"/>
    </row>
    <row r="8886" spans="1:18" s="22" customFormat="1">
      <c r="A8886" s="16"/>
      <c r="B8886" s="1599"/>
      <c r="C8886" s="1320"/>
      <c r="D8886" s="1598" t="s">
        <v>1097</v>
      </c>
      <c r="E8886" s="1856" t="s">
        <v>1504</v>
      </c>
      <c r="F8886" s="1598" t="s">
        <v>1632</v>
      </c>
      <c r="G8886" s="1651">
        <v>0.5</v>
      </c>
      <c r="H8886" s="1399"/>
      <c r="I8886" s="198"/>
      <c r="J8886" s="198"/>
      <c r="K8886" s="1350">
        <f>G8886*K8883</f>
        <v>4.1500000000000002E-2</v>
      </c>
      <c r="L8886" s="1335">
        <f t="shared" si="1200"/>
        <v>0</v>
      </c>
      <c r="M8886" s="1499">
        <v>0.55000000000000004</v>
      </c>
      <c r="N8886" s="1701"/>
      <c r="O8886" s="1291">
        <f>G8886*M8886</f>
        <v>0.27500000000000002</v>
      </c>
      <c r="P8886" s="1332">
        <f>M8886*K8886</f>
        <v>2.2825000000000002E-2</v>
      </c>
      <c r="Q8886" s="3391"/>
      <c r="R8886" s="3363"/>
    </row>
    <row r="8887" spans="1:18" s="22" customFormat="1">
      <c r="A8887" s="16"/>
      <c r="B8887" s="1599"/>
      <c r="C8887" s="1320"/>
      <c r="D8887" s="1598" t="s">
        <v>1082</v>
      </c>
      <c r="E8887" s="1856" t="s">
        <v>1504</v>
      </c>
      <c r="F8887" s="1598" t="s">
        <v>1541</v>
      </c>
      <c r="G8887" s="1651">
        <v>1</v>
      </c>
      <c r="H8887" s="1399"/>
      <c r="I8887" s="198"/>
      <c r="J8887" s="198"/>
      <c r="K8887" s="1350">
        <f>G8887*K8884</f>
        <v>0</v>
      </c>
      <c r="L8887" s="1335">
        <f t="shared" si="1200"/>
        <v>0</v>
      </c>
      <c r="M8887" s="1499">
        <v>0.3</v>
      </c>
      <c r="N8887" s="1701"/>
      <c r="O8887" s="1291">
        <f>G8887*M8887</f>
        <v>0.3</v>
      </c>
      <c r="P8887" s="1332">
        <f>M8887*K8887</f>
        <v>0</v>
      </c>
      <c r="Q8887" s="3391"/>
      <c r="R8887" s="3363"/>
    </row>
    <row r="8888" spans="1:18" s="22" customFormat="1">
      <c r="A8888" s="16"/>
      <c r="B8888" s="1599"/>
      <c r="C8888" s="1320"/>
      <c r="D8888" s="1598"/>
      <c r="E8888" s="1856"/>
      <c r="F8888" s="1598"/>
      <c r="G8888" s="1399"/>
      <c r="H8888" s="1399"/>
      <c r="I8888" s="198"/>
      <c r="J8888" s="198"/>
      <c r="K8888" s="1307"/>
      <c r="L8888" s="1335"/>
      <c r="M8888" s="1499"/>
      <c r="N8888" s="1701"/>
      <c r="O8888" s="1291"/>
      <c r="P8888" s="1332"/>
      <c r="Q8888" s="3391"/>
      <c r="R8888" s="3363"/>
    </row>
    <row r="8889" spans="1:18" s="22" customFormat="1" ht="26">
      <c r="A8889" s="2187"/>
      <c r="B8889" s="1599"/>
      <c r="C8889" s="1042"/>
      <c r="D8889" s="1359"/>
      <c r="E8889" s="1858"/>
      <c r="F8889" s="1360" t="s">
        <v>2</v>
      </c>
      <c r="G8889" s="1360"/>
      <c r="H8889" s="1362"/>
      <c r="I8889" s="1380"/>
      <c r="J8889" s="1381"/>
      <c r="K8889" s="1381"/>
      <c r="L8889" s="1458"/>
      <c r="M8889" s="1362"/>
      <c r="N8889" s="1362"/>
      <c r="O8889" s="1362"/>
      <c r="P8889" s="1359"/>
      <c r="Q8889" s="3403"/>
      <c r="R8889" s="2357"/>
    </row>
    <row r="8890" spans="1:18" s="22" customFormat="1" ht="26">
      <c r="A8890" s="2187"/>
      <c r="B8890" s="2053"/>
      <c r="C8890" s="1321"/>
      <c r="D8890" s="1655" t="s">
        <v>1099</v>
      </c>
      <c r="E8890" s="1859" t="s">
        <v>1508</v>
      </c>
      <c r="F8890" s="1655" t="s">
        <v>1633</v>
      </c>
      <c r="G8890" s="1994">
        <v>0.5</v>
      </c>
      <c r="H8890" s="1386"/>
      <c r="I8890" s="1299"/>
      <c r="J8890" s="1300"/>
      <c r="K8890" s="1307">
        <f>G8890*K8883</f>
        <v>4.1500000000000002E-2</v>
      </c>
      <c r="L8890" s="1335">
        <f t="shared" ref="L8890" si="1201">K8890*$K$8584</f>
        <v>0</v>
      </c>
      <c r="M8890" s="1302">
        <v>19.23</v>
      </c>
      <c r="N8890" s="1700"/>
      <c r="O8890" s="1290">
        <f>G8890*M8890</f>
        <v>9.6150000000000002</v>
      </c>
      <c r="P8890" s="1332">
        <f>M8890*K8890</f>
        <v>0.798045</v>
      </c>
      <c r="Q8890" s="3402"/>
      <c r="R8890" s="2357"/>
    </row>
    <row r="8891" spans="1:18" s="22" customFormat="1">
      <c r="A8891" s="19"/>
      <c r="B8891" s="1042"/>
      <c r="C8891" s="19"/>
      <c r="D8891" s="1430"/>
      <c r="E8891" s="1857"/>
      <c r="F8891" s="1430"/>
      <c r="G8891" s="1381"/>
      <c r="H8891" s="1395"/>
      <c r="I8891" s="1346"/>
      <c r="J8891" s="198"/>
      <c r="K8891" s="1307"/>
      <c r="L8891" s="1335"/>
      <c r="M8891" s="1302"/>
      <c r="N8891" s="1700"/>
      <c r="O8891" s="1290"/>
      <c r="P8891" s="1332"/>
      <c r="Q8891" s="3391"/>
      <c r="R8891" s="2338"/>
    </row>
    <row r="8892" spans="1:18" s="22" customFormat="1">
      <c r="A8892"/>
      <c r="B8892" s="1042"/>
      <c r="C8892" s="19"/>
      <c r="D8892" s="1430"/>
      <c r="E8892" s="1857"/>
      <c r="F8892" s="1766"/>
      <c r="G8892" s="2183"/>
      <c r="H8892" s="1395"/>
      <c r="I8892" s="197"/>
      <c r="J8892" s="198"/>
      <c r="K8892" s="1307"/>
      <c r="L8892" s="1335"/>
      <c r="M8892" s="1302"/>
      <c r="N8892" s="1718"/>
      <c r="O8892" s="1290"/>
      <c r="P8892" s="1720"/>
      <c r="Q8892" s="3396"/>
      <c r="R8892" s="2337"/>
    </row>
    <row r="8893" spans="1:18" s="22" customFormat="1">
      <c r="A8893" s="1320"/>
      <c r="B8893" s="1599"/>
      <c r="C8893" s="1320"/>
      <c r="D8893" s="1373"/>
      <c r="E8893" s="2123"/>
      <c r="F8893" s="1374" t="s">
        <v>3</v>
      </c>
      <c r="G8893" s="1375"/>
      <c r="H8893" s="1376"/>
      <c r="I8893" s="1382"/>
      <c r="J8893" s="1383"/>
      <c r="K8893" s="1383"/>
      <c r="L8893" s="1413"/>
      <c r="M8893" s="1376"/>
      <c r="N8893" s="1376"/>
      <c r="O8893" s="1376"/>
      <c r="P8893" s="1373"/>
      <c r="Q8893" s="3403"/>
      <c r="R8893" s="2356"/>
    </row>
    <row r="8894" spans="1:18" s="22" customFormat="1">
      <c r="A8894" s="1321"/>
      <c r="B8894" s="2053"/>
      <c r="C8894" s="1321"/>
      <c r="D8894" s="1827"/>
      <c r="E8894" s="2173"/>
      <c r="F8894" s="1827"/>
      <c r="G8894" s="1828"/>
      <c r="H8894" s="1379"/>
      <c r="I8894" s="1299"/>
      <c r="J8894" s="1300"/>
      <c r="K8894" s="1307"/>
      <c r="L8894" s="1335"/>
      <c r="M8894" s="1302"/>
      <c r="N8894" s="1700"/>
      <c r="O8894" s="1290"/>
      <c r="P8894" s="1332"/>
      <c r="Q8894" s="3402"/>
      <c r="R8894" s="2053"/>
    </row>
    <row r="8895" spans="1:18" s="22" customFormat="1">
      <c r="A8895" s="1321"/>
      <c r="B8895" s="2053"/>
      <c r="C8895" s="1321"/>
      <c r="D8895" s="1827"/>
      <c r="E8895" s="2173"/>
      <c r="F8895" s="1827"/>
      <c r="G8895" s="1828"/>
      <c r="H8895" s="1379"/>
      <c r="I8895" s="1299"/>
      <c r="J8895" s="1300"/>
      <c r="K8895" s="1307"/>
      <c r="L8895" s="1335"/>
      <c r="M8895" s="1302"/>
      <c r="N8895" s="1700"/>
      <c r="O8895" s="1290"/>
      <c r="P8895" s="1332"/>
      <c r="Q8895" s="3402"/>
      <c r="R8895" s="2053"/>
    </row>
    <row r="8896" spans="1:18" s="22" customFormat="1">
      <c r="A8896" s="1321"/>
      <c r="B8896" s="2053"/>
      <c r="C8896" s="1321"/>
      <c r="D8896" s="1377"/>
      <c r="E8896" s="2124"/>
      <c r="F8896" s="1378"/>
      <c r="G8896" s="1378"/>
      <c r="H8896" s="1379"/>
      <c r="I8896" s="1299"/>
      <c r="J8896" s="1300"/>
      <c r="K8896" s="1307"/>
      <c r="L8896" s="1335"/>
      <c r="M8896" s="1302"/>
      <c r="N8896" s="1700"/>
      <c r="O8896" s="1290"/>
      <c r="P8896" s="1333"/>
      <c r="Q8896" s="3402"/>
      <c r="R8896" s="2053"/>
    </row>
    <row r="8897" spans="1:18" s="22" customFormat="1">
      <c r="A8897" s="18" t="s">
        <v>3764</v>
      </c>
      <c r="B8897" s="4325" t="s">
        <v>2595</v>
      </c>
      <c r="C8897" s="3350"/>
      <c r="D8897" s="4327"/>
      <c r="E8897" s="4329" t="s">
        <v>1504</v>
      </c>
      <c r="F8897" s="4336" t="s">
        <v>2596</v>
      </c>
      <c r="G8897" s="4331" t="s">
        <v>1568</v>
      </c>
      <c r="H8897" s="4331" t="s">
        <v>1574</v>
      </c>
      <c r="I8897" s="1572" t="s">
        <v>1559</v>
      </c>
      <c r="J8897" s="1294" t="s">
        <v>1560</v>
      </c>
      <c r="K8897" s="1294" t="s">
        <v>1569</v>
      </c>
      <c r="L8897" s="4333" t="s">
        <v>3765</v>
      </c>
      <c r="M8897" s="4335" t="s">
        <v>1571</v>
      </c>
      <c r="N8897" s="4323" t="s">
        <v>1776</v>
      </c>
      <c r="O8897" s="3347" t="s">
        <v>1563</v>
      </c>
      <c r="P8897" s="1336" t="s">
        <v>1562</v>
      </c>
      <c r="Q8897" s="3389"/>
      <c r="R8897" s="1699" t="s">
        <v>1327</v>
      </c>
    </row>
    <row r="8898" spans="1:18" s="22" customFormat="1">
      <c r="A8898" s="1599" t="s">
        <v>2512</v>
      </c>
      <c r="B8898" s="4326"/>
      <c r="C8898" s="3351"/>
      <c r="D8898" s="4328"/>
      <c r="E8898" s="4330"/>
      <c r="F8898" s="4336"/>
      <c r="G8898" s="4332"/>
      <c r="H8898" s="4332"/>
      <c r="I8898" s="1345">
        <v>3</v>
      </c>
      <c r="J8898" s="1307">
        <v>8.3000000000000004E-2</v>
      </c>
      <c r="K8898" s="1297">
        <f>I8898*J8898</f>
        <v>0.249</v>
      </c>
      <c r="L8898" s="4334"/>
      <c r="M8898" s="4335"/>
      <c r="N8898" s="4324"/>
      <c r="O8898" s="1298">
        <f>SUM(O8900:O8906)</f>
        <v>42.244</v>
      </c>
      <c r="P8898" s="1337">
        <f>O8898*K8898</f>
        <v>10.518756</v>
      </c>
      <c r="Q8898" s="3390"/>
      <c r="R8898" s="1721">
        <f>SUM(P8900:P8906)</f>
        <v>10.518756</v>
      </c>
    </row>
    <row r="8899" spans="1:18" s="22" customFormat="1">
      <c r="A8899" s="1320"/>
      <c r="B8899" s="1949"/>
      <c r="C8899" s="1327"/>
      <c r="D8899" s="1367"/>
      <c r="E8899" s="2121"/>
      <c r="F8899" s="1389" t="s">
        <v>1</v>
      </c>
      <c r="G8899" s="1389"/>
      <c r="H8899" s="1369"/>
      <c r="I8899" s="2088"/>
      <c r="J8899" s="1369"/>
      <c r="K8899" s="1391"/>
      <c r="L8899" s="1559"/>
      <c r="M8899" s="1369"/>
      <c r="N8899" s="1369"/>
      <c r="O8899" s="1369"/>
      <c r="P8899" s="1392"/>
      <c r="Q8899" s="3395"/>
      <c r="R8899" s="2344"/>
    </row>
    <row r="8900" spans="1:18" s="22" customFormat="1">
      <c r="A8900" s="1320"/>
      <c r="B8900" s="1599"/>
      <c r="C8900" s="1320"/>
      <c r="D8900" s="1668" t="s">
        <v>2597</v>
      </c>
      <c r="E8900" s="2166" t="s">
        <v>1504</v>
      </c>
      <c r="F8900" s="1668" t="s">
        <v>2598</v>
      </c>
      <c r="G8900" s="1958">
        <v>1</v>
      </c>
      <c r="H8900" s="1369"/>
      <c r="I8900" s="1299"/>
      <c r="J8900" s="1300"/>
      <c r="K8900" s="1307">
        <f>G8900*K8898</f>
        <v>0.249</v>
      </c>
      <c r="L8900" s="1335">
        <f t="shared" ref="L8900:L8901" si="1202">K8900*$K$8584</f>
        <v>0</v>
      </c>
      <c r="M8900" s="1302">
        <v>36.200000000000003</v>
      </c>
      <c r="N8900" s="1700"/>
      <c r="O8900" s="1290">
        <f>G8900*M8900</f>
        <v>36.200000000000003</v>
      </c>
      <c r="P8900" s="1332">
        <f>M8900*K8900</f>
        <v>9.0137999999999998</v>
      </c>
      <c r="Q8900" s="3402"/>
      <c r="R8900" s="2356"/>
    </row>
    <row r="8901" spans="1:18" s="22" customFormat="1">
      <c r="A8901" s="16"/>
      <c r="B8901" s="1599"/>
      <c r="C8901" s="1320"/>
      <c r="D8901" s="1598" t="s">
        <v>1097</v>
      </c>
      <c r="E8901" s="1856" t="s">
        <v>1504</v>
      </c>
      <c r="F8901" s="1598" t="s">
        <v>1632</v>
      </c>
      <c r="G8901" s="1651">
        <v>0.5</v>
      </c>
      <c r="H8901" s="1399"/>
      <c r="I8901" s="198"/>
      <c r="J8901" s="198"/>
      <c r="K8901" s="1350">
        <f>G8901*K8898</f>
        <v>0.1245</v>
      </c>
      <c r="L8901" s="1335">
        <f t="shared" si="1202"/>
        <v>0</v>
      </c>
      <c r="M8901" s="1499">
        <v>0.55000000000000004</v>
      </c>
      <c r="N8901" s="1701"/>
      <c r="O8901" s="1291">
        <f>G8901*M8901</f>
        <v>0.27500000000000002</v>
      </c>
      <c r="P8901" s="1332">
        <f>M8901*K8901</f>
        <v>6.8475000000000008E-2</v>
      </c>
      <c r="Q8901" s="3391"/>
      <c r="R8901" s="3363"/>
    </row>
    <row r="8902" spans="1:18" s="22" customFormat="1">
      <c r="A8902" s="16"/>
      <c r="B8902" s="1599"/>
      <c r="C8902" s="1320"/>
      <c r="D8902" s="1598"/>
      <c r="E8902" s="1856"/>
      <c r="F8902" s="1598"/>
      <c r="G8902" s="1651"/>
      <c r="H8902" s="1399"/>
      <c r="I8902" s="198"/>
      <c r="J8902" s="198"/>
      <c r="K8902" s="1350"/>
      <c r="L8902" s="1335"/>
      <c r="M8902" s="1499"/>
      <c r="N8902" s="1701"/>
      <c r="O8902" s="1291"/>
      <c r="P8902" s="1332"/>
      <c r="Q8902" s="3391"/>
      <c r="R8902" s="3363"/>
    </row>
    <row r="8903" spans="1:18" s="22" customFormat="1">
      <c r="A8903" s="16"/>
      <c r="B8903" s="1599"/>
      <c r="C8903" s="1320"/>
      <c r="D8903" s="1598"/>
      <c r="E8903" s="1856"/>
      <c r="F8903" s="1598"/>
      <c r="G8903" s="1399"/>
      <c r="H8903" s="1399"/>
      <c r="I8903" s="198"/>
      <c r="J8903" s="198"/>
      <c r="K8903" s="1307"/>
      <c r="L8903" s="1335"/>
      <c r="M8903" s="1499"/>
      <c r="N8903" s="1701"/>
      <c r="O8903" s="1291"/>
      <c r="P8903" s="1332"/>
      <c r="Q8903" s="3391"/>
      <c r="R8903" s="3363"/>
    </row>
    <row r="8904" spans="1:18" s="22" customFormat="1" ht="26">
      <c r="A8904" s="2187"/>
      <c r="B8904" s="1599"/>
      <c r="C8904" s="1042"/>
      <c r="D8904" s="1359"/>
      <c r="E8904" s="1858"/>
      <c r="F8904" s="1360" t="s">
        <v>2</v>
      </c>
      <c r="G8904" s="1360"/>
      <c r="H8904" s="1362"/>
      <c r="I8904" s="1380"/>
      <c r="J8904" s="1381"/>
      <c r="K8904" s="1381"/>
      <c r="L8904" s="1458"/>
      <c r="M8904" s="1362"/>
      <c r="N8904" s="1362"/>
      <c r="O8904" s="1362"/>
      <c r="P8904" s="1359"/>
      <c r="Q8904" s="3403"/>
      <c r="R8904" s="2357"/>
    </row>
    <row r="8905" spans="1:18" s="22" customFormat="1" ht="26">
      <c r="A8905" s="2187"/>
      <c r="B8905" s="2053"/>
      <c r="C8905" s="1321"/>
      <c r="D8905" s="1655" t="s">
        <v>1099</v>
      </c>
      <c r="E8905" s="1859" t="s">
        <v>1508</v>
      </c>
      <c r="F8905" s="1655" t="s">
        <v>1633</v>
      </c>
      <c r="G8905" s="1994">
        <v>0.3</v>
      </c>
      <c r="H8905" s="1386"/>
      <c r="I8905" s="1299"/>
      <c r="J8905" s="1300"/>
      <c r="K8905" s="1307">
        <f>G8905*K8898</f>
        <v>7.4700000000000003E-2</v>
      </c>
      <c r="L8905" s="1335">
        <f t="shared" ref="L8905" si="1203">K8905*$K$8584</f>
        <v>0</v>
      </c>
      <c r="M8905" s="1302">
        <v>19.23</v>
      </c>
      <c r="N8905" s="1700"/>
      <c r="O8905" s="1290">
        <f>G8905*M8905</f>
        <v>5.7690000000000001</v>
      </c>
      <c r="P8905" s="1332">
        <f>M8905*K8905</f>
        <v>1.4364810000000001</v>
      </c>
      <c r="Q8905" s="3402"/>
      <c r="R8905" s="2357"/>
    </row>
    <row r="8906" spans="1:18" s="22" customFormat="1">
      <c r="A8906" s="19"/>
      <c r="B8906" s="1042"/>
      <c r="C8906" s="19"/>
      <c r="D8906" s="1430"/>
      <c r="E8906" s="1857"/>
      <c r="F8906" s="1430"/>
      <c r="G8906" s="1381"/>
      <c r="H8906" s="1395"/>
      <c r="I8906" s="1346"/>
      <c r="J8906" s="198"/>
      <c r="K8906" s="1307"/>
      <c r="L8906" s="1335"/>
      <c r="M8906" s="1302"/>
      <c r="N8906" s="1700"/>
      <c r="O8906" s="1290"/>
      <c r="P8906" s="1332"/>
      <c r="Q8906" s="3391"/>
      <c r="R8906" s="2338"/>
    </row>
    <row r="8907" spans="1:18" s="22" customFormat="1" ht="19.5" customHeight="1">
      <c r="A8907"/>
      <c r="B8907" s="1042"/>
      <c r="C8907" s="19"/>
      <c r="D8907" s="1430"/>
      <c r="E8907" s="1857"/>
      <c r="F8907" s="1766"/>
      <c r="G8907" s="2183"/>
      <c r="H8907" s="1395"/>
      <c r="I8907" s="197"/>
      <c r="J8907" s="198"/>
      <c r="K8907" s="1307"/>
      <c r="L8907" s="1335"/>
      <c r="M8907" s="1302"/>
      <c r="N8907" s="1718"/>
      <c r="O8907" s="1290"/>
      <c r="P8907" s="1720"/>
      <c r="Q8907" s="3396"/>
      <c r="R8907" s="2337"/>
    </row>
    <row r="8908" spans="1:18" s="22" customFormat="1" ht="17.25" customHeight="1">
      <c r="A8908" s="1320"/>
      <c r="B8908" s="1599"/>
      <c r="C8908" s="1320"/>
      <c r="D8908" s="1373"/>
      <c r="E8908" s="2123"/>
      <c r="F8908" s="1374" t="s">
        <v>3</v>
      </c>
      <c r="G8908" s="1375"/>
      <c r="H8908" s="1376"/>
      <c r="I8908" s="1382"/>
      <c r="J8908" s="1383"/>
      <c r="K8908" s="1383"/>
      <c r="L8908" s="1413"/>
      <c r="M8908" s="1376"/>
      <c r="N8908" s="1376"/>
      <c r="O8908" s="1376"/>
      <c r="P8908" s="1373"/>
      <c r="Q8908" s="3403"/>
      <c r="R8908" s="2356"/>
    </row>
    <row r="8909" spans="1:18" s="22" customFormat="1" ht="17.25" customHeight="1">
      <c r="A8909" s="1321"/>
      <c r="B8909" s="2053"/>
      <c r="C8909" s="1321"/>
      <c r="D8909" s="2274"/>
      <c r="E8909" s="2275"/>
      <c r="F8909" s="1827"/>
      <c r="G8909" s="1828"/>
      <c r="H8909" s="1379"/>
      <c r="I8909" s="1299"/>
      <c r="J8909" s="1300"/>
      <c r="K8909" s="1307"/>
      <c r="L8909" s="1335"/>
      <c r="M8909" s="1302"/>
      <c r="N8909" s="1700"/>
      <c r="O8909" s="1290"/>
      <c r="P8909" s="1332"/>
      <c r="Q8909" s="3402"/>
      <c r="R8909" s="2053"/>
    </row>
    <row r="8910" spans="1:18" s="22" customFormat="1" ht="18.75" customHeight="1">
      <c r="A8910" s="1321"/>
      <c r="B8910" s="2053"/>
      <c r="C8910" s="1321"/>
      <c r="D8910" s="2276"/>
      <c r="E8910" s="2277"/>
      <c r="F8910" s="2221"/>
      <c r="G8910" s="2222"/>
      <c r="H8910" s="1379"/>
      <c r="I8910" s="1299"/>
      <c r="J8910" s="1300"/>
      <c r="K8910" s="1307"/>
      <c r="L8910" s="1335"/>
      <c r="M8910" s="1302"/>
      <c r="N8910" s="1700"/>
      <c r="O8910" s="1290"/>
      <c r="P8910" s="1333"/>
      <c r="Q8910" s="3402"/>
      <c r="R8910" s="2053"/>
    </row>
    <row r="8911" spans="1:18" s="22" customFormat="1">
      <c r="A8911" s="1321"/>
      <c r="B8911" s="2053"/>
      <c r="C8911" s="1321"/>
      <c r="D8911" s="1377"/>
      <c r="E8911" s="2124"/>
      <c r="F8911" s="1378"/>
      <c r="G8911" s="1378"/>
      <c r="H8911" s="1379"/>
      <c r="I8911" s="1299"/>
      <c r="J8911" s="1300"/>
      <c r="K8911" s="1307"/>
      <c r="L8911" s="1335"/>
      <c r="M8911" s="1302"/>
      <c r="N8911" s="1700"/>
      <c r="O8911" s="1290"/>
      <c r="P8911" s="1333"/>
      <c r="Q8911" s="3402"/>
      <c r="R8911" s="2053"/>
    </row>
    <row r="8912" spans="1:18" s="22" customFormat="1">
      <c r="A8912" s="18" t="s">
        <v>3764</v>
      </c>
      <c r="B8912" s="4325" t="s">
        <v>2599</v>
      </c>
      <c r="C8912" s="3350"/>
      <c r="D8912" s="4327"/>
      <c r="E8912" s="4329" t="s">
        <v>1504</v>
      </c>
      <c r="F8912" s="4336" t="s">
        <v>2600</v>
      </c>
      <c r="G8912" s="4331" t="s">
        <v>1568</v>
      </c>
      <c r="H8912" s="4331" t="s">
        <v>1574</v>
      </c>
      <c r="I8912" s="1572" t="s">
        <v>1559</v>
      </c>
      <c r="J8912" s="1294" t="s">
        <v>1560</v>
      </c>
      <c r="K8912" s="1294" t="s">
        <v>1569</v>
      </c>
      <c r="L8912" s="4333" t="s">
        <v>3765</v>
      </c>
      <c r="M8912" s="4335" t="s">
        <v>1571</v>
      </c>
      <c r="N8912" s="4323" t="s">
        <v>1776</v>
      </c>
      <c r="O8912" s="3347" t="s">
        <v>1563</v>
      </c>
      <c r="P8912" s="1336" t="s">
        <v>1562</v>
      </c>
      <c r="Q8912" s="3389"/>
      <c r="R8912" s="1699" t="s">
        <v>1327</v>
      </c>
    </row>
    <row r="8913" spans="1:18" s="22" customFormat="1">
      <c r="A8913" s="1599" t="s">
        <v>2512</v>
      </c>
      <c r="B8913" s="4326"/>
      <c r="C8913" s="3351"/>
      <c r="D8913" s="4328"/>
      <c r="E8913" s="4330"/>
      <c r="F8913" s="4336"/>
      <c r="G8913" s="4332"/>
      <c r="H8913" s="4332"/>
      <c r="I8913" s="1345">
        <v>12</v>
      </c>
      <c r="J8913" s="1307">
        <v>8.3000000000000004E-2</v>
      </c>
      <c r="K8913" s="1297">
        <f>I8913*J8913</f>
        <v>0.996</v>
      </c>
      <c r="L8913" s="4334"/>
      <c r="M8913" s="4335"/>
      <c r="N8913" s="4324"/>
      <c r="O8913" s="1298">
        <f>SUM(O8915:O8922)</f>
        <v>217.08250000000001</v>
      </c>
      <c r="P8913" s="1337">
        <f>O8913*K8913</f>
        <v>216.21417</v>
      </c>
      <c r="Q8913" s="3390"/>
      <c r="R8913" s="1721">
        <f>SUM(P8915:P8922)</f>
        <v>216.21417</v>
      </c>
    </row>
    <row r="8914" spans="1:18" s="22" customFormat="1">
      <c r="A8914" s="1320"/>
      <c r="B8914" s="1949"/>
      <c r="C8914" s="1327"/>
      <c r="D8914" s="1367"/>
      <c r="E8914" s="2121"/>
      <c r="F8914" s="1389" t="s">
        <v>1</v>
      </c>
      <c r="G8914" s="1389"/>
      <c r="H8914" s="1369"/>
      <c r="I8914" s="2088"/>
      <c r="J8914" s="1369"/>
      <c r="K8914" s="1391"/>
      <c r="L8914" s="1559"/>
      <c r="M8914" s="1369"/>
      <c r="N8914" s="1369"/>
      <c r="O8914" s="1369"/>
      <c r="P8914" s="1392"/>
      <c r="Q8914" s="3395"/>
      <c r="R8914" s="2344"/>
    </row>
    <row r="8915" spans="1:18" s="22" customFormat="1">
      <c r="A8915" s="1320"/>
      <c r="B8915" s="1599"/>
      <c r="C8915" s="1320"/>
      <c r="D8915" s="1598" t="s">
        <v>2601</v>
      </c>
      <c r="E8915" s="2154" t="s">
        <v>1504</v>
      </c>
      <c r="F8915" s="1598" t="s">
        <v>2602</v>
      </c>
      <c r="G8915" s="1612">
        <v>1</v>
      </c>
      <c r="H8915" s="1369"/>
      <c r="I8915" s="1299"/>
      <c r="J8915" s="1300"/>
      <c r="K8915" s="1307">
        <f>G8915*K8913</f>
        <v>0.996</v>
      </c>
      <c r="L8915" s="1335">
        <f t="shared" ref="L8915:L8917" si="1204">K8915*$K$8584</f>
        <v>0</v>
      </c>
      <c r="M8915" s="1302">
        <v>54</v>
      </c>
      <c r="N8915" s="1700"/>
      <c r="O8915" s="1290">
        <f>G8915*M8915</f>
        <v>54</v>
      </c>
      <c r="P8915" s="1332">
        <f>M8915*K8915</f>
        <v>53.783999999999999</v>
      </c>
      <c r="Q8915" s="3402"/>
      <c r="R8915" s="2356"/>
    </row>
    <row r="8916" spans="1:18" s="22" customFormat="1">
      <c r="A8916" s="16"/>
      <c r="B8916" s="1599"/>
      <c r="C8916" s="1320"/>
      <c r="D8916" s="1598" t="s">
        <v>2603</v>
      </c>
      <c r="E8916" s="2302" t="s">
        <v>1504</v>
      </c>
      <c r="F8916" s="1598" t="s">
        <v>2604</v>
      </c>
      <c r="G8916" s="2196">
        <v>1</v>
      </c>
      <c r="H8916" s="1369"/>
      <c r="I8916" s="1299"/>
      <c r="J8916" s="1300"/>
      <c r="K8916" s="1307">
        <f>G8916*K8913</f>
        <v>0.996</v>
      </c>
      <c r="L8916" s="1335">
        <f t="shared" si="1204"/>
        <v>0</v>
      </c>
      <c r="M8916" s="1499">
        <v>158</v>
      </c>
      <c r="N8916" s="1701"/>
      <c r="O8916" s="1290">
        <f>G8916*M8916</f>
        <v>158</v>
      </c>
      <c r="P8916" s="1332">
        <f>M8916*K8916</f>
        <v>157.36799999999999</v>
      </c>
      <c r="Q8916" s="3391"/>
      <c r="R8916" s="3363"/>
    </row>
    <row r="8917" spans="1:18" s="22" customFormat="1">
      <c r="A8917" s="16"/>
      <c r="B8917" s="1599"/>
      <c r="C8917" s="1320"/>
      <c r="D8917" s="1598" t="s">
        <v>1097</v>
      </c>
      <c r="E8917" s="1856" t="s">
        <v>1504</v>
      </c>
      <c r="F8917" s="1598" t="s">
        <v>1632</v>
      </c>
      <c r="G8917" s="1651">
        <v>0.5</v>
      </c>
      <c r="H8917" s="1399"/>
      <c r="I8917" s="198"/>
      <c r="J8917" s="198"/>
      <c r="K8917" s="1350">
        <f>G8917*K8913</f>
        <v>0.498</v>
      </c>
      <c r="L8917" s="1335">
        <f t="shared" si="1204"/>
        <v>0</v>
      </c>
      <c r="M8917" s="1499">
        <v>0.55000000000000004</v>
      </c>
      <c r="N8917" s="1701"/>
      <c r="O8917" s="1291">
        <f>G8917*M8917</f>
        <v>0.27500000000000002</v>
      </c>
      <c r="P8917" s="1332">
        <f>M8917*K8917</f>
        <v>0.27390000000000003</v>
      </c>
      <c r="Q8917" s="3391"/>
      <c r="R8917" s="3363"/>
    </row>
    <row r="8918" spans="1:18" s="22" customFormat="1">
      <c r="A8918" s="16"/>
      <c r="B8918" s="1599"/>
      <c r="C8918" s="1320"/>
      <c r="D8918" s="1598"/>
      <c r="E8918" s="1856"/>
      <c r="F8918" s="1598"/>
      <c r="G8918" s="1651"/>
      <c r="H8918" s="1399"/>
      <c r="I8918" s="198"/>
      <c r="J8918" s="198"/>
      <c r="K8918" s="1350"/>
      <c r="L8918" s="1335"/>
      <c r="M8918" s="1499"/>
      <c r="N8918" s="1701"/>
      <c r="O8918" s="1291"/>
      <c r="P8918" s="1332"/>
      <c r="Q8918" s="3391"/>
      <c r="R8918" s="3363"/>
    </row>
    <row r="8919" spans="1:18" s="22" customFormat="1">
      <c r="A8919" s="16"/>
      <c r="B8919" s="1599"/>
      <c r="C8919" s="1320"/>
      <c r="D8919" s="1598"/>
      <c r="E8919" s="1856"/>
      <c r="F8919" s="1598"/>
      <c r="G8919" s="1399"/>
      <c r="H8919" s="1399"/>
      <c r="I8919" s="198"/>
      <c r="J8919" s="198"/>
      <c r="K8919" s="1307"/>
      <c r="L8919" s="1335"/>
      <c r="M8919" s="1499"/>
      <c r="N8919" s="1701"/>
      <c r="O8919" s="1291"/>
      <c r="P8919" s="1332"/>
      <c r="Q8919" s="3391"/>
      <c r="R8919" s="3363"/>
    </row>
    <row r="8920" spans="1:18" s="22" customFormat="1" ht="26">
      <c r="A8920" s="2187"/>
      <c r="B8920" s="1599"/>
      <c r="C8920" s="1042"/>
      <c r="D8920" s="1359"/>
      <c r="E8920" s="1858"/>
      <c r="F8920" s="1360" t="s">
        <v>2</v>
      </c>
      <c r="G8920" s="1360"/>
      <c r="H8920" s="1362"/>
      <c r="I8920" s="1380"/>
      <c r="J8920" s="1381"/>
      <c r="K8920" s="1381"/>
      <c r="L8920" s="1458"/>
      <c r="M8920" s="1362"/>
      <c r="N8920" s="1362"/>
      <c r="O8920" s="1362"/>
      <c r="P8920" s="1359"/>
      <c r="Q8920" s="3403"/>
      <c r="R8920" s="2357"/>
    </row>
    <row r="8921" spans="1:18" s="22" customFormat="1" ht="19.5" customHeight="1">
      <c r="A8921" s="2187"/>
      <c r="B8921" s="2053"/>
      <c r="C8921" s="1321"/>
      <c r="D8921" s="1655" t="s">
        <v>1099</v>
      </c>
      <c r="E8921" s="1859" t="s">
        <v>1508</v>
      </c>
      <c r="F8921" s="1655" t="s">
        <v>1633</v>
      </c>
      <c r="G8921" s="1994">
        <v>0.25</v>
      </c>
      <c r="H8921" s="1386"/>
      <c r="I8921" s="1299"/>
      <c r="J8921" s="1300"/>
      <c r="K8921" s="1307">
        <f>G8921*K8913</f>
        <v>0.249</v>
      </c>
      <c r="L8921" s="1335">
        <f t="shared" ref="L8921" si="1205">K8921*$K$8584</f>
        <v>0</v>
      </c>
      <c r="M8921" s="1302">
        <v>19.23</v>
      </c>
      <c r="N8921" s="1700"/>
      <c r="O8921" s="1290">
        <f>G8921*M8921</f>
        <v>4.8075000000000001</v>
      </c>
      <c r="P8921" s="1332">
        <f>M8921*K8921</f>
        <v>4.7882699999999998</v>
      </c>
      <c r="Q8921" s="3402"/>
      <c r="R8921" s="2357"/>
    </row>
    <row r="8922" spans="1:18" s="22" customFormat="1" ht="18.75" customHeight="1">
      <c r="A8922" s="19"/>
      <c r="B8922" s="1042"/>
      <c r="C8922" s="19"/>
      <c r="D8922" s="1430"/>
      <c r="E8922" s="1857"/>
      <c r="F8922" s="1430"/>
      <c r="G8922" s="1381"/>
      <c r="H8922" s="1395"/>
      <c r="I8922" s="1346"/>
      <c r="J8922" s="198"/>
      <c r="K8922" s="1307"/>
      <c r="L8922" s="1335"/>
      <c r="M8922" s="1302"/>
      <c r="N8922" s="1700"/>
      <c r="O8922" s="1290"/>
      <c r="P8922" s="1332"/>
      <c r="Q8922" s="3391"/>
      <c r="R8922" s="2338"/>
    </row>
    <row r="8923" spans="1:18" s="22" customFormat="1">
      <c r="A8923"/>
      <c r="B8923" s="1042"/>
      <c r="C8923" s="19"/>
      <c r="D8923" s="1430"/>
      <c r="E8923" s="1857"/>
      <c r="F8923" s="1766"/>
      <c r="G8923" s="2183"/>
      <c r="H8923" s="1395"/>
      <c r="I8923" s="197"/>
      <c r="J8923" s="198"/>
      <c r="K8923" s="1307"/>
      <c r="L8923" s="1335"/>
      <c r="M8923" s="1302"/>
      <c r="N8923" s="1718"/>
      <c r="O8923" s="1290"/>
      <c r="P8923" s="1720"/>
      <c r="Q8923" s="3396"/>
      <c r="R8923" s="2337"/>
    </row>
    <row r="8924" spans="1:18" s="22" customFormat="1">
      <c r="A8924" s="1320"/>
      <c r="B8924" s="1599"/>
      <c r="C8924" s="1320"/>
      <c r="D8924" s="1373"/>
      <c r="E8924" s="2123"/>
      <c r="F8924" s="1374" t="s">
        <v>3</v>
      </c>
      <c r="G8924" s="1375"/>
      <c r="H8924" s="1376"/>
      <c r="I8924" s="1382"/>
      <c r="J8924" s="1383"/>
      <c r="K8924" s="1383"/>
      <c r="L8924" s="1413"/>
      <c r="M8924" s="1376"/>
      <c r="N8924" s="1376"/>
      <c r="O8924" s="1376"/>
      <c r="P8924" s="1373"/>
      <c r="Q8924" s="3403"/>
      <c r="R8924" s="2356"/>
    </row>
    <row r="8925" spans="1:18" s="22" customFormat="1">
      <c r="A8925" s="1321"/>
      <c r="B8925" s="2053"/>
      <c r="C8925" s="1321"/>
      <c r="D8925" s="2274"/>
      <c r="E8925" s="2275"/>
      <c r="F8925" s="1827"/>
      <c r="G8925" s="1828"/>
      <c r="H8925" s="1379"/>
      <c r="I8925" s="1299"/>
      <c r="J8925" s="1300"/>
      <c r="K8925" s="1307"/>
      <c r="L8925" s="1335"/>
      <c r="M8925" s="1302"/>
      <c r="N8925" s="1700"/>
      <c r="O8925" s="1290"/>
      <c r="P8925" s="1332"/>
      <c r="Q8925" s="3402"/>
      <c r="R8925" s="2053"/>
    </row>
    <row r="8926" spans="1:18" s="22" customFormat="1">
      <c r="A8926" s="1321"/>
      <c r="B8926" s="2053"/>
      <c r="C8926" s="1321"/>
      <c r="D8926" s="2276"/>
      <c r="E8926" s="2277"/>
      <c r="F8926" s="2221"/>
      <c r="G8926" s="2222"/>
      <c r="H8926" s="1379"/>
      <c r="I8926" s="1299"/>
      <c r="J8926" s="1300"/>
      <c r="K8926" s="1307"/>
      <c r="L8926" s="1335"/>
      <c r="M8926" s="1302"/>
      <c r="N8926" s="1700"/>
      <c r="O8926" s="1290"/>
      <c r="P8926" s="1333"/>
      <c r="Q8926" s="3402"/>
      <c r="R8926" s="2053"/>
    </row>
    <row r="8927" spans="1:18" s="22" customFormat="1">
      <c r="A8927" s="1321"/>
      <c r="B8927" s="2053"/>
      <c r="C8927" s="1321"/>
      <c r="D8927" s="1377"/>
      <c r="E8927" s="2124"/>
      <c r="F8927" s="1378"/>
      <c r="G8927" s="1378"/>
      <c r="H8927" s="1379"/>
      <c r="I8927" s="1299"/>
      <c r="J8927" s="1300"/>
      <c r="K8927" s="1307"/>
      <c r="L8927" s="1335"/>
      <c r="M8927" s="1302"/>
      <c r="N8927" s="1700"/>
      <c r="O8927" s="1290"/>
      <c r="P8927" s="1333"/>
      <c r="Q8927" s="3402"/>
      <c r="R8927" s="2053"/>
    </row>
    <row r="8928" spans="1:18" s="22" customFormat="1">
      <c r="A8928" s="18" t="s">
        <v>3764</v>
      </c>
      <c r="B8928" s="4325" t="s">
        <v>2605</v>
      </c>
      <c r="C8928" s="3350"/>
      <c r="D8928" s="4327"/>
      <c r="E8928" s="4329" t="s">
        <v>1504</v>
      </c>
      <c r="F8928" s="4336" t="s">
        <v>2606</v>
      </c>
      <c r="G8928" s="4331" t="s">
        <v>1568</v>
      </c>
      <c r="H8928" s="4331" t="s">
        <v>1574</v>
      </c>
      <c r="I8928" s="1572" t="s">
        <v>1559</v>
      </c>
      <c r="J8928" s="1294" t="s">
        <v>1560</v>
      </c>
      <c r="K8928" s="1294" t="s">
        <v>1569</v>
      </c>
      <c r="L8928" s="4333" t="s">
        <v>3765</v>
      </c>
      <c r="M8928" s="4335" t="s">
        <v>1571</v>
      </c>
      <c r="N8928" s="4323" t="s">
        <v>1776</v>
      </c>
      <c r="O8928" s="3347" t="s">
        <v>1563</v>
      </c>
      <c r="P8928" s="1336" t="s">
        <v>1562</v>
      </c>
      <c r="Q8928" s="3389"/>
      <c r="R8928" s="1699" t="s">
        <v>1327</v>
      </c>
    </row>
    <row r="8929" spans="1:18" s="22" customFormat="1">
      <c r="A8929" s="1599" t="s">
        <v>2512</v>
      </c>
      <c r="B8929" s="4326"/>
      <c r="C8929" s="3351"/>
      <c r="D8929" s="4328"/>
      <c r="E8929" s="4330"/>
      <c r="F8929" s="4336"/>
      <c r="G8929" s="4332"/>
      <c r="H8929" s="4332"/>
      <c r="I8929" s="1345">
        <v>12</v>
      </c>
      <c r="J8929" s="1307">
        <v>8.3000000000000004E-2</v>
      </c>
      <c r="K8929" s="1297">
        <f>I8929*J8929</f>
        <v>0.996</v>
      </c>
      <c r="L8929" s="4334"/>
      <c r="M8929" s="4335"/>
      <c r="N8929" s="4324"/>
      <c r="O8929" s="1298">
        <f>SUM(O8931:O8937)</f>
        <v>142.12100000000001</v>
      </c>
      <c r="P8929" s="1337">
        <f>O8929*K8929</f>
        <v>141.552516</v>
      </c>
      <c r="Q8929" s="3390"/>
      <c r="R8929" s="1721">
        <f>SUM(P8931:P8937)</f>
        <v>141.552516</v>
      </c>
    </row>
    <row r="8930" spans="1:18" s="22" customFormat="1">
      <c r="A8930" s="1320"/>
      <c r="B8930" s="1949"/>
      <c r="C8930" s="1327"/>
      <c r="D8930" s="1367"/>
      <c r="E8930" s="2121"/>
      <c r="F8930" s="1389" t="s">
        <v>1</v>
      </c>
      <c r="G8930" s="1389"/>
      <c r="H8930" s="1369"/>
      <c r="I8930" s="2088"/>
      <c r="J8930" s="1369"/>
      <c r="K8930" s="1391"/>
      <c r="L8930" s="1559"/>
      <c r="M8930" s="1369"/>
      <c r="N8930" s="1369"/>
      <c r="O8930" s="1369"/>
      <c r="P8930" s="1392"/>
      <c r="Q8930" s="3395"/>
      <c r="R8930" s="2344"/>
    </row>
    <row r="8931" spans="1:18" s="22" customFormat="1">
      <c r="A8931" s="1320"/>
      <c r="B8931" s="1599"/>
      <c r="C8931" s="1320"/>
      <c r="D8931" s="1598" t="s">
        <v>2601</v>
      </c>
      <c r="E8931" s="2154" t="s">
        <v>1504</v>
      </c>
      <c r="F8931" s="1598" t="s">
        <v>2602</v>
      </c>
      <c r="G8931" s="1612">
        <v>1</v>
      </c>
      <c r="H8931" s="1369"/>
      <c r="I8931" s="1299"/>
      <c r="J8931" s="1300"/>
      <c r="K8931" s="1307">
        <f>G8931*K8929</f>
        <v>0.996</v>
      </c>
      <c r="L8931" s="1335">
        <f t="shared" ref="L8931:L8932" si="1206">K8931*$K$8584</f>
        <v>0</v>
      </c>
      <c r="M8931" s="1302">
        <v>138</v>
      </c>
      <c r="N8931" s="1700"/>
      <c r="O8931" s="1290">
        <f>G8931*M8931</f>
        <v>138</v>
      </c>
      <c r="P8931" s="1332">
        <f>M8931*K8931</f>
        <v>137.44800000000001</v>
      </c>
      <c r="Q8931" s="3402"/>
      <c r="R8931" s="2356"/>
    </row>
    <row r="8932" spans="1:18" s="22" customFormat="1">
      <c r="A8932" s="16"/>
      <c r="B8932" s="1599"/>
      <c r="C8932" s="1320"/>
      <c r="D8932" s="1598" t="s">
        <v>1097</v>
      </c>
      <c r="E8932" s="1856" t="s">
        <v>1504</v>
      </c>
      <c r="F8932" s="1598" t="s">
        <v>1632</v>
      </c>
      <c r="G8932" s="1651">
        <v>0.5</v>
      </c>
      <c r="H8932" s="1399"/>
      <c r="I8932" s="198"/>
      <c r="J8932" s="198"/>
      <c r="K8932" s="1307">
        <f>G8932*K8929</f>
        <v>0.498</v>
      </c>
      <c r="L8932" s="1335">
        <f t="shared" si="1206"/>
        <v>0</v>
      </c>
      <c r="M8932" s="1499">
        <v>0.55000000000000004</v>
      </c>
      <c r="N8932" s="1701"/>
      <c r="O8932" s="1291">
        <f>G8932*M8932</f>
        <v>0.27500000000000002</v>
      </c>
      <c r="P8932" s="1332">
        <f>M8932*K8932</f>
        <v>0.27390000000000003</v>
      </c>
      <c r="Q8932" s="3391"/>
      <c r="R8932" s="3363"/>
    </row>
    <row r="8933" spans="1:18" s="22" customFormat="1">
      <c r="A8933" s="16"/>
      <c r="B8933" s="1599"/>
      <c r="C8933" s="1320"/>
      <c r="D8933" s="1598"/>
      <c r="E8933" s="1856"/>
      <c r="F8933" s="1598"/>
      <c r="G8933" s="1651"/>
      <c r="H8933" s="1399"/>
      <c r="I8933" s="198"/>
      <c r="J8933" s="198"/>
      <c r="K8933" s="1350"/>
      <c r="L8933" s="1335"/>
      <c r="M8933" s="1499"/>
      <c r="N8933" s="1701"/>
      <c r="O8933" s="1291"/>
      <c r="P8933" s="1332"/>
      <c r="Q8933" s="3391"/>
      <c r="R8933" s="3363"/>
    </row>
    <row r="8934" spans="1:18" s="22" customFormat="1">
      <c r="A8934" s="16"/>
      <c r="B8934" s="1599"/>
      <c r="C8934" s="1320"/>
      <c r="D8934" s="1598"/>
      <c r="E8934" s="1856"/>
      <c r="F8934" s="1598"/>
      <c r="G8934" s="1399"/>
      <c r="H8934" s="1399"/>
      <c r="I8934" s="198"/>
      <c r="J8934" s="198"/>
      <c r="K8934" s="1307"/>
      <c r="L8934" s="1335"/>
      <c r="M8934" s="1499"/>
      <c r="N8934" s="1701"/>
      <c r="O8934" s="1291"/>
      <c r="P8934" s="1332"/>
      <c r="Q8934" s="3391"/>
      <c r="R8934" s="3363"/>
    </row>
    <row r="8935" spans="1:18" s="22" customFormat="1" ht="26">
      <c r="A8935" s="2187"/>
      <c r="B8935" s="1599"/>
      <c r="C8935" s="1042"/>
      <c r="D8935" s="1359"/>
      <c r="E8935" s="1858"/>
      <c r="F8935" s="1360" t="s">
        <v>2</v>
      </c>
      <c r="G8935" s="1360"/>
      <c r="H8935" s="1362"/>
      <c r="I8935" s="1380"/>
      <c r="J8935" s="1381"/>
      <c r="K8935" s="1381"/>
      <c r="L8935" s="1458"/>
      <c r="M8935" s="1362"/>
      <c r="N8935" s="1362"/>
      <c r="O8935" s="1362"/>
      <c r="P8935" s="1359"/>
      <c r="Q8935" s="3403"/>
      <c r="R8935" s="2357"/>
    </row>
    <row r="8936" spans="1:18" s="22" customFormat="1" ht="26">
      <c r="A8936" s="2187"/>
      <c r="B8936" s="2053"/>
      <c r="C8936" s="1321"/>
      <c r="D8936" s="1655" t="s">
        <v>1099</v>
      </c>
      <c r="E8936" s="1859" t="s">
        <v>1508</v>
      </c>
      <c r="F8936" s="1655" t="s">
        <v>1633</v>
      </c>
      <c r="G8936" s="1994">
        <v>0.2</v>
      </c>
      <c r="H8936" s="1386"/>
      <c r="I8936" s="1299"/>
      <c r="J8936" s="1300"/>
      <c r="K8936" s="1307">
        <f>G8936*K8929</f>
        <v>0.19920000000000002</v>
      </c>
      <c r="L8936" s="1335">
        <f t="shared" ref="L8936" si="1207">K8936*$K$8584</f>
        <v>0</v>
      </c>
      <c r="M8936" s="1302">
        <v>19.23</v>
      </c>
      <c r="N8936" s="1700"/>
      <c r="O8936" s="1290">
        <f>G8936*M8936</f>
        <v>3.8460000000000001</v>
      </c>
      <c r="P8936" s="1332">
        <f>M8936*K8936</f>
        <v>3.8306160000000005</v>
      </c>
      <c r="Q8936" s="3402"/>
      <c r="R8936" s="2357"/>
    </row>
    <row r="8937" spans="1:18" s="22" customFormat="1" ht="18.75" customHeight="1">
      <c r="A8937" s="19"/>
      <c r="B8937" s="1042"/>
      <c r="C8937" s="19"/>
      <c r="D8937" s="1430"/>
      <c r="E8937" s="1857"/>
      <c r="F8937" s="1430"/>
      <c r="G8937" s="1381"/>
      <c r="H8937" s="1395"/>
      <c r="I8937" s="1346"/>
      <c r="J8937" s="198"/>
      <c r="K8937" s="1307"/>
      <c r="L8937" s="1335"/>
      <c r="M8937" s="1302"/>
      <c r="N8937" s="1700"/>
      <c r="O8937" s="1290"/>
      <c r="P8937" s="1332"/>
      <c r="Q8937" s="3391"/>
      <c r="R8937" s="2338"/>
    </row>
    <row r="8938" spans="1:18" s="22" customFormat="1">
      <c r="B8938" s="1320"/>
      <c r="C8938" s="16"/>
      <c r="D8938" s="1359"/>
      <c r="E8938" s="1858"/>
      <c r="F8938" s="1474"/>
      <c r="G8938" s="1474"/>
      <c r="H8938" s="1466"/>
      <c r="I8938" s="1289"/>
      <c r="J8938" s="8"/>
      <c r="K8938" s="1307"/>
      <c r="L8938" s="1335"/>
      <c r="M8938" s="1302"/>
      <c r="N8938" s="1700"/>
      <c r="O8938" s="1290"/>
      <c r="P8938" s="1332"/>
      <c r="Q8938" s="3391"/>
      <c r="R8938" s="2344"/>
    </row>
    <row r="8939" spans="1:18" s="22" customFormat="1">
      <c r="A8939" s="1320"/>
      <c r="B8939" s="1599"/>
      <c r="C8939" s="1320"/>
      <c r="D8939" s="1373"/>
      <c r="E8939" s="2123"/>
      <c r="F8939" s="1374" t="s">
        <v>3</v>
      </c>
      <c r="G8939" s="1375"/>
      <c r="H8939" s="1376"/>
      <c r="I8939" s="1382"/>
      <c r="J8939" s="1383"/>
      <c r="K8939" s="1383"/>
      <c r="L8939" s="1413"/>
      <c r="M8939" s="1376"/>
      <c r="N8939" s="1376"/>
      <c r="O8939" s="1376"/>
      <c r="P8939" s="1373"/>
      <c r="Q8939" s="3403"/>
      <c r="R8939" s="2356"/>
    </row>
    <row r="8940" spans="1:18" s="22" customFormat="1">
      <c r="A8940" s="1321"/>
      <c r="B8940" s="2053"/>
      <c r="C8940" s="1321"/>
      <c r="D8940" s="2274"/>
      <c r="E8940" s="2275"/>
      <c r="F8940" s="1827"/>
      <c r="G8940" s="1828"/>
      <c r="H8940" s="1379"/>
      <c r="I8940" s="1299"/>
      <c r="J8940" s="1300"/>
      <c r="K8940" s="1307"/>
      <c r="L8940" s="1335"/>
      <c r="M8940" s="1302"/>
      <c r="N8940" s="1700"/>
      <c r="O8940" s="1290"/>
      <c r="P8940" s="1332"/>
      <c r="Q8940" s="3402"/>
      <c r="R8940" s="2053"/>
    </row>
    <row r="8941" spans="1:18" s="22" customFormat="1">
      <c r="A8941" s="1321"/>
      <c r="B8941" s="2053"/>
      <c r="C8941" s="1321"/>
      <c r="D8941" s="2276"/>
      <c r="E8941" s="2277"/>
      <c r="F8941" s="2221"/>
      <c r="G8941" s="2222"/>
      <c r="H8941" s="1379"/>
      <c r="I8941" s="1299"/>
      <c r="J8941" s="1300"/>
      <c r="K8941" s="1307"/>
      <c r="L8941" s="1335"/>
      <c r="M8941" s="1302"/>
      <c r="N8941" s="1700"/>
      <c r="O8941" s="1290"/>
      <c r="P8941" s="1333"/>
      <c r="Q8941" s="3402"/>
      <c r="R8941" s="2053"/>
    </row>
    <row r="8942" spans="1:18" s="22" customFormat="1">
      <c r="A8942" s="1321"/>
      <c r="B8942" s="2053"/>
      <c r="C8942" s="1321"/>
      <c r="D8942" s="1377"/>
      <c r="E8942" s="2124"/>
      <c r="F8942" s="1378"/>
      <c r="G8942" s="1378"/>
      <c r="H8942" s="1379"/>
      <c r="I8942" s="1299"/>
      <c r="J8942" s="1300"/>
      <c r="K8942" s="1307"/>
      <c r="L8942" s="1335"/>
      <c r="M8942" s="1302"/>
      <c r="N8942" s="1700"/>
      <c r="O8942" s="1290"/>
      <c r="P8942" s="1333"/>
      <c r="Q8942" s="3402"/>
      <c r="R8942" s="2053"/>
    </row>
    <row r="8943" spans="1:18" s="22" customFormat="1">
      <c r="A8943" s="18" t="s">
        <v>3764</v>
      </c>
      <c r="B8943" s="4325" t="s">
        <v>2607</v>
      </c>
      <c r="C8943" s="3350"/>
      <c r="D8943" s="4327"/>
      <c r="E8943" s="4329" t="s">
        <v>1504</v>
      </c>
      <c r="F8943" s="4336" t="s">
        <v>2608</v>
      </c>
      <c r="G8943" s="4331" t="s">
        <v>1568</v>
      </c>
      <c r="H8943" s="4331" t="s">
        <v>1574</v>
      </c>
      <c r="I8943" s="1572" t="s">
        <v>1559</v>
      </c>
      <c r="J8943" s="1294" t="s">
        <v>1560</v>
      </c>
      <c r="K8943" s="1294" t="s">
        <v>1569</v>
      </c>
      <c r="L8943" s="4333" t="s">
        <v>3765</v>
      </c>
      <c r="M8943" s="4335" t="s">
        <v>1571</v>
      </c>
      <c r="N8943" s="4323" t="s">
        <v>1776</v>
      </c>
      <c r="O8943" s="3347" t="s">
        <v>1563</v>
      </c>
      <c r="P8943" s="1336" t="s">
        <v>1562</v>
      </c>
      <c r="Q8943" s="3389"/>
      <c r="R8943" s="1699" t="s">
        <v>1327</v>
      </c>
    </row>
    <row r="8944" spans="1:18" s="22" customFormat="1">
      <c r="A8944" s="1599" t="s">
        <v>2512</v>
      </c>
      <c r="B8944" s="4326"/>
      <c r="C8944" s="3351"/>
      <c r="D8944" s="4328"/>
      <c r="E8944" s="4330"/>
      <c r="F8944" s="4336"/>
      <c r="G8944" s="4332"/>
      <c r="H8944" s="4332"/>
      <c r="I8944" s="1345">
        <v>4</v>
      </c>
      <c r="J8944" s="1307">
        <v>8.3000000000000004E-2</v>
      </c>
      <c r="K8944" s="1297">
        <f>I8944*J8944</f>
        <v>0.33200000000000002</v>
      </c>
      <c r="L8944" s="4334"/>
      <c r="M8944" s="4335"/>
      <c r="N8944" s="4324"/>
      <c r="O8944" s="1298">
        <f>SUM(O8946:O8952)</f>
        <v>34.616</v>
      </c>
      <c r="P8944" s="1337">
        <f>O8944*K8944</f>
        <v>11.492512</v>
      </c>
      <c r="Q8944" s="3390"/>
      <c r="R8944" s="1721">
        <f>SUM(P8946:P8952)</f>
        <v>11.492512000000001</v>
      </c>
    </row>
    <row r="8945" spans="1:18" s="22" customFormat="1">
      <c r="A8945" s="1320"/>
      <c r="B8945" s="1949"/>
      <c r="C8945" s="1327"/>
      <c r="D8945" s="1367"/>
      <c r="E8945" s="2121"/>
      <c r="F8945" s="1389" t="s">
        <v>1</v>
      </c>
      <c r="G8945" s="1389"/>
      <c r="H8945" s="1369"/>
      <c r="I8945" s="2088"/>
      <c r="J8945" s="1369"/>
      <c r="K8945" s="1391"/>
      <c r="L8945" s="1559"/>
      <c r="M8945" s="1369"/>
      <c r="N8945" s="1369"/>
      <c r="O8945" s="1369"/>
      <c r="P8945" s="1392"/>
      <c r="Q8945" s="3395"/>
      <c r="R8945" s="2344"/>
    </row>
    <row r="8946" spans="1:18" s="22" customFormat="1">
      <c r="A8946" s="1320"/>
      <c r="B8946" s="1599"/>
      <c r="C8946" s="1320"/>
      <c r="D8946" s="1598" t="s">
        <v>2609</v>
      </c>
      <c r="E8946" s="2154" t="s">
        <v>1504</v>
      </c>
      <c r="F8946" s="1598" t="s">
        <v>2610</v>
      </c>
      <c r="G8946" s="1995">
        <v>1</v>
      </c>
      <c r="H8946" s="1369"/>
      <c r="I8946" s="1299"/>
      <c r="J8946" s="1300"/>
      <c r="K8946" s="1307">
        <f>G8946*K8944</f>
        <v>0.33200000000000002</v>
      </c>
      <c r="L8946" s="1335">
        <f t="shared" ref="L8946:L8947" si="1208">K8946*$K$8584</f>
        <v>0</v>
      </c>
      <c r="M8946" s="1302">
        <v>30.22</v>
      </c>
      <c r="N8946" s="1700"/>
      <c r="O8946" s="1290">
        <f>G8946*M8946</f>
        <v>30.22</v>
      </c>
      <c r="P8946" s="1332">
        <f>M8946*K8946</f>
        <v>10.03304</v>
      </c>
      <c r="Q8946" s="3402"/>
      <c r="R8946" s="2356"/>
    </row>
    <row r="8947" spans="1:18" s="22" customFormat="1">
      <c r="A8947" s="16"/>
      <c r="B8947" s="1599"/>
      <c r="C8947" s="1320"/>
      <c r="D8947" s="1598" t="s">
        <v>1097</v>
      </c>
      <c r="E8947" s="1856" t="s">
        <v>1504</v>
      </c>
      <c r="F8947" s="1598" t="s">
        <v>1632</v>
      </c>
      <c r="G8947" s="1651">
        <v>1</v>
      </c>
      <c r="H8947" s="1399"/>
      <c r="I8947" s="198"/>
      <c r="J8947" s="198"/>
      <c r="K8947" s="1307">
        <f>G8947*K8944</f>
        <v>0.33200000000000002</v>
      </c>
      <c r="L8947" s="1335">
        <f t="shared" si="1208"/>
        <v>0</v>
      </c>
      <c r="M8947" s="1499">
        <v>0.55000000000000004</v>
      </c>
      <c r="N8947" s="1701"/>
      <c r="O8947" s="1291">
        <f>G8947*M8947</f>
        <v>0.55000000000000004</v>
      </c>
      <c r="P8947" s="1332">
        <f>M8947*K8947</f>
        <v>0.18260000000000001</v>
      </c>
      <c r="Q8947" s="3391"/>
      <c r="R8947" s="3363"/>
    </row>
    <row r="8948" spans="1:18" s="22" customFormat="1">
      <c r="A8948" s="16"/>
      <c r="B8948" s="1599"/>
      <c r="C8948" s="1320"/>
      <c r="D8948" s="1598"/>
      <c r="E8948" s="1856"/>
      <c r="F8948" s="1598"/>
      <c r="G8948" s="1651"/>
      <c r="H8948" s="1399"/>
      <c r="I8948" s="198"/>
      <c r="J8948" s="198"/>
      <c r="K8948" s="1350"/>
      <c r="L8948" s="1335"/>
      <c r="M8948" s="1499"/>
      <c r="N8948" s="1701"/>
      <c r="O8948" s="1291"/>
      <c r="P8948" s="1332"/>
      <c r="Q8948" s="3391"/>
      <c r="R8948" s="3363"/>
    </row>
    <row r="8949" spans="1:18" s="22" customFormat="1">
      <c r="A8949" s="16"/>
      <c r="B8949" s="1599"/>
      <c r="C8949" s="1320"/>
      <c r="D8949" s="1598"/>
      <c r="E8949" s="1856"/>
      <c r="F8949" s="1598"/>
      <c r="G8949" s="1399"/>
      <c r="H8949" s="1399"/>
      <c r="I8949" s="198"/>
      <c r="J8949" s="198"/>
      <c r="K8949" s="1307"/>
      <c r="L8949" s="1335"/>
      <c r="M8949" s="1499"/>
      <c r="N8949" s="1701"/>
      <c r="O8949" s="1291"/>
      <c r="P8949" s="1332"/>
      <c r="Q8949" s="3391"/>
      <c r="R8949" s="3363"/>
    </row>
    <row r="8950" spans="1:18" s="22" customFormat="1" ht="26">
      <c r="A8950" s="2187"/>
      <c r="B8950" s="1599"/>
      <c r="C8950" s="1042"/>
      <c r="D8950" s="1359"/>
      <c r="E8950" s="1858"/>
      <c r="F8950" s="1360" t="s">
        <v>2</v>
      </c>
      <c r="G8950" s="1360"/>
      <c r="H8950" s="1362"/>
      <c r="I8950" s="1380"/>
      <c r="J8950" s="1381"/>
      <c r="K8950" s="1381"/>
      <c r="L8950" s="1458"/>
      <c r="M8950" s="1362"/>
      <c r="N8950" s="1362"/>
      <c r="O8950" s="1362"/>
      <c r="P8950" s="1359"/>
      <c r="Q8950" s="3403"/>
      <c r="R8950" s="2357"/>
    </row>
    <row r="8951" spans="1:18" s="22" customFormat="1" ht="26">
      <c r="A8951" s="2187"/>
      <c r="B8951" s="2053"/>
      <c r="C8951" s="1321"/>
      <c r="D8951" s="1655" t="s">
        <v>1099</v>
      </c>
      <c r="E8951" s="1859" t="s">
        <v>1508</v>
      </c>
      <c r="F8951" s="1655" t="s">
        <v>1633</v>
      </c>
      <c r="G8951" s="1994">
        <v>0.2</v>
      </c>
      <c r="H8951" s="1386"/>
      <c r="I8951" s="1299"/>
      <c r="J8951" s="1300"/>
      <c r="K8951" s="1307">
        <f>G8951*K8944</f>
        <v>6.6400000000000001E-2</v>
      </c>
      <c r="L8951" s="1335">
        <f t="shared" ref="L8951" si="1209">K8951*$K$8584</f>
        <v>0</v>
      </c>
      <c r="M8951" s="1302">
        <v>19.23</v>
      </c>
      <c r="N8951" s="1700"/>
      <c r="O8951" s="1290">
        <f>G8951*M8951</f>
        <v>3.8460000000000001</v>
      </c>
      <c r="P8951" s="1332">
        <f>M8951*K8951</f>
        <v>1.276872</v>
      </c>
      <c r="Q8951" s="3402"/>
      <c r="R8951" s="2357"/>
    </row>
    <row r="8952" spans="1:18" s="22" customFormat="1" ht="22.5" customHeight="1">
      <c r="A8952" s="19"/>
      <c r="B8952" s="1042"/>
      <c r="C8952" s="19"/>
      <c r="D8952" s="1430"/>
      <c r="E8952" s="1857"/>
      <c r="F8952" s="1430"/>
      <c r="G8952" s="1381"/>
      <c r="H8952" s="1395"/>
      <c r="I8952" s="1346"/>
      <c r="J8952" s="198"/>
      <c r="K8952" s="1307"/>
      <c r="L8952" s="1335"/>
      <c r="M8952" s="1302"/>
      <c r="N8952" s="1700"/>
      <c r="O8952" s="1290"/>
      <c r="P8952" s="1332"/>
      <c r="Q8952" s="3391"/>
      <c r="R8952" s="2338"/>
    </row>
    <row r="8953" spans="1:18" s="22" customFormat="1" ht="20.25" customHeight="1">
      <c r="A8953"/>
      <c r="B8953" s="1042"/>
      <c r="C8953" s="19"/>
      <c r="D8953" s="1430"/>
      <c r="E8953" s="1857"/>
      <c r="F8953" s="1766"/>
      <c r="G8953" s="2183"/>
      <c r="H8953" s="1395"/>
      <c r="I8953" s="197"/>
      <c r="J8953" s="198"/>
      <c r="K8953" s="1307"/>
      <c r="L8953" s="1335"/>
      <c r="M8953" s="1302"/>
      <c r="N8953" s="1718"/>
      <c r="O8953" s="1290"/>
      <c r="P8953" s="1720"/>
      <c r="Q8953" s="3396"/>
      <c r="R8953" s="2337"/>
    </row>
    <row r="8954" spans="1:18" s="22" customFormat="1">
      <c r="A8954" s="1320"/>
      <c r="B8954" s="1599"/>
      <c r="C8954" s="1320"/>
      <c r="D8954" s="1373"/>
      <c r="E8954" s="2123"/>
      <c r="F8954" s="1374" t="s">
        <v>3</v>
      </c>
      <c r="G8954" s="1375"/>
      <c r="H8954" s="1376"/>
      <c r="I8954" s="1382"/>
      <c r="J8954" s="1383"/>
      <c r="K8954" s="1383"/>
      <c r="L8954" s="1413"/>
      <c r="M8954" s="1376"/>
      <c r="N8954" s="1376"/>
      <c r="O8954" s="1376"/>
      <c r="P8954" s="1373"/>
      <c r="Q8954" s="3403"/>
      <c r="R8954" s="2356"/>
    </row>
    <row r="8955" spans="1:18" s="22" customFormat="1">
      <c r="A8955" s="1321"/>
      <c r="B8955" s="2053"/>
      <c r="C8955" s="1321"/>
      <c r="D8955" s="1827"/>
      <c r="E8955" s="2275"/>
      <c r="F8955" s="1827"/>
      <c r="G8955" s="1828"/>
      <c r="H8955" s="1379"/>
      <c r="I8955" s="1299"/>
      <c r="J8955" s="1300"/>
      <c r="K8955" s="1307"/>
      <c r="L8955" s="1335"/>
      <c r="M8955" s="1302"/>
      <c r="N8955" s="1700"/>
      <c r="O8955" s="1290"/>
      <c r="P8955" s="1332"/>
      <c r="Q8955" s="3402"/>
      <c r="R8955" s="2053"/>
    </row>
    <row r="8956" spans="1:18" s="22" customFormat="1">
      <c r="A8956" s="1321"/>
      <c r="B8956" s="2053"/>
      <c r="C8956" s="1321"/>
      <c r="D8956" s="2219"/>
      <c r="E8956" s="2277"/>
      <c r="F8956" s="2221"/>
      <c r="G8956" s="2222"/>
      <c r="H8956" s="1379"/>
      <c r="I8956" s="1299"/>
      <c r="J8956" s="1300"/>
      <c r="K8956" s="1307"/>
      <c r="L8956" s="1335"/>
      <c r="M8956" s="1302"/>
      <c r="N8956" s="1700"/>
      <c r="O8956" s="1290"/>
      <c r="P8956" s="1333"/>
      <c r="Q8956" s="3402"/>
      <c r="R8956" s="2053"/>
    </row>
    <row r="8957" spans="1:18" s="22" customFormat="1">
      <c r="A8957" s="1321"/>
      <c r="B8957" s="2053"/>
      <c r="C8957" s="1321"/>
      <c r="D8957" s="1377"/>
      <c r="E8957" s="2124"/>
      <c r="F8957" s="1378"/>
      <c r="G8957" s="1378"/>
      <c r="H8957" s="1379"/>
      <c r="I8957" s="1299"/>
      <c r="J8957" s="1300"/>
      <c r="K8957" s="1307"/>
      <c r="L8957" s="1335"/>
      <c r="M8957" s="1302"/>
      <c r="N8957" s="1700"/>
      <c r="O8957" s="1290"/>
      <c r="P8957" s="1333"/>
      <c r="Q8957" s="3402"/>
      <c r="R8957" s="2053"/>
    </row>
    <row r="8958" spans="1:18" s="22" customFormat="1">
      <c r="A8958" s="18" t="s">
        <v>3764</v>
      </c>
      <c r="B8958" s="4325" t="s">
        <v>2611</v>
      </c>
      <c r="C8958" s="3350"/>
      <c r="D8958" s="4327"/>
      <c r="E8958" s="4329" t="s">
        <v>1504</v>
      </c>
      <c r="F8958" s="4336" t="s">
        <v>2612</v>
      </c>
      <c r="G8958" s="4331" t="s">
        <v>1568</v>
      </c>
      <c r="H8958" s="4331" t="s">
        <v>1574</v>
      </c>
      <c r="I8958" s="1572" t="s">
        <v>1559</v>
      </c>
      <c r="J8958" s="1294" t="s">
        <v>1560</v>
      </c>
      <c r="K8958" s="1294" t="s">
        <v>1569</v>
      </c>
      <c r="L8958" s="4333" t="s">
        <v>3765</v>
      </c>
      <c r="M8958" s="4335" t="s">
        <v>1571</v>
      </c>
      <c r="N8958" s="4323" t="s">
        <v>1776</v>
      </c>
      <c r="O8958" s="3347" t="s">
        <v>1563</v>
      </c>
      <c r="P8958" s="1336" t="s">
        <v>1562</v>
      </c>
      <c r="Q8958" s="3389"/>
      <c r="R8958" s="1699" t="s">
        <v>1327</v>
      </c>
    </row>
    <row r="8959" spans="1:18" s="22" customFormat="1">
      <c r="A8959" s="1599" t="s">
        <v>2512</v>
      </c>
      <c r="B8959" s="4326"/>
      <c r="C8959" s="3351"/>
      <c r="D8959" s="4328"/>
      <c r="E8959" s="4330"/>
      <c r="F8959" s="4336"/>
      <c r="G8959" s="4332"/>
      <c r="H8959" s="4332"/>
      <c r="I8959" s="1345">
        <v>1</v>
      </c>
      <c r="J8959" s="1307">
        <v>8.3000000000000004E-2</v>
      </c>
      <c r="K8959" s="1297">
        <f>I8959*J8959</f>
        <v>8.3000000000000004E-2</v>
      </c>
      <c r="L8959" s="4334"/>
      <c r="M8959" s="4335"/>
      <c r="N8959" s="4324"/>
      <c r="O8959" s="1298">
        <f>SUM(O8961:O8968)</f>
        <v>66.89</v>
      </c>
      <c r="P8959" s="1337">
        <f>O8959*K8959</f>
        <v>5.5518700000000001</v>
      </c>
      <c r="Q8959" s="3390"/>
      <c r="R8959" s="1721">
        <f>SUM(P8961:P8968)</f>
        <v>5.5518700000000001</v>
      </c>
    </row>
    <row r="8960" spans="1:18" s="22" customFormat="1">
      <c r="A8960" s="1320"/>
      <c r="B8960" s="1949"/>
      <c r="C8960" s="1327"/>
      <c r="D8960" s="1367"/>
      <c r="E8960" s="2121"/>
      <c r="F8960" s="1389" t="s">
        <v>1</v>
      </c>
      <c r="G8960" s="1389"/>
      <c r="H8960" s="1369"/>
      <c r="I8960" s="2088"/>
      <c r="J8960" s="1369"/>
      <c r="K8960" s="1391"/>
      <c r="L8960" s="1559"/>
      <c r="M8960" s="1369"/>
      <c r="N8960" s="1369"/>
      <c r="O8960" s="1369"/>
      <c r="P8960" s="1392"/>
      <c r="Q8960" s="3395"/>
      <c r="R8960" s="2344"/>
    </row>
    <row r="8961" spans="1:18" s="22" customFormat="1">
      <c r="A8961" s="1320"/>
      <c r="B8961" s="1599"/>
      <c r="C8961" s="1320"/>
      <c r="D8961" s="1598" t="s">
        <v>2613</v>
      </c>
      <c r="E8961" s="2154" t="s">
        <v>1504</v>
      </c>
      <c r="F8961" s="1598" t="s">
        <v>2614</v>
      </c>
      <c r="G8961" s="1995">
        <v>1</v>
      </c>
      <c r="H8961" s="1369"/>
      <c r="I8961" s="1299"/>
      <c r="J8961" s="1300"/>
      <c r="K8961" s="1307">
        <f>G8961*K8959</f>
        <v>8.3000000000000004E-2</v>
      </c>
      <c r="L8961" s="1335">
        <f t="shared" ref="L8961:L8963" si="1210">K8961*$K$8584</f>
        <v>0</v>
      </c>
      <c r="M8961" s="1302">
        <v>56.7</v>
      </c>
      <c r="N8961" s="1700"/>
      <c r="O8961" s="1290">
        <f>G8961*M8961</f>
        <v>56.7</v>
      </c>
      <c r="P8961" s="1332">
        <f>M8961*K8961</f>
        <v>4.7061000000000002</v>
      </c>
      <c r="Q8961" s="3402"/>
      <c r="R8961" s="2356"/>
    </row>
    <row r="8962" spans="1:18" s="22" customFormat="1">
      <c r="A8962" s="16"/>
      <c r="B8962" s="1599"/>
      <c r="C8962" s="1320"/>
      <c r="D8962" s="1598" t="s">
        <v>1097</v>
      </c>
      <c r="E8962" s="1856" t="s">
        <v>1504</v>
      </c>
      <c r="F8962" s="1598" t="s">
        <v>1632</v>
      </c>
      <c r="G8962" s="1651">
        <v>0.5</v>
      </c>
      <c r="H8962" s="1399"/>
      <c r="I8962" s="198"/>
      <c r="J8962" s="198"/>
      <c r="K8962" s="1307">
        <f>G8962*K8959</f>
        <v>4.1500000000000002E-2</v>
      </c>
      <c r="L8962" s="1335">
        <f t="shared" si="1210"/>
        <v>0</v>
      </c>
      <c r="M8962" s="1499">
        <v>0.55000000000000004</v>
      </c>
      <c r="N8962" s="1701"/>
      <c r="O8962" s="1291">
        <f>G8962*M8962</f>
        <v>0.27500000000000002</v>
      </c>
      <c r="P8962" s="1332">
        <f>M8962*K8962</f>
        <v>2.2825000000000002E-2</v>
      </c>
      <c r="Q8962" s="3391"/>
      <c r="R8962" s="3363"/>
    </row>
    <row r="8963" spans="1:18" s="22" customFormat="1">
      <c r="A8963" s="16"/>
      <c r="B8963" s="1599"/>
      <c r="C8963" s="1320"/>
      <c r="D8963" s="1598" t="s">
        <v>1082</v>
      </c>
      <c r="E8963" s="1856" t="s">
        <v>1504</v>
      </c>
      <c r="F8963" s="1598" t="s">
        <v>1541</v>
      </c>
      <c r="G8963" s="1651">
        <v>1</v>
      </c>
      <c r="H8963" s="1399"/>
      <c r="I8963" s="198"/>
      <c r="J8963" s="198"/>
      <c r="K8963" s="1307">
        <f>G8963*K8959</f>
        <v>8.3000000000000004E-2</v>
      </c>
      <c r="L8963" s="1335">
        <f t="shared" si="1210"/>
        <v>0</v>
      </c>
      <c r="M8963" s="1499">
        <v>0.3</v>
      </c>
      <c r="N8963" s="1701"/>
      <c r="O8963" s="1291">
        <f>G8963*M8963</f>
        <v>0.3</v>
      </c>
      <c r="P8963" s="1332">
        <f>M8963*K8963</f>
        <v>2.4900000000000002E-2</v>
      </c>
      <c r="Q8963" s="3391"/>
      <c r="R8963" s="3363"/>
    </row>
    <row r="8964" spans="1:18" s="22" customFormat="1">
      <c r="A8964" s="16"/>
      <c r="B8964" s="1599"/>
      <c r="C8964" s="1320"/>
      <c r="D8964" s="1598"/>
      <c r="E8964" s="1856"/>
      <c r="F8964" s="1598"/>
      <c r="G8964" s="1651"/>
      <c r="H8964" s="1399"/>
      <c r="I8964" s="198"/>
      <c r="J8964" s="198"/>
      <c r="K8964" s="1350"/>
      <c r="L8964" s="1335"/>
      <c r="M8964" s="1499"/>
      <c r="N8964" s="1701"/>
      <c r="O8964" s="1291"/>
      <c r="P8964" s="1332"/>
      <c r="Q8964" s="3391"/>
      <c r="R8964" s="3363"/>
    </row>
    <row r="8965" spans="1:18" s="22" customFormat="1">
      <c r="A8965" s="16"/>
      <c r="B8965" s="1599"/>
      <c r="C8965" s="1320"/>
      <c r="D8965" s="1598"/>
      <c r="E8965" s="1856"/>
      <c r="F8965" s="1598"/>
      <c r="G8965" s="1399"/>
      <c r="H8965" s="1399"/>
      <c r="I8965" s="198"/>
      <c r="J8965" s="198"/>
      <c r="K8965" s="1307"/>
      <c r="L8965" s="1335"/>
      <c r="M8965" s="1499"/>
      <c r="N8965" s="1701"/>
      <c r="O8965" s="1291"/>
      <c r="P8965" s="1332"/>
      <c r="Q8965" s="3391"/>
      <c r="R8965" s="3363"/>
    </row>
    <row r="8966" spans="1:18" s="22" customFormat="1" ht="26">
      <c r="A8966" s="2187"/>
      <c r="B8966" s="1599"/>
      <c r="C8966" s="1042"/>
      <c r="D8966" s="1359"/>
      <c r="E8966" s="1858"/>
      <c r="F8966" s="1360" t="s">
        <v>2</v>
      </c>
      <c r="G8966" s="1360"/>
      <c r="H8966" s="1362"/>
      <c r="I8966" s="1380"/>
      <c r="J8966" s="1381"/>
      <c r="K8966" s="1381"/>
      <c r="L8966" s="1458"/>
      <c r="M8966" s="1362"/>
      <c r="N8966" s="1362"/>
      <c r="O8966" s="1362"/>
      <c r="P8966" s="1359"/>
      <c r="Q8966" s="3403"/>
      <c r="R8966" s="2357"/>
    </row>
    <row r="8967" spans="1:18" s="22" customFormat="1" ht="26">
      <c r="A8967" s="2187"/>
      <c r="B8967" s="2053"/>
      <c r="C8967" s="1321"/>
      <c r="D8967" s="1655" t="s">
        <v>1099</v>
      </c>
      <c r="E8967" s="1859" t="s">
        <v>1508</v>
      </c>
      <c r="F8967" s="1655" t="s">
        <v>1633</v>
      </c>
      <c r="G8967" s="1994">
        <v>0.5</v>
      </c>
      <c r="H8967" s="1386"/>
      <c r="I8967" s="1299"/>
      <c r="J8967" s="1300"/>
      <c r="K8967" s="1307">
        <f>G8967*K8959</f>
        <v>4.1500000000000002E-2</v>
      </c>
      <c r="L8967" s="1335">
        <f t="shared" ref="L8967" si="1211">K8967*$K$8584</f>
        <v>0</v>
      </c>
      <c r="M8967" s="1302">
        <v>19.23</v>
      </c>
      <c r="N8967" s="1700"/>
      <c r="O8967" s="1290">
        <f>G8967*M8967</f>
        <v>9.6150000000000002</v>
      </c>
      <c r="P8967" s="1332">
        <f>M8967*K8967</f>
        <v>0.798045</v>
      </c>
      <c r="Q8967" s="3402"/>
      <c r="R8967" s="2357"/>
    </row>
    <row r="8968" spans="1:18" s="22" customFormat="1" ht="21.75" customHeight="1">
      <c r="A8968" s="19"/>
      <c r="B8968" s="1042"/>
      <c r="C8968" s="19"/>
      <c r="D8968" s="1430"/>
      <c r="E8968" s="1857"/>
      <c r="F8968" s="1430"/>
      <c r="G8968" s="1381"/>
      <c r="H8968" s="1395"/>
      <c r="I8968" s="1346"/>
      <c r="J8968" s="198"/>
      <c r="K8968" s="1307"/>
      <c r="L8968" s="1335"/>
      <c r="M8968" s="1302"/>
      <c r="N8968" s="1700"/>
      <c r="O8968" s="1290"/>
      <c r="P8968" s="1332"/>
      <c r="Q8968" s="3391"/>
      <c r="R8968" s="2338"/>
    </row>
    <row r="8969" spans="1:18" s="22" customFormat="1">
      <c r="B8969" s="1320"/>
      <c r="C8969" s="16"/>
      <c r="D8969" s="1359"/>
      <c r="E8969" s="1858"/>
      <c r="F8969" s="1474"/>
      <c r="G8969" s="1474"/>
      <c r="H8969" s="1466"/>
      <c r="I8969" s="1289"/>
      <c r="J8969" s="8"/>
      <c r="K8969" s="1307"/>
      <c r="L8969" s="1335"/>
      <c r="M8969" s="1302"/>
      <c r="N8969" s="1700"/>
      <c r="O8969" s="1290"/>
      <c r="P8969" s="1332"/>
      <c r="Q8969" s="3391"/>
      <c r="R8969" s="2344"/>
    </row>
    <row r="8970" spans="1:18" s="22" customFormat="1">
      <c r="A8970" s="1320"/>
      <c r="B8970" s="1599"/>
      <c r="C8970" s="1320"/>
      <c r="D8970" s="1373"/>
      <c r="E8970" s="2123"/>
      <c r="F8970" s="1374" t="s">
        <v>3</v>
      </c>
      <c r="G8970" s="1375"/>
      <c r="H8970" s="1376"/>
      <c r="I8970" s="1382"/>
      <c r="J8970" s="1383"/>
      <c r="K8970" s="1383"/>
      <c r="L8970" s="1413"/>
      <c r="M8970" s="1376"/>
      <c r="N8970" s="1376"/>
      <c r="O8970" s="1376"/>
      <c r="P8970" s="1373"/>
      <c r="Q8970" s="3403"/>
      <c r="R8970" s="2356"/>
    </row>
    <row r="8971" spans="1:18" s="22" customFormat="1">
      <c r="A8971" s="1321"/>
      <c r="B8971" s="2053"/>
      <c r="C8971" s="1321"/>
      <c r="D8971" s="1827"/>
      <c r="E8971" s="2173"/>
      <c r="F8971" s="1827"/>
      <c r="G8971" s="1828"/>
      <c r="H8971" s="1379"/>
      <c r="I8971" s="1299"/>
      <c r="J8971" s="1300"/>
      <c r="K8971" s="1307"/>
      <c r="L8971" s="1335"/>
      <c r="M8971" s="1302"/>
      <c r="N8971" s="1700"/>
      <c r="O8971" s="1290"/>
      <c r="P8971" s="1332"/>
      <c r="Q8971" s="3402"/>
      <c r="R8971" s="2053"/>
    </row>
    <row r="8972" spans="1:18" s="22" customFormat="1">
      <c r="A8972" s="1321"/>
      <c r="B8972" s="2053"/>
      <c r="C8972" s="1321"/>
      <c r="D8972" s="1377"/>
      <c r="E8972" s="2124"/>
      <c r="F8972" s="1378"/>
      <c r="G8972" s="1378"/>
      <c r="H8972" s="1379"/>
      <c r="I8972" s="1299"/>
      <c r="J8972" s="1300"/>
      <c r="K8972" s="1307"/>
      <c r="L8972" s="1335"/>
      <c r="M8972" s="1302"/>
      <c r="N8972" s="1700"/>
      <c r="O8972" s="1290"/>
      <c r="P8972" s="1333"/>
      <c r="Q8972" s="3402"/>
      <c r="R8972" s="2053"/>
    </row>
    <row r="8973" spans="1:18" s="22" customFormat="1">
      <c r="A8973" s="18" t="s">
        <v>3764</v>
      </c>
      <c r="B8973" s="4325" t="s">
        <v>2615</v>
      </c>
      <c r="C8973" s="3350"/>
      <c r="D8973" s="4327"/>
      <c r="E8973" s="4329" t="s">
        <v>1504</v>
      </c>
      <c r="F8973" s="4336" t="s">
        <v>2616</v>
      </c>
      <c r="G8973" s="4331" t="s">
        <v>1568</v>
      </c>
      <c r="H8973" s="4331" t="s">
        <v>1574</v>
      </c>
      <c r="I8973" s="1572" t="s">
        <v>1559</v>
      </c>
      <c r="J8973" s="1294" t="s">
        <v>1560</v>
      </c>
      <c r="K8973" s="1294" t="s">
        <v>1569</v>
      </c>
      <c r="L8973" s="4333" t="s">
        <v>3765</v>
      </c>
      <c r="M8973" s="4335" t="s">
        <v>1571</v>
      </c>
      <c r="N8973" s="4323" t="s">
        <v>1776</v>
      </c>
      <c r="O8973" s="3347" t="s">
        <v>1563</v>
      </c>
      <c r="P8973" s="1336" t="s">
        <v>1562</v>
      </c>
      <c r="Q8973" s="3389"/>
      <c r="R8973" s="1699" t="s">
        <v>1327</v>
      </c>
    </row>
    <row r="8974" spans="1:18" s="22" customFormat="1">
      <c r="A8974" s="1599" t="s">
        <v>2512</v>
      </c>
      <c r="B8974" s="4326"/>
      <c r="C8974" s="3351"/>
      <c r="D8974" s="4328"/>
      <c r="E8974" s="4330"/>
      <c r="F8974" s="4336"/>
      <c r="G8974" s="4332"/>
      <c r="H8974" s="4332"/>
      <c r="I8974" s="1345">
        <v>1</v>
      </c>
      <c r="J8974" s="1307">
        <v>8.3000000000000004E-2</v>
      </c>
      <c r="K8974" s="1297">
        <f>I8974*J8974</f>
        <v>8.3000000000000004E-2</v>
      </c>
      <c r="L8974" s="4334"/>
      <c r="M8974" s="4335"/>
      <c r="N8974" s="4324"/>
      <c r="O8974" s="1298">
        <f>SUM(O8976:O8982)</f>
        <v>311.87800000000004</v>
      </c>
      <c r="P8974" s="1337">
        <f>O8974*K8974</f>
        <v>25.885874000000005</v>
      </c>
      <c r="Q8974" s="3390"/>
      <c r="R8974" s="1721">
        <f>SUM(P8976:P8982)</f>
        <v>25.885874000000001</v>
      </c>
    </row>
    <row r="8975" spans="1:18" s="22" customFormat="1">
      <c r="A8975" s="1320"/>
      <c r="B8975" s="1949"/>
      <c r="C8975" s="1327"/>
      <c r="D8975" s="1367"/>
      <c r="E8975" s="2121"/>
      <c r="F8975" s="1389" t="s">
        <v>1</v>
      </c>
      <c r="G8975" s="1389"/>
      <c r="H8975" s="1369"/>
      <c r="I8975" s="2088"/>
      <c r="J8975" s="1369"/>
      <c r="K8975" s="1391"/>
      <c r="L8975" s="1559"/>
      <c r="M8975" s="1369"/>
      <c r="N8975" s="1369"/>
      <c r="O8975" s="1369"/>
      <c r="P8975" s="1392"/>
      <c r="Q8975" s="3395"/>
      <c r="R8975" s="2344"/>
    </row>
    <row r="8976" spans="1:18" s="22" customFormat="1">
      <c r="A8976" s="1320"/>
      <c r="B8976" s="1599"/>
      <c r="C8976" s="1320"/>
      <c r="D8976" s="1598" t="s">
        <v>2617</v>
      </c>
      <c r="E8976" s="2154" t="s">
        <v>1504</v>
      </c>
      <c r="F8976" s="1598" t="s">
        <v>2618</v>
      </c>
      <c r="G8976" s="1995">
        <v>1</v>
      </c>
      <c r="H8976" s="1369"/>
      <c r="I8976" s="1299"/>
      <c r="J8976" s="1300"/>
      <c r="K8976" s="1307">
        <f>G8976*K8974</f>
        <v>8.3000000000000004E-2</v>
      </c>
      <c r="L8976" s="1335">
        <f t="shared" ref="L8976:L8977" si="1212">K8976*$K$8584</f>
        <v>0</v>
      </c>
      <c r="M8976" s="1302">
        <v>300.23</v>
      </c>
      <c r="N8976" s="1700"/>
      <c r="O8976" s="1290">
        <f>G8976*M8976</f>
        <v>300.23</v>
      </c>
      <c r="P8976" s="1332">
        <f>M8976*K8976</f>
        <v>24.919090000000004</v>
      </c>
      <c r="Q8976" s="3402"/>
      <c r="R8976" s="2356"/>
    </row>
    <row r="8977" spans="1:18" s="22" customFormat="1">
      <c r="A8977" s="16"/>
      <c r="B8977" s="1599"/>
      <c r="C8977" s="1320"/>
      <c r="D8977" s="1598" t="s">
        <v>1082</v>
      </c>
      <c r="E8977" s="1856" t="s">
        <v>1504</v>
      </c>
      <c r="F8977" s="1598" t="s">
        <v>1541</v>
      </c>
      <c r="G8977" s="1651">
        <v>1</v>
      </c>
      <c r="H8977" s="1399"/>
      <c r="I8977" s="198"/>
      <c r="J8977" s="198"/>
      <c r="K8977" s="1307">
        <f>G8977*K8974</f>
        <v>8.3000000000000004E-2</v>
      </c>
      <c r="L8977" s="1335">
        <f t="shared" si="1212"/>
        <v>0</v>
      </c>
      <c r="M8977" s="1499">
        <v>0.3</v>
      </c>
      <c r="N8977" s="1701"/>
      <c r="O8977" s="1291">
        <f>G8977*M8977</f>
        <v>0.3</v>
      </c>
      <c r="P8977" s="1332">
        <f>M8977*K8977</f>
        <v>2.4900000000000002E-2</v>
      </c>
      <c r="Q8977" s="3391"/>
      <c r="R8977" s="3363"/>
    </row>
    <row r="8978" spans="1:18" s="22" customFormat="1">
      <c r="A8978" s="16"/>
      <c r="B8978" s="1599"/>
      <c r="C8978" s="1320"/>
      <c r="D8978" s="1598"/>
      <c r="E8978" s="1856"/>
      <c r="F8978" s="1598"/>
      <c r="G8978" s="1651"/>
      <c r="H8978" s="1399"/>
      <c r="I8978" s="198"/>
      <c r="J8978" s="198"/>
      <c r="K8978" s="1307"/>
      <c r="L8978" s="1335"/>
      <c r="M8978" s="1499"/>
      <c r="N8978" s="1701"/>
      <c r="O8978" s="1291"/>
      <c r="P8978" s="1332"/>
      <c r="Q8978" s="3391"/>
      <c r="R8978" s="3363"/>
    </row>
    <row r="8979" spans="1:18" s="22" customFormat="1">
      <c r="A8979" s="16"/>
      <c r="B8979" s="1599"/>
      <c r="C8979" s="1320"/>
      <c r="D8979" s="1598"/>
      <c r="E8979" s="1856"/>
      <c r="F8979" s="1598"/>
      <c r="G8979" s="1399"/>
      <c r="H8979" s="1399"/>
      <c r="I8979" s="198"/>
      <c r="J8979" s="198"/>
      <c r="K8979" s="1307"/>
      <c r="L8979" s="1335"/>
      <c r="M8979" s="1499"/>
      <c r="N8979" s="1701"/>
      <c r="O8979" s="1291"/>
      <c r="P8979" s="1332"/>
      <c r="Q8979" s="3391"/>
      <c r="R8979" s="3363"/>
    </row>
    <row r="8980" spans="1:18" s="22" customFormat="1" ht="26">
      <c r="A8980" s="2187"/>
      <c r="B8980" s="1599"/>
      <c r="C8980" s="1042"/>
      <c r="D8980" s="1359"/>
      <c r="E8980" s="1858"/>
      <c r="F8980" s="1360" t="s">
        <v>2</v>
      </c>
      <c r="G8980" s="1360"/>
      <c r="H8980" s="1362"/>
      <c r="I8980" s="1380"/>
      <c r="J8980" s="1381"/>
      <c r="K8980" s="1381"/>
      <c r="L8980" s="1458"/>
      <c r="M8980" s="1362"/>
      <c r="N8980" s="1362"/>
      <c r="O8980" s="1362"/>
      <c r="P8980" s="1359"/>
      <c r="Q8980" s="3403"/>
      <c r="R8980" s="2357"/>
    </row>
    <row r="8981" spans="1:18" s="22" customFormat="1" ht="26">
      <c r="A8981" s="2187"/>
      <c r="B8981" s="2053"/>
      <c r="C8981" s="1321"/>
      <c r="D8981" s="1655" t="s">
        <v>2525</v>
      </c>
      <c r="E8981" s="1859" t="s">
        <v>1508</v>
      </c>
      <c r="F8981" s="1655" t="s">
        <v>2526</v>
      </c>
      <c r="G8981" s="1994">
        <v>0.4</v>
      </c>
      <c r="H8981" s="1386"/>
      <c r="I8981" s="1299"/>
      <c r="J8981" s="1300"/>
      <c r="K8981" s="1307">
        <f>G8981*K8974</f>
        <v>3.32E-2</v>
      </c>
      <c r="L8981" s="1335">
        <f t="shared" ref="L8981:L8982" si="1213">K8981*$K$8584</f>
        <v>0</v>
      </c>
      <c r="M8981" s="1302">
        <v>19.23</v>
      </c>
      <c r="N8981" s="1700"/>
      <c r="O8981" s="1290">
        <f>G8981*M8981</f>
        <v>7.6920000000000002</v>
      </c>
      <c r="P8981" s="1332">
        <f>M8981*K8981</f>
        <v>0.638436</v>
      </c>
      <c r="Q8981" s="3402"/>
      <c r="R8981" s="2357"/>
    </row>
    <row r="8982" spans="1:18" s="22" customFormat="1">
      <c r="A8982" s="19"/>
      <c r="B8982" s="1042"/>
      <c r="C8982" s="19"/>
      <c r="D8982" s="1430" t="s">
        <v>1067</v>
      </c>
      <c r="E8982" s="1857" t="s">
        <v>1508</v>
      </c>
      <c r="F8982" s="1430" t="s">
        <v>1512</v>
      </c>
      <c r="G8982" s="1381">
        <v>0.2</v>
      </c>
      <c r="H8982" s="1395"/>
      <c r="I8982" s="1346"/>
      <c r="J8982" s="198"/>
      <c r="K8982" s="1307">
        <f>G8982*K8974</f>
        <v>1.66E-2</v>
      </c>
      <c r="L8982" s="1335">
        <f t="shared" si="1213"/>
        <v>0</v>
      </c>
      <c r="M8982" s="1302">
        <v>18.28</v>
      </c>
      <c r="N8982" s="1700"/>
      <c r="O8982" s="1290">
        <f>G8982*M8982</f>
        <v>3.6560000000000006</v>
      </c>
      <c r="P8982" s="1332">
        <f>M8982*K8982</f>
        <v>0.303448</v>
      </c>
      <c r="Q8982" s="3391"/>
      <c r="R8982" s="2338"/>
    </row>
    <row r="8983" spans="1:18" s="22" customFormat="1">
      <c r="A8983"/>
      <c r="B8983" s="1042"/>
      <c r="C8983" s="19"/>
      <c r="D8983" s="1430"/>
      <c r="E8983" s="1857"/>
      <c r="F8983" s="1766"/>
      <c r="G8983" s="2183"/>
      <c r="H8983" s="1395"/>
      <c r="I8983" s="197"/>
      <c r="J8983" s="198"/>
      <c r="K8983" s="1307"/>
      <c r="L8983" s="1335"/>
      <c r="M8983" s="1302"/>
      <c r="N8983" s="1718"/>
      <c r="O8983" s="1290"/>
      <c r="P8983" s="1720"/>
      <c r="Q8983" s="3396"/>
      <c r="R8983" s="2337"/>
    </row>
    <row r="8984" spans="1:18" s="22" customFormat="1">
      <c r="B8984" s="1320"/>
      <c r="C8984" s="16"/>
      <c r="D8984" s="1359"/>
      <c r="E8984" s="1858"/>
      <c r="F8984" s="1474"/>
      <c r="G8984" s="1474"/>
      <c r="H8984" s="1466"/>
      <c r="I8984" s="1289"/>
      <c r="J8984" s="8"/>
      <c r="K8984" s="1307"/>
      <c r="L8984" s="1335"/>
      <c r="M8984" s="1302"/>
      <c r="N8984" s="1700"/>
      <c r="O8984" s="1290"/>
      <c r="P8984" s="1332"/>
      <c r="Q8984" s="3391"/>
      <c r="R8984" s="2344"/>
    </row>
    <row r="8985" spans="1:18" s="22" customFormat="1">
      <c r="A8985" s="1320"/>
      <c r="B8985" s="1599"/>
      <c r="C8985" s="1320"/>
      <c r="D8985" s="1373"/>
      <c r="E8985" s="2123"/>
      <c r="F8985" s="1374" t="s">
        <v>3</v>
      </c>
      <c r="G8985" s="1375"/>
      <c r="H8985" s="1376"/>
      <c r="I8985" s="1382"/>
      <c r="J8985" s="1383"/>
      <c r="K8985" s="1383"/>
      <c r="L8985" s="1413"/>
      <c r="M8985" s="1376"/>
      <c r="N8985" s="1376"/>
      <c r="O8985" s="1376"/>
      <c r="P8985" s="1373"/>
      <c r="Q8985" s="3403"/>
      <c r="R8985" s="2356"/>
    </row>
    <row r="8986" spans="1:18" s="22" customFormat="1">
      <c r="A8986" s="1321"/>
      <c r="B8986" s="2053"/>
      <c r="C8986" s="1321"/>
      <c r="D8986" s="1827"/>
      <c r="E8986" s="2173"/>
      <c r="F8986" s="1827"/>
      <c r="G8986" s="1828"/>
      <c r="H8986" s="1379"/>
      <c r="I8986" s="1299"/>
      <c r="J8986" s="1300"/>
      <c r="K8986" s="1307"/>
      <c r="L8986" s="1335"/>
      <c r="M8986" s="1302"/>
      <c r="N8986" s="1700"/>
      <c r="O8986" s="1290"/>
      <c r="P8986" s="1332"/>
      <c r="Q8986" s="3402"/>
      <c r="R8986" s="2053"/>
    </row>
    <row r="8987" spans="1:18" s="22" customFormat="1">
      <c r="A8987" s="1321"/>
      <c r="B8987" s="2053"/>
      <c r="C8987" s="1321"/>
      <c r="D8987" s="1827"/>
      <c r="E8987" s="2173"/>
      <c r="F8987" s="1827"/>
      <c r="G8987" s="1828"/>
      <c r="H8987" s="1379"/>
      <c r="I8987" s="1299"/>
      <c r="J8987" s="1300"/>
      <c r="K8987" s="1307"/>
      <c r="L8987" s="1335"/>
      <c r="M8987" s="1302"/>
      <c r="N8987" s="1700"/>
      <c r="O8987" s="1290"/>
      <c r="P8987" s="1332"/>
      <c r="Q8987" s="3402"/>
      <c r="R8987" s="2053"/>
    </row>
    <row r="8988" spans="1:18" s="22" customFormat="1">
      <c r="A8988" s="1321"/>
      <c r="B8988" s="2053"/>
      <c r="C8988" s="1321"/>
      <c r="D8988" s="1377"/>
      <c r="E8988" s="2124"/>
      <c r="F8988" s="1378"/>
      <c r="G8988" s="1378"/>
      <c r="H8988" s="1379"/>
      <c r="I8988" s="1299"/>
      <c r="J8988" s="1300"/>
      <c r="K8988" s="1307"/>
      <c r="L8988" s="1335"/>
      <c r="M8988" s="1302"/>
      <c r="N8988" s="1700"/>
      <c r="O8988" s="1290"/>
      <c r="P8988" s="1333"/>
      <c r="Q8988" s="3402"/>
      <c r="R8988" s="2053"/>
    </row>
    <row r="8989" spans="1:18" s="22" customFormat="1">
      <c r="A8989" s="18" t="s">
        <v>3764</v>
      </c>
      <c r="B8989" s="4325" t="s">
        <v>1712</v>
      </c>
      <c r="C8989" s="3354"/>
      <c r="D8989" s="4327"/>
      <c r="E8989" s="4337" t="s">
        <v>1507</v>
      </c>
      <c r="F8989" s="4338" t="s">
        <v>1714</v>
      </c>
      <c r="G8989" s="4331" t="s">
        <v>1574</v>
      </c>
      <c r="H8989" s="4331" t="s">
        <v>1568</v>
      </c>
      <c r="I8989" s="1572" t="s">
        <v>1559</v>
      </c>
      <c r="J8989" s="1294" t="s">
        <v>1560</v>
      </c>
      <c r="K8989" s="1294" t="s">
        <v>1561</v>
      </c>
      <c r="L8989" s="4333" t="s">
        <v>3765</v>
      </c>
      <c r="M8989" s="4335" t="s">
        <v>1571</v>
      </c>
      <c r="N8989" s="4323" t="s">
        <v>1776</v>
      </c>
      <c r="O8989" s="3347" t="s">
        <v>1563</v>
      </c>
      <c r="P8989" s="1336" t="s">
        <v>1562</v>
      </c>
      <c r="Q8989" s="3389"/>
      <c r="R8989" s="1699" t="s">
        <v>1327</v>
      </c>
    </row>
    <row r="8990" spans="1:18" s="22" customFormat="1">
      <c r="A8990" s="1599" t="s">
        <v>2512</v>
      </c>
      <c r="B8990" s="4326"/>
      <c r="C8990" s="3351"/>
      <c r="D8990" s="4328"/>
      <c r="E8990" s="4337"/>
      <c r="F8990" s="4338"/>
      <c r="G8990" s="4332"/>
      <c r="H8990" s="4332"/>
      <c r="I8990" s="1345">
        <v>58</v>
      </c>
      <c r="J8990" s="1307">
        <v>8.3000000000000004E-2</v>
      </c>
      <c r="K8990" s="1297">
        <f>I8990*J8990</f>
        <v>4.8140000000000001</v>
      </c>
      <c r="L8990" s="4334"/>
      <c r="M8990" s="4335"/>
      <c r="N8990" s="4324"/>
      <c r="O8990" s="1298">
        <f>SUM(O8992:O9002)</f>
        <v>7.8734500000000001</v>
      </c>
      <c r="P8990" s="1337">
        <f>K8990*O8990</f>
        <v>37.902788299999997</v>
      </c>
      <c r="Q8990" s="3390"/>
      <c r="R8990" s="1721">
        <f>SUM(P8992:P9003)</f>
        <v>37.902788299999997</v>
      </c>
    </row>
    <row r="8991" spans="1:18" s="22" customFormat="1">
      <c r="A8991" s="19"/>
      <c r="B8991" s="551"/>
      <c r="C8991" s="18"/>
      <c r="D8991" s="1400"/>
      <c r="E8991" s="2121"/>
      <c r="F8991" s="1389" t="s">
        <v>1</v>
      </c>
      <c r="G8991" s="1472"/>
      <c r="H8991" s="1369"/>
      <c r="I8991" s="1391"/>
      <c r="J8991" s="1369"/>
      <c r="K8991" s="1369"/>
      <c r="L8991" s="1554"/>
      <c r="M8991" s="1487"/>
      <c r="N8991" s="1487"/>
      <c r="O8991" s="1487"/>
      <c r="P8991" s="1367"/>
      <c r="Q8991" s="3387"/>
      <c r="R8991" s="2338"/>
    </row>
    <row r="8992" spans="1:18" s="22" customFormat="1">
      <c r="A8992" s="19"/>
      <c r="B8992" s="553"/>
      <c r="C8992" s="1042"/>
      <c r="D8992" s="1615" t="s">
        <v>1128</v>
      </c>
      <c r="E8992" s="1856" t="s">
        <v>1517</v>
      </c>
      <c r="F8992" s="1421" t="s">
        <v>1695</v>
      </c>
      <c r="G8992" s="1367"/>
      <c r="H8992" s="1604">
        <v>1.4999999999999999E-2</v>
      </c>
      <c r="I8992" s="1342"/>
      <c r="J8992" s="198"/>
      <c r="K8992" s="1307">
        <f>H8992*K8990</f>
        <v>7.2209999999999996E-2</v>
      </c>
      <c r="L8992" s="1335">
        <f t="shared" ref="L8992:L8993" si="1214">K8992*$K$8584</f>
        <v>0</v>
      </c>
      <c r="M8992" s="1302">
        <v>104.28</v>
      </c>
      <c r="N8992" s="1700"/>
      <c r="O8992" s="1290">
        <f>(H8992*M8992)</f>
        <v>1.5642</v>
      </c>
      <c r="P8992" s="1332">
        <f>M8992*K8992</f>
        <v>7.5300587999999999</v>
      </c>
      <c r="Q8992" s="3391"/>
      <c r="R8992" s="2338"/>
    </row>
    <row r="8993" spans="1:20" s="22" customFormat="1">
      <c r="A8993" s="19"/>
      <c r="B8993" s="553"/>
      <c r="C8993" s="1042"/>
      <c r="D8993" s="1428" t="s">
        <v>1152</v>
      </c>
      <c r="E8993" s="2122" t="s">
        <v>1517</v>
      </c>
      <c r="F8993" s="1370" t="s">
        <v>1696</v>
      </c>
      <c r="G8993" s="1367"/>
      <c r="H8993" s="1452">
        <v>5.0000000000000001E-3</v>
      </c>
      <c r="I8993" s="1286"/>
      <c r="J8993" s="198"/>
      <c r="K8993" s="1307">
        <f>H8993*K8990</f>
        <v>2.4070000000000001E-2</v>
      </c>
      <c r="L8993" s="1335">
        <f t="shared" si="1214"/>
        <v>0</v>
      </c>
      <c r="M8993" s="1302">
        <v>108.05</v>
      </c>
      <c r="N8993" s="1700"/>
      <c r="O8993" s="1290">
        <f>(H8993*M8993)</f>
        <v>0.54025000000000001</v>
      </c>
      <c r="P8993" s="1332">
        <f>M8993*K8993</f>
        <v>2.6007635000000002</v>
      </c>
      <c r="Q8993" s="3391"/>
      <c r="R8993" s="2338"/>
    </row>
    <row r="8994" spans="1:20" s="22" customFormat="1">
      <c r="A8994" s="19"/>
      <c r="B8994" s="553"/>
      <c r="C8994" s="1320"/>
      <c r="D8994" s="1396"/>
      <c r="E8994" s="1856"/>
      <c r="F8994" s="1421"/>
      <c r="G8994" s="1452"/>
      <c r="H8994" s="1453"/>
      <c r="I8994" s="1286"/>
      <c r="J8994" s="198"/>
      <c r="K8994" s="1307"/>
      <c r="L8994" s="1335"/>
      <c r="M8994" s="1302"/>
      <c r="N8994" s="1700"/>
      <c r="O8994" s="1290"/>
      <c r="P8994" s="1332"/>
      <c r="Q8994" s="3391"/>
      <c r="R8994" s="2338"/>
    </row>
    <row r="8995" spans="1:20" s="22" customFormat="1">
      <c r="A8995" s="19"/>
      <c r="B8995" s="553"/>
      <c r="C8995" s="1042"/>
      <c r="D8995" s="1400"/>
      <c r="E8995" s="1856"/>
      <c r="F8995" s="1397"/>
      <c r="G8995" s="1416"/>
      <c r="H8995" s="1399"/>
      <c r="I8995" s="197"/>
      <c r="J8995" s="198"/>
      <c r="K8995" s="1307"/>
      <c r="L8995" s="1335"/>
      <c r="M8995" s="1302"/>
      <c r="N8995" s="1700"/>
      <c r="O8995" s="1290"/>
      <c r="P8995" s="1332"/>
      <c r="Q8995" s="3391"/>
      <c r="R8995" s="2338"/>
    </row>
    <row r="8996" spans="1:20" s="22" customFormat="1">
      <c r="A8996" s="19"/>
      <c r="B8996" s="553"/>
      <c r="C8996" s="1042"/>
      <c r="D8996" s="1404"/>
      <c r="E8996" s="1858"/>
      <c r="F8996" s="1465" t="s">
        <v>2</v>
      </c>
      <c r="G8996" s="1466"/>
      <c r="H8996" s="1362"/>
      <c r="I8996" s="1381"/>
      <c r="J8996" s="1381"/>
      <c r="K8996" s="1359"/>
      <c r="L8996" s="1458"/>
      <c r="M8996" s="1498"/>
      <c r="N8996" s="1498"/>
      <c r="O8996" s="1498"/>
      <c r="P8996" s="1359"/>
      <c r="Q8996" s="3387"/>
      <c r="R8996" s="2338"/>
    </row>
    <row r="8997" spans="1:20" s="22" customFormat="1">
      <c r="A8997" s="19"/>
      <c r="B8997" s="553"/>
      <c r="C8997" s="1042"/>
      <c r="D8997" s="1622" t="s">
        <v>1153</v>
      </c>
      <c r="E8997" s="2125" t="s">
        <v>1508</v>
      </c>
      <c r="F8997" s="1363" t="s">
        <v>1697</v>
      </c>
      <c r="G8997" s="1466"/>
      <c r="H8997" s="1408">
        <v>0.3</v>
      </c>
      <c r="I8997" s="1340"/>
      <c r="J8997" s="198"/>
      <c r="K8997" s="1307">
        <f>H8997*K8990</f>
        <v>1.4441999999999999</v>
      </c>
      <c r="L8997" s="1335">
        <f t="shared" ref="L8997" si="1215">K8997*$K$8584</f>
        <v>0</v>
      </c>
      <c r="M8997" s="1302">
        <v>19.23</v>
      </c>
      <c r="N8997" s="1700"/>
      <c r="O8997" s="1290">
        <f>(H8997*M8997)</f>
        <v>5.7690000000000001</v>
      </c>
      <c r="P8997" s="1332">
        <f>M8997*K8997</f>
        <v>27.771965999999999</v>
      </c>
      <c r="Q8997" s="3391"/>
      <c r="R8997" s="2338"/>
    </row>
    <row r="8998" spans="1:20" s="22" customFormat="1">
      <c r="A8998" s="19"/>
      <c r="B8998" s="553"/>
      <c r="C8998" s="1042"/>
      <c r="D8998" s="1622"/>
      <c r="E8998" s="2125"/>
      <c r="F8998" s="1363"/>
      <c r="G8998" s="1474"/>
      <c r="H8998" s="1408"/>
      <c r="I8998" s="1340"/>
      <c r="J8998" s="198"/>
      <c r="K8998" s="1307"/>
      <c r="L8998" s="1335"/>
      <c r="M8998" s="1302"/>
      <c r="N8998" s="1700"/>
      <c r="O8998" s="1290"/>
      <c r="P8998" s="1332"/>
      <c r="Q8998" s="3391"/>
      <c r="R8998" s="2338"/>
    </row>
    <row r="8999" spans="1:20" s="22" customFormat="1">
      <c r="A8999" s="19"/>
      <c r="B8999" s="553"/>
      <c r="C8999" s="1042"/>
      <c r="D8999" s="1622"/>
      <c r="E8999" s="2125"/>
      <c r="F8999" s="1363"/>
      <c r="G8999" s="1474"/>
      <c r="H8999" s="1408"/>
      <c r="I8999" s="1340"/>
      <c r="J8999" s="198"/>
      <c r="K8999" s="1307"/>
      <c r="L8999" s="1335"/>
      <c r="M8999" s="1302"/>
      <c r="N8999" s="1700"/>
      <c r="O8999" s="1290"/>
      <c r="P8999" s="1332"/>
      <c r="Q8999" s="3391"/>
      <c r="R8999" s="2338"/>
    </row>
    <row r="9000" spans="1:20" s="22" customFormat="1">
      <c r="A9000" s="19"/>
      <c r="B9000" s="553"/>
      <c r="C9000" s="1042"/>
      <c r="D9000" s="1411"/>
      <c r="E9000" s="2123"/>
      <c r="F9000" s="1475" t="s">
        <v>3</v>
      </c>
      <c r="G9000" s="1377"/>
      <c r="H9000" s="1376"/>
      <c r="I9000" s="1383" t="s">
        <v>506</v>
      </c>
      <c r="J9000" s="1383"/>
      <c r="K9000" s="1383"/>
      <c r="L9000" s="1413"/>
      <c r="M9000" s="1376"/>
      <c r="N9000" s="1376"/>
      <c r="O9000" s="1376"/>
      <c r="P9000" s="1373"/>
      <c r="Q9000" s="3387"/>
      <c r="R9000" s="2338"/>
    </row>
    <row r="9001" spans="1:20" s="22" customFormat="1">
      <c r="A9001" s="16"/>
      <c r="B9001" s="553"/>
      <c r="C9001" s="1042"/>
      <c r="D9001" s="1440"/>
      <c r="E9001" s="2132"/>
      <c r="F9001" s="1441"/>
      <c r="G9001" s="1441"/>
      <c r="H9001" s="1442"/>
      <c r="I9001" s="197" t="s">
        <v>506</v>
      </c>
      <c r="J9001" s="198"/>
      <c r="K9001" s="1307"/>
      <c r="L9001" s="1335"/>
      <c r="M9001" s="1499"/>
      <c r="N9001" s="1701"/>
      <c r="O9001" s="1290"/>
      <c r="P9001" s="1332"/>
      <c r="Q9001" s="3391"/>
      <c r="R9001" s="2338"/>
    </row>
    <row r="9002" spans="1:20" s="22" customFormat="1">
      <c r="A9002" s="16"/>
      <c r="B9002" s="553"/>
      <c r="C9002" s="1042"/>
      <c r="D9002" s="1440"/>
      <c r="E9002" s="2132"/>
      <c r="F9002" s="1441"/>
      <c r="G9002" s="1441"/>
      <c r="H9002" s="1442"/>
      <c r="I9002" s="197" t="s">
        <v>506</v>
      </c>
      <c r="J9002" s="198"/>
      <c r="K9002" s="1307"/>
      <c r="L9002" s="1335"/>
      <c r="M9002" s="1499"/>
      <c r="N9002" s="1701"/>
      <c r="O9002" s="1290"/>
      <c r="P9002" s="1332"/>
      <c r="Q9002" s="3391"/>
      <c r="R9002" s="2338"/>
    </row>
    <row r="9003" spans="1:20" s="22" customFormat="1">
      <c r="A9003" s="16"/>
      <c r="B9003" s="554"/>
      <c r="C9003" s="223"/>
      <c r="D9003" s="1440"/>
      <c r="E9003" s="2132"/>
      <c r="F9003" s="1441"/>
      <c r="G9003" s="1441"/>
      <c r="H9003" s="1442"/>
      <c r="I9003" s="197"/>
      <c r="J9003" s="198"/>
      <c r="K9003" s="1307"/>
      <c r="L9003" s="1335"/>
      <c r="M9003" s="1499"/>
      <c r="N9003" s="1701"/>
      <c r="O9003" s="1290"/>
      <c r="P9003" s="1332"/>
      <c r="Q9003" s="3391"/>
      <c r="R9003" s="2338"/>
    </row>
    <row r="9004" spans="1:20" s="22" customFormat="1">
      <c r="A9004" s="18" t="s">
        <v>3764</v>
      </c>
      <c r="B9004" s="4325" t="s">
        <v>1661</v>
      </c>
      <c r="C9004" s="3350"/>
      <c r="D9004" s="4327"/>
      <c r="E9004" s="4337" t="s">
        <v>1507</v>
      </c>
      <c r="F9004" s="4338" t="s">
        <v>1706</v>
      </c>
      <c r="G9004" s="4331" t="s">
        <v>1574</v>
      </c>
      <c r="H9004" s="4331" t="s">
        <v>1568</v>
      </c>
      <c r="I9004" s="1572" t="s">
        <v>1559</v>
      </c>
      <c r="J9004" s="1294" t="s">
        <v>1560</v>
      </c>
      <c r="K9004" s="1294" t="s">
        <v>1561</v>
      </c>
      <c r="L9004" s="4333" t="s">
        <v>3765</v>
      </c>
      <c r="M9004" s="4335" t="s">
        <v>1571</v>
      </c>
      <c r="N9004" s="4323" t="s">
        <v>1776</v>
      </c>
      <c r="O9004" s="3347" t="s">
        <v>1563</v>
      </c>
      <c r="P9004" s="1336" t="s">
        <v>1562</v>
      </c>
      <c r="Q9004" s="3389"/>
      <c r="R9004" s="1699" t="s">
        <v>1327</v>
      </c>
    </row>
    <row r="9005" spans="1:20" s="22" customFormat="1">
      <c r="A9005" s="1599" t="s">
        <v>2512</v>
      </c>
      <c r="B9005" s="4326"/>
      <c r="C9005" s="3354"/>
      <c r="D9005" s="4328"/>
      <c r="E9005" s="4337"/>
      <c r="F9005" s="4338"/>
      <c r="G9005" s="4332"/>
      <c r="H9005" s="4332"/>
      <c r="I9005" s="1345">
        <v>58</v>
      </c>
      <c r="J9005" s="1307">
        <v>8.3000000000000004E-2</v>
      </c>
      <c r="K9005" s="1297">
        <f>I9005*J9005</f>
        <v>4.8140000000000001</v>
      </c>
      <c r="L9005" s="4334"/>
      <c r="M9005" s="4335"/>
      <c r="N9005" s="4324"/>
      <c r="O9005" s="1298">
        <f>SUM(O9007:O9019)</f>
        <v>8.9870400000000004</v>
      </c>
      <c r="P9005" s="1337">
        <f>K9005*O9005</f>
        <v>43.263610560000004</v>
      </c>
      <c r="Q9005" s="3390"/>
      <c r="R9005" s="1721">
        <f>SUM(P9007:P9019)</f>
        <v>43.263610559999996</v>
      </c>
    </row>
    <row r="9006" spans="1:20">
      <c r="A9006" s="19"/>
      <c r="B9006" s="551"/>
      <c r="C9006" s="18"/>
      <c r="D9006" s="1400"/>
      <c r="E9006" s="2121"/>
      <c r="F9006" s="1389" t="s">
        <v>1</v>
      </c>
      <c r="G9006" s="1472"/>
      <c r="H9006" s="1369"/>
      <c r="I9006" s="1391"/>
      <c r="J9006" s="1369"/>
      <c r="K9006" s="1369"/>
      <c r="L9006" s="1554"/>
      <c r="M9006" s="1487"/>
      <c r="N9006" s="1487"/>
      <c r="O9006" s="1487"/>
      <c r="P9006" s="1367"/>
      <c r="Q9006" s="3387"/>
      <c r="R9006" s="2338"/>
    </row>
    <row r="9007" spans="1:20" s="22" customFormat="1">
      <c r="A9007" s="19"/>
      <c r="B9007" s="553"/>
      <c r="C9007" s="1042"/>
      <c r="D9007" s="1615" t="s">
        <v>1698</v>
      </c>
      <c r="E9007" s="1856" t="s">
        <v>1357</v>
      </c>
      <c r="F9007" s="1421" t="s">
        <v>1699</v>
      </c>
      <c r="G9007" s="1367"/>
      <c r="H9007" s="2090">
        <v>0.45</v>
      </c>
      <c r="I9007" s="1342"/>
      <c r="J9007" s="198"/>
      <c r="K9007" s="1307">
        <f>H9007*K9005</f>
        <v>2.1663000000000001</v>
      </c>
      <c r="L9007" s="1335">
        <f t="shared" ref="L9007:L9009" si="1216">K9007*$K$8584</f>
        <v>0</v>
      </c>
      <c r="M9007" s="1302">
        <v>1.7</v>
      </c>
      <c r="N9007" s="1700"/>
      <c r="O9007" s="1290">
        <f>(H9007*M9007)</f>
        <v>0.76500000000000001</v>
      </c>
      <c r="P9007" s="1332">
        <f>M9007*K9007</f>
        <v>3.6827100000000002</v>
      </c>
      <c r="Q9007" s="3391"/>
      <c r="R9007" s="2338"/>
    </row>
    <row r="9008" spans="1:20" s="22" customFormat="1">
      <c r="A9008" s="19"/>
      <c r="B9008" s="553"/>
      <c r="C9008" s="1042"/>
      <c r="D9008" s="1615" t="s">
        <v>1214</v>
      </c>
      <c r="E9008" s="1856" t="s">
        <v>1357</v>
      </c>
      <c r="F9008" s="1421" t="s">
        <v>1700</v>
      </c>
      <c r="G9008" s="1367"/>
      <c r="H9008" s="1452">
        <v>0.35</v>
      </c>
      <c r="I9008" s="1286"/>
      <c r="J9008" s="198"/>
      <c r="K9008" s="1307">
        <f>H9008*K9005</f>
        <v>1.6848999999999998</v>
      </c>
      <c r="L9008" s="1335">
        <f t="shared" si="1216"/>
        <v>0</v>
      </c>
      <c r="M9008" s="1302">
        <v>4.2</v>
      </c>
      <c r="N9008" s="1700"/>
      <c r="O9008" s="1290">
        <f>(H9008*M9008)</f>
        <v>1.47</v>
      </c>
      <c r="P9008" s="1332">
        <f>M9008*K9008</f>
        <v>7.0765799999999999</v>
      </c>
      <c r="Q9008" s="3391"/>
      <c r="R9008" s="3363"/>
      <c r="S9008" s="3411" t="s">
        <v>3359</v>
      </c>
      <c r="T9008" s="3408" t="s">
        <v>2763</v>
      </c>
    </row>
    <row r="9009" spans="1:20" s="22" customFormat="1">
      <c r="A9009" s="19"/>
      <c r="B9009" s="553"/>
      <c r="C9009" s="1320"/>
      <c r="D9009" s="1400" t="s">
        <v>1701</v>
      </c>
      <c r="E9009" s="1856" t="s">
        <v>1504</v>
      </c>
      <c r="F9009" s="1421" t="s">
        <v>1541</v>
      </c>
      <c r="G9009" s="1367"/>
      <c r="H9009" s="1399">
        <v>0.2</v>
      </c>
      <c r="I9009" s="1614"/>
      <c r="J9009" s="1341"/>
      <c r="K9009" s="1307">
        <f>H9009*K9005</f>
        <v>0.9628000000000001</v>
      </c>
      <c r="L9009" s="1335">
        <f t="shared" si="1216"/>
        <v>0</v>
      </c>
      <c r="M9009" s="1302">
        <v>0.3</v>
      </c>
      <c r="N9009" s="1700"/>
      <c r="O9009" s="1290">
        <f>(H9009*M9009)</f>
        <v>0.06</v>
      </c>
      <c r="P9009" s="1332">
        <f>M9009*K9009</f>
        <v>0.28884000000000004</v>
      </c>
      <c r="Q9009" s="3391"/>
      <c r="R9009" s="3363"/>
      <c r="S9009" s="485"/>
      <c r="T9009" s="3408" t="s">
        <v>2766</v>
      </c>
    </row>
    <row r="9010" spans="1:20" s="22" customFormat="1">
      <c r="A9010" s="19"/>
      <c r="B9010" s="553"/>
      <c r="C9010" s="1320"/>
      <c r="D9010" s="1400"/>
      <c r="E9010" s="1856"/>
      <c r="F9010" s="1421"/>
      <c r="G9010" s="1367"/>
      <c r="H9010" s="1399"/>
      <c r="I9010" s="1614"/>
      <c r="J9010" s="1341"/>
      <c r="K9010" s="1307"/>
      <c r="L9010" s="1335"/>
      <c r="M9010" s="1302"/>
      <c r="N9010" s="1700"/>
      <c r="O9010" s="1290"/>
      <c r="P9010" s="1332"/>
      <c r="Q9010" s="3391"/>
      <c r="R9010" s="3363"/>
      <c r="S9010" s="485"/>
      <c r="T9010" s="3408"/>
    </row>
    <row r="9011" spans="1:20" s="22" customFormat="1">
      <c r="A9011" s="19"/>
      <c r="B9011" s="553"/>
      <c r="C9011" s="1042"/>
      <c r="D9011" s="1400"/>
      <c r="E9011" s="1856"/>
      <c r="F9011" s="1421"/>
      <c r="G9011" s="1367"/>
      <c r="H9011" s="1399"/>
      <c r="I9011" s="1614"/>
      <c r="J9011" s="1341"/>
      <c r="K9011" s="1307"/>
      <c r="L9011" s="1335"/>
      <c r="M9011" s="1302"/>
      <c r="N9011" s="1700"/>
      <c r="O9011" s="1290"/>
      <c r="P9011" s="1332"/>
      <c r="Q9011" s="3391"/>
      <c r="R9011" s="3363"/>
      <c r="S9011" s="485"/>
      <c r="T9011" s="3408" t="s">
        <v>2769</v>
      </c>
    </row>
    <row r="9012" spans="1:20" s="22" customFormat="1">
      <c r="A9012" s="19"/>
      <c r="B9012" s="553"/>
      <c r="C9012" s="1042"/>
      <c r="D9012" s="1404"/>
      <c r="E9012" s="1858"/>
      <c r="F9012" s="1465" t="s">
        <v>2</v>
      </c>
      <c r="G9012" s="1466"/>
      <c r="H9012" s="1362"/>
      <c r="I9012" s="1381"/>
      <c r="J9012" s="1381"/>
      <c r="K9012" s="1359"/>
      <c r="L9012" s="1458"/>
      <c r="M9012" s="1498"/>
      <c r="N9012" s="1498"/>
      <c r="O9012" s="1498"/>
      <c r="P9012" s="1359"/>
      <c r="Q9012" s="3387"/>
      <c r="R9012" s="3363"/>
      <c r="S9012" s="485"/>
      <c r="T9012" s="3408" t="s">
        <v>2772</v>
      </c>
    </row>
    <row r="9013" spans="1:20" s="22" customFormat="1">
      <c r="A9013" s="19"/>
      <c r="B9013" s="553"/>
      <c r="C9013" s="1042"/>
      <c r="D9013" s="1623" t="s">
        <v>1702</v>
      </c>
      <c r="E9013" s="2158" t="s">
        <v>1508</v>
      </c>
      <c r="F9013" s="1801" t="s">
        <v>1703</v>
      </c>
      <c r="G9013" s="1359"/>
      <c r="H9013" s="1803">
        <v>0.34799999999999998</v>
      </c>
      <c r="I9013" s="1340"/>
      <c r="J9013" s="198"/>
      <c r="K9013" s="1307">
        <f>H9013*K9005</f>
        <v>1.6752719999999999</v>
      </c>
      <c r="L9013" s="1335">
        <f t="shared" ref="L9013" si="1217">K9013*$K$8584</f>
        <v>0</v>
      </c>
      <c r="M9013" s="1302">
        <v>19.23</v>
      </c>
      <c r="N9013" s="1700"/>
      <c r="O9013" s="1290">
        <f>(H9013*M9013)</f>
        <v>6.6920399999999995</v>
      </c>
      <c r="P9013" s="1332">
        <f>M9013*K9013</f>
        <v>32.215480559999996</v>
      </c>
      <c r="Q9013" s="3391"/>
      <c r="R9013" s="3363"/>
      <c r="S9013" s="3412" t="s">
        <v>3361</v>
      </c>
      <c r="T9013" s="3408" t="s">
        <v>3360</v>
      </c>
    </row>
    <row r="9014" spans="1:20" s="22" customFormat="1">
      <c r="A9014"/>
      <c r="B9014" s="553"/>
      <c r="C9014" s="1042"/>
      <c r="D9014" s="1623"/>
      <c r="E9014" s="2158"/>
      <c r="F9014" s="1801"/>
      <c r="G9014" s="1359"/>
      <c r="H9014" s="1803"/>
      <c r="I9014" s="1340"/>
      <c r="J9014" s="198"/>
      <c r="K9014" s="1307"/>
      <c r="L9014" s="1335"/>
      <c r="M9014" s="1302"/>
      <c r="N9014" s="1700"/>
      <c r="O9014" s="1290"/>
      <c r="P9014" s="1332"/>
      <c r="Q9014" s="3391"/>
      <c r="R9014" s="2344"/>
    </row>
    <row r="9015" spans="1:20" s="22" customFormat="1">
      <c r="A9015"/>
      <c r="B9015" s="553"/>
      <c r="C9015" s="1042"/>
      <c r="D9015" s="1623"/>
      <c r="E9015" s="2158"/>
      <c r="F9015" s="1801"/>
      <c r="G9015" s="1359"/>
      <c r="H9015" s="1803"/>
      <c r="I9015" s="1340"/>
      <c r="J9015" s="198"/>
      <c r="K9015" s="1307"/>
      <c r="L9015" s="1335"/>
      <c r="M9015" s="1302"/>
      <c r="N9015" s="1700"/>
      <c r="O9015" s="1290"/>
      <c r="P9015" s="1332"/>
      <c r="Q9015" s="3391"/>
      <c r="R9015" s="3363"/>
    </row>
    <row r="9016" spans="1:20" s="22" customFormat="1">
      <c r="A9016"/>
      <c r="B9016" s="553"/>
      <c r="C9016" s="1042"/>
      <c r="D9016" s="1411"/>
      <c r="E9016" s="2123"/>
      <c r="F9016" s="1475" t="s">
        <v>3</v>
      </c>
      <c r="G9016" s="1377"/>
      <c r="H9016" s="1376"/>
      <c r="I9016" s="1383" t="s">
        <v>506</v>
      </c>
      <c r="J9016" s="1383"/>
      <c r="K9016" s="1383"/>
      <c r="L9016" s="1413"/>
      <c r="M9016" s="1376"/>
      <c r="N9016" s="1376"/>
      <c r="O9016" s="1376"/>
      <c r="P9016" s="1373"/>
      <c r="Q9016" s="3387"/>
      <c r="R9016" s="3363"/>
    </row>
    <row r="9017" spans="1:20" s="22" customFormat="1">
      <c r="A9017"/>
      <c r="B9017" s="553"/>
      <c r="C9017" s="1042"/>
      <c r="D9017" s="1440"/>
      <c r="E9017" s="2132"/>
      <c r="F9017" s="1441"/>
      <c r="G9017" s="1441"/>
      <c r="H9017" s="1442"/>
      <c r="I9017" s="197" t="s">
        <v>506</v>
      </c>
      <c r="J9017" s="198"/>
      <c r="K9017" s="1307"/>
      <c r="L9017" s="1335"/>
      <c r="M9017" s="1499"/>
      <c r="N9017" s="1701"/>
      <c r="O9017" s="1290"/>
      <c r="P9017" s="1332"/>
      <c r="Q9017" s="3391"/>
      <c r="R9017" s="3363"/>
    </row>
    <row r="9018" spans="1:20" s="22" customFormat="1">
      <c r="A9018"/>
      <c r="B9018" s="553"/>
      <c r="C9018" s="1042"/>
      <c r="D9018" s="1440"/>
      <c r="E9018" s="2132"/>
      <c r="F9018" s="1441"/>
      <c r="G9018" s="1441"/>
      <c r="H9018" s="1442"/>
      <c r="I9018" s="197" t="s">
        <v>506</v>
      </c>
      <c r="J9018" s="198"/>
      <c r="K9018" s="1307"/>
      <c r="L9018" s="1335"/>
      <c r="M9018" s="1499"/>
      <c r="N9018" s="1701"/>
      <c r="O9018" s="1290"/>
      <c r="P9018" s="1332"/>
      <c r="Q9018" s="3391"/>
      <c r="R9018" s="2338"/>
    </row>
    <row r="9019" spans="1:20" s="16" customFormat="1">
      <c r="A9019"/>
      <c r="B9019" s="554"/>
      <c r="C9019" s="223"/>
      <c r="D9019" s="1440"/>
      <c r="E9019" s="2132"/>
      <c r="F9019" s="1441"/>
      <c r="G9019" s="1441"/>
      <c r="H9019" s="1442"/>
      <c r="I9019" s="197"/>
      <c r="J9019" s="198"/>
      <c r="K9019" s="1307"/>
      <c r="L9019" s="1335"/>
      <c r="M9019" s="1499"/>
      <c r="N9019" s="1701"/>
      <c r="O9019" s="1290"/>
      <c r="P9019" s="1332"/>
      <c r="Q9019" s="3391"/>
      <c r="R9019" s="2338"/>
    </row>
    <row r="9020" spans="1:20" s="16" customFormat="1">
      <c r="A9020"/>
      <c r="B9020"/>
      <c r="C9020"/>
      <c r="D9020"/>
      <c r="E9020" s="3358"/>
      <c r="F9020"/>
      <c r="G9020"/>
      <c r="H9020"/>
      <c r="I9020" s="28"/>
      <c r="J9020"/>
      <c r="K9020"/>
      <c r="L9020" s="28"/>
      <c r="M9020"/>
      <c r="N9020"/>
      <c r="O9020"/>
      <c r="P9020"/>
      <c r="Q9020" s="3383"/>
      <c r="R9020" s="2339"/>
    </row>
    <row r="9021" spans="1:20" s="16" customFormat="1" ht="28.5">
      <c r="D9021" s="1795"/>
      <c r="E9021" s="2179"/>
      <c r="F9021" s="1795"/>
      <c r="G9021" s="1795"/>
      <c r="H9021" s="1797"/>
      <c r="I9021" s="1561"/>
      <c r="J9021" s="1561"/>
      <c r="K9021" s="1639"/>
      <c r="L9021" s="2375" t="s">
        <v>2856</v>
      </c>
      <c r="M9021" s="1292"/>
      <c r="N9021" s="1292"/>
      <c r="O9021" s="1292"/>
      <c r="P9021" s="1292"/>
      <c r="Q9021" s="3391"/>
      <c r="R9021" s="3363"/>
    </row>
    <row r="9022" spans="1:20" s="22" customFormat="1">
      <c r="A9022" s="4393" t="s">
        <v>162</v>
      </c>
      <c r="B9022" s="4394"/>
      <c r="C9022" s="4394"/>
      <c r="D9022" s="4395"/>
      <c r="E9022" s="4428" t="s">
        <v>1549</v>
      </c>
      <c r="F9022" s="4398" t="s">
        <v>1550</v>
      </c>
      <c r="G9022" s="4399" t="s">
        <v>1566</v>
      </c>
      <c r="H9022" s="4400"/>
      <c r="I9022" s="4400"/>
      <c r="J9022" s="4400"/>
      <c r="K9022" s="4400"/>
      <c r="L9022" s="4401"/>
      <c r="M9022" s="4431" t="s">
        <v>1567</v>
      </c>
      <c r="N9022" s="4432"/>
      <c r="O9022" s="4432"/>
      <c r="P9022" s="4433"/>
      <c r="Q9022" s="3407" t="s">
        <v>3358</v>
      </c>
      <c r="R9022" s="2349"/>
    </row>
    <row r="9023" spans="1:20" s="22" customFormat="1">
      <c r="A9023" s="1324" t="s">
        <v>3766</v>
      </c>
      <c r="B9023" s="1325" t="s">
        <v>1513</v>
      </c>
      <c r="C9023" s="1326" t="s">
        <v>1573</v>
      </c>
      <c r="D9023" s="1323" t="s">
        <v>1514</v>
      </c>
      <c r="E9023" s="4429"/>
      <c r="F9023" s="4430"/>
      <c r="G9023" s="4402"/>
      <c r="H9023" s="4403"/>
      <c r="I9023" s="4403"/>
      <c r="J9023" s="4403"/>
      <c r="K9023" s="4403"/>
      <c r="L9023" s="4404"/>
      <c r="M9023" s="4434"/>
      <c r="N9023" s="4435"/>
      <c r="O9023" s="4435"/>
      <c r="P9023" s="4436"/>
      <c r="Q9023" s="3395"/>
      <c r="R9023" s="2339"/>
    </row>
    <row r="9024" spans="1:20" s="22" customFormat="1">
      <c r="A9024" s="4374" t="s">
        <v>2757</v>
      </c>
      <c r="B9024" s="4375"/>
      <c r="C9024" s="4375"/>
      <c r="D9024" s="4376"/>
      <c r="E9024" s="4380" t="s">
        <v>1504</v>
      </c>
      <c r="F9024" s="4382" t="s">
        <v>2759</v>
      </c>
      <c r="G9024" s="4406" t="s">
        <v>294</v>
      </c>
      <c r="H9024" s="4407"/>
      <c r="I9024" s="1665" t="s">
        <v>1565</v>
      </c>
      <c r="J9024" s="3348" t="s">
        <v>1575</v>
      </c>
      <c r="K9024" s="4406" t="s">
        <v>289</v>
      </c>
      <c r="L9024" s="4407"/>
      <c r="M9024" s="4445" t="s">
        <v>3349</v>
      </c>
      <c r="N9024" s="4446"/>
      <c r="O9024" s="4446"/>
      <c r="P9024" s="4448"/>
      <c r="Q9024" s="3394" t="s">
        <v>3969</v>
      </c>
      <c r="R9024" s="2339"/>
    </row>
    <row r="9025" spans="1:19" s="22" customFormat="1" ht="15.5">
      <c r="A9025" s="4377"/>
      <c r="B9025" s="4378"/>
      <c r="C9025" s="4378"/>
      <c r="D9025" s="4379"/>
      <c r="E9025" s="4381"/>
      <c r="F9025" s="4383"/>
      <c r="G9025" s="4410">
        <f>IF('Seleccion proyecto HEREVEA02'!G61="Sustitución y reposición con energía solar térmica apoyo con electricidad",'Seleccion proyecto HEREVEA02'!E61,0)</f>
        <v>0</v>
      </c>
      <c r="H9025" s="4411"/>
      <c r="I9025" s="3353">
        <f>IF('Seleccion proyecto HEREVEA02'!H61=0,0,IF('Seleccion proyecto HEREVEA02'!H61=100,1))</f>
        <v>0</v>
      </c>
      <c r="J9025" s="1351">
        <f>'Seleccion proyecto HEREVEA02'!L8</f>
        <v>11100.968999999999</v>
      </c>
      <c r="K9025" s="4412">
        <f>G9025*I9025*J9025</f>
        <v>0</v>
      </c>
      <c r="L9025" s="4413"/>
      <c r="M9025" s="4360">
        <f>P9027+P9042</f>
        <v>1431.0050000000001</v>
      </c>
      <c r="N9025" s="4361"/>
      <c r="O9025" s="4361"/>
      <c r="P9025" s="4449"/>
      <c r="Q9025" s="3388">
        <f>M9025*K9025</f>
        <v>0</v>
      </c>
      <c r="R9025" s="2339"/>
    </row>
    <row r="9026" spans="1:19" s="22" customFormat="1">
      <c r="A9026" s="18" t="s">
        <v>3764</v>
      </c>
      <c r="B9026" s="4325" t="s">
        <v>2758</v>
      </c>
      <c r="C9026" s="3350"/>
      <c r="D9026" s="4327"/>
      <c r="E9026" s="4329" t="s">
        <v>1504</v>
      </c>
      <c r="F9026" s="4372" t="s">
        <v>2760</v>
      </c>
      <c r="G9026" s="4331" t="s">
        <v>1568</v>
      </c>
      <c r="H9026" s="4331" t="s">
        <v>1574</v>
      </c>
      <c r="I9026" s="1572" t="s">
        <v>1559</v>
      </c>
      <c r="J9026" s="1294" t="s">
        <v>1560</v>
      </c>
      <c r="K9026" s="1294" t="s">
        <v>1569</v>
      </c>
      <c r="L9026" s="4333" t="s">
        <v>3765</v>
      </c>
      <c r="M9026" s="4323" t="s">
        <v>1571</v>
      </c>
      <c r="N9026" s="4323" t="s">
        <v>1776</v>
      </c>
      <c r="O9026" s="3347" t="s">
        <v>1563</v>
      </c>
      <c r="P9026" s="1336" t="s">
        <v>1562</v>
      </c>
      <c r="Q9026" s="3389"/>
      <c r="R9026" s="1699" t="s">
        <v>1327</v>
      </c>
    </row>
    <row r="9027" spans="1:19" s="22" customFormat="1" ht="15" customHeight="1">
      <c r="A9027" s="1599" t="s">
        <v>2757</v>
      </c>
      <c r="B9027" s="4326"/>
      <c r="C9027" s="3351"/>
      <c r="D9027" s="4328"/>
      <c r="E9027" s="4330"/>
      <c r="F9027" s="4363"/>
      <c r="G9027" s="4332"/>
      <c r="H9027" s="4332"/>
      <c r="I9027" s="1345">
        <v>1</v>
      </c>
      <c r="J9027" s="1307">
        <v>1</v>
      </c>
      <c r="K9027" s="1666">
        <f>I9027*J9027</f>
        <v>1</v>
      </c>
      <c r="L9027" s="4334"/>
      <c r="M9027" s="4324"/>
      <c r="N9027" s="4324"/>
      <c r="O9027" s="1298">
        <f>SUM(O9029:O9033)</f>
        <v>166.69499999999999</v>
      </c>
      <c r="P9027" s="1337">
        <f>O9027*K9027</f>
        <v>166.69499999999999</v>
      </c>
      <c r="Q9027" s="3390"/>
      <c r="R9027" s="1721">
        <f>SUM(P9029:P9033)</f>
        <v>166.69499999999999</v>
      </c>
      <c r="S9027" s="3414" t="s">
        <v>3363</v>
      </c>
    </row>
    <row r="9028" spans="1:19" s="22" customFormat="1">
      <c r="A9028" s="1320"/>
      <c r="B9028" s="1949"/>
      <c r="C9028" s="1327"/>
      <c r="D9028" s="1367"/>
      <c r="E9028" s="2121"/>
      <c r="F9028" s="1389" t="s">
        <v>1</v>
      </c>
      <c r="G9028" s="1389"/>
      <c r="H9028" s="1369"/>
      <c r="I9028" s="2088"/>
      <c r="J9028" s="1369"/>
      <c r="K9028" s="1391"/>
      <c r="L9028" s="1559"/>
      <c r="M9028" s="1369"/>
      <c r="N9028" s="1369"/>
      <c r="O9028" s="1369"/>
      <c r="P9028" s="1392"/>
      <c r="Q9028" s="3395"/>
      <c r="R9028" s="2344"/>
    </row>
    <row r="9029" spans="1:19" s="22" customFormat="1">
      <c r="A9029" s="1320"/>
      <c r="B9029" s="1599"/>
      <c r="C9029" s="1320"/>
      <c r="D9029" s="1598" t="s">
        <v>2761</v>
      </c>
      <c r="E9029" s="2154" t="s">
        <v>1504</v>
      </c>
      <c r="F9029" s="1598" t="s">
        <v>2762</v>
      </c>
      <c r="G9029" s="1995">
        <v>1</v>
      </c>
      <c r="H9029" s="1369"/>
      <c r="I9029" s="1299"/>
      <c r="J9029" s="1300"/>
      <c r="K9029" s="1350">
        <f>G9029*K9027</f>
        <v>1</v>
      </c>
      <c r="L9029" s="1335">
        <f t="shared" ref="L9029" si="1218">K9029*$K$9025</f>
        <v>0</v>
      </c>
      <c r="M9029" s="1302">
        <v>133.34</v>
      </c>
      <c r="N9029" s="1700"/>
      <c r="O9029" s="1290">
        <f>G9029*M9029</f>
        <v>133.34</v>
      </c>
      <c r="P9029" s="1332">
        <f>M9029*K9029</f>
        <v>133.34</v>
      </c>
      <c r="Q9029" s="3402"/>
      <c r="R9029" s="2356"/>
    </row>
    <row r="9030" spans="1:19" s="22" customFormat="1">
      <c r="A9030" s="4450" t="s">
        <v>3358</v>
      </c>
      <c r="B9030" s="595"/>
      <c r="C9030" s="1042"/>
      <c r="D9030" s="1370" t="s">
        <v>1097</v>
      </c>
      <c r="E9030" s="2152" t="s">
        <v>1504</v>
      </c>
      <c r="F9030" s="1471" t="s">
        <v>1632</v>
      </c>
      <c r="G9030" s="1995">
        <v>10</v>
      </c>
      <c r="H9030" s="1372"/>
      <c r="I9030" s="1286"/>
      <c r="J9030" s="1287"/>
      <c r="K9030" s="1350">
        <f>G9030*K9027</f>
        <v>10</v>
      </c>
      <c r="L9030" s="1335">
        <f>K9030*$K$9025</f>
        <v>0</v>
      </c>
      <c r="M9030" s="1499">
        <v>0.55000000000000004</v>
      </c>
      <c r="N9030" s="1499"/>
      <c r="O9030" s="1291">
        <f>(G9030*M9030)</f>
        <v>5.5</v>
      </c>
      <c r="P9030" s="1332">
        <f>M9030*K9030</f>
        <v>5.5</v>
      </c>
      <c r="Q9030" s="3391"/>
      <c r="R9030" s="2338"/>
    </row>
    <row r="9031" spans="1:19" s="22" customFormat="1">
      <c r="A9031" s="4450"/>
      <c r="B9031" s="1599"/>
      <c r="C9031" s="1320"/>
      <c r="D9031" s="1587" t="s">
        <v>1082</v>
      </c>
      <c r="E9031" s="2303" t="s">
        <v>1504</v>
      </c>
      <c r="F9031" s="1654" t="s">
        <v>1541</v>
      </c>
      <c r="G9031" s="2204">
        <v>5</v>
      </c>
      <c r="H9031" s="1369"/>
      <c r="I9031" s="1299"/>
      <c r="J9031" s="1300"/>
      <c r="K9031" s="1350">
        <f>G9031*K9027</f>
        <v>5</v>
      </c>
      <c r="L9031" s="1335">
        <f t="shared" ref="L9031" si="1219">K9031*$K$9025</f>
        <v>0</v>
      </c>
      <c r="M9031" s="1302">
        <v>0.3</v>
      </c>
      <c r="N9031" s="1724"/>
      <c r="O9031" s="1290">
        <f>G9031*M9031</f>
        <v>1.5</v>
      </c>
      <c r="P9031" s="1332">
        <f>M9031*K9031</f>
        <v>1.5</v>
      </c>
      <c r="Q9031" s="3402"/>
      <c r="R9031" s="2356"/>
    </row>
    <row r="9032" spans="1:19" s="22" customFormat="1" ht="26">
      <c r="A9032" s="4450"/>
      <c r="B9032" s="1599"/>
      <c r="C9032" s="1042"/>
      <c r="D9032" s="1359"/>
      <c r="E9032" s="1858"/>
      <c r="F9032" s="1360" t="s">
        <v>2</v>
      </c>
      <c r="G9032" s="1360"/>
      <c r="H9032" s="1362"/>
      <c r="I9032" s="1380"/>
      <c r="J9032" s="1381"/>
      <c r="K9032" s="1381"/>
      <c r="L9032" s="1458"/>
      <c r="M9032" s="1362"/>
      <c r="N9032" s="1362"/>
      <c r="O9032" s="1362"/>
      <c r="P9032" s="1359"/>
      <c r="Q9032" s="3403"/>
      <c r="R9032" s="2357"/>
    </row>
    <row r="9033" spans="1:19" s="22" customFormat="1">
      <c r="B9033" s="1599"/>
      <c r="C9033" s="1938" t="s">
        <v>2649</v>
      </c>
      <c r="D9033" s="1311"/>
      <c r="E9033" s="2176" t="s">
        <v>1508</v>
      </c>
      <c r="F9033" s="1648" t="s">
        <v>2650</v>
      </c>
      <c r="G9033" s="1990"/>
      <c r="H9033" s="1954">
        <v>0.7</v>
      </c>
      <c r="I9033" s="1444"/>
      <c r="J9033" s="1388"/>
      <c r="K9033" s="1445"/>
      <c r="L9033" s="1457"/>
      <c r="M9033" s="1447"/>
      <c r="N9033" s="1447">
        <f>SUM(N9034:N9035)</f>
        <v>37.650000000000006</v>
      </c>
      <c r="O9033" s="1447">
        <f>SUM(O9034:O9035)</f>
        <v>26.355</v>
      </c>
      <c r="P9033" s="1447">
        <f>SUM(P9034:P9035)</f>
        <v>26.355</v>
      </c>
      <c r="Q9033" s="3391"/>
      <c r="R9033" s="2337"/>
    </row>
    <row r="9034" spans="1:19" s="16" customFormat="1">
      <c r="A9034" s="22"/>
      <c r="B9034" s="1599"/>
      <c r="C9034" s="1327"/>
      <c r="D9034" s="1430" t="s">
        <v>2691</v>
      </c>
      <c r="E9034" s="1857" t="s">
        <v>1508</v>
      </c>
      <c r="F9034" s="1403" t="s">
        <v>2692</v>
      </c>
      <c r="G9034" s="1991">
        <v>1</v>
      </c>
      <c r="H9034" s="1937">
        <f>G9034*H9033</f>
        <v>0.7</v>
      </c>
      <c r="I9034" s="1286"/>
      <c r="J9034" s="198"/>
      <c r="K9034" s="1307">
        <f>H9034*K9027</f>
        <v>0.7</v>
      </c>
      <c r="L9034" s="1335">
        <f t="shared" ref="L9034:L9035" si="1220">K9034*$K$9025</f>
        <v>0</v>
      </c>
      <c r="M9034" s="1302">
        <v>19.23</v>
      </c>
      <c r="N9034" s="1718">
        <f>G9034*M9034</f>
        <v>19.23</v>
      </c>
      <c r="O9034" s="1290">
        <f>H9034*M9034</f>
        <v>13.461</v>
      </c>
      <c r="P9034" s="1720">
        <f>M9034*K9034</f>
        <v>13.461</v>
      </c>
      <c r="Q9034" s="3396"/>
      <c r="R9034" s="2337"/>
    </row>
    <row r="9035" spans="1:19" s="16" customFormat="1">
      <c r="A9035" s="22"/>
      <c r="B9035" s="1599"/>
      <c r="C9035" s="1320"/>
      <c r="D9035" s="1430" t="s">
        <v>1110</v>
      </c>
      <c r="E9035" s="1857" t="s">
        <v>1508</v>
      </c>
      <c r="F9035" s="1403" t="s">
        <v>2281</v>
      </c>
      <c r="G9035" s="1991">
        <v>1</v>
      </c>
      <c r="H9035" s="1937">
        <f>G9035*H9033</f>
        <v>0.7</v>
      </c>
      <c r="I9035" s="197"/>
      <c r="J9035" s="198"/>
      <c r="K9035" s="1307">
        <f>H9035*K9027</f>
        <v>0.7</v>
      </c>
      <c r="L9035" s="1335">
        <f t="shared" si="1220"/>
        <v>0</v>
      </c>
      <c r="M9035" s="1302">
        <v>18.420000000000002</v>
      </c>
      <c r="N9035" s="1718">
        <f>G9035*M9035</f>
        <v>18.420000000000002</v>
      </c>
      <c r="O9035" s="1290">
        <f>H9035*M9035</f>
        <v>12.894</v>
      </c>
      <c r="P9035" s="1720">
        <f>M9035*K9035</f>
        <v>12.894</v>
      </c>
      <c r="Q9035" s="3396"/>
      <c r="R9035" s="2337"/>
    </row>
    <row r="9036" spans="1:19" s="16" customFormat="1">
      <c r="A9036" s="22"/>
      <c r="B9036" s="1320"/>
      <c r="D9036" s="1359"/>
      <c r="E9036" s="1858"/>
      <c r="F9036" s="1474"/>
      <c r="G9036" s="2198"/>
      <c r="H9036" s="1466"/>
      <c r="I9036" s="1289"/>
      <c r="J9036" s="8"/>
      <c r="K9036" s="1307"/>
      <c r="L9036" s="1335"/>
      <c r="M9036" s="1302"/>
      <c r="N9036" s="1700"/>
      <c r="O9036" s="1290"/>
      <c r="P9036" s="1332"/>
      <c r="Q9036" s="3391"/>
      <c r="R9036" s="2344"/>
    </row>
    <row r="9037" spans="1:19" s="22" customFormat="1">
      <c r="A9037" s="1320"/>
      <c r="B9037" s="1599"/>
      <c r="C9037" s="1320"/>
      <c r="D9037" s="1373"/>
      <c r="E9037" s="2123"/>
      <c r="F9037" s="1374" t="s">
        <v>3</v>
      </c>
      <c r="G9037" s="2199"/>
      <c r="H9037" s="1376"/>
      <c r="I9037" s="1382"/>
      <c r="J9037" s="1383"/>
      <c r="K9037" s="1383"/>
      <c r="L9037" s="1413"/>
      <c r="M9037" s="1376"/>
      <c r="N9037" s="1376"/>
      <c r="O9037" s="1376"/>
      <c r="P9037" s="1373"/>
      <c r="Q9037" s="3403"/>
      <c r="R9037" s="2356"/>
    </row>
    <row r="9038" spans="1:19" s="22" customFormat="1">
      <c r="A9038" s="1321"/>
      <c r="B9038" s="2053"/>
      <c r="C9038" s="1321"/>
      <c r="D9038" s="1827"/>
      <c r="E9038" s="2173"/>
      <c r="F9038" s="1827"/>
      <c r="G9038" s="1828"/>
      <c r="H9038" s="1379"/>
      <c r="I9038" s="1299"/>
      <c r="J9038" s="1300"/>
      <c r="K9038" s="1307"/>
      <c r="L9038" s="1335"/>
      <c r="M9038" s="1302"/>
      <c r="N9038" s="1700"/>
      <c r="O9038" s="1290"/>
      <c r="P9038" s="1332"/>
      <c r="Q9038" s="3402"/>
      <c r="R9038" s="2053"/>
    </row>
    <row r="9039" spans="1:19" s="22" customFormat="1">
      <c r="A9039" s="1599"/>
      <c r="B9039" s="1320"/>
      <c r="C9039" s="88"/>
      <c r="D9039" s="1411"/>
      <c r="E9039" s="2161"/>
      <c r="F9039" s="1678"/>
      <c r="G9039" s="2201"/>
      <c r="H9039" s="1376"/>
      <c r="I9039" s="1299"/>
      <c r="J9039" s="1300"/>
      <c r="K9039" s="1307"/>
      <c r="L9039" s="1335"/>
      <c r="M9039" s="1302"/>
      <c r="N9039" s="1700"/>
      <c r="O9039" s="1290"/>
      <c r="P9039" s="1332"/>
      <c r="Q9039" s="3402"/>
      <c r="R9039" s="2356"/>
    </row>
    <row r="9040" spans="1:19" s="22" customFormat="1">
      <c r="A9040" s="1599"/>
      <c r="B9040" s="225"/>
      <c r="C9040" s="581"/>
      <c r="D9040" s="1411"/>
      <c r="E9040" s="2161"/>
      <c r="F9040" s="1678"/>
      <c r="G9040" s="2201"/>
      <c r="H9040" s="1376"/>
      <c r="I9040" s="1299"/>
      <c r="J9040" s="1300"/>
      <c r="K9040" s="1307"/>
      <c r="L9040" s="1335"/>
      <c r="M9040" s="1302"/>
      <c r="N9040" s="1700"/>
      <c r="O9040" s="1290"/>
      <c r="P9040" s="1332"/>
      <c r="Q9040" s="3402"/>
      <c r="R9040" s="2356"/>
    </row>
    <row r="9041" spans="1:18" s="22" customFormat="1">
      <c r="A9041" s="18" t="s">
        <v>3764</v>
      </c>
      <c r="B9041" s="4437" t="s">
        <v>3360</v>
      </c>
      <c r="C9041" s="3409"/>
      <c r="D9041" s="4439"/>
      <c r="E9041" s="4441" t="s">
        <v>1504</v>
      </c>
      <c r="F9041" s="4443" t="s">
        <v>3362</v>
      </c>
      <c r="G9041" s="4331" t="s">
        <v>1568</v>
      </c>
      <c r="H9041" s="4331" t="s">
        <v>1574</v>
      </c>
      <c r="I9041" s="1572" t="s">
        <v>1559</v>
      </c>
      <c r="J9041" s="1294" t="s">
        <v>1560</v>
      </c>
      <c r="K9041" s="1294" t="s">
        <v>1569</v>
      </c>
      <c r="L9041" s="4333" t="s">
        <v>3765</v>
      </c>
      <c r="M9041" s="4323" t="s">
        <v>1571</v>
      </c>
      <c r="N9041" s="4323" t="s">
        <v>1776</v>
      </c>
      <c r="O9041" s="3347" t="s">
        <v>1563</v>
      </c>
      <c r="P9041" s="1336" t="s">
        <v>1562</v>
      </c>
      <c r="Q9041" s="3389"/>
      <c r="R9041" s="1699" t="s">
        <v>1327</v>
      </c>
    </row>
    <row r="9042" spans="1:18" s="22" customFormat="1">
      <c r="A9042" s="1599" t="s">
        <v>2757</v>
      </c>
      <c r="B9042" s="4438"/>
      <c r="C9042" s="3410"/>
      <c r="D9042" s="4440"/>
      <c r="E9042" s="4442"/>
      <c r="F9042" s="4444"/>
      <c r="G9042" s="4332"/>
      <c r="H9042" s="4332"/>
      <c r="I9042" s="1345">
        <v>1</v>
      </c>
      <c r="J9042" s="1307">
        <v>1</v>
      </c>
      <c r="K9042" s="1666">
        <f>I9042*J9042</f>
        <v>1</v>
      </c>
      <c r="L9042" s="4334"/>
      <c r="M9042" s="4324"/>
      <c r="N9042" s="4324"/>
      <c r="O9042" s="1298">
        <f>SUM(O9044:O9048)+O9051</f>
        <v>1264.3100000000002</v>
      </c>
      <c r="P9042" s="1337">
        <f>O9042*K9042</f>
        <v>1264.3100000000002</v>
      </c>
      <c r="Q9042" s="3390"/>
      <c r="R9042" s="1721">
        <f>SUM(P9044:P9048)+P9051</f>
        <v>1264.3100000000002</v>
      </c>
    </row>
    <row r="9043" spans="1:18" s="22" customFormat="1">
      <c r="B9043" s="1949"/>
      <c r="C9043" s="1327"/>
      <c r="D9043" s="1367"/>
      <c r="E9043" s="2121"/>
      <c r="F9043" s="1389" t="s">
        <v>1</v>
      </c>
      <c r="G9043" s="1389"/>
      <c r="H9043" s="1369"/>
      <c r="I9043" s="2088"/>
      <c r="J9043" s="1369"/>
      <c r="K9043" s="1391"/>
      <c r="L9043" s="1559"/>
      <c r="M9043" s="1369"/>
      <c r="N9043" s="1369"/>
      <c r="O9043" s="1369"/>
      <c r="P9043" s="1392"/>
      <c r="Q9043" s="3395"/>
      <c r="R9043" s="2344"/>
    </row>
    <row r="9044" spans="1:18" s="22" customFormat="1">
      <c r="A9044" s="1320"/>
      <c r="B9044" s="1599"/>
      <c r="C9044" s="1320"/>
      <c r="D9044" s="1598" t="s">
        <v>3364</v>
      </c>
      <c r="E9044" s="2298" t="s">
        <v>1504</v>
      </c>
      <c r="F9044" s="1598" t="s">
        <v>3365</v>
      </c>
      <c r="G9044" s="1995">
        <v>1</v>
      </c>
      <c r="H9044" s="1369"/>
      <c r="I9044" s="1299"/>
      <c r="J9044" s="1300"/>
      <c r="K9044" s="1350">
        <f>G9044*K9042</f>
        <v>1</v>
      </c>
      <c r="L9044" s="1335">
        <f t="shared" ref="L9044:L9046" si="1221">K9044*$K$9025</f>
        <v>0</v>
      </c>
      <c r="M9044" s="1302">
        <v>1072.7</v>
      </c>
      <c r="N9044" s="1700"/>
      <c r="O9044" s="1290">
        <f>G9044*M9044</f>
        <v>1072.7</v>
      </c>
      <c r="P9044" s="1332">
        <f>M9044*K9044</f>
        <v>1072.7</v>
      </c>
      <c r="Q9044" s="3402"/>
      <c r="R9044" s="2356"/>
    </row>
    <row r="9045" spans="1:18" s="22" customFormat="1">
      <c r="A9045" s="1320"/>
      <c r="B9045" s="595"/>
      <c r="C9045" s="1042"/>
      <c r="D9045" s="1370" t="s">
        <v>1097</v>
      </c>
      <c r="E9045" s="2152" t="s">
        <v>1504</v>
      </c>
      <c r="F9045" s="1471" t="s">
        <v>1632</v>
      </c>
      <c r="G9045" s="1995">
        <v>30</v>
      </c>
      <c r="H9045" s="1372"/>
      <c r="I9045" s="1286"/>
      <c r="J9045" s="1287"/>
      <c r="K9045" s="1350">
        <f>G9045*K9042</f>
        <v>30</v>
      </c>
      <c r="L9045" s="1335">
        <f t="shared" si="1221"/>
        <v>0</v>
      </c>
      <c r="M9045" s="1499">
        <v>0.55000000000000004</v>
      </c>
      <c r="N9045" s="1499"/>
      <c r="O9045" s="1291">
        <f>(G9045*M9045)</f>
        <v>16.5</v>
      </c>
      <c r="P9045" s="1332">
        <f>M9045*K9045</f>
        <v>16.5</v>
      </c>
      <c r="Q9045" s="3391"/>
      <c r="R9045" s="2338"/>
    </row>
    <row r="9046" spans="1:18" s="22" customFormat="1">
      <c r="A9046" s="1320"/>
      <c r="B9046" s="1599"/>
      <c r="C9046" s="1320"/>
      <c r="D9046" s="1587" t="s">
        <v>1082</v>
      </c>
      <c r="E9046" s="2303" t="s">
        <v>1504</v>
      </c>
      <c r="F9046" s="1654" t="s">
        <v>1541</v>
      </c>
      <c r="G9046" s="2204">
        <v>20</v>
      </c>
      <c r="H9046" s="1369"/>
      <c r="I9046" s="1299"/>
      <c r="J9046" s="1300"/>
      <c r="K9046" s="1350">
        <f>G9046*K9042</f>
        <v>20</v>
      </c>
      <c r="L9046" s="1335">
        <f t="shared" si="1221"/>
        <v>0</v>
      </c>
      <c r="M9046" s="1302">
        <v>0.3</v>
      </c>
      <c r="N9046" s="1724"/>
      <c r="O9046" s="1290">
        <f>G9046*M9046</f>
        <v>6</v>
      </c>
      <c r="P9046" s="1332">
        <f>M9046*K9046</f>
        <v>6</v>
      </c>
      <c r="Q9046" s="3402"/>
      <c r="R9046" s="2356"/>
    </row>
    <row r="9047" spans="1:18" s="22" customFormat="1" ht="15" customHeight="1">
      <c r="A9047" s="2187"/>
      <c r="B9047" s="1599"/>
      <c r="C9047" s="1042"/>
      <c r="D9047" s="1359"/>
      <c r="E9047" s="1858"/>
      <c r="F9047" s="1360" t="s">
        <v>2</v>
      </c>
      <c r="G9047" s="1360"/>
      <c r="H9047" s="1362"/>
      <c r="I9047" s="1380"/>
      <c r="J9047" s="1381"/>
      <c r="K9047" s="1381"/>
      <c r="L9047" s="1458"/>
      <c r="M9047" s="1362"/>
      <c r="N9047" s="1362"/>
      <c r="O9047" s="1362"/>
      <c r="P9047" s="1359"/>
      <c r="Q9047" s="3403"/>
      <c r="R9047" s="2357"/>
    </row>
    <row r="9048" spans="1:18" s="22" customFormat="1">
      <c r="B9048" s="1599"/>
      <c r="C9048" s="1938" t="s">
        <v>2649</v>
      </c>
      <c r="D9048" s="1311"/>
      <c r="E9048" s="2176" t="s">
        <v>1508</v>
      </c>
      <c r="F9048" s="1648" t="s">
        <v>2650</v>
      </c>
      <c r="G9048" s="1990"/>
      <c r="H9048" s="1954">
        <v>4</v>
      </c>
      <c r="I9048" s="1444"/>
      <c r="J9048" s="1388"/>
      <c r="K9048" s="1445"/>
      <c r="L9048" s="1457"/>
      <c r="M9048" s="1447"/>
      <c r="N9048" s="1447">
        <f>SUM(N9049:N9050)</f>
        <v>37.650000000000006</v>
      </c>
      <c r="O9048" s="1447">
        <f>SUM(O9049:O9050)</f>
        <v>150.60000000000002</v>
      </c>
      <c r="P9048" s="1447">
        <f>SUM(P9049:P9050)</f>
        <v>150.60000000000002</v>
      </c>
      <c r="Q9048" s="3391"/>
      <c r="R9048" s="2337"/>
    </row>
    <row r="9049" spans="1:18">
      <c r="A9049" s="22"/>
      <c r="B9049" s="1599"/>
      <c r="C9049" s="1327"/>
      <c r="D9049" s="1430" t="s">
        <v>2691</v>
      </c>
      <c r="E9049" s="1857" t="s">
        <v>1508</v>
      </c>
      <c r="F9049" s="1403" t="s">
        <v>2692</v>
      </c>
      <c r="G9049" s="1991">
        <v>1</v>
      </c>
      <c r="H9049" s="1937">
        <f>G9049*H9048</f>
        <v>4</v>
      </c>
      <c r="I9049" s="1286"/>
      <c r="J9049" s="198"/>
      <c r="K9049" s="1307">
        <f>H9049*K9042</f>
        <v>4</v>
      </c>
      <c r="L9049" s="1335">
        <f t="shared" ref="L9049:L9050" si="1222">K9049*$K$9025</f>
        <v>0</v>
      </c>
      <c r="M9049" s="1302">
        <v>19.23</v>
      </c>
      <c r="N9049" s="1718">
        <f>G9049*M9049</f>
        <v>19.23</v>
      </c>
      <c r="O9049" s="1290">
        <f>H9049*M9049</f>
        <v>76.92</v>
      </c>
      <c r="P9049" s="1720">
        <f>M9049*K9049</f>
        <v>76.92</v>
      </c>
      <c r="Q9049" s="3396"/>
      <c r="R9049" s="2337"/>
    </row>
    <row r="9050" spans="1:18">
      <c r="A9050" s="22"/>
      <c r="B9050" s="1599"/>
      <c r="C9050" s="1320"/>
      <c r="D9050" s="1430" t="s">
        <v>1110</v>
      </c>
      <c r="E9050" s="1857" t="s">
        <v>1508</v>
      </c>
      <c r="F9050" s="1403" t="s">
        <v>2281</v>
      </c>
      <c r="G9050" s="1991">
        <v>1</v>
      </c>
      <c r="H9050" s="1937">
        <f>G9050*H9048</f>
        <v>4</v>
      </c>
      <c r="I9050" s="197"/>
      <c r="J9050" s="198"/>
      <c r="K9050" s="1307">
        <f>H9050*K9042</f>
        <v>4</v>
      </c>
      <c r="L9050" s="1335">
        <f t="shared" si="1222"/>
        <v>0</v>
      </c>
      <c r="M9050" s="1302">
        <v>18.420000000000002</v>
      </c>
      <c r="N9050" s="1718">
        <f>G9050*M9050</f>
        <v>18.420000000000002</v>
      </c>
      <c r="O9050" s="1290">
        <f>H9050*M9050</f>
        <v>73.680000000000007</v>
      </c>
      <c r="P9050" s="1720">
        <f>M9050*K9050</f>
        <v>73.680000000000007</v>
      </c>
      <c r="Q9050" s="3396"/>
      <c r="R9050" s="2337"/>
    </row>
    <row r="9051" spans="1:18">
      <c r="B9051" s="1042"/>
      <c r="C9051" s="2086" t="s">
        <v>2282</v>
      </c>
      <c r="D9051" s="1311"/>
      <c r="E9051" s="2176" t="s">
        <v>1508</v>
      </c>
      <c r="F9051" s="1648" t="s">
        <v>2283</v>
      </c>
      <c r="G9051" s="1990"/>
      <c r="H9051" s="1457">
        <v>0.5</v>
      </c>
      <c r="I9051" s="1444"/>
      <c r="J9051" s="1388"/>
      <c r="K9051" s="1445"/>
      <c r="L9051" s="1457"/>
      <c r="M9051" s="1447"/>
      <c r="N9051" s="1447">
        <f>SUM(N9052:N9053)</f>
        <v>37.019999999999996</v>
      </c>
      <c r="O9051" s="1447">
        <f>SUM(O9052:O9053)</f>
        <v>18.509999999999998</v>
      </c>
      <c r="P9051" s="1447">
        <f>SUM(P9052:P9053)</f>
        <v>18.509999999999998</v>
      </c>
      <c r="Q9051" s="3391"/>
      <c r="R9051" s="2337"/>
    </row>
    <row r="9052" spans="1:18">
      <c r="B9052" s="1042"/>
      <c r="C9052" s="19"/>
      <c r="D9052" s="1430" t="s">
        <v>1067</v>
      </c>
      <c r="E9052" s="1857" t="s">
        <v>1508</v>
      </c>
      <c r="F9052" s="1394" t="s">
        <v>5</v>
      </c>
      <c r="G9052" s="1991">
        <v>1</v>
      </c>
      <c r="H9052" s="1937">
        <f>G9052*H9051</f>
        <v>0.5</v>
      </c>
      <c r="I9052" s="1286"/>
      <c r="J9052" s="198"/>
      <c r="K9052" s="1307">
        <f>H9052*K9042</f>
        <v>0.5</v>
      </c>
      <c r="L9052" s="1335">
        <f t="shared" ref="L9052:L9053" si="1223">K9052*$K$8584</f>
        <v>0</v>
      </c>
      <c r="M9052" s="1302">
        <v>18.28</v>
      </c>
      <c r="N9052" s="1718">
        <f>G9052*M9052</f>
        <v>18.28</v>
      </c>
      <c r="O9052" s="1290">
        <f>H9052*M9052</f>
        <v>9.14</v>
      </c>
      <c r="P9052" s="1720">
        <f t="shared" ref="P9052:P9053" si="1224">M9052*K9052</f>
        <v>9.14</v>
      </c>
      <c r="Q9052" s="3396"/>
      <c r="R9052" s="2337"/>
    </row>
    <row r="9053" spans="1:18">
      <c r="B9053" s="1042"/>
      <c r="C9053" s="19"/>
      <c r="D9053" s="1430" t="s">
        <v>1165</v>
      </c>
      <c r="E9053" s="1857" t="s">
        <v>1508</v>
      </c>
      <c r="F9053" s="1430" t="s">
        <v>114</v>
      </c>
      <c r="G9053" s="2183">
        <v>1</v>
      </c>
      <c r="H9053" s="3417">
        <f>G9053*H9051</f>
        <v>0.5</v>
      </c>
      <c r="I9053" s="197"/>
      <c r="J9053" s="198"/>
      <c r="K9053" s="1307">
        <f>H9053*K9042</f>
        <v>0.5</v>
      </c>
      <c r="L9053" s="1335">
        <f t="shared" si="1223"/>
        <v>0</v>
      </c>
      <c r="M9053" s="1302">
        <v>18.739999999999998</v>
      </c>
      <c r="N9053" s="1718">
        <f>G9053*M9053</f>
        <v>18.739999999999998</v>
      </c>
      <c r="O9053" s="1290">
        <f>H9053*M9053</f>
        <v>9.3699999999999992</v>
      </c>
      <c r="P9053" s="1720">
        <f t="shared" si="1224"/>
        <v>9.3699999999999992</v>
      </c>
      <c r="Q9053" s="3396"/>
      <c r="R9053" s="2337"/>
    </row>
    <row r="9054" spans="1:18">
      <c r="A9054" s="22"/>
      <c r="B9054" s="1320"/>
      <c r="C9054" s="16"/>
      <c r="D9054" s="1359"/>
      <c r="E9054" s="1858"/>
      <c r="F9054" s="3415"/>
      <c r="G9054" s="3416"/>
      <c r="H9054" s="1466"/>
      <c r="I9054" s="1289"/>
      <c r="J9054" s="8"/>
      <c r="K9054" s="1350"/>
      <c r="L9054" s="1335"/>
      <c r="M9054" s="1302"/>
      <c r="N9054" s="1700"/>
      <c r="O9054" s="1290"/>
      <c r="P9054" s="1332"/>
      <c r="Q9054" s="3391"/>
      <c r="R9054" s="2344"/>
    </row>
    <row r="9055" spans="1:18">
      <c r="A9055" s="22"/>
      <c r="B9055" s="1320"/>
      <c r="C9055" s="16"/>
      <c r="D9055" s="1359"/>
      <c r="E9055" s="1858"/>
      <c r="F9055" s="3415"/>
      <c r="G9055" s="3416"/>
      <c r="H9055" s="1466"/>
      <c r="I9055" s="1289"/>
      <c r="J9055" s="8"/>
      <c r="K9055" s="1350"/>
      <c r="L9055" s="1335"/>
      <c r="M9055" s="1302"/>
      <c r="N9055" s="1700"/>
      <c r="O9055" s="1290"/>
      <c r="P9055" s="1332"/>
      <c r="Q9055" s="3391"/>
      <c r="R9055" s="2344"/>
    </row>
    <row r="9056" spans="1:18">
      <c r="A9056" s="22"/>
      <c r="B9056" s="1320"/>
      <c r="C9056" s="16"/>
      <c r="D9056" s="1359"/>
      <c r="E9056" s="1858"/>
      <c r="F9056" s="1361"/>
      <c r="G9056" s="2297"/>
      <c r="H9056" s="1466"/>
      <c r="I9056" s="1289"/>
      <c r="J9056" s="8"/>
      <c r="K9056" s="1307"/>
      <c r="L9056" s="1335"/>
      <c r="M9056" s="1302"/>
      <c r="N9056" s="1700"/>
      <c r="O9056" s="1290"/>
      <c r="P9056" s="1332"/>
      <c r="Q9056" s="3391"/>
      <c r="R9056" s="2344"/>
    </row>
    <row r="9057" spans="1:18">
      <c r="A9057" s="1320"/>
      <c r="B9057" s="1599"/>
      <c r="C9057" s="1320"/>
      <c r="D9057" s="1373"/>
      <c r="E9057" s="2123"/>
      <c r="F9057" s="1374" t="s">
        <v>3</v>
      </c>
      <c r="G9057" s="2199"/>
      <c r="H9057" s="1376"/>
      <c r="I9057" s="1382"/>
      <c r="J9057" s="1383"/>
      <c r="K9057" s="1383"/>
      <c r="L9057" s="1413"/>
      <c r="M9057" s="1376"/>
      <c r="N9057" s="1376"/>
      <c r="O9057" s="1376"/>
      <c r="P9057" s="1373"/>
      <c r="Q9057" s="3403"/>
      <c r="R9057" s="2356"/>
    </row>
    <row r="9058" spans="1:18">
      <c r="A9058" s="1321"/>
      <c r="B9058" s="2053"/>
      <c r="C9058" s="1321"/>
      <c r="D9058" s="1827"/>
      <c r="E9058" s="2173"/>
      <c r="F9058" s="1827"/>
      <c r="G9058" s="1828"/>
      <c r="H9058" s="1379"/>
      <c r="I9058" s="1299"/>
      <c r="J9058" s="1300"/>
      <c r="K9058" s="1307"/>
      <c r="L9058" s="1335"/>
      <c r="M9058" s="1302"/>
      <c r="N9058" s="1700"/>
      <c r="O9058" s="1290"/>
      <c r="P9058" s="1332"/>
      <c r="Q9058" s="3402"/>
      <c r="R9058" s="2053"/>
    </row>
    <row r="9059" spans="1:18">
      <c r="A9059" s="1599"/>
      <c r="B9059" s="1320"/>
      <c r="C9059" s="88"/>
      <c r="D9059" s="1411"/>
      <c r="E9059" s="2161"/>
      <c r="F9059" s="1678"/>
      <c r="G9059" s="2201"/>
      <c r="H9059" s="1376"/>
      <c r="I9059" s="1299"/>
      <c r="J9059" s="1300"/>
      <c r="K9059" s="1307"/>
      <c r="L9059" s="1335"/>
      <c r="M9059" s="1302"/>
      <c r="N9059" s="1700"/>
      <c r="O9059" s="1290"/>
      <c r="P9059" s="1332"/>
      <c r="Q9059" s="3402"/>
      <c r="R9059" s="2356"/>
    </row>
    <row r="9060" spans="1:18">
      <c r="A9060" s="1599"/>
      <c r="B9060" s="225"/>
      <c r="C9060" s="581"/>
      <c r="D9060" s="1411"/>
      <c r="E9060" s="2161"/>
      <c r="F9060" s="1678"/>
      <c r="G9060" s="2201"/>
      <c r="H9060" s="1376"/>
      <c r="I9060" s="1299"/>
      <c r="J9060" s="1300"/>
      <c r="K9060" s="1307"/>
      <c r="L9060" s="1335"/>
      <c r="M9060" s="1302"/>
      <c r="N9060" s="1700"/>
      <c r="O9060" s="1290"/>
      <c r="P9060" s="1332"/>
      <c r="Q9060" s="3402"/>
      <c r="R9060" s="2356"/>
    </row>
    <row r="9061" spans="1:18">
      <c r="A9061" s="16"/>
      <c r="B9061" s="16"/>
      <c r="C9061" s="16"/>
      <c r="D9061" s="1795"/>
      <c r="E9061" s="2179"/>
      <c r="F9061" s="1795"/>
      <c r="G9061" s="1795"/>
      <c r="H9061" s="1797"/>
      <c r="I9061" s="1561"/>
      <c r="J9061" s="1561"/>
      <c r="K9061" s="1639"/>
      <c r="L9061" s="1640"/>
      <c r="M9061" s="1292"/>
      <c r="N9061" s="1292"/>
      <c r="O9061" s="1292"/>
      <c r="P9061" s="1292"/>
      <c r="Q9061" s="3391"/>
      <c r="R9061" s="3363"/>
    </row>
    <row r="9062" spans="1:18" s="22" customFormat="1">
      <c r="A9062" s="1295"/>
      <c r="B9062" s="1295"/>
      <c r="C9062" s="1295"/>
      <c r="D9062" s="1295"/>
      <c r="E9062" s="2159"/>
      <c r="F9062" s="1295"/>
      <c r="G9062" s="1295"/>
      <c r="H9062" s="1638"/>
      <c r="I9062" s="1561"/>
      <c r="J9062" s="13"/>
      <c r="K9062" s="1639"/>
      <c r="L9062" s="1640"/>
      <c r="M9062" s="1292"/>
      <c r="N9062" s="1292"/>
      <c r="O9062" s="1292"/>
      <c r="P9062" s="1292"/>
      <c r="Q9062" s="3391"/>
      <c r="R9062" s="1295"/>
    </row>
    <row r="9063" spans="1:18" s="22" customFormat="1" ht="15" thickBot="1">
      <c r="A9063" s="1295"/>
      <c r="B9063" s="1295"/>
      <c r="C9063" s="1295"/>
      <c r="D9063" s="1295"/>
      <c r="E9063" s="2159"/>
      <c r="F9063" s="1295"/>
      <c r="G9063" s="1295"/>
      <c r="H9063" s="1638"/>
      <c r="I9063" s="1561"/>
      <c r="J9063" s="13"/>
      <c r="K9063" s="1639"/>
      <c r="L9063" s="1640"/>
      <c r="M9063" s="1292"/>
      <c r="N9063" s="1292"/>
      <c r="O9063" s="1292"/>
      <c r="P9063" s="1292"/>
      <c r="Q9063" s="3391"/>
      <c r="R9063" s="1295"/>
    </row>
    <row r="9064" spans="1:18" s="22" customFormat="1" ht="16" thickBot="1">
      <c r="A9064" s="4232"/>
      <c r="B9064" s="4233"/>
      <c r="C9064" s="4233"/>
      <c r="D9064" s="4233"/>
      <c r="E9064" s="4233"/>
      <c r="F9064" s="4233" t="s">
        <v>2570</v>
      </c>
      <c r="G9064" s="4233"/>
      <c r="H9064" s="4233"/>
      <c r="I9064" s="4233"/>
      <c r="J9064" s="4233"/>
      <c r="K9064" s="4233"/>
      <c r="L9064" s="4233"/>
      <c r="M9064" s="4233"/>
      <c r="N9064" s="4233"/>
      <c r="O9064" s="4233"/>
      <c r="P9064" s="4233"/>
      <c r="Q9064" s="4251"/>
      <c r="R9064" s="3518"/>
    </row>
    <row r="9065" spans="1:18" s="22" customFormat="1" ht="29">
      <c r="A9065" s="3518"/>
      <c r="B9065" s="3518"/>
      <c r="C9065" s="3518"/>
      <c r="D9065" s="3518"/>
      <c r="E9065" s="3518"/>
      <c r="F9065" s="3518"/>
      <c r="G9065" s="3518"/>
      <c r="H9065" s="3518"/>
      <c r="I9065" s="3518"/>
      <c r="J9065" s="3518"/>
      <c r="K9065" s="3518"/>
      <c r="L9065" s="3518"/>
      <c r="M9065" s="3518"/>
      <c r="N9065" s="3518"/>
      <c r="O9065" s="3518"/>
      <c r="P9065" s="3518"/>
      <c r="Q9065" s="4241" t="s">
        <v>3430</v>
      </c>
      <c r="R9065" s="3518"/>
    </row>
    <row r="9066" spans="1:18" s="22" customFormat="1" ht="20.25" customHeight="1" thickBot="1">
      <c r="A9066" s="1295"/>
      <c r="B9066" s="1295"/>
      <c r="C9066" s="1295"/>
      <c r="D9066" s="1295"/>
      <c r="E9066" s="2159"/>
      <c r="F9066" s="1295"/>
      <c r="G9066" s="1295"/>
      <c r="H9066" s="1638"/>
      <c r="I9066" s="1561"/>
      <c r="J9066" s="13"/>
      <c r="K9066" s="1639"/>
      <c r="L9066" s="1640"/>
      <c r="M9066" s="1292"/>
      <c r="N9066" s="1292"/>
      <c r="O9066" s="1292"/>
      <c r="P9066" s="1292"/>
      <c r="Q9066" s="4242">
        <f>SUM(Q9068:Q9741)</f>
        <v>0</v>
      </c>
      <c r="R9066" s="1295"/>
    </row>
    <row r="9067" spans="1:18" s="22" customFormat="1" ht="20.25" customHeight="1">
      <c r="A9067" s="1295"/>
      <c r="B9067" s="1295"/>
      <c r="C9067" s="1295"/>
      <c r="D9067" s="1295"/>
      <c r="E9067" s="2159"/>
      <c r="F9067" s="1295"/>
      <c r="G9067" s="1295"/>
      <c r="H9067" s="1638"/>
      <c r="I9067" s="1561"/>
      <c r="J9067" s="13"/>
      <c r="K9067" s="1639"/>
      <c r="L9067" s="1640"/>
      <c r="M9067" s="1292"/>
      <c r="N9067" s="1292"/>
      <c r="O9067" s="1292"/>
      <c r="P9067" s="1292"/>
      <c r="Q9067" s="4116"/>
      <c r="R9067" s="1295"/>
    </row>
    <row r="9068" spans="1:18" s="22" customFormat="1" ht="21" customHeight="1">
      <c r="A9068" s="4391" t="s">
        <v>125</v>
      </c>
      <c r="B9068" s="4392"/>
      <c r="C9068" s="4392"/>
      <c r="D9068" s="4392"/>
      <c r="E9068" s="1303" t="s">
        <v>1507</v>
      </c>
      <c r="F9068" s="1305" t="s">
        <v>2569</v>
      </c>
      <c r="G9068" s="1288"/>
      <c r="H9068" s="1288"/>
      <c r="I9068" s="1557"/>
      <c r="J9068" s="1288"/>
      <c r="K9068" s="1288"/>
      <c r="L9068" s="1557"/>
      <c r="M9068" s="1288"/>
      <c r="N9068" s="1288"/>
      <c r="O9068" s="1288"/>
      <c r="P9068" s="1283"/>
      <c r="Q9068" s="3386"/>
      <c r="R9068" s="2339"/>
    </row>
    <row r="9069" spans="1:18" s="22" customFormat="1">
      <c r="A9069" s="4393" t="s">
        <v>162</v>
      </c>
      <c r="B9069" s="4394"/>
      <c r="C9069" s="4394"/>
      <c r="D9069" s="4395"/>
      <c r="E9069" s="4396" t="s">
        <v>1549</v>
      </c>
      <c r="F9069" s="4397" t="s">
        <v>1550</v>
      </c>
      <c r="G9069" s="4399" t="s">
        <v>1566</v>
      </c>
      <c r="H9069" s="4400"/>
      <c r="I9069" s="4400"/>
      <c r="J9069" s="4400"/>
      <c r="K9069" s="4400"/>
      <c r="L9069" s="4401"/>
      <c r="M9069" s="4405" t="s">
        <v>1567</v>
      </c>
      <c r="N9069" s="4405"/>
      <c r="O9069" s="4405"/>
      <c r="P9069" s="4405"/>
      <c r="Q9069" s="3395"/>
      <c r="R9069" s="2339"/>
    </row>
    <row r="9070" spans="1:18" s="22" customFormat="1" ht="15" thickBot="1">
      <c r="A9070" s="1324" t="s">
        <v>3766</v>
      </c>
      <c r="B9070" s="1325" t="s">
        <v>1513</v>
      </c>
      <c r="C9070" s="1326" t="s">
        <v>1573</v>
      </c>
      <c r="D9070" s="1323" t="s">
        <v>1514</v>
      </c>
      <c r="E9070" s="4396"/>
      <c r="F9070" s="4398"/>
      <c r="G9070" s="4402"/>
      <c r="H9070" s="4403"/>
      <c r="I9070" s="4403"/>
      <c r="J9070" s="4403"/>
      <c r="K9070" s="4403"/>
      <c r="L9070" s="4404"/>
      <c r="M9070" s="4405"/>
      <c r="N9070" s="4405"/>
      <c r="O9070" s="4405"/>
      <c r="P9070" s="4405"/>
      <c r="Q9070" s="3395"/>
      <c r="R9070" s="2339"/>
    </row>
    <row r="9071" spans="1:18" s="22" customFormat="1">
      <c r="A9071" s="4374" t="s">
        <v>2057</v>
      </c>
      <c r="B9071" s="4375"/>
      <c r="C9071" s="4375"/>
      <c r="D9071" s="4376"/>
      <c r="E9071" s="4380" t="s">
        <v>1507</v>
      </c>
      <c r="F9071" s="4382" t="s">
        <v>2056</v>
      </c>
      <c r="G9071" s="4406" t="s">
        <v>294</v>
      </c>
      <c r="H9071" s="4407"/>
      <c r="I9071" s="1665" t="s">
        <v>1565</v>
      </c>
      <c r="J9071" s="3348" t="s">
        <v>1575</v>
      </c>
      <c r="K9071" s="4406" t="s">
        <v>289</v>
      </c>
      <c r="L9071" s="4407"/>
      <c r="M9071" s="4408" t="s">
        <v>3349</v>
      </c>
      <c r="N9071" s="4408"/>
      <c r="O9071" s="4408"/>
      <c r="P9071" s="4409"/>
      <c r="Q9071" s="4244" t="s">
        <v>3970</v>
      </c>
      <c r="R9071" s="2339"/>
    </row>
    <row r="9072" spans="1:18" s="22" customFormat="1" ht="16" thickBot="1">
      <c r="A9072" s="4377"/>
      <c r="B9072" s="4378"/>
      <c r="C9072" s="4378"/>
      <c r="D9072" s="4379"/>
      <c r="E9072" s="4381"/>
      <c r="F9072" s="4383"/>
      <c r="G9072" s="4410">
        <f>IF('Seleccion proyecto HEREVEA02'!G63="Ventana abatible+Aluminio RPT+vidrio doble acristalamiento",'Seleccion proyecto HEREVEA02'!E63,0)</f>
        <v>0</v>
      </c>
      <c r="H9072" s="4411"/>
      <c r="I9072" s="3353">
        <f>IF('Seleccion proyecto HEREVEA02'!H63=0,0,IF('Seleccion proyecto HEREVEA02'!H63="1 a 30",0.3,IF('Seleccion proyecto HEREVEA02'!H63="31 a 60",0.6,IF('Seleccion proyecto HEREVEA02'!H63="61 a 100",1))))</f>
        <v>0</v>
      </c>
      <c r="J9072" s="1351">
        <f>'Seleccion proyecto HEREVEA02'!L8</f>
        <v>11100.968999999999</v>
      </c>
      <c r="K9072" s="4412">
        <f>G9072*I9072*J9072</f>
        <v>0</v>
      </c>
      <c r="L9072" s="4413"/>
      <c r="M9072" s="4360">
        <f>P9074+P9088+P9108+P9126+P9146</f>
        <v>387.597888767276</v>
      </c>
      <c r="N9072" s="4361"/>
      <c r="O9072" s="4361"/>
      <c r="P9072" s="4362"/>
      <c r="Q9072" s="4245">
        <f>M9072*K9072</f>
        <v>0</v>
      </c>
      <c r="R9072" s="2339"/>
    </row>
    <row r="9073" spans="1:18" s="22" customFormat="1">
      <c r="A9073" s="18" t="s">
        <v>3764</v>
      </c>
      <c r="B9073" s="4325" t="s">
        <v>3626</v>
      </c>
      <c r="C9073" s="3354"/>
      <c r="D9073" s="4327"/>
      <c r="E9073" s="4329" t="s">
        <v>1507</v>
      </c>
      <c r="F9073" s="4336" t="s">
        <v>3627</v>
      </c>
      <c r="G9073" s="4331" t="s">
        <v>1568</v>
      </c>
      <c r="H9073" s="4331" t="s">
        <v>1574</v>
      </c>
      <c r="I9073" s="1572" t="s">
        <v>1559</v>
      </c>
      <c r="J9073" s="1294" t="s">
        <v>1560</v>
      </c>
      <c r="K9073" s="1294" t="s">
        <v>1569</v>
      </c>
      <c r="L9073" s="4333" t="s">
        <v>3765</v>
      </c>
      <c r="M9073" s="4335" t="s">
        <v>1571</v>
      </c>
      <c r="N9073" s="4323" t="s">
        <v>1776</v>
      </c>
      <c r="O9073" s="3347" t="s">
        <v>1563</v>
      </c>
      <c r="P9073" s="1336" t="s">
        <v>1562</v>
      </c>
      <c r="Q9073" s="3389"/>
      <c r="R9073" s="1699" t="s">
        <v>1327</v>
      </c>
    </row>
    <row r="9074" spans="1:18" s="22" customFormat="1">
      <c r="A9074" s="1662" t="s">
        <v>2057</v>
      </c>
      <c r="B9074" s="4326"/>
      <c r="C9074" s="3351"/>
      <c r="D9074" s="4328"/>
      <c r="E9074" s="4330"/>
      <c r="F9074" s="4336"/>
      <c r="G9074" s="4332"/>
      <c r="H9074" s="4332"/>
      <c r="I9074" s="3814">
        <v>46.02</v>
      </c>
      <c r="J9074" s="3815">
        <v>2.1999999999999999E-2</v>
      </c>
      <c r="K9074" s="1297">
        <f>I9074*J9074</f>
        <v>1.01244</v>
      </c>
      <c r="L9074" s="4334"/>
      <c r="M9074" s="4335"/>
      <c r="N9074" s="4324"/>
      <c r="O9074" s="1298">
        <f>SUM(O9076:O9086)</f>
        <v>5.484</v>
      </c>
      <c r="P9074" s="1337">
        <f>O9074*K9074</f>
        <v>5.5522209599999996</v>
      </c>
      <c r="Q9074" s="3390"/>
      <c r="R9074" s="1721">
        <f>P9080</f>
        <v>5.5522209600000005</v>
      </c>
    </row>
    <row r="9075" spans="1:18" s="22" customFormat="1">
      <c r="A9075" s="1320"/>
      <c r="C9075" s="1327"/>
      <c r="D9075" s="1367"/>
      <c r="E9075" s="2121"/>
      <c r="F9075" s="1389" t="s">
        <v>1</v>
      </c>
      <c r="G9075" s="1389"/>
      <c r="H9075" s="1369"/>
      <c r="I9075" s="1409"/>
      <c r="J9075" s="1390"/>
      <c r="K9075" s="1391"/>
      <c r="L9075" s="1559"/>
      <c r="M9075" s="1369"/>
      <c r="N9075" s="1369"/>
      <c r="O9075" s="1369"/>
      <c r="P9075" s="1392"/>
      <c r="Q9075" s="3395"/>
      <c r="R9075" s="2339"/>
    </row>
    <row r="9076" spans="1:18" s="22" customFormat="1">
      <c r="A9076" s="1042"/>
      <c r="C9076" s="1042"/>
      <c r="D9076" s="1672"/>
      <c r="E9076" s="2160"/>
      <c r="F9076" s="1675"/>
      <c r="G9076" s="1675"/>
      <c r="H9076" s="1674"/>
      <c r="I9076" s="1299" t="str">
        <f t="shared" ref="I9076:I9077" ca="1" si="1225">IF(COUNT(H9076:O9076)=0,"",(SUM(H9076:O9076)/COUNT(H9076:O9076)))</f>
        <v/>
      </c>
      <c r="J9076" s="1300"/>
      <c r="K9076" s="1307"/>
      <c r="L9076" s="1335"/>
      <c r="M9076" s="1302"/>
      <c r="N9076" s="1700"/>
      <c r="O9076" s="1290"/>
      <c r="P9076" s="1332"/>
      <c r="Q9076" s="3391"/>
      <c r="R9076" s="2339"/>
    </row>
    <row r="9077" spans="1:18" s="22" customFormat="1">
      <c r="A9077" s="1042"/>
      <c r="C9077" s="1042"/>
      <c r="D9077" s="1367"/>
      <c r="E9077" s="2121"/>
      <c r="F9077" s="1436"/>
      <c r="G9077" s="1436"/>
      <c r="H9077" s="1369"/>
      <c r="I9077" s="1299" t="str">
        <f t="shared" ca="1" si="1225"/>
        <v/>
      </c>
      <c r="J9077" s="1300"/>
      <c r="K9077" s="1307"/>
      <c r="L9077" s="1335"/>
      <c r="M9077" s="1302"/>
      <c r="N9077" s="1700"/>
      <c r="O9077" s="1290"/>
      <c r="P9077" s="1332"/>
      <c r="Q9077" s="3391"/>
      <c r="R9077" s="2339"/>
    </row>
    <row r="9078" spans="1:18" s="22" customFormat="1">
      <c r="A9078" s="1042"/>
      <c r="C9078" s="1042"/>
      <c r="D9078" s="1367"/>
      <c r="E9078" s="2121"/>
      <c r="F9078" s="1436"/>
      <c r="G9078" s="1436"/>
      <c r="H9078" s="1369"/>
      <c r="I9078" s="1299"/>
      <c r="J9078" s="1300"/>
      <c r="K9078" s="1307"/>
      <c r="L9078" s="1335"/>
      <c r="M9078" s="1302"/>
      <c r="N9078" s="1700"/>
      <c r="O9078" s="1290"/>
      <c r="P9078" s="1332"/>
      <c r="Q9078" s="3391"/>
      <c r="R9078" s="2339"/>
    </row>
    <row r="9079" spans="1:18" s="22" customFormat="1">
      <c r="A9079" s="1042"/>
      <c r="C9079" s="1042"/>
      <c r="D9079" s="1359"/>
      <c r="E9079" s="1858"/>
      <c r="F9079" s="1360" t="s">
        <v>2</v>
      </c>
      <c r="G9079" s="1360"/>
      <c r="H9079" s="1362"/>
      <c r="I9079" s="1380"/>
      <c r="J9079" s="1381"/>
      <c r="K9079" s="1381"/>
      <c r="L9079" s="1458" t="str">
        <f>IF(COUNT(K9078)=0,"",IF(#REF!="","",(K9078*#REF!)))</f>
        <v/>
      </c>
      <c r="M9079" s="1362"/>
      <c r="N9079" s="1362"/>
      <c r="O9079" s="1362"/>
      <c r="P9079" s="1359"/>
      <c r="Q9079" s="3387"/>
      <c r="R9079" s="2339"/>
    </row>
    <row r="9080" spans="1:18" s="22" customFormat="1">
      <c r="A9080" s="1321"/>
      <c r="B9080" s="1295"/>
      <c r="C9080" s="1321"/>
      <c r="D9080" s="1363" t="s">
        <v>1067</v>
      </c>
      <c r="E9080" s="2125" t="s">
        <v>1508</v>
      </c>
      <c r="F9080" s="1385" t="s">
        <v>1512</v>
      </c>
      <c r="G9080" s="2019">
        <v>0.3</v>
      </c>
      <c r="H9080" s="1386"/>
      <c r="I9080" s="1299"/>
      <c r="J9080" s="1300"/>
      <c r="K9080" s="1307">
        <f>G9080*K9074</f>
        <v>0.303732</v>
      </c>
      <c r="L9080" s="1335">
        <f>K9080*$K$9072</f>
        <v>0</v>
      </c>
      <c r="M9080" s="1302">
        <v>18.28</v>
      </c>
      <c r="N9080" s="1700"/>
      <c r="O9080" s="1290">
        <f>G9080*M9080</f>
        <v>5.484</v>
      </c>
      <c r="P9080" s="1332">
        <f>M9080*K9080</f>
        <v>5.5522209600000005</v>
      </c>
      <c r="Q9080" s="3391"/>
      <c r="R9080" s="2339"/>
    </row>
    <row r="9081" spans="1:18" s="22" customFormat="1">
      <c r="A9081" s="1320"/>
      <c r="C9081" s="1320"/>
      <c r="D9081" s="1359"/>
      <c r="E9081" s="1858"/>
      <c r="F9081" s="1404"/>
      <c r="G9081" s="1404"/>
      <c r="H9081" s="1359"/>
      <c r="I9081" s="1299"/>
      <c r="J9081" s="1300"/>
      <c r="K9081" s="1307"/>
      <c r="L9081" s="1335"/>
      <c r="M9081" s="1302"/>
      <c r="N9081" s="1700"/>
      <c r="O9081" s="1290"/>
      <c r="P9081" s="1332"/>
      <c r="Q9081" s="3391"/>
      <c r="R9081" s="2339"/>
    </row>
    <row r="9082" spans="1:18" s="22" customFormat="1">
      <c r="A9082" s="1320"/>
      <c r="C9082" s="1320"/>
      <c r="D9082" s="1359"/>
      <c r="E9082" s="1858"/>
      <c r="F9082" s="1361"/>
      <c r="G9082" s="1361"/>
      <c r="H9082" s="1466"/>
      <c r="I9082" s="1299"/>
      <c r="J9082" s="1300"/>
      <c r="K9082" s="1307"/>
      <c r="L9082" s="1335"/>
      <c r="M9082" s="1302"/>
      <c r="N9082" s="1700"/>
      <c r="O9082" s="1290"/>
      <c r="P9082" s="1332"/>
      <c r="Q9082" s="3391"/>
      <c r="R9082" s="2339"/>
    </row>
    <row r="9083" spans="1:18" s="22" customFormat="1">
      <c r="A9083" s="1320"/>
      <c r="C9083" s="1320"/>
      <c r="D9083" s="1373"/>
      <c r="E9083" s="2123"/>
      <c r="F9083" s="1374" t="s">
        <v>3</v>
      </c>
      <c r="G9083" s="1375"/>
      <c r="H9083" s="1376"/>
      <c r="I9083" s="1382"/>
      <c r="J9083" s="1383"/>
      <c r="K9083" s="1383"/>
      <c r="L9083" s="1413"/>
      <c r="M9083" s="1376"/>
      <c r="N9083" s="1376"/>
      <c r="O9083" s="1376"/>
      <c r="P9083" s="1373"/>
      <c r="Q9083" s="3387"/>
      <c r="R9083" s="2339"/>
    </row>
    <row r="9084" spans="1:18" s="22" customFormat="1">
      <c r="A9084" s="1321"/>
      <c r="B9084" s="1295"/>
      <c r="C9084" s="1321"/>
      <c r="D9084" s="1377"/>
      <c r="E9084" s="2124"/>
      <c r="F9084" s="1378"/>
      <c r="G9084" s="1378"/>
      <c r="H9084" s="1379"/>
      <c r="I9084" s="1299"/>
      <c r="J9084" s="1300"/>
      <c r="K9084" s="1307"/>
      <c r="L9084" s="1335"/>
      <c r="M9084" s="1302"/>
      <c r="N9084" s="1700"/>
      <c r="O9084" s="1290"/>
      <c r="P9084" s="1332"/>
      <c r="Q9084" s="3391"/>
      <c r="R9084" s="2339"/>
    </row>
    <row r="9085" spans="1:18" s="22" customFormat="1">
      <c r="A9085" s="1321"/>
      <c r="B9085" s="1295"/>
      <c r="C9085" s="1321"/>
      <c r="D9085" s="1377"/>
      <c r="E9085" s="2124"/>
      <c r="F9085" s="1378"/>
      <c r="G9085" s="1378"/>
      <c r="H9085" s="1379"/>
      <c r="I9085" s="1299"/>
      <c r="J9085" s="1300"/>
      <c r="K9085" s="1307"/>
      <c r="L9085" s="1335"/>
      <c r="M9085" s="1302"/>
      <c r="N9085" s="1700"/>
      <c r="O9085" s="1290"/>
      <c r="P9085" s="1333"/>
      <c r="Q9085" s="3391"/>
      <c r="R9085" s="2339"/>
    </row>
    <row r="9086" spans="1:18" s="22" customFormat="1">
      <c r="A9086" s="1042"/>
      <c r="C9086" s="1042"/>
      <c r="D9086" s="1677"/>
      <c r="E9086" s="2161"/>
      <c r="F9086" s="1678"/>
      <c r="G9086" s="1678"/>
      <c r="H9086" s="1376"/>
      <c r="I9086" s="1299"/>
      <c r="J9086" s="1300"/>
      <c r="K9086" s="1307"/>
      <c r="L9086" s="1335"/>
      <c r="M9086" s="1302"/>
      <c r="N9086" s="1700"/>
      <c r="O9086" s="1290"/>
      <c r="P9086" s="1332"/>
      <c r="Q9086" s="3391"/>
      <c r="R9086" s="2339"/>
    </row>
    <row r="9087" spans="1:18" s="22" customFormat="1">
      <c r="A9087" s="18" t="s">
        <v>3764</v>
      </c>
      <c r="B9087" s="4325" t="s">
        <v>2058</v>
      </c>
      <c r="C9087" s="3354"/>
      <c r="D9087" s="4327"/>
      <c r="E9087" s="4329" t="s">
        <v>1507</v>
      </c>
      <c r="F9087" s="4336" t="s">
        <v>2059</v>
      </c>
      <c r="G9087" s="4331" t="s">
        <v>1568</v>
      </c>
      <c r="H9087" s="4331" t="s">
        <v>1574</v>
      </c>
      <c r="I9087" s="1572" t="s">
        <v>1559</v>
      </c>
      <c r="J9087" s="1294" t="s">
        <v>1560</v>
      </c>
      <c r="K9087" s="1294" t="s">
        <v>1569</v>
      </c>
      <c r="L9087" s="4333" t="s">
        <v>3765</v>
      </c>
      <c r="M9087" s="4335" t="s">
        <v>1571</v>
      </c>
      <c r="N9087" s="4323" t="s">
        <v>1776</v>
      </c>
      <c r="O9087" s="3347" t="s">
        <v>1563</v>
      </c>
      <c r="P9087" s="1336" t="s">
        <v>1562</v>
      </c>
      <c r="Q9087" s="3389"/>
      <c r="R9087" s="1699" t="s">
        <v>1327</v>
      </c>
    </row>
    <row r="9088" spans="1:18" s="22" customFormat="1">
      <c r="A9088" s="1662" t="s">
        <v>2057</v>
      </c>
      <c r="B9088" s="4326"/>
      <c r="C9088" s="3351"/>
      <c r="D9088" s="4328"/>
      <c r="E9088" s="4330"/>
      <c r="F9088" s="4336"/>
      <c r="G9088" s="4332"/>
      <c r="H9088" s="4332"/>
      <c r="I9088" s="3814">
        <v>46.02</v>
      </c>
      <c r="J9088" s="3815">
        <v>2.1999999999999999E-2</v>
      </c>
      <c r="K9088" s="1297">
        <f>I9088*J9088</f>
        <v>1.01244</v>
      </c>
      <c r="L9088" s="4334"/>
      <c r="M9088" s="4335"/>
      <c r="N9088" s="4324"/>
      <c r="O9088" s="1298">
        <f>O9090+O9091+O9099+O9100</f>
        <v>15.346632899999999</v>
      </c>
      <c r="P9088" s="1337">
        <f>O9088*K9088</f>
        <v>15.537545013275999</v>
      </c>
      <c r="Q9088" s="3390"/>
      <c r="R9088" s="1721">
        <f>P9090+P9091+P9099+P9100</f>
        <v>15.537545013276002</v>
      </c>
    </row>
    <row r="9089" spans="1:20" s="16" customFormat="1">
      <c r="A9089" s="1320"/>
      <c r="B9089" s="22"/>
      <c r="C9089" s="1327"/>
      <c r="D9089" s="1367"/>
      <c r="E9089" s="2121"/>
      <c r="F9089" s="1389" t="s">
        <v>1</v>
      </c>
      <c r="G9089" s="1389"/>
      <c r="H9089" s="1369"/>
      <c r="I9089" s="1409"/>
      <c r="J9089" s="1390"/>
      <c r="K9089" s="1391"/>
      <c r="L9089" s="1559"/>
      <c r="M9089" s="1369"/>
      <c r="N9089" s="1369"/>
      <c r="O9089" s="1369"/>
      <c r="P9089" s="1392"/>
      <c r="Q9089" s="3395"/>
      <c r="R9089" s="2339"/>
    </row>
    <row r="9090" spans="1:20">
      <c r="A9090" s="1042"/>
      <c r="B9090" s="22"/>
      <c r="C9090" s="1042"/>
      <c r="D9090" s="1598" t="s">
        <v>2060</v>
      </c>
      <c r="E9090" s="2154" t="s">
        <v>1357</v>
      </c>
      <c r="F9090" s="1598" t="s">
        <v>2061</v>
      </c>
      <c r="G9090" s="1612">
        <v>0.09</v>
      </c>
      <c r="H9090" s="1674"/>
      <c r="I9090" s="1299"/>
      <c r="J9090" s="1300"/>
      <c r="K9090" s="1307">
        <f>G9090*K9088</f>
        <v>9.1119599999999995E-2</v>
      </c>
      <c r="L9090" s="1335">
        <f>K9090*$K$9072</f>
        <v>0</v>
      </c>
      <c r="M9090" s="1302">
        <v>7.42</v>
      </c>
      <c r="N9090" s="1700"/>
      <c r="O9090" s="1290">
        <f>G9090*M9090</f>
        <v>0.66779999999999995</v>
      </c>
      <c r="P9090" s="1332">
        <f>M9090*K9090</f>
        <v>0.67610743200000001</v>
      </c>
      <c r="Q9090" s="3391"/>
      <c r="S9090" s="1570"/>
      <c r="T9090" s="1570"/>
    </row>
    <row r="9091" spans="1:20" s="16" customFormat="1">
      <c r="B9091" s="1042"/>
      <c r="C9091" s="1356" t="s">
        <v>1127</v>
      </c>
      <c r="D9091" s="1311"/>
      <c r="E9091" s="2137" t="s">
        <v>1517</v>
      </c>
      <c r="F9091" s="1319" t="s">
        <v>1519</v>
      </c>
      <c r="G9091" s="1353"/>
      <c r="H9091" s="1456">
        <v>0.03</v>
      </c>
      <c r="I9091" s="1444"/>
      <c r="J9091" s="1388"/>
      <c r="K9091" s="1445"/>
      <c r="L9091" s="1457"/>
      <c r="M9091" s="1447"/>
      <c r="N9091" s="1447">
        <f>SUM(N9092:N9095)</f>
        <v>50.044430000000006</v>
      </c>
      <c r="O9091" s="1447">
        <f>SUM(O9092:O9095)</f>
        <v>1.5013329000000002</v>
      </c>
      <c r="P9091" s="1446">
        <f>SUM(P9092:P9095)</f>
        <v>1.5200094812760003</v>
      </c>
      <c r="Q9091" s="3391"/>
      <c r="R9091" s="2337"/>
    </row>
    <row r="9092" spans="1:20" s="16" customFormat="1" ht="13.5" customHeight="1">
      <c r="B9092" s="1042"/>
      <c r="C9092" s="1327"/>
      <c r="D9092" s="1400" t="s">
        <v>1069</v>
      </c>
      <c r="E9092" s="1856" t="s">
        <v>1517</v>
      </c>
      <c r="F9092" s="1397" t="s">
        <v>1578</v>
      </c>
      <c r="G9092" s="1416">
        <v>0.26300000000000001</v>
      </c>
      <c r="H9092" s="1399">
        <f>G9092*$H$9091</f>
        <v>7.8899999999999994E-3</v>
      </c>
      <c r="I9092" s="197"/>
      <c r="J9092" s="198"/>
      <c r="K9092" s="1307">
        <f>H9092*$K$9088</f>
        <v>7.9881516E-3</v>
      </c>
      <c r="L9092" s="1335">
        <f t="shared" ref="L9092:L9095" si="1226">K9092*$K$9072</f>
        <v>0</v>
      </c>
      <c r="M9092" s="1302">
        <v>0.55000000000000004</v>
      </c>
      <c r="N9092" s="1718">
        <f>G9092*M9092</f>
        <v>0.14465000000000003</v>
      </c>
      <c r="O9092" s="1290">
        <f>H9092*M9092</f>
        <v>4.3395000000000005E-3</v>
      </c>
      <c r="P9092" s="1332">
        <f>M9092*K9092</f>
        <v>4.3934833800000003E-3</v>
      </c>
      <c r="Q9092" s="3391"/>
      <c r="R9092" s="2337"/>
    </row>
    <row r="9093" spans="1:20">
      <c r="A9093" s="16"/>
      <c r="B9093" s="1042"/>
      <c r="C9093" s="1320"/>
      <c r="D9093" s="1400" t="s">
        <v>1394</v>
      </c>
      <c r="E9093" s="1856" t="s">
        <v>1577</v>
      </c>
      <c r="F9093" s="1397" t="s">
        <v>1579</v>
      </c>
      <c r="G9093" s="1416">
        <v>0.25800000000000001</v>
      </c>
      <c r="H9093" s="1399">
        <f>G9093*$H$9091</f>
        <v>7.7400000000000004E-3</v>
      </c>
      <c r="I9093" s="197"/>
      <c r="J9093" s="198"/>
      <c r="K9093" s="1307">
        <f t="shared" ref="K9093:K9095" si="1227">H9093*$K$9088</f>
        <v>7.8362856000000012E-3</v>
      </c>
      <c r="L9093" s="1335">
        <f t="shared" si="1226"/>
        <v>0</v>
      </c>
      <c r="M9093" s="1302">
        <v>92.54</v>
      </c>
      <c r="N9093" s="1718">
        <f>G9093*M9093</f>
        <v>23.875320000000002</v>
      </c>
      <c r="O9093" s="1290">
        <f>H9093*M9093</f>
        <v>0.71625960000000011</v>
      </c>
      <c r="P9093" s="1332">
        <f>M9093*K9093</f>
        <v>0.72516986942400019</v>
      </c>
      <c r="Q9093" s="3391"/>
      <c r="R9093" s="2337"/>
    </row>
    <row r="9094" spans="1:20">
      <c r="A9094" s="16"/>
      <c r="B9094" s="1042"/>
      <c r="C9094" s="1320"/>
      <c r="D9094" s="1400" t="s">
        <v>1576</v>
      </c>
      <c r="E9094" s="1856" t="s">
        <v>1517</v>
      </c>
      <c r="F9094" s="1397" t="s">
        <v>1580</v>
      </c>
      <c r="G9094" s="1416">
        <v>1.1020000000000001</v>
      </c>
      <c r="H9094" s="1399">
        <f>G9094*$H$9091</f>
        <v>3.3059999999999999E-2</v>
      </c>
      <c r="I9094" s="197"/>
      <c r="J9094" s="198"/>
      <c r="K9094" s="1307">
        <f t="shared" si="1227"/>
        <v>3.3471266399999998E-2</v>
      </c>
      <c r="L9094" s="1335">
        <f t="shared" si="1226"/>
        <v>0</v>
      </c>
      <c r="M9094" s="1302">
        <v>6.53</v>
      </c>
      <c r="N9094" s="1718">
        <f>G9094*M9094</f>
        <v>7.196060000000001</v>
      </c>
      <c r="O9094" s="1290">
        <f>H9094*M9094</f>
        <v>0.21588180000000001</v>
      </c>
      <c r="P9094" s="1332">
        <f>M9094*K9094</f>
        <v>0.21856736959199999</v>
      </c>
      <c r="Q9094" s="3391"/>
      <c r="R9094" s="2337"/>
    </row>
    <row r="9095" spans="1:20">
      <c r="A9095" s="16"/>
      <c r="B9095" s="1042"/>
      <c r="C9095" s="1320"/>
      <c r="D9095" s="1404" t="s">
        <v>1067</v>
      </c>
      <c r="E9095" s="1857" t="s">
        <v>1508</v>
      </c>
      <c r="F9095" s="1406" t="s">
        <v>1512</v>
      </c>
      <c r="G9095" s="1407">
        <v>1.03</v>
      </c>
      <c r="H9095" s="1408">
        <f>G9095*$H$9091</f>
        <v>3.09E-2</v>
      </c>
      <c r="I9095" s="197"/>
      <c r="J9095" s="198"/>
      <c r="K9095" s="1307">
        <f t="shared" si="1227"/>
        <v>3.1284395999999999E-2</v>
      </c>
      <c r="L9095" s="1335">
        <f t="shared" si="1226"/>
        <v>0</v>
      </c>
      <c r="M9095" s="1302">
        <v>18.28</v>
      </c>
      <c r="N9095" s="1718">
        <f>G9095*M9095</f>
        <v>18.828400000000002</v>
      </c>
      <c r="O9095" s="1290">
        <f>H9095*M9095</f>
        <v>0.56485200000000002</v>
      </c>
      <c r="P9095" s="1332">
        <f>M9095*K9095</f>
        <v>0.57187875888000006</v>
      </c>
      <c r="Q9095" s="3391"/>
      <c r="R9095" s="2337"/>
    </row>
    <row r="9096" spans="1:20">
      <c r="A9096" s="1042"/>
      <c r="B9096" s="22"/>
      <c r="C9096" s="1042"/>
      <c r="D9096" s="1672"/>
      <c r="E9096" s="2160"/>
      <c r="F9096" s="1675"/>
      <c r="G9096" s="1675"/>
      <c r="H9096" s="1674"/>
      <c r="I9096" s="1299" t="str">
        <f t="shared" ref="I9096:I9097" ca="1" si="1228">IF(COUNT(H9096:O9096)=0,"",(SUM(H9096:O9096)/COUNT(H9096:O9096)))</f>
        <v/>
      </c>
      <c r="J9096" s="1300"/>
      <c r="K9096" s="1307"/>
      <c r="L9096" s="1335"/>
      <c r="M9096" s="1302"/>
      <c r="N9096" s="1700"/>
      <c r="O9096" s="1290"/>
      <c r="P9096" s="1332"/>
      <c r="Q9096" s="3391"/>
    </row>
    <row r="9097" spans="1:20">
      <c r="A9097" s="1042"/>
      <c r="B9097" s="22"/>
      <c r="C9097" s="1042"/>
      <c r="D9097" s="1367"/>
      <c r="E9097" s="2121"/>
      <c r="F9097" s="1436"/>
      <c r="G9097" s="1436"/>
      <c r="H9097" s="1369"/>
      <c r="I9097" s="1299" t="str">
        <f t="shared" ca="1" si="1228"/>
        <v/>
      </c>
      <c r="J9097" s="1300"/>
      <c r="K9097" s="1307"/>
      <c r="L9097" s="1335"/>
      <c r="M9097" s="1302"/>
      <c r="N9097" s="1700"/>
      <c r="O9097" s="1290"/>
      <c r="P9097" s="1332"/>
      <c r="Q9097" s="3391"/>
    </row>
    <row r="9098" spans="1:20" s="22" customFormat="1">
      <c r="A9098" s="1042"/>
      <c r="C9098" s="1042"/>
      <c r="D9098" s="1359"/>
      <c r="E9098" s="1858"/>
      <c r="F9098" s="1360" t="s">
        <v>2</v>
      </c>
      <c r="G9098" s="1360"/>
      <c r="H9098" s="1362"/>
      <c r="I9098" s="1380"/>
      <c r="J9098" s="1381"/>
      <c r="K9098" s="1381"/>
      <c r="L9098" s="1458"/>
      <c r="M9098" s="1362"/>
      <c r="N9098" s="1362"/>
      <c r="O9098" s="1362"/>
      <c r="P9098" s="1359"/>
      <c r="Q9098" s="3387"/>
      <c r="R9098" s="2339"/>
    </row>
    <row r="9099" spans="1:20" s="22" customFormat="1">
      <c r="A9099" s="1321"/>
      <c r="B9099" s="1295"/>
      <c r="C9099" s="1321"/>
      <c r="D9099" s="1363" t="s">
        <v>2062</v>
      </c>
      <c r="E9099" s="2125" t="s">
        <v>1508</v>
      </c>
      <c r="F9099" s="1403" t="s">
        <v>37</v>
      </c>
      <c r="G9099" s="1408">
        <v>0.35</v>
      </c>
      <c r="H9099" s="2019"/>
      <c r="I9099" s="1299"/>
      <c r="J9099" s="1300"/>
      <c r="K9099" s="1307">
        <f>G9099*K9088</f>
        <v>0.354354</v>
      </c>
      <c r="L9099" s="1335">
        <f t="shared" ref="L9099:L9100" si="1229">K9099*$K$9072</f>
        <v>0</v>
      </c>
      <c r="M9099" s="1302">
        <v>19.23</v>
      </c>
      <c r="N9099" s="1700"/>
      <c r="O9099" s="1290">
        <f>G9099*M9099</f>
        <v>6.7305000000000001</v>
      </c>
      <c r="P9099" s="1332">
        <f>M9099*K9099</f>
        <v>6.8142274199999999</v>
      </c>
      <c r="Q9099" s="3391"/>
      <c r="R9099" s="2339"/>
    </row>
    <row r="9100" spans="1:20" s="22" customFormat="1">
      <c r="A9100" s="1320"/>
      <c r="C9100" s="1320"/>
      <c r="D9100" s="1655" t="s">
        <v>2063</v>
      </c>
      <c r="E9100" s="1859" t="s">
        <v>1508</v>
      </c>
      <c r="F9100" s="1655" t="s">
        <v>1966</v>
      </c>
      <c r="G9100" s="1809">
        <v>0.35</v>
      </c>
      <c r="H9100" s="1359"/>
      <c r="I9100" s="1299"/>
      <c r="J9100" s="1300"/>
      <c r="K9100" s="1307">
        <f>G9100*K9088</f>
        <v>0.354354</v>
      </c>
      <c r="L9100" s="1335">
        <f t="shared" si="1229"/>
        <v>0</v>
      </c>
      <c r="M9100" s="1302">
        <v>18.420000000000002</v>
      </c>
      <c r="N9100" s="1700"/>
      <c r="O9100" s="1290">
        <f>G9100*M9100</f>
        <v>6.4470000000000001</v>
      </c>
      <c r="P9100" s="1332">
        <f>M9100*K9100</f>
        <v>6.5272006800000009</v>
      </c>
      <c r="Q9100" s="3391"/>
      <c r="R9100" s="2339"/>
    </row>
    <row r="9101" spans="1:20">
      <c r="A9101" s="1320"/>
      <c r="B9101" s="22"/>
      <c r="C9101" s="1320"/>
      <c r="D9101" s="1359"/>
      <c r="E9101" s="1858"/>
      <c r="F9101" s="1404"/>
      <c r="G9101" s="1404"/>
      <c r="H9101" s="1359"/>
      <c r="I9101" s="1299"/>
      <c r="J9101" s="1300"/>
      <c r="K9101" s="1307"/>
      <c r="L9101" s="1335"/>
      <c r="M9101" s="1302"/>
      <c r="N9101" s="1700"/>
      <c r="O9101" s="1290"/>
      <c r="P9101" s="1332"/>
      <c r="Q9101" s="3391"/>
    </row>
    <row r="9102" spans="1:20">
      <c r="A9102" s="1320"/>
      <c r="B9102" s="22"/>
      <c r="C9102" s="1320"/>
      <c r="D9102" s="1359"/>
      <c r="E9102" s="1858"/>
      <c r="F9102" s="1361"/>
      <c r="G9102" s="1361"/>
      <c r="H9102" s="1466"/>
      <c r="I9102" s="1299"/>
      <c r="J9102" s="1300"/>
      <c r="K9102" s="1307"/>
      <c r="L9102" s="1335"/>
      <c r="M9102" s="1302"/>
      <c r="N9102" s="1700"/>
      <c r="O9102" s="1290"/>
      <c r="P9102" s="1332"/>
      <c r="Q9102" s="3391"/>
      <c r="T9102" s="2082">
        <v>42157</v>
      </c>
    </row>
    <row r="9103" spans="1:20">
      <c r="A9103" s="1320"/>
      <c r="B9103" s="22"/>
      <c r="C9103" s="1320"/>
      <c r="D9103" s="1373"/>
      <c r="E9103" s="2123"/>
      <c r="F9103" s="1374" t="s">
        <v>3</v>
      </c>
      <c r="G9103" s="1375"/>
      <c r="H9103" s="1376"/>
      <c r="I9103" s="1382"/>
      <c r="J9103" s="1383"/>
      <c r="K9103" s="1383"/>
      <c r="L9103" s="1413"/>
      <c r="M9103" s="1376"/>
      <c r="N9103" s="1376"/>
      <c r="O9103" s="1376"/>
      <c r="P9103" s="1373"/>
      <c r="Q9103" s="3387"/>
    </row>
    <row r="9104" spans="1:20">
      <c r="A9104" s="1321"/>
      <c r="B9104" s="1295"/>
      <c r="C9104" s="1321"/>
      <c r="D9104" s="1377"/>
      <c r="E9104" s="2124"/>
      <c r="F9104" s="1378"/>
      <c r="G9104" s="1378"/>
      <c r="H9104" s="1379"/>
      <c r="I9104" s="1299"/>
      <c r="J9104" s="1300"/>
      <c r="K9104" s="1307"/>
      <c r="L9104" s="1335"/>
      <c r="M9104" s="1302"/>
      <c r="N9104" s="1700"/>
      <c r="O9104" s="1290"/>
      <c r="P9104" s="1332"/>
      <c r="Q9104" s="3391"/>
    </row>
    <row r="9105" spans="1:18">
      <c r="A9105" s="1321"/>
      <c r="B9105" s="1295"/>
      <c r="C9105" s="1321"/>
      <c r="D9105" s="1377"/>
      <c r="E9105" s="2124"/>
      <c r="F9105" s="1378"/>
      <c r="G9105" s="1378"/>
      <c r="H9105" s="1379"/>
      <c r="I9105" s="1299"/>
      <c r="J9105" s="1300"/>
      <c r="K9105" s="1307"/>
      <c r="L9105" s="1335"/>
      <c r="M9105" s="1302"/>
      <c r="N9105" s="1700"/>
      <c r="O9105" s="1290"/>
      <c r="P9105" s="1333"/>
      <c r="Q9105" s="3391"/>
    </row>
    <row r="9106" spans="1:18">
      <c r="A9106" s="1042"/>
      <c r="B9106" s="22"/>
      <c r="C9106" s="1042"/>
      <c r="D9106" s="1677"/>
      <c r="E9106" s="2161"/>
      <c r="F9106" s="1678"/>
      <c r="G9106" s="1678"/>
      <c r="H9106" s="1376"/>
      <c r="I9106" s="1299"/>
      <c r="J9106" s="1300"/>
      <c r="K9106" s="1307"/>
      <c r="L9106" s="1335"/>
      <c r="M9106" s="1302"/>
      <c r="N9106" s="1700"/>
      <c r="O9106" s="1290"/>
      <c r="P9106" s="1332"/>
      <c r="Q9106" s="3391"/>
    </row>
    <row r="9107" spans="1:18">
      <c r="A9107" s="18" t="s">
        <v>3764</v>
      </c>
      <c r="B9107" s="4325" t="s">
        <v>2064</v>
      </c>
      <c r="C9107" s="3354"/>
      <c r="D9107" s="4327"/>
      <c r="E9107" s="4329" t="s">
        <v>1507</v>
      </c>
      <c r="F9107" s="4336" t="s">
        <v>2065</v>
      </c>
      <c r="G9107" s="4331" t="s">
        <v>1568</v>
      </c>
      <c r="H9107" s="4331" t="s">
        <v>1574</v>
      </c>
      <c r="I9107" s="1572" t="s">
        <v>1559</v>
      </c>
      <c r="J9107" s="1294" t="s">
        <v>1560</v>
      </c>
      <c r="K9107" s="1294" t="s">
        <v>1569</v>
      </c>
      <c r="L9107" s="4333" t="s">
        <v>3765</v>
      </c>
      <c r="M9107" s="4335" t="s">
        <v>1571</v>
      </c>
      <c r="N9107" s="4323" t="s">
        <v>1776</v>
      </c>
      <c r="O9107" s="3347" t="s">
        <v>1563</v>
      </c>
      <c r="P9107" s="1336" t="s">
        <v>1562</v>
      </c>
      <c r="Q9107" s="3389"/>
      <c r="R9107" s="1699" t="s">
        <v>1327</v>
      </c>
    </row>
    <row r="9108" spans="1:18">
      <c r="A9108" s="1662" t="s">
        <v>2057</v>
      </c>
      <c r="B9108" s="4326"/>
      <c r="C9108" s="3351"/>
      <c r="D9108" s="4328"/>
      <c r="E9108" s="4330"/>
      <c r="F9108" s="4336"/>
      <c r="G9108" s="4332"/>
      <c r="H9108" s="4332"/>
      <c r="I9108" s="3814">
        <v>46.02</v>
      </c>
      <c r="J9108" s="3815">
        <v>2.1999999999999999E-2</v>
      </c>
      <c r="K9108" s="1297">
        <f>I9108*J9108</f>
        <v>1.01244</v>
      </c>
      <c r="L9108" s="4334"/>
      <c r="M9108" s="4335"/>
      <c r="N9108" s="4324"/>
      <c r="O9108" s="1298">
        <f>SUM(O9110:O9124)</f>
        <v>249.77210000000002</v>
      </c>
      <c r="P9108" s="1337">
        <f>O9108*K9108</f>
        <v>252.87926492400001</v>
      </c>
      <c r="Q9108" s="3390"/>
      <c r="R9108" s="1721">
        <f>SUM(P9110:P9124)</f>
        <v>252.87926492399998</v>
      </c>
    </row>
    <row r="9109" spans="1:18">
      <c r="A9109" s="1320"/>
      <c r="B9109" s="22"/>
      <c r="C9109" s="1327"/>
      <c r="D9109" s="1367"/>
      <c r="E9109" s="2121"/>
      <c r="F9109" s="1389" t="s">
        <v>1</v>
      </c>
      <c r="G9109" s="1389"/>
      <c r="H9109" s="1369"/>
      <c r="I9109" s="1409"/>
      <c r="J9109" s="1390"/>
      <c r="K9109" s="1391"/>
      <c r="L9109" s="1559"/>
      <c r="M9109" s="1369"/>
      <c r="N9109" s="1369"/>
      <c r="O9109" s="1369"/>
      <c r="P9109" s="1392"/>
      <c r="Q9109" s="3395"/>
    </row>
    <row r="9110" spans="1:18">
      <c r="A9110" s="1042"/>
      <c r="B9110" s="22"/>
      <c r="C9110" s="1042"/>
      <c r="D9110" s="1598" t="s">
        <v>2066</v>
      </c>
      <c r="E9110" s="2154" t="s">
        <v>1507</v>
      </c>
      <c r="F9110" s="1598" t="s">
        <v>2067</v>
      </c>
      <c r="G9110" s="1612">
        <v>1</v>
      </c>
      <c r="H9110" s="1674"/>
      <c r="I9110" s="1299"/>
      <c r="J9110" s="1300"/>
      <c r="K9110" s="1307">
        <f>G9110*K9108</f>
        <v>1.01244</v>
      </c>
      <c r="L9110" s="1335">
        <f t="shared" ref="L9110:L9113" si="1230">K9110*$K$9072</f>
        <v>0</v>
      </c>
      <c r="M9110" s="1302">
        <v>230</v>
      </c>
      <c r="N9110" s="1700"/>
      <c r="O9110" s="1290">
        <f>G9110*M9110</f>
        <v>230</v>
      </c>
      <c r="P9110" s="1332">
        <f>M9110*K9110</f>
        <v>232.8612</v>
      </c>
      <c r="Q9110" s="3391"/>
    </row>
    <row r="9111" spans="1:18">
      <c r="A9111" s="16"/>
      <c r="B9111" s="553"/>
      <c r="C9111" s="1042"/>
      <c r="D9111" s="1610" t="s">
        <v>1177</v>
      </c>
      <c r="E9111" s="2154" t="s">
        <v>1527</v>
      </c>
      <c r="F9111" s="1598" t="s">
        <v>2068</v>
      </c>
      <c r="G9111" s="1612">
        <v>3</v>
      </c>
      <c r="H9111" s="1674"/>
      <c r="I9111" s="1299"/>
      <c r="J9111" s="1300"/>
      <c r="K9111" s="1307">
        <f>G9111*K9108</f>
        <v>3.0373200000000002</v>
      </c>
      <c r="L9111" s="1335">
        <f t="shared" si="1230"/>
        <v>0</v>
      </c>
      <c r="M9111" s="1302">
        <v>3.11</v>
      </c>
      <c r="N9111" s="1700"/>
      <c r="O9111" s="1290">
        <f>G9111*M9111</f>
        <v>9.33</v>
      </c>
      <c r="P9111" s="1332">
        <f>M9111*K9111</f>
        <v>9.4460651999999996</v>
      </c>
      <c r="Q9111" s="3391"/>
      <c r="R9111" s="2337"/>
    </row>
    <row r="9112" spans="1:18">
      <c r="A9112" s="16"/>
      <c r="B9112" s="1042"/>
      <c r="C9112" s="1320"/>
      <c r="D9112" s="1598" t="s">
        <v>1175</v>
      </c>
      <c r="E9112" s="2154" t="s">
        <v>1527</v>
      </c>
      <c r="F9112" s="1598" t="s">
        <v>1914</v>
      </c>
      <c r="G9112" s="1612">
        <v>3</v>
      </c>
      <c r="H9112" s="1399"/>
      <c r="I9112" s="197"/>
      <c r="J9112" s="198"/>
      <c r="K9112" s="1307">
        <f>G9112*K9108</f>
        <v>3.0373200000000002</v>
      </c>
      <c r="L9112" s="1335">
        <f t="shared" si="1230"/>
        <v>0</v>
      </c>
      <c r="M9112" s="1302">
        <v>1.3</v>
      </c>
      <c r="N9112" s="1718"/>
      <c r="O9112" s="1290">
        <f>G9112*M9112</f>
        <v>3.9000000000000004</v>
      </c>
      <c r="P9112" s="1332">
        <f>M9112*K9112</f>
        <v>3.9485160000000006</v>
      </c>
      <c r="Q9112" s="3391"/>
      <c r="R9112" s="2337"/>
    </row>
    <row r="9113" spans="1:18">
      <c r="A9113" s="16"/>
      <c r="B9113" s="1042"/>
      <c r="C9113" s="1320"/>
      <c r="D9113" s="1598" t="s">
        <v>1097</v>
      </c>
      <c r="E9113" s="2154" t="s">
        <v>1504</v>
      </c>
      <c r="F9113" s="1598" t="s">
        <v>1632</v>
      </c>
      <c r="G9113" s="1612">
        <v>1</v>
      </c>
      <c r="H9113" s="1399"/>
      <c r="I9113" s="197"/>
      <c r="J9113" s="198"/>
      <c r="K9113" s="1307">
        <f>G9113*K9108</f>
        <v>1.01244</v>
      </c>
      <c r="L9113" s="1335">
        <f t="shared" si="1230"/>
        <v>0</v>
      </c>
      <c r="M9113" s="1302">
        <v>0.55000000000000004</v>
      </c>
      <c r="N9113" s="1718"/>
      <c r="O9113" s="1290">
        <f>G9113*M9113</f>
        <v>0.55000000000000004</v>
      </c>
      <c r="P9113" s="1332">
        <f>M9113*K9113</f>
        <v>0.55684200000000006</v>
      </c>
      <c r="Q9113" s="3391"/>
      <c r="R9113" s="2337"/>
    </row>
    <row r="9114" spans="1:18">
      <c r="A9114" s="1042"/>
      <c r="B9114" s="22"/>
      <c r="C9114" s="1042"/>
      <c r="D9114" s="1367"/>
      <c r="E9114" s="2121"/>
      <c r="F9114" s="1436"/>
      <c r="G9114" s="1436"/>
      <c r="H9114" s="1369"/>
      <c r="I9114" s="1299" t="str">
        <f t="shared" ref="I9114:I9115" ca="1" si="1231">IF(COUNT(H9114:O9114)=0,"",(SUM(H9114:O9114)/COUNT(H9114:O9114)))</f>
        <v/>
      </c>
      <c r="J9114" s="1300"/>
      <c r="K9114" s="1307"/>
      <c r="L9114" s="1335"/>
      <c r="M9114" s="1302"/>
      <c r="N9114" s="1700"/>
      <c r="O9114" s="1290"/>
      <c r="P9114" s="1332"/>
      <c r="Q9114" s="3391"/>
    </row>
    <row r="9115" spans="1:18">
      <c r="A9115" s="1042"/>
      <c r="B9115" s="22"/>
      <c r="C9115" s="1042"/>
      <c r="D9115" s="1367"/>
      <c r="E9115" s="2121"/>
      <c r="F9115" s="1436"/>
      <c r="G9115" s="1436"/>
      <c r="H9115" s="1369"/>
      <c r="I9115" s="1299" t="str">
        <f t="shared" ca="1" si="1231"/>
        <v/>
      </c>
      <c r="J9115" s="1300"/>
      <c r="K9115" s="1307"/>
      <c r="L9115" s="1335"/>
      <c r="M9115" s="1302"/>
      <c r="N9115" s="1700"/>
      <c r="O9115" s="1290"/>
      <c r="P9115" s="1332"/>
      <c r="Q9115" s="3391"/>
    </row>
    <row r="9116" spans="1:18">
      <c r="A9116" s="1042"/>
      <c r="B9116" s="22"/>
      <c r="C9116" s="1042"/>
      <c r="D9116" s="1359"/>
      <c r="E9116" s="1858"/>
      <c r="F9116" s="1360" t="s">
        <v>2</v>
      </c>
      <c r="G9116" s="1360"/>
      <c r="H9116" s="1362"/>
      <c r="I9116" s="1380"/>
      <c r="J9116" s="1381"/>
      <c r="K9116" s="1381"/>
      <c r="L9116" s="1458"/>
      <c r="M9116" s="1362"/>
      <c r="N9116" s="1362"/>
      <c r="O9116" s="1362"/>
      <c r="P9116" s="1359"/>
      <c r="Q9116" s="3387"/>
    </row>
    <row r="9117" spans="1:18">
      <c r="A9117" s="1321"/>
      <c r="B9117" s="1295"/>
      <c r="C9117" s="1321"/>
      <c r="D9117" s="1363" t="s">
        <v>1067</v>
      </c>
      <c r="E9117" s="2125" t="s">
        <v>1508</v>
      </c>
      <c r="F9117" s="1385" t="s">
        <v>1512</v>
      </c>
      <c r="G9117" s="2019">
        <v>0.17</v>
      </c>
      <c r="H9117" s="1386"/>
      <c r="I9117" s="1299"/>
      <c r="J9117" s="1300"/>
      <c r="K9117" s="1307">
        <f>G9117*K9108</f>
        <v>0.17211480000000001</v>
      </c>
      <c r="L9117" s="1335">
        <f t="shared" ref="L9117:L9118" si="1232">K9117*$K$9072</f>
        <v>0</v>
      </c>
      <c r="M9117" s="1302">
        <v>18.28</v>
      </c>
      <c r="N9117" s="1700"/>
      <c r="O9117" s="1290">
        <f>G9117*M9117</f>
        <v>3.1076000000000006</v>
      </c>
      <c r="P9117" s="1332">
        <f>M9117*K9117</f>
        <v>3.1462585440000006</v>
      </c>
      <c r="Q9117" s="3391"/>
    </row>
    <row r="9118" spans="1:18">
      <c r="A9118" s="1320"/>
      <c r="B9118" s="22"/>
      <c r="C9118" s="1320"/>
      <c r="D9118" s="1655" t="s">
        <v>1111</v>
      </c>
      <c r="E9118" s="1859" t="s">
        <v>1508</v>
      </c>
      <c r="F9118" s="1655" t="s">
        <v>2069</v>
      </c>
      <c r="G9118" s="1809">
        <v>0.15</v>
      </c>
      <c r="H9118" s="1359"/>
      <c r="I9118" s="1299"/>
      <c r="J9118" s="1300"/>
      <c r="K9118" s="1307">
        <f>G9118*K9108</f>
        <v>0.151866</v>
      </c>
      <c r="L9118" s="1335">
        <f t="shared" si="1232"/>
        <v>0</v>
      </c>
      <c r="M9118" s="1302">
        <v>19.23</v>
      </c>
      <c r="N9118" s="1700"/>
      <c r="O9118" s="1290">
        <f>G9118*M9118</f>
        <v>2.8845000000000001</v>
      </c>
      <c r="P9118" s="1332">
        <f>M9118*K9118</f>
        <v>2.92038318</v>
      </c>
      <c r="Q9118" s="3391"/>
    </row>
    <row r="9119" spans="1:18">
      <c r="A9119" s="1320"/>
      <c r="B9119" s="22"/>
      <c r="C9119" s="1320"/>
      <c r="D9119" s="1359"/>
      <c r="E9119" s="1858"/>
      <c r="F9119" s="1404"/>
      <c r="G9119" s="1404"/>
      <c r="H9119" s="1359"/>
      <c r="I9119" s="1299"/>
      <c r="J9119" s="1300"/>
      <c r="K9119" s="1307"/>
      <c r="L9119" s="1335"/>
      <c r="M9119" s="1302"/>
      <c r="N9119" s="1700"/>
      <c r="O9119" s="1290"/>
      <c r="P9119" s="1332"/>
      <c r="Q9119" s="3391"/>
    </row>
    <row r="9120" spans="1:18">
      <c r="A9120" s="1320"/>
      <c r="B9120" s="22"/>
      <c r="C9120" s="1320"/>
      <c r="D9120" s="1359"/>
      <c r="E9120" s="1858"/>
      <c r="F9120" s="1361"/>
      <c r="G9120" s="1361"/>
      <c r="H9120" s="1466"/>
      <c r="I9120" s="1299"/>
      <c r="J9120" s="1300"/>
      <c r="K9120" s="1307"/>
      <c r="L9120" s="1335"/>
      <c r="M9120" s="1302"/>
      <c r="N9120" s="1700"/>
      <c r="O9120" s="1290"/>
      <c r="P9120" s="1332"/>
      <c r="Q9120" s="3391"/>
    </row>
    <row r="9121" spans="1:22">
      <c r="A9121" s="1320"/>
      <c r="B9121" s="22"/>
      <c r="C9121" s="1320"/>
      <c r="D9121" s="1373"/>
      <c r="E9121" s="2123"/>
      <c r="F9121" s="1374" t="s">
        <v>3</v>
      </c>
      <c r="G9121" s="1375"/>
      <c r="H9121" s="1376"/>
      <c r="I9121" s="1382"/>
      <c r="J9121" s="1383"/>
      <c r="K9121" s="1383"/>
      <c r="L9121" s="1413"/>
      <c r="M9121" s="1376"/>
      <c r="N9121" s="1376"/>
      <c r="O9121" s="1376"/>
      <c r="P9121" s="1373"/>
      <c r="Q9121" s="3387"/>
    </row>
    <row r="9122" spans="1:22">
      <c r="A9122" s="1321"/>
      <c r="B9122" s="1295"/>
      <c r="C9122" s="1321"/>
      <c r="D9122" s="1377"/>
      <c r="E9122" s="2124"/>
      <c r="F9122" s="1378"/>
      <c r="G9122" s="1378"/>
      <c r="H9122" s="1379"/>
      <c r="I9122" s="1299"/>
      <c r="J9122" s="1300"/>
      <c r="K9122" s="1307"/>
      <c r="L9122" s="1335"/>
      <c r="M9122" s="1302"/>
      <c r="N9122" s="1700"/>
      <c r="O9122" s="1290"/>
      <c r="P9122" s="1332"/>
      <c r="Q9122" s="3391"/>
    </row>
    <row r="9123" spans="1:22">
      <c r="A9123" s="1321"/>
      <c r="B9123" s="1295"/>
      <c r="C9123" s="1321"/>
      <c r="D9123" s="1377"/>
      <c r="E9123" s="2124"/>
      <c r="F9123" s="1378"/>
      <c r="G9123" s="1378"/>
      <c r="H9123" s="1379"/>
      <c r="I9123" s="1299"/>
      <c r="J9123" s="1300"/>
      <c r="K9123" s="1307"/>
      <c r="L9123" s="1335"/>
      <c r="M9123" s="1302"/>
      <c r="N9123" s="1700"/>
      <c r="O9123" s="1290"/>
      <c r="P9123" s="1333"/>
      <c r="Q9123" s="3391"/>
    </row>
    <row r="9124" spans="1:22">
      <c r="A9124" s="1042"/>
      <c r="B9124" s="22"/>
      <c r="C9124" s="1042"/>
      <c r="D9124" s="1677"/>
      <c r="E9124" s="2161"/>
      <c r="F9124" s="1678"/>
      <c r="G9124" s="1678"/>
      <c r="H9124" s="1376"/>
      <c r="I9124" s="1299"/>
      <c r="J9124" s="1300"/>
      <c r="K9124" s="1307"/>
      <c r="L9124" s="1335"/>
      <c r="M9124" s="1302"/>
      <c r="N9124" s="1700"/>
      <c r="O9124" s="1290"/>
      <c r="P9124" s="1332"/>
      <c r="Q9124" s="3391"/>
    </row>
    <row r="9125" spans="1:22">
      <c r="A9125" s="18" t="s">
        <v>3764</v>
      </c>
      <c r="B9125" s="4325" t="s">
        <v>2070</v>
      </c>
      <c r="C9125" s="3350"/>
      <c r="D9125" s="4327"/>
      <c r="E9125" s="4329" t="s">
        <v>1507</v>
      </c>
      <c r="F9125" s="4372" t="s">
        <v>2071</v>
      </c>
      <c r="G9125" s="4331" t="s">
        <v>1568</v>
      </c>
      <c r="H9125" s="4331" t="s">
        <v>1574</v>
      </c>
      <c r="I9125" s="1572" t="s">
        <v>1559</v>
      </c>
      <c r="J9125" s="1294" t="s">
        <v>1560</v>
      </c>
      <c r="K9125" s="1294" t="s">
        <v>1569</v>
      </c>
      <c r="L9125" s="4333" t="s">
        <v>3765</v>
      </c>
      <c r="M9125" s="4335" t="s">
        <v>1571</v>
      </c>
      <c r="N9125" s="4323" t="s">
        <v>1776</v>
      </c>
      <c r="O9125" s="3347" t="s">
        <v>1563</v>
      </c>
      <c r="P9125" s="1336" t="s">
        <v>1562</v>
      </c>
      <c r="Q9125" s="3389"/>
      <c r="R9125" s="1699" t="s">
        <v>1327</v>
      </c>
    </row>
    <row r="9126" spans="1:22">
      <c r="A9126" s="1662" t="s">
        <v>2057</v>
      </c>
      <c r="B9126" s="4326"/>
      <c r="C9126" s="3351"/>
      <c r="D9126" s="4328"/>
      <c r="E9126" s="4330"/>
      <c r="F9126" s="4363"/>
      <c r="G9126" s="4332"/>
      <c r="H9126" s="4332"/>
      <c r="I9126" s="3814">
        <v>42.12</v>
      </c>
      <c r="J9126" s="3815">
        <v>2.1999999999999999E-2</v>
      </c>
      <c r="K9126" s="1297">
        <f>I9126*J9126</f>
        <v>0.92663999999999991</v>
      </c>
      <c r="L9126" s="4334"/>
      <c r="M9126" s="4335"/>
      <c r="N9126" s="4324"/>
      <c r="O9126" s="1298">
        <f>O9128+O9129+O9130+O9131+O9132+O9136+O9137</f>
        <v>94.681000000000012</v>
      </c>
      <c r="P9126" s="1337">
        <f>O9126*K9126</f>
        <v>87.735201840000002</v>
      </c>
      <c r="Q9126" s="3390"/>
      <c r="R9126" s="1721">
        <f>P9128+P9129+P9130+P9131+P9132+P9136+P9137</f>
        <v>87.735201839999988</v>
      </c>
      <c r="S9126" s="16"/>
      <c r="T9126" s="16"/>
      <c r="U9126" s="16"/>
      <c r="V9126" s="16"/>
    </row>
    <row r="9127" spans="1:22">
      <c r="A9127" s="1320"/>
      <c r="B9127" s="22"/>
      <c r="C9127" s="1327"/>
      <c r="D9127" s="1367"/>
      <c r="E9127" s="2121"/>
      <c r="F9127" s="1389" t="s">
        <v>1</v>
      </c>
      <c r="G9127" s="1389"/>
      <c r="H9127" s="1369"/>
      <c r="I9127" s="1409"/>
      <c r="J9127" s="1390"/>
      <c r="K9127" s="1391"/>
      <c r="L9127" s="1559"/>
      <c r="M9127" s="1369"/>
      <c r="N9127" s="1369"/>
      <c r="O9127" s="1369"/>
      <c r="P9127" s="1392"/>
      <c r="Q9127" s="3395"/>
      <c r="S9127" s="16"/>
      <c r="T9127" s="16"/>
      <c r="U9127" s="16"/>
      <c r="V9127" s="16"/>
    </row>
    <row r="9128" spans="1:22">
      <c r="A9128" s="1042"/>
      <c r="B9128" s="22"/>
      <c r="C9128" s="1042"/>
      <c r="D9128" s="1598" t="s">
        <v>2072</v>
      </c>
      <c r="E9128" s="2154" t="s">
        <v>1527</v>
      </c>
      <c r="F9128" s="1598" t="s">
        <v>2073</v>
      </c>
      <c r="G9128" s="1612">
        <v>1.35</v>
      </c>
      <c r="H9128" s="1674"/>
      <c r="I9128" s="1299"/>
      <c r="J9128" s="1300"/>
      <c r="K9128" s="1307">
        <f>G9128*K9126</f>
        <v>1.250964</v>
      </c>
      <c r="L9128" s="1335">
        <f t="shared" ref="L9128:L9132" si="1233">K9128*$K$9072</f>
        <v>0</v>
      </c>
      <c r="M9128" s="1302">
        <v>5.47</v>
      </c>
      <c r="N9128" s="1700"/>
      <c r="O9128" s="1290">
        <f>G9128*M9128</f>
        <v>7.3845000000000001</v>
      </c>
      <c r="P9128" s="1332">
        <f>M9128*K9128</f>
        <v>6.8427730799999997</v>
      </c>
      <c r="Q9128" s="3391"/>
      <c r="S9128" s="16"/>
      <c r="T9128" s="16"/>
      <c r="U9128" s="16"/>
      <c r="V9128" s="16"/>
    </row>
    <row r="9129" spans="1:22">
      <c r="A9129" s="16"/>
      <c r="B9129" s="553"/>
      <c r="C9129" s="1042"/>
      <c r="D9129" s="1610" t="s">
        <v>2074</v>
      </c>
      <c r="E9129" s="2154" t="s">
        <v>1507</v>
      </c>
      <c r="F9129" s="1598" t="s">
        <v>2075</v>
      </c>
      <c r="G9129" s="1612">
        <v>1.1599999999999999</v>
      </c>
      <c r="H9129" s="1674"/>
      <c r="I9129" s="1299"/>
      <c r="J9129" s="1300"/>
      <c r="K9129" s="1307">
        <f>G9129*K9126</f>
        <v>1.0749023999999998</v>
      </c>
      <c r="L9129" s="1335">
        <f t="shared" si="1233"/>
        <v>0</v>
      </c>
      <c r="M9129" s="1302">
        <v>39.58</v>
      </c>
      <c r="N9129" s="1700"/>
      <c r="O9129" s="1290">
        <f>G9129*M9129</f>
        <v>45.912799999999997</v>
      </c>
      <c r="P9129" s="1332">
        <f>M9129*K9129</f>
        <v>42.544636991999994</v>
      </c>
      <c r="Q9129" s="3391"/>
      <c r="R9129" s="2337"/>
      <c r="S9129" s="16"/>
      <c r="T9129" s="16"/>
      <c r="U9129" s="16"/>
      <c r="V9129" s="16"/>
    </row>
    <row r="9130" spans="1:22">
      <c r="A9130" s="16"/>
      <c r="B9130" s="1042"/>
      <c r="C9130" s="1320"/>
      <c r="D9130" s="1598" t="s">
        <v>2076</v>
      </c>
      <c r="E9130" s="2154" t="s">
        <v>1504</v>
      </c>
      <c r="F9130" s="1598" t="s">
        <v>2077</v>
      </c>
      <c r="G9130" s="1612">
        <v>0.56000000000000005</v>
      </c>
      <c r="H9130" s="1399"/>
      <c r="I9130" s="197"/>
      <c r="J9130" s="198"/>
      <c r="K9130" s="1307">
        <f>G9130*K9126</f>
        <v>0.5189184</v>
      </c>
      <c r="L9130" s="1335">
        <f t="shared" si="1233"/>
        <v>0</v>
      </c>
      <c r="M9130" s="1302">
        <v>31.07</v>
      </c>
      <c r="N9130" s="1718"/>
      <c r="O9130" s="1290">
        <f>G9130*M9130</f>
        <v>17.3992</v>
      </c>
      <c r="P9130" s="1332">
        <f>M9130*K9130</f>
        <v>16.122794687999999</v>
      </c>
      <c r="Q9130" s="3391"/>
      <c r="R9130" s="2337"/>
      <c r="S9130" s="16"/>
      <c r="T9130" s="16"/>
      <c r="U9130" s="16"/>
      <c r="V9130" s="16"/>
    </row>
    <row r="9131" spans="1:22">
      <c r="A9131" s="16"/>
      <c r="B9131" s="1042"/>
      <c r="C9131" s="1320"/>
      <c r="D9131" s="1598" t="s">
        <v>1097</v>
      </c>
      <c r="E9131" s="2154" t="s">
        <v>1504</v>
      </c>
      <c r="F9131" s="1598" t="s">
        <v>1632</v>
      </c>
      <c r="G9131" s="1612">
        <v>3</v>
      </c>
      <c r="H9131" s="1399"/>
      <c r="I9131" s="197"/>
      <c r="J9131" s="198"/>
      <c r="K9131" s="1307">
        <f>G9131*K9126</f>
        <v>2.7799199999999997</v>
      </c>
      <c r="L9131" s="1335">
        <f t="shared" si="1233"/>
        <v>0</v>
      </c>
      <c r="M9131" s="1302">
        <v>0.55000000000000004</v>
      </c>
      <c r="N9131" s="1718"/>
      <c r="O9131" s="1290">
        <f>G9131*M9131</f>
        <v>1.6500000000000001</v>
      </c>
      <c r="P9131" s="1332">
        <f>M9131*K9131</f>
        <v>1.528956</v>
      </c>
      <c r="Q9131" s="3391"/>
      <c r="R9131" s="2337"/>
    </row>
    <row r="9132" spans="1:22">
      <c r="A9132" s="16"/>
      <c r="B9132" s="1042"/>
      <c r="C9132" s="1320"/>
      <c r="D9132" s="1598" t="s">
        <v>1082</v>
      </c>
      <c r="E9132" s="2154" t="s">
        <v>1504</v>
      </c>
      <c r="F9132" s="1598" t="s">
        <v>1541</v>
      </c>
      <c r="G9132" s="1612">
        <v>2</v>
      </c>
      <c r="H9132" s="1399"/>
      <c r="I9132" s="197"/>
      <c r="J9132" s="198"/>
      <c r="K9132" s="1307">
        <f>G9132*K9126</f>
        <v>1.8532799999999998</v>
      </c>
      <c r="L9132" s="1335">
        <f t="shared" si="1233"/>
        <v>0</v>
      </c>
      <c r="M9132" s="1302">
        <v>0.3</v>
      </c>
      <c r="N9132" s="1718"/>
      <c r="O9132" s="1290">
        <f>G9132*M9132</f>
        <v>0.6</v>
      </c>
      <c r="P9132" s="1332">
        <f>M9132*K9132</f>
        <v>0.55598399999999992</v>
      </c>
      <c r="Q9132" s="3391"/>
      <c r="R9132" s="2337"/>
    </row>
    <row r="9133" spans="1:22">
      <c r="A9133" s="16"/>
      <c r="B9133" s="1042"/>
      <c r="C9133" s="1320"/>
      <c r="D9133" s="1400"/>
      <c r="E9133" s="1856"/>
      <c r="F9133" s="1397"/>
      <c r="G9133" s="1416"/>
      <c r="H9133" s="1399"/>
      <c r="I9133" s="197"/>
      <c r="J9133" s="198"/>
      <c r="K9133" s="1307"/>
      <c r="L9133" s="1335"/>
      <c r="M9133" s="1302"/>
      <c r="N9133" s="1718"/>
      <c r="O9133" s="1290"/>
      <c r="P9133" s="1332"/>
      <c r="Q9133" s="3391"/>
      <c r="R9133" s="2337"/>
    </row>
    <row r="9134" spans="1:22">
      <c r="A9134" s="1042"/>
      <c r="B9134" s="22"/>
      <c r="C9134" s="1042"/>
      <c r="D9134" s="1367"/>
      <c r="E9134" s="2121"/>
      <c r="F9134" s="1436"/>
      <c r="G9134" s="1436"/>
      <c r="H9134" s="1369"/>
      <c r="I9134" s="1299" t="str">
        <f t="shared" ref="I9134" ca="1" si="1234">IF(COUNT(H9134:O9134)=0,"",(SUM(H9134:O9134)/COUNT(H9134:O9134)))</f>
        <v/>
      </c>
      <c r="J9134" s="1300"/>
      <c r="K9134" s="1307"/>
      <c r="L9134" s="1335"/>
      <c r="M9134" s="1302"/>
      <c r="N9134" s="1700"/>
      <c r="O9134" s="1290"/>
      <c r="P9134" s="1332"/>
      <c r="Q9134" s="3391"/>
    </row>
    <row r="9135" spans="1:22">
      <c r="A9135" s="1042"/>
      <c r="B9135" s="22"/>
      <c r="C9135" s="1042"/>
      <c r="D9135" s="1359"/>
      <c r="E9135" s="1858"/>
      <c r="F9135" s="1360" t="s">
        <v>2</v>
      </c>
      <c r="G9135" s="1360"/>
      <c r="H9135" s="1362"/>
      <c r="I9135" s="1380"/>
      <c r="J9135" s="1381"/>
      <c r="K9135" s="1381"/>
      <c r="L9135" s="1458"/>
      <c r="M9135" s="1362"/>
      <c r="N9135" s="1362"/>
      <c r="O9135" s="1362"/>
      <c r="P9135" s="1359"/>
      <c r="Q9135" s="3387"/>
    </row>
    <row r="9136" spans="1:22">
      <c r="A9136" s="1321"/>
      <c r="B9136" s="1295"/>
      <c r="C9136" s="1321"/>
      <c r="D9136" s="1363" t="s">
        <v>1173</v>
      </c>
      <c r="E9136" s="2125" t="s">
        <v>1508</v>
      </c>
      <c r="F9136" s="1403" t="s">
        <v>120</v>
      </c>
      <c r="G9136" s="1408">
        <v>0.35</v>
      </c>
      <c r="H9136" s="2019"/>
      <c r="I9136" s="1299"/>
      <c r="J9136" s="1300"/>
      <c r="K9136" s="1307">
        <f>G9136*K9126</f>
        <v>0.32432399999999995</v>
      </c>
      <c r="L9136" s="1335">
        <f>K9136*$K$9072</f>
        <v>0</v>
      </c>
      <c r="M9136" s="1302">
        <v>19.23</v>
      </c>
      <c r="N9136" s="1700"/>
      <c r="O9136" s="1290">
        <f>G9136*M9136</f>
        <v>6.7305000000000001</v>
      </c>
      <c r="P9136" s="1332">
        <f>M9136*K9136</f>
        <v>6.2367505199999993</v>
      </c>
      <c r="Q9136" s="3391"/>
    </row>
    <row r="9137" spans="1:18">
      <c r="B9137" s="553"/>
      <c r="C9137" s="1938" t="s">
        <v>1755</v>
      </c>
      <c r="D9137" s="1311"/>
      <c r="E9137" s="2176" t="s">
        <v>1508</v>
      </c>
      <c r="F9137" s="2051" t="s">
        <v>1524</v>
      </c>
      <c r="G9137" s="2052"/>
      <c r="H9137" s="1338">
        <v>0.4</v>
      </c>
      <c r="I9137" s="1444"/>
      <c r="J9137" s="1388"/>
      <c r="K9137" s="1445"/>
      <c r="L9137" s="1457"/>
      <c r="M9137" s="1447"/>
      <c r="N9137" s="1447">
        <f>SUM(N9138:N9139)</f>
        <v>37.510000000000005</v>
      </c>
      <c r="O9137" s="1447">
        <f>SUM(O9138:O9139)</f>
        <v>15.004000000000001</v>
      </c>
      <c r="P9137" s="1447">
        <f>SUM(P9138:P9139)</f>
        <v>13.903306560000001</v>
      </c>
      <c r="Q9137" s="3391"/>
      <c r="R9137" s="2337"/>
    </row>
    <row r="9138" spans="1:18">
      <c r="B9138" s="1042"/>
      <c r="C9138" s="88"/>
      <c r="D9138" s="1898" t="s">
        <v>1067</v>
      </c>
      <c r="E9138" s="1857" t="s">
        <v>1508</v>
      </c>
      <c r="F9138" s="1403" t="s">
        <v>5</v>
      </c>
      <c r="G9138" s="1991">
        <v>1</v>
      </c>
      <c r="H9138" s="1408">
        <f>G9138*$H$9137</f>
        <v>0.4</v>
      </c>
      <c r="I9138" s="1286"/>
      <c r="J9138" s="198"/>
      <c r="K9138" s="1307">
        <f>H9138*$K$9126</f>
        <v>0.37065599999999999</v>
      </c>
      <c r="L9138" s="1335">
        <f t="shared" ref="L9138:L9139" si="1235">K9138*$K$9072</f>
        <v>0</v>
      </c>
      <c r="M9138" s="1302">
        <v>18.28</v>
      </c>
      <c r="N9138" s="1718">
        <f>G9138*M9138</f>
        <v>18.28</v>
      </c>
      <c r="O9138" s="1290">
        <f>H9138*M9138</f>
        <v>7.3120000000000012</v>
      </c>
      <c r="P9138" s="1332">
        <f>M9138*K9138</f>
        <v>6.7755916799999998</v>
      </c>
      <c r="Q9138" s="3391"/>
      <c r="R9138" s="2337"/>
    </row>
    <row r="9139" spans="1:18">
      <c r="B9139" s="1042"/>
      <c r="C9139" s="88"/>
      <c r="D9139" s="1430" t="s">
        <v>1077</v>
      </c>
      <c r="E9139" s="1857" t="s">
        <v>1508</v>
      </c>
      <c r="F9139" s="1403" t="s">
        <v>37</v>
      </c>
      <c r="G9139" s="1991">
        <v>1</v>
      </c>
      <c r="H9139" s="1408">
        <f>G9139*$H$9137</f>
        <v>0.4</v>
      </c>
      <c r="I9139" s="197">
        <f ca="1">IF(COUNT(H9139:L9139)=0,"",(SUM(H9139:L9139)/COUNT(H9139:L9139)))</f>
        <v>62.052915052440582</v>
      </c>
      <c r="J9139" s="198"/>
      <c r="K9139" s="1307">
        <f>H9139*$K$9126</f>
        <v>0.37065599999999999</v>
      </c>
      <c r="L9139" s="1335">
        <f t="shared" si="1235"/>
        <v>0</v>
      </c>
      <c r="M9139" s="1302">
        <v>19.23</v>
      </c>
      <c r="N9139" s="1718">
        <f>G9139*M9139</f>
        <v>19.23</v>
      </c>
      <c r="O9139" s="1290">
        <f>H9139*M9139</f>
        <v>7.6920000000000002</v>
      </c>
      <c r="P9139" s="1332">
        <f>M9139*K9139</f>
        <v>7.1277148800000001</v>
      </c>
      <c r="Q9139" s="3391"/>
      <c r="R9139" s="2337"/>
    </row>
    <row r="9140" spans="1:18" ht="15" customHeight="1">
      <c r="B9140" s="1320"/>
      <c r="C9140" s="595"/>
      <c r="D9140" s="1359"/>
      <c r="E9140" s="1858"/>
      <c r="F9140" s="1361"/>
      <c r="G9140" s="1361"/>
      <c r="H9140" s="1466"/>
      <c r="I9140" s="1299"/>
      <c r="J9140" s="1300"/>
      <c r="K9140" s="1307"/>
      <c r="L9140" s="1335"/>
      <c r="M9140" s="1302"/>
      <c r="N9140" s="1700"/>
      <c r="O9140" s="1290"/>
      <c r="P9140" s="1332"/>
      <c r="Q9140" s="3391"/>
      <c r="R9140" s="1296"/>
    </row>
    <row r="9141" spans="1:18">
      <c r="A9141" s="1320"/>
      <c r="B9141" s="22"/>
      <c r="C9141" s="1320"/>
      <c r="D9141" s="1373"/>
      <c r="E9141" s="2123"/>
      <c r="F9141" s="1374" t="s">
        <v>3</v>
      </c>
      <c r="G9141" s="1375"/>
      <c r="H9141" s="1376"/>
      <c r="I9141" s="1382"/>
      <c r="J9141" s="1383"/>
      <c r="K9141" s="1383"/>
      <c r="L9141" s="1413"/>
      <c r="M9141" s="1376"/>
      <c r="N9141" s="1376"/>
      <c r="O9141" s="1376"/>
      <c r="P9141" s="1373"/>
      <c r="Q9141" s="3387"/>
    </row>
    <row r="9142" spans="1:18">
      <c r="A9142" s="1321"/>
      <c r="B9142" s="1295"/>
      <c r="C9142" s="1321"/>
      <c r="D9142" s="1377"/>
      <c r="E9142" s="2124"/>
      <c r="F9142" s="1378"/>
      <c r="G9142" s="1378"/>
      <c r="H9142" s="1379"/>
      <c r="I9142" s="1299"/>
      <c r="J9142" s="1300"/>
      <c r="K9142" s="1307"/>
      <c r="L9142" s="1335"/>
      <c r="M9142" s="1302"/>
      <c r="N9142" s="1700"/>
      <c r="O9142" s="1290"/>
      <c r="P9142" s="1332"/>
      <c r="Q9142" s="3391"/>
    </row>
    <row r="9143" spans="1:18">
      <c r="A9143" s="1321"/>
      <c r="B9143" s="1295"/>
      <c r="C9143" s="1321"/>
      <c r="D9143" s="1377"/>
      <c r="E9143" s="2124"/>
      <c r="F9143" s="1378"/>
      <c r="G9143" s="1378"/>
      <c r="H9143" s="1379"/>
      <c r="I9143" s="1299"/>
      <c r="J9143" s="1300"/>
      <c r="K9143" s="1307"/>
      <c r="L9143" s="1335"/>
      <c r="M9143" s="1302"/>
      <c r="N9143" s="1700"/>
      <c r="O9143" s="1290"/>
      <c r="P9143" s="1333"/>
      <c r="Q9143" s="3391"/>
    </row>
    <row r="9144" spans="1:18">
      <c r="A9144" s="1042"/>
      <c r="B9144" s="22"/>
      <c r="C9144" s="1042"/>
      <c r="D9144" s="1677"/>
      <c r="E9144" s="2161"/>
      <c r="F9144" s="1678"/>
      <c r="G9144" s="1678"/>
      <c r="H9144" s="1376"/>
      <c r="I9144" s="1299"/>
      <c r="J9144" s="1300"/>
      <c r="K9144" s="1307"/>
      <c r="L9144" s="1335"/>
      <c r="M9144" s="1302"/>
      <c r="N9144" s="1700"/>
      <c r="O9144" s="1290"/>
      <c r="P9144" s="1332"/>
      <c r="Q9144" s="3391"/>
    </row>
    <row r="9145" spans="1:18">
      <c r="A9145" s="18" t="s">
        <v>3764</v>
      </c>
      <c r="B9145" s="4325" t="s">
        <v>2078</v>
      </c>
      <c r="C9145" s="3350"/>
      <c r="D9145" s="4327"/>
      <c r="E9145" s="4329" t="s">
        <v>1507</v>
      </c>
      <c r="F9145" s="4372" t="s">
        <v>2079</v>
      </c>
      <c r="G9145" s="4331" t="s">
        <v>1568</v>
      </c>
      <c r="H9145" s="4331" t="s">
        <v>1574</v>
      </c>
      <c r="I9145" s="1572" t="s">
        <v>1559</v>
      </c>
      <c r="J9145" s="1294" t="s">
        <v>1560</v>
      </c>
      <c r="K9145" s="1294" t="s">
        <v>1569</v>
      </c>
      <c r="L9145" s="4333" t="s">
        <v>3765</v>
      </c>
      <c r="M9145" s="4335" t="s">
        <v>1571</v>
      </c>
      <c r="N9145" s="4323" t="s">
        <v>1776</v>
      </c>
      <c r="O9145" s="3347" t="s">
        <v>1563</v>
      </c>
      <c r="P9145" s="1336" t="s">
        <v>1562</v>
      </c>
      <c r="Q9145" s="3389"/>
      <c r="R9145" s="1699" t="s">
        <v>1327</v>
      </c>
    </row>
    <row r="9146" spans="1:18" s="22" customFormat="1">
      <c r="A9146" s="1662" t="s">
        <v>2057</v>
      </c>
      <c r="B9146" s="4326"/>
      <c r="C9146" s="3351"/>
      <c r="D9146" s="4328"/>
      <c r="E9146" s="4330"/>
      <c r="F9146" s="4363"/>
      <c r="G9146" s="4332"/>
      <c r="H9146" s="4332"/>
      <c r="I9146" s="3814">
        <v>24.23</v>
      </c>
      <c r="J9146" s="3815">
        <v>2.1999999999999999E-2</v>
      </c>
      <c r="K9146" s="1297">
        <f>I9146*J9146</f>
        <v>0.53305999999999998</v>
      </c>
      <c r="L9146" s="4334"/>
      <c r="M9146" s="4335"/>
      <c r="N9146" s="4324"/>
      <c r="O9146" s="1298">
        <f>O9148+O9149+O9153</f>
        <v>48.575500000000005</v>
      </c>
      <c r="P9146" s="1337">
        <f>O9146*K9146</f>
        <v>25.893656030000002</v>
      </c>
      <c r="Q9146" s="3390"/>
      <c r="R9146" s="1721">
        <f>P9148+P9149+P9153</f>
        <v>25.893656029999999</v>
      </c>
    </row>
    <row r="9147" spans="1:18" s="22" customFormat="1">
      <c r="A9147" s="1320"/>
      <c r="B9147" s="1599"/>
      <c r="C9147" s="1327"/>
      <c r="D9147" s="1367"/>
      <c r="E9147" s="2121"/>
      <c r="F9147" s="1389" t="s">
        <v>1</v>
      </c>
      <c r="G9147" s="1389"/>
      <c r="H9147" s="1369"/>
      <c r="I9147" s="1409"/>
      <c r="J9147" s="1390"/>
      <c r="K9147" s="1391"/>
      <c r="L9147" s="1559"/>
      <c r="M9147" s="1369"/>
      <c r="N9147" s="1369"/>
      <c r="O9147" s="1369"/>
      <c r="P9147" s="1392"/>
      <c r="Q9147" s="3395"/>
      <c r="R9147" s="2339"/>
    </row>
    <row r="9148" spans="1:18" s="22" customFormat="1" ht="15" customHeight="1">
      <c r="A9148" s="1042"/>
      <c r="B9148" s="1599"/>
      <c r="C9148" s="1042"/>
      <c r="D9148" s="3829" t="s">
        <v>2080</v>
      </c>
      <c r="E9148" s="3830" t="s">
        <v>1507</v>
      </c>
      <c r="F9148" s="3829" t="s">
        <v>2081</v>
      </c>
      <c r="G9148" s="1612">
        <v>1</v>
      </c>
      <c r="H9148" s="1674"/>
      <c r="I9148" s="1299"/>
      <c r="J9148" s="1300"/>
      <c r="K9148" s="1307">
        <f>G9148*K9146</f>
        <v>0.53305999999999998</v>
      </c>
      <c r="L9148" s="1335">
        <f t="shared" ref="L9148:L9149" si="1236">K9148*$K$9072</f>
        <v>0</v>
      </c>
      <c r="M9148" s="1302">
        <v>31.03</v>
      </c>
      <c r="N9148" s="1700"/>
      <c r="O9148" s="1290">
        <f>G9148*M9148</f>
        <v>31.03</v>
      </c>
      <c r="P9148" s="1332">
        <f>M9148*K9148</f>
        <v>16.540851799999999</v>
      </c>
      <c r="Q9148" s="3391"/>
      <c r="R9148" s="2339"/>
    </row>
    <row r="9149" spans="1:18" s="22" customFormat="1">
      <c r="A9149" s="1320"/>
      <c r="B9149" s="553"/>
      <c r="C9149" s="1042"/>
      <c r="D9149" s="1610" t="s">
        <v>2082</v>
      </c>
      <c r="E9149" s="2154" t="s">
        <v>1527</v>
      </c>
      <c r="F9149" s="1598" t="s">
        <v>2083</v>
      </c>
      <c r="G9149" s="1612">
        <v>3</v>
      </c>
      <c r="H9149" s="1674"/>
      <c r="I9149" s="1299"/>
      <c r="J9149" s="1300"/>
      <c r="K9149" s="1307">
        <f>G9149*K9146</f>
        <v>1.59918</v>
      </c>
      <c r="L9149" s="1335">
        <f t="shared" si="1236"/>
        <v>0</v>
      </c>
      <c r="M9149" s="1302">
        <v>0.4</v>
      </c>
      <c r="N9149" s="1700"/>
      <c r="O9149" s="1290">
        <f>G9149*M9149</f>
        <v>1.2000000000000002</v>
      </c>
      <c r="P9149" s="1332">
        <f>M9149*K9149</f>
        <v>0.63967200000000002</v>
      </c>
      <c r="Q9149" s="3391"/>
      <c r="R9149" s="2337"/>
    </row>
    <row r="9150" spans="1:18" s="22" customFormat="1">
      <c r="A9150" s="1320"/>
      <c r="B9150" s="1042"/>
      <c r="C9150" s="1320"/>
      <c r="D9150" s="1598"/>
      <c r="E9150" s="2154"/>
      <c r="F9150" s="1598"/>
      <c r="G9150" s="1612"/>
      <c r="H9150" s="1399"/>
      <c r="I9150" s="197"/>
      <c r="J9150" s="198"/>
      <c r="K9150" s="1307"/>
      <c r="L9150" s="1335"/>
      <c r="M9150" s="1302"/>
      <c r="N9150" s="1718"/>
      <c r="O9150" s="1290"/>
      <c r="P9150" s="1332"/>
      <c r="Q9150" s="3391"/>
      <c r="R9150" s="2337"/>
    </row>
    <row r="9151" spans="1:18" s="22" customFormat="1">
      <c r="A9151" s="1042"/>
      <c r="B9151" s="1599"/>
      <c r="C9151" s="1042"/>
      <c r="D9151" s="1367"/>
      <c r="E9151" s="2121"/>
      <c r="F9151" s="1436"/>
      <c r="G9151" s="1436"/>
      <c r="H9151" s="1369"/>
      <c r="I9151" s="1299" t="str">
        <f t="shared" ref="I9151" ca="1" si="1237">IF(COUNT(H9151:O9151)=0,"",(SUM(H9151:O9151)/COUNT(H9151:O9151)))</f>
        <v/>
      </c>
      <c r="J9151" s="1300"/>
      <c r="K9151" s="1307"/>
      <c r="L9151" s="1335"/>
      <c r="M9151" s="1302"/>
      <c r="N9151" s="1700"/>
      <c r="O9151" s="1290"/>
      <c r="P9151" s="1332"/>
      <c r="Q9151" s="3391"/>
      <c r="R9151" s="2339"/>
    </row>
    <row r="9152" spans="1:18" s="22" customFormat="1">
      <c r="A9152" s="1042"/>
      <c r="B9152" s="1599"/>
      <c r="C9152" s="1042"/>
      <c r="D9152" s="1359"/>
      <c r="E9152" s="1858"/>
      <c r="F9152" s="1360" t="s">
        <v>2</v>
      </c>
      <c r="G9152" s="1360"/>
      <c r="H9152" s="1362"/>
      <c r="I9152" s="1380"/>
      <c r="J9152" s="1381"/>
      <c r="K9152" s="1381"/>
      <c r="L9152" s="1458"/>
      <c r="M9152" s="1362"/>
      <c r="N9152" s="1362"/>
      <c r="O9152" s="1362"/>
      <c r="P9152" s="1359"/>
      <c r="Q9152" s="3387"/>
      <c r="R9152" s="2339"/>
    </row>
    <row r="9153" spans="1:18" s="22" customFormat="1">
      <c r="A9153" s="1321"/>
      <c r="B9153" s="2053"/>
      <c r="C9153" s="1321"/>
      <c r="D9153" s="1363" t="s">
        <v>1205</v>
      </c>
      <c r="E9153" s="2125" t="s">
        <v>1508</v>
      </c>
      <c r="F9153" s="1403" t="s">
        <v>151</v>
      </c>
      <c r="G9153" s="1408">
        <v>0.85</v>
      </c>
      <c r="H9153" s="2019"/>
      <c r="I9153" s="1299"/>
      <c r="J9153" s="1300"/>
      <c r="K9153" s="1307">
        <f>G9153*K9146</f>
        <v>0.45310099999999998</v>
      </c>
      <c r="L9153" s="1335">
        <f>K9153*$K$9072</f>
        <v>0</v>
      </c>
      <c r="M9153" s="1302">
        <v>19.23</v>
      </c>
      <c r="N9153" s="1700"/>
      <c r="O9153" s="1290">
        <f>G9153*M9153</f>
        <v>16.345500000000001</v>
      </c>
      <c r="P9153" s="1332">
        <f>M9153*K9153</f>
        <v>8.7131322299999994</v>
      </c>
      <c r="Q9153" s="3391"/>
      <c r="R9153" s="2339"/>
    </row>
    <row r="9154" spans="1:18" s="22" customFormat="1">
      <c r="A9154" s="1042"/>
      <c r="B9154" s="1042"/>
      <c r="C9154" s="88"/>
      <c r="D9154" s="1430"/>
      <c r="E9154" s="1857"/>
      <c r="F9154" s="1403"/>
      <c r="G9154" s="1991"/>
      <c r="H9154" s="1408"/>
      <c r="I9154" s="197"/>
      <c r="J9154" s="198"/>
      <c r="K9154" s="1307"/>
      <c r="L9154" s="1335"/>
      <c r="M9154" s="1302"/>
      <c r="N9154" s="1718"/>
      <c r="O9154" s="1290"/>
      <c r="P9154" s="1332"/>
      <c r="Q9154" s="3391"/>
      <c r="R9154" s="2337"/>
    </row>
    <row r="9155" spans="1:18" s="22" customFormat="1">
      <c r="A9155" s="1042"/>
      <c r="B9155" s="1320"/>
      <c r="C9155" s="595"/>
      <c r="D9155" s="1359"/>
      <c r="E9155" s="1858"/>
      <c r="F9155" s="1361"/>
      <c r="G9155" s="1361"/>
      <c r="H9155" s="1466"/>
      <c r="I9155" s="1299"/>
      <c r="J9155" s="1300"/>
      <c r="K9155" s="1307"/>
      <c r="L9155" s="1335"/>
      <c r="M9155" s="1302"/>
      <c r="N9155" s="1700"/>
      <c r="O9155" s="1290"/>
      <c r="P9155" s="1332"/>
      <c r="Q9155" s="3391"/>
      <c r="R9155" s="1296"/>
    </row>
    <row r="9156" spans="1:18" s="22" customFormat="1">
      <c r="A9156" s="1320"/>
      <c r="B9156" s="1599"/>
      <c r="C9156" s="1320"/>
      <c r="D9156" s="1373"/>
      <c r="E9156" s="2123"/>
      <c r="F9156" s="1374" t="s">
        <v>3</v>
      </c>
      <c r="G9156" s="1375"/>
      <c r="H9156" s="1376"/>
      <c r="I9156" s="1382"/>
      <c r="J9156" s="1383"/>
      <c r="K9156" s="1383"/>
      <c r="L9156" s="1413"/>
      <c r="M9156" s="1376"/>
      <c r="N9156" s="1376"/>
      <c r="O9156" s="1376"/>
      <c r="P9156" s="1373"/>
      <c r="Q9156" s="3387"/>
      <c r="R9156" s="2339"/>
    </row>
    <row r="9157" spans="1:18" s="22" customFormat="1">
      <c r="A9157" s="1321"/>
      <c r="B9157" s="2053"/>
      <c r="C9157" s="1321"/>
      <c r="D9157" s="1377"/>
      <c r="E9157" s="2124"/>
      <c r="F9157" s="1378"/>
      <c r="G9157" s="1378"/>
      <c r="H9157" s="1379"/>
      <c r="I9157" s="1299"/>
      <c r="J9157" s="1300"/>
      <c r="K9157" s="1307"/>
      <c r="L9157" s="1335"/>
      <c r="M9157" s="1302"/>
      <c r="N9157" s="1700"/>
      <c r="O9157" s="1290"/>
      <c r="P9157" s="1332"/>
      <c r="Q9157" s="3391"/>
      <c r="R9157" s="2339"/>
    </row>
    <row r="9158" spans="1:18" s="22" customFormat="1">
      <c r="A9158" s="1321"/>
      <c r="B9158" s="2053"/>
      <c r="C9158" s="1321"/>
      <c r="D9158" s="1377"/>
      <c r="E9158" s="2124"/>
      <c r="F9158" s="1378"/>
      <c r="G9158" s="1378"/>
      <c r="H9158" s="1379"/>
      <c r="I9158" s="1299"/>
      <c r="J9158" s="1300"/>
      <c r="K9158" s="1307"/>
      <c r="L9158" s="1335"/>
      <c r="M9158" s="1302"/>
      <c r="N9158" s="1700"/>
      <c r="O9158" s="1290"/>
      <c r="P9158" s="1333"/>
      <c r="Q9158" s="3391"/>
      <c r="R9158" s="2339"/>
    </row>
    <row r="9159" spans="1:18" s="22" customFormat="1">
      <c r="A9159" s="1042"/>
      <c r="B9159" s="1765"/>
      <c r="C9159" s="223"/>
      <c r="D9159" s="4065"/>
      <c r="E9159" s="3943"/>
      <c r="F9159" s="3979"/>
      <c r="G9159" s="3979"/>
      <c r="H9159" s="3945"/>
      <c r="I9159" s="1299"/>
      <c r="J9159" s="3939"/>
      <c r="K9159" s="1307"/>
      <c r="L9159" s="1335"/>
      <c r="M9159" s="3918"/>
      <c r="N9159" s="1700"/>
      <c r="O9159" s="1290"/>
      <c r="P9159" s="3919"/>
      <c r="Q9159" s="3391"/>
      <c r="R9159" s="2339"/>
    </row>
    <row r="9160" spans="1:18" s="16" customFormat="1">
      <c r="E9160" s="2182"/>
      <c r="F9160" s="2080"/>
      <c r="G9160" s="2080"/>
      <c r="H9160" s="13"/>
      <c r="I9160" s="1561"/>
      <c r="J9160" s="13"/>
      <c r="K9160" s="1639"/>
      <c r="L9160" s="1640"/>
      <c r="M9160" s="1292"/>
      <c r="N9160" s="1292"/>
      <c r="O9160" s="1292"/>
      <c r="P9160" s="1292"/>
      <c r="Q9160" s="3391"/>
      <c r="R9160" s="4165"/>
    </row>
    <row r="9161" spans="1:18" s="22" customFormat="1" ht="29">
      <c r="A9161" s="4374" t="s">
        <v>3634</v>
      </c>
      <c r="B9161" s="4375"/>
      <c r="C9161" s="4375"/>
      <c r="D9161" s="4376"/>
      <c r="E9161" s="4380" t="s">
        <v>1507</v>
      </c>
      <c r="F9161" s="4382" t="s">
        <v>3628</v>
      </c>
      <c r="G9161" s="4415" t="s">
        <v>294</v>
      </c>
      <c r="H9161" s="4416"/>
      <c r="I9161" s="4166" t="s">
        <v>1565</v>
      </c>
      <c r="J9161" s="4230" t="s">
        <v>1575</v>
      </c>
      <c r="K9161" s="4415" t="s">
        <v>289</v>
      </c>
      <c r="L9161" s="4416"/>
      <c r="M9161" s="4385" t="s">
        <v>3349</v>
      </c>
      <c r="N9161" s="4385"/>
      <c r="O9161" s="4385"/>
      <c r="P9161" s="4385"/>
      <c r="Q9161" s="3394" t="s">
        <v>3971</v>
      </c>
      <c r="R9161" s="2339"/>
    </row>
    <row r="9162" spans="1:18" s="22" customFormat="1" ht="15.5">
      <c r="A9162" s="4377"/>
      <c r="B9162" s="4378"/>
      <c r="C9162" s="4378"/>
      <c r="D9162" s="4379"/>
      <c r="E9162" s="4381"/>
      <c r="F9162" s="4383"/>
      <c r="G9162" s="4417">
        <f>IF('Seleccion proyecto HEREVEA02'!G63="Ventana abatible+Aluminio RPT+vidrio bajo emisivo",'Seleccion proyecto HEREVEA02'!E63,0)</f>
        <v>0</v>
      </c>
      <c r="H9162" s="4418"/>
      <c r="I9162" s="4231">
        <f>IF('Seleccion proyecto HEREVEA02'!H63=0,0,IF('Seleccion proyecto HEREVEA02'!H63="1 a 30",0.3,IF('Seleccion proyecto HEREVEA02'!H63="31 a 60",0.6,IF('Seleccion proyecto HEREVEA02'!H63="61 a 100",1))))</f>
        <v>0</v>
      </c>
      <c r="J9162" s="4170">
        <f>'Seleccion proyecto HEREVEA02'!L8</f>
        <v>11100.968999999999</v>
      </c>
      <c r="K9162" s="4421">
        <f>G9162*I9162*J9162</f>
        <v>0</v>
      </c>
      <c r="L9162" s="4422"/>
      <c r="M9162" s="4423">
        <f>P9164+P9178+P9198+P9216+P9236</f>
        <v>411.063189967276</v>
      </c>
      <c r="N9162" s="4362"/>
      <c r="O9162" s="4362"/>
      <c r="P9162" s="4424"/>
      <c r="Q9162" s="3388">
        <f>M9162*K9162</f>
        <v>0</v>
      </c>
      <c r="R9162" s="2339"/>
    </row>
    <row r="9163" spans="1:18" s="22" customFormat="1">
      <c r="A9163" s="18" t="s">
        <v>3764</v>
      </c>
      <c r="B9163" s="4325" t="s">
        <v>3626</v>
      </c>
      <c r="C9163" s="3793"/>
      <c r="D9163" s="4327"/>
      <c r="E9163" s="4329" t="s">
        <v>1507</v>
      </c>
      <c r="F9163" s="4414" t="s">
        <v>3627</v>
      </c>
      <c r="G9163" s="4425" t="s">
        <v>1568</v>
      </c>
      <c r="H9163" s="4425" t="s">
        <v>1574</v>
      </c>
      <c r="I9163" s="1572" t="s">
        <v>1559</v>
      </c>
      <c r="J9163" s="1294" t="s">
        <v>1560</v>
      </c>
      <c r="K9163" s="1294" t="s">
        <v>1569</v>
      </c>
      <c r="L9163" s="4333" t="s">
        <v>3765</v>
      </c>
      <c r="M9163" s="4335" t="s">
        <v>1571</v>
      </c>
      <c r="N9163" s="4323" t="s">
        <v>1776</v>
      </c>
      <c r="O9163" s="3791" t="s">
        <v>1563</v>
      </c>
      <c r="P9163" s="1336" t="s">
        <v>1562</v>
      </c>
      <c r="Q9163" s="3389"/>
      <c r="R9163" s="1699" t="s">
        <v>1327</v>
      </c>
    </row>
    <row r="9164" spans="1:18" s="22" customFormat="1">
      <c r="A9164" s="1662" t="s">
        <v>3634</v>
      </c>
      <c r="B9164" s="4326"/>
      <c r="C9164" s="3794"/>
      <c r="D9164" s="4328"/>
      <c r="E9164" s="4330"/>
      <c r="F9164" s="4363"/>
      <c r="G9164" s="4332"/>
      <c r="H9164" s="4332"/>
      <c r="I9164" s="3814">
        <v>46.02</v>
      </c>
      <c r="J9164" s="3815">
        <v>2.1999999999999999E-2</v>
      </c>
      <c r="K9164" s="1297">
        <f>I9164*J9164</f>
        <v>1.01244</v>
      </c>
      <c r="L9164" s="4334"/>
      <c r="M9164" s="4335"/>
      <c r="N9164" s="4324"/>
      <c r="O9164" s="1298">
        <f>SUM(O9166:O9176)</f>
        <v>5.484</v>
      </c>
      <c r="P9164" s="1337">
        <f>O9164*K9164</f>
        <v>5.5522209599999996</v>
      </c>
      <c r="Q9164" s="3390"/>
      <c r="R9164" s="1721">
        <f>P9170</f>
        <v>5.5522209600000005</v>
      </c>
    </row>
    <row r="9165" spans="1:18" s="22" customFormat="1">
      <c r="A9165" s="1320"/>
      <c r="C9165" s="1327"/>
      <c r="D9165" s="1367"/>
      <c r="E9165" s="2121"/>
      <c r="F9165" s="1389" t="s">
        <v>1</v>
      </c>
      <c r="G9165" s="1389"/>
      <c r="H9165" s="1369"/>
      <c r="I9165" s="1409"/>
      <c r="J9165" s="1390"/>
      <c r="K9165" s="1391"/>
      <c r="L9165" s="1559"/>
      <c r="M9165" s="1369"/>
      <c r="N9165" s="1369"/>
      <c r="O9165" s="1369"/>
      <c r="P9165" s="1392"/>
      <c r="Q9165" s="3395"/>
      <c r="R9165" s="2339"/>
    </row>
    <row r="9166" spans="1:18" s="22" customFormat="1">
      <c r="A9166" s="1042"/>
      <c r="C9166" s="1042"/>
      <c r="D9166" s="1672"/>
      <c r="E9166" s="2160"/>
      <c r="F9166" s="1675"/>
      <c r="G9166" s="1675"/>
      <c r="H9166" s="1674"/>
      <c r="I9166" s="1299" t="str">
        <f t="shared" ref="I9166:I9168" ca="1" si="1238">IF(COUNT(H9166:O9166)=0,"",(SUM(H9166:O9166)/COUNT(H9166:O9166)))</f>
        <v/>
      </c>
      <c r="J9166" s="1300"/>
      <c r="K9166" s="1307"/>
      <c r="L9166" s="1335"/>
      <c r="M9166" s="1302"/>
      <c r="N9166" s="1700"/>
      <c r="O9166" s="1290"/>
      <c r="P9166" s="1332"/>
      <c r="Q9166" s="3391"/>
      <c r="R9166" s="2339"/>
    </row>
    <row r="9167" spans="1:18" s="22" customFormat="1">
      <c r="A9167" s="1042"/>
      <c r="C9167" s="1042"/>
      <c r="D9167" s="1367"/>
      <c r="E9167" s="2121"/>
      <c r="F9167" s="1436"/>
      <c r="G9167" s="1436"/>
      <c r="H9167" s="1369"/>
      <c r="I9167" s="1299" t="str">
        <f t="shared" ca="1" si="1238"/>
        <v/>
      </c>
      <c r="J9167" s="1300"/>
      <c r="K9167" s="1307"/>
      <c r="L9167" s="1335"/>
      <c r="M9167" s="1302"/>
      <c r="N9167" s="1700"/>
      <c r="O9167" s="1290"/>
      <c r="P9167" s="1332"/>
      <c r="Q9167" s="3391"/>
      <c r="R9167" s="2339"/>
    </row>
    <row r="9168" spans="1:18" s="22" customFormat="1">
      <c r="A9168" s="1042"/>
      <c r="C9168" s="1042"/>
      <c r="D9168" s="1367"/>
      <c r="E9168" s="2121"/>
      <c r="F9168" s="1436"/>
      <c r="G9168" s="1436"/>
      <c r="H9168" s="1369"/>
      <c r="I9168" s="1299" t="str">
        <f t="shared" ca="1" si="1238"/>
        <v/>
      </c>
      <c r="J9168" s="1300"/>
      <c r="K9168" s="1307"/>
      <c r="L9168" s="1335"/>
      <c r="M9168" s="1302"/>
      <c r="N9168" s="1700"/>
      <c r="O9168" s="1290"/>
      <c r="P9168" s="1332"/>
      <c r="Q9168" s="3391"/>
      <c r="R9168" s="2339"/>
    </row>
    <row r="9169" spans="1:20" s="22" customFormat="1">
      <c r="A9169" s="1042"/>
      <c r="C9169" s="1042"/>
      <c r="D9169" s="1359"/>
      <c r="E9169" s="1858"/>
      <c r="F9169" s="1360" t="s">
        <v>2</v>
      </c>
      <c r="G9169" s="1360"/>
      <c r="H9169" s="1362"/>
      <c r="I9169" s="1380"/>
      <c r="J9169" s="1381"/>
      <c r="K9169" s="1381"/>
      <c r="L9169" s="1458"/>
      <c r="M9169" s="1362"/>
      <c r="N9169" s="1362"/>
      <c r="O9169" s="1362"/>
      <c r="P9169" s="1359"/>
      <c r="Q9169" s="3387"/>
      <c r="R9169" s="2339"/>
    </row>
    <row r="9170" spans="1:20" s="22" customFormat="1">
      <c r="A9170" s="1321"/>
      <c r="B9170" s="1295"/>
      <c r="C9170" s="1321"/>
      <c r="D9170" s="1363" t="s">
        <v>1067</v>
      </c>
      <c r="E9170" s="2125" t="s">
        <v>1508</v>
      </c>
      <c r="F9170" s="1385" t="s">
        <v>1512</v>
      </c>
      <c r="G9170" s="2019">
        <v>0.3</v>
      </c>
      <c r="H9170" s="1386"/>
      <c r="I9170" s="1299"/>
      <c r="J9170" s="1300"/>
      <c r="K9170" s="1307">
        <f>G9170*K9164</f>
        <v>0.303732</v>
      </c>
      <c r="L9170" s="1335">
        <f>K9170*K9164</f>
        <v>0.30751042608000001</v>
      </c>
      <c r="M9170" s="1302">
        <v>18.28</v>
      </c>
      <c r="N9170" s="1700"/>
      <c r="O9170" s="1290">
        <f>G9170*M9170</f>
        <v>5.484</v>
      </c>
      <c r="P9170" s="1332">
        <f>M9170*K9170</f>
        <v>5.5522209600000005</v>
      </c>
      <c r="Q9170" s="3391"/>
      <c r="R9170" s="2339"/>
    </row>
    <row r="9171" spans="1:20" s="22" customFormat="1">
      <c r="A9171" s="1320"/>
      <c r="C9171" s="1320"/>
      <c r="D9171" s="1359"/>
      <c r="E9171" s="1858"/>
      <c r="F9171" s="1404"/>
      <c r="G9171" s="1404"/>
      <c r="H9171" s="1359"/>
      <c r="I9171" s="1299"/>
      <c r="J9171" s="1300"/>
      <c r="K9171" s="1307"/>
      <c r="L9171" s="1335"/>
      <c r="M9171" s="1302"/>
      <c r="N9171" s="1700"/>
      <c r="O9171" s="1290"/>
      <c r="P9171" s="1332"/>
      <c r="Q9171" s="3391"/>
      <c r="R9171" s="2339"/>
    </row>
    <row r="9172" spans="1:20" s="22" customFormat="1">
      <c r="A9172" s="1320"/>
      <c r="C9172" s="1320"/>
      <c r="D9172" s="1359"/>
      <c r="E9172" s="1858"/>
      <c r="F9172" s="1361"/>
      <c r="G9172" s="1361"/>
      <c r="H9172" s="1466"/>
      <c r="I9172" s="1299"/>
      <c r="J9172" s="1300"/>
      <c r="K9172" s="1307"/>
      <c r="L9172" s="1335"/>
      <c r="M9172" s="1302"/>
      <c r="N9172" s="1700"/>
      <c r="O9172" s="1290"/>
      <c r="P9172" s="1332"/>
      <c r="Q9172" s="3391"/>
      <c r="R9172" s="2339"/>
    </row>
    <row r="9173" spans="1:20" s="22" customFormat="1">
      <c r="A9173" s="1320"/>
      <c r="C9173" s="1320"/>
      <c r="D9173" s="1373"/>
      <c r="E9173" s="2123"/>
      <c r="F9173" s="1374" t="s">
        <v>3</v>
      </c>
      <c r="G9173" s="1375"/>
      <c r="H9173" s="1376"/>
      <c r="I9173" s="1382"/>
      <c r="J9173" s="1383"/>
      <c r="K9173" s="1383"/>
      <c r="L9173" s="1413"/>
      <c r="M9173" s="1376"/>
      <c r="N9173" s="1376"/>
      <c r="O9173" s="1376"/>
      <c r="P9173" s="1373"/>
      <c r="Q9173" s="3387"/>
      <c r="R9173" s="2339"/>
    </row>
    <row r="9174" spans="1:20" s="22" customFormat="1">
      <c r="A9174" s="1321"/>
      <c r="B9174" s="1295"/>
      <c r="C9174" s="1321"/>
      <c r="D9174" s="1377"/>
      <c r="E9174" s="2124"/>
      <c r="F9174" s="1378"/>
      <c r="G9174" s="1378"/>
      <c r="H9174" s="1379"/>
      <c r="I9174" s="1299"/>
      <c r="J9174" s="1300"/>
      <c r="K9174" s="1307"/>
      <c r="L9174" s="1335"/>
      <c r="M9174" s="1302"/>
      <c r="N9174" s="1700"/>
      <c r="O9174" s="1290"/>
      <c r="P9174" s="1332"/>
      <c r="Q9174" s="3391"/>
      <c r="R9174" s="2339"/>
    </row>
    <row r="9175" spans="1:20" s="22" customFormat="1">
      <c r="A9175" s="1321"/>
      <c r="B9175" s="1295"/>
      <c r="C9175" s="1321"/>
      <c r="D9175" s="1377"/>
      <c r="E9175" s="2124"/>
      <c r="F9175" s="1378"/>
      <c r="G9175" s="1378"/>
      <c r="H9175" s="1379"/>
      <c r="I9175" s="1299"/>
      <c r="J9175" s="1300"/>
      <c r="K9175" s="1307"/>
      <c r="L9175" s="1335"/>
      <c r="M9175" s="1302"/>
      <c r="N9175" s="1700"/>
      <c r="O9175" s="1290"/>
      <c r="P9175" s="1333"/>
      <c r="Q9175" s="3391"/>
      <c r="R9175" s="2339"/>
    </row>
    <row r="9176" spans="1:20" s="22" customFormat="1">
      <c r="A9176" s="1042"/>
      <c r="C9176" s="1042"/>
      <c r="D9176" s="1677"/>
      <c r="E9176" s="2161"/>
      <c r="F9176" s="1678"/>
      <c r="G9176" s="1678"/>
      <c r="H9176" s="1376"/>
      <c r="I9176" s="1299"/>
      <c r="J9176" s="1300"/>
      <c r="K9176" s="1307"/>
      <c r="L9176" s="1335"/>
      <c r="M9176" s="1302"/>
      <c r="N9176" s="1700"/>
      <c r="O9176" s="1290"/>
      <c r="P9176" s="1332"/>
      <c r="Q9176" s="3391"/>
      <c r="R9176" s="2339"/>
    </row>
    <row r="9177" spans="1:20" s="22" customFormat="1">
      <c r="A9177" s="18" t="s">
        <v>3764</v>
      </c>
      <c r="B9177" s="4325" t="s">
        <v>2058</v>
      </c>
      <c r="C9177" s="3793"/>
      <c r="D9177" s="4327"/>
      <c r="E9177" s="4329" t="s">
        <v>1507</v>
      </c>
      <c r="F9177" s="4336" t="s">
        <v>2059</v>
      </c>
      <c r="G9177" s="4331" t="s">
        <v>1568</v>
      </c>
      <c r="H9177" s="4331" t="s">
        <v>1574</v>
      </c>
      <c r="I9177" s="1572" t="s">
        <v>1559</v>
      </c>
      <c r="J9177" s="1294" t="s">
        <v>1560</v>
      </c>
      <c r="K9177" s="1294" t="s">
        <v>1569</v>
      </c>
      <c r="L9177" s="4333" t="s">
        <v>3765</v>
      </c>
      <c r="M9177" s="4335" t="s">
        <v>1571</v>
      </c>
      <c r="N9177" s="4323" t="s">
        <v>1776</v>
      </c>
      <c r="O9177" s="3791" t="s">
        <v>1563</v>
      </c>
      <c r="P9177" s="1336" t="s">
        <v>1562</v>
      </c>
      <c r="Q9177" s="3389"/>
      <c r="R9177" s="1699" t="s">
        <v>1327</v>
      </c>
    </row>
    <row r="9178" spans="1:20" s="22" customFormat="1">
      <c r="A9178" s="1662" t="s">
        <v>3634</v>
      </c>
      <c r="B9178" s="4326"/>
      <c r="C9178" s="3794"/>
      <c r="D9178" s="4328"/>
      <c r="E9178" s="4330"/>
      <c r="F9178" s="4336"/>
      <c r="G9178" s="4332"/>
      <c r="H9178" s="4332"/>
      <c r="I9178" s="3814">
        <v>46.02</v>
      </c>
      <c r="J9178" s="3815">
        <v>2.1999999999999999E-2</v>
      </c>
      <c r="K9178" s="1297">
        <f>I9178*J9178</f>
        <v>1.01244</v>
      </c>
      <c r="L9178" s="4334"/>
      <c r="M9178" s="4335"/>
      <c r="N9178" s="4324"/>
      <c r="O9178" s="1298">
        <f>O9180+O9181+O9189+O9190</f>
        <v>15.346632899999999</v>
      </c>
      <c r="P9178" s="1337">
        <f>O9178*K9178</f>
        <v>15.537545013275999</v>
      </c>
      <c r="Q9178" s="3390"/>
      <c r="R9178" s="1721">
        <f>P9180+P9181+P9189+P9190</f>
        <v>14.613478837523282</v>
      </c>
    </row>
    <row r="9179" spans="1:20" s="16" customFormat="1">
      <c r="A9179" s="1320"/>
      <c r="B9179" s="22"/>
      <c r="C9179" s="1327"/>
      <c r="D9179" s="1367"/>
      <c r="E9179" s="2121"/>
      <c r="F9179" s="1389" t="s">
        <v>1</v>
      </c>
      <c r="G9179" s="1389"/>
      <c r="H9179" s="1369"/>
      <c r="I9179" s="1409"/>
      <c r="J9179" s="1390"/>
      <c r="K9179" s="1391"/>
      <c r="L9179" s="1559"/>
      <c r="M9179" s="1369"/>
      <c r="N9179" s="1369"/>
      <c r="O9179" s="1369"/>
      <c r="P9179" s="1392"/>
      <c r="Q9179" s="3395"/>
      <c r="R9179" s="2339"/>
    </row>
    <row r="9180" spans="1:20">
      <c r="A9180" s="1042"/>
      <c r="B9180" s="22"/>
      <c r="C9180" s="1042"/>
      <c r="D9180" s="1598" t="s">
        <v>2060</v>
      </c>
      <c r="E9180" s="2154" t="s">
        <v>1357</v>
      </c>
      <c r="F9180" s="1598" t="s">
        <v>2061</v>
      </c>
      <c r="G9180" s="1612">
        <v>0.09</v>
      </c>
      <c r="H9180" s="1674"/>
      <c r="I9180" s="1299"/>
      <c r="J9180" s="1300"/>
      <c r="K9180" s="1307">
        <f>G9180*K9178</f>
        <v>9.1119599999999995E-2</v>
      </c>
      <c r="L9180" s="1335">
        <f>K9180*$K$9072</f>
        <v>0</v>
      </c>
      <c r="M9180" s="1302">
        <v>7.42</v>
      </c>
      <c r="N9180" s="1700"/>
      <c r="O9180" s="1290">
        <f>G9180*M9180</f>
        <v>0.66779999999999995</v>
      </c>
      <c r="P9180" s="1332">
        <f>M9180*K9180</f>
        <v>0.67610743200000001</v>
      </c>
      <c r="Q9180" s="3391"/>
      <c r="S9180" s="1570"/>
      <c r="T9180" s="1570"/>
    </row>
    <row r="9181" spans="1:20" s="16" customFormat="1">
      <c r="B9181" s="1042"/>
      <c r="C9181" s="1356" t="s">
        <v>1127</v>
      </c>
      <c r="D9181" s="1311"/>
      <c r="E9181" s="2137" t="s">
        <v>1517</v>
      </c>
      <c r="F9181" s="1319" t="s">
        <v>1519</v>
      </c>
      <c r="G9181" s="1353"/>
      <c r="H9181" s="1456">
        <v>0.03</v>
      </c>
      <c r="I9181" s="1444"/>
      <c r="J9181" s="1388"/>
      <c r="K9181" s="1445"/>
      <c r="L9181" s="1457"/>
      <c r="M9181" s="1447"/>
      <c r="N9181" s="1447">
        <f>SUM(N9182:N9185)</f>
        <v>50.044430000000006</v>
      </c>
      <c r="O9181" s="1447">
        <f>SUM(O9182:O9185)</f>
        <v>1.5013329000000002</v>
      </c>
      <c r="P9181" s="1446">
        <f>SUM(P9182:P9185)</f>
        <v>0.59594330552328001</v>
      </c>
      <c r="Q9181" s="3391"/>
      <c r="R9181" s="2337"/>
    </row>
    <row r="9182" spans="1:20" s="16" customFormat="1" ht="13.5" customHeight="1">
      <c r="B9182" s="1042"/>
      <c r="C9182" s="1327"/>
      <c r="D9182" s="1400" t="s">
        <v>1069</v>
      </c>
      <c r="E9182" s="1856" t="s">
        <v>1517</v>
      </c>
      <c r="F9182" s="1397" t="s">
        <v>1578</v>
      </c>
      <c r="G9182" s="1416">
        <v>0.26300000000000001</v>
      </c>
      <c r="H9182" s="1399">
        <f>G9182*$H$9091</f>
        <v>7.8899999999999994E-3</v>
      </c>
      <c r="I9182" s="197"/>
      <c r="J9182" s="198"/>
      <c r="K9182" s="1307">
        <f>H9182*K9178</f>
        <v>7.9881516E-3</v>
      </c>
      <c r="L9182" s="1335">
        <f t="shared" ref="L9182:L9185" si="1239">K9182*$K$9072</f>
        <v>0</v>
      </c>
      <c r="M9182" s="1302">
        <v>0.55000000000000004</v>
      </c>
      <c r="N9182" s="1718">
        <f>G9182*M9182</f>
        <v>0.14465000000000003</v>
      </c>
      <c r="O9182" s="1290">
        <f>H9182*M9182</f>
        <v>4.3395000000000005E-3</v>
      </c>
      <c r="P9182" s="1332">
        <f>M9182*K9182</f>
        <v>4.3934833800000003E-3</v>
      </c>
      <c r="Q9182" s="3391"/>
      <c r="R9182" s="2337"/>
    </row>
    <row r="9183" spans="1:20">
      <c r="A9183" s="16"/>
      <c r="B9183" s="1042"/>
      <c r="C9183" s="1320"/>
      <c r="D9183" s="1400" t="s">
        <v>1394</v>
      </c>
      <c r="E9183" s="1856" t="s">
        <v>1577</v>
      </c>
      <c r="F9183" s="1397" t="s">
        <v>1579</v>
      </c>
      <c r="G9183" s="1416">
        <v>0.25800000000000001</v>
      </c>
      <c r="H9183" s="1399">
        <f>G9183*$H$9091</f>
        <v>7.7400000000000004E-3</v>
      </c>
      <c r="I9183" s="197"/>
      <c r="J9183" s="198"/>
      <c r="K9183" s="1307">
        <f t="shared" ref="K9183:K9184" si="1240">H9183*K9179</f>
        <v>0</v>
      </c>
      <c r="L9183" s="1335">
        <f t="shared" si="1239"/>
        <v>0</v>
      </c>
      <c r="M9183" s="1302">
        <v>92.54</v>
      </c>
      <c r="N9183" s="1718">
        <f>G9183*M9183</f>
        <v>23.875320000000002</v>
      </c>
      <c r="O9183" s="1290">
        <f>H9183*M9183</f>
        <v>0.71625960000000011</v>
      </c>
      <c r="P9183" s="1332">
        <f>M9183*K9183</f>
        <v>0</v>
      </c>
      <c r="Q9183" s="3391"/>
      <c r="R9183" s="2337"/>
    </row>
    <row r="9184" spans="1:20">
      <c r="A9184" s="16"/>
      <c r="B9184" s="1042"/>
      <c r="C9184" s="1320"/>
      <c r="D9184" s="1400" t="s">
        <v>1576</v>
      </c>
      <c r="E9184" s="1856" t="s">
        <v>1517</v>
      </c>
      <c r="F9184" s="1397" t="s">
        <v>1580</v>
      </c>
      <c r="G9184" s="1416">
        <v>1.1020000000000001</v>
      </c>
      <c r="H9184" s="1399">
        <f>G9184*$H$9091</f>
        <v>3.3059999999999999E-2</v>
      </c>
      <c r="I9184" s="197"/>
      <c r="J9184" s="198"/>
      <c r="K9184" s="1307">
        <f t="shared" si="1240"/>
        <v>3.0124139759999998E-3</v>
      </c>
      <c r="L9184" s="1335">
        <f t="shared" si="1239"/>
        <v>0</v>
      </c>
      <c r="M9184" s="1302">
        <v>6.53</v>
      </c>
      <c r="N9184" s="1718">
        <f>G9184*M9184</f>
        <v>7.196060000000001</v>
      </c>
      <c r="O9184" s="1290">
        <f>H9184*M9184</f>
        <v>0.21588180000000001</v>
      </c>
      <c r="P9184" s="1332">
        <f>M9184*K9184</f>
        <v>1.9671063263280001E-2</v>
      </c>
      <c r="Q9184" s="3391"/>
      <c r="R9184" s="2337"/>
    </row>
    <row r="9185" spans="1:20">
      <c r="A9185" s="16"/>
      <c r="B9185" s="1042"/>
      <c r="C9185" s="1320"/>
      <c r="D9185" s="1404" t="s">
        <v>1067</v>
      </c>
      <c r="E9185" s="1857" t="s">
        <v>1508</v>
      </c>
      <c r="F9185" s="1406" t="s">
        <v>1512</v>
      </c>
      <c r="G9185" s="1407">
        <v>1.03</v>
      </c>
      <c r="H9185" s="1408">
        <f>G9185*$H$9091</f>
        <v>3.09E-2</v>
      </c>
      <c r="I9185" s="197"/>
      <c r="J9185" s="198"/>
      <c r="K9185" s="1307">
        <f>H9185*K9178</f>
        <v>3.1284395999999999E-2</v>
      </c>
      <c r="L9185" s="1335">
        <f t="shared" si="1239"/>
        <v>0</v>
      </c>
      <c r="M9185" s="1302">
        <v>18.28</v>
      </c>
      <c r="N9185" s="1718">
        <f>G9185*M9185</f>
        <v>18.828400000000002</v>
      </c>
      <c r="O9185" s="1290">
        <f>H9185*M9185</f>
        <v>0.56485200000000002</v>
      </c>
      <c r="P9185" s="1332">
        <f>M9185*K9185</f>
        <v>0.57187875888000006</v>
      </c>
      <c r="Q9185" s="3391"/>
      <c r="R9185" s="2337"/>
    </row>
    <row r="9186" spans="1:20">
      <c r="A9186" s="1042"/>
      <c r="B9186" s="22"/>
      <c r="C9186" s="1042"/>
      <c r="D9186" s="1672"/>
      <c r="E9186" s="2160"/>
      <c r="F9186" s="1675"/>
      <c r="G9186" s="1675"/>
      <c r="H9186" s="1674"/>
      <c r="I9186" s="1299" t="str">
        <f t="shared" ref="I9186" ca="1" si="1241">IF(COUNT(H9186:O9186)=0,"",(SUM(H9186:O9186)/COUNT(H9186:O9186)))</f>
        <v/>
      </c>
      <c r="J9186" s="1300"/>
      <c r="K9186" s="1307"/>
      <c r="L9186" s="1335"/>
      <c r="M9186" s="1302"/>
      <c r="N9186" s="1700"/>
      <c r="O9186" s="1290"/>
      <c r="P9186" s="1332"/>
      <c r="Q9186" s="3391"/>
    </row>
    <row r="9187" spans="1:20">
      <c r="A9187" s="1042"/>
      <c r="B9187" s="22"/>
      <c r="C9187" s="1042"/>
      <c r="D9187" s="1367"/>
      <c r="E9187" s="2121"/>
      <c r="F9187" s="1436"/>
      <c r="G9187" s="1436"/>
      <c r="H9187" s="1369"/>
      <c r="I9187" s="1299"/>
      <c r="J9187" s="1300"/>
      <c r="K9187" s="1307"/>
      <c r="L9187" s="1335"/>
      <c r="M9187" s="1302"/>
      <c r="N9187" s="1700"/>
      <c r="O9187" s="1290"/>
      <c r="P9187" s="1332"/>
      <c r="Q9187" s="3391"/>
    </row>
    <row r="9188" spans="1:20" s="22" customFormat="1">
      <c r="A9188" s="1042"/>
      <c r="C9188" s="1042"/>
      <c r="D9188" s="1359"/>
      <c r="E9188" s="1858"/>
      <c r="F9188" s="1360" t="s">
        <v>2</v>
      </c>
      <c r="G9188" s="1360"/>
      <c r="H9188" s="1362"/>
      <c r="I9188" s="1380"/>
      <c r="J9188" s="1381"/>
      <c r="K9188" s="1381"/>
      <c r="L9188" s="1458"/>
      <c r="M9188" s="1362"/>
      <c r="N9188" s="1362"/>
      <c r="O9188" s="1362"/>
      <c r="P9188" s="1359"/>
      <c r="Q9188" s="3387"/>
      <c r="R9188" s="2339"/>
    </row>
    <row r="9189" spans="1:20" s="22" customFormat="1">
      <c r="A9189" s="1321"/>
      <c r="B9189" s="1295"/>
      <c r="C9189" s="1321"/>
      <c r="D9189" s="1363" t="s">
        <v>2062</v>
      </c>
      <c r="E9189" s="2125" t="s">
        <v>1508</v>
      </c>
      <c r="F9189" s="1403" t="s">
        <v>37</v>
      </c>
      <c r="G9189" s="1408">
        <v>0.35</v>
      </c>
      <c r="H9189" s="2019"/>
      <c r="I9189" s="1299"/>
      <c r="J9189" s="1300"/>
      <c r="K9189" s="1307">
        <f>G9189*K9178</f>
        <v>0.354354</v>
      </c>
      <c r="L9189" s="1335">
        <f t="shared" ref="L9189:L9190" si="1242">K9189*$K$9072</f>
        <v>0</v>
      </c>
      <c r="M9189" s="1302">
        <v>19.23</v>
      </c>
      <c r="N9189" s="1700"/>
      <c r="O9189" s="1290">
        <f>G9189*M9189</f>
        <v>6.7305000000000001</v>
      </c>
      <c r="P9189" s="1332">
        <f>M9189*K9189</f>
        <v>6.8142274199999999</v>
      </c>
      <c r="Q9189" s="3391"/>
      <c r="R9189" s="2339"/>
    </row>
    <row r="9190" spans="1:20" s="22" customFormat="1">
      <c r="A9190" s="1320"/>
      <c r="C9190" s="1320"/>
      <c r="D9190" s="1655" t="s">
        <v>2063</v>
      </c>
      <c r="E9190" s="1859" t="s">
        <v>1508</v>
      </c>
      <c r="F9190" s="1655" t="s">
        <v>1966</v>
      </c>
      <c r="G9190" s="1809">
        <v>0.35</v>
      </c>
      <c r="H9190" s="1359"/>
      <c r="I9190" s="1299"/>
      <c r="J9190" s="1300"/>
      <c r="K9190" s="1307">
        <f>G9190*K9178</f>
        <v>0.354354</v>
      </c>
      <c r="L9190" s="1335">
        <f t="shared" si="1242"/>
        <v>0</v>
      </c>
      <c r="M9190" s="1302">
        <v>18.420000000000002</v>
      </c>
      <c r="N9190" s="1700"/>
      <c r="O9190" s="1290">
        <f>G9190*M9190</f>
        <v>6.4470000000000001</v>
      </c>
      <c r="P9190" s="1332">
        <f>M9190*K9190</f>
        <v>6.5272006800000009</v>
      </c>
      <c r="Q9190" s="3391"/>
      <c r="R9190" s="2339"/>
    </row>
    <row r="9191" spans="1:20">
      <c r="A9191" s="1320"/>
      <c r="B9191" s="22"/>
      <c r="C9191" s="1320"/>
      <c r="D9191" s="1359"/>
      <c r="E9191" s="1858"/>
      <c r="F9191" s="1404"/>
      <c r="G9191" s="1404"/>
      <c r="H9191" s="1359"/>
      <c r="I9191" s="1299"/>
      <c r="J9191" s="1300"/>
      <c r="K9191" s="1307"/>
      <c r="L9191" s="1335"/>
      <c r="M9191" s="1302"/>
      <c r="N9191" s="1700"/>
      <c r="O9191" s="1290"/>
      <c r="P9191" s="1332"/>
      <c r="Q9191" s="3391"/>
    </row>
    <row r="9192" spans="1:20">
      <c r="A9192" s="1320"/>
      <c r="B9192" s="22"/>
      <c r="C9192" s="1320"/>
      <c r="D9192" s="1359"/>
      <c r="E9192" s="1858"/>
      <c r="F9192" s="1361"/>
      <c r="G9192" s="1361"/>
      <c r="H9192" s="1466"/>
      <c r="I9192" s="1299"/>
      <c r="J9192" s="1300"/>
      <c r="K9192" s="1307"/>
      <c r="L9192" s="1335"/>
      <c r="M9192" s="1302"/>
      <c r="N9192" s="1700"/>
      <c r="O9192" s="1290"/>
      <c r="P9192" s="1332"/>
      <c r="Q9192" s="3391"/>
      <c r="T9192" s="2082">
        <v>42157</v>
      </c>
    </row>
    <row r="9193" spans="1:20">
      <c r="A9193" s="1320"/>
      <c r="B9193" s="22"/>
      <c r="C9193" s="1320"/>
      <c r="D9193" s="1373"/>
      <c r="E9193" s="2123"/>
      <c r="F9193" s="1374" t="s">
        <v>3</v>
      </c>
      <c r="G9193" s="1375"/>
      <c r="H9193" s="1376"/>
      <c r="I9193" s="1382"/>
      <c r="J9193" s="1383"/>
      <c r="K9193" s="1383"/>
      <c r="L9193" s="1413"/>
      <c r="M9193" s="1376"/>
      <c r="N9193" s="1376"/>
      <c r="O9193" s="1376"/>
      <c r="P9193" s="1373"/>
      <c r="Q9193" s="3387"/>
    </row>
    <row r="9194" spans="1:20">
      <c r="A9194" s="1321"/>
      <c r="B9194" s="1295"/>
      <c r="C9194" s="1321"/>
      <c r="D9194" s="1377"/>
      <c r="E9194" s="2124"/>
      <c r="F9194" s="1378"/>
      <c r="G9194" s="1378"/>
      <c r="H9194" s="1379"/>
      <c r="I9194" s="1299"/>
      <c r="J9194" s="1300"/>
      <c r="K9194" s="1307"/>
      <c r="L9194" s="1335"/>
      <c r="M9194" s="1302"/>
      <c r="N9194" s="1700"/>
      <c r="O9194" s="1290"/>
      <c r="P9194" s="1332"/>
      <c r="Q9194" s="3391"/>
    </row>
    <row r="9195" spans="1:20">
      <c r="A9195" s="1321"/>
      <c r="B9195" s="1295"/>
      <c r="C9195" s="1321"/>
      <c r="D9195" s="1377"/>
      <c r="E9195" s="2124"/>
      <c r="F9195" s="1378"/>
      <c r="G9195" s="1378"/>
      <c r="H9195" s="1379"/>
      <c r="I9195" s="1299"/>
      <c r="J9195" s="1300"/>
      <c r="K9195" s="1307"/>
      <c r="L9195" s="1335"/>
      <c r="M9195" s="1302"/>
      <c r="N9195" s="1700"/>
      <c r="O9195" s="1290"/>
      <c r="P9195" s="1333"/>
      <c r="Q9195" s="3391"/>
    </row>
    <row r="9196" spans="1:20">
      <c r="A9196" s="1042"/>
      <c r="B9196" s="22"/>
      <c r="C9196" s="1042"/>
      <c r="D9196" s="1677"/>
      <c r="E9196" s="2161"/>
      <c r="F9196" s="1678"/>
      <c r="G9196" s="1678"/>
      <c r="H9196" s="1376"/>
      <c r="I9196" s="1299"/>
      <c r="J9196" s="1300"/>
      <c r="K9196" s="1307"/>
      <c r="L9196" s="1335"/>
      <c r="M9196" s="1302"/>
      <c r="N9196" s="1700"/>
      <c r="O9196" s="1290"/>
      <c r="P9196" s="1332"/>
      <c r="Q9196" s="3391"/>
    </row>
    <row r="9197" spans="1:20">
      <c r="A9197" s="18" t="s">
        <v>3764</v>
      </c>
      <c r="B9197" s="4325" t="s">
        <v>2064</v>
      </c>
      <c r="C9197" s="3793"/>
      <c r="D9197" s="4327"/>
      <c r="E9197" s="4329" t="s">
        <v>1507</v>
      </c>
      <c r="F9197" s="4336" t="s">
        <v>2065</v>
      </c>
      <c r="G9197" s="4331" t="s">
        <v>1568</v>
      </c>
      <c r="H9197" s="4331" t="s">
        <v>1574</v>
      </c>
      <c r="I9197" s="1572" t="s">
        <v>1559</v>
      </c>
      <c r="J9197" s="1294" t="s">
        <v>1560</v>
      </c>
      <c r="K9197" s="1294" t="s">
        <v>1569</v>
      </c>
      <c r="L9197" s="4333" t="s">
        <v>3765</v>
      </c>
      <c r="M9197" s="4335" t="s">
        <v>1571</v>
      </c>
      <c r="N9197" s="4323" t="s">
        <v>1776</v>
      </c>
      <c r="O9197" s="3791" t="s">
        <v>1563</v>
      </c>
      <c r="P9197" s="1336" t="s">
        <v>1562</v>
      </c>
      <c r="Q9197" s="3389"/>
      <c r="R9197" s="1699" t="s">
        <v>1327</v>
      </c>
    </row>
    <row r="9198" spans="1:20">
      <c r="A9198" s="1662" t="s">
        <v>3634</v>
      </c>
      <c r="B9198" s="4326"/>
      <c r="C9198" s="3794"/>
      <c r="D9198" s="4328"/>
      <c r="E9198" s="4330"/>
      <c r="F9198" s="4336"/>
      <c r="G9198" s="4332"/>
      <c r="H9198" s="4332"/>
      <c r="I9198" s="3814">
        <v>46.02</v>
      </c>
      <c r="J9198" s="3815">
        <v>2.1999999999999999E-2</v>
      </c>
      <c r="K9198" s="1297">
        <f>I9198*J9198</f>
        <v>1.01244</v>
      </c>
      <c r="L9198" s="4334"/>
      <c r="M9198" s="4335"/>
      <c r="N9198" s="4324"/>
      <c r="O9198" s="1298">
        <f>SUM(O9200:O9214)</f>
        <v>249.77210000000002</v>
      </c>
      <c r="P9198" s="1337">
        <f>O9198*K9198</f>
        <v>252.87926492400001</v>
      </c>
      <c r="Q9198" s="3390"/>
      <c r="R9198" s="1721">
        <f>SUM(P9200:P9214)</f>
        <v>252.87926492399998</v>
      </c>
    </row>
    <row r="9199" spans="1:20">
      <c r="A9199" s="1320"/>
      <c r="B9199" s="22"/>
      <c r="C9199" s="1327"/>
      <c r="D9199" s="1367"/>
      <c r="E9199" s="2121"/>
      <c r="F9199" s="1389" t="s">
        <v>1</v>
      </c>
      <c r="G9199" s="1389"/>
      <c r="H9199" s="1369"/>
      <c r="I9199" s="1409"/>
      <c r="J9199" s="1390"/>
      <c r="K9199" s="1391"/>
      <c r="L9199" s="1559"/>
      <c r="M9199" s="1369"/>
      <c r="N9199" s="1369"/>
      <c r="O9199" s="1369"/>
      <c r="P9199" s="1392"/>
      <c r="Q9199" s="3395"/>
    </row>
    <row r="9200" spans="1:20">
      <c r="A9200" s="1042"/>
      <c r="B9200" s="22"/>
      <c r="C9200" s="1042"/>
      <c r="D9200" s="1598" t="s">
        <v>2066</v>
      </c>
      <c r="E9200" s="2154" t="s">
        <v>1507</v>
      </c>
      <c r="F9200" s="1598" t="s">
        <v>2067</v>
      </c>
      <c r="G9200" s="1612">
        <v>1</v>
      </c>
      <c r="H9200" s="1674"/>
      <c r="I9200" s="1299"/>
      <c r="J9200" s="1300"/>
      <c r="K9200" s="1307">
        <f>G9200*K9198</f>
        <v>1.01244</v>
      </c>
      <c r="L9200" s="1335">
        <f t="shared" ref="L9200:L9203" si="1243">K9200*$K$9072</f>
        <v>0</v>
      </c>
      <c r="M9200" s="1302">
        <v>230</v>
      </c>
      <c r="N9200" s="1700"/>
      <c r="O9200" s="1290">
        <f>G9200*M9200</f>
        <v>230</v>
      </c>
      <c r="P9200" s="1332">
        <f>M9200*K9200</f>
        <v>232.8612</v>
      </c>
      <c r="Q9200" s="3391"/>
    </row>
    <row r="9201" spans="1:22">
      <c r="A9201" s="16"/>
      <c r="B9201" s="553"/>
      <c r="C9201" s="1042"/>
      <c r="D9201" s="1610" t="s">
        <v>1177</v>
      </c>
      <c r="E9201" s="2154" t="s">
        <v>1527</v>
      </c>
      <c r="F9201" s="1598" t="s">
        <v>2068</v>
      </c>
      <c r="G9201" s="1612">
        <v>3</v>
      </c>
      <c r="H9201" s="1674"/>
      <c r="I9201" s="1299"/>
      <c r="J9201" s="1300"/>
      <c r="K9201" s="1307">
        <f>G9201*K9198</f>
        <v>3.0373200000000002</v>
      </c>
      <c r="L9201" s="1335">
        <f t="shared" si="1243"/>
        <v>0</v>
      </c>
      <c r="M9201" s="1302">
        <v>3.11</v>
      </c>
      <c r="N9201" s="1700"/>
      <c r="O9201" s="1290">
        <f>G9201*M9201</f>
        <v>9.33</v>
      </c>
      <c r="P9201" s="1332">
        <f>M9201*K9201</f>
        <v>9.4460651999999996</v>
      </c>
      <c r="Q9201" s="3391"/>
      <c r="R9201" s="2337"/>
    </row>
    <row r="9202" spans="1:22">
      <c r="A9202" s="16"/>
      <c r="B9202" s="1042"/>
      <c r="C9202" s="1320"/>
      <c r="D9202" s="1598" t="s">
        <v>1175</v>
      </c>
      <c r="E9202" s="2154" t="s">
        <v>1527</v>
      </c>
      <c r="F9202" s="1598" t="s">
        <v>1914</v>
      </c>
      <c r="G9202" s="1612">
        <v>3</v>
      </c>
      <c r="H9202" s="1399"/>
      <c r="I9202" s="197"/>
      <c r="J9202" s="198"/>
      <c r="K9202" s="1307">
        <f>G9202*K9198</f>
        <v>3.0373200000000002</v>
      </c>
      <c r="L9202" s="1335">
        <f t="shared" si="1243"/>
        <v>0</v>
      </c>
      <c r="M9202" s="1302">
        <v>1.3</v>
      </c>
      <c r="N9202" s="1718"/>
      <c r="O9202" s="1290">
        <f>G9202*M9202</f>
        <v>3.9000000000000004</v>
      </c>
      <c r="P9202" s="1332">
        <f>M9202*K9202</f>
        <v>3.9485160000000006</v>
      </c>
      <c r="Q9202" s="3391"/>
      <c r="R9202" s="2337"/>
    </row>
    <row r="9203" spans="1:22">
      <c r="A9203" s="16"/>
      <c r="B9203" s="1042"/>
      <c r="C9203" s="1320"/>
      <c r="D9203" s="1598" t="s">
        <v>1097</v>
      </c>
      <c r="E9203" s="2154" t="s">
        <v>1504</v>
      </c>
      <c r="F9203" s="1598" t="s">
        <v>1632</v>
      </c>
      <c r="G9203" s="1612">
        <v>1</v>
      </c>
      <c r="H9203" s="1399"/>
      <c r="I9203" s="197"/>
      <c r="J9203" s="198"/>
      <c r="K9203" s="1307">
        <f>G9203*K9198</f>
        <v>1.01244</v>
      </c>
      <c r="L9203" s="1335">
        <f t="shared" si="1243"/>
        <v>0</v>
      </c>
      <c r="M9203" s="1302">
        <v>0.55000000000000004</v>
      </c>
      <c r="N9203" s="1718"/>
      <c r="O9203" s="1290">
        <f>G9203*M9203</f>
        <v>0.55000000000000004</v>
      </c>
      <c r="P9203" s="1332">
        <f>M9203*K9203</f>
        <v>0.55684200000000006</v>
      </c>
      <c r="Q9203" s="3391"/>
      <c r="R9203" s="2337"/>
    </row>
    <row r="9204" spans="1:22">
      <c r="A9204" s="1042"/>
      <c r="B9204" s="22"/>
      <c r="C9204" s="1042"/>
      <c r="D9204" s="1367"/>
      <c r="E9204" s="2121"/>
      <c r="F9204" s="1436"/>
      <c r="G9204" s="1436"/>
      <c r="H9204" s="1369"/>
      <c r="I9204" s="1299" t="str">
        <f t="shared" ref="I9204:I9205" ca="1" si="1244">IF(COUNT(H9204:O9204)=0,"",(SUM(H9204:O9204)/COUNT(H9204:O9204)))</f>
        <v/>
      </c>
      <c r="J9204" s="1300"/>
      <c r="K9204" s="1307"/>
      <c r="L9204" s="1335"/>
      <c r="M9204" s="1302"/>
      <c r="N9204" s="1700"/>
      <c r="O9204" s="1290"/>
      <c r="P9204" s="1332"/>
      <c r="Q9204" s="3391"/>
    </row>
    <row r="9205" spans="1:22">
      <c r="A9205" s="1042"/>
      <c r="B9205" s="22"/>
      <c r="C9205" s="1042"/>
      <c r="D9205" s="1367"/>
      <c r="E9205" s="2121"/>
      <c r="F9205" s="1436"/>
      <c r="G9205" s="1436"/>
      <c r="H9205" s="1369"/>
      <c r="I9205" s="1299" t="str">
        <f t="shared" ca="1" si="1244"/>
        <v/>
      </c>
      <c r="J9205" s="1300"/>
      <c r="K9205" s="1307"/>
      <c r="L9205" s="1335"/>
      <c r="M9205" s="1302"/>
      <c r="N9205" s="1700"/>
      <c r="O9205" s="1290"/>
      <c r="P9205" s="1332"/>
      <c r="Q9205" s="3391"/>
    </row>
    <row r="9206" spans="1:22">
      <c r="A9206" s="1042"/>
      <c r="B9206" s="22"/>
      <c r="C9206" s="1042"/>
      <c r="D9206" s="1359"/>
      <c r="E9206" s="1858"/>
      <c r="F9206" s="1360" t="s">
        <v>2</v>
      </c>
      <c r="G9206" s="1360"/>
      <c r="H9206" s="1362"/>
      <c r="I9206" s="1380"/>
      <c r="J9206" s="1381"/>
      <c r="K9206" s="1381"/>
      <c r="L9206" s="1458"/>
      <c r="M9206" s="1362"/>
      <c r="N9206" s="1362"/>
      <c r="O9206" s="1362"/>
      <c r="P9206" s="1359"/>
      <c r="Q9206" s="3387"/>
    </row>
    <row r="9207" spans="1:22">
      <c r="A9207" s="1321"/>
      <c r="B9207" s="1295"/>
      <c r="C9207" s="1321"/>
      <c r="D9207" s="1363" t="s">
        <v>1067</v>
      </c>
      <c r="E9207" s="2125" t="s">
        <v>1508</v>
      </c>
      <c r="F9207" s="1385" t="s">
        <v>1512</v>
      </c>
      <c r="G9207" s="2019">
        <v>0.17</v>
      </c>
      <c r="H9207" s="1386"/>
      <c r="I9207" s="1299"/>
      <c r="J9207" s="1300"/>
      <c r="K9207" s="1307">
        <f>G9207*K9198</f>
        <v>0.17211480000000001</v>
      </c>
      <c r="L9207" s="1335">
        <f t="shared" ref="L9207:L9208" si="1245">K9207*$K$9072</f>
        <v>0</v>
      </c>
      <c r="M9207" s="1302">
        <v>18.28</v>
      </c>
      <c r="N9207" s="1700"/>
      <c r="O9207" s="1290">
        <f>G9207*M9207</f>
        <v>3.1076000000000006</v>
      </c>
      <c r="P9207" s="1332">
        <f>M9207*K9207</f>
        <v>3.1462585440000006</v>
      </c>
      <c r="Q9207" s="3391"/>
    </row>
    <row r="9208" spans="1:22">
      <c r="A9208" s="1320"/>
      <c r="B9208" s="22"/>
      <c r="C9208" s="1320"/>
      <c r="D9208" s="1655" t="s">
        <v>1111</v>
      </c>
      <c r="E9208" s="1859" t="s">
        <v>1508</v>
      </c>
      <c r="F9208" s="1655" t="s">
        <v>2069</v>
      </c>
      <c r="G9208" s="1809">
        <v>0.15</v>
      </c>
      <c r="H9208" s="1359"/>
      <c r="I9208" s="1299"/>
      <c r="J9208" s="1300"/>
      <c r="K9208" s="1307">
        <f>G9208*K9198</f>
        <v>0.151866</v>
      </c>
      <c r="L9208" s="1335">
        <f t="shared" si="1245"/>
        <v>0</v>
      </c>
      <c r="M9208" s="1302">
        <v>19.23</v>
      </c>
      <c r="N9208" s="1700"/>
      <c r="O9208" s="1290">
        <f>G9208*M9208</f>
        <v>2.8845000000000001</v>
      </c>
      <c r="P9208" s="1332">
        <f>M9208*K9208</f>
        <v>2.92038318</v>
      </c>
      <c r="Q9208" s="3391"/>
    </row>
    <row r="9209" spans="1:22">
      <c r="A9209" s="1320"/>
      <c r="B9209" s="22"/>
      <c r="C9209" s="1320"/>
      <c r="D9209" s="1359"/>
      <c r="E9209" s="1858"/>
      <c r="F9209" s="1404"/>
      <c r="G9209" s="1404"/>
      <c r="H9209" s="1359"/>
      <c r="I9209" s="1299"/>
      <c r="J9209" s="1300"/>
      <c r="K9209" s="1307"/>
      <c r="L9209" s="1335"/>
      <c r="M9209" s="1302"/>
      <c r="N9209" s="1700"/>
      <c r="O9209" s="1290"/>
      <c r="P9209" s="1332"/>
      <c r="Q9209" s="3391"/>
    </row>
    <row r="9210" spans="1:22">
      <c r="A9210" s="1320"/>
      <c r="B9210" s="22"/>
      <c r="C9210" s="1320"/>
      <c r="D9210" s="1359"/>
      <c r="E9210" s="1858"/>
      <c r="F9210" s="1361"/>
      <c r="G9210" s="1361"/>
      <c r="H9210" s="1466"/>
      <c r="I9210" s="1299"/>
      <c r="J9210" s="1300"/>
      <c r="K9210" s="1307"/>
      <c r="L9210" s="1335"/>
      <c r="M9210" s="1302"/>
      <c r="N9210" s="1700"/>
      <c r="O9210" s="1290"/>
      <c r="P9210" s="1332"/>
      <c r="Q9210" s="3391"/>
    </row>
    <row r="9211" spans="1:22">
      <c r="A9211" s="1320"/>
      <c r="B9211" s="22"/>
      <c r="C9211" s="1320"/>
      <c r="D9211" s="1373"/>
      <c r="E9211" s="2123"/>
      <c r="F9211" s="1374" t="s">
        <v>3</v>
      </c>
      <c r="G9211" s="1375"/>
      <c r="H9211" s="1376"/>
      <c r="I9211" s="1382"/>
      <c r="J9211" s="1383"/>
      <c r="K9211" s="1383"/>
      <c r="L9211" s="1413"/>
      <c r="M9211" s="1376"/>
      <c r="N9211" s="1376"/>
      <c r="O9211" s="1376"/>
      <c r="P9211" s="1373"/>
      <c r="Q9211" s="3387"/>
    </row>
    <row r="9212" spans="1:22">
      <c r="A9212" s="1321"/>
      <c r="B9212" s="1295"/>
      <c r="C9212" s="1321"/>
      <c r="D9212" s="1377"/>
      <c r="E9212" s="2124"/>
      <c r="F9212" s="1378"/>
      <c r="G9212" s="1378"/>
      <c r="H9212" s="1379"/>
      <c r="I9212" s="1299"/>
      <c r="J9212" s="1300"/>
      <c r="K9212" s="1307"/>
      <c r="L9212" s="1335"/>
      <c r="M9212" s="1302"/>
      <c r="N9212" s="1700"/>
      <c r="O9212" s="1290"/>
      <c r="P9212" s="1332"/>
      <c r="Q9212" s="3391"/>
    </row>
    <row r="9213" spans="1:22">
      <c r="A9213" s="1321"/>
      <c r="B9213" s="1295"/>
      <c r="C9213" s="1321"/>
      <c r="D9213" s="1377"/>
      <c r="E9213" s="2124"/>
      <c r="F9213" s="1378"/>
      <c r="G9213" s="1378"/>
      <c r="H9213" s="1379"/>
      <c r="I9213" s="1299"/>
      <c r="J9213" s="1300"/>
      <c r="K9213" s="1307"/>
      <c r="L9213" s="1335"/>
      <c r="M9213" s="1302"/>
      <c r="N9213" s="1700"/>
      <c r="O9213" s="1290"/>
      <c r="P9213" s="1333"/>
      <c r="Q9213" s="3391"/>
    </row>
    <row r="9214" spans="1:22">
      <c r="A9214" s="1042"/>
      <c r="B9214" s="22"/>
      <c r="C9214" s="1042"/>
      <c r="D9214" s="1677"/>
      <c r="E9214" s="2161"/>
      <c r="F9214" s="1678"/>
      <c r="G9214" s="1678"/>
      <c r="H9214" s="1376"/>
      <c r="I9214" s="1299"/>
      <c r="J9214" s="1300"/>
      <c r="K9214" s="1307"/>
      <c r="L9214" s="1335"/>
      <c r="M9214" s="1302"/>
      <c r="N9214" s="1700"/>
      <c r="O9214" s="1290"/>
      <c r="P9214" s="1332"/>
      <c r="Q9214" s="3391"/>
    </row>
    <row r="9215" spans="1:22">
      <c r="A9215" s="18" t="s">
        <v>3764</v>
      </c>
      <c r="B9215" s="4325" t="s">
        <v>2070</v>
      </c>
      <c r="C9215" s="3792"/>
      <c r="D9215" s="4327"/>
      <c r="E9215" s="4329" t="s">
        <v>1507</v>
      </c>
      <c r="F9215" s="4372" t="s">
        <v>2071</v>
      </c>
      <c r="G9215" s="4331" t="s">
        <v>1568</v>
      </c>
      <c r="H9215" s="4331" t="s">
        <v>1574</v>
      </c>
      <c r="I9215" s="1572" t="s">
        <v>1559</v>
      </c>
      <c r="J9215" s="1294" t="s">
        <v>1560</v>
      </c>
      <c r="K9215" s="1294" t="s">
        <v>1569</v>
      </c>
      <c r="L9215" s="4333" t="s">
        <v>3765</v>
      </c>
      <c r="M9215" s="4335" t="s">
        <v>1571</v>
      </c>
      <c r="N9215" s="4323" t="s">
        <v>1776</v>
      </c>
      <c r="O9215" s="3791" t="s">
        <v>1563</v>
      </c>
      <c r="P9215" s="1336" t="s">
        <v>1562</v>
      </c>
      <c r="Q9215" s="3389"/>
      <c r="R9215" s="1699" t="s">
        <v>1327</v>
      </c>
    </row>
    <row r="9216" spans="1:22">
      <c r="A9216" s="1662" t="s">
        <v>3634</v>
      </c>
      <c r="B9216" s="4326"/>
      <c r="C9216" s="3794"/>
      <c r="D9216" s="4328"/>
      <c r="E9216" s="4330"/>
      <c r="F9216" s="4363"/>
      <c r="G9216" s="4332"/>
      <c r="H9216" s="4332"/>
      <c r="I9216" s="3814">
        <v>42.12</v>
      </c>
      <c r="J9216" s="3815">
        <v>2.1999999999999999E-2</v>
      </c>
      <c r="K9216" s="1297">
        <f>I9216*J9216</f>
        <v>0.92663999999999991</v>
      </c>
      <c r="L9216" s="4334"/>
      <c r="M9216" s="4335"/>
      <c r="N9216" s="4324"/>
      <c r="O9216" s="1298">
        <f>O9218+O9219+O9220+O9221+O9222+O9226+O9227</f>
        <v>94.681000000000012</v>
      </c>
      <c r="P9216" s="1337">
        <f>O9216*K9216</f>
        <v>87.735201840000002</v>
      </c>
      <c r="Q9216" s="3390"/>
      <c r="R9216" s="1721">
        <f>P9218+P9219+P9220+P9221+P9222+P9226+P9227</f>
        <v>87.735201839999988</v>
      </c>
      <c r="S9216" s="16"/>
      <c r="T9216" s="16"/>
      <c r="U9216" s="16"/>
      <c r="V9216" s="16"/>
    </row>
    <row r="9217" spans="1:22">
      <c r="A9217" s="1320"/>
      <c r="B9217" s="22"/>
      <c r="C9217" s="1327"/>
      <c r="D9217" s="1367"/>
      <c r="E9217" s="2121"/>
      <c r="F9217" s="1389" t="s">
        <v>1</v>
      </c>
      <c r="G9217" s="1389"/>
      <c r="H9217" s="1369"/>
      <c r="I9217" s="1409"/>
      <c r="J9217" s="1390"/>
      <c r="K9217" s="1391"/>
      <c r="L9217" s="1559"/>
      <c r="M9217" s="1369"/>
      <c r="N9217" s="1369"/>
      <c r="O9217" s="1369"/>
      <c r="P9217" s="1392"/>
      <c r="Q9217" s="3395"/>
      <c r="S9217" s="16"/>
      <c r="T9217" s="16"/>
      <c r="U9217" s="16"/>
      <c r="V9217" s="16"/>
    </row>
    <row r="9218" spans="1:22">
      <c r="A9218" s="1042"/>
      <c r="B9218" s="22"/>
      <c r="C9218" s="1042"/>
      <c r="D9218" s="1598" t="s">
        <v>2072</v>
      </c>
      <c r="E9218" s="2154" t="s">
        <v>1527</v>
      </c>
      <c r="F9218" s="1598" t="s">
        <v>2073</v>
      </c>
      <c r="G9218" s="1612">
        <v>1.35</v>
      </c>
      <c r="H9218" s="1674"/>
      <c r="I9218" s="1299"/>
      <c r="J9218" s="1300"/>
      <c r="K9218" s="1307">
        <f>G9218*K9216</f>
        <v>1.250964</v>
      </c>
      <c r="L9218" s="1335">
        <f t="shared" ref="L9218:L9222" si="1246">K9218*$K$9072</f>
        <v>0</v>
      </c>
      <c r="M9218" s="1302">
        <v>5.47</v>
      </c>
      <c r="N9218" s="1700"/>
      <c r="O9218" s="1290">
        <f>G9218*M9218</f>
        <v>7.3845000000000001</v>
      </c>
      <c r="P9218" s="1332">
        <f>M9218*K9218</f>
        <v>6.8427730799999997</v>
      </c>
      <c r="Q9218" s="3391"/>
      <c r="S9218" s="16"/>
      <c r="T9218" s="16"/>
      <c r="U9218" s="16"/>
      <c r="V9218" s="16"/>
    </row>
    <row r="9219" spans="1:22">
      <c r="A9219" s="16"/>
      <c r="B9219" s="553"/>
      <c r="C9219" s="1042"/>
      <c r="D9219" s="1610" t="s">
        <v>2074</v>
      </c>
      <c r="E9219" s="2154" t="s">
        <v>1507</v>
      </c>
      <c r="F9219" s="1598" t="s">
        <v>2075</v>
      </c>
      <c r="G9219" s="1612">
        <v>1.1599999999999999</v>
      </c>
      <c r="H9219" s="1674"/>
      <c r="I9219" s="1299"/>
      <c r="J9219" s="1300"/>
      <c r="K9219" s="1307">
        <f>G9219*K9216</f>
        <v>1.0749023999999998</v>
      </c>
      <c r="L9219" s="1335">
        <f t="shared" si="1246"/>
        <v>0</v>
      </c>
      <c r="M9219" s="1302">
        <v>39.58</v>
      </c>
      <c r="N9219" s="1700"/>
      <c r="O9219" s="1290">
        <f>G9219*M9219</f>
        <v>45.912799999999997</v>
      </c>
      <c r="P9219" s="1332">
        <f>M9219*K9219</f>
        <v>42.544636991999994</v>
      </c>
      <c r="Q9219" s="3391"/>
      <c r="R9219" s="2337"/>
      <c r="S9219" s="16"/>
      <c r="T9219" s="16"/>
      <c r="U9219" s="16"/>
      <c r="V9219" s="16"/>
    </row>
    <row r="9220" spans="1:22">
      <c r="A9220" s="16"/>
      <c r="B9220" s="1042"/>
      <c r="C9220" s="1320"/>
      <c r="D9220" s="1598" t="s">
        <v>2076</v>
      </c>
      <c r="E9220" s="2154" t="s">
        <v>1504</v>
      </c>
      <c r="F9220" s="1598" t="s">
        <v>2077</v>
      </c>
      <c r="G9220" s="1612">
        <v>0.56000000000000005</v>
      </c>
      <c r="H9220" s="1399"/>
      <c r="I9220" s="197"/>
      <c r="J9220" s="198"/>
      <c r="K9220" s="1307">
        <f>G9220*K9216</f>
        <v>0.5189184</v>
      </c>
      <c r="L9220" s="1335">
        <f t="shared" si="1246"/>
        <v>0</v>
      </c>
      <c r="M9220" s="1302">
        <v>31.07</v>
      </c>
      <c r="N9220" s="1718"/>
      <c r="O9220" s="1290">
        <f>G9220*M9220</f>
        <v>17.3992</v>
      </c>
      <c r="P9220" s="1332">
        <f>M9220*K9220</f>
        <v>16.122794687999999</v>
      </c>
      <c r="Q9220" s="3391"/>
      <c r="R9220" s="2337"/>
      <c r="S9220" s="16"/>
      <c r="T9220" s="16"/>
      <c r="U9220" s="16"/>
      <c r="V9220" s="16"/>
    </row>
    <row r="9221" spans="1:22">
      <c r="A9221" s="16"/>
      <c r="B9221" s="1042"/>
      <c r="C9221" s="1320"/>
      <c r="D9221" s="1598" t="s">
        <v>1097</v>
      </c>
      <c r="E9221" s="2154" t="s">
        <v>1504</v>
      </c>
      <c r="F9221" s="1598" t="s">
        <v>1632</v>
      </c>
      <c r="G9221" s="1612">
        <v>3</v>
      </c>
      <c r="H9221" s="1399"/>
      <c r="I9221" s="197"/>
      <c r="J9221" s="198"/>
      <c r="K9221" s="1307">
        <f>G9221*K9216</f>
        <v>2.7799199999999997</v>
      </c>
      <c r="L9221" s="1335">
        <f t="shared" si="1246"/>
        <v>0</v>
      </c>
      <c r="M9221" s="1302">
        <v>0.55000000000000004</v>
      </c>
      <c r="N9221" s="1718"/>
      <c r="O9221" s="1290">
        <f>G9221*M9221</f>
        <v>1.6500000000000001</v>
      </c>
      <c r="P9221" s="1332">
        <f>M9221*K9221</f>
        <v>1.528956</v>
      </c>
      <c r="Q9221" s="3391"/>
      <c r="R9221" s="2337"/>
    </row>
    <row r="9222" spans="1:22">
      <c r="A9222" s="16"/>
      <c r="B9222" s="1042"/>
      <c r="C9222" s="1320"/>
      <c r="D9222" s="1598" t="s">
        <v>1082</v>
      </c>
      <c r="E9222" s="2154" t="s">
        <v>1504</v>
      </c>
      <c r="F9222" s="1598" t="s">
        <v>1541</v>
      </c>
      <c r="G9222" s="1612">
        <v>2</v>
      </c>
      <c r="H9222" s="1399"/>
      <c r="I9222" s="197"/>
      <c r="J9222" s="198"/>
      <c r="K9222" s="1307">
        <f>G9222*K9216</f>
        <v>1.8532799999999998</v>
      </c>
      <c r="L9222" s="1335">
        <f t="shared" si="1246"/>
        <v>0</v>
      </c>
      <c r="M9222" s="1302">
        <v>0.3</v>
      </c>
      <c r="N9222" s="1718"/>
      <c r="O9222" s="1290">
        <f>G9222*M9222</f>
        <v>0.6</v>
      </c>
      <c r="P9222" s="1332">
        <f>M9222*K9222</f>
        <v>0.55598399999999992</v>
      </c>
      <c r="Q9222" s="3391"/>
      <c r="R9222" s="2337"/>
    </row>
    <row r="9223" spans="1:22">
      <c r="A9223" s="16"/>
      <c r="B9223" s="1042"/>
      <c r="C9223" s="1320"/>
      <c r="D9223" s="1400"/>
      <c r="E9223" s="1856"/>
      <c r="F9223" s="1397"/>
      <c r="G9223" s="1416"/>
      <c r="H9223" s="1399"/>
      <c r="I9223" s="197"/>
      <c r="J9223" s="198"/>
      <c r="K9223" s="1307"/>
      <c r="L9223" s="1335"/>
      <c r="M9223" s="1302"/>
      <c r="N9223" s="1718"/>
      <c r="O9223" s="1290"/>
      <c r="P9223" s="1332"/>
      <c r="Q9223" s="3391"/>
      <c r="R9223" s="2337"/>
    </row>
    <row r="9224" spans="1:22">
      <c r="A9224" s="1042"/>
      <c r="B9224" s="22"/>
      <c r="C9224" s="1042"/>
      <c r="D9224" s="1367"/>
      <c r="E9224" s="2121"/>
      <c r="F9224" s="1436"/>
      <c r="G9224" s="1436"/>
      <c r="H9224" s="1369"/>
      <c r="I9224" s="1299" t="str">
        <f t="shared" ref="I9224" ca="1" si="1247">IF(COUNT(H9224:O9224)=0,"",(SUM(H9224:O9224)/COUNT(H9224:O9224)))</f>
        <v/>
      </c>
      <c r="J9224" s="1300"/>
      <c r="K9224" s="1307"/>
      <c r="L9224" s="1335"/>
      <c r="M9224" s="1302"/>
      <c r="N9224" s="1700"/>
      <c r="O9224" s="1290"/>
      <c r="P9224" s="1332"/>
      <c r="Q9224" s="3391"/>
    </row>
    <row r="9225" spans="1:22">
      <c r="A9225" s="1042"/>
      <c r="B9225" s="22"/>
      <c r="C9225" s="1042"/>
      <c r="D9225" s="1359"/>
      <c r="E9225" s="1858"/>
      <c r="F9225" s="1360" t="s">
        <v>2</v>
      </c>
      <c r="G9225" s="1360"/>
      <c r="H9225" s="1362"/>
      <c r="I9225" s="1380"/>
      <c r="J9225" s="1381"/>
      <c r="K9225" s="1381"/>
      <c r="L9225" s="1458"/>
      <c r="M9225" s="1362"/>
      <c r="N9225" s="1362"/>
      <c r="O9225" s="1362"/>
      <c r="P9225" s="1359"/>
      <c r="Q9225" s="3387"/>
    </row>
    <row r="9226" spans="1:22">
      <c r="A9226" s="1321"/>
      <c r="B9226" s="1295"/>
      <c r="C9226" s="1321"/>
      <c r="D9226" s="1363" t="s">
        <v>1173</v>
      </c>
      <c r="E9226" s="2125" t="s">
        <v>1508</v>
      </c>
      <c r="F9226" s="1403" t="s">
        <v>120</v>
      </c>
      <c r="G9226" s="1408">
        <v>0.35</v>
      </c>
      <c r="H9226" s="2019"/>
      <c r="I9226" s="1299"/>
      <c r="J9226" s="1300"/>
      <c r="K9226" s="1307">
        <f>G9226*K9216</f>
        <v>0.32432399999999995</v>
      </c>
      <c r="L9226" s="1335">
        <f>K9226*$K$9072</f>
        <v>0</v>
      </c>
      <c r="M9226" s="1302">
        <v>19.23</v>
      </c>
      <c r="N9226" s="1700"/>
      <c r="O9226" s="1290">
        <f>G9226*M9226</f>
        <v>6.7305000000000001</v>
      </c>
      <c r="P9226" s="1332">
        <f>M9226*K9226</f>
        <v>6.2367505199999993</v>
      </c>
      <c r="Q9226" s="3391"/>
    </row>
    <row r="9227" spans="1:22">
      <c r="B9227" s="553"/>
      <c r="C9227" s="1938" t="s">
        <v>1755</v>
      </c>
      <c r="D9227" s="1311"/>
      <c r="E9227" s="2176" t="s">
        <v>1508</v>
      </c>
      <c r="F9227" s="2051" t="s">
        <v>1524</v>
      </c>
      <c r="G9227" s="2052"/>
      <c r="H9227" s="1338">
        <v>0.4</v>
      </c>
      <c r="I9227" s="1444"/>
      <c r="J9227" s="1388"/>
      <c r="K9227" s="1445"/>
      <c r="L9227" s="1457"/>
      <c r="M9227" s="1447"/>
      <c r="N9227" s="1447">
        <f>SUM(N9228:N9229)</f>
        <v>37.510000000000005</v>
      </c>
      <c r="O9227" s="1447">
        <f>SUM(O9228:O9229)</f>
        <v>15.004000000000001</v>
      </c>
      <c r="P9227" s="1447">
        <f>SUM(P9228:P9229)</f>
        <v>13.903306560000001</v>
      </c>
      <c r="Q9227" s="3391"/>
      <c r="R9227" s="2337"/>
    </row>
    <row r="9228" spans="1:22">
      <c r="B9228" s="1042"/>
      <c r="C9228" s="88"/>
      <c r="D9228" s="1898" t="s">
        <v>1067</v>
      </c>
      <c r="E9228" s="1857" t="s">
        <v>1508</v>
      </c>
      <c r="F9228" s="1403" t="s">
        <v>5</v>
      </c>
      <c r="G9228" s="1991">
        <v>1</v>
      </c>
      <c r="H9228" s="1408">
        <f>G9228*$H$9137</f>
        <v>0.4</v>
      </c>
      <c r="I9228" s="1286"/>
      <c r="J9228" s="198"/>
      <c r="K9228" s="1307">
        <f>H9228*K9216</f>
        <v>0.37065599999999999</v>
      </c>
      <c r="L9228" s="1335">
        <f t="shared" ref="L9228:L9229" si="1248">K9228*$K$9072</f>
        <v>0</v>
      </c>
      <c r="M9228" s="1302">
        <v>18.28</v>
      </c>
      <c r="N9228" s="1718">
        <f>G9228*M9228</f>
        <v>18.28</v>
      </c>
      <c r="O9228" s="1290">
        <f>H9228*M9228</f>
        <v>7.3120000000000012</v>
      </c>
      <c r="P9228" s="1332">
        <f>M9228*K9228</f>
        <v>6.7755916799999998</v>
      </c>
      <c r="Q9228" s="3391"/>
      <c r="R9228" s="2337"/>
    </row>
    <row r="9229" spans="1:22">
      <c r="B9229" s="1042"/>
      <c r="C9229" s="88"/>
      <c r="D9229" s="1430" t="s">
        <v>1077</v>
      </c>
      <c r="E9229" s="1857" t="s">
        <v>1508</v>
      </c>
      <c r="F9229" s="1403" t="s">
        <v>37</v>
      </c>
      <c r="G9229" s="1991">
        <v>1</v>
      </c>
      <c r="H9229" s="1408">
        <f>G9229*$H$9137</f>
        <v>0.4</v>
      </c>
      <c r="I9229" s="197">
        <f ca="1">IF(COUNT(H9229:L9229)=0,"",(SUM(H9229:L9229)/COUNT(H9229:L9229)))</f>
        <v>62.052915052440582</v>
      </c>
      <c r="J9229" s="198"/>
      <c r="K9229" s="1307">
        <f>H9229*K9216</f>
        <v>0.37065599999999999</v>
      </c>
      <c r="L9229" s="1335">
        <f t="shared" si="1248"/>
        <v>0</v>
      </c>
      <c r="M9229" s="1302">
        <v>19.23</v>
      </c>
      <c r="N9229" s="1718">
        <f>G9229*M9229</f>
        <v>19.23</v>
      </c>
      <c r="O9229" s="1290">
        <f>H9229*M9229</f>
        <v>7.6920000000000002</v>
      </c>
      <c r="P9229" s="1332">
        <f>M9229*K9229</f>
        <v>7.1277148800000001</v>
      </c>
      <c r="Q9229" s="3391"/>
      <c r="R9229" s="2337"/>
    </row>
    <row r="9230" spans="1:22" ht="15" customHeight="1">
      <c r="B9230" s="1320"/>
      <c r="C9230" s="595"/>
      <c r="D9230" s="1359"/>
      <c r="E9230" s="1858"/>
      <c r="F9230" s="1361"/>
      <c r="G9230" s="1361"/>
      <c r="H9230" s="1466"/>
      <c r="I9230" s="1299"/>
      <c r="J9230" s="1300"/>
      <c r="K9230" s="1307"/>
      <c r="L9230" s="1335"/>
      <c r="M9230" s="1302"/>
      <c r="N9230" s="1700"/>
      <c r="O9230" s="1290"/>
      <c r="P9230" s="1332"/>
      <c r="Q9230" s="3391"/>
      <c r="R9230" s="1296"/>
    </row>
    <row r="9231" spans="1:22">
      <c r="A9231" s="1320"/>
      <c r="B9231" s="22"/>
      <c r="C9231" s="1320"/>
      <c r="D9231" s="1373"/>
      <c r="E9231" s="2123"/>
      <c r="F9231" s="1374" t="s">
        <v>3</v>
      </c>
      <c r="G9231" s="1375"/>
      <c r="H9231" s="1376"/>
      <c r="I9231" s="1382"/>
      <c r="J9231" s="1383"/>
      <c r="K9231" s="1383"/>
      <c r="L9231" s="1413"/>
      <c r="M9231" s="1376"/>
      <c r="N9231" s="1376"/>
      <c r="O9231" s="1376"/>
      <c r="P9231" s="1373"/>
      <c r="Q9231" s="3387"/>
    </row>
    <row r="9232" spans="1:22">
      <c r="A9232" s="1321"/>
      <c r="B9232" s="1295"/>
      <c r="C9232" s="1321"/>
      <c r="D9232" s="1377"/>
      <c r="E9232" s="2124"/>
      <c r="F9232" s="1378"/>
      <c r="G9232" s="1378"/>
      <c r="H9232" s="1379"/>
      <c r="I9232" s="1299"/>
      <c r="J9232" s="1300"/>
      <c r="K9232" s="1307"/>
      <c r="L9232" s="1335"/>
      <c r="M9232" s="1302"/>
      <c r="N9232" s="1700"/>
      <c r="O9232" s="1290"/>
      <c r="P9232" s="1332"/>
      <c r="Q9232" s="3391"/>
    </row>
    <row r="9233" spans="1:18">
      <c r="A9233" s="1321"/>
      <c r="B9233" s="1295"/>
      <c r="C9233" s="1321"/>
      <c r="D9233" s="1377"/>
      <c r="E9233" s="2124"/>
      <c r="F9233" s="1378"/>
      <c r="G9233" s="1378"/>
      <c r="H9233" s="1379"/>
      <c r="I9233" s="1299"/>
      <c r="J9233" s="1300"/>
      <c r="K9233" s="1307"/>
      <c r="L9233" s="1335"/>
      <c r="M9233" s="1302"/>
      <c r="N9233" s="1700"/>
      <c r="O9233" s="1290"/>
      <c r="P9233" s="1333"/>
      <c r="Q9233" s="3391"/>
    </row>
    <row r="9234" spans="1:18">
      <c r="A9234" s="1042"/>
      <c r="B9234" s="22"/>
      <c r="C9234" s="1042"/>
      <c r="D9234" s="1677"/>
      <c r="E9234" s="2161"/>
      <c r="F9234" s="1678"/>
      <c r="G9234" s="1678"/>
      <c r="H9234" s="1376"/>
      <c r="I9234" s="1299"/>
      <c r="J9234" s="1300"/>
      <c r="K9234" s="1307"/>
      <c r="L9234" s="1335"/>
      <c r="M9234" s="1302"/>
      <c r="N9234" s="1700"/>
      <c r="O9234" s="1290"/>
      <c r="P9234" s="1332"/>
      <c r="Q9234" s="3391"/>
    </row>
    <row r="9235" spans="1:18">
      <c r="A9235" s="18" t="s">
        <v>3764</v>
      </c>
      <c r="B9235" s="4325" t="s">
        <v>3629</v>
      </c>
      <c r="C9235" s="3792"/>
      <c r="D9235" s="4327"/>
      <c r="E9235" s="4329" t="s">
        <v>1507</v>
      </c>
      <c r="F9235" s="4372" t="s">
        <v>3631</v>
      </c>
      <c r="G9235" s="4331" t="s">
        <v>1568</v>
      </c>
      <c r="H9235" s="4331" t="s">
        <v>1574</v>
      </c>
      <c r="I9235" s="1572" t="s">
        <v>1559</v>
      </c>
      <c r="J9235" s="1294" t="s">
        <v>1560</v>
      </c>
      <c r="K9235" s="1294" t="s">
        <v>1569</v>
      </c>
      <c r="L9235" s="4333" t="s">
        <v>3765</v>
      </c>
      <c r="M9235" s="4335" t="s">
        <v>1571</v>
      </c>
      <c r="N9235" s="4323" t="s">
        <v>1776</v>
      </c>
      <c r="O9235" s="3791" t="s">
        <v>1563</v>
      </c>
      <c r="P9235" s="1336" t="s">
        <v>1562</v>
      </c>
      <c r="Q9235" s="3389"/>
      <c r="R9235" s="1699" t="s">
        <v>1327</v>
      </c>
    </row>
    <row r="9236" spans="1:18" s="22" customFormat="1">
      <c r="A9236" s="1662" t="s">
        <v>3634</v>
      </c>
      <c r="B9236" s="4326"/>
      <c r="C9236" s="3794"/>
      <c r="D9236" s="4328"/>
      <c r="E9236" s="4330"/>
      <c r="F9236" s="4363"/>
      <c r="G9236" s="4332"/>
      <c r="H9236" s="4332"/>
      <c r="I9236" s="3814">
        <v>24.23</v>
      </c>
      <c r="J9236" s="3815">
        <v>2.1999999999999999E-2</v>
      </c>
      <c r="K9236" s="1297">
        <f>I9236*J9236</f>
        <v>0.53305999999999998</v>
      </c>
      <c r="L9236" s="4334"/>
      <c r="M9236" s="4335"/>
      <c r="N9236" s="4324"/>
      <c r="O9236" s="1298">
        <f>O9238+O9239+O9243</f>
        <v>92.595500000000001</v>
      </c>
      <c r="P9236" s="1337">
        <f>O9236*K9236</f>
        <v>49.358957230000001</v>
      </c>
      <c r="Q9236" s="3390"/>
      <c r="R9236" s="1721">
        <f>P9238+P9239+P9243</f>
        <v>49.358957229999994</v>
      </c>
    </row>
    <row r="9237" spans="1:18" s="22" customFormat="1">
      <c r="A9237" s="1320"/>
      <c r="B9237" s="1599"/>
      <c r="C9237" s="1327"/>
      <c r="D9237" s="1367"/>
      <c r="E9237" s="2121"/>
      <c r="F9237" s="1389" t="s">
        <v>1</v>
      </c>
      <c r="G9237" s="1389"/>
      <c r="H9237" s="1369"/>
      <c r="I9237" s="1409"/>
      <c r="J9237" s="1390"/>
      <c r="K9237" s="1391"/>
      <c r="L9237" s="1559"/>
      <c r="M9237" s="1369"/>
      <c r="N9237" s="1369"/>
      <c r="O9237" s="1369"/>
      <c r="P9237" s="1392"/>
      <c r="Q9237" s="3395"/>
      <c r="R9237" s="2339"/>
    </row>
    <row r="9238" spans="1:18" s="22" customFormat="1" ht="15" customHeight="1">
      <c r="A9238" s="1042"/>
      <c r="B9238" s="1599" t="s">
        <v>3630</v>
      </c>
      <c r="C9238" s="1042"/>
      <c r="D9238" s="3831" t="s">
        <v>2080</v>
      </c>
      <c r="E9238" s="2154" t="s">
        <v>1507</v>
      </c>
      <c r="F9238" s="3828" t="s">
        <v>2081</v>
      </c>
      <c r="G9238" s="1612">
        <v>1</v>
      </c>
      <c r="H9238" s="1674"/>
      <c r="I9238" s="1299"/>
      <c r="J9238" s="1300"/>
      <c r="K9238" s="1307">
        <f>G9238*K9236</f>
        <v>0.53305999999999998</v>
      </c>
      <c r="L9238" s="1335">
        <f t="shared" ref="L9238:L9239" si="1249">K9238*$K$9072</f>
        <v>0</v>
      </c>
      <c r="M9238" s="3832">
        <v>75.05</v>
      </c>
      <c r="N9238" s="1700"/>
      <c r="O9238" s="1290">
        <f>G9238*M9238</f>
        <v>75.05</v>
      </c>
      <c r="P9238" s="1332">
        <f>M9238*K9238</f>
        <v>40.006152999999998</v>
      </c>
      <c r="Q9238" s="3391"/>
      <c r="R9238" s="2339"/>
    </row>
    <row r="9239" spans="1:18" s="22" customFormat="1">
      <c r="A9239" s="1320"/>
      <c r="B9239" s="553"/>
      <c r="C9239" s="1042"/>
      <c r="D9239" s="1610" t="s">
        <v>2082</v>
      </c>
      <c r="E9239" s="2154" t="s">
        <v>1527</v>
      </c>
      <c r="F9239" s="1598" t="s">
        <v>2083</v>
      </c>
      <c r="G9239" s="1612">
        <v>3</v>
      </c>
      <c r="H9239" s="1674"/>
      <c r="I9239" s="1299"/>
      <c r="J9239" s="1300"/>
      <c r="K9239" s="1307">
        <f>G9239*K9236</f>
        <v>1.59918</v>
      </c>
      <c r="L9239" s="1335">
        <f t="shared" si="1249"/>
        <v>0</v>
      </c>
      <c r="M9239" s="1302">
        <v>0.4</v>
      </c>
      <c r="N9239" s="1700"/>
      <c r="O9239" s="1290">
        <f>G9239*M9239</f>
        <v>1.2000000000000002</v>
      </c>
      <c r="P9239" s="1332">
        <f>M9239*K9239</f>
        <v>0.63967200000000002</v>
      </c>
      <c r="Q9239" s="3391"/>
      <c r="R9239" s="2337"/>
    </row>
    <row r="9240" spans="1:18" s="22" customFormat="1">
      <c r="A9240" s="1320"/>
      <c r="B9240" s="1042"/>
      <c r="C9240" s="1320"/>
      <c r="D9240" s="1598"/>
      <c r="E9240" s="2154"/>
      <c r="F9240" s="1598"/>
      <c r="G9240" s="1612"/>
      <c r="H9240" s="1399"/>
      <c r="I9240" s="197"/>
      <c r="J9240" s="198"/>
      <c r="K9240" s="1307"/>
      <c r="L9240" s="1335"/>
      <c r="M9240" s="1302"/>
      <c r="N9240" s="1718"/>
      <c r="O9240" s="1290"/>
      <c r="P9240" s="1332"/>
      <c r="Q9240" s="3391"/>
      <c r="R9240" s="2337"/>
    </row>
    <row r="9241" spans="1:18" s="22" customFormat="1">
      <c r="A9241" s="1042"/>
      <c r="B9241" s="1599"/>
      <c r="C9241" s="1042"/>
      <c r="D9241" s="1367"/>
      <c r="E9241" s="2121"/>
      <c r="F9241" s="1436"/>
      <c r="G9241" s="1436"/>
      <c r="H9241" s="1369"/>
      <c r="I9241" s="1299" t="str">
        <f t="shared" ref="I9241" ca="1" si="1250">IF(COUNT(H9241:O9241)=0,"",(SUM(H9241:O9241)/COUNT(H9241:O9241)))</f>
        <v/>
      </c>
      <c r="J9241" s="1300"/>
      <c r="K9241" s="1307"/>
      <c r="L9241" s="1335"/>
      <c r="M9241" s="1302"/>
      <c r="N9241" s="1700"/>
      <c r="O9241" s="1290"/>
      <c r="P9241" s="1332"/>
      <c r="Q9241" s="3391"/>
      <c r="R9241" s="2339"/>
    </row>
    <row r="9242" spans="1:18" s="22" customFormat="1">
      <c r="A9242" s="1042"/>
      <c r="B9242" s="1599"/>
      <c r="C9242" s="1042"/>
      <c r="D9242" s="1359"/>
      <c r="E9242" s="1858"/>
      <c r="F9242" s="1360" t="s">
        <v>2</v>
      </c>
      <c r="G9242" s="1360"/>
      <c r="H9242" s="1362"/>
      <c r="I9242" s="1380"/>
      <c r="J9242" s="1381"/>
      <c r="K9242" s="1381"/>
      <c r="L9242" s="1458"/>
      <c r="M9242" s="1362"/>
      <c r="N9242" s="1362"/>
      <c r="O9242" s="1362"/>
      <c r="P9242" s="1359"/>
      <c r="Q9242" s="3387"/>
      <c r="R9242" s="2339"/>
    </row>
    <row r="9243" spans="1:18" s="22" customFormat="1">
      <c r="A9243" s="1321"/>
      <c r="B9243" s="2053"/>
      <c r="C9243" s="1321"/>
      <c r="D9243" s="1363" t="s">
        <v>1205</v>
      </c>
      <c r="E9243" s="2125" t="s">
        <v>1508</v>
      </c>
      <c r="F9243" s="1403" t="s">
        <v>151</v>
      </c>
      <c r="G9243" s="1408">
        <v>0.85</v>
      </c>
      <c r="H9243" s="2019"/>
      <c r="I9243" s="1299"/>
      <c r="J9243" s="1300"/>
      <c r="K9243" s="1307">
        <f>G9243*K9236</f>
        <v>0.45310099999999998</v>
      </c>
      <c r="L9243" s="1335">
        <f>K9243*$K$9072</f>
        <v>0</v>
      </c>
      <c r="M9243" s="1302">
        <v>19.23</v>
      </c>
      <c r="N9243" s="1700"/>
      <c r="O9243" s="1290">
        <f>G9243*M9243</f>
        <v>16.345500000000001</v>
      </c>
      <c r="P9243" s="1332">
        <f>M9243*K9243</f>
        <v>8.7131322299999994</v>
      </c>
      <c r="Q9243" s="3391"/>
      <c r="R9243" s="2339"/>
    </row>
    <row r="9244" spans="1:18" s="22" customFormat="1">
      <c r="A9244" s="1042"/>
      <c r="B9244" s="1042"/>
      <c r="C9244" s="88"/>
      <c r="D9244" s="1430"/>
      <c r="E9244" s="1857"/>
      <c r="F9244" s="1403"/>
      <c r="G9244" s="1991"/>
      <c r="H9244" s="1408"/>
      <c r="I9244" s="197"/>
      <c r="J9244" s="198"/>
      <c r="K9244" s="1307"/>
      <c r="L9244" s="1335"/>
      <c r="M9244" s="1302"/>
      <c r="N9244" s="1718"/>
      <c r="O9244" s="1290"/>
      <c r="P9244" s="1332"/>
      <c r="Q9244" s="3391"/>
      <c r="R9244" s="2337"/>
    </row>
    <row r="9245" spans="1:18" s="22" customFormat="1">
      <c r="A9245" s="1042"/>
      <c r="B9245" s="1320"/>
      <c r="C9245" s="595"/>
      <c r="D9245" s="1359"/>
      <c r="E9245" s="1858"/>
      <c r="F9245" s="1361"/>
      <c r="G9245" s="1361"/>
      <c r="H9245" s="1466"/>
      <c r="I9245" s="1299"/>
      <c r="J9245" s="1300"/>
      <c r="K9245" s="1307"/>
      <c r="L9245" s="1335"/>
      <c r="M9245" s="1302"/>
      <c r="N9245" s="1700"/>
      <c r="O9245" s="1290"/>
      <c r="P9245" s="1332"/>
      <c r="Q9245" s="3391"/>
      <c r="R9245" s="1296"/>
    </row>
    <row r="9246" spans="1:18" s="22" customFormat="1">
      <c r="A9246" s="1320"/>
      <c r="B9246" s="1599"/>
      <c r="C9246" s="1320"/>
      <c r="D9246" s="1373"/>
      <c r="E9246" s="2123"/>
      <c r="F9246" s="1374" t="s">
        <v>3</v>
      </c>
      <c r="G9246" s="1375"/>
      <c r="H9246" s="1376"/>
      <c r="I9246" s="1382"/>
      <c r="J9246" s="1383"/>
      <c r="K9246" s="1383"/>
      <c r="L9246" s="1413"/>
      <c r="M9246" s="1376"/>
      <c r="N9246" s="1376"/>
      <c r="O9246" s="1376"/>
      <c r="P9246" s="1373"/>
      <c r="Q9246" s="3387"/>
      <c r="R9246" s="2339"/>
    </row>
    <row r="9247" spans="1:18" s="22" customFormat="1">
      <c r="A9247" s="1321"/>
      <c r="B9247" s="2053"/>
      <c r="C9247" s="1321"/>
      <c r="D9247" s="1377"/>
      <c r="E9247" s="2124"/>
      <c r="F9247" s="1378"/>
      <c r="G9247" s="1378"/>
      <c r="H9247" s="1379"/>
      <c r="I9247" s="1299"/>
      <c r="J9247" s="1300"/>
      <c r="K9247" s="1307"/>
      <c r="L9247" s="1335"/>
      <c r="M9247" s="1302"/>
      <c r="N9247" s="1700"/>
      <c r="O9247" s="1290"/>
      <c r="P9247" s="1332"/>
      <c r="Q9247" s="3391"/>
      <c r="R9247" s="2339"/>
    </row>
    <row r="9248" spans="1:18" s="22" customFormat="1">
      <c r="A9248" s="1321"/>
      <c r="B9248" s="2053"/>
      <c r="C9248" s="1321"/>
      <c r="D9248" s="1377"/>
      <c r="E9248" s="2124"/>
      <c r="F9248" s="1378"/>
      <c r="G9248" s="1378"/>
      <c r="H9248" s="1379"/>
      <c r="I9248" s="1299"/>
      <c r="J9248" s="1300"/>
      <c r="K9248" s="1307"/>
      <c r="L9248" s="1335"/>
      <c r="M9248" s="1302"/>
      <c r="N9248" s="1700"/>
      <c r="O9248" s="1290"/>
      <c r="P9248" s="1333"/>
      <c r="Q9248" s="3391"/>
      <c r="R9248" s="2339"/>
    </row>
    <row r="9249" spans="1:18" s="22" customFormat="1">
      <c r="A9249" s="1042"/>
      <c r="B9249" s="1765"/>
      <c r="C9249" s="223"/>
      <c r="D9249" s="4065"/>
      <c r="E9249" s="3943"/>
      <c r="F9249" s="3979"/>
      <c r="G9249" s="3979"/>
      <c r="H9249" s="3945"/>
      <c r="I9249" s="1299"/>
      <c r="J9249" s="3939"/>
      <c r="K9249" s="1307"/>
      <c r="L9249" s="1335"/>
      <c r="M9249" s="3918"/>
      <c r="N9249" s="1700"/>
      <c r="O9249" s="1290"/>
      <c r="P9249" s="3919"/>
      <c r="Q9249" s="3391"/>
      <c r="R9249" s="2339"/>
    </row>
    <row r="9250" spans="1:18" s="16" customFormat="1" ht="15" thickBot="1">
      <c r="E9250" s="2182"/>
      <c r="F9250" s="2080"/>
      <c r="G9250" s="2080"/>
      <c r="H9250" s="13"/>
      <c r="I9250" s="1561"/>
      <c r="J9250" s="13"/>
      <c r="K9250" s="1639"/>
      <c r="L9250" s="1640"/>
      <c r="M9250" s="1292"/>
      <c r="N9250" s="1292"/>
      <c r="O9250" s="1292"/>
      <c r="P9250" s="1292"/>
      <c r="Q9250" s="3391"/>
      <c r="R9250" s="4165"/>
    </row>
    <row r="9251" spans="1:18" s="22" customFormat="1" ht="29">
      <c r="A9251" s="4374" t="s">
        <v>3632</v>
      </c>
      <c r="B9251" s="4375"/>
      <c r="C9251" s="4375"/>
      <c r="D9251" s="4376"/>
      <c r="E9251" s="4380" t="s">
        <v>1507</v>
      </c>
      <c r="F9251" s="4382" t="s">
        <v>3633</v>
      </c>
      <c r="G9251" s="4415" t="s">
        <v>294</v>
      </c>
      <c r="H9251" s="4416"/>
      <c r="I9251" s="4166" t="s">
        <v>1565</v>
      </c>
      <c r="J9251" s="4230" t="s">
        <v>1575</v>
      </c>
      <c r="K9251" s="4415" t="s">
        <v>289</v>
      </c>
      <c r="L9251" s="4416"/>
      <c r="M9251" s="4385" t="s">
        <v>3349</v>
      </c>
      <c r="N9251" s="4385"/>
      <c r="O9251" s="4385"/>
      <c r="P9251" s="4409"/>
      <c r="Q9251" s="4244" t="s">
        <v>3972</v>
      </c>
      <c r="R9251" s="2339"/>
    </row>
    <row r="9252" spans="1:18" s="22" customFormat="1" ht="24.75" customHeight="1" thickBot="1">
      <c r="A9252" s="4377"/>
      <c r="B9252" s="4378"/>
      <c r="C9252" s="4378"/>
      <c r="D9252" s="4379"/>
      <c r="E9252" s="4381"/>
      <c r="F9252" s="4383"/>
      <c r="G9252" s="4417">
        <f>IF('Seleccion proyecto HEREVEA02'!G63="Ventana abatible+Aluminio RPT+vidrio control solar",'Seleccion proyecto HEREVEA02'!E63,0)</f>
        <v>0</v>
      </c>
      <c r="H9252" s="4418"/>
      <c r="I9252" s="4231">
        <f>IF('Seleccion proyecto HEREVEA02'!H63=0,0,IF('Seleccion proyecto HEREVEA02'!H63="1 a 30",0.3,IF('Seleccion proyecto HEREVEA02'!H63="31 a 60",0.6,IF('Seleccion proyecto HEREVEA02'!H63="61 a 100",1))))</f>
        <v>0</v>
      </c>
      <c r="J9252" s="4170">
        <f>'Seleccion proyecto HEREVEA02'!L8</f>
        <v>11100.968999999999</v>
      </c>
      <c r="K9252" s="4421">
        <f>G9252*I9252*J9252</f>
        <v>0</v>
      </c>
      <c r="L9252" s="4422"/>
      <c r="M9252" s="4423">
        <f>P9254+P9268+P9288+P9306+P9326</f>
        <v>416.468418367276</v>
      </c>
      <c r="N9252" s="4362"/>
      <c r="O9252" s="4362"/>
      <c r="P9252" s="4362"/>
      <c r="Q9252" s="4245">
        <f>M9252*K9252</f>
        <v>0</v>
      </c>
      <c r="R9252" s="2339"/>
    </row>
    <row r="9253" spans="1:18" s="22" customFormat="1">
      <c r="A9253" s="18" t="s">
        <v>3764</v>
      </c>
      <c r="B9253" s="4325" t="s">
        <v>3626</v>
      </c>
      <c r="C9253" s="3793"/>
      <c r="D9253" s="4327"/>
      <c r="E9253" s="4329" t="s">
        <v>1507</v>
      </c>
      <c r="F9253" s="4414" t="s">
        <v>3627</v>
      </c>
      <c r="G9253" s="4425" t="s">
        <v>1568</v>
      </c>
      <c r="H9253" s="4425" t="s">
        <v>1574</v>
      </c>
      <c r="I9253" s="1572" t="s">
        <v>1559</v>
      </c>
      <c r="J9253" s="1294" t="s">
        <v>1560</v>
      </c>
      <c r="K9253" s="1294" t="s">
        <v>1569</v>
      </c>
      <c r="L9253" s="4333" t="s">
        <v>3765</v>
      </c>
      <c r="M9253" s="4335" t="s">
        <v>1571</v>
      </c>
      <c r="N9253" s="4323" t="s">
        <v>1776</v>
      </c>
      <c r="O9253" s="3791" t="s">
        <v>1563</v>
      </c>
      <c r="P9253" s="1336" t="s">
        <v>1562</v>
      </c>
      <c r="Q9253" s="3389"/>
      <c r="R9253" s="1699" t="s">
        <v>1327</v>
      </c>
    </row>
    <row r="9254" spans="1:18" s="22" customFormat="1">
      <c r="A9254" s="1662" t="s">
        <v>3632</v>
      </c>
      <c r="B9254" s="4326"/>
      <c r="C9254" s="3794"/>
      <c r="D9254" s="4328"/>
      <c r="E9254" s="4330"/>
      <c r="F9254" s="4363"/>
      <c r="G9254" s="4332"/>
      <c r="H9254" s="4332"/>
      <c r="I9254" s="3814">
        <v>46.02</v>
      </c>
      <c r="J9254" s="3815">
        <v>2.1999999999999999E-2</v>
      </c>
      <c r="K9254" s="1297">
        <f>I9254*J9254</f>
        <v>1.01244</v>
      </c>
      <c r="L9254" s="4334"/>
      <c r="M9254" s="4335"/>
      <c r="N9254" s="4324"/>
      <c r="O9254" s="1298">
        <f>SUM(O9256:O9266)</f>
        <v>5.484</v>
      </c>
      <c r="P9254" s="1337">
        <f>O9254*K9254</f>
        <v>5.5522209599999996</v>
      </c>
      <c r="Q9254" s="3390"/>
      <c r="R9254" s="1721">
        <f>P9260</f>
        <v>5.5522209600000005</v>
      </c>
    </row>
    <row r="9255" spans="1:18" s="22" customFormat="1">
      <c r="A9255" s="1320"/>
      <c r="C9255" s="1327"/>
      <c r="D9255" s="1367"/>
      <c r="E9255" s="2121"/>
      <c r="F9255" s="1389" t="s">
        <v>1</v>
      </c>
      <c r="G9255" s="1389"/>
      <c r="H9255" s="1369"/>
      <c r="I9255" s="1409"/>
      <c r="J9255" s="1390"/>
      <c r="K9255" s="1391"/>
      <c r="L9255" s="1559"/>
      <c r="M9255" s="1369"/>
      <c r="N9255" s="1369"/>
      <c r="O9255" s="1369"/>
      <c r="P9255" s="1392"/>
      <c r="Q9255" s="3395"/>
      <c r="R9255" s="2339"/>
    </row>
    <row r="9256" spans="1:18" s="22" customFormat="1">
      <c r="A9256" s="1042"/>
      <c r="C9256" s="1042"/>
      <c r="D9256" s="1672"/>
      <c r="E9256" s="2160"/>
      <c r="F9256" s="1675"/>
      <c r="G9256" s="1675"/>
      <c r="H9256" s="1674"/>
      <c r="I9256" s="1299" t="str">
        <f t="shared" ref="I9256:I9258" ca="1" si="1251">IF(COUNT(H9256:O9256)=0,"",(SUM(H9256:O9256)/COUNT(H9256:O9256)))</f>
        <v/>
      </c>
      <c r="J9256" s="1300"/>
      <c r="K9256" s="1307"/>
      <c r="L9256" s="1335"/>
      <c r="M9256" s="1302"/>
      <c r="N9256" s="1700"/>
      <c r="O9256" s="1290"/>
      <c r="P9256" s="1332"/>
      <c r="Q9256" s="3391"/>
      <c r="R9256" s="2339"/>
    </row>
    <row r="9257" spans="1:18" s="22" customFormat="1">
      <c r="A9257" s="1042"/>
      <c r="C9257" s="1042"/>
      <c r="D9257" s="1367"/>
      <c r="E9257" s="2121"/>
      <c r="F9257" s="1436"/>
      <c r="G9257" s="1436"/>
      <c r="H9257" s="1369"/>
      <c r="I9257" s="1299" t="str">
        <f t="shared" ca="1" si="1251"/>
        <v/>
      </c>
      <c r="J9257" s="1300"/>
      <c r="K9257" s="1307"/>
      <c r="L9257" s="1335"/>
      <c r="M9257" s="1302"/>
      <c r="N9257" s="1700"/>
      <c r="O9257" s="1290"/>
      <c r="P9257" s="1332"/>
      <c r="Q9257" s="3391"/>
      <c r="R9257" s="2339"/>
    </row>
    <row r="9258" spans="1:18" s="22" customFormat="1">
      <c r="A9258" s="1042"/>
      <c r="C9258" s="1042"/>
      <c r="D9258" s="1367"/>
      <c r="E9258" s="2121"/>
      <c r="F9258" s="1436"/>
      <c r="G9258" s="1436"/>
      <c r="H9258" s="1369"/>
      <c r="I9258" s="1299" t="str">
        <f t="shared" ca="1" si="1251"/>
        <v/>
      </c>
      <c r="J9258" s="1300"/>
      <c r="K9258" s="1307"/>
      <c r="L9258" s="1335"/>
      <c r="M9258" s="1302"/>
      <c r="N9258" s="1700"/>
      <c r="O9258" s="1290"/>
      <c r="P9258" s="1332"/>
      <c r="Q9258" s="3391"/>
      <c r="R9258" s="2339"/>
    </row>
    <row r="9259" spans="1:18" s="22" customFormat="1">
      <c r="A9259" s="1042"/>
      <c r="C9259" s="1042"/>
      <c r="D9259" s="1359"/>
      <c r="E9259" s="1858"/>
      <c r="F9259" s="1360" t="s">
        <v>2</v>
      </c>
      <c r="G9259" s="1360"/>
      <c r="H9259" s="1362"/>
      <c r="I9259" s="1380"/>
      <c r="J9259" s="1381"/>
      <c r="K9259" s="1381"/>
      <c r="L9259" s="1458"/>
      <c r="M9259" s="1362"/>
      <c r="N9259" s="1362"/>
      <c r="O9259" s="1362"/>
      <c r="P9259" s="1359"/>
      <c r="Q9259" s="3387"/>
      <c r="R9259" s="2339"/>
    </row>
    <row r="9260" spans="1:18" s="22" customFormat="1">
      <c r="A9260" s="1321"/>
      <c r="B9260" s="1295"/>
      <c r="C9260" s="1321"/>
      <c r="D9260" s="1363" t="s">
        <v>1067</v>
      </c>
      <c r="E9260" s="2125" t="s">
        <v>1508</v>
      </c>
      <c r="F9260" s="1385" t="s">
        <v>1512</v>
      </c>
      <c r="G9260" s="2019">
        <v>0.3</v>
      </c>
      <c r="H9260" s="1386"/>
      <c r="I9260" s="1299"/>
      <c r="J9260" s="1300"/>
      <c r="K9260" s="1307">
        <f>G9260*K9254</f>
        <v>0.303732</v>
      </c>
      <c r="L9260" s="1335">
        <f>K9260*K9254</f>
        <v>0.30751042608000001</v>
      </c>
      <c r="M9260" s="1302">
        <v>18.28</v>
      </c>
      <c r="N9260" s="1700"/>
      <c r="O9260" s="1290">
        <f>G9260*M9260</f>
        <v>5.484</v>
      </c>
      <c r="P9260" s="1332">
        <f>M9260*K9260</f>
        <v>5.5522209600000005</v>
      </c>
      <c r="Q9260" s="3391"/>
      <c r="R9260" s="2339"/>
    </row>
    <row r="9261" spans="1:18" s="22" customFormat="1">
      <c r="A9261" s="1320"/>
      <c r="C9261" s="1320"/>
      <c r="D9261" s="1359"/>
      <c r="E9261" s="1858"/>
      <c r="F9261" s="1404"/>
      <c r="G9261" s="1404"/>
      <c r="H9261" s="1359"/>
      <c r="I9261" s="1299"/>
      <c r="J9261" s="1300"/>
      <c r="K9261" s="1307"/>
      <c r="L9261" s="1335"/>
      <c r="M9261" s="1302"/>
      <c r="N9261" s="1700"/>
      <c r="O9261" s="1290"/>
      <c r="P9261" s="1332"/>
      <c r="Q9261" s="3391"/>
      <c r="R9261" s="2339"/>
    </row>
    <row r="9262" spans="1:18" s="22" customFormat="1">
      <c r="A9262" s="1320"/>
      <c r="C9262" s="1320"/>
      <c r="D9262" s="1359"/>
      <c r="E9262" s="1858"/>
      <c r="F9262" s="1361"/>
      <c r="G9262" s="1361"/>
      <c r="H9262" s="1466"/>
      <c r="I9262" s="1299"/>
      <c r="J9262" s="1300"/>
      <c r="K9262" s="1307"/>
      <c r="L9262" s="1335"/>
      <c r="M9262" s="1302"/>
      <c r="N9262" s="1700"/>
      <c r="O9262" s="1290"/>
      <c r="P9262" s="1332"/>
      <c r="Q9262" s="3391"/>
      <c r="R9262" s="2339"/>
    </row>
    <row r="9263" spans="1:18" s="22" customFormat="1">
      <c r="A9263" s="1320"/>
      <c r="C9263" s="1320"/>
      <c r="D9263" s="1373"/>
      <c r="E9263" s="2123"/>
      <c r="F9263" s="1374" t="s">
        <v>3</v>
      </c>
      <c r="G9263" s="1375"/>
      <c r="H9263" s="1376"/>
      <c r="I9263" s="1382"/>
      <c r="J9263" s="1383"/>
      <c r="K9263" s="1383"/>
      <c r="L9263" s="1413"/>
      <c r="M9263" s="1376"/>
      <c r="N9263" s="1376"/>
      <c r="O9263" s="1376"/>
      <c r="P9263" s="1373"/>
      <c r="Q9263" s="3387"/>
      <c r="R9263" s="2339"/>
    </row>
    <row r="9264" spans="1:18" s="22" customFormat="1">
      <c r="A9264" s="1321"/>
      <c r="B9264" s="1295"/>
      <c r="C9264" s="1321"/>
      <c r="D9264" s="1377"/>
      <c r="E9264" s="2124"/>
      <c r="F9264" s="1378"/>
      <c r="G9264" s="1378"/>
      <c r="H9264" s="1379"/>
      <c r="I9264" s="1299"/>
      <c r="J9264" s="1300"/>
      <c r="K9264" s="1307"/>
      <c r="L9264" s="1335"/>
      <c r="M9264" s="1302"/>
      <c r="N9264" s="1700"/>
      <c r="O9264" s="1290"/>
      <c r="P9264" s="1332"/>
      <c r="Q9264" s="3391"/>
      <c r="R9264" s="2339"/>
    </row>
    <row r="9265" spans="1:20" s="22" customFormat="1">
      <c r="A9265" s="1321"/>
      <c r="B9265" s="1295"/>
      <c r="C9265" s="1321"/>
      <c r="D9265" s="1377"/>
      <c r="E9265" s="2124"/>
      <c r="F9265" s="1378"/>
      <c r="G9265" s="1378"/>
      <c r="H9265" s="1379"/>
      <c r="I9265" s="1299"/>
      <c r="J9265" s="1300"/>
      <c r="K9265" s="1307"/>
      <c r="L9265" s="1335"/>
      <c r="M9265" s="1302"/>
      <c r="N9265" s="1700"/>
      <c r="O9265" s="1290"/>
      <c r="P9265" s="1333"/>
      <c r="Q9265" s="3391"/>
      <c r="R9265" s="2339"/>
    </row>
    <row r="9266" spans="1:20" s="22" customFormat="1">
      <c r="A9266" s="1042"/>
      <c r="C9266" s="1042"/>
      <c r="D9266" s="1677"/>
      <c r="E9266" s="2161"/>
      <c r="F9266" s="1678"/>
      <c r="G9266" s="1678"/>
      <c r="H9266" s="1376"/>
      <c r="I9266" s="1299"/>
      <c r="J9266" s="1300"/>
      <c r="K9266" s="1307"/>
      <c r="L9266" s="1335"/>
      <c r="M9266" s="1302"/>
      <c r="N9266" s="1700"/>
      <c r="O9266" s="1290"/>
      <c r="P9266" s="1332"/>
      <c r="Q9266" s="3391"/>
      <c r="R9266" s="2339"/>
    </row>
    <row r="9267" spans="1:20" s="22" customFormat="1">
      <c r="A9267" s="18" t="s">
        <v>3764</v>
      </c>
      <c r="B9267" s="4325" t="s">
        <v>2058</v>
      </c>
      <c r="C9267" s="3793"/>
      <c r="D9267" s="4327"/>
      <c r="E9267" s="4329" t="s">
        <v>1507</v>
      </c>
      <c r="F9267" s="4336" t="s">
        <v>2059</v>
      </c>
      <c r="G9267" s="4331" t="s">
        <v>1568</v>
      </c>
      <c r="H9267" s="4331" t="s">
        <v>1574</v>
      </c>
      <c r="I9267" s="1572" t="s">
        <v>1559</v>
      </c>
      <c r="J9267" s="1294" t="s">
        <v>1560</v>
      </c>
      <c r="K9267" s="1294" t="s">
        <v>1569</v>
      </c>
      <c r="L9267" s="4333" t="s">
        <v>3765</v>
      </c>
      <c r="M9267" s="4335" t="s">
        <v>1571</v>
      </c>
      <c r="N9267" s="4323" t="s">
        <v>1776</v>
      </c>
      <c r="O9267" s="3791" t="s">
        <v>1563</v>
      </c>
      <c r="P9267" s="1336" t="s">
        <v>1562</v>
      </c>
      <c r="Q9267" s="3389"/>
      <c r="R9267" s="1699" t="s">
        <v>1327</v>
      </c>
    </row>
    <row r="9268" spans="1:20" s="22" customFormat="1">
      <c r="A9268" s="1662" t="s">
        <v>3632</v>
      </c>
      <c r="B9268" s="4326"/>
      <c r="C9268" s="3794"/>
      <c r="D9268" s="4328"/>
      <c r="E9268" s="4330"/>
      <c r="F9268" s="4336"/>
      <c r="G9268" s="4332"/>
      <c r="H9268" s="4332"/>
      <c r="I9268" s="3814">
        <v>46.02</v>
      </c>
      <c r="J9268" s="3815">
        <v>2.1999999999999999E-2</v>
      </c>
      <c r="K9268" s="1297">
        <f>I9268*J9268</f>
        <v>1.01244</v>
      </c>
      <c r="L9268" s="4334"/>
      <c r="M9268" s="4335"/>
      <c r="N9268" s="4324"/>
      <c r="O9268" s="1298">
        <f>O9270+O9271+O9279+O9280</f>
        <v>15.346632899999999</v>
      </c>
      <c r="P9268" s="1337">
        <f>O9268*K9268</f>
        <v>15.537545013275999</v>
      </c>
      <c r="Q9268" s="3390"/>
      <c r="R9268" s="1721">
        <f>P9270+P9271+P9279+P9280</f>
        <v>14.613478837523282</v>
      </c>
    </row>
    <row r="9269" spans="1:20" s="16" customFormat="1">
      <c r="A9269" s="1320"/>
      <c r="B9269" s="22"/>
      <c r="C9269" s="1327"/>
      <c r="D9269" s="1367"/>
      <c r="E9269" s="2121"/>
      <c r="F9269" s="1389" t="s">
        <v>1</v>
      </c>
      <c r="G9269" s="1389"/>
      <c r="H9269" s="1369"/>
      <c r="I9269" s="1409"/>
      <c r="J9269" s="1390"/>
      <c r="K9269" s="1391"/>
      <c r="L9269" s="1559"/>
      <c r="M9269" s="1369"/>
      <c r="N9269" s="1369"/>
      <c r="O9269" s="1369"/>
      <c r="P9269" s="1392"/>
      <c r="Q9269" s="3395"/>
      <c r="R9269" s="2339"/>
    </row>
    <row r="9270" spans="1:20">
      <c r="A9270" s="1042"/>
      <c r="B9270" s="22"/>
      <c r="C9270" s="1042"/>
      <c r="D9270" s="1598" t="s">
        <v>2060</v>
      </c>
      <c r="E9270" s="2154" t="s">
        <v>1357</v>
      </c>
      <c r="F9270" s="1598" t="s">
        <v>2061</v>
      </c>
      <c r="G9270" s="1612">
        <v>0.09</v>
      </c>
      <c r="H9270" s="1674"/>
      <c r="I9270" s="1299"/>
      <c r="J9270" s="1300"/>
      <c r="K9270" s="1307">
        <f>G9270*K9268</f>
        <v>9.1119599999999995E-2</v>
      </c>
      <c r="L9270" s="1335">
        <f>K9270*$K$9072</f>
        <v>0</v>
      </c>
      <c r="M9270" s="1302">
        <v>7.42</v>
      </c>
      <c r="N9270" s="1700"/>
      <c r="O9270" s="1290">
        <f>G9270*M9270</f>
        <v>0.66779999999999995</v>
      </c>
      <c r="P9270" s="1332">
        <f>M9270*K9270</f>
        <v>0.67610743200000001</v>
      </c>
      <c r="Q9270" s="3391"/>
      <c r="S9270" s="1570"/>
      <c r="T9270" s="1570"/>
    </row>
    <row r="9271" spans="1:20" s="16" customFormat="1">
      <c r="B9271" s="1042"/>
      <c r="C9271" s="1356" t="s">
        <v>1127</v>
      </c>
      <c r="D9271" s="1311"/>
      <c r="E9271" s="2137" t="s">
        <v>1517</v>
      </c>
      <c r="F9271" s="1319" t="s">
        <v>1519</v>
      </c>
      <c r="G9271" s="1353"/>
      <c r="H9271" s="1456">
        <v>0.03</v>
      </c>
      <c r="I9271" s="1444"/>
      <c r="J9271" s="1388"/>
      <c r="K9271" s="1445"/>
      <c r="L9271" s="1457"/>
      <c r="M9271" s="1447"/>
      <c r="N9271" s="1447">
        <f>SUM(N9272:N9275)</f>
        <v>50.044430000000006</v>
      </c>
      <c r="O9271" s="1447">
        <f>SUM(O9272:O9275)</f>
        <v>1.5013329000000002</v>
      </c>
      <c r="P9271" s="1446">
        <f>SUM(P9272:P9275)</f>
        <v>0.59594330552328001</v>
      </c>
      <c r="Q9271" s="3391"/>
      <c r="R9271" s="2337"/>
    </row>
    <row r="9272" spans="1:20" s="16" customFormat="1" ht="13.5" customHeight="1">
      <c r="B9272" s="1042"/>
      <c r="C9272" s="1327"/>
      <c r="D9272" s="1400" t="s">
        <v>1069</v>
      </c>
      <c r="E9272" s="1856" t="s">
        <v>1517</v>
      </c>
      <c r="F9272" s="1397" t="s">
        <v>1578</v>
      </c>
      <c r="G9272" s="1416">
        <v>0.26300000000000001</v>
      </c>
      <c r="H9272" s="1399">
        <f>G9272*$H$9091</f>
        <v>7.8899999999999994E-3</v>
      </c>
      <c r="I9272" s="197"/>
      <c r="J9272" s="198"/>
      <c r="K9272" s="1307">
        <f>H9272*K9268</f>
        <v>7.9881516E-3</v>
      </c>
      <c r="L9272" s="1335">
        <f t="shared" ref="L9272:L9275" si="1252">K9272*$K$9072</f>
        <v>0</v>
      </c>
      <c r="M9272" s="1302">
        <v>0.55000000000000004</v>
      </c>
      <c r="N9272" s="1718">
        <f>G9272*M9272</f>
        <v>0.14465000000000003</v>
      </c>
      <c r="O9272" s="1290">
        <f>H9272*M9272</f>
        <v>4.3395000000000005E-3</v>
      </c>
      <c r="P9272" s="1332">
        <f>M9272*K9272</f>
        <v>4.3934833800000003E-3</v>
      </c>
      <c r="Q9272" s="3391"/>
      <c r="R9272" s="2337"/>
    </row>
    <row r="9273" spans="1:20">
      <c r="A9273" s="16"/>
      <c r="B9273" s="1042"/>
      <c r="C9273" s="1320"/>
      <c r="D9273" s="1400" t="s">
        <v>1394</v>
      </c>
      <c r="E9273" s="1856" t="s">
        <v>1577</v>
      </c>
      <c r="F9273" s="1397" t="s">
        <v>1579</v>
      </c>
      <c r="G9273" s="1416">
        <v>0.25800000000000001</v>
      </c>
      <c r="H9273" s="1399">
        <f>G9273*$H$9091</f>
        <v>7.7400000000000004E-3</v>
      </c>
      <c r="I9273" s="197"/>
      <c r="J9273" s="198"/>
      <c r="K9273" s="1307">
        <f t="shared" ref="K9273:K9274" si="1253">H9273*K9269</f>
        <v>0</v>
      </c>
      <c r="L9273" s="1335">
        <f t="shared" si="1252"/>
        <v>0</v>
      </c>
      <c r="M9273" s="1302">
        <v>92.54</v>
      </c>
      <c r="N9273" s="1718">
        <f>G9273*M9273</f>
        <v>23.875320000000002</v>
      </c>
      <c r="O9273" s="1290">
        <f>H9273*M9273</f>
        <v>0.71625960000000011</v>
      </c>
      <c r="P9273" s="1332">
        <f>M9273*K9273</f>
        <v>0</v>
      </c>
      <c r="Q9273" s="3391"/>
      <c r="R9273" s="2337"/>
    </row>
    <row r="9274" spans="1:20">
      <c r="A9274" s="16"/>
      <c r="B9274" s="1042"/>
      <c r="C9274" s="1320"/>
      <c r="D9274" s="1400" t="s">
        <v>1576</v>
      </c>
      <c r="E9274" s="1856" t="s">
        <v>1517</v>
      </c>
      <c r="F9274" s="1397" t="s">
        <v>1580</v>
      </c>
      <c r="G9274" s="1416">
        <v>1.1020000000000001</v>
      </c>
      <c r="H9274" s="1399">
        <f>G9274*$H$9091</f>
        <v>3.3059999999999999E-2</v>
      </c>
      <c r="I9274" s="197"/>
      <c r="J9274" s="198"/>
      <c r="K9274" s="1307">
        <f t="shared" si="1253"/>
        <v>3.0124139759999998E-3</v>
      </c>
      <c r="L9274" s="1335">
        <f t="shared" si="1252"/>
        <v>0</v>
      </c>
      <c r="M9274" s="1302">
        <v>6.53</v>
      </c>
      <c r="N9274" s="1718">
        <f>G9274*M9274</f>
        <v>7.196060000000001</v>
      </c>
      <c r="O9274" s="1290">
        <f>H9274*M9274</f>
        <v>0.21588180000000001</v>
      </c>
      <c r="P9274" s="1332">
        <f>M9274*K9274</f>
        <v>1.9671063263280001E-2</v>
      </c>
      <c r="Q9274" s="3391"/>
      <c r="R9274" s="2337"/>
    </row>
    <row r="9275" spans="1:20">
      <c r="A9275" s="16"/>
      <c r="B9275" s="1042"/>
      <c r="C9275" s="1320"/>
      <c r="D9275" s="1404" t="s">
        <v>1067</v>
      </c>
      <c r="E9275" s="1857" t="s">
        <v>1508</v>
      </c>
      <c r="F9275" s="1406" t="s">
        <v>1512</v>
      </c>
      <c r="G9275" s="1407">
        <v>1.03</v>
      </c>
      <c r="H9275" s="1408">
        <f>G9275*$H$9091</f>
        <v>3.09E-2</v>
      </c>
      <c r="I9275" s="197"/>
      <c r="J9275" s="198"/>
      <c r="K9275" s="1307">
        <f>H9275*K9268</f>
        <v>3.1284395999999999E-2</v>
      </c>
      <c r="L9275" s="1335">
        <f t="shared" si="1252"/>
        <v>0</v>
      </c>
      <c r="M9275" s="1302">
        <v>18.28</v>
      </c>
      <c r="N9275" s="1718">
        <f>G9275*M9275</f>
        <v>18.828400000000002</v>
      </c>
      <c r="O9275" s="1290">
        <f>H9275*M9275</f>
        <v>0.56485200000000002</v>
      </c>
      <c r="P9275" s="1332">
        <f>M9275*K9275</f>
        <v>0.57187875888000006</v>
      </c>
      <c r="Q9275" s="3391"/>
      <c r="R9275" s="2337"/>
    </row>
    <row r="9276" spans="1:20">
      <c r="A9276" s="1042"/>
      <c r="B9276" s="22"/>
      <c r="C9276" s="1042"/>
      <c r="D9276" s="1672"/>
      <c r="E9276" s="2160"/>
      <c r="F9276" s="1675"/>
      <c r="G9276" s="1675"/>
      <c r="H9276" s="1674"/>
      <c r="I9276" s="1299" t="str">
        <f t="shared" ref="I9276:I9277" ca="1" si="1254">IF(COUNT(H9276:O9276)=0,"",(SUM(H9276:O9276)/COUNT(H9276:O9276)))</f>
        <v/>
      </c>
      <c r="J9276" s="1300"/>
      <c r="K9276" s="1307"/>
      <c r="L9276" s="1335"/>
      <c r="M9276" s="1302"/>
      <c r="N9276" s="1700"/>
      <c r="O9276" s="1290"/>
      <c r="P9276" s="1332"/>
      <c r="Q9276" s="3391"/>
    </row>
    <row r="9277" spans="1:20">
      <c r="A9277" s="1042"/>
      <c r="B9277" s="22"/>
      <c r="C9277" s="1042"/>
      <c r="D9277" s="1367"/>
      <c r="E9277" s="2121"/>
      <c r="F9277" s="1436"/>
      <c r="G9277" s="1436"/>
      <c r="H9277" s="1369"/>
      <c r="I9277" s="1299" t="str">
        <f t="shared" ca="1" si="1254"/>
        <v/>
      </c>
      <c r="J9277" s="1300"/>
      <c r="K9277" s="1307"/>
      <c r="L9277" s="1335"/>
      <c r="M9277" s="1302"/>
      <c r="N9277" s="1700"/>
      <c r="O9277" s="1290"/>
      <c r="P9277" s="1332"/>
      <c r="Q9277" s="3391"/>
    </row>
    <row r="9278" spans="1:20" s="22" customFormat="1">
      <c r="A9278" s="1042"/>
      <c r="C9278" s="1042"/>
      <c r="D9278" s="1359"/>
      <c r="E9278" s="1858"/>
      <c r="F9278" s="1360" t="s">
        <v>2</v>
      </c>
      <c r="G9278" s="1360"/>
      <c r="H9278" s="1362"/>
      <c r="I9278" s="1380"/>
      <c r="J9278" s="1381"/>
      <c r="K9278" s="1381"/>
      <c r="L9278" s="1458"/>
      <c r="M9278" s="1362"/>
      <c r="N9278" s="1362"/>
      <c r="O9278" s="1362"/>
      <c r="P9278" s="1359"/>
      <c r="Q9278" s="3387"/>
      <c r="R9278" s="2339"/>
    </row>
    <row r="9279" spans="1:20" s="22" customFormat="1">
      <c r="A9279" s="1321"/>
      <c r="B9279" s="1295"/>
      <c r="C9279" s="1321"/>
      <c r="D9279" s="1363" t="s">
        <v>2062</v>
      </c>
      <c r="E9279" s="2125" t="s">
        <v>1508</v>
      </c>
      <c r="F9279" s="1403" t="s">
        <v>37</v>
      </c>
      <c r="G9279" s="1408">
        <v>0.35</v>
      </c>
      <c r="H9279" s="2019"/>
      <c r="I9279" s="1299"/>
      <c r="J9279" s="1300"/>
      <c r="K9279" s="1307">
        <f>G9279*K9268</f>
        <v>0.354354</v>
      </c>
      <c r="L9279" s="1335">
        <f t="shared" ref="L9279:L9280" si="1255">K9279*$K$9072</f>
        <v>0</v>
      </c>
      <c r="M9279" s="1302">
        <v>19.23</v>
      </c>
      <c r="N9279" s="1700"/>
      <c r="O9279" s="1290">
        <f>G9279*M9279</f>
        <v>6.7305000000000001</v>
      </c>
      <c r="P9279" s="1332">
        <f>M9279*K9279</f>
        <v>6.8142274199999999</v>
      </c>
      <c r="Q9279" s="3391"/>
      <c r="R9279" s="2339"/>
    </row>
    <row r="9280" spans="1:20" s="22" customFormat="1">
      <c r="A9280" s="1320"/>
      <c r="C9280" s="1320"/>
      <c r="D9280" s="1655" t="s">
        <v>2063</v>
      </c>
      <c r="E9280" s="1859" t="s">
        <v>1508</v>
      </c>
      <c r="F9280" s="1655" t="s">
        <v>1966</v>
      </c>
      <c r="G9280" s="1809">
        <v>0.35</v>
      </c>
      <c r="H9280" s="1359"/>
      <c r="I9280" s="1299"/>
      <c r="J9280" s="1300"/>
      <c r="K9280" s="1307">
        <f>G9280*K9268</f>
        <v>0.354354</v>
      </c>
      <c r="L9280" s="1335">
        <f t="shared" si="1255"/>
        <v>0</v>
      </c>
      <c r="M9280" s="1302">
        <v>18.420000000000002</v>
      </c>
      <c r="N9280" s="1700"/>
      <c r="O9280" s="1290">
        <f>G9280*M9280</f>
        <v>6.4470000000000001</v>
      </c>
      <c r="P9280" s="1332">
        <f>M9280*K9280</f>
        <v>6.5272006800000009</v>
      </c>
      <c r="Q9280" s="3391"/>
      <c r="R9280" s="2339"/>
    </row>
    <row r="9281" spans="1:20">
      <c r="A9281" s="1320"/>
      <c r="B9281" s="22"/>
      <c r="C9281" s="1320"/>
      <c r="D9281" s="1359"/>
      <c r="E9281" s="1858"/>
      <c r="F9281" s="1404"/>
      <c r="G9281" s="1404"/>
      <c r="H9281" s="1359"/>
      <c r="I9281" s="1299"/>
      <c r="J9281" s="1300"/>
      <c r="K9281" s="1307"/>
      <c r="L9281" s="1335"/>
      <c r="M9281" s="1302"/>
      <c r="N9281" s="1700"/>
      <c r="O9281" s="1290"/>
      <c r="P9281" s="1332"/>
      <c r="Q9281" s="3391"/>
    </row>
    <row r="9282" spans="1:20">
      <c r="A9282" s="1320"/>
      <c r="B9282" s="22"/>
      <c r="C9282" s="1320"/>
      <c r="D9282" s="1359"/>
      <c r="E9282" s="1858"/>
      <c r="F9282" s="1361"/>
      <c r="G9282" s="1361"/>
      <c r="H9282" s="1466"/>
      <c r="I9282" s="1299"/>
      <c r="J9282" s="1300"/>
      <c r="K9282" s="1307"/>
      <c r="L9282" s="1335"/>
      <c r="M9282" s="1302"/>
      <c r="N9282" s="1700"/>
      <c r="O9282" s="1290"/>
      <c r="P9282" s="1332"/>
      <c r="Q9282" s="3391"/>
      <c r="T9282" s="2082">
        <v>42157</v>
      </c>
    </row>
    <row r="9283" spans="1:20">
      <c r="A9283" s="1320"/>
      <c r="B9283" s="22"/>
      <c r="C9283" s="1320"/>
      <c r="D9283" s="1373"/>
      <c r="E9283" s="2123"/>
      <c r="F9283" s="1374" t="s">
        <v>3</v>
      </c>
      <c r="G9283" s="1375"/>
      <c r="H9283" s="1376"/>
      <c r="I9283" s="1382"/>
      <c r="J9283" s="1383"/>
      <c r="K9283" s="1383"/>
      <c r="L9283" s="1413"/>
      <c r="M9283" s="1376"/>
      <c r="N9283" s="1376"/>
      <c r="O9283" s="1376"/>
      <c r="P9283" s="1373"/>
      <c r="Q9283" s="3387"/>
    </row>
    <row r="9284" spans="1:20">
      <c r="A9284" s="1321"/>
      <c r="B9284" s="1295"/>
      <c r="C9284" s="1321"/>
      <c r="D9284" s="1377"/>
      <c r="E9284" s="2124"/>
      <c r="F9284" s="1378"/>
      <c r="G9284" s="1378"/>
      <c r="H9284" s="1379"/>
      <c r="I9284" s="1299"/>
      <c r="J9284" s="1300"/>
      <c r="K9284" s="1307"/>
      <c r="L9284" s="1335"/>
      <c r="M9284" s="1302"/>
      <c r="N9284" s="1700"/>
      <c r="O9284" s="1290"/>
      <c r="P9284" s="1332"/>
      <c r="Q9284" s="3391"/>
    </row>
    <row r="9285" spans="1:20">
      <c r="A9285" s="1321"/>
      <c r="B9285" s="1295"/>
      <c r="C9285" s="1321"/>
      <c r="D9285" s="1377"/>
      <c r="E9285" s="2124"/>
      <c r="F9285" s="1378"/>
      <c r="G9285" s="1378"/>
      <c r="H9285" s="1379"/>
      <c r="I9285" s="1299"/>
      <c r="J9285" s="1300"/>
      <c r="K9285" s="1307"/>
      <c r="L9285" s="1335"/>
      <c r="M9285" s="1302"/>
      <c r="N9285" s="1700"/>
      <c r="O9285" s="1290"/>
      <c r="P9285" s="1333"/>
      <c r="Q9285" s="3391"/>
    </row>
    <row r="9286" spans="1:20">
      <c r="A9286" s="1042"/>
      <c r="B9286" s="22"/>
      <c r="C9286" s="1042"/>
      <c r="D9286" s="1677"/>
      <c r="E9286" s="2161"/>
      <c r="F9286" s="1678"/>
      <c r="G9286" s="1678"/>
      <c r="H9286" s="1376"/>
      <c r="I9286" s="1299"/>
      <c r="J9286" s="1300"/>
      <c r="K9286" s="1307"/>
      <c r="L9286" s="1335"/>
      <c r="M9286" s="1302"/>
      <c r="N9286" s="1700"/>
      <c r="O9286" s="1290"/>
      <c r="P9286" s="1332"/>
      <c r="Q9286" s="3391"/>
    </row>
    <row r="9287" spans="1:20">
      <c r="A9287" s="18" t="s">
        <v>3764</v>
      </c>
      <c r="B9287" s="4325" t="s">
        <v>2064</v>
      </c>
      <c r="C9287" s="3793"/>
      <c r="D9287" s="4327"/>
      <c r="E9287" s="4329" t="s">
        <v>1507</v>
      </c>
      <c r="F9287" s="4336" t="s">
        <v>2065</v>
      </c>
      <c r="G9287" s="4331" t="s">
        <v>1568</v>
      </c>
      <c r="H9287" s="4331" t="s">
        <v>1574</v>
      </c>
      <c r="I9287" s="1572" t="s">
        <v>1559</v>
      </c>
      <c r="J9287" s="1294" t="s">
        <v>1560</v>
      </c>
      <c r="K9287" s="1294" t="s">
        <v>1569</v>
      </c>
      <c r="L9287" s="4333" t="s">
        <v>3765</v>
      </c>
      <c r="M9287" s="4335" t="s">
        <v>1571</v>
      </c>
      <c r="N9287" s="4323" t="s">
        <v>1776</v>
      </c>
      <c r="O9287" s="3791" t="s">
        <v>1563</v>
      </c>
      <c r="P9287" s="1336" t="s">
        <v>1562</v>
      </c>
      <c r="Q9287" s="3389"/>
      <c r="R9287" s="1699" t="s">
        <v>1327</v>
      </c>
    </row>
    <row r="9288" spans="1:20">
      <c r="A9288" s="1662" t="s">
        <v>3632</v>
      </c>
      <c r="B9288" s="4326"/>
      <c r="C9288" s="3794"/>
      <c r="D9288" s="4328"/>
      <c r="E9288" s="4330"/>
      <c r="F9288" s="4336"/>
      <c r="G9288" s="4332"/>
      <c r="H9288" s="4332"/>
      <c r="I9288" s="3814">
        <v>46.02</v>
      </c>
      <c r="J9288" s="3815">
        <v>2.1999999999999999E-2</v>
      </c>
      <c r="K9288" s="1297">
        <f>I9288*J9288</f>
        <v>1.01244</v>
      </c>
      <c r="L9288" s="4334"/>
      <c r="M9288" s="4335"/>
      <c r="N9288" s="4324"/>
      <c r="O9288" s="1298">
        <f>SUM(O9290:O9304)</f>
        <v>249.77210000000002</v>
      </c>
      <c r="P9288" s="1337">
        <f>O9288*K9288</f>
        <v>252.87926492400001</v>
      </c>
      <c r="Q9288" s="3390"/>
      <c r="R9288" s="1721">
        <f>SUM(P9290:P9304)</f>
        <v>252.87926492399998</v>
      </c>
    </row>
    <row r="9289" spans="1:20">
      <c r="A9289" s="1320"/>
      <c r="B9289" s="22"/>
      <c r="C9289" s="1327"/>
      <c r="D9289" s="1367"/>
      <c r="E9289" s="2121"/>
      <c r="F9289" s="1389" t="s">
        <v>1</v>
      </c>
      <c r="G9289" s="1389"/>
      <c r="H9289" s="1369"/>
      <c r="I9289" s="1409"/>
      <c r="J9289" s="1390"/>
      <c r="K9289" s="1391"/>
      <c r="L9289" s="1559"/>
      <c r="M9289" s="1369"/>
      <c r="N9289" s="1369"/>
      <c r="O9289" s="1369"/>
      <c r="P9289" s="1392"/>
      <c r="Q9289" s="3395"/>
    </row>
    <row r="9290" spans="1:20">
      <c r="A9290" s="1042"/>
      <c r="B9290" s="22"/>
      <c r="C9290" s="1042"/>
      <c r="D9290" s="1598" t="s">
        <v>2066</v>
      </c>
      <c r="E9290" s="2154" t="s">
        <v>1507</v>
      </c>
      <c r="F9290" s="1598" t="s">
        <v>2067</v>
      </c>
      <c r="G9290" s="1612">
        <v>1</v>
      </c>
      <c r="H9290" s="1674"/>
      <c r="I9290" s="1299"/>
      <c r="J9290" s="1300"/>
      <c r="K9290" s="1307">
        <f>G9290*K9288</f>
        <v>1.01244</v>
      </c>
      <c r="L9290" s="1335">
        <f t="shared" ref="L9290:L9293" si="1256">K9290*$K$9072</f>
        <v>0</v>
      </c>
      <c r="M9290" s="1302">
        <v>230</v>
      </c>
      <c r="N9290" s="1700"/>
      <c r="O9290" s="1290">
        <f>G9290*M9290</f>
        <v>230</v>
      </c>
      <c r="P9290" s="1332">
        <f>M9290*K9290</f>
        <v>232.8612</v>
      </c>
      <c r="Q9290" s="3391"/>
    </row>
    <row r="9291" spans="1:20">
      <c r="A9291" s="16"/>
      <c r="B9291" s="553"/>
      <c r="C9291" s="1042"/>
      <c r="D9291" s="1610" t="s">
        <v>1177</v>
      </c>
      <c r="E9291" s="2154" t="s">
        <v>1527</v>
      </c>
      <c r="F9291" s="1598" t="s">
        <v>2068</v>
      </c>
      <c r="G9291" s="1612">
        <v>3</v>
      </c>
      <c r="H9291" s="1674"/>
      <c r="I9291" s="1299"/>
      <c r="J9291" s="1300"/>
      <c r="K9291" s="1307">
        <f>G9291*K9288</f>
        <v>3.0373200000000002</v>
      </c>
      <c r="L9291" s="1335">
        <f t="shared" si="1256"/>
        <v>0</v>
      </c>
      <c r="M9291" s="1302">
        <v>3.11</v>
      </c>
      <c r="N9291" s="1700"/>
      <c r="O9291" s="1290">
        <f>G9291*M9291</f>
        <v>9.33</v>
      </c>
      <c r="P9291" s="1332">
        <f>M9291*K9291</f>
        <v>9.4460651999999996</v>
      </c>
      <c r="Q9291" s="3391"/>
      <c r="R9291" s="2337"/>
    </row>
    <row r="9292" spans="1:20">
      <c r="A9292" s="16"/>
      <c r="B9292" s="1042"/>
      <c r="C9292" s="1320"/>
      <c r="D9292" s="1598" t="s">
        <v>1175</v>
      </c>
      <c r="E9292" s="2154" t="s">
        <v>1527</v>
      </c>
      <c r="F9292" s="1598" t="s">
        <v>1914</v>
      </c>
      <c r="G9292" s="1612">
        <v>3</v>
      </c>
      <c r="H9292" s="1399"/>
      <c r="I9292" s="197"/>
      <c r="J9292" s="198"/>
      <c r="K9292" s="1307">
        <f>G9292*K9288</f>
        <v>3.0373200000000002</v>
      </c>
      <c r="L9292" s="1335">
        <f t="shared" si="1256"/>
        <v>0</v>
      </c>
      <c r="M9292" s="1302">
        <v>1.3</v>
      </c>
      <c r="N9292" s="1718"/>
      <c r="O9292" s="1290">
        <f>G9292*M9292</f>
        <v>3.9000000000000004</v>
      </c>
      <c r="P9292" s="1332">
        <f>M9292*K9292</f>
        <v>3.9485160000000006</v>
      </c>
      <c r="Q9292" s="3391"/>
      <c r="R9292" s="2337"/>
    </row>
    <row r="9293" spans="1:20">
      <c r="A9293" s="16"/>
      <c r="B9293" s="1042"/>
      <c r="C9293" s="1320"/>
      <c r="D9293" s="1598" t="s">
        <v>1097</v>
      </c>
      <c r="E9293" s="2154" t="s">
        <v>1504</v>
      </c>
      <c r="F9293" s="1598" t="s">
        <v>1632</v>
      </c>
      <c r="G9293" s="1612">
        <v>1</v>
      </c>
      <c r="H9293" s="1399"/>
      <c r="I9293" s="197"/>
      <c r="J9293" s="198"/>
      <c r="K9293" s="1307">
        <f>G9293*K9288</f>
        <v>1.01244</v>
      </c>
      <c r="L9293" s="1335">
        <f t="shared" si="1256"/>
        <v>0</v>
      </c>
      <c r="M9293" s="1302">
        <v>0.55000000000000004</v>
      </c>
      <c r="N9293" s="1718"/>
      <c r="O9293" s="1290">
        <f>G9293*M9293</f>
        <v>0.55000000000000004</v>
      </c>
      <c r="P9293" s="1332">
        <f>M9293*K9293</f>
        <v>0.55684200000000006</v>
      </c>
      <c r="Q9293" s="3391"/>
      <c r="R9293" s="2337"/>
    </row>
    <row r="9294" spans="1:20">
      <c r="A9294" s="1042"/>
      <c r="B9294" s="22"/>
      <c r="C9294" s="1042"/>
      <c r="D9294" s="1367"/>
      <c r="E9294" s="2121"/>
      <c r="F9294" s="1436"/>
      <c r="G9294" s="1436"/>
      <c r="H9294" s="1369"/>
      <c r="I9294" s="1299" t="str">
        <f t="shared" ref="I9294:I9295" ca="1" si="1257">IF(COUNT(H9294:O9294)=0,"",(SUM(H9294:O9294)/COUNT(H9294:O9294)))</f>
        <v/>
      </c>
      <c r="J9294" s="1300"/>
      <c r="K9294" s="1307"/>
      <c r="L9294" s="1335"/>
      <c r="M9294" s="1302"/>
      <c r="N9294" s="1700"/>
      <c r="O9294" s="1290"/>
      <c r="P9294" s="1332"/>
      <c r="Q9294" s="3391"/>
    </row>
    <row r="9295" spans="1:20">
      <c r="A9295" s="1042"/>
      <c r="B9295" s="22"/>
      <c r="C9295" s="1042"/>
      <c r="D9295" s="1367"/>
      <c r="E9295" s="2121"/>
      <c r="F9295" s="1436"/>
      <c r="G9295" s="1436"/>
      <c r="H9295" s="1369"/>
      <c r="I9295" s="1299" t="str">
        <f t="shared" ca="1" si="1257"/>
        <v/>
      </c>
      <c r="J9295" s="1300"/>
      <c r="K9295" s="1307"/>
      <c r="L9295" s="1335"/>
      <c r="M9295" s="1302"/>
      <c r="N9295" s="1700"/>
      <c r="O9295" s="1290"/>
      <c r="P9295" s="1332"/>
      <c r="Q9295" s="3391"/>
    </row>
    <row r="9296" spans="1:20">
      <c r="A9296" s="1042"/>
      <c r="B9296" s="22"/>
      <c r="C9296" s="1042"/>
      <c r="D9296" s="1359"/>
      <c r="E9296" s="1858"/>
      <c r="F9296" s="1360" t="s">
        <v>2</v>
      </c>
      <c r="G9296" s="1360"/>
      <c r="H9296" s="1362"/>
      <c r="I9296" s="1380"/>
      <c r="J9296" s="1381"/>
      <c r="K9296" s="1381"/>
      <c r="L9296" s="1458"/>
      <c r="M9296" s="1362"/>
      <c r="N9296" s="1362"/>
      <c r="O9296" s="1362"/>
      <c r="P9296" s="1359"/>
      <c r="Q9296" s="3387"/>
    </row>
    <row r="9297" spans="1:22">
      <c r="A9297" s="1321"/>
      <c r="B9297" s="1295"/>
      <c r="C9297" s="1321"/>
      <c r="D9297" s="1363" t="s">
        <v>1067</v>
      </c>
      <c r="E9297" s="2125" t="s">
        <v>1508</v>
      </c>
      <c r="F9297" s="1385" t="s">
        <v>1512</v>
      </c>
      <c r="G9297" s="2019">
        <v>0.17</v>
      </c>
      <c r="H9297" s="1386"/>
      <c r="I9297" s="1299"/>
      <c r="J9297" s="1300"/>
      <c r="K9297" s="1307">
        <f>G9297*K9288</f>
        <v>0.17211480000000001</v>
      </c>
      <c r="L9297" s="1335">
        <f t="shared" ref="L9297:L9298" si="1258">K9297*$K$9072</f>
        <v>0</v>
      </c>
      <c r="M9297" s="1302">
        <v>18.28</v>
      </c>
      <c r="N9297" s="1700"/>
      <c r="O9297" s="1290">
        <f>G9297*M9297</f>
        <v>3.1076000000000006</v>
      </c>
      <c r="P9297" s="1332">
        <f>M9297*K9297</f>
        <v>3.1462585440000006</v>
      </c>
      <c r="Q9297" s="3391"/>
    </row>
    <row r="9298" spans="1:22">
      <c r="A9298" s="1320"/>
      <c r="B9298" s="22"/>
      <c r="C9298" s="1320"/>
      <c r="D9298" s="1655" t="s">
        <v>1111</v>
      </c>
      <c r="E9298" s="1859" t="s">
        <v>1508</v>
      </c>
      <c r="F9298" s="1655" t="s">
        <v>2069</v>
      </c>
      <c r="G9298" s="1809">
        <v>0.15</v>
      </c>
      <c r="H9298" s="1359"/>
      <c r="I9298" s="1299"/>
      <c r="J9298" s="1300"/>
      <c r="K9298" s="1307">
        <f>G9298*K9288</f>
        <v>0.151866</v>
      </c>
      <c r="L9298" s="1335">
        <f t="shared" si="1258"/>
        <v>0</v>
      </c>
      <c r="M9298" s="1302">
        <v>19.23</v>
      </c>
      <c r="N9298" s="1700"/>
      <c r="O9298" s="1290">
        <f>G9298*M9298</f>
        <v>2.8845000000000001</v>
      </c>
      <c r="P9298" s="1332">
        <f>M9298*K9298</f>
        <v>2.92038318</v>
      </c>
      <c r="Q9298" s="3391"/>
    </row>
    <row r="9299" spans="1:22">
      <c r="A9299" s="1320"/>
      <c r="B9299" s="22"/>
      <c r="C9299" s="1320"/>
      <c r="D9299" s="1359"/>
      <c r="E9299" s="1858"/>
      <c r="F9299" s="1404"/>
      <c r="G9299" s="1404"/>
      <c r="H9299" s="1359"/>
      <c r="I9299" s="1299"/>
      <c r="J9299" s="1300"/>
      <c r="K9299" s="1307"/>
      <c r="L9299" s="1335"/>
      <c r="M9299" s="1302"/>
      <c r="N9299" s="1700"/>
      <c r="O9299" s="1290"/>
      <c r="P9299" s="1332"/>
      <c r="Q9299" s="3391"/>
    </row>
    <row r="9300" spans="1:22">
      <c r="A9300" s="1320"/>
      <c r="B9300" s="22"/>
      <c r="C9300" s="1320"/>
      <c r="D9300" s="1359"/>
      <c r="E9300" s="1858"/>
      <c r="F9300" s="1361"/>
      <c r="G9300" s="1361"/>
      <c r="H9300" s="1466"/>
      <c r="I9300" s="1299"/>
      <c r="J9300" s="1300"/>
      <c r="K9300" s="1307"/>
      <c r="L9300" s="1335"/>
      <c r="M9300" s="1302"/>
      <c r="N9300" s="1700"/>
      <c r="O9300" s="1290"/>
      <c r="P9300" s="1332"/>
      <c r="Q9300" s="3391"/>
    </row>
    <row r="9301" spans="1:22">
      <c r="A9301" s="1320"/>
      <c r="B9301" s="22"/>
      <c r="C9301" s="1320"/>
      <c r="D9301" s="1373"/>
      <c r="E9301" s="2123"/>
      <c r="F9301" s="1374" t="s">
        <v>3</v>
      </c>
      <c r="G9301" s="1375"/>
      <c r="H9301" s="1376"/>
      <c r="I9301" s="1382"/>
      <c r="J9301" s="1383"/>
      <c r="K9301" s="1383"/>
      <c r="L9301" s="1413"/>
      <c r="M9301" s="1376"/>
      <c r="N9301" s="1376"/>
      <c r="O9301" s="1376"/>
      <c r="P9301" s="1373"/>
      <c r="Q9301" s="3387"/>
    </row>
    <row r="9302" spans="1:22">
      <c r="A9302" s="1321"/>
      <c r="B9302" s="1295"/>
      <c r="C9302" s="1321"/>
      <c r="D9302" s="1377"/>
      <c r="E9302" s="2124"/>
      <c r="F9302" s="1378"/>
      <c r="G9302" s="1378"/>
      <c r="H9302" s="1379"/>
      <c r="I9302" s="1299"/>
      <c r="J9302" s="1300"/>
      <c r="K9302" s="1307"/>
      <c r="L9302" s="1335"/>
      <c r="M9302" s="1302"/>
      <c r="N9302" s="1700"/>
      <c r="O9302" s="1290"/>
      <c r="P9302" s="1332"/>
      <c r="Q9302" s="3391"/>
    </row>
    <row r="9303" spans="1:22">
      <c r="A9303" s="1321"/>
      <c r="B9303" s="1295"/>
      <c r="C9303" s="1321"/>
      <c r="D9303" s="1377"/>
      <c r="E9303" s="2124"/>
      <c r="F9303" s="1378"/>
      <c r="G9303" s="1378"/>
      <c r="H9303" s="1379"/>
      <c r="I9303" s="1299"/>
      <c r="J9303" s="1300"/>
      <c r="K9303" s="1307"/>
      <c r="L9303" s="1335"/>
      <c r="M9303" s="1302"/>
      <c r="N9303" s="1700"/>
      <c r="O9303" s="1290"/>
      <c r="P9303" s="1333"/>
      <c r="Q9303" s="3391"/>
    </row>
    <row r="9304" spans="1:22">
      <c r="A9304" s="1042"/>
      <c r="B9304" s="22"/>
      <c r="C9304" s="1042"/>
      <c r="D9304" s="1677"/>
      <c r="E9304" s="2161"/>
      <c r="F9304" s="1678"/>
      <c r="G9304" s="1678"/>
      <c r="H9304" s="1376"/>
      <c r="I9304" s="1299"/>
      <c r="J9304" s="1300"/>
      <c r="K9304" s="1307"/>
      <c r="L9304" s="1335"/>
      <c r="M9304" s="1302"/>
      <c r="N9304" s="1700"/>
      <c r="O9304" s="1290"/>
      <c r="P9304" s="1332"/>
      <c r="Q9304" s="3391"/>
    </row>
    <row r="9305" spans="1:22">
      <c r="A9305" s="18" t="s">
        <v>3764</v>
      </c>
      <c r="B9305" s="4325" t="s">
        <v>2070</v>
      </c>
      <c r="C9305" s="3792"/>
      <c r="D9305" s="4327"/>
      <c r="E9305" s="4329" t="s">
        <v>1507</v>
      </c>
      <c r="F9305" s="4372" t="s">
        <v>2071</v>
      </c>
      <c r="G9305" s="4331" t="s">
        <v>1568</v>
      </c>
      <c r="H9305" s="4331" t="s">
        <v>1574</v>
      </c>
      <c r="I9305" s="1572" t="s">
        <v>1559</v>
      </c>
      <c r="J9305" s="1294" t="s">
        <v>1560</v>
      </c>
      <c r="K9305" s="1294" t="s">
        <v>1569</v>
      </c>
      <c r="L9305" s="4333" t="s">
        <v>3765</v>
      </c>
      <c r="M9305" s="4335" t="s">
        <v>1571</v>
      </c>
      <c r="N9305" s="4323" t="s">
        <v>1776</v>
      </c>
      <c r="O9305" s="3791" t="s">
        <v>1563</v>
      </c>
      <c r="P9305" s="1336" t="s">
        <v>1562</v>
      </c>
      <c r="Q9305" s="3389"/>
      <c r="R9305" s="1699" t="s">
        <v>1327</v>
      </c>
    </row>
    <row r="9306" spans="1:22">
      <c r="A9306" s="1662" t="s">
        <v>3632</v>
      </c>
      <c r="B9306" s="4326"/>
      <c r="C9306" s="3794"/>
      <c r="D9306" s="4328"/>
      <c r="E9306" s="4330"/>
      <c r="F9306" s="4363"/>
      <c r="G9306" s="4332"/>
      <c r="H9306" s="4332"/>
      <c r="I9306" s="3814">
        <v>42.12</v>
      </c>
      <c r="J9306" s="3815">
        <v>2.1999999999999999E-2</v>
      </c>
      <c r="K9306" s="1297">
        <f>I9306*J9306</f>
        <v>0.92663999999999991</v>
      </c>
      <c r="L9306" s="4334"/>
      <c r="M9306" s="4335"/>
      <c r="N9306" s="4324"/>
      <c r="O9306" s="1298">
        <f>O9308+O9309+O9310+O9311+O9312+O9316+O9317</f>
        <v>94.681000000000012</v>
      </c>
      <c r="P9306" s="1337">
        <f>O9306*K9306</f>
        <v>87.735201840000002</v>
      </c>
      <c r="Q9306" s="3390"/>
      <c r="R9306" s="1721">
        <f>P9308+P9309+P9310+P9311+P9312+P9316+P9317</f>
        <v>87.735201839999988</v>
      </c>
      <c r="S9306" s="16"/>
      <c r="T9306" s="16"/>
      <c r="U9306" s="16"/>
      <c r="V9306" s="16"/>
    </row>
    <row r="9307" spans="1:22">
      <c r="A9307" s="1320"/>
      <c r="B9307" s="22"/>
      <c r="C9307" s="1327"/>
      <c r="D9307" s="1367"/>
      <c r="E9307" s="2121"/>
      <c r="F9307" s="1389" t="s">
        <v>1</v>
      </c>
      <c r="G9307" s="1389"/>
      <c r="H9307" s="1369"/>
      <c r="I9307" s="1409"/>
      <c r="J9307" s="1390"/>
      <c r="K9307" s="1391"/>
      <c r="L9307" s="1559"/>
      <c r="M9307" s="1369"/>
      <c r="N9307" s="1369"/>
      <c r="O9307" s="1369"/>
      <c r="P9307" s="1392"/>
      <c r="Q9307" s="3395"/>
      <c r="S9307" s="16"/>
      <c r="T9307" s="16"/>
      <c r="U9307" s="16"/>
      <c r="V9307" s="16"/>
    </row>
    <row r="9308" spans="1:22">
      <c r="A9308" s="1042"/>
      <c r="B9308" s="22"/>
      <c r="C9308" s="1042"/>
      <c r="D9308" s="1598" t="s">
        <v>2072</v>
      </c>
      <c r="E9308" s="2154" t="s">
        <v>1527</v>
      </c>
      <c r="F9308" s="1598" t="s">
        <v>2073</v>
      </c>
      <c r="G9308" s="1612">
        <v>1.35</v>
      </c>
      <c r="H9308" s="1674"/>
      <c r="I9308" s="1299"/>
      <c r="J9308" s="1300"/>
      <c r="K9308" s="1307">
        <f>G9308*K9306</f>
        <v>1.250964</v>
      </c>
      <c r="L9308" s="1335">
        <f t="shared" ref="L9308:L9312" si="1259">K9308*$K$9072</f>
        <v>0</v>
      </c>
      <c r="M9308" s="1302">
        <v>5.47</v>
      </c>
      <c r="N9308" s="1700"/>
      <c r="O9308" s="1290">
        <f>G9308*M9308</f>
        <v>7.3845000000000001</v>
      </c>
      <c r="P9308" s="1332">
        <f>M9308*K9308</f>
        <v>6.8427730799999997</v>
      </c>
      <c r="Q9308" s="3391"/>
      <c r="S9308" s="16"/>
      <c r="T9308" s="16"/>
      <c r="U9308" s="16"/>
      <c r="V9308" s="16"/>
    </row>
    <row r="9309" spans="1:22">
      <c r="A9309" s="16"/>
      <c r="B9309" s="553"/>
      <c r="C9309" s="1042"/>
      <c r="D9309" s="1610" t="s">
        <v>2074</v>
      </c>
      <c r="E9309" s="2154" t="s">
        <v>1507</v>
      </c>
      <c r="F9309" s="1598" t="s">
        <v>2075</v>
      </c>
      <c r="G9309" s="1612">
        <v>1.1599999999999999</v>
      </c>
      <c r="H9309" s="1674"/>
      <c r="I9309" s="1299"/>
      <c r="J9309" s="1300"/>
      <c r="K9309" s="1307">
        <f>G9309*K9306</f>
        <v>1.0749023999999998</v>
      </c>
      <c r="L9309" s="1335">
        <f t="shared" si="1259"/>
        <v>0</v>
      </c>
      <c r="M9309" s="1302">
        <v>39.58</v>
      </c>
      <c r="N9309" s="1700"/>
      <c r="O9309" s="1290">
        <f>G9309*M9309</f>
        <v>45.912799999999997</v>
      </c>
      <c r="P9309" s="1332">
        <f>M9309*K9309</f>
        <v>42.544636991999994</v>
      </c>
      <c r="Q9309" s="3391"/>
      <c r="R9309" s="2337"/>
      <c r="S9309" s="16"/>
      <c r="T9309" s="16"/>
      <c r="U9309" s="16"/>
      <c r="V9309" s="16"/>
    </row>
    <row r="9310" spans="1:22">
      <c r="A9310" s="16"/>
      <c r="B9310" s="1042"/>
      <c r="C9310" s="1320"/>
      <c r="D9310" s="1598" t="s">
        <v>2076</v>
      </c>
      <c r="E9310" s="2154" t="s">
        <v>1504</v>
      </c>
      <c r="F9310" s="1598" t="s">
        <v>2077</v>
      </c>
      <c r="G9310" s="1612">
        <v>0.56000000000000005</v>
      </c>
      <c r="H9310" s="1399"/>
      <c r="I9310" s="197"/>
      <c r="J9310" s="198"/>
      <c r="K9310" s="1307">
        <f>G9310*K9306</f>
        <v>0.5189184</v>
      </c>
      <c r="L9310" s="1335">
        <f t="shared" si="1259"/>
        <v>0</v>
      </c>
      <c r="M9310" s="1302">
        <v>31.07</v>
      </c>
      <c r="N9310" s="1718"/>
      <c r="O9310" s="1290">
        <f>G9310*M9310</f>
        <v>17.3992</v>
      </c>
      <c r="P9310" s="1332">
        <f>M9310*K9310</f>
        <v>16.122794687999999</v>
      </c>
      <c r="Q9310" s="3391"/>
      <c r="R9310" s="2337"/>
      <c r="S9310" s="16"/>
      <c r="T9310" s="16"/>
      <c r="U9310" s="16"/>
      <c r="V9310" s="16"/>
    </row>
    <row r="9311" spans="1:22">
      <c r="A9311" s="16"/>
      <c r="B9311" s="1042"/>
      <c r="C9311" s="1320"/>
      <c r="D9311" s="1598" t="s">
        <v>1097</v>
      </c>
      <c r="E9311" s="2154" t="s">
        <v>1504</v>
      </c>
      <c r="F9311" s="1598" t="s">
        <v>1632</v>
      </c>
      <c r="G9311" s="1612">
        <v>3</v>
      </c>
      <c r="H9311" s="1399"/>
      <c r="I9311" s="197"/>
      <c r="J9311" s="198"/>
      <c r="K9311" s="1307">
        <f>G9311*K9306</f>
        <v>2.7799199999999997</v>
      </c>
      <c r="L9311" s="1335">
        <f t="shared" si="1259"/>
        <v>0</v>
      </c>
      <c r="M9311" s="1302">
        <v>0.55000000000000004</v>
      </c>
      <c r="N9311" s="1718"/>
      <c r="O9311" s="1290">
        <f>G9311*M9311</f>
        <v>1.6500000000000001</v>
      </c>
      <c r="P9311" s="1332">
        <f>M9311*K9311</f>
        <v>1.528956</v>
      </c>
      <c r="Q9311" s="3391"/>
      <c r="R9311" s="2337"/>
    </row>
    <row r="9312" spans="1:22">
      <c r="A9312" s="16"/>
      <c r="B9312" s="1042"/>
      <c r="C9312" s="1320"/>
      <c r="D9312" s="1598" t="s">
        <v>1082</v>
      </c>
      <c r="E9312" s="2154" t="s">
        <v>1504</v>
      </c>
      <c r="F9312" s="1598" t="s">
        <v>1541</v>
      </c>
      <c r="G9312" s="1612">
        <v>2</v>
      </c>
      <c r="H9312" s="1399"/>
      <c r="I9312" s="197"/>
      <c r="J9312" s="198"/>
      <c r="K9312" s="1307">
        <f>G9312*K9306</f>
        <v>1.8532799999999998</v>
      </c>
      <c r="L9312" s="1335">
        <f t="shared" si="1259"/>
        <v>0</v>
      </c>
      <c r="M9312" s="1302">
        <v>0.3</v>
      </c>
      <c r="N9312" s="1718"/>
      <c r="O9312" s="1290">
        <f>G9312*M9312</f>
        <v>0.6</v>
      </c>
      <c r="P9312" s="1332">
        <f>M9312*K9312</f>
        <v>0.55598399999999992</v>
      </c>
      <c r="Q9312" s="3391"/>
      <c r="R9312" s="2337"/>
    </row>
    <row r="9313" spans="1:18">
      <c r="A9313" s="16"/>
      <c r="B9313" s="1042"/>
      <c r="C9313" s="1320"/>
      <c r="D9313" s="1400"/>
      <c r="E9313" s="1856"/>
      <c r="F9313" s="1397"/>
      <c r="G9313" s="1416"/>
      <c r="H9313" s="1399"/>
      <c r="I9313" s="197"/>
      <c r="J9313" s="198"/>
      <c r="K9313" s="1307"/>
      <c r="L9313" s="1335"/>
      <c r="M9313" s="1302"/>
      <c r="N9313" s="1718"/>
      <c r="O9313" s="1290"/>
      <c r="P9313" s="1332"/>
      <c r="Q9313" s="3391"/>
      <c r="R9313" s="2337"/>
    </row>
    <row r="9314" spans="1:18">
      <c r="A9314" s="1042"/>
      <c r="B9314" s="22"/>
      <c r="C9314" s="1042"/>
      <c r="D9314" s="1367"/>
      <c r="E9314" s="2121"/>
      <c r="F9314" s="1436"/>
      <c r="G9314" s="1436"/>
      <c r="H9314" s="1369"/>
      <c r="I9314" s="1299"/>
      <c r="J9314" s="1300"/>
      <c r="K9314" s="1307"/>
      <c r="L9314" s="1335"/>
      <c r="M9314" s="1302"/>
      <c r="N9314" s="1700"/>
      <c r="O9314" s="1290"/>
      <c r="P9314" s="1332"/>
      <c r="Q9314" s="3391"/>
    </row>
    <row r="9315" spans="1:18">
      <c r="A9315" s="1042"/>
      <c r="B9315" s="22"/>
      <c r="C9315" s="1042"/>
      <c r="D9315" s="1359"/>
      <c r="E9315" s="1858"/>
      <c r="F9315" s="1360" t="s">
        <v>2</v>
      </c>
      <c r="G9315" s="1360"/>
      <c r="H9315" s="1362"/>
      <c r="I9315" s="1380"/>
      <c r="J9315" s="1381"/>
      <c r="K9315" s="1381"/>
      <c r="L9315" s="1458"/>
      <c r="M9315" s="1362"/>
      <c r="N9315" s="1362"/>
      <c r="O9315" s="1362"/>
      <c r="P9315" s="1359"/>
      <c r="Q9315" s="3387"/>
    </row>
    <row r="9316" spans="1:18">
      <c r="A9316" s="1321"/>
      <c r="B9316" s="1295"/>
      <c r="C9316" s="1321"/>
      <c r="D9316" s="1363" t="s">
        <v>1173</v>
      </c>
      <c r="E9316" s="2125" t="s">
        <v>1508</v>
      </c>
      <c r="F9316" s="1403" t="s">
        <v>120</v>
      </c>
      <c r="G9316" s="1408">
        <v>0.35</v>
      </c>
      <c r="H9316" s="2019"/>
      <c r="I9316" s="1299"/>
      <c r="J9316" s="1300"/>
      <c r="K9316" s="1307">
        <f>G9316*K9306</f>
        <v>0.32432399999999995</v>
      </c>
      <c r="L9316" s="1335">
        <f>K9316*$K$9072</f>
        <v>0</v>
      </c>
      <c r="M9316" s="1302">
        <v>19.23</v>
      </c>
      <c r="N9316" s="1700"/>
      <c r="O9316" s="1290">
        <f>G9316*M9316</f>
        <v>6.7305000000000001</v>
      </c>
      <c r="P9316" s="1332">
        <f>M9316*K9316</f>
        <v>6.2367505199999993</v>
      </c>
      <c r="Q9316" s="3391"/>
    </row>
    <row r="9317" spans="1:18">
      <c r="B9317" s="553"/>
      <c r="C9317" s="1938" t="s">
        <v>1755</v>
      </c>
      <c r="D9317" s="1311"/>
      <c r="E9317" s="2176" t="s">
        <v>1508</v>
      </c>
      <c r="F9317" s="2051" t="s">
        <v>1524</v>
      </c>
      <c r="G9317" s="2052"/>
      <c r="H9317" s="1338">
        <v>0.4</v>
      </c>
      <c r="I9317" s="1444"/>
      <c r="J9317" s="1388"/>
      <c r="K9317" s="1445"/>
      <c r="L9317" s="1457"/>
      <c r="M9317" s="1447"/>
      <c r="N9317" s="1447">
        <f>SUM(N9318:N9319)</f>
        <v>37.510000000000005</v>
      </c>
      <c r="O9317" s="1447">
        <f>SUM(O9318:O9319)</f>
        <v>15.004000000000001</v>
      </c>
      <c r="P9317" s="1447">
        <f>SUM(P9318:P9319)</f>
        <v>13.903306560000001</v>
      </c>
      <c r="Q9317" s="3391"/>
      <c r="R9317" s="2337"/>
    </row>
    <row r="9318" spans="1:18">
      <c r="B9318" s="1042"/>
      <c r="C9318" s="88"/>
      <c r="D9318" s="1898" t="s">
        <v>1067</v>
      </c>
      <c r="E9318" s="1857" t="s">
        <v>1508</v>
      </c>
      <c r="F9318" s="1403" t="s">
        <v>5</v>
      </c>
      <c r="G9318" s="1991">
        <v>1</v>
      </c>
      <c r="H9318" s="1408">
        <f>G9318*$H$9137</f>
        <v>0.4</v>
      </c>
      <c r="I9318" s="1286"/>
      <c r="J9318" s="198"/>
      <c r="K9318" s="1307">
        <f>H9318*K9306</f>
        <v>0.37065599999999999</v>
      </c>
      <c r="L9318" s="1335">
        <f t="shared" ref="L9318:L9319" si="1260">K9318*$K$9072</f>
        <v>0</v>
      </c>
      <c r="M9318" s="1302">
        <v>18.28</v>
      </c>
      <c r="N9318" s="1718">
        <f>G9318*M9318</f>
        <v>18.28</v>
      </c>
      <c r="O9318" s="1290">
        <f>H9318*M9318</f>
        <v>7.3120000000000012</v>
      </c>
      <c r="P9318" s="1332">
        <f>M9318*K9318</f>
        <v>6.7755916799999998</v>
      </c>
      <c r="Q9318" s="3391"/>
      <c r="R9318" s="2337"/>
    </row>
    <row r="9319" spans="1:18">
      <c r="B9319" s="1042"/>
      <c r="C9319" s="88"/>
      <c r="D9319" s="1430" t="s">
        <v>1077</v>
      </c>
      <c r="E9319" s="1857" t="s">
        <v>1508</v>
      </c>
      <c r="F9319" s="1403" t="s">
        <v>37</v>
      </c>
      <c r="G9319" s="1991">
        <v>1</v>
      </c>
      <c r="H9319" s="1408">
        <f>G9319*$H$9137</f>
        <v>0.4</v>
      </c>
      <c r="I9319" s="197">
        <f ca="1">IF(COUNT(H9319:L9319)=0,"",(SUM(H9319:L9319)/COUNT(H9319:L9319)))</f>
        <v>62.052915052440582</v>
      </c>
      <c r="J9319" s="198"/>
      <c r="K9319" s="1307">
        <f>H9319*K9306</f>
        <v>0.37065599999999999</v>
      </c>
      <c r="L9319" s="1335">
        <f t="shared" si="1260"/>
        <v>0</v>
      </c>
      <c r="M9319" s="1302">
        <v>19.23</v>
      </c>
      <c r="N9319" s="1718">
        <f>G9319*M9319</f>
        <v>19.23</v>
      </c>
      <c r="O9319" s="1290">
        <f>H9319*M9319</f>
        <v>7.6920000000000002</v>
      </c>
      <c r="P9319" s="1332">
        <f>M9319*K9319</f>
        <v>7.1277148800000001</v>
      </c>
      <c r="Q9319" s="3391"/>
      <c r="R9319" s="2337"/>
    </row>
    <row r="9320" spans="1:18" ht="15" customHeight="1">
      <c r="B9320" s="1320"/>
      <c r="C9320" s="595"/>
      <c r="D9320" s="1359"/>
      <c r="E9320" s="1858"/>
      <c r="F9320" s="1361"/>
      <c r="G9320" s="1361"/>
      <c r="H9320" s="1466"/>
      <c r="I9320" s="1299"/>
      <c r="J9320" s="1300"/>
      <c r="K9320" s="1307"/>
      <c r="L9320" s="1335"/>
      <c r="M9320" s="1302"/>
      <c r="N9320" s="1700"/>
      <c r="O9320" s="1290"/>
      <c r="P9320" s="1332"/>
      <c r="Q9320" s="3391"/>
      <c r="R9320" s="1296"/>
    </row>
    <row r="9321" spans="1:18">
      <c r="A9321" s="1320"/>
      <c r="B9321" s="22"/>
      <c r="C9321" s="1320"/>
      <c r="D9321" s="1373"/>
      <c r="E9321" s="2123"/>
      <c r="F9321" s="1374" t="s">
        <v>3</v>
      </c>
      <c r="G9321" s="1375"/>
      <c r="H9321" s="1376"/>
      <c r="I9321" s="1382"/>
      <c r="J9321" s="1383"/>
      <c r="K9321" s="1383"/>
      <c r="L9321" s="1413"/>
      <c r="M9321" s="1376"/>
      <c r="N9321" s="1376"/>
      <c r="O9321" s="1376"/>
      <c r="P9321" s="1373"/>
      <c r="Q9321" s="3387"/>
    </row>
    <row r="9322" spans="1:18">
      <c r="A9322" s="1321"/>
      <c r="B9322" s="1295"/>
      <c r="C9322" s="1321"/>
      <c r="D9322" s="1377"/>
      <c r="E9322" s="2124"/>
      <c r="F9322" s="1378"/>
      <c r="G9322" s="1378"/>
      <c r="H9322" s="1379"/>
      <c r="I9322" s="1299"/>
      <c r="J9322" s="1300"/>
      <c r="K9322" s="1307"/>
      <c r="L9322" s="1335"/>
      <c r="M9322" s="1302"/>
      <c r="N9322" s="1700"/>
      <c r="O9322" s="1290"/>
      <c r="P9322" s="1332"/>
      <c r="Q9322" s="3391"/>
    </row>
    <row r="9323" spans="1:18">
      <c r="A9323" s="1321"/>
      <c r="B9323" s="1295"/>
      <c r="C9323" s="1321"/>
      <c r="D9323" s="1377"/>
      <c r="E9323" s="2124"/>
      <c r="F9323" s="1378"/>
      <c r="G9323" s="1378"/>
      <c r="H9323" s="1379"/>
      <c r="I9323" s="1299"/>
      <c r="J9323" s="1300"/>
      <c r="K9323" s="1307"/>
      <c r="L9323" s="1335"/>
      <c r="M9323" s="1302"/>
      <c r="N9323" s="1700"/>
      <c r="O9323" s="1290"/>
      <c r="P9323" s="1333"/>
      <c r="Q9323" s="3391"/>
    </row>
    <row r="9324" spans="1:18">
      <c r="A9324" s="1042"/>
      <c r="B9324" s="22"/>
      <c r="C9324" s="1042"/>
      <c r="D9324" s="1677"/>
      <c r="E9324" s="2161"/>
      <c r="F9324" s="1678"/>
      <c r="G9324" s="1678"/>
      <c r="H9324" s="1376"/>
      <c r="I9324" s="1299"/>
      <c r="J9324" s="1300"/>
      <c r="K9324" s="1307"/>
      <c r="L9324" s="1335"/>
      <c r="M9324" s="1302"/>
      <c r="N9324" s="1700"/>
      <c r="O9324" s="1290"/>
      <c r="P9324" s="1332"/>
      <c r="Q9324" s="3391"/>
    </row>
    <row r="9325" spans="1:18">
      <c r="A9325" s="18" t="s">
        <v>3764</v>
      </c>
      <c r="B9325" s="4325" t="s">
        <v>3635</v>
      </c>
      <c r="C9325" s="3792"/>
      <c r="D9325" s="4327"/>
      <c r="E9325" s="4329" t="s">
        <v>1507</v>
      </c>
      <c r="F9325" s="4372" t="s">
        <v>3636</v>
      </c>
      <c r="G9325" s="4331" t="s">
        <v>1568</v>
      </c>
      <c r="H9325" s="4331" t="s">
        <v>1574</v>
      </c>
      <c r="I9325" s="1572" t="s">
        <v>1559</v>
      </c>
      <c r="J9325" s="1294" t="s">
        <v>1560</v>
      </c>
      <c r="K9325" s="1294" t="s">
        <v>1569</v>
      </c>
      <c r="L9325" s="4333" t="s">
        <v>3765</v>
      </c>
      <c r="M9325" s="4335" t="s">
        <v>1571</v>
      </c>
      <c r="N9325" s="4323" t="s">
        <v>1776</v>
      </c>
      <c r="O9325" s="3791" t="s">
        <v>1563</v>
      </c>
      <c r="P9325" s="1336" t="s">
        <v>1562</v>
      </c>
      <c r="Q9325" s="3389"/>
      <c r="R9325" s="1699" t="s">
        <v>1327</v>
      </c>
    </row>
    <row r="9326" spans="1:18" s="22" customFormat="1">
      <c r="A9326" s="1662" t="s">
        <v>3632</v>
      </c>
      <c r="B9326" s="4326"/>
      <c r="C9326" s="3794"/>
      <c r="D9326" s="4328"/>
      <c r="E9326" s="4330"/>
      <c r="F9326" s="4363"/>
      <c r="G9326" s="4332"/>
      <c r="H9326" s="4332"/>
      <c r="I9326" s="3814">
        <v>24.23</v>
      </c>
      <c r="J9326" s="3815">
        <v>2.1999999999999999E-2</v>
      </c>
      <c r="K9326" s="1297">
        <f>I9326*J9326</f>
        <v>0.53305999999999998</v>
      </c>
      <c r="L9326" s="4334"/>
      <c r="M9326" s="4335"/>
      <c r="N9326" s="4324"/>
      <c r="O9326" s="1298">
        <f>O9328+O9329+O9333</f>
        <v>102.7355</v>
      </c>
      <c r="P9326" s="1337">
        <f>O9326*K9326</f>
        <v>54.76418563</v>
      </c>
      <c r="Q9326" s="3390"/>
      <c r="R9326" s="1721">
        <f>P9328+P9329+P9333</f>
        <v>54.764185629999993</v>
      </c>
    </row>
    <row r="9327" spans="1:18">
      <c r="A9327" s="1320"/>
      <c r="B9327" s="1599"/>
      <c r="C9327" s="1327"/>
      <c r="D9327" s="1367"/>
      <c r="E9327" s="2121"/>
      <c r="F9327" s="1389" t="s">
        <v>1</v>
      </c>
      <c r="G9327" s="1389"/>
      <c r="H9327" s="1369"/>
      <c r="I9327" s="1409"/>
      <c r="J9327" s="1390"/>
      <c r="K9327" s="1391"/>
      <c r="L9327" s="1559"/>
      <c r="M9327" s="1369"/>
      <c r="N9327" s="1369"/>
      <c r="O9327" s="1369"/>
      <c r="P9327" s="1392"/>
      <c r="Q9327" s="3395"/>
    </row>
    <row r="9328" spans="1:18">
      <c r="A9328" s="1042"/>
      <c r="B9328" s="1599" t="s">
        <v>3630</v>
      </c>
      <c r="C9328" s="1042"/>
      <c r="D9328" s="3831" t="s">
        <v>2080</v>
      </c>
      <c r="E9328" s="2154" t="s">
        <v>1507</v>
      </c>
      <c r="F9328" s="3828" t="s">
        <v>3637</v>
      </c>
      <c r="G9328" s="1612">
        <v>1</v>
      </c>
      <c r="H9328" s="1674"/>
      <c r="I9328" s="1299"/>
      <c r="J9328" s="1300"/>
      <c r="K9328" s="1307">
        <f>G9328*K9326</f>
        <v>0.53305999999999998</v>
      </c>
      <c r="L9328" s="1335">
        <f t="shared" ref="L9328:L9329" si="1261">K9328*$K$9072</f>
        <v>0</v>
      </c>
      <c r="M9328" s="3832">
        <v>85.19</v>
      </c>
      <c r="N9328" s="1700"/>
      <c r="O9328" s="1290">
        <f>G9328*M9328</f>
        <v>85.19</v>
      </c>
      <c r="P9328" s="1332">
        <f>M9328*K9328</f>
        <v>45.411381399999996</v>
      </c>
      <c r="Q9328" s="3391"/>
    </row>
    <row r="9329" spans="1:18">
      <c r="A9329" s="1320"/>
      <c r="B9329" s="553"/>
      <c r="C9329" s="1042"/>
      <c r="D9329" s="1610" t="s">
        <v>2082</v>
      </c>
      <c r="E9329" s="2154" t="s">
        <v>1527</v>
      </c>
      <c r="F9329" s="1598" t="s">
        <v>2083</v>
      </c>
      <c r="G9329" s="1612">
        <v>3</v>
      </c>
      <c r="H9329" s="1674"/>
      <c r="I9329" s="1299"/>
      <c r="J9329" s="1300"/>
      <c r="K9329" s="1307">
        <f>G9329*K9326</f>
        <v>1.59918</v>
      </c>
      <c r="L9329" s="1335">
        <f t="shared" si="1261"/>
        <v>0</v>
      </c>
      <c r="M9329" s="1302">
        <v>0.4</v>
      </c>
      <c r="N9329" s="1700"/>
      <c r="O9329" s="1290">
        <f>G9329*M9329</f>
        <v>1.2000000000000002</v>
      </c>
      <c r="P9329" s="1332">
        <f>M9329*K9329</f>
        <v>0.63967200000000002</v>
      </c>
      <c r="Q9329" s="3391"/>
      <c r="R9329" s="2337"/>
    </row>
    <row r="9330" spans="1:18">
      <c r="A9330" s="1320"/>
      <c r="B9330" s="1042"/>
      <c r="C9330" s="1320"/>
      <c r="D9330" s="1598"/>
      <c r="E9330" s="2154"/>
      <c r="F9330" s="1598"/>
      <c r="G9330" s="1612"/>
      <c r="H9330" s="1399"/>
      <c r="I9330" s="197"/>
      <c r="J9330" s="198"/>
      <c r="K9330" s="1307"/>
      <c r="L9330" s="1335"/>
      <c r="M9330" s="1302"/>
      <c r="N9330" s="1718"/>
      <c r="O9330" s="1290"/>
      <c r="P9330" s="1332"/>
      <c r="Q9330" s="3391"/>
      <c r="R9330" s="2337"/>
    </row>
    <row r="9331" spans="1:18">
      <c r="A9331" s="1042"/>
      <c r="B9331" s="1599"/>
      <c r="C9331" s="1042"/>
      <c r="D9331" s="1367"/>
      <c r="E9331" s="2121"/>
      <c r="F9331" s="1436"/>
      <c r="G9331" s="1436"/>
      <c r="H9331" s="1369"/>
      <c r="I9331" s="1299"/>
      <c r="J9331" s="1300"/>
      <c r="K9331" s="1307"/>
      <c r="L9331" s="1335"/>
      <c r="M9331" s="1302"/>
      <c r="N9331" s="1700"/>
      <c r="O9331" s="1290"/>
      <c r="P9331" s="1332"/>
      <c r="Q9331" s="3391"/>
    </row>
    <row r="9332" spans="1:18">
      <c r="A9332" s="1042"/>
      <c r="B9332" s="1599"/>
      <c r="C9332" s="1042"/>
      <c r="D9332" s="1359"/>
      <c r="E9332" s="1858"/>
      <c r="F9332" s="1360" t="s">
        <v>2</v>
      </c>
      <c r="G9332" s="1360"/>
      <c r="H9332" s="1362"/>
      <c r="I9332" s="1380"/>
      <c r="J9332" s="1381"/>
      <c r="K9332" s="1381"/>
      <c r="L9332" s="1458"/>
      <c r="M9332" s="1362"/>
      <c r="N9332" s="1362"/>
      <c r="O9332" s="1362"/>
      <c r="P9332" s="1359"/>
      <c r="Q9332" s="3387"/>
    </row>
    <row r="9333" spans="1:18">
      <c r="A9333" s="1321"/>
      <c r="B9333" s="2053"/>
      <c r="C9333" s="1321"/>
      <c r="D9333" s="1363" t="s">
        <v>1205</v>
      </c>
      <c r="E9333" s="2125" t="s">
        <v>1508</v>
      </c>
      <c r="F9333" s="1403" t="s">
        <v>151</v>
      </c>
      <c r="G9333" s="1408">
        <v>0.85</v>
      </c>
      <c r="H9333" s="2019"/>
      <c r="I9333" s="1299"/>
      <c r="J9333" s="1300"/>
      <c r="K9333" s="1307">
        <f>G9333*K9326</f>
        <v>0.45310099999999998</v>
      </c>
      <c r="L9333" s="1335">
        <f>K9333*$K$9072</f>
        <v>0</v>
      </c>
      <c r="M9333" s="1302">
        <v>19.23</v>
      </c>
      <c r="N9333" s="1700"/>
      <c r="O9333" s="1290">
        <f>G9333*M9333</f>
        <v>16.345500000000001</v>
      </c>
      <c r="P9333" s="1332">
        <f>M9333*K9333</f>
        <v>8.7131322299999994</v>
      </c>
      <c r="Q9333" s="3391"/>
    </row>
    <row r="9334" spans="1:18">
      <c r="A9334" s="1042"/>
      <c r="B9334" s="1042"/>
      <c r="C9334" s="88"/>
      <c r="D9334" s="1430"/>
      <c r="E9334" s="1857"/>
      <c r="F9334" s="1403"/>
      <c r="G9334" s="1991"/>
      <c r="H9334" s="1408"/>
      <c r="I9334" s="197"/>
      <c r="J9334" s="198"/>
      <c r="K9334" s="1307"/>
      <c r="L9334" s="1335"/>
      <c r="M9334" s="1302"/>
      <c r="N9334" s="1718"/>
      <c r="O9334" s="1290"/>
      <c r="P9334" s="1332"/>
      <c r="Q9334" s="3391"/>
      <c r="R9334" s="2337"/>
    </row>
    <row r="9335" spans="1:18">
      <c r="A9335" s="1042"/>
      <c r="B9335" s="1320"/>
      <c r="C9335" s="595"/>
      <c r="D9335" s="1359"/>
      <c r="E9335" s="1858"/>
      <c r="F9335" s="1361"/>
      <c r="G9335" s="1361"/>
      <c r="H9335" s="1466"/>
      <c r="I9335" s="1299"/>
      <c r="J9335" s="1300"/>
      <c r="K9335" s="1307"/>
      <c r="L9335" s="1335"/>
      <c r="M9335" s="1302"/>
      <c r="N9335" s="1700"/>
      <c r="O9335" s="1290"/>
      <c r="P9335" s="1332"/>
      <c r="Q9335" s="3391"/>
      <c r="R9335" s="1296"/>
    </row>
    <row r="9336" spans="1:18">
      <c r="A9336" s="1320"/>
      <c r="B9336" s="1599"/>
      <c r="C9336" s="1320"/>
      <c r="D9336" s="1373"/>
      <c r="E9336" s="2123"/>
      <c r="F9336" s="1374" t="s">
        <v>3</v>
      </c>
      <c r="G9336" s="1375"/>
      <c r="H9336" s="1376"/>
      <c r="I9336" s="1382"/>
      <c r="J9336" s="1383"/>
      <c r="K9336" s="1383"/>
      <c r="L9336" s="1413"/>
      <c r="M9336" s="1376"/>
      <c r="N9336" s="1376"/>
      <c r="O9336" s="1376"/>
      <c r="P9336" s="1373"/>
      <c r="Q9336" s="3387"/>
    </row>
    <row r="9337" spans="1:18">
      <c r="A9337" s="1321"/>
      <c r="B9337" s="2053"/>
      <c r="C9337" s="1321"/>
      <c r="D9337" s="1377"/>
      <c r="E9337" s="2124"/>
      <c r="F9337" s="1378"/>
      <c r="G9337" s="1378"/>
      <c r="H9337" s="1379"/>
      <c r="I9337" s="1299"/>
      <c r="J9337" s="1300"/>
      <c r="K9337" s="1307"/>
      <c r="L9337" s="1335"/>
      <c r="M9337" s="1302"/>
      <c r="N9337" s="1700"/>
      <c r="O9337" s="1290"/>
      <c r="P9337" s="1332"/>
      <c r="Q9337" s="3391"/>
    </row>
    <row r="9338" spans="1:18">
      <c r="A9338" s="1321"/>
      <c r="B9338" s="2053"/>
      <c r="C9338" s="1321"/>
      <c r="D9338" s="1377"/>
      <c r="E9338" s="2124"/>
      <c r="F9338" s="1378"/>
      <c r="G9338" s="1378"/>
      <c r="H9338" s="1379"/>
      <c r="I9338" s="1299"/>
      <c r="J9338" s="1300"/>
      <c r="K9338" s="1307"/>
      <c r="L9338" s="1335"/>
      <c r="M9338" s="1302"/>
      <c r="N9338" s="1700"/>
      <c r="O9338" s="1290"/>
      <c r="P9338" s="1333"/>
      <c r="Q9338" s="3391"/>
    </row>
    <row r="9339" spans="1:18" ht="15" customHeight="1">
      <c r="A9339" s="223"/>
      <c r="B9339" s="1765"/>
      <c r="C9339" s="223"/>
      <c r="D9339" s="1373"/>
      <c r="E9339" s="2161"/>
      <c r="F9339" s="1678"/>
      <c r="G9339" s="1678"/>
      <c r="H9339" s="1376"/>
      <c r="I9339" s="1299"/>
      <c r="J9339" s="1300"/>
      <c r="K9339" s="1307"/>
      <c r="L9339" s="1335"/>
      <c r="M9339" s="1302"/>
      <c r="N9339" s="1700"/>
      <c r="O9339" s="1290"/>
      <c r="P9339" s="1332"/>
      <c r="Q9339" s="3391"/>
    </row>
    <row r="9340" spans="1:18">
      <c r="A9340" s="16"/>
      <c r="B9340" s="16"/>
      <c r="C9340" s="16"/>
      <c r="D9340" s="16"/>
      <c r="E9340" s="2182"/>
      <c r="F9340" s="2080"/>
      <c r="G9340" s="2080"/>
      <c r="H9340" s="13"/>
      <c r="I9340" s="1561"/>
      <c r="J9340" s="13"/>
      <c r="K9340" s="1639"/>
      <c r="L9340" s="1640"/>
      <c r="M9340" s="1292"/>
      <c r="N9340" s="1292"/>
      <c r="O9340" s="1292"/>
      <c r="P9340" s="1292"/>
      <c r="Q9340" s="3391"/>
      <c r="R9340" s="2344"/>
    </row>
    <row r="9341" spans="1:18">
      <c r="A9341" s="4391" t="s">
        <v>2084</v>
      </c>
      <c r="B9341" s="4392"/>
      <c r="C9341" s="4392"/>
      <c r="D9341" s="4392"/>
      <c r="E9341" s="1303" t="s">
        <v>1507</v>
      </c>
      <c r="F9341" s="1305" t="s">
        <v>2088</v>
      </c>
      <c r="G9341" s="1288"/>
      <c r="H9341" s="1288"/>
      <c r="I9341" s="1557"/>
      <c r="J9341" s="1288"/>
      <c r="K9341" s="1288"/>
      <c r="L9341" s="1557"/>
      <c r="M9341" s="1288"/>
      <c r="N9341" s="1288"/>
      <c r="O9341" s="1288"/>
      <c r="P9341" s="1283"/>
      <c r="Q9341" s="3386"/>
    </row>
    <row r="9342" spans="1:18">
      <c r="A9342" s="1304"/>
      <c r="B9342" s="1304"/>
      <c r="C9342" s="1304"/>
      <c r="D9342" s="1304"/>
      <c r="E9342" s="1304"/>
      <c r="F9342" s="1296"/>
      <c r="G9342" s="1296"/>
      <c r="H9342" s="1296"/>
      <c r="I9342" s="1558"/>
      <c r="J9342" s="1296"/>
      <c r="K9342" s="1296"/>
      <c r="L9342" s="1558"/>
      <c r="M9342" s="1296"/>
      <c r="N9342" s="1296"/>
      <c r="O9342" s="1296"/>
      <c r="P9342" s="1296"/>
      <c r="Q9342" s="3386"/>
    </row>
    <row r="9343" spans="1:18">
      <c r="A9343" s="4393" t="s">
        <v>162</v>
      </c>
      <c r="B9343" s="4394"/>
      <c r="C9343" s="4394"/>
      <c r="D9343" s="4395"/>
      <c r="E9343" s="4396" t="s">
        <v>1549</v>
      </c>
      <c r="F9343" s="4397" t="s">
        <v>1550</v>
      </c>
      <c r="G9343" s="4399" t="s">
        <v>1566</v>
      </c>
      <c r="H9343" s="4400"/>
      <c r="I9343" s="4400"/>
      <c r="J9343" s="4400"/>
      <c r="K9343" s="4400"/>
      <c r="L9343" s="4401"/>
      <c r="M9343" s="4405" t="s">
        <v>1567</v>
      </c>
      <c r="N9343" s="4405"/>
      <c r="O9343" s="4405"/>
      <c r="P9343" s="4405"/>
      <c r="Q9343" s="3395"/>
    </row>
    <row r="9344" spans="1:18" ht="15" thickBot="1">
      <c r="A9344" s="1324" t="s">
        <v>3766</v>
      </c>
      <c r="B9344" s="1325" t="s">
        <v>1513</v>
      </c>
      <c r="C9344" s="1326" t="s">
        <v>1573</v>
      </c>
      <c r="D9344" s="1323" t="s">
        <v>1514</v>
      </c>
      <c r="E9344" s="4396"/>
      <c r="F9344" s="4398"/>
      <c r="G9344" s="4402"/>
      <c r="H9344" s="4403"/>
      <c r="I9344" s="4403"/>
      <c r="J9344" s="4403"/>
      <c r="K9344" s="4403"/>
      <c r="L9344" s="4404"/>
      <c r="M9344" s="4405"/>
      <c r="N9344" s="4405"/>
      <c r="O9344" s="4405"/>
      <c r="P9344" s="4405"/>
      <c r="Q9344" s="3395"/>
    </row>
    <row r="9345" spans="1:18" ht="36" customHeight="1">
      <c r="A9345" s="4374" t="s">
        <v>2089</v>
      </c>
      <c r="B9345" s="4375"/>
      <c r="C9345" s="4375"/>
      <c r="D9345" s="4376"/>
      <c r="E9345" s="4380" t="s">
        <v>1507</v>
      </c>
      <c r="F9345" s="4382" t="s">
        <v>2855</v>
      </c>
      <c r="G9345" s="4406" t="s">
        <v>294</v>
      </c>
      <c r="H9345" s="4407"/>
      <c r="I9345" s="1665" t="s">
        <v>1565</v>
      </c>
      <c r="J9345" s="3348" t="s">
        <v>1575</v>
      </c>
      <c r="K9345" s="4406" t="s">
        <v>289</v>
      </c>
      <c r="L9345" s="4407"/>
      <c r="M9345" s="4408" t="s">
        <v>3349</v>
      </c>
      <c r="N9345" s="4408"/>
      <c r="O9345" s="4408"/>
      <c r="P9345" s="4409"/>
      <c r="Q9345" s="4244" t="s">
        <v>3973</v>
      </c>
    </row>
    <row r="9346" spans="1:18" ht="21" customHeight="1" thickBot="1">
      <c r="A9346" s="4377"/>
      <c r="B9346" s="4378"/>
      <c r="C9346" s="4378"/>
      <c r="D9346" s="4379"/>
      <c r="E9346" s="4381"/>
      <c r="F9346" s="4383"/>
      <c r="G9346" s="4410">
        <f>IF('Seleccion proyecto HEREVEA02'!G64="Ventana abatible+Madera+vidrio doble acristalamiento",'Seleccion proyecto HEREVEA02'!E63,0)</f>
        <v>0</v>
      </c>
      <c r="H9346" s="4411"/>
      <c r="I9346" s="3353">
        <f>IF('Seleccion proyecto HEREVEA02'!H64=0,0,IF('Seleccion proyecto HEREVEA02'!H64="1 a 30",0.3,IF('Seleccion proyecto HEREVEA02'!H64="31 a 60",0.6,IF('Seleccion proyecto HEREVEA02'!H64="61 a 100",1))))</f>
        <v>0</v>
      </c>
      <c r="J9346" s="1351">
        <f>'Seleccion proyecto HEREVEA02'!L8</f>
        <v>11100.968999999999</v>
      </c>
      <c r="K9346" s="4412">
        <f>G9346*I9346*J9346</f>
        <v>0</v>
      </c>
      <c r="L9346" s="4413"/>
      <c r="M9346" s="4360">
        <f>P9348+P9362+P9382+P9400+P9416</f>
        <v>260.48788288727599</v>
      </c>
      <c r="N9346" s="4361"/>
      <c r="O9346" s="4361"/>
      <c r="P9346" s="4362"/>
      <c r="Q9346" s="4245">
        <f>M9346*K9346</f>
        <v>0</v>
      </c>
    </row>
    <row r="9347" spans="1:18">
      <c r="A9347" s="18" t="s">
        <v>3764</v>
      </c>
      <c r="B9347" s="4325" t="s">
        <v>3626</v>
      </c>
      <c r="C9347" s="3808"/>
      <c r="D9347" s="4327"/>
      <c r="E9347" s="4329" t="s">
        <v>1507</v>
      </c>
      <c r="F9347" s="4414" t="s">
        <v>3627</v>
      </c>
      <c r="G9347" s="4331" t="s">
        <v>1568</v>
      </c>
      <c r="H9347" s="4331" t="s">
        <v>1574</v>
      </c>
      <c r="I9347" s="1572" t="s">
        <v>1559</v>
      </c>
      <c r="J9347" s="1294" t="s">
        <v>1560</v>
      </c>
      <c r="K9347" s="1294" t="s">
        <v>1569</v>
      </c>
      <c r="L9347" s="4333" t="s">
        <v>3765</v>
      </c>
      <c r="M9347" s="4335" t="s">
        <v>1571</v>
      </c>
      <c r="N9347" s="4323" t="s">
        <v>1776</v>
      </c>
      <c r="O9347" s="3347" t="s">
        <v>1563</v>
      </c>
      <c r="P9347" s="1336" t="s">
        <v>1562</v>
      </c>
      <c r="Q9347" s="3389"/>
      <c r="R9347" s="1699" t="s">
        <v>1327</v>
      </c>
    </row>
    <row r="9348" spans="1:18">
      <c r="A9348" s="1662" t="s">
        <v>2089</v>
      </c>
      <c r="B9348" s="4326"/>
      <c r="C9348" s="3806"/>
      <c r="D9348" s="4328"/>
      <c r="E9348" s="4330"/>
      <c r="F9348" s="4363"/>
      <c r="G9348" s="4332"/>
      <c r="H9348" s="4332"/>
      <c r="I9348" s="3814">
        <v>46.02</v>
      </c>
      <c r="J9348" s="3815">
        <v>2.1999999999999999E-2</v>
      </c>
      <c r="K9348" s="1297">
        <f>I9348*J9348</f>
        <v>1.01244</v>
      </c>
      <c r="L9348" s="4334"/>
      <c r="M9348" s="4335"/>
      <c r="N9348" s="4324"/>
      <c r="O9348" s="1298">
        <f>SUM(O9350:O9360)</f>
        <v>5.484</v>
      </c>
      <c r="P9348" s="1337">
        <f>O9348*K9348</f>
        <v>5.5522209599999996</v>
      </c>
      <c r="Q9348" s="3390"/>
      <c r="R9348" s="1721">
        <f>P9354</f>
        <v>5.5522209600000005</v>
      </c>
    </row>
    <row r="9349" spans="1:18">
      <c r="A9349" s="3837" t="s">
        <v>3640</v>
      </c>
      <c r="B9349" s="22"/>
      <c r="C9349" s="1327"/>
      <c r="D9349" s="1367"/>
      <c r="E9349" s="2121"/>
      <c r="F9349" s="1389" t="s">
        <v>1</v>
      </c>
      <c r="G9349" s="1389"/>
      <c r="H9349" s="1369"/>
      <c r="I9349" s="1409"/>
      <c r="J9349" s="1390"/>
      <c r="K9349" s="1391"/>
      <c r="L9349" s="1559"/>
      <c r="M9349" s="1369"/>
      <c r="N9349" s="1369"/>
      <c r="O9349" s="1369"/>
      <c r="P9349" s="1392"/>
      <c r="Q9349" s="3395"/>
    </row>
    <row r="9350" spans="1:18">
      <c r="A9350" s="3837" t="s">
        <v>3641</v>
      </c>
      <c r="B9350" s="22"/>
      <c r="C9350" s="1042"/>
      <c r="D9350" s="1672"/>
      <c r="E9350" s="2160"/>
      <c r="F9350" s="1675"/>
      <c r="G9350" s="1675"/>
      <c r="H9350" s="1674"/>
      <c r="I9350" s="1299"/>
      <c r="J9350" s="1300"/>
      <c r="K9350" s="1307"/>
      <c r="L9350" s="1335"/>
      <c r="M9350" s="1302"/>
      <c r="N9350" s="1700"/>
      <c r="O9350" s="1290"/>
      <c r="P9350" s="1332"/>
      <c r="Q9350" s="3391"/>
    </row>
    <row r="9351" spans="1:18">
      <c r="A9351" s="1042"/>
      <c r="B9351" s="22"/>
      <c r="C9351" s="1042"/>
      <c r="D9351" s="1367"/>
      <c r="E9351" s="2121"/>
      <c r="F9351" s="1436"/>
      <c r="G9351" s="1436"/>
      <c r="H9351" s="1369"/>
      <c r="I9351" s="1299"/>
      <c r="J9351" s="1300"/>
      <c r="K9351" s="1307"/>
      <c r="L9351" s="1335"/>
      <c r="M9351" s="1302"/>
      <c r="N9351" s="1700"/>
      <c r="O9351" s="1290"/>
      <c r="P9351" s="1332"/>
      <c r="Q9351" s="3391"/>
    </row>
    <row r="9352" spans="1:18">
      <c r="A9352" s="1042"/>
      <c r="B9352" s="22"/>
      <c r="C9352" s="1042"/>
      <c r="D9352" s="1367"/>
      <c r="E9352" s="2121"/>
      <c r="F9352" s="1436"/>
      <c r="G9352" s="1436"/>
      <c r="H9352" s="1369"/>
      <c r="I9352" s="1299"/>
      <c r="J9352" s="1300"/>
      <c r="K9352" s="1307"/>
      <c r="L9352" s="1335"/>
      <c r="M9352" s="1302"/>
      <c r="N9352" s="1700"/>
      <c r="O9352" s="1290"/>
      <c r="P9352" s="1332"/>
      <c r="Q9352" s="3391"/>
    </row>
    <row r="9353" spans="1:18">
      <c r="A9353" s="1042"/>
      <c r="B9353" s="22"/>
      <c r="C9353" s="1042"/>
      <c r="D9353" s="1359"/>
      <c r="E9353" s="1858"/>
      <c r="F9353" s="1360" t="s">
        <v>2</v>
      </c>
      <c r="G9353" s="1360"/>
      <c r="H9353" s="1362"/>
      <c r="I9353" s="1380"/>
      <c r="J9353" s="1381"/>
      <c r="K9353" s="1381"/>
      <c r="L9353" s="1458" t="str">
        <f>IF(COUNT(K9352)=0,"",IF(#REF!="","",(K9352*#REF!)))</f>
        <v/>
      </c>
      <c r="M9353" s="1362"/>
      <c r="N9353" s="1362"/>
      <c r="O9353" s="1362"/>
      <c r="P9353" s="1359"/>
      <c r="Q9353" s="3387"/>
    </row>
    <row r="9354" spans="1:18">
      <c r="A9354" s="1321"/>
      <c r="B9354" s="1295"/>
      <c r="C9354" s="1321"/>
      <c r="D9354" s="1363" t="s">
        <v>1067</v>
      </c>
      <c r="E9354" s="2125" t="s">
        <v>1508</v>
      </c>
      <c r="F9354" s="1385" t="s">
        <v>1512</v>
      </c>
      <c r="G9354" s="2019">
        <v>0.3</v>
      </c>
      <c r="H9354" s="1386"/>
      <c r="I9354" s="1299"/>
      <c r="J9354" s="1300"/>
      <c r="K9354" s="1307">
        <f>G9354*K9348</f>
        <v>0.303732</v>
      </c>
      <c r="L9354" s="1335">
        <f>K9354*$K$9346</f>
        <v>0</v>
      </c>
      <c r="M9354" s="1302">
        <v>18.28</v>
      </c>
      <c r="N9354" s="1700"/>
      <c r="O9354" s="1290">
        <f>G9354*M9354</f>
        <v>5.484</v>
      </c>
      <c r="P9354" s="1332">
        <f>M9354*K9354</f>
        <v>5.5522209600000005</v>
      </c>
      <c r="Q9354" s="3391"/>
    </row>
    <row r="9355" spans="1:18">
      <c r="A9355" s="1320"/>
      <c r="B9355" s="22"/>
      <c r="C9355" s="1320"/>
      <c r="D9355" s="1359"/>
      <c r="E9355" s="1858"/>
      <c r="F9355" s="1404"/>
      <c r="G9355" s="1404"/>
      <c r="H9355" s="1359"/>
      <c r="I9355" s="1299"/>
      <c r="J9355" s="1300"/>
      <c r="K9355" s="1307"/>
      <c r="L9355" s="1335"/>
      <c r="M9355" s="1302"/>
      <c r="N9355" s="1700"/>
      <c r="O9355" s="1290"/>
      <c r="P9355" s="1332"/>
      <c r="Q9355" s="3391"/>
    </row>
    <row r="9356" spans="1:18">
      <c r="A9356" s="1320"/>
      <c r="B9356" s="22"/>
      <c r="C9356" s="1320"/>
      <c r="D9356" s="1359"/>
      <c r="E9356" s="1858"/>
      <c r="F9356" s="1361"/>
      <c r="G9356" s="1361"/>
      <c r="H9356" s="1466"/>
      <c r="I9356" s="1299"/>
      <c r="J9356" s="1300"/>
      <c r="K9356" s="1307"/>
      <c r="L9356" s="1335"/>
      <c r="M9356" s="1302"/>
      <c r="N9356" s="1700"/>
      <c r="O9356" s="1290"/>
      <c r="P9356" s="1332"/>
      <c r="Q9356" s="3391"/>
    </row>
    <row r="9357" spans="1:18">
      <c r="A9357" s="1320"/>
      <c r="B9357" s="22"/>
      <c r="C9357" s="1320"/>
      <c r="D9357" s="1373"/>
      <c r="E9357" s="2123"/>
      <c r="F9357" s="1374" t="s">
        <v>3</v>
      </c>
      <c r="G9357" s="1375"/>
      <c r="H9357" s="1376"/>
      <c r="I9357" s="1382"/>
      <c r="J9357" s="1383"/>
      <c r="K9357" s="1383"/>
      <c r="L9357" s="1413"/>
      <c r="M9357" s="1376"/>
      <c r="N9357" s="1376"/>
      <c r="O9357" s="1376"/>
      <c r="P9357" s="1373"/>
      <c r="Q9357" s="3387"/>
    </row>
    <row r="9358" spans="1:18">
      <c r="A9358" s="1321"/>
      <c r="B9358" s="1295"/>
      <c r="C9358" s="1321"/>
      <c r="D9358" s="1377"/>
      <c r="E9358" s="2124"/>
      <c r="F9358" s="1378"/>
      <c r="G9358" s="1378"/>
      <c r="H9358" s="1379"/>
      <c r="I9358" s="1299"/>
      <c r="J9358" s="1300"/>
      <c r="K9358" s="1307"/>
      <c r="L9358" s="1335"/>
      <c r="M9358" s="1302"/>
      <c r="N9358" s="1700"/>
      <c r="O9358" s="1290"/>
      <c r="P9358" s="1332"/>
      <c r="Q9358" s="3391"/>
    </row>
    <row r="9359" spans="1:18">
      <c r="A9359" s="1321"/>
      <c r="B9359" s="1295"/>
      <c r="C9359" s="1321"/>
      <c r="D9359" s="1377"/>
      <c r="E9359" s="2124"/>
      <c r="F9359" s="1378"/>
      <c r="G9359" s="1378"/>
      <c r="H9359" s="1379"/>
      <c r="I9359" s="1299"/>
      <c r="J9359" s="1300"/>
      <c r="K9359" s="1307"/>
      <c r="L9359" s="1335"/>
      <c r="M9359" s="1302"/>
      <c r="N9359" s="1700"/>
      <c r="O9359" s="1290"/>
      <c r="P9359" s="1333"/>
      <c r="Q9359" s="3391"/>
    </row>
    <row r="9360" spans="1:18">
      <c r="A9360" s="1042"/>
      <c r="B9360" s="22"/>
      <c r="C9360" s="1042"/>
      <c r="D9360" s="1677"/>
      <c r="E9360" s="2161"/>
      <c r="F9360" s="1678"/>
      <c r="G9360" s="1678"/>
      <c r="H9360" s="1376"/>
      <c r="I9360" s="1299"/>
      <c r="J9360" s="1300"/>
      <c r="K9360" s="1307"/>
      <c r="L9360" s="1335"/>
      <c r="M9360" s="1302"/>
      <c r="N9360" s="1700"/>
      <c r="O9360" s="1290"/>
      <c r="P9360" s="1332"/>
      <c r="Q9360" s="3391"/>
    </row>
    <row r="9361" spans="1:18">
      <c r="A9361" s="18" t="s">
        <v>3764</v>
      </c>
      <c r="B9361" s="4325" t="s">
        <v>2058</v>
      </c>
      <c r="C9361" s="3350"/>
      <c r="D9361" s="4327"/>
      <c r="E9361" s="4329" t="s">
        <v>1507</v>
      </c>
      <c r="F9361" s="4336" t="s">
        <v>2059</v>
      </c>
      <c r="G9361" s="4331" t="s">
        <v>1568</v>
      </c>
      <c r="H9361" s="4331" t="s">
        <v>1574</v>
      </c>
      <c r="I9361" s="1572" t="s">
        <v>1559</v>
      </c>
      <c r="J9361" s="1294" t="s">
        <v>1560</v>
      </c>
      <c r="K9361" s="1294" t="s">
        <v>1569</v>
      </c>
      <c r="L9361" s="4333" t="s">
        <v>3765</v>
      </c>
      <c r="M9361" s="4335" t="s">
        <v>1571</v>
      </c>
      <c r="N9361" s="4323" t="s">
        <v>1776</v>
      </c>
      <c r="O9361" s="3347" t="s">
        <v>1563</v>
      </c>
      <c r="P9361" s="1336" t="s">
        <v>1562</v>
      </c>
      <c r="Q9361" s="3389"/>
      <c r="R9361" s="1699" t="s">
        <v>1327</v>
      </c>
    </row>
    <row r="9362" spans="1:18" ht="14.25" customHeight="1">
      <c r="A9362" s="1662" t="s">
        <v>2089</v>
      </c>
      <c r="B9362" s="4326"/>
      <c r="C9362" s="3351"/>
      <c r="D9362" s="4328"/>
      <c r="E9362" s="4330"/>
      <c r="F9362" s="4336"/>
      <c r="G9362" s="4332"/>
      <c r="H9362" s="4332"/>
      <c r="I9362" s="3814">
        <v>46.02</v>
      </c>
      <c r="J9362" s="3815">
        <v>2.1999999999999999E-2</v>
      </c>
      <c r="K9362" s="1297">
        <f>I9362*J9362</f>
        <v>1.01244</v>
      </c>
      <c r="L9362" s="4334"/>
      <c r="M9362" s="4335"/>
      <c r="N9362" s="4324"/>
      <c r="O9362" s="1298">
        <f>O9364+O9365+O9373+O9374</f>
        <v>15.346632899999999</v>
      </c>
      <c r="P9362" s="1337">
        <f>O9362*K9362</f>
        <v>15.537545013275999</v>
      </c>
      <c r="Q9362" s="3390"/>
      <c r="R9362" s="1721">
        <f>P9364+P9365+P9373+P9374</f>
        <v>15.537545013276002</v>
      </c>
    </row>
    <row r="9363" spans="1:18">
      <c r="A9363" s="1320"/>
      <c r="B9363" s="22"/>
      <c r="C9363" s="1327"/>
      <c r="D9363" s="1367"/>
      <c r="E9363" s="2121"/>
      <c r="F9363" s="1389" t="s">
        <v>1</v>
      </c>
      <c r="G9363" s="1389"/>
      <c r="H9363" s="1369"/>
      <c r="I9363" s="1409"/>
      <c r="J9363" s="1390"/>
      <c r="K9363" s="1391"/>
      <c r="L9363" s="1559"/>
      <c r="M9363" s="1369"/>
      <c r="N9363" s="1369"/>
      <c r="O9363" s="1369"/>
      <c r="P9363" s="1392"/>
      <c r="Q9363" s="3395"/>
    </row>
    <row r="9364" spans="1:18">
      <c r="A9364" s="1042"/>
      <c r="B9364" s="22"/>
      <c r="C9364" s="1042"/>
      <c r="D9364" s="1598" t="s">
        <v>2060</v>
      </c>
      <c r="E9364" s="2154" t="s">
        <v>1357</v>
      </c>
      <c r="F9364" s="1598" t="s">
        <v>2061</v>
      </c>
      <c r="G9364" s="1612">
        <v>0.09</v>
      </c>
      <c r="H9364" s="1674"/>
      <c r="I9364" s="1299"/>
      <c r="J9364" s="1300"/>
      <c r="K9364" s="1307">
        <f>G9364*K9362</f>
        <v>9.1119599999999995E-2</v>
      </c>
      <c r="L9364" s="1335">
        <f>K9364*$K$9346</f>
        <v>0</v>
      </c>
      <c r="M9364" s="1302">
        <v>7.42</v>
      </c>
      <c r="N9364" s="1700"/>
      <c r="O9364" s="1290">
        <f>G9364*M9364</f>
        <v>0.66779999999999995</v>
      </c>
      <c r="P9364" s="1332">
        <f>M9364*K9364</f>
        <v>0.67610743200000001</v>
      </c>
      <c r="Q9364" s="3391"/>
    </row>
    <row r="9365" spans="1:18">
      <c r="A9365" s="16"/>
      <c r="B9365" s="1042"/>
      <c r="C9365" s="1356" t="s">
        <v>1127</v>
      </c>
      <c r="D9365" s="1311"/>
      <c r="E9365" s="2137" t="s">
        <v>1517</v>
      </c>
      <c r="F9365" s="1319" t="s">
        <v>1519</v>
      </c>
      <c r="G9365" s="1353"/>
      <c r="H9365" s="1456">
        <v>0.03</v>
      </c>
      <c r="I9365" s="1444"/>
      <c r="J9365" s="1388"/>
      <c r="K9365" s="1445"/>
      <c r="L9365" s="1457"/>
      <c r="M9365" s="1447"/>
      <c r="N9365" s="1447">
        <f>SUM(N9366:N9369)</f>
        <v>50.044430000000006</v>
      </c>
      <c r="O9365" s="1447">
        <f>SUM(O9366:O9369)</f>
        <v>1.5013329000000002</v>
      </c>
      <c r="P9365" s="1446">
        <f>SUM(P9366:P9369)</f>
        <v>1.5200094812760003</v>
      </c>
      <c r="Q9365" s="3391"/>
      <c r="R9365" s="2337"/>
    </row>
    <row r="9366" spans="1:18">
      <c r="A9366" s="16"/>
      <c r="B9366" s="1042"/>
      <c r="C9366" s="1327"/>
      <c r="D9366" s="1400" t="s">
        <v>1069</v>
      </c>
      <c r="E9366" s="1856" t="s">
        <v>1517</v>
      </c>
      <c r="F9366" s="1397" t="s">
        <v>1578</v>
      </c>
      <c r="G9366" s="1416">
        <v>0.26300000000000001</v>
      </c>
      <c r="H9366" s="1399">
        <f>G9366*$H$9091</f>
        <v>7.8899999999999994E-3</v>
      </c>
      <c r="I9366" s="197"/>
      <c r="J9366" s="198"/>
      <c r="K9366" s="1307">
        <f>H9366*$K$9088</f>
        <v>7.9881516E-3</v>
      </c>
      <c r="L9366" s="1335">
        <f>K9366*$K$9346</f>
        <v>0</v>
      </c>
      <c r="M9366" s="1302">
        <v>0.55000000000000004</v>
      </c>
      <c r="N9366" s="1718">
        <f>G9366*M9366</f>
        <v>0.14465000000000003</v>
      </c>
      <c r="O9366" s="1290">
        <f>H9366*M9366</f>
        <v>4.3395000000000005E-3</v>
      </c>
      <c r="P9366" s="1332">
        <f>M9366*K9366</f>
        <v>4.3934833800000003E-3</v>
      </c>
      <c r="Q9366" s="3391"/>
      <c r="R9366" s="2337"/>
    </row>
    <row r="9367" spans="1:18">
      <c r="A9367" s="16"/>
      <c r="B9367" s="1042"/>
      <c r="C9367" s="1320"/>
      <c r="D9367" s="1400" t="s">
        <v>1394</v>
      </c>
      <c r="E9367" s="1856" t="s">
        <v>1577</v>
      </c>
      <c r="F9367" s="1397" t="s">
        <v>1579</v>
      </c>
      <c r="G9367" s="1416">
        <v>0.25800000000000001</v>
      </c>
      <c r="H9367" s="1399">
        <f>G9367*$H$9091</f>
        <v>7.7400000000000004E-3</v>
      </c>
      <c r="I9367" s="197"/>
      <c r="J9367" s="198"/>
      <c r="K9367" s="1307">
        <f t="shared" ref="K9367:K9369" si="1262">H9367*$K$9088</f>
        <v>7.8362856000000012E-3</v>
      </c>
      <c r="L9367" s="1335">
        <f>K9367*$K$9346</f>
        <v>0</v>
      </c>
      <c r="M9367" s="1302">
        <v>92.54</v>
      </c>
      <c r="N9367" s="1718">
        <f>G9367*M9367</f>
        <v>23.875320000000002</v>
      </c>
      <c r="O9367" s="1290">
        <f>H9367*M9367</f>
        <v>0.71625960000000011</v>
      </c>
      <c r="P9367" s="1332">
        <f>M9367*K9367</f>
        <v>0.72516986942400019</v>
      </c>
      <c r="Q9367" s="3391"/>
      <c r="R9367" s="2337"/>
    </row>
    <row r="9368" spans="1:18">
      <c r="A9368" s="16"/>
      <c r="B9368" s="1042"/>
      <c r="C9368" s="1320"/>
      <c r="D9368" s="1400" t="s">
        <v>1576</v>
      </c>
      <c r="E9368" s="1856" t="s">
        <v>1517</v>
      </c>
      <c r="F9368" s="1397" t="s">
        <v>1580</v>
      </c>
      <c r="G9368" s="1416">
        <v>1.1020000000000001</v>
      </c>
      <c r="H9368" s="1399">
        <f>G9368*$H$9091</f>
        <v>3.3059999999999999E-2</v>
      </c>
      <c r="I9368" s="197"/>
      <c r="J9368" s="198"/>
      <c r="K9368" s="1307">
        <f t="shared" si="1262"/>
        <v>3.3471266399999998E-2</v>
      </c>
      <c r="L9368" s="1335">
        <f>K9368*$K$9346</f>
        <v>0</v>
      </c>
      <c r="M9368" s="1302">
        <v>6.53</v>
      </c>
      <c r="N9368" s="1718">
        <f>G9368*M9368</f>
        <v>7.196060000000001</v>
      </c>
      <c r="O9368" s="1290">
        <f>H9368*M9368</f>
        <v>0.21588180000000001</v>
      </c>
      <c r="P9368" s="1332">
        <f>M9368*K9368</f>
        <v>0.21856736959199999</v>
      </c>
      <c r="Q9368" s="3391"/>
      <c r="R9368" s="2337"/>
    </row>
    <row r="9369" spans="1:18">
      <c r="A9369" s="16"/>
      <c r="B9369" s="1042"/>
      <c r="C9369" s="1320"/>
      <c r="D9369" s="1404" t="s">
        <v>1067</v>
      </c>
      <c r="E9369" s="1857" t="s">
        <v>1508</v>
      </c>
      <c r="F9369" s="1406" t="s">
        <v>1512</v>
      </c>
      <c r="G9369" s="1407">
        <v>1.03</v>
      </c>
      <c r="H9369" s="1408">
        <f>G9369*$H$9091</f>
        <v>3.09E-2</v>
      </c>
      <c r="I9369" s="197"/>
      <c r="J9369" s="198"/>
      <c r="K9369" s="1307">
        <f t="shared" si="1262"/>
        <v>3.1284395999999999E-2</v>
      </c>
      <c r="L9369" s="1335">
        <f>K9369*$K$9346</f>
        <v>0</v>
      </c>
      <c r="M9369" s="1302">
        <v>18.28</v>
      </c>
      <c r="N9369" s="1718">
        <f>G9369*M9369</f>
        <v>18.828400000000002</v>
      </c>
      <c r="O9369" s="1290">
        <f>H9369*M9369</f>
        <v>0.56485200000000002</v>
      </c>
      <c r="P9369" s="1332">
        <f>M9369*K9369</f>
        <v>0.57187875888000006</v>
      </c>
      <c r="Q9369" s="3391"/>
      <c r="R9369" s="2337"/>
    </row>
    <row r="9370" spans="1:18">
      <c r="A9370" s="1042"/>
      <c r="B9370" s="22"/>
      <c r="C9370" s="1042"/>
      <c r="D9370" s="1672"/>
      <c r="E9370" s="2160"/>
      <c r="F9370" s="1675"/>
      <c r="G9370" s="1675"/>
      <c r="H9370" s="1674"/>
      <c r="I9370" s="1299"/>
      <c r="J9370" s="1300"/>
      <c r="K9370" s="1307"/>
      <c r="L9370" s="1335"/>
      <c r="M9370" s="1302"/>
      <c r="N9370" s="1700"/>
      <c r="O9370" s="1290"/>
      <c r="P9370" s="1332"/>
      <c r="Q9370" s="3391"/>
    </row>
    <row r="9371" spans="1:18">
      <c r="A9371" s="1042"/>
      <c r="B9371" s="22"/>
      <c r="C9371" s="1042"/>
      <c r="D9371" s="1367"/>
      <c r="E9371" s="2121"/>
      <c r="F9371" s="1436"/>
      <c r="G9371" s="1436"/>
      <c r="H9371" s="1369"/>
      <c r="I9371" s="1299"/>
      <c r="J9371" s="1300"/>
      <c r="K9371" s="1307"/>
      <c r="L9371" s="1335"/>
      <c r="M9371" s="1302"/>
      <c r="N9371" s="1700"/>
      <c r="O9371" s="1290"/>
      <c r="P9371" s="1332"/>
      <c r="Q9371" s="3391"/>
    </row>
    <row r="9372" spans="1:18">
      <c r="A9372" s="1042"/>
      <c r="B9372" s="22"/>
      <c r="C9372" s="1042"/>
      <c r="D9372" s="1359"/>
      <c r="E9372" s="1858"/>
      <c r="F9372" s="1360" t="s">
        <v>2</v>
      </c>
      <c r="G9372" s="1360"/>
      <c r="H9372" s="1362"/>
      <c r="I9372" s="1380"/>
      <c r="J9372" s="1381"/>
      <c r="K9372" s="1381"/>
      <c r="L9372" s="1458"/>
      <c r="M9372" s="1362"/>
      <c r="N9372" s="1362"/>
      <c r="O9372" s="1362"/>
      <c r="P9372" s="1359"/>
      <c r="Q9372" s="3387"/>
    </row>
    <row r="9373" spans="1:18">
      <c r="A9373" s="1321"/>
      <c r="B9373" s="1295"/>
      <c r="C9373" s="1321"/>
      <c r="D9373" s="1363" t="s">
        <v>1088</v>
      </c>
      <c r="E9373" s="2125" t="s">
        <v>1508</v>
      </c>
      <c r="F9373" s="1403" t="s">
        <v>37</v>
      </c>
      <c r="G9373" s="1408">
        <v>0.35</v>
      </c>
      <c r="H9373" s="2019"/>
      <c r="I9373" s="1299"/>
      <c r="J9373" s="1300"/>
      <c r="K9373" s="1307">
        <f>G9373*K9362</f>
        <v>0.354354</v>
      </c>
      <c r="L9373" s="1335">
        <f>K9373*$K$9346</f>
        <v>0</v>
      </c>
      <c r="M9373" s="1302">
        <v>19.23</v>
      </c>
      <c r="N9373" s="1700"/>
      <c r="O9373" s="1290">
        <f>G9373*M9373</f>
        <v>6.7305000000000001</v>
      </c>
      <c r="P9373" s="1332">
        <f>M9373*K9373</f>
        <v>6.8142274199999999</v>
      </c>
      <c r="Q9373" s="3391"/>
    </row>
    <row r="9374" spans="1:18">
      <c r="A9374" s="1320"/>
      <c r="B9374" s="22"/>
      <c r="C9374" s="1320"/>
      <c r="D9374" s="1655" t="s">
        <v>2063</v>
      </c>
      <c r="E9374" s="1859" t="s">
        <v>1508</v>
      </c>
      <c r="F9374" s="1655" t="s">
        <v>1966</v>
      </c>
      <c r="G9374" s="1809">
        <v>0.35</v>
      </c>
      <c r="H9374" s="1359"/>
      <c r="I9374" s="1299"/>
      <c r="J9374" s="1300"/>
      <c r="K9374" s="1307">
        <f>G9374*K9362</f>
        <v>0.354354</v>
      </c>
      <c r="L9374" s="1335">
        <f>K9374*$K$9346</f>
        <v>0</v>
      </c>
      <c r="M9374" s="1302">
        <v>18.420000000000002</v>
      </c>
      <c r="N9374" s="1700"/>
      <c r="O9374" s="1290">
        <f>G9374*M9374</f>
        <v>6.4470000000000001</v>
      </c>
      <c r="P9374" s="1332">
        <f>M9374*K9374</f>
        <v>6.5272006800000009</v>
      </c>
      <c r="Q9374" s="3391"/>
    </row>
    <row r="9375" spans="1:18">
      <c r="A9375" s="1320"/>
      <c r="B9375" s="22"/>
      <c r="C9375" s="1320"/>
      <c r="D9375" s="1359"/>
      <c r="E9375" s="1858"/>
      <c r="F9375" s="1404"/>
      <c r="G9375" s="1404"/>
      <c r="H9375" s="1359"/>
      <c r="I9375" s="1299"/>
      <c r="J9375" s="1300"/>
      <c r="K9375" s="1307"/>
      <c r="L9375" s="1335"/>
      <c r="M9375" s="1302"/>
      <c r="N9375" s="1700"/>
      <c r="O9375" s="1290"/>
      <c r="P9375" s="1332"/>
      <c r="Q9375" s="3391"/>
    </row>
    <row r="9376" spans="1:18">
      <c r="A9376" s="1320"/>
      <c r="B9376" s="22"/>
      <c r="C9376" s="1320"/>
      <c r="D9376" s="1359"/>
      <c r="E9376" s="1858"/>
      <c r="F9376" s="1361"/>
      <c r="G9376" s="1361"/>
      <c r="H9376" s="1466"/>
      <c r="I9376" s="1299"/>
      <c r="J9376" s="1300"/>
      <c r="K9376" s="1307"/>
      <c r="L9376" s="1335"/>
      <c r="M9376" s="1302"/>
      <c r="N9376" s="1700"/>
      <c r="O9376" s="1290"/>
      <c r="P9376" s="1332"/>
      <c r="Q9376" s="3391"/>
    </row>
    <row r="9377" spans="1:18">
      <c r="A9377" s="1320"/>
      <c r="B9377" s="22"/>
      <c r="C9377" s="1320"/>
      <c r="D9377" s="1373"/>
      <c r="E9377" s="2123"/>
      <c r="F9377" s="1374" t="s">
        <v>3</v>
      </c>
      <c r="G9377" s="1375"/>
      <c r="H9377" s="1376"/>
      <c r="I9377" s="1382"/>
      <c r="J9377" s="1383"/>
      <c r="K9377" s="1383"/>
      <c r="L9377" s="1413"/>
      <c r="M9377" s="1376"/>
      <c r="N9377" s="1376"/>
      <c r="O9377" s="1376"/>
      <c r="P9377" s="1373"/>
      <c r="Q9377" s="3387"/>
    </row>
    <row r="9378" spans="1:18">
      <c r="A9378" s="1321"/>
      <c r="B9378" s="1295"/>
      <c r="C9378" s="1321"/>
      <c r="D9378" s="1377"/>
      <c r="E9378" s="2124"/>
      <c r="F9378" s="1378"/>
      <c r="G9378" s="1378"/>
      <c r="H9378" s="1379"/>
      <c r="I9378" s="1299"/>
      <c r="J9378" s="1300"/>
      <c r="K9378" s="1307"/>
      <c r="L9378" s="1335"/>
      <c r="M9378" s="1302"/>
      <c r="N9378" s="1700"/>
      <c r="O9378" s="1290"/>
      <c r="P9378" s="1332"/>
      <c r="Q9378" s="3391"/>
    </row>
    <row r="9379" spans="1:18">
      <c r="A9379" s="1321"/>
      <c r="B9379" s="1295"/>
      <c r="C9379" s="1321"/>
      <c r="D9379" s="1377"/>
      <c r="E9379" s="2124"/>
      <c r="F9379" s="1378"/>
      <c r="G9379" s="1378"/>
      <c r="H9379" s="1379"/>
      <c r="I9379" s="1299"/>
      <c r="J9379" s="1300"/>
      <c r="K9379" s="1307"/>
      <c r="L9379" s="1335"/>
      <c r="M9379" s="1302"/>
      <c r="N9379" s="1700"/>
      <c r="O9379" s="1290"/>
      <c r="P9379" s="1333"/>
      <c r="Q9379" s="3391"/>
    </row>
    <row r="9380" spans="1:18">
      <c r="A9380" s="1042"/>
      <c r="B9380" s="22"/>
      <c r="C9380" s="1042"/>
      <c r="D9380" s="1677"/>
      <c r="E9380" s="2161"/>
      <c r="F9380" s="1678"/>
      <c r="G9380" s="1678"/>
      <c r="H9380" s="1376"/>
      <c r="I9380" s="1299"/>
      <c r="J9380" s="1300"/>
      <c r="K9380" s="1307"/>
      <c r="L9380" s="1335"/>
      <c r="M9380" s="1302"/>
      <c r="N9380" s="1700"/>
      <c r="O9380" s="1290"/>
      <c r="P9380" s="1332"/>
      <c r="Q9380" s="3391"/>
    </row>
    <row r="9381" spans="1:18">
      <c r="A9381" s="18" t="s">
        <v>3764</v>
      </c>
      <c r="B9381" s="4325" t="s">
        <v>3642</v>
      </c>
      <c r="C9381" s="3350"/>
      <c r="D9381" s="4327"/>
      <c r="E9381" s="4329" t="s">
        <v>1507</v>
      </c>
      <c r="F9381" s="4336" t="s">
        <v>2090</v>
      </c>
      <c r="G9381" s="4331" t="s">
        <v>1568</v>
      </c>
      <c r="H9381" s="4331" t="s">
        <v>1574</v>
      </c>
      <c r="I9381" s="1572" t="s">
        <v>1559</v>
      </c>
      <c r="J9381" s="1294" t="s">
        <v>1560</v>
      </c>
      <c r="K9381" s="1294" t="s">
        <v>1569</v>
      </c>
      <c r="L9381" s="4333" t="s">
        <v>3765</v>
      </c>
      <c r="M9381" s="4335" t="s">
        <v>1571</v>
      </c>
      <c r="N9381" s="4323" t="s">
        <v>1776</v>
      </c>
      <c r="O9381" s="3347" t="s">
        <v>1563</v>
      </c>
      <c r="P9381" s="1336" t="s">
        <v>1562</v>
      </c>
      <c r="Q9381" s="3389"/>
      <c r="R9381" s="1699" t="s">
        <v>1327</v>
      </c>
    </row>
    <row r="9382" spans="1:18">
      <c r="A9382" s="1662" t="s">
        <v>2089</v>
      </c>
      <c r="B9382" s="4326"/>
      <c r="C9382" s="3351"/>
      <c r="D9382" s="4328"/>
      <c r="E9382" s="4330"/>
      <c r="F9382" s="4336"/>
      <c r="G9382" s="4332"/>
      <c r="H9382" s="4332"/>
      <c r="I9382" s="3814">
        <v>46.02</v>
      </c>
      <c r="J9382" s="3815">
        <v>2.1999999999999999E-2</v>
      </c>
      <c r="K9382" s="1297">
        <f>I9382*J9382</f>
        <v>1.01244</v>
      </c>
      <c r="L9382" s="4334"/>
      <c r="M9382" s="4335"/>
      <c r="N9382" s="4324"/>
      <c r="O9382" s="1298">
        <f>SUM(O9384:O9398)</f>
        <v>85.925100000000015</v>
      </c>
      <c r="P9382" s="1337">
        <f>O9382*K9382</f>
        <v>86.994008244000014</v>
      </c>
      <c r="Q9382" s="3390"/>
      <c r="R9382" s="1721">
        <f>SUM(P9384:P9398)</f>
        <v>86.994008244</v>
      </c>
    </row>
    <row r="9383" spans="1:18">
      <c r="A9383" s="1320"/>
      <c r="B9383" s="22"/>
      <c r="C9383" s="1327"/>
      <c r="D9383" s="1400"/>
      <c r="E9383" s="2121"/>
      <c r="F9383" s="1389" t="s">
        <v>1</v>
      </c>
      <c r="G9383" s="1389"/>
      <c r="H9383" s="1369"/>
      <c r="I9383" s="1409"/>
      <c r="J9383" s="1390"/>
      <c r="K9383" s="1391"/>
      <c r="L9383" s="1559"/>
      <c r="M9383" s="1369"/>
      <c r="N9383" s="1369"/>
      <c r="O9383" s="1369"/>
      <c r="P9383" s="1392"/>
      <c r="Q9383" s="3395"/>
    </row>
    <row r="9384" spans="1:18">
      <c r="A9384" s="1042"/>
      <c r="B9384" s="22"/>
      <c r="C9384" s="1042"/>
      <c r="D9384" s="1610" t="s">
        <v>2091</v>
      </c>
      <c r="E9384" s="2154" t="s">
        <v>1507</v>
      </c>
      <c r="F9384" s="1598" t="s">
        <v>2092</v>
      </c>
      <c r="G9384" s="1612">
        <v>1</v>
      </c>
      <c r="H9384" s="1674"/>
      <c r="I9384" s="1299"/>
      <c r="J9384" s="1300"/>
      <c r="K9384" s="1307">
        <f>G9384*K9382</f>
        <v>1.01244</v>
      </c>
      <c r="L9384" s="1335">
        <f>K9384*$K$9346</f>
        <v>0</v>
      </c>
      <c r="M9384" s="1302">
        <v>70.900000000000006</v>
      </c>
      <c r="N9384" s="1700"/>
      <c r="O9384" s="1290">
        <f>G9384*M9384</f>
        <v>70.900000000000006</v>
      </c>
      <c r="P9384" s="1332">
        <f>M9384*K9384</f>
        <v>71.781996000000007</v>
      </c>
      <c r="Q9384" s="3391"/>
    </row>
    <row r="9385" spans="1:18">
      <c r="A9385" s="16"/>
      <c r="B9385" s="553"/>
      <c r="C9385" s="1042"/>
      <c r="D9385" s="1610" t="s">
        <v>1191</v>
      </c>
      <c r="E9385" s="2154" t="s">
        <v>1527</v>
      </c>
      <c r="F9385" s="1598" t="s">
        <v>2093</v>
      </c>
      <c r="G9385" s="1612">
        <v>3</v>
      </c>
      <c r="H9385" s="1674"/>
      <c r="I9385" s="1299"/>
      <c r="J9385" s="1300"/>
      <c r="K9385" s="1307">
        <f>G9385*K9382</f>
        <v>3.0373200000000002</v>
      </c>
      <c r="L9385" s="1335">
        <f>K9385*$K$9346</f>
        <v>0</v>
      </c>
      <c r="M9385" s="1302">
        <v>0.97</v>
      </c>
      <c r="N9385" s="1700"/>
      <c r="O9385" s="1290">
        <f>G9385*M9385</f>
        <v>2.91</v>
      </c>
      <c r="P9385" s="1332">
        <f>M9385*K9385</f>
        <v>2.9462003999999999</v>
      </c>
      <c r="Q9385" s="3391"/>
      <c r="R9385" s="2337"/>
    </row>
    <row r="9386" spans="1:18">
      <c r="A9386" s="16"/>
      <c r="B9386" s="553"/>
      <c r="C9386" s="1320"/>
      <c r="D9386" s="1610" t="s">
        <v>1175</v>
      </c>
      <c r="E9386" s="2154" t="s">
        <v>1527</v>
      </c>
      <c r="F9386" s="1598" t="s">
        <v>1914</v>
      </c>
      <c r="G9386" s="1612">
        <v>3</v>
      </c>
      <c r="H9386" s="1399"/>
      <c r="I9386" s="197"/>
      <c r="J9386" s="198"/>
      <c r="K9386" s="1307">
        <f>G9386*K9382</f>
        <v>3.0373200000000002</v>
      </c>
      <c r="L9386" s="1335">
        <f>K9386*$K$9346</f>
        <v>0</v>
      </c>
      <c r="M9386" s="1302">
        <v>1.3</v>
      </c>
      <c r="N9386" s="1718"/>
      <c r="O9386" s="1290">
        <f>G9386*M9386</f>
        <v>3.9000000000000004</v>
      </c>
      <c r="P9386" s="1332">
        <f>M9386*K9386</f>
        <v>3.9485160000000006</v>
      </c>
      <c r="Q9386" s="3391"/>
      <c r="R9386" s="2337"/>
    </row>
    <row r="9387" spans="1:18">
      <c r="A9387" s="16"/>
      <c r="B9387" s="553"/>
      <c r="C9387" s="1320"/>
      <c r="D9387" s="1610" t="s">
        <v>1082</v>
      </c>
      <c r="E9387" s="2154" t="s">
        <v>1504</v>
      </c>
      <c r="F9387" s="1598" t="s">
        <v>1541</v>
      </c>
      <c r="G9387" s="1612">
        <v>1</v>
      </c>
      <c r="H9387" s="1399"/>
      <c r="I9387" s="197"/>
      <c r="J9387" s="198"/>
      <c r="K9387" s="1307">
        <f>G9387*K9382</f>
        <v>1.01244</v>
      </c>
      <c r="L9387" s="1335">
        <f>K9387*$K$9346</f>
        <v>0</v>
      </c>
      <c r="M9387" s="1302">
        <v>0.3</v>
      </c>
      <c r="N9387" s="1718"/>
      <c r="O9387" s="1290">
        <f>G9387*M9387</f>
        <v>0.3</v>
      </c>
      <c r="P9387" s="1332">
        <f>M9387*K9387</f>
        <v>0.303732</v>
      </c>
      <c r="Q9387" s="3391"/>
      <c r="R9387" s="2337"/>
    </row>
    <row r="9388" spans="1:18">
      <c r="A9388" s="1042"/>
      <c r="B9388" s="22"/>
      <c r="C9388" s="1042"/>
      <c r="D9388" s="1400"/>
      <c r="E9388" s="2121"/>
      <c r="F9388" s="1436"/>
      <c r="G9388" s="1436"/>
      <c r="H9388" s="1369"/>
      <c r="I9388" s="1299"/>
      <c r="J9388" s="1300"/>
      <c r="K9388" s="1307"/>
      <c r="L9388" s="1335"/>
      <c r="M9388" s="1302"/>
      <c r="N9388" s="1700"/>
      <c r="O9388" s="1290"/>
      <c r="P9388" s="1332"/>
      <c r="Q9388" s="3391"/>
    </row>
    <row r="9389" spans="1:18">
      <c r="A9389" s="1042"/>
      <c r="B9389" s="22"/>
      <c r="C9389" s="1042"/>
      <c r="D9389" s="1400"/>
      <c r="E9389" s="2121"/>
      <c r="F9389" s="1436"/>
      <c r="G9389" s="1436"/>
      <c r="H9389" s="1369"/>
      <c r="I9389" s="1299"/>
      <c r="J9389" s="1300"/>
      <c r="K9389" s="1307"/>
      <c r="L9389" s="1335"/>
      <c r="M9389" s="1302"/>
      <c r="N9389" s="1700"/>
      <c r="O9389" s="1290"/>
      <c r="P9389" s="1332"/>
      <c r="Q9389" s="3391"/>
    </row>
    <row r="9390" spans="1:18">
      <c r="A9390" s="1042"/>
      <c r="B9390" s="22"/>
      <c r="C9390" s="1042"/>
      <c r="D9390" s="1404"/>
      <c r="E9390" s="1858"/>
      <c r="F9390" s="1360" t="s">
        <v>2</v>
      </c>
      <c r="G9390" s="1360"/>
      <c r="H9390" s="1362"/>
      <c r="I9390" s="1380"/>
      <c r="J9390" s="1381"/>
      <c r="K9390" s="1381"/>
      <c r="L9390" s="1458"/>
      <c r="M9390" s="1362"/>
      <c r="N9390" s="1362"/>
      <c r="O9390" s="1362"/>
      <c r="P9390" s="1359"/>
      <c r="Q9390" s="3387"/>
    </row>
    <row r="9391" spans="1:18">
      <c r="A9391" s="1321"/>
      <c r="B9391" s="1295"/>
      <c r="C9391" s="1321"/>
      <c r="D9391" s="1622" t="s">
        <v>1067</v>
      </c>
      <c r="E9391" s="2125" t="s">
        <v>1508</v>
      </c>
      <c r="F9391" s="1385" t="s">
        <v>1512</v>
      </c>
      <c r="G9391" s="2019">
        <v>0.17</v>
      </c>
      <c r="H9391" s="1386"/>
      <c r="I9391" s="1299"/>
      <c r="J9391" s="1300"/>
      <c r="K9391" s="1307">
        <f>G9391*K9382</f>
        <v>0.17211480000000001</v>
      </c>
      <c r="L9391" s="1335">
        <f>K9391*$K$9346</f>
        <v>0</v>
      </c>
      <c r="M9391" s="1302">
        <v>18.28</v>
      </c>
      <c r="N9391" s="1700"/>
      <c r="O9391" s="1290">
        <f>G9391*M9391</f>
        <v>3.1076000000000006</v>
      </c>
      <c r="P9391" s="1332">
        <f>M9391*K9391</f>
        <v>3.1462585440000006</v>
      </c>
      <c r="Q9391" s="3391"/>
    </row>
    <row r="9392" spans="1:18">
      <c r="A9392" s="1320"/>
      <c r="B9392" s="22"/>
      <c r="C9392" s="1320"/>
      <c r="D9392" s="1993" t="s">
        <v>1173</v>
      </c>
      <c r="E9392" s="1859" t="s">
        <v>1508</v>
      </c>
      <c r="F9392" s="1655" t="s">
        <v>1768</v>
      </c>
      <c r="G9392" s="1809">
        <v>0.25</v>
      </c>
      <c r="H9392" s="1359"/>
      <c r="I9392" s="1299"/>
      <c r="J9392" s="1300"/>
      <c r="K9392" s="1307">
        <f>G9392*K9382</f>
        <v>0.25311</v>
      </c>
      <c r="L9392" s="1335">
        <f>K9392*$K$9346</f>
        <v>0</v>
      </c>
      <c r="M9392" s="1302">
        <v>19.23</v>
      </c>
      <c r="N9392" s="1700"/>
      <c r="O9392" s="1290">
        <f>G9392*M9392</f>
        <v>4.8075000000000001</v>
      </c>
      <c r="P9392" s="1332">
        <f>M9392*K9392</f>
        <v>4.8673052999999999</v>
      </c>
      <c r="Q9392" s="3391"/>
    </row>
    <row r="9393" spans="1:19">
      <c r="A9393" s="1320"/>
      <c r="B9393" s="22"/>
      <c r="C9393" s="1320"/>
      <c r="D9393" s="1404"/>
      <c r="E9393" s="1858"/>
      <c r="F9393" s="1404"/>
      <c r="G9393" s="1404"/>
      <c r="H9393" s="1359"/>
      <c r="I9393" s="1299"/>
      <c r="J9393" s="1300"/>
      <c r="K9393" s="1307"/>
      <c r="L9393" s="1335"/>
      <c r="M9393" s="1302"/>
      <c r="N9393" s="1700"/>
      <c r="O9393" s="1290"/>
      <c r="P9393" s="1332"/>
      <c r="Q9393" s="3391"/>
    </row>
    <row r="9394" spans="1:19">
      <c r="A9394" s="1320"/>
      <c r="B9394" s="22"/>
      <c r="C9394" s="1320"/>
      <c r="D9394" s="1404"/>
      <c r="E9394" s="1858"/>
      <c r="F9394" s="1361"/>
      <c r="G9394" s="1361"/>
      <c r="H9394" s="1466"/>
      <c r="I9394" s="1299"/>
      <c r="J9394" s="1300"/>
      <c r="K9394" s="1307"/>
      <c r="L9394" s="1335"/>
      <c r="M9394" s="1302"/>
      <c r="N9394" s="1700"/>
      <c r="O9394" s="1290"/>
      <c r="P9394" s="1332"/>
      <c r="Q9394" s="3391"/>
    </row>
    <row r="9395" spans="1:19">
      <c r="A9395" s="1320"/>
      <c r="B9395" s="22"/>
      <c r="C9395" s="1320"/>
      <c r="D9395" s="1411"/>
      <c r="E9395" s="2123"/>
      <c r="F9395" s="1374" t="s">
        <v>3</v>
      </c>
      <c r="G9395" s="1375"/>
      <c r="H9395" s="1376"/>
      <c r="I9395" s="1382"/>
      <c r="J9395" s="1383"/>
      <c r="K9395" s="1383"/>
      <c r="L9395" s="1413"/>
      <c r="M9395" s="1376"/>
      <c r="N9395" s="1376"/>
      <c r="O9395" s="1376"/>
      <c r="P9395" s="1373"/>
      <c r="Q9395" s="3387"/>
    </row>
    <row r="9396" spans="1:19">
      <c r="A9396" s="1321"/>
      <c r="B9396" s="1295"/>
      <c r="C9396" s="1321"/>
      <c r="D9396" s="1412"/>
      <c r="E9396" s="2124"/>
      <c r="F9396" s="1378"/>
      <c r="G9396" s="1378"/>
      <c r="H9396" s="1379"/>
      <c r="I9396" s="1299"/>
      <c r="J9396" s="1300"/>
      <c r="K9396" s="1307"/>
      <c r="L9396" s="1335"/>
      <c r="M9396" s="1302"/>
      <c r="N9396" s="1700"/>
      <c r="O9396" s="1290"/>
      <c r="P9396" s="1332"/>
      <c r="Q9396" s="3391"/>
    </row>
    <row r="9397" spans="1:19">
      <c r="A9397" s="1321"/>
      <c r="B9397" s="1295"/>
      <c r="C9397" s="1321"/>
      <c r="D9397" s="1412"/>
      <c r="E9397" s="2124"/>
      <c r="F9397" s="1378"/>
      <c r="G9397" s="1378"/>
      <c r="H9397" s="1379"/>
      <c r="I9397" s="1299"/>
      <c r="J9397" s="1300"/>
      <c r="K9397" s="1307"/>
      <c r="L9397" s="1335"/>
      <c r="M9397" s="1302"/>
      <c r="N9397" s="1700"/>
      <c r="O9397" s="1290"/>
      <c r="P9397" s="1333"/>
      <c r="Q9397" s="3391"/>
    </row>
    <row r="9398" spans="1:19">
      <c r="A9398" s="1042"/>
      <c r="B9398" s="22"/>
      <c r="C9398" s="223"/>
      <c r="D9398" s="1695"/>
      <c r="E9398" s="2161"/>
      <c r="F9398" s="1678"/>
      <c r="G9398" s="1678"/>
      <c r="H9398" s="1376"/>
      <c r="I9398" s="1299"/>
      <c r="J9398" s="1300"/>
      <c r="K9398" s="1307"/>
      <c r="L9398" s="1335"/>
      <c r="M9398" s="1302"/>
      <c r="N9398" s="1700"/>
      <c r="O9398" s="1290"/>
      <c r="P9398" s="1332"/>
      <c r="Q9398" s="3391"/>
    </row>
    <row r="9399" spans="1:19">
      <c r="A9399" s="18" t="s">
        <v>3764</v>
      </c>
      <c r="B9399" s="4325" t="s">
        <v>2094</v>
      </c>
      <c r="C9399" s="3354"/>
      <c r="D9399" s="4327"/>
      <c r="E9399" s="4329" t="s">
        <v>1507</v>
      </c>
      <c r="F9399" s="4372" t="s">
        <v>2095</v>
      </c>
      <c r="G9399" s="4331" t="s">
        <v>1568</v>
      </c>
      <c r="H9399" s="4331" t="s">
        <v>1574</v>
      </c>
      <c r="I9399" s="1572" t="s">
        <v>1559</v>
      </c>
      <c r="J9399" s="1294" t="s">
        <v>1560</v>
      </c>
      <c r="K9399" s="1294" t="s">
        <v>1569</v>
      </c>
      <c r="L9399" s="4333" t="s">
        <v>3765</v>
      </c>
      <c r="M9399" s="4335" t="s">
        <v>1571</v>
      </c>
      <c r="N9399" s="4323" t="s">
        <v>1776</v>
      </c>
      <c r="O9399" s="3347" t="s">
        <v>1563</v>
      </c>
      <c r="P9399" s="1336" t="s">
        <v>1562</v>
      </c>
      <c r="Q9399" s="3389"/>
      <c r="R9399" s="1699" t="s">
        <v>1327</v>
      </c>
    </row>
    <row r="9400" spans="1:19">
      <c r="A9400" s="1662" t="s">
        <v>2089</v>
      </c>
      <c r="B9400" s="4326"/>
      <c r="C9400" s="3351"/>
      <c r="D9400" s="4328"/>
      <c r="E9400" s="4330"/>
      <c r="F9400" s="4363"/>
      <c r="G9400" s="4332"/>
      <c r="H9400" s="4332"/>
      <c r="I9400" s="3814">
        <v>42.12</v>
      </c>
      <c r="J9400" s="3815">
        <v>2.1999999999999999E-2</v>
      </c>
      <c r="K9400" s="1297">
        <f>I9400*J9400</f>
        <v>0.92663999999999991</v>
      </c>
      <c r="L9400" s="4334"/>
      <c r="M9400" s="4335"/>
      <c r="N9400" s="4324"/>
      <c r="O9400" s="1298">
        <f>O9402+O9403+O9407+O9408</f>
        <v>136.52599999999998</v>
      </c>
      <c r="P9400" s="1337">
        <f>O9400*K9400</f>
        <v>126.51045263999997</v>
      </c>
      <c r="Q9400" s="3390"/>
      <c r="R9400" s="1721">
        <f>P9402+P9403+P9407+P9408</f>
        <v>126.51045264</v>
      </c>
      <c r="S9400" s="16"/>
    </row>
    <row r="9401" spans="1:19">
      <c r="A9401" s="1320"/>
      <c r="B9401" s="22"/>
      <c r="C9401" s="1327"/>
      <c r="D9401" s="1367"/>
      <c r="E9401" s="2121"/>
      <c r="F9401" s="1389" t="s">
        <v>1</v>
      </c>
      <c r="G9401" s="1389"/>
      <c r="H9401" s="1369"/>
      <c r="I9401" s="1409"/>
      <c r="J9401" s="1390"/>
      <c r="K9401" s="1391"/>
      <c r="L9401" s="1559"/>
      <c r="M9401" s="1369"/>
      <c r="N9401" s="1369"/>
      <c r="O9401" s="1369"/>
      <c r="P9401" s="1392"/>
      <c r="Q9401" s="3395"/>
      <c r="S9401" s="16"/>
    </row>
    <row r="9402" spans="1:19">
      <c r="A9402" s="1042"/>
      <c r="B9402" s="22"/>
      <c r="C9402" s="1042"/>
      <c r="D9402" s="1611" t="s">
        <v>2096</v>
      </c>
      <c r="E9402" s="2154" t="s">
        <v>1507</v>
      </c>
      <c r="F9402" s="1598" t="s">
        <v>2097</v>
      </c>
      <c r="G9402" s="1995">
        <v>1</v>
      </c>
      <c r="H9402" s="1674"/>
      <c r="I9402" s="1299"/>
      <c r="J9402" s="1300"/>
      <c r="K9402" s="1307">
        <f>G9402*K9400</f>
        <v>0.92663999999999991</v>
      </c>
      <c r="L9402" s="1335">
        <f>K9402*$K$9346</f>
        <v>0</v>
      </c>
      <c r="M9402" s="1302">
        <v>127.62</v>
      </c>
      <c r="N9402" s="1700"/>
      <c r="O9402" s="1290">
        <f>G9402*M9402</f>
        <v>127.62</v>
      </c>
      <c r="P9402" s="1332">
        <f>M9402*K9402</f>
        <v>118.25779679999999</v>
      </c>
      <c r="Q9402" s="3391"/>
      <c r="S9402" s="16"/>
    </row>
    <row r="9403" spans="1:19">
      <c r="A9403" s="16"/>
      <c r="B9403" s="553"/>
      <c r="C9403" s="1320"/>
      <c r="D9403" s="1610" t="s">
        <v>1082</v>
      </c>
      <c r="E9403" s="2154" t="s">
        <v>1504</v>
      </c>
      <c r="F9403" s="1598" t="s">
        <v>1541</v>
      </c>
      <c r="G9403" s="1995">
        <v>1</v>
      </c>
      <c r="H9403" s="1399"/>
      <c r="I9403" s="197"/>
      <c r="J9403" s="198"/>
      <c r="K9403" s="1307">
        <f>G9403*K9400</f>
        <v>0.92663999999999991</v>
      </c>
      <c r="L9403" s="1335">
        <f>K9403*$K$9346</f>
        <v>0</v>
      </c>
      <c r="M9403" s="1302">
        <v>0.3</v>
      </c>
      <c r="N9403" s="1718"/>
      <c r="O9403" s="1290">
        <f>G9403*M9403</f>
        <v>0.3</v>
      </c>
      <c r="P9403" s="1332">
        <f>M9403*K9403</f>
        <v>0.27799199999999996</v>
      </c>
      <c r="Q9403" s="3391"/>
      <c r="R9403" s="2337"/>
      <c r="S9403" s="16"/>
    </row>
    <row r="9404" spans="1:19">
      <c r="A9404" s="1042"/>
      <c r="B9404" s="22"/>
      <c r="C9404" s="1042"/>
      <c r="D9404" s="1367"/>
      <c r="E9404" s="2121"/>
      <c r="F9404" s="1436"/>
      <c r="G9404" s="2088"/>
      <c r="H9404" s="1369"/>
      <c r="I9404" s="1299"/>
      <c r="J9404" s="1300"/>
      <c r="K9404" s="1307"/>
      <c r="L9404" s="1335"/>
      <c r="M9404" s="1302"/>
      <c r="N9404" s="1700"/>
      <c r="O9404" s="1290"/>
      <c r="P9404" s="1332"/>
      <c r="Q9404" s="3391"/>
      <c r="S9404" s="16"/>
    </row>
    <row r="9405" spans="1:19">
      <c r="A9405" s="1042"/>
      <c r="B9405" s="22"/>
      <c r="C9405" s="1042"/>
      <c r="D9405" s="1367"/>
      <c r="E9405" s="2121"/>
      <c r="F9405" s="1436"/>
      <c r="G9405" s="2088"/>
      <c r="H9405" s="1369"/>
      <c r="I9405" s="1299"/>
      <c r="J9405" s="1300"/>
      <c r="K9405" s="1307"/>
      <c r="L9405" s="1335"/>
      <c r="M9405" s="1302"/>
      <c r="N9405" s="1700"/>
      <c r="O9405" s="1290"/>
      <c r="P9405" s="1332"/>
      <c r="Q9405" s="3391"/>
    </row>
    <row r="9406" spans="1:19">
      <c r="A9406" s="1042"/>
      <c r="B9406" s="22"/>
      <c r="C9406" s="1042"/>
      <c r="D9406" s="1359"/>
      <c r="E9406" s="1858"/>
      <c r="F9406" s="1360" t="s">
        <v>2</v>
      </c>
      <c r="G9406" s="2223"/>
      <c r="H9406" s="1362"/>
      <c r="I9406" s="1380"/>
      <c r="J9406" s="1381"/>
      <c r="K9406" s="1381"/>
      <c r="L9406" s="1458"/>
      <c r="M9406" s="1362"/>
      <c r="N9406" s="1362"/>
      <c r="O9406" s="1362"/>
      <c r="P9406" s="1359"/>
      <c r="Q9406" s="3387"/>
    </row>
    <row r="9407" spans="1:19">
      <c r="A9407" s="1321"/>
      <c r="B9407" s="1295"/>
      <c r="C9407" s="1321"/>
      <c r="D9407" s="1363" t="s">
        <v>1173</v>
      </c>
      <c r="E9407" s="2125" t="s">
        <v>1508</v>
      </c>
      <c r="F9407" s="1403" t="s">
        <v>120</v>
      </c>
      <c r="G9407" s="1937">
        <v>0.4</v>
      </c>
      <c r="H9407" s="2019"/>
      <c r="I9407" s="1299"/>
      <c r="J9407" s="1300"/>
      <c r="K9407" s="1307">
        <f>G9407*K9400</f>
        <v>0.37065599999999999</v>
      </c>
      <c r="L9407" s="1335">
        <f>K9407*$K$9346</f>
        <v>0</v>
      </c>
      <c r="M9407" s="1302">
        <v>19.23</v>
      </c>
      <c r="N9407" s="1700"/>
      <c r="O9407" s="1290">
        <f>G9407*M9407</f>
        <v>7.6920000000000002</v>
      </c>
      <c r="P9407" s="1332">
        <f>M9407*K9407</f>
        <v>7.1277148800000001</v>
      </c>
      <c r="Q9407" s="3391"/>
    </row>
    <row r="9408" spans="1:19">
      <c r="B9408" s="1042"/>
      <c r="C9408" s="88"/>
      <c r="D9408" s="1898" t="s">
        <v>1067</v>
      </c>
      <c r="E9408" s="1857" t="s">
        <v>1508</v>
      </c>
      <c r="F9408" s="1403" t="s">
        <v>5</v>
      </c>
      <c r="G9408" s="1991">
        <v>0.05</v>
      </c>
      <c r="H9408" s="1408"/>
      <c r="I9408" s="1286"/>
      <c r="J9408" s="198"/>
      <c r="K9408" s="1307">
        <f>G9408*$K$9126</f>
        <v>4.6331999999999998E-2</v>
      </c>
      <c r="L9408" s="1335">
        <f>K9408*$K$9346</f>
        <v>0</v>
      </c>
      <c r="M9408" s="1302">
        <v>18.28</v>
      </c>
      <c r="N9408" s="1718"/>
      <c r="O9408" s="1290">
        <f>G9408*M9408</f>
        <v>0.91400000000000015</v>
      </c>
      <c r="P9408" s="1332">
        <f>M9408*K9408</f>
        <v>0.84694895999999997</v>
      </c>
      <c r="Q9408" s="3391"/>
      <c r="R9408" s="2337"/>
    </row>
    <row r="9409" spans="1:18">
      <c r="B9409" s="1042"/>
      <c r="C9409" s="88"/>
      <c r="D9409" s="1430"/>
      <c r="E9409" s="1857"/>
      <c r="F9409" s="1403"/>
      <c r="G9409" s="1991"/>
      <c r="H9409" s="1408"/>
      <c r="I9409" s="197"/>
      <c r="J9409" s="198"/>
      <c r="K9409" s="1307"/>
      <c r="L9409" s="1335"/>
      <c r="M9409" s="1302"/>
      <c r="N9409" s="1718"/>
      <c r="O9409" s="1290"/>
      <c r="P9409" s="1332"/>
      <c r="Q9409" s="3391"/>
      <c r="R9409" s="2337"/>
    </row>
    <row r="9410" spans="1:18">
      <c r="B9410" s="1320"/>
      <c r="C9410" s="595"/>
      <c r="D9410" s="1359"/>
      <c r="E9410" s="1858"/>
      <c r="F9410" s="1361"/>
      <c r="G9410" s="1361"/>
      <c r="H9410" s="1466"/>
      <c r="I9410" s="1299"/>
      <c r="J9410" s="1300"/>
      <c r="K9410" s="1307"/>
      <c r="L9410" s="1335"/>
      <c r="M9410" s="1302"/>
      <c r="N9410" s="1700"/>
      <c r="O9410" s="1290"/>
      <c r="P9410" s="1332"/>
      <c r="Q9410" s="3391"/>
      <c r="R9410" s="1296"/>
    </row>
    <row r="9411" spans="1:18">
      <c r="A9411" s="1320"/>
      <c r="B9411" s="22"/>
      <c r="C9411" s="1320"/>
      <c r="D9411" s="1373"/>
      <c r="E9411" s="2123"/>
      <c r="F9411" s="1374" t="s">
        <v>3</v>
      </c>
      <c r="G9411" s="1375"/>
      <c r="H9411" s="1376"/>
      <c r="I9411" s="1382"/>
      <c r="J9411" s="1383"/>
      <c r="K9411" s="1383"/>
      <c r="L9411" s="1413"/>
      <c r="M9411" s="1376"/>
      <c r="N9411" s="1376"/>
      <c r="O9411" s="1376"/>
      <c r="P9411" s="1373"/>
      <c r="Q9411" s="3387"/>
    </row>
    <row r="9412" spans="1:18">
      <c r="A9412" s="1321"/>
      <c r="B9412" s="1295"/>
      <c r="C9412" s="1321"/>
      <c r="D9412" s="1377"/>
      <c r="E9412" s="2124"/>
      <c r="F9412" s="1378"/>
      <c r="G9412" s="1378"/>
      <c r="H9412" s="1379"/>
      <c r="I9412" s="1299"/>
      <c r="J9412" s="1300"/>
      <c r="K9412" s="1307"/>
      <c r="L9412" s="1335"/>
      <c r="M9412" s="1302"/>
      <c r="N9412" s="1700"/>
      <c r="O9412" s="1290"/>
      <c r="P9412" s="1332"/>
      <c r="Q9412" s="3391"/>
    </row>
    <row r="9413" spans="1:18">
      <c r="A9413" s="1321"/>
      <c r="B9413" s="1295"/>
      <c r="C9413" s="1321"/>
      <c r="D9413" s="1377"/>
      <c r="E9413" s="2124"/>
      <c r="F9413" s="1378"/>
      <c r="G9413" s="1378"/>
      <c r="H9413" s="1379"/>
      <c r="I9413" s="1299"/>
      <c r="J9413" s="1300"/>
      <c r="K9413" s="1307"/>
      <c r="L9413" s="1335"/>
      <c r="M9413" s="1302"/>
      <c r="N9413" s="1700"/>
      <c r="O9413" s="1290"/>
      <c r="P9413" s="1333"/>
      <c r="Q9413" s="3391"/>
    </row>
    <row r="9414" spans="1:18">
      <c r="A9414" s="1042"/>
      <c r="B9414" s="22"/>
      <c r="C9414" s="1042"/>
      <c r="D9414" s="1677"/>
      <c r="E9414" s="2161"/>
      <c r="F9414" s="1678"/>
      <c r="G9414" s="1678"/>
      <c r="H9414" s="1376"/>
      <c r="I9414" s="1299"/>
      <c r="J9414" s="1300"/>
      <c r="K9414" s="1307"/>
      <c r="L9414" s="1335"/>
      <c r="M9414" s="1302"/>
      <c r="N9414" s="1700"/>
      <c r="O9414" s="1290"/>
      <c r="P9414" s="1332"/>
      <c r="Q9414" s="3391"/>
    </row>
    <row r="9415" spans="1:18">
      <c r="A9415" s="18" t="s">
        <v>3764</v>
      </c>
      <c r="B9415" s="4325" t="s">
        <v>2078</v>
      </c>
      <c r="C9415" s="3350"/>
      <c r="D9415" s="4327"/>
      <c r="E9415" s="4329" t="s">
        <v>1507</v>
      </c>
      <c r="F9415" s="4372" t="s">
        <v>2079</v>
      </c>
      <c r="G9415" s="4331" t="s">
        <v>1568</v>
      </c>
      <c r="H9415" s="4331" t="s">
        <v>1574</v>
      </c>
      <c r="I9415" s="1572" t="s">
        <v>1559</v>
      </c>
      <c r="J9415" s="1294" t="s">
        <v>1560</v>
      </c>
      <c r="K9415" s="1294" t="s">
        <v>1569</v>
      </c>
      <c r="L9415" s="4333" t="s">
        <v>3765</v>
      </c>
      <c r="M9415" s="4335" t="s">
        <v>1571</v>
      </c>
      <c r="N9415" s="4323" t="s">
        <v>1776</v>
      </c>
      <c r="O9415" s="3347" t="s">
        <v>1563</v>
      </c>
      <c r="P9415" s="1336" t="s">
        <v>1562</v>
      </c>
      <c r="Q9415" s="3389"/>
      <c r="R9415" s="1699" t="s">
        <v>1327</v>
      </c>
    </row>
    <row r="9416" spans="1:18" s="16" customFormat="1">
      <c r="A9416" s="1662" t="s">
        <v>2089</v>
      </c>
      <c r="B9416" s="4326"/>
      <c r="C9416" s="3354"/>
      <c r="D9416" s="4328"/>
      <c r="E9416" s="4330"/>
      <c r="F9416" s="4363"/>
      <c r="G9416" s="4332"/>
      <c r="H9416" s="4332"/>
      <c r="I9416" s="3838">
        <v>24.23</v>
      </c>
      <c r="J9416" s="3815">
        <v>2.1999999999999999E-2</v>
      </c>
      <c r="K9416" s="1297">
        <f>I9416*J9416</f>
        <v>0.53305999999999998</v>
      </c>
      <c r="L9416" s="4334"/>
      <c r="M9416" s="4335"/>
      <c r="N9416" s="4324"/>
      <c r="O9416" s="1298">
        <f>O9418+O9419+O9423</f>
        <v>48.575500000000005</v>
      </c>
      <c r="P9416" s="1337">
        <f>O9416*K9416</f>
        <v>25.893656030000002</v>
      </c>
      <c r="Q9416" s="3390"/>
      <c r="R9416" s="1721">
        <f>P9418+P9419+P9423</f>
        <v>25.893656029999999</v>
      </c>
    </row>
    <row r="9417" spans="1:18">
      <c r="A9417" s="1320"/>
      <c r="B9417" s="1599"/>
      <c r="C9417" s="1327"/>
      <c r="D9417" s="1400"/>
      <c r="E9417" s="2121"/>
      <c r="F9417" s="1389" t="s">
        <v>1</v>
      </c>
      <c r="G9417" s="1389"/>
      <c r="H9417" s="1369"/>
      <c r="I9417" s="1409"/>
      <c r="J9417" s="1390"/>
      <c r="K9417" s="1391"/>
      <c r="L9417" s="1559"/>
      <c r="M9417" s="1369"/>
      <c r="N9417" s="1369"/>
      <c r="O9417" s="1369"/>
      <c r="P9417" s="1392"/>
      <c r="Q9417" s="3395"/>
    </row>
    <row r="9418" spans="1:18">
      <c r="A9418" s="1042"/>
      <c r="B9418" s="1599"/>
      <c r="C9418" s="1042"/>
      <c r="D9418" s="1610" t="s">
        <v>2080</v>
      </c>
      <c r="E9418" s="2154" t="s">
        <v>1507</v>
      </c>
      <c r="F9418" s="1598" t="s">
        <v>2081</v>
      </c>
      <c r="G9418" s="1995">
        <v>1</v>
      </c>
      <c r="H9418" s="1674"/>
      <c r="I9418" s="1299"/>
      <c r="J9418" s="1300"/>
      <c r="K9418" s="1307">
        <f>G9418*K9416</f>
        <v>0.53305999999999998</v>
      </c>
      <c r="L9418" s="1335">
        <f>K9418*$K$9346</f>
        <v>0</v>
      </c>
      <c r="M9418" s="1302">
        <v>31.03</v>
      </c>
      <c r="N9418" s="1700"/>
      <c r="O9418" s="1290">
        <f>G9418*M9418</f>
        <v>31.03</v>
      </c>
      <c r="P9418" s="1332">
        <f>M9418*K9418</f>
        <v>16.540851799999999</v>
      </c>
      <c r="Q9418" s="3391"/>
    </row>
    <row r="9419" spans="1:18">
      <c r="A9419" s="1320"/>
      <c r="B9419" s="553"/>
      <c r="C9419" s="1042"/>
      <c r="D9419" s="1610" t="s">
        <v>2082</v>
      </c>
      <c r="E9419" s="2154" t="s">
        <v>1527</v>
      </c>
      <c r="F9419" s="1598" t="s">
        <v>2083</v>
      </c>
      <c r="G9419" s="1995">
        <v>3</v>
      </c>
      <c r="H9419" s="1674"/>
      <c r="I9419" s="1299"/>
      <c r="J9419" s="1300"/>
      <c r="K9419" s="1307">
        <f>G9419*K9416</f>
        <v>1.59918</v>
      </c>
      <c r="L9419" s="1335">
        <f>K9419*$K$9346</f>
        <v>0</v>
      </c>
      <c r="M9419" s="1302">
        <v>0.4</v>
      </c>
      <c r="N9419" s="1700"/>
      <c r="O9419" s="1290">
        <f>G9419*M9419</f>
        <v>1.2000000000000002</v>
      </c>
      <c r="P9419" s="1332">
        <f>M9419*K9419</f>
        <v>0.63967200000000002</v>
      </c>
      <c r="Q9419" s="3391"/>
      <c r="R9419" s="2337"/>
    </row>
    <row r="9420" spans="1:18">
      <c r="A9420" s="1320"/>
      <c r="B9420" s="553"/>
      <c r="C9420" s="1320"/>
      <c r="D9420" s="1610"/>
      <c r="E9420" s="2154"/>
      <c r="F9420" s="1598"/>
      <c r="G9420" s="1612"/>
      <c r="H9420" s="1399"/>
      <c r="I9420" s="197"/>
      <c r="J9420" s="198"/>
      <c r="K9420" s="1307"/>
      <c r="L9420" s="1335"/>
      <c r="M9420" s="1302"/>
      <c r="N9420" s="1718"/>
      <c r="O9420" s="1290"/>
      <c r="P9420" s="1332"/>
      <c r="Q9420" s="3391"/>
      <c r="R9420" s="2337"/>
    </row>
    <row r="9421" spans="1:18">
      <c r="A9421" s="1042"/>
      <c r="B9421" s="1599"/>
      <c r="C9421" s="1042"/>
      <c r="D9421" s="1400"/>
      <c r="E9421" s="2121"/>
      <c r="F9421" s="1436"/>
      <c r="G9421" s="1436"/>
      <c r="H9421" s="1369"/>
      <c r="I9421" s="1299"/>
      <c r="J9421" s="1300"/>
      <c r="K9421" s="1307"/>
      <c r="L9421" s="1335"/>
      <c r="M9421" s="1302"/>
      <c r="N9421" s="1700"/>
      <c r="O9421" s="1290"/>
      <c r="P9421" s="1332"/>
      <c r="Q9421" s="3391"/>
    </row>
    <row r="9422" spans="1:18">
      <c r="A9422" s="1042"/>
      <c r="B9422" s="1599"/>
      <c r="C9422" s="1042"/>
      <c r="D9422" s="1404"/>
      <c r="E9422" s="1858"/>
      <c r="F9422" s="1360" t="s">
        <v>2</v>
      </c>
      <c r="G9422" s="1360"/>
      <c r="H9422" s="1362"/>
      <c r="I9422" s="1380"/>
      <c r="J9422" s="1381"/>
      <c r="K9422" s="1381"/>
      <c r="L9422" s="1458"/>
      <c r="M9422" s="1362"/>
      <c r="N9422" s="1362"/>
      <c r="O9422" s="1362"/>
      <c r="P9422" s="1359"/>
      <c r="Q9422" s="3387"/>
    </row>
    <row r="9423" spans="1:18">
      <c r="A9423" s="1321"/>
      <c r="B9423" s="2053"/>
      <c r="C9423" s="1321"/>
      <c r="D9423" s="1622" t="s">
        <v>1205</v>
      </c>
      <c r="E9423" s="2125" t="s">
        <v>1508</v>
      </c>
      <c r="F9423" s="1403" t="s">
        <v>151</v>
      </c>
      <c r="G9423" s="1408">
        <v>0.85</v>
      </c>
      <c r="H9423" s="2019"/>
      <c r="I9423" s="1299"/>
      <c r="J9423" s="1300"/>
      <c r="K9423" s="1307">
        <f>G9423*K9416</f>
        <v>0.45310099999999998</v>
      </c>
      <c r="L9423" s="1335">
        <f>K9423*$K$9346</f>
        <v>0</v>
      </c>
      <c r="M9423" s="1302">
        <v>19.23</v>
      </c>
      <c r="N9423" s="1700"/>
      <c r="O9423" s="1290">
        <f>G9423*M9423</f>
        <v>16.345500000000001</v>
      </c>
      <c r="P9423" s="1332">
        <f>M9423*K9423</f>
        <v>8.7131322299999994</v>
      </c>
      <c r="Q9423" s="3391"/>
    </row>
    <row r="9424" spans="1:18">
      <c r="A9424" s="1042"/>
      <c r="B9424" s="553"/>
      <c r="C9424" s="1042"/>
      <c r="D9424" s="2054"/>
      <c r="E9424" s="1857"/>
      <c r="F9424" s="1403"/>
      <c r="G9424" s="1991"/>
      <c r="H9424" s="1408"/>
      <c r="I9424" s="1286"/>
      <c r="J9424" s="198"/>
      <c r="K9424" s="1307"/>
      <c r="L9424" s="1335"/>
      <c r="M9424" s="1302"/>
      <c r="N9424" s="1718"/>
      <c r="O9424" s="1290"/>
      <c r="P9424" s="1332"/>
      <c r="Q9424" s="3391"/>
      <c r="R9424" s="2337"/>
    </row>
    <row r="9425" spans="1:18" ht="15" customHeight="1">
      <c r="A9425" s="1042"/>
      <c r="B9425" s="553"/>
      <c r="C9425" s="1042"/>
      <c r="D9425" s="1402"/>
      <c r="E9425" s="1857"/>
      <c r="F9425" s="1403"/>
      <c r="G9425" s="1991"/>
      <c r="H9425" s="1408"/>
      <c r="I9425" s="197"/>
      <c r="J9425" s="198"/>
      <c r="K9425" s="1307"/>
      <c r="L9425" s="1335"/>
      <c r="M9425" s="1302"/>
      <c r="N9425" s="1718"/>
      <c r="O9425" s="1290"/>
      <c r="P9425" s="1332"/>
      <c r="Q9425" s="3391"/>
      <c r="R9425" s="2337"/>
    </row>
    <row r="9426" spans="1:18">
      <c r="A9426" s="1320"/>
      <c r="B9426" s="1599"/>
      <c r="C9426" s="1320"/>
      <c r="D9426" s="1411"/>
      <c r="E9426" s="2123"/>
      <c r="F9426" s="1374" t="s">
        <v>3</v>
      </c>
      <c r="G9426" s="1375"/>
      <c r="H9426" s="1376"/>
      <c r="I9426" s="1382"/>
      <c r="J9426" s="1383"/>
      <c r="K9426" s="1383"/>
      <c r="L9426" s="1413"/>
      <c r="M9426" s="1376"/>
      <c r="N9426" s="1376"/>
      <c r="O9426" s="1376"/>
      <c r="P9426" s="1373"/>
      <c r="Q9426" s="3387"/>
    </row>
    <row r="9427" spans="1:18">
      <c r="A9427" s="1321"/>
      <c r="B9427" s="2053"/>
      <c r="C9427" s="1321"/>
      <c r="D9427" s="1412"/>
      <c r="E9427" s="2124"/>
      <c r="F9427" s="1378"/>
      <c r="G9427" s="1378"/>
      <c r="H9427" s="1379"/>
      <c r="I9427" s="1299"/>
      <c r="J9427" s="1300"/>
      <c r="K9427" s="1307"/>
      <c r="L9427" s="1335"/>
      <c r="M9427" s="1302"/>
      <c r="N9427" s="1700"/>
      <c r="O9427" s="1290"/>
      <c r="P9427" s="1332"/>
      <c r="Q9427" s="3391"/>
    </row>
    <row r="9428" spans="1:18">
      <c r="A9428" s="1321"/>
      <c r="B9428" s="2053"/>
      <c r="C9428" s="1321"/>
      <c r="D9428" s="1412"/>
      <c r="E9428" s="2124"/>
      <c r="F9428" s="1378"/>
      <c r="G9428" s="1378"/>
      <c r="H9428" s="1379"/>
      <c r="I9428" s="1299"/>
      <c r="J9428" s="1300"/>
      <c r="K9428" s="1307"/>
      <c r="L9428" s="1335"/>
      <c r="M9428" s="1302"/>
      <c r="N9428" s="1700"/>
      <c r="O9428" s="1290"/>
      <c r="P9428" s="1333"/>
      <c r="Q9428" s="3391"/>
    </row>
    <row r="9429" spans="1:18">
      <c r="A9429" s="1042"/>
      <c r="B9429" s="1765"/>
      <c r="C9429" s="223"/>
      <c r="D9429" s="3947"/>
      <c r="E9429" s="3943"/>
      <c r="F9429" s="3979"/>
      <c r="G9429" s="3979"/>
      <c r="H9429" s="3945"/>
      <c r="I9429" s="1299"/>
      <c r="J9429" s="3939"/>
      <c r="K9429" s="1307"/>
      <c r="L9429" s="1335"/>
      <c r="M9429" s="3918"/>
      <c r="N9429" s="1700"/>
      <c r="O9429" s="1290"/>
      <c r="P9429" s="3919"/>
      <c r="Q9429" s="3391"/>
    </row>
    <row r="9430" spans="1:18">
      <c r="A9430" s="16"/>
      <c r="B9430" s="16"/>
      <c r="C9430" s="16"/>
      <c r="D9430" s="16"/>
      <c r="E9430" s="2182"/>
      <c r="F9430" s="2080"/>
      <c r="G9430" s="2080"/>
      <c r="H9430" s="13"/>
      <c r="I9430" s="1561"/>
      <c r="J9430" s="13"/>
      <c r="K9430" s="1639"/>
      <c r="L9430" s="1640"/>
      <c r="M9430" s="1292"/>
      <c r="N9430" s="1292"/>
      <c r="O9430" s="1292"/>
      <c r="P9430" s="1292"/>
      <c r="Q9430" s="3391"/>
      <c r="R9430" s="4156"/>
    </row>
    <row r="9431" spans="1:18" ht="29">
      <c r="A9431" s="4374" t="s">
        <v>3638</v>
      </c>
      <c r="B9431" s="4375"/>
      <c r="C9431" s="4375"/>
      <c r="D9431" s="4376"/>
      <c r="E9431" s="4380" t="s">
        <v>1507</v>
      </c>
      <c r="F9431" s="4382" t="s">
        <v>3639</v>
      </c>
      <c r="G9431" s="4415" t="s">
        <v>294</v>
      </c>
      <c r="H9431" s="4416"/>
      <c r="I9431" s="4166" t="s">
        <v>1565</v>
      </c>
      <c r="J9431" s="4230" t="s">
        <v>1575</v>
      </c>
      <c r="K9431" s="4415" t="s">
        <v>289</v>
      </c>
      <c r="L9431" s="4416"/>
      <c r="M9431" s="4385" t="s">
        <v>3349</v>
      </c>
      <c r="N9431" s="4385"/>
      <c r="O9431" s="4385"/>
      <c r="P9431" s="4385"/>
      <c r="Q9431" s="3394" t="s">
        <v>3974</v>
      </c>
    </row>
    <row r="9432" spans="1:18" ht="24" customHeight="1">
      <c r="A9432" s="4377"/>
      <c r="B9432" s="4378"/>
      <c r="C9432" s="4378"/>
      <c r="D9432" s="4379"/>
      <c r="E9432" s="4381"/>
      <c r="F9432" s="4383"/>
      <c r="G9432" s="4417">
        <f>IF('Seleccion proyecto HEREVEA02'!G64="Ventana abatible+Madera+vidrio bajo emisivo",'Seleccion proyecto HEREVEA02'!E63,0)</f>
        <v>0</v>
      </c>
      <c r="H9432" s="4418"/>
      <c r="I9432" s="4231">
        <f>IF('Seleccion proyecto HEREVEA02'!H64=0,0,IF('Seleccion proyecto HEREVEA02'!H64="1 a 30",0.3,IF('Seleccion proyecto HEREVEA02'!H64="31 a 60",0.6,IF('Seleccion proyecto HEREVEA02'!H64="61 a 100",1))))</f>
        <v>0</v>
      </c>
      <c r="J9432" s="4170">
        <f>'Seleccion proyecto HEREVEA02'!L8</f>
        <v>11100.968999999999</v>
      </c>
      <c r="K9432" s="4421">
        <f>G9432*I9432*J9432</f>
        <v>0</v>
      </c>
      <c r="L9432" s="4422"/>
      <c r="M9432" s="4423">
        <f>P9434+P9448+P9468+P9486+P9502</f>
        <v>283.95318408727599</v>
      </c>
      <c r="N9432" s="4362"/>
      <c r="O9432" s="4362"/>
      <c r="P9432" s="4424"/>
      <c r="Q9432" s="3388">
        <f>M9432*K9432</f>
        <v>0</v>
      </c>
    </row>
    <row r="9433" spans="1:18">
      <c r="A9433" s="18" t="s">
        <v>3764</v>
      </c>
      <c r="B9433" s="4325" t="s">
        <v>3626</v>
      </c>
      <c r="C9433" s="3808"/>
      <c r="D9433" s="4327"/>
      <c r="E9433" s="4329" t="s">
        <v>1507</v>
      </c>
      <c r="F9433" s="4414" t="s">
        <v>3627</v>
      </c>
      <c r="G9433" s="4331" t="s">
        <v>1568</v>
      </c>
      <c r="H9433" s="4331" t="s">
        <v>1574</v>
      </c>
      <c r="I9433" s="1572" t="s">
        <v>1559</v>
      </c>
      <c r="J9433" s="1294" t="s">
        <v>1560</v>
      </c>
      <c r="K9433" s="1294" t="s">
        <v>1569</v>
      </c>
      <c r="L9433" s="4333" t="s">
        <v>3765</v>
      </c>
      <c r="M9433" s="4335" t="s">
        <v>1571</v>
      </c>
      <c r="N9433" s="4323" t="s">
        <v>1776</v>
      </c>
      <c r="O9433" s="3804" t="s">
        <v>1563</v>
      </c>
      <c r="P9433" s="1336" t="s">
        <v>1562</v>
      </c>
      <c r="Q9433" s="3389"/>
      <c r="R9433" s="1699" t="s">
        <v>1327</v>
      </c>
    </row>
    <row r="9434" spans="1:18">
      <c r="A9434" s="1662" t="s">
        <v>3638</v>
      </c>
      <c r="B9434" s="4326"/>
      <c r="C9434" s="3806"/>
      <c r="D9434" s="4328"/>
      <c r="E9434" s="4330"/>
      <c r="F9434" s="4363"/>
      <c r="G9434" s="4332"/>
      <c r="H9434" s="4332"/>
      <c r="I9434" s="3814">
        <v>46.02</v>
      </c>
      <c r="J9434" s="3815">
        <v>2.1999999999999999E-2</v>
      </c>
      <c r="K9434" s="1297">
        <f>I9434*J9434</f>
        <v>1.01244</v>
      </c>
      <c r="L9434" s="4334"/>
      <c r="M9434" s="4335"/>
      <c r="N9434" s="4324"/>
      <c r="O9434" s="1298">
        <f>SUM(O9436:O9446)</f>
        <v>5.484</v>
      </c>
      <c r="P9434" s="1337">
        <f>O9434*K9434</f>
        <v>5.5522209599999996</v>
      </c>
      <c r="Q9434" s="3390"/>
      <c r="R9434" s="1721">
        <f>P9440</f>
        <v>5.5522209600000005</v>
      </c>
    </row>
    <row r="9435" spans="1:18">
      <c r="A9435" s="1320"/>
      <c r="B9435" s="22"/>
      <c r="C9435" s="1327"/>
      <c r="D9435" s="1367"/>
      <c r="E9435" s="2121"/>
      <c r="F9435" s="1389" t="s">
        <v>1</v>
      </c>
      <c r="G9435" s="1389"/>
      <c r="H9435" s="1369"/>
      <c r="I9435" s="1409"/>
      <c r="J9435" s="1390"/>
      <c r="K9435" s="1391"/>
      <c r="L9435" s="1559"/>
      <c r="M9435" s="1369"/>
      <c r="N9435" s="1369"/>
      <c r="O9435" s="1369"/>
      <c r="P9435" s="1392"/>
      <c r="Q9435" s="3395"/>
    </row>
    <row r="9436" spans="1:18">
      <c r="A9436" s="1042"/>
      <c r="B9436" s="22"/>
      <c r="C9436" s="1042"/>
      <c r="D9436" s="1672"/>
      <c r="E9436" s="2160"/>
      <c r="F9436" s="1675"/>
      <c r="G9436" s="1675"/>
      <c r="H9436" s="1674"/>
      <c r="I9436" s="1299"/>
      <c r="J9436" s="1300"/>
      <c r="K9436" s="1307"/>
      <c r="L9436" s="1335"/>
      <c r="M9436" s="1302"/>
      <c r="N9436" s="1700"/>
      <c r="O9436" s="1290"/>
      <c r="P9436" s="1332"/>
      <c r="Q9436" s="3391"/>
    </row>
    <row r="9437" spans="1:18">
      <c r="A9437" s="1042"/>
      <c r="B9437" s="22"/>
      <c r="C9437" s="1042"/>
      <c r="D9437" s="1367"/>
      <c r="E9437" s="2121"/>
      <c r="F9437" s="1436"/>
      <c r="G9437" s="1436"/>
      <c r="H9437" s="1369"/>
      <c r="I9437" s="1299"/>
      <c r="J9437" s="1300"/>
      <c r="K9437" s="1307"/>
      <c r="L9437" s="1335"/>
      <c r="M9437" s="1302"/>
      <c r="N9437" s="1700"/>
      <c r="O9437" s="1290"/>
      <c r="P9437" s="1332"/>
      <c r="Q9437" s="3391"/>
    </row>
    <row r="9438" spans="1:18">
      <c r="A9438" s="1042"/>
      <c r="B9438" s="22"/>
      <c r="C9438" s="1042"/>
      <c r="D9438" s="1367"/>
      <c r="E9438" s="2121"/>
      <c r="F9438" s="1436"/>
      <c r="G9438" s="1436"/>
      <c r="H9438" s="1369"/>
      <c r="I9438" s="1299"/>
      <c r="J9438" s="1300"/>
      <c r="K9438" s="1307"/>
      <c r="L9438" s="1335"/>
      <c r="M9438" s="1302"/>
      <c r="N9438" s="1700"/>
      <c r="O9438" s="1290"/>
      <c r="P9438" s="1332"/>
      <c r="Q9438" s="3391"/>
    </row>
    <row r="9439" spans="1:18">
      <c r="A9439" s="1042"/>
      <c r="B9439" s="22"/>
      <c r="C9439" s="1042"/>
      <c r="D9439" s="1359"/>
      <c r="E9439" s="1858"/>
      <c r="F9439" s="1360" t="s">
        <v>2</v>
      </c>
      <c r="G9439" s="1360"/>
      <c r="H9439" s="1362"/>
      <c r="I9439" s="1380"/>
      <c r="J9439" s="1381"/>
      <c r="K9439" s="1381"/>
      <c r="L9439" s="1458" t="str">
        <f>IF(COUNT(K9438)=0,"",IF(#REF!="","",(K9438*#REF!)))</f>
        <v/>
      </c>
      <c r="M9439" s="1362"/>
      <c r="N9439" s="1362"/>
      <c r="O9439" s="1362"/>
      <c r="P9439" s="1359"/>
      <c r="Q9439" s="3387"/>
    </row>
    <row r="9440" spans="1:18">
      <c r="A9440" s="1321"/>
      <c r="B9440" s="1295"/>
      <c r="C9440" s="1321"/>
      <c r="D9440" s="1363" t="s">
        <v>1067</v>
      </c>
      <c r="E9440" s="2125" t="s">
        <v>1508</v>
      </c>
      <c r="F9440" s="1385" t="s">
        <v>1512</v>
      </c>
      <c r="G9440" s="2019">
        <v>0.3</v>
      </c>
      <c r="H9440" s="1386"/>
      <c r="I9440" s="1299"/>
      <c r="J9440" s="1300"/>
      <c r="K9440" s="1307">
        <f>G9440*K9434</f>
        <v>0.303732</v>
      </c>
      <c r="L9440" s="1335">
        <f>K9440*$K$9346</f>
        <v>0</v>
      </c>
      <c r="M9440" s="1302">
        <v>18.28</v>
      </c>
      <c r="N9440" s="1700"/>
      <c r="O9440" s="1290">
        <f>G9440*M9440</f>
        <v>5.484</v>
      </c>
      <c r="P9440" s="1332">
        <f>M9440*K9440</f>
        <v>5.5522209600000005</v>
      </c>
      <c r="Q9440" s="3391"/>
    </row>
    <row r="9441" spans="1:18">
      <c r="A9441" s="1320"/>
      <c r="B9441" s="22"/>
      <c r="C9441" s="1320"/>
      <c r="D9441" s="1359"/>
      <c r="E9441" s="1858"/>
      <c r="F9441" s="1404"/>
      <c r="G9441" s="1404"/>
      <c r="H9441" s="1359"/>
      <c r="I9441" s="1299"/>
      <c r="J9441" s="1300"/>
      <c r="K9441" s="1307"/>
      <c r="L9441" s="1335"/>
      <c r="M9441" s="1302"/>
      <c r="N9441" s="1700"/>
      <c r="O9441" s="1290"/>
      <c r="P9441" s="1332"/>
      <c r="Q9441" s="3391"/>
    </row>
    <row r="9442" spans="1:18">
      <c r="A9442" s="1320"/>
      <c r="B9442" s="22"/>
      <c r="C9442" s="1320"/>
      <c r="D9442" s="1359"/>
      <c r="E9442" s="1858"/>
      <c r="F9442" s="1361"/>
      <c r="G9442" s="1361"/>
      <c r="H9442" s="1466"/>
      <c r="I9442" s="1299"/>
      <c r="J9442" s="1300"/>
      <c r="K9442" s="1307"/>
      <c r="L9442" s="1335"/>
      <c r="M9442" s="1302"/>
      <c r="N9442" s="1700"/>
      <c r="O9442" s="1290"/>
      <c r="P9442" s="1332"/>
      <c r="Q9442" s="3391"/>
    </row>
    <row r="9443" spans="1:18">
      <c r="A9443" s="1320"/>
      <c r="B9443" s="22"/>
      <c r="C9443" s="1320"/>
      <c r="D9443" s="1373"/>
      <c r="E9443" s="2123"/>
      <c r="F9443" s="1374" t="s">
        <v>3</v>
      </c>
      <c r="G9443" s="1375"/>
      <c r="H9443" s="1376"/>
      <c r="I9443" s="1382"/>
      <c r="J9443" s="1383"/>
      <c r="K9443" s="1383"/>
      <c r="L9443" s="1413"/>
      <c r="M9443" s="1376"/>
      <c r="N9443" s="1376"/>
      <c r="O9443" s="1376"/>
      <c r="P9443" s="1373"/>
      <c r="Q9443" s="3387"/>
    </row>
    <row r="9444" spans="1:18">
      <c r="A9444" s="1321"/>
      <c r="B9444" s="1295"/>
      <c r="C9444" s="1321"/>
      <c r="D9444" s="1377"/>
      <c r="E9444" s="2124"/>
      <c r="F9444" s="1378"/>
      <c r="G9444" s="1378"/>
      <c r="H9444" s="1379"/>
      <c r="I9444" s="1299"/>
      <c r="J9444" s="1300"/>
      <c r="K9444" s="1307"/>
      <c r="L9444" s="1335"/>
      <c r="M9444" s="1302"/>
      <c r="N9444" s="1700"/>
      <c r="O9444" s="1290"/>
      <c r="P9444" s="1332"/>
      <c r="Q9444" s="3391"/>
    </row>
    <row r="9445" spans="1:18">
      <c r="A9445" s="1321"/>
      <c r="B9445" s="1295"/>
      <c r="C9445" s="1321"/>
      <c r="D9445" s="1377"/>
      <c r="E9445" s="2124"/>
      <c r="F9445" s="1378"/>
      <c r="G9445" s="1378"/>
      <c r="H9445" s="1379"/>
      <c r="I9445" s="1299"/>
      <c r="J9445" s="1300"/>
      <c r="K9445" s="1307"/>
      <c r="L9445" s="1335"/>
      <c r="M9445" s="1302"/>
      <c r="N9445" s="1700"/>
      <c r="O9445" s="1290"/>
      <c r="P9445" s="1333"/>
      <c r="Q9445" s="3391"/>
    </row>
    <row r="9446" spans="1:18">
      <c r="A9446" s="1042"/>
      <c r="B9446" s="22"/>
      <c r="C9446" s="1042"/>
      <c r="D9446" s="1677"/>
      <c r="E9446" s="2161"/>
      <c r="F9446" s="1678"/>
      <c r="G9446" s="1678"/>
      <c r="H9446" s="1376"/>
      <c r="I9446" s="1299"/>
      <c r="J9446" s="1300"/>
      <c r="K9446" s="1307"/>
      <c r="L9446" s="1335"/>
      <c r="M9446" s="1302"/>
      <c r="N9446" s="1700"/>
      <c r="O9446" s="1290"/>
      <c r="P9446" s="1332"/>
      <c r="Q9446" s="3391"/>
    </row>
    <row r="9447" spans="1:18">
      <c r="A9447" s="18" t="s">
        <v>3764</v>
      </c>
      <c r="B9447" s="4325" t="s">
        <v>2058</v>
      </c>
      <c r="C9447" s="3805"/>
      <c r="D9447" s="4327"/>
      <c r="E9447" s="4329" t="s">
        <v>1507</v>
      </c>
      <c r="F9447" s="4336" t="s">
        <v>2059</v>
      </c>
      <c r="G9447" s="4331" t="s">
        <v>1568</v>
      </c>
      <c r="H9447" s="4331" t="s">
        <v>1574</v>
      </c>
      <c r="I9447" s="1572" t="s">
        <v>1559</v>
      </c>
      <c r="J9447" s="1294" t="s">
        <v>1560</v>
      </c>
      <c r="K9447" s="1294" t="s">
        <v>1569</v>
      </c>
      <c r="L9447" s="4333" t="s">
        <v>3765</v>
      </c>
      <c r="M9447" s="4335" t="s">
        <v>1571</v>
      </c>
      <c r="N9447" s="4323" t="s">
        <v>1776</v>
      </c>
      <c r="O9447" s="3804" t="s">
        <v>1563</v>
      </c>
      <c r="P9447" s="1336" t="s">
        <v>1562</v>
      </c>
      <c r="Q9447" s="3389"/>
      <c r="R9447" s="1699" t="s">
        <v>1327</v>
      </c>
    </row>
    <row r="9448" spans="1:18" ht="14.25" customHeight="1">
      <c r="A9448" s="1662" t="s">
        <v>3638</v>
      </c>
      <c r="B9448" s="4326"/>
      <c r="C9448" s="3806"/>
      <c r="D9448" s="4328"/>
      <c r="E9448" s="4330"/>
      <c r="F9448" s="4336"/>
      <c r="G9448" s="4332"/>
      <c r="H9448" s="4332"/>
      <c r="I9448" s="3814">
        <v>46.02</v>
      </c>
      <c r="J9448" s="3815">
        <v>2.1999999999999999E-2</v>
      </c>
      <c r="K9448" s="1297">
        <f>I9448*J9448</f>
        <v>1.01244</v>
      </c>
      <c r="L9448" s="4334"/>
      <c r="M9448" s="4335"/>
      <c r="N9448" s="4324"/>
      <c r="O9448" s="1298">
        <f>O9450+O9451+O9459+O9460</f>
        <v>15.346632899999999</v>
      </c>
      <c r="P9448" s="1337">
        <f>O9448*K9448</f>
        <v>15.537545013275999</v>
      </c>
      <c r="Q9448" s="3390"/>
      <c r="R9448" s="1721">
        <f>P9450+P9451+P9459+P9460</f>
        <v>15.537545013276002</v>
      </c>
    </row>
    <row r="9449" spans="1:18">
      <c r="A9449" s="1320"/>
      <c r="B9449" s="22"/>
      <c r="C9449" s="1327"/>
      <c r="D9449" s="1367"/>
      <c r="E9449" s="2121"/>
      <c r="F9449" s="1389" t="s">
        <v>1</v>
      </c>
      <c r="G9449" s="1389"/>
      <c r="H9449" s="1369"/>
      <c r="I9449" s="1409"/>
      <c r="J9449" s="1390"/>
      <c r="K9449" s="1391"/>
      <c r="L9449" s="1559"/>
      <c r="M9449" s="1369"/>
      <c r="N9449" s="1369"/>
      <c r="O9449" s="1369"/>
      <c r="P9449" s="1392"/>
      <c r="Q9449" s="3395"/>
    </row>
    <row r="9450" spans="1:18">
      <c r="A9450" s="1042"/>
      <c r="B9450" s="22"/>
      <c r="C9450" s="1042"/>
      <c r="D9450" s="1598" t="s">
        <v>2060</v>
      </c>
      <c r="E9450" s="2154" t="s">
        <v>1357</v>
      </c>
      <c r="F9450" s="1598" t="s">
        <v>2061</v>
      </c>
      <c r="G9450" s="1612">
        <v>0.09</v>
      </c>
      <c r="H9450" s="1674"/>
      <c r="I9450" s="1299"/>
      <c r="J9450" s="1300"/>
      <c r="K9450" s="1307">
        <f>G9450*K9448</f>
        <v>9.1119599999999995E-2</v>
      </c>
      <c r="L9450" s="1335">
        <f>K9450*$K$9346</f>
        <v>0</v>
      </c>
      <c r="M9450" s="1302">
        <v>7.42</v>
      </c>
      <c r="N9450" s="1700"/>
      <c r="O9450" s="1290">
        <f>G9450*M9450</f>
        <v>0.66779999999999995</v>
      </c>
      <c r="P9450" s="1332">
        <f>M9450*K9450</f>
        <v>0.67610743200000001</v>
      </c>
      <c r="Q9450" s="3391"/>
    </row>
    <row r="9451" spans="1:18">
      <c r="A9451" s="16"/>
      <c r="B9451" s="1042"/>
      <c r="C9451" s="1356" t="s">
        <v>1127</v>
      </c>
      <c r="D9451" s="1311"/>
      <c r="E9451" s="2137" t="s">
        <v>1517</v>
      </c>
      <c r="F9451" s="1319" t="s">
        <v>1519</v>
      </c>
      <c r="G9451" s="1353"/>
      <c r="H9451" s="1456">
        <v>0.03</v>
      </c>
      <c r="I9451" s="1444"/>
      <c r="J9451" s="1388"/>
      <c r="K9451" s="1445"/>
      <c r="L9451" s="1457"/>
      <c r="M9451" s="1447"/>
      <c r="N9451" s="1447">
        <f>SUM(N9452:N9455)</f>
        <v>50.044430000000006</v>
      </c>
      <c r="O9451" s="1447">
        <f>SUM(O9452:O9455)</f>
        <v>1.5013329000000002</v>
      </c>
      <c r="P9451" s="1446">
        <f>SUM(P9452:P9455)</f>
        <v>1.5200094812760003</v>
      </c>
      <c r="Q9451" s="3391"/>
      <c r="R9451" s="2337"/>
    </row>
    <row r="9452" spans="1:18">
      <c r="A9452" s="16"/>
      <c r="B9452" s="1042"/>
      <c r="C9452" s="1327"/>
      <c r="D9452" s="1400" t="s">
        <v>1069</v>
      </c>
      <c r="E9452" s="1856" t="s">
        <v>1517</v>
      </c>
      <c r="F9452" s="1397" t="s">
        <v>1578</v>
      </c>
      <c r="G9452" s="1416">
        <v>0.26300000000000001</v>
      </c>
      <c r="H9452" s="1399">
        <f>G9452*$H$9091</f>
        <v>7.8899999999999994E-3</v>
      </c>
      <c r="I9452" s="197"/>
      <c r="J9452" s="198"/>
      <c r="K9452" s="1307">
        <f>H9452*K9448</f>
        <v>7.9881516E-3</v>
      </c>
      <c r="L9452" s="1335">
        <f>K9452*$K$9346</f>
        <v>0</v>
      </c>
      <c r="M9452" s="1302">
        <v>0.55000000000000004</v>
      </c>
      <c r="N9452" s="1718">
        <f>G9452*M9452</f>
        <v>0.14465000000000003</v>
      </c>
      <c r="O9452" s="1290">
        <f>H9452*M9452</f>
        <v>4.3395000000000005E-3</v>
      </c>
      <c r="P9452" s="1332">
        <f>M9452*K9452</f>
        <v>4.3934833800000003E-3</v>
      </c>
      <c r="Q9452" s="3391"/>
      <c r="R9452" s="2337"/>
    </row>
    <row r="9453" spans="1:18">
      <c r="A9453" s="16"/>
      <c r="B9453" s="1042"/>
      <c r="C9453" s="1320"/>
      <c r="D9453" s="1400" t="s">
        <v>1394</v>
      </c>
      <c r="E9453" s="1856" t="s">
        <v>1577</v>
      </c>
      <c r="F9453" s="1397" t="s">
        <v>1579</v>
      </c>
      <c r="G9453" s="1416">
        <v>0.25800000000000001</v>
      </c>
      <c r="H9453" s="1399">
        <f>G9453*$H$9091</f>
        <v>7.7400000000000004E-3</v>
      </c>
      <c r="I9453" s="197"/>
      <c r="J9453" s="198"/>
      <c r="K9453" s="1307">
        <f>H9453*K9448</f>
        <v>7.8362856000000012E-3</v>
      </c>
      <c r="L9453" s="1335">
        <f>K9453*$K$9346</f>
        <v>0</v>
      </c>
      <c r="M9453" s="1302">
        <v>92.54</v>
      </c>
      <c r="N9453" s="1718">
        <f>G9453*M9453</f>
        <v>23.875320000000002</v>
      </c>
      <c r="O9453" s="1290">
        <f>H9453*M9453</f>
        <v>0.71625960000000011</v>
      </c>
      <c r="P9453" s="1332">
        <f>M9453*K9453</f>
        <v>0.72516986942400019</v>
      </c>
      <c r="Q9453" s="3391"/>
      <c r="R9453" s="2337"/>
    </row>
    <row r="9454" spans="1:18">
      <c r="A9454" s="16"/>
      <c r="B9454" s="1042"/>
      <c r="C9454" s="1320"/>
      <c r="D9454" s="1400" t="s">
        <v>1576</v>
      </c>
      <c r="E9454" s="1856" t="s">
        <v>1517</v>
      </c>
      <c r="F9454" s="1397" t="s">
        <v>1580</v>
      </c>
      <c r="G9454" s="1416">
        <v>1.1020000000000001</v>
      </c>
      <c r="H9454" s="1399">
        <f>G9454*$H$9091</f>
        <v>3.3059999999999999E-2</v>
      </c>
      <c r="I9454" s="197"/>
      <c r="J9454" s="198"/>
      <c r="K9454" s="1307">
        <f>H9454*K9448</f>
        <v>3.3471266399999998E-2</v>
      </c>
      <c r="L9454" s="1335">
        <f>K9454*$K$9346</f>
        <v>0</v>
      </c>
      <c r="M9454" s="1302">
        <v>6.53</v>
      </c>
      <c r="N9454" s="1718">
        <f>G9454*M9454</f>
        <v>7.196060000000001</v>
      </c>
      <c r="O9454" s="1290">
        <f>H9454*M9454</f>
        <v>0.21588180000000001</v>
      </c>
      <c r="P9454" s="1332">
        <f>M9454*K9454</f>
        <v>0.21856736959199999</v>
      </c>
      <c r="Q9454" s="3391"/>
      <c r="R9454" s="2337"/>
    </row>
    <row r="9455" spans="1:18">
      <c r="A9455" s="16"/>
      <c r="B9455" s="1042"/>
      <c r="C9455" s="1320"/>
      <c r="D9455" s="1404" t="s">
        <v>1067</v>
      </c>
      <c r="E9455" s="1857" t="s">
        <v>1508</v>
      </c>
      <c r="F9455" s="1406" t="s">
        <v>1512</v>
      </c>
      <c r="G9455" s="1407">
        <v>1.03</v>
      </c>
      <c r="H9455" s="1408">
        <f>G9455*$H$9091</f>
        <v>3.09E-2</v>
      </c>
      <c r="I9455" s="197"/>
      <c r="J9455" s="198"/>
      <c r="K9455" s="1307">
        <f>H9455*K9448</f>
        <v>3.1284395999999999E-2</v>
      </c>
      <c r="L9455" s="1335">
        <f>K9455*$K$9346</f>
        <v>0</v>
      </c>
      <c r="M9455" s="1302">
        <v>18.28</v>
      </c>
      <c r="N9455" s="1718">
        <f>G9455*M9455</f>
        <v>18.828400000000002</v>
      </c>
      <c r="O9455" s="1290">
        <f>H9455*M9455</f>
        <v>0.56485200000000002</v>
      </c>
      <c r="P9455" s="1332">
        <f>M9455*K9455</f>
        <v>0.57187875888000006</v>
      </c>
      <c r="Q9455" s="3391"/>
      <c r="R9455" s="2337"/>
    </row>
    <row r="9456" spans="1:18">
      <c r="A9456" s="1042"/>
      <c r="B9456" s="22"/>
      <c r="C9456" s="1042"/>
      <c r="D9456" s="1672"/>
      <c r="E9456" s="2160"/>
      <c r="F9456" s="1675"/>
      <c r="G9456" s="1675"/>
      <c r="H9456" s="1674"/>
      <c r="I9456" s="1299"/>
      <c r="J9456" s="1300"/>
      <c r="K9456" s="1307"/>
      <c r="L9456" s="1335"/>
      <c r="M9456" s="1302"/>
      <c r="N9456" s="1700"/>
      <c r="O9456" s="1290"/>
      <c r="P9456" s="1332"/>
      <c r="Q9456" s="3391"/>
    </row>
    <row r="9457" spans="1:18">
      <c r="A9457" s="1042"/>
      <c r="B9457" s="22"/>
      <c r="C9457" s="1042"/>
      <c r="D9457" s="1367"/>
      <c r="E9457" s="2121"/>
      <c r="F9457" s="1436"/>
      <c r="G9457" s="1436"/>
      <c r="H9457" s="1369"/>
      <c r="I9457" s="1299"/>
      <c r="J9457" s="1300"/>
      <c r="K9457" s="1307"/>
      <c r="L9457" s="1335"/>
      <c r="M9457" s="1302"/>
      <c r="N9457" s="1700"/>
      <c r="O9457" s="1290"/>
      <c r="P9457" s="1332"/>
      <c r="Q9457" s="3391"/>
    </row>
    <row r="9458" spans="1:18">
      <c r="A9458" s="1042"/>
      <c r="B9458" s="22"/>
      <c r="C9458" s="1042"/>
      <c r="D9458" s="1359"/>
      <c r="E9458" s="1858"/>
      <c r="F9458" s="1360" t="s">
        <v>2</v>
      </c>
      <c r="G9458" s="1360"/>
      <c r="H9458" s="1362"/>
      <c r="I9458" s="1380"/>
      <c r="J9458" s="1381"/>
      <c r="K9458" s="1381"/>
      <c r="L9458" s="1458"/>
      <c r="M9458" s="1362"/>
      <c r="N9458" s="1362"/>
      <c r="O9458" s="1362"/>
      <c r="P9458" s="1359"/>
      <c r="Q9458" s="3387"/>
    </row>
    <row r="9459" spans="1:18">
      <c r="A9459" s="1321"/>
      <c r="B9459" s="1295"/>
      <c r="C9459" s="1321"/>
      <c r="D9459" s="1363" t="s">
        <v>1088</v>
      </c>
      <c r="E9459" s="2125" t="s">
        <v>1508</v>
      </c>
      <c r="F9459" s="1403" t="s">
        <v>37</v>
      </c>
      <c r="G9459" s="1408">
        <v>0.35</v>
      </c>
      <c r="H9459" s="2019"/>
      <c r="I9459" s="1299"/>
      <c r="J9459" s="1300"/>
      <c r="K9459" s="1307">
        <f>G9459*K9448</f>
        <v>0.354354</v>
      </c>
      <c r="L9459" s="1335">
        <f>K9459*$K$9346</f>
        <v>0</v>
      </c>
      <c r="M9459" s="1302">
        <v>19.23</v>
      </c>
      <c r="N9459" s="1700"/>
      <c r="O9459" s="1290">
        <f>G9459*M9459</f>
        <v>6.7305000000000001</v>
      </c>
      <c r="P9459" s="1332">
        <f>M9459*K9459</f>
        <v>6.8142274199999999</v>
      </c>
      <c r="Q9459" s="3391"/>
    </row>
    <row r="9460" spans="1:18">
      <c r="A9460" s="1320"/>
      <c r="B9460" s="22"/>
      <c r="C9460" s="1320"/>
      <c r="D9460" s="1655" t="s">
        <v>2063</v>
      </c>
      <c r="E9460" s="1859" t="s">
        <v>1508</v>
      </c>
      <c r="F9460" s="1655" t="s">
        <v>1966</v>
      </c>
      <c r="G9460" s="1809">
        <v>0.35</v>
      </c>
      <c r="H9460" s="1359"/>
      <c r="I9460" s="1299"/>
      <c r="J9460" s="1300"/>
      <c r="K9460" s="1307">
        <f>G9460*K9448</f>
        <v>0.354354</v>
      </c>
      <c r="L9460" s="1335">
        <f>K9460*$K$9346</f>
        <v>0</v>
      </c>
      <c r="M9460" s="1302">
        <v>18.420000000000002</v>
      </c>
      <c r="N9460" s="1700"/>
      <c r="O9460" s="1290">
        <f>G9460*M9460</f>
        <v>6.4470000000000001</v>
      </c>
      <c r="P9460" s="1332">
        <f>M9460*K9460</f>
        <v>6.5272006800000009</v>
      </c>
      <c r="Q9460" s="3391"/>
    </row>
    <row r="9461" spans="1:18">
      <c r="A9461" s="1320"/>
      <c r="B9461" s="22"/>
      <c r="C9461" s="1320"/>
      <c r="D9461" s="1359"/>
      <c r="E9461" s="1858"/>
      <c r="F9461" s="1404"/>
      <c r="G9461" s="1404"/>
      <c r="H9461" s="1359"/>
      <c r="I9461" s="1299"/>
      <c r="J9461" s="1300"/>
      <c r="K9461" s="1307"/>
      <c r="L9461" s="1335"/>
      <c r="M9461" s="1302"/>
      <c r="N9461" s="1700"/>
      <c r="O9461" s="1290"/>
      <c r="P9461" s="1332"/>
      <c r="Q9461" s="3391"/>
    </row>
    <row r="9462" spans="1:18">
      <c r="A9462" s="1320"/>
      <c r="B9462" s="22"/>
      <c r="C9462" s="1320"/>
      <c r="D9462" s="1359"/>
      <c r="E9462" s="1858"/>
      <c r="F9462" s="1361"/>
      <c r="G9462" s="1361"/>
      <c r="H9462" s="1466"/>
      <c r="I9462" s="1299"/>
      <c r="J9462" s="1300"/>
      <c r="K9462" s="1307"/>
      <c r="L9462" s="1335"/>
      <c r="M9462" s="1302"/>
      <c r="N9462" s="1700"/>
      <c r="O9462" s="1290"/>
      <c r="P9462" s="1332"/>
      <c r="Q9462" s="3391"/>
    </row>
    <row r="9463" spans="1:18">
      <c r="A9463" s="1320"/>
      <c r="B9463" s="22"/>
      <c r="C9463" s="1320"/>
      <c r="D9463" s="1373"/>
      <c r="E9463" s="2123"/>
      <c r="F9463" s="1374" t="s">
        <v>3</v>
      </c>
      <c r="G9463" s="1375"/>
      <c r="H9463" s="1376"/>
      <c r="I9463" s="1382"/>
      <c r="J9463" s="1383"/>
      <c r="K9463" s="1383"/>
      <c r="L9463" s="1413"/>
      <c r="M9463" s="1376"/>
      <c r="N9463" s="1376"/>
      <c r="O9463" s="1376"/>
      <c r="P9463" s="1373"/>
      <c r="Q9463" s="3387"/>
    </row>
    <row r="9464" spans="1:18">
      <c r="A9464" s="1321"/>
      <c r="B9464" s="1295"/>
      <c r="C9464" s="1321"/>
      <c r="D9464" s="1377"/>
      <c r="E9464" s="2124"/>
      <c r="F9464" s="1378"/>
      <c r="G9464" s="1378"/>
      <c r="H9464" s="1379"/>
      <c r="I9464" s="1299"/>
      <c r="J9464" s="1300"/>
      <c r="K9464" s="1307"/>
      <c r="L9464" s="1335"/>
      <c r="M9464" s="1302"/>
      <c r="N9464" s="1700"/>
      <c r="O9464" s="1290"/>
      <c r="P9464" s="1332"/>
      <c r="Q9464" s="3391"/>
    </row>
    <row r="9465" spans="1:18">
      <c r="A9465" s="1321"/>
      <c r="B9465" s="1295"/>
      <c r="C9465" s="1321"/>
      <c r="D9465" s="1377"/>
      <c r="E9465" s="2124"/>
      <c r="F9465" s="1378"/>
      <c r="G9465" s="1378"/>
      <c r="H9465" s="1379"/>
      <c r="I9465" s="1299"/>
      <c r="J9465" s="1300"/>
      <c r="K9465" s="1307"/>
      <c r="L9465" s="1335"/>
      <c r="M9465" s="1302"/>
      <c r="N9465" s="1700"/>
      <c r="O9465" s="1290"/>
      <c r="P9465" s="1333"/>
      <c r="Q9465" s="3391"/>
    </row>
    <row r="9466" spans="1:18">
      <c r="A9466" s="1042"/>
      <c r="B9466" s="22"/>
      <c r="C9466" s="1042"/>
      <c r="D9466" s="1677"/>
      <c r="E9466" s="2161"/>
      <c r="F9466" s="1678"/>
      <c r="G9466" s="1678"/>
      <c r="H9466" s="1376"/>
      <c r="I9466" s="1299"/>
      <c r="J9466" s="1300"/>
      <c r="K9466" s="1307"/>
      <c r="L9466" s="1335"/>
      <c r="M9466" s="1302"/>
      <c r="N9466" s="1700"/>
      <c r="O9466" s="1290"/>
      <c r="P9466" s="1332"/>
      <c r="Q9466" s="3391"/>
    </row>
    <row r="9467" spans="1:18">
      <c r="A9467" s="18" t="s">
        <v>3764</v>
      </c>
      <c r="B9467" s="4325" t="s">
        <v>2064</v>
      </c>
      <c r="C9467" s="3805"/>
      <c r="D9467" s="4327"/>
      <c r="E9467" s="4329" t="s">
        <v>1507</v>
      </c>
      <c r="F9467" s="4336" t="s">
        <v>2090</v>
      </c>
      <c r="G9467" s="4331" t="s">
        <v>1568</v>
      </c>
      <c r="H9467" s="4331" t="s">
        <v>1574</v>
      </c>
      <c r="I9467" s="1572" t="s">
        <v>1559</v>
      </c>
      <c r="J9467" s="1294" t="s">
        <v>1560</v>
      </c>
      <c r="K9467" s="1294" t="s">
        <v>1569</v>
      </c>
      <c r="L9467" s="4333" t="s">
        <v>3765</v>
      </c>
      <c r="M9467" s="4335" t="s">
        <v>1571</v>
      </c>
      <c r="N9467" s="4323" t="s">
        <v>1776</v>
      </c>
      <c r="O9467" s="3804" t="s">
        <v>1563</v>
      </c>
      <c r="P9467" s="1336" t="s">
        <v>1562</v>
      </c>
      <c r="Q9467" s="3389"/>
      <c r="R9467" s="1699" t="s">
        <v>1327</v>
      </c>
    </row>
    <row r="9468" spans="1:18">
      <c r="A9468" s="1662" t="s">
        <v>3638</v>
      </c>
      <c r="B9468" s="4326"/>
      <c r="C9468" s="3806"/>
      <c r="D9468" s="4328"/>
      <c r="E9468" s="4330"/>
      <c r="F9468" s="4336"/>
      <c r="G9468" s="4332"/>
      <c r="H9468" s="4332"/>
      <c r="I9468" s="3814">
        <v>46.02</v>
      </c>
      <c r="J9468" s="3815">
        <v>2.1999999999999999E-2</v>
      </c>
      <c r="K9468" s="1297">
        <f>I9468*J9468</f>
        <v>1.01244</v>
      </c>
      <c r="L9468" s="4334"/>
      <c r="M9468" s="4335"/>
      <c r="N9468" s="4324"/>
      <c r="O9468" s="1298">
        <f>SUM(O9470:O9484)</f>
        <v>85.925100000000015</v>
      </c>
      <c r="P9468" s="1337">
        <f>O9468*K9468</f>
        <v>86.994008244000014</v>
      </c>
      <c r="Q9468" s="3390"/>
      <c r="R9468" s="1721">
        <f>SUM(P9470:P9484)</f>
        <v>86.994008244</v>
      </c>
    </row>
    <row r="9469" spans="1:18">
      <c r="A9469" s="1320"/>
      <c r="B9469" s="22"/>
      <c r="C9469" s="1327"/>
      <c r="D9469" s="1400"/>
      <c r="E9469" s="2121"/>
      <c r="F9469" s="1389" t="s">
        <v>1</v>
      </c>
      <c r="G9469" s="1389"/>
      <c r="H9469" s="1369"/>
      <c r="I9469" s="1409"/>
      <c r="J9469" s="1390"/>
      <c r="K9469" s="1391"/>
      <c r="L9469" s="1559"/>
      <c r="M9469" s="1369"/>
      <c r="N9469" s="1369"/>
      <c r="O9469" s="1369"/>
      <c r="P9469" s="1392"/>
      <c r="Q9469" s="3395"/>
    </row>
    <row r="9470" spans="1:18">
      <c r="A9470" s="1042"/>
      <c r="B9470" s="22"/>
      <c r="C9470" s="1042"/>
      <c r="D9470" s="1610" t="s">
        <v>2091</v>
      </c>
      <c r="E9470" s="2154" t="s">
        <v>1507</v>
      </c>
      <c r="F9470" s="1598" t="s">
        <v>2092</v>
      </c>
      <c r="G9470" s="1612">
        <v>1</v>
      </c>
      <c r="H9470" s="1674"/>
      <c r="I9470" s="1299"/>
      <c r="J9470" s="1300"/>
      <c r="K9470" s="1307">
        <f>G9470*K9468</f>
        <v>1.01244</v>
      </c>
      <c r="L9470" s="1335">
        <f>K9470*$K$9346</f>
        <v>0</v>
      </c>
      <c r="M9470" s="1302">
        <v>70.900000000000006</v>
      </c>
      <c r="N9470" s="1700"/>
      <c r="O9470" s="1290">
        <f>G9470*M9470</f>
        <v>70.900000000000006</v>
      </c>
      <c r="P9470" s="1332">
        <f>M9470*K9470</f>
        <v>71.781996000000007</v>
      </c>
      <c r="Q9470" s="3391"/>
    </row>
    <row r="9471" spans="1:18">
      <c r="A9471" s="16"/>
      <c r="B9471" s="553"/>
      <c r="C9471" s="1042"/>
      <c r="D9471" s="1610" t="s">
        <v>1191</v>
      </c>
      <c r="E9471" s="2154" t="s">
        <v>1527</v>
      </c>
      <c r="F9471" s="1598" t="s">
        <v>2093</v>
      </c>
      <c r="G9471" s="1612">
        <v>3</v>
      </c>
      <c r="H9471" s="1674"/>
      <c r="I9471" s="1299"/>
      <c r="J9471" s="1300"/>
      <c r="K9471" s="1307">
        <f>G9471*K9468</f>
        <v>3.0373200000000002</v>
      </c>
      <c r="L9471" s="1335">
        <f>K9471*$K$9346</f>
        <v>0</v>
      </c>
      <c r="M9471" s="1302">
        <v>0.97</v>
      </c>
      <c r="N9471" s="1700"/>
      <c r="O9471" s="1290">
        <f>G9471*M9471</f>
        <v>2.91</v>
      </c>
      <c r="P9471" s="1332">
        <f>M9471*K9471</f>
        <v>2.9462003999999999</v>
      </c>
      <c r="Q9471" s="3391"/>
      <c r="R9471" s="2337"/>
    </row>
    <row r="9472" spans="1:18">
      <c r="A9472" s="16"/>
      <c r="B9472" s="553"/>
      <c r="C9472" s="1320"/>
      <c r="D9472" s="1610" t="s">
        <v>1175</v>
      </c>
      <c r="E9472" s="2154" t="s">
        <v>1527</v>
      </c>
      <c r="F9472" s="1598" t="s">
        <v>1914</v>
      </c>
      <c r="G9472" s="1612">
        <v>3</v>
      </c>
      <c r="H9472" s="1399"/>
      <c r="I9472" s="197"/>
      <c r="J9472" s="198"/>
      <c r="K9472" s="1307">
        <f>G9472*K9468</f>
        <v>3.0373200000000002</v>
      </c>
      <c r="L9472" s="1335">
        <f>K9472*$K$9346</f>
        <v>0</v>
      </c>
      <c r="M9472" s="1302">
        <v>1.3</v>
      </c>
      <c r="N9472" s="1718"/>
      <c r="O9472" s="1290">
        <f>G9472*M9472</f>
        <v>3.9000000000000004</v>
      </c>
      <c r="P9472" s="1332">
        <f>M9472*K9472</f>
        <v>3.9485160000000006</v>
      </c>
      <c r="Q9472" s="3391"/>
      <c r="R9472" s="2337"/>
    </row>
    <row r="9473" spans="1:19">
      <c r="A9473" s="16"/>
      <c r="B9473" s="553"/>
      <c r="C9473" s="1320"/>
      <c r="D9473" s="1610" t="s">
        <v>1082</v>
      </c>
      <c r="E9473" s="2154" t="s">
        <v>1504</v>
      </c>
      <c r="F9473" s="1598" t="s">
        <v>1541</v>
      </c>
      <c r="G9473" s="1612">
        <v>1</v>
      </c>
      <c r="H9473" s="1399"/>
      <c r="I9473" s="197"/>
      <c r="J9473" s="198"/>
      <c r="K9473" s="1307">
        <f>G9473*K9468</f>
        <v>1.01244</v>
      </c>
      <c r="L9473" s="1335">
        <f>K9473*$K$9346</f>
        <v>0</v>
      </c>
      <c r="M9473" s="1302">
        <v>0.3</v>
      </c>
      <c r="N9473" s="1718"/>
      <c r="O9473" s="1290">
        <f>G9473*M9473</f>
        <v>0.3</v>
      </c>
      <c r="P9473" s="1332">
        <f>M9473*K9473</f>
        <v>0.303732</v>
      </c>
      <c r="Q9473" s="3391"/>
      <c r="R9473" s="2337"/>
    </row>
    <row r="9474" spans="1:19">
      <c r="A9474" s="1042"/>
      <c r="B9474" s="22"/>
      <c r="C9474" s="1042"/>
      <c r="D9474" s="1400"/>
      <c r="E9474" s="2121"/>
      <c r="F9474" s="1436"/>
      <c r="G9474" s="1436"/>
      <c r="H9474" s="1369"/>
      <c r="I9474" s="1299"/>
      <c r="J9474" s="1300"/>
      <c r="K9474" s="1307"/>
      <c r="L9474" s="1335"/>
      <c r="M9474" s="1302"/>
      <c r="N9474" s="1700"/>
      <c r="O9474" s="1290"/>
      <c r="P9474" s="1332"/>
      <c r="Q9474" s="3391"/>
    </row>
    <row r="9475" spans="1:19">
      <c r="A9475" s="1042"/>
      <c r="B9475" s="22"/>
      <c r="C9475" s="1042"/>
      <c r="D9475" s="1400"/>
      <c r="E9475" s="2121"/>
      <c r="F9475" s="1436"/>
      <c r="G9475" s="1436"/>
      <c r="H9475" s="1369"/>
      <c r="I9475" s="1299"/>
      <c r="J9475" s="1300"/>
      <c r="K9475" s="1307"/>
      <c r="L9475" s="1335"/>
      <c r="M9475" s="1302"/>
      <c r="N9475" s="1700"/>
      <c r="O9475" s="1290"/>
      <c r="P9475" s="1332"/>
      <c r="Q9475" s="3391"/>
    </row>
    <row r="9476" spans="1:19">
      <c r="A9476" s="1042"/>
      <c r="B9476" s="22"/>
      <c r="C9476" s="1042"/>
      <c r="D9476" s="1404"/>
      <c r="E9476" s="1858"/>
      <c r="F9476" s="1360" t="s">
        <v>2</v>
      </c>
      <c r="G9476" s="1360"/>
      <c r="H9476" s="1362"/>
      <c r="I9476" s="1380"/>
      <c r="J9476" s="1381"/>
      <c r="K9476" s="1381"/>
      <c r="L9476" s="1458"/>
      <c r="M9476" s="1362"/>
      <c r="N9476" s="1362"/>
      <c r="O9476" s="1362"/>
      <c r="P9476" s="1359"/>
      <c r="Q9476" s="3387"/>
    </row>
    <row r="9477" spans="1:19">
      <c r="A9477" s="1321"/>
      <c r="B9477" s="1295"/>
      <c r="C9477" s="1321"/>
      <c r="D9477" s="1622" t="s">
        <v>1067</v>
      </c>
      <c r="E9477" s="2125" t="s">
        <v>1508</v>
      </c>
      <c r="F9477" s="1385" t="s">
        <v>1512</v>
      </c>
      <c r="G9477" s="2019">
        <v>0.17</v>
      </c>
      <c r="H9477" s="1386"/>
      <c r="I9477" s="1299"/>
      <c r="J9477" s="1300"/>
      <c r="K9477" s="1307">
        <f>G9477*K9468</f>
        <v>0.17211480000000001</v>
      </c>
      <c r="L9477" s="1335">
        <f>K9477*$K$9346</f>
        <v>0</v>
      </c>
      <c r="M9477" s="1302">
        <v>18.28</v>
      </c>
      <c r="N9477" s="1700"/>
      <c r="O9477" s="1290">
        <f>G9477*M9477</f>
        <v>3.1076000000000006</v>
      </c>
      <c r="P9477" s="1332">
        <f>M9477*K9477</f>
        <v>3.1462585440000006</v>
      </c>
      <c r="Q9477" s="3391"/>
    </row>
    <row r="9478" spans="1:19">
      <c r="A9478" s="1320"/>
      <c r="B9478" s="22"/>
      <c r="C9478" s="1320"/>
      <c r="D9478" s="1993" t="s">
        <v>1173</v>
      </c>
      <c r="E9478" s="1859" t="s">
        <v>1508</v>
      </c>
      <c r="F9478" s="1655" t="s">
        <v>1768</v>
      </c>
      <c r="G9478" s="1809">
        <v>0.25</v>
      </c>
      <c r="H9478" s="1359"/>
      <c r="I9478" s="1299"/>
      <c r="J9478" s="1300"/>
      <c r="K9478" s="1307">
        <f>G9478*K9468</f>
        <v>0.25311</v>
      </c>
      <c r="L9478" s="1335">
        <f>K9478*$K$9346</f>
        <v>0</v>
      </c>
      <c r="M9478" s="1302">
        <v>19.23</v>
      </c>
      <c r="N9478" s="1700"/>
      <c r="O9478" s="1290">
        <f>G9478*M9478</f>
        <v>4.8075000000000001</v>
      </c>
      <c r="P9478" s="1332">
        <f>M9478*K9478</f>
        <v>4.8673052999999999</v>
      </c>
      <c r="Q9478" s="3391"/>
    </row>
    <row r="9479" spans="1:19">
      <c r="A9479" s="1320"/>
      <c r="B9479" s="22"/>
      <c r="C9479" s="1320"/>
      <c r="D9479" s="1404"/>
      <c r="E9479" s="1858"/>
      <c r="F9479" s="1404"/>
      <c r="G9479" s="1404"/>
      <c r="H9479" s="1359"/>
      <c r="I9479" s="1299"/>
      <c r="J9479" s="1300"/>
      <c r="K9479" s="1307"/>
      <c r="L9479" s="1335"/>
      <c r="M9479" s="1302"/>
      <c r="N9479" s="1700"/>
      <c r="O9479" s="1290"/>
      <c r="P9479" s="1332"/>
      <c r="Q9479" s="3391"/>
    </row>
    <row r="9480" spans="1:19">
      <c r="A9480" s="1320"/>
      <c r="B9480" s="22"/>
      <c r="C9480" s="1320"/>
      <c r="D9480" s="1404"/>
      <c r="E9480" s="1858"/>
      <c r="F9480" s="1361"/>
      <c r="G9480" s="1361"/>
      <c r="H9480" s="1466"/>
      <c r="I9480" s="1299"/>
      <c r="J9480" s="1300"/>
      <c r="K9480" s="1307"/>
      <c r="L9480" s="1335"/>
      <c r="M9480" s="1302"/>
      <c r="N9480" s="1700"/>
      <c r="O9480" s="1290"/>
      <c r="P9480" s="1332"/>
      <c r="Q9480" s="3391"/>
    </row>
    <row r="9481" spans="1:19">
      <c r="A9481" s="1320"/>
      <c r="B9481" s="22"/>
      <c r="C9481" s="1320"/>
      <c r="D9481" s="1411"/>
      <c r="E9481" s="2123"/>
      <c r="F9481" s="1374" t="s">
        <v>3</v>
      </c>
      <c r="G9481" s="1375"/>
      <c r="H9481" s="1376"/>
      <c r="I9481" s="1382"/>
      <c r="J9481" s="1383"/>
      <c r="K9481" s="1383"/>
      <c r="L9481" s="1413"/>
      <c r="M9481" s="1376"/>
      <c r="N9481" s="1376"/>
      <c r="O9481" s="1376"/>
      <c r="P9481" s="1373"/>
      <c r="Q9481" s="3387"/>
    </row>
    <row r="9482" spans="1:19">
      <c r="A9482" s="1321"/>
      <c r="B9482" s="1295"/>
      <c r="C9482" s="1321"/>
      <c r="D9482" s="1412"/>
      <c r="E9482" s="2124"/>
      <c r="F9482" s="1378"/>
      <c r="G9482" s="1378"/>
      <c r="H9482" s="1379"/>
      <c r="I9482" s="1299"/>
      <c r="J9482" s="1300"/>
      <c r="K9482" s="1307"/>
      <c r="L9482" s="1335"/>
      <c r="M9482" s="1302"/>
      <c r="N9482" s="1700"/>
      <c r="O9482" s="1290"/>
      <c r="P9482" s="1332"/>
      <c r="Q9482" s="3391"/>
    </row>
    <row r="9483" spans="1:19">
      <c r="A9483" s="1321"/>
      <c r="B9483" s="1295"/>
      <c r="C9483" s="1321"/>
      <c r="D9483" s="1412"/>
      <c r="E9483" s="2124"/>
      <c r="F9483" s="1378"/>
      <c r="G9483" s="1378"/>
      <c r="H9483" s="1379"/>
      <c r="I9483" s="1299"/>
      <c r="J9483" s="1300"/>
      <c r="K9483" s="1307"/>
      <c r="L9483" s="1335"/>
      <c r="M9483" s="1302"/>
      <c r="N9483" s="1700"/>
      <c r="O9483" s="1290"/>
      <c r="P9483" s="1333"/>
      <c r="Q9483" s="3391"/>
    </row>
    <row r="9484" spans="1:19">
      <c r="A9484" s="1042"/>
      <c r="B9484" s="22"/>
      <c r="C9484" s="223"/>
      <c r="D9484" s="1695"/>
      <c r="E9484" s="2161"/>
      <c r="F9484" s="1678"/>
      <c r="G9484" s="1678"/>
      <c r="H9484" s="1376"/>
      <c r="I9484" s="1299"/>
      <c r="J9484" s="1300"/>
      <c r="K9484" s="1307"/>
      <c r="L9484" s="1335"/>
      <c r="M9484" s="1302"/>
      <c r="N9484" s="1700"/>
      <c r="O9484" s="1290"/>
      <c r="P9484" s="1332"/>
      <c r="Q9484" s="3391"/>
    </row>
    <row r="9485" spans="1:19">
      <c r="A9485" s="18" t="s">
        <v>3764</v>
      </c>
      <c r="B9485" s="4325" t="s">
        <v>2094</v>
      </c>
      <c r="C9485" s="3808"/>
      <c r="D9485" s="4327"/>
      <c r="E9485" s="4329" t="s">
        <v>1507</v>
      </c>
      <c r="F9485" s="4372" t="s">
        <v>2095</v>
      </c>
      <c r="G9485" s="4331" t="s">
        <v>1568</v>
      </c>
      <c r="H9485" s="4331" t="s">
        <v>1574</v>
      </c>
      <c r="I9485" s="1572" t="s">
        <v>1559</v>
      </c>
      <c r="J9485" s="1294" t="s">
        <v>1560</v>
      </c>
      <c r="K9485" s="1294" t="s">
        <v>1569</v>
      </c>
      <c r="L9485" s="4333" t="s">
        <v>3765</v>
      </c>
      <c r="M9485" s="4335" t="s">
        <v>1571</v>
      </c>
      <c r="N9485" s="4323" t="s">
        <v>1776</v>
      </c>
      <c r="O9485" s="3804" t="s">
        <v>1563</v>
      </c>
      <c r="P9485" s="1336" t="s">
        <v>1562</v>
      </c>
      <c r="Q9485" s="3389"/>
      <c r="R9485" s="1699" t="s">
        <v>1327</v>
      </c>
    </row>
    <row r="9486" spans="1:19">
      <c r="A9486" s="1662" t="s">
        <v>3638</v>
      </c>
      <c r="B9486" s="4326"/>
      <c r="C9486" s="3806"/>
      <c r="D9486" s="4328"/>
      <c r="E9486" s="4330"/>
      <c r="F9486" s="4363"/>
      <c r="G9486" s="4332"/>
      <c r="H9486" s="4332"/>
      <c r="I9486" s="3814">
        <v>42.12</v>
      </c>
      <c r="J9486" s="3815">
        <v>2.1999999999999999E-2</v>
      </c>
      <c r="K9486" s="1297">
        <f>I9486*J9486</f>
        <v>0.92663999999999991</v>
      </c>
      <c r="L9486" s="4334"/>
      <c r="M9486" s="4335"/>
      <c r="N9486" s="4324"/>
      <c r="O9486" s="1298">
        <f>O9488+O9489+O9493+O9494</f>
        <v>136.52599999999998</v>
      </c>
      <c r="P9486" s="1337">
        <f>O9486*K9486</f>
        <v>126.51045263999997</v>
      </c>
      <c r="Q9486" s="3390"/>
      <c r="R9486" s="1721">
        <f>P9488+P9489+P9493+P9494</f>
        <v>126.51045264</v>
      </c>
      <c r="S9486" s="16"/>
    </row>
    <row r="9487" spans="1:19" ht="15" customHeight="1">
      <c r="A9487" s="1320"/>
      <c r="B9487" s="22"/>
      <c r="C9487" s="1327"/>
      <c r="D9487" s="1367"/>
      <c r="E9487" s="2121"/>
      <c r="F9487" s="1389" t="s">
        <v>1</v>
      </c>
      <c r="G9487" s="1389"/>
      <c r="H9487" s="1369"/>
      <c r="I9487" s="1409"/>
      <c r="J9487" s="1390"/>
      <c r="K9487" s="1391"/>
      <c r="L9487" s="1559"/>
      <c r="M9487" s="1369"/>
      <c r="N9487" s="1369"/>
      <c r="O9487" s="1369"/>
      <c r="P9487" s="1392"/>
      <c r="Q9487" s="3395"/>
      <c r="S9487" s="16"/>
    </row>
    <row r="9488" spans="1:19">
      <c r="A9488" s="1042"/>
      <c r="B9488" s="22"/>
      <c r="C9488" s="1042"/>
      <c r="D9488" s="1611" t="s">
        <v>2096</v>
      </c>
      <c r="E9488" s="2154" t="s">
        <v>1507</v>
      </c>
      <c r="F9488" s="1598" t="s">
        <v>2097</v>
      </c>
      <c r="G9488" s="1995">
        <v>1</v>
      </c>
      <c r="H9488" s="1674"/>
      <c r="I9488" s="1299"/>
      <c r="J9488" s="1300"/>
      <c r="K9488" s="1307">
        <f>G9488*K9486</f>
        <v>0.92663999999999991</v>
      </c>
      <c r="L9488" s="1335">
        <f>K9488*$K$9346</f>
        <v>0</v>
      </c>
      <c r="M9488" s="1302">
        <v>127.62</v>
      </c>
      <c r="N9488" s="1700"/>
      <c r="O9488" s="1290">
        <f>G9488*M9488</f>
        <v>127.62</v>
      </c>
      <c r="P9488" s="1332">
        <f>M9488*K9488</f>
        <v>118.25779679999999</v>
      </c>
      <c r="Q9488" s="3391"/>
      <c r="S9488" s="16"/>
    </row>
    <row r="9489" spans="1:19">
      <c r="A9489" s="16"/>
      <c r="B9489" s="553"/>
      <c r="C9489" s="1320"/>
      <c r="D9489" s="1610" t="s">
        <v>1082</v>
      </c>
      <c r="E9489" s="2154" t="s">
        <v>1504</v>
      </c>
      <c r="F9489" s="1598" t="s">
        <v>1541</v>
      </c>
      <c r="G9489" s="1995">
        <v>1</v>
      </c>
      <c r="H9489" s="1399"/>
      <c r="I9489" s="197"/>
      <c r="J9489" s="198"/>
      <c r="K9489" s="1307">
        <f>G9489*K9486</f>
        <v>0.92663999999999991</v>
      </c>
      <c r="L9489" s="1335">
        <f>K9489*$K$9346</f>
        <v>0</v>
      </c>
      <c r="M9489" s="1302">
        <v>0.3</v>
      </c>
      <c r="N9489" s="1718"/>
      <c r="O9489" s="1290">
        <f>G9489*M9489</f>
        <v>0.3</v>
      </c>
      <c r="P9489" s="1332">
        <f>M9489*K9489</f>
        <v>0.27799199999999996</v>
      </c>
      <c r="Q9489" s="3391"/>
      <c r="R9489" s="2337"/>
      <c r="S9489" s="16"/>
    </row>
    <row r="9490" spans="1:19">
      <c r="A9490" s="1042"/>
      <c r="B9490" s="22"/>
      <c r="C9490" s="1042"/>
      <c r="D9490" s="1367"/>
      <c r="E9490" s="2121"/>
      <c r="F9490" s="1436"/>
      <c r="G9490" s="2088"/>
      <c r="H9490" s="1369"/>
      <c r="I9490" s="1299"/>
      <c r="J9490" s="1300"/>
      <c r="K9490" s="1307"/>
      <c r="L9490" s="1335"/>
      <c r="M9490" s="1302"/>
      <c r="N9490" s="1700"/>
      <c r="O9490" s="1290"/>
      <c r="P9490" s="1332"/>
      <c r="Q9490" s="3391"/>
      <c r="S9490" s="16"/>
    </row>
    <row r="9491" spans="1:19">
      <c r="A9491" s="1042"/>
      <c r="B9491" s="22"/>
      <c r="C9491" s="1042"/>
      <c r="D9491" s="1367"/>
      <c r="E9491" s="2121"/>
      <c r="F9491" s="1436"/>
      <c r="G9491" s="2088"/>
      <c r="H9491" s="1369"/>
      <c r="I9491" s="1299"/>
      <c r="J9491" s="1300"/>
      <c r="K9491" s="1307"/>
      <c r="L9491" s="1335"/>
      <c r="M9491" s="1302"/>
      <c r="N9491" s="1700"/>
      <c r="O9491" s="1290"/>
      <c r="P9491" s="1332"/>
      <c r="Q9491" s="3391"/>
    </row>
    <row r="9492" spans="1:19">
      <c r="A9492" s="1042"/>
      <c r="B9492" s="22"/>
      <c r="C9492" s="1042"/>
      <c r="D9492" s="1359"/>
      <c r="E9492" s="1858"/>
      <c r="F9492" s="1360" t="s">
        <v>2</v>
      </c>
      <c r="G9492" s="2223"/>
      <c r="H9492" s="1362"/>
      <c r="I9492" s="1380"/>
      <c r="J9492" s="1381"/>
      <c r="K9492" s="1381"/>
      <c r="L9492" s="1458"/>
      <c r="M9492" s="1362"/>
      <c r="N9492" s="1362"/>
      <c r="O9492" s="1362"/>
      <c r="P9492" s="1359"/>
      <c r="Q9492" s="3387"/>
    </row>
    <row r="9493" spans="1:19">
      <c r="A9493" s="1321"/>
      <c r="B9493" s="1295"/>
      <c r="C9493" s="1321"/>
      <c r="D9493" s="1363" t="s">
        <v>1173</v>
      </c>
      <c r="E9493" s="2125" t="s">
        <v>1508</v>
      </c>
      <c r="F9493" s="1403" t="s">
        <v>120</v>
      </c>
      <c r="G9493" s="1937">
        <v>0.4</v>
      </c>
      <c r="H9493" s="2019"/>
      <c r="I9493" s="1299"/>
      <c r="J9493" s="1300"/>
      <c r="K9493" s="1307">
        <f>G9493*K9486</f>
        <v>0.37065599999999999</v>
      </c>
      <c r="L9493" s="1335">
        <f>K9493*$K$9346</f>
        <v>0</v>
      </c>
      <c r="M9493" s="1302">
        <v>19.23</v>
      </c>
      <c r="N9493" s="1700"/>
      <c r="O9493" s="1290">
        <f>G9493*M9493</f>
        <v>7.6920000000000002</v>
      </c>
      <c r="P9493" s="1332">
        <f>M9493*K9493</f>
        <v>7.1277148800000001</v>
      </c>
      <c r="Q9493" s="3391"/>
    </row>
    <row r="9494" spans="1:19">
      <c r="B9494" s="1042"/>
      <c r="C9494" s="88"/>
      <c r="D9494" s="1898" t="s">
        <v>1067</v>
      </c>
      <c r="E9494" s="1857" t="s">
        <v>1508</v>
      </c>
      <c r="F9494" s="1403" t="s">
        <v>5</v>
      </c>
      <c r="G9494" s="1991">
        <v>0.05</v>
      </c>
      <c r="H9494" s="1408"/>
      <c r="I9494" s="1286"/>
      <c r="J9494" s="198"/>
      <c r="K9494" s="1307">
        <f>G9494*$K$9126</f>
        <v>4.6331999999999998E-2</v>
      </c>
      <c r="L9494" s="1335">
        <f>K9494*$K$9346</f>
        <v>0</v>
      </c>
      <c r="M9494" s="1302">
        <v>18.28</v>
      </c>
      <c r="N9494" s="1718"/>
      <c r="O9494" s="1290">
        <f>G9494*M9494</f>
        <v>0.91400000000000015</v>
      </c>
      <c r="P9494" s="1332">
        <f>M9494*K9494</f>
        <v>0.84694895999999997</v>
      </c>
      <c r="Q9494" s="3391"/>
      <c r="R9494" s="2337"/>
    </row>
    <row r="9495" spans="1:19">
      <c r="B9495" s="1042"/>
      <c r="C9495" s="88"/>
      <c r="D9495" s="1430"/>
      <c r="E9495" s="1857"/>
      <c r="F9495" s="1403"/>
      <c r="G9495" s="1991"/>
      <c r="H9495" s="1408"/>
      <c r="I9495" s="197"/>
      <c r="J9495" s="198"/>
      <c r="K9495" s="1307"/>
      <c r="L9495" s="1335"/>
      <c r="M9495" s="1302"/>
      <c r="N9495" s="1718"/>
      <c r="O9495" s="1290"/>
      <c r="P9495" s="1332"/>
      <c r="Q9495" s="3391"/>
      <c r="R9495" s="2337"/>
    </row>
    <row r="9496" spans="1:19">
      <c r="B9496" s="1320"/>
      <c r="C9496" s="595"/>
      <c r="D9496" s="1359"/>
      <c r="E9496" s="1858"/>
      <c r="F9496" s="1361"/>
      <c r="G9496" s="1361"/>
      <c r="H9496" s="1466"/>
      <c r="I9496" s="1299"/>
      <c r="J9496" s="1300"/>
      <c r="K9496" s="1307"/>
      <c r="L9496" s="1335"/>
      <c r="M9496" s="1302"/>
      <c r="N9496" s="1700"/>
      <c r="O9496" s="1290"/>
      <c r="P9496" s="1332"/>
      <c r="Q9496" s="3391"/>
      <c r="R9496" s="1296"/>
    </row>
    <row r="9497" spans="1:19">
      <c r="A9497" s="1320"/>
      <c r="B9497" s="22"/>
      <c r="C9497" s="1320"/>
      <c r="D9497" s="1373"/>
      <c r="E9497" s="2123"/>
      <c r="F9497" s="1374" t="s">
        <v>3</v>
      </c>
      <c r="G9497" s="1375"/>
      <c r="H9497" s="1376"/>
      <c r="I9497" s="1382"/>
      <c r="J9497" s="1383"/>
      <c r="K9497" s="1383"/>
      <c r="L9497" s="1413"/>
      <c r="M9497" s="1376"/>
      <c r="N9497" s="1376"/>
      <c r="O9497" s="1376"/>
      <c r="P9497" s="1373"/>
      <c r="Q9497" s="3387"/>
    </row>
    <row r="9498" spans="1:19">
      <c r="A9498" s="1321"/>
      <c r="B9498" s="1295"/>
      <c r="C9498" s="1321"/>
      <c r="D9498" s="1377"/>
      <c r="E9498" s="2124"/>
      <c r="F9498" s="1378"/>
      <c r="G9498" s="1378"/>
      <c r="H9498" s="1379"/>
      <c r="I9498" s="1299"/>
      <c r="J9498" s="1300"/>
      <c r="K9498" s="1307"/>
      <c r="L9498" s="1335"/>
      <c r="M9498" s="1302"/>
      <c r="N9498" s="1700"/>
      <c r="O9498" s="1290"/>
      <c r="P9498" s="1332"/>
      <c r="Q9498" s="3391"/>
    </row>
    <row r="9499" spans="1:19">
      <c r="A9499" s="1321"/>
      <c r="B9499" s="1295"/>
      <c r="C9499" s="1321"/>
      <c r="D9499" s="1377"/>
      <c r="E9499" s="2124"/>
      <c r="F9499" s="1378"/>
      <c r="G9499" s="1378"/>
      <c r="H9499" s="1379"/>
      <c r="I9499" s="1299"/>
      <c r="J9499" s="1300"/>
      <c r="K9499" s="1307"/>
      <c r="L9499" s="1335"/>
      <c r="M9499" s="1302"/>
      <c r="N9499" s="1700"/>
      <c r="O9499" s="1290"/>
      <c r="P9499" s="1333"/>
      <c r="Q9499" s="3391"/>
    </row>
    <row r="9500" spans="1:19">
      <c r="A9500" s="1042"/>
      <c r="B9500" s="22"/>
      <c r="C9500" s="1042"/>
      <c r="D9500" s="1677"/>
      <c r="E9500" s="2161"/>
      <c r="F9500" s="1678"/>
      <c r="G9500" s="1678"/>
      <c r="H9500" s="1376"/>
      <c r="I9500" s="1299"/>
      <c r="J9500" s="1300"/>
      <c r="K9500" s="1307"/>
      <c r="L9500" s="1335"/>
      <c r="M9500" s="1302"/>
      <c r="N9500" s="1700"/>
      <c r="O9500" s="1290"/>
      <c r="P9500" s="1332"/>
      <c r="Q9500" s="3391"/>
    </row>
    <row r="9501" spans="1:19">
      <c r="A9501" s="18" t="s">
        <v>3764</v>
      </c>
      <c r="B9501" s="4325" t="s">
        <v>3629</v>
      </c>
      <c r="C9501" s="3805"/>
      <c r="D9501" s="4327"/>
      <c r="E9501" s="4329" t="s">
        <v>1507</v>
      </c>
      <c r="F9501" s="4372" t="s">
        <v>3631</v>
      </c>
      <c r="G9501" s="4331" t="s">
        <v>1568</v>
      </c>
      <c r="H9501" s="4331" t="s">
        <v>1574</v>
      </c>
      <c r="I9501" s="1572" t="s">
        <v>1559</v>
      </c>
      <c r="J9501" s="1294" t="s">
        <v>1560</v>
      </c>
      <c r="K9501" s="1294" t="s">
        <v>1569</v>
      </c>
      <c r="L9501" s="4333" t="s">
        <v>3765</v>
      </c>
      <c r="M9501" s="4335" t="s">
        <v>1571</v>
      </c>
      <c r="N9501" s="4323" t="s">
        <v>1776</v>
      </c>
      <c r="O9501" s="3804" t="s">
        <v>1563</v>
      </c>
      <c r="P9501" s="1336" t="s">
        <v>1562</v>
      </c>
      <c r="Q9501" s="3389"/>
      <c r="R9501" s="1699" t="s">
        <v>1327</v>
      </c>
    </row>
    <row r="9502" spans="1:19">
      <c r="A9502" s="1662" t="s">
        <v>3638</v>
      </c>
      <c r="B9502" s="4326"/>
      <c r="C9502" s="3806"/>
      <c r="D9502" s="4328"/>
      <c r="E9502" s="4330"/>
      <c r="F9502" s="4363"/>
      <c r="G9502" s="4332"/>
      <c r="H9502" s="4332"/>
      <c r="I9502" s="3814">
        <v>24.23</v>
      </c>
      <c r="J9502" s="3815">
        <v>2.1999999999999999E-2</v>
      </c>
      <c r="K9502" s="1297">
        <f>I9502*J9502</f>
        <v>0.53305999999999998</v>
      </c>
      <c r="L9502" s="4334"/>
      <c r="M9502" s="4335"/>
      <c r="N9502" s="4324"/>
      <c r="O9502" s="1298">
        <f>O9504+O9505+O9509</f>
        <v>92.595500000000001</v>
      </c>
      <c r="P9502" s="1337">
        <f>O9502*K9502</f>
        <v>49.358957230000001</v>
      </c>
      <c r="Q9502" s="3390"/>
      <c r="R9502" s="1721">
        <f>P9504+P9505+P9509</f>
        <v>49.358957229999994</v>
      </c>
    </row>
    <row r="9503" spans="1:19">
      <c r="A9503" s="1320"/>
      <c r="B9503" s="1599"/>
      <c r="C9503" s="1327"/>
      <c r="D9503" s="1367"/>
      <c r="E9503" s="2121"/>
      <c r="F9503" s="1389" t="s">
        <v>1</v>
      </c>
      <c r="G9503" s="1389"/>
      <c r="H9503" s="1369"/>
      <c r="I9503" s="1409"/>
      <c r="J9503" s="1390"/>
      <c r="K9503" s="1391"/>
      <c r="L9503" s="1559"/>
      <c r="M9503" s="1369"/>
      <c r="N9503" s="1369"/>
      <c r="O9503" s="1369"/>
      <c r="P9503" s="1392"/>
      <c r="Q9503" s="3395"/>
    </row>
    <row r="9504" spans="1:19">
      <c r="A9504" s="1042"/>
      <c r="B9504" s="1599" t="s">
        <v>3630</v>
      </c>
      <c r="C9504" s="1042"/>
      <c r="D9504" s="3831" t="s">
        <v>2080</v>
      </c>
      <c r="E9504" s="2154" t="s">
        <v>1507</v>
      </c>
      <c r="F9504" s="3828" t="s">
        <v>2081</v>
      </c>
      <c r="G9504" s="1612">
        <v>1</v>
      </c>
      <c r="H9504" s="1674"/>
      <c r="I9504" s="1299"/>
      <c r="J9504" s="1300"/>
      <c r="K9504" s="1307">
        <f>G9504*K9502</f>
        <v>0.53305999999999998</v>
      </c>
      <c r="L9504" s="1335">
        <f t="shared" ref="L9504:L9505" si="1263">K9504*$K$9072</f>
        <v>0</v>
      </c>
      <c r="M9504" s="3832">
        <v>75.05</v>
      </c>
      <c r="N9504" s="1700"/>
      <c r="O9504" s="1290">
        <f>G9504*M9504</f>
        <v>75.05</v>
      </c>
      <c r="P9504" s="1332">
        <f>M9504*K9504</f>
        <v>40.006152999999998</v>
      </c>
      <c r="Q9504" s="3391"/>
    </row>
    <row r="9505" spans="1:18">
      <c r="A9505" s="1320"/>
      <c r="B9505" s="553"/>
      <c r="C9505" s="1042"/>
      <c r="D9505" s="1610" t="s">
        <v>2082</v>
      </c>
      <c r="E9505" s="2154" t="s">
        <v>1527</v>
      </c>
      <c r="F9505" s="1598" t="s">
        <v>2083</v>
      </c>
      <c r="G9505" s="1612">
        <v>3</v>
      </c>
      <c r="H9505" s="1674"/>
      <c r="I9505" s="1299"/>
      <c r="J9505" s="1300"/>
      <c r="K9505" s="1307">
        <f>G9505*K9502</f>
        <v>1.59918</v>
      </c>
      <c r="L9505" s="1335">
        <f t="shared" si="1263"/>
        <v>0</v>
      </c>
      <c r="M9505" s="1302">
        <v>0.4</v>
      </c>
      <c r="N9505" s="1700"/>
      <c r="O9505" s="1290">
        <f>G9505*M9505</f>
        <v>1.2000000000000002</v>
      </c>
      <c r="P9505" s="1332">
        <f>M9505*K9505</f>
        <v>0.63967200000000002</v>
      </c>
      <c r="Q9505" s="3391"/>
      <c r="R9505" s="2337"/>
    </row>
    <row r="9506" spans="1:18">
      <c r="A9506" s="1320"/>
      <c r="B9506" s="1042"/>
      <c r="C9506" s="1320"/>
      <c r="D9506" s="1598"/>
      <c r="E9506" s="2154"/>
      <c r="F9506" s="1598"/>
      <c r="G9506" s="1612"/>
      <c r="H9506" s="1399"/>
      <c r="I9506" s="197"/>
      <c r="J9506" s="198"/>
      <c r="K9506" s="1307"/>
      <c r="L9506" s="1335"/>
      <c r="M9506" s="1302"/>
      <c r="N9506" s="1718"/>
      <c r="O9506" s="1290"/>
      <c r="P9506" s="1332"/>
      <c r="Q9506" s="3391"/>
      <c r="R9506" s="2337"/>
    </row>
    <row r="9507" spans="1:18">
      <c r="A9507" s="1042"/>
      <c r="B9507" s="1599"/>
      <c r="C9507" s="1042"/>
      <c r="D9507" s="1367"/>
      <c r="E9507" s="2121"/>
      <c r="F9507" s="1436"/>
      <c r="G9507" s="1436"/>
      <c r="H9507" s="1369"/>
      <c r="I9507" s="1299"/>
      <c r="J9507" s="1300"/>
      <c r="K9507" s="1307"/>
      <c r="L9507" s="1335"/>
      <c r="M9507" s="1302"/>
      <c r="N9507" s="1700"/>
      <c r="O9507" s="1290"/>
      <c r="P9507" s="1332"/>
      <c r="Q9507" s="3391"/>
    </row>
    <row r="9508" spans="1:18">
      <c r="A9508" s="1042"/>
      <c r="B9508" s="1599"/>
      <c r="C9508" s="1042"/>
      <c r="D9508" s="1359"/>
      <c r="E9508" s="1858"/>
      <c r="F9508" s="1360" t="s">
        <v>2</v>
      </c>
      <c r="G9508" s="1360"/>
      <c r="H9508" s="1362"/>
      <c r="I9508" s="1380"/>
      <c r="J9508" s="1381"/>
      <c r="K9508" s="1381"/>
      <c r="L9508" s="1458"/>
      <c r="M9508" s="1362"/>
      <c r="N9508" s="1362"/>
      <c r="O9508" s="1362"/>
      <c r="P9508" s="1359"/>
      <c r="Q9508" s="3387"/>
    </row>
    <row r="9509" spans="1:18">
      <c r="A9509" s="1321"/>
      <c r="B9509" s="2053"/>
      <c r="C9509" s="1321"/>
      <c r="D9509" s="1363" t="s">
        <v>1205</v>
      </c>
      <c r="E9509" s="2125" t="s">
        <v>1508</v>
      </c>
      <c r="F9509" s="1403" t="s">
        <v>151</v>
      </c>
      <c r="G9509" s="1408">
        <v>0.85</v>
      </c>
      <c r="H9509" s="2019"/>
      <c r="I9509" s="1299"/>
      <c r="J9509" s="1300"/>
      <c r="K9509" s="1307">
        <f>G9509*K9502</f>
        <v>0.45310099999999998</v>
      </c>
      <c r="L9509" s="1335">
        <f>K9509*$K$9072</f>
        <v>0</v>
      </c>
      <c r="M9509" s="1302">
        <v>19.23</v>
      </c>
      <c r="N9509" s="1700"/>
      <c r="O9509" s="1290">
        <f>G9509*M9509</f>
        <v>16.345500000000001</v>
      </c>
      <c r="P9509" s="1332">
        <f>M9509*K9509</f>
        <v>8.7131322299999994</v>
      </c>
      <c r="Q9509" s="3391"/>
    </row>
    <row r="9510" spans="1:18" ht="15" customHeight="1">
      <c r="A9510" s="1042"/>
      <c r="B9510" s="1042"/>
      <c r="C9510" s="88"/>
      <c r="D9510" s="1430"/>
      <c r="E9510" s="1857"/>
      <c r="F9510" s="1403"/>
      <c r="G9510" s="1991"/>
      <c r="H9510" s="1408"/>
      <c r="I9510" s="197"/>
      <c r="J9510" s="198"/>
      <c r="K9510" s="1307"/>
      <c r="L9510" s="1335"/>
      <c r="M9510" s="1302"/>
      <c r="N9510" s="1718"/>
      <c r="O9510" s="1290"/>
      <c r="P9510" s="1332"/>
      <c r="Q9510" s="3391"/>
      <c r="R9510" s="2337"/>
    </row>
    <row r="9511" spans="1:18">
      <c r="A9511" s="1042"/>
      <c r="B9511" s="1320"/>
      <c r="C9511" s="595"/>
      <c r="D9511" s="1359"/>
      <c r="E9511" s="1858"/>
      <c r="F9511" s="1361"/>
      <c r="G9511" s="1361"/>
      <c r="H9511" s="1466"/>
      <c r="I9511" s="1299"/>
      <c r="J9511" s="1300"/>
      <c r="K9511" s="1307"/>
      <c r="L9511" s="1335"/>
      <c r="M9511" s="1302"/>
      <c r="N9511" s="1700"/>
      <c r="O9511" s="1290"/>
      <c r="P9511" s="1332"/>
      <c r="Q9511" s="3391"/>
      <c r="R9511" s="2337"/>
    </row>
    <row r="9512" spans="1:18">
      <c r="A9512" s="1320"/>
      <c r="B9512" s="1599"/>
      <c r="C9512" s="1320"/>
      <c r="D9512" s="1373"/>
      <c r="E9512" s="2123"/>
      <c r="F9512" s="1374" t="s">
        <v>3</v>
      </c>
      <c r="G9512" s="1375"/>
      <c r="H9512" s="1376"/>
      <c r="I9512" s="1382"/>
      <c r="J9512" s="1383"/>
      <c r="K9512" s="1383"/>
      <c r="L9512" s="1413"/>
      <c r="M9512" s="1376"/>
      <c r="N9512" s="1376"/>
      <c r="O9512" s="1376"/>
      <c r="P9512" s="1373"/>
      <c r="Q9512" s="3387"/>
    </row>
    <row r="9513" spans="1:18">
      <c r="A9513" s="1321"/>
      <c r="B9513" s="2053"/>
      <c r="C9513" s="1321"/>
      <c r="D9513" s="1377"/>
      <c r="E9513" s="2124"/>
      <c r="F9513" s="1378"/>
      <c r="G9513" s="1378"/>
      <c r="H9513" s="1379"/>
      <c r="I9513" s="1299"/>
      <c r="J9513" s="1300"/>
      <c r="K9513" s="1307"/>
      <c r="L9513" s="1335"/>
      <c r="M9513" s="1302"/>
      <c r="N9513" s="1700"/>
      <c r="O9513" s="1290"/>
      <c r="P9513" s="1332"/>
      <c r="Q9513" s="3391"/>
    </row>
    <row r="9514" spans="1:18">
      <c r="A9514" s="1321"/>
      <c r="B9514" s="2053"/>
      <c r="C9514" s="1321"/>
      <c r="D9514" s="1377"/>
      <c r="E9514" s="2124"/>
      <c r="F9514" s="1378"/>
      <c r="G9514" s="1378"/>
      <c r="H9514" s="1379"/>
      <c r="I9514" s="1299"/>
      <c r="J9514" s="1300"/>
      <c r="K9514" s="1307"/>
      <c r="L9514" s="1335"/>
      <c r="M9514" s="1302"/>
      <c r="N9514" s="1700"/>
      <c r="O9514" s="1290"/>
      <c r="P9514" s="1333"/>
      <c r="Q9514" s="3391"/>
    </row>
    <row r="9515" spans="1:18">
      <c r="A9515" s="1042"/>
      <c r="B9515" s="1765"/>
      <c r="C9515" s="223"/>
      <c r="D9515" s="4065"/>
      <c r="E9515" s="3943"/>
      <c r="F9515" s="3979"/>
      <c r="G9515" s="3979"/>
      <c r="H9515" s="3945"/>
      <c r="I9515" s="1299"/>
      <c r="J9515" s="3939"/>
      <c r="K9515" s="1307"/>
      <c r="L9515" s="1335"/>
      <c r="M9515" s="3918"/>
      <c r="N9515" s="1700"/>
      <c r="O9515" s="1290"/>
      <c r="P9515" s="3919"/>
      <c r="Q9515" s="3391"/>
    </row>
    <row r="9516" spans="1:18" s="16" customFormat="1" ht="15" thickBot="1">
      <c r="E9516" s="2182"/>
      <c r="F9516" s="2080"/>
      <c r="G9516" s="2080"/>
      <c r="H9516" s="13"/>
      <c r="I9516" s="1561"/>
      <c r="J9516" s="13"/>
      <c r="K9516" s="1639"/>
      <c r="L9516" s="1640"/>
      <c r="M9516" s="1292"/>
      <c r="N9516" s="1292"/>
      <c r="O9516" s="1292"/>
      <c r="P9516" s="1292"/>
      <c r="Q9516" s="3391"/>
      <c r="R9516" s="4165"/>
    </row>
    <row r="9517" spans="1:18" ht="29">
      <c r="A9517" s="4374" t="s">
        <v>3643</v>
      </c>
      <c r="B9517" s="4375"/>
      <c r="C9517" s="4375"/>
      <c r="D9517" s="4376"/>
      <c r="E9517" s="4380" t="s">
        <v>1507</v>
      </c>
      <c r="F9517" s="4382" t="s">
        <v>3644</v>
      </c>
      <c r="G9517" s="4415" t="s">
        <v>294</v>
      </c>
      <c r="H9517" s="4416"/>
      <c r="I9517" s="4166" t="s">
        <v>1565</v>
      </c>
      <c r="J9517" s="4168" t="s">
        <v>1575</v>
      </c>
      <c r="K9517" s="4415" t="s">
        <v>289</v>
      </c>
      <c r="L9517" s="4416"/>
      <c r="M9517" s="4385" t="s">
        <v>3349</v>
      </c>
      <c r="N9517" s="4385"/>
      <c r="O9517" s="4385"/>
      <c r="P9517" s="4409"/>
      <c r="Q9517" s="4244" t="s">
        <v>3975</v>
      </c>
    </row>
    <row r="9518" spans="1:18" ht="19.5" customHeight="1" thickBot="1">
      <c r="A9518" s="4377"/>
      <c r="B9518" s="4378"/>
      <c r="C9518" s="4378"/>
      <c r="D9518" s="4379"/>
      <c r="E9518" s="4381"/>
      <c r="F9518" s="4383"/>
      <c r="G9518" s="4410">
        <f>IF('Seleccion proyecto HEREVEA02'!G64="Ventana abatible+Madera+vidrio control solar",'Seleccion proyecto HEREVEA02'!E63,0)</f>
        <v>0</v>
      </c>
      <c r="H9518" s="4411"/>
      <c r="I9518" s="3807">
        <f>IF('Seleccion proyecto HEREVEA02'!H64=0,0,IF('Seleccion proyecto HEREVEA02'!H64="1 a 30",0.3,IF('Seleccion proyecto HEREVEA02'!H64="31 a 60",0.6,IF('Seleccion proyecto HEREVEA02'!H64="61 a 100",1))))</f>
        <v>0</v>
      </c>
      <c r="J9518" s="1351">
        <f>'Seleccion proyecto HEREVEA02'!L8</f>
        <v>11100.968999999999</v>
      </c>
      <c r="K9518" s="4412">
        <f>G9518*I9518*J9518</f>
        <v>0</v>
      </c>
      <c r="L9518" s="4413"/>
      <c r="M9518" s="4360">
        <f>P9520+P9534+P9554+P9572+P9588</f>
        <v>289.35841248727598</v>
      </c>
      <c r="N9518" s="4361"/>
      <c r="O9518" s="4361"/>
      <c r="P9518" s="4362"/>
      <c r="Q9518" s="4245">
        <f>M9518*K9518</f>
        <v>0</v>
      </c>
    </row>
    <row r="9519" spans="1:18">
      <c r="A9519" s="18" t="s">
        <v>3764</v>
      </c>
      <c r="B9519" s="4325" t="s">
        <v>3626</v>
      </c>
      <c r="C9519" s="3808"/>
      <c r="D9519" s="4327"/>
      <c r="E9519" s="4329" t="s">
        <v>1507</v>
      </c>
      <c r="F9519" s="4414" t="s">
        <v>3627</v>
      </c>
      <c r="G9519" s="4331" t="s">
        <v>1568</v>
      </c>
      <c r="H9519" s="4331" t="s">
        <v>1574</v>
      </c>
      <c r="I9519" s="1572" t="s">
        <v>1559</v>
      </c>
      <c r="J9519" s="1294" t="s">
        <v>1560</v>
      </c>
      <c r="K9519" s="1294" t="s">
        <v>1569</v>
      </c>
      <c r="L9519" s="4333" t="s">
        <v>3765</v>
      </c>
      <c r="M9519" s="4335" t="s">
        <v>1571</v>
      </c>
      <c r="N9519" s="4323" t="s">
        <v>1776</v>
      </c>
      <c r="O9519" s="3804" t="s">
        <v>1563</v>
      </c>
      <c r="P9519" s="1336" t="s">
        <v>1562</v>
      </c>
      <c r="Q9519" s="3389"/>
      <c r="R9519" s="1699" t="s">
        <v>1327</v>
      </c>
    </row>
    <row r="9520" spans="1:18">
      <c r="A9520" s="1662" t="s">
        <v>3643</v>
      </c>
      <c r="B9520" s="4326"/>
      <c r="C9520" s="3806"/>
      <c r="D9520" s="4328"/>
      <c r="E9520" s="4330"/>
      <c r="F9520" s="4363"/>
      <c r="G9520" s="4332"/>
      <c r="H9520" s="4332"/>
      <c r="I9520" s="3814">
        <v>46.02</v>
      </c>
      <c r="J9520" s="3815">
        <v>2.1999999999999999E-2</v>
      </c>
      <c r="K9520" s="1297">
        <f>I9520*J9520</f>
        <v>1.01244</v>
      </c>
      <c r="L9520" s="4334"/>
      <c r="M9520" s="4335"/>
      <c r="N9520" s="4324"/>
      <c r="O9520" s="1298">
        <f>SUM(O9522:O9532)</f>
        <v>5.484</v>
      </c>
      <c r="P9520" s="1337">
        <f>O9520*K9520</f>
        <v>5.5522209599999996</v>
      </c>
      <c r="Q9520" s="3390"/>
      <c r="R9520" s="1721">
        <f>P9526</f>
        <v>5.5522209600000005</v>
      </c>
    </row>
    <row r="9521" spans="1:18">
      <c r="A9521" s="1320"/>
      <c r="B9521" s="22"/>
      <c r="C9521" s="1327"/>
      <c r="D9521" s="1367"/>
      <c r="E9521" s="2121"/>
      <c r="F9521" s="1389" t="s">
        <v>1</v>
      </c>
      <c r="G9521" s="1389"/>
      <c r="H9521" s="1369"/>
      <c r="I9521" s="1409"/>
      <c r="J9521" s="1390"/>
      <c r="K9521" s="1391"/>
      <c r="L9521" s="1559"/>
      <c r="M9521" s="1369"/>
      <c r="N9521" s="1369"/>
      <c r="O9521" s="1369"/>
      <c r="P9521" s="1392"/>
      <c r="Q9521" s="3395"/>
    </row>
    <row r="9522" spans="1:18">
      <c r="A9522" s="1042"/>
      <c r="B9522" s="22"/>
      <c r="C9522" s="1042"/>
      <c r="D9522" s="1672"/>
      <c r="E9522" s="2160"/>
      <c r="F9522" s="1675"/>
      <c r="G9522" s="1675"/>
      <c r="H9522" s="1674"/>
      <c r="I9522" s="1299"/>
      <c r="J9522" s="1300"/>
      <c r="K9522" s="1307"/>
      <c r="L9522" s="1335"/>
      <c r="M9522" s="1302"/>
      <c r="N9522" s="1700"/>
      <c r="O9522" s="1290"/>
      <c r="P9522" s="1332"/>
      <c r="Q9522" s="3391"/>
    </row>
    <row r="9523" spans="1:18">
      <c r="A9523" s="1042"/>
      <c r="B9523" s="22"/>
      <c r="C9523" s="1042"/>
      <c r="D9523" s="1367"/>
      <c r="E9523" s="2121"/>
      <c r="F9523" s="1436"/>
      <c r="G9523" s="1436"/>
      <c r="H9523" s="1369"/>
      <c r="I9523" s="1299"/>
      <c r="J9523" s="1300"/>
      <c r="K9523" s="1307"/>
      <c r="L9523" s="1335"/>
      <c r="M9523" s="1302"/>
      <c r="N9523" s="1700"/>
      <c r="O9523" s="1290"/>
      <c r="P9523" s="1332"/>
      <c r="Q9523" s="3391"/>
    </row>
    <row r="9524" spans="1:18">
      <c r="A9524" s="1042"/>
      <c r="B9524" s="22"/>
      <c r="C9524" s="1042"/>
      <c r="D9524" s="1367"/>
      <c r="E9524" s="2121"/>
      <c r="F9524" s="1436"/>
      <c r="G9524" s="1436"/>
      <c r="H9524" s="1369"/>
      <c r="I9524" s="1299"/>
      <c r="J9524" s="1300"/>
      <c r="K9524" s="1307"/>
      <c r="L9524" s="1335"/>
      <c r="M9524" s="1302"/>
      <c r="N9524" s="1700"/>
      <c r="O9524" s="1290"/>
      <c r="P9524" s="1332"/>
      <c r="Q9524" s="3391"/>
    </row>
    <row r="9525" spans="1:18">
      <c r="A9525" s="1042"/>
      <c r="B9525" s="22"/>
      <c r="C9525" s="1042"/>
      <c r="D9525" s="1359"/>
      <c r="E9525" s="1858"/>
      <c r="F9525" s="1360" t="s">
        <v>2</v>
      </c>
      <c r="G9525" s="1360"/>
      <c r="H9525" s="1362"/>
      <c r="I9525" s="1380"/>
      <c r="J9525" s="1381"/>
      <c r="K9525" s="1381"/>
      <c r="L9525" s="1458"/>
      <c r="M9525" s="1362"/>
      <c r="N9525" s="1362"/>
      <c r="O9525" s="1362"/>
      <c r="P9525" s="1359"/>
      <c r="Q9525" s="3387"/>
    </row>
    <row r="9526" spans="1:18">
      <c r="A9526" s="1321"/>
      <c r="B9526" s="1295"/>
      <c r="C9526" s="1321"/>
      <c r="D9526" s="1363" t="s">
        <v>1067</v>
      </c>
      <c r="E9526" s="2125" t="s">
        <v>1508</v>
      </c>
      <c r="F9526" s="1385" t="s">
        <v>1512</v>
      </c>
      <c r="G9526" s="2019">
        <v>0.3</v>
      </c>
      <c r="H9526" s="1386"/>
      <c r="I9526" s="1299"/>
      <c r="J9526" s="1300"/>
      <c r="K9526" s="1307">
        <f>G9526*K9520</f>
        <v>0.303732</v>
      </c>
      <c r="L9526" s="1335">
        <f>K9526*$K$9346</f>
        <v>0</v>
      </c>
      <c r="M9526" s="1302">
        <v>18.28</v>
      </c>
      <c r="N9526" s="1700"/>
      <c r="O9526" s="1290">
        <f>G9526*M9526</f>
        <v>5.484</v>
      </c>
      <c r="P9526" s="1332">
        <f>M9526*K9526</f>
        <v>5.5522209600000005</v>
      </c>
      <c r="Q9526" s="3391"/>
    </row>
    <row r="9527" spans="1:18">
      <c r="A9527" s="1320"/>
      <c r="B9527" s="22"/>
      <c r="C9527" s="1320"/>
      <c r="D9527" s="1359"/>
      <c r="E9527" s="1858"/>
      <c r="F9527" s="1404"/>
      <c r="G9527" s="1404"/>
      <c r="H9527" s="1359"/>
      <c r="I9527" s="1299"/>
      <c r="J9527" s="1300"/>
      <c r="K9527" s="1307"/>
      <c r="L9527" s="1335"/>
      <c r="M9527" s="1302"/>
      <c r="N9527" s="1700"/>
      <c r="O9527" s="1290"/>
      <c r="P9527" s="1332"/>
      <c r="Q9527" s="3391"/>
    </row>
    <row r="9528" spans="1:18">
      <c r="A9528" s="1320"/>
      <c r="B9528" s="22"/>
      <c r="C9528" s="1320"/>
      <c r="D9528" s="1359"/>
      <c r="E9528" s="1858"/>
      <c r="F9528" s="1361"/>
      <c r="G9528" s="1361"/>
      <c r="H9528" s="1466"/>
      <c r="I9528" s="1299"/>
      <c r="J9528" s="1300"/>
      <c r="K9528" s="1307"/>
      <c r="L9528" s="1335"/>
      <c r="M9528" s="1302"/>
      <c r="N9528" s="1700"/>
      <c r="O9528" s="1290"/>
      <c r="P9528" s="1332"/>
      <c r="Q9528" s="3391"/>
    </row>
    <row r="9529" spans="1:18">
      <c r="A9529" s="1320"/>
      <c r="B9529" s="22"/>
      <c r="C9529" s="1320"/>
      <c r="D9529" s="1373"/>
      <c r="E9529" s="2123"/>
      <c r="F9529" s="1374" t="s">
        <v>3</v>
      </c>
      <c r="G9529" s="1375"/>
      <c r="H9529" s="1376"/>
      <c r="I9529" s="1382"/>
      <c r="J9529" s="1383"/>
      <c r="K9529" s="1383"/>
      <c r="L9529" s="1413"/>
      <c r="M9529" s="1376"/>
      <c r="N9529" s="1376"/>
      <c r="O9529" s="1376"/>
      <c r="P9529" s="1373"/>
      <c r="Q9529" s="3387"/>
    </row>
    <row r="9530" spans="1:18">
      <c r="A9530" s="1321"/>
      <c r="B9530" s="1295"/>
      <c r="C9530" s="1321"/>
      <c r="D9530" s="1377"/>
      <c r="E9530" s="2124"/>
      <c r="F9530" s="1378"/>
      <c r="G9530" s="1378"/>
      <c r="H9530" s="1379"/>
      <c r="I9530" s="1299"/>
      <c r="J9530" s="1300"/>
      <c r="K9530" s="1307"/>
      <c r="L9530" s="1335"/>
      <c r="M9530" s="1302"/>
      <c r="N9530" s="1700"/>
      <c r="O9530" s="1290"/>
      <c r="P9530" s="1332"/>
      <c r="Q9530" s="3391"/>
    </row>
    <row r="9531" spans="1:18">
      <c r="A9531" s="1321"/>
      <c r="B9531" s="1295"/>
      <c r="C9531" s="1321"/>
      <c r="D9531" s="1377"/>
      <c r="E9531" s="2124"/>
      <c r="F9531" s="1378"/>
      <c r="G9531" s="1378"/>
      <c r="H9531" s="1379"/>
      <c r="I9531" s="1299"/>
      <c r="J9531" s="1300"/>
      <c r="K9531" s="1307"/>
      <c r="L9531" s="1335"/>
      <c r="M9531" s="1302"/>
      <c r="N9531" s="1700"/>
      <c r="O9531" s="1290"/>
      <c r="P9531" s="1333"/>
      <c r="Q9531" s="3391"/>
    </row>
    <row r="9532" spans="1:18">
      <c r="A9532" s="1042"/>
      <c r="B9532" s="22"/>
      <c r="C9532" s="1042"/>
      <c r="D9532" s="1677"/>
      <c r="E9532" s="2161"/>
      <c r="F9532" s="1678"/>
      <c r="G9532" s="1678"/>
      <c r="H9532" s="1376"/>
      <c r="I9532" s="1299"/>
      <c r="J9532" s="1300"/>
      <c r="K9532" s="1307"/>
      <c r="L9532" s="1335"/>
      <c r="M9532" s="1302"/>
      <c r="N9532" s="1700"/>
      <c r="O9532" s="1290"/>
      <c r="P9532" s="1332"/>
      <c r="Q9532" s="3391"/>
    </row>
    <row r="9533" spans="1:18">
      <c r="A9533" s="18" t="s">
        <v>3764</v>
      </c>
      <c r="B9533" s="4325" t="s">
        <v>2058</v>
      </c>
      <c r="C9533" s="3805"/>
      <c r="D9533" s="4327"/>
      <c r="E9533" s="4329" t="s">
        <v>1507</v>
      </c>
      <c r="F9533" s="4336" t="s">
        <v>2059</v>
      </c>
      <c r="G9533" s="4331" t="s">
        <v>1568</v>
      </c>
      <c r="H9533" s="4331" t="s">
        <v>1574</v>
      </c>
      <c r="I9533" s="1572" t="s">
        <v>1559</v>
      </c>
      <c r="J9533" s="1294" t="s">
        <v>1560</v>
      </c>
      <c r="K9533" s="1294" t="s">
        <v>1569</v>
      </c>
      <c r="L9533" s="4333" t="s">
        <v>3765</v>
      </c>
      <c r="M9533" s="4335" t="s">
        <v>1571</v>
      </c>
      <c r="N9533" s="4323" t="s">
        <v>1776</v>
      </c>
      <c r="O9533" s="3804" t="s">
        <v>1563</v>
      </c>
      <c r="P9533" s="1336" t="s">
        <v>1562</v>
      </c>
      <c r="Q9533" s="3389"/>
      <c r="R9533" s="1699" t="s">
        <v>1327</v>
      </c>
    </row>
    <row r="9534" spans="1:18" ht="14.25" customHeight="1">
      <c r="A9534" s="1662" t="s">
        <v>3643</v>
      </c>
      <c r="B9534" s="4326"/>
      <c r="C9534" s="3806"/>
      <c r="D9534" s="4328"/>
      <c r="E9534" s="4330"/>
      <c r="F9534" s="4336"/>
      <c r="G9534" s="4332"/>
      <c r="H9534" s="4332"/>
      <c r="I9534" s="3814">
        <v>46.02</v>
      </c>
      <c r="J9534" s="3815">
        <v>2.1999999999999999E-2</v>
      </c>
      <c r="K9534" s="1297">
        <f>I9534*J9534</f>
        <v>1.01244</v>
      </c>
      <c r="L9534" s="4334"/>
      <c r="M9534" s="4335"/>
      <c r="N9534" s="4324"/>
      <c r="O9534" s="1298">
        <f>O9536+O9537+O9545+O9546</f>
        <v>15.346632899999999</v>
      </c>
      <c r="P9534" s="1337">
        <f>O9534*K9534</f>
        <v>15.537545013275999</v>
      </c>
      <c r="Q9534" s="3390"/>
      <c r="R9534" s="1721">
        <f>P9536+P9537+P9545+P9546</f>
        <v>15.537545013276002</v>
      </c>
    </row>
    <row r="9535" spans="1:18">
      <c r="A9535" s="1320"/>
      <c r="B9535" s="22"/>
      <c r="C9535" s="1327"/>
      <c r="D9535" s="1367"/>
      <c r="E9535" s="2121"/>
      <c r="F9535" s="1389" t="s">
        <v>1</v>
      </c>
      <c r="G9535" s="1389"/>
      <c r="H9535" s="1369"/>
      <c r="I9535" s="1409"/>
      <c r="J9535" s="1390"/>
      <c r="K9535" s="1391"/>
      <c r="L9535" s="1559"/>
      <c r="M9535" s="1369"/>
      <c r="N9535" s="1369"/>
      <c r="O9535" s="1369"/>
      <c r="P9535" s="1392"/>
      <c r="Q9535" s="3395"/>
    </row>
    <row r="9536" spans="1:18">
      <c r="A9536" s="1042"/>
      <c r="B9536" s="22"/>
      <c r="C9536" s="1042"/>
      <c r="D9536" s="1598" t="s">
        <v>2060</v>
      </c>
      <c r="E9536" s="2154" t="s">
        <v>1357</v>
      </c>
      <c r="F9536" s="1598" t="s">
        <v>2061</v>
      </c>
      <c r="G9536" s="1612">
        <v>0.09</v>
      </c>
      <c r="H9536" s="1674"/>
      <c r="I9536" s="1299"/>
      <c r="J9536" s="1300"/>
      <c r="K9536" s="1307">
        <f>G9536*K9534</f>
        <v>9.1119599999999995E-2</v>
      </c>
      <c r="L9536" s="1335">
        <f>K9536*$K$9346</f>
        <v>0</v>
      </c>
      <c r="M9536" s="1302">
        <v>7.42</v>
      </c>
      <c r="N9536" s="1700"/>
      <c r="O9536" s="1290">
        <f>G9536*M9536</f>
        <v>0.66779999999999995</v>
      </c>
      <c r="P9536" s="1332">
        <f>M9536*K9536</f>
        <v>0.67610743200000001</v>
      </c>
      <c r="Q9536" s="3391"/>
    </row>
    <row r="9537" spans="1:18">
      <c r="A9537" s="16"/>
      <c r="B9537" s="1042"/>
      <c r="C9537" s="1356" t="s">
        <v>1127</v>
      </c>
      <c r="D9537" s="1311"/>
      <c r="E9537" s="2137" t="s">
        <v>1517</v>
      </c>
      <c r="F9537" s="1319" t="s">
        <v>1519</v>
      </c>
      <c r="G9537" s="1353"/>
      <c r="H9537" s="1456">
        <v>0.03</v>
      </c>
      <c r="I9537" s="1444"/>
      <c r="J9537" s="1388"/>
      <c r="K9537" s="1445"/>
      <c r="L9537" s="1457"/>
      <c r="M9537" s="1447"/>
      <c r="N9537" s="1447">
        <f>SUM(N9538:N9541)</f>
        <v>50.044430000000006</v>
      </c>
      <c r="O9537" s="1447">
        <f>SUM(O9538:O9541)</f>
        <v>1.5013329000000002</v>
      </c>
      <c r="P9537" s="1446">
        <f>SUM(P9538:P9541)</f>
        <v>1.5200094812760003</v>
      </c>
      <c r="Q9537" s="3391"/>
      <c r="R9537" s="2337"/>
    </row>
    <row r="9538" spans="1:18">
      <c r="A9538" s="16"/>
      <c r="B9538" s="1042"/>
      <c r="C9538" s="1327"/>
      <c r="D9538" s="1400" t="s">
        <v>1069</v>
      </c>
      <c r="E9538" s="1856" t="s">
        <v>1517</v>
      </c>
      <c r="F9538" s="1397" t="s">
        <v>1578</v>
      </c>
      <c r="G9538" s="1416">
        <v>0.26300000000000001</v>
      </c>
      <c r="H9538" s="1399">
        <f>G9538*$H$9091</f>
        <v>7.8899999999999994E-3</v>
      </c>
      <c r="I9538" s="197"/>
      <c r="J9538" s="198"/>
      <c r="K9538" s="1307">
        <f>H9538*K9534</f>
        <v>7.9881516E-3</v>
      </c>
      <c r="L9538" s="1335">
        <f>K9538*$K$9346</f>
        <v>0</v>
      </c>
      <c r="M9538" s="1302">
        <v>0.55000000000000004</v>
      </c>
      <c r="N9538" s="1718">
        <f>G9538*M9538</f>
        <v>0.14465000000000003</v>
      </c>
      <c r="O9538" s="1290">
        <f>H9538*M9538</f>
        <v>4.3395000000000005E-3</v>
      </c>
      <c r="P9538" s="1332">
        <f>M9538*K9538</f>
        <v>4.3934833800000003E-3</v>
      </c>
      <c r="Q9538" s="3391"/>
      <c r="R9538" s="2337"/>
    </row>
    <row r="9539" spans="1:18">
      <c r="A9539" s="16"/>
      <c r="B9539" s="1042"/>
      <c r="C9539" s="1320"/>
      <c r="D9539" s="1400" t="s">
        <v>1394</v>
      </c>
      <c r="E9539" s="1856" t="s">
        <v>1577</v>
      </c>
      <c r="F9539" s="1397" t="s">
        <v>1579</v>
      </c>
      <c r="G9539" s="1416">
        <v>0.25800000000000001</v>
      </c>
      <c r="H9539" s="1399">
        <f>G9539*$H$9091</f>
        <v>7.7400000000000004E-3</v>
      </c>
      <c r="I9539" s="197"/>
      <c r="J9539" s="198"/>
      <c r="K9539" s="1307">
        <f>H9539*K9534</f>
        <v>7.8362856000000012E-3</v>
      </c>
      <c r="L9539" s="1335">
        <f>K9539*$K$9346</f>
        <v>0</v>
      </c>
      <c r="M9539" s="1302">
        <v>92.54</v>
      </c>
      <c r="N9539" s="1718">
        <f>G9539*M9539</f>
        <v>23.875320000000002</v>
      </c>
      <c r="O9539" s="1290">
        <f>H9539*M9539</f>
        <v>0.71625960000000011</v>
      </c>
      <c r="P9539" s="1332">
        <f>M9539*K9539</f>
        <v>0.72516986942400019</v>
      </c>
      <c r="Q9539" s="3391"/>
      <c r="R9539" s="2337"/>
    </row>
    <row r="9540" spans="1:18">
      <c r="A9540" s="16"/>
      <c r="B9540" s="1042"/>
      <c r="C9540" s="1320"/>
      <c r="D9540" s="1400" t="s">
        <v>1576</v>
      </c>
      <c r="E9540" s="1856" t="s">
        <v>1517</v>
      </c>
      <c r="F9540" s="1397" t="s">
        <v>1580</v>
      </c>
      <c r="G9540" s="1416">
        <v>1.1020000000000001</v>
      </c>
      <c r="H9540" s="1399">
        <f>G9540*$H$9091</f>
        <v>3.3059999999999999E-2</v>
      </c>
      <c r="I9540" s="197"/>
      <c r="J9540" s="198"/>
      <c r="K9540" s="1307">
        <f>H9540*K9534</f>
        <v>3.3471266399999998E-2</v>
      </c>
      <c r="L9540" s="1335">
        <f>K9540*$K$9346</f>
        <v>0</v>
      </c>
      <c r="M9540" s="1302">
        <v>6.53</v>
      </c>
      <c r="N9540" s="1718">
        <f>G9540*M9540</f>
        <v>7.196060000000001</v>
      </c>
      <c r="O9540" s="1290">
        <f>H9540*M9540</f>
        <v>0.21588180000000001</v>
      </c>
      <c r="P9540" s="1332">
        <f>M9540*K9540</f>
        <v>0.21856736959199999</v>
      </c>
      <c r="Q9540" s="3391"/>
      <c r="R9540" s="2337"/>
    </row>
    <row r="9541" spans="1:18">
      <c r="A9541" s="16"/>
      <c r="B9541" s="1042"/>
      <c r="C9541" s="1320"/>
      <c r="D9541" s="1404" t="s">
        <v>1067</v>
      </c>
      <c r="E9541" s="1857" t="s">
        <v>1508</v>
      </c>
      <c r="F9541" s="1406" t="s">
        <v>1512</v>
      </c>
      <c r="G9541" s="1407">
        <v>1.03</v>
      </c>
      <c r="H9541" s="1408">
        <f>G9541*$H$9091</f>
        <v>3.09E-2</v>
      </c>
      <c r="I9541" s="197"/>
      <c r="J9541" s="198"/>
      <c r="K9541" s="1307">
        <f>H9541*K9534</f>
        <v>3.1284395999999999E-2</v>
      </c>
      <c r="L9541" s="1335">
        <f>K9541*$K$9346</f>
        <v>0</v>
      </c>
      <c r="M9541" s="1302">
        <v>18.28</v>
      </c>
      <c r="N9541" s="1718">
        <f>G9541*M9541</f>
        <v>18.828400000000002</v>
      </c>
      <c r="O9541" s="1290">
        <f>H9541*M9541</f>
        <v>0.56485200000000002</v>
      </c>
      <c r="P9541" s="1332">
        <f>M9541*K9541</f>
        <v>0.57187875888000006</v>
      </c>
      <c r="Q9541" s="3391"/>
      <c r="R9541" s="2337"/>
    </row>
    <row r="9542" spans="1:18">
      <c r="A9542" s="1042"/>
      <c r="B9542" s="22"/>
      <c r="C9542" s="1042"/>
      <c r="D9542" s="1672"/>
      <c r="E9542" s="2160"/>
      <c r="F9542" s="1675"/>
      <c r="G9542" s="1675"/>
      <c r="H9542" s="1674"/>
      <c r="I9542" s="1299"/>
      <c r="J9542" s="1300"/>
      <c r="K9542" s="1307"/>
      <c r="L9542" s="1335"/>
      <c r="M9542" s="1302"/>
      <c r="N9542" s="1700"/>
      <c r="O9542" s="1290"/>
      <c r="P9542" s="1332"/>
      <c r="Q9542" s="3391"/>
    </row>
    <row r="9543" spans="1:18">
      <c r="A9543" s="1042"/>
      <c r="B9543" s="22"/>
      <c r="C9543" s="1042"/>
      <c r="D9543" s="1367"/>
      <c r="E9543" s="2121"/>
      <c r="F9543" s="1436"/>
      <c r="G9543" s="1436"/>
      <c r="H9543" s="1369"/>
      <c r="I9543" s="1299"/>
      <c r="J9543" s="1300"/>
      <c r="K9543" s="1307"/>
      <c r="L9543" s="1335"/>
      <c r="M9543" s="1302"/>
      <c r="N9543" s="1700"/>
      <c r="O9543" s="1290"/>
      <c r="P9543" s="1332"/>
      <c r="Q9543" s="3391"/>
    </row>
    <row r="9544" spans="1:18">
      <c r="A9544" s="1042"/>
      <c r="B9544" s="22"/>
      <c r="C9544" s="1042"/>
      <c r="D9544" s="1359"/>
      <c r="E9544" s="1858"/>
      <c r="F9544" s="1360" t="s">
        <v>2</v>
      </c>
      <c r="G9544" s="1360"/>
      <c r="H9544" s="1362"/>
      <c r="I9544" s="1380"/>
      <c r="J9544" s="1381"/>
      <c r="K9544" s="1381"/>
      <c r="L9544" s="1458"/>
      <c r="M9544" s="1362"/>
      <c r="N9544" s="1362"/>
      <c r="O9544" s="1362"/>
      <c r="P9544" s="1359"/>
      <c r="Q9544" s="3387"/>
    </row>
    <row r="9545" spans="1:18">
      <c r="A9545" s="1321"/>
      <c r="B9545" s="1295"/>
      <c r="C9545" s="1321"/>
      <c r="D9545" s="1363" t="s">
        <v>1088</v>
      </c>
      <c r="E9545" s="2125" t="s">
        <v>1508</v>
      </c>
      <c r="F9545" s="1403" t="s">
        <v>37</v>
      </c>
      <c r="G9545" s="1408">
        <v>0.35</v>
      </c>
      <c r="H9545" s="2019"/>
      <c r="I9545" s="1299"/>
      <c r="J9545" s="1300"/>
      <c r="K9545" s="1307">
        <f>G9545*K9534</f>
        <v>0.354354</v>
      </c>
      <c r="L9545" s="1335">
        <f>K9545*$K$9346</f>
        <v>0</v>
      </c>
      <c r="M9545" s="1302">
        <v>19.23</v>
      </c>
      <c r="N9545" s="1700"/>
      <c r="O9545" s="1290">
        <f>G9545*M9545</f>
        <v>6.7305000000000001</v>
      </c>
      <c r="P9545" s="1332">
        <f>M9545*K9545</f>
        <v>6.8142274199999999</v>
      </c>
      <c r="Q9545" s="3391"/>
    </row>
    <row r="9546" spans="1:18">
      <c r="A9546" s="1320"/>
      <c r="B9546" s="22"/>
      <c r="C9546" s="1320"/>
      <c r="D9546" s="1655" t="s">
        <v>2063</v>
      </c>
      <c r="E9546" s="1859" t="s">
        <v>1508</v>
      </c>
      <c r="F9546" s="1655" t="s">
        <v>1966</v>
      </c>
      <c r="G9546" s="1809">
        <v>0.35</v>
      </c>
      <c r="H9546" s="1359"/>
      <c r="I9546" s="1299"/>
      <c r="J9546" s="1300"/>
      <c r="K9546" s="1307">
        <f>G9546*K9534</f>
        <v>0.354354</v>
      </c>
      <c r="L9546" s="1335">
        <f>K9546*$K$9346</f>
        <v>0</v>
      </c>
      <c r="M9546" s="1302">
        <v>18.420000000000002</v>
      </c>
      <c r="N9546" s="1700"/>
      <c r="O9546" s="1290">
        <f>G9546*M9546</f>
        <v>6.4470000000000001</v>
      </c>
      <c r="P9546" s="1332">
        <f>M9546*K9546</f>
        <v>6.5272006800000009</v>
      </c>
      <c r="Q9546" s="3391"/>
    </row>
    <row r="9547" spans="1:18">
      <c r="A9547" s="1320"/>
      <c r="B9547" s="22"/>
      <c r="C9547" s="1320"/>
      <c r="D9547" s="1359"/>
      <c r="E9547" s="1858"/>
      <c r="F9547" s="1404"/>
      <c r="G9547" s="1404"/>
      <c r="H9547" s="1359"/>
      <c r="I9547" s="1299"/>
      <c r="J9547" s="1300"/>
      <c r="K9547" s="1307"/>
      <c r="L9547" s="1335"/>
      <c r="M9547" s="1302"/>
      <c r="N9547" s="1700"/>
      <c r="O9547" s="1290"/>
      <c r="P9547" s="1332"/>
      <c r="Q9547" s="3391"/>
    </row>
    <row r="9548" spans="1:18">
      <c r="A9548" s="1320"/>
      <c r="B9548" s="22"/>
      <c r="C9548" s="1320"/>
      <c r="D9548" s="1359"/>
      <c r="E9548" s="1858"/>
      <c r="F9548" s="1361"/>
      <c r="G9548" s="1361"/>
      <c r="H9548" s="1466"/>
      <c r="I9548" s="1299"/>
      <c r="J9548" s="1300"/>
      <c r="K9548" s="1307"/>
      <c r="L9548" s="1335"/>
      <c r="M9548" s="1302"/>
      <c r="N9548" s="1700"/>
      <c r="O9548" s="1290"/>
      <c r="P9548" s="1332"/>
      <c r="Q9548" s="3391"/>
    </row>
    <row r="9549" spans="1:18">
      <c r="A9549" s="1320"/>
      <c r="B9549" s="22"/>
      <c r="C9549" s="1320"/>
      <c r="D9549" s="1373"/>
      <c r="E9549" s="2123"/>
      <c r="F9549" s="1374" t="s">
        <v>3</v>
      </c>
      <c r="G9549" s="1375"/>
      <c r="H9549" s="1376"/>
      <c r="I9549" s="1382"/>
      <c r="J9549" s="1383"/>
      <c r="K9549" s="1383"/>
      <c r="L9549" s="1413"/>
      <c r="M9549" s="1376"/>
      <c r="N9549" s="1376"/>
      <c r="O9549" s="1376"/>
      <c r="P9549" s="1373"/>
      <c r="Q9549" s="3387"/>
    </row>
    <row r="9550" spans="1:18">
      <c r="A9550" s="1321"/>
      <c r="B9550" s="1295"/>
      <c r="C9550" s="1321"/>
      <c r="D9550" s="1377"/>
      <c r="E9550" s="2124"/>
      <c r="F9550" s="1378"/>
      <c r="G9550" s="1378"/>
      <c r="H9550" s="1379"/>
      <c r="I9550" s="1299"/>
      <c r="J9550" s="1300"/>
      <c r="K9550" s="1307"/>
      <c r="L9550" s="1335"/>
      <c r="M9550" s="1302"/>
      <c r="N9550" s="1700"/>
      <c r="O9550" s="1290"/>
      <c r="P9550" s="1332"/>
      <c r="Q9550" s="3391"/>
    </row>
    <row r="9551" spans="1:18">
      <c r="A9551" s="1321"/>
      <c r="B9551" s="1295"/>
      <c r="C9551" s="1321"/>
      <c r="D9551" s="1377"/>
      <c r="E9551" s="2124"/>
      <c r="F9551" s="1378"/>
      <c r="G9551" s="1378"/>
      <c r="H9551" s="1379"/>
      <c r="I9551" s="1299"/>
      <c r="J9551" s="1300"/>
      <c r="K9551" s="1307"/>
      <c r="L9551" s="1335"/>
      <c r="M9551" s="1302"/>
      <c r="N9551" s="1700"/>
      <c r="O9551" s="1290"/>
      <c r="P9551" s="1333"/>
      <c r="Q9551" s="3391"/>
    </row>
    <row r="9552" spans="1:18">
      <c r="A9552" s="1042"/>
      <c r="B9552" s="22"/>
      <c r="C9552" s="1042"/>
      <c r="D9552" s="1677"/>
      <c r="E9552" s="2161"/>
      <c r="F9552" s="1678"/>
      <c r="G9552" s="1678"/>
      <c r="H9552" s="1376"/>
      <c r="I9552" s="1299"/>
      <c r="J9552" s="1300"/>
      <c r="K9552" s="1307"/>
      <c r="L9552" s="1335"/>
      <c r="M9552" s="1302"/>
      <c r="N9552" s="1700"/>
      <c r="O9552" s="1290"/>
      <c r="P9552" s="1332"/>
      <c r="Q9552" s="3391"/>
    </row>
    <row r="9553" spans="1:18">
      <c r="A9553" s="18" t="s">
        <v>3764</v>
      </c>
      <c r="B9553" s="4325" t="s">
        <v>2064</v>
      </c>
      <c r="C9553" s="3805"/>
      <c r="D9553" s="4327"/>
      <c r="E9553" s="4329" t="s">
        <v>1507</v>
      </c>
      <c r="F9553" s="4336" t="s">
        <v>2090</v>
      </c>
      <c r="G9553" s="4331" t="s">
        <v>1568</v>
      </c>
      <c r="H9553" s="4331" t="s">
        <v>1574</v>
      </c>
      <c r="I9553" s="1572" t="s">
        <v>1559</v>
      </c>
      <c r="J9553" s="1294" t="s">
        <v>1560</v>
      </c>
      <c r="K9553" s="1294" t="s">
        <v>1569</v>
      </c>
      <c r="L9553" s="4333" t="s">
        <v>3765</v>
      </c>
      <c r="M9553" s="4335" t="s">
        <v>1571</v>
      </c>
      <c r="N9553" s="4323" t="s">
        <v>1776</v>
      </c>
      <c r="O9553" s="3804" t="s">
        <v>1563</v>
      </c>
      <c r="P9553" s="1336" t="s">
        <v>1562</v>
      </c>
      <c r="Q9553" s="3389"/>
      <c r="R9553" s="1699" t="s">
        <v>1327</v>
      </c>
    </row>
    <row r="9554" spans="1:18">
      <c r="A9554" s="1662" t="s">
        <v>3643</v>
      </c>
      <c r="B9554" s="4326"/>
      <c r="C9554" s="3806"/>
      <c r="D9554" s="4328"/>
      <c r="E9554" s="4330"/>
      <c r="F9554" s="4336"/>
      <c r="G9554" s="4332"/>
      <c r="H9554" s="4332"/>
      <c r="I9554" s="3814">
        <v>46.02</v>
      </c>
      <c r="J9554" s="3815">
        <v>2.1999999999999999E-2</v>
      </c>
      <c r="K9554" s="1297">
        <f>I9554*J9554</f>
        <v>1.01244</v>
      </c>
      <c r="L9554" s="4334"/>
      <c r="M9554" s="4335"/>
      <c r="N9554" s="4324"/>
      <c r="O9554" s="1298">
        <f>SUM(O9556:O9570)</f>
        <v>85.925100000000015</v>
      </c>
      <c r="P9554" s="1337">
        <f>O9554*K9554</f>
        <v>86.994008244000014</v>
      </c>
      <c r="Q9554" s="3390"/>
      <c r="R9554" s="1721">
        <f>SUM(P9556:P9570)</f>
        <v>86.994008244</v>
      </c>
    </row>
    <row r="9555" spans="1:18">
      <c r="A9555" s="1320"/>
      <c r="B9555" s="22"/>
      <c r="C9555" s="1327"/>
      <c r="D9555" s="1400"/>
      <c r="E9555" s="2121"/>
      <c r="F9555" s="1389" t="s">
        <v>1</v>
      </c>
      <c r="G9555" s="1389"/>
      <c r="H9555" s="1369"/>
      <c r="I9555" s="1409"/>
      <c r="J9555" s="1390"/>
      <c r="K9555" s="1391"/>
      <c r="L9555" s="1559"/>
      <c r="M9555" s="1369"/>
      <c r="N9555" s="1369"/>
      <c r="O9555" s="1369"/>
      <c r="P9555" s="1392"/>
      <c r="Q9555" s="3395"/>
    </row>
    <row r="9556" spans="1:18">
      <c r="A9556" s="1042"/>
      <c r="B9556" s="22"/>
      <c r="C9556" s="1042"/>
      <c r="D9556" s="1610" t="s">
        <v>2091</v>
      </c>
      <c r="E9556" s="2154" t="s">
        <v>1507</v>
      </c>
      <c r="F9556" s="1598" t="s">
        <v>2092</v>
      </c>
      <c r="G9556" s="1612">
        <v>1</v>
      </c>
      <c r="H9556" s="1674"/>
      <c r="I9556" s="1299"/>
      <c r="J9556" s="1300"/>
      <c r="K9556" s="1307">
        <f>G9556*K9554</f>
        <v>1.01244</v>
      </c>
      <c r="L9556" s="1335">
        <f>K9556*$K$9346</f>
        <v>0</v>
      </c>
      <c r="M9556" s="1302">
        <v>70.900000000000006</v>
      </c>
      <c r="N9556" s="1700"/>
      <c r="O9556" s="1290">
        <f>G9556*M9556</f>
        <v>70.900000000000006</v>
      </c>
      <c r="P9556" s="1332">
        <f>M9556*K9556</f>
        <v>71.781996000000007</v>
      </c>
      <c r="Q9556" s="3391"/>
    </row>
    <row r="9557" spans="1:18">
      <c r="A9557" s="16"/>
      <c r="B9557" s="553"/>
      <c r="C9557" s="1042"/>
      <c r="D9557" s="1610" t="s">
        <v>1191</v>
      </c>
      <c r="E9557" s="2154" t="s">
        <v>1527</v>
      </c>
      <c r="F9557" s="1598" t="s">
        <v>2093</v>
      </c>
      <c r="G9557" s="1612">
        <v>3</v>
      </c>
      <c r="H9557" s="1674"/>
      <c r="I9557" s="1299"/>
      <c r="J9557" s="1300"/>
      <c r="K9557" s="1307">
        <f>G9557*K9554</f>
        <v>3.0373200000000002</v>
      </c>
      <c r="L9557" s="1335">
        <f>K9557*$K$9346</f>
        <v>0</v>
      </c>
      <c r="M9557" s="1302">
        <v>0.97</v>
      </c>
      <c r="N9557" s="1700"/>
      <c r="O9557" s="1290">
        <f>G9557*M9557</f>
        <v>2.91</v>
      </c>
      <c r="P9557" s="1332">
        <f>M9557*K9557</f>
        <v>2.9462003999999999</v>
      </c>
      <c r="Q9557" s="3391"/>
      <c r="R9557" s="2337"/>
    </row>
    <row r="9558" spans="1:18">
      <c r="A9558" s="16"/>
      <c r="B9558" s="553"/>
      <c r="C9558" s="1320"/>
      <c r="D9558" s="1610" t="s">
        <v>1175</v>
      </c>
      <c r="E9558" s="2154" t="s">
        <v>1527</v>
      </c>
      <c r="F9558" s="1598" t="s">
        <v>1914</v>
      </c>
      <c r="G9558" s="1612">
        <v>3</v>
      </c>
      <c r="H9558" s="1399"/>
      <c r="I9558" s="197"/>
      <c r="J9558" s="198"/>
      <c r="K9558" s="1307">
        <f>G9558*K9554</f>
        <v>3.0373200000000002</v>
      </c>
      <c r="L9558" s="1335">
        <f>K9558*$K$9346</f>
        <v>0</v>
      </c>
      <c r="M9558" s="1302">
        <v>1.3</v>
      </c>
      <c r="N9558" s="1718"/>
      <c r="O9558" s="1290">
        <f>G9558*M9558</f>
        <v>3.9000000000000004</v>
      </c>
      <c r="P9558" s="1332">
        <f>M9558*K9558</f>
        <v>3.9485160000000006</v>
      </c>
      <c r="Q9558" s="3391"/>
      <c r="R9558" s="2337"/>
    </row>
    <row r="9559" spans="1:18">
      <c r="A9559" s="16"/>
      <c r="B9559" s="553"/>
      <c r="C9559" s="1320"/>
      <c r="D9559" s="1610" t="s">
        <v>1082</v>
      </c>
      <c r="E9559" s="2154" t="s">
        <v>1504</v>
      </c>
      <c r="F9559" s="1598" t="s">
        <v>1541</v>
      </c>
      <c r="G9559" s="1612">
        <v>1</v>
      </c>
      <c r="H9559" s="1399"/>
      <c r="I9559" s="197"/>
      <c r="J9559" s="198"/>
      <c r="K9559" s="1307">
        <f>G9559*K9554</f>
        <v>1.01244</v>
      </c>
      <c r="L9559" s="1335">
        <f>K9559*$K$9346</f>
        <v>0</v>
      </c>
      <c r="M9559" s="1302">
        <v>0.3</v>
      </c>
      <c r="N9559" s="1718"/>
      <c r="O9559" s="1290">
        <f>G9559*M9559</f>
        <v>0.3</v>
      </c>
      <c r="P9559" s="1332">
        <f>M9559*K9559</f>
        <v>0.303732</v>
      </c>
      <c r="Q9559" s="3391"/>
      <c r="R9559" s="2337"/>
    </row>
    <row r="9560" spans="1:18">
      <c r="A9560" s="1042"/>
      <c r="B9560" s="22"/>
      <c r="C9560" s="1042"/>
      <c r="D9560" s="1400"/>
      <c r="E9560" s="2121"/>
      <c r="F9560" s="1436"/>
      <c r="G9560" s="1436"/>
      <c r="H9560" s="1369"/>
      <c r="I9560" s="1299"/>
      <c r="J9560" s="1300"/>
      <c r="K9560" s="1307"/>
      <c r="L9560" s="1335"/>
      <c r="M9560" s="1302"/>
      <c r="N9560" s="1700"/>
      <c r="O9560" s="1290"/>
      <c r="P9560" s="1332"/>
      <c r="Q9560" s="3391"/>
    </row>
    <row r="9561" spans="1:18">
      <c r="A9561" s="1042"/>
      <c r="B9561" s="22"/>
      <c r="C9561" s="1042"/>
      <c r="D9561" s="1400"/>
      <c r="E9561" s="2121"/>
      <c r="F9561" s="1436"/>
      <c r="G9561" s="1436"/>
      <c r="H9561" s="1369"/>
      <c r="I9561" s="1299"/>
      <c r="J9561" s="1300"/>
      <c r="K9561" s="1307"/>
      <c r="L9561" s="1335"/>
      <c r="M9561" s="1302"/>
      <c r="N9561" s="1700"/>
      <c r="O9561" s="1290"/>
      <c r="P9561" s="1332"/>
      <c r="Q9561" s="3391"/>
    </row>
    <row r="9562" spans="1:18">
      <c r="A9562" s="1042"/>
      <c r="B9562" s="22"/>
      <c r="C9562" s="1042"/>
      <c r="D9562" s="1404"/>
      <c r="E9562" s="1858"/>
      <c r="F9562" s="1360" t="s">
        <v>2</v>
      </c>
      <c r="G9562" s="1360"/>
      <c r="H9562" s="1362"/>
      <c r="I9562" s="1380"/>
      <c r="J9562" s="1381"/>
      <c r="K9562" s="1381"/>
      <c r="L9562" s="1458"/>
      <c r="M9562" s="1362"/>
      <c r="N9562" s="1362"/>
      <c r="O9562" s="1362"/>
      <c r="P9562" s="1359"/>
      <c r="Q9562" s="3387"/>
    </row>
    <row r="9563" spans="1:18">
      <c r="A9563" s="1321"/>
      <c r="B9563" s="1295"/>
      <c r="C9563" s="1321"/>
      <c r="D9563" s="1622" t="s">
        <v>1067</v>
      </c>
      <c r="E9563" s="2125" t="s">
        <v>1508</v>
      </c>
      <c r="F9563" s="1385" t="s">
        <v>1512</v>
      </c>
      <c r="G9563" s="2019">
        <v>0.17</v>
      </c>
      <c r="H9563" s="1386"/>
      <c r="I9563" s="1299"/>
      <c r="J9563" s="1300"/>
      <c r="K9563" s="1307">
        <f>G9563*K9554</f>
        <v>0.17211480000000001</v>
      </c>
      <c r="L9563" s="1335">
        <f>K9563*$K$9346</f>
        <v>0</v>
      </c>
      <c r="M9563" s="1302">
        <v>18.28</v>
      </c>
      <c r="N9563" s="1700"/>
      <c r="O9563" s="1290">
        <f>G9563*M9563</f>
        <v>3.1076000000000006</v>
      </c>
      <c r="P9563" s="1332">
        <f>M9563*K9563</f>
        <v>3.1462585440000006</v>
      </c>
      <c r="Q9563" s="3391"/>
    </row>
    <row r="9564" spans="1:18">
      <c r="A9564" s="1320"/>
      <c r="B9564" s="22"/>
      <c r="C9564" s="1320"/>
      <c r="D9564" s="1993" t="s">
        <v>1173</v>
      </c>
      <c r="E9564" s="1859" t="s">
        <v>1508</v>
      </c>
      <c r="F9564" s="1655" t="s">
        <v>1768</v>
      </c>
      <c r="G9564" s="1809">
        <v>0.25</v>
      </c>
      <c r="H9564" s="1359"/>
      <c r="I9564" s="1299"/>
      <c r="J9564" s="1300"/>
      <c r="K9564" s="1307">
        <f>G9564*K9554</f>
        <v>0.25311</v>
      </c>
      <c r="L9564" s="1335">
        <f>K9564*$K$9346</f>
        <v>0</v>
      </c>
      <c r="M9564" s="1302">
        <v>19.23</v>
      </c>
      <c r="N9564" s="1700"/>
      <c r="O9564" s="1290">
        <f>G9564*M9564</f>
        <v>4.8075000000000001</v>
      </c>
      <c r="P9564" s="1332">
        <f>M9564*K9564</f>
        <v>4.8673052999999999</v>
      </c>
      <c r="Q9564" s="3391"/>
    </row>
    <row r="9565" spans="1:18">
      <c r="A9565" s="1320"/>
      <c r="B9565" s="22"/>
      <c r="C9565" s="1320"/>
      <c r="D9565" s="1404"/>
      <c r="E9565" s="1858"/>
      <c r="F9565" s="1404"/>
      <c r="G9565" s="1404"/>
      <c r="H9565" s="1359"/>
      <c r="I9565" s="1299"/>
      <c r="J9565" s="1300"/>
      <c r="K9565" s="1307"/>
      <c r="L9565" s="1335"/>
      <c r="M9565" s="1302"/>
      <c r="N9565" s="1700"/>
      <c r="O9565" s="1290"/>
      <c r="P9565" s="1332"/>
      <c r="Q9565" s="3391"/>
    </row>
    <row r="9566" spans="1:18">
      <c r="A9566" s="1320"/>
      <c r="B9566" s="22"/>
      <c r="C9566" s="1320"/>
      <c r="D9566" s="1404"/>
      <c r="E9566" s="1858"/>
      <c r="F9566" s="1361"/>
      <c r="G9566" s="1361"/>
      <c r="H9566" s="1466"/>
      <c r="I9566" s="1299"/>
      <c r="J9566" s="1300"/>
      <c r="K9566" s="1307"/>
      <c r="L9566" s="1335"/>
      <c r="M9566" s="1302"/>
      <c r="N9566" s="1700"/>
      <c r="O9566" s="1290"/>
      <c r="P9566" s="1332"/>
      <c r="Q9566" s="3391"/>
    </row>
    <row r="9567" spans="1:18">
      <c r="A9567" s="1320"/>
      <c r="B9567" s="22"/>
      <c r="C9567" s="1320"/>
      <c r="D9567" s="1411"/>
      <c r="E9567" s="2123"/>
      <c r="F9567" s="1374" t="s">
        <v>3</v>
      </c>
      <c r="G9567" s="1375"/>
      <c r="H9567" s="1376"/>
      <c r="I9567" s="1382"/>
      <c r="J9567" s="1383"/>
      <c r="K9567" s="1383"/>
      <c r="L9567" s="1413"/>
      <c r="M9567" s="1376"/>
      <c r="N9567" s="1376"/>
      <c r="O9567" s="1376"/>
      <c r="P9567" s="1373"/>
      <c r="Q9567" s="3387"/>
    </row>
    <row r="9568" spans="1:18">
      <c r="A9568" s="1321"/>
      <c r="B9568" s="1295"/>
      <c r="C9568" s="1321"/>
      <c r="D9568" s="1412"/>
      <c r="E9568" s="2124"/>
      <c r="F9568" s="1378"/>
      <c r="G9568" s="1378"/>
      <c r="H9568" s="1379"/>
      <c r="I9568" s="1299"/>
      <c r="J9568" s="1300"/>
      <c r="K9568" s="1307"/>
      <c r="L9568" s="1335"/>
      <c r="M9568" s="1302"/>
      <c r="N9568" s="1700"/>
      <c r="O9568" s="1290"/>
      <c r="P9568" s="1332"/>
      <c r="Q9568" s="3391"/>
    </row>
    <row r="9569" spans="1:19">
      <c r="A9569" s="1321"/>
      <c r="B9569" s="1295"/>
      <c r="C9569" s="1321"/>
      <c r="D9569" s="1412"/>
      <c r="E9569" s="2124"/>
      <c r="F9569" s="1378"/>
      <c r="G9569" s="1378"/>
      <c r="H9569" s="1379"/>
      <c r="I9569" s="1299"/>
      <c r="J9569" s="1300"/>
      <c r="K9569" s="1307"/>
      <c r="L9569" s="1335"/>
      <c r="M9569" s="1302"/>
      <c r="N9569" s="1700"/>
      <c r="O9569" s="1290"/>
      <c r="P9569" s="1333"/>
      <c r="Q9569" s="3391"/>
    </row>
    <row r="9570" spans="1:19">
      <c r="A9570" s="1042"/>
      <c r="B9570" s="22"/>
      <c r="C9570" s="223"/>
      <c r="D9570" s="1695"/>
      <c r="E9570" s="2161"/>
      <c r="F9570" s="1678"/>
      <c r="G9570" s="1678"/>
      <c r="H9570" s="1376"/>
      <c r="I9570" s="1299"/>
      <c r="J9570" s="1300"/>
      <c r="K9570" s="1307"/>
      <c r="L9570" s="1335"/>
      <c r="M9570" s="1302"/>
      <c r="N9570" s="1700"/>
      <c r="O9570" s="1290"/>
      <c r="P9570" s="1332"/>
      <c r="Q9570" s="3391"/>
    </row>
    <row r="9571" spans="1:19">
      <c r="A9571" s="18" t="s">
        <v>3764</v>
      </c>
      <c r="B9571" s="4325" t="s">
        <v>2094</v>
      </c>
      <c r="C9571" s="3808"/>
      <c r="D9571" s="4327"/>
      <c r="E9571" s="4329" t="s">
        <v>1507</v>
      </c>
      <c r="F9571" s="4372" t="s">
        <v>2095</v>
      </c>
      <c r="G9571" s="4331" t="s">
        <v>1568</v>
      </c>
      <c r="H9571" s="4331" t="s">
        <v>1574</v>
      </c>
      <c r="I9571" s="1572" t="s">
        <v>1559</v>
      </c>
      <c r="J9571" s="1294" t="s">
        <v>1560</v>
      </c>
      <c r="K9571" s="1294" t="s">
        <v>1569</v>
      </c>
      <c r="L9571" s="4333" t="s">
        <v>3765</v>
      </c>
      <c r="M9571" s="4335" t="s">
        <v>1571</v>
      </c>
      <c r="N9571" s="4323" t="s">
        <v>1776</v>
      </c>
      <c r="O9571" s="3804" t="s">
        <v>1563</v>
      </c>
      <c r="P9571" s="1336" t="s">
        <v>1562</v>
      </c>
      <c r="Q9571" s="3389"/>
      <c r="R9571" s="1699" t="s">
        <v>1327</v>
      </c>
    </row>
    <row r="9572" spans="1:19">
      <c r="A9572" s="1662" t="s">
        <v>3643</v>
      </c>
      <c r="B9572" s="4326"/>
      <c r="C9572" s="3806"/>
      <c r="D9572" s="4328"/>
      <c r="E9572" s="4330"/>
      <c r="F9572" s="4363"/>
      <c r="G9572" s="4332"/>
      <c r="H9572" s="4332"/>
      <c r="I9572" s="3814">
        <v>42.12</v>
      </c>
      <c r="J9572" s="3815">
        <v>2.1999999999999999E-2</v>
      </c>
      <c r="K9572" s="1297">
        <f>I9572*J9572</f>
        <v>0.92663999999999991</v>
      </c>
      <c r="L9572" s="4334"/>
      <c r="M9572" s="4335"/>
      <c r="N9572" s="4324"/>
      <c r="O9572" s="1298">
        <f>O9574+O9575+O9579+O9580</f>
        <v>136.52599999999998</v>
      </c>
      <c r="P9572" s="1337">
        <f>O9572*K9572</f>
        <v>126.51045263999997</v>
      </c>
      <c r="Q9572" s="3390"/>
      <c r="R9572" s="1721">
        <f>P9574+P9575+P9579+P9580</f>
        <v>126.51045264</v>
      </c>
      <c r="S9572" s="16"/>
    </row>
    <row r="9573" spans="1:19" ht="15" customHeight="1">
      <c r="A9573" s="1320"/>
      <c r="B9573" s="22"/>
      <c r="C9573" s="1327"/>
      <c r="D9573" s="1367"/>
      <c r="E9573" s="2121"/>
      <c r="F9573" s="1389" t="s">
        <v>1</v>
      </c>
      <c r="G9573" s="1389"/>
      <c r="H9573" s="1369"/>
      <c r="I9573" s="1409"/>
      <c r="J9573" s="1390"/>
      <c r="K9573" s="1391"/>
      <c r="L9573" s="1559"/>
      <c r="M9573" s="1369"/>
      <c r="N9573" s="1369"/>
      <c r="O9573" s="1369"/>
      <c r="P9573" s="1392"/>
      <c r="Q9573" s="3395"/>
      <c r="S9573" s="16"/>
    </row>
    <row r="9574" spans="1:19">
      <c r="A9574" s="1042"/>
      <c r="B9574" s="22"/>
      <c r="C9574" s="1042"/>
      <c r="D9574" s="1611" t="s">
        <v>2096</v>
      </c>
      <c r="E9574" s="2154" t="s">
        <v>1507</v>
      </c>
      <c r="F9574" s="1598" t="s">
        <v>2097</v>
      </c>
      <c r="G9574" s="1995">
        <v>1</v>
      </c>
      <c r="H9574" s="1674"/>
      <c r="I9574" s="1299"/>
      <c r="J9574" s="1300"/>
      <c r="K9574" s="1307">
        <f>G9574*K9572</f>
        <v>0.92663999999999991</v>
      </c>
      <c r="L9574" s="1335">
        <f>K9574*$K$9346</f>
        <v>0</v>
      </c>
      <c r="M9574" s="1302">
        <v>127.62</v>
      </c>
      <c r="N9574" s="1700"/>
      <c r="O9574" s="1290">
        <f>G9574*M9574</f>
        <v>127.62</v>
      </c>
      <c r="P9574" s="1332">
        <f>M9574*K9574</f>
        <v>118.25779679999999</v>
      </c>
      <c r="Q9574" s="3391"/>
      <c r="S9574" s="16"/>
    </row>
    <row r="9575" spans="1:19">
      <c r="A9575" s="16"/>
      <c r="B9575" s="553"/>
      <c r="C9575" s="1320"/>
      <c r="D9575" s="1610" t="s">
        <v>1082</v>
      </c>
      <c r="E9575" s="2154" t="s">
        <v>1504</v>
      </c>
      <c r="F9575" s="1598" t="s">
        <v>1541</v>
      </c>
      <c r="G9575" s="1995">
        <v>1</v>
      </c>
      <c r="H9575" s="1399"/>
      <c r="I9575" s="197"/>
      <c r="J9575" s="198"/>
      <c r="K9575" s="1307">
        <f>G9575*K9572</f>
        <v>0.92663999999999991</v>
      </c>
      <c r="L9575" s="1335">
        <f>K9575*$K$9346</f>
        <v>0</v>
      </c>
      <c r="M9575" s="1302">
        <v>0.3</v>
      </c>
      <c r="N9575" s="1718"/>
      <c r="O9575" s="1290">
        <f>G9575*M9575</f>
        <v>0.3</v>
      </c>
      <c r="P9575" s="1332">
        <f>M9575*K9575</f>
        <v>0.27799199999999996</v>
      </c>
      <c r="Q9575" s="3391"/>
      <c r="R9575" s="2337"/>
      <c r="S9575" s="16"/>
    </row>
    <row r="9576" spans="1:19">
      <c r="A9576" s="1042"/>
      <c r="B9576" s="22"/>
      <c r="C9576" s="1042"/>
      <c r="D9576" s="1367"/>
      <c r="E9576" s="2121"/>
      <c r="F9576" s="1436"/>
      <c r="G9576" s="2088"/>
      <c r="H9576" s="1369"/>
      <c r="I9576" s="1299"/>
      <c r="J9576" s="1300"/>
      <c r="K9576" s="1307"/>
      <c r="L9576" s="1335"/>
      <c r="M9576" s="1302"/>
      <c r="N9576" s="1700"/>
      <c r="O9576" s="1290"/>
      <c r="P9576" s="1332"/>
      <c r="Q9576" s="3391"/>
      <c r="S9576" s="16"/>
    </row>
    <row r="9577" spans="1:19">
      <c r="A9577" s="1042"/>
      <c r="B9577" s="22"/>
      <c r="C9577" s="1042"/>
      <c r="D9577" s="1367"/>
      <c r="E9577" s="2121"/>
      <c r="F9577" s="1436"/>
      <c r="G9577" s="2088"/>
      <c r="H9577" s="1369"/>
      <c r="I9577" s="1299"/>
      <c r="J9577" s="1300"/>
      <c r="K9577" s="1307"/>
      <c r="L9577" s="1335"/>
      <c r="M9577" s="1302"/>
      <c r="N9577" s="1700"/>
      <c r="O9577" s="1290"/>
      <c r="P9577" s="1332"/>
      <c r="Q9577" s="3391"/>
    </row>
    <row r="9578" spans="1:19">
      <c r="A9578" s="1042"/>
      <c r="B9578" s="22"/>
      <c r="C9578" s="1042"/>
      <c r="D9578" s="1359"/>
      <c r="E9578" s="1858"/>
      <c r="F9578" s="1360" t="s">
        <v>2</v>
      </c>
      <c r="G9578" s="2223"/>
      <c r="H9578" s="1362"/>
      <c r="I9578" s="1380"/>
      <c r="J9578" s="1381"/>
      <c r="K9578" s="1381"/>
      <c r="L9578" s="1458"/>
      <c r="M9578" s="1362"/>
      <c r="N9578" s="1362"/>
      <c r="O9578" s="1362"/>
      <c r="P9578" s="1359"/>
      <c r="Q9578" s="3387"/>
    </row>
    <row r="9579" spans="1:19">
      <c r="A9579" s="1321"/>
      <c r="B9579" s="1295"/>
      <c r="C9579" s="1321"/>
      <c r="D9579" s="1363" t="s">
        <v>1173</v>
      </c>
      <c r="E9579" s="2125" t="s">
        <v>1508</v>
      </c>
      <c r="F9579" s="1403" t="s">
        <v>120</v>
      </c>
      <c r="G9579" s="1937">
        <v>0.4</v>
      </c>
      <c r="H9579" s="2019"/>
      <c r="I9579" s="1299"/>
      <c r="J9579" s="1300"/>
      <c r="K9579" s="1307">
        <f>G9579*K9572</f>
        <v>0.37065599999999999</v>
      </c>
      <c r="L9579" s="1335">
        <f>K9579*$K$9346</f>
        <v>0</v>
      </c>
      <c r="M9579" s="1302">
        <v>19.23</v>
      </c>
      <c r="N9579" s="1700"/>
      <c r="O9579" s="1290">
        <f>G9579*M9579</f>
        <v>7.6920000000000002</v>
      </c>
      <c r="P9579" s="1332">
        <f>M9579*K9579</f>
        <v>7.1277148800000001</v>
      </c>
      <c r="Q9579" s="3391"/>
    </row>
    <row r="9580" spans="1:19">
      <c r="B9580" s="1042"/>
      <c r="C9580" s="88"/>
      <c r="D9580" s="1898" t="s">
        <v>1067</v>
      </c>
      <c r="E9580" s="1857" t="s">
        <v>1508</v>
      </c>
      <c r="F9580" s="1403" t="s">
        <v>5</v>
      </c>
      <c r="G9580" s="1991">
        <v>0.05</v>
      </c>
      <c r="H9580" s="1408"/>
      <c r="I9580" s="1286"/>
      <c r="J9580" s="198"/>
      <c r="K9580" s="1307">
        <f>G9580*$K$9126</f>
        <v>4.6331999999999998E-2</v>
      </c>
      <c r="L9580" s="1335">
        <f>K9580*$K$9346</f>
        <v>0</v>
      </c>
      <c r="M9580" s="1302">
        <v>18.28</v>
      </c>
      <c r="N9580" s="1718"/>
      <c r="O9580" s="1290">
        <f>G9580*M9580</f>
        <v>0.91400000000000015</v>
      </c>
      <c r="P9580" s="1332">
        <f>M9580*K9580</f>
        <v>0.84694895999999997</v>
      </c>
      <c r="Q9580" s="3391"/>
      <c r="R9580" s="2337"/>
    </row>
    <row r="9581" spans="1:19">
      <c r="B9581" s="1042"/>
      <c r="C9581" s="88"/>
      <c r="D9581" s="1430"/>
      <c r="E9581" s="1857"/>
      <c r="F9581" s="1403"/>
      <c r="G9581" s="1991"/>
      <c r="H9581" s="1408"/>
      <c r="I9581" s="197"/>
      <c r="J9581" s="198"/>
      <c r="K9581" s="1307"/>
      <c r="L9581" s="1335"/>
      <c r="M9581" s="1302"/>
      <c r="N9581" s="1718"/>
      <c r="O9581" s="1290"/>
      <c r="P9581" s="1332"/>
      <c r="Q9581" s="3391"/>
      <c r="R9581" s="2337"/>
    </row>
    <row r="9582" spans="1:19">
      <c r="B9582" s="1320"/>
      <c r="C9582" s="595"/>
      <c r="D9582" s="1359"/>
      <c r="E9582" s="1858"/>
      <c r="F9582" s="1361"/>
      <c r="G9582" s="1361"/>
      <c r="H9582" s="1466"/>
      <c r="I9582" s="1299"/>
      <c r="J9582" s="1300"/>
      <c r="K9582" s="1307"/>
      <c r="L9582" s="1335"/>
      <c r="M9582" s="1302"/>
      <c r="N9582" s="1700"/>
      <c r="O9582" s="1290"/>
      <c r="P9582" s="1332"/>
      <c r="Q9582" s="3391"/>
      <c r="R9582" s="1296"/>
    </row>
    <row r="9583" spans="1:19">
      <c r="A9583" s="1320"/>
      <c r="B9583" s="22"/>
      <c r="C9583" s="1320"/>
      <c r="D9583" s="1373"/>
      <c r="E9583" s="2123"/>
      <c r="F9583" s="1374" t="s">
        <v>3</v>
      </c>
      <c r="G9583" s="1375"/>
      <c r="H9583" s="1376"/>
      <c r="I9583" s="1382"/>
      <c r="J9583" s="1383"/>
      <c r="K9583" s="1383"/>
      <c r="L9583" s="1413"/>
      <c r="M9583" s="1376"/>
      <c r="N9583" s="1376"/>
      <c r="O9583" s="1376"/>
      <c r="P9583" s="1373"/>
      <c r="Q9583" s="3387"/>
    </row>
    <row r="9584" spans="1:19">
      <c r="A9584" s="1321"/>
      <c r="B9584" s="1295"/>
      <c r="C9584" s="1321"/>
      <c r="D9584" s="1377"/>
      <c r="E9584" s="2124"/>
      <c r="F9584" s="1378"/>
      <c r="G9584" s="1378"/>
      <c r="H9584" s="1379"/>
      <c r="I9584" s="1299"/>
      <c r="J9584" s="1300"/>
      <c r="K9584" s="1307"/>
      <c r="L9584" s="1335"/>
      <c r="M9584" s="1302"/>
      <c r="N9584" s="1700"/>
      <c r="O9584" s="1290"/>
      <c r="P9584" s="1332"/>
      <c r="Q9584" s="3391"/>
    </row>
    <row r="9585" spans="1:18">
      <c r="A9585" s="1321"/>
      <c r="B9585" s="1295"/>
      <c r="C9585" s="1321"/>
      <c r="D9585" s="1377"/>
      <c r="E9585" s="2124"/>
      <c r="F9585" s="1378"/>
      <c r="G9585" s="1378"/>
      <c r="H9585" s="1379"/>
      <c r="I9585" s="1299"/>
      <c r="J9585" s="1300"/>
      <c r="K9585" s="1307"/>
      <c r="L9585" s="1335"/>
      <c r="M9585" s="1302"/>
      <c r="N9585" s="1700"/>
      <c r="O9585" s="1290"/>
      <c r="P9585" s="1333"/>
      <c r="Q9585" s="3391"/>
    </row>
    <row r="9586" spans="1:18">
      <c r="A9586" s="1042"/>
      <c r="B9586" s="22"/>
      <c r="C9586" s="1042"/>
      <c r="D9586" s="1677"/>
      <c r="E9586" s="2161"/>
      <c r="F9586" s="1678"/>
      <c r="G9586" s="1678"/>
      <c r="H9586" s="1376"/>
      <c r="I9586" s="1299"/>
      <c r="J9586" s="1300"/>
      <c r="K9586" s="1307"/>
      <c r="L9586" s="1335"/>
      <c r="M9586" s="1302"/>
      <c r="N9586" s="1700"/>
      <c r="O9586" s="1290"/>
      <c r="P9586" s="1332"/>
      <c r="Q9586" s="3391"/>
    </row>
    <row r="9587" spans="1:18">
      <c r="A9587" s="18" t="s">
        <v>3764</v>
      </c>
      <c r="B9587" s="4325" t="s">
        <v>3635</v>
      </c>
      <c r="C9587" s="3805"/>
      <c r="D9587" s="4327"/>
      <c r="E9587" s="4329" t="s">
        <v>1507</v>
      </c>
      <c r="F9587" s="4372" t="s">
        <v>3636</v>
      </c>
      <c r="G9587" s="4331" t="s">
        <v>1568</v>
      </c>
      <c r="H9587" s="4331" t="s">
        <v>1574</v>
      </c>
      <c r="I9587" s="1572" t="s">
        <v>1559</v>
      </c>
      <c r="J9587" s="1294" t="s">
        <v>1560</v>
      </c>
      <c r="K9587" s="1294" t="s">
        <v>1569</v>
      </c>
      <c r="L9587" s="4333" t="s">
        <v>3765</v>
      </c>
      <c r="M9587" s="4335" t="s">
        <v>1571</v>
      </c>
      <c r="N9587" s="4323" t="s">
        <v>1776</v>
      </c>
      <c r="O9587" s="3804" t="s">
        <v>1563</v>
      </c>
      <c r="P9587" s="1336" t="s">
        <v>1562</v>
      </c>
      <c r="Q9587" s="3389"/>
      <c r="R9587" s="1699" t="s">
        <v>1327</v>
      </c>
    </row>
    <row r="9588" spans="1:18">
      <c r="A9588" s="1662" t="s">
        <v>3643</v>
      </c>
      <c r="B9588" s="4326"/>
      <c r="C9588" s="3806"/>
      <c r="D9588" s="4328"/>
      <c r="E9588" s="4330"/>
      <c r="F9588" s="4363"/>
      <c r="G9588" s="4332"/>
      <c r="H9588" s="4332"/>
      <c r="I9588" s="3814">
        <v>24.23</v>
      </c>
      <c r="J9588" s="3815">
        <v>2.1999999999999999E-2</v>
      </c>
      <c r="K9588" s="1297">
        <f>I9588*J9588</f>
        <v>0.53305999999999998</v>
      </c>
      <c r="L9588" s="4334"/>
      <c r="M9588" s="4335"/>
      <c r="N9588" s="4324"/>
      <c r="O9588" s="1298">
        <f>O9590+O9591+O9595</f>
        <v>102.7355</v>
      </c>
      <c r="P9588" s="1337">
        <f>O9588*K9588</f>
        <v>54.76418563</v>
      </c>
      <c r="Q9588" s="3390"/>
      <c r="R9588" s="1721">
        <f>P9590+P9591+P9595</f>
        <v>54.764185629999993</v>
      </c>
    </row>
    <row r="9589" spans="1:18">
      <c r="A9589" s="1320"/>
      <c r="B9589" s="1599"/>
      <c r="C9589" s="1327"/>
      <c r="D9589" s="1367"/>
      <c r="E9589" s="2121"/>
      <c r="F9589" s="1389" t="s">
        <v>1</v>
      </c>
      <c r="G9589" s="1389"/>
      <c r="H9589" s="1369"/>
      <c r="I9589" s="1409"/>
      <c r="J9589" s="1390"/>
      <c r="K9589" s="1391"/>
      <c r="L9589" s="1559"/>
      <c r="M9589" s="1369"/>
      <c r="N9589" s="1369"/>
      <c r="O9589" s="1369"/>
      <c r="P9589" s="1392"/>
      <c r="Q9589" s="3395"/>
    </row>
    <row r="9590" spans="1:18">
      <c r="A9590" s="1042"/>
      <c r="B9590" s="1599" t="s">
        <v>3630</v>
      </c>
      <c r="C9590" s="1042"/>
      <c r="D9590" s="3831" t="s">
        <v>2080</v>
      </c>
      <c r="E9590" s="2154" t="s">
        <v>1507</v>
      </c>
      <c r="F9590" s="3828" t="s">
        <v>3637</v>
      </c>
      <c r="G9590" s="1612">
        <v>1</v>
      </c>
      <c r="H9590" s="1674"/>
      <c r="I9590" s="1299"/>
      <c r="J9590" s="1300"/>
      <c r="K9590" s="1307">
        <f>G9590*K9588</f>
        <v>0.53305999999999998</v>
      </c>
      <c r="L9590" s="1335">
        <f t="shared" ref="L9590:L9591" si="1264">K9590*$K$9072</f>
        <v>0</v>
      </c>
      <c r="M9590" s="3832">
        <v>85.19</v>
      </c>
      <c r="N9590" s="1700"/>
      <c r="O9590" s="1290">
        <f>G9590*M9590</f>
        <v>85.19</v>
      </c>
      <c r="P9590" s="1332">
        <f>M9590*K9590</f>
        <v>45.411381399999996</v>
      </c>
      <c r="Q9590" s="3391"/>
    </row>
    <row r="9591" spans="1:18">
      <c r="A9591" s="1320"/>
      <c r="B9591" s="553"/>
      <c r="C9591" s="1042"/>
      <c r="D9591" s="1610" t="s">
        <v>2082</v>
      </c>
      <c r="E9591" s="2154" t="s">
        <v>1527</v>
      </c>
      <c r="F9591" s="1598" t="s">
        <v>2083</v>
      </c>
      <c r="G9591" s="1612">
        <v>3</v>
      </c>
      <c r="H9591" s="1674"/>
      <c r="I9591" s="1299"/>
      <c r="J9591" s="1300"/>
      <c r="K9591" s="1307">
        <f>G9591*K9588</f>
        <v>1.59918</v>
      </c>
      <c r="L9591" s="1335">
        <f t="shared" si="1264"/>
        <v>0</v>
      </c>
      <c r="M9591" s="1302">
        <v>0.4</v>
      </c>
      <c r="N9591" s="1700"/>
      <c r="O9591" s="1290">
        <f>G9591*M9591</f>
        <v>1.2000000000000002</v>
      </c>
      <c r="P9591" s="1332">
        <f>M9591*K9591</f>
        <v>0.63967200000000002</v>
      </c>
      <c r="Q9591" s="3391"/>
      <c r="R9591" s="2337"/>
    </row>
    <row r="9592" spans="1:18">
      <c r="A9592" s="1320"/>
      <c r="B9592" s="1042"/>
      <c r="C9592" s="1320"/>
      <c r="D9592" s="1598"/>
      <c r="E9592" s="2154"/>
      <c r="F9592" s="1598"/>
      <c r="G9592" s="1612"/>
      <c r="H9592" s="1399"/>
      <c r="I9592" s="197"/>
      <c r="J9592" s="198"/>
      <c r="K9592" s="1307"/>
      <c r="L9592" s="1335"/>
      <c r="M9592" s="1302"/>
      <c r="N9592" s="1718"/>
      <c r="O9592" s="1290"/>
      <c r="P9592" s="1332"/>
      <c r="Q9592" s="3391"/>
      <c r="R9592" s="2337"/>
    </row>
    <row r="9593" spans="1:18">
      <c r="A9593" s="1042"/>
      <c r="B9593" s="1599"/>
      <c r="C9593" s="1042"/>
      <c r="D9593" s="1367"/>
      <c r="E9593" s="2121"/>
      <c r="F9593" s="1436"/>
      <c r="G9593" s="1436"/>
      <c r="H9593" s="1369"/>
      <c r="I9593" s="1299"/>
      <c r="J9593" s="1300"/>
      <c r="K9593" s="1307"/>
      <c r="L9593" s="1335"/>
      <c r="M9593" s="1302"/>
      <c r="N9593" s="1700"/>
      <c r="O9593" s="1290"/>
      <c r="P9593" s="1332"/>
      <c r="Q9593" s="3391"/>
    </row>
    <row r="9594" spans="1:18">
      <c r="A9594" s="1042"/>
      <c r="B9594" s="1599"/>
      <c r="C9594" s="1042"/>
      <c r="D9594" s="1359"/>
      <c r="E9594" s="1858"/>
      <c r="F9594" s="1360" t="s">
        <v>2</v>
      </c>
      <c r="G9594" s="1360"/>
      <c r="H9594" s="1362"/>
      <c r="I9594" s="1380"/>
      <c r="J9594" s="1381"/>
      <c r="K9594" s="1381"/>
      <c r="L9594" s="1458"/>
      <c r="M9594" s="1362"/>
      <c r="N9594" s="1362"/>
      <c r="O9594" s="1362"/>
      <c r="P9594" s="1359"/>
      <c r="Q9594" s="3387"/>
    </row>
    <row r="9595" spans="1:18">
      <c r="A9595" s="1321"/>
      <c r="B9595" s="2053"/>
      <c r="C9595" s="1321"/>
      <c r="D9595" s="1363" t="s">
        <v>1205</v>
      </c>
      <c r="E9595" s="2125" t="s">
        <v>1508</v>
      </c>
      <c r="F9595" s="1403" t="s">
        <v>151</v>
      </c>
      <c r="G9595" s="1408">
        <v>0.85</v>
      </c>
      <c r="H9595" s="2019"/>
      <c r="I9595" s="1299"/>
      <c r="J9595" s="1300"/>
      <c r="K9595" s="1307">
        <f>G9595*K9588</f>
        <v>0.45310099999999998</v>
      </c>
      <c r="L9595" s="1335">
        <f>K9595*$K$9072</f>
        <v>0</v>
      </c>
      <c r="M9595" s="1302">
        <v>19.23</v>
      </c>
      <c r="N9595" s="1700"/>
      <c r="O9595" s="1290">
        <f>G9595*M9595</f>
        <v>16.345500000000001</v>
      </c>
      <c r="P9595" s="1332">
        <f>M9595*K9595</f>
        <v>8.7131322299999994</v>
      </c>
      <c r="Q9595" s="3391"/>
    </row>
    <row r="9596" spans="1:18">
      <c r="A9596" s="1042"/>
      <c r="B9596" s="1042"/>
      <c r="C9596" s="88"/>
      <c r="D9596" s="1430"/>
      <c r="E9596" s="1857"/>
      <c r="F9596" s="1403"/>
      <c r="G9596" s="1991"/>
      <c r="H9596" s="1408"/>
      <c r="I9596" s="197"/>
      <c r="J9596" s="198"/>
      <c r="K9596" s="1307"/>
      <c r="L9596" s="1335"/>
      <c r="M9596" s="1302"/>
      <c r="N9596" s="1718"/>
      <c r="O9596" s="1290"/>
      <c r="P9596" s="1332"/>
      <c r="Q9596" s="3391"/>
      <c r="R9596" s="2337"/>
    </row>
    <row r="9597" spans="1:18">
      <c r="A9597" s="1042"/>
      <c r="B9597" s="1320"/>
      <c r="C9597" s="595"/>
      <c r="D9597" s="1359"/>
      <c r="E9597" s="1858"/>
      <c r="F9597" s="1361"/>
      <c r="G9597" s="1361"/>
      <c r="H9597" s="1466"/>
      <c r="I9597" s="1299"/>
      <c r="J9597" s="1300"/>
      <c r="K9597" s="1307"/>
      <c r="L9597" s="1335"/>
      <c r="M9597" s="1302"/>
      <c r="N9597" s="1700"/>
      <c r="O9597" s="1290"/>
      <c r="P9597" s="1332"/>
      <c r="Q9597" s="3391"/>
      <c r="R9597" s="2337"/>
    </row>
    <row r="9598" spans="1:18">
      <c r="A9598" s="1320"/>
      <c r="B9598" s="1599"/>
      <c r="C9598" s="1320"/>
      <c r="D9598" s="1373"/>
      <c r="E9598" s="2123"/>
      <c r="F9598" s="1374" t="s">
        <v>3</v>
      </c>
      <c r="G9598" s="1375"/>
      <c r="H9598" s="1376"/>
      <c r="I9598" s="1382"/>
      <c r="J9598" s="1383"/>
      <c r="K9598" s="1383"/>
      <c r="L9598" s="1413"/>
      <c r="M9598" s="1376"/>
      <c r="N9598" s="1376"/>
      <c r="O9598" s="1376"/>
      <c r="P9598" s="1373"/>
      <c r="Q9598" s="3387"/>
    </row>
    <row r="9599" spans="1:18">
      <c r="A9599" s="1321"/>
      <c r="B9599" s="2053"/>
      <c r="C9599" s="1321"/>
      <c r="D9599" s="1377"/>
      <c r="E9599" s="2124"/>
      <c r="F9599" s="1378"/>
      <c r="G9599" s="1378"/>
      <c r="H9599" s="1379"/>
      <c r="I9599" s="1299"/>
      <c r="J9599" s="1300"/>
      <c r="K9599" s="1307"/>
      <c r="L9599" s="1335"/>
      <c r="M9599" s="1302"/>
      <c r="N9599" s="1700"/>
      <c r="O9599" s="1290"/>
      <c r="P9599" s="1332"/>
      <c r="Q9599" s="3391"/>
    </row>
    <row r="9600" spans="1:18">
      <c r="A9600" s="1321"/>
      <c r="B9600" s="2053"/>
      <c r="C9600" s="1321"/>
      <c r="D9600" s="1377"/>
      <c r="E9600" s="2124"/>
      <c r="F9600" s="1378"/>
      <c r="G9600" s="1378"/>
      <c r="H9600" s="1379"/>
      <c r="I9600" s="1299"/>
      <c r="J9600" s="1300"/>
      <c r="K9600" s="1307"/>
      <c r="L9600" s="1335"/>
      <c r="M9600" s="1302"/>
      <c r="N9600" s="1700"/>
      <c r="O9600" s="1290"/>
      <c r="P9600" s="1333"/>
      <c r="Q9600" s="3391"/>
    </row>
    <row r="9601" spans="1:18">
      <c r="A9601" s="223"/>
      <c r="B9601" s="1765"/>
      <c r="C9601" s="223"/>
      <c r="D9601" s="1373"/>
      <c r="E9601" s="2161"/>
      <c r="F9601" s="1678"/>
      <c r="G9601" s="1678"/>
      <c r="H9601" s="1376"/>
      <c r="I9601" s="1299"/>
      <c r="J9601" s="1300"/>
      <c r="K9601" s="1307"/>
      <c r="L9601" s="1335"/>
      <c r="M9601" s="1302"/>
      <c r="N9601" s="1700"/>
      <c r="O9601" s="1290"/>
      <c r="P9601" s="1332"/>
      <c r="Q9601" s="3391"/>
    </row>
    <row r="9604" spans="1:18">
      <c r="A9604" s="4391" t="s">
        <v>145</v>
      </c>
      <c r="B9604" s="4392"/>
      <c r="C9604" s="4392"/>
      <c r="D9604" s="4392"/>
      <c r="E9604" s="1303" t="s">
        <v>1507</v>
      </c>
      <c r="F9604" s="1305" t="s">
        <v>1039</v>
      </c>
      <c r="G9604" s="1288"/>
      <c r="H9604" s="1288"/>
      <c r="I9604" s="1557"/>
      <c r="J9604" s="1288"/>
      <c r="K9604" s="1288"/>
      <c r="L9604" s="1557"/>
      <c r="M9604" s="1288"/>
      <c r="N9604" s="1288"/>
      <c r="O9604" s="1288"/>
      <c r="P9604" s="1283"/>
      <c r="Q9604" s="3386"/>
    </row>
    <row r="9605" spans="1:18">
      <c r="A9605" s="1304"/>
      <c r="B9605" s="1304"/>
      <c r="C9605" s="1304"/>
      <c r="D9605" s="1304"/>
      <c r="E9605" s="1304"/>
      <c r="F9605" s="1296"/>
      <c r="G9605" s="1296"/>
      <c r="H9605" s="1296"/>
      <c r="I9605" s="1558"/>
      <c r="J9605" s="1296"/>
      <c r="K9605" s="1296"/>
      <c r="L9605" s="1558"/>
      <c r="M9605" s="1296"/>
      <c r="N9605" s="1296"/>
      <c r="O9605" s="1296"/>
      <c r="P9605" s="1296"/>
      <c r="Q9605" s="3386"/>
    </row>
    <row r="9606" spans="1:18">
      <c r="A9606" s="4393" t="s">
        <v>162</v>
      </c>
      <c r="B9606" s="4394"/>
      <c r="C9606" s="4394"/>
      <c r="D9606" s="4395"/>
      <c r="E9606" s="4396" t="s">
        <v>1549</v>
      </c>
      <c r="F9606" s="4397" t="s">
        <v>1550</v>
      </c>
      <c r="G9606" s="4399" t="s">
        <v>1566</v>
      </c>
      <c r="H9606" s="4400"/>
      <c r="I9606" s="4400"/>
      <c r="J9606" s="4400"/>
      <c r="K9606" s="4400"/>
      <c r="L9606" s="4401"/>
      <c r="M9606" s="4405" t="s">
        <v>1567</v>
      </c>
      <c r="N9606" s="4405"/>
      <c r="O9606" s="4405"/>
      <c r="P9606" s="4405"/>
      <c r="Q9606" s="3395"/>
    </row>
    <row r="9607" spans="1:18" ht="15" thickBot="1">
      <c r="A9607" s="1324" t="s">
        <v>3766</v>
      </c>
      <c r="B9607" s="1325" t="s">
        <v>1513</v>
      </c>
      <c r="C9607" s="1326" t="s">
        <v>1573</v>
      </c>
      <c r="D9607" s="1323" t="s">
        <v>1514</v>
      </c>
      <c r="E9607" s="4396"/>
      <c r="F9607" s="4398"/>
      <c r="G9607" s="4402"/>
      <c r="H9607" s="4403"/>
      <c r="I9607" s="4403"/>
      <c r="J9607" s="4403"/>
      <c r="K9607" s="4403"/>
      <c r="L9607" s="4404"/>
      <c r="M9607" s="4405"/>
      <c r="N9607" s="4405"/>
      <c r="O9607" s="4405"/>
      <c r="P9607" s="4405"/>
      <c r="Q9607" s="3395"/>
    </row>
    <row r="9608" spans="1:18" ht="34.5" customHeight="1">
      <c r="A9608" s="4374" t="s">
        <v>2098</v>
      </c>
      <c r="B9608" s="4375"/>
      <c r="C9608" s="4375"/>
      <c r="D9608" s="4376"/>
      <c r="E9608" s="4380" t="s">
        <v>1507</v>
      </c>
      <c r="F9608" s="4382" t="s">
        <v>2100</v>
      </c>
      <c r="G9608" s="4406" t="s">
        <v>294</v>
      </c>
      <c r="H9608" s="4407"/>
      <c r="I9608" s="1665" t="s">
        <v>1565</v>
      </c>
      <c r="J9608" s="3348" t="s">
        <v>1575</v>
      </c>
      <c r="K9608" s="4406" t="s">
        <v>289</v>
      </c>
      <c r="L9608" s="4407"/>
      <c r="M9608" s="4408" t="s">
        <v>3349</v>
      </c>
      <c r="N9608" s="4408"/>
      <c r="O9608" s="4408"/>
      <c r="P9608" s="4409"/>
      <c r="Q9608" s="4244" t="s">
        <v>3976</v>
      </c>
    </row>
    <row r="9609" spans="1:18" ht="23.25" customHeight="1" thickBot="1">
      <c r="A9609" s="4377"/>
      <c r="B9609" s="4378"/>
      <c r="C9609" s="4378"/>
      <c r="D9609" s="4379"/>
      <c r="E9609" s="4381"/>
      <c r="F9609" s="4383"/>
      <c r="G9609" s="4410">
        <f>IF('Seleccion proyecto HEREVEA02'!G66="Desmontado y reutilización",'Seleccion proyecto HEREVEA02'!E65,0)</f>
        <v>0</v>
      </c>
      <c r="H9609" s="4411"/>
      <c r="I9609" s="3353">
        <f>IF('Seleccion proyecto HEREVEA02'!H66=0,0,IF('Seleccion proyecto HEREVEA02'!H66="1 a 30",0.3,IF('Seleccion proyecto HEREVEA02'!H66="31 a 60",0.6,IF('Seleccion proyecto HEREVEA02'!H66="61 a 100",0))))</f>
        <v>0</v>
      </c>
      <c r="J9609" s="1351">
        <f>'Seleccion proyecto HEREVEA02'!L8</f>
        <v>11100.968999999999</v>
      </c>
      <c r="K9609" s="4412">
        <f>G9609*I9609*J9609</f>
        <v>0</v>
      </c>
      <c r="L9609" s="4413"/>
      <c r="M9609" s="4360">
        <f>P9611+P9625+P9640+P9657+P9673</f>
        <v>776.78033000000016</v>
      </c>
      <c r="N9609" s="4361"/>
      <c r="O9609" s="4361"/>
      <c r="P9609" s="4362"/>
      <c r="Q9609" s="4245">
        <f>M9609*K9609</f>
        <v>0</v>
      </c>
    </row>
    <row r="9610" spans="1:18">
      <c r="A9610" s="18" t="s">
        <v>3764</v>
      </c>
      <c r="B9610" s="4325" t="s">
        <v>2099</v>
      </c>
      <c r="C9610" s="3354"/>
      <c r="D9610" s="4327"/>
      <c r="E9610" s="4329" t="s">
        <v>1507</v>
      </c>
      <c r="F9610" s="4336" t="s">
        <v>2101</v>
      </c>
      <c r="G9610" s="4331" t="s">
        <v>1568</v>
      </c>
      <c r="H9610" s="4331" t="s">
        <v>1574</v>
      </c>
      <c r="I9610" s="1572" t="s">
        <v>1559</v>
      </c>
      <c r="J9610" s="1294" t="s">
        <v>1560</v>
      </c>
      <c r="K9610" s="1294" t="s">
        <v>1569</v>
      </c>
      <c r="L9610" s="4333" t="s">
        <v>3765</v>
      </c>
      <c r="M9610" s="4335" t="s">
        <v>1571</v>
      </c>
      <c r="N9610" s="4323" t="s">
        <v>1776</v>
      </c>
      <c r="O9610" s="3347" t="s">
        <v>1563</v>
      </c>
      <c r="P9610" s="1336" t="s">
        <v>1562</v>
      </c>
      <c r="Q9610" s="3389"/>
      <c r="R9610" s="1699" t="s">
        <v>1327</v>
      </c>
    </row>
    <row r="9611" spans="1:18">
      <c r="A9611" s="1662" t="s">
        <v>2098</v>
      </c>
      <c r="B9611" s="4326"/>
      <c r="C9611" s="3351"/>
      <c r="D9611" s="4328"/>
      <c r="E9611" s="4330"/>
      <c r="F9611" s="4336"/>
      <c r="G9611" s="4332"/>
      <c r="H9611" s="4332"/>
      <c r="I9611" s="1345">
        <v>1</v>
      </c>
      <c r="J9611" s="1307">
        <v>1</v>
      </c>
      <c r="K9611" s="1297">
        <f>I9611*J9611</f>
        <v>1</v>
      </c>
      <c r="L9611" s="4334"/>
      <c r="M9611" s="4335"/>
      <c r="N9611" s="4324"/>
      <c r="O9611" s="1298">
        <f>SUM(O9613:O9623)</f>
        <v>18.846679999999999</v>
      </c>
      <c r="P9611" s="1337">
        <f>O9611*K9611</f>
        <v>18.846679999999999</v>
      </c>
      <c r="Q9611" s="3390"/>
      <c r="R9611" s="1721">
        <f>P9617</f>
        <v>18.846679999999999</v>
      </c>
    </row>
    <row r="9612" spans="1:18">
      <c r="A9612" s="1320"/>
      <c r="B9612" s="22"/>
      <c r="C9612" s="1327"/>
      <c r="D9612" s="1367"/>
      <c r="E9612" s="2121"/>
      <c r="F9612" s="1389" t="s">
        <v>1</v>
      </c>
      <c r="G9612" s="1389"/>
      <c r="H9612" s="1369"/>
      <c r="I9612" s="1409"/>
      <c r="J9612" s="1390"/>
      <c r="K9612" s="1391"/>
      <c r="L9612" s="1559"/>
      <c r="M9612" s="1369"/>
      <c r="N9612" s="1369"/>
      <c r="O9612" s="1369"/>
      <c r="P9612" s="1392"/>
      <c r="Q9612" s="3395"/>
    </row>
    <row r="9613" spans="1:18">
      <c r="A9613" s="1042"/>
      <c r="B9613" s="22"/>
      <c r="C9613" s="1042"/>
      <c r="D9613" s="1672"/>
      <c r="E9613" s="2160"/>
      <c r="F9613" s="1675"/>
      <c r="G9613" s="1675"/>
      <c r="H9613" s="1674"/>
      <c r="I9613" s="1299"/>
      <c r="J9613" s="1300"/>
      <c r="K9613" s="1307"/>
      <c r="L9613" s="1335"/>
      <c r="M9613" s="1302"/>
      <c r="N9613" s="1700"/>
      <c r="O9613" s="1290"/>
      <c r="P9613" s="1332"/>
      <c r="Q9613" s="3391"/>
    </row>
    <row r="9614" spans="1:18">
      <c r="A9614" s="1042"/>
      <c r="B9614" s="22"/>
      <c r="C9614" s="1042"/>
      <c r="D9614" s="1367"/>
      <c r="E9614" s="2121"/>
      <c r="F9614" s="1436"/>
      <c r="G9614" s="1436"/>
      <c r="H9614" s="1369"/>
      <c r="I9614" s="1299"/>
      <c r="J9614" s="1300"/>
      <c r="K9614" s="1307"/>
      <c r="L9614" s="1335"/>
      <c r="M9614" s="1302"/>
      <c r="N9614" s="1700"/>
      <c r="O9614" s="1290"/>
      <c r="P9614" s="1332"/>
      <c r="Q9614" s="3391"/>
    </row>
    <row r="9615" spans="1:18">
      <c r="A9615" s="1042"/>
      <c r="B9615" s="22"/>
      <c r="C9615" s="1042"/>
      <c r="D9615" s="1367"/>
      <c r="E9615" s="2121"/>
      <c r="F9615" s="1436"/>
      <c r="G9615" s="1436"/>
      <c r="H9615" s="1369"/>
      <c r="I9615" s="1299"/>
      <c r="J9615" s="1300"/>
      <c r="K9615" s="1307"/>
      <c r="L9615" s="1335"/>
      <c r="M9615" s="1302"/>
      <c r="N9615" s="1700"/>
      <c r="O9615" s="1290"/>
      <c r="P9615" s="1332"/>
      <c r="Q9615" s="3391"/>
    </row>
    <row r="9616" spans="1:18">
      <c r="A9616" s="1042"/>
      <c r="B9616" s="22"/>
      <c r="C9616" s="1042"/>
      <c r="D9616" s="1359"/>
      <c r="E9616" s="1858"/>
      <c r="F9616" s="1360" t="s">
        <v>2</v>
      </c>
      <c r="G9616" s="1360"/>
      <c r="H9616" s="1362"/>
      <c r="I9616" s="1380"/>
      <c r="J9616" s="1381"/>
      <c r="K9616" s="1381"/>
      <c r="L9616" s="1458" t="str">
        <f>IF(COUNT(K9615)=0,"",IF(#REF!="","",(K9615*#REF!)))</f>
        <v/>
      </c>
      <c r="M9616" s="1362"/>
      <c r="N9616" s="1362"/>
      <c r="O9616" s="1362"/>
      <c r="P9616" s="1359"/>
      <c r="Q9616" s="3387"/>
    </row>
    <row r="9617" spans="1:18">
      <c r="A9617" s="1321"/>
      <c r="B9617" s="1295"/>
      <c r="C9617" s="1321"/>
      <c r="D9617" s="1363" t="s">
        <v>1067</v>
      </c>
      <c r="E9617" s="2125" t="s">
        <v>1508</v>
      </c>
      <c r="F9617" s="1385" t="s">
        <v>1512</v>
      </c>
      <c r="G9617" s="2019">
        <v>1.0309999999999999</v>
      </c>
      <c r="H9617" s="1386"/>
      <c r="I9617" s="1299"/>
      <c r="J9617" s="1300"/>
      <c r="K9617" s="1307">
        <f>G9617*K9611</f>
        <v>1.0309999999999999</v>
      </c>
      <c r="L9617" s="1335">
        <f>K9617*$K$9609</f>
        <v>0</v>
      </c>
      <c r="M9617" s="1302">
        <v>18.28</v>
      </c>
      <c r="N9617" s="1700"/>
      <c r="O9617" s="1290">
        <f>G9617*M9617</f>
        <v>18.846679999999999</v>
      </c>
      <c r="P9617" s="1332">
        <f>M9617*K9617</f>
        <v>18.846679999999999</v>
      </c>
      <c r="Q9617" s="3391"/>
    </row>
    <row r="9618" spans="1:18">
      <c r="A9618" s="1320"/>
      <c r="B9618" s="22"/>
      <c r="C9618" s="1320"/>
      <c r="D9618" s="1359"/>
      <c r="E9618" s="1858"/>
      <c r="F9618" s="1404"/>
      <c r="G9618" s="1404"/>
      <c r="H9618" s="1359"/>
      <c r="I9618" s="1299"/>
      <c r="J9618" s="1300"/>
      <c r="K9618" s="1307"/>
      <c r="L9618" s="1335"/>
      <c r="M9618" s="1302"/>
      <c r="N9618" s="1700"/>
      <c r="O9618" s="1290"/>
      <c r="P9618" s="1332"/>
      <c r="Q9618" s="3391"/>
    </row>
    <row r="9619" spans="1:18">
      <c r="A9619" s="1320"/>
      <c r="B9619" s="22"/>
      <c r="C9619" s="1320"/>
      <c r="D9619" s="1359"/>
      <c r="E9619" s="1858"/>
      <c r="F9619" s="1361"/>
      <c r="G9619" s="1361"/>
      <c r="H9619" s="1466"/>
      <c r="I9619" s="1299"/>
      <c r="J9619" s="1300"/>
      <c r="K9619" s="1307"/>
      <c r="L9619" s="1335"/>
      <c r="M9619" s="1302"/>
      <c r="N9619" s="1700"/>
      <c r="O9619" s="1290"/>
      <c r="P9619" s="1332"/>
      <c r="Q9619" s="3391"/>
    </row>
    <row r="9620" spans="1:18">
      <c r="A9620" s="1320"/>
      <c r="B9620" s="22"/>
      <c r="C9620" s="1320"/>
      <c r="D9620" s="1373"/>
      <c r="E9620" s="2123"/>
      <c r="F9620" s="1374" t="s">
        <v>3</v>
      </c>
      <c r="G9620" s="1375"/>
      <c r="H9620" s="1376"/>
      <c r="I9620" s="1382"/>
      <c r="J9620" s="1383"/>
      <c r="K9620" s="1383"/>
      <c r="L9620" s="1413"/>
      <c r="M9620" s="1376"/>
      <c r="N9620" s="1376"/>
      <c r="O9620" s="1376"/>
      <c r="P9620" s="1373"/>
      <c r="Q9620" s="3387"/>
    </row>
    <row r="9621" spans="1:18">
      <c r="A9621" s="1321"/>
      <c r="B9621" s="1295"/>
      <c r="C9621" s="1321"/>
      <c r="D9621" s="1377"/>
      <c r="E9621" s="2124"/>
      <c r="F9621" s="1378"/>
      <c r="G9621" s="1378"/>
      <c r="H9621" s="1379"/>
      <c r="I9621" s="1299"/>
      <c r="J9621" s="1300"/>
      <c r="K9621" s="1307"/>
      <c r="L9621" s="1335"/>
      <c r="M9621" s="1302"/>
      <c r="N9621" s="1700"/>
      <c r="O9621" s="1290"/>
      <c r="P9621" s="1332"/>
      <c r="Q9621" s="3391"/>
    </row>
    <row r="9622" spans="1:18">
      <c r="A9622" s="1321"/>
      <c r="B9622" s="1295"/>
      <c r="C9622" s="1321"/>
      <c r="D9622" s="1377"/>
      <c r="E9622" s="2124"/>
      <c r="F9622" s="1378"/>
      <c r="G9622" s="1378"/>
      <c r="H9622" s="1379"/>
      <c r="I9622" s="1299"/>
      <c r="J9622" s="1300"/>
      <c r="K9622" s="1307"/>
      <c r="L9622" s="1335"/>
      <c r="M9622" s="1302"/>
      <c r="N9622" s="1700"/>
      <c r="O9622" s="1290"/>
      <c r="P9622" s="1333"/>
      <c r="Q9622" s="3391"/>
    </row>
    <row r="9623" spans="1:18">
      <c r="A9623" s="1042"/>
      <c r="B9623" s="22"/>
      <c r="C9623" s="1042"/>
      <c r="D9623" s="1677"/>
      <c r="E9623" s="2161"/>
      <c r="F9623" s="1678"/>
      <c r="G9623" s="1678"/>
      <c r="H9623" s="1376"/>
      <c r="I9623" s="1299"/>
      <c r="J9623" s="1300"/>
      <c r="K9623" s="1307"/>
      <c r="L9623" s="1335"/>
      <c r="M9623" s="1302"/>
      <c r="N9623" s="1700"/>
      <c r="O9623" s="1290"/>
      <c r="P9623" s="1332"/>
      <c r="Q9623" s="3391"/>
    </row>
    <row r="9624" spans="1:18">
      <c r="A9624" s="18" t="s">
        <v>3764</v>
      </c>
      <c r="B9624" s="4325" t="s">
        <v>2114</v>
      </c>
      <c r="C9624" s="3350"/>
      <c r="D9624" s="4327"/>
      <c r="E9624" s="4329" t="s">
        <v>1504</v>
      </c>
      <c r="F9624" s="4336" t="s">
        <v>2115</v>
      </c>
      <c r="G9624" s="4331" t="s">
        <v>1568</v>
      </c>
      <c r="H9624" s="4331" t="s">
        <v>1574</v>
      </c>
      <c r="I9624" s="1572" t="s">
        <v>1559</v>
      </c>
      <c r="J9624" s="1294" t="s">
        <v>1560</v>
      </c>
      <c r="K9624" s="1294" t="s">
        <v>1569</v>
      </c>
      <c r="L9624" s="4333" t="s">
        <v>3765</v>
      </c>
      <c r="M9624" s="4335" t="s">
        <v>1571</v>
      </c>
      <c r="N9624" s="4323" t="s">
        <v>1776</v>
      </c>
      <c r="O9624" s="3347" t="s">
        <v>1563</v>
      </c>
      <c r="P9624" s="1336" t="s">
        <v>1562</v>
      </c>
      <c r="Q9624" s="3389"/>
      <c r="R9624" s="1699" t="s">
        <v>1327</v>
      </c>
    </row>
    <row r="9625" spans="1:18">
      <c r="A9625" s="1662" t="s">
        <v>2098</v>
      </c>
      <c r="B9625" s="4326"/>
      <c r="C9625" s="3351"/>
      <c r="D9625" s="4328"/>
      <c r="E9625" s="4330"/>
      <c r="F9625" s="4336"/>
      <c r="G9625" s="4332"/>
      <c r="H9625" s="4332"/>
      <c r="I9625" s="1345">
        <v>30</v>
      </c>
      <c r="J9625" s="1307">
        <v>1</v>
      </c>
      <c r="K9625" s="1297">
        <f>I9625*J9625</f>
        <v>30</v>
      </c>
      <c r="L9625" s="4334"/>
      <c r="M9625" s="4335"/>
      <c r="N9625" s="4324"/>
      <c r="O9625" s="1298">
        <f>SUM(O9627:O9638)</f>
        <v>23.315900000000003</v>
      </c>
      <c r="P9625" s="1337">
        <f>O9625*K9625</f>
        <v>699.47700000000009</v>
      </c>
      <c r="Q9625" s="3390"/>
      <c r="R9625" s="1721">
        <f>SUM(P9627:P9638)</f>
        <v>699.47700000000009</v>
      </c>
    </row>
    <row r="9626" spans="1:18">
      <c r="A9626" s="1320"/>
      <c r="B9626" s="22"/>
      <c r="C9626" s="1327"/>
      <c r="D9626" s="1400"/>
      <c r="E9626" s="2121"/>
      <c r="F9626" s="1389" t="s">
        <v>1</v>
      </c>
      <c r="G9626" s="1389"/>
      <c r="H9626" s="1369"/>
      <c r="I9626" s="1409"/>
      <c r="J9626" s="1390"/>
      <c r="K9626" s="1391"/>
      <c r="L9626" s="1559"/>
      <c r="M9626" s="1369"/>
      <c r="N9626" s="1369"/>
      <c r="O9626" s="1369"/>
      <c r="P9626" s="1392"/>
      <c r="Q9626" s="3395"/>
    </row>
    <row r="9627" spans="1:18">
      <c r="A9627" s="16"/>
      <c r="B9627" s="553"/>
      <c r="C9627" s="1320"/>
      <c r="D9627" s="1610" t="s">
        <v>1175</v>
      </c>
      <c r="E9627" s="2154" t="s">
        <v>1527</v>
      </c>
      <c r="F9627" s="1598" t="s">
        <v>1914</v>
      </c>
      <c r="G9627" s="1612">
        <v>0.42499999999999999</v>
      </c>
      <c r="H9627" s="1399"/>
      <c r="I9627" s="197"/>
      <c r="J9627" s="198"/>
      <c r="K9627" s="1307">
        <f>G9627*K9625</f>
        <v>12.75</v>
      </c>
      <c r="L9627" s="1335">
        <f>K9627*$K$9609</f>
        <v>0</v>
      </c>
      <c r="M9627" s="1302">
        <v>1.3</v>
      </c>
      <c r="N9627" s="1718"/>
      <c r="O9627" s="1290">
        <f>G9627*M9627</f>
        <v>0.55249999999999999</v>
      </c>
      <c r="P9627" s="1332">
        <f>M9627*K9627</f>
        <v>16.574999999999999</v>
      </c>
      <c r="Q9627" s="3391"/>
      <c r="R9627" s="2337"/>
    </row>
    <row r="9628" spans="1:18">
      <c r="A9628" s="16"/>
      <c r="B9628" s="1042"/>
      <c r="C9628" s="1320"/>
      <c r="D9628" s="1598" t="s">
        <v>1097</v>
      </c>
      <c r="E9628" s="2154" t="s">
        <v>1504</v>
      </c>
      <c r="F9628" s="1598" t="s">
        <v>1632</v>
      </c>
      <c r="G9628" s="1612">
        <v>3</v>
      </c>
      <c r="H9628" s="1399"/>
      <c r="I9628" s="197"/>
      <c r="J9628" s="198"/>
      <c r="K9628" s="1307">
        <f>G9628*K9625</f>
        <v>90</v>
      </c>
      <c r="L9628" s="1335">
        <f t="shared" ref="L9628" si="1265">K9628*$K$9609</f>
        <v>0</v>
      </c>
      <c r="M9628" s="1302">
        <v>0.55000000000000004</v>
      </c>
      <c r="N9628" s="1718"/>
      <c r="O9628" s="1290">
        <f>G9628*M9628</f>
        <v>1.6500000000000001</v>
      </c>
      <c r="P9628" s="1332">
        <f>M9628*K9628</f>
        <v>49.500000000000007</v>
      </c>
      <c r="Q9628" s="3391"/>
      <c r="R9628" s="2337"/>
    </row>
    <row r="9629" spans="1:18">
      <c r="A9629" s="16"/>
      <c r="B9629" s="553"/>
      <c r="C9629" s="1320"/>
      <c r="D9629" s="1400"/>
      <c r="E9629" s="1856"/>
      <c r="F9629" s="1397"/>
      <c r="G9629" s="1416"/>
      <c r="H9629" s="1399"/>
      <c r="I9629" s="197"/>
      <c r="J9629" s="198"/>
      <c r="K9629" s="1307"/>
      <c r="L9629" s="1335"/>
      <c r="M9629" s="1302"/>
      <c r="N9629" s="1718"/>
      <c r="O9629" s="1290"/>
      <c r="P9629" s="1332"/>
      <c r="Q9629" s="3391"/>
      <c r="R9629" s="2337"/>
    </row>
    <row r="9630" spans="1:18">
      <c r="A9630" s="1042"/>
      <c r="B9630" s="22"/>
      <c r="C9630" s="1042"/>
      <c r="D9630" s="1400"/>
      <c r="E9630" s="2121"/>
      <c r="F9630" s="1436"/>
      <c r="G9630" s="1436"/>
      <c r="H9630" s="1369"/>
      <c r="I9630" s="1299"/>
      <c r="J9630" s="1300"/>
      <c r="K9630" s="1307"/>
      <c r="L9630" s="1335"/>
      <c r="M9630" s="1302"/>
      <c r="N9630" s="1700"/>
      <c r="O9630" s="1290"/>
      <c r="P9630" s="1332"/>
      <c r="Q9630" s="3391"/>
    </row>
    <row r="9631" spans="1:18">
      <c r="A9631" s="1042"/>
      <c r="B9631" s="22"/>
      <c r="C9631" s="1042"/>
      <c r="D9631" s="1404"/>
      <c r="E9631" s="1858"/>
      <c r="F9631" s="1360" t="s">
        <v>2</v>
      </c>
      <c r="G9631" s="1360"/>
      <c r="H9631" s="1362"/>
      <c r="I9631" s="1380"/>
      <c r="J9631" s="1381"/>
      <c r="K9631" s="1381"/>
      <c r="L9631" s="1458"/>
      <c r="M9631" s="1362"/>
      <c r="N9631" s="1362"/>
      <c r="O9631" s="1362"/>
      <c r="P9631" s="1359"/>
      <c r="Q9631" s="3387"/>
    </row>
    <row r="9632" spans="1:18">
      <c r="A9632" s="1321"/>
      <c r="B9632" s="1295"/>
      <c r="C9632" s="1321"/>
      <c r="D9632" s="1622" t="s">
        <v>1067</v>
      </c>
      <c r="E9632" s="2125" t="s">
        <v>1508</v>
      </c>
      <c r="F9632" s="1385" t="s">
        <v>1512</v>
      </c>
      <c r="G9632" s="2019">
        <v>1.155</v>
      </c>
      <c r="H9632" s="1386"/>
      <c r="I9632" s="1299"/>
      <c r="J9632" s="1300"/>
      <c r="K9632" s="1307">
        <f>G9632*K9625</f>
        <v>34.65</v>
      </c>
      <c r="L9632" s="1335">
        <f>K9632*$K$9609</f>
        <v>0</v>
      </c>
      <c r="M9632" s="1302">
        <v>18.28</v>
      </c>
      <c r="N9632" s="1700"/>
      <c r="O9632" s="1290">
        <f>G9632*M9632</f>
        <v>21.113400000000002</v>
      </c>
      <c r="P9632" s="1332">
        <f>M9632*K9632</f>
        <v>633.40200000000004</v>
      </c>
      <c r="Q9632" s="3391"/>
    </row>
    <row r="9633" spans="1:18">
      <c r="A9633" s="1320"/>
      <c r="B9633" s="22"/>
      <c r="C9633" s="1320"/>
      <c r="D9633" s="1993"/>
      <c r="E9633" s="1859"/>
      <c r="F9633" s="1655"/>
      <c r="G9633" s="1809"/>
      <c r="H9633" s="1359"/>
      <c r="I9633" s="1299"/>
      <c r="J9633" s="1300"/>
      <c r="K9633" s="1307"/>
      <c r="L9633" s="1335"/>
      <c r="M9633" s="1302"/>
      <c r="N9633" s="1700"/>
      <c r="O9633" s="1290"/>
      <c r="P9633" s="1332"/>
      <c r="Q9633" s="3391"/>
    </row>
    <row r="9634" spans="1:18">
      <c r="A9634" s="1320"/>
      <c r="B9634" s="22"/>
      <c r="C9634" s="1320"/>
      <c r="D9634" s="1404"/>
      <c r="E9634" s="1858"/>
      <c r="F9634" s="1361"/>
      <c r="G9634" s="1361"/>
      <c r="H9634" s="1466"/>
      <c r="I9634" s="1299"/>
      <c r="J9634" s="1300"/>
      <c r="K9634" s="1307"/>
      <c r="L9634" s="1335"/>
      <c r="M9634" s="1302"/>
      <c r="N9634" s="1700"/>
      <c r="O9634" s="1290"/>
      <c r="P9634" s="1332"/>
      <c r="Q9634" s="3391"/>
    </row>
    <row r="9635" spans="1:18">
      <c r="A9635" s="1320"/>
      <c r="B9635" s="22"/>
      <c r="C9635" s="1320"/>
      <c r="D9635" s="1411"/>
      <c r="E9635" s="2123"/>
      <c r="F9635" s="1374" t="s">
        <v>3</v>
      </c>
      <c r="G9635" s="1375"/>
      <c r="H9635" s="1376"/>
      <c r="I9635" s="1382"/>
      <c r="J9635" s="1383"/>
      <c r="K9635" s="1383"/>
      <c r="L9635" s="1413"/>
      <c r="M9635" s="1376"/>
      <c r="N9635" s="1376"/>
      <c r="O9635" s="1376"/>
      <c r="P9635" s="1373"/>
      <c r="Q9635" s="3387"/>
    </row>
    <row r="9636" spans="1:18">
      <c r="A9636" s="1321"/>
      <c r="B9636" s="1295"/>
      <c r="C9636" s="1321"/>
      <c r="D9636" s="1412"/>
      <c r="E9636" s="2124"/>
      <c r="F9636" s="1378"/>
      <c r="G9636" s="1378"/>
      <c r="H9636" s="1379"/>
      <c r="I9636" s="1299"/>
      <c r="J9636" s="1300"/>
      <c r="K9636" s="1307"/>
      <c r="L9636" s="1335"/>
      <c r="M9636" s="1302"/>
      <c r="N9636" s="1700"/>
      <c r="O9636" s="1290"/>
      <c r="P9636" s="1332"/>
      <c r="Q9636" s="3391"/>
    </row>
    <row r="9637" spans="1:18">
      <c r="A9637" s="1321"/>
      <c r="B9637" s="1295"/>
      <c r="C9637" s="1321"/>
      <c r="D9637" s="1412"/>
      <c r="E9637" s="2124"/>
      <c r="F9637" s="1378"/>
      <c r="G9637" s="1378"/>
      <c r="H9637" s="1379"/>
      <c r="I9637" s="1299"/>
      <c r="J9637" s="1300"/>
      <c r="K9637" s="1307"/>
      <c r="L9637" s="1335"/>
      <c r="M9637" s="1302"/>
      <c r="N9637" s="1700"/>
      <c r="O9637" s="1290"/>
      <c r="P9637" s="1333"/>
      <c r="Q9637" s="3391"/>
    </row>
    <row r="9638" spans="1:18">
      <c r="A9638" s="1042"/>
      <c r="B9638" s="22"/>
      <c r="C9638" s="223"/>
      <c r="D9638" s="1695"/>
      <c r="E9638" s="2161"/>
      <c r="F9638" s="1678"/>
      <c r="G9638" s="1678"/>
      <c r="H9638" s="1376"/>
      <c r="I9638" s="1299"/>
      <c r="J9638" s="1300"/>
      <c r="K9638" s="1307"/>
      <c r="L9638" s="1335"/>
      <c r="M9638" s="1302"/>
      <c r="N9638" s="1700"/>
      <c r="O9638" s="1290"/>
      <c r="P9638" s="1332"/>
      <c r="Q9638" s="3391"/>
    </row>
    <row r="9639" spans="1:18">
      <c r="A9639" s="18" t="s">
        <v>3764</v>
      </c>
      <c r="B9639" s="4325" t="s">
        <v>2103</v>
      </c>
      <c r="C9639" s="3350"/>
      <c r="D9639" s="4327"/>
      <c r="E9639" s="4329" t="s">
        <v>1507</v>
      </c>
      <c r="F9639" s="4372" t="s">
        <v>2102</v>
      </c>
      <c r="G9639" s="4331" t="s">
        <v>1568</v>
      </c>
      <c r="H9639" s="4331" t="s">
        <v>1574</v>
      </c>
      <c r="I9639" s="1572" t="s">
        <v>1559</v>
      </c>
      <c r="J9639" s="1294" t="s">
        <v>1560</v>
      </c>
      <c r="K9639" s="1294" t="s">
        <v>1569</v>
      </c>
      <c r="L9639" s="4333" t="s">
        <v>3765</v>
      </c>
      <c r="M9639" s="4335" t="s">
        <v>1571</v>
      </c>
      <c r="N9639" s="4323" t="s">
        <v>1776</v>
      </c>
      <c r="O9639" s="3347" t="s">
        <v>1563</v>
      </c>
      <c r="P9639" s="1336" t="s">
        <v>1562</v>
      </c>
      <c r="Q9639" s="3389"/>
      <c r="R9639" s="1699" t="s">
        <v>1327</v>
      </c>
    </row>
    <row r="9640" spans="1:18">
      <c r="A9640" s="1662" t="s">
        <v>2098</v>
      </c>
      <c r="B9640" s="4326"/>
      <c r="C9640" s="3354"/>
      <c r="D9640" s="4328"/>
      <c r="E9640" s="4330"/>
      <c r="F9640" s="4363"/>
      <c r="G9640" s="4332"/>
      <c r="H9640" s="4332"/>
      <c r="I9640" s="1306">
        <v>3</v>
      </c>
      <c r="J9640" s="1307">
        <v>1</v>
      </c>
      <c r="K9640" s="1297">
        <f>I9640*J9640</f>
        <v>3</v>
      </c>
      <c r="L9640" s="4334"/>
      <c r="M9640" s="4335"/>
      <c r="N9640" s="4324"/>
      <c r="O9640" s="1298">
        <f>SUM(O9642:O9655)</f>
        <v>7.3225499999999997</v>
      </c>
      <c r="P9640" s="1337">
        <f>O9640*K9640</f>
        <v>21.967649999999999</v>
      </c>
      <c r="Q9640" s="3390"/>
      <c r="R9640" s="1721">
        <f>SUM(P9642:P9655)</f>
        <v>21.967649999999999</v>
      </c>
    </row>
    <row r="9641" spans="1:18">
      <c r="A9641" s="1320"/>
      <c r="B9641" s="1599"/>
      <c r="C9641" s="1327"/>
      <c r="D9641" s="1400"/>
      <c r="E9641" s="2121"/>
      <c r="F9641" s="1389" t="s">
        <v>1</v>
      </c>
      <c r="G9641" s="1389"/>
      <c r="H9641" s="1369"/>
      <c r="I9641" s="1409"/>
      <c r="J9641" s="1390"/>
      <c r="K9641" s="1391"/>
      <c r="L9641" s="1559"/>
      <c r="M9641" s="1369"/>
      <c r="N9641" s="1369"/>
      <c r="O9641" s="1369"/>
      <c r="P9641" s="1392"/>
      <c r="Q9641" s="3395"/>
    </row>
    <row r="9642" spans="1:18">
      <c r="A9642" s="1042"/>
      <c r="B9642" s="1599"/>
      <c r="C9642" s="1042"/>
      <c r="D9642" s="1598" t="s">
        <v>1207</v>
      </c>
      <c r="E9642" s="2154" t="s">
        <v>1357</v>
      </c>
      <c r="F9642" s="1598" t="s">
        <v>2104</v>
      </c>
      <c r="G9642" s="1612">
        <v>0.17499999999999999</v>
      </c>
      <c r="H9642" s="1674"/>
      <c r="I9642" s="1299"/>
      <c r="J9642" s="1300"/>
      <c r="K9642" s="1307">
        <f>G9642*K9640</f>
        <v>0.52499999999999991</v>
      </c>
      <c r="L9642" s="1335">
        <f>K9642*$K$9609</f>
        <v>0</v>
      </c>
      <c r="M9642" s="1302">
        <v>4.29</v>
      </c>
      <c r="N9642" s="1700"/>
      <c r="O9642" s="1290">
        <f>G9642*M9642</f>
        <v>0.75074999999999992</v>
      </c>
      <c r="P9642" s="1332">
        <f>M9642*K9642</f>
        <v>2.2522499999999996</v>
      </c>
      <c r="Q9642" s="3391"/>
    </row>
    <row r="9643" spans="1:18">
      <c r="A9643" s="1320"/>
      <c r="B9643" s="553"/>
      <c r="C9643" s="1042"/>
      <c r="D9643" s="1598" t="s">
        <v>2105</v>
      </c>
      <c r="E9643" s="2154" t="s">
        <v>1357</v>
      </c>
      <c r="F9643" s="1598" t="s">
        <v>2106</v>
      </c>
      <c r="G9643" s="1612">
        <v>0.25</v>
      </c>
      <c r="H9643" s="1674"/>
      <c r="I9643" s="1299"/>
      <c r="J9643" s="1300"/>
      <c r="K9643" s="1307">
        <f>G9643*K9640</f>
        <v>0.75</v>
      </c>
      <c r="L9643" s="1335">
        <f t="shared" ref="L9643:L9645" si="1266">K9643*$K$9609</f>
        <v>0</v>
      </c>
      <c r="M9643" s="1302">
        <v>6.16</v>
      </c>
      <c r="N9643" s="1700"/>
      <c r="O9643" s="1290">
        <f>G9643*M9643</f>
        <v>1.54</v>
      </c>
      <c r="P9643" s="1332">
        <f>M9643*K9643</f>
        <v>4.62</v>
      </c>
      <c r="Q9643" s="3391"/>
      <c r="R9643" s="2337"/>
    </row>
    <row r="9644" spans="1:18">
      <c r="A9644" s="1320"/>
      <c r="B9644" s="553"/>
      <c r="C9644" s="1320"/>
      <c r="D9644" s="1598" t="s">
        <v>1208</v>
      </c>
      <c r="E9644" s="2154" t="s">
        <v>1683</v>
      </c>
      <c r="F9644" s="1598" t="s">
        <v>2107</v>
      </c>
      <c r="G9644" s="1612">
        <v>7.0000000000000007E-2</v>
      </c>
      <c r="H9644" s="1399"/>
      <c r="I9644" s="197"/>
      <c r="J9644" s="198"/>
      <c r="K9644" s="1307">
        <f>G9644*K9640</f>
        <v>0.21000000000000002</v>
      </c>
      <c r="L9644" s="1335">
        <f t="shared" si="1266"/>
        <v>0</v>
      </c>
      <c r="M9644" s="1302">
        <v>1.49</v>
      </c>
      <c r="N9644" s="1718"/>
      <c r="O9644" s="1290">
        <f>G9644*M9644</f>
        <v>0.1043</v>
      </c>
      <c r="P9644" s="1332">
        <f>M9644*K9644</f>
        <v>0.31290000000000001</v>
      </c>
      <c r="Q9644" s="3391"/>
      <c r="R9644" s="2337"/>
    </row>
    <row r="9645" spans="1:18">
      <c r="A9645" s="1320"/>
      <c r="B9645" s="553"/>
      <c r="C9645" s="1320"/>
      <c r="D9645" s="1598" t="s">
        <v>1082</v>
      </c>
      <c r="E9645" s="2154" t="s">
        <v>1504</v>
      </c>
      <c r="F9645" s="1598" t="s">
        <v>1541</v>
      </c>
      <c r="G9645" s="1612">
        <v>0.4</v>
      </c>
      <c r="H9645" s="1399"/>
      <c r="I9645" s="197"/>
      <c r="J9645" s="198"/>
      <c r="K9645" s="1307">
        <f>G9645*K9640</f>
        <v>1.2000000000000002</v>
      </c>
      <c r="L9645" s="1335">
        <f t="shared" si="1266"/>
        <v>0</v>
      </c>
      <c r="M9645" s="1302">
        <v>0.3</v>
      </c>
      <c r="N9645" s="1718"/>
      <c r="O9645" s="1290">
        <f>G9645*M9645</f>
        <v>0.12</v>
      </c>
      <c r="P9645" s="1332">
        <f>M9645*K9645</f>
        <v>0.36000000000000004</v>
      </c>
      <c r="Q9645" s="3391"/>
      <c r="R9645" s="2337"/>
    </row>
    <row r="9646" spans="1:18">
      <c r="A9646" s="1042"/>
      <c r="B9646" s="1599"/>
      <c r="C9646" s="1042"/>
      <c r="D9646" s="1400"/>
      <c r="E9646" s="2121"/>
      <c r="F9646" s="1436"/>
      <c r="G9646" s="1436"/>
      <c r="H9646" s="1369"/>
      <c r="I9646" s="1299"/>
      <c r="J9646" s="1300"/>
      <c r="K9646" s="1307"/>
      <c r="L9646" s="1335"/>
      <c r="M9646" s="1302"/>
      <c r="N9646" s="1700"/>
      <c r="O9646" s="1290"/>
      <c r="P9646" s="1332"/>
      <c r="Q9646" s="3391"/>
    </row>
    <row r="9647" spans="1:18">
      <c r="A9647" s="1042"/>
      <c r="B9647" s="1599"/>
      <c r="C9647" s="1042"/>
      <c r="D9647" s="1400"/>
      <c r="E9647" s="2121"/>
      <c r="F9647" s="1436"/>
      <c r="G9647" s="1436"/>
      <c r="H9647" s="1369"/>
      <c r="I9647" s="1299"/>
      <c r="J9647" s="1300"/>
      <c r="K9647" s="1307"/>
      <c r="L9647" s="1335"/>
      <c r="M9647" s="1302"/>
      <c r="N9647" s="1700"/>
      <c r="O9647" s="1290"/>
      <c r="P9647" s="1332"/>
      <c r="Q9647" s="3391"/>
    </row>
    <row r="9648" spans="1:18">
      <c r="A9648" s="1042"/>
      <c r="B9648" s="1599"/>
      <c r="C9648" s="1042"/>
      <c r="D9648" s="1404"/>
      <c r="E9648" s="1858"/>
      <c r="F9648" s="1360" t="s">
        <v>2</v>
      </c>
      <c r="G9648" s="1360"/>
      <c r="H9648" s="1362"/>
      <c r="I9648" s="1380"/>
      <c r="J9648" s="1381"/>
      <c r="K9648" s="1381"/>
      <c r="L9648" s="1458"/>
      <c r="M9648" s="1362"/>
      <c r="N9648" s="1362"/>
      <c r="O9648" s="1362"/>
      <c r="P9648" s="1359"/>
      <c r="Q9648" s="3387"/>
    </row>
    <row r="9649" spans="1:18">
      <c r="A9649" s="1321"/>
      <c r="B9649" s="2053"/>
      <c r="C9649" s="1321"/>
      <c r="D9649" s="1655" t="s">
        <v>1195</v>
      </c>
      <c r="E9649" s="1859" t="s">
        <v>1508</v>
      </c>
      <c r="F9649" s="1655" t="s">
        <v>1703</v>
      </c>
      <c r="G9649" s="1809">
        <v>0.25</v>
      </c>
      <c r="H9649" s="2019"/>
      <c r="I9649" s="1299"/>
      <c r="J9649" s="1300"/>
      <c r="K9649" s="1307">
        <f>G9649*K9640</f>
        <v>0.75</v>
      </c>
      <c r="L9649" s="1335">
        <f>K9649*$K$9609</f>
        <v>0</v>
      </c>
      <c r="M9649" s="1302">
        <v>19.23</v>
      </c>
      <c r="N9649" s="1700"/>
      <c r="O9649" s="1290">
        <f>G9649*M9649</f>
        <v>4.8075000000000001</v>
      </c>
      <c r="P9649" s="1332">
        <f>M9649*K9649</f>
        <v>14.422499999999999</v>
      </c>
      <c r="Q9649" s="3391"/>
    </row>
    <row r="9650" spans="1:18">
      <c r="A9650" s="1042"/>
      <c r="B9650" s="553"/>
      <c r="C9650" s="1042"/>
      <c r="D9650" s="2054"/>
      <c r="E9650" s="1857"/>
      <c r="F9650" s="1403"/>
      <c r="G9650" s="1991"/>
      <c r="H9650" s="1408"/>
      <c r="I9650" s="1286"/>
      <c r="J9650" s="198"/>
      <c r="K9650" s="1307"/>
      <c r="L9650" s="1335"/>
      <c r="M9650" s="1302"/>
      <c r="N9650" s="1718"/>
      <c r="O9650" s="1290"/>
      <c r="P9650" s="1332"/>
      <c r="Q9650" s="3391"/>
      <c r="R9650" s="2337"/>
    </row>
    <row r="9651" spans="1:18">
      <c r="A9651" s="1042"/>
      <c r="B9651" s="1599"/>
      <c r="C9651" s="1320"/>
      <c r="D9651" s="1404"/>
      <c r="E9651" s="1858"/>
      <c r="F9651" s="1361"/>
      <c r="G9651" s="1361"/>
      <c r="H9651" s="1466"/>
      <c r="I9651" s="1299"/>
      <c r="J9651" s="1300"/>
      <c r="K9651" s="1307"/>
      <c r="L9651" s="1335"/>
      <c r="M9651" s="1302"/>
      <c r="N9651" s="1700"/>
      <c r="O9651" s="1290"/>
      <c r="P9651" s="1332"/>
      <c r="Q9651" s="3391"/>
      <c r="R9651" s="1296"/>
    </row>
    <row r="9652" spans="1:18">
      <c r="A9652" s="1320"/>
      <c r="B9652" s="1599"/>
      <c r="C9652" s="1320"/>
      <c r="D9652" s="1411"/>
      <c r="E9652" s="2123"/>
      <c r="F9652" s="1374" t="s">
        <v>3</v>
      </c>
      <c r="G9652" s="1375"/>
      <c r="H9652" s="1376"/>
      <c r="I9652" s="1382"/>
      <c r="J9652" s="1383"/>
      <c r="K9652" s="1383"/>
      <c r="L9652" s="1413"/>
      <c r="M9652" s="1376"/>
      <c r="N9652" s="1376"/>
      <c r="O9652" s="1376"/>
      <c r="P9652" s="1373"/>
      <c r="Q9652" s="3387"/>
    </row>
    <row r="9653" spans="1:18">
      <c r="A9653" s="1321"/>
      <c r="B9653" s="2053"/>
      <c r="C9653" s="1321"/>
      <c r="D9653" s="1412"/>
      <c r="E9653" s="2124"/>
      <c r="F9653" s="1378"/>
      <c r="G9653" s="1378"/>
      <c r="H9653" s="1379"/>
      <c r="I9653" s="1299"/>
      <c r="J9653" s="1300"/>
      <c r="K9653" s="1307"/>
      <c r="L9653" s="1335"/>
      <c r="M9653" s="1302"/>
      <c r="N9653" s="1700"/>
      <c r="O9653" s="1290"/>
      <c r="P9653" s="1332"/>
      <c r="Q9653" s="3391"/>
    </row>
    <row r="9654" spans="1:18">
      <c r="A9654" s="1321"/>
      <c r="B9654" s="2053"/>
      <c r="C9654" s="1321"/>
      <c r="D9654" s="1412"/>
      <c r="E9654" s="2124"/>
      <c r="F9654" s="1378"/>
      <c r="G9654" s="1378"/>
      <c r="H9654" s="1379"/>
      <c r="I9654" s="1299"/>
      <c r="J9654" s="1300"/>
      <c r="K9654" s="1307"/>
      <c r="L9654" s="1335"/>
      <c r="M9654" s="1302"/>
      <c r="N9654" s="1700"/>
      <c r="O9654" s="1290"/>
      <c r="P9654" s="1333"/>
      <c r="Q9654" s="3391"/>
    </row>
    <row r="9655" spans="1:18">
      <c r="A9655" s="223"/>
      <c r="B9655" s="1765"/>
      <c r="C9655" s="223"/>
      <c r="D9655" s="1411"/>
      <c r="E9655" s="2161"/>
      <c r="F9655" s="1678"/>
      <c r="G9655" s="1678"/>
      <c r="H9655" s="1376"/>
      <c r="I9655" s="1299"/>
      <c r="J9655" s="1300"/>
      <c r="K9655" s="1307"/>
      <c r="L9655" s="1335"/>
      <c r="M9655" s="1302"/>
      <c r="N9655" s="1700"/>
      <c r="O9655" s="1290"/>
      <c r="P9655" s="1332"/>
      <c r="Q9655" s="3391"/>
    </row>
    <row r="9656" spans="1:18">
      <c r="A9656" s="18" t="s">
        <v>3764</v>
      </c>
      <c r="B9656" s="4325" t="s">
        <v>2108</v>
      </c>
      <c r="C9656" s="3350"/>
      <c r="D9656" s="4327"/>
      <c r="E9656" s="4329" t="s">
        <v>1507</v>
      </c>
      <c r="F9656" s="4372" t="s">
        <v>2109</v>
      </c>
      <c r="G9656" s="4331" t="s">
        <v>1568</v>
      </c>
      <c r="H9656" s="4331" t="s">
        <v>1574</v>
      </c>
      <c r="I9656" s="1572" t="s">
        <v>1559</v>
      </c>
      <c r="J9656" s="1294" t="s">
        <v>1560</v>
      </c>
      <c r="K9656" s="1294" t="s">
        <v>1569</v>
      </c>
      <c r="L9656" s="4333" t="s">
        <v>3765</v>
      </c>
      <c r="M9656" s="4335" t="s">
        <v>1571</v>
      </c>
      <c r="N9656" s="4323" t="s">
        <v>1776</v>
      </c>
      <c r="O9656" s="3347" t="s">
        <v>1563</v>
      </c>
      <c r="P9656" s="1336" t="s">
        <v>1562</v>
      </c>
      <c r="Q9656" s="3389"/>
      <c r="R9656" s="1699" t="s">
        <v>1327</v>
      </c>
    </row>
    <row r="9657" spans="1:18">
      <c r="A9657" s="1662" t="s">
        <v>2098</v>
      </c>
      <c r="B9657" s="4326"/>
      <c r="C9657" s="3354"/>
      <c r="D9657" s="4328"/>
      <c r="E9657" s="4330"/>
      <c r="F9657" s="4363"/>
      <c r="G9657" s="4332"/>
      <c r="H9657" s="4332"/>
      <c r="I9657" s="1306">
        <v>3</v>
      </c>
      <c r="J9657" s="1307">
        <v>1</v>
      </c>
      <c r="K9657" s="1297">
        <f>I9657*J9657</f>
        <v>3</v>
      </c>
      <c r="L9657" s="4334"/>
      <c r="M9657" s="4335"/>
      <c r="N9657" s="4324"/>
      <c r="O9657" s="1298">
        <f>SUM(O9659:O9671)</f>
        <v>6.5264999999999995</v>
      </c>
      <c r="P9657" s="1337">
        <f>O9657*K9657</f>
        <v>19.579499999999999</v>
      </c>
      <c r="Q9657" s="3390"/>
      <c r="R9657" s="1721">
        <f>SUM(P9659:P9671)</f>
        <v>19.579499999999999</v>
      </c>
    </row>
    <row r="9658" spans="1:18">
      <c r="A9658" s="1320"/>
      <c r="B9658" s="1599"/>
      <c r="C9658" s="1327"/>
      <c r="D9658" s="1400"/>
      <c r="E9658" s="2121"/>
      <c r="F9658" s="1389" t="s">
        <v>1</v>
      </c>
      <c r="G9658" s="1389"/>
      <c r="H9658" s="1369"/>
      <c r="I9658" s="1409"/>
      <c r="J9658" s="1390"/>
      <c r="K9658" s="1391"/>
      <c r="L9658" s="1559"/>
      <c r="M9658" s="1369"/>
      <c r="N9658" s="1369"/>
      <c r="O9658" s="1369"/>
      <c r="P9658" s="1392"/>
      <c r="Q9658" s="3395"/>
    </row>
    <row r="9659" spans="1:18">
      <c r="A9659" s="1042"/>
      <c r="B9659" s="1599"/>
      <c r="C9659" s="1042"/>
      <c r="D9659" s="1598" t="s">
        <v>2110</v>
      </c>
      <c r="E9659" s="2154" t="s">
        <v>1357</v>
      </c>
      <c r="F9659" s="1598" t="s">
        <v>2111</v>
      </c>
      <c r="G9659" s="1612">
        <v>0.25</v>
      </c>
      <c r="H9659" s="1674"/>
      <c r="I9659" s="1299"/>
      <c r="J9659" s="1300"/>
      <c r="K9659" s="1307">
        <f>G9659*K9657</f>
        <v>0.75</v>
      </c>
      <c r="L9659" s="1335">
        <f t="shared" ref="L9659:L9660" si="1267">K9659*$K$9609</f>
        <v>0</v>
      </c>
      <c r="M9659" s="1302">
        <v>5.65</v>
      </c>
      <c r="N9659" s="1700"/>
      <c r="O9659" s="1290">
        <f>G9659*M9659</f>
        <v>1.4125000000000001</v>
      </c>
      <c r="P9659" s="1332">
        <f>M9659*K9659</f>
        <v>4.2375000000000007</v>
      </c>
      <c r="Q9659" s="3391"/>
    </row>
    <row r="9660" spans="1:18">
      <c r="A9660" s="1320"/>
      <c r="B9660" s="553"/>
      <c r="C9660" s="1042"/>
      <c r="D9660" s="1598" t="s">
        <v>1207</v>
      </c>
      <c r="E9660" s="2154" t="s">
        <v>1357</v>
      </c>
      <c r="F9660" s="1598" t="s">
        <v>2104</v>
      </c>
      <c r="G9660" s="1612">
        <v>0.1</v>
      </c>
      <c r="H9660" s="1674"/>
      <c r="I9660" s="1299"/>
      <c r="J9660" s="1300"/>
      <c r="K9660" s="1307">
        <f>G9660*K9657</f>
        <v>0.30000000000000004</v>
      </c>
      <c r="L9660" s="1335">
        <f t="shared" si="1267"/>
        <v>0</v>
      </c>
      <c r="M9660" s="1302">
        <v>4.29</v>
      </c>
      <c r="N9660" s="1700"/>
      <c r="O9660" s="1290">
        <f>G9660*M9660</f>
        <v>0.42900000000000005</v>
      </c>
      <c r="P9660" s="1332">
        <f>M9660*K9660</f>
        <v>1.2870000000000001</v>
      </c>
      <c r="Q9660" s="3391"/>
      <c r="R9660" s="2337"/>
    </row>
    <row r="9661" spans="1:18">
      <c r="A9661" s="1320"/>
      <c r="B9661" s="553"/>
      <c r="C9661" s="1320"/>
      <c r="D9661" s="1598"/>
      <c r="E9661" s="2154"/>
      <c r="F9661" s="1598"/>
      <c r="G9661" s="1612"/>
      <c r="H9661" s="1399"/>
      <c r="I9661" s="197"/>
      <c r="J9661" s="198"/>
      <c r="K9661" s="1307"/>
      <c r="L9661" s="1335"/>
      <c r="M9661" s="1302"/>
      <c r="N9661" s="1718"/>
      <c r="O9661" s="1290"/>
      <c r="P9661" s="1332"/>
      <c r="Q9661" s="3391"/>
      <c r="R9661" s="2337"/>
    </row>
    <row r="9662" spans="1:18">
      <c r="A9662" s="1042"/>
      <c r="B9662" s="1599"/>
      <c r="C9662" s="1042"/>
      <c r="D9662" s="1400"/>
      <c r="E9662" s="2121"/>
      <c r="F9662" s="1436"/>
      <c r="G9662" s="1436"/>
      <c r="H9662" s="1369"/>
      <c r="I9662" s="1299"/>
      <c r="J9662" s="1300"/>
      <c r="K9662" s="1307"/>
      <c r="L9662" s="1335"/>
      <c r="M9662" s="1302"/>
      <c r="N9662" s="1700"/>
      <c r="O9662" s="1290"/>
      <c r="P9662" s="1332"/>
      <c r="Q9662" s="3391"/>
    </row>
    <row r="9663" spans="1:18">
      <c r="A9663" s="1042"/>
      <c r="B9663" s="1599"/>
      <c r="C9663" s="1042"/>
      <c r="D9663" s="1404"/>
      <c r="E9663" s="1858"/>
      <c r="F9663" s="1360" t="s">
        <v>2</v>
      </c>
      <c r="G9663" s="1360"/>
      <c r="H9663" s="1362"/>
      <c r="I9663" s="1380"/>
      <c r="J9663" s="1381"/>
      <c r="K9663" s="1381"/>
      <c r="L9663" s="1458"/>
      <c r="M9663" s="1362"/>
      <c r="N9663" s="1362"/>
      <c r="O9663" s="1362"/>
      <c r="P9663" s="1359"/>
      <c r="Q9663" s="3387"/>
    </row>
    <row r="9664" spans="1:18">
      <c r="A9664" s="1321"/>
      <c r="B9664" s="2053"/>
      <c r="C9664" s="1321"/>
      <c r="D9664" s="1655" t="s">
        <v>2113</v>
      </c>
      <c r="E9664" s="1859" t="s">
        <v>1508</v>
      </c>
      <c r="F9664" s="1655" t="s">
        <v>2112</v>
      </c>
      <c r="G9664" s="1809">
        <v>0.25</v>
      </c>
      <c r="H9664" s="2019"/>
      <c r="I9664" s="1299"/>
      <c r="J9664" s="1300"/>
      <c r="K9664" s="1307">
        <f>G9664*K9657</f>
        <v>0.75</v>
      </c>
      <c r="L9664" s="1335">
        <f>K9664*$K$9609</f>
        <v>0</v>
      </c>
      <c r="M9664" s="1302">
        <v>18.739999999999998</v>
      </c>
      <c r="N9664" s="1700"/>
      <c r="O9664" s="1290">
        <f>G9664*M9664</f>
        <v>4.6849999999999996</v>
      </c>
      <c r="P9664" s="1332">
        <f>M9664*K9664</f>
        <v>14.055</v>
      </c>
      <c r="Q9664" s="3391"/>
    </row>
    <row r="9665" spans="1:18">
      <c r="A9665" s="1042"/>
      <c r="B9665" s="553"/>
      <c r="C9665" s="1042"/>
      <c r="D9665" s="2054"/>
      <c r="E9665" s="1857"/>
      <c r="F9665" s="1403"/>
      <c r="G9665" s="1991"/>
      <c r="H9665" s="1408"/>
      <c r="I9665" s="1286"/>
      <c r="J9665" s="198"/>
      <c r="K9665" s="1307"/>
      <c r="L9665" s="1335"/>
      <c r="M9665" s="1302"/>
      <c r="N9665" s="1718"/>
      <c r="O9665" s="1290"/>
      <c r="P9665" s="1332"/>
      <c r="Q9665" s="3391"/>
      <c r="R9665" s="2337"/>
    </row>
    <row r="9666" spans="1:18">
      <c r="A9666" s="1042"/>
      <c r="B9666" s="553"/>
      <c r="C9666" s="1042"/>
      <c r="D9666" s="1402"/>
      <c r="E9666" s="1857"/>
      <c r="F9666" s="1403"/>
      <c r="G9666" s="1991"/>
      <c r="H9666" s="1408"/>
      <c r="I9666" s="197"/>
      <c r="J9666" s="198"/>
      <c r="K9666" s="1307"/>
      <c r="L9666" s="1335"/>
      <c r="M9666" s="1302"/>
      <c r="N9666" s="1718"/>
      <c r="O9666" s="1290"/>
      <c r="P9666" s="1332"/>
      <c r="Q9666" s="3391"/>
      <c r="R9666" s="2337"/>
    </row>
    <row r="9667" spans="1:18">
      <c r="A9667" s="1042"/>
      <c r="B9667" s="1599"/>
      <c r="C9667" s="1320"/>
      <c r="D9667" s="1404"/>
      <c r="E9667" s="1858"/>
      <c r="F9667" s="1361"/>
      <c r="G9667" s="1361"/>
      <c r="H9667" s="1466"/>
      <c r="I9667" s="1299"/>
      <c r="J9667" s="1300"/>
      <c r="K9667" s="1307"/>
      <c r="L9667" s="1335"/>
      <c r="M9667" s="1302"/>
      <c r="N9667" s="1700"/>
      <c r="O9667" s="1290"/>
      <c r="P9667" s="1332"/>
      <c r="Q9667" s="3391"/>
      <c r="R9667" s="1296"/>
    </row>
    <row r="9668" spans="1:18">
      <c r="A9668" s="1320"/>
      <c r="B9668" s="1599"/>
      <c r="C9668" s="1320"/>
      <c r="D9668" s="1411"/>
      <c r="E9668" s="2123"/>
      <c r="F9668" s="1374" t="s">
        <v>3</v>
      </c>
      <c r="G9668" s="1375"/>
      <c r="H9668" s="1376"/>
      <c r="I9668" s="1382"/>
      <c r="J9668" s="1383"/>
      <c r="K9668" s="1383"/>
      <c r="L9668" s="1413"/>
      <c r="M9668" s="1376"/>
      <c r="N9668" s="1376"/>
      <c r="O9668" s="1376"/>
      <c r="P9668" s="1373"/>
      <c r="Q9668" s="3387"/>
    </row>
    <row r="9669" spans="1:18">
      <c r="A9669" s="1321"/>
      <c r="B9669" s="2053"/>
      <c r="C9669" s="1321"/>
      <c r="D9669" s="1412"/>
      <c r="E9669" s="2124"/>
      <c r="F9669" s="1378"/>
      <c r="G9669" s="1378"/>
      <c r="H9669" s="1379"/>
      <c r="I9669" s="1299"/>
      <c r="J9669" s="1300"/>
      <c r="K9669" s="1307"/>
      <c r="L9669" s="1335"/>
      <c r="M9669" s="1302"/>
      <c r="N9669" s="1700"/>
      <c r="O9669" s="1290"/>
      <c r="P9669" s="1332"/>
      <c r="Q9669" s="3391"/>
    </row>
    <row r="9670" spans="1:18">
      <c r="A9670" s="1321"/>
      <c r="B9670" s="2053"/>
      <c r="C9670" s="1321"/>
      <c r="D9670" s="1412"/>
      <c r="E9670" s="2124"/>
      <c r="F9670" s="1378"/>
      <c r="G9670" s="1378"/>
      <c r="H9670" s="1379"/>
      <c r="I9670" s="1299"/>
      <c r="J9670" s="1300"/>
      <c r="K9670" s="1307"/>
      <c r="L9670" s="1335"/>
      <c r="M9670" s="1302"/>
      <c r="N9670" s="1700"/>
      <c r="O9670" s="1290"/>
      <c r="P9670" s="1333"/>
      <c r="Q9670" s="3391"/>
    </row>
    <row r="9671" spans="1:18">
      <c r="A9671" s="223"/>
      <c r="B9671" s="1765"/>
      <c r="C9671" s="223"/>
      <c r="D9671" s="1411"/>
      <c r="E9671" s="2161"/>
      <c r="F9671" s="1678"/>
      <c r="G9671" s="1678"/>
      <c r="H9671" s="1376"/>
      <c r="I9671" s="1299"/>
      <c r="J9671" s="1300"/>
      <c r="K9671" s="1307"/>
      <c r="L9671" s="1335"/>
      <c r="M9671" s="1302"/>
      <c r="N9671" s="1700"/>
      <c r="O9671" s="1290"/>
      <c r="P9671" s="1332"/>
      <c r="Q9671" s="3391"/>
    </row>
    <row r="9672" spans="1:18">
      <c r="A9672" s="18" t="s">
        <v>3764</v>
      </c>
      <c r="B9672" s="4325" t="s">
        <v>2116</v>
      </c>
      <c r="C9672" s="3350"/>
      <c r="D9672" s="4327"/>
      <c r="E9672" s="4329" t="s">
        <v>1507</v>
      </c>
      <c r="F9672" s="4372" t="s">
        <v>2117</v>
      </c>
      <c r="G9672" s="4331" t="s">
        <v>1568</v>
      </c>
      <c r="H9672" s="4331" t="s">
        <v>1574</v>
      </c>
      <c r="I9672" s="1572" t="s">
        <v>1559</v>
      </c>
      <c r="J9672" s="1294" t="s">
        <v>1560</v>
      </c>
      <c r="K9672" s="1294" t="s">
        <v>1569</v>
      </c>
      <c r="L9672" s="4333" t="s">
        <v>3765</v>
      </c>
      <c r="M9672" s="4335" t="s">
        <v>1571</v>
      </c>
      <c r="N9672" s="4323" t="s">
        <v>1776</v>
      </c>
      <c r="O9672" s="3347" t="s">
        <v>1563</v>
      </c>
      <c r="P9672" s="1336" t="s">
        <v>1562</v>
      </c>
      <c r="Q9672" s="3389"/>
      <c r="R9672" s="1699" t="s">
        <v>1327</v>
      </c>
    </row>
    <row r="9673" spans="1:18">
      <c r="A9673" s="1662" t="s">
        <v>2098</v>
      </c>
      <c r="B9673" s="4326"/>
      <c r="C9673" s="3354"/>
      <c r="D9673" s="4328"/>
      <c r="E9673" s="4330"/>
      <c r="F9673" s="4363"/>
      <c r="G9673" s="4332"/>
      <c r="H9673" s="4332"/>
      <c r="I9673" s="1306">
        <v>3</v>
      </c>
      <c r="J9673" s="1307">
        <v>1</v>
      </c>
      <c r="K9673" s="1297">
        <f>I9673*J9673</f>
        <v>3</v>
      </c>
      <c r="L9673" s="4334"/>
      <c r="M9673" s="4335"/>
      <c r="N9673" s="4324"/>
      <c r="O9673" s="1298">
        <f>SUM(O9675:O9687)</f>
        <v>5.6364999999999998</v>
      </c>
      <c r="P9673" s="1337">
        <f>O9673*K9673</f>
        <v>16.909500000000001</v>
      </c>
      <c r="Q9673" s="3390"/>
      <c r="R9673" s="1721">
        <f>SUM(P9675:P9687)</f>
        <v>16.909500000000001</v>
      </c>
    </row>
    <row r="9674" spans="1:18">
      <c r="A9674" s="1320"/>
      <c r="B9674" s="1599"/>
      <c r="C9674" s="1327"/>
      <c r="D9674" s="1400"/>
      <c r="E9674" s="2121"/>
      <c r="F9674" s="1389" t="s">
        <v>1</v>
      </c>
      <c r="G9674" s="1389"/>
      <c r="H9674" s="1369"/>
      <c r="I9674" s="1409"/>
      <c r="J9674" s="1390"/>
      <c r="K9674" s="1391"/>
      <c r="L9674" s="1559"/>
      <c r="M9674" s="1369"/>
      <c r="N9674" s="1369"/>
      <c r="O9674" s="1369"/>
      <c r="P9674" s="1392"/>
      <c r="Q9674" s="3395"/>
    </row>
    <row r="9675" spans="1:18">
      <c r="A9675" s="1042"/>
      <c r="B9675" s="1599"/>
      <c r="C9675" s="1042"/>
      <c r="D9675" s="1598" t="s">
        <v>1069</v>
      </c>
      <c r="E9675" s="2154" t="s">
        <v>1517</v>
      </c>
      <c r="F9675" s="1598" t="s">
        <v>1578</v>
      </c>
      <c r="G9675" s="1612">
        <v>0.01</v>
      </c>
      <c r="H9675" s="1674"/>
      <c r="I9675" s="1299"/>
      <c r="J9675" s="1300"/>
      <c r="K9675" s="1307">
        <f>G9675*K9673</f>
        <v>0.03</v>
      </c>
      <c r="L9675" s="1335">
        <f t="shared" ref="L9675:L9676" si="1268">K9675*$K$9609</f>
        <v>0</v>
      </c>
      <c r="M9675" s="1302">
        <v>0.55000000000000004</v>
      </c>
      <c r="N9675" s="1700"/>
      <c r="O9675" s="1290">
        <f>G9675*M9675</f>
        <v>5.5000000000000005E-3</v>
      </c>
      <c r="P9675" s="1332">
        <f>M9675*K9675</f>
        <v>1.6500000000000001E-2</v>
      </c>
      <c r="Q9675" s="3391"/>
    </row>
    <row r="9676" spans="1:18">
      <c r="A9676" s="1320"/>
      <c r="B9676" s="553"/>
      <c r="C9676" s="1042"/>
      <c r="D9676" s="1598" t="s">
        <v>1208</v>
      </c>
      <c r="E9676" s="2154" t="s">
        <v>1683</v>
      </c>
      <c r="F9676" s="1598" t="s">
        <v>2107</v>
      </c>
      <c r="G9676" s="1612">
        <v>1.1000000000000001</v>
      </c>
      <c r="H9676" s="1674"/>
      <c r="I9676" s="1299"/>
      <c r="J9676" s="1300"/>
      <c r="K9676" s="1307">
        <f>G9676*K9673</f>
        <v>3.3000000000000003</v>
      </c>
      <c r="L9676" s="1335">
        <f t="shared" si="1268"/>
        <v>0</v>
      </c>
      <c r="M9676" s="1302">
        <v>1.49</v>
      </c>
      <c r="N9676" s="1700"/>
      <c r="O9676" s="1290">
        <f>G9676*M9676</f>
        <v>1.639</v>
      </c>
      <c r="P9676" s="1332">
        <f>M9676*K9676</f>
        <v>4.9170000000000007</v>
      </c>
      <c r="Q9676" s="3391"/>
      <c r="R9676" s="2337"/>
    </row>
    <row r="9677" spans="1:18">
      <c r="A9677" s="1320"/>
      <c r="B9677" s="553"/>
      <c r="C9677" s="1320"/>
      <c r="D9677" s="1598" t="s">
        <v>2118</v>
      </c>
      <c r="E9677" s="2154" t="s">
        <v>1683</v>
      </c>
      <c r="F9677" s="1598" t="s">
        <v>2119</v>
      </c>
      <c r="G9677" s="1612">
        <v>0.2</v>
      </c>
      <c r="H9677" s="1399"/>
      <c r="I9677" s="197"/>
      <c r="J9677" s="198"/>
      <c r="K9677" s="1307">
        <f>G9677*K9673</f>
        <v>0.60000000000000009</v>
      </c>
      <c r="L9677" s="1335">
        <f>K9677*$K$9609</f>
        <v>0</v>
      </c>
      <c r="M9677" s="1302">
        <v>6.25</v>
      </c>
      <c r="N9677" s="1718"/>
      <c r="O9677" s="1290">
        <f>G9677*M9677</f>
        <v>1.25</v>
      </c>
      <c r="P9677" s="1332">
        <f>M9677*K9677</f>
        <v>3.7500000000000004</v>
      </c>
      <c r="Q9677" s="3391"/>
      <c r="R9677" s="2337"/>
    </row>
    <row r="9678" spans="1:18">
      <c r="A9678" s="1042"/>
      <c r="B9678" s="1599"/>
      <c r="C9678" s="1042"/>
      <c r="D9678" s="1400"/>
      <c r="E9678" s="2121"/>
      <c r="F9678" s="1436"/>
      <c r="G9678" s="1436"/>
      <c r="H9678" s="1369"/>
      <c r="I9678" s="1299"/>
      <c r="J9678" s="1300"/>
      <c r="K9678" s="1307"/>
      <c r="L9678" s="1335"/>
      <c r="M9678" s="1302"/>
      <c r="N9678" s="1700"/>
      <c r="O9678" s="1290"/>
      <c r="P9678" s="1332"/>
      <c r="Q9678" s="3391"/>
    </row>
    <row r="9679" spans="1:18">
      <c r="A9679" s="1042"/>
      <c r="B9679" s="1599"/>
      <c r="C9679" s="1042"/>
      <c r="D9679" s="1400"/>
      <c r="E9679" s="2121"/>
      <c r="F9679" s="1436"/>
      <c r="G9679" s="1436"/>
      <c r="H9679" s="1369"/>
      <c r="I9679" s="1299"/>
      <c r="J9679" s="1300"/>
      <c r="K9679" s="1307"/>
      <c r="L9679" s="1335"/>
      <c r="M9679" s="1302"/>
      <c r="N9679" s="1700"/>
      <c r="O9679" s="1290"/>
      <c r="P9679" s="1332"/>
      <c r="Q9679" s="3391"/>
    </row>
    <row r="9680" spans="1:18">
      <c r="A9680" s="1042"/>
      <c r="B9680" s="1599"/>
      <c r="C9680" s="1042"/>
      <c r="D9680" s="1404"/>
      <c r="E9680" s="1858"/>
      <c r="F9680" s="1360" t="s">
        <v>2</v>
      </c>
      <c r="G9680" s="1360"/>
      <c r="H9680" s="1362"/>
      <c r="I9680" s="1380"/>
      <c r="J9680" s="1381"/>
      <c r="K9680" s="1381"/>
      <c r="L9680" s="1458"/>
      <c r="M9680" s="1362"/>
      <c r="N9680" s="1362"/>
      <c r="O9680" s="1362"/>
      <c r="P9680" s="1359"/>
      <c r="Q9680" s="3387"/>
    </row>
    <row r="9681" spans="1:18">
      <c r="A9681" s="1321"/>
      <c r="B9681" s="2053"/>
      <c r="C9681" s="1321"/>
      <c r="D9681" s="1655" t="s">
        <v>1067</v>
      </c>
      <c r="E9681" s="1859" t="s">
        <v>1508</v>
      </c>
      <c r="F9681" s="1655" t="s">
        <v>1512</v>
      </c>
      <c r="G9681" s="1809">
        <v>0.15</v>
      </c>
      <c r="H9681" s="2019"/>
      <c r="I9681" s="1299"/>
      <c r="J9681" s="1300"/>
      <c r="K9681" s="1307">
        <f>G9681*K9673</f>
        <v>0.44999999999999996</v>
      </c>
      <c r="L9681" s="1335">
        <f>K9681*$K$9609</f>
        <v>0</v>
      </c>
      <c r="M9681" s="1302">
        <v>18.28</v>
      </c>
      <c r="N9681" s="1700"/>
      <c r="O9681" s="1290">
        <f>G9681*M9681</f>
        <v>2.742</v>
      </c>
      <c r="P9681" s="1332">
        <f>M9681*K9681</f>
        <v>8.2259999999999991</v>
      </c>
      <c r="Q9681" s="3391"/>
    </row>
    <row r="9682" spans="1:18">
      <c r="A9682" s="1042"/>
      <c r="B9682" s="553"/>
      <c r="C9682" s="1042"/>
      <c r="D9682" s="2054"/>
      <c r="E9682" s="1857"/>
      <c r="F9682" s="1403"/>
      <c r="G9682" s="1991"/>
      <c r="H9682" s="1408"/>
      <c r="I9682" s="1286"/>
      <c r="J9682" s="198"/>
      <c r="K9682" s="1307"/>
      <c r="L9682" s="1335"/>
      <c r="M9682" s="1302"/>
      <c r="N9682" s="1718"/>
      <c r="O9682" s="1290"/>
      <c r="P9682" s="1332"/>
      <c r="Q9682" s="3391"/>
      <c r="R9682" s="2337"/>
    </row>
    <row r="9683" spans="1:18">
      <c r="A9683" s="1042"/>
      <c r="B9683" s="1599"/>
      <c r="C9683" s="1320"/>
      <c r="D9683" s="1404"/>
      <c r="E9683" s="1858"/>
      <c r="F9683" s="1361"/>
      <c r="G9683" s="1361"/>
      <c r="H9683" s="1466"/>
      <c r="I9683" s="1299"/>
      <c r="J9683" s="1300"/>
      <c r="K9683" s="1307"/>
      <c r="L9683" s="1335"/>
      <c r="M9683" s="1302"/>
      <c r="N9683" s="1700"/>
      <c r="O9683" s="1290"/>
      <c r="P9683" s="1332"/>
      <c r="Q9683" s="3391"/>
      <c r="R9683" s="1296"/>
    </row>
    <row r="9684" spans="1:18">
      <c r="A9684" s="1320"/>
      <c r="B9684" s="1599"/>
      <c r="C9684" s="1320"/>
      <c r="D9684" s="1411"/>
      <c r="E9684" s="2123"/>
      <c r="F9684" s="1374" t="s">
        <v>3</v>
      </c>
      <c r="G9684" s="1375"/>
      <c r="H9684" s="1376"/>
      <c r="I9684" s="1382"/>
      <c r="J9684" s="1383"/>
      <c r="K9684" s="1383"/>
      <c r="L9684" s="1413"/>
      <c r="M9684" s="1376"/>
      <c r="N9684" s="1376"/>
      <c r="O9684" s="1376"/>
      <c r="P9684" s="1373"/>
      <c r="Q9684" s="3387"/>
    </row>
    <row r="9685" spans="1:18">
      <c r="A9685" s="1321"/>
      <c r="B9685" s="2053"/>
      <c r="C9685" s="1321"/>
      <c r="D9685" s="1412"/>
      <c r="E9685" s="2124"/>
      <c r="F9685" s="1378"/>
      <c r="G9685" s="1378"/>
      <c r="H9685" s="1379"/>
      <c r="I9685" s="1299"/>
      <c r="J9685" s="1300"/>
      <c r="K9685" s="1307"/>
      <c r="L9685" s="1335"/>
      <c r="M9685" s="1302"/>
      <c r="N9685" s="1700"/>
      <c r="O9685" s="1290"/>
      <c r="P9685" s="1332"/>
      <c r="Q9685" s="3391"/>
    </row>
    <row r="9686" spans="1:18">
      <c r="A9686" s="1321"/>
      <c r="B9686" s="2053"/>
      <c r="C9686" s="1321"/>
      <c r="D9686" s="1412"/>
      <c r="E9686" s="2124"/>
      <c r="F9686" s="1378"/>
      <c r="G9686" s="1378"/>
      <c r="H9686" s="1379"/>
      <c r="I9686" s="1299"/>
      <c r="J9686" s="1300"/>
      <c r="K9686" s="1307"/>
      <c r="L9686" s="1335"/>
      <c r="M9686" s="1302"/>
      <c r="N9686" s="1700"/>
      <c r="O9686" s="1290"/>
      <c r="P9686" s="1333"/>
      <c r="Q9686" s="3391"/>
    </row>
    <row r="9687" spans="1:18">
      <c r="A9687" s="1042"/>
      <c r="B9687" s="1599"/>
      <c r="C9687" s="1042"/>
      <c r="D9687" s="1695"/>
      <c r="E9687" s="2278"/>
      <c r="F9687" s="2279"/>
      <c r="G9687" s="2279"/>
      <c r="H9687" s="2264"/>
      <c r="I9687" s="2280"/>
      <c r="J9687" s="2281"/>
      <c r="K9687" s="2236"/>
      <c r="L9687" s="1594"/>
      <c r="M9687" s="2282"/>
      <c r="N9687" s="2283"/>
      <c r="O9687" s="2237"/>
      <c r="P9687" s="2238"/>
      <c r="Q9687" s="3391"/>
    </row>
    <row r="9688" spans="1:18">
      <c r="A9688" s="2239"/>
      <c r="B9688" s="2239"/>
      <c r="C9688" s="2239"/>
      <c r="D9688" s="2239"/>
      <c r="E9688" s="2284"/>
      <c r="F9688" s="2285"/>
      <c r="G9688" s="2285"/>
      <c r="H9688" s="1707"/>
      <c r="I9688" s="1962"/>
      <c r="J9688" s="1707"/>
      <c r="K9688" s="2241"/>
      <c r="L9688" s="2242"/>
      <c r="M9688" s="1965"/>
      <c r="N9688" s="1965"/>
      <c r="O9688" s="1965"/>
      <c r="P9688" s="1965"/>
      <c r="Q9688" s="3391"/>
      <c r="R9688" s="3497"/>
    </row>
    <row r="9689" spans="1:18">
      <c r="A9689" s="4402" t="s">
        <v>162</v>
      </c>
      <c r="B9689" s="4403"/>
      <c r="C9689" s="4403"/>
      <c r="D9689" s="4404"/>
      <c r="E9689" s="4396" t="s">
        <v>1549</v>
      </c>
      <c r="F9689" s="4397" t="s">
        <v>1550</v>
      </c>
      <c r="G9689" s="4399" t="s">
        <v>1566</v>
      </c>
      <c r="H9689" s="4400"/>
      <c r="I9689" s="4400"/>
      <c r="J9689" s="4400"/>
      <c r="K9689" s="4400"/>
      <c r="L9689" s="4401"/>
      <c r="M9689" s="4405" t="s">
        <v>1567</v>
      </c>
      <c r="N9689" s="4405"/>
      <c r="O9689" s="4405"/>
      <c r="P9689" s="4405"/>
      <c r="Q9689" s="3395"/>
    </row>
    <row r="9690" spans="1:18" ht="15" thickBot="1">
      <c r="A9690" s="1324" t="s">
        <v>3766</v>
      </c>
      <c r="B9690" s="1325" t="s">
        <v>1513</v>
      </c>
      <c r="C9690" s="1326" t="s">
        <v>1573</v>
      </c>
      <c r="D9690" s="1323" t="s">
        <v>1514</v>
      </c>
      <c r="E9690" s="4396"/>
      <c r="F9690" s="4398"/>
      <c r="G9690" s="4402"/>
      <c r="H9690" s="4403"/>
      <c r="I9690" s="4403"/>
      <c r="J9690" s="4403"/>
      <c r="K9690" s="4403"/>
      <c r="L9690" s="4404"/>
      <c r="M9690" s="4405"/>
      <c r="N9690" s="4405"/>
      <c r="O9690" s="4405"/>
      <c r="P9690" s="4405"/>
      <c r="Q9690" s="3395"/>
    </row>
    <row r="9691" spans="1:18" ht="36.75" customHeight="1">
      <c r="A9691" s="4374" t="s">
        <v>2123</v>
      </c>
      <c r="B9691" s="4375"/>
      <c r="C9691" s="4375"/>
      <c r="D9691" s="4376"/>
      <c r="E9691" s="4380" t="s">
        <v>1507</v>
      </c>
      <c r="F9691" s="4382" t="s">
        <v>2120</v>
      </c>
      <c r="G9691" s="4406" t="s">
        <v>294</v>
      </c>
      <c r="H9691" s="4407"/>
      <c r="I9691" s="1665" t="s">
        <v>1565</v>
      </c>
      <c r="J9691" s="3348" t="s">
        <v>1575</v>
      </c>
      <c r="K9691" s="4406" t="s">
        <v>289</v>
      </c>
      <c r="L9691" s="4407"/>
      <c r="M9691" s="4408" t="s">
        <v>3349</v>
      </c>
      <c r="N9691" s="4408"/>
      <c r="O9691" s="4408"/>
      <c r="P9691" s="4409"/>
      <c r="Q9691" s="4244" t="s">
        <v>3977</v>
      </c>
    </row>
    <row r="9692" spans="1:18" ht="27" customHeight="1" thickBot="1">
      <c r="A9692" s="4377"/>
      <c r="B9692" s="4378"/>
      <c r="C9692" s="4378"/>
      <c r="D9692" s="4379"/>
      <c r="E9692" s="4381"/>
      <c r="F9692" s="4383"/>
      <c r="G9692" s="4410">
        <f>IF('Seleccion proyecto HEREVEA02'!G66="Sustitución y reposición",'Seleccion proyecto HEREVEA02'!E65,0)</f>
        <v>0</v>
      </c>
      <c r="H9692" s="4411"/>
      <c r="I9692" s="3353">
        <f>IF('Seleccion proyecto HEREVEA02'!H66=0,0,IF('Seleccion proyecto HEREVEA02'!H66="1 a 30",0,IF('Seleccion proyecto HEREVEA02'!H66="31 a 60",0,IF('Seleccion proyecto HEREVEA02'!H66="61 a 100",1))))</f>
        <v>0</v>
      </c>
      <c r="J9692" s="1351">
        <f>'Seleccion proyecto HEREVEA02'!L8</f>
        <v>11100.968999999999</v>
      </c>
      <c r="K9692" s="4412">
        <f>G9692*I9692*J9692</f>
        <v>0</v>
      </c>
      <c r="L9692" s="4413"/>
      <c r="M9692" s="4360">
        <f>P9694+P9708+P9726</f>
        <v>23.337082500000001</v>
      </c>
      <c r="N9692" s="4361"/>
      <c r="O9692" s="4361"/>
      <c r="P9692" s="4362"/>
      <c r="Q9692" s="4245">
        <f>M9692*K9692</f>
        <v>0</v>
      </c>
      <c r="R9692" s="2358" t="s">
        <v>2124</v>
      </c>
    </row>
    <row r="9693" spans="1:18">
      <c r="A9693" s="18" t="s">
        <v>3764</v>
      </c>
      <c r="B9693" s="4325" t="s">
        <v>2099</v>
      </c>
      <c r="C9693" s="3354"/>
      <c r="D9693" s="4327"/>
      <c r="E9693" s="4329" t="s">
        <v>1507</v>
      </c>
      <c r="F9693" s="4336" t="s">
        <v>2101</v>
      </c>
      <c r="G9693" s="4331" t="s">
        <v>1568</v>
      </c>
      <c r="H9693" s="4331" t="s">
        <v>1574</v>
      </c>
      <c r="I9693" s="1572" t="s">
        <v>1559</v>
      </c>
      <c r="J9693" s="1294" t="s">
        <v>1560</v>
      </c>
      <c r="K9693" s="1294" t="s">
        <v>1569</v>
      </c>
      <c r="L9693" s="4333" t="s">
        <v>3765</v>
      </c>
      <c r="M9693" s="4335" t="s">
        <v>1571</v>
      </c>
      <c r="N9693" s="4323" t="s">
        <v>1776</v>
      </c>
      <c r="O9693" s="3347" t="s">
        <v>1563</v>
      </c>
      <c r="P9693" s="1336" t="s">
        <v>1562</v>
      </c>
      <c r="Q9693" s="3389"/>
      <c r="R9693" s="1699" t="s">
        <v>1327</v>
      </c>
    </row>
    <row r="9694" spans="1:18">
      <c r="A9694" s="1662" t="s">
        <v>2123</v>
      </c>
      <c r="B9694" s="4326"/>
      <c r="C9694" s="3351"/>
      <c r="D9694" s="4328"/>
      <c r="E9694" s="4330"/>
      <c r="F9694" s="4336"/>
      <c r="G9694" s="4332"/>
      <c r="H9694" s="4332"/>
      <c r="I9694" s="1345">
        <v>1</v>
      </c>
      <c r="J9694" s="1307">
        <v>0.25</v>
      </c>
      <c r="K9694" s="1297">
        <f>I9694*J9694</f>
        <v>0.25</v>
      </c>
      <c r="L9694" s="4334"/>
      <c r="M9694" s="4335"/>
      <c r="N9694" s="4324"/>
      <c r="O9694" s="1298">
        <f>SUM(O9696:O9706)</f>
        <v>18.846679999999999</v>
      </c>
      <c r="P9694" s="1337">
        <f>O9694*K9694</f>
        <v>4.7116699999999998</v>
      </c>
      <c r="Q9694" s="3390"/>
      <c r="R9694" s="1721">
        <f>P9700</f>
        <v>4.7116699999999998</v>
      </c>
    </row>
    <row r="9695" spans="1:18">
      <c r="A9695" s="1320"/>
      <c r="B9695" s="22"/>
      <c r="C9695" s="1327"/>
      <c r="D9695" s="1367"/>
      <c r="E9695" s="2121"/>
      <c r="F9695" s="1389" t="s">
        <v>1</v>
      </c>
      <c r="G9695" s="1389"/>
      <c r="H9695" s="1369"/>
      <c r="I9695" s="1409"/>
      <c r="J9695" s="1390"/>
      <c r="K9695" s="1391"/>
      <c r="L9695" s="1559"/>
      <c r="M9695" s="1369"/>
      <c r="N9695" s="1369"/>
      <c r="O9695" s="1369"/>
      <c r="P9695" s="1392"/>
      <c r="Q9695" s="3395"/>
    </row>
    <row r="9696" spans="1:18">
      <c r="A9696" s="1042"/>
      <c r="B9696" s="22"/>
      <c r="C9696" s="1042"/>
      <c r="D9696" s="1672"/>
      <c r="E9696" s="2160"/>
      <c r="F9696" s="1675"/>
      <c r="G9696" s="1675"/>
      <c r="H9696" s="1674"/>
      <c r="I9696" s="1299"/>
      <c r="J9696" s="1300"/>
      <c r="K9696" s="1307"/>
      <c r="L9696" s="1335"/>
      <c r="M9696" s="1302"/>
      <c r="N9696" s="1700"/>
      <c r="O9696" s="1290"/>
      <c r="P9696" s="1332"/>
      <c r="Q9696" s="3391"/>
    </row>
    <row r="9697" spans="1:18">
      <c r="A9697" s="1042"/>
      <c r="B9697" s="22"/>
      <c r="C9697" s="1042"/>
      <c r="D9697" s="1367"/>
      <c r="E9697" s="2121"/>
      <c r="F9697" s="1436"/>
      <c r="G9697" s="1436"/>
      <c r="H9697" s="1369"/>
      <c r="I9697" s="1299"/>
      <c r="J9697" s="1300"/>
      <c r="K9697" s="1307"/>
      <c r="L9697" s="1335"/>
      <c r="M9697" s="1302"/>
      <c r="N9697" s="1700"/>
      <c r="O9697" s="1290"/>
      <c r="P9697" s="1332"/>
      <c r="Q9697" s="3391"/>
    </row>
    <row r="9698" spans="1:18">
      <c r="A9698" s="1042"/>
      <c r="B9698" s="22"/>
      <c r="C9698" s="1042"/>
      <c r="D9698" s="1367"/>
      <c r="E9698" s="2121"/>
      <c r="F9698" s="1436"/>
      <c r="G9698" s="1436"/>
      <c r="H9698" s="1369"/>
      <c r="I9698" s="1299"/>
      <c r="J9698" s="1300"/>
      <c r="K9698" s="1307"/>
      <c r="L9698" s="1335"/>
      <c r="M9698" s="1302"/>
      <c r="N9698" s="1700"/>
      <c r="O9698" s="1290"/>
      <c r="P9698" s="1332"/>
      <c r="Q9698" s="3391"/>
    </row>
    <row r="9699" spans="1:18">
      <c r="A9699" s="1042"/>
      <c r="B9699" s="22"/>
      <c r="C9699" s="1042"/>
      <c r="D9699" s="1359"/>
      <c r="E9699" s="1858"/>
      <c r="F9699" s="1360" t="s">
        <v>2</v>
      </c>
      <c r="G9699" s="1360"/>
      <c r="H9699" s="1362"/>
      <c r="I9699" s="1380"/>
      <c r="J9699" s="1381"/>
      <c r="K9699" s="1381"/>
      <c r="L9699" s="1458"/>
      <c r="M9699" s="1362"/>
      <c r="N9699" s="1362"/>
      <c r="O9699" s="1362"/>
      <c r="P9699" s="1359"/>
      <c r="Q9699" s="3387"/>
    </row>
    <row r="9700" spans="1:18">
      <c r="A9700" s="1321"/>
      <c r="B9700" s="1295"/>
      <c r="C9700" s="1321"/>
      <c r="D9700" s="1363" t="s">
        <v>1067</v>
      </c>
      <c r="E9700" s="2125" t="s">
        <v>1508</v>
      </c>
      <c r="F9700" s="1385" t="s">
        <v>1512</v>
      </c>
      <c r="G9700" s="2019">
        <v>1.0309999999999999</v>
      </c>
      <c r="H9700" s="1386"/>
      <c r="I9700" s="1299"/>
      <c r="J9700" s="1300"/>
      <c r="K9700" s="1307">
        <f>G9700*K9694</f>
        <v>0.25774999999999998</v>
      </c>
      <c r="L9700" s="1335">
        <f>K9700*$K$9692</f>
        <v>0</v>
      </c>
      <c r="M9700" s="1302">
        <v>18.28</v>
      </c>
      <c r="N9700" s="1700"/>
      <c r="O9700" s="1290">
        <f>G9700*M9700</f>
        <v>18.846679999999999</v>
      </c>
      <c r="P9700" s="1332">
        <f>M9700*K9700</f>
        <v>4.7116699999999998</v>
      </c>
      <c r="Q9700" s="3391"/>
    </row>
    <row r="9701" spans="1:18">
      <c r="A9701" s="1320"/>
      <c r="B9701" s="22"/>
      <c r="C9701" s="1320"/>
      <c r="D9701" s="1359"/>
      <c r="E9701" s="1858"/>
      <c r="F9701" s="1404"/>
      <c r="G9701" s="1404"/>
      <c r="H9701" s="1359"/>
      <c r="I9701" s="1299"/>
      <c r="J9701" s="1300"/>
      <c r="K9701" s="1307"/>
      <c r="L9701" s="1335"/>
      <c r="M9701" s="1302"/>
      <c r="N9701" s="1700"/>
      <c r="O9701" s="1290"/>
      <c r="P9701" s="1332"/>
      <c r="Q9701" s="3391"/>
    </row>
    <row r="9702" spans="1:18">
      <c r="A9702" s="1320"/>
      <c r="B9702" s="22"/>
      <c r="C9702" s="1320"/>
      <c r="D9702" s="1359"/>
      <c r="E9702" s="1858"/>
      <c r="F9702" s="1361"/>
      <c r="G9702" s="1361"/>
      <c r="H9702" s="1466"/>
      <c r="I9702" s="1299"/>
      <c r="J9702" s="1300"/>
      <c r="K9702" s="1307"/>
      <c r="L9702" s="1335"/>
      <c r="M9702" s="1302"/>
      <c r="N9702" s="1700"/>
      <c r="O9702" s="1290"/>
      <c r="P9702" s="1332"/>
      <c r="Q9702" s="3391"/>
    </row>
    <row r="9703" spans="1:18">
      <c r="A9703" s="1320"/>
      <c r="B9703" s="22"/>
      <c r="C9703" s="1320"/>
      <c r="D9703" s="1373"/>
      <c r="E9703" s="2123"/>
      <c r="F9703" s="1374" t="s">
        <v>3</v>
      </c>
      <c r="G9703" s="1375"/>
      <c r="H9703" s="1376"/>
      <c r="I9703" s="1382"/>
      <c r="J9703" s="1383"/>
      <c r="K9703" s="1383"/>
      <c r="L9703" s="1413"/>
      <c r="M9703" s="1376"/>
      <c r="N9703" s="1376"/>
      <c r="O9703" s="1376"/>
      <c r="P9703" s="1373"/>
      <c r="Q9703" s="3387"/>
    </row>
    <row r="9704" spans="1:18">
      <c r="A9704" s="1321"/>
      <c r="B9704" s="1295"/>
      <c r="C9704" s="1321"/>
      <c r="D9704" s="1377"/>
      <c r="E9704" s="2124"/>
      <c r="F9704" s="1378"/>
      <c r="G9704" s="1378"/>
      <c r="H9704" s="1379"/>
      <c r="I9704" s="1299"/>
      <c r="J9704" s="1300"/>
      <c r="K9704" s="1307"/>
      <c r="L9704" s="1335"/>
      <c r="M9704" s="1302"/>
      <c r="N9704" s="1700"/>
      <c r="O9704" s="1290"/>
      <c r="P9704" s="1332"/>
      <c r="Q9704" s="3391"/>
    </row>
    <row r="9705" spans="1:18">
      <c r="A9705" s="1321"/>
      <c r="B9705" s="1295"/>
      <c r="C9705" s="1321"/>
      <c r="D9705" s="1377"/>
      <c r="E9705" s="2124"/>
      <c r="F9705" s="1378"/>
      <c r="G9705" s="1378"/>
      <c r="H9705" s="1379"/>
      <c r="I9705" s="1299"/>
      <c r="J9705" s="1300"/>
      <c r="K9705" s="1307"/>
      <c r="L9705" s="1335"/>
      <c r="M9705" s="1302"/>
      <c r="N9705" s="1700"/>
      <c r="O9705" s="1290"/>
      <c r="P9705" s="1333"/>
      <c r="Q9705" s="3391"/>
    </row>
    <row r="9706" spans="1:18">
      <c r="A9706" s="1042"/>
      <c r="B9706" s="22"/>
      <c r="C9706" s="1042"/>
      <c r="D9706" s="1677"/>
      <c r="E9706" s="2161"/>
      <c r="F9706" s="1678"/>
      <c r="G9706" s="1678"/>
      <c r="H9706" s="1376"/>
      <c r="I9706" s="1299"/>
      <c r="J9706" s="1300"/>
      <c r="K9706" s="1307"/>
      <c r="L9706" s="1335"/>
      <c r="M9706" s="1302"/>
      <c r="N9706" s="1700"/>
      <c r="O9706" s="1290"/>
      <c r="P9706" s="1332"/>
      <c r="Q9706" s="3391"/>
    </row>
    <row r="9707" spans="1:18">
      <c r="A9707" s="18" t="s">
        <v>3764</v>
      </c>
      <c r="B9707" s="4325" t="s">
        <v>2114</v>
      </c>
      <c r="C9707" s="3350"/>
      <c r="D9707" s="4327"/>
      <c r="E9707" s="4329" t="s">
        <v>1504</v>
      </c>
      <c r="F9707" s="4336" t="s">
        <v>2115</v>
      </c>
      <c r="G9707" s="4331" t="s">
        <v>1568</v>
      </c>
      <c r="H9707" s="4331" t="s">
        <v>1574</v>
      </c>
      <c r="I9707" s="1572" t="s">
        <v>1559</v>
      </c>
      <c r="J9707" s="1294" t="s">
        <v>1560</v>
      </c>
      <c r="K9707" s="1294" t="s">
        <v>1569</v>
      </c>
      <c r="L9707" s="4333" t="s">
        <v>3765</v>
      </c>
      <c r="M9707" s="4335" t="s">
        <v>1571</v>
      </c>
      <c r="N9707" s="4323" t="s">
        <v>1776</v>
      </c>
      <c r="O9707" s="3347" t="s">
        <v>1563</v>
      </c>
      <c r="P9707" s="1336" t="s">
        <v>1562</v>
      </c>
      <c r="Q9707" s="3389"/>
      <c r="R9707" s="1699" t="s">
        <v>1327</v>
      </c>
    </row>
    <row r="9708" spans="1:18">
      <c r="A9708" s="1662" t="s">
        <v>2123</v>
      </c>
      <c r="B9708" s="4326"/>
      <c r="C9708" s="3351"/>
      <c r="D9708" s="4328"/>
      <c r="E9708" s="4330"/>
      <c r="F9708" s="4336"/>
      <c r="G9708" s="4332"/>
      <c r="H9708" s="4332"/>
      <c r="I9708" s="1345">
        <v>1</v>
      </c>
      <c r="J9708" s="1307">
        <v>0.25</v>
      </c>
      <c r="K9708" s="1297">
        <f>I9708*J9708</f>
        <v>0.25</v>
      </c>
      <c r="L9708" s="4334"/>
      <c r="M9708" s="4335"/>
      <c r="N9708" s="4324"/>
      <c r="O9708" s="1298">
        <f>SUM(O9710:O9717)</f>
        <v>52.534000000000006</v>
      </c>
      <c r="P9708" s="1337">
        <f>O9708*K9708</f>
        <v>13.133500000000002</v>
      </c>
      <c r="Q9708" s="3390"/>
      <c r="R9708" s="1721">
        <f>SUM(P9710:P9717)</f>
        <v>13.133500000000002</v>
      </c>
    </row>
    <row r="9709" spans="1:18">
      <c r="A9709" s="1320"/>
      <c r="B9709" s="22"/>
      <c r="C9709" s="1327"/>
      <c r="D9709" s="1400"/>
      <c r="E9709" s="2121"/>
      <c r="F9709" s="1389" t="s">
        <v>1</v>
      </c>
      <c r="G9709" s="1389"/>
      <c r="H9709" s="1369"/>
      <c r="I9709" s="1409"/>
      <c r="J9709" s="1390"/>
      <c r="K9709" s="1391"/>
      <c r="L9709" s="1559"/>
      <c r="M9709" s="1369"/>
      <c r="N9709" s="1369"/>
      <c r="O9709" s="1369"/>
      <c r="P9709" s="1392"/>
      <c r="Q9709" s="3395"/>
    </row>
    <row r="9710" spans="1:18">
      <c r="A9710" s="16"/>
      <c r="B9710" s="553"/>
      <c r="C9710" s="1320"/>
      <c r="D9710" s="1598" t="s">
        <v>1193</v>
      </c>
      <c r="E9710" s="2154" t="s">
        <v>1357</v>
      </c>
      <c r="F9710" s="1598" t="s">
        <v>2121</v>
      </c>
      <c r="G9710" s="1995">
        <v>15</v>
      </c>
      <c r="H9710" s="1399"/>
      <c r="I9710" s="197"/>
      <c r="J9710" s="198"/>
      <c r="K9710" s="1307">
        <f>G9710*K9708</f>
        <v>3.75</v>
      </c>
      <c r="L9710" s="1335">
        <f>K9710*$K$9692</f>
        <v>0</v>
      </c>
      <c r="M9710" s="1302">
        <v>1.33</v>
      </c>
      <c r="N9710" s="1718"/>
      <c r="O9710" s="1290">
        <f>G9710*M9710</f>
        <v>19.950000000000003</v>
      </c>
      <c r="P9710" s="1332">
        <f>M9710*K9710</f>
        <v>4.9875000000000007</v>
      </c>
      <c r="Q9710" s="3391"/>
      <c r="R9710" s="2337"/>
    </row>
    <row r="9711" spans="1:18">
      <c r="A9711" s="16"/>
      <c r="B9711" s="1042"/>
      <c r="C9711" s="1320"/>
      <c r="D9711" s="1598" t="s">
        <v>1194</v>
      </c>
      <c r="E9711" s="2154" t="s">
        <v>1357</v>
      </c>
      <c r="F9711" s="1598" t="s">
        <v>2122</v>
      </c>
      <c r="G9711" s="1995">
        <v>7.2</v>
      </c>
      <c r="H9711" s="1399"/>
      <c r="I9711" s="197"/>
      <c r="J9711" s="198"/>
      <c r="K9711" s="1307">
        <f>G9711*K9708</f>
        <v>1.8</v>
      </c>
      <c r="L9711" s="1335">
        <f t="shared" ref="L9711:L9712" si="1269">K9711*$K$9692</f>
        <v>0</v>
      </c>
      <c r="M9711" s="1302">
        <v>1.24</v>
      </c>
      <c r="N9711" s="1718"/>
      <c r="O9711" s="1290">
        <f>G9711*M9711</f>
        <v>8.9280000000000008</v>
      </c>
      <c r="P9711" s="1332">
        <f>M9711*K9711</f>
        <v>2.2320000000000002</v>
      </c>
      <c r="Q9711" s="3391"/>
      <c r="R9711" s="2337"/>
    </row>
    <row r="9712" spans="1:18">
      <c r="A9712" s="16"/>
      <c r="B9712" s="553"/>
      <c r="C9712" s="1320"/>
      <c r="D9712" s="1598" t="s">
        <v>1097</v>
      </c>
      <c r="E9712" s="2154" t="s">
        <v>1504</v>
      </c>
      <c r="F9712" s="1598" t="s">
        <v>1632</v>
      </c>
      <c r="G9712" s="1995">
        <v>1</v>
      </c>
      <c r="H9712" s="1399"/>
      <c r="I9712" s="197"/>
      <c r="J9712" s="198"/>
      <c r="K9712" s="1307">
        <f>G9712*K9708</f>
        <v>0.25</v>
      </c>
      <c r="L9712" s="1335">
        <f t="shared" si="1269"/>
        <v>0</v>
      </c>
      <c r="M9712" s="1302">
        <v>0.55000000000000004</v>
      </c>
      <c r="N9712" s="1718"/>
      <c r="O9712" s="1290">
        <f>G9712*M9712</f>
        <v>0.55000000000000004</v>
      </c>
      <c r="P9712" s="1332">
        <f>M9712*K9712</f>
        <v>0.13750000000000001</v>
      </c>
      <c r="Q9712" s="3391"/>
      <c r="R9712" s="2337"/>
    </row>
    <row r="9713" spans="1:18" s="2239" customFormat="1">
      <c r="A9713" s="16"/>
      <c r="B9713" s="553"/>
      <c r="C9713" s="1320"/>
      <c r="D9713" s="1598" t="s">
        <v>1082</v>
      </c>
      <c r="E9713" s="2154" t="s">
        <v>1504</v>
      </c>
      <c r="F9713" s="1598" t="s">
        <v>1541</v>
      </c>
      <c r="G9713" s="1995">
        <v>2</v>
      </c>
      <c r="H9713" s="1399"/>
      <c r="I9713" s="197"/>
      <c r="J9713" s="198"/>
      <c r="K9713" s="1307">
        <f>G9713*K9708</f>
        <v>0.5</v>
      </c>
      <c r="L9713" s="1335">
        <f>K9713*$K$9692</f>
        <v>0</v>
      </c>
      <c r="M9713" s="1302">
        <v>0.3</v>
      </c>
      <c r="N9713" s="1718"/>
      <c r="O9713" s="1290">
        <f>G9713*M9713</f>
        <v>0.6</v>
      </c>
      <c r="P9713" s="1332">
        <f>M9713*K9713</f>
        <v>0.15</v>
      </c>
      <c r="Q9713" s="3391"/>
      <c r="R9713" s="2337"/>
    </row>
    <row r="9714" spans="1:18">
      <c r="A9714" s="1042"/>
      <c r="B9714" s="22"/>
      <c r="C9714" s="1042"/>
      <c r="D9714" s="2039"/>
      <c r="E9714" s="2160"/>
      <c r="F9714" s="1675"/>
      <c r="G9714" s="1675"/>
      <c r="H9714" s="1674"/>
      <c r="I9714" s="1299"/>
      <c r="J9714" s="1300"/>
      <c r="K9714" s="1307"/>
      <c r="L9714" s="1335"/>
      <c r="M9714" s="1302"/>
      <c r="N9714" s="1700"/>
      <c r="O9714" s="1290"/>
      <c r="P9714" s="1332"/>
      <c r="Q9714" s="3391"/>
    </row>
    <row r="9715" spans="1:18">
      <c r="A9715" s="1042"/>
      <c r="B9715" s="22"/>
      <c r="C9715" s="1042"/>
      <c r="D9715" s="1400"/>
      <c r="E9715" s="2121"/>
      <c r="F9715" s="1436"/>
      <c r="G9715" s="1436"/>
      <c r="H9715" s="1369"/>
      <c r="I9715" s="1299"/>
      <c r="J9715" s="1300"/>
      <c r="K9715" s="1307"/>
      <c r="L9715" s="1335"/>
      <c r="M9715" s="1302"/>
      <c r="N9715" s="1700"/>
      <c r="O9715" s="1290"/>
      <c r="P9715" s="1332"/>
      <c r="Q9715" s="3391"/>
    </row>
    <row r="9716" spans="1:18">
      <c r="A9716" s="1042"/>
      <c r="B9716" s="22"/>
      <c r="C9716" s="1042"/>
      <c r="D9716" s="1404"/>
      <c r="E9716" s="1858"/>
      <c r="F9716" s="1360" t="s">
        <v>2</v>
      </c>
      <c r="G9716" s="1360"/>
      <c r="H9716" s="1362"/>
      <c r="I9716" s="1380"/>
      <c r="J9716" s="1381"/>
      <c r="K9716" s="1381"/>
      <c r="L9716" s="1458"/>
      <c r="M9716" s="1362"/>
      <c r="N9716" s="1362"/>
      <c r="O9716" s="1362"/>
      <c r="P9716" s="1359"/>
      <c r="Q9716" s="3387"/>
    </row>
    <row r="9717" spans="1:18">
      <c r="B9717" s="553"/>
      <c r="C9717" s="1938" t="s">
        <v>1755</v>
      </c>
      <c r="D9717" s="1311"/>
      <c r="E9717" s="2176" t="s">
        <v>1508</v>
      </c>
      <c r="F9717" s="2051" t="s">
        <v>1524</v>
      </c>
      <c r="G9717" s="2052"/>
      <c r="H9717" s="1457">
        <v>0.6</v>
      </c>
      <c r="I9717" s="1444"/>
      <c r="J9717" s="1388"/>
      <c r="K9717" s="1445"/>
      <c r="L9717" s="1457"/>
      <c r="M9717" s="1447"/>
      <c r="N9717" s="1447">
        <f>SUM(N9718:N9719)</f>
        <v>37.510000000000005</v>
      </c>
      <c r="O9717" s="1447">
        <f>SUM(O9718:O9719)</f>
        <v>22.506</v>
      </c>
      <c r="P9717" s="1447">
        <f>SUM(P9718:P9719)</f>
        <v>5.6265000000000001</v>
      </c>
      <c r="Q9717" s="3391"/>
      <c r="R9717" s="2337"/>
    </row>
    <row r="9718" spans="1:18">
      <c r="B9718" s="1042"/>
      <c r="C9718" s="88"/>
      <c r="D9718" s="1898" t="s">
        <v>1067</v>
      </c>
      <c r="E9718" s="1857" t="s">
        <v>1508</v>
      </c>
      <c r="F9718" s="1403" t="s">
        <v>5</v>
      </c>
      <c r="G9718" s="1991">
        <v>1</v>
      </c>
      <c r="H9718" s="1937">
        <f>G9718*$H$9717</f>
        <v>0.6</v>
      </c>
      <c r="I9718" s="1286"/>
      <c r="J9718" s="198"/>
      <c r="K9718" s="1307">
        <f>H9718*$K$9708</f>
        <v>0.15</v>
      </c>
      <c r="L9718" s="1335">
        <f>K9718*$K$9692</f>
        <v>0</v>
      </c>
      <c r="M9718" s="1302">
        <v>18.28</v>
      </c>
      <c r="N9718" s="1718">
        <f>G9718*M9718</f>
        <v>18.28</v>
      </c>
      <c r="O9718" s="1290">
        <f>H9718*M9718</f>
        <v>10.968</v>
      </c>
      <c r="P9718" s="1332">
        <f>M9718*K9718</f>
        <v>2.742</v>
      </c>
      <c r="Q9718" s="3391"/>
      <c r="R9718" s="2337"/>
    </row>
    <row r="9719" spans="1:18">
      <c r="B9719" s="1042"/>
      <c r="C9719" s="88"/>
      <c r="D9719" s="1430" t="s">
        <v>1077</v>
      </c>
      <c r="E9719" s="1857" t="s">
        <v>1508</v>
      </c>
      <c r="F9719" s="1403" t="s">
        <v>37</v>
      </c>
      <c r="G9719" s="1991">
        <v>1</v>
      </c>
      <c r="H9719" s="1937">
        <f>G9719*$H$9717</f>
        <v>0.6</v>
      </c>
      <c r="I9719" s="197"/>
      <c r="J9719" s="198"/>
      <c r="K9719" s="1307">
        <f>H9719*$K$9708</f>
        <v>0.15</v>
      </c>
      <c r="L9719" s="1335">
        <f>K9719*$K$9692</f>
        <v>0</v>
      </c>
      <c r="M9719" s="1302">
        <v>19.23</v>
      </c>
      <c r="N9719" s="1718">
        <f>G9719*M9719</f>
        <v>19.23</v>
      </c>
      <c r="O9719" s="1290">
        <f>H9719*M9719</f>
        <v>11.538</v>
      </c>
      <c r="P9719" s="1332">
        <f>M9719*K9719</f>
        <v>2.8845000000000001</v>
      </c>
      <c r="Q9719" s="3391"/>
      <c r="R9719" s="2337"/>
    </row>
    <row r="9720" spans="1:18">
      <c r="A9720" s="1320"/>
      <c r="B9720" s="22"/>
      <c r="C9720" s="1320"/>
      <c r="D9720" s="1404"/>
      <c r="E9720" s="1858"/>
      <c r="F9720" s="1361"/>
      <c r="G9720" s="1361"/>
      <c r="H9720" s="1466"/>
      <c r="I9720" s="1299"/>
      <c r="J9720" s="1300"/>
      <c r="K9720" s="1307"/>
      <c r="L9720" s="1335"/>
      <c r="M9720" s="1302"/>
      <c r="N9720" s="1700"/>
      <c r="O9720" s="1290"/>
      <c r="P9720" s="1332"/>
      <c r="Q9720" s="3391"/>
    </row>
    <row r="9721" spans="1:18">
      <c r="A9721" s="1320"/>
      <c r="B9721" s="22"/>
      <c r="C9721" s="1320"/>
      <c r="D9721" s="1411"/>
      <c r="E9721" s="2123"/>
      <c r="F9721" s="1374" t="s">
        <v>3</v>
      </c>
      <c r="G9721" s="1375"/>
      <c r="H9721" s="1376"/>
      <c r="I9721" s="1382"/>
      <c r="J9721" s="1383"/>
      <c r="K9721" s="1383"/>
      <c r="L9721" s="1413"/>
      <c r="M9721" s="1376"/>
      <c r="N9721" s="1376"/>
      <c r="O9721" s="1376"/>
      <c r="P9721" s="1373"/>
      <c r="Q9721" s="3387"/>
    </row>
    <row r="9722" spans="1:18">
      <c r="A9722" s="1321"/>
      <c r="B9722" s="1295"/>
      <c r="C9722" s="1321"/>
      <c r="D9722" s="1412"/>
      <c r="E9722" s="2124"/>
      <c r="F9722" s="1378"/>
      <c r="G9722" s="1378"/>
      <c r="H9722" s="1379"/>
      <c r="I9722" s="1299"/>
      <c r="J9722" s="1300"/>
      <c r="K9722" s="1307"/>
      <c r="L9722" s="1335"/>
      <c r="M9722" s="1302"/>
      <c r="N9722" s="1700"/>
      <c r="O9722" s="1290"/>
      <c r="P9722" s="1332"/>
      <c r="Q9722" s="3391"/>
    </row>
    <row r="9723" spans="1:18">
      <c r="A9723" s="1321"/>
      <c r="B9723" s="1295"/>
      <c r="C9723" s="1321"/>
      <c r="D9723" s="1412"/>
      <c r="E9723" s="2124"/>
      <c r="F9723" s="1378"/>
      <c r="G9723" s="1378"/>
      <c r="H9723" s="1379"/>
      <c r="I9723" s="1299"/>
      <c r="J9723" s="1300"/>
      <c r="K9723" s="1307"/>
      <c r="L9723" s="1335"/>
      <c r="M9723" s="1302"/>
      <c r="N9723" s="1700"/>
      <c r="O9723" s="1290"/>
      <c r="P9723" s="1333"/>
      <c r="Q9723" s="3391"/>
    </row>
    <row r="9724" spans="1:18">
      <c r="A9724" s="1042"/>
      <c r="B9724" s="22"/>
      <c r="C9724" s="223"/>
      <c r="D9724" s="1695"/>
      <c r="E9724" s="2161"/>
      <c r="F9724" s="1678"/>
      <c r="G9724" s="1678"/>
      <c r="H9724" s="1376"/>
      <c r="I9724" s="1299"/>
      <c r="J9724" s="1300"/>
      <c r="K9724" s="1307"/>
      <c r="L9724" s="1335"/>
      <c r="M9724" s="1302"/>
      <c r="N9724" s="1700"/>
      <c r="O9724" s="1290"/>
      <c r="P9724" s="1332"/>
      <c r="Q9724" s="3391"/>
    </row>
    <row r="9725" spans="1:18">
      <c r="A9725" s="18" t="s">
        <v>3764</v>
      </c>
      <c r="B9725" s="4325" t="s">
        <v>2103</v>
      </c>
      <c r="C9725" s="3350"/>
      <c r="D9725" s="4327"/>
      <c r="E9725" s="4329" t="s">
        <v>1507</v>
      </c>
      <c r="F9725" s="4372" t="s">
        <v>2102</v>
      </c>
      <c r="G9725" s="4331" t="s">
        <v>1568</v>
      </c>
      <c r="H9725" s="4331" t="s">
        <v>1574</v>
      </c>
      <c r="I9725" s="1572" t="s">
        <v>1559</v>
      </c>
      <c r="J9725" s="1294" t="s">
        <v>1560</v>
      </c>
      <c r="K9725" s="1294" t="s">
        <v>1569</v>
      </c>
      <c r="L9725" s="4333" t="s">
        <v>3765</v>
      </c>
      <c r="M9725" s="4335" t="s">
        <v>1571</v>
      </c>
      <c r="N9725" s="4323" t="s">
        <v>1776</v>
      </c>
      <c r="O9725" s="3347" t="s">
        <v>1563</v>
      </c>
      <c r="P9725" s="1336" t="s">
        <v>1562</v>
      </c>
      <c r="Q9725" s="3389"/>
      <c r="R9725" s="1699" t="s">
        <v>1327</v>
      </c>
    </row>
    <row r="9726" spans="1:18">
      <c r="A9726" s="1662" t="s">
        <v>2123</v>
      </c>
      <c r="B9726" s="4326"/>
      <c r="C9726" s="3354"/>
      <c r="D9726" s="4328"/>
      <c r="E9726" s="4330"/>
      <c r="F9726" s="4363"/>
      <c r="G9726" s="4332"/>
      <c r="H9726" s="4332"/>
      <c r="I9726" s="1306">
        <v>3</v>
      </c>
      <c r="J9726" s="1307">
        <v>0.25</v>
      </c>
      <c r="K9726" s="1297">
        <f>I9726*J9726</f>
        <v>0.75</v>
      </c>
      <c r="L9726" s="4334"/>
      <c r="M9726" s="4335"/>
      <c r="N9726" s="4324"/>
      <c r="O9726" s="1298">
        <f>SUM(O9728:O9741)</f>
        <v>7.3225499999999997</v>
      </c>
      <c r="P9726" s="1337">
        <f>O9726*K9726</f>
        <v>5.4919124999999998</v>
      </c>
      <c r="Q9726" s="3390"/>
      <c r="R9726" s="1721">
        <f>SUM(P9728:P9741)</f>
        <v>5.4919124999999998</v>
      </c>
    </row>
    <row r="9727" spans="1:18">
      <c r="A9727" s="1320"/>
      <c r="B9727" s="1599"/>
      <c r="C9727" s="1327"/>
      <c r="D9727" s="1400"/>
      <c r="E9727" s="2121"/>
      <c r="F9727" s="1389" t="s">
        <v>1</v>
      </c>
      <c r="G9727" s="1389"/>
      <c r="H9727" s="1369"/>
      <c r="I9727" s="1409"/>
      <c r="J9727" s="1390"/>
      <c r="K9727" s="1391"/>
      <c r="L9727" s="1559"/>
      <c r="M9727" s="1369"/>
      <c r="N9727" s="1369"/>
      <c r="O9727" s="1369"/>
      <c r="P9727" s="1392"/>
      <c r="Q9727" s="3395"/>
    </row>
    <row r="9728" spans="1:18">
      <c r="A9728" s="1042"/>
      <c r="B9728" s="1599"/>
      <c r="C9728" s="1042"/>
      <c r="D9728" s="1598" t="s">
        <v>1207</v>
      </c>
      <c r="E9728" s="2154" t="s">
        <v>1357</v>
      </c>
      <c r="F9728" s="1598" t="s">
        <v>2104</v>
      </c>
      <c r="G9728" s="1612">
        <v>0.17499999999999999</v>
      </c>
      <c r="H9728" s="1674"/>
      <c r="I9728" s="1299"/>
      <c r="J9728" s="1300"/>
      <c r="K9728" s="1307">
        <f>G9728*K9726</f>
        <v>0.13124999999999998</v>
      </c>
      <c r="L9728" s="1335">
        <f>K9728*$K$9692</f>
        <v>0</v>
      </c>
      <c r="M9728" s="1302">
        <v>4.29</v>
      </c>
      <c r="N9728" s="1700"/>
      <c r="O9728" s="1290">
        <f>G9728*M9728</f>
        <v>0.75074999999999992</v>
      </c>
      <c r="P9728" s="1332">
        <f>M9728*K9728</f>
        <v>0.56306249999999991</v>
      </c>
      <c r="Q9728" s="3391"/>
    </row>
    <row r="9729" spans="1:18">
      <c r="A9729" s="1320"/>
      <c r="B9729" s="553"/>
      <c r="C9729" s="1042"/>
      <c r="D9729" s="1598" t="s">
        <v>2105</v>
      </c>
      <c r="E9729" s="2154" t="s">
        <v>1357</v>
      </c>
      <c r="F9729" s="1598" t="s">
        <v>2106</v>
      </c>
      <c r="G9729" s="1612">
        <v>0.25</v>
      </c>
      <c r="H9729" s="1674"/>
      <c r="I9729" s="1299"/>
      <c r="J9729" s="1300"/>
      <c r="K9729" s="1307">
        <f>G9729*K9726</f>
        <v>0.1875</v>
      </c>
      <c r="L9729" s="1335">
        <f t="shared" ref="L9729:L9730" si="1270">K9729*$K$9692</f>
        <v>0</v>
      </c>
      <c r="M9729" s="1302">
        <v>6.16</v>
      </c>
      <c r="N9729" s="1700"/>
      <c r="O9729" s="1290">
        <f>G9729*M9729</f>
        <v>1.54</v>
      </c>
      <c r="P9729" s="1332">
        <f>M9729*K9729</f>
        <v>1.155</v>
      </c>
      <c r="Q9729" s="3391"/>
      <c r="R9729" s="2337"/>
    </row>
    <row r="9730" spans="1:18">
      <c r="A9730" s="1320"/>
      <c r="B9730" s="553"/>
      <c r="C9730" s="1320"/>
      <c r="D9730" s="1598" t="s">
        <v>1208</v>
      </c>
      <c r="E9730" s="2154" t="s">
        <v>1683</v>
      </c>
      <c r="F9730" s="1598" t="s">
        <v>2107</v>
      </c>
      <c r="G9730" s="1612">
        <v>7.0000000000000007E-2</v>
      </c>
      <c r="H9730" s="1399"/>
      <c r="I9730" s="197"/>
      <c r="J9730" s="198"/>
      <c r="K9730" s="1307">
        <f>G9730*K9726</f>
        <v>5.2500000000000005E-2</v>
      </c>
      <c r="L9730" s="1335">
        <f t="shared" si="1270"/>
        <v>0</v>
      </c>
      <c r="M9730" s="1302">
        <v>1.49</v>
      </c>
      <c r="N9730" s="1718"/>
      <c r="O9730" s="1290">
        <f>G9730*M9730</f>
        <v>0.1043</v>
      </c>
      <c r="P9730" s="1332">
        <f>M9730*K9730</f>
        <v>7.8225000000000003E-2</v>
      </c>
      <c r="Q9730" s="3391"/>
      <c r="R9730" s="2337"/>
    </row>
    <row r="9731" spans="1:18">
      <c r="A9731" s="1320"/>
      <c r="B9731" s="553"/>
      <c r="C9731" s="1320"/>
      <c r="D9731" s="1598" t="s">
        <v>1082</v>
      </c>
      <c r="E9731" s="2154" t="s">
        <v>1504</v>
      </c>
      <c r="F9731" s="1598" t="s">
        <v>1541</v>
      </c>
      <c r="G9731" s="1612">
        <v>0.4</v>
      </c>
      <c r="H9731" s="1399"/>
      <c r="I9731" s="197"/>
      <c r="J9731" s="198"/>
      <c r="K9731" s="1307">
        <f>G9731*K9726</f>
        <v>0.30000000000000004</v>
      </c>
      <c r="L9731" s="1335">
        <f>K9731*$K$9692</f>
        <v>0</v>
      </c>
      <c r="M9731" s="1302">
        <v>0.3</v>
      </c>
      <c r="N9731" s="1718"/>
      <c r="O9731" s="1290">
        <f>G9731*M9731</f>
        <v>0.12</v>
      </c>
      <c r="P9731" s="1332">
        <f>M9731*K9731</f>
        <v>9.0000000000000011E-2</v>
      </c>
      <c r="Q9731" s="3391"/>
      <c r="R9731" s="2337"/>
    </row>
    <row r="9732" spans="1:18">
      <c r="A9732" s="1320"/>
      <c r="B9732" s="553"/>
      <c r="C9732" s="1320"/>
      <c r="D9732" s="1610"/>
      <c r="E9732" s="2154"/>
      <c r="F9732" s="1598"/>
      <c r="G9732" s="1612"/>
      <c r="H9732" s="1399"/>
      <c r="I9732" s="197"/>
      <c r="J9732" s="198"/>
      <c r="K9732" s="1307"/>
      <c r="L9732" s="1335"/>
      <c r="M9732" s="1302"/>
      <c r="N9732" s="1718"/>
      <c r="O9732" s="1290"/>
      <c r="P9732" s="1332"/>
      <c r="Q9732" s="3391"/>
      <c r="R9732" s="2337"/>
    </row>
    <row r="9733" spans="1:18">
      <c r="A9733" s="1042"/>
      <c r="B9733" s="1599"/>
      <c r="C9733" s="1042"/>
      <c r="D9733" s="1400"/>
      <c r="E9733" s="2121"/>
      <c r="F9733" s="1436"/>
      <c r="G9733" s="1436"/>
      <c r="H9733" s="1369"/>
      <c r="I9733" s="1299"/>
      <c r="J9733" s="1300"/>
      <c r="K9733" s="1307"/>
      <c r="L9733" s="1335"/>
      <c r="M9733" s="1302"/>
      <c r="N9733" s="1700"/>
      <c r="O9733" s="1290"/>
      <c r="P9733" s="1332"/>
      <c r="Q9733" s="3391"/>
    </row>
    <row r="9734" spans="1:18">
      <c r="A9734" s="1042"/>
      <c r="B9734" s="1599"/>
      <c r="C9734" s="1042"/>
      <c r="D9734" s="1404"/>
      <c r="E9734" s="1858"/>
      <c r="F9734" s="1360" t="s">
        <v>2</v>
      </c>
      <c r="G9734" s="1360"/>
      <c r="H9734" s="1362"/>
      <c r="I9734" s="1380"/>
      <c r="J9734" s="1381"/>
      <c r="K9734" s="1381"/>
      <c r="L9734" s="1458"/>
      <c r="M9734" s="1362"/>
      <c r="N9734" s="1362"/>
      <c r="O9734" s="1362"/>
      <c r="P9734" s="1359"/>
      <c r="Q9734" s="3387"/>
    </row>
    <row r="9735" spans="1:18">
      <c r="A9735" s="1321"/>
      <c r="B9735" s="2053"/>
      <c r="C9735" s="1321"/>
      <c r="D9735" s="1655" t="s">
        <v>1195</v>
      </c>
      <c r="E9735" s="1859" t="s">
        <v>1508</v>
      </c>
      <c r="F9735" s="1655" t="s">
        <v>1703</v>
      </c>
      <c r="G9735" s="1809">
        <v>0.25</v>
      </c>
      <c r="H9735" s="2019"/>
      <c r="I9735" s="1299"/>
      <c r="J9735" s="1300"/>
      <c r="K9735" s="1307">
        <f>G9735*K9726</f>
        <v>0.1875</v>
      </c>
      <c r="L9735" s="1335">
        <f>K9735*$K$9692</f>
        <v>0</v>
      </c>
      <c r="M9735" s="1302">
        <v>19.23</v>
      </c>
      <c r="N9735" s="1700"/>
      <c r="O9735" s="1290">
        <f>G9735*M9735</f>
        <v>4.8075000000000001</v>
      </c>
      <c r="P9735" s="1332">
        <f>M9735*K9735</f>
        <v>3.6056249999999999</v>
      </c>
      <c r="Q9735" s="3391"/>
    </row>
    <row r="9736" spans="1:18">
      <c r="A9736" s="1042"/>
      <c r="B9736" s="553"/>
      <c r="C9736" s="1042"/>
      <c r="D9736" s="2054"/>
      <c r="E9736" s="1857"/>
      <c r="F9736" s="1403"/>
      <c r="G9736" s="1991"/>
      <c r="H9736" s="1408"/>
      <c r="I9736" s="1286"/>
      <c r="J9736" s="198"/>
      <c r="K9736" s="1307"/>
      <c r="L9736" s="1335"/>
      <c r="M9736" s="1302"/>
      <c r="N9736" s="1718"/>
      <c r="O9736" s="1290"/>
      <c r="P9736" s="1332"/>
      <c r="Q9736" s="3391"/>
      <c r="R9736" s="2337"/>
    </row>
    <row r="9737" spans="1:18">
      <c r="A9737" s="1042"/>
      <c r="B9737" s="1599"/>
      <c r="C9737" s="1320"/>
      <c r="D9737" s="1404"/>
      <c r="E9737" s="1858"/>
      <c r="F9737" s="1361"/>
      <c r="G9737" s="1361"/>
      <c r="H9737" s="1466"/>
      <c r="I9737" s="1299"/>
      <c r="J9737" s="1300"/>
      <c r="K9737" s="1307"/>
      <c r="L9737" s="1335"/>
      <c r="M9737" s="1302"/>
      <c r="N9737" s="1700"/>
      <c r="O9737" s="1290"/>
      <c r="P9737" s="1332"/>
      <c r="Q9737" s="3391"/>
      <c r="R9737" s="1296"/>
    </row>
    <row r="9738" spans="1:18">
      <c r="A9738" s="1320"/>
      <c r="B9738" s="1599"/>
      <c r="C9738" s="1320"/>
      <c r="D9738" s="1411"/>
      <c r="E9738" s="2123"/>
      <c r="F9738" s="1374" t="s">
        <v>3</v>
      </c>
      <c r="G9738" s="1375"/>
      <c r="H9738" s="1376"/>
      <c r="I9738" s="1382"/>
      <c r="J9738" s="1383"/>
      <c r="K9738" s="1383"/>
      <c r="L9738" s="1413"/>
      <c r="M9738" s="1376"/>
      <c r="N9738" s="1376"/>
      <c r="O9738" s="1376"/>
      <c r="P9738" s="1373"/>
      <c r="Q9738" s="3387"/>
    </row>
    <row r="9739" spans="1:18">
      <c r="A9739" s="1321"/>
      <c r="B9739" s="2053"/>
      <c r="C9739" s="1321"/>
      <c r="D9739" s="1412"/>
      <c r="E9739" s="2124"/>
      <c r="F9739" s="1378"/>
      <c r="G9739" s="1378"/>
      <c r="H9739" s="1379"/>
      <c r="I9739" s="1299"/>
      <c r="J9739" s="1300"/>
      <c r="K9739" s="1307"/>
      <c r="L9739" s="1335"/>
      <c r="M9739" s="1302"/>
      <c r="N9739" s="1700"/>
      <c r="O9739" s="1290"/>
      <c r="P9739" s="1332"/>
      <c r="Q9739" s="3391"/>
    </row>
    <row r="9740" spans="1:18">
      <c r="A9740" s="1321"/>
      <c r="B9740" s="2053"/>
      <c r="C9740" s="1321"/>
      <c r="D9740" s="1412"/>
      <c r="E9740" s="2124"/>
      <c r="F9740" s="1378"/>
      <c r="G9740" s="1378"/>
      <c r="H9740" s="1379"/>
      <c r="I9740" s="1299"/>
      <c r="J9740" s="1300"/>
      <c r="K9740" s="1307"/>
      <c r="L9740" s="1335"/>
      <c r="M9740" s="1302"/>
      <c r="N9740" s="1700"/>
      <c r="O9740" s="1290"/>
      <c r="P9740" s="1333"/>
      <c r="Q9740" s="3391"/>
    </row>
    <row r="9741" spans="1:18">
      <c r="A9741" s="223"/>
      <c r="B9741" s="1765"/>
      <c r="C9741" s="223"/>
      <c r="D9741" s="1411"/>
      <c r="E9741" s="2161"/>
      <c r="F9741" s="1678"/>
      <c r="G9741" s="1678"/>
      <c r="H9741" s="1376"/>
      <c r="I9741" s="1299"/>
      <c r="J9741" s="1300"/>
      <c r="K9741" s="1307"/>
      <c r="L9741" s="1335"/>
      <c r="M9741" s="1302"/>
      <c r="N9741" s="1700"/>
      <c r="O9741" s="1290"/>
      <c r="P9741" s="1332"/>
      <c r="Q9741" s="3391"/>
    </row>
    <row r="9743" spans="1:18" ht="15" thickBot="1">
      <c r="E9743" s="3809"/>
    </row>
    <row r="9744" spans="1:18" ht="16" thickBot="1">
      <c r="A9744" s="4232"/>
      <c r="B9744" s="4233"/>
      <c r="C9744" s="4233"/>
      <c r="D9744" s="4233"/>
      <c r="E9744" s="4233"/>
      <c r="F9744" s="4233" t="s">
        <v>3645</v>
      </c>
      <c r="G9744" s="4233"/>
      <c r="H9744" s="4233"/>
      <c r="I9744" s="4233"/>
      <c r="J9744" s="4233"/>
      <c r="K9744" s="4233"/>
      <c r="L9744" s="4233"/>
      <c r="M9744" s="4233"/>
      <c r="N9744" s="4233"/>
      <c r="O9744" s="4233"/>
      <c r="P9744" s="4233"/>
      <c r="Q9744" s="4246"/>
    </row>
    <row r="9745" spans="1:18" ht="54.75" customHeight="1">
      <c r="A9745" s="1295"/>
      <c r="B9745" s="1295"/>
      <c r="C9745" s="1295"/>
      <c r="D9745" s="1295"/>
      <c r="E9745" s="2159"/>
      <c r="F9745" s="1295"/>
      <c r="G9745" s="1295"/>
      <c r="H9745" s="1638"/>
      <c r="I9745" s="1561"/>
      <c r="J9745" s="13"/>
      <c r="K9745" s="1639"/>
      <c r="L9745" s="1640"/>
      <c r="M9745" s="1292"/>
      <c r="N9745" s="1292"/>
      <c r="O9745" s="1292"/>
      <c r="P9745" s="1292"/>
      <c r="Q9745" s="4256" t="s">
        <v>3646</v>
      </c>
    </row>
    <row r="9746" spans="1:18" s="22" customFormat="1" ht="21" customHeight="1" thickBot="1">
      <c r="A9746" s="1295"/>
      <c r="B9746" s="1295"/>
      <c r="C9746" s="1295"/>
      <c r="D9746" s="1295"/>
      <c r="E9746" s="2159"/>
      <c r="F9746" s="1295"/>
      <c r="G9746" s="1295"/>
      <c r="H9746" s="1638"/>
      <c r="I9746" s="1561"/>
      <c r="J9746" s="13"/>
      <c r="K9746" s="1639"/>
      <c r="L9746" s="1640"/>
      <c r="M9746" s="1292"/>
      <c r="N9746" s="1292"/>
      <c r="O9746" s="1292"/>
      <c r="P9746" s="1292"/>
      <c r="Q9746" s="4242">
        <f>SUM(Q9749:Q10308)</f>
        <v>19806.391846935698</v>
      </c>
      <c r="R9746" s="2344"/>
    </row>
    <row r="9747" spans="1:18" s="22" customFormat="1" ht="21" customHeight="1">
      <c r="A9747" s="1295"/>
      <c r="B9747" s="1295"/>
      <c r="C9747" s="1295"/>
      <c r="D9747" s="1295"/>
      <c r="E9747" s="2159"/>
      <c r="F9747" s="1295"/>
      <c r="G9747" s="1295"/>
      <c r="H9747" s="1638"/>
      <c r="I9747" s="1561"/>
      <c r="J9747" s="13"/>
      <c r="K9747" s="1639"/>
      <c r="L9747" s="1640"/>
      <c r="M9747" s="1292"/>
      <c r="N9747" s="1292"/>
      <c r="O9747" s="1292"/>
      <c r="P9747" s="1292"/>
      <c r="Q9747" s="4116"/>
      <c r="R9747" s="2344"/>
    </row>
    <row r="9748" spans="1:18">
      <c r="A9748" s="4391"/>
      <c r="B9748" s="4392"/>
      <c r="C9748" s="4392"/>
      <c r="D9748" s="4392"/>
      <c r="E9748" s="1303" t="s">
        <v>1504</v>
      </c>
      <c r="F9748" s="1305" t="s">
        <v>3647</v>
      </c>
      <c r="G9748" s="1288"/>
      <c r="H9748" s="1288"/>
      <c r="I9748" s="1557"/>
      <c r="J9748" s="1288"/>
      <c r="K9748" s="1288"/>
      <c r="L9748" s="1557"/>
      <c r="M9748" s="1288"/>
      <c r="N9748" s="1288"/>
      <c r="O9748" s="1288"/>
      <c r="P9748" s="1283"/>
      <c r="Q9748" s="3386"/>
    </row>
    <row r="9749" spans="1:18">
      <c r="A9749" s="1304"/>
      <c r="B9749" s="1304"/>
      <c r="C9749" s="1304"/>
      <c r="D9749" s="1304"/>
      <c r="E9749" s="1304"/>
      <c r="F9749" s="1296"/>
      <c r="G9749" s="1296"/>
      <c r="H9749" s="1296"/>
      <c r="I9749" s="1558"/>
      <c r="J9749" s="1296"/>
      <c r="K9749" s="1296"/>
      <c r="L9749" s="1558"/>
      <c r="M9749" s="1296"/>
      <c r="N9749" s="1296"/>
      <c r="O9749" s="1296"/>
      <c r="P9749" s="1296"/>
      <c r="Q9749" s="3386"/>
    </row>
    <row r="9750" spans="1:18">
      <c r="A9750" s="4393" t="s">
        <v>162</v>
      </c>
      <c r="B9750" s="4394"/>
      <c r="C9750" s="4394"/>
      <c r="D9750" s="4395"/>
      <c r="E9750" s="4396" t="s">
        <v>1549</v>
      </c>
      <c r="F9750" s="4397" t="s">
        <v>1550</v>
      </c>
      <c r="G9750" s="4399" t="s">
        <v>1566</v>
      </c>
      <c r="H9750" s="4400"/>
      <c r="I9750" s="4400"/>
      <c r="J9750" s="4400"/>
      <c r="K9750" s="4400"/>
      <c r="L9750" s="4401"/>
      <c r="M9750" s="4405" t="s">
        <v>1567</v>
      </c>
      <c r="N9750" s="4405"/>
      <c r="O9750" s="4405"/>
      <c r="P9750" s="4405"/>
      <c r="Q9750" s="3395"/>
    </row>
    <row r="9751" spans="1:18" ht="15" thickBot="1">
      <c r="A9751" s="1324" t="s">
        <v>3766</v>
      </c>
      <c r="B9751" s="1325" t="s">
        <v>1513</v>
      </c>
      <c r="C9751" s="1326" t="s">
        <v>1573</v>
      </c>
      <c r="D9751" s="1323" t="s">
        <v>1514</v>
      </c>
      <c r="E9751" s="4396"/>
      <c r="F9751" s="4398"/>
      <c r="G9751" s="4402"/>
      <c r="H9751" s="4403"/>
      <c r="I9751" s="4403"/>
      <c r="J9751" s="4403"/>
      <c r="K9751" s="4403"/>
      <c r="L9751" s="4404"/>
      <c r="M9751" s="4405"/>
      <c r="N9751" s="4405"/>
      <c r="O9751" s="4405"/>
      <c r="P9751" s="4405"/>
      <c r="Q9751" s="3395"/>
    </row>
    <row r="9752" spans="1:18" ht="36.75" customHeight="1">
      <c r="A9752" s="4374" t="s">
        <v>3648</v>
      </c>
      <c r="B9752" s="4375"/>
      <c r="C9752" s="4375"/>
      <c r="D9752" s="4376"/>
      <c r="E9752" s="4380" t="s">
        <v>1504</v>
      </c>
      <c r="F9752" s="4382" t="s">
        <v>3649</v>
      </c>
      <c r="G9752" s="4406" t="s">
        <v>1549</v>
      </c>
      <c r="H9752" s="4407"/>
      <c r="I9752" s="1665" t="s">
        <v>1565</v>
      </c>
      <c r="J9752" s="3803" t="s">
        <v>1575</v>
      </c>
      <c r="K9752" s="4406" t="s">
        <v>289</v>
      </c>
      <c r="L9752" s="4407"/>
      <c r="M9752" s="4408" t="s">
        <v>3349</v>
      </c>
      <c r="N9752" s="4408"/>
      <c r="O9752" s="4408"/>
      <c r="P9752" s="4409"/>
      <c r="Q9752" s="4244" t="s">
        <v>3978</v>
      </c>
    </row>
    <row r="9753" spans="1:18" ht="20.25" customHeight="1" thickBot="1">
      <c r="A9753" s="4377"/>
      <c r="B9753" s="4378"/>
      <c r="C9753" s="4378"/>
      <c r="D9753" s="4379"/>
      <c r="E9753" s="4381"/>
      <c r="F9753" s="4383"/>
      <c r="G9753" s="4410">
        <f>IF('Seleccion proyecto HEREVEA02'!G69="Sustitución y reposición de escalera en zonas comunes",'Seleccion proyecto HEREVEA02'!E69,0)</f>
        <v>0</v>
      </c>
      <c r="H9753" s="4411"/>
      <c r="I9753" s="3807">
        <f>IF('Seleccion proyecto HEREVEA02'!H69=0,0,IF('Seleccion proyecto HEREVEA02'!H69=100,1))</f>
        <v>1</v>
      </c>
      <c r="J9753" s="1351">
        <f>'Seleccion proyecto HEREVEA02'!L8</f>
        <v>11100.968999999999</v>
      </c>
      <c r="K9753" s="4412">
        <f>G9753*I9753</f>
        <v>0</v>
      </c>
      <c r="L9753" s="4413"/>
      <c r="M9753" s="4360">
        <f>P9755+P9769+P9784+P9801+P9817+P9833+P9849+P9865+P9882+P9898+P9915+P9932+P9956+P9979+P9998+P10023+P10040</f>
        <v>3299.8091936401997</v>
      </c>
      <c r="N9753" s="4361"/>
      <c r="O9753" s="4361"/>
      <c r="P9753" s="4362"/>
      <c r="Q9753" s="4245">
        <f>M9753*K9753</f>
        <v>0</v>
      </c>
    </row>
    <row r="9754" spans="1:18">
      <c r="A9754" s="18" t="s">
        <v>3764</v>
      </c>
      <c r="B9754" s="4325" t="s">
        <v>3650</v>
      </c>
      <c r="C9754" s="3808"/>
      <c r="D9754" s="4327"/>
      <c r="E9754" s="4329" t="s">
        <v>1527</v>
      </c>
      <c r="F9754" s="4336" t="s">
        <v>3651</v>
      </c>
      <c r="G9754" s="4331" t="s">
        <v>1568</v>
      </c>
      <c r="H9754" s="4331" t="s">
        <v>1574</v>
      </c>
      <c r="I9754" s="1572" t="s">
        <v>1559</v>
      </c>
      <c r="J9754" s="1294" t="s">
        <v>1560</v>
      </c>
      <c r="K9754" s="1294" t="s">
        <v>1569</v>
      </c>
      <c r="L9754" s="4333" t="s">
        <v>3765</v>
      </c>
      <c r="M9754" s="4335" t="s">
        <v>1571</v>
      </c>
      <c r="N9754" s="4323" t="s">
        <v>1776</v>
      </c>
      <c r="O9754" s="3804" t="s">
        <v>1563</v>
      </c>
      <c r="P9754" s="1336" t="s">
        <v>1562</v>
      </c>
      <c r="Q9754" s="3389"/>
      <c r="R9754" s="1699" t="s">
        <v>1327</v>
      </c>
    </row>
    <row r="9755" spans="1:18">
      <c r="A9755" s="1662" t="s">
        <v>3648</v>
      </c>
      <c r="B9755" s="4326"/>
      <c r="C9755" s="3806"/>
      <c r="D9755" s="4328"/>
      <c r="E9755" s="4330"/>
      <c r="F9755" s="4336"/>
      <c r="G9755" s="4332"/>
      <c r="H9755" s="4332"/>
      <c r="I9755" s="1345">
        <v>76.8</v>
      </c>
      <c r="J9755" s="1307">
        <v>0.25</v>
      </c>
      <c r="K9755" s="1297">
        <f>I9755*J9755</f>
        <v>19.2</v>
      </c>
      <c r="L9755" s="4334"/>
      <c r="M9755" s="4335"/>
      <c r="N9755" s="4324"/>
      <c r="O9755" s="1298">
        <f>SUM(O9757:O9767)</f>
        <v>2.5226400000000004</v>
      </c>
      <c r="P9755" s="1337">
        <f>O9755*K9755</f>
        <v>48.434688000000008</v>
      </c>
      <c r="Q9755" s="3390"/>
      <c r="R9755" s="1721">
        <f>P9761</f>
        <v>48.434688000000001</v>
      </c>
    </row>
    <row r="9756" spans="1:18">
      <c r="A9756" s="1320"/>
      <c r="B9756" s="22"/>
      <c r="C9756" s="1327"/>
      <c r="D9756" s="1367"/>
      <c r="E9756" s="2121"/>
      <c r="F9756" s="1389" t="s">
        <v>1</v>
      </c>
      <c r="G9756" s="1389"/>
      <c r="H9756" s="1369"/>
      <c r="I9756" s="1409"/>
      <c r="J9756" s="1390"/>
      <c r="K9756" s="1391"/>
      <c r="L9756" s="1559"/>
      <c r="M9756" s="1369"/>
      <c r="N9756" s="1369"/>
      <c r="O9756" s="1369"/>
      <c r="P9756" s="1392"/>
      <c r="Q9756" s="3395"/>
    </row>
    <row r="9757" spans="1:18">
      <c r="A9757" s="1042"/>
      <c r="B9757" s="22"/>
      <c r="C9757" s="1042"/>
      <c r="D9757" s="1672"/>
      <c r="E9757" s="2160"/>
      <c r="F9757" s="1675"/>
      <c r="G9757" s="1675"/>
      <c r="H9757" s="1674"/>
      <c r="I9757" s="1299"/>
      <c r="J9757" s="1300"/>
      <c r="K9757" s="1307"/>
      <c r="L9757" s="1335"/>
      <c r="M9757" s="1302"/>
      <c r="N9757" s="1700"/>
      <c r="O9757" s="1290"/>
      <c r="P9757" s="1332"/>
      <c r="Q9757" s="3391"/>
    </row>
    <row r="9758" spans="1:18">
      <c r="A9758" s="1042"/>
      <c r="B9758" s="22"/>
      <c r="C9758" s="1042"/>
      <c r="D9758" s="1367"/>
      <c r="E9758" s="2121"/>
      <c r="F9758" s="1436"/>
      <c r="G9758" s="1436"/>
      <c r="H9758" s="1369"/>
      <c r="I9758" s="1299"/>
      <c r="J9758" s="1300"/>
      <c r="K9758" s="1307"/>
      <c r="L9758" s="1335"/>
      <c r="M9758" s="1302"/>
      <c r="N9758" s="1700"/>
      <c r="O9758" s="1290"/>
      <c r="P9758" s="1332"/>
      <c r="Q9758" s="3391"/>
    </row>
    <row r="9759" spans="1:18">
      <c r="A9759" s="1042"/>
      <c r="B9759" s="22"/>
      <c r="C9759" s="1042"/>
      <c r="D9759" s="1367"/>
      <c r="E9759" s="2121"/>
      <c r="F9759" s="1436"/>
      <c r="G9759" s="1436"/>
      <c r="H9759" s="1369"/>
      <c r="I9759" s="1299"/>
      <c r="J9759" s="1300"/>
      <c r="K9759" s="1307"/>
      <c r="L9759" s="1335"/>
      <c r="M9759" s="1302"/>
      <c r="N9759" s="1700"/>
      <c r="O9759" s="1290"/>
      <c r="P9759" s="1332"/>
      <c r="Q9759" s="3391"/>
    </row>
    <row r="9760" spans="1:18">
      <c r="A9760" s="1042"/>
      <c r="B9760" s="22"/>
      <c r="C9760" s="1042"/>
      <c r="D9760" s="1359"/>
      <c r="E9760" s="1858"/>
      <c r="F9760" s="1360" t="s">
        <v>2</v>
      </c>
      <c r="G9760" s="1360"/>
      <c r="H9760" s="1362"/>
      <c r="I9760" s="1380"/>
      <c r="J9760" s="1381"/>
      <c r="K9760" s="1381"/>
      <c r="L9760" s="1458"/>
      <c r="M9760" s="1362"/>
      <c r="N9760" s="1362"/>
      <c r="O9760" s="1362"/>
      <c r="P9760" s="1359"/>
      <c r="Q9760" s="3387"/>
    </row>
    <row r="9761" spans="1:18">
      <c r="A9761" s="1321"/>
      <c r="B9761" s="1295"/>
      <c r="C9761" s="1321"/>
      <c r="D9761" s="1363" t="s">
        <v>1067</v>
      </c>
      <c r="E9761" s="2125" t="s">
        <v>1508</v>
      </c>
      <c r="F9761" s="1385" t="s">
        <v>1512</v>
      </c>
      <c r="G9761" s="2019">
        <v>0.13800000000000001</v>
      </c>
      <c r="H9761" s="1386"/>
      <c r="I9761" s="1299"/>
      <c r="J9761" s="1300"/>
      <c r="K9761" s="1307">
        <f>G9761*K9755</f>
        <v>2.6496</v>
      </c>
      <c r="L9761" s="1335">
        <f>K9761*$K$9753</f>
        <v>0</v>
      </c>
      <c r="M9761" s="1302">
        <v>18.28</v>
      </c>
      <c r="N9761" s="1700"/>
      <c r="O9761" s="1290">
        <f>G9761*M9761</f>
        <v>2.5226400000000004</v>
      </c>
      <c r="P9761" s="1332">
        <f>M9761*K9761</f>
        <v>48.434688000000001</v>
      </c>
      <c r="Q9761" s="3391"/>
    </row>
    <row r="9762" spans="1:18">
      <c r="A9762" s="1320"/>
      <c r="B9762" s="22"/>
      <c r="C9762" s="1320"/>
      <c r="D9762" s="1359"/>
      <c r="E9762" s="1858"/>
      <c r="F9762" s="1404"/>
      <c r="G9762" s="1404"/>
      <c r="H9762" s="1359"/>
      <c r="I9762" s="1299"/>
      <c r="J9762" s="1300"/>
      <c r="K9762" s="1307"/>
      <c r="L9762" s="1335"/>
      <c r="M9762" s="1302"/>
      <c r="N9762" s="1700"/>
      <c r="O9762" s="1290"/>
      <c r="P9762" s="1332"/>
      <c r="Q9762" s="3391"/>
    </row>
    <row r="9763" spans="1:18">
      <c r="A9763" s="1320"/>
      <c r="B9763" s="22"/>
      <c r="C9763" s="1320"/>
      <c r="D9763" s="1359"/>
      <c r="E9763" s="1858"/>
      <c r="F9763" s="1361"/>
      <c r="G9763" s="1361"/>
      <c r="H9763" s="1466"/>
      <c r="I9763" s="1299"/>
      <c r="J9763" s="1300"/>
      <c r="K9763" s="1307"/>
      <c r="L9763" s="1335"/>
      <c r="M9763" s="1302"/>
      <c r="N9763" s="1700"/>
      <c r="O9763" s="1290"/>
      <c r="P9763" s="1332"/>
      <c r="Q9763" s="3391"/>
    </row>
    <row r="9764" spans="1:18">
      <c r="A9764" s="1320"/>
      <c r="B9764" s="22"/>
      <c r="C9764" s="1320"/>
      <c r="D9764" s="1373"/>
      <c r="E9764" s="2123"/>
      <c r="F9764" s="1374" t="s">
        <v>3</v>
      </c>
      <c r="G9764" s="1375"/>
      <c r="H9764" s="1376"/>
      <c r="I9764" s="1382"/>
      <c r="J9764" s="1383"/>
      <c r="K9764" s="1383"/>
      <c r="L9764" s="1413"/>
      <c r="M9764" s="1376"/>
      <c r="N9764" s="1376"/>
      <c r="O9764" s="1376"/>
      <c r="P9764" s="1373"/>
      <c r="Q9764" s="3387"/>
    </row>
    <row r="9765" spans="1:18">
      <c r="A9765" s="1321"/>
      <c r="B9765" s="1295"/>
      <c r="C9765" s="1321"/>
      <c r="D9765" s="1377"/>
      <c r="E9765" s="2124"/>
      <c r="F9765" s="1378"/>
      <c r="G9765" s="1378"/>
      <c r="H9765" s="1379"/>
      <c r="I9765" s="1299"/>
      <c r="J9765" s="1300"/>
      <c r="K9765" s="1307"/>
      <c r="L9765" s="1335"/>
      <c r="M9765" s="1302"/>
      <c r="N9765" s="1700"/>
      <c r="O9765" s="1290"/>
      <c r="P9765" s="1332"/>
      <c r="Q9765" s="3391"/>
    </row>
    <row r="9766" spans="1:18">
      <c r="A9766" s="1321"/>
      <c r="B9766" s="1295"/>
      <c r="C9766" s="1321"/>
      <c r="D9766" s="1377"/>
      <c r="E9766" s="2124"/>
      <c r="F9766" s="1378"/>
      <c r="G9766" s="1378"/>
      <c r="H9766" s="1379"/>
      <c r="I9766" s="1299"/>
      <c r="J9766" s="1300"/>
      <c r="K9766" s="1307"/>
      <c r="L9766" s="1335"/>
      <c r="M9766" s="1302"/>
      <c r="N9766" s="1700"/>
      <c r="O9766" s="1290"/>
      <c r="P9766" s="1333"/>
      <c r="Q9766" s="3391"/>
    </row>
    <row r="9767" spans="1:18">
      <c r="A9767" s="1042"/>
      <c r="B9767" s="22"/>
      <c r="C9767" s="1042"/>
      <c r="D9767" s="1677"/>
      <c r="E9767" s="2161"/>
      <c r="F9767" s="1678"/>
      <c r="G9767" s="1678"/>
      <c r="H9767" s="1376"/>
      <c r="I9767" s="1299"/>
      <c r="J9767" s="1300"/>
      <c r="K9767" s="1307"/>
      <c r="L9767" s="1335"/>
      <c r="M9767" s="1302"/>
      <c r="N9767" s="1700"/>
      <c r="O9767" s="1290"/>
      <c r="P9767" s="1332"/>
      <c r="Q9767" s="3391"/>
    </row>
    <row r="9768" spans="1:18">
      <c r="A9768" s="18" t="s">
        <v>3764</v>
      </c>
      <c r="B9768" s="4325" t="s">
        <v>3652</v>
      </c>
      <c r="C9768" s="3805"/>
      <c r="D9768" s="4327"/>
      <c r="E9768" s="4329" t="s">
        <v>1527</v>
      </c>
      <c r="F9768" s="4336" t="s">
        <v>3691</v>
      </c>
      <c r="G9768" s="4331" t="s">
        <v>1568</v>
      </c>
      <c r="H9768" s="4331" t="s">
        <v>1574</v>
      </c>
      <c r="I9768" s="1572" t="s">
        <v>1559</v>
      </c>
      <c r="J9768" s="1294" t="s">
        <v>1560</v>
      </c>
      <c r="K9768" s="1294" t="s">
        <v>1569</v>
      </c>
      <c r="L9768" s="4333" t="s">
        <v>3765</v>
      </c>
      <c r="M9768" s="4335" t="s">
        <v>1571</v>
      </c>
      <c r="N9768" s="4323" t="s">
        <v>1776</v>
      </c>
      <c r="O9768" s="3804" t="s">
        <v>1563</v>
      </c>
      <c r="P9768" s="1336" t="s">
        <v>1562</v>
      </c>
      <c r="Q9768" s="3389"/>
      <c r="R9768" s="1699" t="s">
        <v>1327</v>
      </c>
    </row>
    <row r="9769" spans="1:18">
      <c r="A9769" s="1662" t="s">
        <v>3648</v>
      </c>
      <c r="B9769" s="4326"/>
      <c r="C9769" s="3806"/>
      <c r="D9769" s="4328"/>
      <c r="E9769" s="4330"/>
      <c r="F9769" s="4336"/>
      <c r="G9769" s="4332"/>
      <c r="H9769" s="4332"/>
      <c r="I9769" s="1345">
        <v>19.2</v>
      </c>
      <c r="J9769" s="1307">
        <v>0.25</v>
      </c>
      <c r="K9769" s="1297">
        <f>I9769*J9769</f>
        <v>4.8</v>
      </c>
      <c r="L9769" s="4334"/>
      <c r="M9769" s="4335"/>
      <c r="N9769" s="4324"/>
      <c r="O9769" s="1298">
        <f>SUM(O9771:O9782)</f>
        <v>4.9546000000000001</v>
      </c>
      <c r="P9769" s="1337">
        <f>O9769*K9769</f>
        <v>23.782080000000001</v>
      </c>
      <c r="Q9769" s="3390"/>
      <c r="R9769" s="1721">
        <f>SUM(P9771:P9782)</f>
        <v>23.782080000000001</v>
      </c>
    </row>
    <row r="9770" spans="1:18">
      <c r="A9770" s="1320"/>
      <c r="B9770" s="22"/>
      <c r="C9770" s="1327"/>
      <c r="D9770" s="1400"/>
      <c r="E9770" s="2121"/>
      <c r="F9770" s="1389" t="s">
        <v>1</v>
      </c>
      <c r="G9770" s="1389"/>
      <c r="H9770" s="1369"/>
      <c r="I9770" s="1409"/>
      <c r="J9770" s="1390"/>
      <c r="K9770" s="1391"/>
      <c r="L9770" s="1559"/>
      <c r="M9770" s="1369"/>
      <c r="N9770" s="1369"/>
      <c r="O9770" s="1369"/>
      <c r="P9770" s="1392"/>
      <c r="Q9770" s="3395"/>
    </row>
    <row r="9771" spans="1:18">
      <c r="A9771" s="16"/>
      <c r="B9771" s="553"/>
      <c r="C9771" s="1320"/>
      <c r="D9771" s="1610"/>
      <c r="E9771" s="2154"/>
      <c r="F9771" s="1598"/>
      <c r="G9771" s="1612"/>
      <c r="H9771" s="1399"/>
      <c r="I9771" s="197"/>
      <c r="J9771" s="198"/>
      <c r="K9771" s="1307"/>
      <c r="L9771" s="1335"/>
      <c r="M9771" s="1302"/>
      <c r="N9771" s="1718"/>
      <c r="O9771" s="1290"/>
      <c r="P9771" s="1332"/>
      <c r="Q9771" s="3391"/>
      <c r="R9771" s="2337"/>
    </row>
    <row r="9772" spans="1:18">
      <c r="A9772" s="16"/>
      <c r="B9772" s="1042"/>
      <c r="C9772" s="1320"/>
      <c r="D9772" s="1598"/>
      <c r="E9772" s="2154"/>
      <c r="F9772" s="1598"/>
      <c r="G9772" s="1612"/>
      <c r="H9772" s="1399"/>
      <c r="I9772" s="197"/>
      <c r="J9772" s="198"/>
      <c r="K9772" s="1307"/>
      <c r="L9772" s="1335"/>
      <c r="M9772" s="1302"/>
      <c r="N9772" s="1718"/>
      <c r="O9772" s="1290"/>
      <c r="P9772" s="1332"/>
      <c r="Q9772" s="3391"/>
      <c r="R9772" s="2337"/>
    </row>
    <row r="9773" spans="1:18">
      <c r="A9773" s="16"/>
      <c r="B9773" s="553"/>
      <c r="C9773" s="1320"/>
      <c r="D9773" s="1400"/>
      <c r="E9773" s="1856"/>
      <c r="F9773" s="1397"/>
      <c r="G9773" s="1416"/>
      <c r="H9773" s="1399"/>
      <c r="I9773" s="197"/>
      <c r="J9773" s="198"/>
      <c r="K9773" s="1307"/>
      <c r="L9773" s="1335"/>
      <c r="M9773" s="1302"/>
      <c r="N9773" s="1718"/>
      <c r="O9773" s="1290"/>
      <c r="P9773" s="1332"/>
      <c r="Q9773" s="3391"/>
      <c r="R9773" s="2337"/>
    </row>
    <row r="9774" spans="1:18">
      <c r="A9774" s="1042"/>
      <c r="B9774" s="22"/>
      <c r="C9774" s="1042"/>
      <c r="D9774" s="1400"/>
      <c r="E9774" s="2121"/>
      <c r="F9774" s="1436"/>
      <c r="G9774" s="1436"/>
      <c r="H9774" s="1369"/>
      <c r="I9774" s="1299"/>
      <c r="J9774" s="1300"/>
      <c r="K9774" s="1307"/>
      <c r="L9774" s="1335"/>
      <c r="M9774" s="1302"/>
      <c r="N9774" s="1700"/>
      <c r="O9774" s="1290"/>
      <c r="P9774" s="1332"/>
      <c r="Q9774" s="3391"/>
    </row>
    <row r="9775" spans="1:18">
      <c r="A9775" s="1042"/>
      <c r="B9775" s="22"/>
      <c r="C9775" s="1042"/>
      <c r="D9775" s="1404"/>
      <c r="E9775" s="1858"/>
      <c r="F9775" s="1360" t="s">
        <v>2</v>
      </c>
      <c r="G9775" s="1360"/>
      <c r="H9775" s="1362"/>
      <c r="I9775" s="1380"/>
      <c r="J9775" s="1381"/>
      <c r="K9775" s="1381"/>
      <c r="L9775" s="1458"/>
      <c r="M9775" s="1362"/>
      <c r="N9775" s="1362"/>
      <c r="O9775" s="1362"/>
      <c r="P9775" s="1359"/>
      <c r="Q9775" s="3387"/>
    </row>
    <row r="9776" spans="1:18">
      <c r="A9776" s="1321"/>
      <c r="B9776" s="1295"/>
      <c r="C9776" s="1321"/>
      <c r="D9776" s="1622" t="s">
        <v>1111</v>
      </c>
      <c r="E9776" s="2125" t="s">
        <v>1508</v>
      </c>
      <c r="F9776" s="1385" t="s">
        <v>2069</v>
      </c>
      <c r="G9776" s="2019">
        <v>0.02</v>
      </c>
      <c r="H9776" s="1386"/>
      <c r="I9776" s="1299"/>
      <c r="J9776" s="1300"/>
      <c r="K9776" s="1307">
        <f>G9776*K9769</f>
        <v>9.6000000000000002E-2</v>
      </c>
      <c r="L9776" s="1335">
        <f>K9776*$K$9753</f>
        <v>0</v>
      </c>
      <c r="M9776" s="1302">
        <v>19.23</v>
      </c>
      <c r="N9776" s="1700"/>
      <c r="O9776" s="1290">
        <f>G9776*M9776</f>
        <v>0.3846</v>
      </c>
      <c r="P9776" s="1332">
        <f>M9776*K9776</f>
        <v>1.8460800000000002</v>
      </c>
      <c r="Q9776" s="3391"/>
    </row>
    <row r="9777" spans="1:18">
      <c r="A9777" s="1320"/>
      <c r="B9777" s="22"/>
      <c r="C9777" s="1320"/>
      <c r="D9777" s="1993" t="s">
        <v>1067</v>
      </c>
      <c r="E9777" s="1859" t="s">
        <v>1508</v>
      </c>
      <c r="F9777" s="1655" t="s">
        <v>1512</v>
      </c>
      <c r="G9777" s="1809">
        <v>0.25</v>
      </c>
      <c r="H9777" s="1359"/>
      <c r="I9777" s="1299"/>
      <c r="J9777" s="1300"/>
      <c r="K9777" s="1307">
        <f>G9777*K9769</f>
        <v>1.2</v>
      </c>
      <c r="L9777" s="1335">
        <f>K9777*$K$9753</f>
        <v>0</v>
      </c>
      <c r="M9777" s="1302">
        <v>18.28</v>
      </c>
      <c r="N9777" s="1700"/>
      <c r="O9777" s="1290">
        <f>G9777*M9777</f>
        <v>4.57</v>
      </c>
      <c r="P9777" s="1332">
        <f>M9777*K9777</f>
        <v>21.936</v>
      </c>
      <c r="Q9777" s="3391"/>
    </row>
    <row r="9778" spans="1:18">
      <c r="A9778" s="1320"/>
      <c r="B9778" s="22"/>
      <c r="C9778" s="1320"/>
      <c r="D9778" s="1404"/>
      <c r="E9778" s="1858"/>
      <c r="F9778" s="1361"/>
      <c r="G9778" s="1361"/>
      <c r="H9778" s="1466"/>
      <c r="I9778" s="1299"/>
      <c r="J9778" s="1300"/>
      <c r="K9778" s="1307"/>
      <c r="L9778" s="1335"/>
      <c r="M9778" s="1302"/>
      <c r="N9778" s="1700"/>
      <c r="O9778" s="1290"/>
      <c r="P9778" s="1332"/>
      <c r="Q9778" s="3391"/>
    </row>
    <row r="9779" spans="1:18">
      <c r="A9779" s="1320"/>
      <c r="B9779" s="22"/>
      <c r="C9779" s="1320"/>
      <c r="D9779" s="1411"/>
      <c r="E9779" s="2123"/>
      <c r="F9779" s="1374" t="s">
        <v>3</v>
      </c>
      <c r="G9779" s="1375"/>
      <c r="H9779" s="1376"/>
      <c r="I9779" s="1382"/>
      <c r="J9779" s="1383"/>
      <c r="K9779" s="1383"/>
      <c r="L9779" s="1413"/>
      <c r="M9779" s="1376"/>
      <c r="N9779" s="1376"/>
      <c r="O9779" s="1376"/>
      <c r="P9779" s="1373"/>
      <c r="Q9779" s="3387"/>
    </row>
    <row r="9780" spans="1:18">
      <c r="A9780" s="1321"/>
      <c r="B9780" s="1295"/>
      <c r="C9780" s="1321"/>
      <c r="D9780" s="1412"/>
      <c r="E9780" s="2124"/>
      <c r="F9780" s="1378"/>
      <c r="G9780" s="1378"/>
      <c r="H9780" s="1379"/>
      <c r="I9780" s="1299"/>
      <c r="J9780" s="1300"/>
      <c r="K9780" s="1307"/>
      <c r="L9780" s="1335"/>
      <c r="M9780" s="1302"/>
      <c r="N9780" s="1700"/>
      <c r="O9780" s="1290"/>
      <c r="P9780" s="1332"/>
      <c r="Q9780" s="3391"/>
    </row>
    <row r="9781" spans="1:18">
      <c r="A9781" s="1321"/>
      <c r="B9781" s="1295"/>
      <c r="C9781" s="1321"/>
      <c r="D9781" s="1412"/>
      <c r="E9781" s="2124"/>
      <c r="F9781" s="1378"/>
      <c r="G9781" s="1378"/>
      <c r="H9781" s="1379"/>
      <c r="I9781" s="1299"/>
      <c r="J9781" s="1300"/>
      <c r="K9781" s="1307"/>
      <c r="L9781" s="1335"/>
      <c r="M9781" s="1302"/>
      <c r="N9781" s="1700"/>
      <c r="O9781" s="1290"/>
      <c r="P9781" s="1333"/>
      <c r="Q9781" s="3391"/>
    </row>
    <row r="9782" spans="1:18">
      <c r="A9782" s="1042"/>
      <c r="B9782" s="22"/>
      <c r="C9782" s="223"/>
      <c r="D9782" s="1695"/>
      <c r="E9782" s="2161"/>
      <c r="F9782" s="1678"/>
      <c r="G9782" s="1678"/>
      <c r="H9782" s="1376"/>
      <c r="I9782" s="1299"/>
      <c r="J9782" s="1300"/>
      <c r="K9782" s="1307"/>
      <c r="L9782" s="1335"/>
      <c r="M9782" s="1302"/>
      <c r="N9782" s="1700"/>
      <c r="O9782" s="1290"/>
      <c r="P9782" s="1332"/>
      <c r="Q9782" s="3391"/>
    </row>
    <row r="9783" spans="1:18">
      <c r="A9783" s="18" t="s">
        <v>3764</v>
      </c>
      <c r="B9783" s="4325" t="s">
        <v>3653</v>
      </c>
      <c r="C9783" s="3805"/>
      <c r="D9783" s="4327"/>
      <c r="E9783" s="4329" t="s">
        <v>1527</v>
      </c>
      <c r="F9783" s="4372" t="s">
        <v>3654</v>
      </c>
      <c r="G9783" s="4331" t="s">
        <v>1568</v>
      </c>
      <c r="H9783" s="4331" t="s">
        <v>1574</v>
      </c>
      <c r="I9783" s="1572" t="s">
        <v>1559</v>
      </c>
      <c r="J9783" s="1294" t="s">
        <v>1560</v>
      </c>
      <c r="K9783" s="1294" t="s">
        <v>1569</v>
      </c>
      <c r="L9783" s="4333" t="s">
        <v>3765</v>
      </c>
      <c r="M9783" s="4335" t="s">
        <v>1571</v>
      </c>
      <c r="N9783" s="4323" t="s">
        <v>1776</v>
      </c>
      <c r="O9783" s="3804" t="s">
        <v>1563</v>
      </c>
      <c r="P9783" s="1336" t="s">
        <v>1562</v>
      </c>
      <c r="Q9783" s="3389"/>
      <c r="R9783" s="1699" t="s">
        <v>1327</v>
      </c>
    </row>
    <row r="9784" spans="1:18">
      <c r="A9784" s="1662" t="s">
        <v>3648</v>
      </c>
      <c r="B9784" s="4326"/>
      <c r="C9784" s="3808"/>
      <c r="D9784" s="4328"/>
      <c r="E9784" s="4330"/>
      <c r="F9784" s="4363"/>
      <c r="G9784" s="4332"/>
      <c r="H9784" s="4332"/>
      <c r="I9784" s="1306">
        <v>76.8</v>
      </c>
      <c r="J9784" s="1307">
        <v>0.25</v>
      </c>
      <c r="K9784" s="1297">
        <f>I9784*J9784</f>
        <v>19.2</v>
      </c>
      <c r="L9784" s="4334"/>
      <c r="M9784" s="4335"/>
      <c r="N9784" s="4324"/>
      <c r="O9784" s="1298">
        <f>SUM(O9786:O9799)</f>
        <v>2.5957599999999998</v>
      </c>
      <c r="P9784" s="1337">
        <f>O9784*K9784</f>
        <v>49.838591999999998</v>
      </c>
      <c r="Q9784" s="3390"/>
      <c r="R9784" s="1721">
        <f>SUM(P9786:P9799)</f>
        <v>49.838591999999991</v>
      </c>
    </row>
    <row r="9785" spans="1:18">
      <c r="A9785" s="1320"/>
      <c r="B9785" s="1599"/>
      <c r="C9785" s="1327"/>
      <c r="D9785" s="1400"/>
      <c r="E9785" s="2121"/>
      <c r="F9785" s="1389" t="s">
        <v>1</v>
      </c>
      <c r="G9785" s="1389"/>
      <c r="H9785" s="1369"/>
      <c r="I9785" s="1409"/>
      <c r="J9785" s="1390"/>
      <c r="K9785" s="1391"/>
      <c r="L9785" s="1559"/>
      <c r="M9785" s="1369"/>
      <c r="N9785" s="1369"/>
      <c r="O9785" s="1369"/>
      <c r="P9785" s="1392"/>
      <c r="Q9785" s="3395"/>
    </row>
    <row r="9786" spans="1:18">
      <c r="A9786" s="1042"/>
      <c r="B9786" s="1599"/>
      <c r="C9786" s="1042"/>
      <c r="D9786" s="1598"/>
      <c r="E9786" s="2154"/>
      <c r="F9786" s="1598"/>
      <c r="G9786" s="1612"/>
      <c r="H9786" s="1674"/>
      <c r="I9786" s="1299"/>
      <c r="J9786" s="1300"/>
      <c r="K9786" s="1307"/>
      <c r="L9786" s="1335"/>
      <c r="M9786" s="1302"/>
      <c r="N9786" s="1700"/>
      <c r="O9786" s="1290"/>
      <c r="P9786" s="1332"/>
      <c r="Q9786" s="3391"/>
    </row>
    <row r="9787" spans="1:18">
      <c r="A9787" s="1320"/>
      <c r="B9787" s="553"/>
      <c r="C9787" s="1042"/>
      <c r="D9787" s="1598"/>
      <c r="E9787" s="2154"/>
      <c r="F9787" s="1598"/>
      <c r="G9787" s="1612"/>
      <c r="H9787" s="1674"/>
      <c r="I9787" s="1299"/>
      <c r="J9787" s="1300"/>
      <c r="K9787" s="1307"/>
      <c r="L9787" s="1335"/>
      <c r="M9787" s="1302"/>
      <c r="N9787" s="1700"/>
      <c r="O9787" s="1290"/>
      <c r="P9787" s="1332"/>
      <c r="Q9787" s="3391"/>
      <c r="R9787" s="2337"/>
    </row>
    <row r="9788" spans="1:18">
      <c r="A9788" s="1320"/>
      <c r="B9788" s="553"/>
      <c r="C9788" s="1320"/>
      <c r="D9788" s="1598"/>
      <c r="E9788" s="2154"/>
      <c r="F9788" s="1598"/>
      <c r="G9788" s="1612"/>
      <c r="H9788" s="1399"/>
      <c r="I9788" s="197"/>
      <c r="J9788" s="198"/>
      <c r="K9788" s="1307"/>
      <c r="L9788" s="1335"/>
      <c r="M9788" s="1302"/>
      <c r="N9788" s="1718"/>
      <c r="O9788" s="1290"/>
      <c r="P9788" s="1332"/>
      <c r="Q9788" s="3391"/>
      <c r="R9788" s="2337"/>
    </row>
    <row r="9789" spans="1:18">
      <c r="A9789" s="1320"/>
      <c r="B9789" s="553"/>
      <c r="C9789" s="1320"/>
      <c r="D9789" s="1598"/>
      <c r="E9789" s="2154"/>
      <c r="F9789" s="1598"/>
      <c r="G9789" s="1612"/>
      <c r="H9789" s="1399"/>
      <c r="I9789" s="197"/>
      <c r="J9789" s="198"/>
      <c r="K9789" s="1307"/>
      <c r="L9789" s="1335"/>
      <c r="M9789" s="1302"/>
      <c r="N9789" s="1718"/>
      <c r="O9789" s="1290"/>
      <c r="P9789" s="1332"/>
      <c r="Q9789" s="3391"/>
      <c r="R9789" s="2337"/>
    </row>
    <row r="9790" spans="1:18">
      <c r="A9790" s="1042"/>
      <c r="B9790" s="1599"/>
      <c r="C9790" s="1042"/>
      <c r="D9790" s="1400"/>
      <c r="E9790" s="2121"/>
      <c r="F9790" s="1436"/>
      <c r="G9790" s="1436"/>
      <c r="H9790" s="1369"/>
      <c r="I9790" s="1299"/>
      <c r="J9790" s="1300"/>
      <c r="K9790" s="1307"/>
      <c r="L9790" s="1335"/>
      <c r="M9790" s="1302"/>
      <c r="N9790" s="1700"/>
      <c r="O9790" s="1290"/>
      <c r="P9790" s="1332"/>
      <c r="Q9790" s="3391"/>
    </row>
    <row r="9791" spans="1:18">
      <c r="A9791" s="1042"/>
      <c r="B9791" s="1599"/>
      <c r="C9791" s="1042"/>
      <c r="D9791" s="1400"/>
      <c r="E9791" s="2121"/>
      <c r="F9791" s="1436"/>
      <c r="G9791" s="1436"/>
      <c r="H9791" s="1369"/>
      <c r="I9791" s="1299"/>
      <c r="J9791" s="1300"/>
      <c r="K9791" s="1307"/>
      <c r="L9791" s="1335"/>
      <c r="M9791" s="1302"/>
      <c r="N9791" s="1700"/>
      <c r="O9791" s="1290"/>
      <c r="P9791" s="1332"/>
      <c r="Q9791" s="3391"/>
    </row>
    <row r="9792" spans="1:18">
      <c r="A9792" s="1042"/>
      <c r="B9792" s="1599"/>
      <c r="C9792" s="1042"/>
      <c r="D9792" s="1404"/>
      <c r="E9792" s="1858"/>
      <c r="F9792" s="1360" t="s">
        <v>2</v>
      </c>
      <c r="G9792" s="1360"/>
      <c r="H9792" s="1362"/>
      <c r="I9792" s="1380"/>
      <c r="J9792" s="1381"/>
      <c r="K9792" s="1381"/>
      <c r="L9792" s="1458"/>
      <c r="M9792" s="1362"/>
      <c r="N9792" s="1362"/>
      <c r="O9792" s="1362"/>
      <c r="P9792" s="1359"/>
      <c r="Q9792" s="3387"/>
    </row>
    <row r="9793" spans="1:18">
      <c r="A9793" s="1321"/>
      <c r="B9793" s="1295"/>
      <c r="C9793" s="1321"/>
      <c r="D9793" s="1363" t="s">
        <v>1067</v>
      </c>
      <c r="E9793" s="2125" t="s">
        <v>1508</v>
      </c>
      <c r="F9793" s="1385" t="s">
        <v>1512</v>
      </c>
      <c r="G9793" s="2019">
        <v>0.14199999999999999</v>
      </c>
      <c r="H9793" s="1386"/>
      <c r="I9793" s="1299"/>
      <c r="J9793" s="1300"/>
      <c r="K9793" s="1307">
        <f>G9793*K9784</f>
        <v>2.7263999999999995</v>
      </c>
      <c r="L9793" s="1335">
        <f>K9793*$K$9753</f>
        <v>0</v>
      </c>
      <c r="M9793" s="1302">
        <v>18.28</v>
      </c>
      <c r="N9793" s="1700"/>
      <c r="O9793" s="1290">
        <f>G9793*M9793</f>
        <v>2.5957599999999998</v>
      </c>
      <c r="P9793" s="1332">
        <f>M9793*K9793</f>
        <v>49.838591999999991</v>
      </c>
      <c r="Q9793" s="3391"/>
    </row>
    <row r="9794" spans="1:18">
      <c r="A9794" s="1042"/>
      <c r="B9794" s="553"/>
      <c r="C9794" s="1042"/>
      <c r="D9794" s="2054"/>
      <c r="E9794" s="1857"/>
      <c r="F9794" s="1403"/>
      <c r="G9794" s="1991"/>
      <c r="H9794" s="1408"/>
      <c r="I9794" s="1286"/>
      <c r="J9794" s="198"/>
      <c r="K9794" s="1307"/>
      <c r="L9794" s="1335"/>
      <c r="M9794" s="1302"/>
      <c r="N9794" s="1718"/>
      <c r="O9794" s="1290"/>
      <c r="P9794" s="1332"/>
      <c r="Q9794" s="3391"/>
      <c r="R9794" s="2337"/>
    </row>
    <row r="9795" spans="1:18">
      <c r="A9795" s="1042"/>
      <c r="B9795" s="1599"/>
      <c r="C9795" s="1320"/>
      <c r="D9795" s="1404"/>
      <c r="E9795" s="1858"/>
      <c r="F9795" s="1361"/>
      <c r="G9795" s="1361"/>
      <c r="H9795" s="1466"/>
      <c r="I9795" s="1299"/>
      <c r="J9795" s="1300"/>
      <c r="K9795" s="1307"/>
      <c r="L9795" s="1335"/>
      <c r="M9795" s="1302"/>
      <c r="N9795" s="1700"/>
      <c r="O9795" s="1290"/>
      <c r="P9795" s="1332"/>
      <c r="Q9795" s="3391"/>
      <c r="R9795" s="1296"/>
    </row>
    <row r="9796" spans="1:18">
      <c r="A9796" s="1320"/>
      <c r="B9796" s="1599"/>
      <c r="C9796" s="1320"/>
      <c r="D9796" s="1411"/>
      <c r="E9796" s="2123"/>
      <c r="F9796" s="1374" t="s">
        <v>3</v>
      </c>
      <c r="G9796" s="1375"/>
      <c r="H9796" s="1376"/>
      <c r="I9796" s="1382"/>
      <c r="J9796" s="1383"/>
      <c r="K9796" s="1383"/>
      <c r="L9796" s="1413"/>
      <c r="M9796" s="1376"/>
      <c r="N9796" s="1376"/>
      <c r="O9796" s="1376"/>
      <c r="P9796" s="1373"/>
      <c r="Q9796" s="3387"/>
    </row>
    <row r="9797" spans="1:18">
      <c r="A9797" s="1321"/>
      <c r="B9797" s="2053"/>
      <c r="C9797" s="1321"/>
      <c r="D9797" s="1412"/>
      <c r="E9797" s="2124"/>
      <c r="F9797" s="1378"/>
      <c r="G9797" s="1378"/>
      <c r="H9797" s="1379"/>
      <c r="I9797" s="1299"/>
      <c r="J9797" s="1300"/>
      <c r="K9797" s="1307"/>
      <c r="L9797" s="1335"/>
      <c r="M9797" s="1302"/>
      <c r="N9797" s="1700"/>
      <c r="O9797" s="1290"/>
      <c r="P9797" s="1332"/>
      <c r="Q9797" s="3391"/>
    </row>
    <row r="9798" spans="1:18">
      <c r="A9798" s="1321"/>
      <c r="B9798" s="2053"/>
      <c r="C9798" s="1321"/>
      <c r="D9798" s="1412"/>
      <c r="E9798" s="2124"/>
      <c r="F9798" s="1378"/>
      <c r="G9798" s="1378"/>
      <c r="H9798" s="1379"/>
      <c r="I9798" s="1299"/>
      <c r="J9798" s="1300"/>
      <c r="K9798" s="1307"/>
      <c r="L9798" s="1335"/>
      <c r="M9798" s="1302"/>
      <c r="N9798" s="1700"/>
      <c r="O9798" s="1290"/>
      <c r="P9798" s="1333"/>
      <c r="Q9798" s="3391"/>
    </row>
    <row r="9799" spans="1:18">
      <c r="A9799" s="223"/>
      <c r="B9799" s="1765"/>
      <c r="C9799" s="223"/>
      <c r="D9799" s="1411"/>
      <c r="E9799" s="2161"/>
      <c r="F9799" s="1678"/>
      <c r="G9799" s="1678"/>
      <c r="H9799" s="1376"/>
      <c r="I9799" s="1299"/>
      <c r="J9799" s="1300"/>
      <c r="K9799" s="1307"/>
      <c r="L9799" s="1335"/>
      <c r="M9799" s="1302"/>
      <c r="N9799" s="1700"/>
      <c r="O9799" s="1290"/>
      <c r="P9799" s="1332"/>
      <c r="Q9799" s="3391"/>
    </row>
    <row r="9800" spans="1:18">
      <c r="A9800" s="18" t="s">
        <v>3764</v>
      </c>
      <c r="B9800" s="4325" t="s">
        <v>3655</v>
      </c>
      <c r="C9800" s="3805"/>
      <c r="D9800" s="4327"/>
      <c r="E9800" s="4329" t="s">
        <v>1507</v>
      </c>
      <c r="F9800" s="4372" t="s">
        <v>3656</v>
      </c>
      <c r="G9800" s="4331" t="s">
        <v>1568</v>
      </c>
      <c r="H9800" s="4331" t="s">
        <v>1574</v>
      </c>
      <c r="I9800" s="1572" t="s">
        <v>1559</v>
      </c>
      <c r="J9800" s="1294" t="s">
        <v>1560</v>
      </c>
      <c r="K9800" s="1294" t="s">
        <v>1569</v>
      </c>
      <c r="L9800" s="4333" t="s">
        <v>3765</v>
      </c>
      <c r="M9800" s="4335" t="s">
        <v>1571</v>
      </c>
      <c r="N9800" s="4323" t="s">
        <v>1776</v>
      </c>
      <c r="O9800" s="3804" t="s">
        <v>1563</v>
      </c>
      <c r="P9800" s="1336" t="s">
        <v>1562</v>
      </c>
      <c r="Q9800" s="3389"/>
      <c r="R9800" s="1699" t="s">
        <v>1327</v>
      </c>
    </row>
    <row r="9801" spans="1:18">
      <c r="A9801" s="1662" t="s">
        <v>3648</v>
      </c>
      <c r="B9801" s="4326"/>
      <c r="C9801" s="3808"/>
      <c r="D9801" s="4328"/>
      <c r="E9801" s="4330"/>
      <c r="F9801" s="4363"/>
      <c r="G9801" s="4332"/>
      <c r="H9801" s="4332"/>
      <c r="I9801" s="1306">
        <v>36</v>
      </c>
      <c r="J9801" s="1307">
        <v>0.25</v>
      </c>
      <c r="K9801" s="1297">
        <f>I9801*J9801</f>
        <v>9</v>
      </c>
      <c r="L9801" s="4334"/>
      <c r="M9801" s="4335"/>
      <c r="N9801" s="4324"/>
      <c r="O9801" s="1298">
        <f>SUM(O9803:O9815)</f>
        <v>5.6668000000000003</v>
      </c>
      <c r="P9801" s="1337">
        <f>O9801*K9801</f>
        <v>51.001200000000004</v>
      </c>
      <c r="Q9801" s="3390"/>
      <c r="R9801" s="1721">
        <f>SUM(P9803:P9815)</f>
        <v>51.001200000000004</v>
      </c>
    </row>
    <row r="9802" spans="1:18">
      <c r="A9802" s="1320"/>
      <c r="B9802" s="1599"/>
      <c r="C9802" s="1327"/>
      <c r="D9802" s="1400"/>
      <c r="E9802" s="2121"/>
      <c r="F9802" s="1389" t="s">
        <v>1</v>
      </c>
      <c r="G9802" s="1389"/>
      <c r="H9802" s="1369"/>
      <c r="I9802" s="1409"/>
      <c r="J9802" s="1390"/>
      <c r="K9802" s="1391"/>
      <c r="L9802" s="1559"/>
      <c r="M9802" s="1369"/>
      <c r="N9802" s="1369"/>
      <c r="O9802" s="1369"/>
      <c r="P9802" s="1392"/>
      <c r="Q9802" s="3395"/>
    </row>
    <row r="9803" spans="1:18">
      <c r="A9803" s="1042"/>
      <c r="B9803" s="1599"/>
      <c r="C9803" s="1042"/>
      <c r="D9803" s="1598"/>
      <c r="E9803" s="2154"/>
      <c r="F9803" s="1598"/>
      <c r="G9803" s="1612"/>
      <c r="H9803" s="1674"/>
      <c r="I9803" s="1299"/>
      <c r="J9803" s="1300"/>
      <c r="K9803" s="1307"/>
      <c r="L9803" s="1335"/>
      <c r="M9803" s="1302"/>
      <c r="N9803" s="1700"/>
      <c r="O9803" s="1290"/>
      <c r="P9803" s="1332"/>
      <c r="Q9803" s="3391"/>
    </row>
    <row r="9804" spans="1:18">
      <c r="A9804" s="1320"/>
      <c r="B9804" s="553"/>
      <c r="C9804" s="1042"/>
      <c r="D9804" s="1598"/>
      <c r="E9804" s="2154"/>
      <c r="F9804" s="1598"/>
      <c r="G9804" s="1612"/>
      <c r="H9804" s="1674"/>
      <c r="I9804" s="1299"/>
      <c r="J9804" s="1300"/>
      <c r="K9804" s="1307"/>
      <c r="L9804" s="1335"/>
      <c r="M9804" s="1302"/>
      <c r="N9804" s="1700"/>
      <c r="O9804" s="1290"/>
      <c r="P9804" s="1332"/>
      <c r="Q9804" s="3391"/>
      <c r="R9804" s="2337"/>
    </row>
    <row r="9805" spans="1:18">
      <c r="A9805" s="1320"/>
      <c r="B9805" s="553"/>
      <c r="C9805" s="1320"/>
      <c r="D9805" s="1598"/>
      <c r="E9805" s="2154"/>
      <c r="F9805" s="1598"/>
      <c r="G9805" s="1612"/>
      <c r="H9805" s="1399"/>
      <c r="I9805" s="197"/>
      <c r="J9805" s="198"/>
      <c r="K9805" s="1307"/>
      <c r="L9805" s="1335"/>
      <c r="M9805" s="1302"/>
      <c r="N9805" s="1718"/>
      <c r="O9805" s="1290"/>
      <c r="P9805" s="1332"/>
      <c r="Q9805" s="3391"/>
      <c r="R9805" s="2337"/>
    </row>
    <row r="9806" spans="1:18">
      <c r="A9806" s="1042"/>
      <c r="B9806" s="1599"/>
      <c r="C9806" s="1042"/>
      <c r="D9806" s="1400"/>
      <c r="E9806" s="2121"/>
      <c r="F9806" s="1436"/>
      <c r="G9806" s="1436"/>
      <c r="H9806" s="1369"/>
      <c r="I9806" s="1299"/>
      <c r="J9806" s="1300"/>
      <c r="K9806" s="1307"/>
      <c r="L9806" s="1335"/>
      <c r="M9806" s="1302"/>
      <c r="N9806" s="1700"/>
      <c r="O9806" s="1290"/>
      <c r="P9806" s="1332"/>
      <c r="Q9806" s="3391"/>
    </row>
    <row r="9807" spans="1:18">
      <c r="A9807" s="1042"/>
      <c r="B9807" s="1599"/>
      <c r="C9807" s="1042"/>
      <c r="D9807" s="1404"/>
      <c r="E9807" s="1858"/>
      <c r="F9807" s="1360" t="s">
        <v>2</v>
      </c>
      <c r="G9807" s="1360"/>
      <c r="H9807" s="1362"/>
      <c r="I9807" s="1380"/>
      <c r="J9807" s="1381"/>
      <c r="K9807" s="1381"/>
      <c r="L9807" s="1458"/>
      <c r="M9807" s="1362"/>
      <c r="N9807" s="1362"/>
      <c r="O9807" s="1362"/>
      <c r="P9807" s="1359"/>
      <c r="Q9807" s="3387"/>
    </row>
    <row r="9808" spans="1:18">
      <c r="A9808" s="1321"/>
      <c r="B9808" s="1295"/>
      <c r="C9808" s="1321"/>
      <c r="D9808" s="1363" t="s">
        <v>1067</v>
      </c>
      <c r="E9808" s="2125" t="s">
        <v>1508</v>
      </c>
      <c r="F9808" s="1385" t="s">
        <v>1512</v>
      </c>
      <c r="G9808" s="2019">
        <v>0.31</v>
      </c>
      <c r="H9808" s="1386"/>
      <c r="I9808" s="1299"/>
      <c r="J9808" s="1300"/>
      <c r="K9808" s="1307">
        <f>G9808*K9801</f>
        <v>2.79</v>
      </c>
      <c r="L9808" s="1335">
        <f>K9808*$K$9753</f>
        <v>0</v>
      </c>
      <c r="M9808" s="1302">
        <v>18.28</v>
      </c>
      <c r="N9808" s="1700"/>
      <c r="O9808" s="1290">
        <f>G9808*M9808</f>
        <v>5.6668000000000003</v>
      </c>
      <c r="P9808" s="1332">
        <f>M9808*K9808</f>
        <v>51.001200000000004</v>
      </c>
      <c r="Q9808" s="3391"/>
    </row>
    <row r="9809" spans="1:20">
      <c r="A9809" s="1042"/>
      <c r="B9809" s="553"/>
      <c r="C9809" s="1042"/>
      <c r="D9809" s="2054"/>
      <c r="E9809" s="1857"/>
      <c r="F9809" s="1403"/>
      <c r="G9809" s="1991"/>
      <c r="H9809" s="1408"/>
      <c r="I9809" s="1286"/>
      <c r="J9809" s="198"/>
      <c r="K9809" s="1307"/>
      <c r="L9809" s="1335"/>
      <c r="M9809" s="1302"/>
      <c r="N9809" s="1718"/>
      <c r="O9809" s="1290"/>
      <c r="P9809" s="1332"/>
      <c r="Q9809" s="3391"/>
      <c r="R9809" s="2337"/>
    </row>
    <row r="9810" spans="1:20">
      <c r="A9810" s="1042"/>
      <c r="B9810" s="553"/>
      <c r="C9810" s="1042"/>
      <c r="D9810" s="1402"/>
      <c r="E9810" s="1857"/>
      <c r="F9810" s="1403"/>
      <c r="G9810" s="1991"/>
      <c r="H9810" s="1408"/>
      <c r="I9810" s="197"/>
      <c r="J9810" s="198"/>
      <c r="K9810" s="1307"/>
      <c r="L9810" s="1335"/>
      <c r="M9810" s="1302"/>
      <c r="N9810" s="1718"/>
      <c r="O9810" s="1290"/>
      <c r="P9810" s="1332"/>
      <c r="Q9810" s="3391"/>
      <c r="R9810" s="2337"/>
    </row>
    <row r="9811" spans="1:20">
      <c r="A9811" s="1042"/>
      <c r="B9811" s="1599"/>
      <c r="C9811" s="1320"/>
      <c r="D9811" s="1404"/>
      <c r="E9811" s="1858"/>
      <c r="F9811" s="1361"/>
      <c r="G9811" s="1361"/>
      <c r="H9811" s="1466"/>
      <c r="I9811" s="1299"/>
      <c r="J9811" s="1300"/>
      <c r="K9811" s="1307"/>
      <c r="L9811" s="1335"/>
      <c r="M9811" s="1302"/>
      <c r="N9811" s="1700"/>
      <c r="O9811" s="1290"/>
      <c r="P9811" s="1332"/>
      <c r="Q9811" s="3391"/>
      <c r="R9811" s="1296"/>
    </row>
    <row r="9812" spans="1:20">
      <c r="A9812" s="1320"/>
      <c r="B9812" s="1599"/>
      <c r="C9812" s="1320"/>
      <c r="D9812" s="1411"/>
      <c r="E9812" s="2123"/>
      <c r="F9812" s="1374" t="s">
        <v>3</v>
      </c>
      <c r="G9812" s="1375"/>
      <c r="H9812" s="1376"/>
      <c r="I9812" s="1382"/>
      <c r="J9812" s="1383"/>
      <c r="K9812" s="1383"/>
      <c r="L9812" s="1413"/>
      <c r="M9812" s="1376"/>
      <c r="N9812" s="1376"/>
      <c r="O9812" s="1376"/>
      <c r="P9812" s="1373"/>
      <c r="Q9812" s="3387"/>
    </row>
    <row r="9813" spans="1:20">
      <c r="A9813" s="1321"/>
      <c r="B9813" s="2053"/>
      <c r="C9813" s="1321"/>
      <c r="D9813" s="1412"/>
      <c r="E9813" s="2124"/>
      <c r="F9813" s="1378"/>
      <c r="G9813" s="1378"/>
      <c r="H9813" s="1379"/>
      <c r="I9813" s="1299"/>
      <c r="J9813" s="1300"/>
      <c r="K9813" s="1307"/>
      <c r="L9813" s="1335"/>
      <c r="M9813" s="1302"/>
      <c r="N9813" s="1700"/>
      <c r="O9813" s="1290"/>
      <c r="P9813" s="1332"/>
      <c r="Q9813" s="3391"/>
    </row>
    <row r="9814" spans="1:20">
      <c r="A9814" s="1321"/>
      <c r="B9814" s="2053"/>
      <c r="C9814" s="1321"/>
      <c r="D9814" s="1412"/>
      <c r="E9814" s="2124"/>
      <c r="F9814" s="1378"/>
      <c r="G9814" s="1378"/>
      <c r="H9814" s="1379"/>
      <c r="I9814" s="1299"/>
      <c r="J9814" s="1300"/>
      <c r="K9814" s="1307"/>
      <c r="L9814" s="1335"/>
      <c r="M9814" s="1302"/>
      <c r="N9814" s="1700"/>
      <c r="O9814" s="1290"/>
      <c r="P9814" s="1333"/>
      <c r="Q9814" s="3391"/>
    </row>
    <row r="9815" spans="1:20">
      <c r="A9815" s="223"/>
      <c r="B9815" s="1765"/>
      <c r="C9815" s="223"/>
      <c r="D9815" s="1411"/>
      <c r="E9815" s="2161"/>
      <c r="F9815" s="1678"/>
      <c r="G9815" s="1678"/>
      <c r="H9815" s="1376"/>
      <c r="I9815" s="1299"/>
      <c r="J9815" s="1300"/>
      <c r="K9815" s="1307"/>
      <c r="L9815" s="1335"/>
      <c r="M9815" s="1302"/>
      <c r="N9815" s="1700"/>
      <c r="O9815" s="1290"/>
      <c r="P9815" s="1332"/>
      <c r="Q9815" s="3391"/>
      <c r="T9815" t="s">
        <v>2136</v>
      </c>
    </row>
    <row r="9816" spans="1:20">
      <c r="A9816" s="18" t="s">
        <v>3764</v>
      </c>
      <c r="B9816" s="4325" t="s">
        <v>3657</v>
      </c>
      <c r="C9816" s="3805"/>
      <c r="D9816" s="4327"/>
      <c r="E9816" s="4329" t="s">
        <v>1517</v>
      </c>
      <c r="F9816" s="4372" t="s">
        <v>3690</v>
      </c>
      <c r="G9816" s="4331" t="s">
        <v>1568</v>
      </c>
      <c r="H9816" s="4331" t="s">
        <v>1574</v>
      </c>
      <c r="I9816" s="1572" t="s">
        <v>1559</v>
      </c>
      <c r="J9816" s="1294" t="s">
        <v>1560</v>
      </c>
      <c r="K9816" s="1294" t="s">
        <v>1569</v>
      </c>
      <c r="L9816" s="4333" t="s">
        <v>3765</v>
      </c>
      <c r="M9816" s="4335" t="s">
        <v>1571</v>
      </c>
      <c r="N9816" s="4323" t="s">
        <v>1776</v>
      </c>
      <c r="O9816" s="3804" t="s">
        <v>1563</v>
      </c>
      <c r="P9816" s="1336" t="s">
        <v>1562</v>
      </c>
      <c r="Q9816" s="3389"/>
      <c r="R9816" s="1699" t="s">
        <v>1327</v>
      </c>
    </row>
    <row r="9817" spans="1:20">
      <c r="A9817" s="1662" t="s">
        <v>3648</v>
      </c>
      <c r="B9817" s="4326"/>
      <c r="C9817" s="3808"/>
      <c r="D9817" s="4328"/>
      <c r="E9817" s="4330"/>
      <c r="F9817" s="4363"/>
      <c r="G9817" s="4332"/>
      <c r="H9817" s="4332"/>
      <c r="I9817" s="1306">
        <v>8.02</v>
      </c>
      <c r="J9817" s="1307">
        <v>0.25</v>
      </c>
      <c r="K9817" s="1297">
        <f>I9817*J9817</f>
        <v>2.0049999999999999</v>
      </c>
      <c r="L9817" s="4334"/>
      <c r="M9817" s="4335"/>
      <c r="N9817" s="4324"/>
      <c r="O9817" s="1298">
        <f>SUM(O9819:O9831)</f>
        <v>145.98050000000001</v>
      </c>
      <c r="P9817" s="1337">
        <f>O9817*K9817</f>
        <v>292.69090249999999</v>
      </c>
      <c r="Q9817" s="3390"/>
      <c r="R9817" s="1721">
        <f>SUM(P9819:P9831)</f>
        <v>292.69090249999999</v>
      </c>
    </row>
    <row r="9818" spans="1:20">
      <c r="A9818" s="1320"/>
      <c r="B9818" s="1599"/>
      <c r="C9818" s="1327"/>
      <c r="D9818" s="1400"/>
      <c r="E9818" s="2121"/>
      <c r="F9818" s="1389" t="s">
        <v>1</v>
      </c>
      <c r="G9818" s="1389"/>
      <c r="H9818" s="1369"/>
      <c r="I9818" s="1409"/>
      <c r="J9818" s="1390"/>
      <c r="K9818" s="1391"/>
      <c r="L9818" s="1559"/>
      <c r="M9818" s="1369"/>
      <c r="N9818" s="1369"/>
      <c r="O9818" s="1369"/>
      <c r="P9818" s="1392"/>
      <c r="Q9818" s="3395"/>
    </row>
    <row r="9819" spans="1:20">
      <c r="A9819" s="1042"/>
      <c r="B9819" s="1599"/>
      <c r="C9819" s="1042"/>
      <c r="D9819" s="1598"/>
      <c r="E9819" s="2154"/>
      <c r="F9819" s="1598"/>
      <c r="G9819" s="1612"/>
      <c r="H9819" s="1674"/>
      <c r="I9819" s="1299"/>
      <c r="J9819" s="1300"/>
      <c r="K9819" s="1307"/>
      <c r="L9819" s="1335"/>
      <c r="M9819" s="1302"/>
      <c r="N9819" s="1700"/>
      <c r="O9819" s="1290"/>
      <c r="P9819" s="1332"/>
      <c r="Q9819" s="3391"/>
    </row>
    <row r="9820" spans="1:20">
      <c r="A9820" s="1320"/>
      <c r="B9820" s="553"/>
      <c r="C9820" s="1042"/>
      <c r="D9820" s="1598"/>
      <c r="E9820" s="2154"/>
      <c r="F9820" s="1598"/>
      <c r="G9820" s="1612"/>
      <c r="H9820" s="1674"/>
      <c r="I9820" s="1299"/>
      <c r="J9820" s="1300"/>
      <c r="K9820" s="1307"/>
      <c r="L9820" s="1335"/>
      <c r="M9820" s="1302"/>
      <c r="N9820" s="1700"/>
      <c r="O9820" s="1290"/>
      <c r="P9820" s="1332"/>
      <c r="Q9820" s="3391"/>
      <c r="R9820" s="2337"/>
    </row>
    <row r="9821" spans="1:20">
      <c r="A9821" s="1320"/>
      <c r="B9821" s="553"/>
      <c r="C9821" s="1320"/>
      <c r="D9821" s="1598"/>
      <c r="E9821" s="2154"/>
      <c r="F9821" s="1598"/>
      <c r="G9821" s="1612"/>
      <c r="H9821" s="1399"/>
      <c r="I9821" s="197"/>
      <c r="J9821" s="198"/>
      <c r="K9821" s="1307"/>
      <c r="L9821" s="1335"/>
      <c r="M9821" s="1302"/>
      <c r="N9821" s="1718"/>
      <c r="O9821" s="1290"/>
      <c r="P9821" s="1332"/>
      <c r="Q9821" s="3391"/>
      <c r="R9821" s="2337"/>
    </row>
    <row r="9822" spans="1:20">
      <c r="A9822" s="1042"/>
      <c r="B9822" s="1599"/>
      <c r="C9822" s="1042"/>
      <c r="D9822" s="1400"/>
      <c r="E9822" s="2121"/>
      <c r="F9822" s="1436"/>
      <c r="G9822" s="1436"/>
      <c r="H9822" s="1369"/>
      <c r="I9822" s="1299"/>
      <c r="J9822" s="1300"/>
      <c r="K9822" s="1307"/>
      <c r="L9822" s="1335"/>
      <c r="M9822" s="1302"/>
      <c r="N9822" s="1700"/>
      <c r="O9822" s="1290"/>
      <c r="P9822" s="1332"/>
      <c r="Q9822" s="3391"/>
    </row>
    <row r="9823" spans="1:20">
      <c r="A9823" s="1042"/>
      <c r="B9823" s="1599"/>
      <c r="C9823" s="1042"/>
      <c r="D9823" s="1400"/>
      <c r="E9823" s="2121"/>
      <c r="F9823" s="1436"/>
      <c r="G9823" s="1436"/>
      <c r="H9823" s="1369"/>
      <c r="I9823" s="1299"/>
      <c r="J9823" s="1300"/>
      <c r="K9823" s="1307"/>
      <c r="L9823" s="1335"/>
      <c r="M9823" s="1302"/>
      <c r="N9823" s="1700"/>
      <c r="O9823" s="1290"/>
      <c r="P9823" s="1332"/>
      <c r="Q9823" s="3391"/>
    </row>
    <row r="9824" spans="1:20">
      <c r="A9824" s="1042"/>
      <c r="B9824" s="1599"/>
      <c r="C9824" s="1042"/>
      <c r="D9824" s="1404"/>
      <c r="E9824" s="1858"/>
      <c r="F9824" s="1360" t="s">
        <v>2</v>
      </c>
      <c r="G9824" s="1360"/>
      <c r="H9824" s="1362"/>
      <c r="I9824" s="1380"/>
      <c r="J9824" s="1381"/>
      <c r="K9824" s="1381"/>
      <c r="L9824" s="1458"/>
      <c r="M9824" s="1362"/>
      <c r="N9824" s="1362"/>
      <c r="O9824" s="1362"/>
      <c r="P9824" s="1359"/>
      <c r="Q9824" s="3387"/>
    </row>
    <row r="9825" spans="1:18">
      <c r="A9825" s="1321"/>
      <c r="B9825" s="2053"/>
      <c r="C9825" s="1321"/>
      <c r="D9825" s="1655" t="s">
        <v>1067</v>
      </c>
      <c r="E9825" s="1859" t="s">
        <v>1508</v>
      </c>
      <c r="F9825" s="1655" t="s">
        <v>1512</v>
      </c>
      <c r="G9825" s="1809">
        <v>7.1</v>
      </c>
      <c r="H9825" s="2019"/>
      <c r="I9825" s="1299"/>
      <c r="J9825" s="1300"/>
      <c r="K9825" s="1307">
        <f>G9825*K9817</f>
        <v>14.235499999999998</v>
      </c>
      <c r="L9825" s="1335">
        <f>K9825*$K$9753</f>
        <v>0</v>
      </c>
      <c r="M9825" s="1302">
        <v>18.28</v>
      </c>
      <c r="N9825" s="1700"/>
      <c r="O9825" s="1290">
        <f>G9825*M9825</f>
        <v>129.78800000000001</v>
      </c>
      <c r="P9825" s="1332">
        <f>M9825*K9825</f>
        <v>260.22494</v>
      </c>
      <c r="Q9825" s="3391"/>
    </row>
    <row r="9826" spans="1:18">
      <c r="A9826" s="1042"/>
      <c r="B9826" s="553"/>
      <c r="C9826" s="1042"/>
      <c r="D9826" s="2054"/>
      <c r="E9826" s="1857"/>
      <c r="F9826" s="1403"/>
      <c r="G9826" s="1991"/>
      <c r="H9826" s="1408"/>
      <c r="I9826" s="1286"/>
      <c r="J9826" s="198"/>
      <c r="K9826" s="1307"/>
      <c r="L9826" s="1335"/>
      <c r="M9826" s="1302"/>
      <c r="N9826" s="1718"/>
      <c r="O9826" s="1290"/>
      <c r="P9826" s="1332"/>
      <c r="Q9826" s="3391"/>
      <c r="R9826" s="2337"/>
    </row>
    <row r="9827" spans="1:18">
      <c r="A9827" s="1042"/>
      <c r="B9827" s="1599"/>
      <c r="C9827" s="1320"/>
      <c r="D9827" s="1404"/>
      <c r="E9827" s="1858"/>
      <c r="F9827" s="1361"/>
      <c r="G9827" s="1361"/>
      <c r="H9827" s="1466"/>
      <c r="I9827" s="1299"/>
      <c r="J9827" s="1300"/>
      <c r="K9827" s="1307"/>
      <c r="L9827" s="1335"/>
      <c r="M9827" s="1302"/>
      <c r="N9827" s="1700"/>
      <c r="O9827" s="1290"/>
      <c r="P9827" s="1332"/>
      <c r="Q9827" s="3391"/>
      <c r="R9827" s="1296"/>
    </row>
    <row r="9828" spans="1:18">
      <c r="A9828" s="1320"/>
      <c r="B9828" s="1599"/>
      <c r="C9828" s="1320"/>
      <c r="D9828" s="1411"/>
      <c r="E9828" s="2123"/>
      <c r="F9828" s="1374" t="s">
        <v>3</v>
      </c>
      <c r="G9828" s="1375"/>
      <c r="H9828" s="1376"/>
      <c r="I9828" s="1382"/>
      <c r="J9828" s="1383"/>
      <c r="K9828" s="1383"/>
      <c r="L9828" s="1413"/>
      <c r="M9828" s="1376"/>
      <c r="N9828" s="1376"/>
      <c r="O9828" s="1376"/>
      <c r="P9828" s="1373"/>
      <c r="Q9828" s="3387"/>
    </row>
    <row r="9829" spans="1:18">
      <c r="A9829" s="1321"/>
      <c r="B9829" s="2053"/>
      <c r="C9829" s="1321"/>
      <c r="D9829" s="1412" t="s">
        <v>1080</v>
      </c>
      <c r="E9829" s="2124" t="s">
        <v>1508</v>
      </c>
      <c r="F9829" s="1378" t="s">
        <v>1511</v>
      </c>
      <c r="G9829" s="2200">
        <v>2.5499999999999998</v>
      </c>
      <c r="H9829" s="1379"/>
      <c r="I9829" s="1299"/>
      <c r="J9829" s="1300"/>
      <c r="K9829" s="1307">
        <f>G9829*K9817</f>
        <v>5.1127499999999992</v>
      </c>
      <c r="L9829" s="1335">
        <f>K9829*$K$9753</f>
        <v>0</v>
      </c>
      <c r="M9829" s="1302">
        <v>6.35</v>
      </c>
      <c r="N9829" s="1700"/>
      <c r="O9829" s="1290">
        <f>G9829*M9829</f>
        <v>16.192499999999999</v>
      </c>
      <c r="P9829" s="1332">
        <f>M9829*K9829</f>
        <v>32.465962499999996</v>
      </c>
      <c r="Q9829" s="3391"/>
    </row>
    <row r="9830" spans="1:18">
      <c r="A9830" s="1321"/>
      <c r="B9830" s="2053"/>
      <c r="C9830" s="1321"/>
      <c r="D9830" s="1412"/>
      <c r="E9830" s="2124"/>
      <c r="F9830" s="1378"/>
      <c r="G9830" s="1378"/>
      <c r="H9830" s="1379"/>
      <c r="I9830" s="1299"/>
      <c r="J9830" s="1300"/>
      <c r="K9830" s="1307"/>
      <c r="L9830" s="1335"/>
      <c r="M9830" s="1302"/>
      <c r="N9830" s="1700"/>
      <c r="O9830" s="1290"/>
      <c r="P9830" s="1333"/>
      <c r="Q9830" s="3391"/>
    </row>
    <row r="9831" spans="1:18">
      <c r="A9831" s="1042"/>
      <c r="B9831" s="1599"/>
      <c r="C9831" s="1042"/>
      <c r="D9831" s="1695"/>
      <c r="E9831" s="2278"/>
      <c r="F9831" s="2279"/>
      <c r="G9831" s="2279"/>
      <c r="H9831" s="2264"/>
      <c r="I9831" s="2280"/>
      <c r="J9831" s="2281"/>
      <c r="K9831" s="2236"/>
      <c r="L9831" s="1594"/>
      <c r="M9831" s="2282"/>
      <c r="N9831" s="2283"/>
      <c r="O9831" s="2237"/>
      <c r="P9831" s="2238"/>
      <c r="Q9831" s="3391"/>
    </row>
    <row r="9832" spans="1:18">
      <c r="A9832" s="18" t="s">
        <v>3764</v>
      </c>
      <c r="B9832" s="4325" t="s">
        <v>3658</v>
      </c>
      <c r="C9832" s="3805"/>
      <c r="D9832" s="4327"/>
      <c r="E9832" s="4329" t="s">
        <v>1357</v>
      </c>
      <c r="F9832" s="4372" t="s">
        <v>3659</v>
      </c>
      <c r="G9832" s="4331" t="s">
        <v>1568</v>
      </c>
      <c r="H9832" s="4331" t="s">
        <v>1574</v>
      </c>
      <c r="I9832" s="1572" t="s">
        <v>1559</v>
      </c>
      <c r="J9832" s="1294" t="s">
        <v>1560</v>
      </c>
      <c r="K9832" s="1294" t="s">
        <v>1569</v>
      </c>
      <c r="L9832" s="4333" t="s">
        <v>3765</v>
      </c>
      <c r="M9832" s="4335" t="s">
        <v>1571</v>
      </c>
      <c r="N9832" s="4323" t="s">
        <v>1776</v>
      </c>
      <c r="O9832" s="3804" t="s">
        <v>1563</v>
      </c>
      <c r="P9832" s="1336" t="s">
        <v>1562</v>
      </c>
      <c r="Q9832" s="3389"/>
      <c r="R9832" s="1699" t="s">
        <v>1327</v>
      </c>
    </row>
    <row r="9833" spans="1:18">
      <c r="A9833" s="1662" t="s">
        <v>3648</v>
      </c>
      <c r="B9833" s="4326"/>
      <c r="C9833" s="3808"/>
      <c r="D9833" s="4328"/>
      <c r="E9833" s="4330"/>
      <c r="F9833" s="4363"/>
      <c r="G9833" s="4332"/>
      <c r="H9833" s="4332"/>
      <c r="I9833" s="1306">
        <v>721.8</v>
      </c>
      <c r="J9833" s="1307">
        <v>0.25</v>
      </c>
      <c r="K9833" s="1297">
        <f>I9833*J9833</f>
        <v>180.45</v>
      </c>
      <c r="L9833" s="4334"/>
      <c r="M9833" s="4335"/>
      <c r="N9833" s="4324"/>
      <c r="O9833" s="1298">
        <f>SUM(O9835:O9847)</f>
        <v>1.2805500000000001</v>
      </c>
      <c r="P9833" s="1337">
        <f>O9833*K9833</f>
        <v>231.07524749999999</v>
      </c>
      <c r="Q9833" s="3390"/>
      <c r="R9833" s="1721">
        <f>SUM(P9835:P9847)</f>
        <v>231.07524750000002</v>
      </c>
    </row>
    <row r="9834" spans="1:18">
      <c r="A9834" s="1320"/>
      <c r="B9834" s="1599"/>
      <c r="C9834" s="1327"/>
      <c r="D9834" s="1400"/>
      <c r="E9834" s="2121"/>
      <c r="F9834" s="1389" t="s">
        <v>1</v>
      </c>
      <c r="G9834" s="1389"/>
      <c r="H9834" s="1369"/>
      <c r="I9834" s="1409"/>
      <c r="J9834" s="1390"/>
      <c r="K9834" s="1391"/>
      <c r="L9834" s="1559"/>
      <c r="M9834" s="1369"/>
      <c r="N9834" s="1369"/>
      <c r="O9834" s="1369"/>
      <c r="P9834" s="1392"/>
      <c r="Q9834" s="3395"/>
    </row>
    <row r="9835" spans="1:18">
      <c r="A9835" s="1042"/>
      <c r="B9835" s="1599"/>
      <c r="C9835" s="1042"/>
      <c r="D9835" s="1598" t="s">
        <v>1075</v>
      </c>
      <c r="E9835" s="2154" t="s">
        <v>1357</v>
      </c>
      <c r="F9835" s="1598" t="s">
        <v>1532</v>
      </c>
      <c r="G9835" s="1612">
        <v>1.08</v>
      </c>
      <c r="H9835" s="1674"/>
      <c r="I9835" s="1299"/>
      <c r="J9835" s="1300"/>
      <c r="K9835" s="1307">
        <f>G9835*K9833</f>
        <v>194.886</v>
      </c>
      <c r="L9835" s="1335">
        <f t="shared" ref="L9835:L9837" si="1271">K9835*$K$9753</f>
        <v>0</v>
      </c>
      <c r="M9835" s="1302">
        <v>0.81</v>
      </c>
      <c r="N9835" s="1700"/>
      <c r="O9835" s="1290">
        <f t="shared" ref="O9835:O9837" si="1272">G9835*M9835</f>
        <v>0.87480000000000013</v>
      </c>
      <c r="P9835" s="1332">
        <f t="shared" ref="P9835:P9837" si="1273">M9835*K9835</f>
        <v>157.85766000000001</v>
      </c>
      <c r="Q9835" s="3391"/>
    </row>
    <row r="9836" spans="1:18">
      <c r="A9836" s="1320"/>
      <c r="B9836" s="553"/>
      <c r="C9836" s="1042"/>
      <c r="D9836" s="1598" t="s">
        <v>1090</v>
      </c>
      <c r="E9836" s="2154" t="s">
        <v>1357</v>
      </c>
      <c r="F9836" s="1598" t="s">
        <v>1723</v>
      </c>
      <c r="G9836" s="1612">
        <v>5.0000000000000001E-3</v>
      </c>
      <c r="H9836" s="1674"/>
      <c r="I9836" s="1299"/>
      <c r="J9836" s="1300"/>
      <c r="K9836" s="1307">
        <f>G9836*K9833</f>
        <v>0.90225</v>
      </c>
      <c r="L9836" s="1335">
        <f t="shared" si="1271"/>
        <v>0</v>
      </c>
      <c r="M9836" s="1302">
        <v>1.23</v>
      </c>
      <c r="N9836" s="1700"/>
      <c r="O9836" s="1290">
        <f t="shared" si="1272"/>
        <v>6.1500000000000001E-3</v>
      </c>
      <c r="P9836" s="1332">
        <f t="shared" si="1273"/>
        <v>1.1097675</v>
      </c>
      <c r="Q9836" s="3391"/>
      <c r="R9836" s="2337"/>
    </row>
    <row r="9837" spans="1:18">
      <c r="A9837" s="1320"/>
      <c r="B9837" s="553"/>
      <c r="C9837" s="1320"/>
      <c r="D9837" s="1598" t="s">
        <v>1082</v>
      </c>
      <c r="E9837" s="2154" t="s">
        <v>1504</v>
      </c>
      <c r="F9837" s="1598" t="s">
        <v>1541</v>
      </c>
      <c r="G9837" s="1612">
        <v>0.05</v>
      </c>
      <c r="H9837" s="1399"/>
      <c r="I9837" s="197"/>
      <c r="J9837" s="198"/>
      <c r="K9837" s="1307">
        <f>G9837*K9833</f>
        <v>9.0224999999999991</v>
      </c>
      <c r="L9837" s="1335">
        <f t="shared" si="1271"/>
        <v>0</v>
      </c>
      <c r="M9837" s="1302">
        <v>0.3</v>
      </c>
      <c r="N9837" s="1718"/>
      <c r="O9837" s="1290">
        <f t="shared" si="1272"/>
        <v>1.4999999999999999E-2</v>
      </c>
      <c r="P9837" s="1332">
        <f t="shared" si="1273"/>
        <v>2.7067499999999995</v>
      </c>
      <c r="Q9837" s="3391"/>
      <c r="R9837" s="2337"/>
    </row>
    <row r="9838" spans="1:18">
      <c r="A9838" s="1042"/>
      <c r="B9838" s="1599"/>
      <c r="C9838" s="1042"/>
      <c r="D9838" s="1400"/>
      <c r="E9838" s="2121"/>
      <c r="F9838" s="1436"/>
      <c r="G9838" s="1436"/>
      <c r="H9838" s="1369"/>
      <c r="I9838" s="1299"/>
      <c r="J9838" s="1300"/>
      <c r="K9838" s="1307"/>
      <c r="L9838" s="1335"/>
      <c r="M9838" s="1302"/>
      <c r="N9838" s="1700"/>
      <c r="O9838" s="1290"/>
      <c r="P9838" s="1332"/>
      <c r="Q9838" s="3391"/>
    </row>
    <row r="9839" spans="1:18">
      <c r="A9839" s="1042"/>
      <c r="B9839" s="1599"/>
      <c r="C9839" s="1042"/>
      <c r="D9839" s="1400"/>
      <c r="E9839" s="2121"/>
      <c r="F9839" s="1436"/>
      <c r="G9839" s="1436"/>
      <c r="H9839" s="1369"/>
      <c r="I9839" s="1299"/>
      <c r="J9839" s="1300"/>
      <c r="K9839" s="1307"/>
      <c r="L9839" s="1335"/>
      <c r="M9839" s="1302"/>
      <c r="N9839" s="1700"/>
      <c r="O9839" s="1290"/>
      <c r="P9839" s="1332"/>
      <c r="Q9839" s="3391"/>
    </row>
    <row r="9840" spans="1:18">
      <c r="A9840" s="1042"/>
      <c r="B9840" s="1599"/>
      <c r="C9840" s="1042"/>
      <c r="D9840" s="1404"/>
      <c r="E9840" s="1858"/>
      <c r="F9840" s="1360" t="s">
        <v>2</v>
      </c>
      <c r="G9840" s="1360"/>
      <c r="H9840" s="1362"/>
      <c r="I9840" s="1380"/>
      <c r="J9840" s="1381"/>
      <c r="K9840" s="1381"/>
      <c r="L9840" s="1458"/>
      <c r="M9840" s="1362"/>
      <c r="N9840" s="1362"/>
      <c r="O9840" s="1362"/>
      <c r="P9840" s="1359"/>
      <c r="Q9840" s="3387"/>
    </row>
    <row r="9841" spans="1:18">
      <c r="A9841" s="1321"/>
      <c r="B9841" s="2053"/>
      <c r="C9841" s="1321"/>
      <c r="D9841" s="1655" t="s">
        <v>1076</v>
      </c>
      <c r="E9841" s="1859" t="s">
        <v>1508</v>
      </c>
      <c r="F9841" s="1655" t="s">
        <v>1540</v>
      </c>
      <c r="G9841" s="1809">
        <v>0.02</v>
      </c>
      <c r="H9841" s="2019"/>
      <c r="I9841" s="1299"/>
      <c r="J9841" s="1300"/>
      <c r="K9841" s="1307">
        <f>G9841*K9833</f>
        <v>3.609</v>
      </c>
      <c r="L9841" s="1335">
        <f>K9841*$K$9753</f>
        <v>0</v>
      </c>
      <c r="M9841" s="1302">
        <v>19.23</v>
      </c>
      <c r="N9841" s="1700"/>
      <c r="O9841" s="1290">
        <f>G9841*M9841</f>
        <v>0.3846</v>
      </c>
      <c r="P9841" s="1332">
        <f>M9841*K9841</f>
        <v>69.401070000000004</v>
      </c>
      <c r="Q9841" s="3391"/>
    </row>
    <row r="9842" spans="1:18">
      <c r="A9842" s="1042"/>
      <c r="B9842" s="553"/>
      <c r="C9842" s="1042"/>
      <c r="D9842" s="2054"/>
      <c r="E9842" s="1857"/>
      <c r="F9842" s="1403"/>
      <c r="G9842" s="1991"/>
      <c r="H9842" s="1408"/>
      <c r="I9842" s="1286"/>
      <c r="J9842" s="198"/>
      <c r="K9842" s="1307"/>
      <c r="L9842" s="1335"/>
      <c r="M9842" s="1302"/>
      <c r="N9842" s="1718"/>
      <c r="O9842" s="1290"/>
      <c r="P9842" s="1332"/>
      <c r="Q9842" s="3391"/>
      <c r="R9842" s="2337"/>
    </row>
    <row r="9843" spans="1:18">
      <c r="A9843" s="1042"/>
      <c r="B9843" s="1599"/>
      <c r="C9843" s="1320"/>
      <c r="D9843" s="1404"/>
      <c r="E9843" s="1858"/>
      <c r="F9843" s="1361"/>
      <c r="G9843" s="1361"/>
      <c r="H9843" s="1466"/>
      <c r="I9843" s="1299"/>
      <c r="J9843" s="1300"/>
      <c r="K9843" s="1307"/>
      <c r="L9843" s="1335"/>
      <c r="M9843" s="1302"/>
      <c r="N9843" s="1700"/>
      <c r="O9843" s="1290"/>
      <c r="P9843" s="1332"/>
      <c r="Q9843" s="3391"/>
      <c r="R9843" s="1296"/>
    </row>
    <row r="9844" spans="1:18">
      <c r="A9844" s="1320"/>
      <c r="B9844" s="1599"/>
      <c r="C9844" s="1320"/>
      <c r="D9844" s="1411"/>
      <c r="E9844" s="2123"/>
      <c r="F9844" s="1374" t="s">
        <v>3</v>
      </c>
      <c r="G9844" s="1375"/>
      <c r="H9844" s="1376"/>
      <c r="I9844" s="1382"/>
      <c r="J9844" s="1383"/>
      <c r="K9844" s="1383"/>
      <c r="L9844" s="1413"/>
      <c r="M9844" s="1376"/>
      <c r="N9844" s="1376"/>
      <c r="O9844" s="1376"/>
      <c r="P9844" s="1373"/>
      <c r="Q9844" s="3387"/>
    </row>
    <row r="9845" spans="1:18">
      <c r="A9845" s="1321"/>
      <c r="B9845" s="2053"/>
      <c r="C9845" s="1321"/>
      <c r="D9845" s="1412"/>
      <c r="E9845" s="2124"/>
      <c r="F9845" s="1378"/>
      <c r="G9845" s="2200"/>
      <c r="H9845" s="1379"/>
      <c r="I9845" s="1299"/>
      <c r="J9845" s="1300"/>
      <c r="K9845" s="1307"/>
      <c r="L9845" s="1335"/>
      <c r="M9845" s="1302"/>
      <c r="N9845" s="1700"/>
      <c r="O9845" s="1290"/>
      <c r="P9845" s="1332"/>
      <c r="Q9845" s="3391"/>
    </row>
    <row r="9846" spans="1:18">
      <c r="A9846" s="1321"/>
      <c r="B9846" s="2053"/>
      <c r="C9846" s="1321"/>
      <c r="D9846" s="1412"/>
      <c r="E9846" s="2124"/>
      <c r="F9846" s="1378"/>
      <c r="G9846" s="1378"/>
      <c r="H9846" s="1379"/>
      <c r="I9846" s="1299"/>
      <c r="J9846" s="1300"/>
      <c r="K9846" s="1307"/>
      <c r="L9846" s="1335"/>
      <c r="M9846" s="1302"/>
      <c r="N9846" s="1700"/>
      <c r="O9846" s="1290"/>
      <c r="P9846" s="1333"/>
      <c r="Q9846" s="3391"/>
    </row>
    <row r="9847" spans="1:18">
      <c r="A9847" s="1042"/>
      <c r="B9847" s="1599"/>
      <c r="C9847" s="1042"/>
      <c r="D9847" s="1695"/>
      <c r="E9847" s="2278"/>
      <c r="F9847" s="2279"/>
      <c r="G9847" s="2279"/>
      <c r="H9847" s="2264"/>
      <c r="I9847" s="2280"/>
      <c r="J9847" s="2281"/>
      <c r="K9847" s="2236"/>
      <c r="L9847" s="1594"/>
      <c r="M9847" s="2282"/>
      <c r="N9847" s="2283"/>
      <c r="O9847" s="2237"/>
      <c r="P9847" s="2238"/>
      <c r="Q9847" s="3391"/>
    </row>
    <row r="9848" spans="1:18">
      <c r="A9848" s="18" t="s">
        <v>3764</v>
      </c>
      <c r="B9848" s="4325" t="s">
        <v>3660</v>
      </c>
      <c r="C9848" s="3836"/>
      <c r="D9848" s="4327"/>
      <c r="E9848" s="4329" t="s">
        <v>1507</v>
      </c>
      <c r="F9848" s="4372" t="s">
        <v>3661</v>
      </c>
      <c r="G9848" s="4331" t="s">
        <v>1568</v>
      </c>
      <c r="H9848" s="4331" t="s">
        <v>1574</v>
      </c>
      <c r="I9848" s="1572" t="s">
        <v>1559</v>
      </c>
      <c r="J9848" s="1294" t="s">
        <v>1560</v>
      </c>
      <c r="K9848" s="1294" t="s">
        <v>1569</v>
      </c>
      <c r="L9848" s="4333" t="s">
        <v>3765</v>
      </c>
      <c r="M9848" s="4335" t="s">
        <v>1571</v>
      </c>
      <c r="N9848" s="4323" t="s">
        <v>1776</v>
      </c>
      <c r="O9848" s="3834" t="s">
        <v>1563</v>
      </c>
      <c r="P9848" s="1336" t="s">
        <v>1562</v>
      </c>
      <c r="Q9848" s="3389"/>
      <c r="R9848" s="1699" t="s">
        <v>1327</v>
      </c>
    </row>
    <row r="9849" spans="1:18">
      <c r="A9849" s="1662" t="s">
        <v>3648</v>
      </c>
      <c r="B9849" s="4326"/>
      <c r="C9849" s="3835"/>
      <c r="D9849" s="4328"/>
      <c r="E9849" s="4330"/>
      <c r="F9849" s="4363"/>
      <c r="G9849" s="4332"/>
      <c r="H9849" s="4332"/>
      <c r="I9849" s="1306">
        <v>109.07</v>
      </c>
      <c r="J9849" s="1307">
        <v>0.25</v>
      </c>
      <c r="K9849" s="1297">
        <f>I9849*J9849</f>
        <v>27.267499999999998</v>
      </c>
      <c r="L9849" s="4334"/>
      <c r="M9849" s="4335"/>
      <c r="N9849" s="4324"/>
      <c r="O9849" s="1298">
        <f>SUM(O9851:O9863)</f>
        <v>3.3189000000000002</v>
      </c>
      <c r="P9849" s="1337">
        <f>O9849*K9849</f>
        <v>90.498105749999993</v>
      </c>
      <c r="Q9849" s="3390"/>
      <c r="R9849" s="1721">
        <f>SUM(P9851:P9863)</f>
        <v>90.498105749999993</v>
      </c>
    </row>
    <row r="9850" spans="1:18">
      <c r="A9850" s="1320"/>
      <c r="B9850" s="1599"/>
      <c r="C9850" s="1327"/>
      <c r="D9850" s="1400"/>
      <c r="E9850" s="2121"/>
      <c r="F9850" s="1389" t="s">
        <v>1</v>
      </c>
      <c r="G9850" s="1389"/>
      <c r="H9850" s="1369"/>
      <c r="I9850" s="1409"/>
      <c r="J9850" s="1390"/>
      <c r="K9850" s="1391"/>
      <c r="L9850" s="1559"/>
      <c r="M9850" s="1369"/>
      <c r="N9850" s="1369"/>
      <c r="O9850" s="1369"/>
      <c r="P9850" s="1392"/>
      <c r="Q9850" s="3395"/>
    </row>
    <row r="9851" spans="1:18">
      <c r="A9851" s="1042"/>
      <c r="B9851" s="1599"/>
      <c r="C9851" s="1042"/>
      <c r="D9851" s="1598"/>
      <c r="E9851" s="2154"/>
      <c r="F9851" s="1598"/>
      <c r="G9851" s="1612"/>
      <c r="H9851" s="1674"/>
      <c r="I9851" s="1299"/>
      <c r="J9851" s="1300"/>
      <c r="K9851" s="1307"/>
      <c r="L9851" s="1335"/>
      <c r="M9851" s="1302"/>
      <c r="N9851" s="1700"/>
      <c r="O9851" s="1290"/>
      <c r="P9851" s="1332"/>
      <c r="Q9851" s="3391"/>
    </row>
    <row r="9852" spans="1:18">
      <c r="A9852" s="1320"/>
      <c r="B9852" s="553"/>
      <c r="C9852" s="1042"/>
      <c r="D9852" s="1598"/>
      <c r="E9852" s="2154"/>
      <c r="F9852" s="1598"/>
      <c r="G9852" s="1612"/>
      <c r="H9852" s="1674"/>
      <c r="I9852" s="1299"/>
      <c r="J9852" s="1300"/>
      <c r="K9852" s="1307"/>
      <c r="L9852" s="1335"/>
      <c r="M9852" s="1302"/>
      <c r="N9852" s="1700"/>
      <c r="O9852" s="1290"/>
      <c r="P9852" s="1332"/>
      <c r="Q9852" s="3391"/>
      <c r="R9852" s="2337"/>
    </row>
    <row r="9853" spans="1:18">
      <c r="A9853" s="1320"/>
      <c r="B9853" s="553"/>
      <c r="C9853" s="1320"/>
      <c r="D9853" s="1598"/>
      <c r="E9853" s="2154"/>
      <c r="F9853" s="1598"/>
      <c r="G9853" s="1612"/>
      <c r="H9853" s="1399"/>
      <c r="I9853" s="197"/>
      <c r="J9853" s="198"/>
      <c r="K9853" s="1307"/>
      <c r="L9853" s="1335"/>
      <c r="M9853" s="1302"/>
      <c r="N9853" s="1718"/>
      <c r="O9853" s="1290"/>
      <c r="P9853" s="1332"/>
      <c r="Q9853" s="3391"/>
      <c r="R9853" s="2337"/>
    </row>
    <row r="9854" spans="1:18">
      <c r="A9854" s="1042"/>
      <c r="B9854" s="1599"/>
      <c r="C9854" s="1042"/>
      <c r="D9854" s="1400"/>
      <c r="E9854" s="2121"/>
      <c r="F9854" s="1436"/>
      <c r="G9854" s="1436"/>
      <c r="H9854" s="1369"/>
      <c r="I9854" s="1299"/>
      <c r="J9854" s="1300"/>
      <c r="K9854" s="1307"/>
      <c r="L9854" s="1335"/>
      <c r="M9854" s="1302"/>
      <c r="N9854" s="1700"/>
      <c r="O9854" s="1290"/>
      <c r="P9854" s="1332"/>
      <c r="Q9854" s="3391"/>
    </row>
    <row r="9855" spans="1:18">
      <c r="A9855" s="1042"/>
      <c r="B9855" s="1599"/>
      <c r="C9855" s="1042"/>
      <c r="D9855" s="1400"/>
      <c r="E9855" s="2121"/>
      <c r="F9855" s="1436"/>
      <c r="G9855" s="1436"/>
      <c r="H9855" s="1369"/>
      <c r="I9855" s="1299"/>
      <c r="J9855" s="1300"/>
      <c r="K9855" s="1307"/>
      <c r="L9855" s="1335"/>
      <c r="M9855" s="1302"/>
      <c r="N9855" s="1700"/>
      <c r="O9855" s="1290"/>
      <c r="P9855" s="1332"/>
      <c r="Q9855" s="3391"/>
    </row>
    <row r="9856" spans="1:18">
      <c r="A9856" s="1042"/>
      <c r="B9856" s="1599"/>
      <c r="C9856" s="1042"/>
      <c r="D9856" s="1404"/>
      <c r="E9856" s="1858"/>
      <c r="F9856" s="1360" t="s">
        <v>2</v>
      </c>
      <c r="G9856" s="1360"/>
      <c r="H9856" s="1362"/>
      <c r="I9856" s="1380"/>
      <c r="J9856" s="1381"/>
      <c r="K9856" s="1381"/>
      <c r="L9856" s="1458"/>
      <c r="M9856" s="1362"/>
      <c r="N9856" s="1362"/>
      <c r="O9856" s="1362"/>
      <c r="P9856" s="1359"/>
      <c r="Q9856" s="3387"/>
    </row>
    <row r="9857" spans="1:18">
      <c r="A9857" s="1321"/>
      <c r="B9857" s="2053"/>
      <c r="C9857" s="1321"/>
      <c r="D9857" s="1655" t="s">
        <v>1084</v>
      </c>
      <c r="E9857" s="1859" t="s">
        <v>1508</v>
      </c>
      <c r="F9857" s="1655" t="s">
        <v>2634</v>
      </c>
      <c r="G9857" s="1809">
        <v>0.03</v>
      </c>
      <c r="H9857" s="2019"/>
      <c r="I9857" s="1299"/>
      <c r="J9857" s="1300"/>
      <c r="K9857" s="1307">
        <f>G9857*K9849</f>
        <v>0.81802499999999989</v>
      </c>
      <c r="L9857" s="1335">
        <f t="shared" ref="L9857:L9858" si="1274">K9857*$K$9753</f>
        <v>0</v>
      </c>
      <c r="M9857" s="1302">
        <v>19.23</v>
      </c>
      <c r="N9857" s="1700"/>
      <c r="O9857" s="1290">
        <f>G9857*M9857</f>
        <v>0.57689999999999997</v>
      </c>
      <c r="P9857" s="1332">
        <f>M9857*K9857</f>
        <v>15.730620749999998</v>
      </c>
      <c r="Q9857" s="3391"/>
    </row>
    <row r="9858" spans="1:18">
      <c r="A9858" s="1042"/>
      <c r="B9858" s="553"/>
      <c r="C9858" s="1042"/>
      <c r="D9858" s="2054" t="s">
        <v>1067</v>
      </c>
      <c r="E9858" s="1857" t="s">
        <v>1508</v>
      </c>
      <c r="F9858" s="1403" t="s">
        <v>1512</v>
      </c>
      <c r="G9858" s="1991">
        <v>0.15</v>
      </c>
      <c r="H9858" s="1408"/>
      <c r="I9858" s="1286"/>
      <c r="J9858" s="198"/>
      <c r="K9858" s="1307">
        <f>G9858*K9849</f>
        <v>4.0901249999999996</v>
      </c>
      <c r="L9858" s="1335">
        <f t="shared" si="1274"/>
        <v>0</v>
      </c>
      <c r="M9858" s="1302">
        <v>18.28</v>
      </c>
      <c r="N9858" s="1700"/>
      <c r="O9858" s="1290">
        <f>G9858*M9858</f>
        <v>2.742</v>
      </c>
      <c r="P9858" s="1332">
        <f>M9858*K9858</f>
        <v>74.767484999999994</v>
      </c>
      <c r="Q9858" s="3391"/>
      <c r="R9858" s="2337"/>
    </row>
    <row r="9859" spans="1:18">
      <c r="A9859" s="1042"/>
      <c r="B9859" s="1599"/>
      <c r="C9859" s="1320"/>
      <c r="D9859" s="1404"/>
      <c r="E9859" s="1858"/>
      <c r="F9859" s="1361"/>
      <c r="G9859" s="1361"/>
      <c r="H9859" s="1466"/>
      <c r="I9859" s="1299"/>
      <c r="J9859" s="1300"/>
      <c r="K9859" s="1307"/>
      <c r="L9859" s="1335"/>
      <c r="M9859" s="1302"/>
      <c r="N9859" s="1700"/>
      <c r="O9859" s="1290"/>
      <c r="P9859" s="1332"/>
      <c r="Q9859" s="3391"/>
      <c r="R9859" s="1296"/>
    </row>
    <row r="9860" spans="1:18">
      <c r="A9860" s="1320"/>
      <c r="B9860" s="1599"/>
      <c r="C9860" s="1320"/>
      <c r="D9860" s="1411"/>
      <c r="E9860" s="2123"/>
      <c r="F9860" s="1374" t="s">
        <v>3</v>
      </c>
      <c r="G9860" s="1375"/>
      <c r="H9860" s="1376"/>
      <c r="I9860" s="1382"/>
      <c r="J9860" s="1383"/>
      <c r="K9860" s="1383"/>
      <c r="L9860" s="1413"/>
      <c r="M9860" s="1376"/>
      <c r="N9860" s="1376"/>
      <c r="O9860" s="1376"/>
      <c r="P9860" s="1373"/>
      <c r="Q9860" s="3387"/>
    </row>
    <row r="9861" spans="1:18">
      <c r="A9861" s="1321"/>
      <c r="B9861" s="2053"/>
      <c r="C9861" s="1321"/>
      <c r="D9861" s="1412"/>
      <c r="E9861" s="2124"/>
      <c r="F9861" s="1378"/>
      <c r="G9861" s="2200"/>
      <c r="H9861" s="1379"/>
      <c r="I9861" s="1299"/>
      <c r="J9861" s="1300"/>
      <c r="K9861" s="1307"/>
      <c r="L9861" s="1335"/>
      <c r="M9861" s="1302"/>
      <c r="N9861" s="1700"/>
      <c r="O9861" s="1290"/>
      <c r="P9861" s="1332"/>
      <c r="Q9861" s="3391"/>
    </row>
    <row r="9862" spans="1:18">
      <c r="A9862" s="1321"/>
      <c r="B9862" s="2053"/>
      <c r="C9862" s="1321"/>
      <c r="D9862" s="1412"/>
      <c r="E9862" s="2124"/>
      <c r="F9862" s="1378"/>
      <c r="G9862" s="1378"/>
      <c r="H9862" s="1379"/>
      <c r="I9862" s="1299"/>
      <c r="J9862" s="1300"/>
      <c r="K9862" s="1307"/>
      <c r="L9862" s="1335"/>
      <c r="M9862" s="1302"/>
      <c r="N9862" s="1700"/>
      <c r="O9862" s="1290"/>
      <c r="P9862" s="1333"/>
      <c r="Q9862" s="3391"/>
    </row>
    <row r="9863" spans="1:18">
      <c r="A9863" s="1042"/>
      <c r="B9863" s="1599"/>
      <c r="C9863" s="1042"/>
      <c r="D9863" s="1695"/>
      <c r="E9863" s="2278"/>
      <c r="F9863" s="2279"/>
      <c r="G9863" s="2279"/>
      <c r="H9863" s="2264"/>
      <c r="I9863" s="2280"/>
      <c r="J9863" s="2281"/>
      <c r="K9863" s="2236"/>
      <c r="L9863" s="1594"/>
      <c r="M9863" s="2282"/>
      <c r="N9863" s="2283"/>
      <c r="O9863" s="2237"/>
      <c r="P9863" s="2238"/>
      <c r="Q9863" s="3391"/>
    </row>
    <row r="9864" spans="1:18">
      <c r="A9864" s="18" t="s">
        <v>3764</v>
      </c>
      <c r="B9864" s="4325" t="s">
        <v>3662</v>
      </c>
      <c r="C9864" s="3836"/>
      <c r="D9864" s="4327"/>
      <c r="E9864" s="4329" t="s">
        <v>1507</v>
      </c>
      <c r="F9864" s="4372" t="s">
        <v>3663</v>
      </c>
      <c r="G9864" s="4331" t="s">
        <v>1568</v>
      </c>
      <c r="H9864" s="4331" t="s">
        <v>1574</v>
      </c>
      <c r="I9864" s="1572" t="s">
        <v>1559</v>
      </c>
      <c r="J9864" s="1294" t="s">
        <v>1560</v>
      </c>
      <c r="K9864" s="1294" t="s">
        <v>1569</v>
      </c>
      <c r="L9864" s="4333" t="s">
        <v>3765</v>
      </c>
      <c r="M9864" s="4335" t="s">
        <v>1571</v>
      </c>
      <c r="N9864" s="4323" t="s">
        <v>1776</v>
      </c>
      <c r="O9864" s="3834" t="s">
        <v>1563</v>
      </c>
      <c r="P9864" s="1336" t="s">
        <v>1562</v>
      </c>
      <c r="Q9864" s="3389"/>
      <c r="R9864" s="1699" t="s">
        <v>1327</v>
      </c>
    </row>
    <row r="9865" spans="1:18">
      <c r="A9865" s="1662" t="s">
        <v>3648</v>
      </c>
      <c r="B9865" s="4326"/>
      <c r="C9865" s="3835"/>
      <c r="D9865" s="4328"/>
      <c r="E9865" s="4330"/>
      <c r="F9865" s="4363"/>
      <c r="G9865" s="4332"/>
      <c r="H9865" s="4332"/>
      <c r="I9865" s="1306">
        <v>109.07</v>
      </c>
      <c r="J9865" s="1307">
        <v>0.25</v>
      </c>
      <c r="K9865" s="1297">
        <f>I9865*J9865</f>
        <v>27.267499999999998</v>
      </c>
      <c r="L9865" s="4334"/>
      <c r="M9865" s="4335"/>
      <c r="N9865" s="4324"/>
      <c r="O9865" s="1298">
        <f>SUM(O9867:O9880)</f>
        <v>16.895340000000004</v>
      </c>
      <c r="P9865" s="1337">
        <f>O9865*K9865</f>
        <v>460.69368345000009</v>
      </c>
      <c r="Q9865" s="3390"/>
      <c r="R9865" s="1721">
        <f>SUM(P9867:P9880)</f>
        <v>460.69368344999998</v>
      </c>
    </row>
    <row r="9866" spans="1:18">
      <c r="A9866" s="1320"/>
      <c r="B9866" s="1599"/>
      <c r="C9866" s="1327"/>
      <c r="D9866" s="1400"/>
      <c r="E9866" s="2121"/>
      <c r="F9866" s="1389" t="s">
        <v>1</v>
      </c>
      <c r="G9866" s="1389"/>
      <c r="H9866" s="1369"/>
      <c r="I9866" s="1409"/>
      <c r="J9866" s="1390"/>
      <c r="K9866" s="1391"/>
      <c r="L9866" s="1559"/>
      <c r="M9866" s="1369"/>
      <c r="N9866" s="1369"/>
      <c r="O9866" s="1369"/>
      <c r="P9866" s="1392"/>
      <c r="Q9866" s="3395"/>
    </row>
    <row r="9867" spans="1:18">
      <c r="A9867" s="1042"/>
      <c r="B9867" s="1599"/>
      <c r="C9867" s="1042"/>
      <c r="D9867" s="1598" t="s">
        <v>3664</v>
      </c>
      <c r="E9867" s="2154" t="s">
        <v>1504</v>
      </c>
      <c r="F9867" s="1598" t="s">
        <v>3665</v>
      </c>
      <c r="G9867" s="1612">
        <v>0.01</v>
      </c>
      <c r="H9867" s="1674"/>
      <c r="I9867" s="1299"/>
      <c r="J9867" s="1300"/>
      <c r="K9867" s="1307">
        <f>G9867*K9865</f>
        <v>0.272675</v>
      </c>
      <c r="L9867" s="1335">
        <f t="shared" ref="L9867:L9872" si="1275">K9867*$K$9753</f>
        <v>0</v>
      </c>
      <c r="M9867" s="1302">
        <v>20.82</v>
      </c>
      <c r="N9867" s="1700"/>
      <c r="O9867" s="1290">
        <f t="shared" ref="O9867:O9872" si="1276">G9867*M9867</f>
        <v>0.2082</v>
      </c>
      <c r="P9867" s="1332">
        <f t="shared" ref="P9867:P9872" si="1277">M9867*K9867</f>
        <v>5.6770934999999998</v>
      </c>
      <c r="Q9867" s="3391"/>
    </row>
    <row r="9868" spans="1:18">
      <c r="A9868" s="1042"/>
      <c r="B9868" s="1599"/>
      <c r="C9868" s="1042"/>
      <c r="D9868" s="1598" t="s">
        <v>1081</v>
      </c>
      <c r="E9868" s="2154" t="s">
        <v>1517</v>
      </c>
      <c r="F9868" s="1598" t="s">
        <v>2045</v>
      </c>
      <c r="G9868" s="1612">
        <v>4.0000000000000001E-3</v>
      </c>
      <c r="H9868" s="3847"/>
      <c r="I9868" s="1299"/>
      <c r="J9868" s="3848"/>
      <c r="K9868" s="1307">
        <f>G9868*K9865</f>
        <v>0.10907</v>
      </c>
      <c r="L9868" s="1335">
        <f t="shared" si="1275"/>
        <v>0</v>
      </c>
      <c r="M9868" s="3849">
        <v>195.18</v>
      </c>
      <c r="N9868" s="1700"/>
      <c r="O9868" s="1290">
        <f t="shared" si="1276"/>
        <v>0.78072000000000008</v>
      </c>
      <c r="P9868" s="1332">
        <f t="shared" si="1277"/>
        <v>21.288282600000002</v>
      </c>
      <c r="Q9868" s="3391"/>
    </row>
    <row r="9869" spans="1:18">
      <c r="A9869" s="1320"/>
      <c r="B9869" s="553"/>
      <c r="C9869" s="1042"/>
      <c r="D9869" s="1598" t="s">
        <v>1114</v>
      </c>
      <c r="E9869" s="2154" t="s">
        <v>1517</v>
      </c>
      <c r="F9869" s="1598" t="s">
        <v>1538</v>
      </c>
      <c r="G9869" s="1612">
        <v>3.0000000000000001E-3</v>
      </c>
      <c r="H9869" s="1674"/>
      <c r="I9869" s="1299"/>
      <c r="J9869" s="1300"/>
      <c r="K9869" s="1307">
        <f>G9869*K9865</f>
        <v>8.18025E-2</v>
      </c>
      <c r="L9869" s="1335">
        <f t="shared" si="1275"/>
        <v>0</v>
      </c>
      <c r="M9869" s="1302">
        <v>225.64</v>
      </c>
      <c r="N9869" s="1700"/>
      <c r="O9869" s="1290">
        <f t="shared" si="1276"/>
        <v>0.67691999999999997</v>
      </c>
      <c r="P9869" s="1332">
        <f t="shared" si="1277"/>
        <v>18.457916099999998</v>
      </c>
      <c r="Q9869" s="3391"/>
      <c r="R9869" s="2337"/>
    </row>
    <row r="9870" spans="1:18">
      <c r="A9870" s="1320"/>
      <c r="B9870" s="553"/>
      <c r="C9870" s="1320"/>
      <c r="D9870" s="1598" t="s">
        <v>1083</v>
      </c>
      <c r="E9870" s="2154" t="s">
        <v>1683</v>
      </c>
      <c r="F9870" s="1598" t="s">
        <v>2633</v>
      </c>
      <c r="G9870" s="1612">
        <v>0.35</v>
      </c>
      <c r="H9870" s="1399"/>
      <c r="I9870" s="197"/>
      <c r="J9870" s="198"/>
      <c r="K9870" s="1307">
        <f>G9870*K9865</f>
        <v>9.5436249999999987</v>
      </c>
      <c r="L9870" s="1335">
        <f t="shared" si="1275"/>
        <v>0</v>
      </c>
      <c r="M9870" s="1302">
        <v>1.72</v>
      </c>
      <c r="N9870" s="1718"/>
      <c r="O9870" s="1290">
        <f t="shared" si="1276"/>
        <v>0.60199999999999998</v>
      </c>
      <c r="P9870" s="1332">
        <f t="shared" si="1277"/>
        <v>16.415034999999996</v>
      </c>
      <c r="Q9870" s="3391"/>
      <c r="R9870" s="2337"/>
    </row>
    <row r="9871" spans="1:18">
      <c r="A9871" s="1042"/>
      <c r="B9871" s="1599"/>
      <c r="C9871" s="1042"/>
      <c r="D9871" s="1400" t="s">
        <v>1097</v>
      </c>
      <c r="E9871" s="2121" t="s">
        <v>1504</v>
      </c>
      <c r="F9871" s="1436" t="s">
        <v>1632</v>
      </c>
      <c r="G9871" s="1436">
        <v>0.5</v>
      </c>
      <c r="H9871" s="1369"/>
      <c r="I9871" s="1299"/>
      <c r="J9871" s="1300"/>
      <c r="K9871" s="1307">
        <f>G9871*K9865</f>
        <v>13.633749999999999</v>
      </c>
      <c r="L9871" s="1335">
        <f t="shared" si="1275"/>
        <v>0</v>
      </c>
      <c r="M9871" s="1302">
        <v>0.55000000000000004</v>
      </c>
      <c r="N9871" s="1700"/>
      <c r="O9871" s="1290">
        <f t="shared" si="1276"/>
        <v>0.27500000000000002</v>
      </c>
      <c r="P9871" s="1332">
        <f t="shared" si="1277"/>
        <v>7.4985625000000002</v>
      </c>
      <c r="Q9871" s="3391"/>
    </row>
    <row r="9872" spans="1:18">
      <c r="A9872" s="1042"/>
      <c r="B9872" s="1599"/>
      <c r="C9872" s="1042"/>
      <c r="D9872" s="1400" t="s">
        <v>1082</v>
      </c>
      <c r="E9872" s="2121" t="s">
        <v>1504</v>
      </c>
      <c r="F9872" s="1436" t="s">
        <v>1541</v>
      </c>
      <c r="G9872" s="1436">
        <v>0.4</v>
      </c>
      <c r="H9872" s="1369"/>
      <c r="I9872" s="1299"/>
      <c r="J9872" s="1300"/>
      <c r="K9872" s="1307">
        <f>G9872*K9865</f>
        <v>10.907</v>
      </c>
      <c r="L9872" s="1335">
        <f t="shared" si="1275"/>
        <v>0</v>
      </c>
      <c r="M9872" s="1302">
        <v>0.3</v>
      </c>
      <c r="N9872" s="1700"/>
      <c r="O9872" s="1290">
        <f t="shared" si="1276"/>
        <v>0.12</v>
      </c>
      <c r="P9872" s="1332">
        <f t="shared" si="1277"/>
        <v>3.2721</v>
      </c>
      <c r="Q9872" s="3391"/>
    </row>
    <row r="9873" spans="1:18">
      <c r="A9873" s="1042"/>
      <c r="B9873" s="1599"/>
      <c r="C9873" s="1042"/>
      <c r="D9873" s="1404"/>
      <c r="E9873" s="1858"/>
      <c r="F9873" s="1360" t="s">
        <v>2</v>
      </c>
      <c r="G9873" s="1360"/>
      <c r="H9873" s="1362"/>
      <c r="I9873" s="1380"/>
      <c r="J9873" s="1381"/>
      <c r="K9873" s="1381"/>
      <c r="L9873" s="1458"/>
      <c r="M9873" s="1362"/>
      <c r="N9873" s="1362"/>
      <c r="O9873" s="1362"/>
      <c r="P9873" s="1359"/>
      <c r="Q9873" s="3387"/>
    </row>
    <row r="9874" spans="1:18">
      <c r="A9874" s="1321"/>
      <c r="B9874" s="2053"/>
      <c r="C9874" s="1321"/>
      <c r="D9874" s="1655" t="s">
        <v>1084</v>
      </c>
      <c r="E9874" s="1859" t="s">
        <v>1508</v>
      </c>
      <c r="F9874" s="1655" t="s">
        <v>2634</v>
      </c>
      <c r="G9874" s="1809">
        <v>0.55000000000000004</v>
      </c>
      <c r="H9874" s="2019"/>
      <c r="I9874" s="1299"/>
      <c r="J9874" s="1300"/>
      <c r="K9874" s="1307">
        <f>G9874*K9865</f>
        <v>14.997125</v>
      </c>
      <c r="L9874" s="1335">
        <f t="shared" ref="L9874:L9875" si="1278">K9874*$K$9753</f>
        <v>0</v>
      </c>
      <c r="M9874" s="1302">
        <v>19.23</v>
      </c>
      <c r="N9874" s="1700"/>
      <c r="O9874" s="1290">
        <f>G9874*M9874</f>
        <v>10.576500000000001</v>
      </c>
      <c r="P9874" s="1332">
        <f>M9874*K9874</f>
        <v>288.39471374999999</v>
      </c>
      <c r="Q9874" s="3391"/>
    </row>
    <row r="9875" spans="1:18">
      <c r="A9875" s="1042"/>
      <c r="B9875" s="553"/>
      <c r="C9875" s="1042"/>
      <c r="D9875" s="2054" t="s">
        <v>1067</v>
      </c>
      <c r="E9875" s="1857" t="s">
        <v>1508</v>
      </c>
      <c r="F9875" s="1403" t="s">
        <v>1512</v>
      </c>
      <c r="G9875" s="1991">
        <v>0.2</v>
      </c>
      <c r="H9875" s="1408"/>
      <c r="I9875" s="1286"/>
      <c r="J9875" s="198"/>
      <c r="K9875" s="1307">
        <f>G9875*K9865</f>
        <v>5.4535</v>
      </c>
      <c r="L9875" s="1335">
        <f t="shared" si="1278"/>
        <v>0</v>
      </c>
      <c r="M9875" s="1302">
        <v>18.28</v>
      </c>
      <c r="N9875" s="1700"/>
      <c r="O9875" s="1290">
        <f>G9875*M9875</f>
        <v>3.6560000000000006</v>
      </c>
      <c r="P9875" s="1332">
        <f>M9875*K9875</f>
        <v>99.689980000000006</v>
      </c>
      <c r="Q9875" s="3391"/>
      <c r="R9875" s="2337"/>
    </row>
    <row r="9876" spans="1:18">
      <c r="A9876" s="1042"/>
      <c r="B9876" s="1599"/>
      <c r="C9876" s="1320"/>
      <c r="D9876" s="1404"/>
      <c r="E9876" s="1858"/>
      <c r="F9876" s="1361"/>
      <c r="G9876" s="1361"/>
      <c r="H9876" s="1466"/>
      <c r="I9876" s="1299"/>
      <c r="J9876" s="1300"/>
      <c r="K9876" s="1307" t="str">
        <f>IF(COUNT(I9876)=0,"",(I9876*J9876))</f>
        <v/>
      </c>
      <c r="L9876" s="1335"/>
      <c r="M9876" s="1302"/>
      <c r="N9876" s="1700"/>
      <c r="O9876" s="1290"/>
      <c r="P9876" s="1332"/>
      <c r="Q9876" s="3391"/>
      <c r="R9876" s="1296"/>
    </row>
    <row r="9877" spans="1:18">
      <c r="A9877" s="1320"/>
      <c r="B9877" s="1599"/>
      <c r="C9877" s="1320"/>
      <c r="D9877" s="1411"/>
      <c r="E9877" s="2123"/>
      <c r="F9877" s="1374" t="s">
        <v>3</v>
      </c>
      <c r="G9877" s="1375"/>
      <c r="H9877" s="1376"/>
      <c r="I9877" s="1382"/>
      <c r="J9877" s="1383"/>
      <c r="K9877" s="1383"/>
      <c r="L9877" s="1413"/>
      <c r="M9877" s="1376"/>
      <c r="N9877" s="1376"/>
      <c r="O9877" s="1376"/>
      <c r="P9877" s="1373"/>
      <c r="Q9877" s="3387"/>
    </row>
    <row r="9878" spans="1:18">
      <c r="A9878" s="1321"/>
      <c r="B9878" s="2053"/>
      <c r="C9878" s="1321"/>
      <c r="D9878" s="1412"/>
      <c r="E9878" s="2124"/>
      <c r="F9878" s="1378"/>
      <c r="G9878" s="2200"/>
      <c r="H9878" s="1379"/>
      <c r="I9878" s="1299"/>
      <c r="J9878" s="1300"/>
      <c r="K9878" s="1307"/>
      <c r="L9878" s="1335"/>
      <c r="M9878" s="1302"/>
      <c r="N9878" s="1700"/>
      <c r="O9878" s="1290"/>
      <c r="P9878" s="1332"/>
      <c r="Q9878" s="3391"/>
    </row>
    <row r="9879" spans="1:18">
      <c r="A9879" s="1321"/>
      <c r="B9879" s="2053"/>
      <c r="C9879" s="1321"/>
      <c r="D9879" s="1412"/>
      <c r="E9879" s="2124"/>
      <c r="F9879" s="1378"/>
      <c r="G9879" s="1378"/>
      <c r="H9879" s="1379"/>
      <c r="I9879" s="1299"/>
      <c r="J9879" s="1300"/>
      <c r="K9879" s="1307"/>
      <c r="L9879" s="1335"/>
      <c r="M9879" s="1302"/>
      <c r="N9879" s="1700"/>
      <c r="O9879" s="1290"/>
      <c r="P9879" s="1333"/>
      <c r="Q9879" s="3391"/>
    </row>
    <row r="9880" spans="1:18">
      <c r="A9880" s="1042"/>
      <c r="B9880" s="1599"/>
      <c r="C9880" s="1042"/>
      <c r="D9880" s="1695"/>
      <c r="E9880" s="2278"/>
      <c r="F9880" s="2279"/>
      <c r="G9880" s="2279"/>
      <c r="H9880" s="2264"/>
      <c r="I9880" s="2280"/>
      <c r="J9880" s="2281"/>
      <c r="K9880" s="2236"/>
      <c r="L9880" s="1594"/>
      <c r="M9880" s="2282"/>
      <c r="N9880" s="2283"/>
      <c r="O9880" s="2237"/>
      <c r="P9880" s="2238"/>
      <c r="Q9880" s="3391"/>
    </row>
    <row r="9881" spans="1:18">
      <c r="A9881" s="18" t="s">
        <v>3764</v>
      </c>
      <c r="B9881" s="4325" t="s">
        <v>3698</v>
      </c>
      <c r="C9881" s="3840"/>
      <c r="D9881" s="4327"/>
      <c r="E9881" s="4329" t="s">
        <v>1517</v>
      </c>
      <c r="F9881" s="4372" t="s">
        <v>1726</v>
      </c>
      <c r="G9881" s="4331" t="s">
        <v>1568</v>
      </c>
      <c r="H9881" s="4331" t="s">
        <v>1574</v>
      </c>
      <c r="I9881" s="1572" t="s">
        <v>1559</v>
      </c>
      <c r="J9881" s="1294" t="s">
        <v>1560</v>
      </c>
      <c r="K9881" s="1294" t="s">
        <v>1569</v>
      </c>
      <c r="L9881" s="4333" t="s">
        <v>3765</v>
      </c>
      <c r="M9881" s="4335" t="s">
        <v>1571</v>
      </c>
      <c r="N9881" s="4323" t="s">
        <v>1776</v>
      </c>
      <c r="O9881" s="3839" t="s">
        <v>1563</v>
      </c>
      <c r="P9881" s="1336" t="s">
        <v>1562</v>
      </c>
      <c r="Q9881" s="3389"/>
      <c r="R9881" s="1699" t="s">
        <v>1327</v>
      </c>
    </row>
    <row r="9882" spans="1:18">
      <c r="A9882" s="1662" t="s">
        <v>3648</v>
      </c>
      <c r="B9882" s="4326"/>
      <c r="C9882" s="3841"/>
      <c r="D9882" s="4328"/>
      <c r="E9882" s="4330"/>
      <c r="F9882" s="4363"/>
      <c r="G9882" s="4332"/>
      <c r="H9882" s="4332"/>
      <c r="I9882" s="1306">
        <v>8.02</v>
      </c>
      <c r="J9882" s="1307">
        <v>0.25</v>
      </c>
      <c r="K9882" s="1297">
        <f>I9882*J9882</f>
        <v>2.0049999999999999</v>
      </c>
      <c r="L9882" s="4334"/>
      <c r="M9882" s="4335"/>
      <c r="N9882" s="4324"/>
      <c r="O9882" s="1298">
        <f>SUM(O9884:O9896)</f>
        <v>82.685700000000011</v>
      </c>
      <c r="P9882" s="1337">
        <f>O9882*K9882</f>
        <v>165.7848285</v>
      </c>
      <c r="Q9882" s="3390"/>
      <c r="R9882" s="1721">
        <f>SUM(P9884:P9896)</f>
        <v>165.7848285</v>
      </c>
    </row>
    <row r="9883" spans="1:18">
      <c r="A9883" s="1320"/>
      <c r="B9883" s="1599"/>
      <c r="C9883" s="1327"/>
      <c r="D9883" s="1400"/>
      <c r="E9883" s="2121"/>
      <c r="F9883" s="1389" t="s">
        <v>1</v>
      </c>
      <c r="G9883" s="1389"/>
      <c r="H9883" s="1369"/>
      <c r="I9883" s="1409"/>
      <c r="J9883" s="1390"/>
      <c r="K9883" s="1391"/>
      <c r="L9883" s="1559"/>
      <c r="M9883" s="1369"/>
      <c r="N9883" s="1369"/>
      <c r="O9883" s="1369"/>
      <c r="P9883" s="1392"/>
      <c r="Q9883" s="3395"/>
    </row>
    <row r="9884" spans="1:18">
      <c r="A9884" s="1042"/>
      <c r="B9884" s="1599"/>
      <c r="C9884" s="1042"/>
      <c r="D9884" s="1598" t="s">
        <v>1093</v>
      </c>
      <c r="E9884" s="2154" t="s">
        <v>1517</v>
      </c>
      <c r="F9884" s="1598" t="s">
        <v>2727</v>
      </c>
      <c r="G9884" s="1612">
        <v>1.03</v>
      </c>
      <c r="H9884" s="3847"/>
      <c r="I9884" s="1299"/>
      <c r="J9884" s="3848"/>
      <c r="K9884" s="1307">
        <f>G9884*K9882</f>
        <v>2.06515</v>
      </c>
      <c r="L9884" s="1335">
        <f t="shared" ref="L9884:L9885" si="1279">K9884*$K$9753</f>
        <v>0</v>
      </c>
      <c r="M9884" s="1302">
        <v>65.19</v>
      </c>
      <c r="N9884" s="1700"/>
      <c r="O9884" s="1290">
        <f t="shared" ref="O9884:O9885" si="1280">G9884*M9884</f>
        <v>67.145700000000005</v>
      </c>
      <c r="P9884" s="1332">
        <f t="shared" ref="P9884:P9885" si="1281">M9884*K9884</f>
        <v>134.6271285</v>
      </c>
      <c r="Q9884" s="3391"/>
    </row>
    <row r="9885" spans="1:18">
      <c r="A9885" s="1320"/>
      <c r="B9885" s="553"/>
      <c r="C9885" s="1042"/>
      <c r="D9885" s="1598" t="s">
        <v>1082</v>
      </c>
      <c r="E9885" s="2154" t="s">
        <v>1504</v>
      </c>
      <c r="F9885" s="1598" t="s">
        <v>1541</v>
      </c>
      <c r="G9885" s="1612">
        <v>0.91</v>
      </c>
      <c r="H9885" s="1674"/>
      <c r="I9885" s="1299"/>
      <c r="J9885" s="1300"/>
      <c r="K9885" s="1307">
        <f>G9885*K9882</f>
        <v>1.8245499999999999</v>
      </c>
      <c r="L9885" s="1335">
        <f t="shared" si="1279"/>
        <v>0</v>
      </c>
      <c r="M9885" s="1302">
        <v>0.3</v>
      </c>
      <c r="N9885" s="1700"/>
      <c r="O9885" s="1290">
        <f t="shared" si="1280"/>
        <v>0.27300000000000002</v>
      </c>
      <c r="P9885" s="1332">
        <f t="shared" si="1281"/>
        <v>0.54736499999999999</v>
      </c>
      <c r="Q9885" s="3391"/>
      <c r="R9885" s="2337"/>
    </row>
    <row r="9886" spans="1:18">
      <c r="A9886" s="1320"/>
      <c r="B9886" s="553"/>
      <c r="C9886" s="1320"/>
      <c r="D9886" s="1598"/>
      <c r="E9886" s="2154"/>
      <c r="F9886" s="1598"/>
      <c r="G9886" s="1612"/>
      <c r="H9886" s="1399"/>
      <c r="I9886" s="197"/>
      <c r="J9886" s="198"/>
      <c r="K9886" s="1307"/>
      <c r="L9886" s="1335"/>
      <c r="M9886" s="1302"/>
      <c r="N9886" s="1718"/>
      <c r="O9886" s="1290"/>
      <c r="P9886" s="1332"/>
      <c r="Q9886" s="3391"/>
      <c r="R9886" s="2337"/>
    </row>
    <row r="9887" spans="1:18">
      <c r="A9887" s="1042"/>
      <c r="B9887" s="1599"/>
      <c r="C9887" s="1042"/>
      <c r="D9887" s="1400"/>
      <c r="E9887" s="2121"/>
      <c r="F9887" s="1436"/>
      <c r="G9887" s="1436"/>
      <c r="H9887" s="1369"/>
      <c r="I9887" s="1299"/>
      <c r="J9887" s="1300"/>
      <c r="K9887" s="1307"/>
      <c r="L9887" s="1335"/>
      <c r="M9887" s="1302"/>
      <c r="N9887" s="1700"/>
      <c r="O9887" s="1290"/>
      <c r="P9887" s="1332"/>
      <c r="Q9887" s="3391"/>
    </row>
    <row r="9888" spans="1:18">
      <c r="A9888" s="1042"/>
      <c r="B9888" s="1599"/>
      <c r="C9888" s="1042"/>
      <c r="D9888" s="1400"/>
      <c r="E9888" s="2121"/>
      <c r="F9888" s="1436"/>
      <c r="G9888" s="1436"/>
      <c r="H9888" s="1369"/>
      <c r="I9888" s="1299"/>
      <c r="J9888" s="1300"/>
      <c r="K9888" s="1307"/>
      <c r="L9888" s="1335"/>
      <c r="M9888" s="1302"/>
      <c r="N9888" s="1700"/>
      <c r="O9888" s="1290"/>
      <c r="P9888" s="1332"/>
      <c r="Q9888" s="3391"/>
    </row>
    <row r="9889" spans="1:18">
      <c r="A9889" s="1042"/>
      <c r="B9889" s="1599"/>
      <c r="C9889" s="1042"/>
      <c r="D9889" s="1404"/>
      <c r="E9889" s="1858"/>
      <c r="F9889" s="1360" t="s">
        <v>2</v>
      </c>
      <c r="G9889" s="1360"/>
      <c r="H9889" s="1362"/>
      <c r="I9889" s="1380"/>
      <c r="J9889" s="1381"/>
      <c r="K9889" s="1381"/>
      <c r="L9889" s="1458"/>
      <c r="M9889" s="1362"/>
      <c r="N9889" s="1362"/>
      <c r="O9889" s="1362"/>
      <c r="P9889" s="1359"/>
      <c r="Q9889" s="3387"/>
    </row>
    <row r="9890" spans="1:18">
      <c r="A9890" s="1321"/>
      <c r="B9890" s="2053"/>
      <c r="C9890" s="1321"/>
      <c r="D9890" s="1655" t="s">
        <v>1077</v>
      </c>
      <c r="E9890" s="1859" t="s">
        <v>1508</v>
      </c>
      <c r="F9890" s="1655" t="s">
        <v>1539</v>
      </c>
      <c r="G9890" s="1809">
        <v>0.2</v>
      </c>
      <c r="H9890" s="2019"/>
      <c r="I9890" s="1299"/>
      <c r="J9890" s="1300"/>
      <c r="K9890" s="1307">
        <f>G9890*K9882</f>
        <v>0.40100000000000002</v>
      </c>
      <c r="L9890" s="1335">
        <f t="shared" ref="L9890:L9891" si="1282">K9890*$K$9753</f>
        <v>0</v>
      </c>
      <c r="M9890" s="1302">
        <v>19.23</v>
      </c>
      <c r="N9890" s="1700"/>
      <c r="O9890" s="1290">
        <f>G9890*M9890</f>
        <v>3.8460000000000001</v>
      </c>
      <c r="P9890" s="1332">
        <f>M9890*K9890</f>
        <v>7.7112300000000005</v>
      </c>
      <c r="Q9890" s="3391"/>
    </row>
    <row r="9891" spans="1:18">
      <c r="A9891" s="1042"/>
      <c r="B9891" s="553"/>
      <c r="C9891" s="1042"/>
      <c r="D9891" s="2054" t="s">
        <v>1067</v>
      </c>
      <c r="E9891" s="1857" t="s">
        <v>1508</v>
      </c>
      <c r="F9891" s="1403" t="s">
        <v>1512</v>
      </c>
      <c r="G9891" s="1991">
        <v>0.6</v>
      </c>
      <c r="H9891" s="1408"/>
      <c r="I9891" s="1286"/>
      <c r="J9891" s="198"/>
      <c r="K9891" s="1307">
        <f>G9891*K9882</f>
        <v>1.2029999999999998</v>
      </c>
      <c r="L9891" s="1335">
        <f t="shared" si="1282"/>
        <v>0</v>
      </c>
      <c r="M9891" s="1302">
        <v>18.28</v>
      </c>
      <c r="N9891" s="1700"/>
      <c r="O9891" s="1290">
        <f>G9891*M9891</f>
        <v>10.968</v>
      </c>
      <c r="P9891" s="1332">
        <f>M9891*K9891</f>
        <v>21.990839999999999</v>
      </c>
      <c r="Q9891" s="3391"/>
      <c r="R9891" s="2337"/>
    </row>
    <row r="9892" spans="1:18">
      <c r="A9892" s="1042"/>
      <c r="B9892" s="1599"/>
      <c r="C9892" s="1320"/>
      <c r="D9892" s="1404"/>
      <c r="E9892" s="1858"/>
      <c r="F9892" s="1361"/>
      <c r="G9892" s="1361"/>
      <c r="H9892" s="1466"/>
      <c r="I9892" s="1299"/>
      <c r="J9892" s="1300"/>
      <c r="K9892" s="1307"/>
      <c r="L9892" s="1335"/>
      <c r="M9892" s="1302"/>
      <c r="N9892" s="1700"/>
      <c r="O9892" s="1290"/>
      <c r="P9892" s="1332"/>
      <c r="Q9892" s="3391"/>
      <c r="R9892" s="1296"/>
    </row>
    <row r="9893" spans="1:18">
      <c r="A9893" s="1320"/>
      <c r="B9893" s="1599"/>
      <c r="C9893" s="1320"/>
      <c r="D9893" s="1411"/>
      <c r="E9893" s="2123"/>
      <c r="F9893" s="1374" t="s">
        <v>3</v>
      </c>
      <c r="G9893" s="1375"/>
      <c r="H9893" s="1376"/>
      <c r="I9893" s="1382"/>
      <c r="J9893" s="1383"/>
      <c r="K9893" s="1383"/>
      <c r="L9893" s="1413"/>
      <c r="M9893" s="1376"/>
      <c r="N9893" s="1376"/>
      <c r="O9893" s="1376"/>
      <c r="P9893" s="1373"/>
      <c r="Q9893" s="3387"/>
    </row>
    <row r="9894" spans="1:18">
      <c r="A9894" s="1042"/>
      <c r="B9894" s="1599"/>
      <c r="C9894" s="1042"/>
      <c r="D9894" s="1592" t="s">
        <v>1087</v>
      </c>
      <c r="E9894" s="2145" t="s">
        <v>1508</v>
      </c>
      <c r="F9894" s="1592" t="s">
        <v>1542</v>
      </c>
      <c r="G9894" s="1593">
        <v>0.3</v>
      </c>
      <c r="H9894" s="3882"/>
      <c r="I9894" s="1299"/>
      <c r="J9894" s="1300"/>
      <c r="K9894" s="1307">
        <f>G9894*K9882</f>
        <v>0.60149999999999992</v>
      </c>
      <c r="L9894" s="1335">
        <f t="shared" ref="L9894" si="1283">K9894*$K$9753</f>
        <v>0</v>
      </c>
      <c r="M9894" s="1302">
        <v>1.51</v>
      </c>
      <c r="N9894" s="1700"/>
      <c r="O9894" s="1290">
        <f t="shared" ref="O9894" si="1284">G9894*M9894</f>
        <v>0.45299999999999996</v>
      </c>
      <c r="P9894" s="1332">
        <f t="shared" ref="P9894" si="1285">M9894*K9894</f>
        <v>0.90826499999999988</v>
      </c>
      <c r="Q9894" s="3391"/>
    </row>
    <row r="9895" spans="1:18">
      <c r="A9895" s="1321"/>
      <c r="B9895" s="2053"/>
      <c r="C9895" s="1321"/>
      <c r="D9895" s="1412"/>
      <c r="E9895" s="2124"/>
      <c r="F9895" s="1378"/>
      <c r="G9895" s="1378"/>
      <c r="H9895" s="1379"/>
      <c r="I9895" s="1299"/>
      <c r="J9895" s="1300"/>
      <c r="K9895" s="1307"/>
      <c r="L9895" s="1335"/>
      <c r="M9895" s="1302"/>
      <c r="N9895" s="1700"/>
      <c r="O9895" s="1290"/>
      <c r="P9895" s="1333"/>
      <c r="Q9895" s="3391"/>
    </row>
    <row r="9896" spans="1:18">
      <c r="A9896" s="1042"/>
      <c r="B9896" s="1599"/>
      <c r="C9896" s="1042"/>
      <c r="D9896" s="1695"/>
      <c r="E9896" s="2278"/>
      <c r="F9896" s="2279"/>
      <c r="G9896" s="2279"/>
      <c r="H9896" s="2264"/>
      <c r="I9896" s="2280"/>
      <c r="J9896" s="2281"/>
      <c r="K9896" s="2236"/>
      <c r="L9896" s="1594"/>
      <c r="M9896" s="2282"/>
      <c r="N9896" s="2283"/>
      <c r="O9896" s="2237"/>
      <c r="P9896" s="2238"/>
      <c r="Q9896" s="3391"/>
    </row>
    <row r="9897" spans="1:18">
      <c r="A9897" s="18" t="s">
        <v>3764</v>
      </c>
      <c r="B9897" s="4325" t="s">
        <v>3666</v>
      </c>
      <c r="C9897" s="3840"/>
      <c r="D9897" s="4327"/>
      <c r="E9897" s="4329" t="s">
        <v>1507</v>
      </c>
      <c r="F9897" s="4372" t="s">
        <v>3667</v>
      </c>
      <c r="G9897" s="4331" t="s">
        <v>1568</v>
      </c>
      <c r="H9897" s="4331" t="s">
        <v>1574</v>
      </c>
      <c r="I9897" s="1572" t="s">
        <v>1559</v>
      </c>
      <c r="J9897" s="1294" t="s">
        <v>1560</v>
      </c>
      <c r="K9897" s="1294" t="s">
        <v>1569</v>
      </c>
      <c r="L9897" s="4333" t="s">
        <v>3765</v>
      </c>
      <c r="M9897" s="4335" t="s">
        <v>1571</v>
      </c>
      <c r="N9897" s="4323" t="s">
        <v>1776</v>
      </c>
      <c r="O9897" s="3839" t="s">
        <v>1563</v>
      </c>
      <c r="P9897" s="1336" t="s">
        <v>1562</v>
      </c>
      <c r="Q9897" s="3389"/>
      <c r="R9897" s="1699" t="s">
        <v>1327</v>
      </c>
    </row>
    <row r="9898" spans="1:18">
      <c r="A9898" s="1662" t="s">
        <v>3648</v>
      </c>
      <c r="B9898" s="4326"/>
      <c r="C9898" s="3841"/>
      <c r="D9898" s="4328"/>
      <c r="E9898" s="4330"/>
      <c r="F9898" s="4363"/>
      <c r="G9898" s="4332"/>
      <c r="H9898" s="4332"/>
      <c r="I9898" s="1306">
        <v>38.159999999999997</v>
      </c>
      <c r="J9898" s="1307">
        <v>0.25</v>
      </c>
      <c r="K9898" s="1297">
        <f>I9898*J9898</f>
        <v>9.5399999999999991</v>
      </c>
      <c r="L9898" s="4334"/>
      <c r="M9898" s="4335"/>
      <c r="N9898" s="4324"/>
      <c r="O9898" s="1298">
        <f>SUM(O9900:O9913)</f>
        <v>17.48845</v>
      </c>
      <c r="P9898" s="1337">
        <f>O9898*K9898</f>
        <v>166.83981299999999</v>
      </c>
      <c r="Q9898" s="3390"/>
      <c r="R9898" s="1721">
        <f>SUM(P9900:P9913)</f>
        <v>166.83981299999999</v>
      </c>
    </row>
    <row r="9899" spans="1:18">
      <c r="A9899" s="1320"/>
      <c r="B9899" s="1599"/>
      <c r="C9899" s="1327"/>
      <c r="D9899" s="1400"/>
      <c r="E9899" s="2121"/>
      <c r="F9899" s="1389" t="s">
        <v>1</v>
      </c>
      <c r="G9899" s="1389"/>
      <c r="H9899" s="1369"/>
      <c r="I9899" s="1409"/>
      <c r="J9899" s="1390"/>
      <c r="K9899" s="1391"/>
      <c r="L9899" s="1559"/>
      <c r="M9899" s="1369"/>
      <c r="N9899" s="1369"/>
      <c r="O9899" s="1369"/>
      <c r="P9899" s="1392"/>
      <c r="Q9899" s="3395"/>
    </row>
    <row r="9900" spans="1:18">
      <c r="A9900" s="1042"/>
      <c r="B9900" s="1599"/>
      <c r="C9900" s="1042"/>
      <c r="D9900" s="1598" t="s">
        <v>1128</v>
      </c>
      <c r="E9900" s="2154" t="s">
        <v>1517</v>
      </c>
      <c r="F9900" s="1598" t="s">
        <v>1695</v>
      </c>
      <c r="G9900" s="1612">
        <v>1.4999999999999999E-2</v>
      </c>
      <c r="H9900" s="1674"/>
      <c r="I9900" s="1299"/>
      <c r="J9900" s="1300"/>
      <c r="K9900" s="1307">
        <f>G9900*K9898</f>
        <v>0.14309999999999998</v>
      </c>
      <c r="L9900" s="1335">
        <f t="shared" ref="L9900:L9901" si="1286">K9900*$K$9753</f>
        <v>0</v>
      </c>
      <c r="M9900" s="1302">
        <v>104.28</v>
      </c>
      <c r="N9900" s="1700"/>
      <c r="O9900" s="1290">
        <f t="shared" ref="O9900:O9901" si="1287">G9900*M9900</f>
        <v>1.5642</v>
      </c>
      <c r="P9900" s="1332">
        <f t="shared" ref="P9900:P9901" si="1288">M9900*K9900</f>
        <v>14.922467999999999</v>
      </c>
      <c r="Q9900" s="3391"/>
    </row>
    <row r="9901" spans="1:18">
      <c r="A9901" s="1042"/>
      <c r="B9901" s="1599"/>
      <c r="C9901" s="1042"/>
      <c r="D9901" s="1598" t="s">
        <v>1152</v>
      </c>
      <c r="E9901" s="2154" t="s">
        <v>1517</v>
      </c>
      <c r="F9901" s="1598" t="s">
        <v>1696</v>
      </c>
      <c r="G9901" s="1612">
        <v>5.0000000000000001E-3</v>
      </c>
      <c r="H9901" s="3847"/>
      <c r="I9901" s="1299"/>
      <c r="J9901" s="3848"/>
      <c r="K9901" s="1307">
        <f>G9901*K9898</f>
        <v>4.7699999999999999E-2</v>
      </c>
      <c r="L9901" s="1335">
        <f t="shared" si="1286"/>
        <v>0</v>
      </c>
      <c r="M9901" s="1302">
        <v>108.05</v>
      </c>
      <c r="N9901" s="1700"/>
      <c r="O9901" s="1290">
        <f t="shared" si="1287"/>
        <v>0.54025000000000001</v>
      </c>
      <c r="P9901" s="1332">
        <f t="shared" si="1288"/>
        <v>5.1539849999999996</v>
      </c>
      <c r="Q9901" s="3391"/>
    </row>
    <row r="9902" spans="1:18">
      <c r="A9902" s="1320"/>
      <c r="B9902" s="553"/>
      <c r="C9902" s="1042"/>
      <c r="D9902" s="1598"/>
      <c r="E9902" s="2154"/>
      <c r="F9902" s="1598"/>
      <c r="G9902" s="1612"/>
      <c r="H9902" s="1674"/>
      <c r="I9902" s="1299"/>
      <c r="J9902" s="1300"/>
      <c r="K9902" s="1307"/>
      <c r="L9902" s="1335"/>
      <c r="M9902" s="1302"/>
      <c r="N9902" s="1700"/>
      <c r="O9902" s="1290"/>
      <c r="P9902" s="1332"/>
      <c r="Q9902" s="3391"/>
      <c r="R9902" s="2337"/>
    </row>
    <row r="9903" spans="1:18">
      <c r="A9903" s="1320"/>
      <c r="B9903" s="553"/>
      <c r="C9903" s="1320"/>
      <c r="D9903" s="1598"/>
      <c r="E9903" s="2154"/>
      <c r="F9903" s="1598"/>
      <c r="G9903" s="1612"/>
      <c r="H9903" s="1399"/>
      <c r="I9903" s="197"/>
      <c r="J9903" s="198"/>
      <c r="K9903" s="1307"/>
      <c r="L9903" s="1335"/>
      <c r="M9903" s="1302"/>
      <c r="N9903" s="1718"/>
      <c r="O9903" s="1290"/>
      <c r="P9903" s="1332"/>
      <c r="Q9903" s="3391"/>
      <c r="R9903" s="2337"/>
    </row>
    <row r="9904" spans="1:18">
      <c r="A9904" s="1042"/>
      <c r="B9904" s="1599"/>
      <c r="C9904" s="1042"/>
      <c r="D9904" s="1400"/>
      <c r="E9904" s="2121"/>
      <c r="F9904" s="1436"/>
      <c r="G9904" s="1436"/>
      <c r="H9904" s="1369"/>
      <c r="I9904" s="1299"/>
      <c r="J9904" s="1300"/>
      <c r="K9904" s="1307"/>
      <c r="L9904" s="1335"/>
      <c r="M9904" s="1302"/>
      <c r="N9904" s="1700"/>
      <c r="O9904" s="1290"/>
      <c r="P9904" s="1332"/>
      <c r="Q9904" s="3391"/>
    </row>
    <row r="9905" spans="1:18">
      <c r="A9905" s="1042"/>
      <c r="B9905" s="1599"/>
      <c r="C9905" s="1042"/>
      <c r="D9905" s="1400"/>
      <c r="E9905" s="2121"/>
      <c r="F9905" s="1436"/>
      <c r="G9905" s="1436"/>
      <c r="H9905" s="1369"/>
      <c r="I9905" s="1299"/>
      <c r="J9905" s="1300"/>
      <c r="K9905" s="1307"/>
      <c r="L9905" s="1335"/>
      <c r="M9905" s="1302"/>
      <c r="N9905" s="1700"/>
      <c r="O9905" s="1290"/>
      <c r="P9905" s="1332"/>
      <c r="Q9905" s="3391"/>
    </row>
    <row r="9906" spans="1:18">
      <c r="A9906" s="1042"/>
      <c r="B9906" s="1599"/>
      <c r="C9906" s="1042"/>
      <c r="D9906" s="1404"/>
      <c r="E9906" s="1858"/>
      <c r="F9906" s="1360" t="s">
        <v>2</v>
      </c>
      <c r="G9906" s="1360"/>
      <c r="H9906" s="1362"/>
      <c r="I9906" s="1380"/>
      <c r="J9906" s="1381"/>
      <c r="K9906" s="1381"/>
      <c r="L9906" s="1458"/>
      <c r="M9906" s="1362"/>
      <c r="N9906" s="1362"/>
      <c r="O9906" s="1362"/>
      <c r="P9906" s="1359"/>
      <c r="Q9906" s="3387"/>
    </row>
    <row r="9907" spans="1:18">
      <c r="A9907" s="1321"/>
      <c r="B9907" s="2053"/>
      <c r="C9907" s="1321"/>
      <c r="D9907" s="1655" t="s">
        <v>1153</v>
      </c>
      <c r="E9907" s="1859" t="s">
        <v>1508</v>
      </c>
      <c r="F9907" s="1655" t="s">
        <v>1697</v>
      </c>
      <c r="G9907" s="1809">
        <v>0.8</v>
      </c>
      <c r="H9907" s="2019"/>
      <c r="I9907" s="1299"/>
      <c r="J9907" s="1300"/>
      <c r="K9907" s="1307">
        <f>G9907*K9898</f>
        <v>7.6319999999999997</v>
      </c>
      <c r="L9907" s="1335">
        <f>K9907*$K$9753</f>
        <v>0</v>
      </c>
      <c r="M9907" s="1302">
        <v>19.23</v>
      </c>
      <c r="N9907" s="1700"/>
      <c r="O9907" s="1290">
        <f t="shared" ref="O9907" si="1289">G9907*M9907</f>
        <v>15.384</v>
      </c>
      <c r="P9907" s="1332">
        <f>M9907*K9907</f>
        <v>146.76336000000001</v>
      </c>
      <c r="Q9907" s="3391"/>
    </row>
    <row r="9908" spans="1:18">
      <c r="A9908" s="1042"/>
      <c r="B9908" s="553"/>
      <c r="C9908" s="1042"/>
      <c r="D9908" s="2054"/>
      <c r="E9908" s="1857"/>
      <c r="F9908" s="1403"/>
      <c r="G9908" s="1991"/>
      <c r="H9908" s="1408"/>
      <c r="I9908" s="1286"/>
      <c r="J9908" s="198"/>
      <c r="K9908" s="1307"/>
      <c r="L9908" s="1335"/>
      <c r="M9908" s="1302"/>
      <c r="N9908" s="1700"/>
      <c r="O9908" s="1290"/>
      <c r="P9908" s="1332"/>
      <c r="Q9908" s="3391"/>
      <c r="R9908" s="2337"/>
    </row>
    <row r="9909" spans="1:18">
      <c r="A9909" s="1042"/>
      <c r="B9909" s="1599"/>
      <c r="C9909" s="1320"/>
      <c r="D9909" s="1404"/>
      <c r="E9909" s="1858"/>
      <c r="F9909" s="1361"/>
      <c r="G9909" s="1361"/>
      <c r="H9909" s="1466"/>
      <c r="I9909" s="1299"/>
      <c r="J9909" s="1300"/>
      <c r="K9909" s="1307"/>
      <c r="L9909" s="1335"/>
      <c r="M9909" s="1302"/>
      <c r="N9909" s="1700"/>
      <c r="O9909" s="1290"/>
      <c r="P9909" s="1332"/>
      <c r="Q9909" s="3391"/>
      <c r="R9909" s="1296"/>
    </row>
    <row r="9910" spans="1:18">
      <c r="A9910" s="1320"/>
      <c r="B9910" s="1599"/>
      <c r="C9910" s="1320"/>
      <c r="D9910" s="1411"/>
      <c r="E9910" s="2123"/>
      <c r="F9910" s="1374" t="s">
        <v>3</v>
      </c>
      <c r="G9910" s="1375"/>
      <c r="H9910" s="1376"/>
      <c r="I9910" s="1382"/>
      <c r="J9910" s="1383"/>
      <c r="K9910" s="1383"/>
      <c r="L9910" s="1413"/>
      <c r="M9910" s="1376"/>
      <c r="N9910" s="1376"/>
      <c r="O9910" s="1376"/>
      <c r="P9910" s="1373"/>
      <c r="Q9910" s="3387"/>
    </row>
    <row r="9911" spans="1:18">
      <c r="A9911" s="1321"/>
      <c r="B9911" s="2053"/>
      <c r="C9911" s="1321"/>
      <c r="D9911" s="1412"/>
      <c r="E9911" s="2124"/>
      <c r="F9911" s="1378"/>
      <c r="G9911" s="2200"/>
      <c r="H9911" s="1379"/>
      <c r="I9911" s="1299"/>
      <c r="J9911" s="1300"/>
      <c r="K9911" s="1307"/>
      <c r="L9911" s="1335"/>
      <c r="M9911" s="1302"/>
      <c r="N9911" s="1700"/>
      <c r="O9911" s="1290"/>
      <c r="P9911" s="1332"/>
      <c r="Q9911" s="3391"/>
    </row>
    <row r="9912" spans="1:18">
      <c r="A9912" s="1321"/>
      <c r="B9912" s="2053"/>
      <c r="C9912" s="1321"/>
      <c r="D9912" s="1412"/>
      <c r="E9912" s="2124"/>
      <c r="F9912" s="1378"/>
      <c r="G9912" s="1378"/>
      <c r="H9912" s="1379"/>
      <c r="I9912" s="1299"/>
      <c r="J9912" s="1300"/>
      <c r="K9912" s="1307"/>
      <c r="L9912" s="1335"/>
      <c r="M9912" s="1302"/>
      <c r="N9912" s="1700"/>
      <c r="O9912" s="1290"/>
      <c r="P9912" s="1333"/>
      <c r="Q9912" s="3391"/>
    </row>
    <row r="9913" spans="1:18">
      <c r="A9913" s="1042"/>
      <c r="B9913" s="1599"/>
      <c r="C9913" s="1042"/>
      <c r="D9913" s="1695"/>
      <c r="E9913" s="2278"/>
      <c r="F9913" s="2279"/>
      <c r="G9913" s="2279"/>
      <c r="H9913" s="2264"/>
      <c r="I9913" s="2280"/>
      <c r="J9913" s="2281"/>
      <c r="K9913" s="2236"/>
      <c r="L9913" s="1594"/>
      <c r="M9913" s="2282"/>
      <c r="N9913" s="2283"/>
      <c r="O9913" s="2237"/>
      <c r="P9913" s="2238"/>
      <c r="Q9913" s="3391"/>
    </row>
    <row r="9914" spans="1:18">
      <c r="A9914" s="18" t="s">
        <v>3764</v>
      </c>
      <c r="B9914" s="4325" t="s">
        <v>3699</v>
      </c>
      <c r="C9914" s="3840"/>
      <c r="D9914" s="4327"/>
      <c r="E9914" s="4329" t="s">
        <v>1507</v>
      </c>
      <c r="F9914" s="4372" t="s">
        <v>3700</v>
      </c>
      <c r="G9914" s="4331" t="s">
        <v>1568</v>
      </c>
      <c r="H9914" s="4331" t="s">
        <v>1574</v>
      </c>
      <c r="I9914" s="1572" t="s">
        <v>1559</v>
      </c>
      <c r="J9914" s="1294" t="s">
        <v>1560</v>
      </c>
      <c r="K9914" s="1294" t="s">
        <v>1569</v>
      </c>
      <c r="L9914" s="4333" t="s">
        <v>3765</v>
      </c>
      <c r="M9914" s="4335" t="s">
        <v>1571</v>
      </c>
      <c r="N9914" s="4323" t="s">
        <v>1776</v>
      </c>
      <c r="O9914" s="3839" t="s">
        <v>1563</v>
      </c>
      <c r="P9914" s="1336" t="s">
        <v>1562</v>
      </c>
      <c r="Q9914" s="3389"/>
      <c r="R9914" s="1699" t="s">
        <v>1327</v>
      </c>
    </row>
    <row r="9915" spans="1:18">
      <c r="A9915" s="1662" t="s">
        <v>3648</v>
      </c>
      <c r="B9915" s="4326"/>
      <c r="C9915" s="3841"/>
      <c r="D9915" s="4328"/>
      <c r="E9915" s="4330"/>
      <c r="F9915" s="4363"/>
      <c r="G9915" s="4332"/>
      <c r="H9915" s="4332"/>
      <c r="I9915" s="1306">
        <v>40.1</v>
      </c>
      <c r="J9915" s="1307">
        <v>0.25</v>
      </c>
      <c r="K9915" s="1297">
        <f>I9915*J9915</f>
        <v>10.025</v>
      </c>
      <c r="L9915" s="4334"/>
      <c r="M9915" s="4335"/>
      <c r="N9915" s="4324"/>
      <c r="O9915" s="1298">
        <f>SUM(O9917:O9930)</f>
        <v>9.2150999999999996</v>
      </c>
      <c r="P9915" s="1337">
        <f>O9915*K9915</f>
        <v>92.381377499999999</v>
      </c>
      <c r="Q9915" s="3390"/>
      <c r="R9915" s="1721">
        <f>SUM(P9917:P9930)</f>
        <v>92.425988750000002</v>
      </c>
    </row>
    <row r="9916" spans="1:18">
      <c r="A9916" s="1320"/>
      <c r="B9916" s="1599"/>
      <c r="C9916" s="1327"/>
      <c r="D9916" s="1400"/>
      <c r="E9916" s="2121"/>
      <c r="F9916" s="1389" t="s">
        <v>1</v>
      </c>
      <c r="G9916" s="1389"/>
      <c r="H9916" s="1369"/>
      <c r="I9916" s="1409"/>
      <c r="J9916" s="1390"/>
      <c r="K9916" s="1391"/>
      <c r="L9916" s="1559"/>
      <c r="M9916" s="1369"/>
      <c r="N9916" s="1369"/>
      <c r="O9916" s="1369"/>
      <c r="P9916" s="1392"/>
      <c r="Q9916" s="3395"/>
    </row>
    <row r="9917" spans="1:18">
      <c r="A9917" s="1042"/>
      <c r="B9917" s="1599"/>
      <c r="C9917" s="1042"/>
      <c r="D9917" s="1598" t="s">
        <v>1128</v>
      </c>
      <c r="E9917" s="2154" t="s">
        <v>1517</v>
      </c>
      <c r="F9917" s="1598" t="s">
        <v>1695</v>
      </c>
      <c r="G9917" s="1612">
        <v>1.4999999999999999E-2</v>
      </c>
      <c r="H9917" s="1674"/>
      <c r="I9917" s="1299"/>
      <c r="J9917" s="1300"/>
      <c r="K9917" s="1307">
        <f>G9917*K9915</f>
        <v>0.15037500000000001</v>
      </c>
      <c r="L9917" s="1335">
        <f t="shared" ref="L9917:L9918" si="1290">K9917*$K$9753</f>
        <v>0</v>
      </c>
      <c r="M9917" s="1302">
        <v>104.28</v>
      </c>
      <c r="N9917" s="1700"/>
      <c r="O9917" s="1290">
        <v>1.56</v>
      </c>
      <c r="P9917" s="1332">
        <f>M9917*K9917</f>
        <v>15.681105000000001</v>
      </c>
      <c r="Q9917" s="3391"/>
    </row>
    <row r="9918" spans="1:18">
      <c r="A9918" s="1042"/>
      <c r="B9918" s="1599"/>
      <c r="C9918" s="1042"/>
      <c r="D9918" s="1598" t="s">
        <v>1152</v>
      </c>
      <c r="E9918" s="2154" t="s">
        <v>1517</v>
      </c>
      <c r="F9918" s="1598" t="s">
        <v>1696</v>
      </c>
      <c r="G9918" s="1612">
        <v>5.0000000000000001E-3</v>
      </c>
      <c r="H9918" s="3847"/>
      <c r="I9918" s="1299"/>
      <c r="J9918" s="3848"/>
      <c r="K9918" s="1307">
        <f>G9918*K9915</f>
        <v>5.0125000000000003E-2</v>
      </c>
      <c r="L9918" s="1335">
        <f t="shared" si="1290"/>
        <v>0</v>
      </c>
      <c r="M9918" s="1302">
        <v>108.05</v>
      </c>
      <c r="N9918" s="1700"/>
      <c r="O9918" s="1290">
        <v>0.54</v>
      </c>
      <c r="P9918" s="1332">
        <f>M9918*K9918</f>
        <v>5.4160062500000006</v>
      </c>
      <c r="Q9918" s="3391"/>
    </row>
    <row r="9919" spans="1:18">
      <c r="A9919" s="1320"/>
      <c r="B9919" s="553"/>
      <c r="C9919" s="1042"/>
      <c r="D9919" s="1598"/>
      <c r="E9919" s="2154"/>
      <c r="F9919" s="1598"/>
      <c r="G9919" s="1612"/>
      <c r="H9919" s="1674"/>
      <c r="I9919" s="1299"/>
      <c r="J9919" s="1300"/>
      <c r="K9919" s="1307"/>
      <c r="L9919" s="1335"/>
      <c r="M9919" s="1302"/>
      <c r="N9919" s="1700"/>
      <c r="O9919" s="1290"/>
      <c r="P9919" s="1332"/>
      <c r="Q9919" s="3391"/>
      <c r="R9919" s="2337"/>
    </row>
    <row r="9920" spans="1:18">
      <c r="A9920" s="1320"/>
      <c r="B9920" s="553"/>
      <c r="C9920" s="1320"/>
      <c r="D9920" s="1598"/>
      <c r="E9920" s="2154"/>
      <c r="F9920" s="1598"/>
      <c r="G9920" s="1612"/>
      <c r="H9920" s="1399"/>
      <c r="I9920" s="197"/>
      <c r="J9920" s="198"/>
      <c r="K9920" s="1307"/>
      <c r="L9920" s="1335"/>
      <c r="M9920" s="1302"/>
      <c r="N9920" s="1718"/>
      <c r="O9920" s="1290"/>
      <c r="P9920" s="1332"/>
      <c r="Q9920" s="3391"/>
      <c r="R9920" s="2337"/>
    </row>
    <row r="9921" spans="1:19">
      <c r="A9921" s="1042"/>
      <c r="B9921" s="1599"/>
      <c r="C9921" s="1042"/>
      <c r="D9921" s="1400"/>
      <c r="E9921" s="2121"/>
      <c r="F9921" s="1436"/>
      <c r="G9921" s="1436"/>
      <c r="H9921" s="1369"/>
      <c r="I9921" s="1299"/>
      <c r="J9921" s="1300"/>
      <c r="K9921" s="1307"/>
      <c r="L9921" s="1335"/>
      <c r="M9921" s="1302"/>
      <c r="N9921" s="1700"/>
      <c r="O9921" s="1290"/>
      <c r="P9921" s="1332"/>
      <c r="Q9921" s="3391"/>
    </row>
    <row r="9922" spans="1:19">
      <c r="A9922" s="1042"/>
      <c r="B9922" s="1599"/>
      <c r="C9922" s="1042"/>
      <c r="D9922" s="1400"/>
      <c r="E9922" s="2121"/>
      <c r="F9922" s="1436"/>
      <c r="G9922" s="1436"/>
      <c r="H9922" s="1369"/>
      <c r="I9922" s="1299"/>
      <c r="J9922" s="1300"/>
      <c r="K9922" s="1307"/>
      <c r="L9922" s="1335"/>
      <c r="M9922" s="1302"/>
      <c r="N9922" s="1700"/>
      <c r="O9922" s="1290"/>
      <c r="P9922" s="1332"/>
      <c r="Q9922" s="3391"/>
    </row>
    <row r="9923" spans="1:19">
      <c r="A9923" s="1042"/>
      <c r="B9923" s="1599"/>
      <c r="C9923" s="1042"/>
      <c r="D9923" s="1404"/>
      <c r="E9923" s="1858"/>
      <c r="F9923" s="1360" t="s">
        <v>2</v>
      </c>
      <c r="G9923" s="1360"/>
      <c r="H9923" s="1362"/>
      <c r="I9923" s="1380"/>
      <c r="J9923" s="1381"/>
      <c r="K9923" s="1381"/>
      <c r="L9923" s="1458"/>
      <c r="M9923" s="1362"/>
      <c r="N9923" s="1362"/>
      <c r="O9923" s="1362"/>
      <c r="P9923" s="1359"/>
      <c r="Q9923" s="3387"/>
    </row>
    <row r="9924" spans="1:19">
      <c r="A9924" s="1321"/>
      <c r="B9924" s="2053"/>
      <c r="C9924" s="1321"/>
      <c r="D9924" s="1655" t="s">
        <v>1153</v>
      </c>
      <c r="E9924" s="1859" t="s">
        <v>1508</v>
      </c>
      <c r="F9924" s="1655" t="s">
        <v>1697</v>
      </c>
      <c r="G9924" s="1809">
        <v>0.37</v>
      </c>
      <c r="H9924" s="2019"/>
      <c r="I9924" s="1299"/>
      <c r="J9924" s="1300"/>
      <c r="K9924" s="1307">
        <f>G9924*K9915</f>
        <v>3.7092499999999999</v>
      </c>
      <c r="L9924" s="1335">
        <f>K9924*$K$9753</f>
        <v>0</v>
      </c>
      <c r="M9924" s="1302">
        <v>19.23</v>
      </c>
      <c r="N9924" s="1700"/>
      <c r="O9924" s="1290">
        <f>G9924*M9924</f>
        <v>7.1151</v>
      </c>
      <c r="P9924" s="1332">
        <f>M9924*K9924</f>
        <v>71.328877500000004</v>
      </c>
      <c r="Q9924" s="3391"/>
    </row>
    <row r="9925" spans="1:19">
      <c r="A9925" s="1042"/>
      <c r="B9925" s="553"/>
      <c r="C9925" s="1042"/>
      <c r="D9925" s="2054"/>
      <c r="E9925" s="1857"/>
      <c r="F9925" s="1403"/>
      <c r="G9925" s="1991"/>
      <c r="H9925" s="1408"/>
      <c r="I9925" s="1286"/>
      <c r="J9925" s="198"/>
      <c r="K9925" s="1307"/>
      <c r="L9925" s="1335"/>
      <c r="M9925" s="1302"/>
      <c r="N9925" s="1700"/>
      <c r="O9925" s="1290"/>
      <c r="P9925" s="1332"/>
      <c r="Q9925" s="3391"/>
      <c r="R9925" s="2337"/>
    </row>
    <row r="9926" spans="1:19">
      <c r="A9926" s="1042"/>
      <c r="B9926" s="1599"/>
      <c r="C9926" s="1320"/>
      <c r="D9926" s="1404"/>
      <c r="E9926" s="1858"/>
      <c r="F9926" s="1361"/>
      <c r="G9926" s="1361"/>
      <c r="H9926" s="1466"/>
      <c r="I9926" s="1299"/>
      <c r="J9926" s="1300"/>
      <c r="K9926" s="1307"/>
      <c r="L9926" s="1335"/>
      <c r="M9926" s="1302"/>
      <c r="N9926" s="1700"/>
      <c r="O9926" s="1290"/>
      <c r="P9926" s="1332"/>
      <c r="Q9926" s="3391"/>
      <c r="R9926" s="1296"/>
    </row>
    <row r="9927" spans="1:19">
      <c r="A9927" s="1320"/>
      <c r="B9927" s="1599"/>
      <c r="C9927" s="1320"/>
      <c r="D9927" s="1411"/>
      <c r="E9927" s="2123"/>
      <c r="F9927" s="1374" t="s">
        <v>3</v>
      </c>
      <c r="G9927" s="1375"/>
      <c r="H9927" s="1376"/>
      <c r="I9927" s="1382"/>
      <c r="J9927" s="1383"/>
      <c r="K9927" s="1383"/>
      <c r="L9927" s="1413"/>
      <c r="M9927" s="1376"/>
      <c r="N9927" s="1376"/>
      <c r="O9927" s="1376"/>
      <c r="P9927" s="1373"/>
      <c r="Q9927" s="3387"/>
    </row>
    <row r="9928" spans="1:19">
      <c r="A9928" s="1321"/>
      <c r="B9928" s="2053"/>
      <c r="C9928" s="1321"/>
      <c r="D9928" s="1412"/>
      <c r="E9928" s="2124"/>
      <c r="F9928" s="1378"/>
      <c r="G9928" s="2200"/>
      <c r="H9928" s="1379"/>
      <c r="I9928" s="1299"/>
      <c r="J9928" s="1300"/>
      <c r="K9928" s="1307"/>
      <c r="L9928" s="1335"/>
      <c r="M9928" s="1302"/>
      <c r="N9928" s="1700"/>
      <c r="O9928" s="1290"/>
      <c r="P9928" s="1332"/>
      <c r="Q9928" s="3391"/>
    </row>
    <row r="9929" spans="1:19">
      <c r="A9929" s="1321"/>
      <c r="B9929" s="2053"/>
      <c r="C9929" s="1321"/>
      <c r="D9929" s="1412"/>
      <c r="E9929" s="2124"/>
      <c r="F9929" s="1378"/>
      <c r="G9929" s="1378"/>
      <c r="H9929" s="1379"/>
      <c r="I9929" s="1299"/>
      <c r="J9929" s="1300"/>
      <c r="K9929" s="1307"/>
      <c r="L9929" s="1335"/>
      <c r="M9929" s="1302"/>
      <c r="N9929" s="1700"/>
      <c r="O9929" s="1290"/>
      <c r="P9929" s="1333"/>
      <c r="Q9929" s="3391"/>
      <c r="S9929" s="1292"/>
    </row>
    <row r="9930" spans="1:19">
      <c r="A9930" s="1042"/>
      <c r="B9930" s="1599"/>
      <c r="C9930" s="1042"/>
      <c r="D9930" s="1695"/>
      <c r="E9930" s="2278"/>
      <c r="F9930" s="2279"/>
      <c r="G9930" s="2279"/>
      <c r="H9930" s="2264"/>
      <c r="I9930" s="2280"/>
      <c r="J9930" s="2281"/>
      <c r="K9930" s="2236"/>
      <c r="L9930" s="1594"/>
      <c r="M9930" s="2282"/>
      <c r="N9930" s="2283"/>
      <c r="O9930" s="2237"/>
      <c r="P9930" s="2238"/>
      <c r="Q9930" s="3391"/>
    </row>
    <row r="9931" spans="1:19">
      <c r="A9931" s="18" t="s">
        <v>3764</v>
      </c>
      <c r="B9931" s="4325" t="s">
        <v>3668</v>
      </c>
      <c r="C9931" s="3840"/>
      <c r="D9931" s="4327"/>
      <c r="E9931" s="4329" t="s">
        <v>1527</v>
      </c>
      <c r="F9931" s="4372" t="s">
        <v>3669</v>
      </c>
      <c r="G9931" s="4331" t="s">
        <v>1568</v>
      </c>
      <c r="H9931" s="4331" t="s">
        <v>1574</v>
      </c>
      <c r="I9931" s="1572" t="s">
        <v>1559</v>
      </c>
      <c r="J9931" s="1294" t="s">
        <v>1560</v>
      </c>
      <c r="K9931" s="1294" t="s">
        <v>1569</v>
      </c>
      <c r="L9931" s="4333" t="s">
        <v>3765</v>
      </c>
      <c r="M9931" s="4335" t="s">
        <v>1571</v>
      </c>
      <c r="N9931" s="4323" t="s">
        <v>1776</v>
      </c>
      <c r="O9931" s="3839" t="s">
        <v>1563</v>
      </c>
      <c r="P9931" s="1336" t="s">
        <v>1562</v>
      </c>
      <c r="Q9931" s="3389"/>
      <c r="R9931" s="1699" t="s">
        <v>1327</v>
      </c>
    </row>
    <row r="9932" spans="1:19">
      <c r="A9932" s="1662" t="s">
        <v>3648</v>
      </c>
      <c r="B9932" s="4326"/>
      <c r="C9932" s="3841"/>
      <c r="D9932" s="4328"/>
      <c r="E9932" s="4330"/>
      <c r="F9932" s="4363"/>
      <c r="G9932" s="4332"/>
      <c r="H9932" s="4332"/>
      <c r="I9932" s="1306">
        <v>82.8</v>
      </c>
      <c r="J9932" s="1307">
        <v>0.25</v>
      </c>
      <c r="K9932" s="1297">
        <f>I9932*J9932</f>
        <v>20.7</v>
      </c>
      <c r="L9932" s="4334"/>
      <c r="M9932" s="4335"/>
      <c r="N9932" s="4324"/>
      <c r="O9932" s="1298">
        <f>O9934+O9935+O9936+O9940+O9947</f>
        <v>35.755472429999998</v>
      </c>
      <c r="P9932" s="1337">
        <f>O9932*K9932</f>
        <v>740.1382793009999</v>
      </c>
      <c r="Q9932" s="3390"/>
      <c r="R9932" s="1721">
        <f>P9934+P9935+P9936+P9940+P9947</f>
        <v>740.0999460060001</v>
      </c>
    </row>
    <row r="9933" spans="1:19">
      <c r="A9933" s="1320"/>
      <c r="B9933" s="1599"/>
      <c r="C9933" s="1327"/>
      <c r="D9933" s="1400"/>
      <c r="E9933" s="2121"/>
      <c r="F9933" s="1389" t="s">
        <v>1</v>
      </c>
      <c r="G9933" s="1389"/>
      <c r="H9933" s="3853"/>
      <c r="I9933" s="1409"/>
      <c r="J9933" s="1390"/>
      <c r="K9933" s="1391"/>
      <c r="L9933" s="1559"/>
      <c r="M9933" s="1369"/>
      <c r="N9933" s="1369"/>
      <c r="O9933" s="1369"/>
      <c r="P9933" s="1392"/>
      <c r="Q9933" s="3395"/>
    </row>
    <row r="9934" spans="1:19">
      <c r="A9934" s="1320"/>
      <c r="B9934" s="1599"/>
      <c r="C9934" s="1042"/>
      <c r="D9934" s="3854" t="s">
        <v>3670</v>
      </c>
      <c r="E9934" s="3855" t="s">
        <v>1527</v>
      </c>
      <c r="F9934" s="3859" t="s">
        <v>3671</v>
      </c>
      <c r="G9934" s="3857">
        <v>1.1020000000000001</v>
      </c>
      <c r="H9934" s="3853"/>
      <c r="I9934" s="1409"/>
      <c r="J9934" s="1390"/>
      <c r="K9934" s="1307">
        <f>G9934*K9932</f>
        <v>22.811400000000003</v>
      </c>
      <c r="L9934" s="1335">
        <f t="shared" ref="L9934:L9935" si="1291">K9934*$K$9753</f>
        <v>0</v>
      </c>
      <c r="M9934" s="1302">
        <v>12.4</v>
      </c>
      <c r="N9934" s="1718"/>
      <c r="O9934" s="1290">
        <f t="shared" ref="O9934:O9935" si="1292">G9934*M9934</f>
        <v>13.664800000000001</v>
      </c>
      <c r="P9934" s="1332">
        <f t="shared" ref="P9934:P9935" si="1293">M9934*K9934</f>
        <v>282.86136000000005</v>
      </c>
      <c r="Q9934" s="3395"/>
    </row>
    <row r="9935" spans="1:19">
      <c r="A9935" s="1320"/>
      <c r="B9935" s="1599"/>
      <c r="C9935" s="1042"/>
      <c r="D9935" s="3854" t="s">
        <v>3672</v>
      </c>
      <c r="E9935" s="3855" t="s">
        <v>1527</v>
      </c>
      <c r="F9935" s="3859" t="s">
        <v>3673</v>
      </c>
      <c r="G9935" s="3857">
        <v>1.1020000000000001</v>
      </c>
      <c r="H9935" s="3853"/>
      <c r="I9935" s="1409"/>
      <c r="J9935" s="1390"/>
      <c r="K9935" s="1307">
        <f>G9935*K9932</f>
        <v>22.811400000000003</v>
      </c>
      <c r="L9935" s="1335">
        <f t="shared" si="1291"/>
        <v>0</v>
      </c>
      <c r="M9935" s="1302">
        <v>3.67</v>
      </c>
      <c r="N9935" s="1718"/>
      <c r="O9935" s="1290">
        <f t="shared" si="1292"/>
        <v>4.04434</v>
      </c>
      <c r="P9935" s="1332">
        <f t="shared" si="1293"/>
        <v>83.717838000000015</v>
      </c>
      <c r="Q9935" s="3395"/>
    </row>
    <row r="9936" spans="1:19">
      <c r="A9936" s="1042"/>
      <c r="B9936" s="1042"/>
      <c r="C9936" s="1356" t="s">
        <v>1155</v>
      </c>
      <c r="D9936" s="1311"/>
      <c r="E9936" s="2136" t="s">
        <v>1517</v>
      </c>
      <c r="F9936" s="3858" t="s">
        <v>1544</v>
      </c>
      <c r="G9936" s="3856"/>
      <c r="H9936" s="3856">
        <v>1E-3</v>
      </c>
      <c r="I9936" s="1455"/>
      <c r="J9936" s="1388"/>
      <c r="K9936" s="1445"/>
      <c r="L9936" s="1457"/>
      <c r="M9936" s="1446"/>
      <c r="N9936" s="1447">
        <f>SUM(N9937:N9939)</f>
        <v>114.04755</v>
      </c>
      <c r="O9936" s="1447">
        <f>SUM(O9937:O9939)</f>
        <v>0.11589940000000001</v>
      </c>
      <c r="P9936" s="1447">
        <f>SUM(P9937:P9939)</f>
        <v>2.3607842850000003</v>
      </c>
      <c r="Q9936" s="3391"/>
      <c r="R9936" s="2343"/>
    </row>
    <row r="9937" spans="1:18">
      <c r="A9937" s="1042"/>
      <c r="B9937" s="553"/>
      <c r="C9937" s="1327"/>
      <c r="D9937" s="1451" t="s">
        <v>1069</v>
      </c>
      <c r="E9937" s="1856" t="s">
        <v>1517</v>
      </c>
      <c r="F9937" s="1421" t="s">
        <v>1578</v>
      </c>
      <c r="G9937" s="1452">
        <v>0.89100000000000001</v>
      </c>
      <c r="H9937" s="1453">
        <f>$H$274*G9937</f>
        <v>8.9100000000000008E-4</v>
      </c>
      <c r="I9937" s="1286"/>
      <c r="J9937" s="198"/>
      <c r="K9937" s="1307">
        <f>H9937*K9932</f>
        <v>1.84437E-2</v>
      </c>
      <c r="L9937" s="1335">
        <f t="shared" ref="L9937:L9939" si="1294">K9937*$K$9753</f>
        <v>0</v>
      </c>
      <c r="M9937" s="1302">
        <v>0.55000000000000004</v>
      </c>
      <c r="N9937" s="1718">
        <f>G9937*M9937</f>
        <v>0.49005000000000004</v>
      </c>
      <c r="O9937" s="1719">
        <f>ROUND(H9937*M9937,2)</f>
        <v>0</v>
      </c>
      <c r="P9937" s="1720">
        <f>M9937*K9937</f>
        <v>1.0144035000000001E-2</v>
      </c>
      <c r="Q9937" s="3396"/>
      <c r="R9937" s="2343"/>
    </row>
    <row r="9938" spans="1:18">
      <c r="A9938" s="1042"/>
      <c r="B9938" s="553"/>
      <c r="C9938" s="1320"/>
      <c r="D9938" s="1367" t="s">
        <v>1394</v>
      </c>
      <c r="E9938" s="1856" t="s">
        <v>1577</v>
      </c>
      <c r="F9938" s="1421" t="s">
        <v>1579</v>
      </c>
      <c r="G9938" s="1452">
        <v>0.51500000000000001</v>
      </c>
      <c r="H9938" s="1453">
        <f>$H$274*G9938</f>
        <v>5.1500000000000005E-4</v>
      </c>
      <c r="I9938" s="1286"/>
      <c r="J9938" s="198"/>
      <c r="K9938" s="1307">
        <f>H9938*K9932</f>
        <v>1.06605E-2</v>
      </c>
      <c r="L9938" s="1335">
        <f t="shared" si="1294"/>
        <v>0</v>
      </c>
      <c r="M9938" s="1302">
        <v>92.54</v>
      </c>
      <c r="N9938" s="1718">
        <f>G9938*M9938</f>
        <v>47.658100000000005</v>
      </c>
      <c r="O9938" s="1719">
        <f>ROUND(H9938*M9938,2)</f>
        <v>0.05</v>
      </c>
      <c r="P9938" s="1720">
        <f>M9938*K9938</f>
        <v>0.98652267000000005</v>
      </c>
      <c r="Q9938" s="3396"/>
      <c r="R9938" s="2343"/>
    </row>
    <row r="9939" spans="1:18">
      <c r="A9939" s="1042"/>
      <c r="B9939" s="553"/>
      <c r="C9939" s="225"/>
      <c r="D9939" s="1443" t="s">
        <v>1067</v>
      </c>
      <c r="E9939" s="1857" t="s">
        <v>1508</v>
      </c>
      <c r="F9939" s="1430" t="s">
        <v>1512</v>
      </c>
      <c r="G9939" s="1431">
        <v>3.605</v>
      </c>
      <c r="H9939" s="1454">
        <f>$H$274*G9939</f>
        <v>3.6050000000000001E-3</v>
      </c>
      <c r="I9939" s="1286"/>
      <c r="J9939" s="198"/>
      <c r="K9939" s="1307">
        <f>H9939*K9932</f>
        <v>7.4623499999999995E-2</v>
      </c>
      <c r="L9939" s="1335">
        <f t="shared" si="1294"/>
        <v>0</v>
      </c>
      <c r="M9939" s="1302">
        <v>18.28</v>
      </c>
      <c r="N9939" s="1718">
        <f>G9939*M9939</f>
        <v>65.8994</v>
      </c>
      <c r="O9939" s="1719">
        <f>H9939*M9939</f>
        <v>6.5899400000000011E-2</v>
      </c>
      <c r="P9939" s="1720">
        <f>M9939*K9939</f>
        <v>1.3641175800000001</v>
      </c>
      <c r="Q9939" s="3396"/>
      <c r="R9939" s="2343"/>
    </row>
    <row r="9940" spans="1:18">
      <c r="A9940" s="1042"/>
      <c r="C9940" s="1356" t="s">
        <v>1127</v>
      </c>
      <c r="D9940" s="1311"/>
      <c r="E9940" s="2131" t="s">
        <v>1517</v>
      </c>
      <c r="F9940" s="1318" t="s">
        <v>1519</v>
      </c>
      <c r="G9940" s="1344"/>
      <c r="H9940" s="1344">
        <v>2.1000000000000001E-2</v>
      </c>
      <c r="I9940" s="1444"/>
      <c r="J9940" s="1388"/>
      <c r="K9940" s="1459"/>
      <c r="L9940" s="1457"/>
      <c r="M9940" s="1500"/>
      <c r="N9940" s="1447">
        <f>SUM(N9941:N9944)</f>
        <v>50.044430000000006</v>
      </c>
      <c r="O9940" s="1447">
        <f>SUM(O9941:O9944)</f>
        <v>1.0509330300000002</v>
      </c>
      <c r="P9940" s="1447">
        <f>SUM(P9941:P9944)</f>
        <v>21.754313721000003</v>
      </c>
      <c r="Q9940" s="3391"/>
      <c r="R9940" s="3842"/>
    </row>
    <row r="9941" spans="1:18">
      <c r="A9941" s="1042"/>
      <c r="C9941" s="1327"/>
      <c r="D9941" s="1400" t="s">
        <v>1069</v>
      </c>
      <c r="E9941" s="1856" t="s">
        <v>1517</v>
      </c>
      <c r="F9941" s="1397" t="s">
        <v>1578</v>
      </c>
      <c r="G9941" s="1416">
        <v>0.26300000000000001</v>
      </c>
      <c r="H9941" s="1399">
        <f>H9940*G9941</f>
        <v>5.523000000000001E-3</v>
      </c>
      <c r="I9941" s="197"/>
      <c r="J9941" s="198"/>
      <c r="K9941" s="1307">
        <f>H9941*K9932</f>
        <v>0.11432610000000001</v>
      </c>
      <c r="L9941" s="1335">
        <f t="shared" ref="L9941:L9944" si="1295">K9941*$K$9753</f>
        <v>0</v>
      </c>
      <c r="M9941" s="1499">
        <v>0.55000000000000004</v>
      </c>
      <c r="N9941" s="1724">
        <f>G9941*M9941</f>
        <v>0.14465000000000003</v>
      </c>
      <c r="O9941" s="1719">
        <f>H9941*M9941</f>
        <v>3.0376500000000007E-3</v>
      </c>
      <c r="P9941" s="1720">
        <f>M9941*K9941</f>
        <v>6.2879355000000012E-2</v>
      </c>
      <c r="Q9941" s="3396"/>
      <c r="R9941" s="3842"/>
    </row>
    <row r="9942" spans="1:18">
      <c r="A9942" s="1042"/>
      <c r="C9942" s="1320"/>
      <c r="D9942" s="1400" t="s">
        <v>1394</v>
      </c>
      <c r="E9942" s="1856" t="s">
        <v>1577</v>
      </c>
      <c r="F9942" s="1397" t="s">
        <v>1579</v>
      </c>
      <c r="G9942" s="1416">
        <v>0.25800000000000001</v>
      </c>
      <c r="H9942" s="1399">
        <f>H9940*G9942</f>
        <v>5.4180000000000001E-3</v>
      </c>
      <c r="I9942" s="197"/>
      <c r="J9942" s="198"/>
      <c r="K9942" s="1307">
        <f>H9942*K9932</f>
        <v>0.11215259999999999</v>
      </c>
      <c r="L9942" s="1335">
        <f t="shared" si="1295"/>
        <v>0</v>
      </c>
      <c r="M9942" s="1499">
        <v>92.54</v>
      </c>
      <c r="N9942" s="1724">
        <f>G9942*M9942</f>
        <v>23.875320000000002</v>
      </c>
      <c r="O9942" s="1719">
        <f>H9942*M9942</f>
        <v>0.50138172000000003</v>
      </c>
      <c r="P9942" s="1720">
        <f>M9942*K9942</f>
        <v>10.378601604</v>
      </c>
      <c r="Q9942" s="3396"/>
      <c r="R9942" s="3842"/>
    </row>
    <row r="9943" spans="1:18">
      <c r="A9943" s="1042"/>
      <c r="C9943" s="1320"/>
      <c r="D9943" s="1400" t="s">
        <v>1576</v>
      </c>
      <c r="E9943" s="1856" t="s">
        <v>1517</v>
      </c>
      <c r="F9943" s="1397" t="s">
        <v>1580</v>
      </c>
      <c r="G9943" s="1416">
        <v>1.1020000000000001</v>
      </c>
      <c r="H9943" s="1399">
        <f>H9940*G9943</f>
        <v>2.3142000000000003E-2</v>
      </c>
      <c r="I9943" s="197"/>
      <c r="J9943" s="198"/>
      <c r="K9943" s="1307">
        <f>H9943*K9932</f>
        <v>0.47903940000000006</v>
      </c>
      <c r="L9943" s="1335">
        <f t="shared" si="1295"/>
        <v>0</v>
      </c>
      <c r="M9943" s="1499">
        <v>6.53</v>
      </c>
      <c r="N9943" s="1724">
        <f>G9943*M9943</f>
        <v>7.196060000000001</v>
      </c>
      <c r="O9943" s="1719">
        <f>H9943*M9943</f>
        <v>0.15111726000000003</v>
      </c>
      <c r="P9943" s="1720">
        <f>M9943*K9943</f>
        <v>3.1281272820000003</v>
      </c>
      <c r="Q9943" s="3396"/>
      <c r="R9943" s="1292"/>
    </row>
    <row r="9944" spans="1:18">
      <c r="A9944" s="1042"/>
      <c r="C9944" s="1320"/>
      <c r="D9944" s="1404" t="s">
        <v>1067</v>
      </c>
      <c r="E9944" s="1857" t="s">
        <v>1508</v>
      </c>
      <c r="F9944" s="2040" t="s">
        <v>1512</v>
      </c>
      <c r="G9944" s="1829">
        <v>1.03</v>
      </c>
      <c r="H9944" s="1408">
        <f>H9940*G9944</f>
        <v>2.1630000000000003E-2</v>
      </c>
      <c r="I9944" s="197"/>
      <c r="J9944" s="198"/>
      <c r="K9944" s="1307">
        <f>H9944*K9932</f>
        <v>0.44774100000000006</v>
      </c>
      <c r="L9944" s="1335">
        <f t="shared" si="1295"/>
        <v>0</v>
      </c>
      <c r="M9944" s="1499">
        <v>18.28</v>
      </c>
      <c r="N9944" s="1724">
        <f>G9944*M9944</f>
        <v>18.828400000000002</v>
      </c>
      <c r="O9944" s="1719">
        <f>H9944*M9944</f>
        <v>0.39539640000000009</v>
      </c>
      <c r="P9944" s="1720">
        <f>M9944*K9944</f>
        <v>8.1847054800000016</v>
      </c>
      <c r="Q9944" s="3396"/>
      <c r="R9944" s="3842"/>
    </row>
    <row r="9945" spans="1:18">
      <c r="A9945" s="1042"/>
      <c r="B9945" s="1599"/>
      <c r="C9945" s="1042"/>
      <c r="D9945" s="1400"/>
      <c r="E9945" s="2121"/>
      <c r="F9945" s="1436"/>
      <c r="G9945" s="1436"/>
      <c r="H9945" s="1369"/>
      <c r="I9945" s="1299"/>
      <c r="J9945" s="1300"/>
      <c r="K9945" s="1307"/>
      <c r="L9945" s="1335"/>
      <c r="M9945" s="1302"/>
      <c r="N9945" s="1700"/>
      <c r="O9945" s="1290"/>
      <c r="P9945" s="1332"/>
      <c r="Q9945" s="3391"/>
    </row>
    <row r="9946" spans="1:18">
      <c r="A9946" s="1042"/>
      <c r="B9946" s="1599"/>
      <c r="C9946" s="1042"/>
      <c r="D9946" s="1404"/>
      <c r="E9946" s="1858"/>
      <c r="F9946" s="1360" t="s">
        <v>2</v>
      </c>
      <c r="G9946" s="1360"/>
      <c r="H9946" s="1362"/>
      <c r="I9946" s="1380"/>
      <c r="J9946" s="1381"/>
      <c r="K9946" s="1381"/>
      <c r="L9946" s="1458"/>
      <c r="M9946" s="1362"/>
      <c r="N9946" s="1362"/>
      <c r="O9946" s="1362"/>
      <c r="P9946" s="1359"/>
      <c r="Q9946" s="3387"/>
    </row>
    <row r="9947" spans="1:18">
      <c r="A9947" s="1042"/>
      <c r="B9947" s="1042"/>
      <c r="C9947" s="1420" t="s">
        <v>1523</v>
      </c>
      <c r="D9947" s="1311"/>
      <c r="E9947" s="2128" t="s">
        <v>1508</v>
      </c>
      <c r="F9947" s="2248" t="s">
        <v>1524</v>
      </c>
      <c r="G9947" s="1338"/>
      <c r="H9947" s="1344">
        <v>0.45</v>
      </c>
      <c r="I9947" s="1388"/>
      <c r="J9947" s="1366"/>
      <c r="K9947" s="1448"/>
      <c r="L9947" s="1457"/>
      <c r="M9947" s="1503"/>
      <c r="N9947" s="1447">
        <f>SUM(N9948:N9949)</f>
        <v>37.510000000000005</v>
      </c>
      <c r="O9947" s="1447">
        <f>SUM(O9948:O9949)</f>
        <v>16.8795</v>
      </c>
      <c r="P9947" s="1447">
        <f>SUM(P9948:P9949)</f>
        <v>349.40564999999998</v>
      </c>
      <c r="Q9947" s="3391"/>
    </row>
    <row r="9948" spans="1:18">
      <c r="A9948" s="1042"/>
      <c r="B9948" s="1042"/>
      <c r="C9948" s="18"/>
      <c r="D9948" s="1402" t="s">
        <v>1067</v>
      </c>
      <c r="E9948" s="1857" t="s">
        <v>1508</v>
      </c>
      <c r="F9948" s="1403" t="s">
        <v>5</v>
      </c>
      <c r="G9948" s="1362">
        <v>1</v>
      </c>
      <c r="H9948" s="1359">
        <f>H9947*G9948</f>
        <v>0.45</v>
      </c>
      <c r="I9948" s="198"/>
      <c r="J9948" s="6"/>
      <c r="K9948" s="1307">
        <f>H9948*K9932</f>
        <v>9.3149999999999995</v>
      </c>
      <c r="L9948" s="1335">
        <f t="shared" ref="L9948:L9949" si="1296">K9948*$K$9753</f>
        <v>0</v>
      </c>
      <c r="M9948" s="1499">
        <v>18.28</v>
      </c>
      <c r="N9948" s="1724">
        <f>G9948*M9948</f>
        <v>18.28</v>
      </c>
      <c r="O9948" s="1290">
        <f>H9948*M9948</f>
        <v>8.2260000000000009</v>
      </c>
      <c r="P9948" s="1332">
        <f>M9948*K9948</f>
        <v>170.2782</v>
      </c>
      <c r="Q9948" s="3391"/>
    </row>
    <row r="9949" spans="1:18">
      <c r="A9949" s="1042"/>
      <c r="B9949" s="1042"/>
      <c r="C9949" s="1042"/>
      <c r="D9949" s="1402" t="s">
        <v>1077</v>
      </c>
      <c r="E9949" s="1857" t="s">
        <v>1508</v>
      </c>
      <c r="F9949" s="1403" t="s">
        <v>37</v>
      </c>
      <c r="G9949" s="1362">
        <v>1</v>
      </c>
      <c r="H9949" s="1359">
        <f>H9947*G9949</f>
        <v>0.45</v>
      </c>
      <c r="I9949" s="198"/>
      <c r="J9949" s="6"/>
      <c r="K9949" s="1307">
        <f>H9949*K9932</f>
        <v>9.3149999999999995</v>
      </c>
      <c r="L9949" s="1335">
        <f t="shared" si="1296"/>
        <v>0</v>
      </c>
      <c r="M9949" s="1499">
        <v>19.23</v>
      </c>
      <c r="N9949" s="1724">
        <f>G9949*M9949</f>
        <v>19.23</v>
      </c>
      <c r="O9949" s="1290">
        <f>H9949*M9949</f>
        <v>8.6535000000000011</v>
      </c>
      <c r="P9949" s="1332">
        <f>M9949*K9949</f>
        <v>179.12744999999998</v>
      </c>
      <c r="Q9949" s="3391"/>
    </row>
    <row r="9950" spans="1:18">
      <c r="A9950" s="1042"/>
      <c r="B9950" s="553"/>
      <c r="C9950" s="1042"/>
      <c r="D9950" s="3860"/>
      <c r="E9950" s="3851"/>
      <c r="F9950" s="1766"/>
      <c r="G9950" s="3861"/>
      <c r="H9950" s="3246"/>
      <c r="I9950" s="197"/>
      <c r="J9950" s="3862"/>
      <c r="K9950" s="1307"/>
      <c r="L9950" s="1335"/>
      <c r="M9950" s="3852"/>
      <c r="N9950" s="1724"/>
      <c r="O9950" s="1290"/>
      <c r="P9950" s="3850"/>
      <c r="Q9950" s="3391"/>
    </row>
    <row r="9951" spans="1:18">
      <c r="A9951" s="1320"/>
      <c r="B9951" s="1599"/>
      <c r="C9951" s="1320"/>
      <c r="D9951" s="1411"/>
      <c r="E9951" s="2123"/>
      <c r="F9951" s="1374" t="s">
        <v>3</v>
      </c>
      <c r="G9951" s="1375"/>
      <c r="H9951" s="1376"/>
      <c r="I9951" s="1382"/>
      <c r="J9951" s="1383"/>
      <c r="K9951" s="1383"/>
      <c r="L9951" s="1413"/>
      <c r="M9951" s="1376"/>
      <c r="N9951" s="1376"/>
      <c r="O9951" s="1376"/>
      <c r="P9951" s="1373"/>
      <c r="Q9951" s="3387"/>
    </row>
    <row r="9952" spans="1:18">
      <c r="A9952" s="1321"/>
      <c r="B9952" s="2053"/>
      <c r="C9952" s="1321"/>
      <c r="D9952" s="1412"/>
      <c r="E9952" s="2124"/>
      <c r="F9952" s="1378"/>
      <c r="G9952" s="2200"/>
      <c r="H9952" s="1379"/>
      <c r="I9952" s="1299"/>
      <c r="J9952" s="1300"/>
      <c r="K9952" s="1307"/>
      <c r="L9952" s="1335"/>
      <c r="M9952" s="1302"/>
      <c r="N9952" s="1700"/>
      <c r="O9952" s="1290"/>
      <c r="P9952" s="1332"/>
      <c r="Q9952" s="3391"/>
    </row>
    <row r="9953" spans="1:18">
      <c r="A9953" s="1321"/>
      <c r="B9953" s="2053"/>
      <c r="C9953" s="1321"/>
      <c r="D9953" s="1412"/>
      <c r="E9953" s="2124"/>
      <c r="F9953" s="1378"/>
      <c r="G9953" s="1378"/>
      <c r="H9953" s="1379"/>
      <c r="I9953" s="1299"/>
      <c r="J9953" s="1300"/>
      <c r="K9953" s="1307"/>
      <c r="L9953" s="1335"/>
      <c r="M9953" s="1302"/>
      <c r="N9953" s="1700"/>
      <c r="O9953" s="1290"/>
      <c r="P9953" s="1333"/>
      <c r="Q9953" s="3391"/>
    </row>
    <row r="9954" spans="1:18">
      <c r="A9954" s="1042"/>
      <c r="B9954" s="1599"/>
      <c r="C9954" s="1042"/>
      <c r="D9954" s="1695"/>
      <c r="E9954" s="2278"/>
      <c r="F9954" s="2279"/>
      <c r="G9954" s="2279"/>
      <c r="H9954" s="2264"/>
      <c r="I9954" s="2280"/>
      <c r="J9954" s="2281"/>
      <c r="K9954" s="2236"/>
      <c r="L9954" s="1594"/>
      <c r="M9954" s="2282"/>
      <c r="N9954" s="2283"/>
      <c r="O9954" s="2237"/>
      <c r="P9954" s="2238"/>
      <c r="Q9954" s="3391"/>
    </row>
    <row r="9955" spans="1:18">
      <c r="A9955" s="18" t="s">
        <v>3764</v>
      </c>
      <c r="B9955" s="4325" t="s">
        <v>3674</v>
      </c>
      <c r="C9955" s="3840"/>
      <c r="D9955" s="4327"/>
      <c r="E9955" s="4329" t="s">
        <v>1504</v>
      </c>
      <c r="F9955" s="4372" t="s">
        <v>3675</v>
      </c>
      <c r="G9955" s="4331" t="s">
        <v>1568</v>
      </c>
      <c r="H9955" s="4331" t="s">
        <v>1574</v>
      </c>
      <c r="I9955" s="1572" t="s">
        <v>1559</v>
      </c>
      <c r="J9955" s="1294" t="s">
        <v>1560</v>
      </c>
      <c r="K9955" s="1294" t="s">
        <v>1569</v>
      </c>
      <c r="L9955" s="4333" t="s">
        <v>3765</v>
      </c>
      <c r="M9955" s="4335" t="s">
        <v>1571</v>
      </c>
      <c r="N9955" s="4323" t="s">
        <v>1776</v>
      </c>
      <c r="O9955" s="3839" t="s">
        <v>1563</v>
      </c>
      <c r="P9955" s="1336" t="s">
        <v>1562</v>
      </c>
      <c r="Q9955" s="3389"/>
      <c r="R9955" s="1699" t="s">
        <v>1327</v>
      </c>
    </row>
    <row r="9956" spans="1:18">
      <c r="A9956" s="1662" t="s">
        <v>3648</v>
      </c>
      <c r="B9956" s="4326"/>
      <c r="C9956" s="3841"/>
      <c r="D9956" s="4328"/>
      <c r="E9956" s="4330"/>
      <c r="F9956" s="4363"/>
      <c r="G9956" s="4332"/>
      <c r="H9956" s="4332"/>
      <c r="I9956" s="1306">
        <v>82.8</v>
      </c>
      <c r="J9956" s="1307">
        <v>0.25</v>
      </c>
      <c r="K9956" s="1297">
        <f>I9956*J9956</f>
        <v>20.7</v>
      </c>
      <c r="L9956" s="4334"/>
      <c r="M9956" s="4335"/>
      <c r="N9956" s="4324"/>
      <c r="O9956" s="1298">
        <f>O9958+O9959+O9963+O9970</f>
        <v>5.8964659800000003</v>
      </c>
      <c r="P9956" s="1337">
        <f>O9956*K9956</f>
        <v>122.056845786</v>
      </c>
      <c r="Q9956" s="3390"/>
      <c r="R9956" s="1721">
        <f>P9958+P9959+P9963+P9970</f>
        <v>122.018512491</v>
      </c>
    </row>
    <row r="9957" spans="1:18">
      <c r="A9957" s="1320"/>
      <c r="B9957" s="1599"/>
      <c r="C9957" s="1327"/>
      <c r="D9957" s="1400"/>
      <c r="E9957" s="2121"/>
      <c r="F9957" s="1389" t="s">
        <v>1</v>
      </c>
      <c r="G9957" s="1389"/>
      <c r="H9957" s="3853"/>
      <c r="I9957" s="1409"/>
      <c r="J9957" s="1390"/>
      <c r="K9957" s="1391"/>
      <c r="L9957" s="1559"/>
      <c r="M9957" s="1369"/>
      <c r="N9957" s="1369"/>
      <c r="O9957" s="1369"/>
      <c r="P9957" s="1392"/>
      <c r="Q9957" s="3395"/>
    </row>
    <row r="9958" spans="1:18">
      <c r="A9958" s="1320"/>
      <c r="B9958" s="1599"/>
      <c r="C9958" s="1042"/>
      <c r="D9958" s="3854" t="s">
        <v>3676</v>
      </c>
      <c r="E9958" s="3855" t="s">
        <v>1504</v>
      </c>
      <c r="F9958" s="3859" t="s">
        <v>3677</v>
      </c>
      <c r="G9958" s="3857">
        <v>1.1020000000000001</v>
      </c>
      <c r="H9958" s="3853"/>
      <c r="I9958" s="1409"/>
      <c r="J9958" s="1390"/>
      <c r="K9958" s="1307">
        <f>G9958*K9956</f>
        <v>22.811400000000003</v>
      </c>
      <c r="L9958" s="1335">
        <f>K9958*$K$9753</f>
        <v>0</v>
      </c>
      <c r="M9958" s="1302">
        <v>2.25</v>
      </c>
      <c r="N9958" s="1718"/>
      <c r="O9958" s="1290">
        <f t="shared" ref="O9958" si="1297">G9958*M9958</f>
        <v>2.4795000000000003</v>
      </c>
      <c r="P9958" s="1332">
        <f t="shared" ref="P9958" si="1298">M9958*K9958</f>
        <v>51.325650000000003</v>
      </c>
      <c r="Q9958" s="3395"/>
    </row>
    <row r="9959" spans="1:18">
      <c r="A9959" s="1042"/>
      <c r="B9959" s="1042"/>
      <c r="C9959" s="1356" t="s">
        <v>1155</v>
      </c>
      <c r="D9959" s="1311"/>
      <c r="E9959" s="2136" t="s">
        <v>1517</v>
      </c>
      <c r="F9959" s="3858" t="s">
        <v>1544</v>
      </c>
      <c r="G9959" s="3856"/>
      <c r="H9959" s="3856">
        <v>1E-3</v>
      </c>
      <c r="I9959" s="1455"/>
      <c r="J9959" s="1388"/>
      <c r="K9959" s="1445"/>
      <c r="L9959" s="1457"/>
      <c r="M9959" s="1446"/>
      <c r="N9959" s="1447">
        <f>SUM(N9960:N9962)</f>
        <v>114.04755</v>
      </c>
      <c r="O9959" s="1447">
        <f>SUM(O9960:O9962)</f>
        <v>0.11589940000000001</v>
      </c>
      <c r="P9959" s="1447">
        <f>SUM(P9960:P9962)</f>
        <v>2.3607842850000003</v>
      </c>
      <c r="Q9959" s="3391"/>
      <c r="R9959" s="2343"/>
    </row>
    <row r="9960" spans="1:18">
      <c r="A9960" s="1042"/>
      <c r="B9960" s="553"/>
      <c r="C9960" s="1327"/>
      <c r="D9960" s="1451" t="s">
        <v>1069</v>
      </c>
      <c r="E9960" s="1856" t="s">
        <v>1517</v>
      </c>
      <c r="F9960" s="1421" t="s">
        <v>1578</v>
      </c>
      <c r="G9960" s="1452">
        <v>0.89100000000000001</v>
      </c>
      <c r="H9960" s="1453">
        <f>$H$274*G9960</f>
        <v>8.9100000000000008E-4</v>
      </c>
      <c r="I9960" s="1286"/>
      <c r="J9960" s="198"/>
      <c r="K9960" s="1307">
        <f>H9960*K9956</f>
        <v>1.84437E-2</v>
      </c>
      <c r="L9960" s="1335">
        <f t="shared" ref="L9960:L9962" si="1299">K9960*$K$9753</f>
        <v>0</v>
      </c>
      <c r="M9960" s="1302">
        <v>0.55000000000000004</v>
      </c>
      <c r="N9960" s="1718">
        <f>G9960*M9960</f>
        <v>0.49005000000000004</v>
      </c>
      <c r="O9960" s="1719">
        <f>ROUND(H9960*M9960,2)</f>
        <v>0</v>
      </c>
      <c r="P9960" s="1720">
        <f>M9960*K9960</f>
        <v>1.0144035000000001E-2</v>
      </c>
      <c r="Q9960" s="3396"/>
      <c r="R9960" s="2343"/>
    </row>
    <row r="9961" spans="1:18">
      <c r="A9961" s="1042"/>
      <c r="B9961" s="553"/>
      <c r="C9961" s="1320"/>
      <c r="D9961" s="1367" t="s">
        <v>1394</v>
      </c>
      <c r="E9961" s="1856" t="s">
        <v>1577</v>
      </c>
      <c r="F9961" s="1421" t="s">
        <v>1579</v>
      </c>
      <c r="G9961" s="1452">
        <v>0.51500000000000001</v>
      </c>
      <c r="H9961" s="1453">
        <f>$H$274*G9961</f>
        <v>5.1500000000000005E-4</v>
      </c>
      <c r="I9961" s="1286"/>
      <c r="J9961" s="198"/>
      <c r="K9961" s="1307">
        <f>H9961*K9956</f>
        <v>1.06605E-2</v>
      </c>
      <c r="L9961" s="1335">
        <f t="shared" si="1299"/>
        <v>0</v>
      </c>
      <c r="M9961" s="1302">
        <v>92.54</v>
      </c>
      <c r="N9961" s="1718">
        <f>G9961*M9961</f>
        <v>47.658100000000005</v>
      </c>
      <c r="O9961" s="1719">
        <f>ROUND(H9961*M9961,2)</f>
        <v>0.05</v>
      </c>
      <c r="P9961" s="1720">
        <f>M9961*K9961</f>
        <v>0.98652267000000005</v>
      </c>
      <c r="Q9961" s="3396"/>
      <c r="R9961" s="2343"/>
    </row>
    <row r="9962" spans="1:18">
      <c r="A9962" s="1042"/>
      <c r="B9962" s="553"/>
      <c r="C9962" s="225"/>
      <c r="D9962" s="1443" t="s">
        <v>1067</v>
      </c>
      <c r="E9962" s="1857" t="s">
        <v>1508</v>
      </c>
      <c r="F9962" s="1430" t="s">
        <v>1512</v>
      </c>
      <c r="G9962" s="1431">
        <v>3.605</v>
      </c>
      <c r="H9962" s="1454">
        <f>$H$274*G9962</f>
        <v>3.6050000000000001E-3</v>
      </c>
      <c r="I9962" s="1286"/>
      <c r="J9962" s="198"/>
      <c r="K9962" s="1307">
        <f>H9962*K9956</f>
        <v>7.4623499999999995E-2</v>
      </c>
      <c r="L9962" s="1335">
        <f t="shared" si="1299"/>
        <v>0</v>
      </c>
      <c r="M9962" s="1302">
        <v>18.28</v>
      </c>
      <c r="N9962" s="1718">
        <f>G9962*M9962</f>
        <v>65.8994</v>
      </c>
      <c r="O9962" s="1719">
        <f>H9962*M9962</f>
        <v>6.5899400000000011E-2</v>
      </c>
      <c r="P9962" s="1720">
        <f>M9962*K9962</f>
        <v>1.3641175800000001</v>
      </c>
      <c r="Q9962" s="3396"/>
      <c r="R9962" s="2343"/>
    </row>
    <row r="9963" spans="1:18">
      <c r="A9963" s="1042"/>
      <c r="C9963" s="1356" t="s">
        <v>1127</v>
      </c>
      <c r="D9963" s="1311"/>
      <c r="E9963" s="2131" t="s">
        <v>1517</v>
      </c>
      <c r="F9963" s="1318" t="s">
        <v>1519</v>
      </c>
      <c r="G9963" s="1344"/>
      <c r="H9963" s="1344">
        <v>6.0000000000000001E-3</v>
      </c>
      <c r="I9963" s="1444"/>
      <c r="J9963" s="1388"/>
      <c r="K9963" s="1459"/>
      <c r="L9963" s="1457"/>
      <c r="M9963" s="1500"/>
      <c r="N9963" s="1447">
        <f>SUM(N9964:N9967)</f>
        <v>50.044430000000006</v>
      </c>
      <c r="O9963" s="1447">
        <f>SUM(O9964:O9967)</f>
        <v>0.30026658000000006</v>
      </c>
      <c r="P9963" s="1447">
        <f>SUM(P9964:P9967)</f>
        <v>6.2155182060000005</v>
      </c>
      <c r="Q9963" s="3391"/>
      <c r="R9963" s="3842"/>
    </row>
    <row r="9964" spans="1:18" ht="15" customHeight="1">
      <c r="A9964" s="1042"/>
      <c r="C9964" s="1327"/>
      <c r="D9964" s="1400" t="s">
        <v>1069</v>
      </c>
      <c r="E9964" s="1856" t="s">
        <v>1517</v>
      </c>
      <c r="F9964" s="1397" t="s">
        <v>1578</v>
      </c>
      <c r="G9964" s="1416">
        <v>0.26300000000000001</v>
      </c>
      <c r="H9964" s="1399">
        <f>H9963*G9964</f>
        <v>1.5780000000000002E-3</v>
      </c>
      <c r="I9964" s="197"/>
      <c r="J9964" s="198"/>
      <c r="K9964" s="1307">
        <f>H9964*K9956</f>
        <v>3.2664600000000002E-2</v>
      </c>
      <c r="L9964" s="1335">
        <f t="shared" ref="L9964:L9967" si="1300">K9964*$K$9753</f>
        <v>0</v>
      </c>
      <c r="M9964" s="1499">
        <v>0.55000000000000004</v>
      </c>
      <c r="N9964" s="1724">
        <f>G9964*M9964</f>
        <v>0.14465000000000003</v>
      </c>
      <c r="O9964" s="1719">
        <f>H9964*M9964</f>
        <v>8.6790000000000023E-4</v>
      </c>
      <c r="P9964" s="1720">
        <f>M9964*K9964</f>
        <v>1.7965530000000004E-2</v>
      </c>
      <c r="Q9964" s="3396"/>
      <c r="R9964" s="3842"/>
    </row>
    <row r="9965" spans="1:18">
      <c r="A9965" s="1042"/>
      <c r="C9965" s="1320"/>
      <c r="D9965" s="1400" t="s">
        <v>1394</v>
      </c>
      <c r="E9965" s="1856" t="s">
        <v>1577</v>
      </c>
      <c r="F9965" s="1397" t="s">
        <v>1579</v>
      </c>
      <c r="G9965" s="1416">
        <v>0.25800000000000001</v>
      </c>
      <c r="H9965" s="1399">
        <f>H9963*G9965</f>
        <v>1.5480000000000001E-3</v>
      </c>
      <c r="I9965" s="197"/>
      <c r="J9965" s="198"/>
      <c r="K9965" s="1307">
        <f>H9965*K9956</f>
        <v>3.2043599999999998E-2</v>
      </c>
      <c r="L9965" s="1335">
        <f t="shared" si="1300"/>
        <v>0</v>
      </c>
      <c r="M9965" s="1499">
        <v>92.54</v>
      </c>
      <c r="N9965" s="1724">
        <f>G9965*M9965</f>
        <v>23.875320000000002</v>
      </c>
      <c r="O9965" s="1719">
        <f>H9965*M9965</f>
        <v>0.14325192000000003</v>
      </c>
      <c r="P9965" s="1720">
        <f>M9965*K9965</f>
        <v>2.9653147440000001</v>
      </c>
      <c r="Q9965" s="3396"/>
      <c r="R9965" s="3842"/>
    </row>
    <row r="9966" spans="1:18">
      <c r="A9966" s="1042"/>
      <c r="C9966" s="1320"/>
      <c r="D9966" s="1400" t="s">
        <v>1576</v>
      </c>
      <c r="E9966" s="1856" t="s">
        <v>1517</v>
      </c>
      <c r="F9966" s="1397" t="s">
        <v>1580</v>
      </c>
      <c r="G9966" s="1416">
        <v>1.1020000000000001</v>
      </c>
      <c r="H9966" s="1399">
        <f>H9963*G9966</f>
        <v>6.6120000000000007E-3</v>
      </c>
      <c r="I9966" s="197"/>
      <c r="J9966" s="198"/>
      <c r="K9966" s="1307">
        <f>H9966*K9956</f>
        <v>0.1368684</v>
      </c>
      <c r="L9966" s="1335">
        <f t="shared" si="1300"/>
        <v>0</v>
      </c>
      <c r="M9966" s="1499">
        <v>6.53</v>
      </c>
      <c r="N9966" s="1724">
        <f>G9966*M9966</f>
        <v>7.196060000000001</v>
      </c>
      <c r="O9966" s="1719">
        <f>H9966*M9966</f>
        <v>4.3176360000000004E-2</v>
      </c>
      <c r="P9966" s="1720">
        <f>M9966*K9966</f>
        <v>0.89375065200000003</v>
      </c>
      <c r="Q9966" s="3396"/>
      <c r="R9966" s="1292"/>
    </row>
    <row r="9967" spans="1:18">
      <c r="A9967" s="1042"/>
      <c r="C9967" s="1320"/>
      <c r="D9967" s="1404" t="s">
        <v>1067</v>
      </c>
      <c r="E9967" s="1857" t="s">
        <v>1508</v>
      </c>
      <c r="F9967" s="2040" t="s">
        <v>1512</v>
      </c>
      <c r="G9967" s="1829">
        <v>1.03</v>
      </c>
      <c r="H9967" s="1408">
        <f>H9963*G9967</f>
        <v>6.1800000000000006E-3</v>
      </c>
      <c r="I9967" s="197"/>
      <c r="J9967" s="198"/>
      <c r="K9967" s="1307">
        <f>H9967*K9956</f>
        <v>0.12792600000000001</v>
      </c>
      <c r="L9967" s="1335">
        <f t="shared" si="1300"/>
        <v>0</v>
      </c>
      <c r="M9967" s="1499">
        <v>18.28</v>
      </c>
      <c r="N9967" s="1724">
        <f>G9967*M9967</f>
        <v>18.828400000000002</v>
      </c>
      <c r="O9967" s="1719">
        <f>H9967*M9967</f>
        <v>0.11297040000000001</v>
      </c>
      <c r="P9967" s="1720">
        <f>M9967*K9967</f>
        <v>2.3384872800000003</v>
      </c>
      <c r="Q9967" s="3396"/>
      <c r="R9967" s="3842"/>
    </row>
    <row r="9968" spans="1:18">
      <c r="A9968" s="1042"/>
      <c r="B9968" s="1599"/>
      <c r="C9968" s="1042"/>
      <c r="D9968" s="1400"/>
      <c r="E9968" s="2121"/>
      <c r="F9968" s="1436"/>
      <c r="G9968" s="1436"/>
      <c r="H9968" s="1369"/>
      <c r="I9968" s="1299"/>
      <c r="J9968" s="1300"/>
      <c r="K9968" s="1307"/>
      <c r="L9968" s="1335"/>
      <c r="M9968" s="1302"/>
      <c r="N9968" s="1700"/>
      <c r="O9968" s="1290"/>
      <c r="P9968" s="1332"/>
      <c r="Q9968" s="3391"/>
    </row>
    <row r="9969" spans="1:18">
      <c r="A9969" s="1042"/>
      <c r="B9969" s="1599"/>
      <c r="C9969" s="1042"/>
      <c r="D9969" s="3863"/>
      <c r="E9969" s="1858"/>
      <c r="F9969" s="1360" t="s">
        <v>2</v>
      </c>
      <c r="G9969" s="1360"/>
      <c r="H9969" s="1362"/>
      <c r="I9969" s="1380"/>
      <c r="J9969" s="1381"/>
      <c r="K9969" s="1381"/>
      <c r="L9969" s="1458"/>
      <c r="M9969" s="1362"/>
      <c r="N9969" s="1362"/>
      <c r="O9969" s="1362"/>
      <c r="P9969" s="1359"/>
      <c r="Q9969" s="3387"/>
    </row>
    <row r="9970" spans="1:18">
      <c r="A9970" s="1042"/>
      <c r="B9970" s="1042"/>
      <c r="C9970" s="3864" t="s">
        <v>1523</v>
      </c>
      <c r="D9970" s="3865"/>
      <c r="E9970" s="2128" t="s">
        <v>1508</v>
      </c>
      <c r="F9970" s="2248" t="s">
        <v>1524</v>
      </c>
      <c r="G9970" s="1338"/>
      <c r="H9970" s="1344">
        <v>0.08</v>
      </c>
      <c r="I9970" s="1388"/>
      <c r="J9970" s="1366"/>
      <c r="K9970" s="1448"/>
      <c r="L9970" s="1457"/>
      <c r="M9970" s="1503"/>
      <c r="N9970" s="1447">
        <f>SUM(N9971:N9972)</f>
        <v>37.510000000000005</v>
      </c>
      <c r="O9970" s="1447">
        <f>SUM(O9971:O9972)</f>
        <v>3.0007999999999999</v>
      </c>
      <c r="P9970" s="1447">
        <f>SUM(P9971:P9972)</f>
        <v>62.11656</v>
      </c>
      <c r="Q9970" s="3391"/>
    </row>
    <row r="9971" spans="1:18">
      <c r="A9971" s="1042"/>
      <c r="B9971" s="1042"/>
      <c r="C9971" s="18"/>
      <c r="D9971" s="1402" t="s">
        <v>1067</v>
      </c>
      <c r="E9971" s="1857" t="s">
        <v>1508</v>
      </c>
      <c r="F9971" s="1403" t="s">
        <v>5</v>
      </c>
      <c r="G9971" s="1362">
        <v>1</v>
      </c>
      <c r="H9971" s="1359">
        <f>H9970*G9971</f>
        <v>0.08</v>
      </c>
      <c r="I9971" s="198"/>
      <c r="J9971" s="6"/>
      <c r="K9971" s="1307">
        <f>H9971*K9956</f>
        <v>1.6559999999999999</v>
      </c>
      <c r="L9971" s="1335">
        <f t="shared" ref="L9971:L9972" si="1301">K9971*$K$9753</f>
        <v>0</v>
      </c>
      <c r="M9971" s="1499">
        <v>18.28</v>
      </c>
      <c r="N9971" s="1724">
        <f>G9971*M9971</f>
        <v>18.28</v>
      </c>
      <c r="O9971" s="1290">
        <f>H9971*M9971</f>
        <v>1.4624000000000001</v>
      </c>
      <c r="P9971" s="1332">
        <f>M9971*K9971</f>
        <v>30.27168</v>
      </c>
      <c r="Q9971" s="3391"/>
    </row>
    <row r="9972" spans="1:18">
      <c r="A9972" s="1042"/>
      <c r="B9972" s="1042"/>
      <c r="C9972" s="1042"/>
      <c r="D9972" s="1402" t="s">
        <v>1077</v>
      </c>
      <c r="E9972" s="1857" t="s">
        <v>1508</v>
      </c>
      <c r="F9972" s="1403" t="s">
        <v>37</v>
      </c>
      <c r="G9972" s="1362">
        <v>1</v>
      </c>
      <c r="H9972" s="1359">
        <f>H9970*G9972</f>
        <v>0.08</v>
      </c>
      <c r="I9972" s="198"/>
      <c r="J9972" s="6"/>
      <c r="K9972" s="1307">
        <f>H9972*K9956</f>
        <v>1.6559999999999999</v>
      </c>
      <c r="L9972" s="1335">
        <f t="shared" si="1301"/>
        <v>0</v>
      </c>
      <c r="M9972" s="1499">
        <v>19.23</v>
      </c>
      <c r="N9972" s="1724">
        <f>G9972*M9972</f>
        <v>19.23</v>
      </c>
      <c r="O9972" s="1290">
        <f>H9972*M9972</f>
        <v>1.5384</v>
      </c>
      <c r="P9972" s="1332">
        <f>M9972*K9972</f>
        <v>31.84488</v>
      </c>
      <c r="Q9972" s="3391"/>
    </row>
    <row r="9973" spans="1:18">
      <c r="A9973" s="1042"/>
      <c r="B9973" s="553"/>
      <c r="C9973" s="1042"/>
      <c r="D9973" s="3860"/>
      <c r="E9973" s="3851"/>
      <c r="F9973" s="1766"/>
      <c r="G9973" s="3861"/>
      <c r="H9973" s="3246"/>
      <c r="I9973" s="197"/>
      <c r="J9973" s="3862"/>
      <c r="K9973" s="1307"/>
      <c r="L9973" s="1335"/>
      <c r="M9973" s="3852"/>
      <c r="N9973" s="1724"/>
      <c r="O9973" s="1290"/>
      <c r="P9973" s="3850"/>
      <c r="Q9973" s="3391"/>
    </row>
    <row r="9974" spans="1:18">
      <c r="A9974" s="1320"/>
      <c r="B9974" s="1599"/>
      <c r="C9974" s="1320"/>
      <c r="D9974" s="1411"/>
      <c r="E9974" s="2123"/>
      <c r="F9974" s="1374" t="s">
        <v>3</v>
      </c>
      <c r="G9974" s="1375"/>
      <c r="H9974" s="1376"/>
      <c r="I9974" s="1382"/>
      <c r="J9974" s="1383"/>
      <c r="K9974" s="1383"/>
      <c r="L9974" s="1413"/>
      <c r="M9974" s="1376"/>
      <c r="N9974" s="1376"/>
      <c r="O9974" s="1376"/>
      <c r="P9974" s="1373"/>
      <c r="Q9974" s="3387"/>
    </row>
    <row r="9975" spans="1:18">
      <c r="A9975" s="1321"/>
      <c r="B9975" s="2053"/>
      <c r="C9975" s="1321"/>
      <c r="D9975" s="1412"/>
      <c r="E9975" s="2124"/>
      <c r="F9975" s="1378"/>
      <c r="G9975" s="2200"/>
      <c r="H9975" s="1379"/>
      <c r="I9975" s="1299"/>
      <c r="J9975" s="1300"/>
      <c r="K9975" s="1307"/>
      <c r="L9975" s="1335"/>
      <c r="M9975" s="1302"/>
      <c r="N9975" s="1700"/>
      <c r="O9975" s="1290"/>
      <c r="P9975" s="1332"/>
      <c r="Q9975" s="3391"/>
    </row>
    <row r="9976" spans="1:18">
      <c r="A9976" s="1321"/>
      <c r="B9976" s="2053"/>
      <c r="C9976" s="1321"/>
      <c r="D9976" s="1412"/>
      <c r="E9976" s="2124"/>
      <c r="F9976" s="1378"/>
      <c r="G9976" s="1378"/>
      <c r="H9976" s="1379"/>
      <c r="I9976" s="1299"/>
      <c r="J9976" s="1300"/>
      <c r="K9976" s="1307"/>
      <c r="L9976" s="1335"/>
      <c r="M9976" s="1302"/>
      <c r="N9976" s="1700"/>
      <c r="O9976" s="1290"/>
      <c r="P9976" s="1333"/>
      <c r="Q9976" s="3391"/>
    </row>
    <row r="9977" spans="1:18">
      <c r="A9977" s="1042"/>
      <c r="B9977" s="1599"/>
      <c r="C9977" s="1042"/>
      <c r="D9977" s="1695"/>
      <c r="E9977" s="2278"/>
      <c r="F9977" s="2279"/>
      <c r="G9977" s="2279"/>
      <c r="H9977" s="2264"/>
      <c r="I9977" s="2280"/>
      <c r="J9977" s="2281"/>
      <c r="K9977" s="2236"/>
      <c r="L9977" s="1594"/>
      <c r="M9977" s="2282"/>
      <c r="N9977" s="2283"/>
      <c r="O9977" s="2237"/>
      <c r="P9977" s="2238"/>
      <c r="Q9977" s="3391"/>
    </row>
    <row r="9978" spans="1:18">
      <c r="A9978" s="18" t="s">
        <v>3764</v>
      </c>
      <c r="B9978" s="4325" t="s">
        <v>3678</v>
      </c>
      <c r="C9978" s="3840"/>
      <c r="D9978" s="4327"/>
      <c r="E9978" s="4329" t="s">
        <v>1527</v>
      </c>
      <c r="F9978" s="4372" t="s">
        <v>3679</v>
      </c>
      <c r="G9978" s="4331" t="s">
        <v>1568</v>
      </c>
      <c r="H9978" s="4331" t="s">
        <v>1574</v>
      </c>
      <c r="I9978" s="1572" t="s">
        <v>1559</v>
      </c>
      <c r="J9978" s="1294" t="s">
        <v>1560</v>
      </c>
      <c r="K9978" s="1294" t="s">
        <v>1569</v>
      </c>
      <c r="L9978" s="4333" t="s">
        <v>3765</v>
      </c>
      <c r="M9978" s="4335" t="s">
        <v>1571</v>
      </c>
      <c r="N9978" s="4323" t="s">
        <v>1776</v>
      </c>
      <c r="O9978" s="3839" t="s">
        <v>1563</v>
      </c>
      <c r="P9978" s="1336" t="s">
        <v>1562</v>
      </c>
      <c r="Q9978" s="3389"/>
      <c r="R9978" s="1699" t="s">
        <v>1327</v>
      </c>
    </row>
    <row r="9979" spans="1:18">
      <c r="A9979" s="1662" t="s">
        <v>3648</v>
      </c>
      <c r="B9979" s="4326"/>
      <c r="C9979" s="3841"/>
      <c r="D9979" s="4328"/>
      <c r="E9979" s="4330"/>
      <c r="F9979" s="4363"/>
      <c r="G9979" s="4332"/>
      <c r="H9979" s="4332"/>
      <c r="I9979" s="1306">
        <v>38.799999999999997</v>
      </c>
      <c r="J9979" s="1307">
        <v>0.25</v>
      </c>
      <c r="K9979" s="1297">
        <f>I9979*J9979</f>
        <v>9.6999999999999993</v>
      </c>
      <c r="L9979" s="4334"/>
      <c r="M9979" s="4335"/>
      <c r="N9979" s="4324"/>
      <c r="O9979" s="1298">
        <f>O9981+O9982+O9989+O9990</f>
        <v>4.5217944300000008</v>
      </c>
      <c r="P9979" s="1337">
        <f>O9979*K9979</f>
        <v>43.861405971000003</v>
      </c>
      <c r="Q9979" s="3390"/>
      <c r="R9979" s="1721">
        <f>P9981+P9982+P9989+P9990</f>
        <v>43.861405970999996</v>
      </c>
    </row>
    <row r="9980" spans="1:18">
      <c r="A9980" s="1320"/>
      <c r="B9980" s="1599"/>
      <c r="C9980" s="1327"/>
      <c r="D9980" s="1400"/>
      <c r="E9980" s="2121"/>
      <c r="F9980" s="1389" t="s">
        <v>1</v>
      </c>
      <c r="G9980" s="1389"/>
      <c r="H9980" s="3853"/>
      <c r="I9980" s="1409"/>
      <c r="J9980" s="1390"/>
      <c r="K9980" s="1391"/>
      <c r="L9980" s="1559"/>
      <c r="M9980" s="1369"/>
      <c r="N9980" s="1369"/>
      <c r="O9980" s="1369"/>
      <c r="P9980" s="1392"/>
      <c r="Q9980" s="3395"/>
    </row>
    <row r="9981" spans="1:18">
      <c r="A9981" s="1320"/>
      <c r="B9981" s="1599"/>
      <c r="C9981" s="1042"/>
      <c r="D9981" s="1400" t="s">
        <v>3680</v>
      </c>
      <c r="E9981" s="1856" t="s">
        <v>1504</v>
      </c>
      <c r="F9981" s="1397" t="s">
        <v>3681</v>
      </c>
      <c r="G9981" s="1416">
        <v>2.6</v>
      </c>
      <c r="H9981" s="3853"/>
      <c r="I9981" s="1289"/>
      <c r="J9981" s="2027"/>
      <c r="K9981" s="1307">
        <f>G9981*K9979</f>
        <v>25.22</v>
      </c>
      <c r="L9981" s="1335">
        <f>K9981*$K$9753</f>
        <v>0</v>
      </c>
      <c r="M9981" s="1302">
        <v>0.81</v>
      </c>
      <c r="N9981" s="1718"/>
      <c r="O9981" s="1290">
        <f t="shared" ref="O9981" si="1302">G9981*M9981</f>
        <v>2.1060000000000003</v>
      </c>
      <c r="P9981" s="1332">
        <f t="shared" ref="P9981" si="1303">M9981*K9981</f>
        <v>20.4282</v>
      </c>
      <c r="Q9981" s="3395"/>
    </row>
    <row r="9982" spans="1:18">
      <c r="A9982" s="1042"/>
      <c r="C9982" s="1356" t="s">
        <v>1127</v>
      </c>
      <c r="D9982" s="1311"/>
      <c r="E9982" s="2131" t="s">
        <v>1517</v>
      </c>
      <c r="F9982" s="1318" t="s">
        <v>1519</v>
      </c>
      <c r="G9982" s="1344"/>
      <c r="H9982" s="1344">
        <v>1E-3</v>
      </c>
      <c r="I9982" s="1444"/>
      <c r="J9982" s="1388"/>
      <c r="K9982" s="1459"/>
      <c r="L9982" s="1457"/>
      <c r="M9982" s="1500"/>
      <c r="N9982" s="1447">
        <f>SUM(N9983:N9986)</f>
        <v>50.044430000000006</v>
      </c>
      <c r="O9982" s="1447">
        <f>SUM(O9983:O9986)</f>
        <v>5.0044430000000008E-2</v>
      </c>
      <c r="P9982" s="1447">
        <f>SUM(P9983:P9986)</f>
        <v>0.48543097100000004</v>
      </c>
      <c r="Q9982" s="3391"/>
      <c r="R9982" s="3842"/>
    </row>
    <row r="9983" spans="1:18">
      <c r="A9983" s="1042"/>
      <c r="C9983" s="1327"/>
      <c r="D9983" s="1400" t="s">
        <v>1069</v>
      </c>
      <c r="E9983" s="1856" t="s">
        <v>1517</v>
      </c>
      <c r="F9983" s="1397" t="s">
        <v>1578</v>
      </c>
      <c r="G9983" s="1416">
        <v>0.26300000000000001</v>
      </c>
      <c r="H9983" s="1399">
        <f>H9982*G9983</f>
        <v>2.63E-4</v>
      </c>
      <c r="I9983" s="197"/>
      <c r="J9983" s="198"/>
      <c r="K9983" s="1307">
        <f>H9983*K9979</f>
        <v>2.5510999999999997E-3</v>
      </c>
      <c r="L9983" s="1335">
        <f t="shared" ref="L9983:L9986" si="1304">K9983*$K$9753</f>
        <v>0</v>
      </c>
      <c r="M9983" s="1499">
        <v>0.55000000000000004</v>
      </c>
      <c r="N9983" s="1724">
        <f>G9983*M9983</f>
        <v>0.14465000000000003</v>
      </c>
      <c r="O9983" s="1719">
        <f>H9983*M9983</f>
        <v>1.4465000000000002E-4</v>
      </c>
      <c r="P9983" s="1720">
        <f>M9983*K9983</f>
        <v>1.403105E-3</v>
      </c>
      <c r="Q9983" s="3396"/>
      <c r="R9983" s="3842"/>
    </row>
    <row r="9984" spans="1:18">
      <c r="A9984" s="1042"/>
      <c r="C9984" s="1320"/>
      <c r="D9984" s="1400" t="s">
        <v>1394</v>
      </c>
      <c r="E9984" s="1856" t="s">
        <v>1577</v>
      </c>
      <c r="F9984" s="1397" t="s">
        <v>1579</v>
      </c>
      <c r="G9984" s="1416">
        <v>0.25800000000000001</v>
      </c>
      <c r="H9984" s="1399">
        <f>H9982*G9984</f>
        <v>2.5800000000000004E-4</v>
      </c>
      <c r="I9984" s="197"/>
      <c r="J9984" s="198"/>
      <c r="K9984" s="1307">
        <f>H9984*K9979</f>
        <v>2.5026000000000002E-3</v>
      </c>
      <c r="L9984" s="1335">
        <f t="shared" si="1304"/>
        <v>0</v>
      </c>
      <c r="M9984" s="1499">
        <v>92.54</v>
      </c>
      <c r="N9984" s="1724">
        <f>G9984*M9984</f>
        <v>23.875320000000002</v>
      </c>
      <c r="O9984" s="1719">
        <f>H9984*M9984</f>
        <v>2.3875320000000005E-2</v>
      </c>
      <c r="P9984" s="1720">
        <f>M9984*K9984</f>
        <v>0.23159060400000003</v>
      </c>
      <c r="Q9984" s="3396"/>
      <c r="R9984" s="3842"/>
    </row>
    <row r="9985" spans="1:18">
      <c r="A9985" s="1042"/>
      <c r="C9985" s="1320"/>
      <c r="D9985" s="1400" t="s">
        <v>1576</v>
      </c>
      <c r="E9985" s="1856" t="s">
        <v>1517</v>
      </c>
      <c r="F9985" s="1397" t="s">
        <v>1580</v>
      </c>
      <c r="G9985" s="1416">
        <v>1.1020000000000001</v>
      </c>
      <c r="H9985" s="1399">
        <f>H9982*G9985</f>
        <v>1.1020000000000001E-3</v>
      </c>
      <c r="I9985" s="197"/>
      <c r="J9985" s="198"/>
      <c r="K9985" s="1307">
        <f>H9985*K9979</f>
        <v>1.06894E-2</v>
      </c>
      <c r="L9985" s="1335">
        <f t="shared" si="1304"/>
        <v>0</v>
      </c>
      <c r="M9985" s="1499">
        <v>6.53</v>
      </c>
      <c r="N9985" s="1724">
        <f>G9985*M9985</f>
        <v>7.196060000000001</v>
      </c>
      <c r="O9985" s="1719">
        <f>H9985*M9985</f>
        <v>7.1960600000000007E-3</v>
      </c>
      <c r="P9985" s="1720">
        <f>M9985*K9985</f>
        <v>6.9801782000000007E-2</v>
      </c>
      <c r="Q9985" s="3396"/>
      <c r="R9985" s="1292"/>
    </row>
    <row r="9986" spans="1:18">
      <c r="A9986" s="1042"/>
      <c r="C9986" s="1320"/>
      <c r="D9986" s="1404" t="s">
        <v>1067</v>
      </c>
      <c r="E9986" s="1857" t="s">
        <v>1508</v>
      </c>
      <c r="F9986" s="2040" t="s">
        <v>1512</v>
      </c>
      <c r="G9986" s="1829">
        <v>1.03</v>
      </c>
      <c r="H9986" s="1408">
        <f>H9982*G9986</f>
        <v>1.0300000000000001E-3</v>
      </c>
      <c r="I9986" s="197"/>
      <c r="J9986" s="198"/>
      <c r="K9986" s="1307">
        <f>H9986*K9979</f>
        <v>9.9909999999999999E-3</v>
      </c>
      <c r="L9986" s="1335">
        <f t="shared" si="1304"/>
        <v>0</v>
      </c>
      <c r="M9986" s="1499">
        <v>18.28</v>
      </c>
      <c r="N9986" s="1724">
        <f>G9986*M9986</f>
        <v>18.828400000000002</v>
      </c>
      <c r="O9986" s="1719">
        <f>H9986*M9986</f>
        <v>1.8828400000000002E-2</v>
      </c>
      <c r="P9986" s="1720">
        <f>M9986*K9986</f>
        <v>0.18263548000000002</v>
      </c>
      <c r="Q9986" s="3396"/>
      <c r="R9986" s="3842"/>
    </row>
    <row r="9987" spans="1:18">
      <c r="A9987" s="1042"/>
      <c r="B9987" s="1599"/>
      <c r="C9987" s="1042"/>
      <c r="D9987" s="1400"/>
      <c r="E9987" s="2121"/>
      <c r="F9987" s="1436"/>
      <c r="G9987" s="1436"/>
      <c r="H9987" s="1369"/>
      <c r="I9987" s="1299"/>
      <c r="J9987" s="1300"/>
      <c r="K9987" s="1307"/>
      <c r="L9987" s="1335"/>
      <c r="M9987" s="1302"/>
      <c r="N9987" s="1700"/>
      <c r="O9987" s="1290"/>
      <c r="P9987" s="1332"/>
      <c r="Q9987" s="3391"/>
    </row>
    <row r="9988" spans="1:18">
      <c r="A9988" s="1042"/>
      <c r="B9988" s="1599"/>
      <c r="C9988" s="1042"/>
      <c r="D9988" s="3863"/>
      <c r="E9988" s="1858"/>
      <c r="F9988" s="1360" t="s">
        <v>2</v>
      </c>
      <c r="G9988" s="1360"/>
      <c r="H9988" s="1362"/>
      <c r="I9988" s="1380"/>
      <c r="J9988" s="1381"/>
      <c r="K9988" s="1381"/>
      <c r="L9988" s="1458"/>
      <c r="M9988" s="1362"/>
      <c r="N9988" s="1362"/>
      <c r="O9988" s="1362"/>
      <c r="P9988" s="1359"/>
      <c r="Q9988" s="3387"/>
    </row>
    <row r="9989" spans="1:18">
      <c r="A9989" s="1042"/>
      <c r="B9989" s="1042"/>
      <c r="C9989" s="1042"/>
      <c r="D9989" s="1402" t="s">
        <v>1134</v>
      </c>
      <c r="E9989" s="1857" t="s">
        <v>1508</v>
      </c>
      <c r="F9989" s="1403" t="s">
        <v>1547</v>
      </c>
      <c r="G9989" s="1362">
        <v>8.5000000000000006E-2</v>
      </c>
      <c r="H9989" s="1359"/>
      <c r="I9989" s="198"/>
      <c r="J9989" s="6"/>
      <c r="K9989" s="1307">
        <f>G9989*K9979</f>
        <v>0.82450000000000001</v>
      </c>
      <c r="L9989" s="1335">
        <f t="shared" ref="L9989:L9990" si="1305">K9989*$K$9753</f>
        <v>0</v>
      </c>
      <c r="M9989" s="1499">
        <v>19.23</v>
      </c>
      <c r="N9989" s="1724">
        <f>SUM(N9990:N9991)</f>
        <v>0.73120000000000007</v>
      </c>
      <c r="O9989" s="1290">
        <f t="shared" ref="O9989:O9990" si="1306">G9989*M9989</f>
        <v>1.6345500000000002</v>
      </c>
      <c r="P9989" s="1332">
        <f t="shared" ref="P9989:P9990" si="1307">M9989*K9989</f>
        <v>15.855135000000001</v>
      </c>
      <c r="Q9989" s="3391"/>
    </row>
    <row r="9990" spans="1:18">
      <c r="A9990" s="1042"/>
      <c r="B9990" s="1042"/>
      <c r="C9990" s="18"/>
      <c r="D9990" s="1402" t="s">
        <v>1067</v>
      </c>
      <c r="E9990" s="1857" t="s">
        <v>1508</v>
      </c>
      <c r="F9990" s="1403" t="s">
        <v>1512</v>
      </c>
      <c r="G9990" s="1362">
        <v>0.04</v>
      </c>
      <c r="H9990" s="1359"/>
      <c r="I9990" s="198"/>
      <c r="J9990" s="6"/>
      <c r="K9990" s="1307">
        <f>G9990*K9979</f>
        <v>0.38799999999999996</v>
      </c>
      <c r="L9990" s="1335">
        <f t="shared" si="1305"/>
        <v>0</v>
      </c>
      <c r="M9990" s="1499">
        <v>18.28</v>
      </c>
      <c r="N9990" s="1724">
        <f>G9990*M9990</f>
        <v>0.73120000000000007</v>
      </c>
      <c r="O9990" s="1290">
        <f t="shared" si="1306"/>
        <v>0.73120000000000007</v>
      </c>
      <c r="P9990" s="1332">
        <f t="shared" si="1307"/>
        <v>7.0926399999999994</v>
      </c>
      <c r="Q9990" s="1640"/>
    </row>
    <row r="9991" spans="1:18">
      <c r="A9991" s="1042"/>
      <c r="B9991" s="1042"/>
      <c r="C9991" s="1042"/>
      <c r="D9991" s="1402"/>
      <c r="E9991" s="1857"/>
      <c r="F9991" s="1403"/>
      <c r="G9991" s="1362"/>
      <c r="H9991" s="1359"/>
      <c r="I9991" s="198"/>
      <c r="J9991" s="6"/>
      <c r="K9991" s="1307"/>
      <c r="L9991" s="1335"/>
      <c r="M9991" s="1499"/>
      <c r="N9991" s="1724"/>
      <c r="O9991" s="1290"/>
      <c r="P9991" s="1332"/>
      <c r="Q9991" s="3391"/>
    </row>
    <row r="9992" spans="1:18">
      <c r="A9992" s="1042"/>
      <c r="B9992" s="553"/>
      <c r="C9992" s="1042"/>
      <c r="D9992" s="3860"/>
      <c r="E9992" s="3851"/>
      <c r="F9992" s="1766"/>
      <c r="G9992" s="3861"/>
      <c r="H9992" s="3246"/>
      <c r="I9992" s="197"/>
      <c r="J9992" s="3862"/>
      <c r="K9992" s="1307"/>
      <c r="L9992" s="1335"/>
      <c r="M9992" s="3852"/>
      <c r="N9992" s="1724"/>
      <c r="O9992" s="1290"/>
      <c r="P9992" s="3850"/>
      <c r="Q9992" s="3391"/>
    </row>
    <row r="9993" spans="1:18">
      <c r="A9993" s="1320"/>
      <c r="B9993" s="1599"/>
      <c r="C9993" s="1320"/>
      <c r="D9993" s="1411"/>
      <c r="E9993" s="2123"/>
      <c r="F9993" s="1374" t="s">
        <v>3</v>
      </c>
      <c r="G9993" s="1375"/>
      <c r="H9993" s="1376"/>
      <c r="I9993" s="1382"/>
      <c r="J9993" s="1383"/>
      <c r="K9993" s="1383"/>
      <c r="L9993" s="1413"/>
      <c r="M9993" s="1376"/>
      <c r="N9993" s="1376"/>
      <c r="O9993" s="1376"/>
      <c r="P9993" s="1373"/>
      <c r="Q9993" s="3387"/>
    </row>
    <row r="9994" spans="1:18">
      <c r="A9994" s="1321"/>
      <c r="B9994" s="2053"/>
      <c r="C9994" s="1321"/>
      <c r="D9994" s="1412"/>
      <c r="E9994" s="2124"/>
      <c r="F9994" s="1378"/>
      <c r="G9994" s="2200"/>
      <c r="H9994" s="1379"/>
      <c r="I9994" s="1299"/>
      <c r="J9994" s="1300"/>
      <c r="K9994" s="1307"/>
      <c r="L9994" s="1335"/>
      <c r="M9994" s="1302"/>
      <c r="N9994" s="1700"/>
      <c r="O9994" s="1290"/>
      <c r="P9994" s="1332"/>
      <c r="Q9994" s="3391"/>
    </row>
    <row r="9995" spans="1:18">
      <c r="A9995" s="1321"/>
      <c r="B9995" s="2053"/>
      <c r="C9995" s="1321"/>
      <c r="D9995" s="1412"/>
      <c r="E9995" s="2124"/>
      <c r="F9995" s="1378"/>
      <c r="G9995" s="1378"/>
      <c r="H9995" s="1379"/>
      <c r="I9995" s="1299"/>
      <c r="J9995" s="1300"/>
      <c r="K9995" s="1307"/>
      <c r="L9995" s="1335"/>
      <c r="M9995" s="1302"/>
      <c r="N9995" s="1700"/>
      <c r="O9995" s="1290"/>
      <c r="P9995" s="1333"/>
      <c r="Q9995" s="3391"/>
    </row>
    <row r="9996" spans="1:18">
      <c r="A9996" s="1042"/>
      <c r="B9996" s="1599"/>
      <c r="C9996" s="1042"/>
      <c r="D9996" s="1695"/>
      <c r="E9996" s="2278"/>
      <c r="F9996" s="2279"/>
      <c r="G9996" s="2279"/>
      <c r="H9996" s="2264"/>
      <c r="I9996" s="2280"/>
      <c r="J9996" s="2281"/>
      <c r="K9996" s="2236"/>
      <c r="L9996" s="1594"/>
      <c r="M9996" s="2282"/>
      <c r="N9996" s="2283"/>
      <c r="O9996" s="2237"/>
      <c r="P9996" s="2238"/>
      <c r="Q9996" s="3391"/>
    </row>
    <row r="9997" spans="1:18">
      <c r="A9997" s="18" t="s">
        <v>3764</v>
      </c>
      <c r="B9997" s="4325" t="s">
        <v>3682</v>
      </c>
      <c r="C9997" s="3844"/>
      <c r="D9997" s="4327"/>
      <c r="E9997" s="4329" t="s">
        <v>1527</v>
      </c>
      <c r="F9997" s="4372" t="s">
        <v>3683</v>
      </c>
      <c r="G9997" s="4331" t="s">
        <v>1568</v>
      </c>
      <c r="H9997" s="4331" t="s">
        <v>1574</v>
      </c>
      <c r="I9997" s="1572" t="s">
        <v>1559</v>
      </c>
      <c r="J9997" s="1294" t="s">
        <v>1560</v>
      </c>
      <c r="K9997" s="1294" t="s">
        <v>1569</v>
      </c>
      <c r="L9997" s="4333" t="s">
        <v>3765</v>
      </c>
      <c r="M9997" s="4335" t="s">
        <v>1571</v>
      </c>
      <c r="N9997" s="4323" t="s">
        <v>1776</v>
      </c>
      <c r="O9997" s="3843" t="s">
        <v>1563</v>
      </c>
      <c r="P9997" s="1336" t="s">
        <v>1562</v>
      </c>
      <c r="Q9997" s="3389"/>
      <c r="R9997" s="1699" t="s">
        <v>1327</v>
      </c>
    </row>
    <row r="9998" spans="1:18">
      <c r="A9998" s="1662" t="s">
        <v>3648</v>
      </c>
      <c r="B9998" s="4326"/>
      <c r="C9998" s="3845"/>
      <c r="D9998" s="4328"/>
      <c r="E9998" s="4330"/>
      <c r="F9998" s="4363"/>
      <c r="G9998" s="4332"/>
      <c r="H9998" s="4332"/>
      <c r="I9998" s="1306">
        <v>38.159999999999997</v>
      </c>
      <c r="J9998" s="1307">
        <v>0.25</v>
      </c>
      <c r="K9998" s="1297">
        <f>I9998*J9998</f>
        <v>9.5399999999999991</v>
      </c>
      <c r="L9998" s="4334"/>
      <c r="M9998" s="4335"/>
      <c r="N9998" s="4324"/>
      <c r="O9998" s="1298">
        <f>O10000+O10001+O10002+O10003+O10007+O10014+O10015</f>
        <v>18.51018243</v>
      </c>
      <c r="P9998" s="1337">
        <f>O9998*K9998</f>
        <v>176.58714038219998</v>
      </c>
      <c r="Q9998" s="3390"/>
      <c r="R9998" s="1721">
        <f>P10000+P10001+P10002+P10003+P10007+P10014+P10015</f>
        <v>176.5694737332</v>
      </c>
    </row>
    <row r="9999" spans="1:18">
      <c r="A9999" s="1320"/>
      <c r="B9999" s="1599"/>
      <c r="C9999" s="1327"/>
      <c r="D9999" s="1400"/>
      <c r="E9999" s="2121"/>
      <c r="F9999" s="1389" t="s">
        <v>1</v>
      </c>
      <c r="G9999" s="1389"/>
      <c r="H9999" s="3853"/>
      <c r="I9999" s="1409"/>
      <c r="J9999" s="1390"/>
      <c r="K9999" s="1391"/>
      <c r="L9999" s="1559"/>
      <c r="M9999" s="1369"/>
      <c r="N9999" s="1369"/>
      <c r="O9999" s="1369"/>
      <c r="P9999" s="1392"/>
      <c r="Q9999" s="3395"/>
    </row>
    <row r="10000" spans="1:18">
      <c r="A10000" s="1320"/>
      <c r="B10000" s="1599"/>
      <c r="C10000" s="1042"/>
      <c r="D10000" s="1400" t="s">
        <v>1094</v>
      </c>
      <c r="E10000" s="1856" t="s">
        <v>1517</v>
      </c>
      <c r="F10000" s="1397" t="s">
        <v>1543</v>
      </c>
      <c r="G10000" s="1416">
        <v>0.02</v>
      </c>
      <c r="H10000" s="3853"/>
      <c r="I10000" s="1289"/>
      <c r="J10000" s="2027"/>
      <c r="K10000" s="1307">
        <f>G10000*K9998</f>
        <v>0.1908</v>
      </c>
      <c r="L10000" s="1335">
        <f t="shared" ref="L10000:L10002" si="1308">K10000*$K$9753</f>
        <v>0</v>
      </c>
      <c r="M10000" s="1302">
        <v>8.39</v>
      </c>
      <c r="N10000" s="1718"/>
      <c r="O10000" s="1290">
        <f t="shared" ref="O10000" si="1309">G10000*M10000</f>
        <v>0.1678</v>
      </c>
      <c r="P10000" s="1332">
        <f>M10000*K10000</f>
        <v>1.6008120000000001</v>
      </c>
      <c r="Q10000" s="3395"/>
    </row>
    <row r="10001" spans="1:18">
      <c r="A10001" s="1320"/>
      <c r="B10001" s="1599"/>
      <c r="C10001" s="553"/>
      <c r="D10001" s="3866" t="s">
        <v>3684</v>
      </c>
      <c r="E10001" s="3867" t="s">
        <v>1507</v>
      </c>
      <c r="F10001" s="3868" t="s">
        <v>3685</v>
      </c>
      <c r="G10001" s="3869">
        <v>1.04</v>
      </c>
      <c r="H10001" s="3853"/>
      <c r="I10001" s="1289"/>
      <c r="J10001" s="2027"/>
      <c r="K10001" s="1307">
        <f>G10001*K9998</f>
        <v>9.9215999999999998</v>
      </c>
      <c r="L10001" s="1335">
        <f t="shared" si="1308"/>
        <v>0</v>
      </c>
      <c r="M10001" s="3849">
        <v>6.98</v>
      </c>
      <c r="N10001" s="1718"/>
      <c r="O10001" s="1290">
        <f t="shared" ref="O10001:O10002" si="1310">G10001*M10001</f>
        <v>7.2592000000000008</v>
      </c>
      <c r="P10001" s="1332">
        <f>M10001*K10001</f>
        <v>69.252768000000003</v>
      </c>
      <c r="Q10001" s="3395"/>
    </row>
    <row r="10002" spans="1:18">
      <c r="A10002" s="1320"/>
      <c r="B10002" s="1599"/>
      <c r="C10002" s="553"/>
      <c r="D10002" s="3866" t="s">
        <v>3686</v>
      </c>
      <c r="E10002" s="3867" t="s">
        <v>1507</v>
      </c>
      <c r="F10002" s="3868" t="s">
        <v>3687</v>
      </c>
      <c r="G10002" s="3869">
        <v>1</v>
      </c>
      <c r="H10002" s="3853"/>
      <c r="I10002" s="1289"/>
      <c r="J10002" s="2027"/>
      <c r="K10002" s="1307">
        <f>G10002*K9998</f>
        <v>9.5399999999999991</v>
      </c>
      <c r="L10002" s="1335">
        <f t="shared" si="1308"/>
        <v>0</v>
      </c>
      <c r="M10002" s="3849">
        <v>2.92</v>
      </c>
      <c r="N10002" s="1718"/>
      <c r="O10002" s="1290">
        <f t="shared" si="1310"/>
        <v>2.92</v>
      </c>
      <c r="P10002" s="1332">
        <f>M10002*K10002</f>
        <v>27.856799999999996</v>
      </c>
      <c r="Q10002" s="3395"/>
    </row>
    <row r="10003" spans="1:18">
      <c r="A10003" s="1042"/>
      <c r="B10003" s="1042"/>
      <c r="C10003" s="1356" t="s">
        <v>1155</v>
      </c>
      <c r="D10003" s="1311"/>
      <c r="E10003" s="2136" t="s">
        <v>1517</v>
      </c>
      <c r="F10003" s="3858" t="s">
        <v>1544</v>
      </c>
      <c r="G10003" s="3856"/>
      <c r="H10003" s="3856">
        <v>1E-3</v>
      </c>
      <c r="I10003" s="1455"/>
      <c r="J10003" s="1388"/>
      <c r="K10003" s="1445"/>
      <c r="L10003" s="1457"/>
      <c r="M10003" s="1446"/>
      <c r="N10003" s="1447">
        <f>SUM(N10004:N10006)</f>
        <v>114.04755</v>
      </c>
      <c r="O10003" s="1447">
        <f>SUM(O10004:O10006)</f>
        <v>0.11589940000000001</v>
      </c>
      <c r="P10003" s="1447">
        <f>SUM(P10004:P10006)</f>
        <v>1.088013627</v>
      </c>
      <c r="Q10003" s="3391"/>
      <c r="R10003" s="2343"/>
    </row>
    <row r="10004" spans="1:18">
      <c r="A10004" s="1042"/>
      <c r="B10004" s="553"/>
      <c r="C10004" s="1327"/>
      <c r="D10004" s="1451" t="s">
        <v>1069</v>
      </c>
      <c r="E10004" s="1856" t="s">
        <v>1517</v>
      </c>
      <c r="F10004" s="1421" t="s">
        <v>1578</v>
      </c>
      <c r="G10004" s="1452">
        <v>0.89100000000000001</v>
      </c>
      <c r="H10004" s="1453">
        <f>H10003*G10004</f>
        <v>8.9100000000000008E-4</v>
      </c>
      <c r="I10004" s="1286"/>
      <c r="J10004" s="198"/>
      <c r="K10004" s="1307">
        <f>H10004*K9998</f>
        <v>8.5001399999999998E-3</v>
      </c>
      <c r="L10004" s="1335">
        <f t="shared" ref="L10004:L10006" si="1311">K10004*$K$9753</f>
        <v>0</v>
      </c>
      <c r="M10004" s="1302">
        <v>0.55000000000000004</v>
      </c>
      <c r="N10004" s="1718">
        <f>G10004*M10004</f>
        <v>0.49005000000000004</v>
      </c>
      <c r="O10004" s="1719">
        <f>ROUND(H10004*M10004,2)</f>
        <v>0</v>
      </c>
      <c r="P10004" s="1720">
        <f>M10004*K10004</f>
        <v>4.6750770000000006E-3</v>
      </c>
      <c r="Q10004" s="3396"/>
      <c r="R10004" s="2343"/>
    </row>
    <row r="10005" spans="1:18">
      <c r="A10005" s="1042"/>
      <c r="B10005" s="553"/>
      <c r="C10005" s="1320"/>
      <c r="D10005" s="1367" t="s">
        <v>1394</v>
      </c>
      <c r="E10005" s="1856" t="s">
        <v>1577</v>
      </c>
      <c r="F10005" s="1421" t="s">
        <v>1579</v>
      </c>
      <c r="G10005" s="1452">
        <v>0.51500000000000001</v>
      </c>
      <c r="H10005" s="1453">
        <f>H10003*G10005</f>
        <v>5.1500000000000005E-4</v>
      </c>
      <c r="I10005" s="1286"/>
      <c r="J10005" s="198"/>
      <c r="K10005" s="1307">
        <f>H10005*K9998</f>
        <v>4.9131000000000001E-3</v>
      </c>
      <c r="L10005" s="1335">
        <f t="shared" si="1311"/>
        <v>0</v>
      </c>
      <c r="M10005" s="1302">
        <v>92.54</v>
      </c>
      <c r="N10005" s="1718">
        <f>G10005*M10005</f>
        <v>47.658100000000005</v>
      </c>
      <c r="O10005" s="1719">
        <f>ROUND(H10005*M10005,2)</f>
        <v>0.05</v>
      </c>
      <c r="P10005" s="1720">
        <f>M10005*K10005</f>
        <v>0.45465827400000003</v>
      </c>
      <c r="Q10005" s="3396"/>
      <c r="R10005" s="2343"/>
    </row>
    <row r="10006" spans="1:18">
      <c r="A10006" s="1042"/>
      <c r="B10006" s="553"/>
      <c r="C10006" s="225"/>
      <c r="D10006" s="1443" t="s">
        <v>1067</v>
      </c>
      <c r="E10006" s="1857" t="s">
        <v>1508</v>
      </c>
      <c r="F10006" s="1430" t="s">
        <v>1512</v>
      </c>
      <c r="G10006" s="1431">
        <v>3.605</v>
      </c>
      <c r="H10006" s="1454">
        <f>H10003*G10006</f>
        <v>3.6050000000000001E-3</v>
      </c>
      <c r="I10006" s="1286"/>
      <c r="J10006" s="198"/>
      <c r="K10006" s="1307">
        <f>H10006*K9998</f>
        <v>3.4391699999999997E-2</v>
      </c>
      <c r="L10006" s="1335">
        <f t="shared" si="1311"/>
        <v>0</v>
      </c>
      <c r="M10006" s="1302">
        <v>18.28</v>
      </c>
      <c r="N10006" s="1718">
        <f>G10006*M10006</f>
        <v>65.8994</v>
      </c>
      <c r="O10006" s="1719">
        <f>H10006*M10006</f>
        <v>6.5899400000000011E-2</v>
      </c>
      <c r="P10006" s="1720">
        <f>M10006*K10006</f>
        <v>0.62868027599999998</v>
      </c>
      <c r="Q10006" s="3396"/>
      <c r="R10006" s="2343"/>
    </row>
    <row r="10007" spans="1:18">
      <c r="A10007" s="1042"/>
      <c r="C10007" s="1356" t="s">
        <v>1127</v>
      </c>
      <c r="D10007" s="1311"/>
      <c r="E10007" s="2131" t="s">
        <v>1517</v>
      </c>
      <c r="F10007" s="1318" t="s">
        <v>1519</v>
      </c>
      <c r="G10007" s="1344"/>
      <c r="H10007" s="1344">
        <v>2.1000000000000001E-2</v>
      </c>
      <c r="I10007" s="1444"/>
      <c r="J10007" s="1388"/>
      <c r="K10007" s="1459"/>
      <c r="L10007" s="1457"/>
      <c r="M10007" s="1500"/>
      <c r="N10007" s="1447">
        <f>SUM(N10008:N10011)</f>
        <v>50.044430000000006</v>
      </c>
      <c r="O10007" s="1447">
        <f>SUM(O10008:O10011)</f>
        <v>1.0509330300000002</v>
      </c>
      <c r="P10007" s="1447">
        <f>SUM(P10008:P10011)</f>
        <v>10.025901106200001</v>
      </c>
      <c r="Q10007" s="3391"/>
      <c r="R10007" s="3846"/>
    </row>
    <row r="10008" spans="1:18">
      <c r="A10008" s="1042"/>
      <c r="C10008" s="1327"/>
      <c r="D10008" s="1400" t="s">
        <v>1069</v>
      </c>
      <c r="E10008" s="1856" t="s">
        <v>1517</v>
      </c>
      <c r="F10008" s="1397" t="s">
        <v>1578</v>
      </c>
      <c r="G10008" s="1416">
        <v>0.26300000000000001</v>
      </c>
      <c r="H10008" s="1399">
        <f>H10007*G10008</f>
        <v>5.523000000000001E-3</v>
      </c>
      <c r="I10008" s="197"/>
      <c r="J10008" s="198"/>
      <c r="K10008" s="1307">
        <f>H10008*K9998</f>
        <v>5.2689420000000008E-2</v>
      </c>
      <c r="L10008" s="1335">
        <f t="shared" ref="L10008:L10011" si="1312">K10008*$K$9753</f>
        <v>0</v>
      </c>
      <c r="M10008" s="1499">
        <v>0.55000000000000004</v>
      </c>
      <c r="N10008" s="1724">
        <f>G10008*M10008</f>
        <v>0.14465000000000003</v>
      </c>
      <c r="O10008" s="1719">
        <f>H10008*M10008</f>
        <v>3.0376500000000007E-3</v>
      </c>
      <c r="P10008" s="1720">
        <f>M10008*K10008</f>
        <v>2.8979181000000007E-2</v>
      </c>
      <c r="Q10008" s="3396"/>
      <c r="R10008" s="3846"/>
    </row>
    <row r="10009" spans="1:18">
      <c r="A10009" s="1042"/>
      <c r="C10009" s="1320"/>
      <c r="D10009" s="1400" t="s">
        <v>1394</v>
      </c>
      <c r="E10009" s="1856" t="s">
        <v>1577</v>
      </c>
      <c r="F10009" s="1397" t="s">
        <v>1579</v>
      </c>
      <c r="G10009" s="1416">
        <v>0.25800000000000001</v>
      </c>
      <c r="H10009" s="1399">
        <f>H10007*G10009</f>
        <v>5.4180000000000001E-3</v>
      </c>
      <c r="I10009" s="197"/>
      <c r="J10009" s="198"/>
      <c r="K10009" s="1307">
        <f>H10009*K9998</f>
        <v>5.1687719999999999E-2</v>
      </c>
      <c r="L10009" s="1335">
        <f t="shared" si="1312"/>
        <v>0</v>
      </c>
      <c r="M10009" s="1499">
        <v>92.54</v>
      </c>
      <c r="N10009" s="1724">
        <f>G10009*M10009</f>
        <v>23.875320000000002</v>
      </c>
      <c r="O10009" s="1719">
        <f>H10009*M10009</f>
        <v>0.50138172000000003</v>
      </c>
      <c r="P10009" s="1720">
        <f>M10009*K10009</f>
        <v>4.7831816088000005</v>
      </c>
      <c r="Q10009" s="3396"/>
      <c r="R10009" s="3846"/>
    </row>
    <row r="10010" spans="1:18">
      <c r="A10010" s="1042"/>
      <c r="C10010" s="1320"/>
      <c r="D10010" s="1400" t="s">
        <v>1576</v>
      </c>
      <c r="E10010" s="1856" t="s">
        <v>1517</v>
      </c>
      <c r="F10010" s="1397" t="s">
        <v>1580</v>
      </c>
      <c r="G10010" s="1416">
        <v>1.1020000000000001</v>
      </c>
      <c r="H10010" s="1399">
        <f>H10007*G10010</f>
        <v>2.3142000000000003E-2</v>
      </c>
      <c r="I10010" s="197"/>
      <c r="J10010" s="198"/>
      <c r="K10010" s="1307">
        <f>H10010*K9998</f>
        <v>0.22077468</v>
      </c>
      <c r="L10010" s="1335">
        <f t="shared" si="1312"/>
        <v>0</v>
      </c>
      <c r="M10010" s="1499">
        <v>6.53</v>
      </c>
      <c r="N10010" s="1724">
        <f>G10010*M10010</f>
        <v>7.196060000000001</v>
      </c>
      <c r="O10010" s="1719">
        <f>H10010*M10010</f>
        <v>0.15111726000000003</v>
      </c>
      <c r="P10010" s="1720">
        <f>M10010*K10010</f>
        <v>1.4416586604000001</v>
      </c>
      <c r="Q10010" s="3396"/>
      <c r="R10010" s="1292"/>
    </row>
    <row r="10011" spans="1:18">
      <c r="A10011" s="1042"/>
      <c r="C10011" s="1320"/>
      <c r="D10011" s="1404" t="s">
        <v>1067</v>
      </c>
      <c r="E10011" s="1857" t="s">
        <v>1508</v>
      </c>
      <c r="F10011" s="2040" t="s">
        <v>1512</v>
      </c>
      <c r="G10011" s="1829">
        <v>1.03</v>
      </c>
      <c r="H10011" s="1408">
        <f>H10007*G10011</f>
        <v>2.1630000000000003E-2</v>
      </c>
      <c r="I10011" s="197"/>
      <c r="J10011" s="198"/>
      <c r="K10011" s="1307">
        <f>H10011*K9998</f>
        <v>0.20635020000000001</v>
      </c>
      <c r="L10011" s="1335">
        <f t="shared" si="1312"/>
        <v>0</v>
      </c>
      <c r="M10011" s="1499">
        <v>18.28</v>
      </c>
      <c r="N10011" s="1724">
        <f>G10011*M10011</f>
        <v>18.828400000000002</v>
      </c>
      <c r="O10011" s="1719">
        <f>H10011*M10011</f>
        <v>0.39539640000000009</v>
      </c>
      <c r="P10011" s="1720">
        <f>M10011*K10011</f>
        <v>3.7720816560000006</v>
      </c>
      <c r="Q10011" s="3396"/>
      <c r="R10011" s="3846"/>
    </row>
    <row r="10012" spans="1:18">
      <c r="A10012" s="1042"/>
      <c r="B10012" s="1599"/>
      <c r="C10012" s="1042"/>
      <c r="D10012" s="1400"/>
      <c r="E10012" s="2121"/>
      <c r="F10012" s="1436"/>
      <c r="G10012" s="1436"/>
      <c r="H10012" s="1369"/>
      <c r="I10012" s="1299"/>
      <c r="J10012" s="1300"/>
      <c r="K10012" s="1307"/>
      <c r="L10012" s="1335"/>
      <c r="M10012" s="1302"/>
      <c r="N10012" s="1700"/>
      <c r="O10012" s="1290"/>
      <c r="P10012" s="1332"/>
      <c r="Q10012" s="3391"/>
    </row>
    <row r="10013" spans="1:18">
      <c r="A10013" s="1042"/>
      <c r="B10013" s="1599"/>
      <c r="C10013" s="1042"/>
      <c r="D10013" s="3863"/>
      <c r="E10013" s="1858"/>
      <c r="F10013" s="1360" t="s">
        <v>2</v>
      </c>
      <c r="G10013" s="1360"/>
      <c r="H10013" s="1362"/>
      <c r="I10013" s="1380"/>
      <c r="J10013" s="1381"/>
      <c r="K10013" s="1381"/>
      <c r="L10013" s="1458"/>
      <c r="M10013" s="1362"/>
      <c r="N10013" s="1362"/>
      <c r="O10013" s="1362"/>
      <c r="P10013" s="1359"/>
      <c r="Q10013" s="3387"/>
    </row>
    <row r="10014" spans="1:18">
      <c r="A10014" s="1042"/>
      <c r="B10014" s="1042"/>
      <c r="C10014" s="1042"/>
      <c r="D10014" s="1402" t="s">
        <v>1134</v>
      </c>
      <c r="E10014" s="1857" t="s">
        <v>1508</v>
      </c>
      <c r="F10014" s="1403" t="s">
        <v>1547</v>
      </c>
      <c r="G10014" s="1362">
        <v>0.245</v>
      </c>
      <c r="H10014" s="1359"/>
      <c r="I10014" s="198"/>
      <c r="J10014" s="6"/>
      <c r="K10014" s="1307">
        <f>G10014*K9998</f>
        <v>2.3372999999999999</v>
      </c>
      <c r="L10014" s="1335">
        <f t="shared" ref="L10014:L10015" si="1313">K10014*$K$9753</f>
        <v>0</v>
      </c>
      <c r="M10014" s="1499">
        <v>19.23</v>
      </c>
      <c r="N10014" s="1724"/>
      <c r="O10014" s="1290">
        <f t="shared" ref="O10014:O10015" si="1314">G10014*M10014</f>
        <v>4.7113500000000004</v>
      </c>
      <c r="P10014" s="1332">
        <f>M10014*K10014</f>
        <v>44.946278999999997</v>
      </c>
      <c r="Q10014" s="3391"/>
    </row>
    <row r="10015" spans="1:18">
      <c r="A10015" s="1042"/>
      <c r="B10015" s="1042"/>
      <c r="C10015" s="18"/>
      <c r="D10015" s="1402" t="s">
        <v>1067</v>
      </c>
      <c r="E10015" s="1857" t="s">
        <v>1508</v>
      </c>
      <c r="F10015" s="1403" t="s">
        <v>1512</v>
      </c>
      <c r="G10015" s="1362">
        <v>0.125</v>
      </c>
      <c r="H10015" s="1359"/>
      <c r="I10015" s="198"/>
      <c r="J10015" s="6"/>
      <c r="K10015" s="1307">
        <f>G10015*K9998</f>
        <v>1.1924999999999999</v>
      </c>
      <c r="L10015" s="1335">
        <f t="shared" si="1313"/>
        <v>0</v>
      </c>
      <c r="M10015" s="1499">
        <v>18.28</v>
      </c>
      <c r="N10015" s="1724"/>
      <c r="O10015" s="1290">
        <f t="shared" si="1314"/>
        <v>2.2850000000000001</v>
      </c>
      <c r="P10015" s="1332">
        <f>M10015*K10015</f>
        <v>21.7989</v>
      </c>
      <c r="Q10015" s="1640"/>
    </row>
    <row r="10016" spans="1:18">
      <c r="A10016" s="1042"/>
      <c r="B10016" s="1042"/>
      <c r="C10016" s="1042"/>
      <c r="D10016" s="1402"/>
      <c r="E10016" s="1857"/>
      <c r="F10016" s="1403"/>
      <c r="G10016" s="1362"/>
      <c r="H10016" s="1359"/>
      <c r="I10016" s="198"/>
      <c r="J10016" s="6"/>
      <c r="K10016" s="1307"/>
      <c r="L10016" s="1335"/>
      <c r="M10016" s="1499"/>
      <c r="N10016" s="1724"/>
      <c r="O10016" s="1290"/>
      <c r="P10016" s="1332"/>
      <c r="Q10016" s="3391"/>
    </row>
    <row r="10017" spans="1:18">
      <c r="A10017" s="1042"/>
      <c r="B10017" s="553"/>
      <c r="C10017" s="1042"/>
      <c r="D10017" s="3860"/>
      <c r="E10017" s="3851"/>
      <c r="F10017" s="1766"/>
      <c r="G10017" s="3861"/>
      <c r="H10017" s="3246"/>
      <c r="I10017" s="197"/>
      <c r="J10017" s="3862"/>
      <c r="K10017" s="1307"/>
      <c r="L10017" s="1335"/>
      <c r="M10017" s="3852"/>
      <c r="N10017" s="1724"/>
      <c r="O10017" s="1290"/>
      <c r="P10017" s="3850"/>
      <c r="Q10017" s="3391"/>
    </row>
    <row r="10018" spans="1:18">
      <c r="A10018" s="1320"/>
      <c r="B10018" s="1599"/>
      <c r="C10018" s="1320"/>
      <c r="D10018" s="1411"/>
      <c r="E10018" s="2123"/>
      <c r="F10018" s="1374" t="s">
        <v>3</v>
      </c>
      <c r="G10018" s="1375"/>
      <c r="H10018" s="1376"/>
      <c r="I10018" s="1382"/>
      <c r="J10018" s="1383"/>
      <c r="K10018" s="1383"/>
      <c r="L10018" s="1413"/>
      <c r="M10018" s="1376"/>
      <c r="N10018" s="1376"/>
      <c r="O10018" s="1376"/>
      <c r="P10018" s="1373"/>
      <c r="Q10018" s="3387"/>
    </row>
    <row r="10019" spans="1:18">
      <c r="A10019" s="1321"/>
      <c r="B10019" s="2053"/>
      <c r="C10019" s="1321"/>
      <c r="D10019" s="1412"/>
      <c r="E10019" s="2124"/>
      <c r="F10019" s="1378"/>
      <c r="G10019" s="2200"/>
      <c r="H10019" s="1379"/>
      <c r="I10019" s="1299"/>
      <c r="J10019" s="1300"/>
      <c r="K10019" s="1307"/>
      <c r="L10019" s="1335"/>
      <c r="M10019" s="1302"/>
      <c r="N10019" s="1700"/>
      <c r="O10019" s="1290"/>
      <c r="P10019" s="1332"/>
      <c r="Q10019" s="3391"/>
    </row>
    <row r="10020" spans="1:18">
      <c r="A10020" s="1321"/>
      <c r="B10020" s="2053"/>
      <c r="C10020" s="1321"/>
      <c r="D10020" s="1412"/>
      <c r="E10020" s="2124"/>
      <c r="F10020" s="1378"/>
      <c r="G10020" s="1378"/>
      <c r="H10020" s="1379"/>
      <c r="I10020" s="1299"/>
      <c r="J10020" s="1300"/>
      <c r="K10020" s="1307"/>
      <c r="L10020" s="1335"/>
      <c r="M10020" s="1302"/>
      <c r="N10020" s="1700"/>
      <c r="O10020" s="1290"/>
      <c r="P10020" s="1333"/>
      <c r="Q10020" s="3391"/>
    </row>
    <row r="10021" spans="1:18">
      <c r="A10021" s="1042"/>
      <c r="B10021" s="1599"/>
      <c r="C10021" s="1042"/>
      <c r="D10021" s="1695"/>
      <c r="E10021" s="2278"/>
      <c r="F10021" s="2279"/>
      <c r="G10021" s="2279"/>
      <c r="H10021" s="2264"/>
      <c r="I10021" s="2280"/>
      <c r="J10021" s="2281"/>
      <c r="K10021" s="2236"/>
      <c r="L10021" s="1594"/>
      <c r="M10021" s="2282"/>
      <c r="N10021" s="2283"/>
      <c r="O10021" s="2237"/>
      <c r="P10021" s="2238"/>
      <c r="Q10021" s="3391"/>
    </row>
    <row r="10022" spans="1:18">
      <c r="A10022" s="18" t="s">
        <v>3764</v>
      </c>
      <c r="B10022" s="4325" t="s">
        <v>3688</v>
      </c>
      <c r="C10022" s="3844"/>
      <c r="D10022" s="4327"/>
      <c r="E10022" s="4329" t="s">
        <v>1527</v>
      </c>
      <c r="F10022" s="4372" t="s">
        <v>3689</v>
      </c>
      <c r="G10022" s="4331" t="s">
        <v>1568</v>
      </c>
      <c r="H10022" s="4331" t="s">
        <v>1574</v>
      </c>
      <c r="I10022" s="1572" t="s">
        <v>1559</v>
      </c>
      <c r="J10022" s="1294" t="s">
        <v>1560</v>
      </c>
      <c r="K10022" s="1294" t="s">
        <v>1569</v>
      </c>
      <c r="L10022" s="4333" t="s">
        <v>3765</v>
      </c>
      <c r="M10022" s="4335" t="s">
        <v>1571</v>
      </c>
      <c r="N10022" s="4323" t="s">
        <v>1776</v>
      </c>
      <c r="O10022" s="3843" t="s">
        <v>1563</v>
      </c>
      <c r="P10022" s="1336" t="s">
        <v>1562</v>
      </c>
      <c r="Q10022" s="3389"/>
      <c r="R10022" s="1699" t="s">
        <v>1327</v>
      </c>
    </row>
    <row r="10023" spans="1:18">
      <c r="A10023" s="1662" t="s">
        <v>3648</v>
      </c>
      <c r="B10023" s="4326"/>
      <c r="C10023" s="3845"/>
      <c r="D10023" s="4328"/>
      <c r="E10023" s="4330"/>
      <c r="F10023" s="4363"/>
      <c r="G10023" s="4332"/>
      <c r="H10023" s="4332"/>
      <c r="I10023" s="1306">
        <v>19.2</v>
      </c>
      <c r="J10023" s="1307">
        <v>0.25</v>
      </c>
      <c r="K10023" s="1297">
        <f>I10023*J10023</f>
        <v>4.8</v>
      </c>
      <c r="L10023" s="4334"/>
      <c r="M10023" s="4335"/>
      <c r="N10023" s="4324"/>
      <c r="O10023" s="1298">
        <f>O10025+O10026+O10027+O10030+O10031</f>
        <v>60.429000000000009</v>
      </c>
      <c r="P10023" s="1337">
        <f>O10023*K10023</f>
        <v>290.05920000000003</v>
      </c>
      <c r="Q10023" s="3390"/>
      <c r="R10023" s="1721">
        <f>P10025+P10026+P10027+P10030+P10031</f>
        <v>290.05919999999998</v>
      </c>
    </row>
    <row r="10024" spans="1:18">
      <c r="A10024" s="1320"/>
      <c r="B10024" s="1599"/>
      <c r="C10024" s="1327"/>
      <c r="D10024" s="1400"/>
      <c r="E10024" s="2121"/>
      <c r="F10024" s="1389" t="s">
        <v>1</v>
      </c>
      <c r="G10024" s="1389"/>
      <c r="H10024" s="3853"/>
      <c r="I10024" s="1409"/>
      <c r="J10024" s="1390"/>
      <c r="K10024" s="1391"/>
      <c r="L10024" s="1559"/>
      <c r="M10024" s="1369"/>
      <c r="N10024" s="1369"/>
      <c r="O10024" s="1369"/>
      <c r="P10024" s="1392"/>
      <c r="Q10024" s="3395"/>
    </row>
    <row r="10025" spans="1:18">
      <c r="A10025" s="1320"/>
      <c r="B10025" s="1599"/>
      <c r="C10025" s="1042"/>
      <c r="D10025" s="1400" t="s">
        <v>1193</v>
      </c>
      <c r="E10025" s="1856" t="s">
        <v>1357</v>
      </c>
      <c r="F10025" s="1397" t="s">
        <v>2121</v>
      </c>
      <c r="G10025" s="1416">
        <v>15.4</v>
      </c>
      <c r="H10025" s="3853"/>
      <c r="I10025" s="1289"/>
      <c r="J10025" s="2027"/>
      <c r="K10025" s="1307">
        <f>G10025*K10023</f>
        <v>73.92</v>
      </c>
      <c r="L10025" s="1335">
        <f t="shared" ref="L10025:L10027" si="1315">K10025*$K$9753</f>
        <v>0</v>
      </c>
      <c r="M10025" s="1302">
        <v>1.33</v>
      </c>
      <c r="N10025" s="1718"/>
      <c r="O10025" s="1290">
        <f t="shared" ref="O10025:O10027" si="1316">G10025*M10025</f>
        <v>20.482000000000003</v>
      </c>
      <c r="P10025" s="1332">
        <f>M10025*K10025</f>
        <v>98.313600000000008</v>
      </c>
      <c r="Q10025" s="3395"/>
    </row>
    <row r="10026" spans="1:18">
      <c r="A10026" s="1320"/>
      <c r="B10026" s="1599"/>
      <c r="C10026" s="553"/>
      <c r="D10026" s="3866" t="s">
        <v>1194</v>
      </c>
      <c r="E10026" s="3867" t="s">
        <v>1357</v>
      </c>
      <c r="F10026" s="3868" t="s">
        <v>2122</v>
      </c>
      <c r="G10026" s="3869">
        <v>10</v>
      </c>
      <c r="H10026" s="3853"/>
      <c r="I10026" s="1289"/>
      <c r="J10026" s="2027"/>
      <c r="K10026" s="1307">
        <f>G10026*K10023</f>
        <v>48</v>
      </c>
      <c r="L10026" s="1335">
        <f t="shared" si="1315"/>
        <v>0</v>
      </c>
      <c r="M10026" s="3849">
        <v>1.24</v>
      </c>
      <c r="N10026" s="1718"/>
      <c r="O10026" s="1290">
        <f t="shared" si="1316"/>
        <v>12.4</v>
      </c>
      <c r="P10026" s="1332">
        <f>M10026*K10026</f>
        <v>59.519999999999996</v>
      </c>
      <c r="Q10026" s="3395"/>
    </row>
    <row r="10027" spans="1:18">
      <c r="A10027" s="1320"/>
      <c r="B10027" s="1599"/>
      <c r="C10027" s="553"/>
      <c r="D10027" s="3866" t="s">
        <v>1097</v>
      </c>
      <c r="E10027" s="3867" t="s">
        <v>1504</v>
      </c>
      <c r="F10027" s="3868" t="s">
        <v>1632</v>
      </c>
      <c r="G10027" s="3869">
        <v>2</v>
      </c>
      <c r="H10027" s="3853"/>
      <c r="I10027" s="1289"/>
      <c r="J10027" s="2027"/>
      <c r="K10027" s="1307">
        <f>G10027*K10023</f>
        <v>9.6</v>
      </c>
      <c r="L10027" s="1335">
        <f t="shared" si="1315"/>
        <v>0</v>
      </c>
      <c r="M10027" s="3849">
        <v>0.55000000000000004</v>
      </c>
      <c r="N10027" s="1718"/>
      <c r="O10027" s="1290">
        <f t="shared" si="1316"/>
        <v>1.1000000000000001</v>
      </c>
      <c r="P10027" s="1332">
        <f>M10027*K10027</f>
        <v>5.28</v>
      </c>
      <c r="Q10027" s="3395"/>
    </row>
    <row r="10028" spans="1:18">
      <c r="A10028" s="1042"/>
      <c r="B10028" s="1599"/>
      <c r="C10028" s="1042"/>
      <c r="D10028" s="1400" t="s">
        <v>1082</v>
      </c>
      <c r="E10028" s="2121" t="s">
        <v>1504</v>
      </c>
      <c r="F10028" s="1436" t="s">
        <v>1541</v>
      </c>
      <c r="G10028" s="2088">
        <v>1</v>
      </c>
      <c r="H10028" s="1369"/>
      <c r="I10028" s="1299"/>
      <c r="J10028" s="1300"/>
      <c r="K10028" s="1307"/>
      <c r="L10028" s="1335"/>
      <c r="M10028" s="1302"/>
      <c r="N10028" s="1700"/>
      <c r="O10028" s="1290"/>
      <c r="P10028" s="1332"/>
      <c r="Q10028" s="3391"/>
    </row>
    <row r="10029" spans="1:18">
      <c r="A10029" s="1042"/>
      <c r="B10029" s="1599"/>
      <c r="C10029" s="1042"/>
      <c r="D10029" s="3863"/>
      <c r="E10029" s="1858"/>
      <c r="F10029" s="1360" t="s">
        <v>2</v>
      </c>
      <c r="G10029" s="1360"/>
      <c r="H10029" s="1362"/>
      <c r="I10029" s="1380"/>
      <c r="J10029" s="1381"/>
      <c r="K10029" s="1381"/>
      <c r="L10029" s="1458"/>
      <c r="M10029" s="1362"/>
      <c r="N10029" s="1362"/>
      <c r="O10029" s="1362"/>
      <c r="P10029" s="1359"/>
      <c r="Q10029" s="3387"/>
    </row>
    <row r="10030" spans="1:18">
      <c r="A10030" s="1042"/>
      <c r="B10030" s="1599"/>
      <c r="C10030" s="553"/>
      <c r="D10030" s="3871" t="s">
        <v>1111</v>
      </c>
      <c r="E10030" s="3872" t="s">
        <v>1508</v>
      </c>
      <c r="F10030" s="3873" t="s">
        <v>2069</v>
      </c>
      <c r="G10030" s="3874">
        <v>0.4</v>
      </c>
      <c r="H10030" s="3870"/>
      <c r="I10030" s="1299"/>
      <c r="J10030" s="1300"/>
      <c r="K10030" s="1307">
        <f>G10030*K10023</f>
        <v>1.92</v>
      </c>
      <c r="L10030" s="1335"/>
      <c r="M10030" s="1302">
        <v>19.23</v>
      </c>
      <c r="N10030" s="1724"/>
      <c r="O10030" s="1290">
        <f t="shared" ref="O10030" si="1317">G10030*M10030</f>
        <v>7.6920000000000002</v>
      </c>
      <c r="P10030" s="1332">
        <f>M10030*K10030</f>
        <v>36.921599999999998</v>
      </c>
      <c r="Q10030" s="3387"/>
    </row>
    <row r="10031" spans="1:18">
      <c r="A10031" s="1042"/>
      <c r="B10031" s="1042"/>
      <c r="C10031" s="3864" t="s">
        <v>1523</v>
      </c>
      <c r="D10031" s="3865"/>
      <c r="E10031" s="2128" t="s">
        <v>1508</v>
      </c>
      <c r="F10031" s="2248" t="s">
        <v>1524</v>
      </c>
      <c r="G10031" s="1338"/>
      <c r="H10031" s="1344">
        <v>0.5</v>
      </c>
      <c r="I10031" s="1388"/>
      <c r="J10031" s="1366"/>
      <c r="K10031" s="1448"/>
      <c r="L10031" s="1457"/>
      <c r="M10031" s="1503"/>
      <c r="N10031" s="1447">
        <f>SUM(N10032:N10033)</f>
        <v>37.510000000000005</v>
      </c>
      <c r="O10031" s="1447">
        <f>SUM(O10032:O10033)</f>
        <v>18.755000000000003</v>
      </c>
      <c r="P10031" s="1447">
        <f>SUM(P10032:P10033)</f>
        <v>90.024000000000001</v>
      </c>
      <c r="Q10031" s="3391"/>
    </row>
    <row r="10032" spans="1:18">
      <c r="A10032" s="1042"/>
      <c r="B10032" s="1042"/>
      <c r="C10032" s="18"/>
      <c r="D10032" s="1402" t="s">
        <v>1067</v>
      </c>
      <c r="E10032" s="1857" t="s">
        <v>1508</v>
      </c>
      <c r="F10032" s="1403" t="s">
        <v>5</v>
      </c>
      <c r="G10032" s="1362">
        <v>1</v>
      </c>
      <c r="H10032" s="1359">
        <f>H10031*G10032</f>
        <v>0.5</v>
      </c>
      <c r="I10032" s="198"/>
      <c r="J10032" s="6"/>
      <c r="K10032" s="1307">
        <f>H10032*K10023</f>
        <v>2.4</v>
      </c>
      <c r="L10032" s="1335">
        <f t="shared" ref="L10032:L10033" si="1318">K10032*$K$9753</f>
        <v>0</v>
      </c>
      <c r="M10032" s="1499">
        <v>18.28</v>
      </c>
      <c r="N10032" s="1724">
        <f>G10032*M10032</f>
        <v>18.28</v>
      </c>
      <c r="O10032" s="1290">
        <f>H10032*M10032</f>
        <v>9.14</v>
      </c>
      <c r="P10032" s="1332">
        <f>M10032*K10032</f>
        <v>43.872</v>
      </c>
      <c r="Q10032" s="3391"/>
    </row>
    <row r="10033" spans="1:18">
      <c r="A10033" s="1042"/>
      <c r="B10033" s="1042"/>
      <c r="C10033" s="1042"/>
      <c r="D10033" s="1402" t="s">
        <v>1077</v>
      </c>
      <c r="E10033" s="1857" t="s">
        <v>1508</v>
      </c>
      <c r="F10033" s="1403" t="s">
        <v>37</v>
      </c>
      <c r="G10033" s="1362">
        <v>1</v>
      </c>
      <c r="H10033" s="1359">
        <f>H10031*G10033</f>
        <v>0.5</v>
      </c>
      <c r="I10033" s="198"/>
      <c r="J10033" s="6"/>
      <c r="K10033" s="1307">
        <f>H10033*K10023</f>
        <v>2.4</v>
      </c>
      <c r="L10033" s="1335">
        <f t="shared" si="1318"/>
        <v>0</v>
      </c>
      <c r="M10033" s="1499">
        <v>19.23</v>
      </c>
      <c r="N10033" s="1724">
        <f>G10033*M10033</f>
        <v>19.23</v>
      </c>
      <c r="O10033" s="1290">
        <f>H10033*M10033</f>
        <v>9.6150000000000002</v>
      </c>
      <c r="P10033" s="1332">
        <f>M10033*K10033</f>
        <v>46.152000000000001</v>
      </c>
      <c r="Q10033" s="3391"/>
    </row>
    <row r="10034" spans="1:18">
      <c r="A10034" s="1042"/>
      <c r="B10034" s="553"/>
      <c r="C10034" s="1042"/>
      <c r="D10034" s="3860"/>
      <c r="E10034" s="3851"/>
      <c r="F10034" s="1766"/>
      <c r="G10034" s="3861"/>
      <c r="H10034" s="3246"/>
      <c r="I10034" s="197"/>
      <c r="J10034" s="3862"/>
      <c r="K10034" s="1307"/>
      <c r="L10034" s="1335"/>
      <c r="M10034" s="3852"/>
      <c r="N10034" s="1724"/>
      <c r="O10034" s="1290"/>
      <c r="P10034" s="3850"/>
      <c r="Q10034" s="3391"/>
    </row>
    <row r="10035" spans="1:18">
      <c r="A10035" s="1320"/>
      <c r="B10035" s="1599"/>
      <c r="C10035" s="1320"/>
      <c r="D10035" s="1411"/>
      <c r="E10035" s="2123"/>
      <c r="F10035" s="1374" t="s">
        <v>3</v>
      </c>
      <c r="G10035" s="1375"/>
      <c r="H10035" s="1376"/>
      <c r="I10035" s="1382"/>
      <c r="J10035" s="1383"/>
      <c r="K10035" s="1383"/>
      <c r="L10035" s="1413"/>
      <c r="M10035" s="1376"/>
      <c r="N10035" s="1376"/>
      <c r="O10035" s="1376"/>
      <c r="P10035" s="1373"/>
      <c r="Q10035" s="3387"/>
    </row>
    <row r="10036" spans="1:18">
      <c r="A10036" s="1321"/>
      <c r="B10036" s="2053"/>
      <c r="C10036" s="1321"/>
      <c r="D10036" s="1412"/>
      <c r="E10036" s="2124"/>
      <c r="F10036" s="1378"/>
      <c r="G10036" s="2200"/>
      <c r="H10036" s="1379"/>
      <c r="I10036" s="1299"/>
      <c r="J10036" s="1300"/>
      <c r="K10036" s="1307"/>
      <c r="L10036" s="1335"/>
      <c r="M10036" s="1302"/>
      <c r="N10036" s="1700"/>
      <c r="O10036" s="1290"/>
      <c r="P10036" s="1332"/>
      <c r="Q10036" s="3391"/>
    </row>
    <row r="10037" spans="1:18">
      <c r="A10037" s="1321"/>
      <c r="B10037" s="2053"/>
      <c r="C10037" s="1321"/>
      <c r="D10037" s="1412"/>
      <c r="E10037" s="2124"/>
      <c r="F10037" s="1378"/>
      <c r="G10037" s="1378"/>
      <c r="H10037" s="1379"/>
      <c r="I10037" s="1299"/>
      <c r="J10037" s="1300"/>
      <c r="K10037" s="1307"/>
      <c r="L10037" s="1335"/>
      <c r="M10037" s="1302"/>
      <c r="N10037" s="1700"/>
      <c r="O10037" s="1290"/>
      <c r="P10037" s="1333"/>
      <c r="Q10037" s="3391"/>
    </row>
    <row r="10038" spans="1:18">
      <c r="A10038" s="1042"/>
      <c r="B10038" s="1599"/>
      <c r="C10038" s="1042"/>
      <c r="D10038" s="1695"/>
      <c r="E10038" s="2278"/>
      <c r="F10038" s="2279"/>
      <c r="G10038" s="2279"/>
      <c r="H10038" s="2264"/>
      <c r="I10038" s="2280"/>
      <c r="J10038" s="2281"/>
      <c r="K10038" s="2236"/>
      <c r="L10038" s="1594"/>
      <c r="M10038" s="2282"/>
      <c r="N10038" s="2283"/>
      <c r="O10038" s="2237"/>
      <c r="P10038" s="2238"/>
      <c r="Q10038" s="3391"/>
    </row>
    <row r="10039" spans="1:18">
      <c r="A10039" s="18" t="s">
        <v>3764</v>
      </c>
      <c r="B10039" s="4325" t="s">
        <v>2400</v>
      </c>
      <c r="C10039" s="3844"/>
      <c r="D10039" s="4327"/>
      <c r="E10039" s="4337" t="s">
        <v>1507</v>
      </c>
      <c r="F10039" s="4338" t="s">
        <v>2401</v>
      </c>
      <c r="G10039" s="4331" t="s">
        <v>1568</v>
      </c>
      <c r="H10039" s="4331" t="s">
        <v>1574</v>
      </c>
      <c r="I10039" s="1572" t="s">
        <v>1559</v>
      </c>
      <c r="J10039" s="1294" t="s">
        <v>1560</v>
      </c>
      <c r="K10039" s="1294" t="s">
        <v>1561</v>
      </c>
      <c r="L10039" s="4333" t="s">
        <v>3765</v>
      </c>
      <c r="M10039" s="4335" t="s">
        <v>1571</v>
      </c>
      <c r="N10039" s="4323" t="s">
        <v>1776</v>
      </c>
      <c r="O10039" s="3843" t="s">
        <v>1563</v>
      </c>
      <c r="P10039" s="1336" t="s">
        <v>1562</v>
      </c>
      <c r="Q10039" s="3389"/>
      <c r="R10039" s="1699" t="s">
        <v>1327</v>
      </c>
    </row>
    <row r="10040" spans="1:18">
      <c r="A10040" s="1662" t="s">
        <v>3648</v>
      </c>
      <c r="B10040" s="4326"/>
      <c r="C10040" s="3845"/>
      <c r="D10040" s="4328"/>
      <c r="E10040" s="4337"/>
      <c r="F10040" s="4338"/>
      <c r="G10040" s="4332"/>
      <c r="H10040" s="4332"/>
      <c r="I10040" s="1345">
        <v>255.26</v>
      </c>
      <c r="J10040" s="1307">
        <v>0.25</v>
      </c>
      <c r="K10040" s="1297">
        <f>I10040*J10040</f>
        <v>63.814999999999998</v>
      </c>
      <c r="L10040" s="4334"/>
      <c r="M10040" s="4335"/>
      <c r="N10040" s="4324"/>
      <c r="O10040" s="1298">
        <f>SUM(O10042:O10054)</f>
        <v>3.9815999999999998</v>
      </c>
      <c r="P10040" s="1337">
        <f>K10040*O10040</f>
        <v>254.08580399999997</v>
      </c>
      <c r="Q10040" s="3390"/>
      <c r="R10040" s="1721">
        <f>SUM(P10042:P10054)</f>
        <v>254.08580399999997</v>
      </c>
    </row>
    <row r="10041" spans="1:18">
      <c r="B10041" s="551"/>
      <c r="C10041" s="18"/>
      <c r="D10041" s="1400"/>
      <c r="E10041" s="2121"/>
      <c r="F10041" s="1389" t="s">
        <v>1</v>
      </c>
      <c r="G10041" s="1369"/>
      <c r="H10041" s="1629"/>
      <c r="I10041" s="1391"/>
      <c r="J10041" s="1369"/>
      <c r="K10041" s="1369"/>
      <c r="L10041" s="1554"/>
      <c r="M10041" s="1487"/>
      <c r="N10041" s="1487"/>
      <c r="O10041" s="1487"/>
      <c r="P10041" s="1367"/>
      <c r="Q10041" s="3387"/>
      <c r="R10041" s="2338"/>
    </row>
    <row r="10042" spans="1:18">
      <c r="B10042" s="553"/>
      <c r="C10042" s="1042"/>
      <c r="D10042" s="1615" t="s">
        <v>1698</v>
      </c>
      <c r="E10042" s="1856" t="s">
        <v>1357</v>
      </c>
      <c r="F10042" s="1421" t="s">
        <v>1699</v>
      </c>
      <c r="G10042" s="2090">
        <v>0.45</v>
      </c>
      <c r="H10042" s="1367"/>
      <c r="I10042" s="1342"/>
      <c r="J10042" s="198"/>
      <c r="K10042" s="1307">
        <f>G10042*K10040</f>
        <v>28.716750000000001</v>
      </c>
      <c r="L10042" s="1335">
        <f t="shared" ref="L10042:L10044" si="1319">K10042*$K$9753</f>
        <v>0</v>
      </c>
      <c r="M10042" s="1302">
        <v>1.7</v>
      </c>
      <c r="N10042" s="1700"/>
      <c r="O10042" s="1290">
        <f>(G10042*M10042)</f>
        <v>0.76500000000000001</v>
      </c>
      <c r="P10042" s="1332">
        <f>M10042*K10042</f>
        <v>48.818474999999999</v>
      </c>
      <c r="Q10042" s="3391"/>
      <c r="R10042" s="2338"/>
    </row>
    <row r="10043" spans="1:18">
      <c r="B10043" s="553"/>
      <c r="C10043" s="1042"/>
      <c r="D10043" s="1615" t="s">
        <v>1214</v>
      </c>
      <c r="E10043" s="1856" t="s">
        <v>1357</v>
      </c>
      <c r="F10043" s="1421" t="s">
        <v>1700</v>
      </c>
      <c r="G10043" s="1452">
        <v>0.35</v>
      </c>
      <c r="H10043" s="1367"/>
      <c r="I10043" s="1286"/>
      <c r="J10043" s="198"/>
      <c r="K10043" s="1307">
        <f>G10043*K10040</f>
        <v>22.335249999999998</v>
      </c>
      <c r="L10043" s="1335">
        <f t="shared" si="1319"/>
        <v>0</v>
      </c>
      <c r="M10043" s="1302">
        <v>4.2</v>
      </c>
      <c r="N10043" s="1700"/>
      <c r="O10043" s="1290">
        <f>(G10043*M10043)</f>
        <v>1.47</v>
      </c>
      <c r="P10043" s="1332">
        <f>M10043*K10043</f>
        <v>93.808049999999994</v>
      </c>
      <c r="Q10043" s="3391"/>
      <c r="R10043" s="3846"/>
    </row>
    <row r="10044" spans="1:18">
      <c r="B10044" s="553"/>
      <c r="C10044" s="1320"/>
      <c r="D10044" s="1400" t="s">
        <v>1701</v>
      </c>
      <c r="E10044" s="1856" t="s">
        <v>1504</v>
      </c>
      <c r="F10044" s="1421" t="s">
        <v>1541</v>
      </c>
      <c r="G10044" s="1399">
        <v>0.2</v>
      </c>
      <c r="H10044" s="1369"/>
      <c r="I10044" s="1614"/>
      <c r="J10044" s="1341"/>
      <c r="K10044" s="1307">
        <f>G10044*K10040</f>
        <v>12.763</v>
      </c>
      <c r="L10044" s="1335">
        <f t="shared" si="1319"/>
        <v>0</v>
      </c>
      <c r="M10044" s="1302">
        <v>0.3</v>
      </c>
      <c r="N10044" s="1700"/>
      <c r="O10044" s="1290">
        <f>(G10044*M10044)</f>
        <v>0.06</v>
      </c>
      <c r="P10044" s="1332">
        <f>M10044*K10044</f>
        <v>3.8289</v>
      </c>
      <c r="Q10044" s="3391"/>
      <c r="R10044" s="3846"/>
    </row>
    <row r="10045" spans="1:18">
      <c r="B10045" s="553"/>
      <c r="C10045" s="1320"/>
      <c r="D10045" s="1400"/>
      <c r="E10045" s="1856"/>
      <c r="F10045" s="1421"/>
      <c r="G10045" s="1399"/>
      <c r="H10045" s="1399"/>
      <c r="I10045" s="1614"/>
      <c r="J10045" s="1341"/>
      <c r="K10045" s="1307"/>
      <c r="L10045" s="1335"/>
      <c r="M10045" s="1302"/>
      <c r="N10045" s="1700"/>
      <c r="O10045" s="1290"/>
      <c r="P10045" s="1332"/>
      <c r="Q10045" s="3391"/>
      <c r="R10045" s="3846"/>
    </row>
    <row r="10046" spans="1:18">
      <c r="B10046" s="553"/>
      <c r="C10046" s="1042"/>
      <c r="D10046" s="1400"/>
      <c r="E10046" s="1856"/>
      <c r="F10046" s="1421"/>
      <c r="G10046" s="1399"/>
      <c r="H10046" s="1399"/>
      <c r="I10046" s="1614"/>
      <c r="J10046" s="1341"/>
      <c r="K10046" s="1307"/>
      <c r="L10046" s="1335"/>
      <c r="M10046" s="1302"/>
      <c r="N10046" s="1700"/>
      <c r="O10046" s="1290"/>
      <c r="P10046" s="1332"/>
      <c r="Q10046" s="3391"/>
      <c r="R10046" s="3846"/>
    </row>
    <row r="10047" spans="1:18">
      <c r="B10047" s="553"/>
      <c r="C10047" s="1042"/>
      <c r="D10047" s="1404"/>
      <c r="E10047" s="1858"/>
      <c r="F10047" s="1465" t="s">
        <v>2</v>
      </c>
      <c r="G10047" s="1362"/>
      <c r="H10047" s="1362"/>
      <c r="I10047" s="1381"/>
      <c r="J10047" s="1381"/>
      <c r="K10047" s="1359"/>
      <c r="L10047" s="1458"/>
      <c r="M10047" s="1498"/>
      <c r="N10047" s="1498"/>
      <c r="O10047" s="1498"/>
      <c r="P10047" s="1359"/>
      <c r="Q10047" s="3387"/>
      <c r="R10047" s="3846"/>
    </row>
    <row r="10048" spans="1:18">
      <c r="B10048" s="553"/>
      <c r="C10048" s="1042"/>
      <c r="D10048" s="1623" t="s">
        <v>2113</v>
      </c>
      <c r="E10048" s="2158" t="s">
        <v>1508</v>
      </c>
      <c r="F10048" s="1801" t="s">
        <v>2112</v>
      </c>
      <c r="G10048" s="2216">
        <v>0.09</v>
      </c>
      <c r="H10048" s="1367"/>
      <c r="I10048" s="1340"/>
      <c r="J10048" s="198"/>
      <c r="K10048" s="1307">
        <f>G10048*K10040</f>
        <v>5.7433499999999995</v>
      </c>
      <c r="L10048" s="1335">
        <f>K10048*$K$9753</f>
        <v>0</v>
      </c>
      <c r="M10048" s="1302">
        <v>18.739999999999998</v>
      </c>
      <c r="N10048" s="1700"/>
      <c r="O10048" s="1290">
        <f>(G10048*M10048)</f>
        <v>1.6865999999999999</v>
      </c>
      <c r="P10048" s="1332">
        <f>M10048*K10048</f>
        <v>107.63037899999998</v>
      </c>
      <c r="Q10048" s="3391"/>
      <c r="R10048" s="3846"/>
    </row>
    <row r="10049" spans="1:18">
      <c r="B10049" s="553"/>
      <c r="C10049" s="1042"/>
      <c r="D10049" s="1623"/>
      <c r="E10049" s="2158"/>
      <c r="F10049" s="1801"/>
      <c r="G10049" s="2217"/>
      <c r="H10049" s="1367"/>
      <c r="I10049" s="1340"/>
      <c r="J10049" s="198"/>
      <c r="K10049" s="1307"/>
      <c r="L10049" s="1335"/>
      <c r="M10049" s="1302"/>
      <c r="N10049" s="1700"/>
      <c r="O10049" s="1290"/>
      <c r="P10049" s="1332"/>
      <c r="Q10049" s="3391"/>
      <c r="R10049" s="2344"/>
    </row>
    <row r="10050" spans="1:18">
      <c r="B10050" s="553"/>
      <c r="C10050" s="1042"/>
      <c r="D10050" s="1623"/>
      <c r="E10050" s="2158"/>
      <c r="F10050" s="1801"/>
      <c r="G10050" s="2218"/>
      <c r="H10050" s="1367"/>
      <c r="I10050" s="1340"/>
      <c r="J10050" s="198"/>
      <c r="K10050" s="1307"/>
      <c r="L10050" s="1335"/>
      <c r="M10050" s="1302"/>
      <c r="N10050" s="1700"/>
      <c r="O10050" s="1290"/>
      <c r="P10050" s="1332"/>
      <c r="Q10050" s="3391"/>
      <c r="R10050" s="3846"/>
    </row>
    <row r="10051" spans="1:18">
      <c r="B10051" s="553"/>
      <c r="C10051" s="1042"/>
      <c r="D10051" s="1411"/>
      <c r="E10051" s="2123"/>
      <c r="F10051" s="1475" t="s">
        <v>3</v>
      </c>
      <c r="G10051" s="1376"/>
      <c r="H10051" s="1376"/>
      <c r="I10051" s="1383"/>
      <c r="J10051" s="1383"/>
      <c r="K10051" s="1383"/>
      <c r="L10051" s="1413"/>
      <c r="M10051" s="1376"/>
      <c r="N10051" s="1376"/>
      <c r="O10051" s="1376"/>
      <c r="P10051" s="1373"/>
      <c r="Q10051" s="3387"/>
      <c r="R10051" s="3846"/>
    </row>
    <row r="10052" spans="1:18">
      <c r="B10052" s="553"/>
      <c r="C10052" s="1042"/>
      <c r="D10052" s="1440"/>
      <c r="E10052" s="2132"/>
      <c r="F10052" s="1441"/>
      <c r="G10052" s="1442"/>
      <c r="H10052" s="1442"/>
      <c r="I10052" s="197"/>
      <c r="J10052" s="198"/>
      <c r="K10052" s="1307"/>
      <c r="L10052" s="1335"/>
      <c r="M10052" s="1499"/>
      <c r="N10052" s="1701"/>
      <c r="O10052" s="1290"/>
      <c r="P10052" s="1332"/>
      <c r="Q10052" s="3391"/>
      <c r="R10052" s="1173"/>
    </row>
    <row r="10053" spans="1:18">
      <c r="B10053" s="553"/>
      <c r="C10053" s="1042"/>
      <c r="D10053" s="4229"/>
      <c r="E10053" s="4179"/>
      <c r="F10053" s="1441"/>
      <c r="G10053" s="1442"/>
      <c r="H10053" s="1442"/>
      <c r="I10053" s="197"/>
      <c r="J10053" s="3991"/>
      <c r="K10053" s="1307"/>
      <c r="L10053" s="1335"/>
      <c r="M10053" s="3992"/>
      <c r="N10053" s="1701"/>
      <c r="O10053" s="1290"/>
      <c r="P10053" s="3919"/>
      <c r="Q10053" s="3391"/>
      <c r="R10053" s="2338"/>
    </row>
    <row r="10054" spans="1:18">
      <c r="B10054" s="554"/>
      <c r="C10054" s="223"/>
      <c r="D10054" s="4229"/>
      <c r="E10054" s="4179"/>
      <c r="F10054" s="1955"/>
      <c r="G10054" s="1956"/>
      <c r="H10054" s="1956"/>
      <c r="I10054" s="197"/>
      <c r="J10054" s="3991"/>
      <c r="K10054" s="1307"/>
      <c r="L10054" s="1335"/>
      <c r="M10054" s="3992"/>
      <c r="N10054" s="1701"/>
      <c r="O10054" s="1290"/>
      <c r="P10054" s="3919"/>
      <c r="Q10054" s="3391"/>
      <c r="R10054" s="2338"/>
    </row>
    <row r="10055" spans="1:18" s="16" customFormat="1">
      <c r="D10055" s="1795"/>
      <c r="E10055" s="2179"/>
      <c r="F10055" s="1795"/>
      <c r="G10055" s="1797"/>
      <c r="H10055" s="1797"/>
      <c r="I10055" s="1561"/>
      <c r="J10055" s="1561"/>
      <c r="K10055" s="1639"/>
      <c r="L10055" s="1640"/>
      <c r="M10055" s="1292"/>
      <c r="N10055" s="1292"/>
      <c r="O10055" s="1292"/>
      <c r="P10055" s="1292"/>
      <c r="Q10055" s="3391"/>
      <c r="R10055" s="4165"/>
    </row>
    <row r="10056" spans="1:18">
      <c r="A10056" s="4402" t="s">
        <v>162</v>
      </c>
      <c r="B10056" s="4403"/>
      <c r="C10056" s="4403"/>
      <c r="D10056" s="4404"/>
      <c r="E10056" s="4396" t="s">
        <v>1549</v>
      </c>
      <c r="F10056" s="4397" t="s">
        <v>1550</v>
      </c>
      <c r="G10056" s="4399" t="s">
        <v>1566</v>
      </c>
      <c r="H10056" s="4400"/>
      <c r="I10056" s="4400"/>
      <c r="J10056" s="4400"/>
      <c r="K10056" s="4400"/>
      <c r="L10056" s="4401"/>
      <c r="M10056" s="4405" t="s">
        <v>1567</v>
      </c>
      <c r="N10056" s="4405"/>
      <c r="O10056" s="4405"/>
      <c r="P10056" s="4405"/>
      <c r="Q10056" s="3395"/>
    </row>
    <row r="10057" spans="1:18" ht="15" thickBot="1">
      <c r="A10057" s="1324" t="s">
        <v>3766</v>
      </c>
      <c r="B10057" s="1325" t="s">
        <v>1513</v>
      </c>
      <c r="C10057" s="1326" t="s">
        <v>1573</v>
      </c>
      <c r="D10057" s="1323" t="s">
        <v>1514</v>
      </c>
      <c r="E10057" s="4396"/>
      <c r="F10057" s="4398"/>
      <c r="G10057" s="4402"/>
      <c r="H10057" s="4403"/>
      <c r="I10057" s="4403"/>
      <c r="J10057" s="4403"/>
      <c r="K10057" s="4403"/>
      <c r="L10057" s="4404"/>
      <c r="M10057" s="4405"/>
      <c r="N10057" s="4405"/>
      <c r="O10057" s="4405"/>
      <c r="P10057" s="4405"/>
      <c r="Q10057" s="3395"/>
    </row>
    <row r="10058" spans="1:18" ht="36" customHeight="1">
      <c r="A10058" s="4374" t="s">
        <v>3701</v>
      </c>
      <c r="B10058" s="4375"/>
      <c r="C10058" s="4375"/>
      <c r="D10058" s="4376"/>
      <c r="E10058" s="4380" t="s">
        <v>1504</v>
      </c>
      <c r="F10058" s="4382" t="s">
        <v>3702</v>
      </c>
      <c r="G10058" s="4406" t="s">
        <v>1549</v>
      </c>
      <c r="H10058" s="4407"/>
      <c r="I10058" s="1665" t="s">
        <v>1565</v>
      </c>
      <c r="J10058" s="3875" t="s">
        <v>1575</v>
      </c>
      <c r="K10058" s="4406" t="s">
        <v>289</v>
      </c>
      <c r="L10058" s="4407"/>
      <c r="M10058" s="4408" t="s">
        <v>3349</v>
      </c>
      <c r="N10058" s="4408"/>
      <c r="O10058" s="4408"/>
      <c r="P10058" s="4409"/>
      <c r="Q10058" s="4244" t="s">
        <v>3979</v>
      </c>
    </row>
    <row r="10059" spans="1:18" ht="28.5" customHeight="1" thickBot="1">
      <c r="A10059" s="4377"/>
      <c r="B10059" s="4378"/>
      <c r="C10059" s="4378"/>
      <c r="D10059" s="4379"/>
      <c r="E10059" s="4381"/>
      <c r="F10059" s="4383"/>
      <c r="G10059" s="4410">
        <f>IF('Seleccion proyecto HEREVEA02'!G69="Rectificación de peldañeado de escalera en zonas comunes",'Seleccion proyecto HEREVEA02'!E69,0)</f>
        <v>10</v>
      </c>
      <c r="H10059" s="4411"/>
      <c r="I10059" s="3880">
        <f>IF('Seleccion proyecto HEREVEA02'!H69=0,0,IF('Seleccion proyecto HEREVEA02'!H69=100,1))</f>
        <v>1</v>
      </c>
      <c r="J10059" s="1351">
        <f>'Seleccion proyecto HEREVEA02'!L8</f>
        <v>11100.968999999999</v>
      </c>
      <c r="K10059" s="4412">
        <f>G10059*I10059</f>
        <v>10</v>
      </c>
      <c r="L10059" s="4413"/>
      <c r="M10059" s="4360">
        <f>P10061+P10076+P10093+P10109+P10133+P10156+P10175+P10200+P10219+P10236</f>
        <v>1919.8177063741998</v>
      </c>
      <c r="N10059" s="4361"/>
      <c r="O10059" s="4361"/>
      <c r="P10059" s="4362"/>
      <c r="Q10059" s="4245">
        <f>M10059*K10059</f>
        <v>19198.177063741998</v>
      </c>
    </row>
    <row r="10060" spans="1:18">
      <c r="A10060" s="18" t="s">
        <v>3764</v>
      </c>
      <c r="B10060" s="4325" t="s">
        <v>3652</v>
      </c>
      <c r="C10060" s="3877"/>
      <c r="D10060" s="4327"/>
      <c r="E10060" s="4329" t="s">
        <v>1527</v>
      </c>
      <c r="F10060" s="4336" t="s">
        <v>3691</v>
      </c>
      <c r="G10060" s="4331" t="s">
        <v>1568</v>
      </c>
      <c r="H10060" s="4331" t="s">
        <v>1574</v>
      </c>
      <c r="I10060" s="1572" t="s">
        <v>1559</v>
      </c>
      <c r="J10060" s="1294" t="s">
        <v>1560</v>
      </c>
      <c r="K10060" s="1294" t="s">
        <v>1569</v>
      </c>
      <c r="L10060" s="4333" t="s">
        <v>3765</v>
      </c>
      <c r="M10060" s="4335" t="s">
        <v>1571</v>
      </c>
      <c r="N10060" s="4323" t="s">
        <v>1776</v>
      </c>
      <c r="O10060" s="3876" t="s">
        <v>1563</v>
      </c>
      <c r="P10060" s="1336" t="s">
        <v>1562</v>
      </c>
      <c r="Q10060" s="3389"/>
      <c r="R10060" s="1699" t="s">
        <v>1327</v>
      </c>
    </row>
    <row r="10061" spans="1:18">
      <c r="A10061" s="1662" t="s">
        <v>3701</v>
      </c>
      <c r="B10061" s="4326"/>
      <c r="C10061" s="3878"/>
      <c r="D10061" s="4328"/>
      <c r="E10061" s="4330"/>
      <c r="F10061" s="4336"/>
      <c r="G10061" s="4332"/>
      <c r="H10061" s="4332"/>
      <c r="I10061" s="1345">
        <v>19.2</v>
      </c>
      <c r="J10061" s="1307">
        <v>0.25</v>
      </c>
      <c r="K10061" s="1297">
        <f>I10061*J10061</f>
        <v>4.8</v>
      </c>
      <c r="L10061" s="4334"/>
      <c r="M10061" s="4335"/>
      <c r="N10061" s="4324"/>
      <c r="O10061" s="1298">
        <f>SUM(O10063:O10074)</f>
        <v>4.9546000000000001</v>
      </c>
      <c r="P10061" s="1337">
        <f>O10061*K10061</f>
        <v>23.782080000000001</v>
      </c>
      <c r="Q10061" s="3390"/>
      <c r="R10061" s="1721">
        <f>SUM(P10063:P10074)</f>
        <v>23.782080000000001</v>
      </c>
    </row>
    <row r="10062" spans="1:18">
      <c r="A10062" s="1320"/>
      <c r="B10062" s="22"/>
      <c r="C10062" s="1327"/>
      <c r="D10062" s="1400"/>
      <c r="E10062" s="2121"/>
      <c r="F10062" s="1389" t="s">
        <v>1</v>
      </c>
      <c r="G10062" s="1389"/>
      <c r="H10062" s="1369"/>
      <c r="I10062" s="1409"/>
      <c r="J10062" s="1390"/>
      <c r="K10062" s="1391"/>
      <c r="L10062" s="1559"/>
      <c r="M10062" s="1369"/>
      <c r="N10062" s="1369"/>
      <c r="O10062" s="1369"/>
      <c r="P10062" s="1392"/>
      <c r="Q10062" s="3395"/>
    </row>
    <row r="10063" spans="1:18">
      <c r="A10063" s="16"/>
      <c r="B10063" s="553"/>
      <c r="C10063" s="1320"/>
      <c r="D10063" s="1610"/>
      <c r="E10063" s="2154"/>
      <c r="F10063" s="1598"/>
      <c r="G10063" s="1612"/>
      <c r="H10063" s="1399"/>
      <c r="I10063" s="197"/>
      <c r="J10063" s="198"/>
      <c r="K10063" s="1307"/>
      <c r="L10063" s="1335"/>
      <c r="M10063" s="1302"/>
      <c r="N10063" s="1718"/>
      <c r="O10063" s="1290"/>
      <c r="P10063" s="1332"/>
      <c r="Q10063" s="3391"/>
      <c r="R10063" s="2337"/>
    </row>
    <row r="10064" spans="1:18">
      <c r="A10064" s="16"/>
      <c r="B10064" s="1042"/>
      <c r="C10064" s="1320"/>
      <c r="D10064" s="1598"/>
      <c r="E10064" s="2154"/>
      <c r="F10064" s="1598"/>
      <c r="G10064" s="1612"/>
      <c r="H10064" s="1399"/>
      <c r="I10064" s="197"/>
      <c r="J10064" s="198"/>
      <c r="K10064" s="1307"/>
      <c r="L10064" s="1335"/>
      <c r="M10064" s="1302"/>
      <c r="N10064" s="1718"/>
      <c r="O10064" s="1290"/>
      <c r="P10064" s="1332"/>
      <c r="Q10064" s="3391"/>
      <c r="R10064" s="2337"/>
    </row>
    <row r="10065" spans="1:18">
      <c r="A10065" s="16"/>
      <c r="B10065" s="553"/>
      <c r="C10065" s="1320"/>
      <c r="D10065" s="1400"/>
      <c r="E10065" s="1856"/>
      <c r="F10065" s="1397"/>
      <c r="G10065" s="1416"/>
      <c r="H10065" s="1399"/>
      <c r="I10065" s="197"/>
      <c r="J10065" s="198"/>
      <c r="K10065" s="1307"/>
      <c r="L10065" s="1335"/>
      <c r="M10065" s="1302"/>
      <c r="N10065" s="1718"/>
      <c r="O10065" s="1290"/>
      <c r="P10065" s="1332"/>
      <c r="Q10065" s="3391"/>
      <c r="R10065" s="2337"/>
    </row>
    <row r="10066" spans="1:18">
      <c r="A10066" s="1042"/>
      <c r="B10066" s="22"/>
      <c r="C10066" s="1042"/>
      <c r="D10066" s="1400"/>
      <c r="E10066" s="2121"/>
      <c r="F10066" s="1436"/>
      <c r="G10066" s="1436"/>
      <c r="H10066" s="1369"/>
      <c r="I10066" s="1299"/>
      <c r="J10066" s="1300"/>
      <c r="K10066" s="1307"/>
      <c r="L10066" s="1335"/>
      <c r="M10066" s="1302"/>
      <c r="N10066" s="1700"/>
      <c r="O10066" s="1290"/>
      <c r="P10066" s="1332"/>
      <c r="Q10066" s="3391"/>
    </row>
    <row r="10067" spans="1:18">
      <c r="A10067" s="1042"/>
      <c r="B10067" s="22"/>
      <c r="C10067" s="1042"/>
      <c r="D10067" s="1404"/>
      <c r="E10067" s="1858"/>
      <c r="F10067" s="1360" t="s">
        <v>2</v>
      </c>
      <c r="G10067" s="1360"/>
      <c r="H10067" s="1362"/>
      <c r="I10067" s="1380"/>
      <c r="J10067" s="1381"/>
      <c r="K10067" s="1381"/>
      <c r="L10067" s="1458"/>
      <c r="M10067" s="1362"/>
      <c r="N10067" s="1362"/>
      <c r="O10067" s="1362"/>
      <c r="P10067" s="1359"/>
      <c r="Q10067" s="3387"/>
    </row>
    <row r="10068" spans="1:18">
      <c r="A10068" s="1321"/>
      <c r="B10068" s="1295"/>
      <c r="C10068" s="1321"/>
      <c r="D10068" s="1622" t="s">
        <v>1111</v>
      </c>
      <c r="E10068" s="2125" t="s">
        <v>1508</v>
      </c>
      <c r="F10068" s="1385" t="s">
        <v>2069</v>
      </c>
      <c r="G10068" s="2019">
        <v>0.02</v>
      </c>
      <c r="H10068" s="1386"/>
      <c r="I10068" s="1299"/>
      <c r="J10068" s="1300"/>
      <c r="K10068" s="1307">
        <f>G10068*K10061</f>
        <v>9.6000000000000002E-2</v>
      </c>
      <c r="L10068" s="1335">
        <f>K10068*$K$10059</f>
        <v>0.96</v>
      </c>
      <c r="M10068" s="1302">
        <v>19.23</v>
      </c>
      <c r="N10068" s="1700"/>
      <c r="O10068" s="1290">
        <f>G10068*M10068</f>
        <v>0.3846</v>
      </c>
      <c r="P10068" s="1332">
        <f>M10068*K10068</f>
        <v>1.8460800000000002</v>
      </c>
      <c r="Q10068" s="3391"/>
    </row>
    <row r="10069" spans="1:18">
      <c r="A10069" s="1320"/>
      <c r="B10069" s="22"/>
      <c r="C10069" s="1320"/>
      <c r="D10069" s="1993" t="s">
        <v>1067</v>
      </c>
      <c r="E10069" s="1859" t="s">
        <v>1508</v>
      </c>
      <c r="F10069" s="1655" t="s">
        <v>1512</v>
      </c>
      <c r="G10069" s="1809">
        <v>0.25</v>
      </c>
      <c r="H10069" s="1359"/>
      <c r="I10069" s="1299"/>
      <c r="J10069" s="1300"/>
      <c r="K10069" s="1307">
        <f>G10069*K10061</f>
        <v>1.2</v>
      </c>
      <c r="L10069" s="1335">
        <f>K10069*$K$10059</f>
        <v>12</v>
      </c>
      <c r="M10069" s="1302">
        <v>18.28</v>
      </c>
      <c r="N10069" s="1700"/>
      <c r="O10069" s="1290">
        <f>G10069*M10069</f>
        <v>4.57</v>
      </c>
      <c r="P10069" s="1332">
        <f>M10069*K10069</f>
        <v>21.936</v>
      </c>
      <c r="Q10069" s="3391"/>
    </row>
    <row r="10070" spans="1:18">
      <c r="A10070" s="1320"/>
      <c r="B10070" s="22"/>
      <c r="C10070" s="1320"/>
      <c r="D10070" s="1404"/>
      <c r="E10070" s="1858"/>
      <c r="F10070" s="1361"/>
      <c r="G10070" s="1361"/>
      <c r="H10070" s="1466"/>
      <c r="I10070" s="1299"/>
      <c r="J10070" s="1300"/>
      <c r="K10070" s="1307"/>
      <c r="L10070" s="1335"/>
      <c r="M10070" s="1302"/>
      <c r="N10070" s="1700"/>
      <c r="O10070" s="1290"/>
      <c r="P10070" s="1332"/>
      <c r="Q10070" s="3391"/>
    </row>
    <row r="10071" spans="1:18">
      <c r="A10071" s="1320"/>
      <c r="B10071" s="22"/>
      <c r="C10071" s="1320"/>
      <c r="D10071" s="1411"/>
      <c r="E10071" s="2123"/>
      <c r="F10071" s="1374" t="s">
        <v>3</v>
      </c>
      <c r="G10071" s="1375"/>
      <c r="H10071" s="1376"/>
      <c r="I10071" s="1382"/>
      <c r="J10071" s="1383"/>
      <c r="K10071" s="1383"/>
      <c r="L10071" s="1413"/>
      <c r="M10071" s="1376"/>
      <c r="N10071" s="1376"/>
      <c r="O10071" s="1376"/>
      <c r="P10071" s="1373"/>
      <c r="Q10071" s="3387"/>
    </row>
    <row r="10072" spans="1:18">
      <c r="A10072" s="1321"/>
      <c r="B10072" s="1295"/>
      <c r="C10072" s="1321"/>
      <c r="D10072" s="1412"/>
      <c r="E10072" s="2124"/>
      <c r="F10072" s="1378"/>
      <c r="G10072" s="1378"/>
      <c r="H10072" s="1379"/>
      <c r="I10072" s="1299"/>
      <c r="J10072" s="1300"/>
      <c r="K10072" s="1307"/>
      <c r="L10072" s="1335"/>
      <c r="M10072" s="1302"/>
      <c r="N10072" s="1700"/>
      <c r="O10072" s="1290"/>
      <c r="P10072" s="1332"/>
      <c r="Q10072" s="3391"/>
    </row>
    <row r="10073" spans="1:18">
      <c r="A10073" s="1321"/>
      <c r="B10073" s="1295"/>
      <c r="C10073" s="1321"/>
      <c r="D10073" s="1412"/>
      <c r="E10073" s="2124"/>
      <c r="F10073" s="1378"/>
      <c r="G10073" s="1378"/>
      <c r="H10073" s="1379"/>
      <c r="I10073" s="1299"/>
      <c r="J10073" s="1300"/>
      <c r="K10073" s="1307"/>
      <c r="L10073" s="1335"/>
      <c r="M10073" s="1302"/>
      <c r="N10073" s="1700"/>
      <c r="O10073" s="1290"/>
      <c r="P10073" s="1333"/>
      <c r="Q10073" s="3391"/>
    </row>
    <row r="10074" spans="1:18">
      <c r="A10074" s="1042"/>
      <c r="B10074" s="22"/>
      <c r="C10074" s="223"/>
      <c r="D10074" s="1695"/>
      <c r="E10074" s="2161"/>
      <c r="F10074" s="1678"/>
      <c r="G10074" s="1678"/>
      <c r="H10074" s="1376"/>
      <c r="I10074" s="1299"/>
      <c r="J10074" s="1300"/>
      <c r="K10074" s="1307"/>
      <c r="L10074" s="1335"/>
      <c r="M10074" s="1302"/>
      <c r="N10074" s="1700"/>
      <c r="O10074" s="1290"/>
      <c r="P10074" s="1332"/>
      <c r="Q10074" s="3391"/>
    </row>
    <row r="10075" spans="1:18">
      <c r="A10075" s="18" t="s">
        <v>3764</v>
      </c>
      <c r="B10075" s="4325" t="s">
        <v>3653</v>
      </c>
      <c r="C10075" s="3877"/>
      <c r="D10075" s="4327"/>
      <c r="E10075" s="4329" t="s">
        <v>1527</v>
      </c>
      <c r="F10075" s="4372" t="s">
        <v>3654</v>
      </c>
      <c r="G10075" s="4331" t="s">
        <v>1568</v>
      </c>
      <c r="H10075" s="4331" t="s">
        <v>1574</v>
      </c>
      <c r="I10075" s="1572" t="s">
        <v>1559</v>
      </c>
      <c r="J10075" s="1294" t="s">
        <v>1560</v>
      </c>
      <c r="K10075" s="1294" t="s">
        <v>1569</v>
      </c>
      <c r="L10075" s="4333" t="s">
        <v>3765</v>
      </c>
      <c r="M10075" s="4335" t="s">
        <v>1571</v>
      </c>
      <c r="N10075" s="4323" t="s">
        <v>1776</v>
      </c>
      <c r="O10075" s="3876" t="s">
        <v>1563</v>
      </c>
      <c r="P10075" s="1336" t="s">
        <v>1562</v>
      </c>
      <c r="Q10075" s="3389"/>
      <c r="R10075" s="1699" t="s">
        <v>1327</v>
      </c>
    </row>
    <row r="10076" spans="1:18">
      <c r="A10076" s="1662" t="s">
        <v>3701</v>
      </c>
      <c r="B10076" s="4326"/>
      <c r="C10076" s="3879"/>
      <c r="D10076" s="4328"/>
      <c r="E10076" s="4330"/>
      <c r="F10076" s="4363"/>
      <c r="G10076" s="4332"/>
      <c r="H10076" s="4332"/>
      <c r="I10076" s="1306">
        <v>76.8</v>
      </c>
      <c r="J10076" s="1307">
        <v>0.25</v>
      </c>
      <c r="K10076" s="1297">
        <f>I10076*J10076</f>
        <v>19.2</v>
      </c>
      <c r="L10076" s="4334"/>
      <c r="M10076" s="4335"/>
      <c r="N10076" s="4324"/>
      <c r="O10076" s="1298">
        <f>SUM(O10078:O10091)</f>
        <v>2.5957599999999998</v>
      </c>
      <c r="P10076" s="1337">
        <f>O10076*K10076</f>
        <v>49.838591999999998</v>
      </c>
      <c r="Q10076" s="3390"/>
      <c r="R10076" s="1721">
        <f>SUM(P10078:P10091)</f>
        <v>49.838591999999991</v>
      </c>
    </row>
    <row r="10077" spans="1:18">
      <c r="A10077" s="1320"/>
      <c r="B10077" s="1599"/>
      <c r="C10077" s="1327"/>
      <c r="D10077" s="1400"/>
      <c r="E10077" s="2121"/>
      <c r="F10077" s="1389" t="s">
        <v>1</v>
      </c>
      <c r="G10077" s="1389"/>
      <c r="H10077" s="1369"/>
      <c r="I10077" s="1409"/>
      <c r="J10077" s="1390"/>
      <c r="K10077" s="1391"/>
      <c r="L10077" s="1559"/>
      <c r="M10077" s="1369"/>
      <c r="N10077" s="1369"/>
      <c r="O10077" s="1369"/>
      <c r="P10077" s="1392"/>
      <c r="Q10077" s="3395"/>
    </row>
    <row r="10078" spans="1:18">
      <c r="A10078" s="1042"/>
      <c r="B10078" s="1599"/>
      <c r="C10078" s="1042"/>
      <c r="D10078" s="1598"/>
      <c r="E10078" s="2154"/>
      <c r="F10078" s="1598"/>
      <c r="G10078" s="1612"/>
      <c r="H10078" s="1674"/>
      <c r="I10078" s="1299"/>
      <c r="J10078" s="1300"/>
      <c r="K10078" s="1307"/>
      <c r="L10078" s="1335"/>
      <c r="M10078" s="1302"/>
      <c r="N10078" s="1700"/>
      <c r="O10078" s="1290"/>
      <c r="P10078" s="1332"/>
      <c r="Q10078" s="3391"/>
    </row>
    <row r="10079" spans="1:18">
      <c r="A10079" s="1320"/>
      <c r="B10079" s="553"/>
      <c r="C10079" s="1042"/>
      <c r="D10079" s="1598"/>
      <c r="E10079" s="2154"/>
      <c r="F10079" s="1598"/>
      <c r="G10079" s="1612"/>
      <c r="H10079" s="1674"/>
      <c r="I10079" s="1299"/>
      <c r="J10079" s="1300"/>
      <c r="K10079" s="1307"/>
      <c r="L10079" s="1335"/>
      <c r="M10079" s="1302"/>
      <c r="N10079" s="1700"/>
      <c r="O10079" s="1290"/>
      <c r="P10079" s="1332"/>
      <c r="Q10079" s="3391"/>
      <c r="R10079" s="2337"/>
    </row>
    <row r="10080" spans="1:18">
      <c r="A10080" s="1320"/>
      <c r="B10080" s="553"/>
      <c r="C10080" s="1320"/>
      <c r="D10080" s="1598"/>
      <c r="E10080" s="2154"/>
      <c r="F10080" s="1598"/>
      <c r="G10080" s="1612"/>
      <c r="H10080" s="1399"/>
      <c r="I10080" s="197"/>
      <c r="J10080" s="198"/>
      <c r="K10080" s="1307"/>
      <c r="L10080" s="1335"/>
      <c r="M10080" s="1302"/>
      <c r="N10080" s="1718"/>
      <c r="O10080" s="1290"/>
      <c r="P10080" s="1332"/>
      <c r="Q10080" s="3391"/>
      <c r="R10080" s="2337"/>
    </row>
    <row r="10081" spans="1:18">
      <c r="A10081" s="1320"/>
      <c r="B10081" s="553"/>
      <c r="C10081" s="1320"/>
      <c r="D10081" s="1598"/>
      <c r="E10081" s="2154"/>
      <c r="F10081" s="1598"/>
      <c r="G10081" s="1612"/>
      <c r="H10081" s="1399"/>
      <c r="I10081" s="197"/>
      <c r="J10081" s="198"/>
      <c r="K10081" s="1307"/>
      <c r="L10081" s="1335"/>
      <c r="M10081" s="1302"/>
      <c r="N10081" s="1718"/>
      <c r="O10081" s="1290"/>
      <c r="P10081" s="1332"/>
      <c r="Q10081" s="3391"/>
      <c r="R10081" s="2337"/>
    </row>
    <row r="10082" spans="1:18">
      <c r="A10082" s="1042"/>
      <c r="B10082" s="1599"/>
      <c r="C10082" s="1042"/>
      <c r="D10082" s="1400"/>
      <c r="E10082" s="2121"/>
      <c r="F10082" s="1436"/>
      <c r="G10082" s="1436"/>
      <c r="H10082" s="1369"/>
      <c r="I10082" s="1299"/>
      <c r="J10082" s="1300"/>
      <c r="K10082" s="1307"/>
      <c r="L10082" s="1335"/>
      <c r="M10082" s="1302"/>
      <c r="N10082" s="1700"/>
      <c r="O10082" s="1290"/>
      <c r="P10082" s="1332"/>
      <c r="Q10082" s="3391"/>
    </row>
    <row r="10083" spans="1:18">
      <c r="A10083" s="1042"/>
      <c r="B10083" s="1599"/>
      <c r="C10083" s="1042"/>
      <c r="D10083" s="1400"/>
      <c r="E10083" s="2121"/>
      <c r="F10083" s="1436"/>
      <c r="G10083" s="1436"/>
      <c r="H10083" s="1369"/>
      <c r="I10083" s="1299"/>
      <c r="J10083" s="1300"/>
      <c r="K10083" s="1307"/>
      <c r="L10083" s="1335"/>
      <c r="M10083" s="1302"/>
      <c r="N10083" s="1700"/>
      <c r="O10083" s="1290"/>
      <c r="P10083" s="1332"/>
      <c r="Q10083" s="3391"/>
    </row>
    <row r="10084" spans="1:18">
      <c r="A10084" s="1042"/>
      <c r="B10084" s="1599"/>
      <c r="C10084" s="1042"/>
      <c r="D10084" s="1404"/>
      <c r="E10084" s="1858"/>
      <c r="F10084" s="1360" t="s">
        <v>2</v>
      </c>
      <c r="G10084" s="1360"/>
      <c r="H10084" s="1362"/>
      <c r="I10084" s="1380"/>
      <c r="J10084" s="1381"/>
      <c r="K10084" s="1381"/>
      <c r="L10084" s="1458"/>
      <c r="M10084" s="1362"/>
      <c r="N10084" s="1362"/>
      <c r="O10084" s="1362"/>
      <c r="P10084" s="1359"/>
      <c r="Q10084" s="3387"/>
    </row>
    <row r="10085" spans="1:18">
      <c r="A10085" s="1321"/>
      <c r="B10085" s="1295"/>
      <c r="C10085" s="1321"/>
      <c r="D10085" s="1363" t="s">
        <v>1067</v>
      </c>
      <c r="E10085" s="2125" t="s">
        <v>1508</v>
      </c>
      <c r="F10085" s="1385" t="s">
        <v>1512</v>
      </c>
      <c r="G10085" s="2019">
        <v>0.14199999999999999</v>
      </c>
      <c r="H10085" s="1386"/>
      <c r="I10085" s="1299"/>
      <c r="J10085" s="1300"/>
      <c r="K10085" s="1307">
        <f>G10085*K10076</f>
        <v>2.7263999999999995</v>
      </c>
      <c r="L10085" s="1335">
        <f>K10085*$K$10059</f>
        <v>27.263999999999996</v>
      </c>
      <c r="M10085" s="1302">
        <v>18.28</v>
      </c>
      <c r="N10085" s="1700"/>
      <c r="O10085" s="1290">
        <f>G10085*M10085</f>
        <v>2.5957599999999998</v>
      </c>
      <c r="P10085" s="1332">
        <f>M10085*K10085</f>
        <v>49.838591999999991</v>
      </c>
      <c r="Q10085" s="3391"/>
    </row>
    <row r="10086" spans="1:18">
      <c r="A10086" s="1042"/>
      <c r="B10086" s="553"/>
      <c r="C10086" s="1042"/>
      <c r="D10086" s="2054"/>
      <c r="E10086" s="1857"/>
      <c r="F10086" s="1403"/>
      <c r="G10086" s="1991"/>
      <c r="H10086" s="1408"/>
      <c r="I10086" s="1286"/>
      <c r="J10086" s="198"/>
      <c r="K10086" s="1307"/>
      <c r="L10086" s="1335"/>
      <c r="M10086" s="1302"/>
      <c r="N10086" s="1718"/>
      <c r="O10086" s="1290"/>
      <c r="P10086" s="1332"/>
      <c r="Q10086" s="3391"/>
      <c r="R10086" s="2337"/>
    </row>
    <row r="10087" spans="1:18">
      <c r="A10087" s="1042"/>
      <c r="B10087" s="1599"/>
      <c r="C10087" s="1320"/>
      <c r="D10087" s="1404"/>
      <c r="E10087" s="1858"/>
      <c r="F10087" s="1361"/>
      <c r="G10087" s="1361"/>
      <c r="H10087" s="1466"/>
      <c r="I10087" s="1299"/>
      <c r="J10087" s="1300"/>
      <c r="K10087" s="1307"/>
      <c r="L10087" s="1335"/>
      <c r="M10087" s="1302"/>
      <c r="N10087" s="1700"/>
      <c r="O10087" s="1290"/>
      <c r="P10087" s="1332"/>
      <c r="Q10087" s="3391"/>
      <c r="R10087" s="1296"/>
    </row>
    <row r="10088" spans="1:18">
      <c r="A10088" s="1320"/>
      <c r="B10088" s="1599"/>
      <c r="C10088" s="1320"/>
      <c r="D10088" s="1411"/>
      <c r="E10088" s="2123"/>
      <c r="F10088" s="1374" t="s">
        <v>3</v>
      </c>
      <c r="G10088" s="1375"/>
      <c r="H10088" s="1376"/>
      <c r="I10088" s="1382"/>
      <c r="J10088" s="1383"/>
      <c r="K10088" s="1383"/>
      <c r="L10088" s="1413"/>
      <c r="M10088" s="1376"/>
      <c r="N10088" s="1376"/>
      <c r="O10088" s="1376"/>
      <c r="P10088" s="1373"/>
      <c r="Q10088" s="3387"/>
    </row>
    <row r="10089" spans="1:18">
      <c r="A10089" s="1321"/>
      <c r="B10089" s="2053"/>
      <c r="C10089" s="1321"/>
      <c r="D10089" s="1412"/>
      <c r="E10089" s="2124"/>
      <c r="F10089" s="1378"/>
      <c r="G10089" s="1378"/>
      <c r="H10089" s="1379"/>
      <c r="I10089" s="1299"/>
      <c r="J10089" s="1300"/>
      <c r="K10089" s="1307"/>
      <c r="L10089" s="1335"/>
      <c r="M10089" s="1302"/>
      <c r="N10089" s="1700"/>
      <c r="O10089" s="1290"/>
      <c r="P10089" s="1332"/>
      <c r="Q10089" s="3391"/>
    </row>
    <row r="10090" spans="1:18">
      <c r="A10090" s="1321"/>
      <c r="B10090" s="2053"/>
      <c r="C10090" s="1321"/>
      <c r="D10090" s="1412"/>
      <c r="E10090" s="2124"/>
      <c r="F10090" s="1378"/>
      <c r="G10090" s="1378"/>
      <c r="H10090" s="1379"/>
      <c r="I10090" s="1299"/>
      <c r="J10090" s="1300"/>
      <c r="K10090" s="1307"/>
      <c r="L10090" s="1335"/>
      <c r="M10090" s="1302"/>
      <c r="N10090" s="1700"/>
      <c r="O10090" s="1290"/>
      <c r="P10090" s="1333"/>
      <c r="Q10090" s="3391"/>
    </row>
    <row r="10091" spans="1:18">
      <c r="A10091" s="223"/>
      <c r="B10091" s="1765"/>
      <c r="C10091" s="223"/>
      <c r="D10091" s="1411"/>
      <c r="E10091" s="2161"/>
      <c r="F10091" s="1678"/>
      <c r="G10091" s="1678"/>
      <c r="H10091" s="1376"/>
      <c r="I10091" s="1299"/>
      <c r="J10091" s="1300"/>
      <c r="K10091" s="1307"/>
      <c r="L10091" s="1335"/>
      <c r="M10091" s="1302"/>
      <c r="N10091" s="1700"/>
      <c r="O10091" s="1290"/>
      <c r="P10091" s="1332"/>
      <c r="Q10091" s="3391"/>
    </row>
    <row r="10092" spans="1:18">
      <c r="A10092" s="18" t="s">
        <v>3764</v>
      </c>
      <c r="B10092" s="4325" t="s">
        <v>3655</v>
      </c>
      <c r="C10092" s="3877"/>
      <c r="D10092" s="4327"/>
      <c r="E10092" s="4329" t="s">
        <v>1507</v>
      </c>
      <c r="F10092" s="4372" t="s">
        <v>3656</v>
      </c>
      <c r="G10092" s="4331" t="s">
        <v>1568</v>
      </c>
      <c r="H10092" s="4331" t="s">
        <v>1574</v>
      </c>
      <c r="I10092" s="1572" t="s">
        <v>1559</v>
      </c>
      <c r="J10092" s="1294" t="s">
        <v>1560</v>
      </c>
      <c r="K10092" s="1294" t="s">
        <v>1569</v>
      </c>
      <c r="L10092" s="4333" t="s">
        <v>3765</v>
      </c>
      <c r="M10092" s="4335" t="s">
        <v>1571</v>
      </c>
      <c r="N10092" s="4323" t="s">
        <v>1776</v>
      </c>
      <c r="O10092" s="3876" t="s">
        <v>1563</v>
      </c>
      <c r="P10092" s="1336" t="s">
        <v>1562</v>
      </c>
      <c r="Q10092" s="3389"/>
      <c r="R10092" s="1699" t="s">
        <v>1327</v>
      </c>
    </row>
    <row r="10093" spans="1:18">
      <c r="A10093" s="1662" t="s">
        <v>3701</v>
      </c>
      <c r="B10093" s="4326"/>
      <c r="C10093" s="3879"/>
      <c r="D10093" s="4328"/>
      <c r="E10093" s="4330"/>
      <c r="F10093" s="4363"/>
      <c r="G10093" s="4332"/>
      <c r="H10093" s="4332"/>
      <c r="I10093" s="1306">
        <v>36</v>
      </c>
      <c r="J10093" s="1307">
        <v>0.25</v>
      </c>
      <c r="K10093" s="1297">
        <f>I10093*J10093</f>
        <v>9</v>
      </c>
      <c r="L10093" s="4334"/>
      <c r="M10093" s="4335"/>
      <c r="N10093" s="4324"/>
      <c r="O10093" s="1298">
        <f>SUM(O10095:O10107)</f>
        <v>5.6668000000000003</v>
      </c>
      <c r="P10093" s="1337">
        <f>O10093*K10093</f>
        <v>51.001200000000004</v>
      </c>
      <c r="Q10093" s="3390"/>
      <c r="R10093" s="1721">
        <f>SUM(P10095:P10107)</f>
        <v>51.001200000000004</v>
      </c>
    </row>
    <row r="10094" spans="1:18">
      <c r="A10094" s="1320"/>
      <c r="B10094" s="1599"/>
      <c r="C10094" s="1327"/>
      <c r="D10094" s="1400"/>
      <c r="E10094" s="2121"/>
      <c r="F10094" s="1389" t="s">
        <v>1</v>
      </c>
      <c r="G10094" s="1389"/>
      <c r="H10094" s="1369"/>
      <c r="I10094" s="1409"/>
      <c r="J10094" s="1390"/>
      <c r="K10094" s="1391"/>
      <c r="L10094" s="1559"/>
      <c r="M10094" s="1369"/>
      <c r="N10094" s="1369"/>
      <c r="O10094" s="1369"/>
      <c r="P10094" s="1392"/>
      <c r="Q10094" s="3395"/>
    </row>
    <row r="10095" spans="1:18">
      <c r="A10095" s="1042"/>
      <c r="B10095" s="1599"/>
      <c r="C10095" s="1042"/>
      <c r="D10095" s="1598"/>
      <c r="E10095" s="2154"/>
      <c r="F10095" s="1598"/>
      <c r="G10095" s="1612"/>
      <c r="H10095" s="1674"/>
      <c r="I10095" s="1299"/>
      <c r="J10095" s="1300"/>
      <c r="K10095" s="1307"/>
      <c r="L10095" s="1335"/>
      <c r="M10095" s="1302"/>
      <c r="N10095" s="1700"/>
      <c r="O10095" s="1290"/>
      <c r="P10095" s="1332"/>
      <c r="Q10095" s="3391"/>
    </row>
    <row r="10096" spans="1:18">
      <c r="A10096" s="1320"/>
      <c r="B10096" s="553"/>
      <c r="C10096" s="1042"/>
      <c r="D10096" s="1598"/>
      <c r="E10096" s="2154"/>
      <c r="F10096" s="1598"/>
      <c r="G10096" s="1612"/>
      <c r="H10096" s="1674"/>
      <c r="I10096" s="1299"/>
      <c r="J10096" s="1300"/>
      <c r="K10096" s="1307"/>
      <c r="L10096" s="1335"/>
      <c r="M10096" s="1302"/>
      <c r="N10096" s="1700"/>
      <c r="O10096" s="1290"/>
      <c r="P10096" s="1332"/>
      <c r="Q10096" s="3391"/>
      <c r="R10096" s="2337"/>
    </row>
    <row r="10097" spans="1:19">
      <c r="A10097" s="1320"/>
      <c r="B10097" s="553"/>
      <c r="C10097" s="1320"/>
      <c r="D10097" s="1598"/>
      <c r="E10097" s="2154"/>
      <c r="F10097" s="1598"/>
      <c r="G10097" s="1612"/>
      <c r="H10097" s="1399"/>
      <c r="I10097" s="197"/>
      <c r="J10097" s="198"/>
      <c r="K10097" s="1307"/>
      <c r="L10097" s="1335"/>
      <c r="M10097" s="1302"/>
      <c r="N10097" s="1718"/>
      <c r="O10097" s="1290"/>
      <c r="P10097" s="1332"/>
      <c r="Q10097" s="3391"/>
      <c r="R10097" s="2337"/>
    </row>
    <row r="10098" spans="1:19">
      <c r="A10098" s="1042"/>
      <c r="B10098" s="1599"/>
      <c r="C10098" s="1042"/>
      <c r="D10098" s="1400"/>
      <c r="E10098" s="2121"/>
      <c r="F10098" s="1436"/>
      <c r="G10098" s="1436"/>
      <c r="H10098" s="1369"/>
      <c r="I10098" s="1299"/>
      <c r="J10098" s="1300"/>
      <c r="K10098" s="1307"/>
      <c r="L10098" s="1335"/>
      <c r="M10098" s="1302"/>
      <c r="N10098" s="1700"/>
      <c r="O10098" s="1290"/>
      <c r="P10098" s="1332"/>
      <c r="Q10098" s="3391"/>
    </row>
    <row r="10099" spans="1:19">
      <c r="A10099" s="1042"/>
      <c r="B10099" s="1599"/>
      <c r="C10099" s="1042"/>
      <c r="D10099" s="1404"/>
      <c r="E10099" s="1858"/>
      <c r="F10099" s="1360" t="s">
        <v>2</v>
      </c>
      <c r="G10099" s="1360"/>
      <c r="H10099" s="1362"/>
      <c r="I10099" s="1380"/>
      <c r="J10099" s="1381"/>
      <c r="K10099" s="1381"/>
      <c r="L10099" s="1458"/>
      <c r="M10099" s="1362"/>
      <c r="N10099" s="1362"/>
      <c r="O10099" s="1362"/>
      <c r="P10099" s="1359"/>
      <c r="Q10099" s="3387"/>
    </row>
    <row r="10100" spans="1:19">
      <c r="A10100" s="1321"/>
      <c r="B10100" s="1295"/>
      <c r="C10100" s="1321"/>
      <c r="D10100" s="1363" t="s">
        <v>1067</v>
      </c>
      <c r="E10100" s="2125" t="s">
        <v>1508</v>
      </c>
      <c r="F10100" s="1385" t="s">
        <v>1512</v>
      </c>
      <c r="G10100" s="2019">
        <v>0.31</v>
      </c>
      <c r="H10100" s="1386"/>
      <c r="I10100" s="1299"/>
      <c r="J10100" s="1300"/>
      <c r="K10100" s="1307">
        <f>G10100*K10093</f>
        <v>2.79</v>
      </c>
      <c r="L10100" s="1335">
        <f>K10100*$K$10059</f>
        <v>27.9</v>
      </c>
      <c r="M10100" s="1302">
        <v>18.28</v>
      </c>
      <c r="N10100" s="1700"/>
      <c r="O10100" s="1290">
        <f>G10100*M10100</f>
        <v>5.6668000000000003</v>
      </c>
      <c r="P10100" s="1332">
        <f>M10100*K10100</f>
        <v>51.001200000000004</v>
      </c>
      <c r="Q10100" s="3391"/>
    </row>
    <row r="10101" spans="1:19">
      <c r="A10101" s="1042"/>
      <c r="B10101" s="553"/>
      <c r="C10101" s="1042"/>
      <c r="D10101" s="2054"/>
      <c r="E10101" s="1857"/>
      <c r="F10101" s="1403"/>
      <c r="G10101" s="1991"/>
      <c r="H10101" s="1408"/>
      <c r="I10101" s="1286"/>
      <c r="J10101" s="198"/>
      <c r="K10101" s="1307"/>
      <c r="L10101" s="1335"/>
      <c r="M10101" s="1302"/>
      <c r="N10101" s="1718"/>
      <c r="O10101" s="1290"/>
      <c r="P10101" s="1332"/>
      <c r="Q10101" s="3391"/>
      <c r="R10101" s="2337"/>
    </row>
    <row r="10102" spans="1:19">
      <c r="A10102" s="1042"/>
      <c r="B10102" s="553"/>
      <c r="C10102" s="1042"/>
      <c r="D10102" s="1402"/>
      <c r="E10102" s="1857"/>
      <c r="F10102" s="1403"/>
      <c r="G10102" s="1991"/>
      <c r="H10102" s="1408"/>
      <c r="I10102" s="197"/>
      <c r="J10102" s="198"/>
      <c r="K10102" s="1307"/>
      <c r="L10102" s="1335"/>
      <c r="M10102" s="1302"/>
      <c r="N10102" s="1718"/>
      <c r="O10102" s="1290"/>
      <c r="P10102" s="1332"/>
      <c r="Q10102" s="3391"/>
      <c r="R10102" s="2337"/>
    </row>
    <row r="10103" spans="1:19">
      <c r="A10103" s="1042"/>
      <c r="B10103" s="1599"/>
      <c r="C10103" s="1320"/>
      <c r="D10103" s="1404"/>
      <c r="E10103" s="1858"/>
      <c r="F10103" s="1361"/>
      <c r="G10103" s="1361"/>
      <c r="H10103" s="1466"/>
      <c r="I10103" s="1299"/>
      <c r="J10103" s="1300"/>
      <c r="K10103" s="1307"/>
      <c r="L10103" s="1335"/>
      <c r="M10103" s="1302"/>
      <c r="N10103" s="1700"/>
      <c r="O10103" s="1290"/>
      <c r="P10103" s="1332"/>
      <c r="Q10103" s="3391"/>
      <c r="R10103" s="1296"/>
    </row>
    <row r="10104" spans="1:19">
      <c r="A10104" s="1320"/>
      <c r="B10104" s="1599"/>
      <c r="C10104" s="1320"/>
      <c r="D10104" s="1411"/>
      <c r="E10104" s="2123"/>
      <c r="F10104" s="1374" t="s">
        <v>3</v>
      </c>
      <c r="G10104" s="1375"/>
      <c r="H10104" s="1376"/>
      <c r="I10104" s="1382"/>
      <c r="J10104" s="1383"/>
      <c r="K10104" s="1383"/>
      <c r="L10104" s="1413"/>
      <c r="M10104" s="1376"/>
      <c r="N10104" s="1376"/>
      <c r="O10104" s="1376"/>
      <c r="P10104" s="1373"/>
      <c r="Q10104" s="3387"/>
    </row>
    <row r="10105" spans="1:19">
      <c r="A10105" s="1321"/>
      <c r="B10105" s="2053"/>
      <c r="C10105" s="1321"/>
      <c r="D10105" s="1412"/>
      <c r="E10105" s="2124"/>
      <c r="F10105" s="1378"/>
      <c r="G10105" s="1378"/>
      <c r="H10105" s="1379"/>
      <c r="I10105" s="1299"/>
      <c r="J10105" s="1300"/>
      <c r="K10105" s="1307"/>
      <c r="L10105" s="1335"/>
      <c r="M10105" s="1302"/>
      <c r="N10105" s="1700"/>
      <c r="O10105" s="1290"/>
      <c r="P10105" s="1332"/>
      <c r="Q10105" s="3391"/>
    </row>
    <row r="10106" spans="1:19">
      <c r="A10106" s="1321"/>
      <c r="B10106" s="2053"/>
      <c r="C10106" s="1321"/>
      <c r="D10106" s="1412"/>
      <c r="E10106" s="2124"/>
      <c r="F10106" s="1378"/>
      <c r="G10106" s="1378"/>
      <c r="H10106" s="1379"/>
      <c r="I10106" s="1299"/>
      <c r="J10106" s="1300"/>
      <c r="K10106" s="1307"/>
      <c r="L10106" s="1335"/>
      <c r="M10106" s="1302"/>
      <c r="N10106" s="1700"/>
      <c r="O10106" s="1290"/>
      <c r="P10106" s="1333"/>
      <c r="Q10106" s="3391"/>
      <c r="S10106" s="1292"/>
    </row>
    <row r="10107" spans="1:19">
      <c r="A10107" s="223"/>
      <c r="B10107" s="1765"/>
      <c r="C10107" s="223"/>
      <c r="D10107" s="1411"/>
      <c r="E10107" s="2161"/>
      <c r="F10107" s="1678"/>
      <c r="G10107" s="1678"/>
      <c r="H10107" s="1376"/>
      <c r="I10107" s="1299"/>
      <c r="J10107" s="1300"/>
      <c r="K10107" s="1307"/>
      <c r="L10107" s="1335"/>
      <c r="M10107" s="1302"/>
      <c r="N10107" s="1700"/>
      <c r="O10107" s="1290"/>
      <c r="P10107" s="1332"/>
      <c r="Q10107" s="3391"/>
    </row>
    <row r="10108" spans="1:19">
      <c r="A10108" s="18" t="s">
        <v>3764</v>
      </c>
      <c r="B10108" s="4325" t="s">
        <v>3668</v>
      </c>
      <c r="C10108" s="3877"/>
      <c r="D10108" s="4327"/>
      <c r="E10108" s="4329" t="s">
        <v>1527</v>
      </c>
      <c r="F10108" s="4372" t="s">
        <v>3669</v>
      </c>
      <c r="G10108" s="4331" t="s">
        <v>1568</v>
      </c>
      <c r="H10108" s="4331" t="s">
        <v>1574</v>
      </c>
      <c r="I10108" s="1572" t="s">
        <v>1559</v>
      </c>
      <c r="J10108" s="1294" t="s">
        <v>1560</v>
      </c>
      <c r="K10108" s="1294" t="s">
        <v>1569</v>
      </c>
      <c r="L10108" s="4333" t="s">
        <v>3765</v>
      </c>
      <c r="M10108" s="4335" t="s">
        <v>1571</v>
      </c>
      <c r="N10108" s="4323" t="s">
        <v>1776</v>
      </c>
      <c r="O10108" s="3876" t="s">
        <v>1563</v>
      </c>
      <c r="P10108" s="1336" t="s">
        <v>1562</v>
      </c>
      <c r="Q10108" s="3389"/>
      <c r="R10108" s="1699" t="s">
        <v>1327</v>
      </c>
    </row>
    <row r="10109" spans="1:19">
      <c r="A10109" s="1662" t="s">
        <v>3701</v>
      </c>
      <c r="B10109" s="4326"/>
      <c r="C10109" s="3879"/>
      <c r="D10109" s="4328"/>
      <c r="E10109" s="4330"/>
      <c r="F10109" s="4363"/>
      <c r="G10109" s="4332"/>
      <c r="H10109" s="4332"/>
      <c r="I10109" s="1306">
        <v>82.8</v>
      </c>
      <c r="J10109" s="1307">
        <v>0.25</v>
      </c>
      <c r="K10109" s="1297">
        <f>I10109*J10109</f>
        <v>20.7</v>
      </c>
      <c r="L10109" s="4334"/>
      <c r="M10109" s="4335"/>
      <c r="N10109" s="4324"/>
      <c r="O10109" s="1298">
        <f>O10111+O10112+O10113+O10117+O10124</f>
        <v>35.755472429999998</v>
      </c>
      <c r="P10109" s="1337">
        <f>O10109*K10109</f>
        <v>740.1382793009999</v>
      </c>
      <c r="Q10109" s="3390"/>
      <c r="R10109" s="1721">
        <f>P10111+P10112+P10113+P10117+P10124</f>
        <v>740.0999460060001</v>
      </c>
    </row>
    <row r="10110" spans="1:19">
      <c r="A10110" s="1320"/>
      <c r="B10110" s="1599"/>
      <c r="C10110" s="1327"/>
      <c r="D10110" s="1400"/>
      <c r="E10110" s="2121"/>
      <c r="F10110" s="1389" t="s">
        <v>1</v>
      </c>
      <c r="G10110" s="1389"/>
      <c r="H10110" s="3853"/>
      <c r="I10110" s="1409"/>
      <c r="J10110" s="1390"/>
      <c r="K10110" s="1391"/>
      <c r="L10110" s="1559"/>
      <c r="M10110" s="1369"/>
      <c r="N10110" s="1369"/>
      <c r="O10110" s="1369"/>
      <c r="P10110" s="1392"/>
      <c r="Q10110" s="3395"/>
    </row>
    <row r="10111" spans="1:19">
      <c r="A10111" s="1320"/>
      <c r="B10111" s="1599"/>
      <c r="C10111" s="1042"/>
      <c r="D10111" s="3854" t="s">
        <v>3670</v>
      </c>
      <c r="E10111" s="3855" t="s">
        <v>1527</v>
      </c>
      <c r="F10111" s="3859" t="s">
        <v>3671</v>
      </c>
      <c r="G10111" s="3857">
        <v>1.1020000000000001</v>
      </c>
      <c r="H10111" s="3853"/>
      <c r="I10111" s="1409"/>
      <c r="J10111" s="1390"/>
      <c r="K10111" s="1307">
        <f>G10111*K10109</f>
        <v>22.811400000000003</v>
      </c>
      <c r="L10111" s="1335">
        <f t="shared" ref="L10111:L10112" si="1320">K10111*$K$10059</f>
        <v>228.11400000000003</v>
      </c>
      <c r="M10111" s="1302">
        <v>12.4</v>
      </c>
      <c r="N10111" s="1718"/>
      <c r="O10111" s="1290">
        <f t="shared" ref="O10111:O10112" si="1321">G10111*M10111</f>
        <v>13.664800000000001</v>
      </c>
      <c r="P10111" s="1332">
        <f t="shared" ref="P10111:P10112" si="1322">M10111*K10111</f>
        <v>282.86136000000005</v>
      </c>
      <c r="Q10111" s="3395"/>
    </row>
    <row r="10112" spans="1:19">
      <c r="A10112" s="1320"/>
      <c r="B10112" s="1599"/>
      <c r="C10112" s="1042"/>
      <c r="D10112" s="3854" t="s">
        <v>3672</v>
      </c>
      <c r="E10112" s="3855" t="s">
        <v>1527</v>
      </c>
      <c r="F10112" s="3859" t="s">
        <v>3673</v>
      </c>
      <c r="G10112" s="3857">
        <v>1.1020000000000001</v>
      </c>
      <c r="H10112" s="3853"/>
      <c r="I10112" s="1409"/>
      <c r="J10112" s="1390"/>
      <c r="K10112" s="1307">
        <f>G10112*K10109</f>
        <v>22.811400000000003</v>
      </c>
      <c r="L10112" s="1335">
        <f t="shared" si="1320"/>
        <v>228.11400000000003</v>
      </c>
      <c r="M10112" s="1302">
        <v>3.67</v>
      </c>
      <c r="N10112" s="1718"/>
      <c r="O10112" s="1290">
        <f t="shared" si="1321"/>
        <v>4.04434</v>
      </c>
      <c r="P10112" s="1332">
        <f t="shared" si="1322"/>
        <v>83.717838000000015</v>
      </c>
      <c r="Q10112" s="3395"/>
    </row>
    <row r="10113" spans="1:18">
      <c r="A10113" s="1042"/>
      <c r="B10113" s="1042"/>
      <c r="C10113" s="1356" t="s">
        <v>1155</v>
      </c>
      <c r="D10113" s="1311"/>
      <c r="E10113" s="2136" t="s">
        <v>1517</v>
      </c>
      <c r="F10113" s="3858" t="s">
        <v>1544</v>
      </c>
      <c r="G10113" s="3856"/>
      <c r="H10113" s="3856">
        <v>1E-3</v>
      </c>
      <c r="I10113" s="1455"/>
      <c r="J10113" s="1388"/>
      <c r="K10113" s="1445"/>
      <c r="L10113" s="1457"/>
      <c r="M10113" s="1446"/>
      <c r="N10113" s="1447">
        <f>SUM(N10114:N10116)</f>
        <v>114.04755</v>
      </c>
      <c r="O10113" s="1447">
        <f>SUM(O10114:O10116)</f>
        <v>0.11589940000000001</v>
      </c>
      <c r="P10113" s="1447">
        <f>SUM(P10114:P10116)</f>
        <v>2.3607842850000003</v>
      </c>
      <c r="Q10113" s="3391"/>
      <c r="R10113" s="2343"/>
    </row>
    <row r="10114" spans="1:18">
      <c r="A10114" s="1042"/>
      <c r="B10114" s="553"/>
      <c r="C10114" s="1327"/>
      <c r="D10114" s="1451" t="s">
        <v>1069</v>
      </c>
      <c r="E10114" s="1856" t="s">
        <v>1517</v>
      </c>
      <c r="F10114" s="1421" t="s">
        <v>1578</v>
      </c>
      <c r="G10114" s="1452">
        <v>0.89100000000000001</v>
      </c>
      <c r="H10114" s="1453">
        <f>$H$274*G10114</f>
        <v>8.9100000000000008E-4</v>
      </c>
      <c r="I10114" s="1286"/>
      <c r="J10114" s="198"/>
      <c r="K10114" s="1307">
        <f>H10114*K10109</f>
        <v>1.84437E-2</v>
      </c>
      <c r="L10114" s="1335">
        <f t="shared" ref="L10114:L10116" si="1323">K10114*$K$10059</f>
        <v>0.18443700000000002</v>
      </c>
      <c r="M10114" s="1302">
        <v>0.55000000000000004</v>
      </c>
      <c r="N10114" s="1718">
        <f>G10114*M10114</f>
        <v>0.49005000000000004</v>
      </c>
      <c r="O10114" s="1719">
        <f>ROUND(H10114*M10114,2)</f>
        <v>0</v>
      </c>
      <c r="P10114" s="1720">
        <f>M10114*K10114</f>
        <v>1.0144035000000001E-2</v>
      </c>
      <c r="Q10114" s="3396"/>
      <c r="R10114" s="2343"/>
    </row>
    <row r="10115" spans="1:18">
      <c r="A10115" s="1042"/>
      <c r="B10115" s="553"/>
      <c r="C10115" s="1320"/>
      <c r="D10115" s="1367" t="s">
        <v>1394</v>
      </c>
      <c r="E10115" s="1856" t="s">
        <v>1577</v>
      </c>
      <c r="F10115" s="1421" t="s">
        <v>1579</v>
      </c>
      <c r="G10115" s="1452">
        <v>0.51500000000000001</v>
      </c>
      <c r="H10115" s="1453">
        <f>$H$274*G10115</f>
        <v>5.1500000000000005E-4</v>
      </c>
      <c r="I10115" s="1286"/>
      <c r="J10115" s="198"/>
      <c r="K10115" s="1307">
        <f>H10115*K10109</f>
        <v>1.06605E-2</v>
      </c>
      <c r="L10115" s="1335">
        <f t="shared" si="1323"/>
        <v>0.10660500000000001</v>
      </c>
      <c r="M10115" s="1302">
        <v>92.54</v>
      </c>
      <c r="N10115" s="1718">
        <f>G10115*M10115</f>
        <v>47.658100000000005</v>
      </c>
      <c r="O10115" s="1719">
        <f>ROUND(H10115*M10115,2)</f>
        <v>0.05</v>
      </c>
      <c r="P10115" s="1720">
        <f>M10115*K10115</f>
        <v>0.98652267000000005</v>
      </c>
      <c r="Q10115" s="3396"/>
      <c r="R10115" s="2343"/>
    </row>
    <row r="10116" spans="1:18">
      <c r="A10116" s="1042"/>
      <c r="B10116" s="553"/>
      <c r="C10116" s="225"/>
      <c r="D10116" s="1443" t="s">
        <v>1067</v>
      </c>
      <c r="E10116" s="1857" t="s">
        <v>1508</v>
      </c>
      <c r="F10116" s="1430" t="s">
        <v>1512</v>
      </c>
      <c r="G10116" s="1431">
        <v>3.605</v>
      </c>
      <c r="H10116" s="1454">
        <f>$H$274*G10116</f>
        <v>3.6050000000000001E-3</v>
      </c>
      <c r="I10116" s="1286"/>
      <c r="J10116" s="198"/>
      <c r="K10116" s="1307">
        <f>H10116*K10109</f>
        <v>7.4623499999999995E-2</v>
      </c>
      <c r="L10116" s="1335">
        <f t="shared" si="1323"/>
        <v>0.74623499999999998</v>
      </c>
      <c r="M10116" s="1302">
        <v>18.28</v>
      </c>
      <c r="N10116" s="1718">
        <f>G10116*M10116</f>
        <v>65.8994</v>
      </c>
      <c r="O10116" s="1719">
        <f>H10116*M10116</f>
        <v>6.5899400000000011E-2</v>
      </c>
      <c r="P10116" s="1720">
        <f>M10116*K10116</f>
        <v>1.3641175800000001</v>
      </c>
      <c r="Q10116" s="3396"/>
      <c r="R10116" s="2343"/>
    </row>
    <row r="10117" spans="1:18">
      <c r="A10117" s="1042"/>
      <c r="C10117" s="1356" t="s">
        <v>1127</v>
      </c>
      <c r="D10117" s="1311"/>
      <c r="E10117" s="2131" t="s">
        <v>1517</v>
      </c>
      <c r="F10117" s="1318" t="s">
        <v>1519</v>
      </c>
      <c r="G10117" s="1344"/>
      <c r="H10117" s="1344">
        <v>2.1000000000000001E-2</v>
      </c>
      <c r="I10117" s="1444"/>
      <c r="J10117" s="1388"/>
      <c r="K10117" s="1459"/>
      <c r="L10117" s="1457"/>
      <c r="M10117" s="1500"/>
      <c r="N10117" s="1447">
        <f>SUM(N10118:N10121)</f>
        <v>50.044430000000006</v>
      </c>
      <c r="O10117" s="1447">
        <f>SUM(O10118:O10121)</f>
        <v>1.0509330300000002</v>
      </c>
      <c r="P10117" s="1447">
        <f>SUM(P10118:P10121)</f>
        <v>21.754313721000003</v>
      </c>
      <c r="Q10117" s="3391"/>
      <c r="R10117" s="3881"/>
    </row>
    <row r="10118" spans="1:18">
      <c r="A10118" s="1042"/>
      <c r="C10118" s="1327"/>
      <c r="D10118" s="1400" t="s">
        <v>1069</v>
      </c>
      <c r="E10118" s="1856" t="s">
        <v>1517</v>
      </c>
      <c r="F10118" s="1397" t="s">
        <v>1578</v>
      </c>
      <c r="G10118" s="1416">
        <v>0.26300000000000001</v>
      </c>
      <c r="H10118" s="1399">
        <f>H10117*G10118</f>
        <v>5.523000000000001E-3</v>
      </c>
      <c r="I10118" s="197"/>
      <c r="J10118" s="198"/>
      <c r="K10118" s="1307">
        <f>H10118*K10109</f>
        <v>0.11432610000000001</v>
      </c>
      <c r="L10118" s="1335">
        <f t="shared" ref="L10118:L10121" si="1324">K10118*$K$10059</f>
        <v>1.1432610000000001</v>
      </c>
      <c r="M10118" s="1499">
        <v>0.55000000000000004</v>
      </c>
      <c r="N10118" s="1724">
        <f>G10118*M10118</f>
        <v>0.14465000000000003</v>
      </c>
      <c r="O10118" s="1719">
        <f>H10118*M10118</f>
        <v>3.0376500000000007E-3</v>
      </c>
      <c r="P10118" s="1720">
        <f>M10118*K10118</f>
        <v>6.2879355000000012E-2</v>
      </c>
      <c r="Q10118" s="3396"/>
      <c r="R10118" s="3881"/>
    </row>
    <row r="10119" spans="1:18">
      <c r="A10119" s="1042"/>
      <c r="C10119" s="1320"/>
      <c r="D10119" s="1400" t="s">
        <v>1394</v>
      </c>
      <c r="E10119" s="1856" t="s">
        <v>1577</v>
      </c>
      <c r="F10119" s="1397" t="s">
        <v>1579</v>
      </c>
      <c r="G10119" s="1416">
        <v>0.25800000000000001</v>
      </c>
      <c r="H10119" s="1399">
        <f>H10117*G10119</f>
        <v>5.4180000000000001E-3</v>
      </c>
      <c r="I10119" s="197"/>
      <c r="J10119" s="198"/>
      <c r="K10119" s="1307">
        <f>H10119*K10109</f>
        <v>0.11215259999999999</v>
      </c>
      <c r="L10119" s="1335">
        <f t="shared" si="1324"/>
        <v>1.1215259999999998</v>
      </c>
      <c r="M10119" s="1499">
        <v>92.54</v>
      </c>
      <c r="N10119" s="1724">
        <f>G10119*M10119</f>
        <v>23.875320000000002</v>
      </c>
      <c r="O10119" s="1719">
        <f>H10119*M10119</f>
        <v>0.50138172000000003</v>
      </c>
      <c r="P10119" s="1720">
        <f>M10119*K10119</f>
        <v>10.378601604</v>
      </c>
      <c r="Q10119" s="3396"/>
      <c r="R10119" s="3881"/>
    </row>
    <row r="10120" spans="1:18">
      <c r="A10120" s="1042"/>
      <c r="C10120" s="1320"/>
      <c r="D10120" s="1400" t="s">
        <v>1576</v>
      </c>
      <c r="E10120" s="1856" t="s">
        <v>1517</v>
      </c>
      <c r="F10120" s="1397" t="s">
        <v>1580</v>
      </c>
      <c r="G10120" s="1416">
        <v>1.1020000000000001</v>
      </c>
      <c r="H10120" s="1399">
        <f>H10117*G10120</f>
        <v>2.3142000000000003E-2</v>
      </c>
      <c r="I10120" s="197"/>
      <c r="J10120" s="198"/>
      <c r="K10120" s="1307">
        <f>H10120*K10109</f>
        <v>0.47903940000000006</v>
      </c>
      <c r="L10120" s="1335">
        <f t="shared" si="1324"/>
        <v>4.7903940000000009</v>
      </c>
      <c r="M10120" s="1499">
        <v>6.53</v>
      </c>
      <c r="N10120" s="1724">
        <f>G10120*M10120</f>
        <v>7.196060000000001</v>
      </c>
      <c r="O10120" s="1719">
        <f>H10120*M10120</f>
        <v>0.15111726000000003</v>
      </c>
      <c r="P10120" s="1720">
        <f>M10120*K10120</f>
        <v>3.1281272820000003</v>
      </c>
      <c r="Q10120" s="3396"/>
      <c r="R10120" s="1292"/>
    </row>
    <row r="10121" spans="1:18">
      <c r="A10121" s="1042"/>
      <c r="C10121" s="1320"/>
      <c r="D10121" s="1404" t="s">
        <v>1067</v>
      </c>
      <c r="E10121" s="1857" t="s">
        <v>1508</v>
      </c>
      <c r="F10121" s="2040" t="s">
        <v>1512</v>
      </c>
      <c r="G10121" s="1829">
        <v>1.03</v>
      </c>
      <c r="H10121" s="1408">
        <f>H10117*G10121</f>
        <v>2.1630000000000003E-2</v>
      </c>
      <c r="I10121" s="197"/>
      <c r="J10121" s="198"/>
      <c r="K10121" s="1307">
        <f>H10121*K10109</f>
        <v>0.44774100000000006</v>
      </c>
      <c r="L10121" s="1335">
        <f t="shared" si="1324"/>
        <v>4.4774100000000008</v>
      </c>
      <c r="M10121" s="1499">
        <v>18.28</v>
      </c>
      <c r="N10121" s="1724">
        <f>G10121*M10121</f>
        <v>18.828400000000002</v>
      </c>
      <c r="O10121" s="1719">
        <f>H10121*M10121</f>
        <v>0.39539640000000009</v>
      </c>
      <c r="P10121" s="1720">
        <f>M10121*K10121</f>
        <v>8.1847054800000016</v>
      </c>
      <c r="Q10121" s="3396"/>
      <c r="R10121" s="3881"/>
    </row>
    <row r="10122" spans="1:18">
      <c r="A10122" s="1042"/>
      <c r="B10122" s="1599"/>
      <c r="C10122" s="1042"/>
      <c r="D10122" s="1400"/>
      <c r="E10122" s="2121"/>
      <c r="F10122" s="1436"/>
      <c r="G10122" s="1436"/>
      <c r="H10122" s="1369"/>
      <c r="I10122" s="1299"/>
      <c r="J10122" s="1300"/>
      <c r="K10122" s="1307"/>
      <c r="L10122" s="1335"/>
      <c r="M10122" s="1302"/>
      <c r="N10122" s="1700"/>
      <c r="O10122" s="1290"/>
      <c r="P10122" s="1332"/>
      <c r="Q10122" s="3391"/>
    </row>
    <row r="10123" spans="1:18">
      <c r="A10123" s="1042"/>
      <c r="B10123" s="1599"/>
      <c r="C10123" s="1042"/>
      <c r="D10123" s="1404"/>
      <c r="E10123" s="1858"/>
      <c r="F10123" s="1360" t="s">
        <v>2</v>
      </c>
      <c r="G10123" s="1360"/>
      <c r="H10123" s="1362"/>
      <c r="I10123" s="1380"/>
      <c r="J10123" s="1381"/>
      <c r="K10123" s="1381"/>
      <c r="L10123" s="1458"/>
      <c r="M10123" s="1362"/>
      <c r="N10123" s="1362"/>
      <c r="O10123" s="1362"/>
      <c r="P10123" s="1359"/>
      <c r="Q10123" s="3387"/>
    </row>
    <row r="10124" spans="1:18">
      <c r="A10124" s="1042"/>
      <c r="B10124" s="1042"/>
      <c r="C10124" s="1420" t="s">
        <v>1523</v>
      </c>
      <c r="D10124" s="1311"/>
      <c r="E10124" s="2128" t="s">
        <v>1508</v>
      </c>
      <c r="F10124" s="2248" t="s">
        <v>1524</v>
      </c>
      <c r="G10124" s="1338"/>
      <c r="H10124" s="1344">
        <v>0.45</v>
      </c>
      <c r="I10124" s="1388"/>
      <c r="J10124" s="1366"/>
      <c r="K10124" s="1448"/>
      <c r="L10124" s="1457"/>
      <c r="M10124" s="1503"/>
      <c r="N10124" s="1447">
        <f>SUM(N10125:N10126)</f>
        <v>37.510000000000005</v>
      </c>
      <c r="O10124" s="1447">
        <f>SUM(O10125:O10126)</f>
        <v>16.8795</v>
      </c>
      <c r="P10124" s="1447">
        <f>SUM(P10125:P10126)</f>
        <v>349.40564999999998</v>
      </c>
      <c r="Q10124" s="3391"/>
    </row>
    <row r="10125" spans="1:18">
      <c r="A10125" s="1042"/>
      <c r="B10125" s="1042"/>
      <c r="C10125" s="18"/>
      <c r="D10125" s="1402" t="s">
        <v>1067</v>
      </c>
      <c r="E10125" s="1857" t="s">
        <v>1508</v>
      </c>
      <c r="F10125" s="1403" t="s">
        <v>5</v>
      </c>
      <c r="G10125" s="1362">
        <v>1</v>
      </c>
      <c r="H10125" s="1359">
        <f>H10124*G10125</f>
        <v>0.45</v>
      </c>
      <c r="I10125" s="198"/>
      <c r="J10125" s="6"/>
      <c r="K10125" s="1307">
        <f>H10125*K10109</f>
        <v>9.3149999999999995</v>
      </c>
      <c r="L10125" s="1335">
        <f t="shared" ref="L10125:L10126" si="1325">K10125*$K$10059</f>
        <v>93.149999999999991</v>
      </c>
      <c r="M10125" s="1499">
        <v>18.28</v>
      </c>
      <c r="N10125" s="1724">
        <f>G10125*M10125</f>
        <v>18.28</v>
      </c>
      <c r="O10125" s="1290">
        <f>H10125*M10125</f>
        <v>8.2260000000000009</v>
      </c>
      <c r="P10125" s="1332">
        <f>M10125*K10125</f>
        <v>170.2782</v>
      </c>
      <c r="Q10125" s="3391"/>
    </row>
    <row r="10126" spans="1:18">
      <c r="A10126" s="1042"/>
      <c r="B10126" s="1042"/>
      <c r="C10126" s="1042"/>
      <c r="D10126" s="1402" t="s">
        <v>1077</v>
      </c>
      <c r="E10126" s="1857" t="s">
        <v>1508</v>
      </c>
      <c r="F10126" s="1403" t="s">
        <v>37</v>
      </c>
      <c r="G10126" s="1362">
        <v>1</v>
      </c>
      <c r="H10126" s="1359">
        <f>H10124*G10126</f>
        <v>0.45</v>
      </c>
      <c r="I10126" s="198"/>
      <c r="J10126" s="6"/>
      <c r="K10126" s="1307">
        <f>H10126*K10109</f>
        <v>9.3149999999999995</v>
      </c>
      <c r="L10126" s="1335">
        <f t="shared" si="1325"/>
        <v>93.149999999999991</v>
      </c>
      <c r="M10126" s="1499">
        <v>19.23</v>
      </c>
      <c r="N10126" s="1724">
        <f>G10126*M10126</f>
        <v>19.23</v>
      </c>
      <c r="O10126" s="1290">
        <f>H10126*M10126</f>
        <v>8.6535000000000011</v>
      </c>
      <c r="P10126" s="1332">
        <f>M10126*K10126</f>
        <v>179.12744999999998</v>
      </c>
      <c r="Q10126" s="3391"/>
    </row>
    <row r="10127" spans="1:18">
      <c r="A10127" s="1042"/>
      <c r="B10127" s="553"/>
      <c r="C10127" s="1042"/>
      <c r="D10127" s="3860"/>
      <c r="E10127" s="3851"/>
      <c r="F10127" s="1766"/>
      <c r="G10127" s="3861"/>
      <c r="H10127" s="3246"/>
      <c r="I10127" s="197"/>
      <c r="J10127" s="3862"/>
      <c r="K10127" s="1307"/>
      <c r="L10127" s="1335"/>
      <c r="M10127" s="3852"/>
      <c r="N10127" s="1724"/>
      <c r="O10127" s="1290"/>
      <c r="P10127" s="3850"/>
      <c r="Q10127" s="3391"/>
    </row>
    <row r="10128" spans="1:18">
      <c r="A10128" s="1320"/>
      <c r="B10128" s="1599"/>
      <c r="C10128" s="1320"/>
      <c r="D10128" s="1411"/>
      <c r="E10128" s="2123"/>
      <c r="F10128" s="1374" t="s">
        <v>3</v>
      </c>
      <c r="G10128" s="1375"/>
      <c r="H10128" s="1376"/>
      <c r="I10128" s="1382"/>
      <c r="J10128" s="1383"/>
      <c r="K10128" s="1383"/>
      <c r="L10128" s="1413"/>
      <c r="M10128" s="1376"/>
      <c r="N10128" s="1376"/>
      <c r="O10128" s="1376"/>
      <c r="P10128" s="1373"/>
      <c r="Q10128" s="3387"/>
    </row>
    <row r="10129" spans="1:18">
      <c r="A10129" s="1321"/>
      <c r="B10129" s="2053"/>
      <c r="C10129" s="1321"/>
      <c r="D10129" s="1412"/>
      <c r="E10129" s="2124"/>
      <c r="F10129" s="1378"/>
      <c r="G10129" s="2200"/>
      <c r="H10129" s="1379"/>
      <c r="I10129" s="1299"/>
      <c r="J10129" s="1300"/>
      <c r="K10129" s="1307"/>
      <c r="L10129" s="1335"/>
      <c r="M10129" s="1302"/>
      <c r="N10129" s="1700"/>
      <c r="O10129" s="1290"/>
      <c r="P10129" s="1332"/>
      <c r="Q10129" s="3391"/>
    </row>
    <row r="10130" spans="1:18">
      <c r="A10130" s="1321"/>
      <c r="B10130" s="2053"/>
      <c r="C10130" s="1321"/>
      <c r="D10130" s="1412"/>
      <c r="E10130" s="2124"/>
      <c r="F10130" s="1378"/>
      <c r="G10130" s="1378"/>
      <c r="H10130" s="1379"/>
      <c r="I10130" s="1299"/>
      <c r="J10130" s="1300"/>
      <c r="K10130" s="1307"/>
      <c r="L10130" s="1335"/>
      <c r="M10130" s="1302"/>
      <c r="N10130" s="1700"/>
      <c r="O10130" s="1290"/>
      <c r="P10130" s="1333"/>
      <c r="Q10130" s="3391"/>
    </row>
    <row r="10131" spans="1:18">
      <c r="A10131" s="1042"/>
      <c r="B10131" s="1599"/>
      <c r="C10131" s="1042"/>
      <c r="D10131" s="1695"/>
      <c r="E10131" s="2278"/>
      <c r="F10131" s="2279"/>
      <c r="G10131" s="2279"/>
      <c r="H10131" s="2264"/>
      <c r="I10131" s="2280"/>
      <c r="J10131" s="2281"/>
      <c r="K10131" s="2236"/>
      <c r="L10131" s="1594"/>
      <c r="M10131" s="2282"/>
      <c r="N10131" s="2283"/>
      <c r="O10131" s="2237"/>
      <c r="P10131" s="2238"/>
      <c r="Q10131" s="3391"/>
    </row>
    <row r="10132" spans="1:18">
      <c r="A10132" s="18" t="s">
        <v>3764</v>
      </c>
      <c r="B10132" s="4325" t="s">
        <v>3674</v>
      </c>
      <c r="C10132" s="3877"/>
      <c r="D10132" s="4327"/>
      <c r="E10132" s="4329" t="s">
        <v>1504</v>
      </c>
      <c r="F10132" s="4372" t="s">
        <v>3675</v>
      </c>
      <c r="G10132" s="4331" t="s">
        <v>1568</v>
      </c>
      <c r="H10132" s="4331" t="s">
        <v>1574</v>
      </c>
      <c r="I10132" s="1572" t="s">
        <v>1559</v>
      </c>
      <c r="J10132" s="1294" t="s">
        <v>1560</v>
      </c>
      <c r="K10132" s="1294" t="s">
        <v>1569</v>
      </c>
      <c r="L10132" s="4333" t="s">
        <v>3765</v>
      </c>
      <c r="M10132" s="4335" t="s">
        <v>1571</v>
      </c>
      <c r="N10132" s="4323" t="s">
        <v>1776</v>
      </c>
      <c r="O10132" s="3876" t="s">
        <v>1563</v>
      </c>
      <c r="P10132" s="1336" t="s">
        <v>1562</v>
      </c>
      <c r="Q10132" s="3389"/>
      <c r="R10132" s="1699" t="s">
        <v>1327</v>
      </c>
    </row>
    <row r="10133" spans="1:18">
      <c r="A10133" s="1662" t="s">
        <v>3701</v>
      </c>
      <c r="B10133" s="4326"/>
      <c r="C10133" s="3879"/>
      <c r="D10133" s="4328"/>
      <c r="E10133" s="4330"/>
      <c r="F10133" s="4363"/>
      <c r="G10133" s="4332"/>
      <c r="H10133" s="4332"/>
      <c r="I10133" s="1306">
        <v>82.8</v>
      </c>
      <c r="J10133" s="1307">
        <v>0.25</v>
      </c>
      <c r="K10133" s="1297">
        <f>I10133*J10133</f>
        <v>20.7</v>
      </c>
      <c r="L10133" s="4334"/>
      <c r="M10133" s="4335"/>
      <c r="N10133" s="4324"/>
      <c r="O10133" s="1298">
        <f>O10135+O10136+O10140+O10147</f>
        <v>5.8964659800000003</v>
      </c>
      <c r="P10133" s="1337">
        <f>O10133*K10133</f>
        <v>122.056845786</v>
      </c>
      <c r="Q10133" s="3390"/>
      <c r="R10133" s="1721">
        <f>P10135+P10136+P10140+P10147</f>
        <v>122.018512491</v>
      </c>
    </row>
    <row r="10134" spans="1:18">
      <c r="A10134" s="1320"/>
      <c r="B10134" s="1599"/>
      <c r="C10134" s="1327"/>
      <c r="D10134" s="1400"/>
      <c r="E10134" s="2121"/>
      <c r="F10134" s="1389" t="s">
        <v>1</v>
      </c>
      <c r="G10134" s="1389"/>
      <c r="H10134" s="3853"/>
      <c r="I10134" s="1409"/>
      <c r="J10134" s="1390"/>
      <c r="K10134" s="1391"/>
      <c r="L10134" s="1559"/>
      <c r="M10134" s="1369"/>
      <c r="N10134" s="1369"/>
      <c r="O10134" s="1369"/>
      <c r="P10134" s="1392"/>
      <c r="Q10134" s="3395"/>
    </row>
    <row r="10135" spans="1:18">
      <c r="A10135" s="1320"/>
      <c r="B10135" s="1599"/>
      <c r="C10135" s="1042"/>
      <c r="D10135" s="3854" t="s">
        <v>3676</v>
      </c>
      <c r="E10135" s="3855" t="s">
        <v>1504</v>
      </c>
      <c r="F10135" s="3859" t="s">
        <v>3677</v>
      </c>
      <c r="G10135" s="3857">
        <v>1.1020000000000001</v>
      </c>
      <c r="H10135" s="3853"/>
      <c r="I10135" s="1409"/>
      <c r="J10135" s="1390"/>
      <c r="K10135" s="1307">
        <f>G10135*K10133</f>
        <v>22.811400000000003</v>
      </c>
      <c r="L10135" s="1335">
        <f>K10135*$K$10059</f>
        <v>228.11400000000003</v>
      </c>
      <c r="M10135" s="1302">
        <v>2.25</v>
      </c>
      <c r="N10135" s="1718"/>
      <c r="O10135" s="1290">
        <f t="shared" ref="O10135" si="1326">G10135*M10135</f>
        <v>2.4795000000000003</v>
      </c>
      <c r="P10135" s="1332">
        <f t="shared" ref="P10135" si="1327">M10135*K10135</f>
        <v>51.325650000000003</v>
      </c>
      <c r="Q10135" s="3395"/>
    </row>
    <row r="10136" spans="1:18">
      <c r="A10136" s="1042"/>
      <c r="B10136" s="1042"/>
      <c r="C10136" s="1356" t="s">
        <v>1155</v>
      </c>
      <c r="D10136" s="1311"/>
      <c r="E10136" s="2136" t="s">
        <v>1517</v>
      </c>
      <c r="F10136" s="3858" t="s">
        <v>1544</v>
      </c>
      <c r="G10136" s="3856"/>
      <c r="H10136" s="3856">
        <v>1E-3</v>
      </c>
      <c r="I10136" s="1455"/>
      <c r="J10136" s="1388"/>
      <c r="K10136" s="1445"/>
      <c r="L10136" s="1457"/>
      <c r="M10136" s="1446"/>
      <c r="N10136" s="1447">
        <f>SUM(N10137:N10139)</f>
        <v>114.04755</v>
      </c>
      <c r="O10136" s="1447">
        <f>SUM(O10137:O10139)</f>
        <v>0.11589940000000001</v>
      </c>
      <c r="P10136" s="1447">
        <f>SUM(P10137:P10139)</f>
        <v>2.3607842850000003</v>
      </c>
      <c r="Q10136" s="3391"/>
      <c r="R10136" s="2343"/>
    </row>
    <row r="10137" spans="1:18">
      <c r="A10137" s="1042"/>
      <c r="B10137" s="553"/>
      <c r="C10137" s="1327"/>
      <c r="D10137" s="1451" t="s">
        <v>1069</v>
      </c>
      <c r="E10137" s="1856" t="s">
        <v>1517</v>
      </c>
      <c r="F10137" s="1421" t="s">
        <v>1578</v>
      </c>
      <c r="G10137" s="1452">
        <v>0.89100000000000001</v>
      </c>
      <c r="H10137" s="1453">
        <f>$H$274*G10137</f>
        <v>8.9100000000000008E-4</v>
      </c>
      <c r="I10137" s="1286"/>
      <c r="J10137" s="198"/>
      <c r="K10137" s="1307">
        <f>H10137*K10133</f>
        <v>1.84437E-2</v>
      </c>
      <c r="L10137" s="1335">
        <f t="shared" ref="L10137:L10139" si="1328">K10137*$K$10059</f>
        <v>0.18443700000000002</v>
      </c>
      <c r="M10137" s="1302">
        <v>0.55000000000000004</v>
      </c>
      <c r="N10137" s="1718">
        <f>G10137*M10137</f>
        <v>0.49005000000000004</v>
      </c>
      <c r="O10137" s="1719">
        <f>ROUND(H10137*M10137,2)</f>
        <v>0</v>
      </c>
      <c r="P10137" s="1720">
        <f>M10137*K10137</f>
        <v>1.0144035000000001E-2</v>
      </c>
      <c r="Q10137" s="3396"/>
      <c r="R10137" s="2343"/>
    </row>
    <row r="10138" spans="1:18">
      <c r="A10138" s="1042"/>
      <c r="B10138" s="553"/>
      <c r="C10138" s="1320"/>
      <c r="D10138" s="1367" t="s">
        <v>1394</v>
      </c>
      <c r="E10138" s="1856" t="s">
        <v>1577</v>
      </c>
      <c r="F10138" s="1421" t="s">
        <v>1579</v>
      </c>
      <c r="G10138" s="1452">
        <v>0.51500000000000001</v>
      </c>
      <c r="H10138" s="1453">
        <f>$H$274*G10138</f>
        <v>5.1500000000000005E-4</v>
      </c>
      <c r="I10138" s="1286"/>
      <c r="J10138" s="198"/>
      <c r="K10138" s="1307">
        <f>H10138*K10133</f>
        <v>1.06605E-2</v>
      </c>
      <c r="L10138" s="1335">
        <f t="shared" si="1328"/>
        <v>0.10660500000000001</v>
      </c>
      <c r="M10138" s="1302">
        <v>92.54</v>
      </c>
      <c r="N10138" s="1718">
        <f>G10138*M10138</f>
        <v>47.658100000000005</v>
      </c>
      <c r="O10138" s="1719">
        <f>ROUND(H10138*M10138,2)</f>
        <v>0.05</v>
      </c>
      <c r="P10138" s="1720">
        <f>M10138*K10138</f>
        <v>0.98652267000000005</v>
      </c>
      <c r="Q10138" s="3396"/>
      <c r="R10138" s="2343"/>
    </row>
    <row r="10139" spans="1:18">
      <c r="A10139" s="1042"/>
      <c r="B10139" s="553"/>
      <c r="C10139" s="225"/>
      <c r="D10139" s="1443" t="s">
        <v>1067</v>
      </c>
      <c r="E10139" s="1857" t="s">
        <v>1508</v>
      </c>
      <c r="F10139" s="1430" t="s">
        <v>1512</v>
      </c>
      <c r="G10139" s="1431">
        <v>3.605</v>
      </c>
      <c r="H10139" s="1454">
        <f>$H$274*G10139</f>
        <v>3.6050000000000001E-3</v>
      </c>
      <c r="I10139" s="1286"/>
      <c r="J10139" s="198"/>
      <c r="K10139" s="1307">
        <f>H10139*K10133</f>
        <v>7.4623499999999995E-2</v>
      </c>
      <c r="L10139" s="1335">
        <f t="shared" si="1328"/>
        <v>0.74623499999999998</v>
      </c>
      <c r="M10139" s="1302">
        <v>18.28</v>
      </c>
      <c r="N10139" s="1718">
        <f>G10139*M10139</f>
        <v>65.8994</v>
      </c>
      <c r="O10139" s="1719">
        <f>H10139*M10139</f>
        <v>6.5899400000000011E-2</v>
      </c>
      <c r="P10139" s="1720">
        <f>M10139*K10139</f>
        <v>1.3641175800000001</v>
      </c>
      <c r="Q10139" s="3396"/>
      <c r="R10139" s="2343"/>
    </row>
    <row r="10140" spans="1:18">
      <c r="A10140" s="1042"/>
      <c r="C10140" s="1356" t="s">
        <v>1127</v>
      </c>
      <c r="D10140" s="1311"/>
      <c r="E10140" s="2131" t="s">
        <v>1517</v>
      </c>
      <c r="F10140" s="1318" t="s">
        <v>1519</v>
      </c>
      <c r="G10140" s="1344"/>
      <c r="H10140" s="1344">
        <v>6.0000000000000001E-3</v>
      </c>
      <c r="I10140" s="1444"/>
      <c r="J10140" s="1388"/>
      <c r="K10140" s="1459"/>
      <c r="L10140" s="1457"/>
      <c r="M10140" s="1500"/>
      <c r="N10140" s="1447">
        <f>SUM(N10141:N10144)</f>
        <v>50.044430000000006</v>
      </c>
      <c r="O10140" s="1447">
        <f>SUM(O10141:O10144)</f>
        <v>0.30026658000000006</v>
      </c>
      <c r="P10140" s="1447">
        <f>SUM(P10141:P10144)</f>
        <v>6.2155182060000005</v>
      </c>
      <c r="Q10140" s="3391"/>
      <c r="R10140" s="3881"/>
    </row>
    <row r="10141" spans="1:18" ht="15" customHeight="1">
      <c r="A10141" s="1042"/>
      <c r="C10141" s="1327"/>
      <c r="D10141" s="1400" t="s">
        <v>1069</v>
      </c>
      <c r="E10141" s="1856" t="s">
        <v>1517</v>
      </c>
      <c r="F10141" s="1397" t="s">
        <v>1578</v>
      </c>
      <c r="G10141" s="1416">
        <v>0.26300000000000001</v>
      </c>
      <c r="H10141" s="1399">
        <f>H10140*G10141</f>
        <v>1.5780000000000002E-3</v>
      </c>
      <c r="I10141" s="197"/>
      <c r="J10141" s="198"/>
      <c r="K10141" s="1307">
        <f>H10141*K10133</f>
        <v>3.2664600000000002E-2</v>
      </c>
      <c r="L10141" s="1335">
        <f t="shared" ref="L10141:L10144" si="1329">K10141*$K$10059</f>
        <v>0.32664599999999999</v>
      </c>
      <c r="M10141" s="1499">
        <v>0.55000000000000004</v>
      </c>
      <c r="N10141" s="1724">
        <f>G10141*M10141</f>
        <v>0.14465000000000003</v>
      </c>
      <c r="O10141" s="1719">
        <f>H10141*M10141</f>
        <v>8.6790000000000023E-4</v>
      </c>
      <c r="P10141" s="1720">
        <f>M10141*K10141</f>
        <v>1.7965530000000004E-2</v>
      </c>
      <c r="Q10141" s="3396"/>
      <c r="R10141" s="3881"/>
    </row>
    <row r="10142" spans="1:18">
      <c r="A10142" s="1042"/>
      <c r="C10142" s="1320"/>
      <c r="D10142" s="1400" t="s">
        <v>1394</v>
      </c>
      <c r="E10142" s="1856" t="s">
        <v>1577</v>
      </c>
      <c r="F10142" s="1397" t="s">
        <v>1579</v>
      </c>
      <c r="G10142" s="1416">
        <v>0.25800000000000001</v>
      </c>
      <c r="H10142" s="1399">
        <f>H10140*G10142</f>
        <v>1.5480000000000001E-3</v>
      </c>
      <c r="I10142" s="197"/>
      <c r="J10142" s="198"/>
      <c r="K10142" s="1307">
        <f>H10142*K10133</f>
        <v>3.2043599999999998E-2</v>
      </c>
      <c r="L10142" s="1335">
        <f t="shared" si="1329"/>
        <v>0.320436</v>
      </c>
      <c r="M10142" s="1499">
        <v>92.54</v>
      </c>
      <c r="N10142" s="1724">
        <f>G10142*M10142</f>
        <v>23.875320000000002</v>
      </c>
      <c r="O10142" s="1719">
        <f>H10142*M10142</f>
        <v>0.14325192000000003</v>
      </c>
      <c r="P10142" s="1720">
        <f>M10142*K10142</f>
        <v>2.9653147440000001</v>
      </c>
      <c r="Q10142" s="3396"/>
      <c r="R10142" s="3881"/>
    </row>
    <row r="10143" spans="1:18">
      <c r="A10143" s="1042"/>
      <c r="C10143" s="1320"/>
      <c r="D10143" s="1400" t="s">
        <v>1576</v>
      </c>
      <c r="E10143" s="1856" t="s">
        <v>1517</v>
      </c>
      <c r="F10143" s="1397" t="s">
        <v>1580</v>
      </c>
      <c r="G10143" s="1416">
        <v>1.1020000000000001</v>
      </c>
      <c r="H10143" s="1399">
        <f>H10140*G10143</f>
        <v>6.6120000000000007E-3</v>
      </c>
      <c r="I10143" s="197"/>
      <c r="J10143" s="198"/>
      <c r="K10143" s="1307">
        <f>H10143*K10133</f>
        <v>0.1368684</v>
      </c>
      <c r="L10143" s="1335">
        <f t="shared" si="1329"/>
        <v>1.368684</v>
      </c>
      <c r="M10143" s="1499">
        <v>6.53</v>
      </c>
      <c r="N10143" s="1724">
        <f>G10143*M10143</f>
        <v>7.196060000000001</v>
      </c>
      <c r="O10143" s="1719">
        <f>H10143*M10143</f>
        <v>4.3176360000000004E-2</v>
      </c>
      <c r="P10143" s="1720">
        <f>M10143*K10143</f>
        <v>0.89375065200000003</v>
      </c>
      <c r="Q10143" s="3396"/>
      <c r="R10143" s="1292"/>
    </row>
    <row r="10144" spans="1:18">
      <c r="A10144" s="1042"/>
      <c r="C10144" s="1320"/>
      <c r="D10144" s="1404" t="s">
        <v>1067</v>
      </c>
      <c r="E10144" s="1857" t="s">
        <v>1508</v>
      </c>
      <c r="F10144" s="2040" t="s">
        <v>1512</v>
      </c>
      <c r="G10144" s="1829">
        <v>1.03</v>
      </c>
      <c r="H10144" s="1408">
        <f>H10140*G10144</f>
        <v>6.1800000000000006E-3</v>
      </c>
      <c r="I10144" s="197"/>
      <c r="J10144" s="198"/>
      <c r="K10144" s="1307">
        <f>H10144*K10133</f>
        <v>0.12792600000000001</v>
      </c>
      <c r="L10144" s="1335">
        <f t="shared" si="1329"/>
        <v>1.2792600000000001</v>
      </c>
      <c r="M10144" s="1499">
        <v>18.28</v>
      </c>
      <c r="N10144" s="1724">
        <f>G10144*M10144</f>
        <v>18.828400000000002</v>
      </c>
      <c r="O10144" s="1719">
        <f>H10144*M10144</f>
        <v>0.11297040000000001</v>
      </c>
      <c r="P10144" s="1720">
        <f>M10144*K10144</f>
        <v>2.3384872800000003</v>
      </c>
      <c r="Q10144" s="3396"/>
      <c r="R10144" s="3881"/>
    </row>
    <row r="10145" spans="1:18">
      <c r="A10145" s="1042"/>
      <c r="B10145" s="1599"/>
      <c r="C10145" s="1042"/>
      <c r="D10145" s="1400"/>
      <c r="E10145" s="2121"/>
      <c r="F10145" s="1436"/>
      <c r="G10145" s="1436"/>
      <c r="H10145" s="1369"/>
      <c r="I10145" s="1299"/>
      <c r="J10145" s="1300"/>
      <c r="K10145" s="1307"/>
      <c r="L10145" s="1335"/>
      <c r="M10145" s="1302"/>
      <c r="N10145" s="1700"/>
      <c r="O10145" s="1290"/>
      <c r="P10145" s="1332"/>
      <c r="Q10145" s="3391"/>
    </row>
    <row r="10146" spans="1:18">
      <c r="A10146" s="1042"/>
      <c r="B10146" s="1599"/>
      <c r="C10146" s="1042"/>
      <c r="D10146" s="3863"/>
      <c r="E10146" s="1858"/>
      <c r="F10146" s="1360" t="s">
        <v>2</v>
      </c>
      <c r="G10146" s="1360"/>
      <c r="H10146" s="1362"/>
      <c r="I10146" s="1380"/>
      <c r="J10146" s="1381"/>
      <c r="K10146" s="1381"/>
      <c r="L10146" s="1458"/>
      <c r="M10146" s="1362"/>
      <c r="N10146" s="1362"/>
      <c r="O10146" s="1362"/>
      <c r="P10146" s="1359"/>
      <c r="Q10146" s="3387"/>
    </row>
    <row r="10147" spans="1:18">
      <c r="A10147" s="1042"/>
      <c r="B10147" s="1042"/>
      <c r="C10147" s="3864" t="s">
        <v>1523</v>
      </c>
      <c r="D10147" s="3865"/>
      <c r="E10147" s="2128" t="s">
        <v>1508</v>
      </c>
      <c r="F10147" s="2248" t="s">
        <v>1524</v>
      </c>
      <c r="G10147" s="1338"/>
      <c r="H10147" s="1344">
        <v>0.08</v>
      </c>
      <c r="I10147" s="1388"/>
      <c r="J10147" s="1366"/>
      <c r="K10147" s="1448"/>
      <c r="L10147" s="1457"/>
      <c r="M10147" s="1503"/>
      <c r="N10147" s="1447">
        <f>SUM(N10148:N10149)</f>
        <v>37.510000000000005</v>
      </c>
      <c r="O10147" s="1447">
        <f>SUM(O10148:O10149)</f>
        <v>3.0007999999999999</v>
      </c>
      <c r="P10147" s="1447">
        <f>SUM(P10148:P10149)</f>
        <v>62.11656</v>
      </c>
      <c r="Q10147" s="3391"/>
    </row>
    <row r="10148" spans="1:18">
      <c r="A10148" s="1042"/>
      <c r="B10148" s="1042"/>
      <c r="C10148" s="18"/>
      <c r="D10148" s="1402" t="s">
        <v>1067</v>
      </c>
      <c r="E10148" s="1857" t="s">
        <v>1508</v>
      </c>
      <c r="F10148" s="1403" t="s">
        <v>5</v>
      </c>
      <c r="G10148" s="1362">
        <v>1</v>
      </c>
      <c r="H10148" s="1359">
        <f>H10147*G10148</f>
        <v>0.08</v>
      </c>
      <c r="I10148" s="198"/>
      <c r="J10148" s="6"/>
      <c r="K10148" s="1307">
        <f>H10148*K10133</f>
        <v>1.6559999999999999</v>
      </c>
      <c r="L10148" s="1335">
        <f t="shared" ref="L10148:L10149" si="1330">K10148*$K$10059</f>
        <v>16.559999999999999</v>
      </c>
      <c r="M10148" s="1499">
        <v>18.28</v>
      </c>
      <c r="N10148" s="1724">
        <f>G10148*M10148</f>
        <v>18.28</v>
      </c>
      <c r="O10148" s="1290">
        <f>H10148*M10148</f>
        <v>1.4624000000000001</v>
      </c>
      <c r="P10148" s="1332">
        <f>M10148*K10148</f>
        <v>30.27168</v>
      </c>
      <c r="Q10148" s="3391"/>
    </row>
    <row r="10149" spans="1:18">
      <c r="A10149" s="1042"/>
      <c r="B10149" s="1042"/>
      <c r="C10149" s="1042"/>
      <c r="D10149" s="1402" t="s">
        <v>1077</v>
      </c>
      <c r="E10149" s="1857" t="s">
        <v>1508</v>
      </c>
      <c r="F10149" s="1403" t="s">
        <v>37</v>
      </c>
      <c r="G10149" s="1362">
        <v>1</v>
      </c>
      <c r="H10149" s="1359">
        <f>H10147*G10149</f>
        <v>0.08</v>
      </c>
      <c r="I10149" s="198"/>
      <c r="J10149" s="6"/>
      <c r="K10149" s="1307">
        <f>H10149*K10133</f>
        <v>1.6559999999999999</v>
      </c>
      <c r="L10149" s="1335">
        <f t="shared" si="1330"/>
        <v>16.559999999999999</v>
      </c>
      <c r="M10149" s="1499">
        <v>19.23</v>
      </c>
      <c r="N10149" s="1724">
        <f>G10149*M10149</f>
        <v>19.23</v>
      </c>
      <c r="O10149" s="1290">
        <f>H10149*M10149</f>
        <v>1.5384</v>
      </c>
      <c r="P10149" s="1332">
        <f>M10149*K10149</f>
        <v>31.84488</v>
      </c>
      <c r="Q10149" s="3391"/>
    </row>
    <row r="10150" spans="1:18">
      <c r="A10150" s="1042"/>
      <c r="B10150" s="553"/>
      <c r="C10150" s="1042"/>
      <c r="D10150" s="3860"/>
      <c r="E10150" s="3851"/>
      <c r="F10150" s="1766"/>
      <c r="G10150" s="3861"/>
      <c r="H10150" s="3246"/>
      <c r="I10150" s="197"/>
      <c r="J10150" s="3862"/>
      <c r="K10150" s="1307"/>
      <c r="L10150" s="1335"/>
      <c r="M10150" s="3852"/>
      <c r="N10150" s="1724"/>
      <c r="O10150" s="1290"/>
      <c r="P10150" s="3850"/>
      <c r="Q10150" s="3391"/>
    </row>
    <row r="10151" spans="1:18">
      <c r="A10151" s="1320"/>
      <c r="B10151" s="1599"/>
      <c r="C10151" s="1320"/>
      <c r="D10151" s="1411"/>
      <c r="E10151" s="2123"/>
      <c r="F10151" s="1374" t="s">
        <v>3</v>
      </c>
      <c r="G10151" s="1375"/>
      <c r="H10151" s="1376"/>
      <c r="I10151" s="1382"/>
      <c r="J10151" s="1383"/>
      <c r="K10151" s="1383"/>
      <c r="L10151" s="1413"/>
      <c r="M10151" s="1376"/>
      <c r="N10151" s="1376"/>
      <c r="O10151" s="1376"/>
      <c r="P10151" s="1373"/>
      <c r="Q10151" s="3387"/>
    </row>
    <row r="10152" spans="1:18">
      <c r="A10152" s="1321"/>
      <c r="B10152" s="2053"/>
      <c r="C10152" s="1321"/>
      <c r="D10152" s="1412"/>
      <c r="E10152" s="2124"/>
      <c r="F10152" s="1378"/>
      <c r="G10152" s="2200"/>
      <c r="H10152" s="1379"/>
      <c r="I10152" s="1299"/>
      <c r="J10152" s="1300"/>
      <c r="K10152" s="1307"/>
      <c r="L10152" s="1335"/>
      <c r="M10152" s="1302"/>
      <c r="N10152" s="1700"/>
      <c r="O10152" s="1290"/>
      <c r="P10152" s="1332"/>
      <c r="Q10152" s="3391"/>
    </row>
    <row r="10153" spans="1:18">
      <c r="A10153" s="1321"/>
      <c r="B10153" s="2053"/>
      <c r="C10153" s="1321"/>
      <c r="D10153" s="1412"/>
      <c r="E10153" s="2124"/>
      <c r="F10153" s="1378"/>
      <c r="G10153" s="1378"/>
      <c r="H10153" s="1379"/>
      <c r="I10153" s="1299"/>
      <c r="J10153" s="1300"/>
      <c r="K10153" s="1307"/>
      <c r="L10153" s="1335"/>
      <c r="M10153" s="1302"/>
      <c r="N10153" s="1700"/>
      <c r="O10153" s="1290"/>
      <c r="P10153" s="1333"/>
      <c r="Q10153" s="3391"/>
    </row>
    <row r="10154" spans="1:18">
      <c r="A10154" s="1042"/>
      <c r="B10154" s="1599"/>
      <c r="C10154" s="1042"/>
      <c r="D10154" s="1695"/>
      <c r="E10154" s="2278"/>
      <c r="F10154" s="2279"/>
      <c r="G10154" s="2279"/>
      <c r="H10154" s="2264"/>
      <c r="I10154" s="2280"/>
      <c r="J10154" s="2281"/>
      <c r="K10154" s="2236"/>
      <c r="L10154" s="1594"/>
      <c r="M10154" s="2282"/>
      <c r="N10154" s="2283"/>
      <c r="O10154" s="2237"/>
      <c r="P10154" s="2238"/>
      <c r="Q10154" s="3391"/>
    </row>
    <row r="10155" spans="1:18">
      <c r="A10155" s="18" t="s">
        <v>3764</v>
      </c>
      <c r="B10155" s="4325" t="s">
        <v>3678</v>
      </c>
      <c r="C10155" s="3877"/>
      <c r="D10155" s="4327"/>
      <c r="E10155" s="4329" t="s">
        <v>1527</v>
      </c>
      <c r="F10155" s="4372" t="s">
        <v>3679</v>
      </c>
      <c r="G10155" s="4331" t="s">
        <v>1568</v>
      </c>
      <c r="H10155" s="4331" t="s">
        <v>1574</v>
      </c>
      <c r="I10155" s="1572" t="s">
        <v>1559</v>
      </c>
      <c r="J10155" s="1294" t="s">
        <v>1560</v>
      </c>
      <c r="K10155" s="1294" t="s">
        <v>1569</v>
      </c>
      <c r="L10155" s="4333" t="s">
        <v>3765</v>
      </c>
      <c r="M10155" s="4335" t="s">
        <v>1571</v>
      </c>
      <c r="N10155" s="4323" t="s">
        <v>1776</v>
      </c>
      <c r="O10155" s="3876" t="s">
        <v>1563</v>
      </c>
      <c r="P10155" s="1336" t="s">
        <v>1562</v>
      </c>
      <c r="Q10155" s="3389"/>
      <c r="R10155" s="1699" t="s">
        <v>1327</v>
      </c>
    </row>
    <row r="10156" spans="1:18">
      <c r="A10156" s="1662" t="s">
        <v>3701</v>
      </c>
      <c r="B10156" s="4326"/>
      <c r="C10156" s="3879"/>
      <c r="D10156" s="4328"/>
      <c r="E10156" s="4330"/>
      <c r="F10156" s="4363"/>
      <c r="G10156" s="4332"/>
      <c r="H10156" s="4332"/>
      <c r="I10156" s="1306">
        <v>38.799999999999997</v>
      </c>
      <c r="J10156" s="1307">
        <v>0.25</v>
      </c>
      <c r="K10156" s="1297">
        <f>I10156*J10156</f>
        <v>9.6999999999999993</v>
      </c>
      <c r="L10156" s="4334"/>
      <c r="M10156" s="4335"/>
      <c r="N10156" s="4324"/>
      <c r="O10156" s="1298">
        <f>O10158+O10159+O10166+O10167</f>
        <v>4.5217944300000008</v>
      </c>
      <c r="P10156" s="1337">
        <f>O10156*K10156</f>
        <v>43.861405971000003</v>
      </c>
      <c r="Q10156" s="3390"/>
      <c r="R10156" s="1721">
        <f>P10158+P10159+P10166+P10167</f>
        <v>43.861405970999996</v>
      </c>
    </row>
    <row r="10157" spans="1:18">
      <c r="A10157" s="1320"/>
      <c r="B10157" s="1599"/>
      <c r="C10157" s="1327"/>
      <c r="D10157" s="1400"/>
      <c r="E10157" s="2121"/>
      <c r="F10157" s="1389" t="s">
        <v>1</v>
      </c>
      <c r="G10157" s="1389"/>
      <c r="H10157" s="3853"/>
      <c r="I10157" s="1409"/>
      <c r="J10157" s="1390"/>
      <c r="K10157" s="1391"/>
      <c r="L10157" s="1559"/>
      <c r="M10157" s="1369"/>
      <c r="N10157" s="1369"/>
      <c r="O10157" s="1369"/>
      <c r="P10157" s="1392"/>
      <c r="Q10157" s="3395"/>
    </row>
    <row r="10158" spans="1:18">
      <c r="A10158" s="1320"/>
      <c r="B10158" s="1599"/>
      <c r="C10158" s="1042"/>
      <c r="D10158" s="1400" t="s">
        <v>3680</v>
      </c>
      <c r="E10158" s="1856" t="s">
        <v>1504</v>
      </c>
      <c r="F10158" s="1397" t="s">
        <v>3681</v>
      </c>
      <c r="G10158" s="1416">
        <v>2.6</v>
      </c>
      <c r="H10158" s="3853"/>
      <c r="I10158" s="1289"/>
      <c r="J10158" s="2027"/>
      <c r="K10158" s="1307">
        <f>G10158*K10156</f>
        <v>25.22</v>
      </c>
      <c r="L10158" s="1335">
        <f>K10158*$K$10059</f>
        <v>252.2</v>
      </c>
      <c r="M10158" s="1302">
        <v>0.81</v>
      </c>
      <c r="N10158" s="1718"/>
      <c r="O10158" s="1290">
        <f t="shared" ref="O10158" si="1331">G10158*M10158</f>
        <v>2.1060000000000003</v>
      </c>
      <c r="P10158" s="1332">
        <f t="shared" ref="P10158" si="1332">M10158*K10158</f>
        <v>20.4282</v>
      </c>
      <c r="Q10158" s="3395"/>
    </row>
    <row r="10159" spans="1:18">
      <c r="A10159" s="1042"/>
      <c r="C10159" s="1356" t="s">
        <v>1127</v>
      </c>
      <c r="D10159" s="1311"/>
      <c r="E10159" s="2131" t="s">
        <v>1517</v>
      </c>
      <c r="F10159" s="1318" t="s">
        <v>1519</v>
      </c>
      <c r="G10159" s="1344"/>
      <c r="H10159" s="1344">
        <v>1E-3</v>
      </c>
      <c r="I10159" s="1444"/>
      <c r="J10159" s="1388"/>
      <c r="K10159" s="1459"/>
      <c r="L10159" s="1457"/>
      <c r="M10159" s="1500"/>
      <c r="N10159" s="1447">
        <f>SUM(N10160:N10163)</f>
        <v>50.044430000000006</v>
      </c>
      <c r="O10159" s="1447">
        <f>SUM(O10160:O10163)</f>
        <v>5.0044430000000008E-2</v>
      </c>
      <c r="P10159" s="1447">
        <f>SUM(P10160:P10163)</f>
        <v>0.48543097100000004</v>
      </c>
      <c r="Q10159" s="3391"/>
      <c r="R10159" s="3881"/>
    </row>
    <row r="10160" spans="1:18">
      <c r="A10160" s="1042"/>
      <c r="C10160" s="1327"/>
      <c r="D10160" s="1400" t="s">
        <v>1069</v>
      </c>
      <c r="E10160" s="1856" t="s">
        <v>1517</v>
      </c>
      <c r="F10160" s="1397" t="s">
        <v>1578</v>
      </c>
      <c r="G10160" s="1416">
        <v>0.26300000000000001</v>
      </c>
      <c r="H10160" s="1399">
        <f>H10159*G10160</f>
        <v>2.63E-4</v>
      </c>
      <c r="I10160" s="197"/>
      <c r="J10160" s="198"/>
      <c r="K10160" s="1307">
        <f>H10160*K10156</f>
        <v>2.5510999999999997E-3</v>
      </c>
      <c r="L10160" s="1335">
        <f t="shared" ref="L10160:L10163" si="1333">K10160*$K$10059</f>
        <v>2.5510999999999999E-2</v>
      </c>
      <c r="M10160" s="1499">
        <v>0.55000000000000004</v>
      </c>
      <c r="N10160" s="1724">
        <f>G10160*M10160</f>
        <v>0.14465000000000003</v>
      </c>
      <c r="O10160" s="1719">
        <f>H10160*M10160</f>
        <v>1.4465000000000002E-4</v>
      </c>
      <c r="P10160" s="1720">
        <f>M10160*K10160</f>
        <v>1.403105E-3</v>
      </c>
      <c r="Q10160" s="3396"/>
      <c r="R10160" s="3881"/>
    </row>
    <row r="10161" spans="1:18">
      <c r="A10161" s="1042"/>
      <c r="C10161" s="1320"/>
      <c r="D10161" s="1400" t="s">
        <v>1394</v>
      </c>
      <c r="E10161" s="1856" t="s">
        <v>1577</v>
      </c>
      <c r="F10161" s="1397" t="s">
        <v>1579</v>
      </c>
      <c r="G10161" s="1416">
        <v>0.25800000000000001</v>
      </c>
      <c r="H10161" s="1399">
        <f>H10159*G10161</f>
        <v>2.5800000000000004E-4</v>
      </c>
      <c r="I10161" s="197"/>
      <c r="J10161" s="198"/>
      <c r="K10161" s="1307">
        <f>H10161*K10156</f>
        <v>2.5026000000000002E-3</v>
      </c>
      <c r="L10161" s="1335">
        <f t="shared" si="1333"/>
        <v>2.5026000000000003E-2</v>
      </c>
      <c r="M10161" s="1499">
        <v>92.54</v>
      </c>
      <c r="N10161" s="1724">
        <f>G10161*M10161</f>
        <v>23.875320000000002</v>
      </c>
      <c r="O10161" s="1719">
        <f>H10161*M10161</f>
        <v>2.3875320000000005E-2</v>
      </c>
      <c r="P10161" s="1720">
        <f>M10161*K10161</f>
        <v>0.23159060400000003</v>
      </c>
      <c r="Q10161" s="3396"/>
      <c r="R10161" s="3881"/>
    </row>
    <row r="10162" spans="1:18">
      <c r="A10162" s="1042"/>
      <c r="C10162" s="1320"/>
      <c r="D10162" s="1400" t="s">
        <v>1576</v>
      </c>
      <c r="E10162" s="1856" t="s">
        <v>1517</v>
      </c>
      <c r="F10162" s="1397" t="s">
        <v>1580</v>
      </c>
      <c r="G10162" s="1416">
        <v>1.1020000000000001</v>
      </c>
      <c r="H10162" s="1399">
        <f>H10159*G10162</f>
        <v>1.1020000000000001E-3</v>
      </c>
      <c r="I10162" s="197"/>
      <c r="J10162" s="198"/>
      <c r="K10162" s="1307">
        <f>H10162*K10156</f>
        <v>1.06894E-2</v>
      </c>
      <c r="L10162" s="1335">
        <f t="shared" si="1333"/>
        <v>0.106894</v>
      </c>
      <c r="M10162" s="1499">
        <v>6.53</v>
      </c>
      <c r="N10162" s="1724">
        <f>G10162*M10162</f>
        <v>7.196060000000001</v>
      </c>
      <c r="O10162" s="1719">
        <f>H10162*M10162</f>
        <v>7.1960600000000007E-3</v>
      </c>
      <c r="P10162" s="1720">
        <f>M10162*K10162</f>
        <v>6.9801782000000007E-2</v>
      </c>
      <c r="Q10162" s="3396"/>
      <c r="R10162" s="1292"/>
    </row>
    <row r="10163" spans="1:18">
      <c r="A10163" s="1042"/>
      <c r="C10163" s="1320"/>
      <c r="D10163" s="1404" t="s">
        <v>1067</v>
      </c>
      <c r="E10163" s="1857" t="s">
        <v>1508</v>
      </c>
      <c r="F10163" s="2040" t="s">
        <v>1512</v>
      </c>
      <c r="G10163" s="1829">
        <v>1.03</v>
      </c>
      <c r="H10163" s="1408">
        <f>H10159*G10163</f>
        <v>1.0300000000000001E-3</v>
      </c>
      <c r="I10163" s="197"/>
      <c r="J10163" s="198"/>
      <c r="K10163" s="1307">
        <f>H10163*K10156</f>
        <v>9.9909999999999999E-3</v>
      </c>
      <c r="L10163" s="1335">
        <f t="shared" si="1333"/>
        <v>9.9909999999999999E-2</v>
      </c>
      <c r="M10163" s="1499">
        <v>18.28</v>
      </c>
      <c r="N10163" s="1724">
        <f>G10163*M10163</f>
        <v>18.828400000000002</v>
      </c>
      <c r="O10163" s="1719">
        <f>H10163*M10163</f>
        <v>1.8828400000000002E-2</v>
      </c>
      <c r="P10163" s="1720">
        <f>M10163*K10163</f>
        <v>0.18263548000000002</v>
      </c>
      <c r="Q10163" s="3396"/>
      <c r="R10163" s="3881"/>
    </row>
    <row r="10164" spans="1:18">
      <c r="A10164" s="1042"/>
      <c r="B10164" s="1599"/>
      <c r="C10164" s="1042"/>
      <c r="D10164" s="1400"/>
      <c r="E10164" s="2121"/>
      <c r="F10164" s="1436"/>
      <c r="G10164" s="1436"/>
      <c r="H10164" s="1369"/>
      <c r="I10164" s="1299"/>
      <c r="J10164" s="1300"/>
      <c r="K10164" s="1307"/>
      <c r="L10164" s="1335"/>
      <c r="M10164" s="1302"/>
      <c r="N10164" s="1700"/>
      <c r="O10164" s="1290"/>
      <c r="P10164" s="1332"/>
      <c r="Q10164" s="3391"/>
    </row>
    <row r="10165" spans="1:18">
      <c r="A10165" s="1042"/>
      <c r="B10165" s="1599"/>
      <c r="C10165" s="1042"/>
      <c r="D10165" s="3863"/>
      <c r="E10165" s="1858"/>
      <c r="F10165" s="1360" t="s">
        <v>2</v>
      </c>
      <c r="G10165" s="1360"/>
      <c r="H10165" s="1362"/>
      <c r="I10165" s="1380"/>
      <c r="J10165" s="1381"/>
      <c r="K10165" s="1381"/>
      <c r="L10165" s="1458"/>
      <c r="M10165" s="1362"/>
      <c r="N10165" s="1362"/>
      <c r="O10165" s="1362"/>
      <c r="P10165" s="1359"/>
      <c r="Q10165" s="3387"/>
    </row>
    <row r="10166" spans="1:18">
      <c r="A10166" s="1042"/>
      <c r="B10166" s="1042"/>
      <c r="C10166" s="1042"/>
      <c r="D10166" s="1402" t="s">
        <v>1134</v>
      </c>
      <c r="E10166" s="1857" t="s">
        <v>1508</v>
      </c>
      <c r="F10166" s="1403" t="s">
        <v>1547</v>
      </c>
      <c r="G10166" s="1362">
        <v>8.5000000000000006E-2</v>
      </c>
      <c r="H10166" s="1359"/>
      <c r="I10166" s="198"/>
      <c r="J10166" s="6"/>
      <c r="K10166" s="1307">
        <f>G10166*K10156</f>
        <v>0.82450000000000001</v>
      </c>
      <c r="L10166" s="1335">
        <f t="shared" ref="L10166:L10167" si="1334">K10166*$K$10059</f>
        <v>8.245000000000001</v>
      </c>
      <c r="M10166" s="1499">
        <v>19.23</v>
      </c>
      <c r="N10166" s="1724">
        <f>SUM(N10167:N10168)</f>
        <v>0.73120000000000007</v>
      </c>
      <c r="O10166" s="1290">
        <f t="shared" ref="O10166:O10167" si="1335">G10166*M10166</f>
        <v>1.6345500000000002</v>
      </c>
      <c r="P10166" s="1332">
        <f t="shared" ref="P10166:P10167" si="1336">M10166*K10166</f>
        <v>15.855135000000001</v>
      </c>
      <c r="Q10166" s="3391"/>
    </row>
    <row r="10167" spans="1:18">
      <c r="A10167" s="1042"/>
      <c r="B10167" s="1042"/>
      <c r="C10167" s="18"/>
      <c r="D10167" s="1402" t="s">
        <v>1067</v>
      </c>
      <c r="E10167" s="1857" t="s">
        <v>1508</v>
      </c>
      <c r="F10167" s="1403" t="s">
        <v>1512</v>
      </c>
      <c r="G10167" s="1362">
        <v>0.04</v>
      </c>
      <c r="H10167" s="1359"/>
      <c r="I10167" s="198"/>
      <c r="J10167" s="6"/>
      <c r="K10167" s="1307">
        <f>G10167*K10156</f>
        <v>0.38799999999999996</v>
      </c>
      <c r="L10167" s="1335">
        <f t="shared" si="1334"/>
        <v>3.8799999999999994</v>
      </c>
      <c r="M10167" s="1499">
        <v>18.28</v>
      </c>
      <c r="N10167" s="1724">
        <f>G10167*M10167</f>
        <v>0.73120000000000007</v>
      </c>
      <c r="O10167" s="1290">
        <f t="shared" si="1335"/>
        <v>0.73120000000000007</v>
      </c>
      <c r="P10167" s="1332">
        <f t="shared" si="1336"/>
        <v>7.0926399999999994</v>
      </c>
      <c r="Q10167" s="1640"/>
    </row>
    <row r="10168" spans="1:18">
      <c r="A10168" s="1042"/>
      <c r="B10168" s="1042"/>
      <c r="C10168" s="1042"/>
      <c r="D10168" s="1402"/>
      <c r="E10168" s="1857"/>
      <c r="F10168" s="1403"/>
      <c r="G10168" s="1362"/>
      <c r="H10168" s="1359"/>
      <c r="I10168" s="198"/>
      <c r="J10168" s="6"/>
      <c r="K10168" s="1307"/>
      <c r="L10168" s="1335"/>
      <c r="M10168" s="1499"/>
      <c r="N10168" s="1724"/>
      <c r="O10168" s="1290"/>
      <c r="P10168" s="1332"/>
      <c r="Q10168" s="3391"/>
    </row>
    <row r="10169" spans="1:18">
      <c r="A10169" s="1042"/>
      <c r="B10169" s="553"/>
      <c r="C10169" s="1042"/>
      <c r="D10169" s="3860"/>
      <c r="E10169" s="3851"/>
      <c r="F10169" s="1766"/>
      <c r="G10169" s="3861"/>
      <c r="H10169" s="3246"/>
      <c r="I10169" s="197"/>
      <c r="J10169" s="3862"/>
      <c r="K10169" s="1307"/>
      <c r="L10169" s="1335"/>
      <c r="M10169" s="3852"/>
      <c r="N10169" s="1724"/>
      <c r="O10169" s="1290"/>
      <c r="P10169" s="3850"/>
      <c r="Q10169" s="3391"/>
    </row>
    <row r="10170" spans="1:18">
      <c r="A10170" s="1320"/>
      <c r="B10170" s="1599"/>
      <c r="C10170" s="1320"/>
      <c r="D10170" s="1411"/>
      <c r="E10170" s="2123"/>
      <c r="F10170" s="1374" t="s">
        <v>3</v>
      </c>
      <c r="G10170" s="1375"/>
      <c r="H10170" s="1376"/>
      <c r="I10170" s="1382"/>
      <c r="J10170" s="1383"/>
      <c r="K10170" s="1383"/>
      <c r="L10170" s="1413"/>
      <c r="M10170" s="1376"/>
      <c r="N10170" s="1376"/>
      <c r="O10170" s="1376"/>
      <c r="P10170" s="1373"/>
      <c r="Q10170" s="3387"/>
    </row>
    <row r="10171" spans="1:18">
      <c r="A10171" s="1321"/>
      <c r="B10171" s="2053"/>
      <c r="C10171" s="1321"/>
      <c r="D10171" s="1412"/>
      <c r="E10171" s="2124"/>
      <c r="F10171" s="1378"/>
      <c r="G10171" s="2200"/>
      <c r="H10171" s="1379"/>
      <c r="I10171" s="1299"/>
      <c r="J10171" s="1300"/>
      <c r="K10171" s="1307"/>
      <c r="L10171" s="1335"/>
      <c r="M10171" s="1302"/>
      <c r="N10171" s="1700"/>
      <c r="O10171" s="1290"/>
      <c r="P10171" s="1332"/>
      <c r="Q10171" s="3391"/>
    </row>
    <row r="10172" spans="1:18">
      <c r="A10172" s="1321"/>
      <c r="B10172" s="2053"/>
      <c r="C10172" s="1321"/>
      <c r="D10172" s="1412"/>
      <c r="E10172" s="2124"/>
      <c r="F10172" s="1378"/>
      <c r="G10172" s="1378"/>
      <c r="H10172" s="1379"/>
      <c r="I10172" s="1299"/>
      <c r="J10172" s="1300"/>
      <c r="K10172" s="1307"/>
      <c r="L10172" s="1335"/>
      <c r="M10172" s="1302"/>
      <c r="N10172" s="1700"/>
      <c r="O10172" s="1290"/>
      <c r="P10172" s="1333"/>
      <c r="Q10172" s="3391"/>
    </row>
    <row r="10173" spans="1:18">
      <c r="A10173" s="1042"/>
      <c r="B10173" s="1599"/>
      <c r="C10173" s="1042"/>
      <c r="D10173" s="1695"/>
      <c r="E10173" s="2278"/>
      <c r="F10173" s="2279"/>
      <c r="G10173" s="2279"/>
      <c r="H10173" s="2264"/>
      <c r="I10173" s="2280"/>
      <c r="J10173" s="2281"/>
      <c r="K10173" s="2236"/>
      <c r="L10173" s="1594"/>
      <c r="M10173" s="2282"/>
      <c r="N10173" s="2283"/>
      <c r="O10173" s="2237"/>
      <c r="P10173" s="2238"/>
      <c r="Q10173" s="3391"/>
    </row>
    <row r="10174" spans="1:18">
      <c r="A10174" s="18" t="s">
        <v>3764</v>
      </c>
      <c r="B10174" s="4325" t="s">
        <v>3682</v>
      </c>
      <c r="C10174" s="3877"/>
      <c r="D10174" s="4327"/>
      <c r="E10174" s="4329" t="s">
        <v>1527</v>
      </c>
      <c r="F10174" s="4372" t="s">
        <v>3683</v>
      </c>
      <c r="G10174" s="4331" t="s">
        <v>1568</v>
      </c>
      <c r="H10174" s="4331" t="s">
        <v>1574</v>
      </c>
      <c r="I10174" s="1572" t="s">
        <v>1559</v>
      </c>
      <c r="J10174" s="1294" t="s">
        <v>1560</v>
      </c>
      <c r="K10174" s="1294" t="s">
        <v>1569</v>
      </c>
      <c r="L10174" s="4333" t="s">
        <v>3765</v>
      </c>
      <c r="M10174" s="4335" t="s">
        <v>1571</v>
      </c>
      <c r="N10174" s="4323" t="s">
        <v>1776</v>
      </c>
      <c r="O10174" s="3876" t="s">
        <v>1563</v>
      </c>
      <c r="P10174" s="1336" t="s">
        <v>1562</v>
      </c>
      <c r="Q10174" s="3389"/>
      <c r="R10174" s="1699" t="s">
        <v>1327</v>
      </c>
    </row>
    <row r="10175" spans="1:18">
      <c r="A10175" s="1662" t="s">
        <v>3701</v>
      </c>
      <c r="B10175" s="4326"/>
      <c r="C10175" s="3879"/>
      <c r="D10175" s="4328"/>
      <c r="E10175" s="4330"/>
      <c r="F10175" s="4363"/>
      <c r="G10175" s="4332"/>
      <c r="H10175" s="4332"/>
      <c r="I10175" s="1306">
        <v>38.159999999999997</v>
      </c>
      <c r="J10175" s="1307">
        <v>0.25</v>
      </c>
      <c r="K10175" s="1297">
        <f>I10175*J10175</f>
        <v>9.5399999999999991</v>
      </c>
      <c r="L10175" s="4334"/>
      <c r="M10175" s="4335"/>
      <c r="N10175" s="4324"/>
      <c r="O10175" s="1298">
        <f>O10177+O10178+O10179+O10180+O10184+O10191+O10192</f>
        <v>18.51018243</v>
      </c>
      <c r="P10175" s="1337">
        <f>O10175*K10175</f>
        <v>176.58714038219998</v>
      </c>
      <c r="Q10175" s="3390"/>
      <c r="R10175" s="1721">
        <f>P10177+P10178+P10179+P10180+P10184+P10191+P10192</f>
        <v>176.5694737332</v>
      </c>
    </row>
    <row r="10176" spans="1:18">
      <c r="A10176" s="1320"/>
      <c r="B10176" s="1599"/>
      <c r="C10176" s="1327"/>
      <c r="D10176" s="1400"/>
      <c r="E10176" s="2121"/>
      <c r="F10176" s="1389" t="s">
        <v>1</v>
      </c>
      <c r="G10176" s="1389"/>
      <c r="H10176" s="3853"/>
      <c r="I10176" s="1409"/>
      <c r="J10176" s="1390"/>
      <c r="K10176" s="1391"/>
      <c r="L10176" s="1559"/>
      <c r="M10176" s="1369"/>
      <c r="N10176" s="1369"/>
      <c r="O10176" s="1369"/>
      <c r="P10176" s="1392"/>
      <c r="Q10176" s="3395"/>
    </row>
    <row r="10177" spans="1:18">
      <c r="A10177" s="1320"/>
      <c r="B10177" s="1599"/>
      <c r="C10177" s="1042"/>
      <c r="D10177" s="1400" t="s">
        <v>1094</v>
      </c>
      <c r="E10177" s="1856" t="s">
        <v>1517</v>
      </c>
      <c r="F10177" s="1397" t="s">
        <v>1543</v>
      </c>
      <c r="G10177" s="1416">
        <v>0.02</v>
      </c>
      <c r="H10177" s="3853"/>
      <c r="I10177" s="1289"/>
      <c r="J10177" s="2027"/>
      <c r="K10177" s="1307">
        <f>G10177*K10175</f>
        <v>0.1908</v>
      </c>
      <c r="L10177" s="1335">
        <f t="shared" ref="L10177:L10179" si="1337">K10177*$K$10059</f>
        <v>1.9079999999999999</v>
      </c>
      <c r="M10177" s="1302">
        <v>8.39</v>
      </c>
      <c r="N10177" s="1718"/>
      <c r="O10177" s="1290">
        <f t="shared" ref="O10177:O10179" si="1338">G10177*M10177</f>
        <v>0.1678</v>
      </c>
      <c r="P10177" s="1332">
        <f>M10177*K10177</f>
        <v>1.6008120000000001</v>
      </c>
      <c r="Q10177" s="3395"/>
    </row>
    <row r="10178" spans="1:18">
      <c r="A10178" s="1320"/>
      <c r="B10178" s="1599"/>
      <c r="C10178" s="553"/>
      <c r="D10178" s="3866" t="s">
        <v>3684</v>
      </c>
      <c r="E10178" s="3867" t="s">
        <v>1507</v>
      </c>
      <c r="F10178" s="3868" t="s">
        <v>3685</v>
      </c>
      <c r="G10178" s="3869">
        <v>1.04</v>
      </c>
      <c r="H10178" s="3853"/>
      <c r="I10178" s="1289"/>
      <c r="J10178" s="2027"/>
      <c r="K10178" s="1307">
        <f>G10178*K10175</f>
        <v>9.9215999999999998</v>
      </c>
      <c r="L10178" s="1335">
        <f t="shared" si="1337"/>
        <v>99.215999999999994</v>
      </c>
      <c r="M10178" s="3849">
        <v>6.98</v>
      </c>
      <c r="N10178" s="1718"/>
      <c r="O10178" s="1290">
        <f t="shared" si="1338"/>
        <v>7.2592000000000008</v>
      </c>
      <c r="P10178" s="1332">
        <f>M10178*K10178</f>
        <v>69.252768000000003</v>
      </c>
      <c r="Q10178" s="3395"/>
    </row>
    <row r="10179" spans="1:18">
      <c r="A10179" s="1320"/>
      <c r="B10179" s="1599"/>
      <c r="C10179" s="553"/>
      <c r="D10179" s="3866" t="s">
        <v>3686</v>
      </c>
      <c r="E10179" s="3867" t="s">
        <v>1507</v>
      </c>
      <c r="F10179" s="3868" t="s">
        <v>3687</v>
      </c>
      <c r="G10179" s="3869">
        <v>1</v>
      </c>
      <c r="H10179" s="3853"/>
      <c r="I10179" s="1289"/>
      <c r="J10179" s="2027"/>
      <c r="K10179" s="1307">
        <f>G10179*K10175</f>
        <v>9.5399999999999991</v>
      </c>
      <c r="L10179" s="1335">
        <f t="shared" si="1337"/>
        <v>95.399999999999991</v>
      </c>
      <c r="M10179" s="3849">
        <v>2.92</v>
      </c>
      <c r="N10179" s="1718"/>
      <c r="O10179" s="1290">
        <f t="shared" si="1338"/>
        <v>2.92</v>
      </c>
      <c r="P10179" s="1332">
        <f>M10179*K10179</f>
        <v>27.856799999999996</v>
      </c>
      <c r="Q10179" s="3395"/>
    </row>
    <row r="10180" spans="1:18">
      <c r="A10180" s="1042"/>
      <c r="B10180" s="1042"/>
      <c r="C10180" s="1356" t="s">
        <v>1155</v>
      </c>
      <c r="D10180" s="1311"/>
      <c r="E10180" s="2136" t="s">
        <v>1517</v>
      </c>
      <c r="F10180" s="3858" t="s">
        <v>1544</v>
      </c>
      <c r="G10180" s="3856"/>
      <c r="H10180" s="3856">
        <v>1E-3</v>
      </c>
      <c r="I10180" s="1455"/>
      <c r="J10180" s="1388"/>
      <c r="K10180" s="1445"/>
      <c r="L10180" s="1457"/>
      <c r="M10180" s="1446"/>
      <c r="N10180" s="1447">
        <f>SUM(N10181:N10183)</f>
        <v>114.04755</v>
      </c>
      <c r="O10180" s="1447">
        <f>SUM(O10181:O10183)</f>
        <v>0.11589940000000001</v>
      </c>
      <c r="P10180" s="1447">
        <f>SUM(P10181:P10183)</f>
        <v>1.088013627</v>
      </c>
      <c r="Q10180" s="3391"/>
      <c r="R10180" s="2343"/>
    </row>
    <row r="10181" spans="1:18">
      <c r="A10181" s="1042"/>
      <c r="B10181" s="553"/>
      <c r="C10181" s="1327"/>
      <c r="D10181" s="1451" t="s">
        <v>1069</v>
      </c>
      <c r="E10181" s="1856" t="s">
        <v>1517</v>
      </c>
      <c r="F10181" s="1421" t="s">
        <v>1578</v>
      </c>
      <c r="G10181" s="1452">
        <v>0.89100000000000001</v>
      </c>
      <c r="H10181" s="1453">
        <f>H10180*G10181</f>
        <v>8.9100000000000008E-4</v>
      </c>
      <c r="I10181" s="1286"/>
      <c r="J10181" s="198"/>
      <c r="K10181" s="1307">
        <f>H10181*K10175</f>
        <v>8.5001399999999998E-3</v>
      </c>
      <c r="L10181" s="1335">
        <f t="shared" ref="L10181:L10183" si="1339">K10181*$K$10059</f>
        <v>8.5001400000000005E-2</v>
      </c>
      <c r="M10181" s="1302">
        <v>0.55000000000000004</v>
      </c>
      <c r="N10181" s="1718">
        <f>G10181*M10181</f>
        <v>0.49005000000000004</v>
      </c>
      <c r="O10181" s="1719">
        <f>ROUND(H10181*M10181,2)</f>
        <v>0</v>
      </c>
      <c r="P10181" s="1720">
        <f>M10181*K10181</f>
        <v>4.6750770000000006E-3</v>
      </c>
      <c r="Q10181" s="3396"/>
      <c r="R10181" s="2343"/>
    </row>
    <row r="10182" spans="1:18">
      <c r="A10182" s="1042"/>
      <c r="B10182" s="553"/>
      <c r="C10182" s="1320"/>
      <c r="D10182" s="1367" t="s">
        <v>1394</v>
      </c>
      <c r="E10182" s="1856" t="s">
        <v>1577</v>
      </c>
      <c r="F10182" s="1421" t="s">
        <v>1579</v>
      </c>
      <c r="G10182" s="1452">
        <v>0.51500000000000001</v>
      </c>
      <c r="H10182" s="1453">
        <f>H10180*G10182</f>
        <v>5.1500000000000005E-4</v>
      </c>
      <c r="I10182" s="1286"/>
      <c r="J10182" s="198"/>
      <c r="K10182" s="1307">
        <f>H10182*K10175</f>
        <v>4.9131000000000001E-3</v>
      </c>
      <c r="L10182" s="1335">
        <f t="shared" si="1339"/>
        <v>4.9131000000000001E-2</v>
      </c>
      <c r="M10182" s="1302">
        <v>92.54</v>
      </c>
      <c r="N10182" s="1718">
        <f>G10182*M10182</f>
        <v>47.658100000000005</v>
      </c>
      <c r="O10182" s="1719">
        <f>ROUND(H10182*M10182,2)</f>
        <v>0.05</v>
      </c>
      <c r="P10182" s="1720">
        <f>M10182*K10182</f>
        <v>0.45465827400000003</v>
      </c>
      <c r="Q10182" s="3396"/>
      <c r="R10182" s="2343"/>
    </row>
    <row r="10183" spans="1:18">
      <c r="A10183" s="1042"/>
      <c r="B10183" s="553"/>
      <c r="C10183" s="225"/>
      <c r="D10183" s="1443" t="s">
        <v>1067</v>
      </c>
      <c r="E10183" s="1857" t="s">
        <v>1508</v>
      </c>
      <c r="F10183" s="1430" t="s">
        <v>1512</v>
      </c>
      <c r="G10183" s="1431">
        <v>3.605</v>
      </c>
      <c r="H10183" s="1454">
        <f>H10180*G10183</f>
        <v>3.6050000000000001E-3</v>
      </c>
      <c r="I10183" s="1286"/>
      <c r="J10183" s="198"/>
      <c r="K10183" s="1307">
        <f>H10183*K10175</f>
        <v>3.4391699999999997E-2</v>
      </c>
      <c r="L10183" s="1335">
        <f t="shared" si="1339"/>
        <v>0.34391699999999997</v>
      </c>
      <c r="M10183" s="1302">
        <v>18.28</v>
      </c>
      <c r="N10183" s="1718">
        <f>G10183*M10183</f>
        <v>65.8994</v>
      </c>
      <c r="O10183" s="1719">
        <f>H10183*M10183</f>
        <v>6.5899400000000011E-2</v>
      </c>
      <c r="P10183" s="1720">
        <f>M10183*K10183</f>
        <v>0.62868027599999998</v>
      </c>
      <c r="Q10183" s="3396"/>
      <c r="R10183" s="2343"/>
    </row>
    <row r="10184" spans="1:18">
      <c r="A10184" s="1042"/>
      <c r="C10184" s="1356" t="s">
        <v>1127</v>
      </c>
      <c r="D10184" s="1311"/>
      <c r="E10184" s="2131" t="s">
        <v>1517</v>
      </c>
      <c r="F10184" s="1318" t="s">
        <v>1519</v>
      </c>
      <c r="G10184" s="1344"/>
      <c r="H10184" s="1344">
        <v>2.1000000000000001E-2</v>
      </c>
      <c r="I10184" s="1444"/>
      <c r="J10184" s="1388"/>
      <c r="K10184" s="1459"/>
      <c r="L10184" s="1457"/>
      <c r="M10184" s="1500"/>
      <c r="N10184" s="1447">
        <f>SUM(N10185:N10188)</f>
        <v>50.044430000000006</v>
      </c>
      <c r="O10184" s="1447">
        <f>SUM(O10185:O10188)</f>
        <v>1.0509330300000002</v>
      </c>
      <c r="P10184" s="1447">
        <f>SUM(P10185:P10188)</f>
        <v>10.025901106200001</v>
      </c>
      <c r="Q10184" s="3391"/>
      <c r="R10184" s="3881"/>
    </row>
    <row r="10185" spans="1:18">
      <c r="A10185" s="1042"/>
      <c r="C10185" s="1327"/>
      <c r="D10185" s="1400" t="s">
        <v>1069</v>
      </c>
      <c r="E10185" s="1856" t="s">
        <v>1517</v>
      </c>
      <c r="F10185" s="1397" t="s">
        <v>1578</v>
      </c>
      <c r="G10185" s="1416">
        <v>0.26300000000000001</v>
      </c>
      <c r="H10185" s="1399">
        <f>H10184*G10185</f>
        <v>5.523000000000001E-3</v>
      </c>
      <c r="I10185" s="197"/>
      <c r="J10185" s="198"/>
      <c r="K10185" s="1307">
        <f>H10185*K10175</f>
        <v>5.2689420000000008E-2</v>
      </c>
      <c r="L10185" s="1335">
        <f t="shared" ref="L10185:L10188" si="1340">K10185*$K$10059</f>
        <v>0.52689420000000009</v>
      </c>
      <c r="M10185" s="1499">
        <v>0.55000000000000004</v>
      </c>
      <c r="N10185" s="1724">
        <f>G10185*M10185</f>
        <v>0.14465000000000003</v>
      </c>
      <c r="O10185" s="1719">
        <f>H10185*M10185</f>
        <v>3.0376500000000007E-3</v>
      </c>
      <c r="P10185" s="1720">
        <f>M10185*K10185</f>
        <v>2.8979181000000007E-2</v>
      </c>
      <c r="Q10185" s="3396"/>
      <c r="R10185" s="3881"/>
    </row>
    <row r="10186" spans="1:18">
      <c r="A10186" s="1042"/>
      <c r="C10186" s="1320"/>
      <c r="D10186" s="1400" t="s">
        <v>1394</v>
      </c>
      <c r="E10186" s="1856" t="s">
        <v>1577</v>
      </c>
      <c r="F10186" s="1397" t="s">
        <v>1579</v>
      </c>
      <c r="G10186" s="1416">
        <v>0.25800000000000001</v>
      </c>
      <c r="H10186" s="1399">
        <f>H10184*G10186</f>
        <v>5.4180000000000001E-3</v>
      </c>
      <c r="I10186" s="197"/>
      <c r="J10186" s="198"/>
      <c r="K10186" s="1307">
        <f>H10186*K10175</f>
        <v>5.1687719999999999E-2</v>
      </c>
      <c r="L10186" s="1335">
        <f t="shared" si="1340"/>
        <v>0.51687720000000004</v>
      </c>
      <c r="M10186" s="1499">
        <v>92.54</v>
      </c>
      <c r="N10186" s="1724">
        <f>G10186*M10186</f>
        <v>23.875320000000002</v>
      </c>
      <c r="O10186" s="1719">
        <f>H10186*M10186</f>
        <v>0.50138172000000003</v>
      </c>
      <c r="P10186" s="1720">
        <f>M10186*K10186</f>
        <v>4.7831816088000005</v>
      </c>
      <c r="Q10186" s="3396"/>
      <c r="R10186" s="3881"/>
    </row>
    <row r="10187" spans="1:18">
      <c r="A10187" s="1042"/>
      <c r="C10187" s="1320"/>
      <c r="D10187" s="1400" t="s">
        <v>1576</v>
      </c>
      <c r="E10187" s="1856" t="s">
        <v>1517</v>
      </c>
      <c r="F10187" s="1397" t="s">
        <v>1580</v>
      </c>
      <c r="G10187" s="1416">
        <v>1.1020000000000001</v>
      </c>
      <c r="H10187" s="1399">
        <f>H10184*G10187</f>
        <v>2.3142000000000003E-2</v>
      </c>
      <c r="I10187" s="197"/>
      <c r="J10187" s="198"/>
      <c r="K10187" s="1307">
        <f>H10187*K10175</f>
        <v>0.22077468</v>
      </c>
      <c r="L10187" s="1335">
        <f t="shared" si="1340"/>
        <v>2.2077467999999998</v>
      </c>
      <c r="M10187" s="1499">
        <v>6.53</v>
      </c>
      <c r="N10187" s="1724">
        <f>G10187*M10187</f>
        <v>7.196060000000001</v>
      </c>
      <c r="O10187" s="1719">
        <f>H10187*M10187</f>
        <v>0.15111726000000003</v>
      </c>
      <c r="P10187" s="1720">
        <f>M10187*K10187</f>
        <v>1.4416586604000001</v>
      </c>
      <c r="Q10187" s="3396"/>
      <c r="R10187" s="1292"/>
    </row>
    <row r="10188" spans="1:18">
      <c r="A10188" s="1042"/>
      <c r="C10188" s="1320"/>
      <c r="D10188" s="1404" t="s">
        <v>1067</v>
      </c>
      <c r="E10188" s="1857" t="s">
        <v>1508</v>
      </c>
      <c r="F10188" s="2040" t="s">
        <v>1512</v>
      </c>
      <c r="G10188" s="1829">
        <v>1.03</v>
      </c>
      <c r="H10188" s="1408">
        <f>H10184*G10188</f>
        <v>2.1630000000000003E-2</v>
      </c>
      <c r="I10188" s="197"/>
      <c r="J10188" s="198"/>
      <c r="K10188" s="1307">
        <f>H10188*K10175</f>
        <v>0.20635020000000001</v>
      </c>
      <c r="L10188" s="1335">
        <f t="shared" si="1340"/>
        <v>2.0635020000000002</v>
      </c>
      <c r="M10188" s="1499">
        <v>18.28</v>
      </c>
      <c r="N10188" s="1724">
        <f>G10188*M10188</f>
        <v>18.828400000000002</v>
      </c>
      <c r="O10188" s="1719">
        <f>H10188*M10188</f>
        <v>0.39539640000000009</v>
      </c>
      <c r="P10188" s="1720">
        <f>M10188*K10188</f>
        <v>3.7720816560000006</v>
      </c>
      <c r="Q10188" s="3396"/>
      <c r="R10188" s="3881"/>
    </row>
    <row r="10189" spans="1:18">
      <c r="A10189" s="1042"/>
      <c r="B10189" s="1599"/>
      <c r="C10189" s="1042"/>
      <c r="D10189" s="1400"/>
      <c r="E10189" s="2121"/>
      <c r="F10189" s="1436"/>
      <c r="G10189" s="1436"/>
      <c r="H10189" s="1369"/>
      <c r="I10189" s="1299"/>
      <c r="J10189" s="1300"/>
      <c r="K10189" s="1307"/>
      <c r="L10189" s="1335"/>
      <c r="M10189" s="1302"/>
      <c r="N10189" s="1700"/>
      <c r="O10189" s="1290"/>
      <c r="P10189" s="1332"/>
      <c r="Q10189" s="3391"/>
    </row>
    <row r="10190" spans="1:18">
      <c r="A10190" s="1042"/>
      <c r="B10190" s="1599"/>
      <c r="C10190" s="1042"/>
      <c r="D10190" s="3863"/>
      <c r="E10190" s="1858"/>
      <c r="F10190" s="1360" t="s">
        <v>2</v>
      </c>
      <c r="G10190" s="1360"/>
      <c r="H10190" s="1362"/>
      <c r="I10190" s="1380"/>
      <c r="J10190" s="1381"/>
      <c r="K10190" s="1381"/>
      <c r="L10190" s="1458"/>
      <c r="M10190" s="1362"/>
      <c r="N10190" s="1362"/>
      <c r="O10190" s="1362"/>
      <c r="P10190" s="1359"/>
      <c r="Q10190" s="3387"/>
    </row>
    <row r="10191" spans="1:18">
      <c r="A10191" s="1042"/>
      <c r="B10191" s="1042"/>
      <c r="C10191" s="1042"/>
      <c r="D10191" s="1402" t="s">
        <v>1134</v>
      </c>
      <c r="E10191" s="1857" t="s">
        <v>1508</v>
      </c>
      <c r="F10191" s="1403" t="s">
        <v>1547</v>
      </c>
      <c r="G10191" s="1362">
        <v>0.245</v>
      </c>
      <c r="H10191" s="1359"/>
      <c r="I10191" s="198"/>
      <c r="J10191" s="6"/>
      <c r="K10191" s="1307">
        <f>G10191*K10175</f>
        <v>2.3372999999999999</v>
      </c>
      <c r="L10191" s="1335">
        <f t="shared" ref="L10191:L10192" si="1341">K10191*$K$10059</f>
        <v>23.372999999999998</v>
      </c>
      <c r="M10191" s="1499">
        <v>19.23</v>
      </c>
      <c r="N10191" s="1724"/>
      <c r="O10191" s="1290">
        <f t="shared" ref="O10191:O10192" si="1342">G10191*M10191</f>
        <v>4.7113500000000004</v>
      </c>
      <c r="P10191" s="1332">
        <f>M10191*K10191</f>
        <v>44.946278999999997</v>
      </c>
      <c r="Q10191" s="3391"/>
    </row>
    <row r="10192" spans="1:18">
      <c r="A10192" s="1042"/>
      <c r="B10192" s="1042"/>
      <c r="C10192" s="18"/>
      <c r="D10192" s="1402" t="s">
        <v>1067</v>
      </c>
      <c r="E10192" s="1857" t="s">
        <v>1508</v>
      </c>
      <c r="F10192" s="1403" t="s">
        <v>1512</v>
      </c>
      <c r="G10192" s="1362">
        <v>0.125</v>
      </c>
      <c r="H10192" s="1359"/>
      <c r="I10192" s="198"/>
      <c r="J10192" s="6"/>
      <c r="K10192" s="1307">
        <f>G10192*K10175</f>
        <v>1.1924999999999999</v>
      </c>
      <c r="L10192" s="1335">
        <f t="shared" si="1341"/>
        <v>11.924999999999999</v>
      </c>
      <c r="M10192" s="1499">
        <v>18.28</v>
      </c>
      <c r="N10192" s="1724"/>
      <c r="O10192" s="1290">
        <f t="shared" si="1342"/>
        <v>2.2850000000000001</v>
      </c>
      <c r="P10192" s="1332">
        <f>M10192*K10192</f>
        <v>21.7989</v>
      </c>
      <c r="Q10192" s="1640"/>
    </row>
    <row r="10193" spans="1:18">
      <c r="A10193" s="1042"/>
      <c r="B10193" s="1042"/>
      <c r="C10193" s="1042"/>
      <c r="D10193" s="1402"/>
      <c r="E10193" s="1857"/>
      <c r="F10193" s="1403"/>
      <c r="G10193" s="1362"/>
      <c r="H10193" s="1359"/>
      <c r="I10193" s="198"/>
      <c r="J10193" s="6"/>
      <c r="K10193" s="1307"/>
      <c r="L10193" s="1335"/>
      <c r="M10193" s="1499"/>
      <c r="N10193" s="1724"/>
      <c r="O10193" s="1290"/>
      <c r="P10193" s="1332"/>
      <c r="Q10193" s="3391"/>
    </row>
    <row r="10194" spans="1:18">
      <c r="A10194" s="1042"/>
      <c r="B10194" s="553"/>
      <c r="C10194" s="1042"/>
      <c r="D10194" s="3860"/>
      <c r="E10194" s="3851"/>
      <c r="F10194" s="1766"/>
      <c r="G10194" s="3861"/>
      <c r="H10194" s="3246"/>
      <c r="I10194" s="197"/>
      <c r="J10194" s="3862"/>
      <c r="K10194" s="1307"/>
      <c r="L10194" s="1335"/>
      <c r="M10194" s="3852"/>
      <c r="N10194" s="1724"/>
      <c r="O10194" s="1290"/>
      <c r="P10194" s="3850"/>
      <c r="Q10194" s="3391"/>
    </row>
    <row r="10195" spans="1:18">
      <c r="A10195" s="1320"/>
      <c r="B10195" s="1599"/>
      <c r="C10195" s="1320"/>
      <c r="D10195" s="1411"/>
      <c r="E10195" s="2123"/>
      <c r="F10195" s="1374" t="s">
        <v>3</v>
      </c>
      <c r="G10195" s="1375"/>
      <c r="H10195" s="1376"/>
      <c r="I10195" s="1382"/>
      <c r="J10195" s="1383"/>
      <c r="K10195" s="1383"/>
      <c r="L10195" s="1413"/>
      <c r="M10195" s="1376"/>
      <c r="N10195" s="1376"/>
      <c r="O10195" s="1376"/>
      <c r="P10195" s="1373"/>
      <c r="Q10195" s="3387"/>
    </row>
    <row r="10196" spans="1:18">
      <c r="A10196" s="1321"/>
      <c r="B10196" s="2053"/>
      <c r="C10196" s="1321"/>
      <c r="D10196" s="1412"/>
      <c r="E10196" s="2124"/>
      <c r="F10196" s="1378"/>
      <c r="G10196" s="2200"/>
      <c r="H10196" s="1379"/>
      <c r="I10196" s="1299"/>
      <c r="J10196" s="1300"/>
      <c r="K10196" s="1307"/>
      <c r="L10196" s="1335"/>
      <c r="M10196" s="1302"/>
      <c r="N10196" s="1700"/>
      <c r="O10196" s="1290"/>
      <c r="P10196" s="1332"/>
      <c r="Q10196" s="3391"/>
    </row>
    <row r="10197" spans="1:18">
      <c r="A10197" s="1321"/>
      <c r="B10197" s="2053"/>
      <c r="C10197" s="1321"/>
      <c r="D10197" s="1412"/>
      <c r="E10197" s="2124"/>
      <c r="F10197" s="1378"/>
      <c r="G10197" s="1378"/>
      <c r="H10197" s="1379"/>
      <c r="I10197" s="1299"/>
      <c r="J10197" s="1300"/>
      <c r="K10197" s="1307"/>
      <c r="L10197" s="1335"/>
      <c r="M10197" s="1302"/>
      <c r="N10197" s="1700"/>
      <c r="O10197" s="1290"/>
      <c r="P10197" s="1333"/>
      <c r="Q10197" s="3391"/>
    </row>
    <row r="10198" spans="1:18">
      <c r="A10198" s="1042"/>
      <c r="B10198" s="1599"/>
      <c r="C10198" s="1042"/>
      <c r="D10198" s="1695"/>
      <c r="E10198" s="2278"/>
      <c r="F10198" s="2279"/>
      <c r="G10198" s="2279"/>
      <c r="H10198" s="2264"/>
      <c r="I10198" s="2280"/>
      <c r="J10198" s="2281"/>
      <c r="K10198" s="2236"/>
      <c r="L10198" s="1594"/>
      <c r="M10198" s="2282"/>
      <c r="N10198" s="2283"/>
      <c r="O10198" s="2237"/>
      <c r="P10198" s="2238"/>
      <c r="Q10198" s="3391"/>
    </row>
    <row r="10199" spans="1:18">
      <c r="A10199" s="18" t="s">
        <v>3764</v>
      </c>
      <c r="B10199" s="4325" t="s">
        <v>3703</v>
      </c>
      <c r="C10199" s="3877"/>
      <c r="D10199" s="4327"/>
      <c r="E10199" s="4329" t="s">
        <v>1507</v>
      </c>
      <c r="F10199" s="4372" t="s">
        <v>3704</v>
      </c>
      <c r="G10199" s="4331" t="s">
        <v>1568</v>
      </c>
      <c r="H10199" s="4331" t="s">
        <v>1574</v>
      </c>
      <c r="I10199" s="1572" t="s">
        <v>1559</v>
      </c>
      <c r="J10199" s="1294" t="s">
        <v>1560</v>
      </c>
      <c r="K10199" s="1294" t="s">
        <v>1569</v>
      </c>
      <c r="L10199" s="4333" t="s">
        <v>3765</v>
      </c>
      <c r="M10199" s="4335" t="s">
        <v>1571</v>
      </c>
      <c r="N10199" s="4323" t="s">
        <v>1776</v>
      </c>
      <c r="O10199" s="3876" t="s">
        <v>1563</v>
      </c>
      <c r="P10199" s="1336" t="s">
        <v>1562</v>
      </c>
      <c r="Q10199" s="3389"/>
      <c r="R10199" s="1699" t="s">
        <v>1327</v>
      </c>
    </row>
    <row r="10200" spans="1:18">
      <c r="A10200" s="1662" t="s">
        <v>3701</v>
      </c>
      <c r="B10200" s="4326"/>
      <c r="C10200" s="3879"/>
      <c r="D10200" s="4328"/>
      <c r="E10200" s="4330"/>
      <c r="F10200" s="4363"/>
      <c r="G10200" s="4332"/>
      <c r="H10200" s="4332"/>
      <c r="I10200" s="1306">
        <v>82.6</v>
      </c>
      <c r="J10200" s="1307">
        <v>0.25</v>
      </c>
      <c r="K10200" s="1297">
        <f>I10200*J10200</f>
        <v>20.65</v>
      </c>
      <c r="L10200" s="4334"/>
      <c r="M10200" s="4335"/>
      <c r="N10200" s="4324"/>
      <c r="O10200" s="1298">
        <f>O10202+O10209+O10210</f>
        <v>8.1553103599999979</v>
      </c>
      <c r="P10200" s="1337">
        <f>O10200*K10200</f>
        <v>168.40715893399994</v>
      </c>
      <c r="Q10200" s="3390"/>
      <c r="R10200" s="1721">
        <f>P10202+P10209+P10210</f>
        <v>168.40715893399999</v>
      </c>
    </row>
    <row r="10201" spans="1:18">
      <c r="A10201" s="1320"/>
      <c r="B10201" s="1599"/>
      <c r="C10201" s="1327"/>
      <c r="D10201" s="1400"/>
      <c r="E10201" s="2121"/>
      <c r="F10201" s="1389" t="s">
        <v>1</v>
      </c>
      <c r="G10201" s="1389"/>
      <c r="H10201" s="3853"/>
      <c r="I10201" s="1409"/>
      <c r="J10201" s="1390"/>
      <c r="K10201" s="1391"/>
      <c r="L10201" s="1559"/>
      <c r="M10201" s="1369"/>
      <c r="N10201" s="1369"/>
      <c r="O10201" s="1369"/>
      <c r="P10201" s="1392"/>
      <c r="Q10201" s="3395"/>
    </row>
    <row r="10202" spans="1:18">
      <c r="A10202" s="3909" t="s">
        <v>3705</v>
      </c>
      <c r="B10202" s="22"/>
      <c r="C10202" s="3898" t="s">
        <v>1127</v>
      </c>
      <c r="D10202" s="3899"/>
      <c r="E10202" s="3900" t="s">
        <v>1517</v>
      </c>
      <c r="F10202" s="3901" t="s">
        <v>1519</v>
      </c>
      <c r="G10202" s="3902"/>
      <c r="H10202" s="3902">
        <v>5.1999999999999998E-2</v>
      </c>
      <c r="I10202" s="3903"/>
      <c r="J10202" s="3904"/>
      <c r="K10202" s="3905"/>
      <c r="L10202" s="3906"/>
      <c r="M10202" s="3907"/>
      <c r="N10202" s="3908">
        <f>SUM(N10203:N10206)</f>
        <v>50.044430000000006</v>
      </c>
      <c r="O10202" s="3908">
        <f>SUM(O10203:O10206)</f>
        <v>2.6023103599999997</v>
      </c>
      <c r="P10202" s="3908">
        <f>SUM(P10203:P10206)</f>
        <v>53.737708933999997</v>
      </c>
      <c r="Q10202" s="3391"/>
      <c r="R10202" s="3881"/>
    </row>
    <row r="10203" spans="1:18">
      <c r="A10203" s="3909" t="s">
        <v>3706</v>
      </c>
      <c r="C10203" s="1327"/>
      <c r="D10203" s="1400" t="s">
        <v>1069</v>
      </c>
      <c r="E10203" s="1856" t="s">
        <v>1517</v>
      </c>
      <c r="F10203" s="1397" t="s">
        <v>1578</v>
      </c>
      <c r="G10203" s="1416">
        <v>0.26300000000000001</v>
      </c>
      <c r="H10203" s="1399">
        <f>H10202*G10203</f>
        <v>1.3676000000000001E-2</v>
      </c>
      <c r="I10203" s="197"/>
      <c r="J10203" s="198"/>
      <c r="K10203" s="1307">
        <f>H10203*K10200</f>
        <v>0.28240939999999998</v>
      </c>
      <c r="L10203" s="1335">
        <f t="shared" ref="L10203:L10206" si="1343">K10203*$K$10059</f>
        <v>2.8240939999999997</v>
      </c>
      <c r="M10203" s="1499">
        <v>0.55000000000000004</v>
      </c>
      <c r="N10203" s="1724">
        <f>G10203*M10203</f>
        <v>0.14465000000000003</v>
      </c>
      <c r="O10203" s="1719">
        <f>H10203*M10203</f>
        <v>7.5218000000000012E-3</v>
      </c>
      <c r="P10203" s="1720">
        <f>M10203*K10203</f>
        <v>0.15532517000000001</v>
      </c>
      <c r="Q10203" s="3396"/>
      <c r="R10203" s="3881"/>
    </row>
    <row r="10204" spans="1:18" ht="15" customHeight="1">
      <c r="A10204" s="1042"/>
      <c r="C10204" s="1320"/>
      <c r="D10204" s="1400" t="s">
        <v>1394</v>
      </c>
      <c r="E10204" s="1856" t="s">
        <v>1577</v>
      </c>
      <c r="F10204" s="1397" t="s">
        <v>1579</v>
      </c>
      <c r="G10204" s="1416">
        <v>0.25800000000000001</v>
      </c>
      <c r="H10204" s="1399">
        <f>H10202*G10204</f>
        <v>1.3415999999999999E-2</v>
      </c>
      <c r="I10204" s="197"/>
      <c r="J10204" s="198"/>
      <c r="K10204" s="1307">
        <f>H10204*K10200</f>
        <v>0.27704039999999996</v>
      </c>
      <c r="L10204" s="1335">
        <f t="shared" si="1343"/>
        <v>2.7704039999999996</v>
      </c>
      <c r="M10204" s="1499">
        <v>92.54</v>
      </c>
      <c r="N10204" s="1724">
        <f>G10204*M10204</f>
        <v>23.875320000000002</v>
      </c>
      <c r="O10204" s="1719">
        <f>H10204*M10204</f>
        <v>1.2415166399999999</v>
      </c>
      <c r="P10204" s="1720">
        <f>M10204*K10204</f>
        <v>25.637318615999998</v>
      </c>
      <c r="Q10204" s="3396"/>
      <c r="R10204" s="3881"/>
    </row>
    <row r="10205" spans="1:18">
      <c r="A10205" s="1042"/>
      <c r="C10205" s="1320"/>
      <c r="D10205" s="1400" t="s">
        <v>1576</v>
      </c>
      <c r="E10205" s="1856" t="s">
        <v>1517</v>
      </c>
      <c r="F10205" s="1397" t="s">
        <v>1580</v>
      </c>
      <c r="G10205" s="1416">
        <v>1.1020000000000001</v>
      </c>
      <c r="H10205" s="1399">
        <f>H10202*G10205</f>
        <v>5.7304000000000001E-2</v>
      </c>
      <c r="I10205" s="197"/>
      <c r="J10205" s="198"/>
      <c r="K10205" s="1307">
        <f>H10205*K10200</f>
        <v>1.1833275999999999</v>
      </c>
      <c r="L10205" s="1335">
        <f t="shared" si="1343"/>
        <v>11.833276</v>
      </c>
      <c r="M10205" s="1499">
        <v>6.53</v>
      </c>
      <c r="N10205" s="1724">
        <f>G10205*M10205</f>
        <v>7.196060000000001</v>
      </c>
      <c r="O10205" s="1719">
        <f>H10205*M10205</f>
        <v>0.37419511999999999</v>
      </c>
      <c r="P10205" s="1720">
        <f>M10205*K10205</f>
        <v>7.7271292279999999</v>
      </c>
      <c r="Q10205" s="3396"/>
      <c r="R10205" s="1292"/>
    </row>
    <row r="10206" spans="1:18">
      <c r="A10206" s="1042"/>
      <c r="C10206" s="1320"/>
      <c r="D10206" s="1404" t="s">
        <v>1067</v>
      </c>
      <c r="E10206" s="1857" t="s">
        <v>1508</v>
      </c>
      <c r="F10206" s="2040" t="s">
        <v>1512</v>
      </c>
      <c r="G10206" s="1829">
        <v>1.03</v>
      </c>
      <c r="H10206" s="1408">
        <f>H10202*G10206</f>
        <v>5.3559999999999997E-2</v>
      </c>
      <c r="I10206" s="197"/>
      <c r="J10206" s="198"/>
      <c r="K10206" s="1307">
        <f>H10206*K10200</f>
        <v>1.1060139999999998</v>
      </c>
      <c r="L10206" s="1335">
        <f t="shared" si="1343"/>
        <v>11.060139999999999</v>
      </c>
      <c r="M10206" s="1499">
        <v>18.28</v>
      </c>
      <c r="N10206" s="1724">
        <f>G10206*M10206</f>
        <v>18.828400000000002</v>
      </c>
      <c r="O10206" s="1719">
        <f>H10206*M10206</f>
        <v>0.97907679999999997</v>
      </c>
      <c r="P10206" s="1720">
        <f>M10206*K10206</f>
        <v>20.217935919999999</v>
      </c>
      <c r="Q10206" s="3396"/>
      <c r="R10206" s="3881"/>
    </row>
    <row r="10207" spans="1:18">
      <c r="A10207" s="1042"/>
      <c r="B10207" s="1599"/>
      <c r="C10207" s="1042"/>
      <c r="D10207" s="1400"/>
      <c r="E10207" s="2121"/>
      <c r="F10207" s="1436"/>
      <c r="G10207" s="1436"/>
      <c r="H10207" s="1369"/>
      <c r="I10207" s="1299"/>
      <c r="J10207" s="1300"/>
      <c r="K10207" s="1307"/>
      <c r="L10207" s="1335"/>
      <c r="M10207" s="1302"/>
      <c r="N10207" s="1700"/>
      <c r="O10207" s="1290"/>
      <c r="P10207" s="1332"/>
      <c r="Q10207" s="3391"/>
    </row>
    <row r="10208" spans="1:18">
      <c r="A10208" s="1042"/>
      <c r="B10208" s="1599"/>
      <c r="C10208" s="1042"/>
      <c r="D10208" s="3863"/>
      <c r="E10208" s="1858"/>
      <c r="F10208" s="1360" t="s">
        <v>2</v>
      </c>
      <c r="G10208" s="1360"/>
      <c r="H10208" s="1362"/>
      <c r="I10208" s="1380"/>
      <c r="J10208" s="1381"/>
      <c r="K10208" s="1381"/>
      <c r="L10208" s="1458"/>
      <c r="M10208" s="1362"/>
      <c r="N10208" s="1362"/>
      <c r="O10208" s="1362"/>
      <c r="P10208" s="1359"/>
      <c r="Q10208" s="3387"/>
    </row>
    <row r="10209" spans="1:18">
      <c r="A10209" s="1042"/>
      <c r="B10209" s="553"/>
      <c r="C10209" s="1042"/>
      <c r="D10209" s="1402" t="s">
        <v>1165</v>
      </c>
      <c r="E10209" s="1857" t="s">
        <v>1508</v>
      </c>
      <c r="F10209" s="1403" t="s">
        <v>1611</v>
      </c>
      <c r="G10209" s="1362">
        <v>0.15</v>
      </c>
      <c r="H10209" s="1359"/>
      <c r="I10209" s="198"/>
      <c r="J10209" s="6"/>
      <c r="K10209" s="1307">
        <f>G10209*K10200</f>
        <v>3.0974999999999997</v>
      </c>
      <c r="L10209" s="1335">
        <f t="shared" ref="L10209:L10210" si="1344">K10209*$K$10059</f>
        <v>30.974999999999998</v>
      </c>
      <c r="M10209" s="1499">
        <v>18.739999999999998</v>
      </c>
      <c r="N10209" s="1724"/>
      <c r="O10209" s="1290">
        <f t="shared" ref="O10209:O10210" si="1345">G10209*M10209</f>
        <v>2.8109999999999995</v>
      </c>
      <c r="P10209" s="1332">
        <f>M10209*K10209</f>
        <v>58.047149999999988</v>
      </c>
      <c r="Q10209" s="3391"/>
    </row>
    <row r="10210" spans="1:18">
      <c r="A10210" s="1042"/>
      <c r="B10210" s="553"/>
      <c r="C10210" s="1042"/>
      <c r="D10210" s="1402" t="s">
        <v>1067</v>
      </c>
      <c r="E10210" s="1857" t="s">
        <v>1508</v>
      </c>
      <c r="F10210" s="1403" t="s">
        <v>1512</v>
      </c>
      <c r="G10210" s="1362">
        <v>0.15</v>
      </c>
      <c r="H10210" s="1359"/>
      <c r="I10210" s="198"/>
      <c r="J10210" s="6"/>
      <c r="K10210" s="1307">
        <f>G10210*K10200</f>
        <v>3.0974999999999997</v>
      </c>
      <c r="L10210" s="1335">
        <f t="shared" si="1344"/>
        <v>30.974999999999998</v>
      </c>
      <c r="M10210" s="1499">
        <v>18.28</v>
      </c>
      <c r="N10210" s="1724"/>
      <c r="O10210" s="1290">
        <f t="shared" si="1345"/>
        <v>2.742</v>
      </c>
      <c r="P10210" s="1332">
        <f>M10210*K10210</f>
        <v>56.622299999999996</v>
      </c>
      <c r="Q10210" s="1640"/>
    </row>
    <row r="10211" spans="1:18">
      <c r="A10211" s="1042"/>
      <c r="B10211" s="1042"/>
      <c r="C10211" s="1042"/>
      <c r="D10211" s="1402"/>
      <c r="E10211" s="1857"/>
      <c r="F10211" s="1403"/>
      <c r="G10211" s="1362"/>
      <c r="H10211" s="1359"/>
      <c r="I10211" s="198"/>
      <c r="J10211" s="6"/>
      <c r="K10211" s="1307"/>
      <c r="L10211" s="1335"/>
      <c r="M10211" s="1499"/>
      <c r="N10211" s="1724"/>
      <c r="O10211" s="1290"/>
      <c r="P10211" s="1332"/>
      <c r="Q10211" s="3391"/>
    </row>
    <row r="10212" spans="1:18">
      <c r="A10212" s="1042"/>
      <c r="B10212" s="553"/>
      <c r="C10212" s="1042"/>
      <c r="D10212" s="3860"/>
      <c r="E10212" s="3851"/>
      <c r="F10212" s="1766"/>
      <c r="G10212" s="3897"/>
      <c r="H10212" s="3246"/>
      <c r="I10212" s="197"/>
      <c r="J10212" s="3862"/>
      <c r="K10212" s="1307"/>
      <c r="L10212" s="1335"/>
      <c r="M10212" s="3852"/>
      <c r="N10212" s="1724"/>
      <c r="O10212" s="1290"/>
      <c r="P10212" s="3850"/>
      <c r="Q10212" s="3391"/>
    </row>
    <row r="10213" spans="1:18">
      <c r="A10213" s="1320"/>
      <c r="B10213" s="1599"/>
      <c r="C10213" s="1320"/>
      <c r="D10213" s="1411"/>
      <c r="E10213" s="2123"/>
      <c r="F10213" s="1374" t="s">
        <v>3</v>
      </c>
      <c r="G10213" s="1375"/>
      <c r="H10213" s="1376"/>
      <c r="I10213" s="1382"/>
      <c r="J10213" s="1383"/>
      <c r="K10213" s="1383"/>
      <c r="L10213" s="1413"/>
      <c r="M10213" s="1376"/>
      <c r="N10213" s="1376"/>
      <c r="O10213" s="1376"/>
      <c r="P10213" s="1373"/>
      <c r="Q10213" s="3387"/>
    </row>
    <row r="10214" spans="1:18">
      <c r="A10214" s="1321"/>
      <c r="B10214" s="2053"/>
      <c r="C10214" s="1321"/>
      <c r="D10214" s="1412"/>
      <c r="E10214" s="2124"/>
      <c r="F10214" s="1378"/>
      <c r="G10214" s="2200"/>
      <c r="H10214" s="1379"/>
      <c r="I10214" s="1299"/>
      <c r="J10214" s="1300"/>
      <c r="K10214" s="1307"/>
      <c r="L10214" s="1335"/>
      <c r="M10214" s="1302"/>
      <c r="N10214" s="1700"/>
      <c r="O10214" s="1290"/>
      <c r="P10214" s="1332"/>
      <c r="Q10214" s="3391"/>
    </row>
    <row r="10215" spans="1:18">
      <c r="A10215" s="1321"/>
      <c r="B10215" s="2053"/>
      <c r="C10215" s="1321"/>
      <c r="D10215" s="1412"/>
      <c r="E10215" s="2124"/>
      <c r="F10215" s="1378"/>
      <c r="G10215" s="1378"/>
      <c r="H10215" s="1379"/>
      <c r="I10215" s="1299"/>
      <c r="J10215" s="1300"/>
      <c r="K10215" s="1307"/>
      <c r="L10215" s="1335"/>
      <c r="M10215" s="1302"/>
      <c r="N10215" s="1700"/>
      <c r="O10215" s="1290"/>
      <c r="P10215" s="1333"/>
      <c r="Q10215" s="3391"/>
    </row>
    <row r="10216" spans="1:18">
      <c r="A10216" s="1042"/>
      <c r="B10216" s="1599"/>
      <c r="C10216" s="1042"/>
      <c r="D10216" s="1695"/>
      <c r="E10216" s="2278"/>
      <c r="F10216" s="2279"/>
      <c r="G10216" s="2279"/>
      <c r="H10216" s="2264"/>
      <c r="I10216" s="3938"/>
      <c r="J10216" s="3939"/>
      <c r="K10216" s="3940"/>
      <c r="L10216" s="3941"/>
      <c r="M10216" s="3918"/>
      <c r="N10216" s="3918"/>
      <c r="O10216" s="3942"/>
      <c r="P10216" s="2238"/>
      <c r="Q10216" s="3391"/>
    </row>
    <row r="10217" spans="1:18">
      <c r="A10217" s="1042"/>
      <c r="B10217" s="1599"/>
      <c r="C10217" s="554"/>
      <c r="D10217" s="3890"/>
      <c r="E10217" s="3891"/>
      <c r="F10217" s="3892"/>
      <c r="G10217" s="3892"/>
      <c r="H10217" s="3893"/>
      <c r="I10217" s="2280"/>
      <c r="J10217" s="3957"/>
      <c r="K10217" s="2236"/>
      <c r="L10217" s="1594"/>
      <c r="M10217" s="2283"/>
      <c r="N10217" s="2283"/>
      <c r="O10217" s="2237"/>
      <c r="P10217" s="3896"/>
      <c r="Q10217" s="3391"/>
    </row>
    <row r="10218" spans="1:18">
      <c r="A10218" s="18" t="s">
        <v>3764</v>
      </c>
      <c r="B10218" s="4370" t="s">
        <v>3688</v>
      </c>
      <c r="C10218" s="3877"/>
      <c r="D10218" s="4371"/>
      <c r="E10218" s="4545" t="s">
        <v>1527</v>
      </c>
      <c r="F10218" s="4414" t="s">
        <v>3689</v>
      </c>
      <c r="G10218" s="4425" t="s">
        <v>1568</v>
      </c>
      <c r="H10218" s="4425" t="s">
        <v>1574</v>
      </c>
      <c r="I10218" s="1572" t="s">
        <v>1559</v>
      </c>
      <c r="J10218" s="1294" t="s">
        <v>1560</v>
      </c>
      <c r="K10218" s="1294" t="s">
        <v>1569</v>
      </c>
      <c r="L10218" s="4546" t="s">
        <v>3765</v>
      </c>
      <c r="M10218" s="4547" t="s">
        <v>1571</v>
      </c>
      <c r="N10218" s="4547" t="s">
        <v>1776</v>
      </c>
      <c r="O10218" s="3876" t="s">
        <v>1563</v>
      </c>
      <c r="P10218" s="1336" t="s">
        <v>1562</v>
      </c>
      <c r="Q10218" s="3389"/>
      <c r="R10218" s="1699" t="s">
        <v>1327</v>
      </c>
    </row>
    <row r="10219" spans="1:18">
      <c r="A10219" s="1662" t="s">
        <v>3701</v>
      </c>
      <c r="B10219" s="4326"/>
      <c r="C10219" s="3879"/>
      <c r="D10219" s="4328"/>
      <c r="E10219" s="4330"/>
      <c r="F10219" s="4363"/>
      <c r="G10219" s="4332"/>
      <c r="H10219" s="4332"/>
      <c r="I10219" s="1306">
        <v>19.2</v>
      </c>
      <c r="J10219" s="1307">
        <v>0.25</v>
      </c>
      <c r="K10219" s="1297">
        <f>I10219*J10219</f>
        <v>4.8</v>
      </c>
      <c r="L10219" s="4334"/>
      <c r="M10219" s="4324"/>
      <c r="N10219" s="4324"/>
      <c r="O10219" s="1298">
        <f>O10221+O10222+O10223+O10226+O10227</f>
        <v>60.429000000000009</v>
      </c>
      <c r="P10219" s="1337">
        <f>O10219*K10219</f>
        <v>290.05920000000003</v>
      </c>
      <c r="Q10219" s="3390"/>
      <c r="R10219" s="1721">
        <f>P10221+P10222+P10223+P10226+P10227</f>
        <v>290.05919999999998</v>
      </c>
    </row>
    <row r="10220" spans="1:18">
      <c r="A10220" s="1320"/>
      <c r="B10220" s="1599"/>
      <c r="C10220" s="1327"/>
      <c r="D10220" s="1400"/>
      <c r="E10220" s="2121"/>
      <c r="F10220" s="1389" t="s">
        <v>1</v>
      </c>
      <c r="G10220" s="1389"/>
      <c r="H10220" s="3853"/>
      <c r="I10220" s="1409"/>
      <c r="J10220" s="1390"/>
      <c r="K10220" s="1391"/>
      <c r="L10220" s="1559"/>
      <c r="M10220" s="1369"/>
      <c r="N10220" s="1369"/>
      <c r="O10220" s="1369"/>
      <c r="P10220" s="1392"/>
      <c r="Q10220" s="3395"/>
    </row>
    <row r="10221" spans="1:18">
      <c r="A10221" s="1320"/>
      <c r="B10221" s="1599"/>
      <c r="C10221" s="1042"/>
      <c r="D10221" s="1400" t="s">
        <v>1193</v>
      </c>
      <c r="E10221" s="1856" t="s">
        <v>1357</v>
      </c>
      <c r="F10221" s="1397" t="s">
        <v>2121</v>
      </c>
      <c r="G10221" s="1416">
        <v>15.4</v>
      </c>
      <c r="H10221" s="3853"/>
      <c r="I10221" s="1289"/>
      <c r="J10221" s="2027"/>
      <c r="K10221" s="1307">
        <f>G10221*K10219</f>
        <v>73.92</v>
      </c>
      <c r="L10221" s="1335">
        <f t="shared" ref="L10221:L10224" si="1346">K10221*$K$10059</f>
        <v>739.2</v>
      </c>
      <c r="M10221" s="1302">
        <v>1.33</v>
      </c>
      <c r="N10221" s="1718"/>
      <c r="O10221" s="1290">
        <f t="shared" ref="O10221:O10223" si="1347">G10221*M10221</f>
        <v>20.482000000000003</v>
      </c>
      <c r="P10221" s="1332">
        <f>M10221*K10221</f>
        <v>98.313600000000008</v>
      </c>
      <c r="Q10221" s="3395"/>
    </row>
    <row r="10222" spans="1:18">
      <c r="A10222" s="1320"/>
      <c r="B10222" s="1599"/>
      <c r="C10222" s="553"/>
      <c r="D10222" s="3866" t="s">
        <v>1194</v>
      </c>
      <c r="E10222" s="3867" t="s">
        <v>1357</v>
      </c>
      <c r="F10222" s="3868" t="s">
        <v>2122</v>
      </c>
      <c r="G10222" s="3869">
        <v>10</v>
      </c>
      <c r="H10222" s="3853"/>
      <c r="I10222" s="1289"/>
      <c r="J10222" s="2027"/>
      <c r="K10222" s="1307">
        <f>G10222*K10219</f>
        <v>48</v>
      </c>
      <c r="L10222" s="1335">
        <f t="shared" si="1346"/>
        <v>480</v>
      </c>
      <c r="M10222" s="3849">
        <v>1.24</v>
      </c>
      <c r="N10222" s="1718"/>
      <c r="O10222" s="1290">
        <f t="shared" si="1347"/>
        <v>12.4</v>
      </c>
      <c r="P10222" s="1332">
        <f>M10222*K10222</f>
        <v>59.519999999999996</v>
      </c>
      <c r="Q10222" s="3395"/>
    </row>
    <row r="10223" spans="1:18">
      <c r="A10223" s="1320"/>
      <c r="B10223" s="1599"/>
      <c r="C10223" s="553"/>
      <c r="D10223" s="3866" t="s">
        <v>1097</v>
      </c>
      <c r="E10223" s="3867" t="s">
        <v>1504</v>
      </c>
      <c r="F10223" s="3868" t="s">
        <v>1632</v>
      </c>
      <c r="G10223" s="3869">
        <v>2</v>
      </c>
      <c r="H10223" s="3853"/>
      <c r="I10223" s="1289"/>
      <c r="J10223" s="2027"/>
      <c r="K10223" s="1307">
        <f>G10223*K10219</f>
        <v>9.6</v>
      </c>
      <c r="L10223" s="1335">
        <f t="shared" si="1346"/>
        <v>96</v>
      </c>
      <c r="M10223" s="3849">
        <v>0.55000000000000004</v>
      </c>
      <c r="N10223" s="1718"/>
      <c r="O10223" s="1290">
        <f t="shared" si="1347"/>
        <v>1.1000000000000001</v>
      </c>
      <c r="P10223" s="1332">
        <f>M10223*K10223</f>
        <v>5.28</v>
      </c>
      <c r="Q10223" s="3395"/>
    </row>
    <row r="10224" spans="1:18">
      <c r="A10224" s="1042"/>
      <c r="B10224" s="1599"/>
      <c r="C10224" s="1042"/>
      <c r="D10224" s="1400" t="s">
        <v>1082</v>
      </c>
      <c r="E10224" s="2121" t="s">
        <v>1504</v>
      </c>
      <c r="F10224" s="1436" t="s">
        <v>1541</v>
      </c>
      <c r="G10224" s="2088">
        <v>1</v>
      </c>
      <c r="H10224" s="1369"/>
      <c r="I10224" s="1299"/>
      <c r="J10224" s="1300"/>
      <c r="K10224" s="1307">
        <f>G10224*K10219</f>
        <v>4.8</v>
      </c>
      <c r="L10224" s="1335">
        <f t="shared" si="1346"/>
        <v>48</v>
      </c>
      <c r="M10224" s="1302">
        <v>0.3</v>
      </c>
      <c r="N10224" s="1700"/>
      <c r="O10224" s="1290">
        <f t="shared" ref="O10224" si="1348">G10224*M10224</f>
        <v>0.3</v>
      </c>
      <c r="P10224" s="1332">
        <f>M10224*K10224</f>
        <v>1.44</v>
      </c>
      <c r="Q10224" s="3391"/>
    </row>
    <row r="10225" spans="1:18">
      <c r="A10225" s="1042"/>
      <c r="B10225" s="1599"/>
      <c r="C10225" s="1042"/>
      <c r="D10225" s="3863"/>
      <c r="E10225" s="1858"/>
      <c r="F10225" s="1360" t="s">
        <v>2</v>
      </c>
      <c r="G10225" s="1360"/>
      <c r="H10225" s="1362"/>
      <c r="I10225" s="1380"/>
      <c r="J10225" s="1381"/>
      <c r="K10225" s="1381"/>
      <c r="L10225" s="1458"/>
      <c r="M10225" s="1362"/>
      <c r="N10225" s="1362"/>
      <c r="O10225" s="1362"/>
      <c r="P10225" s="1359"/>
      <c r="Q10225" s="3387"/>
    </row>
    <row r="10226" spans="1:18">
      <c r="A10226" s="1042"/>
      <c r="B10226" s="1599"/>
      <c r="C10226" s="553"/>
      <c r="D10226" s="3871" t="s">
        <v>1111</v>
      </c>
      <c r="E10226" s="3872" t="s">
        <v>1508</v>
      </c>
      <c r="F10226" s="3873" t="s">
        <v>2069</v>
      </c>
      <c r="G10226" s="3874">
        <v>0.4</v>
      </c>
      <c r="H10226" s="3870"/>
      <c r="I10226" s="1299"/>
      <c r="J10226" s="1300"/>
      <c r="K10226" s="1307">
        <f>G10226*K10219</f>
        <v>1.92</v>
      </c>
      <c r="L10226" s="1335"/>
      <c r="M10226" s="1302">
        <v>19.23</v>
      </c>
      <c r="N10226" s="1724"/>
      <c r="O10226" s="1290">
        <f t="shared" ref="O10226" si="1349">G10226*M10226</f>
        <v>7.6920000000000002</v>
      </c>
      <c r="P10226" s="1332">
        <f>M10226*K10226</f>
        <v>36.921599999999998</v>
      </c>
      <c r="Q10226" s="3387"/>
    </row>
    <row r="10227" spans="1:18">
      <c r="A10227" s="1042"/>
      <c r="B10227" s="1042"/>
      <c r="C10227" s="3864" t="s">
        <v>1523</v>
      </c>
      <c r="D10227" s="3865"/>
      <c r="E10227" s="2128" t="s">
        <v>1508</v>
      </c>
      <c r="F10227" s="2248" t="s">
        <v>1524</v>
      </c>
      <c r="G10227" s="1338"/>
      <c r="H10227" s="1344">
        <v>0.5</v>
      </c>
      <c r="I10227" s="1388"/>
      <c r="J10227" s="1366"/>
      <c r="K10227" s="1448"/>
      <c r="L10227" s="1457"/>
      <c r="M10227" s="1503"/>
      <c r="N10227" s="1447">
        <f>SUM(N10228:N10229)</f>
        <v>37.510000000000005</v>
      </c>
      <c r="O10227" s="1447">
        <f>SUM(O10228:O10229)</f>
        <v>18.755000000000003</v>
      </c>
      <c r="P10227" s="1447">
        <f>SUM(P10228:P10229)</f>
        <v>90.024000000000001</v>
      </c>
      <c r="Q10227" s="3391"/>
    </row>
    <row r="10228" spans="1:18">
      <c r="A10228" s="1042"/>
      <c r="B10228" s="1042"/>
      <c r="C10228" s="18"/>
      <c r="D10228" s="1402" t="s">
        <v>1067</v>
      </c>
      <c r="E10228" s="1857" t="s">
        <v>1508</v>
      </c>
      <c r="F10228" s="1403" t="s">
        <v>5</v>
      </c>
      <c r="G10228" s="1362">
        <v>1</v>
      </c>
      <c r="H10228" s="1359">
        <f>H10227*G10228</f>
        <v>0.5</v>
      </c>
      <c r="I10228" s="198"/>
      <c r="J10228" s="6"/>
      <c r="K10228" s="1307">
        <f>H10228*K10219</f>
        <v>2.4</v>
      </c>
      <c r="L10228" s="1335">
        <f t="shared" ref="L10228:L10229" si="1350">K10228*$K$10059</f>
        <v>24</v>
      </c>
      <c r="M10228" s="1499">
        <v>18.28</v>
      </c>
      <c r="N10228" s="1724">
        <f>G10228*M10228</f>
        <v>18.28</v>
      </c>
      <c r="O10228" s="1290">
        <f>H10228*M10228</f>
        <v>9.14</v>
      </c>
      <c r="P10228" s="1332">
        <f>M10228*K10228</f>
        <v>43.872</v>
      </c>
      <c r="Q10228" s="3391"/>
    </row>
    <row r="10229" spans="1:18">
      <c r="A10229" s="1042"/>
      <c r="B10229" s="1042"/>
      <c r="C10229" s="1042"/>
      <c r="D10229" s="1402" t="s">
        <v>1077</v>
      </c>
      <c r="E10229" s="1857" t="s">
        <v>1508</v>
      </c>
      <c r="F10229" s="1403" t="s">
        <v>37</v>
      </c>
      <c r="G10229" s="1362">
        <v>1</v>
      </c>
      <c r="H10229" s="1359">
        <f>H10227*G10229</f>
        <v>0.5</v>
      </c>
      <c r="I10229" s="198"/>
      <c r="J10229" s="6"/>
      <c r="K10229" s="1307">
        <f>H10229*K10219</f>
        <v>2.4</v>
      </c>
      <c r="L10229" s="1335">
        <f t="shared" si="1350"/>
        <v>24</v>
      </c>
      <c r="M10229" s="1499">
        <v>19.23</v>
      </c>
      <c r="N10229" s="1724">
        <f>G10229*M10229</f>
        <v>19.23</v>
      </c>
      <c r="O10229" s="1290">
        <f>H10229*M10229</f>
        <v>9.6150000000000002</v>
      </c>
      <c r="P10229" s="1332">
        <f>M10229*K10229</f>
        <v>46.152000000000001</v>
      </c>
      <c r="Q10229" s="3391"/>
    </row>
    <row r="10230" spans="1:18">
      <c r="A10230" s="1042"/>
      <c r="B10230" s="553"/>
      <c r="C10230" s="1042"/>
      <c r="D10230" s="3860"/>
      <c r="E10230" s="3851"/>
      <c r="F10230" s="1766"/>
      <c r="G10230" s="3861"/>
      <c r="H10230" s="3246"/>
      <c r="I10230" s="197"/>
      <c r="J10230" s="3862"/>
      <c r="K10230" s="1307"/>
      <c r="L10230" s="1335"/>
      <c r="M10230" s="3852"/>
      <c r="N10230" s="1724"/>
      <c r="O10230" s="1290"/>
      <c r="P10230" s="3850"/>
      <c r="Q10230" s="3391"/>
    </row>
    <row r="10231" spans="1:18">
      <c r="A10231" s="1320"/>
      <c r="B10231" s="1599"/>
      <c r="C10231" s="1320"/>
      <c r="D10231" s="1411"/>
      <c r="E10231" s="2123"/>
      <c r="F10231" s="1374" t="s">
        <v>3</v>
      </c>
      <c r="G10231" s="1375"/>
      <c r="H10231" s="1376"/>
      <c r="I10231" s="1382"/>
      <c r="J10231" s="1383"/>
      <c r="K10231" s="1383"/>
      <c r="L10231" s="1413"/>
      <c r="M10231" s="1376"/>
      <c r="N10231" s="1376"/>
      <c r="O10231" s="1376"/>
      <c r="P10231" s="1373"/>
      <c r="Q10231" s="3387"/>
    </row>
    <row r="10232" spans="1:18">
      <c r="A10232" s="1321"/>
      <c r="B10232" s="2053"/>
      <c r="C10232" s="1321"/>
      <c r="D10232" s="1412"/>
      <c r="E10232" s="2124"/>
      <c r="F10232" s="1378"/>
      <c r="G10232" s="2200"/>
      <c r="H10232" s="1379"/>
      <c r="I10232" s="1299"/>
      <c r="J10232" s="1300"/>
      <c r="K10232" s="1307"/>
      <c r="L10232" s="1335"/>
      <c r="M10232" s="1302"/>
      <c r="N10232" s="1700"/>
      <c r="O10232" s="1290"/>
      <c r="P10232" s="1332"/>
      <c r="Q10232" s="3391"/>
    </row>
    <row r="10233" spans="1:18">
      <c r="A10233" s="1321"/>
      <c r="B10233" s="2053"/>
      <c r="C10233" s="1321"/>
      <c r="D10233" s="1412"/>
      <c r="E10233" s="2124"/>
      <c r="F10233" s="1378"/>
      <c r="G10233" s="1378"/>
      <c r="H10233" s="1379"/>
      <c r="I10233" s="1299"/>
      <c r="J10233" s="1300"/>
      <c r="K10233" s="1307"/>
      <c r="L10233" s="1335"/>
      <c r="M10233" s="1302"/>
      <c r="N10233" s="1700"/>
      <c r="O10233" s="1290"/>
      <c r="P10233" s="1333"/>
      <c r="Q10233" s="3391"/>
    </row>
    <row r="10234" spans="1:18">
      <c r="A10234" s="1042"/>
      <c r="B10234" s="1599"/>
      <c r="C10234" s="1042"/>
      <c r="D10234" s="1695"/>
      <c r="E10234" s="2278"/>
      <c r="F10234" s="2279"/>
      <c r="G10234" s="2279"/>
      <c r="H10234" s="2264"/>
      <c r="I10234" s="2280"/>
      <c r="J10234" s="2281"/>
      <c r="K10234" s="2236"/>
      <c r="L10234" s="1594"/>
      <c r="M10234" s="2282"/>
      <c r="N10234" s="2283"/>
      <c r="O10234" s="2237"/>
      <c r="P10234" s="2238"/>
      <c r="Q10234" s="3391"/>
    </row>
    <row r="10235" spans="1:18">
      <c r="A10235" s="18" t="s">
        <v>3764</v>
      </c>
      <c r="B10235" s="4325" t="s">
        <v>2400</v>
      </c>
      <c r="C10235" s="3877"/>
      <c r="D10235" s="4327"/>
      <c r="E10235" s="4337" t="s">
        <v>1507</v>
      </c>
      <c r="F10235" s="4338" t="s">
        <v>2401</v>
      </c>
      <c r="G10235" s="4331" t="s">
        <v>1568</v>
      </c>
      <c r="H10235" s="4331" t="s">
        <v>1574</v>
      </c>
      <c r="I10235" s="1572" t="s">
        <v>1559</v>
      </c>
      <c r="J10235" s="1294" t="s">
        <v>1560</v>
      </c>
      <c r="K10235" s="1294" t="s">
        <v>1561</v>
      </c>
      <c r="L10235" s="4333" t="s">
        <v>3765</v>
      </c>
      <c r="M10235" s="4335" t="s">
        <v>1571</v>
      </c>
      <c r="N10235" s="4323" t="s">
        <v>1776</v>
      </c>
      <c r="O10235" s="3876" t="s">
        <v>1563</v>
      </c>
      <c r="P10235" s="1336" t="s">
        <v>1562</v>
      </c>
      <c r="Q10235" s="3389"/>
      <c r="R10235" s="1699" t="s">
        <v>1327</v>
      </c>
    </row>
    <row r="10236" spans="1:18">
      <c r="A10236" s="1662" t="s">
        <v>3701</v>
      </c>
      <c r="B10236" s="4326"/>
      <c r="C10236" s="3879"/>
      <c r="D10236" s="4328"/>
      <c r="E10236" s="4337"/>
      <c r="F10236" s="4338"/>
      <c r="G10236" s="4332"/>
      <c r="H10236" s="4332"/>
      <c r="I10236" s="1345">
        <v>255.26</v>
      </c>
      <c r="J10236" s="1307">
        <v>0.25</v>
      </c>
      <c r="K10236" s="1297">
        <f>I10236*J10236</f>
        <v>63.814999999999998</v>
      </c>
      <c r="L10236" s="4334"/>
      <c r="M10236" s="4335"/>
      <c r="N10236" s="4324"/>
      <c r="O10236" s="1298">
        <f>SUM(O10238:O10250)</f>
        <v>3.9815999999999998</v>
      </c>
      <c r="P10236" s="1337">
        <f>K10236*O10236</f>
        <v>254.08580399999997</v>
      </c>
      <c r="Q10236" s="3390"/>
      <c r="R10236" s="1721">
        <f>SUM(P10238:P10250)</f>
        <v>254.08580399999997</v>
      </c>
    </row>
    <row r="10237" spans="1:18">
      <c r="B10237" s="551"/>
      <c r="C10237" s="18"/>
      <c r="D10237" s="1400"/>
      <c r="E10237" s="2121"/>
      <c r="F10237" s="1389" t="s">
        <v>1</v>
      </c>
      <c r="G10237" s="1369"/>
      <c r="H10237" s="1629"/>
      <c r="I10237" s="1391"/>
      <c r="J10237" s="1369"/>
      <c r="K10237" s="1369"/>
      <c r="L10237" s="1554"/>
      <c r="M10237" s="1487"/>
      <c r="N10237" s="1487"/>
      <c r="O10237" s="1487"/>
      <c r="P10237" s="1367"/>
      <c r="Q10237" s="3387"/>
      <c r="R10237" s="2338"/>
    </row>
    <row r="10238" spans="1:18">
      <c r="B10238" s="553"/>
      <c r="C10238" s="1042"/>
      <c r="D10238" s="1615" t="s">
        <v>1698</v>
      </c>
      <c r="E10238" s="1856" t="s">
        <v>1357</v>
      </c>
      <c r="F10238" s="1421" t="s">
        <v>1699</v>
      </c>
      <c r="G10238" s="2090">
        <v>0.45</v>
      </c>
      <c r="H10238" s="1367"/>
      <c r="I10238" s="1342"/>
      <c r="J10238" s="198"/>
      <c r="K10238" s="1307">
        <f>G10238*K10236</f>
        <v>28.716750000000001</v>
      </c>
      <c r="L10238" s="1335">
        <f t="shared" ref="L10238:L10240" si="1351">K10238*$K$10059</f>
        <v>287.16750000000002</v>
      </c>
      <c r="M10238" s="1302">
        <v>1.7</v>
      </c>
      <c r="N10238" s="1700"/>
      <c r="O10238" s="1290">
        <f>(G10238*M10238)</f>
        <v>0.76500000000000001</v>
      </c>
      <c r="P10238" s="1332">
        <f>M10238*K10238</f>
        <v>48.818474999999999</v>
      </c>
      <c r="Q10238" s="3391"/>
      <c r="R10238" s="2338"/>
    </row>
    <row r="10239" spans="1:18">
      <c r="B10239" s="553"/>
      <c r="C10239" s="1042"/>
      <c r="D10239" s="1615" t="s">
        <v>1214</v>
      </c>
      <c r="E10239" s="1856" t="s">
        <v>1357</v>
      </c>
      <c r="F10239" s="1421" t="s">
        <v>1700</v>
      </c>
      <c r="G10239" s="1452">
        <v>0.35</v>
      </c>
      <c r="H10239" s="1367"/>
      <c r="I10239" s="1286"/>
      <c r="J10239" s="198"/>
      <c r="K10239" s="1307">
        <f>G10239*K10236</f>
        <v>22.335249999999998</v>
      </c>
      <c r="L10239" s="1335">
        <f t="shared" si="1351"/>
        <v>223.35249999999999</v>
      </c>
      <c r="M10239" s="1302">
        <v>4.2</v>
      </c>
      <c r="N10239" s="1700"/>
      <c r="O10239" s="1290">
        <f>(G10239*M10239)</f>
        <v>1.47</v>
      </c>
      <c r="P10239" s="1332">
        <f>M10239*K10239</f>
        <v>93.808049999999994</v>
      </c>
      <c r="Q10239" s="3391"/>
      <c r="R10239" s="3881"/>
    </row>
    <row r="10240" spans="1:18">
      <c r="B10240" s="553"/>
      <c r="C10240" s="1320"/>
      <c r="D10240" s="1400" t="s">
        <v>1701</v>
      </c>
      <c r="E10240" s="1856" t="s">
        <v>1504</v>
      </c>
      <c r="F10240" s="1421" t="s">
        <v>1541</v>
      </c>
      <c r="G10240" s="1399">
        <v>0.2</v>
      </c>
      <c r="H10240" s="1369"/>
      <c r="I10240" s="1614"/>
      <c r="J10240" s="1341"/>
      <c r="K10240" s="1307">
        <f>G10240*K10236</f>
        <v>12.763</v>
      </c>
      <c r="L10240" s="1335">
        <f t="shared" si="1351"/>
        <v>127.63</v>
      </c>
      <c r="M10240" s="1302">
        <v>0.3</v>
      </c>
      <c r="N10240" s="1700"/>
      <c r="O10240" s="1290">
        <f>(G10240*M10240)</f>
        <v>0.06</v>
      </c>
      <c r="P10240" s="1332">
        <f>M10240*K10240</f>
        <v>3.8289</v>
      </c>
      <c r="Q10240" s="3391"/>
      <c r="R10240" s="3881"/>
    </row>
    <row r="10241" spans="1:18">
      <c r="B10241" s="553"/>
      <c r="C10241" s="1320"/>
      <c r="D10241" s="1400"/>
      <c r="E10241" s="1856"/>
      <c r="F10241" s="1421"/>
      <c r="G10241" s="1399"/>
      <c r="H10241" s="1399"/>
      <c r="I10241" s="1614"/>
      <c r="J10241" s="1341"/>
      <c r="K10241" s="1307"/>
      <c r="L10241" s="1335"/>
      <c r="M10241" s="1302"/>
      <c r="N10241" s="1700"/>
      <c r="O10241" s="1290"/>
      <c r="P10241" s="1332"/>
      <c r="Q10241" s="3391"/>
      <c r="R10241" s="3881"/>
    </row>
    <row r="10242" spans="1:18">
      <c r="B10242" s="553"/>
      <c r="C10242" s="1042"/>
      <c r="D10242" s="1400"/>
      <c r="E10242" s="1856"/>
      <c r="F10242" s="1421"/>
      <c r="G10242" s="1399"/>
      <c r="H10242" s="1399"/>
      <c r="I10242" s="1614"/>
      <c r="J10242" s="1341"/>
      <c r="K10242" s="1307"/>
      <c r="L10242" s="1335"/>
      <c r="M10242" s="1302"/>
      <c r="N10242" s="1700"/>
      <c r="O10242" s="1290"/>
      <c r="P10242" s="1332"/>
      <c r="Q10242" s="3391"/>
      <c r="R10242" s="3881"/>
    </row>
    <row r="10243" spans="1:18" ht="15" customHeight="1">
      <c r="B10243" s="553"/>
      <c r="C10243" s="1042"/>
      <c r="D10243" s="1404"/>
      <c r="E10243" s="1858"/>
      <c r="F10243" s="1465" t="s">
        <v>2</v>
      </c>
      <c r="G10243" s="1362"/>
      <c r="H10243" s="1362"/>
      <c r="I10243" s="1381"/>
      <c r="J10243" s="1381"/>
      <c r="K10243" s="1359"/>
      <c r="L10243" s="1458"/>
      <c r="M10243" s="1498"/>
      <c r="N10243" s="1498"/>
      <c r="O10243" s="1498"/>
      <c r="P10243" s="1359"/>
      <c r="Q10243" s="3387"/>
      <c r="R10243" s="3881"/>
    </row>
    <row r="10244" spans="1:18">
      <c r="B10244" s="553"/>
      <c r="C10244" s="1042"/>
      <c r="D10244" s="1623" t="s">
        <v>2113</v>
      </c>
      <c r="E10244" s="2158" t="s">
        <v>1508</v>
      </c>
      <c r="F10244" s="1801" t="s">
        <v>2112</v>
      </c>
      <c r="G10244" s="2216">
        <v>0.09</v>
      </c>
      <c r="H10244" s="1367"/>
      <c r="I10244" s="1340"/>
      <c r="J10244" s="198"/>
      <c r="K10244" s="1307">
        <f>G10244*K10236</f>
        <v>5.7433499999999995</v>
      </c>
      <c r="L10244" s="1335">
        <f>K10244*$K$10059</f>
        <v>57.433499999999995</v>
      </c>
      <c r="M10244" s="1302">
        <v>18.739999999999998</v>
      </c>
      <c r="N10244" s="1700"/>
      <c r="O10244" s="1290">
        <f>(G10244*M10244)</f>
        <v>1.6865999999999999</v>
      </c>
      <c r="P10244" s="1332">
        <f>M10244*K10244</f>
        <v>107.63037899999998</v>
      </c>
      <c r="Q10244" s="3391"/>
      <c r="R10244" s="3881"/>
    </row>
    <row r="10245" spans="1:18">
      <c r="B10245" s="553"/>
      <c r="C10245" s="1042"/>
      <c r="D10245" s="1623"/>
      <c r="E10245" s="2158"/>
      <c r="F10245" s="1801"/>
      <c r="G10245" s="2217"/>
      <c r="H10245" s="1367"/>
      <c r="I10245" s="1340"/>
      <c r="J10245" s="198"/>
      <c r="K10245" s="1307"/>
      <c r="L10245" s="1335"/>
      <c r="M10245" s="1302"/>
      <c r="N10245" s="1700"/>
      <c r="O10245" s="1290"/>
      <c r="P10245" s="1332"/>
      <c r="Q10245" s="3391"/>
      <c r="R10245" s="2344"/>
    </row>
    <row r="10246" spans="1:18">
      <c r="B10246" s="553"/>
      <c r="C10246" s="1042"/>
      <c r="D10246" s="1623"/>
      <c r="E10246" s="2158"/>
      <c r="F10246" s="1801"/>
      <c r="G10246" s="2218"/>
      <c r="H10246" s="1367"/>
      <c r="I10246" s="1340"/>
      <c r="J10246" s="198"/>
      <c r="K10246" s="1307"/>
      <c r="L10246" s="1335"/>
      <c r="M10246" s="1302"/>
      <c r="N10246" s="1700"/>
      <c r="O10246" s="1290"/>
      <c r="P10246" s="1332"/>
      <c r="Q10246" s="3391"/>
      <c r="R10246" s="3881"/>
    </row>
    <row r="10247" spans="1:18">
      <c r="B10247" s="553"/>
      <c r="C10247" s="1042"/>
      <c r="D10247" s="1411"/>
      <c r="E10247" s="2123"/>
      <c r="F10247" s="1475" t="s">
        <v>3</v>
      </c>
      <c r="G10247" s="1376"/>
      <c r="H10247" s="1376"/>
      <c r="I10247" s="1383"/>
      <c r="J10247" s="1383"/>
      <c r="K10247" s="1383"/>
      <c r="L10247" s="1413"/>
      <c r="M10247" s="1376"/>
      <c r="N10247" s="1376"/>
      <c r="O10247" s="1376"/>
      <c r="P10247" s="1373"/>
      <c r="Q10247" s="3387"/>
      <c r="R10247" s="3881"/>
    </row>
    <row r="10248" spans="1:18">
      <c r="B10248" s="553"/>
      <c r="C10248" s="1042"/>
      <c r="D10248" s="1440"/>
      <c r="E10248" s="2132"/>
      <c r="F10248" s="1441"/>
      <c r="G10248" s="1442"/>
      <c r="H10248" s="1442"/>
      <c r="I10248" s="197"/>
      <c r="J10248" s="198"/>
      <c r="K10248" s="1307"/>
      <c r="L10248" s="1335"/>
      <c r="M10248" s="1499"/>
      <c r="N10248" s="1701"/>
      <c r="O10248" s="1290"/>
      <c r="P10248" s="1332"/>
      <c r="Q10248" s="3391"/>
      <c r="R10248" s="1173"/>
    </row>
    <row r="10249" spans="1:18">
      <c r="B10249" s="553"/>
      <c r="C10249" s="1042"/>
      <c r="D10249" s="1440"/>
      <c r="E10249" s="2132"/>
      <c r="F10249" s="1441"/>
      <c r="G10249" s="1442"/>
      <c r="H10249" s="1442"/>
      <c r="I10249" s="197"/>
      <c r="J10249" s="198"/>
      <c r="K10249" s="1307"/>
      <c r="L10249" s="1335"/>
      <c r="M10249" s="1499"/>
      <c r="N10249" s="1701"/>
      <c r="O10249" s="1290"/>
      <c r="P10249" s="1332"/>
      <c r="Q10249" s="3391"/>
      <c r="R10249" s="2338"/>
    </row>
    <row r="10250" spans="1:18">
      <c r="B10250" s="554"/>
      <c r="C10250" s="223"/>
      <c r="D10250" s="1440"/>
      <c r="E10250" s="2132"/>
      <c r="F10250" s="1955"/>
      <c r="G10250" s="1956"/>
      <c r="H10250" s="1442"/>
      <c r="I10250" s="197"/>
      <c r="J10250" s="198"/>
      <c r="K10250" s="1307"/>
      <c r="L10250" s="1335"/>
      <c r="M10250" s="1499"/>
      <c r="N10250" s="1701"/>
      <c r="O10250" s="1290"/>
      <c r="P10250" s="1332"/>
      <c r="Q10250" s="3391"/>
      <c r="R10250" s="2338"/>
    </row>
    <row r="10253" spans="1:18">
      <c r="A10253" s="4393" t="s">
        <v>162</v>
      </c>
      <c r="B10253" s="4394"/>
      <c r="C10253" s="4394"/>
      <c r="D10253" s="4395"/>
      <c r="E10253" s="4396" t="s">
        <v>1549</v>
      </c>
      <c r="F10253" s="4397" t="s">
        <v>1550</v>
      </c>
      <c r="G10253" s="4399" t="s">
        <v>1566</v>
      </c>
      <c r="H10253" s="4400"/>
      <c r="I10253" s="4400"/>
      <c r="J10253" s="4400"/>
      <c r="K10253" s="4400"/>
      <c r="L10253" s="4401"/>
      <c r="M10253" s="4405" t="s">
        <v>1567</v>
      </c>
      <c r="N10253" s="4405"/>
      <c r="O10253" s="4405"/>
      <c r="P10253" s="4405"/>
      <c r="Q10253" s="3395"/>
    </row>
    <row r="10254" spans="1:18" ht="15" thickBot="1">
      <c r="A10254" s="1324" t="s">
        <v>3766</v>
      </c>
      <c r="B10254" s="1325" t="s">
        <v>1513</v>
      </c>
      <c r="C10254" s="1326" t="s">
        <v>1573</v>
      </c>
      <c r="D10254" s="1323" t="s">
        <v>1514</v>
      </c>
      <c r="E10254" s="4396"/>
      <c r="F10254" s="4398"/>
      <c r="G10254" s="4402"/>
      <c r="H10254" s="4403"/>
      <c r="I10254" s="4403"/>
      <c r="J10254" s="4403"/>
      <c r="K10254" s="4403"/>
      <c r="L10254" s="4404"/>
      <c r="M10254" s="4405"/>
      <c r="N10254" s="4405"/>
      <c r="O10254" s="4405"/>
      <c r="P10254" s="4405"/>
      <c r="Q10254" s="3395"/>
    </row>
    <row r="10255" spans="1:18" ht="34.5" customHeight="1">
      <c r="A10255" s="4374" t="s">
        <v>3708</v>
      </c>
      <c r="B10255" s="4375"/>
      <c r="C10255" s="4375"/>
      <c r="D10255" s="4376"/>
      <c r="E10255" s="4380" t="s">
        <v>1504</v>
      </c>
      <c r="F10255" s="4382" t="s">
        <v>3709</v>
      </c>
      <c r="G10255" s="4406" t="s">
        <v>1549</v>
      </c>
      <c r="H10255" s="4407"/>
      <c r="I10255" s="1665" t="s">
        <v>1565</v>
      </c>
      <c r="J10255" s="3875" t="s">
        <v>1575</v>
      </c>
      <c r="K10255" s="4406" t="s">
        <v>289</v>
      </c>
      <c r="L10255" s="4407"/>
      <c r="M10255" s="4408" t="s">
        <v>3349</v>
      </c>
      <c r="N10255" s="4408"/>
      <c r="O10255" s="4408"/>
      <c r="P10255" s="4409"/>
      <c r="Q10255" s="4244" t="s">
        <v>3980</v>
      </c>
    </row>
    <row r="10256" spans="1:18" ht="22.5" customHeight="1" thickBot="1">
      <c r="A10256" s="4377"/>
      <c r="B10256" s="4378"/>
      <c r="C10256" s="4378"/>
      <c r="D10256" s="4379"/>
      <c r="E10256" s="4381"/>
      <c r="F10256" s="4383"/>
      <c r="G10256" s="4410">
        <f>IF('Seleccion proyecto HEREVEA02'!G70="Instalación de rampa",'Seleccion proyecto HEREVEA02'!E70,0)</f>
        <v>1</v>
      </c>
      <c r="H10256" s="4411"/>
      <c r="I10256" s="3880">
        <f>IF('Seleccion proyecto HEREVEA02'!H70=0,0,IF('Seleccion proyecto HEREVEA02'!H70=100,1))</f>
        <v>1</v>
      </c>
      <c r="J10256" s="1351">
        <f>'Seleccion proyecto HEREVEA02'!L8</f>
        <v>11100.968999999999</v>
      </c>
      <c r="K10256" s="4412">
        <f>G10256*I10256</f>
        <v>1</v>
      </c>
      <c r="L10256" s="4413"/>
      <c r="M10256" s="4360">
        <f>P10258+P10273+P10290+P10306+P10325+P10347+P10365+P10411+P10436+P10392+P10453</f>
        <v>608.21478319369999</v>
      </c>
      <c r="N10256" s="4361"/>
      <c r="O10256" s="4361"/>
      <c r="P10256" s="4362"/>
      <c r="Q10256" s="4245">
        <f>M10256*K10256</f>
        <v>608.21478319369999</v>
      </c>
    </row>
    <row r="10257" spans="1:18">
      <c r="A10257" s="18" t="s">
        <v>3764</v>
      </c>
      <c r="B10257" s="4325" t="s">
        <v>3650</v>
      </c>
      <c r="C10257" s="3879"/>
      <c r="D10257" s="4327"/>
      <c r="E10257" s="4329" t="s">
        <v>1527</v>
      </c>
      <c r="F10257" s="4336" t="s">
        <v>3651</v>
      </c>
      <c r="G10257" s="4331" t="s">
        <v>1568</v>
      </c>
      <c r="H10257" s="4331" t="s">
        <v>1574</v>
      </c>
      <c r="I10257" s="1572" t="s">
        <v>1559</v>
      </c>
      <c r="J10257" s="1294" t="s">
        <v>1560</v>
      </c>
      <c r="K10257" s="1294" t="s">
        <v>1569</v>
      </c>
      <c r="L10257" s="4333" t="s">
        <v>3765</v>
      </c>
      <c r="M10257" s="4335" t="s">
        <v>1571</v>
      </c>
      <c r="N10257" s="4323" t="s">
        <v>1776</v>
      </c>
      <c r="O10257" s="3876" t="s">
        <v>1563</v>
      </c>
      <c r="P10257" s="1336" t="s">
        <v>1562</v>
      </c>
      <c r="Q10257" s="3389"/>
      <c r="R10257" s="1699" t="s">
        <v>1327</v>
      </c>
    </row>
    <row r="10258" spans="1:18">
      <c r="A10258" s="1662" t="s">
        <v>3708</v>
      </c>
      <c r="B10258" s="4326"/>
      <c r="C10258" s="3878"/>
      <c r="D10258" s="4328"/>
      <c r="E10258" s="4330"/>
      <c r="F10258" s="4336"/>
      <c r="G10258" s="4332"/>
      <c r="H10258" s="4332"/>
      <c r="I10258" s="1345">
        <v>6</v>
      </c>
      <c r="J10258" s="1307">
        <v>0.25</v>
      </c>
      <c r="K10258" s="1297">
        <f>I10258*J10258</f>
        <v>1.5</v>
      </c>
      <c r="L10258" s="4334"/>
      <c r="M10258" s="4335"/>
      <c r="N10258" s="4324"/>
      <c r="O10258" s="1298">
        <f>SUM(O10260:O10270)</f>
        <v>2.5226400000000004</v>
      </c>
      <c r="P10258" s="1337">
        <f>O10258*K10258</f>
        <v>3.7839600000000004</v>
      </c>
      <c r="Q10258" s="3390"/>
      <c r="R10258" s="1721">
        <f>P10264</f>
        <v>3.7839600000000004</v>
      </c>
    </row>
    <row r="10259" spans="1:18">
      <c r="A10259" s="1320"/>
      <c r="B10259" s="22"/>
      <c r="C10259" s="1327"/>
      <c r="D10259" s="1367"/>
      <c r="E10259" s="2121"/>
      <c r="F10259" s="1389" t="s">
        <v>1</v>
      </c>
      <c r="G10259" s="1389"/>
      <c r="H10259" s="1369"/>
      <c r="I10259" s="1409"/>
      <c r="J10259" s="1390"/>
      <c r="K10259" s="1391"/>
      <c r="L10259" s="1559"/>
      <c r="M10259" s="1369"/>
      <c r="N10259" s="1369"/>
      <c r="O10259" s="1369"/>
      <c r="P10259" s="1392"/>
      <c r="Q10259" s="3395"/>
    </row>
    <row r="10260" spans="1:18">
      <c r="A10260" s="16"/>
      <c r="B10260" s="1320"/>
      <c r="C10260" s="1042"/>
      <c r="D10260" s="1672"/>
      <c r="E10260" s="2160"/>
      <c r="F10260" s="1675"/>
      <c r="G10260" s="1675"/>
      <c r="H10260" s="1674"/>
      <c r="I10260" s="1299"/>
      <c r="J10260" s="1300"/>
      <c r="K10260" s="1307"/>
      <c r="L10260" s="1335"/>
      <c r="M10260" s="1302"/>
      <c r="N10260" s="1700"/>
      <c r="O10260" s="1290"/>
      <c r="P10260" s="1332"/>
      <c r="Q10260" s="3391"/>
    </row>
    <row r="10261" spans="1:18">
      <c r="A10261" s="16"/>
      <c r="B10261" s="1320"/>
      <c r="C10261" s="1042"/>
      <c r="D10261" s="1367"/>
      <c r="E10261" s="2121"/>
      <c r="F10261" s="1436"/>
      <c r="G10261" s="1436"/>
      <c r="H10261" s="1369"/>
      <c r="I10261" s="1299"/>
      <c r="J10261" s="1300"/>
      <c r="K10261" s="1307"/>
      <c r="L10261" s="1335"/>
      <c r="M10261" s="1302"/>
      <c r="N10261" s="1700"/>
      <c r="O10261" s="1290"/>
      <c r="P10261" s="1332"/>
      <c r="Q10261" s="3391"/>
    </row>
    <row r="10262" spans="1:18">
      <c r="A10262" s="16"/>
      <c r="B10262" s="1320"/>
      <c r="C10262" s="1042"/>
      <c r="D10262" s="1367"/>
      <c r="E10262" s="2121"/>
      <c r="F10262" s="1436"/>
      <c r="G10262" s="1436"/>
      <c r="H10262" s="1369"/>
      <c r="I10262" s="1299"/>
      <c r="J10262" s="1300"/>
      <c r="K10262" s="1307"/>
      <c r="L10262" s="1335"/>
      <c r="M10262" s="1302"/>
      <c r="N10262" s="1700"/>
      <c r="O10262" s="1290"/>
      <c r="P10262" s="1332"/>
      <c r="Q10262" s="3391"/>
    </row>
    <row r="10263" spans="1:18">
      <c r="A10263" s="1042"/>
      <c r="B10263" s="22"/>
      <c r="C10263" s="1042"/>
      <c r="D10263" s="1359"/>
      <c r="E10263" s="1858"/>
      <c r="F10263" s="1360" t="s">
        <v>2</v>
      </c>
      <c r="G10263" s="1360"/>
      <c r="H10263" s="1362"/>
      <c r="I10263" s="1380"/>
      <c r="J10263" s="1381"/>
      <c r="K10263" s="1381"/>
      <c r="L10263" s="1458"/>
      <c r="M10263" s="1362"/>
      <c r="N10263" s="1362"/>
      <c r="O10263" s="1362"/>
      <c r="P10263" s="1359"/>
      <c r="Q10263" s="3387"/>
    </row>
    <row r="10264" spans="1:18">
      <c r="A10264" s="1042"/>
      <c r="B10264" s="1295"/>
      <c r="C10264" s="1321"/>
      <c r="D10264" s="1363" t="s">
        <v>1067</v>
      </c>
      <c r="E10264" s="2125" t="s">
        <v>1508</v>
      </c>
      <c r="F10264" s="1385" t="s">
        <v>1512</v>
      </c>
      <c r="G10264" s="2019">
        <v>0.13800000000000001</v>
      </c>
      <c r="H10264" s="1386"/>
      <c r="I10264" s="1299"/>
      <c r="J10264" s="1300"/>
      <c r="K10264" s="1307">
        <f>G10264*K10258</f>
        <v>0.20700000000000002</v>
      </c>
      <c r="L10264" s="1335">
        <f>K10264*K10256</f>
        <v>0.20700000000000002</v>
      </c>
      <c r="M10264" s="1302">
        <v>18.28</v>
      </c>
      <c r="N10264" s="1700"/>
      <c r="O10264" s="1290">
        <f>G10264*M10264</f>
        <v>2.5226400000000004</v>
      </c>
      <c r="P10264" s="1332">
        <f>M10264*K10264</f>
        <v>3.7839600000000004</v>
      </c>
      <c r="Q10264" s="3391"/>
    </row>
    <row r="10265" spans="1:18">
      <c r="A10265" s="1321"/>
      <c r="B10265" s="22"/>
      <c r="C10265" s="1320"/>
      <c r="D10265" s="1359"/>
      <c r="E10265" s="1858"/>
      <c r="F10265" s="1404"/>
      <c r="G10265" s="1404"/>
      <c r="H10265" s="1359"/>
      <c r="I10265" s="1299"/>
      <c r="J10265" s="1300"/>
      <c r="K10265" s="1307"/>
      <c r="L10265" s="1335"/>
      <c r="M10265" s="1302"/>
      <c r="N10265" s="1700"/>
      <c r="O10265" s="1290"/>
      <c r="P10265" s="1332"/>
      <c r="Q10265" s="3391"/>
    </row>
    <row r="10266" spans="1:18">
      <c r="A10266" s="1320"/>
      <c r="B10266" s="22"/>
      <c r="C10266" s="1320"/>
      <c r="D10266" s="1359"/>
      <c r="E10266" s="1858"/>
      <c r="F10266" s="1361"/>
      <c r="G10266" s="1361"/>
      <c r="H10266" s="1466"/>
      <c r="I10266" s="1299"/>
      <c r="J10266" s="1300"/>
      <c r="K10266" s="1307"/>
      <c r="L10266" s="1335"/>
      <c r="M10266" s="1302"/>
      <c r="N10266" s="1700"/>
      <c r="O10266" s="1290"/>
      <c r="P10266" s="1332"/>
      <c r="Q10266" s="3391"/>
    </row>
    <row r="10267" spans="1:18">
      <c r="A10267" s="1320"/>
      <c r="B10267" s="22"/>
      <c r="C10267" s="1320"/>
      <c r="D10267" s="1373"/>
      <c r="E10267" s="2123"/>
      <c r="F10267" s="1374" t="s">
        <v>3</v>
      </c>
      <c r="G10267" s="1375"/>
      <c r="H10267" s="1376"/>
      <c r="I10267" s="1382"/>
      <c r="J10267" s="1383"/>
      <c r="K10267" s="1383"/>
      <c r="L10267" s="1413"/>
      <c r="M10267" s="1376"/>
      <c r="N10267" s="1376"/>
      <c r="O10267" s="1376"/>
      <c r="P10267" s="1373"/>
      <c r="Q10267" s="3387"/>
    </row>
    <row r="10268" spans="1:18">
      <c r="A10268" s="1320"/>
      <c r="B10268" s="1295"/>
      <c r="C10268" s="1321"/>
      <c r="D10268" s="1377"/>
      <c r="E10268" s="2124"/>
      <c r="F10268" s="1378"/>
      <c r="G10268" s="1378"/>
      <c r="H10268" s="1379"/>
      <c r="I10268" s="1299"/>
      <c r="J10268" s="1300"/>
      <c r="K10268" s="1307"/>
      <c r="L10268" s="1335"/>
      <c r="M10268" s="1302"/>
      <c r="N10268" s="1700"/>
      <c r="O10268" s="1290"/>
      <c r="P10268" s="1332"/>
      <c r="Q10268" s="3391"/>
    </row>
    <row r="10269" spans="1:18">
      <c r="A10269" s="1321"/>
      <c r="B10269" s="1295"/>
      <c r="C10269" s="1321"/>
      <c r="D10269" s="1377"/>
      <c r="E10269" s="2124"/>
      <c r="F10269" s="1378"/>
      <c r="G10269" s="1378"/>
      <c r="H10269" s="1379"/>
      <c r="I10269" s="1299"/>
      <c r="J10269" s="1300"/>
      <c r="K10269" s="1307"/>
      <c r="L10269" s="1335"/>
      <c r="M10269" s="1302"/>
      <c r="N10269" s="1700"/>
      <c r="O10269" s="1290"/>
      <c r="P10269" s="1333"/>
      <c r="Q10269" s="3391"/>
    </row>
    <row r="10270" spans="1:18">
      <c r="A10270" s="1321"/>
      <c r="B10270" s="22"/>
      <c r="C10270" s="1042"/>
      <c r="D10270" s="1677"/>
      <c r="E10270" s="2161"/>
      <c r="F10270" s="1678"/>
      <c r="G10270" s="1678"/>
      <c r="H10270" s="1376"/>
      <c r="I10270" s="1299"/>
      <c r="J10270" s="1300"/>
      <c r="K10270" s="1307"/>
      <c r="L10270" s="1335"/>
      <c r="M10270" s="1302"/>
      <c r="N10270" s="1700"/>
      <c r="O10270" s="1290"/>
      <c r="P10270" s="1332"/>
      <c r="Q10270" s="3391"/>
    </row>
    <row r="10271" spans="1:18">
      <c r="A10271" s="1042"/>
      <c r="B10271" s="22"/>
      <c r="C10271" s="223"/>
      <c r="D10271" s="1695"/>
      <c r="E10271" s="2161"/>
      <c r="F10271" s="1678"/>
      <c r="G10271" s="1678"/>
      <c r="H10271" s="1376"/>
      <c r="I10271" s="1299"/>
      <c r="J10271" s="1300"/>
      <c r="K10271" s="1307"/>
      <c r="L10271" s="1335"/>
      <c r="M10271" s="1302"/>
      <c r="N10271" s="1700"/>
      <c r="O10271" s="1290"/>
      <c r="P10271" s="1332"/>
      <c r="Q10271" s="3391"/>
    </row>
    <row r="10272" spans="1:18">
      <c r="A10272" s="18" t="s">
        <v>3764</v>
      </c>
      <c r="B10272" s="4325" t="s">
        <v>3653</v>
      </c>
      <c r="C10272" s="3877"/>
      <c r="D10272" s="4327"/>
      <c r="E10272" s="4329" t="s">
        <v>1527</v>
      </c>
      <c r="F10272" s="4372" t="s">
        <v>3654</v>
      </c>
      <c r="G10272" s="4331" t="s">
        <v>1568</v>
      </c>
      <c r="H10272" s="4331" t="s">
        <v>1574</v>
      </c>
      <c r="I10272" s="1572" t="s">
        <v>1559</v>
      </c>
      <c r="J10272" s="1294" t="s">
        <v>1560</v>
      </c>
      <c r="K10272" s="1294" t="s">
        <v>1569</v>
      </c>
      <c r="L10272" s="4333" t="s">
        <v>3765</v>
      </c>
      <c r="M10272" s="4335" t="s">
        <v>1571</v>
      </c>
      <c r="N10272" s="4323" t="s">
        <v>1776</v>
      </c>
      <c r="O10272" s="3876" t="s">
        <v>1563</v>
      </c>
      <c r="P10272" s="1336" t="s">
        <v>1562</v>
      </c>
      <c r="Q10272" s="3389"/>
      <c r="R10272" s="1699" t="s">
        <v>1327</v>
      </c>
    </row>
    <row r="10273" spans="1:18">
      <c r="A10273" s="1662" t="s">
        <v>3708</v>
      </c>
      <c r="B10273" s="4326"/>
      <c r="C10273" s="3879"/>
      <c r="D10273" s="4328"/>
      <c r="E10273" s="4330"/>
      <c r="F10273" s="4363"/>
      <c r="G10273" s="4332"/>
      <c r="H10273" s="4332"/>
      <c r="I10273" s="1306">
        <v>6</v>
      </c>
      <c r="J10273" s="1307">
        <v>0.25</v>
      </c>
      <c r="K10273" s="1297">
        <f>I10273*J10273</f>
        <v>1.5</v>
      </c>
      <c r="L10273" s="4334"/>
      <c r="M10273" s="4335"/>
      <c r="N10273" s="4324"/>
      <c r="O10273" s="1298">
        <f>SUM(O10275:O10288)</f>
        <v>2.5957599999999998</v>
      </c>
      <c r="P10273" s="1337">
        <f>O10273*K10273</f>
        <v>3.8936399999999995</v>
      </c>
      <c r="Q10273" s="3390"/>
      <c r="R10273" s="1721">
        <f>SUM(P10275:P10288)</f>
        <v>3.8936399999999995</v>
      </c>
    </row>
    <row r="10274" spans="1:18">
      <c r="A10274" s="1320"/>
      <c r="B10274" s="1599"/>
      <c r="C10274" s="1327"/>
      <c r="D10274" s="1400"/>
      <c r="E10274" s="2121"/>
      <c r="F10274" s="1389" t="s">
        <v>1</v>
      </c>
      <c r="G10274" s="1389"/>
      <c r="H10274" s="1369"/>
      <c r="I10274" s="1409"/>
      <c r="J10274" s="1390"/>
      <c r="K10274" s="1391"/>
      <c r="L10274" s="1559"/>
      <c r="M10274" s="1369"/>
      <c r="N10274" s="1369"/>
      <c r="O10274" s="1369"/>
      <c r="P10274" s="1392"/>
      <c r="Q10274" s="3395"/>
    </row>
    <row r="10275" spans="1:18">
      <c r="A10275" s="1042"/>
      <c r="B10275" s="1599"/>
      <c r="C10275" s="1042"/>
      <c r="D10275" s="1598"/>
      <c r="E10275" s="2154"/>
      <c r="F10275" s="1598"/>
      <c r="G10275" s="1612"/>
      <c r="H10275" s="1674"/>
      <c r="I10275" s="1299"/>
      <c r="J10275" s="1300"/>
      <c r="K10275" s="1307"/>
      <c r="L10275" s="1335"/>
      <c r="M10275" s="1302"/>
      <c r="N10275" s="1700"/>
      <c r="O10275" s="1290"/>
      <c r="P10275" s="1332"/>
      <c r="Q10275" s="3391"/>
    </row>
    <row r="10276" spans="1:18">
      <c r="A10276" s="1320"/>
      <c r="B10276" s="553"/>
      <c r="C10276" s="1042"/>
      <c r="D10276" s="1598"/>
      <c r="E10276" s="2154"/>
      <c r="F10276" s="1598"/>
      <c r="G10276" s="1612"/>
      <c r="H10276" s="1674"/>
      <c r="I10276" s="1299"/>
      <c r="J10276" s="1300"/>
      <c r="K10276" s="1307"/>
      <c r="L10276" s="1335"/>
      <c r="M10276" s="1302"/>
      <c r="N10276" s="1700"/>
      <c r="O10276" s="1290"/>
      <c r="P10276" s="1332"/>
      <c r="Q10276" s="3391"/>
      <c r="R10276" s="2337"/>
    </row>
    <row r="10277" spans="1:18">
      <c r="A10277" s="1320"/>
      <c r="B10277" s="553"/>
      <c r="C10277" s="1320"/>
      <c r="D10277" s="1598"/>
      <c r="E10277" s="2154"/>
      <c r="F10277" s="1598"/>
      <c r="G10277" s="1612"/>
      <c r="H10277" s="1399"/>
      <c r="I10277" s="197"/>
      <c r="J10277" s="198"/>
      <c r="K10277" s="1307"/>
      <c r="L10277" s="1335"/>
      <c r="M10277" s="1302"/>
      <c r="N10277" s="1718"/>
      <c r="O10277" s="1290"/>
      <c r="P10277" s="1332"/>
      <c r="Q10277" s="3391"/>
      <c r="R10277" s="2337"/>
    </row>
    <row r="10278" spans="1:18">
      <c r="A10278" s="1320"/>
      <c r="B10278" s="553"/>
      <c r="C10278" s="1320"/>
      <c r="D10278" s="1598"/>
      <c r="E10278" s="2154"/>
      <c r="F10278" s="1598"/>
      <c r="G10278" s="1612"/>
      <c r="H10278" s="1399"/>
      <c r="I10278" s="197"/>
      <c r="J10278" s="198"/>
      <c r="K10278" s="1307"/>
      <c r="L10278" s="1335"/>
      <c r="M10278" s="1302"/>
      <c r="N10278" s="1718"/>
      <c r="O10278" s="1290"/>
      <c r="P10278" s="1332"/>
      <c r="Q10278" s="3391"/>
      <c r="R10278" s="2337"/>
    </row>
    <row r="10279" spans="1:18">
      <c r="A10279" s="1042"/>
      <c r="B10279" s="1599"/>
      <c r="C10279" s="1042"/>
      <c r="D10279" s="1400"/>
      <c r="E10279" s="2121"/>
      <c r="F10279" s="1436"/>
      <c r="G10279" s="1436"/>
      <c r="H10279" s="1369"/>
      <c r="I10279" s="1299"/>
      <c r="J10279" s="1300"/>
      <c r="K10279" s="1307"/>
      <c r="L10279" s="1335"/>
      <c r="M10279" s="1302"/>
      <c r="N10279" s="1700"/>
      <c r="O10279" s="1290"/>
      <c r="P10279" s="1332"/>
      <c r="Q10279" s="3391"/>
    </row>
    <row r="10280" spans="1:18">
      <c r="A10280" s="1042"/>
      <c r="B10280" s="1599"/>
      <c r="C10280" s="1042"/>
      <c r="D10280" s="1400"/>
      <c r="E10280" s="2121"/>
      <c r="F10280" s="1436"/>
      <c r="G10280" s="1436"/>
      <c r="H10280" s="1369"/>
      <c r="I10280" s="1299"/>
      <c r="J10280" s="1300"/>
      <c r="K10280" s="1307"/>
      <c r="L10280" s="1335"/>
      <c r="M10280" s="1302"/>
      <c r="N10280" s="1700"/>
      <c r="O10280" s="1290"/>
      <c r="P10280" s="1332"/>
      <c r="Q10280" s="3391"/>
    </row>
    <row r="10281" spans="1:18">
      <c r="A10281" s="1042"/>
      <c r="B10281" s="1599"/>
      <c r="C10281" s="1042"/>
      <c r="D10281" s="1404"/>
      <c r="E10281" s="1858"/>
      <c r="F10281" s="1360" t="s">
        <v>2</v>
      </c>
      <c r="G10281" s="1360"/>
      <c r="H10281" s="1362"/>
      <c r="I10281" s="1380"/>
      <c r="J10281" s="1381"/>
      <c r="K10281" s="1381"/>
      <c r="L10281" s="1458"/>
      <c r="M10281" s="1362"/>
      <c r="N10281" s="1362"/>
      <c r="O10281" s="1362"/>
      <c r="P10281" s="1359"/>
      <c r="Q10281" s="3387"/>
    </row>
    <row r="10282" spans="1:18">
      <c r="A10282" s="1321"/>
      <c r="B10282" s="1295"/>
      <c r="C10282" s="1321"/>
      <c r="D10282" s="1363" t="s">
        <v>1067</v>
      </c>
      <c r="E10282" s="2125" t="s">
        <v>1508</v>
      </c>
      <c r="F10282" s="1385" t="s">
        <v>1512</v>
      </c>
      <c r="G10282" s="2019">
        <v>0.14199999999999999</v>
      </c>
      <c r="H10282" s="1386"/>
      <c r="I10282" s="1299"/>
      <c r="J10282" s="1300"/>
      <c r="K10282" s="1307">
        <f>G10282*K10273</f>
        <v>0.21299999999999997</v>
      </c>
      <c r="L10282" s="1335">
        <f>K10282*$K$10256</f>
        <v>0.21299999999999997</v>
      </c>
      <c r="M10282" s="1302">
        <v>18.28</v>
      </c>
      <c r="N10282" s="1700"/>
      <c r="O10282" s="1290">
        <f>G10282*M10282</f>
        <v>2.5957599999999998</v>
      </c>
      <c r="P10282" s="1332">
        <f>M10282*K10282</f>
        <v>3.8936399999999995</v>
      </c>
      <c r="Q10282" s="3391"/>
    </row>
    <row r="10283" spans="1:18">
      <c r="A10283" s="1042"/>
      <c r="B10283" s="553"/>
      <c r="C10283" s="1042"/>
      <c r="D10283" s="2054"/>
      <c r="E10283" s="1857"/>
      <c r="F10283" s="1403"/>
      <c r="G10283" s="1991"/>
      <c r="H10283" s="1408"/>
      <c r="I10283" s="1286"/>
      <c r="J10283" s="198"/>
      <c r="K10283" s="1307"/>
      <c r="L10283" s="1335"/>
      <c r="M10283" s="1302"/>
      <c r="N10283" s="1718"/>
      <c r="O10283" s="1290"/>
      <c r="P10283" s="1332"/>
      <c r="Q10283" s="3391"/>
      <c r="R10283" s="2337"/>
    </row>
    <row r="10284" spans="1:18">
      <c r="A10284" s="1042"/>
      <c r="B10284" s="1599"/>
      <c r="C10284" s="1320"/>
      <c r="D10284" s="1404"/>
      <c r="E10284" s="1858"/>
      <c r="F10284" s="1361"/>
      <c r="G10284" s="1361"/>
      <c r="H10284" s="1466"/>
      <c r="I10284" s="1299"/>
      <c r="J10284" s="1300"/>
      <c r="K10284" s="1307"/>
      <c r="L10284" s="1335"/>
      <c r="M10284" s="1302"/>
      <c r="N10284" s="1700"/>
      <c r="O10284" s="1290"/>
      <c r="P10284" s="1332"/>
      <c r="Q10284" s="3391"/>
      <c r="R10284" s="1296"/>
    </row>
    <row r="10285" spans="1:18">
      <c r="A10285" s="1320"/>
      <c r="B10285" s="1599"/>
      <c r="C10285" s="1320"/>
      <c r="D10285" s="1411"/>
      <c r="E10285" s="2123"/>
      <c r="F10285" s="1374" t="s">
        <v>3</v>
      </c>
      <c r="G10285" s="1375"/>
      <c r="H10285" s="1376"/>
      <c r="I10285" s="1382"/>
      <c r="J10285" s="1383"/>
      <c r="K10285" s="1383"/>
      <c r="L10285" s="1413"/>
      <c r="M10285" s="1376"/>
      <c r="N10285" s="1376"/>
      <c r="O10285" s="1376"/>
      <c r="P10285" s="1373"/>
      <c r="Q10285" s="3387"/>
    </row>
    <row r="10286" spans="1:18">
      <c r="A10286" s="1321"/>
      <c r="B10286" s="2053"/>
      <c r="C10286" s="1321"/>
      <c r="D10286" s="1412"/>
      <c r="E10286" s="2124"/>
      <c r="F10286" s="1378"/>
      <c r="G10286" s="1378"/>
      <c r="H10286" s="1379"/>
      <c r="I10286" s="1299"/>
      <c r="J10286" s="1300"/>
      <c r="K10286" s="1307"/>
      <c r="L10286" s="1335"/>
      <c r="M10286" s="1302"/>
      <c r="N10286" s="1700"/>
      <c r="O10286" s="1290"/>
      <c r="P10286" s="1332"/>
      <c r="Q10286" s="3391"/>
    </row>
    <row r="10287" spans="1:18">
      <c r="A10287" s="1321"/>
      <c r="B10287" s="2053"/>
      <c r="C10287" s="1321"/>
      <c r="D10287" s="1412"/>
      <c r="E10287" s="2124"/>
      <c r="F10287" s="1378"/>
      <c r="G10287" s="1378"/>
      <c r="H10287" s="1379"/>
      <c r="I10287" s="1299"/>
      <c r="J10287" s="1300"/>
      <c r="K10287" s="1307"/>
      <c r="L10287" s="1335"/>
      <c r="M10287" s="1302"/>
      <c r="N10287" s="1700"/>
      <c r="O10287" s="1290"/>
      <c r="P10287" s="1333"/>
      <c r="Q10287" s="3391"/>
    </row>
    <row r="10288" spans="1:18">
      <c r="A10288" s="223"/>
      <c r="B10288" s="1765"/>
      <c r="C10288" s="223"/>
      <c r="D10288" s="1411"/>
      <c r="E10288" s="2161"/>
      <c r="F10288" s="1678"/>
      <c r="G10288" s="1678"/>
      <c r="H10288" s="1376"/>
      <c r="I10288" s="1299"/>
      <c r="J10288" s="1300"/>
      <c r="K10288" s="1307"/>
      <c r="L10288" s="1335"/>
      <c r="M10288" s="1302"/>
      <c r="N10288" s="1700"/>
      <c r="O10288" s="1290"/>
      <c r="P10288" s="1332"/>
      <c r="Q10288" s="3391"/>
    </row>
    <row r="10289" spans="1:22">
      <c r="A10289" s="18" t="s">
        <v>3764</v>
      </c>
      <c r="B10289" s="4325" t="s">
        <v>3655</v>
      </c>
      <c r="C10289" s="3877"/>
      <c r="D10289" s="4327"/>
      <c r="E10289" s="4329" t="s">
        <v>1507</v>
      </c>
      <c r="F10289" s="4372" t="s">
        <v>3656</v>
      </c>
      <c r="G10289" s="4331" t="s">
        <v>1568</v>
      </c>
      <c r="H10289" s="4331" t="s">
        <v>1574</v>
      </c>
      <c r="I10289" s="1572" t="s">
        <v>1559</v>
      </c>
      <c r="J10289" s="1294" t="s">
        <v>1560</v>
      </c>
      <c r="K10289" s="1294" t="s">
        <v>1569</v>
      </c>
      <c r="L10289" s="4333" t="s">
        <v>3765</v>
      </c>
      <c r="M10289" s="4335" t="s">
        <v>1571</v>
      </c>
      <c r="N10289" s="4323" t="s">
        <v>1776</v>
      </c>
      <c r="O10289" s="3876" t="s">
        <v>1563</v>
      </c>
      <c r="P10289" s="1336" t="s">
        <v>1562</v>
      </c>
      <c r="Q10289" s="3389"/>
      <c r="R10289" s="1699" t="s">
        <v>1327</v>
      </c>
    </row>
    <row r="10290" spans="1:22">
      <c r="A10290" s="1662" t="s">
        <v>3708</v>
      </c>
      <c r="B10290" s="4326"/>
      <c r="C10290" s="3879"/>
      <c r="D10290" s="4328"/>
      <c r="E10290" s="4330"/>
      <c r="F10290" s="4363"/>
      <c r="G10290" s="4332"/>
      <c r="H10290" s="4332"/>
      <c r="I10290" s="1306">
        <v>5.28</v>
      </c>
      <c r="J10290" s="1307">
        <v>0.25</v>
      </c>
      <c r="K10290" s="1297">
        <f>I10290*J10290</f>
        <v>1.32</v>
      </c>
      <c r="L10290" s="4334"/>
      <c r="M10290" s="4335"/>
      <c r="N10290" s="4324"/>
      <c r="O10290" s="1298">
        <f>SUM(O10292:O10304)</f>
        <v>5.6668000000000003</v>
      </c>
      <c r="P10290" s="1337">
        <f>O10290*K10290</f>
        <v>7.480176000000001</v>
      </c>
      <c r="Q10290" s="3390"/>
      <c r="R10290" s="1721">
        <f>SUM(P10292:P10304)</f>
        <v>7.480176000000001</v>
      </c>
    </row>
    <row r="10291" spans="1:22">
      <c r="A10291" s="1320"/>
      <c r="B10291" s="1599"/>
      <c r="C10291" s="1327"/>
      <c r="D10291" s="1400"/>
      <c r="E10291" s="2121"/>
      <c r="F10291" s="1389" t="s">
        <v>1</v>
      </c>
      <c r="G10291" s="1389"/>
      <c r="H10291" s="1369"/>
      <c r="I10291" s="1409"/>
      <c r="J10291" s="1390"/>
      <c r="K10291" s="1391"/>
      <c r="L10291" s="1559"/>
      <c r="M10291" s="1369"/>
      <c r="N10291" s="1369"/>
      <c r="O10291" s="1369"/>
      <c r="P10291" s="1392"/>
      <c r="Q10291" s="3395"/>
    </row>
    <row r="10292" spans="1:22">
      <c r="A10292" s="1042"/>
      <c r="B10292" s="1599"/>
      <c r="C10292" s="1042"/>
      <c r="D10292" s="1598"/>
      <c r="E10292" s="2154"/>
      <c r="F10292" s="1598"/>
      <c r="G10292" s="1612"/>
      <c r="H10292" s="1674"/>
      <c r="I10292" s="1299"/>
      <c r="J10292" s="1300"/>
      <c r="K10292" s="1307"/>
      <c r="L10292" s="1335"/>
      <c r="M10292" s="1302"/>
      <c r="N10292" s="1700"/>
      <c r="O10292" s="1290"/>
      <c r="P10292" s="1332"/>
      <c r="Q10292" s="3391"/>
    </row>
    <row r="10293" spans="1:22">
      <c r="A10293" s="1320"/>
      <c r="B10293" s="553"/>
      <c r="C10293" s="1042"/>
      <c r="D10293" s="1598"/>
      <c r="E10293" s="2154"/>
      <c r="F10293" s="1598"/>
      <c r="G10293" s="1612"/>
      <c r="H10293" s="1674"/>
      <c r="I10293" s="1299"/>
      <c r="J10293" s="1300"/>
      <c r="K10293" s="1307"/>
      <c r="L10293" s="1335"/>
      <c r="M10293" s="1302"/>
      <c r="N10293" s="1700"/>
      <c r="O10293" s="1290"/>
      <c r="P10293" s="1332"/>
      <c r="Q10293" s="3391"/>
      <c r="R10293" s="2337"/>
    </row>
    <row r="10294" spans="1:22">
      <c r="A10294" s="1320"/>
      <c r="B10294" s="553"/>
      <c r="C10294" s="1320"/>
      <c r="D10294" s="1598"/>
      <c r="E10294" s="2154"/>
      <c r="F10294" s="1598"/>
      <c r="G10294" s="1612"/>
      <c r="H10294" s="1399"/>
      <c r="I10294" s="197"/>
      <c r="J10294" s="198"/>
      <c r="K10294" s="1307"/>
      <c r="L10294" s="1335"/>
      <c r="M10294" s="1302"/>
      <c r="N10294" s="1718"/>
      <c r="O10294" s="1290"/>
      <c r="P10294" s="1332"/>
      <c r="Q10294" s="3391"/>
      <c r="R10294" s="2337"/>
    </row>
    <row r="10295" spans="1:22">
      <c r="A10295" s="1042"/>
      <c r="B10295" s="1599"/>
      <c r="C10295" s="1042"/>
      <c r="D10295" s="1400"/>
      <c r="E10295" s="2121"/>
      <c r="F10295" s="1436"/>
      <c r="G10295" s="1436"/>
      <c r="H10295" s="1369"/>
      <c r="I10295" s="1299"/>
      <c r="J10295" s="1300"/>
      <c r="K10295" s="1307"/>
      <c r="L10295" s="1335"/>
      <c r="M10295" s="1302"/>
      <c r="N10295" s="1700"/>
      <c r="O10295" s="1290"/>
      <c r="P10295" s="1332"/>
      <c r="Q10295" s="3391"/>
      <c r="S10295" s="16"/>
      <c r="T10295" s="16"/>
      <c r="U10295" s="16"/>
      <c r="V10295" s="16"/>
    </row>
    <row r="10296" spans="1:22">
      <c r="A10296" s="1042"/>
      <c r="B10296" s="1599"/>
      <c r="C10296" s="1042"/>
      <c r="D10296" s="1404"/>
      <c r="E10296" s="1858"/>
      <c r="F10296" s="1360" t="s">
        <v>2</v>
      </c>
      <c r="G10296" s="1360"/>
      <c r="H10296" s="1362"/>
      <c r="I10296" s="1380"/>
      <c r="J10296" s="1381"/>
      <c r="K10296" s="1381"/>
      <c r="L10296" s="1458"/>
      <c r="M10296" s="1362"/>
      <c r="N10296" s="1362"/>
      <c r="O10296" s="1362"/>
      <c r="P10296" s="1359"/>
      <c r="Q10296" s="3387"/>
      <c r="S10296" s="16"/>
      <c r="T10296" s="16"/>
      <c r="U10296" s="16"/>
      <c r="V10296" s="16"/>
    </row>
    <row r="10297" spans="1:22">
      <c r="A10297" s="1321"/>
      <c r="B10297" s="1295"/>
      <c r="C10297" s="1321"/>
      <c r="D10297" s="1363" t="s">
        <v>1067</v>
      </c>
      <c r="E10297" s="2125" t="s">
        <v>1508</v>
      </c>
      <c r="F10297" s="1385" t="s">
        <v>1512</v>
      </c>
      <c r="G10297" s="2019">
        <v>0.31</v>
      </c>
      <c r="H10297" s="1386"/>
      <c r="I10297" s="1299"/>
      <c r="J10297" s="1300"/>
      <c r="K10297" s="1307">
        <f>G10297*K10290</f>
        <v>0.40920000000000001</v>
      </c>
      <c r="L10297" s="1335">
        <f>K10297*$K$10256</f>
        <v>0.40920000000000001</v>
      </c>
      <c r="M10297" s="1302">
        <v>18.28</v>
      </c>
      <c r="N10297" s="1700"/>
      <c r="O10297" s="1290">
        <f>G10297*M10297</f>
        <v>5.6668000000000003</v>
      </c>
      <c r="P10297" s="1332">
        <f>M10297*K10297</f>
        <v>7.480176000000001</v>
      </c>
      <c r="Q10297" s="3391"/>
      <c r="S10297" s="16"/>
      <c r="T10297" s="16"/>
      <c r="U10297" s="16"/>
      <c r="V10297" s="16"/>
    </row>
    <row r="10298" spans="1:22">
      <c r="A10298" s="1042"/>
      <c r="B10298" s="553"/>
      <c r="C10298" s="1042"/>
      <c r="D10298" s="2054"/>
      <c r="E10298" s="1857"/>
      <c r="F10298" s="1403"/>
      <c r="G10298" s="1991"/>
      <c r="H10298" s="1408"/>
      <c r="I10298" s="1286"/>
      <c r="J10298" s="198"/>
      <c r="K10298" s="1307"/>
      <c r="L10298" s="1335"/>
      <c r="M10298" s="1302"/>
      <c r="N10298" s="1718"/>
      <c r="O10298" s="1290"/>
      <c r="P10298" s="1332"/>
      <c r="Q10298" s="3391"/>
      <c r="R10298" s="2337"/>
      <c r="S10298" s="16"/>
      <c r="T10298" s="16"/>
      <c r="U10298" s="16"/>
      <c r="V10298" s="16"/>
    </row>
    <row r="10299" spans="1:22">
      <c r="A10299" s="1042"/>
      <c r="B10299" s="553"/>
      <c r="C10299" s="1042"/>
      <c r="D10299" s="1402"/>
      <c r="E10299" s="1857"/>
      <c r="F10299" s="1403"/>
      <c r="G10299" s="1991"/>
      <c r="H10299" s="1408"/>
      <c r="I10299" s="197"/>
      <c r="J10299" s="198"/>
      <c r="K10299" s="1307"/>
      <c r="L10299" s="1335"/>
      <c r="M10299" s="1302"/>
      <c r="N10299" s="1718"/>
      <c r="O10299" s="1290"/>
      <c r="P10299" s="1332"/>
      <c r="Q10299" s="3391"/>
      <c r="R10299" s="2337"/>
      <c r="S10299" s="16"/>
      <c r="T10299" s="16"/>
      <c r="U10299" s="16"/>
      <c r="V10299" s="16"/>
    </row>
    <row r="10300" spans="1:22">
      <c r="A10300" s="1042"/>
      <c r="B10300" s="1599"/>
      <c r="C10300" s="1320"/>
      <c r="D10300" s="1404"/>
      <c r="E10300" s="1858"/>
      <c r="F10300" s="1361"/>
      <c r="G10300" s="1361"/>
      <c r="H10300" s="1466"/>
      <c r="I10300" s="1299"/>
      <c r="J10300" s="1300"/>
      <c r="K10300" s="1307"/>
      <c r="L10300" s="1335"/>
      <c r="M10300" s="1302"/>
      <c r="N10300" s="1700"/>
      <c r="O10300" s="1290"/>
      <c r="P10300" s="1332"/>
      <c r="Q10300" s="3391"/>
      <c r="R10300" s="1296"/>
      <c r="S10300" s="16"/>
      <c r="T10300" s="16"/>
      <c r="U10300" s="16"/>
      <c r="V10300" s="16"/>
    </row>
    <row r="10301" spans="1:22">
      <c r="A10301" s="1320"/>
      <c r="B10301" s="1599"/>
      <c r="C10301" s="1320"/>
      <c r="D10301" s="1411"/>
      <c r="E10301" s="2123"/>
      <c r="F10301" s="1374" t="s">
        <v>3</v>
      </c>
      <c r="G10301" s="1375"/>
      <c r="H10301" s="1376"/>
      <c r="I10301" s="1382"/>
      <c r="J10301" s="1383"/>
      <c r="K10301" s="1383"/>
      <c r="L10301" s="1413"/>
      <c r="M10301" s="1376"/>
      <c r="N10301" s="1376"/>
      <c r="O10301" s="1376"/>
      <c r="P10301" s="1373"/>
      <c r="Q10301" s="3387"/>
    </row>
    <row r="10302" spans="1:22">
      <c r="A10302" s="1321"/>
      <c r="B10302" s="2053"/>
      <c r="C10302" s="1321"/>
      <c r="D10302" s="1412"/>
      <c r="E10302" s="2124"/>
      <c r="F10302" s="1378"/>
      <c r="G10302" s="1378"/>
      <c r="H10302" s="1379"/>
      <c r="I10302" s="1299"/>
      <c r="J10302" s="1300"/>
      <c r="K10302" s="1307"/>
      <c r="L10302" s="1335"/>
      <c r="M10302" s="1302"/>
      <c r="N10302" s="1700"/>
      <c r="O10302" s="1290"/>
      <c r="P10302" s="1332"/>
      <c r="Q10302" s="3391"/>
    </row>
    <row r="10303" spans="1:22">
      <c r="A10303" s="1321"/>
      <c r="B10303" s="2053"/>
      <c r="C10303" s="1321"/>
      <c r="D10303" s="1412"/>
      <c r="E10303" s="2124"/>
      <c r="F10303" s="1378"/>
      <c r="G10303" s="1378"/>
      <c r="H10303" s="1379"/>
      <c r="I10303" s="1299"/>
      <c r="J10303" s="1300"/>
      <c r="K10303" s="1307"/>
      <c r="L10303" s="1335"/>
      <c r="M10303" s="1302"/>
      <c r="N10303" s="1700"/>
      <c r="O10303" s="1290"/>
      <c r="P10303" s="1333"/>
      <c r="Q10303" s="3391"/>
    </row>
    <row r="10304" spans="1:22">
      <c r="A10304" s="223"/>
      <c r="B10304" s="1765"/>
      <c r="C10304" s="223"/>
      <c r="D10304" s="1411"/>
      <c r="E10304" s="2161"/>
      <c r="F10304" s="1678"/>
      <c r="G10304" s="1678"/>
      <c r="H10304" s="1376"/>
      <c r="I10304" s="1299"/>
      <c r="J10304" s="1300"/>
      <c r="K10304" s="1307"/>
      <c r="L10304" s="1335"/>
      <c r="M10304" s="1302"/>
      <c r="N10304" s="1700"/>
      <c r="O10304" s="1290"/>
      <c r="P10304" s="1332"/>
      <c r="Q10304" s="3391"/>
    </row>
    <row r="10305" spans="1:22">
      <c r="A10305" s="18" t="s">
        <v>3764</v>
      </c>
      <c r="B10305" s="4325" t="s">
        <v>3710</v>
      </c>
      <c r="C10305" s="3877"/>
      <c r="D10305" s="4327"/>
      <c r="E10305" s="4329" t="s">
        <v>1507</v>
      </c>
      <c r="F10305" s="4372" t="s">
        <v>3711</v>
      </c>
      <c r="G10305" s="4331" t="s">
        <v>1568</v>
      </c>
      <c r="H10305" s="4331" t="s">
        <v>1574</v>
      </c>
      <c r="I10305" s="1572" t="s">
        <v>1559</v>
      </c>
      <c r="J10305" s="1294" t="s">
        <v>1560</v>
      </c>
      <c r="K10305" s="1294" t="s">
        <v>1569</v>
      </c>
      <c r="L10305" s="4333" t="s">
        <v>3765</v>
      </c>
      <c r="M10305" s="4335" t="s">
        <v>1571</v>
      </c>
      <c r="N10305" s="4323" t="s">
        <v>1776</v>
      </c>
      <c r="O10305" s="3876" t="s">
        <v>1563</v>
      </c>
      <c r="P10305" s="1336" t="s">
        <v>1562</v>
      </c>
      <c r="Q10305" s="3389"/>
      <c r="R10305" s="1699" t="s">
        <v>1327</v>
      </c>
    </row>
    <row r="10306" spans="1:22">
      <c r="A10306" s="1662" t="s">
        <v>3708</v>
      </c>
      <c r="B10306" s="4326"/>
      <c r="C10306" s="3879"/>
      <c r="D10306" s="4328"/>
      <c r="E10306" s="4330"/>
      <c r="F10306" s="4363"/>
      <c r="G10306" s="4332"/>
      <c r="H10306" s="4332"/>
      <c r="I10306" s="1306">
        <v>7.68</v>
      </c>
      <c r="J10306" s="1307">
        <v>0.25</v>
      </c>
      <c r="K10306" s="1297">
        <f>I10306*J10306</f>
        <v>1.92</v>
      </c>
      <c r="L10306" s="4334"/>
      <c r="M10306" s="4335"/>
      <c r="N10306" s="4324"/>
      <c r="O10306" s="1298">
        <f>O10308+O10309+O10317+O10318</f>
        <v>18.467554939999999</v>
      </c>
      <c r="P10306" s="1337">
        <f>O10306*K10306</f>
        <v>35.457705484799995</v>
      </c>
      <c r="Q10306" s="3390"/>
      <c r="R10306" s="1721" t="e">
        <f>P10308+#REF!+P10309+P10313+#REF!</f>
        <v>#REF!</v>
      </c>
    </row>
    <row r="10307" spans="1:22">
      <c r="A10307" s="1320"/>
      <c r="B10307" s="1599"/>
      <c r="C10307" s="1327"/>
      <c r="D10307" s="1400"/>
      <c r="E10307" s="2121"/>
      <c r="F10307" s="1389" t="s">
        <v>1</v>
      </c>
      <c r="G10307" s="1389"/>
      <c r="H10307" s="3853"/>
      <c r="I10307" s="1409"/>
      <c r="J10307" s="1390"/>
      <c r="K10307" s="1391"/>
      <c r="L10307" s="1559"/>
      <c r="M10307" s="1369"/>
      <c r="N10307" s="1369"/>
      <c r="O10307" s="1369"/>
      <c r="P10307" s="1392"/>
      <c r="Q10307" s="3395"/>
    </row>
    <row r="10308" spans="1:22">
      <c r="A10308" s="1320"/>
      <c r="B10308" s="1599"/>
      <c r="C10308" s="1042"/>
      <c r="D10308" s="3866" t="s">
        <v>1101</v>
      </c>
      <c r="E10308" s="3867" t="s">
        <v>1521</v>
      </c>
      <c r="F10308" s="3910" t="s">
        <v>1522</v>
      </c>
      <c r="G10308" s="3911">
        <v>7.0000000000000007E-2</v>
      </c>
      <c r="H10308" s="3853"/>
      <c r="I10308" s="1409"/>
      <c r="J10308" s="1390"/>
      <c r="K10308" s="1307">
        <f>G10308*K10306</f>
        <v>0.13440000000000002</v>
      </c>
      <c r="L10308" s="1335">
        <f>K10308*$K$10256</f>
        <v>0.13440000000000002</v>
      </c>
      <c r="M10308" s="1302">
        <v>73.92</v>
      </c>
      <c r="N10308" s="1718"/>
      <c r="O10308" s="1290">
        <f t="shared" ref="O10308" si="1352">G10308*M10308</f>
        <v>5.1744000000000003</v>
      </c>
      <c r="P10308" s="1332">
        <f t="shared" ref="P10308" si="1353">M10308*K10308</f>
        <v>9.9348480000000023</v>
      </c>
      <c r="Q10308" s="3395"/>
    </row>
    <row r="10309" spans="1:22">
      <c r="A10309" s="1042"/>
      <c r="B10309" s="22"/>
      <c r="C10309" s="1658" t="s">
        <v>1122</v>
      </c>
      <c r="D10309" s="1311"/>
      <c r="E10309" s="1855" t="s">
        <v>1517</v>
      </c>
      <c r="F10309" s="1647" t="s">
        <v>1681</v>
      </c>
      <c r="G10309" s="1688"/>
      <c r="H10309" s="1688">
        <v>2.5999999999999999E-2</v>
      </c>
      <c r="I10309" s="1444"/>
      <c r="J10309" s="1388"/>
      <c r="K10309" s="1510"/>
      <c r="L10309" s="1445"/>
      <c r="M10309" s="1500"/>
      <c r="N10309" s="1501">
        <f>SUM(N10310:N10314)</f>
        <v>51.667310000000001</v>
      </c>
      <c r="O10309" s="1501">
        <f>SUM(O10310:O10314)</f>
        <v>0.96134494000000004</v>
      </c>
      <c r="P10309" s="1501">
        <f>SUM(P10310:P10314)</f>
        <v>1.8457822847999998</v>
      </c>
      <c r="Q10309" s="3391"/>
      <c r="R10309" s="1296"/>
    </row>
    <row r="10310" spans="1:22">
      <c r="A10310" s="1042"/>
      <c r="B10310" s="22"/>
      <c r="C10310" s="1042"/>
      <c r="D10310" s="1451" t="s">
        <v>1069</v>
      </c>
      <c r="E10310" s="1856" t="s">
        <v>1517</v>
      </c>
      <c r="F10310" s="1421" t="s">
        <v>1578</v>
      </c>
      <c r="G10310" s="1452">
        <v>0.26300000000000001</v>
      </c>
      <c r="H10310" s="1453">
        <f>H10309*G10310</f>
        <v>6.8380000000000003E-3</v>
      </c>
      <c r="I10310" s="1286"/>
      <c r="J10310" s="198"/>
      <c r="K10310" s="1307">
        <f>H10310*K10306</f>
        <v>1.312896E-2</v>
      </c>
      <c r="L10310" s="1335">
        <f t="shared" ref="L10310:L10314" si="1354">K10310*$K$10256</f>
        <v>1.312896E-2</v>
      </c>
      <c r="M10310" s="1302">
        <v>0.55000000000000004</v>
      </c>
      <c r="N10310" s="1724">
        <f>G10310*M10310</f>
        <v>0.14465000000000003</v>
      </c>
      <c r="O10310" s="1726">
        <f>H10310*M10310</f>
        <v>3.7609000000000006E-3</v>
      </c>
      <c r="P10310" s="1727">
        <f>M10310*K10310</f>
        <v>7.2209280000000006E-3</v>
      </c>
      <c r="Q10310" s="3396"/>
      <c r="R10310" s="1296"/>
    </row>
    <row r="10311" spans="1:22">
      <c r="A10311" s="1042"/>
      <c r="B10311" s="22"/>
      <c r="C10311" s="1320"/>
      <c r="D10311" s="1367" t="s">
        <v>1394</v>
      </c>
      <c r="E10311" s="1856" t="s">
        <v>1577</v>
      </c>
      <c r="F10311" s="1421" t="s">
        <v>1579</v>
      </c>
      <c r="G10311" s="1452">
        <v>0.25800000000000001</v>
      </c>
      <c r="H10311" s="1453">
        <f>$H$1623*G10311</f>
        <v>2.5800000000000003E-3</v>
      </c>
      <c r="I10311" s="1286"/>
      <c r="J10311" s="198"/>
      <c r="K10311" s="1307">
        <f>H10311*K10306</f>
        <v>4.9536000000000007E-3</v>
      </c>
      <c r="L10311" s="1335">
        <f t="shared" si="1354"/>
        <v>4.9536000000000007E-3</v>
      </c>
      <c r="M10311" s="1302">
        <v>92.54</v>
      </c>
      <c r="N10311" s="1724">
        <f>G10311*M10311</f>
        <v>23.875320000000002</v>
      </c>
      <c r="O10311" s="1719">
        <f>H10311*M10311</f>
        <v>0.23875320000000003</v>
      </c>
      <c r="P10311" s="1720">
        <f>M10311*K10311</f>
        <v>0.45840614400000007</v>
      </c>
      <c r="Q10311" s="3396"/>
      <c r="R10311" s="1296"/>
    </row>
    <row r="10312" spans="1:22">
      <c r="A10312" s="1042"/>
      <c r="B10312" s="22"/>
      <c r="C10312" s="1320"/>
      <c r="D10312" s="1603" t="s">
        <v>1682</v>
      </c>
      <c r="E10312" s="1856" t="s">
        <v>1683</v>
      </c>
      <c r="F10312" s="1421" t="s">
        <v>1684</v>
      </c>
      <c r="G10312" s="1452">
        <v>1.288</v>
      </c>
      <c r="H10312" s="1453">
        <f>H10309*G10312</f>
        <v>3.3487999999999997E-2</v>
      </c>
      <c r="I10312" s="1286"/>
      <c r="J10312" s="198"/>
      <c r="K10312" s="1307">
        <f>H10312*K10306</f>
        <v>6.4296959999999986E-2</v>
      </c>
      <c r="L10312" s="1335">
        <f t="shared" si="1354"/>
        <v>6.4296959999999986E-2</v>
      </c>
      <c r="M10312" s="1302">
        <v>1.26</v>
      </c>
      <c r="N10312" s="1724">
        <f>G10312*M10312</f>
        <v>1.6228800000000001</v>
      </c>
      <c r="O10312" s="1719">
        <f>H10312*M10312</f>
        <v>4.2194879999999997E-2</v>
      </c>
      <c r="P10312" s="1720">
        <f>M10312*K10312</f>
        <v>8.1014169599999977E-2</v>
      </c>
      <c r="Q10312" s="3396"/>
      <c r="R10312" s="1296"/>
    </row>
    <row r="10313" spans="1:22">
      <c r="A10313" s="1042"/>
      <c r="B10313" s="22"/>
      <c r="C10313" s="1320"/>
      <c r="D10313" s="1603" t="s">
        <v>1576</v>
      </c>
      <c r="E10313" s="1856" t="s">
        <v>1517</v>
      </c>
      <c r="F10313" s="1421" t="s">
        <v>1580</v>
      </c>
      <c r="G10313" s="1452">
        <v>1.1020000000000001</v>
      </c>
      <c r="H10313" s="1453">
        <f>H10309*G10313</f>
        <v>2.8652E-2</v>
      </c>
      <c r="I10313" s="1286"/>
      <c r="J10313" s="198"/>
      <c r="K10313" s="1307">
        <f>H10313*K10306</f>
        <v>5.5011839999999999E-2</v>
      </c>
      <c r="L10313" s="1335">
        <f t="shared" si="1354"/>
        <v>5.5011839999999999E-2</v>
      </c>
      <c r="M10313" s="1302">
        <v>6.53</v>
      </c>
      <c r="N10313" s="1724">
        <f>G10313*M10313</f>
        <v>7.196060000000001</v>
      </c>
      <c r="O10313" s="1719">
        <f>H10313*M10313</f>
        <v>0.18709756</v>
      </c>
      <c r="P10313" s="1720">
        <f>M10313*K10313</f>
        <v>0.35922731520000001</v>
      </c>
      <c r="Q10313" s="3396"/>
      <c r="R10313" s="1296"/>
    </row>
    <row r="10314" spans="1:22">
      <c r="A10314" s="1042"/>
      <c r="B10314" s="22"/>
      <c r="C10314" s="1320"/>
      <c r="D10314" s="1443" t="s">
        <v>1067</v>
      </c>
      <c r="E10314" s="1857" t="s">
        <v>1508</v>
      </c>
      <c r="F10314" s="1430" t="s">
        <v>1512</v>
      </c>
      <c r="G10314" s="1431">
        <v>1.03</v>
      </c>
      <c r="H10314" s="1431">
        <f>H10309*G10314</f>
        <v>2.6779999999999998E-2</v>
      </c>
      <c r="I10314" s="1286"/>
      <c r="J10314" s="198"/>
      <c r="K10314" s="1307">
        <f>H10314*K10306</f>
        <v>5.1417599999999994E-2</v>
      </c>
      <c r="L10314" s="1335">
        <f t="shared" si="1354"/>
        <v>5.1417599999999994E-2</v>
      </c>
      <c r="M10314" s="1302">
        <v>18.28</v>
      </c>
      <c r="N10314" s="1724">
        <f>G10314*M10314</f>
        <v>18.828400000000002</v>
      </c>
      <c r="O10314" s="1719">
        <f>H10314*M10314</f>
        <v>0.48953839999999998</v>
      </c>
      <c r="P10314" s="1720">
        <f>M10314*K10314</f>
        <v>0.93991372799999995</v>
      </c>
      <c r="Q10314" s="3396"/>
      <c r="R10314" s="1296"/>
    </row>
    <row r="10315" spans="1:22">
      <c r="A10315" s="1042"/>
      <c r="B10315" s="1599"/>
      <c r="C10315" s="1042"/>
      <c r="D10315" s="1400"/>
      <c r="E10315" s="2121"/>
      <c r="F10315" s="1436"/>
      <c r="G10315" s="1436"/>
      <c r="H10315" s="1369"/>
      <c r="I10315" s="1299"/>
      <c r="J10315" s="1300"/>
      <c r="K10315" s="1307"/>
      <c r="L10315" s="1335"/>
      <c r="M10315" s="1302"/>
      <c r="N10315" s="1700"/>
      <c r="O10315" s="1290"/>
      <c r="P10315" s="1332"/>
      <c r="Q10315" s="3391"/>
    </row>
    <row r="10316" spans="1:22">
      <c r="A10316" s="1042"/>
      <c r="B10316" s="1599"/>
      <c r="C10316" s="1042"/>
      <c r="D10316" s="1404"/>
      <c r="E10316" s="1858"/>
      <c r="F10316" s="1360" t="s">
        <v>2</v>
      </c>
      <c r="G10316" s="1360"/>
      <c r="H10316" s="1362"/>
      <c r="I10316" s="1380"/>
      <c r="J10316" s="1381"/>
      <c r="K10316" s="1381"/>
      <c r="L10316" s="1458"/>
      <c r="M10316" s="1362"/>
      <c r="N10316" s="1362"/>
      <c r="O10316" s="1362"/>
      <c r="P10316" s="1359"/>
      <c r="Q10316" s="3387"/>
      <c r="S10316" s="16"/>
      <c r="T10316" s="16"/>
      <c r="U10316" s="16"/>
      <c r="V10316" s="16"/>
    </row>
    <row r="10317" spans="1:22">
      <c r="A10317" s="1042"/>
      <c r="B10317" s="1042"/>
      <c r="C10317" s="18"/>
      <c r="D10317" s="1402" t="s">
        <v>1067</v>
      </c>
      <c r="E10317" s="1857" t="s">
        <v>1508</v>
      </c>
      <c r="F10317" s="1403" t="s">
        <v>1512</v>
      </c>
      <c r="G10317" s="1362">
        <v>0.217</v>
      </c>
      <c r="H10317" s="1359"/>
      <c r="I10317" s="198"/>
      <c r="J10317" s="6"/>
      <c r="K10317" s="1307">
        <f>G10317*K10306</f>
        <v>0.41663999999999995</v>
      </c>
      <c r="L10317" s="1335">
        <f t="shared" ref="L10317:L10318" si="1355">K10317*$K$10256</f>
        <v>0.41663999999999995</v>
      </c>
      <c r="M10317" s="1499">
        <v>18.28</v>
      </c>
      <c r="N10317" s="1724"/>
      <c r="O10317" s="1290">
        <f t="shared" ref="O10317:O10318" si="1356">G10317*M10317</f>
        <v>3.9667600000000003</v>
      </c>
      <c r="P10317" s="1332">
        <f t="shared" ref="P10317:P10318" si="1357">M10317*K10317</f>
        <v>7.6161791999999995</v>
      </c>
      <c r="Q10317" s="3391"/>
      <c r="S10317" s="16"/>
      <c r="T10317" s="16"/>
      <c r="U10317" s="16"/>
      <c r="V10317" s="16"/>
    </row>
    <row r="10318" spans="1:22">
      <c r="A10318" s="1042"/>
      <c r="B10318" s="1042"/>
      <c r="C10318" s="1042"/>
      <c r="D10318" s="1402" t="s">
        <v>1121</v>
      </c>
      <c r="E10318" s="1857" t="s">
        <v>1508</v>
      </c>
      <c r="F10318" s="1403" t="s">
        <v>1667</v>
      </c>
      <c r="G10318" s="1362">
        <v>0.435</v>
      </c>
      <c r="H10318" s="1359"/>
      <c r="I10318" s="198"/>
      <c r="J10318" s="6"/>
      <c r="K10318" s="1307">
        <f>G10318*K10306</f>
        <v>0.83519999999999994</v>
      </c>
      <c r="L10318" s="1335">
        <f t="shared" si="1355"/>
        <v>0.83519999999999994</v>
      </c>
      <c r="M10318" s="1499">
        <v>19.23</v>
      </c>
      <c r="N10318" s="1724"/>
      <c r="O10318" s="1290">
        <f t="shared" si="1356"/>
        <v>8.3650500000000001</v>
      </c>
      <c r="P10318" s="1332">
        <f t="shared" si="1357"/>
        <v>16.060896</v>
      </c>
      <c r="Q10318" s="3391"/>
      <c r="S10318" s="16"/>
      <c r="T10318" s="16"/>
      <c r="U10318" s="16"/>
      <c r="V10318" s="16"/>
    </row>
    <row r="10319" spans="1:22">
      <c r="A10319" s="1042"/>
      <c r="B10319" s="553"/>
      <c r="C10319" s="1042"/>
      <c r="D10319" s="3860"/>
      <c r="E10319" s="3851"/>
      <c r="F10319" s="1766"/>
      <c r="G10319" s="3861"/>
      <c r="H10319" s="3246"/>
      <c r="I10319" s="197"/>
      <c r="J10319" s="3862"/>
      <c r="K10319" s="1307"/>
      <c r="L10319" s="1335"/>
      <c r="M10319" s="3852"/>
      <c r="N10319" s="1724"/>
      <c r="O10319" s="1290"/>
      <c r="P10319" s="3850"/>
      <c r="Q10319" s="3391"/>
      <c r="S10319" s="16"/>
      <c r="T10319" s="16"/>
      <c r="U10319" s="16"/>
      <c r="V10319" s="16"/>
    </row>
    <row r="10320" spans="1:22">
      <c r="A10320" s="1320"/>
      <c r="B10320" s="1599"/>
      <c r="C10320" s="1320"/>
      <c r="D10320" s="1411"/>
      <c r="E10320" s="2123"/>
      <c r="F10320" s="1374" t="s">
        <v>3</v>
      </c>
      <c r="G10320" s="1375"/>
      <c r="H10320" s="1376"/>
      <c r="I10320" s="1382"/>
      <c r="J10320" s="1383"/>
      <c r="K10320" s="1383"/>
      <c r="L10320" s="1413"/>
      <c r="M10320" s="1376"/>
      <c r="N10320" s="1376"/>
      <c r="O10320" s="1376"/>
      <c r="P10320" s="1373"/>
      <c r="Q10320" s="3387"/>
      <c r="S10320" s="16"/>
      <c r="T10320" s="16"/>
      <c r="U10320" s="16"/>
      <c r="V10320" s="16"/>
    </row>
    <row r="10321" spans="1:22">
      <c r="A10321" s="1321"/>
      <c r="B10321" s="2053"/>
      <c r="C10321" s="1321"/>
      <c r="D10321" s="1412"/>
      <c r="E10321" s="2124"/>
      <c r="F10321" s="1378"/>
      <c r="G10321" s="2200"/>
      <c r="H10321" s="1379"/>
      <c r="I10321" s="1299"/>
      <c r="J10321" s="1300"/>
      <c r="K10321" s="1307"/>
      <c r="L10321" s="1335"/>
      <c r="M10321" s="1302"/>
      <c r="N10321" s="1700"/>
      <c r="O10321" s="1290"/>
      <c r="P10321" s="1332"/>
      <c r="Q10321" s="3391"/>
      <c r="S10321" s="16"/>
      <c r="T10321" s="16"/>
      <c r="U10321" s="16"/>
      <c r="V10321" s="16"/>
    </row>
    <row r="10322" spans="1:22">
      <c r="A10322" s="1321"/>
      <c r="B10322" s="2053"/>
      <c r="C10322" s="1321"/>
      <c r="D10322" s="1412"/>
      <c r="E10322" s="2124"/>
      <c r="F10322" s="1378"/>
      <c r="G10322" s="1378"/>
      <c r="H10322" s="1379"/>
      <c r="I10322" s="1299"/>
      <c r="J10322" s="1300"/>
      <c r="K10322" s="1307"/>
      <c r="L10322" s="1335"/>
      <c r="M10322" s="1302"/>
      <c r="N10322" s="1700"/>
      <c r="O10322" s="1290"/>
      <c r="P10322" s="1333"/>
      <c r="Q10322" s="3391"/>
    </row>
    <row r="10323" spans="1:22">
      <c r="A10323" s="1042"/>
      <c r="B10323" s="1599"/>
      <c r="C10323" s="1042"/>
      <c r="D10323" s="1695"/>
      <c r="E10323" s="2278"/>
      <c r="F10323" s="2279"/>
      <c r="G10323" s="2279"/>
      <c r="H10323" s="2264"/>
      <c r="I10323" s="2280"/>
      <c r="J10323" s="2281"/>
      <c r="K10323" s="2236"/>
      <c r="L10323" s="1594"/>
      <c r="M10323" s="2282"/>
      <c r="N10323" s="2283"/>
      <c r="O10323" s="2237"/>
      <c r="P10323" s="2238"/>
      <c r="Q10323" s="3391"/>
    </row>
    <row r="10324" spans="1:22">
      <c r="A10324" s="18" t="s">
        <v>3764</v>
      </c>
      <c r="B10324" s="4325" t="s">
        <v>3712</v>
      </c>
      <c r="C10324" s="3877"/>
      <c r="D10324" s="4327"/>
      <c r="E10324" s="4329" t="s">
        <v>1507</v>
      </c>
      <c r="F10324" s="4372" t="s">
        <v>3713</v>
      </c>
      <c r="G10324" s="4331" t="s">
        <v>1568</v>
      </c>
      <c r="H10324" s="4331" t="s">
        <v>1574</v>
      </c>
      <c r="I10324" s="1572" t="s">
        <v>1559</v>
      </c>
      <c r="J10324" s="1294" t="s">
        <v>1560</v>
      </c>
      <c r="K10324" s="1294" t="s">
        <v>1569</v>
      </c>
      <c r="L10324" s="4333" t="s">
        <v>3765</v>
      </c>
      <c r="M10324" s="4335" t="s">
        <v>1571</v>
      </c>
      <c r="N10324" s="4323" t="s">
        <v>1776</v>
      </c>
      <c r="O10324" s="3876" t="s">
        <v>1563</v>
      </c>
      <c r="P10324" s="1336" t="s">
        <v>1562</v>
      </c>
      <c r="Q10324" s="3389"/>
      <c r="R10324" s="1699" t="s">
        <v>1327</v>
      </c>
    </row>
    <row r="10325" spans="1:22">
      <c r="A10325" s="1662" t="s">
        <v>3708</v>
      </c>
      <c r="B10325" s="4326"/>
      <c r="C10325" s="3879"/>
      <c r="D10325" s="4328"/>
      <c r="E10325" s="4330"/>
      <c r="F10325" s="4363"/>
      <c r="G10325" s="4332"/>
      <c r="H10325" s="4332"/>
      <c r="I10325" s="1306">
        <v>12.86</v>
      </c>
      <c r="J10325" s="1307">
        <v>0.25</v>
      </c>
      <c r="K10325" s="1297">
        <f>I10325*J10325</f>
        <v>3.2149999999999999</v>
      </c>
      <c r="L10325" s="4334"/>
      <c r="M10325" s="4335"/>
      <c r="N10325" s="4324"/>
      <c r="O10325" s="1298">
        <f>O10327+O10328+O10330+O10334+O10338</f>
        <v>18.3885425</v>
      </c>
      <c r="P10325" s="1337">
        <f>O10325*K10325</f>
        <v>59.119164137499993</v>
      </c>
      <c r="Q10325" s="3390"/>
      <c r="R10325" s="1721">
        <f>P10327+P10328+P10329+P10330+P10338</f>
        <v>60.446645482099996</v>
      </c>
    </row>
    <row r="10326" spans="1:22">
      <c r="A10326" s="1320"/>
      <c r="B10326" s="1599"/>
      <c r="C10326" s="1327"/>
      <c r="D10326" s="1400"/>
      <c r="E10326" s="2121"/>
      <c r="F10326" s="1389" t="s">
        <v>1</v>
      </c>
      <c r="G10326" s="1389"/>
      <c r="H10326" s="3853"/>
      <c r="I10326" s="1409"/>
      <c r="J10326" s="1390"/>
      <c r="K10326" s="1391"/>
      <c r="L10326" s="1559"/>
      <c r="M10326" s="1369"/>
      <c r="N10326" s="1369"/>
      <c r="O10326" s="1369"/>
      <c r="P10326" s="1392"/>
      <c r="Q10326" s="3395"/>
    </row>
    <row r="10327" spans="1:22">
      <c r="A10327" s="1320"/>
      <c r="B10327" s="1599"/>
      <c r="C10327" s="1320"/>
      <c r="D10327" s="3914" t="s">
        <v>3714</v>
      </c>
      <c r="E10327" s="3915" t="s">
        <v>1504</v>
      </c>
      <c r="F10327" s="3916" t="s">
        <v>3715</v>
      </c>
      <c r="G10327" s="3917">
        <v>4.24</v>
      </c>
      <c r="H10327" s="3913"/>
      <c r="I10327" s="1409"/>
      <c r="J10327" s="1390"/>
      <c r="K10327" s="1350">
        <f>G10327*K10325</f>
        <v>13.631600000000001</v>
      </c>
      <c r="L10327" s="1335">
        <f t="shared" ref="L10327:L10329" si="1358">K10327*$K$10256</f>
        <v>13.631600000000001</v>
      </c>
      <c r="M10327" s="1302">
        <v>0.84</v>
      </c>
      <c r="N10327" s="1718"/>
      <c r="O10327" s="1290">
        <f t="shared" ref="O10327:O10329" si="1359">G10327*M10327</f>
        <v>3.5615999999999999</v>
      </c>
      <c r="P10327" s="1332">
        <f t="shared" ref="P10327:P10329" si="1360">M10327*K10327</f>
        <v>11.450544000000001</v>
      </c>
      <c r="Q10327" s="3395"/>
    </row>
    <row r="10328" spans="1:22">
      <c r="A10328" s="1320"/>
      <c r="B10328" s="1599"/>
      <c r="C10328" s="1320"/>
      <c r="D10328" s="3914" t="s">
        <v>1097</v>
      </c>
      <c r="E10328" s="3915" t="s">
        <v>1504</v>
      </c>
      <c r="F10328" s="3916" t="s">
        <v>1632</v>
      </c>
      <c r="G10328" s="3917">
        <v>1</v>
      </c>
      <c r="H10328" s="3913"/>
      <c r="I10328" s="1409"/>
      <c r="J10328" s="1390"/>
      <c r="K10328" s="1350">
        <f>G10328*K10325</f>
        <v>3.2149999999999999</v>
      </c>
      <c r="L10328" s="1335">
        <f t="shared" si="1358"/>
        <v>3.2149999999999999</v>
      </c>
      <c r="M10328" s="1302">
        <v>0.55000000000000004</v>
      </c>
      <c r="N10328" s="1718"/>
      <c r="O10328" s="1290">
        <f t="shared" si="1359"/>
        <v>0.55000000000000004</v>
      </c>
      <c r="P10328" s="1332">
        <f t="shared" si="1360"/>
        <v>1.7682500000000001</v>
      </c>
      <c r="Q10328" s="3395"/>
    </row>
    <row r="10329" spans="1:22">
      <c r="A10329" s="1320"/>
      <c r="B10329" s="1599"/>
      <c r="C10329" s="1042"/>
      <c r="D10329" s="3854" t="s">
        <v>1082</v>
      </c>
      <c r="E10329" s="3855" t="s">
        <v>1504</v>
      </c>
      <c r="F10329" s="3859" t="s">
        <v>1541</v>
      </c>
      <c r="G10329" s="3857">
        <v>2</v>
      </c>
      <c r="H10329" s="3853"/>
      <c r="I10329" s="1409"/>
      <c r="J10329" s="1390"/>
      <c r="K10329" s="1350">
        <f>G10329*K10325</f>
        <v>6.43</v>
      </c>
      <c r="L10329" s="1335">
        <f t="shared" si="1358"/>
        <v>6.43</v>
      </c>
      <c r="M10329" s="1302">
        <v>0.3</v>
      </c>
      <c r="N10329" s="1718"/>
      <c r="O10329" s="1290">
        <f t="shared" si="1359"/>
        <v>0.6</v>
      </c>
      <c r="P10329" s="1332">
        <f t="shared" si="1360"/>
        <v>1.9289999999999998</v>
      </c>
      <c r="Q10329" s="3395"/>
    </row>
    <row r="10330" spans="1:22">
      <c r="A10330" s="1042"/>
      <c r="B10330" s="22"/>
      <c r="C10330" s="1658" t="s">
        <v>1122</v>
      </c>
      <c r="D10330" s="1311"/>
      <c r="E10330" s="1855" t="s">
        <v>1517</v>
      </c>
      <c r="F10330" s="1647" t="s">
        <v>1681</v>
      </c>
      <c r="G10330" s="1688"/>
      <c r="H10330" s="1688">
        <v>2.5999999999999999E-2</v>
      </c>
      <c r="I10330" s="1444"/>
      <c r="J10330" s="1388"/>
      <c r="K10330" s="1510"/>
      <c r="L10330" s="1445"/>
      <c r="M10330" s="1500"/>
      <c r="N10330" s="1501">
        <f>SUM(N10331:N10335)</f>
        <v>51.667310000000001</v>
      </c>
      <c r="O10330" s="1501">
        <f>SUM(O10331:O10335)</f>
        <v>0.96134494000000004</v>
      </c>
      <c r="P10330" s="1501">
        <f>SUM(P10331:P10335)</f>
        <v>3.0907239821000001</v>
      </c>
      <c r="Q10330" s="3391"/>
      <c r="R10330" s="1296"/>
    </row>
    <row r="10331" spans="1:22">
      <c r="A10331" s="1042"/>
      <c r="B10331" s="22"/>
      <c r="C10331" s="1042"/>
      <c r="D10331" s="1451" t="s">
        <v>1069</v>
      </c>
      <c r="E10331" s="1856" t="s">
        <v>1517</v>
      </c>
      <c r="F10331" s="1421" t="s">
        <v>1578</v>
      </c>
      <c r="G10331" s="1452">
        <v>0.26300000000000001</v>
      </c>
      <c r="H10331" s="1453">
        <f>H10330*G10331</f>
        <v>6.8380000000000003E-3</v>
      </c>
      <c r="I10331" s="1286"/>
      <c r="J10331" s="198"/>
      <c r="K10331" s="1307">
        <f>H10331*K10325</f>
        <v>2.1984170000000001E-2</v>
      </c>
      <c r="L10331" s="1335">
        <f t="shared" ref="L10331:L10335" si="1361">K10331*$K$10256</f>
        <v>2.1984170000000001E-2</v>
      </c>
      <c r="M10331" s="1302">
        <v>0.55000000000000004</v>
      </c>
      <c r="N10331" s="1724">
        <f>G10331*M10331</f>
        <v>0.14465000000000003</v>
      </c>
      <c r="O10331" s="1726">
        <f>H10331*M10331</f>
        <v>3.7609000000000006E-3</v>
      </c>
      <c r="P10331" s="1727">
        <f>M10331*K10331</f>
        <v>1.2091293500000001E-2</v>
      </c>
      <c r="Q10331" s="3396"/>
      <c r="R10331" s="1296"/>
    </row>
    <row r="10332" spans="1:22" ht="15" customHeight="1">
      <c r="A10332" s="1042"/>
      <c r="B10332" s="22"/>
      <c r="C10332" s="1320"/>
      <c r="D10332" s="1367" t="s">
        <v>1394</v>
      </c>
      <c r="E10332" s="1856" t="s">
        <v>1577</v>
      </c>
      <c r="F10332" s="1421" t="s">
        <v>1579</v>
      </c>
      <c r="G10332" s="1452">
        <v>0.25800000000000001</v>
      </c>
      <c r="H10332" s="1453">
        <f>$H$1623*G10332</f>
        <v>2.5800000000000003E-3</v>
      </c>
      <c r="I10332" s="1286"/>
      <c r="J10332" s="198"/>
      <c r="K10332" s="1307">
        <f>H10332*K10325</f>
        <v>8.2947000000000003E-3</v>
      </c>
      <c r="L10332" s="1335">
        <f t="shared" si="1361"/>
        <v>8.2947000000000003E-3</v>
      </c>
      <c r="M10332" s="1302">
        <v>92.54</v>
      </c>
      <c r="N10332" s="1724">
        <f>G10332*M10332</f>
        <v>23.875320000000002</v>
      </c>
      <c r="O10332" s="1719">
        <f>H10332*M10332</f>
        <v>0.23875320000000003</v>
      </c>
      <c r="P10332" s="1720">
        <f>M10332*K10332</f>
        <v>0.76759153800000013</v>
      </c>
      <c r="Q10332" s="3396"/>
      <c r="R10332" s="1296"/>
    </row>
    <row r="10333" spans="1:22">
      <c r="A10333" s="1042"/>
      <c r="B10333" s="22"/>
      <c r="C10333" s="1320"/>
      <c r="D10333" s="1603" t="s">
        <v>1682</v>
      </c>
      <c r="E10333" s="1856" t="s">
        <v>1683</v>
      </c>
      <c r="F10333" s="1421" t="s">
        <v>1684</v>
      </c>
      <c r="G10333" s="1452">
        <v>1.288</v>
      </c>
      <c r="H10333" s="1453">
        <f>H10330*G10333</f>
        <v>3.3487999999999997E-2</v>
      </c>
      <c r="I10333" s="1286"/>
      <c r="J10333" s="198"/>
      <c r="K10333" s="1307">
        <f>H10333*K10325</f>
        <v>0.10766391999999998</v>
      </c>
      <c r="L10333" s="1335">
        <f t="shared" si="1361"/>
        <v>0.10766391999999998</v>
      </c>
      <c r="M10333" s="1302">
        <v>1.26</v>
      </c>
      <c r="N10333" s="1724">
        <f>G10333*M10333</f>
        <v>1.6228800000000001</v>
      </c>
      <c r="O10333" s="1719">
        <f>H10333*M10333</f>
        <v>4.2194879999999997E-2</v>
      </c>
      <c r="P10333" s="1720">
        <f>M10333*K10333</f>
        <v>0.13565653919999998</v>
      </c>
      <c r="Q10333" s="3396"/>
      <c r="R10333" s="1296"/>
    </row>
    <row r="10334" spans="1:22">
      <c r="A10334" s="1042"/>
      <c r="B10334" s="22"/>
      <c r="C10334" s="1320"/>
      <c r="D10334" s="1603" t="s">
        <v>1576</v>
      </c>
      <c r="E10334" s="1856" t="s">
        <v>1517</v>
      </c>
      <c r="F10334" s="1421" t="s">
        <v>1580</v>
      </c>
      <c r="G10334" s="1452">
        <v>1.1020000000000001</v>
      </c>
      <c r="H10334" s="1453">
        <f>H10330*G10334</f>
        <v>2.8652E-2</v>
      </c>
      <c r="I10334" s="1286"/>
      <c r="J10334" s="198"/>
      <c r="K10334" s="1307">
        <f>H10334*K10325</f>
        <v>9.2116179999999992E-2</v>
      </c>
      <c r="L10334" s="1335">
        <f t="shared" si="1361"/>
        <v>9.2116179999999992E-2</v>
      </c>
      <c r="M10334" s="1302">
        <v>6.53</v>
      </c>
      <c r="N10334" s="1724">
        <f>G10334*M10334</f>
        <v>7.196060000000001</v>
      </c>
      <c r="O10334" s="1719">
        <f>H10334*M10334</f>
        <v>0.18709756</v>
      </c>
      <c r="P10334" s="1720">
        <f>M10334*K10334</f>
        <v>0.60151865539999994</v>
      </c>
      <c r="Q10334" s="3396"/>
      <c r="R10334" s="1296"/>
    </row>
    <row r="10335" spans="1:22">
      <c r="A10335" s="1042"/>
      <c r="B10335" s="22"/>
      <c r="C10335" s="1320"/>
      <c r="D10335" s="1443" t="s">
        <v>1067</v>
      </c>
      <c r="E10335" s="1857" t="s">
        <v>1508</v>
      </c>
      <c r="F10335" s="1430" t="s">
        <v>1512</v>
      </c>
      <c r="G10335" s="1431">
        <v>1.03</v>
      </c>
      <c r="H10335" s="1431">
        <f>H10330*G10335</f>
        <v>2.6779999999999998E-2</v>
      </c>
      <c r="I10335" s="1286"/>
      <c r="J10335" s="198"/>
      <c r="K10335" s="1307">
        <f>H10335*K10325</f>
        <v>8.6097699999999985E-2</v>
      </c>
      <c r="L10335" s="1335">
        <f t="shared" si="1361"/>
        <v>8.6097699999999985E-2</v>
      </c>
      <c r="M10335" s="1302">
        <v>18.28</v>
      </c>
      <c r="N10335" s="1724">
        <f>G10335*M10335</f>
        <v>18.828400000000002</v>
      </c>
      <c r="O10335" s="1719">
        <f>H10335*M10335</f>
        <v>0.48953839999999998</v>
      </c>
      <c r="P10335" s="1720">
        <f>M10335*K10335</f>
        <v>1.5738659559999999</v>
      </c>
      <c r="Q10335" s="3396"/>
      <c r="R10335" s="1296"/>
    </row>
    <row r="10336" spans="1:22">
      <c r="A10336" s="1042"/>
      <c r="B10336" s="1599"/>
      <c r="C10336" s="1042"/>
      <c r="D10336" s="1400"/>
      <c r="E10336" s="2121"/>
      <c r="F10336" s="1436"/>
      <c r="G10336" s="1436"/>
      <c r="H10336" s="1369"/>
      <c r="I10336" s="1299"/>
      <c r="J10336" s="1300"/>
      <c r="K10336" s="1307"/>
      <c r="L10336" s="1335"/>
      <c r="M10336" s="1302"/>
      <c r="N10336" s="1700"/>
      <c r="O10336" s="1290"/>
      <c r="P10336" s="1332"/>
      <c r="Q10336" s="3391"/>
    </row>
    <row r="10337" spans="1:18">
      <c r="A10337" s="1042"/>
      <c r="B10337" s="1599"/>
      <c r="C10337" s="1042"/>
      <c r="D10337" s="3863"/>
      <c r="E10337" s="1858"/>
      <c r="F10337" s="1360" t="s">
        <v>2</v>
      </c>
      <c r="G10337" s="1360"/>
      <c r="H10337" s="1362"/>
      <c r="I10337" s="1380"/>
      <c r="J10337" s="1381"/>
      <c r="K10337" s="1381"/>
      <c r="L10337" s="1458"/>
      <c r="M10337" s="1362"/>
      <c r="N10337" s="1362"/>
      <c r="O10337" s="1362"/>
      <c r="P10337" s="1359"/>
      <c r="Q10337" s="3387"/>
    </row>
    <row r="10338" spans="1:18">
      <c r="A10338" s="1042"/>
      <c r="B10338" s="1042"/>
      <c r="C10338" s="3864" t="s">
        <v>1523</v>
      </c>
      <c r="D10338" s="3865"/>
      <c r="E10338" s="2128" t="s">
        <v>1508</v>
      </c>
      <c r="F10338" s="2248" t="s">
        <v>1524</v>
      </c>
      <c r="G10338" s="1338"/>
      <c r="H10338" s="1344">
        <v>0.35</v>
      </c>
      <c r="I10338" s="1388"/>
      <c r="J10338" s="1366"/>
      <c r="K10338" s="1448"/>
      <c r="L10338" s="1457"/>
      <c r="M10338" s="1503"/>
      <c r="N10338" s="1447">
        <f>SUM(N10339:N10340)</f>
        <v>37.510000000000005</v>
      </c>
      <c r="O10338" s="1447">
        <f>SUM(O10339:O10340)</f>
        <v>13.128499999999999</v>
      </c>
      <c r="P10338" s="1447">
        <f>SUM(P10339:P10340)</f>
        <v>42.208127499999996</v>
      </c>
      <c r="Q10338" s="3391"/>
    </row>
    <row r="10339" spans="1:18">
      <c r="A10339" s="1042"/>
      <c r="B10339" s="1042"/>
      <c r="C10339" s="18"/>
      <c r="D10339" s="1402" t="s">
        <v>1067</v>
      </c>
      <c r="E10339" s="1857" t="s">
        <v>1508</v>
      </c>
      <c r="F10339" s="1403" t="s">
        <v>5</v>
      </c>
      <c r="G10339" s="1362">
        <v>1</v>
      </c>
      <c r="H10339" s="1359">
        <f>H10338*G10339</f>
        <v>0.35</v>
      </c>
      <c r="I10339" s="198"/>
      <c r="J10339" s="6"/>
      <c r="K10339" s="1307">
        <f>H10339*K10325</f>
        <v>1.1252499999999999</v>
      </c>
      <c r="L10339" s="1335">
        <f t="shared" ref="L10339:L10340" si="1362">K10339*$K$10256</f>
        <v>1.1252499999999999</v>
      </c>
      <c r="M10339" s="1499">
        <v>18.28</v>
      </c>
      <c r="N10339" s="1724">
        <f>G10339*M10339</f>
        <v>18.28</v>
      </c>
      <c r="O10339" s="1290">
        <f>H10339*M10339</f>
        <v>6.3979999999999997</v>
      </c>
      <c r="P10339" s="1332">
        <f>M10339*K10339</f>
        <v>20.569569999999999</v>
      </c>
      <c r="Q10339" s="3391"/>
    </row>
    <row r="10340" spans="1:18">
      <c r="A10340" s="1042"/>
      <c r="B10340" s="1042"/>
      <c r="C10340" s="1042"/>
      <c r="D10340" s="1402" t="s">
        <v>1077</v>
      </c>
      <c r="E10340" s="1857" t="s">
        <v>1508</v>
      </c>
      <c r="F10340" s="1403" t="s">
        <v>37</v>
      </c>
      <c r="G10340" s="1362">
        <v>1</v>
      </c>
      <c r="H10340" s="1359">
        <f>H10338*G10340</f>
        <v>0.35</v>
      </c>
      <c r="I10340" s="198"/>
      <c r="J10340" s="6"/>
      <c r="K10340" s="1307">
        <f>H10340*K10325</f>
        <v>1.1252499999999999</v>
      </c>
      <c r="L10340" s="1335">
        <f t="shared" si="1362"/>
        <v>1.1252499999999999</v>
      </c>
      <c r="M10340" s="1499">
        <v>19.23</v>
      </c>
      <c r="N10340" s="1724">
        <f>G10340*M10340</f>
        <v>19.23</v>
      </c>
      <c r="O10340" s="1290">
        <f>H10340*M10340</f>
        <v>6.7305000000000001</v>
      </c>
      <c r="P10340" s="1332">
        <f>M10340*K10340</f>
        <v>21.638557499999997</v>
      </c>
      <c r="Q10340" s="3391"/>
    </row>
    <row r="10341" spans="1:18">
      <c r="A10341" s="1042"/>
      <c r="B10341" s="553"/>
      <c r="C10341" s="1042"/>
      <c r="D10341" s="3860"/>
      <c r="E10341" s="3851"/>
      <c r="F10341" s="1766"/>
      <c r="G10341" s="3861"/>
      <c r="H10341" s="3246"/>
      <c r="I10341" s="197"/>
      <c r="J10341" s="3862"/>
      <c r="K10341" s="1307"/>
      <c r="L10341" s="1335"/>
      <c r="M10341" s="3852"/>
      <c r="N10341" s="1724"/>
      <c r="O10341" s="1290"/>
      <c r="P10341" s="3850"/>
      <c r="Q10341" s="3391"/>
    </row>
    <row r="10342" spans="1:18">
      <c r="A10342" s="1320"/>
      <c r="B10342" s="1599"/>
      <c r="C10342" s="1320"/>
      <c r="D10342" s="1411"/>
      <c r="E10342" s="2123"/>
      <c r="F10342" s="1374" t="s">
        <v>3</v>
      </c>
      <c r="G10342" s="1375"/>
      <c r="H10342" s="1376"/>
      <c r="I10342" s="1382"/>
      <c r="J10342" s="1383"/>
      <c r="K10342" s="1383"/>
      <c r="L10342" s="1413"/>
      <c r="M10342" s="1376"/>
      <c r="N10342" s="1376"/>
      <c r="O10342" s="1376"/>
      <c r="P10342" s="1373"/>
      <c r="Q10342" s="3387"/>
    </row>
    <row r="10343" spans="1:18">
      <c r="A10343" s="1321"/>
      <c r="B10343" s="2053"/>
      <c r="C10343" s="1321"/>
      <c r="D10343" s="1412"/>
      <c r="E10343" s="2124"/>
      <c r="F10343" s="1378"/>
      <c r="G10343" s="2200"/>
      <c r="H10343" s="1379"/>
      <c r="I10343" s="1299"/>
      <c r="J10343" s="1300"/>
      <c r="K10343" s="1307"/>
      <c r="L10343" s="1335"/>
      <c r="M10343" s="1302"/>
      <c r="N10343" s="1700"/>
      <c r="O10343" s="1290"/>
      <c r="P10343" s="1332"/>
      <c r="Q10343" s="3391"/>
    </row>
    <row r="10344" spans="1:18">
      <c r="A10344" s="1321"/>
      <c r="B10344" s="2053"/>
      <c r="C10344" s="1321"/>
      <c r="D10344" s="1412"/>
      <c r="E10344" s="2124"/>
      <c r="F10344" s="1378"/>
      <c r="G10344" s="1378"/>
      <c r="H10344" s="1379"/>
      <c r="I10344" s="1299"/>
      <c r="J10344" s="1300"/>
      <c r="K10344" s="1307"/>
      <c r="L10344" s="1335"/>
      <c r="M10344" s="1302"/>
      <c r="N10344" s="1700"/>
      <c r="O10344" s="1290"/>
      <c r="P10344" s="1333"/>
      <c r="Q10344" s="3391"/>
    </row>
    <row r="10345" spans="1:18">
      <c r="A10345" s="1042"/>
      <c r="B10345" s="1599"/>
      <c r="C10345" s="1042"/>
      <c r="D10345" s="1695"/>
      <c r="E10345" s="2278"/>
      <c r="F10345" s="2279"/>
      <c r="G10345" s="2279"/>
      <c r="H10345" s="2264"/>
      <c r="I10345" s="2280"/>
      <c r="J10345" s="2281"/>
      <c r="K10345" s="2236"/>
      <c r="L10345" s="1594"/>
      <c r="M10345" s="2282"/>
      <c r="N10345" s="2283"/>
      <c r="O10345" s="2237"/>
      <c r="P10345" s="2238"/>
      <c r="Q10345" s="3391"/>
    </row>
    <row r="10346" spans="1:18">
      <c r="A10346" s="18" t="s">
        <v>3764</v>
      </c>
      <c r="B10346" s="4325" t="s">
        <v>3716</v>
      </c>
      <c r="C10346" s="3877"/>
      <c r="D10346" s="4327"/>
      <c r="E10346" s="4329" t="s">
        <v>1507</v>
      </c>
      <c r="F10346" s="4372" t="s">
        <v>3717</v>
      </c>
      <c r="G10346" s="4331" t="s">
        <v>1568</v>
      </c>
      <c r="H10346" s="4331" t="s">
        <v>1574</v>
      </c>
      <c r="I10346" s="1572" t="s">
        <v>1559</v>
      </c>
      <c r="J10346" s="1294" t="s">
        <v>1560</v>
      </c>
      <c r="K10346" s="1294" t="s">
        <v>1569</v>
      </c>
      <c r="L10346" s="4333" t="s">
        <v>3765</v>
      </c>
      <c r="M10346" s="4335" t="s">
        <v>1571</v>
      </c>
      <c r="N10346" s="4323" t="s">
        <v>1776</v>
      </c>
      <c r="O10346" s="3876" t="s">
        <v>1563</v>
      </c>
      <c r="P10346" s="1336" t="s">
        <v>1562</v>
      </c>
      <c r="Q10346" s="3389"/>
      <c r="R10346" s="1699" t="s">
        <v>1327</v>
      </c>
    </row>
    <row r="10347" spans="1:18">
      <c r="A10347" s="1662" t="s">
        <v>3708</v>
      </c>
      <c r="B10347" s="4326"/>
      <c r="C10347" s="3879"/>
      <c r="D10347" s="4328"/>
      <c r="E10347" s="4330"/>
      <c r="F10347" s="4363"/>
      <c r="G10347" s="4332"/>
      <c r="H10347" s="4332"/>
      <c r="I10347" s="1306">
        <v>3.84</v>
      </c>
      <c r="J10347" s="1307">
        <v>0.25</v>
      </c>
      <c r="K10347" s="1297">
        <f>I10347*J10347</f>
        <v>0.96</v>
      </c>
      <c r="L10347" s="4334"/>
      <c r="M10347" s="4335"/>
      <c r="N10347" s="4324"/>
      <c r="O10347" s="1298">
        <f>O10349+O10356</f>
        <v>14.179433029999998</v>
      </c>
      <c r="P10347" s="1337">
        <f>O10347*K10347</f>
        <v>13.612255708799998</v>
      </c>
      <c r="Q10347" s="3390"/>
      <c r="R10347" s="1721">
        <f>P10349+P10356</f>
        <v>13.612255708799999</v>
      </c>
    </row>
    <row r="10348" spans="1:18">
      <c r="A10348" s="1320"/>
      <c r="B10348" s="1599"/>
      <c r="C10348" s="1327"/>
      <c r="D10348" s="1400"/>
      <c r="E10348" s="2121"/>
      <c r="F10348" s="1389" t="s">
        <v>1</v>
      </c>
      <c r="G10348" s="1389"/>
      <c r="H10348" s="3853"/>
      <c r="I10348" s="1409"/>
      <c r="J10348" s="1390"/>
      <c r="K10348" s="1391"/>
      <c r="L10348" s="1559"/>
      <c r="M10348" s="1369"/>
      <c r="N10348" s="1369"/>
      <c r="O10348" s="1369"/>
      <c r="P10348" s="1392"/>
      <c r="Q10348" s="3395"/>
    </row>
    <row r="10349" spans="1:18">
      <c r="A10349" s="1042"/>
      <c r="C10349" s="1356" t="s">
        <v>1127</v>
      </c>
      <c r="D10349" s="1311"/>
      <c r="E10349" s="2131" t="s">
        <v>1517</v>
      </c>
      <c r="F10349" s="1318" t="s">
        <v>1519</v>
      </c>
      <c r="G10349" s="1344"/>
      <c r="H10349" s="1344">
        <v>2.1000000000000001E-2</v>
      </c>
      <c r="I10349" s="1444"/>
      <c r="J10349" s="1388"/>
      <c r="K10349" s="1459"/>
      <c r="L10349" s="1457"/>
      <c r="M10349" s="1500"/>
      <c r="N10349" s="1447">
        <f>SUM(N10350:N10353)</f>
        <v>50.044430000000006</v>
      </c>
      <c r="O10349" s="1447">
        <f>SUM(O10350:O10353)</f>
        <v>1.0509330300000002</v>
      </c>
      <c r="P10349" s="1447">
        <f>SUM(P10350:P10353)</f>
        <v>1.0088957088000001</v>
      </c>
      <c r="Q10349" s="3391"/>
      <c r="R10349" s="3881"/>
    </row>
    <row r="10350" spans="1:18">
      <c r="A10350" s="1042"/>
      <c r="C10350" s="1327"/>
      <c r="D10350" s="1400" t="s">
        <v>1069</v>
      </c>
      <c r="E10350" s="1856" t="s">
        <v>1517</v>
      </c>
      <c r="F10350" s="1397" t="s">
        <v>1578</v>
      </c>
      <c r="G10350" s="1416">
        <v>0.26300000000000001</v>
      </c>
      <c r="H10350" s="1399">
        <f>H10349*G10350</f>
        <v>5.523000000000001E-3</v>
      </c>
      <c r="I10350" s="197"/>
      <c r="J10350" s="198"/>
      <c r="K10350" s="1307">
        <f>H10350*K10347</f>
        <v>5.3020800000000007E-3</v>
      </c>
      <c r="L10350" s="1335">
        <f t="shared" ref="L10350:L10353" si="1363">K10350*$K$10256</f>
        <v>5.3020800000000007E-3</v>
      </c>
      <c r="M10350" s="1499">
        <v>0.55000000000000004</v>
      </c>
      <c r="N10350" s="1724">
        <f>G10350*M10350</f>
        <v>0.14465000000000003</v>
      </c>
      <c r="O10350" s="1719">
        <f>H10350*M10350</f>
        <v>3.0376500000000007E-3</v>
      </c>
      <c r="P10350" s="1720">
        <f>M10350*K10350</f>
        <v>2.9161440000000007E-3</v>
      </c>
      <c r="Q10350" s="3396"/>
      <c r="R10350" s="3881"/>
    </row>
    <row r="10351" spans="1:18">
      <c r="A10351" s="1042"/>
      <c r="C10351" s="1320"/>
      <c r="D10351" s="1400" t="s">
        <v>1394</v>
      </c>
      <c r="E10351" s="1856" t="s">
        <v>1577</v>
      </c>
      <c r="F10351" s="1397" t="s">
        <v>1579</v>
      </c>
      <c r="G10351" s="1416">
        <v>0.25800000000000001</v>
      </c>
      <c r="H10351" s="1399">
        <f>H10349*G10351</f>
        <v>5.4180000000000001E-3</v>
      </c>
      <c r="I10351" s="197"/>
      <c r="J10351" s="198"/>
      <c r="K10351" s="1307">
        <f>H10351*K10347</f>
        <v>5.20128E-3</v>
      </c>
      <c r="L10351" s="1335">
        <f t="shared" si="1363"/>
        <v>5.20128E-3</v>
      </c>
      <c r="M10351" s="1499">
        <v>92.54</v>
      </c>
      <c r="N10351" s="1724">
        <f>G10351*M10351</f>
        <v>23.875320000000002</v>
      </c>
      <c r="O10351" s="1719">
        <f>H10351*M10351</f>
        <v>0.50138172000000003</v>
      </c>
      <c r="P10351" s="1720">
        <f>M10351*K10351</f>
        <v>0.48132645120000001</v>
      </c>
      <c r="Q10351" s="3396"/>
      <c r="R10351" s="3881"/>
    </row>
    <row r="10352" spans="1:18">
      <c r="A10352" s="1042"/>
      <c r="C10352" s="1320"/>
      <c r="D10352" s="1400" t="s">
        <v>1576</v>
      </c>
      <c r="E10352" s="1856" t="s">
        <v>1517</v>
      </c>
      <c r="F10352" s="1397" t="s">
        <v>1580</v>
      </c>
      <c r="G10352" s="1416">
        <v>1.1020000000000001</v>
      </c>
      <c r="H10352" s="1399">
        <f>H10349*G10352</f>
        <v>2.3142000000000003E-2</v>
      </c>
      <c r="I10352" s="197"/>
      <c r="J10352" s="198"/>
      <c r="K10352" s="1307">
        <f>H10352*K10347</f>
        <v>2.2216320000000001E-2</v>
      </c>
      <c r="L10352" s="1335">
        <f t="shared" si="1363"/>
        <v>2.2216320000000001E-2</v>
      </c>
      <c r="M10352" s="1499">
        <v>6.53</v>
      </c>
      <c r="N10352" s="1724">
        <f>G10352*M10352</f>
        <v>7.196060000000001</v>
      </c>
      <c r="O10352" s="1719">
        <f>H10352*M10352</f>
        <v>0.15111726000000003</v>
      </c>
      <c r="P10352" s="1720">
        <f>M10352*K10352</f>
        <v>0.14507256960000001</v>
      </c>
      <c r="Q10352" s="3396"/>
      <c r="R10352" s="1292"/>
    </row>
    <row r="10353" spans="1:18">
      <c r="A10353" s="1042"/>
      <c r="C10353" s="1320"/>
      <c r="D10353" s="1404" t="s">
        <v>1067</v>
      </c>
      <c r="E10353" s="1857" t="s">
        <v>1508</v>
      </c>
      <c r="F10353" s="2040" t="s">
        <v>1512</v>
      </c>
      <c r="G10353" s="1829">
        <v>1.03</v>
      </c>
      <c r="H10353" s="1408">
        <f>H10349*G10353</f>
        <v>2.1630000000000003E-2</v>
      </c>
      <c r="I10353" s="197"/>
      <c r="J10353" s="198"/>
      <c r="K10353" s="1307">
        <f>H10353*K10347</f>
        <v>2.0764800000000003E-2</v>
      </c>
      <c r="L10353" s="1335">
        <f t="shared" si="1363"/>
        <v>2.0764800000000003E-2</v>
      </c>
      <c r="M10353" s="1499">
        <v>18.28</v>
      </c>
      <c r="N10353" s="1724">
        <f>G10353*M10353</f>
        <v>18.828400000000002</v>
      </c>
      <c r="O10353" s="1719">
        <f>H10353*M10353</f>
        <v>0.39539640000000009</v>
      </c>
      <c r="P10353" s="1720">
        <f>M10353*K10353</f>
        <v>0.37958054400000008</v>
      </c>
      <c r="Q10353" s="3396"/>
      <c r="R10353" s="3881"/>
    </row>
    <row r="10354" spans="1:18">
      <c r="A10354" s="1042"/>
      <c r="B10354" s="1599"/>
      <c r="C10354" s="1042"/>
      <c r="D10354" s="1400"/>
      <c r="E10354" s="2121"/>
      <c r="F10354" s="1436"/>
      <c r="G10354" s="1436"/>
      <c r="H10354" s="1369"/>
      <c r="I10354" s="1299"/>
      <c r="J10354" s="1300"/>
      <c r="K10354" s="1307"/>
      <c r="L10354" s="1335"/>
      <c r="M10354" s="1302"/>
      <c r="N10354" s="1700"/>
      <c r="O10354" s="1290"/>
      <c r="P10354" s="1332"/>
      <c r="Q10354" s="3391"/>
    </row>
    <row r="10355" spans="1:18">
      <c r="A10355" s="1042"/>
      <c r="B10355" s="1599"/>
      <c r="C10355" s="1042"/>
      <c r="D10355" s="3863"/>
      <c r="E10355" s="1858"/>
      <c r="F10355" s="1360" t="s">
        <v>2</v>
      </c>
      <c r="G10355" s="1360"/>
      <c r="H10355" s="1362"/>
      <c r="I10355" s="1380"/>
      <c r="J10355" s="1381"/>
      <c r="K10355" s="1381"/>
      <c r="L10355" s="1458"/>
      <c r="M10355" s="1362"/>
      <c r="N10355" s="1362"/>
      <c r="O10355" s="1362"/>
      <c r="P10355" s="1359"/>
      <c r="Q10355" s="3387"/>
    </row>
    <row r="10356" spans="1:18">
      <c r="A10356" s="1042"/>
      <c r="B10356" s="1042"/>
      <c r="C10356" s="3864" t="s">
        <v>1523</v>
      </c>
      <c r="D10356" s="3865"/>
      <c r="E10356" s="2128" t="s">
        <v>1508</v>
      </c>
      <c r="F10356" s="2248" t="s">
        <v>1524</v>
      </c>
      <c r="G10356" s="1338"/>
      <c r="H10356" s="1344">
        <v>0.35</v>
      </c>
      <c r="I10356" s="1388"/>
      <c r="J10356" s="1366"/>
      <c r="K10356" s="1448"/>
      <c r="L10356" s="1457"/>
      <c r="M10356" s="1503"/>
      <c r="N10356" s="1447">
        <f>SUM(N10357:N10358)</f>
        <v>37.510000000000005</v>
      </c>
      <c r="O10356" s="1447">
        <f>SUM(O10357:O10358)</f>
        <v>13.128499999999999</v>
      </c>
      <c r="P10356" s="1447">
        <f>SUM(P10357:P10358)</f>
        <v>12.603359999999999</v>
      </c>
      <c r="Q10356" s="3391"/>
    </row>
    <row r="10357" spans="1:18">
      <c r="A10357" s="1042"/>
      <c r="B10357" s="1042"/>
      <c r="C10357" s="18"/>
      <c r="D10357" s="1402" t="s">
        <v>1067</v>
      </c>
      <c r="E10357" s="1857" t="s">
        <v>1508</v>
      </c>
      <c r="F10357" s="1403" t="s">
        <v>5</v>
      </c>
      <c r="G10357" s="1362">
        <v>1</v>
      </c>
      <c r="H10357" s="1359">
        <f>H10356*G10357</f>
        <v>0.35</v>
      </c>
      <c r="I10357" s="198"/>
      <c r="J10357" s="6"/>
      <c r="K10357" s="1307">
        <f>H10357*K10347</f>
        <v>0.33599999999999997</v>
      </c>
      <c r="L10357" s="1335">
        <f t="shared" ref="L10357:L10358" si="1364">K10357*$K$10256</f>
        <v>0.33599999999999997</v>
      </c>
      <c r="M10357" s="1499">
        <v>18.28</v>
      </c>
      <c r="N10357" s="1724">
        <f>G10357*M10357</f>
        <v>18.28</v>
      </c>
      <c r="O10357" s="1290">
        <f>H10357*M10357</f>
        <v>6.3979999999999997</v>
      </c>
      <c r="P10357" s="1332">
        <f>M10357*K10357</f>
        <v>6.14208</v>
      </c>
      <c r="Q10357" s="3391"/>
    </row>
    <row r="10358" spans="1:18">
      <c r="A10358" s="1042"/>
      <c r="B10358" s="1042"/>
      <c r="C10358" s="1042"/>
      <c r="D10358" s="1402" t="s">
        <v>1077</v>
      </c>
      <c r="E10358" s="1857" t="s">
        <v>1508</v>
      </c>
      <c r="F10358" s="1403" t="s">
        <v>37</v>
      </c>
      <c r="G10358" s="1362">
        <v>1</v>
      </c>
      <c r="H10358" s="1359">
        <f>H10356*G10358</f>
        <v>0.35</v>
      </c>
      <c r="I10358" s="198"/>
      <c r="J10358" s="6"/>
      <c r="K10358" s="1307">
        <f>H10358*K10347</f>
        <v>0.33599999999999997</v>
      </c>
      <c r="L10358" s="1335">
        <f t="shared" si="1364"/>
        <v>0.33599999999999997</v>
      </c>
      <c r="M10358" s="1499">
        <v>19.23</v>
      </c>
      <c r="N10358" s="1724">
        <f>G10358*M10358</f>
        <v>19.23</v>
      </c>
      <c r="O10358" s="1290">
        <f>H10358*M10358</f>
        <v>6.7305000000000001</v>
      </c>
      <c r="P10358" s="1332">
        <f>M10358*K10358</f>
        <v>6.4612799999999995</v>
      </c>
      <c r="Q10358" s="3391"/>
    </row>
    <row r="10359" spans="1:18">
      <c r="A10359" s="1042"/>
      <c r="B10359" s="553"/>
      <c r="C10359" s="1042"/>
      <c r="D10359" s="3860"/>
      <c r="E10359" s="3851"/>
      <c r="F10359" s="1766"/>
      <c r="G10359" s="3861"/>
      <c r="H10359" s="3246"/>
      <c r="I10359" s="197"/>
      <c r="J10359" s="3862"/>
      <c r="K10359" s="1307"/>
      <c r="L10359" s="1335"/>
      <c r="M10359" s="3852"/>
      <c r="N10359" s="1724"/>
      <c r="O10359" s="1290"/>
      <c r="P10359" s="3850"/>
      <c r="Q10359" s="3391"/>
    </row>
    <row r="10360" spans="1:18">
      <c r="A10360" s="1320"/>
      <c r="B10360" s="1599"/>
      <c r="C10360" s="1320"/>
      <c r="D10360" s="1411"/>
      <c r="E10360" s="2123"/>
      <c r="F10360" s="1374" t="s">
        <v>3</v>
      </c>
      <c r="G10360" s="1375"/>
      <c r="H10360" s="1376"/>
      <c r="I10360" s="1382"/>
      <c r="J10360" s="1383"/>
      <c r="K10360" s="1383"/>
      <c r="L10360" s="1413"/>
      <c r="M10360" s="1376"/>
      <c r="N10360" s="1376"/>
      <c r="O10360" s="1376"/>
      <c r="P10360" s="1373"/>
      <c r="Q10360" s="3387"/>
    </row>
    <row r="10361" spans="1:18">
      <c r="A10361" s="1321"/>
      <c r="B10361" s="2053"/>
      <c r="C10361" s="1321"/>
      <c r="D10361" s="1412"/>
      <c r="E10361" s="2124"/>
      <c r="F10361" s="1378"/>
      <c r="G10361" s="2200"/>
      <c r="H10361" s="1379"/>
      <c r="I10361" s="1299"/>
      <c r="J10361" s="1300"/>
      <c r="K10361" s="1307"/>
      <c r="L10361" s="1335"/>
      <c r="M10361" s="1302"/>
      <c r="N10361" s="1700"/>
      <c r="O10361" s="1290"/>
      <c r="P10361" s="1332"/>
      <c r="Q10361" s="3391"/>
    </row>
    <row r="10362" spans="1:18">
      <c r="A10362" s="1321"/>
      <c r="B10362" s="2053"/>
      <c r="C10362" s="1321"/>
      <c r="D10362" s="1412"/>
      <c r="E10362" s="2124"/>
      <c r="F10362" s="1378"/>
      <c r="G10362" s="1378"/>
      <c r="H10362" s="1379"/>
      <c r="I10362" s="1299"/>
      <c r="J10362" s="1300"/>
      <c r="K10362" s="1307"/>
      <c r="L10362" s="1335"/>
      <c r="M10362" s="1302"/>
      <c r="N10362" s="1700"/>
      <c r="O10362" s="1290"/>
      <c r="P10362" s="1333"/>
      <c r="Q10362" s="3391"/>
    </row>
    <row r="10363" spans="1:18">
      <c r="A10363" s="1042"/>
      <c r="B10363" s="1599"/>
      <c r="C10363" s="1042"/>
      <c r="D10363" s="1695"/>
      <c r="E10363" s="2278"/>
      <c r="F10363" s="2279"/>
      <c r="G10363" s="2279"/>
      <c r="H10363" s="2264"/>
      <c r="I10363" s="2280"/>
      <c r="J10363" s="2281"/>
      <c r="K10363" s="2236"/>
      <c r="L10363" s="1594"/>
      <c r="M10363" s="2282"/>
      <c r="N10363" s="2283"/>
      <c r="O10363" s="2237"/>
      <c r="P10363" s="2238"/>
      <c r="Q10363" s="3391"/>
    </row>
    <row r="10364" spans="1:18">
      <c r="A10364" s="18" t="s">
        <v>3764</v>
      </c>
      <c r="B10364" s="4325" t="s">
        <v>3718</v>
      </c>
      <c r="C10364" s="3877"/>
      <c r="D10364" s="4327"/>
      <c r="E10364" s="4329" t="s">
        <v>1507</v>
      </c>
      <c r="F10364" s="4372" t="s">
        <v>3719</v>
      </c>
      <c r="G10364" s="4331" t="s">
        <v>1568</v>
      </c>
      <c r="H10364" s="4331" t="s">
        <v>1574</v>
      </c>
      <c r="I10364" s="1572" t="s">
        <v>1559</v>
      </c>
      <c r="J10364" s="1294" t="s">
        <v>1560</v>
      </c>
      <c r="K10364" s="1294" t="s">
        <v>1569</v>
      </c>
      <c r="L10364" s="4333" t="s">
        <v>3765</v>
      </c>
      <c r="M10364" s="4335" t="s">
        <v>1571</v>
      </c>
      <c r="N10364" s="4323" t="s">
        <v>1776</v>
      </c>
      <c r="O10364" s="3876" t="s">
        <v>1563</v>
      </c>
      <c r="P10364" s="1336" t="s">
        <v>1562</v>
      </c>
      <c r="Q10364" s="3389"/>
      <c r="R10364" s="1699" t="s">
        <v>1327</v>
      </c>
    </row>
    <row r="10365" spans="1:18">
      <c r="A10365" s="1662" t="s">
        <v>3708</v>
      </c>
      <c r="B10365" s="4326"/>
      <c r="C10365" s="3879"/>
      <c r="D10365" s="4328"/>
      <c r="E10365" s="4330"/>
      <c r="F10365" s="4363"/>
      <c r="G10365" s="4332"/>
      <c r="H10365" s="4332"/>
      <c r="I10365" s="1306">
        <v>10.66</v>
      </c>
      <c r="J10365" s="1307">
        <v>0.25</v>
      </c>
      <c r="K10365" s="1297">
        <f>I10365*J10365</f>
        <v>2.665</v>
      </c>
      <c r="L10365" s="4334"/>
      <c r="M10365" s="4335"/>
      <c r="N10365" s="4324"/>
      <c r="O10365" s="1298">
        <f>O10367+O10368+O10369+O10370+O10371+O10372+O10376+O10383+O10384</f>
        <v>28.11267673</v>
      </c>
      <c r="P10365" s="1337">
        <f>O10365*K10365</f>
        <v>74.92028348545</v>
      </c>
      <c r="Q10365" s="3390"/>
      <c r="R10365" s="1721">
        <f>P10367+P10368+P10370+P10372+P10376+P10383+P10384</f>
        <v>55.887248305199996</v>
      </c>
    </row>
    <row r="10366" spans="1:18">
      <c r="A10366" s="1320"/>
      <c r="B10366" s="1599"/>
      <c r="C10366" s="1327"/>
      <c r="D10366" s="1400"/>
      <c r="E10366" s="2121"/>
      <c r="F10366" s="1389" t="s">
        <v>1</v>
      </c>
      <c r="G10366" s="1389"/>
      <c r="H10366" s="3853"/>
      <c r="I10366" s="1409"/>
      <c r="J10366" s="1390"/>
      <c r="K10366" s="1391"/>
      <c r="L10366" s="1559"/>
      <c r="M10366" s="1369"/>
      <c r="N10366" s="1369"/>
      <c r="O10366" s="1369"/>
      <c r="P10366" s="1392"/>
      <c r="Q10366" s="3395"/>
    </row>
    <row r="10367" spans="1:18">
      <c r="A10367" s="1320"/>
      <c r="B10367" s="1599"/>
      <c r="C10367" s="1042"/>
      <c r="D10367" s="1400" t="s">
        <v>1094</v>
      </c>
      <c r="E10367" s="1856" t="s">
        <v>1517</v>
      </c>
      <c r="F10367" s="1397" t="s">
        <v>1543</v>
      </c>
      <c r="G10367" s="1416">
        <v>0.02</v>
      </c>
      <c r="H10367" s="3853"/>
      <c r="I10367" s="1289"/>
      <c r="J10367" s="2027"/>
      <c r="K10367" s="1307">
        <f>G10367*K10365</f>
        <v>5.33E-2</v>
      </c>
      <c r="L10367" s="1335">
        <f t="shared" ref="L10367:L10371" si="1365">K10367*$K$10256</f>
        <v>5.33E-2</v>
      </c>
      <c r="M10367" s="1302">
        <v>8.39</v>
      </c>
      <c r="N10367" s="1718"/>
      <c r="O10367" s="1290">
        <f t="shared" ref="O10367:O10368" si="1366">G10367*M10367</f>
        <v>0.1678</v>
      </c>
      <c r="P10367" s="1332">
        <f>M10367*K10367</f>
        <v>0.44718700000000006</v>
      </c>
      <c r="Q10367" s="3395"/>
    </row>
    <row r="10368" spans="1:18">
      <c r="A10368" s="1320"/>
      <c r="B10368" s="1599"/>
      <c r="C10368" s="553"/>
      <c r="D10368" s="3866" t="s">
        <v>1147</v>
      </c>
      <c r="E10368" s="3867" t="s">
        <v>1357</v>
      </c>
      <c r="F10368" s="3868" t="s">
        <v>1691</v>
      </c>
      <c r="G10368" s="3869">
        <v>1</v>
      </c>
      <c r="H10368" s="3853"/>
      <c r="I10368" s="1289"/>
      <c r="J10368" s="2027"/>
      <c r="K10368" s="1307">
        <f>G10368*K10365</f>
        <v>2.665</v>
      </c>
      <c r="L10368" s="1335">
        <f t="shared" si="1365"/>
        <v>2.665</v>
      </c>
      <c r="M10368" s="3849">
        <v>0.22</v>
      </c>
      <c r="N10368" s="1718"/>
      <c r="O10368" s="1290">
        <f t="shared" si="1366"/>
        <v>0.22</v>
      </c>
      <c r="P10368" s="1332">
        <f>M10368*K10368</f>
        <v>0.58630000000000004</v>
      </c>
      <c r="Q10368" s="3395"/>
    </row>
    <row r="10369" spans="1:18">
      <c r="A10369" s="1320"/>
      <c r="B10369" s="1599"/>
      <c r="C10369" s="553"/>
      <c r="D10369" s="3866" t="s">
        <v>3720</v>
      </c>
      <c r="E10369" s="3867" t="s">
        <v>1507</v>
      </c>
      <c r="F10369" s="3910" t="s">
        <v>3721</v>
      </c>
      <c r="G10369" s="3869">
        <v>1</v>
      </c>
      <c r="H10369" s="3913"/>
      <c r="I10369" s="1289"/>
      <c r="J10369" s="2027"/>
      <c r="K10369" s="1307">
        <f>G10369*K10365</f>
        <v>2.665</v>
      </c>
      <c r="L10369" s="1335">
        <f t="shared" si="1365"/>
        <v>2.665</v>
      </c>
      <c r="M10369" s="3918">
        <v>1.55</v>
      </c>
      <c r="N10369" s="1718"/>
      <c r="O10369" s="1290">
        <f t="shared" ref="O10369" si="1367">G10369*M10369</f>
        <v>1.55</v>
      </c>
      <c r="P10369" s="1332">
        <f t="shared" ref="P10369:P10370" si="1368">M10369*K10369</f>
        <v>4.1307499999999999</v>
      </c>
      <c r="Q10369" s="3395"/>
    </row>
    <row r="10370" spans="1:18">
      <c r="A10370" s="1320"/>
      <c r="B10370" s="1599"/>
      <c r="C10370" s="553"/>
      <c r="D10370" s="3920" t="s">
        <v>3722</v>
      </c>
      <c r="E10370" s="3921" t="s">
        <v>1504</v>
      </c>
      <c r="F10370" s="3922" t="s">
        <v>3723</v>
      </c>
      <c r="G10370" s="3923">
        <v>26.5</v>
      </c>
      <c r="H10370" s="3853"/>
      <c r="I10370" s="1289"/>
      <c r="J10370" s="2027"/>
      <c r="K10370" s="1307">
        <f>G10370*K10365</f>
        <v>70.622500000000002</v>
      </c>
      <c r="L10370" s="1335">
        <f t="shared" si="1365"/>
        <v>70.622500000000002</v>
      </c>
      <c r="M10370" s="3849">
        <v>0.2</v>
      </c>
      <c r="N10370" s="1718"/>
      <c r="O10370" s="1290">
        <f>G10370*M10370</f>
        <v>5.3000000000000007</v>
      </c>
      <c r="P10370" s="1332">
        <f t="shared" si="1368"/>
        <v>14.124500000000001</v>
      </c>
      <c r="Q10370" s="3395"/>
    </row>
    <row r="10371" spans="1:18">
      <c r="A10371" s="1320"/>
      <c r="B10371" s="1599"/>
      <c r="C10371" s="553"/>
      <c r="D10371" s="3925" t="s">
        <v>3724</v>
      </c>
      <c r="E10371" s="3926" t="s">
        <v>1517</v>
      </c>
      <c r="F10371" s="3910" t="s">
        <v>3725</v>
      </c>
      <c r="G10371" s="3927">
        <v>0.1</v>
      </c>
      <c r="H10371" s="3913"/>
      <c r="I10371" s="1289"/>
      <c r="J10371" s="2027"/>
      <c r="K10371" s="1307">
        <f>G10371*K10365</f>
        <v>0.26650000000000001</v>
      </c>
      <c r="L10371" s="1335">
        <f t="shared" si="1365"/>
        <v>0.26650000000000001</v>
      </c>
      <c r="M10371" s="3849">
        <v>55.9</v>
      </c>
      <c r="N10371" s="1718"/>
      <c r="O10371" s="1290">
        <f>G10371*M10371</f>
        <v>5.59</v>
      </c>
      <c r="P10371" s="1332">
        <f t="shared" ref="P10371" si="1369">M10371*K10371</f>
        <v>14.897350000000001</v>
      </c>
      <c r="Q10371" s="3395"/>
    </row>
    <row r="10372" spans="1:18">
      <c r="A10372" s="1042"/>
      <c r="B10372" s="1042"/>
      <c r="C10372" s="1356" t="s">
        <v>1155</v>
      </c>
      <c r="D10372" s="1585"/>
      <c r="E10372" s="3924" t="s">
        <v>1517</v>
      </c>
      <c r="F10372" s="3858" t="s">
        <v>1544</v>
      </c>
      <c r="G10372" s="3856"/>
      <c r="H10372" s="3856">
        <v>1E-3</v>
      </c>
      <c r="I10372" s="1455"/>
      <c r="J10372" s="1388"/>
      <c r="K10372" s="1445"/>
      <c r="L10372" s="1457"/>
      <c r="M10372" s="1446"/>
      <c r="N10372" s="1447">
        <f>SUM(N10373:N10375)</f>
        <v>114.04755</v>
      </c>
      <c r="O10372" s="1447">
        <f>SUM(O10373:O10375)</f>
        <v>0.11589940000000001</v>
      </c>
      <c r="P10372" s="1447">
        <f>SUM(P10373:P10375)</f>
        <v>0.30393672075</v>
      </c>
      <c r="Q10372" s="3391"/>
      <c r="R10372" s="2343"/>
    </row>
    <row r="10373" spans="1:18">
      <c r="A10373" s="1042"/>
      <c r="B10373" s="553"/>
      <c r="C10373" s="1327"/>
      <c r="D10373" s="1451" t="s">
        <v>1069</v>
      </c>
      <c r="E10373" s="1856" t="s">
        <v>1517</v>
      </c>
      <c r="F10373" s="1421" t="s">
        <v>1578</v>
      </c>
      <c r="G10373" s="1452">
        <v>0.89100000000000001</v>
      </c>
      <c r="H10373" s="1453">
        <f>H10372*G10373</f>
        <v>8.9100000000000008E-4</v>
      </c>
      <c r="I10373" s="1286"/>
      <c r="J10373" s="198"/>
      <c r="K10373" s="1307">
        <f>H10373*K10365</f>
        <v>2.3745150000000002E-3</v>
      </c>
      <c r="L10373" s="1335">
        <f t="shared" ref="L10373:L10375" si="1370">K10373*$K$10256</f>
        <v>2.3745150000000002E-3</v>
      </c>
      <c r="M10373" s="1302">
        <v>0.55000000000000004</v>
      </c>
      <c r="N10373" s="1718">
        <f>G10373*M10373</f>
        <v>0.49005000000000004</v>
      </c>
      <c r="O10373" s="1719">
        <f>ROUND(H10373*M10373,2)</f>
        <v>0</v>
      </c>
      <c r="P10373" s="1720">
        <f>M10373*K10373</f>
        <v>1.3059832500000002E-3</v>
      </c>
      <c r="Q10373" s="3396"/>
      <c r="R10373" s="2343"/>
    </row>
    <row r="10374" spans="1:18">
      <c r="A10374" s="1042"/>
      <c r="B10374" s="553"/>
      <c r="C10374" s="1320"/>
      <c r="D10374" s="1367" t="s">
        <v>1394</v>
      </c>
      <c r="E10374" s="1856" t="s">
        <v>1577</v>
      </c>
      <c r="F10374" s="1421" t="s">
        <v>1579</v>
      </c>
      <c r="G10374" s="1452">
        <v>0.51500000000000001</v>
      </c>
      <c r="H10374" s="1453">
        <f>H10372*G10374</f>
        <v>5.1500000000000005E-4</v>
      </c>
      <c r="I10374" s="1286"/>
      <c r="J10374" s="198"/>
      <c r="K10374" s="1307">
        <f>H10374*K10365</f>
        <v>1.3724750000000002E-3</v>
      </c>
      <c r="L10374" s="1335">
        <f t="shared" si="1370"/>
        <v>1.3724750000000002E-3</v>
      </c>
      <c r="M10374" s="1302">
        <v>92.54</v>
      </c>
      <c r="N10374" s="1718">
        <f>G10374*M10374</f>
        <v>47.658100000000005</v>
      </c>
      <c r="O10374" s="1719">
        <f>ROUND(H10374*M10374,2)</f>
        <v>0.05</v>
      </c>
      <c r="P10374" s="1720">
        <f>M10374*K10374</f>
        <v>0.12700883650000003</v>
      </c>
      <c r="Q10374" s="3396"/>
      <c r="R10374" s="2343"/>
    </row>
    <row r="10375" spans="1:18">
      <c r="A10375" s="1042"/>
      <c r="B10375" s="553"/>
      <c r="C10375" s="225"/>
      <c r="D10375" s="1443" t="s">
        <v>1067</v>
      </c>
      <c r="E10375" s="1857" t="s">
        <v>1508</v>
      </c>
      <c r="F10375" s="1430" t="s">
        <v>1512</v>
      </c>
      <c r="G10375" s="1431">
        <v>3.605</v>
      </c>
      <c r="H10375" s="1454">
        <f>H10372*G10375</f>
        <v>3.6050000000000001E-3</v>
      </c>
      <c r="I10375" s="1286"/>
      <c r="J10375" s="198"/>
      <c r="K10375" s="1307">
        <f>H10375*K10365</f>
        <v>9.6073249999999999E-3</v>
      </c>
      <c r="L10375" s="1335">
        <f t="shared" si="1370"/>
        <v>9.6073249999999999E-3</v>
      </c>
      <c r="M10375" s="1302">
        <v>18.28</v>
      </c>
      <c r="N10375" s="1718">
        <f>G10375*M10375</f>
        <v>65.8994</v>
      </c>
      <c r="O10375" s="1719">
        <f>H10375*M10375</f>
        <v>6.5899400000000011E-2</v>
      </c>
      <c r="P10375" s="1720">
        <f>M10375*K10375</f>
        <v>0.175621901</v>
      </c>
      <c r="Q10375" s="3396"/>
      <c r="R10375" s="2343"/>
    </row>
    <row r="10376" spans="1:18">
      <c r="A10376" s="1042"/>
      <c r="C10376" s="1356" t="s">
        <v>1127</v>
      </c>
      <c r="D10376" s="1311"/>
      <c r="E10376" s="2131" t="s">
        <v>1517</v>
      </c>
      <c r="F10376" s="1318" t="s">
        <v>1519</v>
      </c>
      <c r="G10376" s="1344"/>
      <c r="H10376" s="1344">
        <v>3.1E-2</v>
      </c>
      <c r="I10376" s="1444"/>
      <c r="J10376" s="1388"/>
      <c r="K10376" s="1459"/>
      <c r="L10376" s="1457"/>
      <c r="M10376" s="1500"/>
      <c r="N10376" s="1447">
        <f>SUM(N10377:N10380)</f>
        <v>50.044430000000006</v>
      </c>
      <c r="O10376" s="1447">
        <f>SUM(O10377:O10380)</f>
        <v>1.5513773300000002</v>
      </c>
      <c r="P10376" s="1447">
        <f>SUM(P10377:P10380)</f>
        <v>4.1344205844500008</v>
      </c>
      <c r="Q10376" s="3391"/>
      <c r="R10376" s="3881"/>
    </row>
    <row r="10377" spans="1:18">
      <c r="A10377" s="1042"/>
      <c r="C10377" s="1327"/>
      <c r="D10377" s="1400" t="s">
        <v>1069</v>
      </c>
      <c r="E10377" s="1856" t="s">
        <v>1517</v>
      </c>
      <c r="F10377" s="1397" t="s">
        <v>1578</v>
      </c>
      <c r="G10377" s="1416">
        <v>0.26300000000000001</v>
      </c>
      <c r="H10377" s="1399">
        <f>H10376*G10377</f>
        <v>8.1530000000000005E-3</v>
      </c>
      <c r="I10377" s="197"/>
      <c r="J10377" s="198"/>
      <c r="K10377" s="1307">
        <f>H10377*K10365</f>
        <v>2.1727745000000003E-2</v>
      </c>
      <c r="L10377" s="1335">
        <f t="shared" ref="L10377:L10380" si="1371">K10377*$K$10256</f>
        <v>2.1727745000000003E-2</v>
      </c>
      <c r="M10377" s="1499">
        <v>0.55000000000000004</v>
      </c>
      <c r="N10377" s="1724">
        <f>G10377*M10377</f>
        <v>0.14465000000000003</v>
      </c>
      <c r="O10377" s="1719">
        <f>H10377*M10377</f>
        <v>4.484150000000001E-3</v>
      </c>
      <c r="P10377" s="1720">
        <f>M10377*K10377</f>
        <v>1.1950259750000003E-2</v>
      </c>
      <c r="Q10377" s="3396"/>
      <c r="R10377" s="3881"/>
    </row>
    <row r="10378" spans="1:18">
      <c r="A10378" s="1042"/>
      <c r="C10378" s="1320"/>
      <c r="D10378" s="1400" t="s">
        <v>1394</v>
      </c>
      <c r="E10378" s="1856" t="s">
        <v>1577</v>
      </c>
      <c r="F10378" s="1397" t="s">
        <v>1579</v>
      </c>
      <c r="G10378" s="1416">
        <v>0.25800000000000001</v>
      </c>
      <c r="H10378" s="1399">
        <f>H10376*G10378</f>
        <v>7.9979999999999999E-3</v>
      </c>
      <c r="I10378" s="197"/>
      <c r="J10378" s="198"/>
      <c r="K10378" s="1307">
        <f>H10378*K10365</f>
        <v>2.1314670000000001E-2</v>
      </c>
      <c r="L10378" s="1335">
        <f t="shared" si="1371"/>
        <v>2.1314670000000001E-2</v>
      </c>
      <c r="M10378" s="1499">
        <v>92.54</v>
      </c>
      <c r="N10378" s="1724">
        <f>G10378*M10378</f>
        <v>23.875320000000002</v>
      </c>
      <c r="O10378" s="1719">
        <f>H10378*M10378</f>
        <v>0.74013492000000003</v>
      </c>
      <c r="P10378" s="1720">
        <f>M10378*K10378</f>
        <v>1.9724595618000003</v>
      </c>
      <c r="Q10378" s="3396"/>
      <c r="R10378" s="3881"/>
    </row>
    <row r="10379" spans="1:18">
      <c r="A10379" s="1042"/>
      <c r="C10379" s="1320"/>
      <c r="D10379" s="1400" t="s">
        <v>1576</v>
      </c>
      <c r="E10379" s="1856" t="s">
        <v>1517</v>
      </c>
      <c r="F10379" s="1397" t="s">
        <v>1580</v>
      </c>
      <c r="G10379" s="1416">
        <v>1.1020000000000001</v>
      </c>
      <c r="H10379" s="1399">
        <f>H10376*G10379</f>
        <v>3.4162000000000005E-2</v>
      </c>
      <c r="I10379" s="197"/>
      <c r="J10379" s="198"/>
      <c r="K10379" s="1307">
        <f>H10379*K10365</f>
        <v>9.1041730000000015E-2</v>
      </c>
      <c r="L10379" s="1335">
        <f t="shared" si="1371"/>
        <v>9.1041730000000015E-2</v>
      </c>
      <c r="M10379" s="1499">
        <v>6.53</v>
      </c>
      <c r="N10379" s="1724">
        <f>G10379*M10379</f>
        <v>7.196060000000001</v>
      </c>
      <c r="O10379" s="1719">
        <f>H10379*M10379</f>
        <v>0.22307786000000004</v>
      </c>
      <c r="P10379" s="1720">
        <f>M10379*K10379</f>
        <v>0.59450249690000012</v>
      </c>
      <c r="Q10379" s="3396"/>
      <c r="R10379" s="1292"/>
    </row>
    <row r="10380" spans="1:18">
      <c r="A10380" s="1042"/>
      <c r="C10380" s="1320"/>
      <c r="D10380" s="1404" t="s">
        <v>1067</v>
      </c>
      <c r="E10380" s="1857" t="s">
        <v>1508</v>
      </c>
      <c r="F10380" s="2040" t="s">
        <v>1512</v>
      </c>
      <c r="G10380" s="1829">
        <v>1.03</v>
      </c>
      <c r="H10380" s="1408">
        <f>H10376*G10380</f>
        <v>3.193E-2</v>
      </c>
      <c r="I10380" s="197"/>
      <c r="J10380" s="198"/>
      <c r="K10380" s="1307">
        <f>H10380*K10365</f>
        <v>8.5093450000000001E-2</v>
      </c>
      <c r="L10380" s="1335">
        <f t="shared" si="1371"/>
        <v>8.5093450000000001E-2</v>
      </c>
      <c r="M10380" s="1499">
        <v>18.28</v>
      </c>
      <c r="N10380" s="1724">
        <f>G10380*M10380</f>
        <v>18.828400000000002</v>
      </c>
      <c r="O10380" s="1719">
        <f>H10380*M10380</f>
        <v>0.58368039999999999</v>
      </c>
      <c r="P10380" s="1720">
        <f>M10380*K10380</f>
        <v>1.5555082660000001</v>
      </c>
      <c r="Q10380" s="3396"/>
      <c r="R10380" s="3881"/>
    </row>
    <row r="10381" spans="1:18">
      <c r="A10381" s="1042"/>
      <c r="B10381" s="1599"/>
      <c r="C10381" s="1042"/>
      <c r="D10381" s="1400"/>
      <c r="E10381" s="2121"/>
      <c r="F10381" s="1436"/>
      <c r="G10381" s="1436"/>
      <c r="H10381" s="1369"/>
      <c r="I10381" s="1299"/>
      <c r="J10381" s="1300"/>
      <c r="K10381" s="1307"/>
      <c r="L10381" s="1335"/>
      <c r="M10381" s="1302"/>
      <c r="N10381" s="1700"/>
      <c r="O10381" s="1290"/>
      <c r="P10381" s="1332"/>
      <c r="Q10381" s="3391"/>
    </row>
    <row r="10382" spans="1:18">
      <c r="A10382" s="1042"/>
      <c r="B10382" s="1599"/>
      <c r="C10382" s="1042"/>
      <c r="D10382" s="3863"/>
      <c r="E10382" s="1858"/>
      <c r="F10382" s="1360" t="s">
        <v>2</v>
      </c>
      <c r="G10382" s="1360"/>
      <c r="H10382" s="1362"/>
      <c r="I10382" s="1380"/>
      <c r="J10382" s="1381"/>
      <c r="K10382" s="1381"/>
      <c r="L10382" s="1458"/>
      <c r="M10382" s="1362"/>
      <c r="N10382" s="1362"/>
      <c r="O10382" s="1362"/>
      <c r="P10382" s="1359"/>
      <c r="Q10382" s="3387"/>
    </row>
    <row r="10383" spans="1:18">
      <c r="A10383" s="1042"/>
      <c r="B10383" s="1042"/>
      <c r="C10383" s="1042"/>
      <c r="D10383" s="1402" t="s">
        <v>1134</v>
      </c>
      <c r="E10383" s="1857" t="s">
        <v>1508</v>
      </c>
      <c r="F10383" s="1403" t="s">
        <v>1547</v>
      </c>
      <c r="G10383" s="1362">
        <v>0.48</v>
      </c>
      <c r="H10383" s="1359"/>
      <c r="I10383" s="198"/>
      <c r="J10383" s="6"/>
      <c r="K10383" s="1307">
        <f>G10383*K10365</f>
        <v>1.2791999999999999</v>
      </c>
      <c r="L10383" s="1335">
        <f t="shared" ref="L10383:L10384" si="1372">K10383*$K$10256</f>
        <v>1.2791999999999999</v>
      </c>
      <c r="M10383" s="1499">
        <v>19.23</v>
      </c>
      <c r="N10383" s="1724"/>
      <c r="O10383" s="1290">
        <f t="shared" ref="O10383:O10384" si="1373">G10383*M10383</f>
        <v>9.2303999999999995</v>
      </c>
      <c r="P10383" s="1332">
        <f>M10383*K10383</f>
        <v>24.599015999999999</v>
      </c>
      <c r="Q10383" s="3391"/>
    </row>
    <row r="10384" spans="1:18">
      <c r="A10384" s="1042"/>
      <c r="B10384" s="1042"/>
      <c r="C10384" s="18"/>
      <c r="D10384" s="1402" t="s">
        <v>1067</v>
      </c>
      <c r="E10384" s="1857" t="s">
        <v>1508</v>
      </c>
      <c r="F10384" s="1403" t="s">
        <v>1512</v>
      </c>
      <c r="G10384" s="1362">
        <v>0.24</v>
      </c>
      <c r="H10384" s="1359"/>
      <c r="I10384" s="198"/>
      <c r="J10384" s="6"/>
      <c r="K10384" s="1307">
        <f>G10384*K10365</f>
        <v>0.63959999999999995</v>
      </c>
      <c r="L10384" s="1335">
        <f t="shared" si="1372"/>
        <v>0.63959999999999995</v>
      </c>
      <c r="M10384" s="1499">
        <v>18.28</v>
      </c>
      <c r="N10384" s="1724"/>
      <c r="O10384" s="1290">
        <f t="shared" si="1373"/>
        <v>4.3872</v>
      </c>
      <c r="P10384" s="1332">
        <f>M10384*K10384</f>
        <v>11.691888000000001</v>
      </c>
      <c r="Q10384" s="1640"/>
    </row>
    <row r="10385" spans="1:22">
      <c r="A10385" s="1042"/>
      <c r="B10385" s="1042"/>
      <c r="C10385" s="1042"/>
      <c r="D10385" s="1402"/>
      <c r="E10385" s="1857"/>
      <c r="F10385" s="1403"/>
      <c r="G10385" s="1362"/>
      <c r="H10385" s="1359"/>
      <c r="I10385" s="198"/>
      <c r="J10385" s="6"/>
      <c r="K10385" s="1307"/>
      <c r="L10385" s="1335"/>
      <c r="M10385" s="1499"/>
      <c r="N10385" s="1724"/>
      <c r="O10385" s="1290"/>
      <c r="P10385" s="1332"/>
      <c r="Q10385" s="3391"/>
    </row>
    <row r="10386" spans="1:22">
      <c r="A10386" s="1042"/>
      <c r="B10386" s="553"/>
      <c r="C10386" s="1042"/>
      <c r="D10386" s="3860"/>
      <c r="E10386" s="3851"/>
      <c r="F10386" s="1766"/>
      <c r="G10386" s="3861"/>
      <c r="H10386" s="3246"/>
      <c r="I10386" s="197"/>
      <c r="J10386" s="3862"/>
      <c r="K10386" s="1307"/>
      <c r="L10386" s="1335"/>
      <c r="M10386" s="3852"/>
      <c r="N10386" s="1724"/>
      <c r="O10386" s="1290"/>
      <c r="P10386" s="3850"/>
      <c r="Q10386" s="3391"/>
    </row>
    <row r="10387" spans="1:22">
      <c r="A10387" s="1320"/>
      <c r="B10387" s="1599"/>
      <c r="C10387" s="1320"/>
      <c r="D10387" s="1411"/>
      <c r="E10387" s="2123"/>
      <c r="F10387" s="1374" t="s">
        <v>3</v>
      </c>
      <c r="G10387" s="1375"/>
      <c r="H10387" s="1376"/>
      <c r="I10387" s="1382"/>
      <c r="J10387" s="1383"/>
      <c r="K10387" s="1383"/>
      <c r="L10387" s="1413"/>
      <c r="M10387" s="1376"/>
      <c r="N10387" s="1376"/>
      <c r="O10387" s="1376"/>
      <c r="P10387" s="1373"/>
      <c r="Q10387" s="3387"/>
    </row>
    <row r="10388" spans="1:22">
      <c r="A10388" s="1321"/>
      <c r="B10388" s="2053"/>
      <c r="C10388" s="1321"/>
      <c r="D10388" s="1412"/>
      <c r="E10388" s="2124"/>
      <c r="F10388" s="1378"/>
      <c r="G10388" s="2200"/>
      <c r="H10388" s="1379"/>
      <c r="I10388" s="1299"/>
      <c r="J10388" s="1300"/>
      <c r="K10388" s="1307"/>
      <c r="L10388" s="1335"/>
      <c r="M10388" s="1302"/>
      <c r="N10388" s="1700"/>
      <c r="O10388" s="1290"/>
      <c r="P10388" s="1332"/>
      <c r="Q10388" s="3391"/>
    </row>
    <row r="10389" spans="1:22">
      <c r="A10389" s="1321"/>
      <c r="B10389" s="2053"/>
      <c r="C10389" s="1321"/>
      <c r="D10389" s="1412"/>
      <c r="E10389" s="2124"/>
      <c r="F10389" s="1378"/>
      <c r="G10389" s="1378"/>
      <c r="H10389" s="1379"/>
      <c r="I10389" s="1299"/>
      <c r="J10389" s="1300"/>
      <c r="K10389" s="1307"/>
      <c r="L10389" s="1335"/>
      <c r="M10389" s="1302"/>
      <c r="N10389" s="1700"/>
      <c r="O10389" s="1290"/>
      <c r="P10389" s="1333"/>
      <c r="Q10389" s="3391"/>
    </row>
    <row r="10390" spans="1:22">
      <c r="A10390" s="1042"/>
      <c r="B10390" s="1599"/>
      <c r="C10390" s="1042"/>
      <c r="D10390" s="1695"/>
      <c r="E10390" s="2278"/>
      <c r="F10390" s="2279"/>
      <c r="G10390" s="2279"/>
      <c r="H10390" s="2264"/>
      <c r="I10390" s="2280"/>
      <c r="J10390" s="2281"/>
      <c r="K10390" s="2236"/>
      <c r="L10390" s="1594"/>
      <c r="M10390" s="2282"/>
      <c r="N10390" s="2283"/>
      <c r="O10390" s="2237"/>
      <c r="P10390" s="2238"/>
      <c r="Q10390" s="3391"/>
    </row>
    <row r="10391" spans="1:22">
      <c r="A10391" s="18" t="s">
        <v>3764</v>
      </c>
      <c r="B10391" s="4325" t="s">
        <v>3703</v>
      </c>
      <c r="C10391" s="3877"/>
      <c r="D10391" s="4327"/>
      <c r="E10391" s="4329" t="s">
        <v>1507</v>
      </c>
      <c r="F10391" s="4372" t="s">
        <v>3704</v>
      </c>
      <c r="G10391" s="4331" t="s">
        <v>1568</v>
      </c>
      <c r="H10391" s="4331" t="s">
        <v>1574</v>
      </c>
      <c r="I10391" s="1572" t="s">
        <v>1559</v>
      </c>
      <c r="J10391" s="1294" t="s">
        <v>1560</v>
      </c>
      <c r="K10391" s="1294" t="s">
        <v>1569</v>
      </c>
      <c r="L10391" s="4333" t="s">
        <v>3765</v>
      </c>
      <c r="M10391" s="4335" t="s">
        <v>1571</v>
      </c>
      <c r="N10391" s="4323" t="s">
        <v>1776</v>
      </c>
      <c r="O10391" s="3876" t="s">
        <v>1563</v>
      </c>
      <c r="P10391" s="1336" t="s">
        <v>1562</v>
      </c>
      <c r="Q10391" s="3389"/>
      <c r="R10391" s="1699" t="s">
        <v>1327</v>
      </c>
    </row>
    <row r="10392" spans="1:22">
      <c r="A10392" s="1662" t="s">
        <v>3708</v>
      </c>
      <c r="B10392" s="4326"/>
      <c r="C10392" s="3879"/>
      <c r="D10392" s="4328"/>
      <c r="E10392" s="4330"/>
      <c r="F10392" s="4363"/>
      <c r="G10392" s="4332"/>
      <c r="H10392" s="4332"/>
      <c r="I10392" s="1306">
        <v>12.8</v>
      </c>
      <c r="J10392" s="1307">
        <v>0.25</v>
      </c>
      <c r="K10392" s="1297">
        <f>I10392*J10392</f>
        <v>3.2</v>
      </c>
      <c r="L10392" s="4334"/>
      <c r="M10392" s="4335"/>
      <c r="N10392" s="4324"/>
      <c r="O10392" s="1298">
        <f>O10394+O10401+O10402</f>
        <v>8.1553103599999979</v>
      </c>
      <c r="P10392" s="1337">
        <f>O10392*K10392</f>
        <v>26.096993151999996</v>
      </c>
      <c r="Q10392" s="3390"/>
      <c r="R10392" s="1721">
        <f>P10394+P10401+P10402</f>
        <v>26.096993152</v>
      </c>
    </row>
    <row r="10393" spans="1:22">
      <c r="A10393" s="1320"/>
      <c r="B10393" s="1599"/>
      <c r="C10393" s="1327"/>
      <c r="D10393" s="1400"/>
      <c r="E10393" s="2121"/>
      <c r="F10393" s="1389" t="s">
        <v>1</v>
      </c>
      <c r="G10393" s="1389"/>
      <c r="H10393" s="3853"/>
      <c r="I10393" s="1409"/>
      <c r="J10393" s="1390"/>
      <c r="K10393" s="1391"/>
      <c r="L10393" s="1559"/>
      <c r="M10393" s="1369"/>
      <c r="N10393" s="1369"/>
      <c r="O10393" s="1369"/>
      <c r="P10393" s="1392"/>
      <c r="Q10393" s="3395"/>
    </row>
    <row r="10394" spans="1:22">
      <c r="A10394" s="3909" t="s">
        <v>3705</v>
      </c>
      <c r="B10394" s="22"/>
      <c r="C10394" s="3898" t="s">
        <v>1127</v>
      </c>
      <c r="D10394" s="3899"/>
      <c r="E10394" s="3900" t="s">
        <v>1517</v>
      </c>
      <c r="F10394" s="3901" t="s">
        <v>1519</v>
      </c>
      <c r="G10394" s="3902"/>
      <c r="H10394" s="3902">
        <v>5.1999999999999998E-2</v>
      </c>
      <c r="I10394" s="3903"/>
      <c r="J10394" s="3904"/>
      <c r="K10394" s="3905"/>
      <c r="L10394" s="3906"/>
      <c r="M10394" s="3907"/>
      <c r="N10394" s="3908">
        <f>SUM(N10395:N10398)</f>
        <v>50.044430000000006</v>
      </c>
      <c r="O10394" s="3908">
        <f>SUM(O10395:O10398)</f>
        <v>2.6023103599999997</v>
      </c>
      <c r="P10394" s="3908">
        <f>SUM(P10395:P10398)</f>
        <v>8.3273931520000009</v>
      </c>
      <c r="Q10394" s="3391"/>
      <c r="R10394" s="3881"/>
    </row>
    <row r="10395" spans="1:22">
      <c r="A10395" s="3909" t="s">
        <v>3706</v>
      </c>
      <c r="C10395" s="1327"/>
      <c r="D10395" s="1400" t="s">
        <v>1069</v>
      </c>
      <c r="E10395" s="1856" t="s">
        <v>1517</v>
      </c>
      <c r="F10395" s="1397" t="s">
        <v>1578</v>
      </c>
      <c r="G10395" s="1416">
        <v>0.26300000000000001</v>
      </c>
      <c r="H10395" s="1399">
        <f>H10394*G10395</f>
        <v>1.3676000000000001E-2</v>
      </c>
      <c r="I10395" s="197"/>
      <c r="J10395" s="198"/>
      <c r="K10395" s="1307">
        <f>H10395*K10392</f>
        <v>4.3763200000000002E-2</v>
      </c>
      <c r="L10395" s="1335">
        <f t="shared" ref="L10395:L10398" si="1374">K10395*$K$10256</f>
        <v>4.3763200000000002E-2</v>
      </c>
      <c r="M10395" s="1499">
        <v>0.55000000000000004</v>
      </c>
      <c r="N10395" s="1724">
        <f>G10395*M10395</f>
        <v>0.14465000000000003</v>
      </c>
      <c r="O10395" s="1719">
        <f>H10395*M10395</f>
        <v>7.5218000000000012E-3</v>
      </c>
      <c r="P10395" s="1720">
        <f>M10395*K10395</f>
        <v>2.4069760000000003E-2</v>
      </c>
      <c r="Q10395" s="3396"/>
      <c r="R10395" s="3881"/>
    </row>
    <row r="10396" spans="1:22">
      <c r="A10396" s="1042"/>
      <c r="C10396" s="1320"/>
      <c r="D10396" s="1400" t="s">
        <v>1394</v>
      </c>
      <c r="E10396" s="1856" t="s">
        <v>1577</v>
      </c>
      <c r="F10396" s="1397" t="s">
        <v>1579</v>
      </c>
      <c r="G10396" s="1416">
        <v>0.25800000000000001</v>
      </c>
      <c r="H10396" s="1399">
        <f>H10394*G10396</f>
        <v>1.3415999999999999E-2</v>
      </c>
      <c r="I10396" s="197"/>
      <c r="J10396" s="198"/>
      <c r="K10396" s="1307">
        <f>H10396*K10392</f>
        <v>4.2931200000000003E-2</v>
      </c>
      <c r="L10396" s="1335">
        <f t="shared" si="1374"/>
        <v>4.2931200000000003E-2</v>
      </c>
      <c r="M10396" s="1499">
        <v>92.54</v>
      </c>
      <c r="N10396" s="1724">
        <f>G10396*M10396</f>
        <v>23.875320000000002</v>
      </c>
      <c r="O10396" s="1719">
        <f>H10396*M10396</f>
        <v>1.2415166399999999</v>
      </c>
      <c r="P10396" s="1720">
        <f>M10396*K10396</f>
        <v>3.9728532480000007</v>
      </c>
      <c r="Q10396" s="3396"/>
      <c r="R10396" s="3881"/>
    </row>
    <row r="10397" spans="1:22">
      <c r="A10397" s="1042"/>
      <c r="C10397" s="1320"/>
      <c r="D10397" s="1400" t="s">
        <v>1576</v>
      </c>
      <c r="E10397" s="1856" t="s">
        <v>1517</v>
      </c>
      <c r="F10397" s="1397" t="s">
        <v>1580</v>
      </c>
      <c r="G10397" s="1416">
        <v>1.1020000000000001</v>
      </c>
      <c r="H10397" s="1399">
        <f>H10394*G10397</f>
        <v>5.7304000000000001E-2</v>
      </c>
      <c r="I10397" s="197"/>
      <c r="J10397" s="198"/>
      <c r="K10397" s="1307">
        <f>H10397*K10392</f>
        <v>0.1833728</v>
      </c>
      <c r="L10397" s="1335">
        <f t="shared" si="1374"/>
        <v>0.1833728</v>
      </c>
      <c r="M10397" s="1499">
        <v>6.53</v>
      </c>
      <c r="N10397" s="1724">
        <f>G10397*M10397</f>
        <v>7.196060000000001</v>
      </c>
      <c r="O10397" s="1719">
        <f>H10397*M10397</f>
        <v>0.37419511999999999</v>
      </c>
      <c r="P10397" s="1720">
        <f>M10397*K10397</f>
        <v>1.1974243840000001</v>
      </c>
      <c r="Q10397" s="3396"/>
      <c r="R10397" s="1292"/>
    </row>
    <row r="10398" spans="1:22">
      <c r="A10398" s="1042"/>
      <c r="C10398" s="1320"/>
      <c r="D10398" s="1404" t="s">
        <v>1067</v>
      </c>
      <c r="E10398" s="1857" t="s">
        <v>1508</v>
      </c>
      <c r="F10398" s="2040" t="s">
        <v>1512</v>
      </c>
      <c r="G10398" s="1829">
        <v>1.03</v>
      </c>
      <c r="H10398" s="1408">
        <f>H10394*G10398</f>
        <v>5.3559999999999997E-2</v>
      </c>
      <c r="I10398" s="197"/>
      <c r="J10398" s="198"/>
      <c r="K10398" s="1307">
        <f>H10398*K10392</f>
        <v>0.17139199999999999</v>
      </c>
      <c r="L10398" s="1335">
        <f t="shared" si="1374"/>
        <v>0.17139199999999999</v>
      </c>
      <c r="M10398" s="1499">
        <v>18.28</v>
      </c>
      <c r="N10398" s="1724">
        <f>G10398*M10398</f>
        <v>18.828400000000002</v>
      </c>
      <c r="O10398" s="1719">
        <f>H10398*M10398</f>
        <v>0.97907679999999997</v>
      </c>
      <c r="P10398" s="1720">
        <f>M10398*K10398</f>
        <v>3.1330457599999999</v>
      </c>
      <c r="Q10398" s="3396"/>
      <c r="R10398" s="3881"/>
    </row>
    <row r="10399" spans="1:22">
      <c r="A10399" s="1042"/>
      <c r="B10399" s="1599"/>
      <c r="C10399" s="1042"/>
      <c r="D10399" s="1400"/>
      <c r="E10399" s="2121"/>
      <c r="F10399" s="1436"/>
      <c r="G10399" s="1436"/>
      <c r="H10399" s="1369"/>
      <c r="I10399" s="1299"/>
      <c r="J10399" s="1300"/>
      <c r="K10399" s="1307"/>
      <c r="L10399" s="1335"/>
      <c r="M10399" s="1302"/>
      <c r="N10399" s="1700"/>
      <c r="O10399" s="1290"/>
      <c r="P10399" s="1332"/>
      <c r="Q10399" s="3391"/>
    </row>
    <row r="10400" spans="1:22">
      <c r="A10400" s="1042"/>
      <c r="B10400" s="1599"/>
      <c r="C10400" s="1042"/>
      <c r="D10400" s="3863"/>
      <c r="E10400" s="1858"/>
      <c r="F10400" s="1360" t="s">
        <v>2</v>
      </c>
      <c r="G10400" s="1360"/>
      <c r="H10400" s="1362"/>
      <c r="I10400" s="1380"/>
      <c r="J10400" s="1381"/>
      <c r="K10400" s="1381"/>
      <c r="L10400" s="1458"/>
      <c r="M10400" s="1362"/>
      <c r="N10400" s="1362"/>
      <c r="O10400" s="1362"/>
      <c r="P10400" s="1359"/>
      <c r="Q10400" s="3387"/>
      <c r="S10400" s="16"/>
      <c r="T10400" s="16"/>
      <c r="U10400" s="16"/>
      <c r="V10400" s="16"/>
    </row>
    <row r="10401" spans="1:22">
      <c r="A10401" s="1042"/>
      <c r="B10401" s="553"/>
      <c r="C10401" s="1042"/>
      <c r="D10401" s="1402" t="s">
        <v>1165</v>
      </c>
      <c r="E10401" s="1857" t="s">
        <v>1508</v>
      </c>
      <c r="F10401" s="1403" t="s">
        <v>1611</v>
      </c>
      <c r="G10401" s="1362">
        <v>0.15</v>
      </c>
      <c r="H10401" s="1359"/>
      <c r="I10401" s="198"/>
      <c r="J10401" s="6"/>
      <c r="K10401" s="1307">
        <f>G10401*K10392</f>
        <v>0.48</v>
      </c>
      <c r="L10401" s="1335">
        <f t="shared" ref="L10401:L10402" si="1375">K10401*$K$10256</f>
        <v>0.48</v>
      </c>
      <c r="M10401" s="1499">
        <v>18.739999999999998</v>
      </c>
      <c r="N10401" s="1724"/>
      <c r="O10401" s="1290">
        <f t="shared" ref="O10401:O10402" si="1376">G10401*M10401</f>
        <v>2.8109999999999995</v>
      </c>
      <c r="P10401" s="1332">
        <f>M10401*K10401</f>
        <v>8.9951999999999988</v>
      </c>
      <c r="Q10401" s="3391"/>
      <c r="S10401" s="16"/>
      <c r="T10401" s="16"/>
      <c r="U10401" s="16"/>
      <c r="V10401" s="16"/>
    </row>
    <row r="10402" spans="1:22">
      <c r="A10402" s="1042"/>
      <c r="B10402" s="553"/>
      <c r="C10402" s="1042"/>
      <c r="D10402" s="1402" t="s">
        <v>1067</v>
      </c>
      <c r="E10402" s="1857" t="s">
        <v>1508</v>
      </c>
      <c r="F10402" s="1403" t="s">
        <v>1512</v>
      </c>
      <c r="G10402" s="1362">
        <v>0.15</v>
      </c>
      <c r="H10402" s="1359"/>
      <c r="I10402" s="198"/>
      <c r="J10402" s="6"/>
      <c r="K10402" s="1307">
        <f>G10402*K10392</f>
        <v>0.48</v>
      </c>
      <c r="L10402" s="1335">
        <f t="shared" si="1375"/>
        <v>0.48</v>
      </c>
      <c r="M10402" s="1499">
        <v>18.28</v>
      </c>
      <c r="N10402" s="1724"/>
      <c r="O10402" s="1290">
        <f t="shared" si="1376"/>
        <v>2.742</v>
      </c>
      <c r="P10402" s="1332">
        <f>M10402*K10402</f>
        <v>8.7744</v>
      </c>
      <c r="Q10402" s="1640"/>
      <c r="S10402" s="16"/>
      <c r="T10402" s="16"/>
      <c r="U10402" s="16"/>
      <c r="V10402" s="16"/>
    </row>
    <row r="10403" spans="1:22">
      <c r="A10403" s="1042"/>
      <c r="B10403" s="1042"/>
      <c r="C10403" s="1042"/>
      <c r="D10403" s="1402"/>
      <c r="E10403" s="1857"/>
      <c r="F10403" s="1403"/>
      <c r="G10403" s="1362"/>
      <c r="H10403" s="4067"/>
      <c r="I10403" s="3991"/>
      <c r="J10403" s="4066"/>
      <c r="K10403" s="3940"/>
      <c r="L10403" s="3941"/>
      <c r="M10403" s="3918"/>
      <c r="N10403" s="4069"/>
      <c r="O10403" s="3942"/>
      <c r="P10403" s="3919"/>
      <c r="Q10403" s="3391"/>
      <c r="S10403" s="16"/>
      <c r="T10403" s="16"/>
      <c r="U10403" s="16"/>
      <c r="V10403" s="16"/>
    </row>
    <row r="10404" spans="1:22">
      <c r="A10404" s="1042"/>
      <c r="B10404" s="553"/>
      <c r="C10404" s="1042"/>
      <c r="D10404" s="3860"/>
      <c r="E10404" s="3851"/>
      <c r="F10404" s="1766"/>
      <c r="G10404" s="3897"/>
      <c r="H10404" s="4067"/>
      <c r="I10404" s="3991"/>
      <c r="J10404" s="4066"/>
      <c r="K10404" s="3940"/>
      <c r="L10404" s="3941"/>
      <c r="M10404" s="3918"/>
      <c r="N10404" s="4069"/>
      <c r="O10404" s="3942"/>
      <c r="P10404" s="3919"/>
      <c r="Q10404" s="3391"/>
      <c r="S10404" s="16"/>
      <c r="T10404" s="16"/>
      <c r="U10404" s="16"/>
      <c r="V10404" s="16"/>
    </row>
    <row r="10405" spans="1:22">
      <c r="A10405" s="1320"/>
      <c r="B10405" s="1599"/>
      <c r="C10405" s="1320"/>
      <c r="D10405" s="1411"/>
      <c r="E10405" s="2123"/>
      <c r="F10405" s="1374" t="s">
        <v>3</v>
      </c>
      <c r="G10405" s="1375"/>
      <c r="H10405" s="4068"/>
      <c r="I10405" s="4070"/>
      <c r="J10405" s="4070"/>
      <c r="K10405" s="4070"/>
      <c r="L10405" s="4071"/>
      <c r="M10405" s="3945"/>
      <c r="N10405" s="3945"/>
      <c r="O10405" s="3945"/>
      <c r="P10405" s="4065"/>
      <c r="Q10405" s="3387"/>
      <c r="S10405" s="16"/>
      <c r="T10405" s="16"/>
      <c r="U10405" s="16"/>
      <c r="V10405" s="16"/>
    </row>
    <row r="10406" spans="1:22">
      <c r="A10406" s="1321"/>
      <c r="B10406" s="2053"/>
      <c r="C10406" s="1321"/>
      <c r="D10406" s="1412"/>
      <c r="E10406" s="2124"/>
      <c r="F10406" s="1378"/>
      <c r="G10406" s="2200"/>
      <c r="H10406" s="3955"/>
      <c r="I10406" s="3938"/>
      <c r="J10406" s="3939"/>
      <c r="K10406" s="3940"/>
      <c r="L10406" s="3941"/>
      <c r="M10406" s="3918"/>
      <c r="N10406" s="3918"/>
      <c r="O10406" s="3942"/>
      <c r="P10406" s="3919"/>
      <c r="Q10406" s="3391"/>
      <c r="S10406" s="16"/>
      <c r="T10406" s="16"/>
      <c r="U10406" s="16"/>
      <c r="V10406" s="16"/>
    </row>
    <row r="10407" spans="1:22">
      <c r="A10407" s="1321"/>
      <c r="B10407" s="2053"/>
      <c r="C10407" s="1321"/>
      <c r="D10407" s="1412"/>
      <c r="E10407" s="2124"/>
      <c r="F10407" s="1378"/>
      <c r="G10407" s="1378"/>
      <c r="H10407" s="3955"/>
      <c r="I10407" s="3938"/>
      <c r="J10407" s="3939"/>
      <c r="K10407" s="3940"/>
      <c r="L10407" s="3941"/>
      <c r="M10407" s="3918"/>
      <c r="N10407" s="3918"/>
      <c r="O10407" s="3942"/>
      <c r="P10407" s="3919"/>
      <c r="Q10407" s="3391"/>
      <c r="S10407" s="16"/>
      <c r="T10407" s="16"/>
      <c r="U10407" s="16"/>
      <c r="V10407" s="16"/>
    </row>
    <row r="10408" spans="1:22">
      <c r="A10408" s="1042"/>
      <c r="B10408" s="1599"/>
      <c r="C10408" s="1042"/>
      <c r="D10408" s="1695"/>
      <c r="E10408" s="2278"/>
      <c r="F10408" s="2279"/>
      <c r="G10408" s="2279"/>
      <c r="H10408" s="3956"/>
      <c r="I10408" s="3938"/>
      <c r="J10408" s="3939"/>
      <c r="K10408" s="3940"/>
      <c r="L10408" s="3941"/>
      <c r="M10408" s="3918"/>
      <c r="N10408" s="3918"/>
      <c r="O10408" s="3942"/>
      <c r="P10408" s="3919"/>
      <c r="Q10408" s="3391"/>
      <c r="S10408" s="16"/>
      <c r="T10408" s="16"/>
      <c r="U10408" s="16"/>
      <c r="V10408" s="16"/>
    </row>
    <row r="10409" spans="1:22">
      <c r="A10409" s="1042"/>
      <c r="B10409" s="1599"/>
      <c r="C10409" s="554"/>
      <c r="D10409" s="3890"/>
      <c r="E10409" s="3891"/>
      <c r="F10409" s="3892"/>
      <c r="G10409" s="3892"/>
      <c r="H10409" s="3956"/>
      <c r="I10409" s="3938"/>
      <c r="J10409" s="3939"/>
      <c r="K10409" s="3940"/>
      <c r="L10409" s="3941"/>
      <c r="M10409" s="3918"/>
      <c r="N10409" s="3918"/>
      <c r="O10409" s="3942"/>
      <c r="P10409" s="3919"/>
      <c r="Q10409" s="3391"/>
      <c r="S10409" s="16"/>
      <c r="T10409" s="16"/>
      <c r="U10409" s="16"/>
      <c r="V10409" s="16"/>
    </row>
    <row r="10410" spans="1:22">
      <c r="A10410" s="18" t="s">
        <v>3764</v>
      </c>
      <c r="B10410" s="4325" t="s">
        <v>3726</v>
      </c>
      <c r="C10410" s="3877"/>
      <c r="D10410" s="4327"/>
      <c r="E10410" s="4329" t="s">
        <v>1527</v>
      </c>
      <c r="F10410" s="4372" t="s">
        <v>3727</v>
      </c>
      <c r="G10410" s="4331" t="s">
        <v>1568</v>
      </c>
      <c r="H10410" s="4331" t="s">
        <v>1574</v>
      </c>
      <c r="I10410" s="1572" t="s">
        <v>1559</v>
      </c>
      <c r="J10410" s="1294" t="s">
        <v>1560</v>
      </c>
      <c r="K10410" s="1294" t="s">
        <v>1569</v>
      </c>
      <c r="L10410" s="4333" t="s">
        <v>3765</v>
      </c>
      <c r="M10410" s="4335" t="s">
        <v>1571</v>
      </c>
      <c r="N10410" s="4323" t="s">
        <v>1776</v>
      </c>
      <c r="O10410" s="3876" t="s">
        <v>1563</v>
      </c>
      <c r="P10410" s="1336" t="s">
        <v>1562</v>
      </c>
      <c r="Q10410" s="3389"/>
      <c r="R10410" s="1699" t="s">
        <v>1327</v>
      </c>
      <c r="S10410" s="16"/>
      <c r="T10410" s="16"/>
      <c r="U10410" s="16"/>
      <c r="V10410" s="16"/>
    </row>
    <row r="10411" spans="1:22">
      <c r="A10411" s="1662" t="s">
        <v>3708</v>
      </c>
      <c r="B10411" s="4326"/>
      <c r="C10411" s="3879"/>
      <c r="D10411" s="4328"/>
      <c r="E10411" s="4330"/>
      <c r="F10411" s="4363"/>
      <c r="G10411" s="4332"/>
      <c r="H10411" s="4332"/>
      <c r="I10411" s="1306">
        <v>10.66</v>
      </c>
      <c r="J10411" s="1307">
        <v>0.25</v>
      </c>
      <c r="K10411" s="1297">
        <f>I10411*J10411</f>
        <v>2.665</v>
      </c>
      <c r="L10411" s="4334"/>
      <c r="M10411" s="4335"/>
      <c r="N10411" s="4324"/>
      <c r="O10411" s="1298">
        <f>O10413+O10414+O10420+O10426</f>
        <v>26.581520909999998</v>
      </c>
      <c r="P10411" s="1337">
        <f>O10411*K10411</f>
        <v>70.839753225149991</v>
      </c>
      <c r="Q10411" s="3390"/>
      <c r="R10411" s="1721">
        <f>P10413+P10414+P10420+P10426</f>
        <v>70.135089058109997</v>
      </c>
    </row>
    <row r="10412" spans="1:22">
      <c r="A10412" s="1320"/>
      <c r="B10412" s="1599"/>
      <c r="C10412" s="1327"/>
      <c r="D10412" s="1400"/>
      <c r="E10412" s="2121"/>
      <c r="F10412" s="1389" t="s">
        <v>1</v>
      </c>
      <c r="G10412" s="1389"/>
      <c r="H10412" s="3853"/>
      <c r="I10412" s="1409"/>
      <c r="J10412" s="1390"/>
      <c r="K10412" s="1391"/>
      <c r="L10412" s="1559"/>
      <c r="M10412" s="1369"/>
      <c r="N10412" s="1369"/>
      <c r="O10412" s="1369"/>
      <c r="P10412" s="1392"/>
      <c r="Q10412" s="3395"/>
    </row>
    <row r="10413" spans="1:22">
      <c r="A10413" s="1320"/>
      <c r="B10413" s="16"/>
      <c r="C10413" s="16"/>
      <c r="D10413" s="3930" t="s">
        <v>1922</v>
      </c>
      <c r="E10413" s="3929" t="s">
        <v>1527</v>
      </c>
      <c r="F10413" s="3916" t="s">
        <v>1923</v>
      </c>
      <c r="G10413" s="3917">
        <v>1.1020000000000001</v>
      </c>
      <c r="H10413" s="3913"/>
      <c r="I10413" s="1289"/>
      <c r="J10413" s="2027"/>
      <c r="K10413" s="1307">
        <f>G10413*K10411</f>
        <v>2.9368300000000005</v>
      </c>
      <c r="L10413" s="1335">
        <f t="shared" ref="L10413" si="1377">K10413*$K$10256</f>
        <v>2.9368300000000005</v>
      </c>
      <c r="M10413" s="1302">
        <v>11.2</v>
      </c>
      <c r="N10413" s="1718"/>
      <c r="O10413" s="1290">
        <f>G10413*M10413</f>
        <v>12.3424</v>
      </c>
      <c r="P10413" s="1332">
        <f>M10413*K10413</f>
        <v>32.892496000000001</v>
      </c>
      <c r="Q10413" s="3395"/>
    </row>
    <row r="10414" spans="1:22">
      <c r="A10414" s="16"/>
      <c r="B10414" s="1320"/>
      <c r="C10414" s="1356" t="s">
        <v>1119</v>
      </c>
      <c r="D10414" s="1311"/>
      <c r="E10414" s="1854" t="s">
        <v>1517</v>
      </c>
      <c r="F10414" s="1749" t="s">
        <v>1917</v>
      </c>
      <c r="G10414" s="1688"/>
      <c r="H10414" s="1366">
        <v>1.2E-2</v>
      </c>
      <c r="I10414" s="1388"/>
      <c r="J10414" s="1388"/>
      <c r="K10414" s="1510"/>
      <c r="L10414" s="1445"/>
      <c r="M10414" s="1447"/>
      <c r="N10414" s="1447">
        <f>SUM(N10415:N10419)</f>
        <v>83.047780000000003</v>
      </c>
      <c r="O10414" s="1447">
        <f>SUM(O10415:O10419)</f>
        <v>0.99657335999999996</v>
      </c>
      <c r="P10414" s="1446">
        <f>SUM(P10415:P10419)</f>
        <v>1.95120383736</v>
      </c>
      <c r="Q10414" s="3391"/>
    </row>
    <row r="10415" spans="1:22">
      <c r="A10415" s="16"/>
      <c r="B10415" s="1320"/>
      <c r="C10415" s="18"/>
      <c r="D10415" s="1752" t="s">
        <v>1069</v>
      </c>
      <c r="E10415" s="1852" t="s">
        <v>1517</v>
      </c>
      <c r="F10415" s="1752" t="s">
        <v>1578</v>
      </c>
      <c r="G10415" s="1941">
        <v>0.2</v>
      </c>
      <c r="H10415" s="1453">
        <f>G10415*$H$2786</f>
        <v>2.4000000000000002E-3</v>
      </c>
      <c r="I10415" s="198"/>
      <c r="J10415" s="198"/>
      <c r="K10415" s="1732">
        <f>H10415*K10411</f>
        <v>6.3960000000000006E-3</v>
      </c>
      <c r="L10415" s="1335">
        <f t="shared" ref="L10415:L10419" si="1378">K10415*$K$10256</f>
        <v>6.3960000000000006E-3</v>
      </c>
      <c r="M10415" s="1499">
        <v>0.55000000000000004</v>
      </c>
      <c r="N10415" s="1718">
        <f>G10415*M10415</f>
        <v>0.11000000000000001</v>
      </c>
      <c r="O10415" s="1719">
        <f>H10415*M10415</f>
        <v>1.3200000000000002E-3</v>
      </c>
      <c r="P10415" s="1720">
        <f>M10415*K10415</f>
        <v>3.5178000000000006E-3</v>
      </c>
      <c r="Q10415" s="3396"/>
      <c r="R10415" s="2337"/>
    </row>
    <row r="10416" spans="1:22">
      <c r="A10416" s="16"/>
      <c r="B10416" s="1320"/>
      <c r="C10416" s="1042"/>
      <c r="D10416" s="1752" t="s">
        <v>1792</v>
      </c>
      <c r="E10416" s="1852" t="s">
        <v>1577</v>
      </c>
      <c r="F10416" s="1752" t="s">
        <v>1793</v>
      </c>
      <c r="G10416" s="1941">
        <v>0.19</v>
      </c>
      <c r="H10416" s="1453">
        <f t="shared" ref="H10416:H10418" si="1379">G10416*$H$2786</f>
        <v>2.2799999999999999E-3</v>
      </c>
      <c r="I10416" s="197"/>
      <c r="J10416" s="198"/>
      <c r="K10416" s="1732">
        <f>H10416*K10411</f>
        <v>6.0761999999999995E-3</v>
      </c>
      <c r="L10416" s="1335">
        <f t="shared" si="1378"/>
        <v>6.0761999999999995E-3</v>
      </c>
      <c r="M10416" s="1499">
        <v>85.09</v>
      </c>
      <c r="N10416" s="1718">
        <f>G10416*M10416</f>
        <v>16.167100000000001</v>
      </c>
      <c r="O10416" s="1719">
        <f>H10416*M10416</f>
        <v>0.19400519999999999</v>
      </c>
      <c r="P10416" s="1720">
        <f>M10416*K10416</f>
        <v>0.51702385799999995</v>
      </c>
      <c r="Q10416" s="3396"/>
      <c r="R10416" s="2337"/>
    </row>
    <row r="10417" spans="1:18">
      <c r="A10417" s="16"/>
      <c r="B10417" s="1320"/>
      <c r="C10417" s="1042"/>
      <c r="D10417" s="1752" t="s">
        <v>1394</v>
      </c>
      <c r="E10417" s="1852" t="s">
        <v>1577</v>
      </c>
      <c r="F10417" s="1752" t="s">
        <v>1579</v>
      </c>
      <c r="G10417" s="1941">
        <v>0.38</v>
      </c>
      <c r="H10417" s="1453">
        <f t="shared" si="1379"/>
        <v>4.5599999999999998E-3</v>
      </c>
      <c r="I10417" s="1289"/>
      <c r="J10417" s="198"/>
      <c r="K10417" s="1732">
        <f>H10417*K10411</f>
        <v>1.2152399999999999E-2</v>
      </c>
      <c r="L10417" s="1335">
        <f t="shared" si="1378"/>
        <v>1.2152399999999999E-2</v>
      </c>
      <c r="M10417" s="1499">
        <v>92.54</v>
      </c>
      <c r="N10417" s="1718">
        <f>G10417*M10417</f>
        <v>35.165200000000006</v>
      </c>
      <c r="O10417" s="1719">
        <f>H10417*M10417</f>
        <v>0.42198240000000004</v>
      </c>
      <c r="P10417" s="1720">
        <f>M10417*K10417</f>
        <v>1.1245830960000001</v>
      </c>
      <c r="Q10417" s="3396"/>
      <c r="R10417" s="2337"/>
    </row>
    <row r="10418" spans="1:18">
      <c r="A10418" s="16"/>
      <c r="B10418" s="1320"/>
      <c r="C10418" s="1042"/>
      <c r="D10418" s="1752" t="s">
        <v>1576</v>
      </c>
      <c r="E10418" s="1852" t="s">
        <v>1517</v>
      </c>
      <c r="F10418" s="1752" t="s">
        <v>1580</v>
      </c>
      <c r="G10418" s="1941">
        <v>1.38</v>
      </c>
      <c r="H10418" s="1453">
        <f t="shared" si="1379"/>
        <v>1.6559999999999998E-2</v>
      </c>
      <c r="I10418" s="1289"/>
      <c r="J10418" s="198"/>
      <c r="K10418" s="1307">
        <f>H10418*K10411</f>
        <v>4.4132399999999995E-2</v>
      </c>
      <c r="L10418" s="1335">
        <f t="shared" si="1378"/>
        <v>4.4132399999999995E-2</v>
      </c>
      <c r="M10418" s="1499">
        <v>6.53</v>
      </c>
      <c r="N10418" s="1718">
        <f>G10418*M10418</f>
        <v>9.0114000000000001</v>
      </c>
      <c r="O10418" s="1719">
        <f>H10418*M10418</f>
        <v>0.10813679999999999</v>
      </c>
      <c r="P10418" s="1720">
        <f>M10418*K10418</f>
        <v>0.28818457199999997</v>
      </c>
      <c r="Q10418" s="3396"/>
      <c r="R10418" s="2337"/>
    </row>
    <row r="10419" spans="1:18">
      <c r="A10419" s="16"/>
      <c r="B10419" s="1320"/>
      <c r="C10419" s="1042"/>
      <c r="D10419" s="1754" t="s">
        <v>1067</v>
      </c>
      <c r="E10419" s="1853" t="s">
        <v>1508</v>
      </c>
      <c r="F10419" s="1754" t="s">
        <v>1512</v>
      </c>
      <c r="G10419" s="1942">
        <v>1.236</v>
      </c>
      <c r="H10419" s="1454">
        <f>G10419*$H$2786</f>
        <v>1.4832E-2</v>
      </c>
      <c r="I10419" s="1289"/>
      <c r="J10419" s="198"/>
      <c r="K10419" s="1307">
        <f>H10419*$K$2783</f>
        <v>9.7891199999999997E-4</v>
      </c>
      <c r="L10419" s="1335">
        <f t="shared" si="1378"/>
        <v>9.7891199999999997E-4</v>
      </c>
      <c r="M10419" s="1499">
        <v>18.28</v>
      </c>
      <c r="N10419" s="1718">
        <f>G10419*M10419</f>
        <v>22.594080000000002</v>
      </c>
      <c r="O10419" s="1719">
        <f>H10419*M10419</f>
        <v>0.27112896000000003</v>
      </c>
      <c r="P10419" s="1720">
        <f>M10419*K10419</f>
        <v>1.789451136E-2</v>
      </c>
      <c r="Q10419" s="3396"/>
      <c r="R10419" s="2337"/>
    </row>
    <row r="10420" spans="1:18">
      <c r="A10420" s="16"/>
      <c r="B10420" s="1320"/>
      <c r="C10420" s="1658" t="s">
        <v>1155</v>
      </c>
      <c r="D10420" s="1311"/>
      <c r="E10420" s="1855" t="s">
        <v>1517</v>
      </c>
      <c r="F10420" s="1647" t="s">
        <v>1544</v>
      </c>
      <c r="G10420" s="1830" t="s">
        <v>1551</v>
      </c>
      <c r="H10420" s="1830">
        <v>1E-3</v>
      </c>
      <c r="I10420" s="1444"/>
      <c r="J10420" s="1388"/>
      <c r="K10420" s="1953"/>
      <c r="L10420" s="1445"/>
      <c r="M10420" s="1447"/>
      <c r="N10420" s="1447">
        <f>SUM(N10421:N10423)</f>
        <v>114.04755</v>
      </c>
      <c r="O10420" s="1447">
        <f>SUM(O10421:O10423)</f>
        <v>0.11404755000000003</v>
      </c>
      <c r="P10420" s="1446">
        <f>SUM(P10421:P10423)</f>
        <v>0.30393672075</v>
      </c>
      <c r="Q10420" s="3391"/>
      <c r="R10420" s="1296"/>
    </row>
    <row r="10421" spans="1:18" ht="15" customHeight="1">
      <c r="A10421" s="16"/>
      <c r="B10421" s="1320"/>
      <c r="C10421" s="1042"/>
      <c r="D10421" s="1451" t="s">
        <v>1069</v>
      </c>
      <c r="E10421" s="1856" t="s">
        <v>1517</v>
      </c>
      <c r="F10421" s="1421" t="s">
        <v>1578</v>
      </c>
      <c r="G10421" s="1452">
        <v>0.89100000000000001</v>
      </c>
      <c r="H10421" s="1453">
        <f>$H$2792*G10421</f>
        <v>8.9100000000000008E-4</v>
      </c>
      <c r="I10421" s="1286"/>
      <c r="J10421" s="198"/>
      <c r="K10421" s="1732">
        <f>H10421*K10411</f>
        <v>2.3745150000000002E-3</v>
      </c>
      <c r="L10421" s="1335">
        <f t="shared" ref="L10421:L10423" si="1380">K10421*$K$10256</f>
        <v>2.3745150000000002E-3</v>
      </c>
      <c r="M10421" s="1717">
        <v>0.55000000000000004</v>
      </c>
      <c r="N10421" s="1718">
        <f>G10421*M10421</f>
        <v>0.49005000000000004</v>
      </c>
      <c r="O10421" s="1719">
        <f>H10421*M10421</f>
        <v>4.9005000000000012E-4</v>
      </c>
      <c r="P10421" s="1731">
        <f>M10421*K10421</f>
        <v>1.3059832500000002E-3</v>
      </c>
      <c r="Q10421" s="3396"/>
      <c r="R10421" s="1296"/>
    </row>
    <row r="10422" spans="1:18">
      <c r="A10422" s="16"/>
      <c r="B10422" s="1320"/>
      <c r="C10422" s="1042"/>
      <c r="D10422" s="1367" t="s">
        <v>1394</v>
      </c>
      <c r="E10422" s="1856" t="s">
        <v>1577</v>
      </c>
      <c r="F10422" s="1421" t="s">
        <v>1579</v>
      </c>
      <c r="G10422" s="1452">
        <v>0.51500000000000001</v>
      </c>
      <c r="H10422" s="1453">
        <f>$H$2792*G10422</f>
        <v>5.1500000000000005E-4</v>
      </c>
      <c r="I10422" s="1286"/>
      <c r="J10422" s="198"/>
      <c r="K10422" s="1732">
        <f>H10422*K10411</f>
        <v>1.3724750000000002E-3</v>
      </c>
      <c r="L10422" s="1335">
        <f t="shared" si="1380"/>
        <v>1.3724750000000002E-3</v>
      </c>
      <c r="M10422" s="1717">
        <v>92.54</v>
      </c>
      <c r="N10422" s="1718">
        <f>G10422*M10422</f>
        <v>47.658100000000005</v>
      </c>
      <c r="O10422" s="1719">
        <f>H10422*M10422</f>
        <v>4.7658100000000009E-2</v>
      </c>
      <c r="P10422" s="1720">
        <f>M10422*K10422</f>
        <v>0.12700883650000003</v>
      </c>
      <c r="Q10422" s="3396"/>
      <c r="R10422" s="1296"/>
    </row>
    <row r="10423" spans="1:18">
      <c r="A10423" s="16"/>
      <c r="B10423" s="1320"/>
      <c r="C10423" s="1042"/>
      <c r="D10423" s="1359" t="s">
        <v>1067</v>
      </c>
      <c r="E10423" s="1857" t="s">
        <v>1508</v>
      </c>
      <c r="F10423" s="1430" t="s">
        <v>1512</v>
      </c>
      <c r="G10423" s="1431">
        <v>3.605</v>
      </c>
      <c r="H10423" s="1454">
        <f t="shared" ref="H10423" si="1381">$H$2792*G10423</f>
        <v>3.6050000000000001E-3</v>
      </c>
      <c r="I10423" s="1286"/>
      <c r="J10423" s="198"/>
      <c r="K10423" s="1307">
        <f>H10423*K10411</f>
        <v>9.6073249999999999E-3</v>
      </c>
      <c r="L10423" s="1335">
        <f t="shared" si="1380"/>
        <v>9.6073249999999999E-3</v>
      </c>
      <c r="M10423" s="1717">
        <v>18.28</v>
      </c>
      <c r="N10423" s="1718">
        <f>G10423*M10423</f>
        <v>65.8994</v>
      </c>
      <c r="O10423" s="1719">
        <f>H10423*M10423</f>
        <v>6.5899400000000011E-2</v>
      </c>
      <c r="P10423" s="1720">
        <f>M10423*K10423</f>
        <v>0.175621901</v>
      </c>
      <c r="Q10423" s="3396"/>
      <c r="R10423" s="1296"/>
    </row>
    <row r="10424" spans="1:18">
      <c r="A10424" s="16"/>
      <c r="B10424" s="1320"/>
      <c r="C10424" s="1042"/>
      <c r="D10424" s="1752"/>
      <c r="E10424" s="1852"/>
      <c r="F10424" s="1752"/>
      <c r="G10424" s="1941"/>
      <c r="H10424" s="1453"/>
      <c r="I10424" s="1289"/>
      <c r="J10424" s="198"/>
      <c r="K10424" s="1307"/>
      <c r="L10424" s="1335"/>
      <c r="M10424" s="1723"/>
      <c r="N10424" s="1718"/>
      <c r="O10424" s="1719"/>
      <c r="P10424" s="1720"/>
      <c r="Q10424" s="3396"/>
      <c r="R10424" s="2337"/>
    </row>
    <row r="10425" spans="1:18">
      <c r="B10425" s="553"/>
      <c r="C10425" s="1042"/>
      <c r="D10425" s="1404"/>
      <c r="E10425" s="1858"/>
      <c r="F10425" s="1465" t="s">
        <v>2</v>
      </c>
      <c r="G10425" s="1362"/>
      <c r="H10425" s="1362"/>
      <c r="I10425" s="1381"/>
      <c r="J10425" s="1381"/>
      <c r="K10425" s="1359"/>
      <c r="L10425" s="1458"/>
      <c r="M10425" s="1498"/>
      <c r="N10425" s="1498"/>
      <c r="O10425" s="1498"/>
      <c r="P10425" s="1359"/>
      <c r="Q10425" s="3387"/>
      <c r="R10425" s="3881"/>
    </row>
    <row r="10426" spans="1:18">
      <c r="A10426" s="1042"/>
      <c r="B10426" s="1042"/>
      <c r="C10426" s="3864" t="s">
        <v>1523</v>
      </c>
      <c r="D10426" s="3865"/>
      <c r="E10426" s="2128" t="s">
        <v>1508</v>
      </c>
      <c r="F10426" s="2248" t="s">
        <v>1524</v>
      </c>
      <c r="G10426" s="1338"/>
      <c r="H10426" s="1344">
        <v>0.35</v>
      </c>
      <c r="I10426" s="1388"/>
      <c r="J10426" s="1366"/>
      <c r="K10426" s="1448"/>
      <c r="L10426" s="1457"/>
      <c r="M10426" s="1503"/>
      <c r="N10426" s="1447">
        <f>SUM(N10427:N10428)</f>
        <v>37.510000000000005</v>
      </c>
      <c r="O10426" s="1447">
        <f>SUM(O10427:O10428)</f>
        <v>13.128499999999999</v>
      </c>
      <c r="P10426" s="1447">
        <f>SUM(P10427:P10428)</f>
        <v>34.987452500000003</v>
      </c>
      <c r="Q10426" s="3391"/>
    </row>
    <row r="10427" spans="1:18">
      <c r="A10427" s="1042"/>
      <c r="B10427" s="1042"/>
      <c r="C10427" s="18"/>
      <c r="D10427" s="1402" t="s">
        <v>1067</v>
      </c>
      <c r="E10427" s="1857" t="s">
        <v>1508</v>
      </c>
      <c r="F10427" s="1403" t="s">
        <v>5</v>
      </c>
      <c r="G10427" s="1362">
        <v>1</v>
      </c>
      <c r="H10427" s="1359">
        <f>H10426*G10427</f>
        <v>0.35</v>
      </c>
      <c r="I10427" s="198"/>
      <c r="J10427" s="6"/>
      <c r="K10427" s="1307">
        <f>H10427*K10411</f>
        <v>0.93274999999999997</v>
      </c>
      <c r="L10427" s="1335">
        <f t="shared" ref="L10427:L10428" si="1382">K10427*$K$10256</f>
        <v>0.93274999999999997</v>
      </c>
      <c r="M10427" s="1499">
        <v>18.28</v>
      </c>
      <c r="N10427" s="1724">
        <f>G10427*M10427</f>
        <v>18.28</v>
      </c>
      <c r="O10427" s="1290">
        <f>H10427*M10427</f>
        <v>6.3979999999999997</v>
      </c>
      <c r="P10427" s="1332">
        <f>M10427*K10427</f>
        <v>17.05067</v>
      </c>
      <c r="Q10427" s="3391"/>
    </row>
    <row r="10428" spans="1:18">
      <c r="A10428" s="1042"/>
      <c r="B10428" s="1042"/>
      <c r="C10428" s="1042"/>
      <c r="D10428" s="1402" t="s">
        <v>1077</v>
      </c>
      <c r="E10428" s="1857" t="s">
        <v>1508</v>
      </c>
      <c r="F10428" s="1403" t="s">
        <v>37</v>
      </c>
      <c r="G10428" s="1362">
        <v>1</v>
      </c>
      <c r="H10428" s="1359">
        <f>H10426*G10428</f>
        <v>0.35</v>
      </c>
      <c r="I10428" s="198"/>
      <c r="J10428" s="6"/>
      <c r="K10428" s="1307">
        <f>H10428*K10411</f>
        <v>0.93274999999999997</v>
      </c>
      <c r="L10428" s="1335">
        <f t="shared" si="1382"/>
        <v>0.93274999999999997</v>
      </c>
      <c r="M10428" s="1499">
        <v>19.23</v>
      </c>
      <c r="N10428" s="1724">
        <f>G10428*M10428</f>
        <v>19.23</v>
      </c>
      <c r="O10428" s="1290">
        <f>H10428*M10428</f>
        <v>6.7305000000000001</v>
      </c>
      <c r="P10428" s="1332">
        <f>M10428*K10428</f>
        <v>17.9367825</v>
      </c>
      <c r="Q10428" s="3391"/>
    </row>
    <row r="10429" spans="1:18">
      <c r="A10429" s="1042"/>
      <c r="B10429" s="553"/>
      <c r="C10429" s="1042"/>
      <c r="D10429" s="3860"/>
      <c r="E10429" s="3851"/>
      <c r="F10429" s="1766"/>
      <c r="G10429" s="3897"/>
      <c r="H10429" s="3246"/>
      <c r="I10429" s="197"/>
      <c r="J10429" s="3862"/>
      <c r="K10429" s="1307"/>
      <c r="L10429" s="1335"/>
      <c r="M10429" s="3852"/>
      <c r="N10429" s="1724"/>
      <c r="O10429" s="1290"/>
      <c r="P10429" s="3850"/>
      <c r="Q10429" s="3391"/>
    </row>
    <row r="10430" spans="1:18">
      <c r="A10430" s="1320"/>
      <c r="B10430" s="1599"/>
      <c r="C10430" s="1320"/>
      <c r="D10430" s="1411"/>
      <c r="E10430" s="2123"/>
      <c r="F10430" s="1374" t="s">
        <v>3</v>
      </c>
      <c r="G10430" s="1375"/>
      <c r="H10430" s="1376"/>
      <c r="I10430" s="1382"/>
      <c r="J10430" s="1383"/>
      <c r="K10430" s="1383"/>
      <c r="L10430" s="1413"/>
      <c r="M10430" s="1376"/>
      <c r="N10430" s="1376"/>
      <c r="O10430" s="1376"/>
      <c r="P10430" s="1373"/>
      <c r="Q10430" s="3387"/>
    </row>
    <row r="10431" spans="1:18">
      <c r="A10431" s="1321"/>
      <c r="B10431" s="2053"/>
      <c r="C10431" s="1321"/>
      <c r="D10431" s="1412"/>
      <c r="E10431" s="2124"/>
      <c r="F10431" s="1378"/>
      <c r="G10431" s="2200"/>
      <c r="H10431" s="3955"/>
      <c r="I10431" s="3938"/>
      <c r="J10431" s="3939"/>
      <c r="K10431" s="3940"/>
      <c r="L10431" s="3941"/>
      <c r="M10431" s="3918"/>
      <c r="N10431" s="3918"/>
      <c r="O10431" s="3942"/>
      <c r="P10431" s="3919"/>
      <c r="Q10431" s="3391"/>
    </row>
    <row r="10432" spans="1:18">
      <c r="A10432" s="1321"/>
      <c r="B10432" s="2053"/>
      <c r="C10432" s="1321"/>
      <c r="D10432" s="1412"/>
      <c r="E10432" s="2124"/>
      <c r="F10432" s="1378"/>
      <c r="G10432" s="1378"/>
      <c r="H10432" s="3955"/>
      <c r="I10432" s="3938"/>
      <c r="J10432" s="3939"/>
      <c r="K10432" s="3940"/>
      <c r="L10432" s="3941"/>
      <c r="M10432" s="3918"/>
      <c r="N10432" s="3918"/>
      <c r="O10432" s="3942"/>
      <c r="P10432" s="3919"/>
      <c r="Q10432" s="3391"/>
    </row>
    <row r="10433" spans="1:18">
      <c r="A10433" s="1042"/>
      <c r="B10433" s="1599"/>
      <c r="C10433" s="1042"/>
      <c r="D10433" s="1695"/>
      <c r="E10433" s="2278"/>
      <c r="F10433" s="2279"/>
      <c r="G10433" s="2279"/>
      <c r="H10433" s="3956"/>
      <c r="I10433" s="3938"/>
      <c r="J10433" s="3939"/>
      <c r="K10433" s="3940"/>
      <c r="L10433" s="3941"/>
      <c r="M10433" s="3918"/>
      <c r="N10433" s="3918"/>
      <c r="O10433" s="3942"/>
      <c r="P10433" s="3919"/>
      <c r="Q10433" s="3391"/>
    </row>
    <row r="10434" spans="1:18">
      <c r="A10434" s="1042"/>
      <c r="B10434" s="1599"/>
      <c r="C10434" s="554"/>
      <c r="D10434" s="3890"/>
      <c r="E10434" s="3891"/>
      <c r="F10434" s="3892"/>
      <c r="G10434" s="3892"/>
      <c r="H10434" s="3956"/>
      <c r="I10434" s="3938"/>
      <c r="J10434" s="3939"/>
      <c r="K10434" s="3940"/>
      <c r="L10434" s="3941"/>
      <c r="M10434" s="3918"/>
      <c r="N10434" s="3918"/>
      <c r="O10434" s="3942"/>
      <c r="P10434" s="3919"/>
      <c r="Q10434" s="3391"/>
    </row>
    <row r="10435" spans="1:18">
      <c r="A10435" s="18" t="s">
        <v>3764</v>
      </c>
      <c r="B10435" s="4370" t="s">
        <v>3728</v>
      </c>
      <c r="C10435" s="3877"/>
      <c r="D10435" s="4371"/>
      <c r="E10435" s="4545" t="s">
        <v>1527</v>
      </c>
      <c r="F10435" s="4414" t="s">
        <v>3729</v>
      </c>
      <c r="G10435" s="4425" t="s">
        <v>1568</v>
      </c>
      <c r="H10435" s="4425" t="s">
        <v>1574</v>
      </c>
      <c r="I10435" s="1572" t="s">
        <v>1559</v>
      </c>
      <c r="J10435" s="1294" t="s">
        <v>1560</v>
      </c>
      <c r="K10435" s="1294" t="s">
        <v>1569</v>
      </c>
      <c r="L10435" s="4546" t="s">
        <v>3765</v>
      </c>
      <c r="M10435" s="4547" t="s">
        <v>1571</v>
      </c>
      <c r="N10435" s="4547" t="s">
        <v>1776</v>
      </c>
      <c r="O10435" s="3876" t="s">
        <v>1563</v>
      </c>
      <c r="P10435" s="1336" t="s">
        <v>1562</v>
      </c>
      <c r="Q10435" s="3389"/>
      <c r="R10435" s="1699" t="s">
        <v>1327</v>
      </c>
    </row>
    <row r="10436" spans="1:18">
      <c r="A10436" s="1662" t="s">
        <v>3708</v>
      </c>
      <c r="B10436" s="4326"/>
      <c r="C10436" s="3879"/>
      <c r="D10436" s="4328"/>
      <c r="E10436" s="4330"/>
      <c r="F10436" s="4363"/>
      <c r="G10436" s="4332"/>
      <c r="H10436" s="4332"/>
      <c r="I10436" s="1306">
        <v>21.34</v>
      </c>
      <c r="J10436" s="1307">
        <v>0.25</v>
      </c>
      <c r="K10436" s="1297">
        <f>I10436*J10436</f>
        <v>5.335</v>
      </c>
      <c r="L10436" s="4334"/>
      <c r="M10436" s="4324"/>
      <c r="N10436" s="4324"/>
      <c r="O10436" s="1298">
        <f>O10438+O10439+O10440+O10441+O10443+O10444</f>
        <v>39.048400000000001</v>
      </c>
      <c r="P10436" s="1337">
        <f>O10436*K10436</f>
        <v>208.32321400000001</v>
      </c>
      <c r="Q10436" s="3390"/>
      <c r="R10436" s="1721">
        <f>P10438+P10439+P10440+P10441+P10443+P10444</f>
        <v>208.32321400000001</v>
      </c>
    </row>
    <row r="10437" spans="1:18">
      <c r="A10437" s="1320"/>
      <c r="B10437" s="1599"/>
      <c r="C10437" s="1327"/>
      <c r="D10437" s="1400"/>
      <c r="E10437" s="2121"/>
      <c r="F10437" s="1389" t="s">
        <v>1</v>
      </c>
      <c r="G10437" s="1389"/>
      <c r="H10437" s="3853"/>
      <c r="I10437" s="1409"/>
      <c r="J10437" s="1390"/>
      <c r="K10437" s="1391"/>
      <c r="L10437" s="1559"/>
      <c r="M10437" s="1369"/>
      <c r="N10437" s="1369"/>
      <c r="O10437" s="1369"/>
      <c r="P10437" s="1392"/>
      <c r="Q10437" s="3395"/>
    </row>
    <row r="10438" spans="1:18">
      <c r="A10438" s="1320"/>
      <c r="B10438" s="1599"/>
      <c r="C10438" s="1042"/>
      <c r="D10438" s="1400" t="s">
        <v>1194</v>
      </c>
      <c r="E10438" s="1856" t="s">
        <v>1357</v>
      </c>
      <c r="F10438" s="1397" t="s">
        <v>2122</v>
      </c>
      <c r="G10438" s="1988">
        <v>2.11</v>
      </c>
      <c r="H10438" s="3853"/>
      <c r="I10438" s="1289"/>
      <c r="J10438" s="2027"/>
      <c r="K10438" s="1307">
        <f>G10438*K10436</f>
        <v>11.25685</v>
      </c>
      <c r="L10438" s="1335">
        <f t="shared" ref="L10438:L10441" si="1383">K10438*$K$10256</f>
        <v>11.25685</v>
      </c>
      <c r="M10438" s="1302">
        <v>1.24</v>
      </c>
      <c r="N10438" s="1718"/>
      <c r="O10438" s="1290">
        <f t="shared" ref="O10438:O10440" si="1384">G10438*M10438</f>
        <v>2.6163999999999996</v>
      </c>
      <c r="P10438" s="1332">
        <f>M10438*K10438</f>
        <v>13.958494</v>
      </c>
      <c r="Q10438" s="3395"/>
    </row>
    <row r="10439" spans="1:18">
      <c r="A10439" s="1320"/>
      <c r="B10439" s="1599"/>
      <c r="C10439" s="553"/>
      <c r="D10439" s="3866" t="s">
        <v>1196</v>
      </c>
      <c r="E10439" s="3867" t="s">
        <v>1357</v>
      </c>
      <c r="F10439" s="3868" t="s">
        <v>2714</v>
      </c>
      <c r="G10439" s="3931">
        <v>2.4</v>
      </c>
      <c r="H10439" s="3853"/>
      <c r="I10439" s="1289"/>
      <c r="J10439" s="2027"/>
      <c r="K10439" s="1307">
        <f>G10439*K10436</f>
        <v>12.804</v>
      </c>
      <c r="L10439" s="1335">
        <f t="shared" si="1383"/>
        <v>12.804</v>
      </c>
      <c r="M10439" s="3849">
        <v>1.66</v>
      </c>
      <c r="N10439" s="1718"/>
      <c r="O10439" s="1290">
        <f t="shared" si="1384"/>
        <v>3.9839999999999995</v>
      </c>
      <c r="P10439" s="1332">
        <f>M10439*K10439</f>
        <v>21.254639999999998</v>
      </c>
      <c r="Q10439" s="3395"/>
    </row>
    <row r="10440" spans="1:18">
      <c r="A10440" s="1320"/>
      <c r="B10440" s="1599"/>
      <c r="C10440" s="553"/>
      <c r="D10440" s="3866" t="s">
        <v>1097</v>
      </c>
      <c r="E10440" s="3867" t="s">
        <v>1504</v>
      </c>
      <c r="F10440" s="3868" t="s">
        <v>1632</v>
      </c>
      <c r="G10440" s="3931">
        <v>3</v>
      </c>
      <c r="H10440" s="3853"/>
      <c r="I10440" s="1289"/>
      <c r="J10440" s="2027"/>
      <c r="K10440" s="1307">
        <f>G10440*K10436</f>
        <v>16.004999999999999</v>
      </c>
      <c r="L10440" s="1335">
        <f t="shared" si="1383"/>
        <v>16.004999999999999</v>
      </c>
      <c r="M10440" s="3849">
        <v>0.55000000000000004</v>
      </c>
      <c r="N10440" s="1718"/>
      <c r="O10440" s="1290">
        <f t="shared" si="1384"/>
        <v>1.6500000000000001</v>
      </c>
      <c r="P10440" s="1332">
        <f>M10440*K10440</f>
        <v>8.8027499999999996</v>
      </c>
      <c r="Q10440" s="3395"/>
    </row>
    <row r="10441" spans="1:18">
      <c r="A10441" s="1042"/>
      <c r="B10441" s="1599"/>
      <c r="C10441" s="1042"/>
      <c r="D10441" s="1400" t="s">
        <v>1082</v>
      </c>
      <c r="E10441" s="2121" t="s">
        <v>1504</v>
      </c>
      <c r="F10441" s="1436" t="s">
        <v>1541</v>
      </c>
      <c r="G10441" s="2088">
        <v>2</v>
      </c>
      <c r="H10441" s="1369"/>
      <c r="I10441" s="1299"/>
      <c r="J10441" s="1300"/>
      <c r="K10441" s="1307">
        <f>G10441*K10436</f>
        <v>10.67</v>
      </c>
      <c r="L10441" s="1335">
        <f t="shared" si="1383"/>
        <v>10.67</v>
      </c>
      <c r="M10441" s="1302">
        <v>0.3</v>
      </c>
      <c r="N10441" s="1700"/>
      <c r="O10441" s="1290">
        <f t="shared" ref="O10441" si="1385">G10441*M10441</f>
        <v>0.6</v>
      </c>
      <c r="P10441" s="1332">
        <f>M10441*K10441</f>
        <v>3.2010000000000001</v>
      </c>
      <c r="Q10441" s="3391"/>
    </row>
    <row r="10442" spans="1:18">
      <c r="A10442" s="1042"/>
      <c r="B10442" s="1599"/>
      <c r="C10442" s="1042"/>
      <c r="D10442" s="3863"/>
      <c r="E10442" s="1858"/>
      <c r="F10442" s="1360" t="s">
        <v>2</v>
      </c>
      <c r="G10442" s="1360"/>
      <c r="H10442" s="1362"/>
      <c r="I10442" s="1380"/>
      <c r="J10442" s="1381"/>
      <c r="K10442" s="1381"/>
      <c r="L10442" s="1458"/>
      <c r="M10442" s="1362"/>
      <c r="N10442" s="1362"/>
      <c r="O10442" s="1362"/>
      <c r="P10442" s="1359"/>
      <c r="Q10442" s="3387"/>
    </row>
    <row r="10443" spans="1:18">
      <c r="A10443" s="1042"/>
      <c r="B10443" s="1599"/>
      <c r="C10443" s="553"/>
      <c r="D10443" s="3871" t="s">
        <v>1111</v>
      </c>
      <c r="E10443" s="3872" t="s">
        <v>1508</v>
      </c>
      <c r="F10443" s="3873" t="s">
        <v>2069</v>
      </c>
      <c r="G10443" s="3874">
        <v>0.4</v>
      </c>
      <c r="H10443" s="3870"/>
      <c r="I10443" s="1299"/>
      <c r="J10443" s="1300"/>
      <c r="K10443" s="1307">
        <f>G10443*K10436</f>
        <v>2.1339999999999999</v>
      </c>
      <c r="L10443" s="1335"/>
      <c r="M10443" s="1302">
        <v>19.23</v>
      </c>
      <c r="N10443" s="1724"/>
      <c r="O10443" s="1290">
        <f t="shared" ref="O10443" si="1386">G10443*M10443</f>
        <v>7.6920000000000002</v>
      </c>
      <c r="P10443" s="1332">
        <f>M10443*K10443</f>
        <v>41.036819999999999</v>
      </c>
      <c r="Q10443" s="3387"/>
    </row>
    <row r="10444" spans="1:18">
      <c r="A10444" s="1042"/>
      <c r="B10444" s="1042"/>
      <c r="C10444" s="3864" t="s">
        <v>1523</v>
      </c>
      <c r="D10444" s="3865"/>
      <c r="E10444" s="2128" t="s">
        <v>1508</v>
      </c>
      <c r="F10444" s="2248" t="s">
        <v>1524</v>
      </c>
      <c r="G10444" s="1338"/>
      <c r="H10444" s="1344">
        <v>0.6</v>
      </c>
      <c r="I10444" s="1388"/>
      <c r="J10444" s="1366"/>
      <c r="K10444" s="1448"/>
      <c r="L10444" s="1457"/>
      <c r="M10444" s="1503"/>
      <c r="N10444" s="1447">
        <f>SUM(N10445:N10446)</f>
        <v>37.510000000000005</v>
      </c>
      <c r="O10444" s="1447">
        <f>SUM(O10445:O10446)</f>
        <v>22.506</v>
      </c>
      <c r="P10444" s="1447">
        <f>SUM(P10445:P10446)</f>
        <v>120.06951000000001</v>
      </c>
      <c r="Q10444" s="3391"/>
    </row>
    <row r="10445" spans="1:18">
      <c r="A10445" s="1042"/>
      <c r="B10445" s="1042"/>
      <c r="C10445" s="18"/>
      <c r="D10445" s="1402" t="s">
        <v>1067</v>
      </c>
      <c r="E10445" s="1857" t="s">
        <v>1508</v>
      </c>
      <c r="F10445" s="1403" t="s">
        <v>5</v>
      </c>
      <c r="G10445" s="1362">
        <v>1</v>
      </c>
      <c r="H10445" s="1359">
        <f>H10444*G10445</f>
        <v>0.6</v>
      </c>
      <c r="I10445" s="198"/>
      <c r="J10445" s="6"/>
      <c r="K10445" s="1307">
        <f>H10445*K10436</f>
        <v>3.2010000000000001</v>
      </c>
      <c r="L10445" s="1335">
        <f t="shared" ref="L10445:L10446" si="1387">K10445*$K$10256</f>
        <v>3.2010000000000001</v>
      </c>
      <c r="M10445" s="1499">
        <v>18.28</v>
      </c>
      <c r="N10445" s="1724">
        <f>G10445*M10445</f>
        <v>18.28</v>
      </c>
      <c r="O10445" s="1290">
        <f>H10445*M10445</f>
        <v>10.968</v>
      </c>
      <c r="P10445" s="1332">
        <f>M10445*K10445</f>
        <v>58.514280000000007</v>
      </c>
      <c r="Q10445" s="3391"/>
    </row>
    <row r="10446" spans="1:18">
      <c r="A10446" s="1042"/>
      <c r="B10446" s="1042"/>
      <c r="C10446" s="1042"/>
      <c r="D10446" s="1402" t="s">
        <v>1077</v>
      </c>
      <c r="E10446" s="1857" t="s">
        <v>1508</v>
      </c>
      <c r="F10446" s="1403" t="s">
        <v>37</v>
      </c>
      <c r="G10446" s="1362">
        <v>1</v>
      </c>
      <c r="H10446" s="1359">
        <f>H10444*G10446</f>
        <v>0.6</v>
      </c>
      <c r="I10446" s="198"/>
      <c r="J10446" s="6"/>
      <c r="K10446" s="1307">
        <f>H10446*K10436</f>
        <v>3.2010000000000001</v>
      </c>
      <c r="L10446" s="1335">
        <f t="shared" si="1387"/>
        <v>3.2010000000000001</v>
      </c>
      <c r="M10446" s="1499">
        <v>19.23</v>
      </c>
      <c r="N10446" s="1724">
        <f>G10446*M10446</f>
        <v>19.23</v>
      </c>
      <c r="O10446" s="1290">
        <f>H10446*M10446</f>
        <v>11.538</v>
      </c>
      <c r="P10446" s="1332">
        <f>M10446*K10446</f>
        <v>61.555230000000002</v>
      </c>
      <c r="Q10446" s="3391"/>
    </row>
    <row r="10447" spans="1:18">
      <c r="A10447" s="1042"/>
      <c r="B10447" s="553"/>
      <c r="C10447" s="1042"/>
      <c r="D10447" s="3860"/>
      <c r="E10447" s="3851"/>
      <c r="F10447" s="1766"/>
      <c r="G10447" s="3861"/>
      <c r="H10447" s="3246"/>
      <c r="I10447" s="197"/>
      <c r="J10447" s="3862"/>
      <c r="K10447" s="1307"/>
      <c r="L10447" s="1335"/>
      <c r="M10447" s="3852"/>
      <c r="N10447" s="1724"/>
      <c r="O10447" s="1290"/>
      <c r="P10447" s="3850"/>
      <c r="Q10447" s="3391"/>
    </row>
    <row r="10448" spans="1:18">
      <c r="A10448" s="1320"/>
      <c r="B10448" s="1599"/>
      <c r="C10448" s="1320"/>
      <c r="D10448" s="1411"/>
      <c r="E10448" s="2123"/>
      <c r="F10448" s="1374" t="s">
        <v>3</v>
      </c>
      <c r="G10448" s="1375"/>
      <c r="H10448" s="1376"/>
      <c r="I10448" s="1382"/>
      <c r="J10448" s="1383"/>
      <c r="K10448" s="1383"/>
      <c r="L10448" s="1413"/>
      <c r="M10448" s="1376"/>
      <c r="N10448" s="1376"/>
      <c r="O10448" s="1376"/>
      <c r="P10448" s="1373"/>
      <c r="Q10448" s="3387"/>
    </row>
    <row r="10449" spans="1:18">
      <c r="A10449" s="1321"/>
      <c r="B10449" s="2053"/>
      <c r="C10449" s="1321"/>
      <c r="D10449" s="1412"/>
      <c r="E10449" s="2124"/>
      <c r="F10449" s="1378"/>
      <c r="G10449" s="2200"/>
      <c r="H10449" s="1379"/>
      <c r="I10449" s="1299"/>
      <c r="J10449" s="1300"/>
      <c r="K10449" s="1307"/>
      <c r="L10449" s="1335"/>
      <c r="M10449" s="1302"/>
      <c r="N10449" s="1700"/>
      <c r="O10449" s="1290"/>
      <c r="P10449" s="1332"/>
      <c r="Q10449" s="3391"/>
    </row>
    <row r="10450" spans="1:18">
      <c r="A10450" s="1321"/>
      <c r="B10450" s="2053"/>
      <c r="C10450" s="1321"/>
      <c r="D10450" s="1412"/>
      <c r="E10450" s="2124"/>
      <c r="F10450" s="1378"/>
      <c r="G10450" s="1378"/>
      <c r="H10450" s="1379"/>
      <c r="I10450" s="1299"/>
      <c r="J10450" s="1300"/>
      <c r="K10450" s="1307"/>
      <c r="L10450" s="1335"/>
      <c r="M10450" s="1302"/>
      <c r="N10450" s="1700"/>
      <c r="O10450" s="1290"/>
      <c r="P10450" s="1333"/>
      <c r="Q10450" s="3391"/>
    </row>
    <row r="10451" spans="1:18">
      <c r="A10451" s="1042"/>
      <c r="B10451" s="1599"/>
      <c r="C10451" s="1042"/>
      <c r="D10451" s="1695"/>
      <c r="E10451" s="2278"/>
      <c r="F10451" s="2279"/>
      <c r="G10451" s="2279"/>
      <c r="H10451" s="2264"/>
      <c r="I10451" s="2280"/>
      <c r="J10451" s="2281"/>
      <c r="K10451" s="2236"/>
      <c r="L10451" s="1594"/>
      <c r="M10451" s="2282"/>
      <c r="N10451" s="2283"/>
      <c r="O10451" s="2237"/>
      <c r="P10451" s="2238"/>
      <c r="Q10451" s="3391"/>
    </row>
    <row r="10452" spans="1:18">
      <c r="A10452" s="18" t="s">
        <v>3764</v>
      </c>
      <c r="B10452" s="4370" t="s">
        <v>3730</v>
      </c>
      <c r="C10452" s="3877"/>
      <c r="D10452" s="4371"/>
      <c r="E10452" s="4545" t="s">
        <v>1527</v>
      </c>
      <c r="F10452" s="4414" t="s">
        <v>3731</v>
      </c>
      <c r="G10452" s="4425" t="s">
        <v>1568</v>
      </c>
      <c r="H10452" s="4425" t="s">
        <v>1574</v>
      </c>
      <c r="I10452" s="1572" t="s">
        <v>1559</v>
      </c>
      <c r="J10452" s="1294" t="s">
        <v>1560</v>
      </c>
      <c r="K10452" s="1294" t="s">
        <v>1569</v>
      </c>
      <c r="L10452" s="4546" t="s">
        <v>3765</v>
      </c>
      <c r="M10452" s="4547" t="s">
        <v>1571</v>
      </c>
      <c r="N10452" s="4547" t="s">
        <v>1776</v>
      </c>
      <c r="O10452" s="3876" t="s">
        <v>1563</v>
      </c>
      <c r="P10452" s="1336" t="s">
        <v>1562</v>
      </c>
      <c r="Q10452" s="3389"/>
      <c r="R10452" s="1699" t="s">
        <v>1327</v>
      </c>
    </row>
    <row r="10453" spans="1:18">
      <c r="A10453" s="1662" t="s">
        <v>3708</v>
      </c>
      <c r="B10453" s="4326"/>
      <c r="C10453" s="3879"/>
      <c r="D10453" s="4328"/>
      <c r="E10453" s="4330"/>
      <c r="F10453" s="4363"/>
      <c r="G10453" s="4332"/>
      <c r="H10453" s="4332"/>
      <c r="I10453" s="1306">
        <v>21.34</v>
      </c>
      <c r="J10453" s="1307">
        <v>0.25</v>
      </c>
      <c r="K10453" s="1297">
        <f>I10453*J10453</f>
        <v>5.335</v>
      </c>
      <c r="L10453" s="4334"/>
      <c r="M10453" s="4324"/>
      <c r="N10453" s="4324"/>
      <c r="O10453" s="1298">
        <f>O10455+O10456+O10457+O10459</f>
        <v>19.622800000000002</v>
      </c>
      <c r="P10453" s="1337">
        <f>O10453*K10453</f>
        <v>104.68763800000001</v>
      </c>
      <c r="Q10453" s="3390"/>
      <c r="R10453" s="1721">
        <f>P10455+P10456+P10457+P10459</f>
        <v>104.68763799999999</v>
      </c>
    </row>
    <row r="10454" spans="1:18">
      <c r="A10454" s="1599"/>
      <c r="B10454" s="3928"/>
      <c r="C10454" s="3952"/>
      <c r="D10454" s="3912"/>
      <c r="E10454" s="2121"/>
      <c r="F10454" s="1389" t="s">
        <v>1</v>
      </c>
      <c r="G10454" s="1389"/>
      <c r="H10454" s="3853"/>
      <c r="I10454" s="1409"/>
      <c r="J10454" s="1390"/>
      <c r="K10454" s="1391"/>
      <c r="L10454" s="1559"/>
      <c r="M10454" s="1369"/>
      <c r="N10454" s="1369"/>
      <c r="O10454" s="1369"/>
      <c r="P10454" s="1392"/>
      <c r="Q10454" s="3395"/>
    </row>
    <row r="10455" spans="1:18">
      <c r="A10455" s="1599"/>
      <c r="B10455" s="1599"/>
      <c r="C10455" s="1042"/>
      <c r="D10455" s="3912" t="s">
        <v>1196</v>
      </c>
      <c r="E10455" s="1856" t="s">
        <v>1357</v>
      </c>
      <c r="F10455" s="1397" t="s">
        <v>2714</v>
      </c>
      <c r="G10455" s="1988">
        <v>4.53</v>
      </c>
      <c r="H10455" s="3853"/>
      <c r="I10455" s="1289"/>
      <c r="J10455" s="2027"/>
      <c r="K10455" s="1307">
        <f>G10455*K10453</f>
        <v>24.167550000000002</v>
      </c>
      <c r="L10455" s="1335">
        <f t="shared" ref="L10455:L10457" si="1388">K10455*$K$10256</f>
        <v>24.167550000000002</v>
      </c>
      <c r="M10455" s="1302">
        <v>1.66</v>
      </c>
      <c r="N10455" s="1718"/>
      <c r="O10455" s="1290">
        <f t="shared" ref="O10455:O10457" si="1389">G10455*M10455</f>
        <v>7.5198</v>
      </c>
      <c r="P10455" s="1332">
        <f>M10455*K10455</f>
        <v>40.118133</v>
      </c>
      <c r="Q10455" s="3395"/>
    </row>
    <row r="10456" spans="1:18">
      <c r="A10456" s="1599"/>
      <c r="B10456" s="1599"/>
      <c r="C10456" s="1042"/>
      <c r="D10456" s="3948" t="s">
        <v>1097</v>
      </c>
      <c r="E10456" s="3867" t="s">
        <v>1504</v>
      </c>
      <c r="F10456" s="3868" t="s">
        <v>1632</v>
      </c>
      <c r="G10456" s="3931">
        <v>1</v>
      </c>
      <c r="H10456" s="3853"/>
      <c r="I10456" s="1289"/>
      <c r="J10456" s="2027"/>
      <c r="K10456" s="1307">
        <f>G10456*K10453</f>
        <v>5.335</v>
      </c>
      <c r="L10456" s="1335">
        <f t="shared" si="1388"/>
        <v>5.335</v>
      </c>
      <c r="M10456" s="3849">
        <v>0.55000000000000004</v>
      </c>
      <c r="N10456" s="1718"/>
      <c r="O10456" s="1290">
        <f t="shared" si="1389"/>
        <v>0.55000000000000004</v>
      </c>
      <c r="P10456" s="1332">
        <f>M10456*K10456</f>
        <v>2.93425</v>
      </c>
      <c r="Q10456" s="3395"/>
    </row>
    <row r="10457" spans="1:18">
      <c r="A10457" s="1599"/>
      <c r="B10457" s="1599"/>
      <c r="C10457" s="1042"/>
      <c r="D10457" s="3948" t="s">
        <v>1082</v>
      </c>
      <c r="E10457" s="3867" t="s">
        <v>1504</v>
      </c>
      <c r="F10457" s="3868" t="s">
        <v>1541</v>
      </c>
      <c r="G10457" s="3931">
        <v>1</v>
      </c>
      <c r="H10457" s="3853"/>
      <c r="I10457" s="1289"/>
      <c r="J10457" s="2027"/>
      <c r="K10457" s="1307">
        <f>G10457*K10453</f>
        <v>5.335</v>
      </c>
      <c r="L10457" s="1335">
        <f t="shared" si="1388"/>
        <v>5.335</v>
      </c>
      <c r="M10457" s="3849">
        <v>0.3</v>
      </c>
      <c r="N10457" s="1718"/>
      <c r="O10457" s="1290">
        <f t="shared" si="1389"/>
        <v>0.3</v>
      </c>
      <c r="P10457" s="1332">
        <f>M10457*K10457</f>
        <v>1.6005</v>
      </c>
      <c r="Q10457" s="3395"/>
    </row>
    <row r="10458" spans="1:18">
      <c r="A10458" s="553"/>
      <c r="B10458" s="1599"/>
      <c r="C10458" s="1042"/>
      <c r="D10458" s="3949"/>
      <c r="E10458" s="1858"/>
      <c r="F10458" s="1360" t="s">
        <v>2</v>
      </c>
      <c r="G10458" s="1360"/>
      <c r="H10458" s="1362"/>
      <c r="I10458" s="1380"/>
      <c r="J10458" s="1381"/>
      <c r="K10458" s="1381"/>
      <c r="L10458" s="1458"/>
      <c r="M10458" s="1362"/>
      <c r="N10458" s="1362"/>
      <c r="O10458" s="1362"/>
      <c r="P10458" s="1359"/>
      <c r="Q10458" s="3387"/>
    </row>
    <row r="10459" spans="1:18">
      <c r="A10459" s="553"/>
      <c r="B10459" s="1042"/>
      <c r="C10459" s="3953" t="s">
        <v>1523</v>
      </c>
      <c r="D10459" s="3950"/>
      <c r="E10459" s="2128" t="s">
        <v>1508</v>
      </c>
      <c r="F10459" s="2248" t="s">
        <v>1524</v>
      </c>
      <c r="G10459" s="1338"/>
      <c r="H10459" s="1344">
        <v>0.3</v>
      </c>
      <c r="I10459" s="1388"/>
      <c r="J10459" s="1366"/>
      <c r="K10459" s="1448"/>
      <c r="L10459" s="1457"/>
      <c r="M10459" s="1503"/>
      <c r="N10459" s="1447">
        <f>SUM(N10460:N10461)</f>
        <v>37.510000000000005</v>
      </c>
      <c r="O10459" s="1447">
        <f>SUM(O10460:O10461)</f>
        <v>11.253</v>
      </c>
      <c r="P10459" s="1447">
        <f>SUM(P10460:P10461)</f>
        <v>60.034755000000004</v>
      </c>
      <c r="Q10459" s="3391"/>
    </row>
    <row r="10460" spans="1:18">
      <c r="A10460" s="553"/>
      <c r="B10460" s="1042"/>
      <c r="C10460" s="3954"/>
      <c r="D10460" s="3951" t="s">
        <v>1067</v>
      </c>
      <c r="E10460" s="1857" t="s">
        <v>1508</v>
      </c>
      <c r="F10460" s="1403" t="s">
        <v>5</v>
      </c>
      <c r="G10460" s="1362">
        <v>1</v>
      </c>
      <c r="H10460" s="1359">
        <f>H10459*G10460</f>
        <v>0.3</v>
      </c>
      <c r="I10460" s="198"/>
      <c r="J10460" s="6"/>
      <c r="K10460" s="1307">
        <f>H10460*K10453</f>
        <v>1.6005</v>
      </c>
      <c r="L10460" s="1335">
        <f t="shared" ref="L10460:L10461" si="1390">K10460*$K$10256</f>
        <v>1.6005</v>
      </c>
      <c r="M10460" s="1499">
        <v>18.28</v>
      </c>
      <c r="N10460" s="1724">
        <f>G10460*M10460</f>
        <v>18.28</v>
      </c>
      <c r="O10460" s="1290">
        <f>H10460*M10460</f>
        <v>5.484</v>
      </c>
      <c r="P10460" s="1332">
        <f>M10460*K10460</f>
        <v>29.257140000000003</v>
      </c>
      <c r="Q10460" s="3391"/>
    </row>
    <row r="10461" spans="1:18">
      <c r="A10461" s="553"/>
      <c r="B10461" s="1042"/>
      <c r="C10461" s="1042"/>
      <c r="D10461" s="3951" t="s">
        <v>1077</v>
      </c>
      <c r="E10461" s="1857" t="s">
        <v>1508</v>
      </c>
      <c r="F10461" s="1403" t="s">
        <v>37</v>
      </c>
      <c r="G10461" s="1362">
        <v>1</v>
      </c>
      <c r="H10461" s="1359">
        <f>H10459*G10461</f>
        <v>0.3</v>
      </c>
      <c r="I10461" s="198"/>
      <c r="J10461" s="6"/>
      <c r="K10461" s="1307">
        <f>H10461*K10453</f>
        <v>1.6005</v>
      </c>
      <c r="L10461" s="1335">
        <f t="shared" si="1390"/>
        <v>1.6005</v>
      </c>
      <c r="M10461" s="1499">
        <v>19.23</v>
      </c>
      <c r="N10461" s="1724">
        <f>G10461*M10461</f>
        <v>19.23</v>
      </c>
      <c r="O10461" s="1290">
        <f>H10461*M10461</f>
        <v>5.7690000000000001</v>
      </c>
      <c r="P10461" s="1332">
        <f>M10461*K10461</f>
        <v>30.777615000000001</v>
      </c>
      <c r="Q10461" s="3391"/>
    </row>
    <row r="10462" spans="1:18">
      <c r="A10462" s="553"/>
      <c r="B10462" s="553"/>
      <c r="C10462" s="1042"/>
      <c r="D10462" s="3951"/>
      <c r="E10462" s="3851"/>
      <c r="F10462" s="1766"/>
      <c r="G10462" s="3861"/>
      <c r="H10462" s="3246"/>
      <c r="I10462" s="197"/>
      <c r="J10462" s="3862"/>
      <c r="K10462" s="1307"/>
      <c r="L10462" s="1335"/>
      <c r="M10462" s="3852"/>
      <c r="N10462" s="1724"/>
      <c r="O10462" s="1290"/>
      <c r="P10462" s="3850"/>
      <c r="Q10462" s="3391"/>
    </row>
    <row r="10463" spans="1:18">
      <c r="A10463" s="1599"/>
      <c r="B10463" s="1599"/>
      <c r="C10463" s="1320"/>
      <c r="D10463" s="3947"/>
      <c r="E10463" s="2123"/>
      <c r="F10463" s="1374" t="s">
        <v>3</v>
      </c>
      <c r="G10463" s="1375"/>
      <c r="H10463" s="1376"/>
      <c r="I10463" s="1382"/>
      <c r="J10463" s="1383"/>
      <c r="K10463" s="1383"/>
      <c r="L10463" s="1413"/>
      <c r="M10463" s="1376"/>
      <c r="N10463" s="1376"/>
      <c r="O10463" s="1376"/>
      <c r="P10463" s="1373"/>
      <c r="Q10463" s="3387"/>
    </row>
    <row r="10464" spans="1:18">
      <c r="A10464" s="2053"/>
      <c r="B10464" s="1321"/>
      <c r="C10464" s="2021"/>
      <c r="D10464" s="3932"/>
      <c r="E10464" s="3933"/>
      <c r="F10464" s="1478"/>
      <c r="G10464" s="3934"/>
      <c r="H10464" s="1481"/>
      <c r="I10464" s="2280"/>
      <c r="J10464" s="3894"/>
      <c r="K10464" s="2236"/>
      <c r="L10464" s="1594"/>
      <c r="M10464" s="3895"/>
      <c r="N10464" s="2283"/>
      <c r="O10464" s="2237"/>
      <c r="P10464" s="3896"/>
      <c r="Q10464" s="3391"/>
    </row>
    <row r="10465" spans="1:18">
      <c r="A10465" s="2053"/>
      <c r="B10465" s="1321"/>
      <c r="C10465" s="2021"/>
      <c r="D10465" s="3946"/>
      <c r="E10465" s="3936"/>
      <c r="F10465" s="3935"/>
      <c r="G10465" s="3935"/>
      <c r="H10465" s="3937"/>
      <c r="I10465" s="3938"/>
      <c r="J10465" s="3939"/>
      <c r="K10465" s="3940"/>
      <c r="L10465" s="3941"/>
      <c r="M10465" s="3918"/>
      <c r="N10465" s="3918"/>
      <c r="O10465" s="3942"/>
      <c r="P10465" s="3919"/>
      <c r="Q10465" s="3391"/>
    </row>
    <row r="10466" spans="1:18">
      <c r="A10466" s="553"/>
      <c r="B10466" s="225"/>
      <c r="C10466" s="581"/>
      <c r="D10466" s="3947"/>
      <c r="E10466" s="3943"/>
      <c r="F10466" s="3944"/>
      <c r="G10466" s="3944"/>
      <c r="H10466" s="3945"/>
      <c r="I10466" s="3938"/>
      <c r="J10466" s="3939"/>
      <c r="K10466" s="3940"/>
      <c r="L10466" s="3941"/>
      <c r="M10466" s="3918"/>
      <c r="N10466" s="3918"/>
      <c r="O10466" s="3942"/>
      <c r="P10466" s="3919"/>
      <c r="Q10466" s="3391"/>
    </row>
    <row r="10468" spans="1:18">
      <c r="A10468" s="4391"/>
      <c r="B10468" s="4392"/>
      <c r="C10468" s="4392"/>
      <c r="D10468" s="4392"/>
      <c r="E10468" s="1303" t="s">
        <v>1504</v>
      </c>
      <c r="F10468" s="1305" t="s">
        <v>3572</v>
      </c>
      <c r="G10468" s="1288"/>
      <c r="H10468" s="1288"/>
      <c r="I10468" s="1557"/>
      <c r="J10468" s="1288"/>
      <c r="K10468" s="1288"/>
      <c r="L10468" s="1557"/>
      <c r="M10468" s="1288"/>
      <c r="N10468" s="1288"/>
      <c r="O10468" s="1288"/>
      <c r="P10468" s="1283"/>
      <c r="Q10468" s="3386"/>
    </row>
    <row r="10469" spans="1:18">
      <c r="A10469" s="1304"/>
      <c r="B10469" s="1304"/>
      <c r="C10469" s="1304"/>
      <c r="D10469" s="1304"/>
      <c r="E10469" s="1304"/>
      <c r="F10469" s="1296"/>
      <c r="G10469" s="1296"/>
      <c r="H10469" s="1296"/>
      <c r="I10469" s="1558"/>
      <c r="J10469" s="1296"/>
      <c r="K10469" s="1296"/>
      <c r="L10469" s="1558"/>
      <c r="M10469" s="1296"/>
      <c r="N10469" s="1296"/>
      <c r="O10469" s="1296"/>
      <c r="P10469" s="1296"/>
      <c r="Q10469" s="3386"/>
    </row>
    <row r="10470" spans="1:18">
      <c r="A10470" s="4393" t="s">
        <v>162</v>
      </c>
      <c r="B10470" s="4394"/>
      <c r="C10470" s="4394"/>
      <c r="D10470" s="4395"/>
      <c r="E10470" s="4396" t="s">
        <v>1549</v>
      </c>
      <c r="F10470" s="4397" t="s">
        <v>1550</v>
      </c>
      <c r="G10470" s="4399" t="s">
        <v>1566</v>
      </c>
      <c r="H10470" s="4400"/>
      <c r="I10470" s="4400"/>
      <c r="J10470" s="4400"/>
      <c r="K10470" s="4400"/>
      <c r="L10470" s="4401"/>
      <c r="M10470" s="4405" t="s">
        <v>1567</v>
      </c>
      <c r="N10470" s="4405"/>
      <c r="O10470" s="4405"/>
      <c r="P10470" s="4405"/>
      <c r="Q10470" s="3395"/>
    </row>
    <row r="10471" spans="1:18" ht="15" thickBot="1">
      <c r="A10471" s="1324" t="s">
        <v>3766</v>
      </c>
      <c r="B10471" s="1325" t="s">
        <v>1513</v>
      </c>
      <c r="C10471" s="1326" t="s">
        <v>1573</v>
      </c>
      <c r="D10471" s="1323" t="s">
        <v>1514</v>
      </c>
      <c r="E10471" s="4396"/>
      <c r="F10471" s="4398"/>
      <c r="G10471" s="4402"/>
      <c r="H10471" s="4403"/>
      <c r="I10471" s="4403"/>
      <c r="J10471" s="4403"/>
      <c r="K10471" s="4403"/>
      <c r="L10471" s="4404"/>
      <c r="M10471" s="4405"/>
      <c r="N10471" s="4405"/>
      <c r="O10471" s="4405"/>
      <c r="P10471" s="4405"/>
      <c r="Q10471" s="3395"/>
    </row>
    <row r="10472" spans="1:18" ht="36.75" customHeight="1">
      <c r="A10472" s="4374" t="s">
        <v>3738</v>
      </c>
      <c r="B10472" s="4375"/>
      <c r="C10472" s="4375"/>
      <c r="D10472" s="4376"/>
      <c r="E10472" s="4380" t="s">
        <v>1504</v>
      </c>
      <c r="F10472" s="4382" t="s">
        <v>3735</v>
      </c>
      <c r="G10472" s="4406" t="s">
        <v>1549</v>
      </c>
      <c r="H10472" s="4407"/>
      <c r="I10472" s="1665" t="s">
        <v>1565</v>
      </c>
      <c r="J10472" s="3883" t="s">
        <v>1575</v>
      </c>
      <c r="K10472" s="4406" t="s">
        <v>289</v>
      </c>
      <c r="L10472" s="4407"/>
      <c r="M10472" s="4408" t="s">
        <v>3349</v>
      </c>
      <c r="N10472" s="4408"/>
      <c r="O10472" s="4408"/>
      <c r="P10472" s="4409"/>
      <c r="Q10472" s="4244" t="s">
        <v>3981</v>
      </c>
    </row>
    <row r="10473" spans="1:18" ht="22.5" customHeight="1" thickBot="1">
      <c r="A10473" s="4377"/>
      <c r="B10473" s="4378"/>
      <c r="C10473" s="4378"/>
      <c r="D10473" s="4379"/>
      <c r="E10473" s="4381"/>
      <c r="F10473" s="4383"/>
      <c r="G10473" s="4410">
        <f>IF('Seleccion proyecto HEREVEA02'!G71="Nueva instalación",'Seleccion proyecto HEREVEA02'!E71,0)</f>
        <v>0</v>
      </c>
      <c r="H10473" s="4411"/>
      <c r="I10473" s="3887">
        <f>IF('Seleccion proyecto HEREVEA02'!H71=0,0,IF('Seleccion proyecto HEREVEA02'!H71=100,1))</f>
        <v>0</v>
      </c>
      <c r="J10473" s="1351">
        <f>'Seleccion proyecto HEREVEA02'!L8</f>
        <v>11100.968999999999</v>
      </c>
      <c r="K10473" s="4412">
        <f>G10473*I10473</f>
        <v>0</v>
      </c>
      <c r="L10473" s="4413"/>
      <c r="M10473" s="4360">
        <f>P10537+P10556+P10577+P10592+P10612+P10633+P10475+P10490+P10506+P10521+P10648</f>
        <v>3396.6457150000006</v>
      </c>
      <c r="N10473" s="4361"/>
      <c r="O10473" s="4361"/>
      <c r="P10473" s="4362"/>
      <c r="Q10473" s="4245">
        <f>M10473*K10473</f>
        <v>0</v>
      </c>
    </row>
    <row r="10474" spans="1:18">
      <c r="A10474" s="18" t="s">
        <v>3764</v>
      </c>
      <c r="B10474" s="4325" t="s">
        <v>3815</v>
      </c>
      <c r="C10474" s="4063"/>
      <c r="D10474" s="4327"/>
      <c r="E10474" s="4329" t="s">
        <v>1504</v>
      </c>
      <c r="F10474" s="4336" t="s">
        <v>3819</v>
      </c>
      <c r="G10474" s="4331" t="s">
        <v>1568</v>
      </c>
      <c r="H10474" s="4331" t="s">
        <v>1574</v>
      </c>
      <c r="I10474" s="1572" t="s">
        <v>1559</v>
      </c>
      <c r="J10474" s="1294" t="s">
        <v>1560</v>
      </c>
      <c r="K10474" s="1294" t="s">
        <v>1569</v>
      </c>
      <c r="L10474" s="4333" t="s">
        <v>3765</v>
      </c>
      <c r="M10474" s="4335" t="s">
        <v>1571</v>
      </c>
      <c r="N10474" s="4323" t="s">
        <v>1776</v>
      </c>
      <c r="O10474" s="4060" t="s">
        <v>1563</v>
      </c>
      <c r="P10474" s="1336" t="s">
        <v>1562</v>
      </c>
      <c r="Q10474" s="3389"/>
      <c r="R10474" s="1699" t="s">
        <v>1327</v>
      </c>
    </row>
    <row r="10475" spans="1:18">
      <c r="A10475" s="1662" t="s">
        <v>3736</v>
      </c>
      <c r="B10475" s="4326"/>
      <c r="C10475" s="4062"/>
      <c r="D10475" s="4328"/>
      <c r="E10475" s="4330"/>
      <c r="F10475" s="4336"/>
      <c r="G10475" s="4332"/>
      <c r="H10475" s="4332"/>
      <c r="I10475" s="1345">
        <v>1</v>
      </c>
      <c r="J10475" s="1307">
        <v>1</v>
      </c>
      <c r="K10475" s="1297">
        <f>I10475*J10475</f>
        <v>1</v>
      </c>
      <c r="L10475" s="4334"/>
      <c r="M10475" s="4335"/>
      <c r="N10475" s="4324"/>
      <c r="O10475" s="1298">
        <f>SUM(O10477:O10488)</f>
        <v>8.5109999999999992</v>
      </c>
      <c r="P10475" s="1337">
        <f>O10475*K10475</f>
        <v>8.5109999999999992</v>
      </c>
      <c r="Q10475" s="3390"/>
      <c r="R10475" s="1721">
        <f>SUM(P10477:P10488)</f>
        <v>8.5109999999999992</v>
      </c>
    </row>
    <row r="10476" spans="1:18">
      <c r="A10476" s="1320"/>
      <c r="B10476" s="22"/>
      <c r="C10476" s="1327"/>
      <c r="D10476" s="1367"/>
      <c r="E10476" s="2121"/>
      <c r="F10476" s="1389" t="s">
        <v>1</v>
      </c>
      <c r="G10476" s="1389"/>
      <c r="H10476" s="1369"/>
      <c r="I10476" s="1409"/>
      <c r="J10476" s="1390"/>
      <c r="K10476" s="1391"/>
      <c r="L10476" s="1559"/>
      <c r="M10476" s="1369"/>
      <c r="N10476" s="1369"/>
      <c r="O10476" s="1369"/>
      <c r="P10476" s="1392"/>
      <c r="Q10476" s="3395"/>
    </row>
    <row r="10477" spans="1:18">
      <c r="A10477" s="1042"/>
      <c r="B10477" s="22"/>
      <c r="C10477" s="1042"/>
      <c r="D10477" s="3964"/>
      <c r="E10477" s="3965"/>
      <c r="F10477" s="3966"/>
      <c r="G10477" s="3970"/>
      <c r="H10477" s="1674"/>
      <c r="I10477" s="1299"/>
      <c r="J10477" s="1300"/>
      <c r="K10477" s="1307"/>
      <c r="L10477" s="1335"/>
      <c r="M10477" s="1302"/>
      <c r="N10477" s="1700"/>
      <c r="O10477" s="1290"/>
      <c r="P10477" s="1332"/>
      <c r="Q10477" s="3391"/>
    </row>
    <row r="10478" spans="1:18">
      <c r="A10478" s="1042"/>
      <c r="B10478" s="22"/>
      <c r="C10478" s="1042"/>
      <c r="D10478" s="3967"/>
      <c r="E10478" s="3968"/>
      <c r="F10478" s="3969"/>
      <c r="G10478" s="3971"/>
      <c r="H10478" s="3963"/>
      <c r="I10478" s="1299"/>
      <c r="J10478" s="3939"/>
      <c r="K10478" s="1307"/>
      <c r="L10478" s="1335"/>
      <c r="M10478" s="3918"/>
      <c r="N10478" s="1700"/>
      <c r="O10478" s="1290"/>
      <c r="P10478" s="1332"/>
      <c r="Q10478" s="3391"/>
    </row>
    <row r="10479" spans="1:18">
      <c r="A10479" s="1042"/>
      <c r="B10479" s="22"/>
      <c r="C10479" s="1042"/>
      <c r="D10479" s="3964"/>
      <c r="E10479" s="3965"/>
      <c r="F10479" s="3966"/>
      <c r="G10479" s="3970"/>
      <c r="H10479" s="1369"/>
      <c r="I10479" s="1299"/>
      <c r="J10479" s="1300"/>
      <c r="K10479" s="1307"/>
      <c r="L10479" s="1335"/>
      <c r="M10479" s="1302"/>
      <c r="N10479" s="1700"/>
      <c r="O10479" s="1290"/>
      <c r="P10479" s="1332"/>
      <c r="Q10479" s="3391"/>
    </row>
    <row r="10480" spans="1:18">
      <c r="A10480" s="1042"/>
      <c r="B10480" s="22"/>
      <c r="C10480" s="1042"/>
      <c r="D10480" s="3964"/>
      <c r="E10480" s="3965"/>
      <c r="F10480" s="3966"/>
      <c r="G10480" s="3970"/>
      <c r="H10480" s="1369"/>
      <c r="I10480" s="1299"/>
      <c r="J10480" s="1300"/>
      <c r="K10480" s="1307"/>
      <c r="L10480" s="1335"/>
      <c r="M10480" s="1302"/>
      <c r="N10480" s="1700"/>
      <c r="O10480" s="1290"/>
      <c r="P10480" s="1332"/>
      <c r="Q10480" s="3391"/>
    </row>
    <row r="10481" spans="1:18">
      <c r="A10481" s="1042"/>
      <c r="B10481" s="22"/>
      <c r="C10481" s="1042"/>
      <c r="D10481" s="1359"/>
      <c r="E10481" s="1858"/>
      <c r="F10481" s="1360" t="s">
        <v>2</v>
      </c>
      <c r="G10481" s="1360"/>
      <c r="H10481" s="1362"/>
      <c r="I10481" s="1380"/>
      <c r="J10481" s="1381"/>
      <c r="K10481" s="1381"/>
      <c r="L10481" s="1458"/>
      <c r="M10481" s="1362"/>
      <c r="N10481" s="1362"/>
      <c r="O10481" s="1362"/>
      <c r="P10481" s="1359"/>
      <c r="Q10481" s="3387"/>
    </row>
    <row r="10482" spans="1:18">
      <c r="A10482" s="553"/>
      <c r="B10482" s="1042"/>
      <c r="C10482" s="3954"/>
      <c r="D10482" s="3951" t="s">
        <v>1067</v>
      </c>
      <c r="E10482" s="1857" t="s">
        <v>1508</v>
      </c>
      <c r="F10482" s="1403" t="s">
        <v>5</v>
      </c>
      <c r="G10482" s="1362">
        <v>0.15</v>
      </c>
      <c r="H10482" s="1359"/>
      <c r="I10482" s="198"/>
      <c r="J10482" s="6"/>
      <c r="K10482" s="1307">
        <f>G10482*K10475</f>
        <v>0.15</v>
      </c>
      <c r="L10482" s="1335">
        <f>K10482*$K$10473</f>
        <v>0</v>
      </c>
      <c r="M10482" s="1499">
        <v>18.28</v>
      </c>
      <c r="N10482" s="1724"/>
      <c r="O10482" s="1290">
        <f>G10482*M10482</f>
        <v>2.742</v>
      </c>
      <c r="P10482" s="1332">
        <f>M10482*K10482</f>
        <v>2.742</v>
      </c>
      <c r="Q10482" s="3391"/>
    </row>
    <row r="10483" spans="1:18">
      <c r="A10483" s="553"/>
      <c r="B10483" s="1042"/>
      <c r="C10483" s="1042"/>
      <c r="D10483" s="3951" t="s">
        <v>1077</v>
      </c>
      <c r="E10483" s="1857" t="s">
        <v>1508</v>
      </c>
      <c r="F10483" s="1403" t="s">
        <v>37</v>
      </c>
      <c r="G10483" s="1362">
        <v>0.3</v>
      </c>
      <c r="H10483" s="1359"/>
      <c r="I10483" s="198"/>
      <c r="J10483" s="6"/>
      <c r="K10483" s="1307">
        <f>G10483*K10475</f>
        <v>0.3</v>
      </c>
      <c r="L10483" s="1335">
        <f>K10483*$K$10473</f>
        <v>0</v>
      </c>
      <c r="M10483" s="1499">
        <v>19.23</v>
      </c>
      <c r="N10483" s="1724"/>
      <c r="O10483" s="1290">
        <f>G10483*M10483</f>
        <v>5.7690000000000001</v>
      </c>
      <c r="P10483" s="1332">
        <f>M10483*K10483</f>
        <v>5.7690000000000001</v>
      </c>
      <c r="Q10483" s="3391"/>
    </row>
    <row r="10484" spans="1:18">
      <c r="A10484" s="1320"/>
      <c r="B10484" s="22"/>
      <c r="C10484" s="1320"/>
      <c r="D10484" s="1359"/>
      <c r="E10484" s="1858"/>
      <c r="F10484" s="1361"/>
      <c r="G10484" s="1361"/>
      <c r="H10484" s="1466"/>
      <c r="I10484" s="1299"/>
      <c r="J10484" s="1300"/>
      <c r="K10484" s="1307"/>
      <c r="L10484" s="1335"/>
      <c r="M10484" s="1302"/>
      <c r="N10484" s="1700"/>
      <c r="O10484" s="1290"/>
      <c r="P10484" s="1332"/>
      <c r="Q10484" s="3391"/>
    </row>
    <row r="10485" spans="1:18">
      <c r="A10485" s="1320"/>
      <c r="B10485" s="22"/>
      <c r="C10485" s="1320"/>
      <c r="D10485" s="1373"/>
      <c r="E10485" s="2123"/>
      <c r="F10485" s="1374" t="s">
        <v>3</v>
      </c>
      <c r="G10485" s="1375"/>
      <c r="H10485" s="1376"/>
      <c r="I10485" s="1382"/>
      <c r="J10485" s="1383"/>
      <c r="K10485" s="1383"/>
      <c r="L10485" s="1413"/>
      <c r="M10485" s="1376"/>
      <c r="N10485" s="1376"/>
      <c r="O10485" s="1376"/>
      <c r="P10485" s="1373"/>
      <c r="Q10485" s="3387"/>
    </row>
    <row r="10486" spans="1:18">
      <c r="A10486" s="1321"/>
      <c r="B10486" s="1295"/>
      <c r="C10486" s="1321"/>
      <c r="D10486" s="1377"/>
      <c r="E10486" s="2124"/>
      <c r="F10486" s="1378"/>
      <c r="G10486" s="1378"/>
      <c r="H10486" s="1379"/>
      <c r="I10486" s="1299"/>
      <c r="J10486" s="1300"/>
      <c r="K10486" s="1307"/>
      <c r="L10486" s="1335"/>
      <c r="M10486" s="1302"/>
      <c r="N10486" s="1700"/>
      <c r="O10486" s="1290"/>
      <c r="P10486" s="1332"/>
      <c r="Q10486" s="3391"/>
    </row>
    <row r="10487" spans="1:18">
      <c r="A10487" s="1321"/>
      <c r="B10487" s="1295"/>
      <c r="C10487" s="1321"/>
      <c r="D10487" s="1377"/>
      <c r="E10487" s="2124"/>
      <c r="F10487" s="1378"/>
      <c r="G10487" s="1378"/>
      <c r="H10487" s="1379"/>
      <c r="I10487" s="1299"/>
      <c r="J10487" s="1300"/>
      <c r="K10487" s="1307"/>
      <c r="L10487" s="1335"/>
      <c r="M10487" s="1302"/>
      <c r="N10487" s="1700"/>
      <c r="O10487" s="1290"/>
      <c r="P10487" s="1333"/>
      <c r="Q10487" s="3391"/>
    </row>
    <row r="10488" spans="1:18">
      <c r="A10488" s="1042"/>
      <c r="B10488" s="22"/>
      <c r="C10488" s="1042"/>
      <c r="D10488" s="1677"/>
      <c r="E10488" s="2161"/>
      <c r="F10488" s="1678"/>
      <c r="G10488" s="1678"/>
      <c r="H10488" s="1376"/>
      <c r="I10488" s="1299"/>
      <c r="J10488" s="1300"/>
      <c r="K10488" s="1307"/>
      <c r="L10488" s="1335"/>
      <c r="M10488" s="1302"/>
      <c r="N10488" s="1700"/>
      <c r="O10488" s="1290"/>
      <c r="P10488" s="1332"/>
      <c r="Q10488" s="3391"/>
    </row>
    <row r="10489" spans="1:18">
      <c r="A10489" s="18" t="s">
        <v>3764</v>
      </c>
      <c r="B10489" s="4370" t="s">
        <v>3816</v>
      </c>
      <c r="C10489" s="3972"/>
      <c r="D10489" s="4371"/>
      <c r="E10489" s="4329" t="s">
        <v>1504</v>
      </c>
      <c r="F10489" s="4336" t="s">
        <v>3820</v>
      </c>
      <c r="G10489" s="4331" t="s">
        <v>1568</v>
      </c>
      <c r="H10489" s="4331" t="s">
        <v>1574</v>
      </c>
      <c r="I10489" s="1572" t="s">
        <v>1559</v>
      </c>
      <c r="J10489" s="1294" t="s">
        <v>1560</v>
      </c>
      <c r="K10489" s="1294" t="s">
        <v>1569</v>
      </c>
      <c r="L10489" s="4333" t="s">
        <v>3765</v>
      </c>
      <c r="M10489" s="4335" t="s">
        <v>1571</v>
      </c>
      <c r="N10489" s="4323" t="s">
        <v>1776</v>
      </c>
      <c r="O10489" s="4060" t="s">
        <v>1563</v>
      </c>
      <c r="P10489" s="1336" t="s">
        <v>1562</v>
      </c>
      <c r="Q10489" s="3389"/>
      <c r="R10489" s="1699" t="s">
        <v>1327</v>
      </c>
    </row>
    <row r="10490" spans="1:18">
      <c r="A10490" s="1662" t="s">
        <v>3736</v>
      </c>
      <c r="B10490" s="4326"/>
      <c r="C10490" s="4062"/>
      <c r="D10490" s="4328"/>
      <c r="E10490" s="4330"/>
      <c r="F10490" s="4336"/>
      <c r="G10490" s="4332"/>
      <c r="H10490" s="4332"/>
      <c r="I10490" s="1345">
        <v>16</v>
      </c>
      <c r="J10490" s="1307">
        <v>1</v>
      </c>
      <c r="K10490" s="1297">
        <f>I10490*J10490</f>
        <v>16</v>
      </c>
      <c r="L10490" s="4334"/>
      <c r="M10490" s="4335"/>
      <c r="N10490" s="4324"/>
      <c r="O10490" s="1298">
        <f>SUM(O10492:O10500)</f>
        <v>5.6740000000000004</v>
      </c>
      <c r="P10490" s="1337">
        <f>O10490*K10490</f>
        <v>90.784000000000006</v>
      </c>
      <c r="Q10490" s="3390"/>
      <c r="R10490" s="1721">
        <f>SUM(P10492:P10500)</f>
        <v>90.784000000000006</v>
      </c>
    </row>
    <row r="10491" spans="1:18">
      <c r="A10491" s="1320"/>
      <c r="B10491" s="22"/>
      <c r="C10491" s="1327"/>
      <c r="D10491" s="1367"/>
      <c r="E10491" s="2121"/>
      <c r="F10491" s="1389" t="s">
        <v>1</v>
      </c>
      <c r="G10491" s="1389"/>
      <c r="H10491" s="1369"/>
      <c r="I10491" s="1409"/>
      <c r="J10491" s="1390"/>
      <c r="K10491" s="1391"/>
      <c r="L10491" s="1559"/>
      <c r="M10491" s="1369"/>
      <c r="N10491" s="1369"/>
      <c r="O10491" s="1369"/>
      <c r="P10491" s="1392"/>
      <c r="Q10491" s="3395"/>
    </row>
    <row r="10492" spans="1:18">
      <c r="A10492" s="1042"/>
      <c r="B10492" s="22"/>
      <c r="C10492" s="1042"/>
      <c r="D10492" s="3964"/>
      <c r="E10492" s="3965"/>
      <c r="F10492" s="3966"/>
      <c r="G10492" s="3970"/>
      <c r="H10492" s="1674"/>
      <c r="I10492" s="1299"/>
      <c r="J10492" s="1300"/>
      <c r="K10492" s="1307"/>
      <c r="L10492" s="1335"/>
      <c r="M10492" s="1302"/>
      <c r="N10492" s="1700"/>
      <c r="O10492" s="1290"/>
      <c r="P10492" s="1332"/>
      <c r="Q10492" s="3391"/>
    </row>
    <row r="10493" spans="1:18">
      <c r="A10493" s="1042"/>
      <c r="B10493" s="22"/>
      <c r="C10493" s="1042"/>
      <c r="D10493" s="3967"/>
      <c r="E10493" s="3968"/>
      <c r="F10493" s="3969"/>
      <c r="G10493" s="3971"/>
      <c r="H10493" s="3963"/>
      <c r="I10493" s="1299"/>
      <c r="J10493" s="3939"/>
      <c r="K10493" s="1307"/>
      <c r="L10493" s="1335"/>
      <c r="M10493" s="3918"/>
      <c r="N10493" s="1700"/>
      <c r="O10493" s="1290"/>
      <c r="P10493" s="1332"/>
      <c r="Q10493" s="3391"/>
    </row>
    <row r="10494" spans="1:18">
      <c r="A10494" s="1042"/>
      <c r="B10494" s="22"/>
      <c r="C10494" s="1042"/>
      <c r="D10494" s="3964"/>
      <c r="E10494" s="3965"/>
      <c r="F10494" s="3966"/>
      <c r="G10494" s="3970"/>
      <c r="H10494" s="1369"/>
      <c r="I10494" s="1299"/>
      <c r="J10494" s="1300"/>
      <c r="K10494" s="1307"/>
      <c r="L10494" s="1335"/>
      <c r="M10494" s="1302"/>
      <c r="N10494" s="1700"/>
      <c r="O10494" s="1290"/>
      <c r="P10494" s="1332"/>
      <c r="Q10494" s="3391"/>
    </row>
    <row r="10495" spans="1:18">
      <c r="A10495" s="1042"/>
      <c r="B10495" s="22"/>
      <c r="C10495" s="1042"/>
      <c r="D10495" s="3964"/>
      <c r="E10495" s="3965"/>
      <c r="F10495" s="3966"/>
      <c r="G10495" s="3970"/>
      <c r="H10495" s="1369"/>
      <c r="I10495" s="1299"/>
      <c r="J10495" s="1300"/>
      <c r="K10495" s="1307"/>
      <c r="L10495" s="1335"/>
      <c r="M10495" s="1302"/>
      <c r="N10495" s="1700"/>
      <c r="O10495" s="1290"/>
      <c r="P10495" s="1332"/>
      <c r="Q10495" s="3391"/>
    </row>
    <row r="10496" spans="1:18">
      <c r="A10496" s="1042"/>
      <c r="B10496" s="22"/>
      <c r="C10496" s="1042"/>
      <c r="D10496" s="1359"/>
      <c r="E10496" s="1858"/>
      <c r="F10496" s="1360" t="s">
        <v>2</v>
      </c>
      <c r="G10496" s="1360"/>
      <c r="H10496" s="1362"/>
      <c r="I10496" s="1380"/>
      <c r="J10496" s="1381"/>
      <c r="K10496" s="1381"/>
      <c r="L10496" s="1458"/>
      <c r="M10496" s="1362"/>
      <c r="N10496" s="1362"/>
      <c r="O10496" s="1362"/>
      <c r="P10496" s="1359"/>
      <c r="Q10496" s="3387"/>
    </row>
    <row r="10497" spans="1:18">
      <c r="A10497" s="553"/>
      <c r="B10497" s="1042"/>
      <c r="C10497" s="3954"/>
      <c r="D10497" s="3951" t="s">
        <v>1067</v>
      </c>
      <c r="E10497" s="1857" t="s">
        <v>1508</v>
      </c>
      <c r="F10497" s="1403" t="s">
        <v>5</v>
      </c>
      <c r="G10497" s="1362">
        <v>0.1</v>
      </c>
      <c r="H10497" s="1359"/>
      <c r="I10497" s="198"/>
      <c r="J10497" s="6"/>
      <c r="K10497" s="1307">
        <f>G10497*K10490</f>
        <v>1.6</v>
      </c>
      <c r="L10497" s="1335">
        <f>K10497*$K$10473</f>
        <v>0</v>
      </c>
      <c r="M10497" s="1499">
        <v>18.28</v>
      </c>
      <c r="N10497" s="1724"/>
      <c r="O10497" s="1290">
        <f>G10497*M10497</f>
        <v>1.8280000000000003</v>
      </c>
      <c r="P10497" s="1332">
        <f>M10497*K10497</f>
        <v>29.248000000000005</v>
      </c>
      <c r="Q10497" s="3391"/>
    </row>
    <row r="10498" spans="1:18">
      <c r="A10498" s="553"/>
      <c r="B10498" s="1042"/>
      <c r="C10498" s="1042"/>
      <c r="D10498" s="3951" t="s">
        <v>1077</v>
      </c>
      <c r="E10498" s="1857" t="s">
        <v>1508</v>
      </c>
      <c r="F10498" s="1403" t="s">
        <v>37</v>
      </c>
      <c r="G10498" s="1362">
        <v>0.2</v>
      </c>
      <c r="H10498" s="1359"/>
      <c r="I10498" s="198"/>
      <c r="J10498" s="6"/>
      <c r="K10498" s="1307">
        <f>G10498*K10490</f>
        <v>3.2</v>
      </c>
      <c r="L10498" s="1335">
        <f>K10498*$K$10473</f>
        <v>0</v>
      </c>
      <c r="M10498" s="1499">
        <v>19.23</v>
      </c>
      <c r="N10498" s="1724"/>
      <c r="O10498" s="1290">
        <f>G10498*M10498</f>
        <v>3.8460000000000001</v>
      </c>
      <c r="P10498" s="1332">
        <f>M10498*K10498</f>
        <v>61.536000000000001</v>
      </c>
      <c r="Q10498" s="3391"/>
    </row>
    <row r="10499" spans="1:18" ht="18.75" customHeight="1">
      <c r="A10499" s="553"/>
      <c r="B10499" s="1042"/>
      <c r="C10499" s="3954"/>
      <c r="D10499" s="3951"/>
      <c r="E10499" s="1857"/>
      <c r="F10499" s="1403"/>
      <c r="G10499" s="1362"/>
      <c r="H10499" s="1359"/>
      <c r="I10499" s="198"/>
      <c r="J10499" s="6"/>
      <c r="K10499" s="1307"/>
      <c r="L10499" s="1335"/>
      <c r="M10499" s="1499"/>
      <c r="N10499" s="1724"/>
      <c r="O10499" s="1290"/>
      <c r="P10499" s="1332"/>
      <c r="Q10499" s="3391"/>
    </row>
    <row r="10500" spans="1:18">
      <c r="A10500" s="553"/>
      <c r="B10500" s="1042"/>
      <c r="C10500" s="1042"/>
      <c r="D10500" s="3951"/>
      <c r="E10500" s="1857"/>
      <c r="F10500" s="1403"/>
      <c r="G10500" s="1362"/>
      <c r="H10500" s="1359"/>
      <c r="I10500" s="198"/>
      <c r="J10500" s="6"/>
      <c r="K10500" s="1307"/>
      <c r="L10500" s="1335"/>
      <c r="M10500" s="1499"/>
      <c r="N10500" s="1724"/>
      <c r="O10500" s="1290"/>
      <c r="P10500" s="1332"/>
      <c r="Q10500" s="3391"/>
    </row>
    <row r="10501" spans="1:18">
      <c r="A10501" s="1320"/>
      <c r="B10501" s="22"/>
      <c r="C10501" s="1320"/>
      <c r="D10501" s="1373"/>
      <c r="E10501" s="2123"/>
      <c r="F10501" s="1374" t="s">
        <v>3</v>
      </c>
      <c r="G10501" s="1375"/>
      <c r="H10501" s="1376"/>
      <c r="I10501" s="1382"/>
      <c r="J10501" s="1383"/>
      <c r="K10501" s="1383"/>
      <c r="L10501" s="1413"/>
      <c r="M10501" s="1376"/>
      <c r="N10501" s="1376"/>
      <c r="O10501" s="1376"/>
      <c r="P10501" s="1373"/>
      <c r="Q10501" s="3387"/>
    </row>
    <row r="10502" spans="1:18">
      <c r="A10502" s="1321"/>
      <c r="B10502" s="1295"/>
      <c r="C10502" s="1321"/>
      <c r="D10502" s="1377"/>
      <c r="E10502" s="2124"/>
      <c r="F10502" s="1378"/>
      <c r="G10502" s="1378"/>
      <c r="H10502" s="1379"/>
      <c r="I10502" s="1299"/>
      <c r="J10502" s="1300"/>
      <c r="K10502" s="1307"/>
      <c r="L10502" s="1335"/>
      <c r="M10502" s="1302"/>
      <c r="N10502" s="1700"/>
      <c r="O10502" s="1290"/>
      <c r="P10502" s="1332"/>
      <c r="Q10502" s="3391"/>
    </row>
    <row r="10503" spans="1:18">
      <c r="A10503" s="1321"/>
      <c r="B10503" s="1295"/>
      <c r="C10503" s="1321"/>
      <c r="D10503" s="1377"/>
      <c r="E10503" s="2124"/>
      <c r="F10503" s="1378"/>
      <c r="G10503" s="1378"/>
      <c r="H10503" s="1379"/>
      <c r="I10503" s="1299"/>
      <c r="J10503" s="1300"/>
      <c r="K10503" s="1307"/>
      <c r="L10503" s="1335"/>
      <c r="M10503" s="1302"/>
      <c r="N10503" s="1700"/>
      <c r="O10503" s="1290"/>
      <c r="P10503" s="1333"/>
      <c r="Q10503" s="3391"/>
    </row>
    <row r="10504" spans="1:18">
      <c r="A10504" s="1042"/>
      <c r="B10504" s="22"/>
      <c r="C10504" s="19"/>
      <c r="D10504" s="3890"/>
      <c r="E10504" s="3891"/>
      <c r="F10504" s="3979"/>
      <c r="G10504" s="3892"/>
      <c r="H10504" s="3893"/>
      <c r="I10504" s="1299"/>
      <c r="J10504" s="3939"/>
      <c r="K10504" s="1307"/>
      <c r="L10504" s="1594"/>
      <c r="M10504" s="3918"/>
      <c r="N10504" s="2283"/>
      <c r="O10504" s="1290"/>
      <c r="P10504" s="3919"/>
      <c r="Q10504" s="3391"/>
    </row>
    <row r="10505" spans="1:18">
      <c r="A10505" s="18" t="s">
        <v>3764</v>
      </c>
      <c r="B10505" s="4370" t="s">
        <v>3817</v>
      </c>
      <c r="C10505" s="3972"/>
      <c r="D10505" s="4371"/>
      <c r="E10505" s="4329" t="s">
        <v>1504</v>
      </c>
      <c r="F10505" s="4336" t="s">
        <v>3820</v>
      </c>
      <c r="G10505" s="4331" t="s">
        <v>1568</v>
      </c>
      <c r="H10505" s="4331" t="s">
        <v>1574</v>
      </c>
      <c r="I10505" s="1572" t="s">
        <v>1559</v>
      </c>
      <c r="J10505" s="1294" t="s">
        <v>1560</v>
      </c>
      <c r="K10505" s="1294" t="s">
        <v>1569</v>
      </c>
      <c r="L10505" s="4333" t="s">
        <v>3765</v>
      </c>
      <c r="M10505" s="4335" t="s">
        <v>1571</v>
      </c>
      <c r="N10505" s="4323" t="s">
        <v>1776</v>
      </c>
      <c r="O10505" s="4060" t="s">
        <v>1563</v>
      </c>
      <c r="P10505" s="1336" t="s">
        <v>1562</v>
      </c>
      <c r="Q10505" s="3389"/>
      <c r="R10505" s="1699" t="s">
        <v>1327</v>
      </c>
    </row>
    <row r="10506" spans="1:18">
      <c r="A10506" s="1662" t="s">
        <v>3736</v>
      </c>
      <c r="B10506" s="4326"/>
      <c r="C10506" s="4062"/>
      <c r="D10506" s="4328"/>
      <c r="E10506" s="4330"/>
      <c r="F10506" s="4336"/>
      <c r="G10506" s="4332"/>
      <c r="H10506" s="4332"/>
      <c r="I10506" s="1345">
        <v>1</v>
      </c>
      <c r="J10506" s="1307">
        <v>1</v>
      </c>
      <c r="K10506" s="1297">
        <f>I10506*J10506</f>
        <v>1</v>
      </c>
      <c r="L10506" s="4334"/>
      <c r="M10506" s="4335"/>
      <c r="N10506" s="4324"/>
      <c r="O10506" s="1298">
        <f>SUM(O10508:O10516)</f>
        <v>8.5109999999999992</v>
      </c>
      <c r="P10506" s="1337">
        <f>O10506*K10506</f>
        <v>8.5109999999999992</v>
      </c>
      <c r="Q10506" s="3390"/>
      <c r="R10506" s="1721">
        <f>SUM(P10508:P10516)</f>
        <v>8.5109999999999992</v>
      </c>
    </row>
    <row r="10507" spans="1:18">
      <c r="A10507" s="1320"/>
      <c r="B10507" s="22"/>
      <c r="C10507" s="1327"/>
      <c r="D10507" s="1367"/>
      <c r="E10507" s="2121"/>
      <c r="F10507" s="1389" t="s">
        <v>1</v>
      </c>
      <c r="G10507" s="1389"/>
      <c r="H10507" s="1369"/>
      <c r="I10507" s="1409"/>
      <c r="J10507" s="1390"/>
      <c r="K10507" s="1391"/>
      <c r="L10507" s="1559"/>
      <c r="M10507" s="1369"/>
      <c r="N10507" s="1369"/>
      <c r="O10507" s="1369"/>
      <c r="P10507" s="1392"/>
      <c r="Q10507" s="3395"/>
    </row>
    <row r="10508" spans="1:18">
      <c r="A10508" s="1042"/>
      <c r="B10508" s="22"/>
      <c r="C10508" s="1042"/>
      <c r="D10508" s="3964"/>
      <c r="E10508" s="3965"/>
      <c r="F10508" s="3966"/>
      <c r="G10508" s="3970"/>
      <c r="H10508" s="1674"/>
      <c r="I10508" s="1299"/>
      <c r="J10508" s="1300"/>
      <c r="K10508" s="1307"/>
      <c r="L10508" s="1335"/>
      <c r="M10508" s="1302"/>
      <c r="N10508" s="1700"/>
      <c r="O10508" s="1290"/>
      <c r="P10508" s="1332"/>
      <c r="Q10508" s="3391"/>
    </row>
    <row r="10509" spans="1:18">
      <c r="A10509" s="1042"/>
      <c r="B10509" s="22"/>
      <c r="C10509" s="1042"/>
      <c r="D10509" s="3967"/>
      <c r="E10509" s="3968"/>
      <c r="F10509" s="3969"/>
      <c r="G10509" s="3971"/>
      <c r="H10509" s="3963"/>
      <c r="I10509" s="1299"/>
      <c r="J10509" s="3939"/>
      <c r="K10509" s="1307"/>
      <c r="L10509" s="1335"/>
      <c r="M10509" s="3918"/>
      <c r="N10509" s="1700"/>
      <c r="O10509" s="1290"/>
      <c r="P10509" s="1332"/>
      <c r="Q10509" s="3391"/>
    </row>
    <row r="10510" spans="1:18">
      <c r="A10510" s="1042"/>
      <c r="B10510" s="22"/>
      <c r="C10510" s="1042"/>
      <c r="D10510" s="3964"/>
      <c r="E10510" s="3965"/>
      <c r="F10510" s="3966"/>
      <c r="G10510" s="3970"/>
      <c r="H10510" s="1369"/>
      <c r="I10510" s="1299"/>
      <c r="J10510" s="1300"/>
      <c r="K10510" s="1307"/>
      <c r="L10510" s="1335"/>
      <c r="M10510" s="1302"/>
      <c r="N10510" s="1700"/>
      <c r="O10510" s="1290"/>
      <c r="P10510" s="1332"/>
      <c r="Q10510" s="3391"/>
    </row>
    <row r="10511" spans="1:18">
      <c r="A10511" s="1042"/>
      <c r="B10511" s="22"/>
      <c r="C10511" s="1042"/>
      <c r="D10511" s="3964"/>
      <c r="E10511" s="3965"/>
      <c r="F10511" s="3966"/>
      <c r="G10511" s="3970"/>
      <c r="H10511" s="1369"/>
      <c r="I10511" s="1299"/>
      <c r="J10511" s="1300"/>
      <c r="K10511" s="1307"/>
      <c r="L10511" s="1335"/>
      <c r="M10511" s="1302"/>
      <c r="N10511" s="1700"/>
      <c r="O10511" s="1290"/>
      <c r="P10511" s="1332"/>
      <c r="Q10511" s="3391"/>
    </row>
    <row r="10512" spans="1:18">
      <c r="A10512" s="1042"/>
      <c r="B10512" s="22"/>
      <c r="C10512" s="1042"/>
      <c r="D10512" s="1359"/>
      <c r="E10512" s="1858"/>
      <c r="F10512" s="1360" t="s">
        <v>2</v>
      </c>
      <c r="G10512" s="1360"/>
      <c r="H10512" s="1362"/>
      <c r="I10512" s="1380"/>
      <c r="J10512" s="1381"/>
      <c r="K10512" s="1381"/>
      <c r="L10512" s="1458"/>
      <c r="M10512" s="1362"/>
      <c r="N10512" s="1362"/>
      <c r="O10512" s="1362"/>
      <c r="P10512" s="1359"/>
      <c r="Q10512" s="3387"/>
    </row>
    <row r="10513" spans="1:18">
      <c r="A10513" s="553"/>
      <c r="B10513" s="1042"/>
      <c r="C10513" s="3954"/>
      <c r="D10513" s="3951" t="s">
        <v>1067</v>
      </c>
      <c r="E10513" s="1857" t="s">
        <v>1508</v>
      </c>
      <c r="F10513" s="1403" t="s">
        <v>5</v>
      </c>
      <c r="G10513" s="1362">
        <v>0.15</v>
      </c>
      <c r="H10513" s="1359"/>
      <c r="I10513" s="198"/>
      <c r="J10513" s="6"/>
      <c r="K10513" s="1307">
        <f>G10513*K10506</f>
        <v>0.15</v>
      </c>
      <c r="L10513" s="1335">
        <f>K10513*$K$10473</f>
        <v>0</v>
      </c>
      <c r="M10513" s="1499">
        <v>18.28</v>
      </c>
      <c r="N10513" s="1724"/>
      <c r="O10513" s="1290">
        <f>G10513*M10513</f>
        <v>2.742</v>
      </c>
      <c r="P10513" s="1332">
        <f>M10513*K10513</f>
        <v>2.742</v>
      </c>
      <c r="Q10513" s="3391"/>
    </row>
    <row r="10514" spans="1:18">
      <c r="A10514" s="553"/>
      <c r="B10514" s="1042"/>
      <c r="C10514" s="1042"/>
      <c r="D10514" s="3951" t="s">
        <v>1077</v>
      </c>
      <c r="E10514" s="1857" t="s">
        <v>1508</v>
      </c>
      <c r="F10514" s="1403" t="s">
        <v>37</v>
      </c>
      <c r="G10514" s="1362">
        <v>0.3</v>
      </c>
      <c r="H10514" s="1359"/>
      <c r="I10514" s="198"/>
      <c r="J10514" s="6"/>
      <c r="K10514" s="1307">
        <f>G10514*K10506</f>
        <v>0.3</v>
      </c>
      <c r="L10514" s="1335">
        <f>K10514*$K$10473</f>
        <v>0</v>
      </c>
      <c r="M10514" s="1499">
        <v>19.23</v>
      </c>
      <c r="N10514" s="1724"/>
      <c r="O10514" s="1290">
        <f>G10514*M10514</f>
        <v>5.7690000000000001</v>
      </c>
      <c r="P10514" s="1332">
        <f>M10514*K10514</f>
        <v>5.7690000000000001</v>
      </c>
      <c r="Q10514" s="3391"/>
    </row>
    <row r="10515" spans="1:18">
      <c r="A10515" s="22"/>
      <c r="B10515" s="1599"/>
      <c r="C10515" s="1327"/>
      <c r="D10515" s="1430"/>
      <c r="E10515" s="1857"/>
      <c r="F10515" s="1403"/>
      <c r="G10515" s="1991"/>
      <c r="H10515" s="1937"/>
      <c r="I10515" s="1286"/>
      <c r="J10515" s="198"/>
      <c r="K10515" s="1307"/>
      <c r="L10515" s="1335"/>
      <c r="M10515" s="1302"/>
      <c r="N10515" s="1718"/>
      <c r="O10515" s="1290"/>
      <c r="P10515" s="1720"/>
      <c r="Q10515" s="3396"/>
      <c r="R10515" s="2337"/>
    </row>
    <row r="10516" spans="1:18">
      <c r="A10516" s="1320"/>
      <c r="B10516" s="22"/>
      <c r="C10516" s="1320"/>
      <c r="D10516" s="1373"/>
      <c r="E10516" s="2123"/>
      <c r="F10516" s="1374" t="s">
        <v>3</v>
      </c>
      <c r="G10516" s="1375"/>
      <c r="H10516" s="1376"/>
      <c r="I10516" s="1382"/>
      <c r="J10516" s="1383"/>
      <c r="K10516" s="1383"/>
      <c r="L10516" s="1413"/>
      <c r="M10516" s="1376"/>
      <c r="N10516" s="1376"/>
      <c r="O10516" s="1376"/>
      <c r="P10516" s="1373"/>
      <c r="Q10516" s="3387"/>
    </row>
    <row r="10517" spans="1:18">
      <c r="A10517" s="1321"/>
      <c r="B10517" s="1295"/>
      <c r="C10517" s="1321"/>
      <c r="D10517" s="1377"/>
      <c r="E10517" s="2124"/>
      <c r="F10517" s="1378"/>
      <c r="G10517" s="1378"/>
      <c r="H10517" s="1379"/>
      <c r="I10517" s="1299"/>
      <c r="J10517" s="1300"/>
      <c r="K10517" s="1307"/>
      <c r="L10517" s="1335"/>
      <c r="M10517" s="1302"/>
      <c r="N10517" s="1700"/>
      <c r="O10517" s="1290"/>
      <c r="P10517" s="1332"/>
      <c r="Q10517" s="3391"/>
    </row>
    <row r="10518" spans="1:18">
      <c r="A10518" s="1321"/>
      <c r="B10518" s="1295"/>
      <c r="C10518" s="1321"/>
      <c r="D10518" s="1377"/>
      <c r="E10518" s="2124"/>
      <c r="F10518" s="1378"/>
      <c r="G10518" s="1378"/>
      <c r="H10518" s="1379"/>
      <c r="I10518" s="1299"/>
      <c r="J10518" s="1300"/>
      <c r="K10518" s="1307"/>
      <c r="L10518" s="1335"/>
      <c r="M10518" s="1302"/>
      <c r="N10518" s="1700"/>
      <c r="O10518" s="1290"/>
      <c r="P10518" s="1333"/>
      <c r="Q10518" s="3391"/>
    </row>
    <row r="10519" spans="1:18">
      <c r="A10519" s="1042"/>
      <c r="B10519" s="22"/>
      <c r="C10519" s="1042"/>
      <c r="D10519" s="1677"/>
      <c r="E10519" s="2161"/>
      <c r="F10519" s="1678"/>
      <c r="G10519" s="1678"/>
      <c r="H10519" s="1376"/>
      <c r="I10519" s="1299"/>
      <c r="J10519" s="1300"/>
      <c r="K10519" s="1307"/>
      <c r="L10519" s="1335"/>
      <c r="M10519" s="1302"/>
      <c r="N10519" s="1700"/>
      <c r="O10519" s="1290"/>
      <c r="P10519" s="1332"/>
      <c r="Q10519" s="3391"/>
    </row>
    <row r="10520" spans="1:18">
      <c r="A10520" s="18" t="s">
        <v>3764</v>
      </c>
      <c r="B10520" s="4325" t="s">
        <v>3818</v>
      </c>
      <c r="C10520" s="4063"/>
      <c r="D10520" s="4327"/>
      <c r="E10520" s="4329" t="s">
        <v>1504</v>
      </c>
      <c r="F10520" s="4336" t="s">
        <v>3821</v>
      </c>
      <c r="G10520" s="4331" t="s">
        <v>1568</v>
      </c>
      <c r="H10520" s="4331" t="s">
        <v>1574</v>
      </c>
      <c r="I10520" s="1572" t="s">
        <v>1559</v>
      </c>
      <c r="J10520" s="1294" t="s">
        <v>1560</v>
      </c>
      <c r="K10520" s="1294" t="s">
        <v>1569</v>
      </c>
      <c r="L10520" s="4333" t="s">
        <v>3765</v>
      </c>
      <c r="M10520" s="4335" t="s">
        <v>1571</v>
      </c>
      <c r="N10520" s="4323" t="s">
        <v>1776</v>
      </c>
      <c r="O10520" s="4060" t="s">
        <v>1563</v>
      </c>
      <c r="P10520" s="1336" t="s">
        <v>1562</v>
      </c>
      <c r="Q10520" s="3389"/>
      <c r="R10520" s="1699" t="s">
        <v>1327</v>
      </c>
    </row>
    <row r="10521" spans="1:18">
      <c r="A10521" s="1662" t="s">
        <v>3736</v>
      </c>
      <c r="B10521" s="4326"/>
      <c r="C10521" s="4062"/>
      <c r="D10521" s="4328"/>
      <c r="E10521" s="4330"/>
      <c r="F10521" s="4336"/>
      <c r="G10521" s="4332"/>
      <c r="H10521" s="4332"/>
      <c r="I10521" s="1345">
        <v>45</v>
      </c>
      <c r="J10521" s="1307">
        <v>1</v>
      </c>
      <c r="K10521" s="1297">
        <f>I10521*J10521</f>
        <v>45</v>
      </c>
      <c r="L10521" s="4334"/>
      <c r="M10521" s="4335"/>
      <c r="N10521" s="4324"/>
      <c r="O10521" s="1298">
        <f>SUM(O10523:O10532)</f>
        <v>0.29248000000000002</v>
      </c>
      <c r="P10521" s="1337">
        <f>O10521*K10521</f>
        <v>13.1616</v>
      </c>
      <c r="Q10521" s="3390"/>
      <c r="R10521" s="1721">
        <f>SUM(P10523:P10532)</f>
        <v>13.1616</v>
      </c>
    </row>
    <row r="10522" spans="1:18">
      <c r="A10522" s="1320"/>
      <c r="B10522" s="22"/>
      <c r="C10522" s="1327"/>
      <c r="D10522" s="1367"/>
      <c r="E10522" s="2121"/>
      <c r="F10522" s="1389" t="s">
        <v>1</v>
      </c>
      <c r="G10522" s="1389"/>
      <c r="H10522" s="1369"/>
      <c r="I10522" s="1409"/>
      <c r="J10522" s="1390"/>
      <c r="K10522" s="1391"/>
      <c r="L10522" s="1559"/>
      <c r="M10522" s="1369"/>
      <c r="N10522" s="1369"/>
      <c r="O10522" s="1369"/>
      <c r="P10522" s="1392"/>
      <c r="Q10522" s="3395"/>
    </row>
    <row r="10523" spans="1:18">
      <c r="A10523" s="1042"/>
      <c r="B10523" s="22"/>
      <c r="C10523" s="1042"/>
      <c r="D10523" s="3964"/>
      <c r="E10523" s="3965"/>
      <c r="F10523" s="3966"/>
      <c r="G10523" s="3970"/>
      <c r="H10523" s="1674"/>
      <c r="I10523" s="1299"/>
      <c r="J10523" s="1300"/>
      <c r="K10523" s="1307"/>
      <c r="L10523" s="1335"/>
      <c r="M10523" s="1302"/>
      <c r="N10523" s="1700"/>
      <c r="O10523" s="1290"/>
      <c r="P10523" s="1332"/>
      <c r="Q10523" s="3391"/>
    </row>
    <row r="10524" spans="1:18">
      <c r="A10524" s="1042"/>
      <c r="B10524" s="22"/>
      <c r="C10524" s="1042"/>
      <c r="D10524" s="3967"/>
      <c r="E10524" s="3968"/>
      <c r="F10524" s="3969"/>
      <c r="G10524" s="3971"/>
      <c r="H10524" s="3963"/>
      <c r="I10524" s="1299"/>
      <c r="J10524" s="3939"/>
      <c r="K10524" s="1307"/>
      <c r="L10524" s="1335"/>
      <c r="M10524" s="3918"/>
      <c r="N10524" s="1700"/>
      <c r="O10524" s="1290"/>
      <c r="P10524" s="1332"/>
      <c r="Q10524" s="3391"/>
    </row>
    <row r="10525" spans="1:18">
      <c r="A10525" s="1042"/>
      <c r="B10525" s="22"/>
      <c r="C10525" s="1042"/>
      <c r="D10525" s="3964"/>
      <c r="E10525" s="3965"/>
      <c r="F10525" s="3966"/>
      <c r="G10525" s="3970"/>
      <c r="H10525" s="1369"/>
      <c r="I10525" s="1299"/>
      <c r="J10525" s="1300"/>
      <c r="K10525" s="1307"/>
      <c r="L10525" s="1335"/>
      <c r="M10525" s="1302"/>
      <c r="N10525" s="1700"/>
      <c r="O10525" s="1290"/>
      <c r="P10525" s="1332"/>
      <c r="Q10525" s="3391"/>
    </row>
    <row r="10526" spans="1:18" ht="16.5" customHeight="1">
      <c r="A10526" s="1042"/>
      <c r="B10526" s="22"/>
      <c r="C10526" s="1042"/>
      <c r="D10526" s="3964"/>
      <c r="E10526" s="3965"/>
      <c r="F10526" s="3966"/>
      <c r="G10526" s="3970"/>
      <c r="H10526" s="1369"/>
      <c r="I10526" s="1299"/>
      <c r="J10526" s="1300"/>
      <c r="K10526" s="1307"/>
      <c r="L10526" s="1335"/>
      <c r="M10526" s="1302"/>
      <c r="N10526" s="1700"/>
      <c r="O10526" s="1290"/>
      <c r="P10526" s="1332"/>
      <c r="Q10526" s="3391"/>
    </row>
    <row r="10527" spans="1:18">
      <c r="A10527" s="1042"/>
      <c r="B10527" s="22"/>
      <c r="C10527" s="1042"/>
      <c r="D10527" s="1359"/>
      <c r="E10527" s="1858"/>
      <c r="F10527" s="1360" t="s">
        <v>2</v>
      </c>
      <c r="G10527" s="1360"/>
      <c r="H10527" s="1362"/>
      <c r="I10527" s="1380"/>
      <c r="J10527" s="1381"/>
      <c r="K10527" s="1381"/>
      <c r="L10527" s="1458"/>
      <c r="M10527" s="1362"/>
      <c r="N10527" s="1362"/>
      <c r="O10527" s="1362"/>
      <c r="P10527" s="1359"/>
      <c r="Q10527" s="3387"/>
    </row>
    <row r="10528" spans="1:18">
      <c r="A10528" s="553"/>
      <c r="B10528" s="1042"/>
      <c r="C10528" s="3954"/>
      <c r="D10528" s="3951" t="s">
        <v>1067</v>
      </c>
      <c r="E10528" s="1857" t="s">
        <v>1508</v>
      </c>
      <c r="F10528" s="1403" t="s">
        <v>5</v>
      </c>
      <c r="G10528" s="1362">
        <v>1.6E-2</v>
      </c>
      <c r="H10528" s="1359"/>
      <c r="I10528" s="198"/>
      <c r="J10528" s="6"/>
      <c r="K10528" s="1307">
        <f>G10528*K10521</f>
        <v>0.72</v>
      </c>
      <c r="L10528" s="1335">
        <f>K10528*$K$10473</f>
        <v>0</v>
      </c>
      <c r="M10528" s="1499">
        <v>18.28</v>
      </c>
      <c r="N10528" s="1724"/>
      <c r="O10528" s="1290">
        <f>G10528*M10528</f>
        <v>0.29248000000000002</v>
      </c>
      <c r="P10528" s="1332">
        <f>M10528*K10528</f>
        <v>13.1616</v>
      </c>
      <c r="Q10528" s="3391"/>
    </row>
    <row r="10529" spans="1:18">
      <c r="A10529" s="553"/>
      <c r="B10529" s="1042"/>
      <c r="C10529" s="1042"/>
      <c r="D10529" s="3951"/>
      <c r="E10529" s="1857"/>
      <c r="F10529" s="1403"/>
      <c r="G10529" s="1362"/>
      <c r="H10529" s="1359"/>
      <c r="I10529" s="198"/>
      <c r="J10529" s="6"/>
      <c r="K10529" s="1307"/>
      <c r="L10529" s="1335"/>
      <c r="M10529" s="1499"/>
      <c r="N10529" s="1724"/>
      <c r="O10529" s="1290"/>
      <c r="P10529" s="1332"/>
      <c r="Q10529" s="3391"/>
    </row>
    <row r="10530" spans="1:18">
      <c r="A10530" s="553"/>
      <c r="B10530" s="1042"/>
      <c r="C10530" s="1042"/>
      <c r="D10530" s="3951"/>
      <c r="E10530" s="1857"/>
      <c r="F10530" s="1403"/>
      <c r="G10530" s="1362"/>
      <c r="H10530" s="1359"/>
      <c r="I10530" s="198"/>
      <c r="J10530" s="6"/>
      <c r="K10530" s="1307"/>
      <c r="L10530" s="1335"/>
      <c r="M10530" s="1499"/>
      <c r="N10530" s="1724"/>
      <c r="O10530" s="1290"/>
      <c r="P10530" s="1332"/>
      <c r="Q10530" s="3391"/>
    </row>
    <row r="10531" spans="1:18">
      <c r="A10531" s="22"/>
      <c r="B10531" s="1599"/>
      <c r="C10531" s="1327"/>
      <c r="D10531" s="1430"/>
      <c r="E10531" s="1857"/>
      <c r="F10531" s="1403"/>
      <c r="G10531" s="1991"/>
      <c r="H10531" s="1937"/>
      <c r="I10531" s="1286"/>
      <c r="J10531" s="198"/>
      <c r="K10531" s="1307"/>
      <c r="L10531" s="1335"/>
      <c r="M10531" s="1302"/>
      <c r="N10531" s="1718"/>
      <c r="O10531" s="1290"/>
      <c r="P10531" s="1720"/>
      <c r="Q10531" s="3396"/>
      <c r="R10531" s="2337"/>
    </row>
    <row r="10532" spans="1:18">
      <c r="A10532" s="1320"/>
      <c r="B10532" s="22"/>
      <c r="C10532" s="1320"/>
      <c r="D10532" s="1373"/>
      <c r="E10532" s="2123"/>
      <c r="F10532" s="1374" t="s">
        <v>3</v>
      </c>
      <c r="G10532" s="1375"/>
      <c r="H10532" s="1376"/>
      <c r="I10532" s="1382"/>
      <c r="J10532" s="1383"/>
      <c r="K10532" s="1383"/>
      <c r="L10532" s="1413"/>
      <c r="M10532" s="1376"/>
      <c r="N10532" s="1376"/>
      <c r="O10532" s="1376"/>
      <c r="P10532" s="1373"/>
      <c r="Q10532" s="3387"/>
    </row>
    <row r="10533" spans="1:18" s="16" customFormat="1">
      <c r="A10533" s="1321"/>
      <c r="B10533" s="1295"/>
      <c r="C10533" s="1321"/>
      <c r="D10533" s="1377"/>
      <c r="E10533" s="2124"/>
      <c r="F10533" s="1378"/>
      <c r="G10533" s="1378"/>
      <c r="H10533" s="1379"/>
      <c r="I10533" s="1299"/>
      <c r="J10533" s="1300"/>
      <c r="K10533" s="1307"/>
      <c r="L10533" s="1335"/>
      <c r="M10533" s="1302"/>
      <c r="N10533" s="1700"/>
      <c r="O10533" s="1290"/>
      <c r="P10533" s="1332"/>
      <c r="Q10533" s="3391"/>
      <c r="R10533" s="2339"/>
    </row>
    <row r="10534" spans="1:18" s="16" customFormat="1">
      <c r="A10534" s="1321"/>
      <c r="B10534" s="1295"/>
      <c r="C10534" s="1321"/>
      <c r="D10534" s="1377"/>
      <c r="E10534" s="2124"/>
      <c r="F10534" s="1378"/>
      <c r="G10534" s="1378"/>
      <c r="H10534" s="1379"/>
      <c r="I10534" s="1299"/>
      <c r="J10534" s="1300"/>
      <c r="K10534" s="1307"/>
      <c r="L10534" s="1335"/>
      <c r="M10534" s="1302"/>
      <c r="N10534" s="1700"/>
      <c r="O10534" s="1290"/>
      <c r="P10534" s="1333"/>
      <c r="Q10534" s="3391"/>
      <c r="R10534" s="2339"/>
    </row>
    <row r="10535" spans="1:18" s="16" customFormat="1">
      <c r="A10535" s="1042"/>
      <c r="B10535" s="22"/>
      <c r="C10535" s="1042"/>
      <c r="D10535" s="1677"/>
      <c r="E10535" s="2161"/>
      <c r="F10535" s="1678"/>
      <c r="G10535" s="1678"/>
      <c r="H10535" s="1376"/>
      <c r="I10535" s="1299"/>
      <c r="J10535" s="1300"/>
      <c r="K10535" s="1307"/>
      <c r="L10535" s="1335"/>
      <c r="M10535" s="1302"/>
      <c r="N10535" s="1700"/>
      <c r="O10535" s="1290"/>
      <c r="P10535" s="1332"/>
      <c r="Q10535" s="3391"/>
      <c r="R10535" s="2339"/>
    </row>
    <row r="10536" spans="1:18">
      <c r="A10536" s="18" t="s">
        <v>3764</v>
      </c>
      <c r="B10536" s="4325" t="s">
        <v>3737</v>
      </c>
      <c r="C10536" s="3888"/>
      <c r="D10536" s="4327"/>
      <c r="E10536" s="4329" t="s">
        <v>1504</v>
      </c>
      <c r="F10536" s="4336" t="s">
        <v>3739</v>
      </c>
      <c r="G10536" s="4331" t="s">
        <v>1568</v>
      </c>
      <c r="H10536" s="4331" t="s">
        <v>1574</v>
      </c>
      <c r="I10536" s="1572" t="s">
        <v>1559</v>
      </c>
      <c r="J10536" s="1294" t="s">
        <v>1560</v>
      </c>
      <c r="K10536" s="1294" t="s">
        <v>1569</v>
      </c>
      <c r="L10536" s="4333" t="s">
        <v>3765</v>
      </c>
      <c r="M10536" s="4335" t="s">
        <v>1571</v>
      </c>
      <c r="N10536" s="4323" t="s">
        <v>1776</v>
      </c>
      <c r="O10536" s="3884" t="s">
        <v>1563</v>
      </c>
      <c r="P10536" s="1336" t="s">
        <v>1562</v>
      </c>
      <c r="Q10536" s="3389"/>
      <c r="R10536" s="1699" t="s">
        <v>1327</v>
      </c>
    </row>
    <row r="10537" spans="1:18">
      <c r="A10537" s="1662" t="s">
        <v>3736</v>
      </c>
      <c r="B10537" s="4326"/>
      <c r="C10537" s="3886"/>
      <c r="D10537" s="4328"/>
      <c r="E10537" s="4330"/>
      <c r="F10537" s="4336"/>
      <c r="G10537" s="4332"/>
      <c r="H10537" s="4332"/>
      <c r="I10537" s="1345">
        <v>1</v>
      </c>
      <c r="J10537" s="1307">
        <v>1</v>
      </c>
      <c r="K10537" s="1297">
        <f>I10537*J10537</f>
        <v>1</v>
      </c>
      <c r="L10537" s="4334"/>
      <c r="M10537" s="4335"/>
      <c r="N10537" s="4324"/>
      <c r="O10537" s="1298">
        <f>O10539+O10540+O10541+O10542+O10544+O10547</f>
        <v>273.71600000000001</v>
      </c>
      <c r="P10537" s="1337">
        <f>O10537*K10537</f>
        <v>273.71600000000001</v>
      </c>
      <c r="Q10537" s="3390"/>
      <c r="R10537" s="1721">
        <f>P10539+P10540+P10541+P10542+P10544+P10547</f>
        <v>273.71600000000001</v>
      </c>
    </row>
    <row r="10538" spans="1:18">
      <c r="A10538" s="1320"/>
      <c r="B10538" s="22"/>
      <c r="C10538" s="1327"/>
      <c r="D10538" s="1367"/>
      <c r="E10538" s="2121"/>
      <c r="F10538" s="1389" t="s">
        <v>1</v>
      </c>
      <c r="G10538" s="1389"/>
      <c r="H10538" s="1369"/>
      <c r="I10538" s="1409"/>
      <c r="J10538" s="1390"/>
      <c r="K10538" s="1391"/>
      <c r="L10538" s="1559"/>
      <c r="M10538" s="1369"/>
      <c r="N10538" s="1369"/>
      <c r="O10538" s="1369"/>
      <c r="P10538" s="1392"/>
      <c r="Q10538" s="3395"/>
    </row>
    <row r="10539" spans="1:18">
      <c r="A10539" s="1042"/>
      <c r="B10539" s="22"/>
      <c r="C10539" s="1042"/>
      <c r="D10539" s="3964" t="s">
        <v>3740</v>
      </c>
      <c r="E10539" s="3965" t="s">
        <v>1504</v>
      </c>
      <c r="F10539" s="3966" t="s">
        <v>3741</v>
      </c>
      <c r="G10539" s="3970">
        <v>1</v>
      </c>
      <c r="H10539" s="1674"/>
      <c r="I10539" s="1299"/>
      <c r="J10539" s="1300"/>
      <c r="K10539" s="1307">
        <f>G10539*K10537</f>
        <v>1</v>
      </c>
      <c r="L10539" s="1335">
        <f>K10539*$K$10473</f>
        <v>0</v>
      </c>
      <c r="M10539" s="1302">
        <v>55.95</v>
      </c>
      <c r="N10539" s="1700"/>
      <c r="O10539" s="1290">
        <f>G10539*M10539</f>
        <v>55.95</v>
      </c>
      <c r="P10539" s="1332">
        <f>M10539*K10539</f>
        <v>55.95</v>
      </c>
      <c r="Q10539" s="3391"/>
    </row>
    <row r="10540" spans="1:18">
      <c r="A10540" s="1042"/>
      <c r="B10540" s="22"/>
      <c r="C10540" s="1042"/>
      <c r="D10540" s="3967" t="s">
        <v>3742</v>
      </c>
      <c r="E10540" s="3968" t="s">
        <v>1504</v>
      </c>
      <c r="F10540" s="3969" t="s">
        <v>3743</v>
      </c>
      <c r="G10540" s="3971">
        <v>1</v>
      </c>
      <c r="H10540" s="3963"/>
      <c r="I10540" s="1299"/>
      <c r="J10540" s="3939"/>
      <c r="K10540" s="1307">
        <f>G10540*K10537</f>
        <v>1</v>
      </c>
      <c r="L10540" s="1335">
        <f>K10540*$K$10473</f>
        <v>0</v>
      </c>
      <c r="M10540" s="3918">
        <v>118.32</v>
      </c>
      <c r="N10540" s="1700"/>
      <c r="O10540" s="1290">
        <f>G10540*M10540</f>
        <v>118.32</v>
      </c>
      <c r="P10540" s="1332">
        <f>M10540*K10540</f>
        <v>118.32</v>
      </c>
      <c r="Q10540" s="3391"/>
    </row>
    <row r="10541" spans="1:18">
      <c r="A10541" s="1042"/>
      <c r="B10541" s="22"/>
      <c r="C10541" s="1042"/>
      <c r="D10541" s="3964" t="s">
        <v>1097</v>
      </c>
      <c r="E10541" s="3965" t="s">
        <v>1504</v>
      </c>
      <c r="F10541" s="3966" t="s">
        <v>1632</v>
      </c>
      <c r="G10541" s="3970">
        <v>16</v>
      </c>
      <c r="H10541" s="1369"/>
      <c r="I10541" s="1299"/>
      <c r="J10541" s="1300"/>
      <c r="K10541" s="1307">
        <f>G10541*K10537</f>
        <v>16</v>
      </c>
      <c r="L10541" s="1335">
        <f>K10541*$K$10473</f>
        <v>0</v>
      </c>
      <c r="M10541" s="1302">
        <v>0.55000000000000004</v>
      </c>
      <c r="N10541" s="1700"/>
      <c r="O10541" s="1290">
        <f>G10541*M10541</f>
        <v>8.8000000000000007</v>
      </c>
      <c r="P10541" s="1332">
        <f>M10541*K10541</f>
        <v>8.8000000000000007</v>
      </c>
      <c r="Q10541" s="3391"/>
    </row>
    <row r="10542" spans="1:18">
      <c r="A10542" s="1042"/>
      <c r="B10542" s="22"/>
      <c r="C10542" s="1042"/>
      <c r="D10542" s="3964" t="s">
        <v>1082</v>
      </c>
      <c r="E10542" s="3965" t="s">
        <v>1504</v>
      </c>
      <c r="F10542" s="3966" t="s">
        <v>1541</v>
      </c>
      <c r="G10542" s="3970">
        <v>1</v>
      </c>
      <c r="H10542" s="1369"/>
      <c r="I10542" s="1299"/>
      <c r="J10542" s="1300"/>
      <c r="K10542" s="1307">
        <f>G10542*K10537</f>
        <v>1</v>
      </c>
      <c r="L10542" s="1335">
        <f>K10542*$K$10473</f>
        <v>0</v>
      </c>
      <c r="M10542" s="1302">
        <v>0.3</v>
      </c>
      <c r="N10542" s="1700"/>
      <c r="O10542" s="1290">
        <f>G10542*M10542</f>
        <v>0.3</v>
      </c>
      <c r="P10542" s="1332">
        <f>M10542*K10542</f>
        <v>0.3</v>
      </c>
      <c r="Q10542" s="3391"/>
    </row>
    <row r="10543" spans="1:18">
      <c r="A10543" s="1042"/>
      <c r="B10543" s="22"/>
      <c r="C10543" s="1042"/>
      <c r="D10543" s="1359"/>
      <c r="E10543" s="1858"/>
      <c r="F10543" s="1360" t="s">
        <v>2</v>
      </c>
      <c r="G10543" s="1360"/>
      <c r="H10543" s="1362"/>
      <c r="I10543" s="1380"/>
      <c r="J10543" s="1381"/>
      <c r="K10543" s="1381"/>
      <c r="L10543" s="1458"/>
      <c r="M10543" s="1362"/>
      <c r="N10543" s="1362"/>
      <c r="O10543" s="1362"/>
      <c r="P10543" s="1359"/>
      <c r="Q10543" s="3387"/>
    </row>
    <row r="10544" spans="1:18">
      <c r="A10544" s="553"/>
      <c r="B10544" s="1042"/>
      <c r="C10544" s="3953" t="s">
        <v>1523</v>
      </c>
      <c r="D10544" s="3950"/>
      <c r="E10544" s="2128" t="s">
        <v>1508</v>
      </c>
      <c r="F10544" s="2248" t="s">
        <v>1524</v>
      </c>
      <c r="G10544" s="1338"/>
      <c r="H10544" s="1344">
        <v>0.1</v>
      </c>
      <c r="I10544" s="1388"/>
      <c r="J10544" s="1366"/>
      <c r="K10544" s="1448"/>
      <c r="L10544" s="1457"/>
      <c r="M10544" s="1503"/>
      <c r="N10544" s="1447">
        <f>SUM(N10545:N10546)</f>
        <v>37.510000000000005</v>
      </c>
      <c r="O10544" s="1447">
        <f>SUM(O10545:O10546)</f>
        <v>3.7510000000000003</v>
      </c>
      <c r="P10544" s="1447">
        <f>SUM(P10545:P10546)</f>
        <v>3.7510000000000003</v>
      </c>
      <c r="Q10544" s="3391"/>
    </row>
    <row r="10545" spans="1:18">
      <c r="A10545" s="553"/>
      <c r="B10545" s="1042"/>
      <c r="C10545" s="3954"/>
      <c r="D10545" s="3951" t="s">
        <v>1067</v>
      </c>
      <c r="E10545" s="1857" t="s">
        <v>1508</v>
      </c>
      <c r="F10545" s="1403" t="s">
        <v>5</v>
      </c>
      <c r="G10545" s="1362">
        <v>1</v>
      </c>
      <c r="H10545" s="1359">
        <f>H10544*G10545</f>
        <v>0.1</v>
      </c>
      <c r="I10545" s="198"/>
      <c r="J10545" s="6"/>
      <c r="K10545" s="1307">
        <f>H10545*K10537</f>
        <v>0.1</v>
      </c>
      <c r="L10545" s="1335">
        <f>K10545*$K$10473</f>
        <v>0</v>
      </c>
      <c r="M10545" s="1499">
        <v>18.28</v>
      </c>
      <c r="N10545" s="1724">
        <f>G10545*M10545</f>
        <v>18.28</v>
      </c>
      <c r="O10545" s="1290">
        <f>H10545*M10545</f>
        <v>1.8280000000000003</v>
      </c>
      <c r="P10545" s="1332">
        <f>M10545*K10545</f>
        <v>1.8280000000000003</v>
      </c>
      <c r="Q10545" s="3391"/>
    </row>
    <row r="10546" spans="1:18">
      <c r="A10546" s="553"/>
      <c r="B10546" s="1042"/>
      <c r="C10546" s="1042"/>
      <c r="D10546" s="3951" t="s">
        <v>1077</v>
      </c>
      <c r="E10546" s="1857" t="s">
        <v>1508</v>
      </c>
      <c r="F10546" s="1403" t="s">
        <v>37</v>
      </c>
      <c r="G10546" s="1362">
        <v>1</v>
      </c>
      <c r="H10546" s="1359">
        <f>H10544*G10546</f>
        <v>0.1</v>
      </c>
      <c r="I10546" s="198"/>
      <c r="J10546" s="6"/>
      <c r="K10546" s="1307">
        <f>H10546*K10537</f>
        <v>0.1</v>
      </c>
      <c r="L10546" s="1335">
        <f>K10546*$K$10473</f>
        <v>0</v>
      </c>
      <c r="M10546" s="1499">
        <v>19.23</v>
      </c>
      <c r="N10546" s="1724">
        <f>G10546*M10546</f>
        <v>19.23</v>
      </c>
      <c r="O10546" s="1290">
        <f>H10546*M10546</f>
        <v>1.923</v>
      </c>
      <c r="P10546" s="1332">
        <f>M10546*K10546</f>
        <v>1.923</v>
      </c>
      <c r="Q10546" s="3391"/>
    </row>
    <row r="10547" spans="1:18">
      <c r="A10547" s="22"/>
      <c r="B10547" s="1599"/>
      <c r="C10547" s="1938" t="s">
        <v>2649</v>
      </c>
      <c r="D10547" s="1311"/>
      <c r="E10547" s="2176" t="s">
        <v>1508</v>
      </c>
      <c r="F10547" s="1648" t="s">
        <v>2650</v>
      </c>
      <c r="G10547" s="1990"/>
      <c r="H10547" s="1954">
        <v>2.2999999999999998</v>
      </c>
      <c r="I10547" s="1444"/>
      <c r="J10547" s="1388"/>
      <c r="K10547" s="1445"/>
      <c r="L10547" s="1457"/>
      <c r="M10547" s="1447"/>
      <c r="N10547" s="1447">
        <f>SUM(N10548:N10549)</f>
        <v>37.650000000000006</v>
      </c>
      <c r="O10547" s="1447">
        <f>SUM(O10548:O10549)</f>
        <v>86.594999999999999</v>
      </c>
      <c r="P10547" s="1447">
        <f>SUM(P10548:P10549)</f>
        <v>86.594999999999999</v>
      </c>
      <c r="Q10547" s="3391"/>
      <c r="R10547" s="2337"/>
    </row>
    <row r="10548" spans="1:18">
      <c r="A10548" s="22"/>
      <c r="B10548" s="1599"/>
      <c r="C10548" s="1327"/>
      <c r="D10548" s="1430" t="s">
        <v>2691</v>
      </c>
      <c r="E10548" s="1857" t="s">
        <v>1508</v>
      </c>
      <c r="F10548" s="1403" t="s">
        <v>2692</v>
      </c>
      <c r="G10548" s="1991">
        <v>1</v>
      </c>
      <c r="H10548" s="1937">
        <f>G10548*H10547</f>
        <v>2.2999999999999998</v>
      </c>
      <c r="I10548" s="1286"/>
      <c r="J10548" s="198"/>
      <c r="K10548" s="1307">
        <f>H10548*K10537</f>
        <v>2.2999999999999998</v>
      </c>
      <c r="L10548" s="1335">
        <f>K10548*$K$10473</f>
        <v>0</v>
      </c>
      <c r="M10548" s="1302">
        <v>19.23</v>
      </c>
      <c r="N10548" s="1718">
        <f>G10548*M10548</f>
        <v>19.23</v>
      </c>
      <c r="O10548" s="1290">
        <f>H10548*M10548</f>
        <v>44.228999999999999</v>
      </c>
      <c r="P10548" s="1720">
        <f>M10548*K10548</f>
        <v>44.228999999999999</v>
      </c>
      <c r="Q10548" s="3396"/>
      <c r="R10548" s="2337"/>
    </row>
    <row r="10549" spans="1:18">
      <c r="A10549" s="22"/>
      <c r="B10549" s="1599"/>
      <c r="C10549" s="1320"/>
      <c r="D10549" s="1430" t="s">
        <v>1110</v>
      </c>
      <c r="E10549" s="1857" t="s">
        <v>1508</v>
      </c>
      <c r="F10549" s="1403" t="s">
        <v>2281</v>
      </c>
      <c r="G10549" s="1991">
        <v>1</v>
      </c>
      <c r="H10549" s="1937">
        <f>G10549*H10547</f>
        <v>2.2999999999999998</v>
      </c>
      <c r="I10549" s="197"/>
      <c r="J10549" s="198"/>
      <c r="K10549" s="1307">
        <f>H10549*K10537</f>
        <v>2.2999999999999998</v>
      </c>
      <c r="L10549" s="1335">
        <f>K10549*$K$10473</f>
        <v>0</v>
      </c>
      <c r="M10549" s="1302">
        <v>18.420000000000002</v>
      </c>
      <c r="N10549" s="1718">
        <f>G10549*M10549</f>
        <v>18.420000000000002</v>
      </c>
      <c r="O10549" s="1290">
        <f>H10549*M10549</f>
        <v>42.366</v>
      </c>
      <c r="P10549" s="1720">
        <f>M10549*K10549</f>
        <v>42.366</v>
      </c>
      <c r="Q10549" s="3396"/>
      <c r="R10549" s="2337"/>
    </row>
    <row r="10550" spans="1:18">
      <c r="A10550" s="1320"/>
      <c r="B10550" s="22"/>
      <c r="C10550" s="1320"/>
      <c r="D10550" s="1359"/>
      <c r="E10550" s="1858"/>
      <c r="F10550" s="1361"/>
      <c r="G10550" s="1361"/>
      <c r="H10550" s="1466"/>
      <c r="I10550" s="1299"/>
      <c r="J10550" s="1300"/>
      <c r="K10550" s="1307"/>
      <c r="L10550" s="1335"/>
      <c r="M10550" s="1302"/>
      <c r="N10550" s="1700"/>
      <c r="O10550" s="1290"/>
      <c r="P10550" s="1332"/>
      <c r="Q10550" s="3391"/>
    </row>
    <row r="10551" spans="1:18">
      <c r="A10551" s="1320"/>
      <c r="B10551" s="22"/>
      <c r="C10551" s="1320"/>
      <c r="D10551" s="1373"/>
      <c r="E10551" s="2123"/>
      <c r="F10551" s="1374" t="s">
        <v>3</v>
      </c>
      <c r="G10551" s="1375"/>
      <c r="H10551" s="1376"/>
      <c r="I10551" s="1382"/>
      <c r="J10551" s="1383"/>
      <c r="K10551" s="1383"/>
      <c r="L10551" s="1413"/>
      <c r="M10551" s="1376"/>
      <c r="N10551" s="1376"/>
      <c r="O10551" s="1376"/>
      <c r="P10551" s="1373"/>
      <c r="Q10551" s="3387"/>
    </row>
    <row r="10552" spans="1:18">
      <c r="A10552" s="1321"/>
      <c r="B10552" s="1295"/>
      <c r="C10552" s="1321"/>
      <c r="D10552" s="1377"/>
      <c r="E10552" s="2124"/>
      <c r="F10552" s="1378"/>
      <c r="G10552" s="1378"/>
      <c r="H10552" s="1379"/>
      <c r="I10552" s="1299"/>
      <c r="J10552" s="1300"/>
      <c r="K10552" s="1307"/>
      <c r="L10552" s="1335"/>
      <c r="M10552" s="1302"/>
      <c r="N10552" s="1700"/>
      <c r="O10552" s="1290"/>
      <c r="P10552" s="1332"/>
      <c r="Q10552" s="3391"/>
    </row>
    <row r="10553" spans="1:18">
      <c r="A10553" s="1321"/>
      <c r="B10553" s="1295"/>
      <c r="C10553" s="1321"/>
      <c r="D10553" s="1377"/>
      <c r="E10553" s="2124"/>
      <c r="F10553" s="1378"/>
      <c r="G10553" s="1378"/>
      <c r="H10553" s="1379"/>
      <c r="I10553" s="1299"/>
      <c r="J10553" s="1300"/>
      <c r="K10553" s="1307"/>
      <c r="L10553" s="1335"/>
      <c r="M10553" s="1302"/>
      <c r="N10553" s="1700"/>
      <c r="O10553" s="1290"/>
      <c r="P10553" s="1333"/>
      <c r="Q10553" s="3391"/>
    </row>
    <row r="10554" spans="1:18" s="16" customFormat="1">
      <c r="A10554" s="1042"/>
      <c r="B10554" s="22"/>
      <c r="C10554" s="1042"/>
      <c r="D10554" s="1677"/>
      <c r="E10554" s="2161"/>
      <c r="F10554" s="1678"/>
      <c r="G10554" s="1678"/>
      <c r="H10554" s="1376"/>
      <c r="I10554" s="1299"/>
      <c r="J10554" s="1300"/>
      <c r="K10554" s="1307"/>
      <c r="L10554" s="1335"/>
      <c r="M10554" s="1302"/>
      <c r="N10554" s="1700"/>
      <c r="O10554" s="1290"/>
      <c r="P10554" s="1332"/>
      <c r="Q10554" s="3391"/>
      <c r="R10554" s="2339"/>
    </row>
    <row r="10555" spans="1:18" s="16" customFormat="1">
      <c r="A10555" s="18" t="s">
        <v>3764</v>
      </c>
      <c r="B10555" s="4370" t="s">
        <v>3744</v>
      </c>
      <c r="C10555" s="3972"/>
      <c r="D10555" s="4371"/>
      <c r="E10555" s="4329" t="s">
        <v>1504</v>
      </c>
      <c r="F10555" s="4336" t="s">
        <v>3745</v>
      </c>
      <c r="G10555" s="4331" t="s">
        <v>1568</v>
      </c>
      <c r="H10555" s="4331" t="s">
        <v>1574</v>
      </c>
      <c r="I10555" s="1572" t="s">
        <v>1559</v>
      </c>
      <c r="J10555" s="1294" t="s">
        <v>1560</v>
      </c>
      <c r="K10555" s="1294" t="s">
        <v>1569</v>
      </c>
      <c r="L10555" s="4333" t="s">
        <v>3765</v>
      </c>
      <c r="M10555" s="4335" t="s">
        <v>1571</v>
      </c>
      <c r="N10555" s="4323" t="s">
        <v>1776</v>
      </c>
      <c r="O10555" s="3884" t="s">
        <v>1563</v>
      </c>
      <c r="P10555" s="1336" t="s">
        <v>1562</v>
      </c>
      <c r="Q10555" s="3389"/>
      <c r="R10555" s="1699" t="s">
        <v>1327</v>
      </c>
    </row>
    <row r="10556" spans="1:18" s="16" customFormat="1">
      <c r="A10556" s="1662" t="s">
        <v>3736</v>
      </c>
      <c r="B10556" s="4326"/>
      <c r="C10556" s="3886"/>
      <c r="D10556" s="4328"/>
      <c r="E10556" s="4330"/>
      <c r="F10556" s="4336"/>
      <c r="G10556" s="4332"/>
      <c r="H10556" s="4332"/>
      <c r="I10556" s="1345">
        <v>16</v>
      </c>
      <c r="J10556" s="1307">
        <v>1</v>
      </c>
      <c r="K10556" s="1297">
        <f>I10556*J10556</f>
        <v>16</v>
      </c>
      <c r="L10556" s="4334"/>
      <c r="M10556" s="4335"/>
      <c r="N10556" s="4324"/>
      <c r="O10556" s="1298">
        <f>O10558+O10559+O10560+O10561+O10562+O10563+O10565+O10568</f>
        <v>156.16890000000001</v>
      </c>
      <c r="P10556" s="1337">
        <f>O10556*K10556</f>
        <v>2498.7024000000001</v>
      </c>
      <c r="Q10556" s="3390"/>
      <c r="R10556" s="1721">
        <f>P10558+P10559+P10560+P10561+P10562+P10563+P10565+P10568</f>
        <v>2498.7024000000001</v>
      </c>
    </row>
    <row r="10557" spans="1:18">
      <c r="A10557" s="1320"/>
      <c r="B10557" s="22"/>
      <c r="C10557" s="1327"/>
      <c r="D10557" s="1367"/>
      <c r="E10557" s="2121"/>
      <c r="F10557" s="1389" t="s">
        <v>1</v>
      </c>
      <c r="G10557" s="1389"/>
      <c r="H10557" s="1369"/>
      <c r="I10557" s="1409"/>
      <c r="J10557" s="1390"/>
      <c r="K10557" s="1391"/>
      <c r="L10557" s="1559"/>
      <c r="M10557" s="1369"/>
      <c r="N10557" s="1369"/>
      <c r="O10557" s="1369"/>
      <c r="P10557" s="1392"/>
      <c r="Q10557" s="3395"/>
    </row>
    <row r="10558" spans="1:18">
      <c r="A10558" s="1320"/>
      <c r="B10558" s="22"/>
      <c r="C10558" s="1320"/>
      <c r="D10558" s="3967" t="s">
        <v>1252</v>
      </c>
      <c r="E10558" s="3968" t="s">
        <v>1527</v>
      </c>
      <c r="F10558" s="3975" t="s">
        <v>2168</v>
      </c>
      <c r="G10558" s="3976">
        <v>9.09</v>
      </c>
      <c r="H10558" s="3913"/>
      <c r="I10558" s="1289"/>
      <c r="J10558" s="2027"/>
      <c r="K10558" s="1307">
        <f>G10558*K10556</f>
        <v>145.44</v>
      </c>
      <c r="L10558" s="1335">
        <f t="shared" ref="L10558:L10563" si="1391">K10558*$K$10473</f>
        <v>0</v>
      </c>
      <c r="M10558" s="1302">
        <v>0.16</v>
      </c>
      <c r="N10558" s="1700"/>
      <c r="O10558" s="1290">
        <f t="shared" ref="O10558:O10563" si="1392">G10558*M10558</f>
        <v>1.4543999999999999</v>
      </c>
      <c r="P10558" s="1332">
        <f t="shared" ref="P10558:P10563" si="1393">M10558*K10558</f>
        <v>23.270399999999999</v>
      </c>
      <c r="Q10558" s="3395"/>
    </row>
    <row r="10559" spans="1:18">
      <c r="A10559" s="1320"/>
      <c r="B10559" s="22"/>
      <c r="C10559" s="1320"/>
      <c r="D10559" s="3967" t="s">
        <v>3746</v>
      </c>
      <c r="E10559" s="3968" t="s">
        <v>1527</v>
      </c>
      <c r="F10559" s="3975" t="s">
        <v>3747</v>
      </c>
      <c r="G10559" s="3976">
        <v>5</v>
      </c>
      <c r="H10559" s="3913"/>
      <c r="I10559" s="1289"/>
      <c r="J10559" s="2027"/>
      <c r="K10559" s="1307">
        <f>G10559*K10556</f>
        <v>80</v>
      </c>
      <c r="L10559" s="1335">
        <f t="shared" si="1391"/>
        <v>0</v>
      </c>
      <c r="M10559" s="1302">
        <v>13.31</v>
      </c>
      <c r="N10559" s="1700"/>
      <c r="O10559" s="1290">
        <f t="shared" si="1392"/>
        <v>66.55</v>
      </c>
      <c r="P10559" s="1332">
        <f t="shared" si="1393"/>
        <v>1064.8</v>
      </c>
      <c r="Q10559" s="3395"/>
    </row>
    <row r="10560" spans="1:18">
      <c r="A10560" s="1320"/>
      <c r="B10560" s="22"/>
      <c r="C10560" s="1320"/>
      <c r="D10560" s="3967" t="s">
        <v>3748</v>
      </c>
      <c r="E10560" s="3968" t="s">
        <v>1504</v>
      </c>
      <c r="F10560" s="3975" t="s">
        <v>3749</v>
      </c>
      <c r="G10560" s="3976">
        <v>1</v>
      </c>
      <c r="H10560" s="3913"/>
      <c r="I10560" s="1289"/>
      <c r="J10560" s="2027"/>
      <c r="K10560" s="1307">
        <f>G10560*K10556</f>
        <v>16</v>
      </c>
      <c r="L10560" s="1335">
        <f t="shared" si="1391"/>
        <v>0</v>
      </c>
      <c r="M10560" s="1302">
        <v>24.1</v>
      </c>
      <c r="N10560" s="1700"/>
      <c r="O10560" s="1290">
        <f t="shared" si="1392"/>
        <v>24.1</v>
      </c>
      <c r="P10560" s="1332">
        <f t="shared" si="1393"/>
        <v>385.6</v>
      </c>
      <c r="Q10560" s="3395"/>
    </row>
    <row r="10561" spans="1:18">
      <c r="A10561" s="1042"/>
      <c r="B10561" s="22"/>
      <c r="C10561" s="1042"/>
      <c r="D10561" s="3964" t="s">
        <v>3750</v>
      </c>
      <c r="E10561" s="3965" t="s">
        <v>1527</v>
      </c>
      <c r="F10561" s="3966" t="s">
        <v>3751</v>
      </c>
      <c r="G10561" s="3977">
        <v>10</v>
      </c>
      <c r="H10561" s="1674"/>
      <c r="I10561" s="1289"/>
      <c r="J10561" s="8"/>
      <c r="K10561" s="1307">
        <f>G10561*K10556</f>
        <v>160</v>
      </c>
      <c r="L10561" s="1335">
        <f t="shared" si="1391"/>
        <v>0</v>
      </c>
      <c r="M10561" s="1302">
        <v>1.19</v>
      </c>
      <c r="N10561" s="1700"/>
      <c r="O10561" s="1290">
        <f t="shared" si="1392"/>
        <v>11.899999999999999</v>
      </c>
      <c r="P10561" s="1332">
        <f t="shared" si="1393"/>
        <v>190.39999999999998</v>
      </c>
      <c r="Q10561" s="3391"/>
    </row>
    <row r="10562" spans="1:18">
      <c r="A10562" s="1042"/>
      <c r="B10562" s="22"/>
      <c r="C10562" s="1042"/>
      <c r="D10562" s="3964" t="s">
        <v>1097</v>
      </c>
      <c r="E10562" s="3965" t="s">
        <v>1504</v>
      </c>
      <c r="F10562" s="3966" t="s">
        <v>1632</v>
      </c>
      <c r="G10562" s="3977">
        <v>2</v>
      </c>
      <c r="H10562" s="1369"/>
      <c r="I10562" s="1289"/>
      <c r="J10562" s="8"/>
      <c r="K10562" s="1307">
        <f>G10562*K10556</f>
        <v>32</v>
      </c>
      <c r="L10562" s="1335">
        <f t="shared" si="1391"/>
        <v>0</v>
      </c>
      <c r="M10562" s="1302">
        <v>0.55000000000000004</v>
      </c>
      <c r="N10562" s="1700"/>
      <c r="O10562" s="1290">
        <f t="shared" si="1392"/>
        <v>1.1000000000000001</v>
      </c>
      <c r="P10562" s="1332">
        <f t="shared" si="1393"/>
        <v>17.600000000000001</v>
      </c>
      <c r="Q10562" s="3391"/>
    </row>
    <row r="10563" spans="1:18">
      <c r="A10563" s="1042"/>
      <c r="B10563" s="22"/>
      <c r="C10563" s="1042"/>
      <c r="D10563" s="3964" t="s">
        <v>1082</v>
      </c>
      <c r="E10563" s="3965" t="s">
        <v>1504</v>
      </c>
      <c r="F10563" s="3966" t="s">
        <v>1541</v>
      </c>
      <c r="G10563" s="3977">
        <v>1</v>
      </c>
      <c r="H10563" s="1369"/>
      <c r="I10563" s="1299"/>
      <c r="J10563" s="1300"/>
      <c r="K10563" s="1307">
        <f>G10563*K10556</f>
        <v>16</v>
      </c>
      <c r="L10563" s="1335">
        <f t="shared" si="1391"/>
        <v>0</v>
      </c>
      <c r="M10563" s="1302">
        <v>0.3</v>
      </c>
      <c r="N10563" s="1700"/>
      <c r="O10563" s="1290">
        <f t="shared" si="1392"/>
        <v>0.3</v>
      </c>
      <c r="P10563" s="1332">
        <f t="shared" si="1393"/>
        <v>4.8</v>
      </c>
      <c r="Q10563" s="3391"/>
    </row>
    <row r="10564" spans="1:18">
      <c r="A10564" s="1042"/>
      <c r="B10564" s="22"/>
      <c r="C10564" s="1042"/>
      <c r="D10564" s="1359"/>
      <c r="E10564" s="1858"/>
      <c r="F10564" s="1360" t="s">
        <v>2</v>
      </c>
      <c r="G10564" s="1360"/>
      <c r="H10564" s="1362"/>
      <c r="I10564" s="1380"/>
      <c r="J10564" s="1381"/>
      <c r="K10564" s="1381"/>
      <c r="L10564" s="1458"/>
      <c r="M10564" s="1362"/>
      <c r="N10564" s="1362"/>
      <c r="O10564" s="1362"/>
      <c r="P10564" s="1359"/>
      <c r="Q10564" s="3387"/>
    </row>
    <row r="10565" spans="1:18">
      <c r="A10565" s="553"/>
      <c r="B10565" s="1042"/>
      <c r="C10565" s="3953" t="s">
        <v>1523</v>
      </c>
      <c r="D10565" s="3950"/>
      <c r="E10565" s="2128" t="s">
        <v>1508</v>
      </c>
      <c r="F10565" s="2248" t="s">
        <v>1524</v>
      </c>
      <c r="G10565" s="1338"/>
      <c r="H10565" s="1344">
        <v>0.45</v>
      </c>
      <c r="I10565" s="1388"/>
      <c r="J10565" s="1366"/>
      <c r="K10565" s="1448"/>
      <c r="L10565" s="1457"/>
      <c r="M10565" s="1503"/>
      <c r="N10565" s="1447">
        <f>SUM(N10566:N10567)</f>
        <v>37.510000000000005</v>
      </c>
      <c r="O10565" s="1447">
        <f>SUM(O10566:O10567)</f>
        <v>16.8795</v>
      </c>
      <c r="P10565" s="1447">
        <f>SUM(P10566:P10567)</f>
        <v>270.072</v>
      </c>
      <c r="Q10565" s="3391"/>
    </row>
    <row r="10566" spans="1:18">
      <c r="A10566" s="553"/>
      <c r="B10566" s="1042"/>
      <c r="C10566" s="3954"/>
      <c r="D10566" s="3951" t="s">
        <v>1067</v>
      </c>
      <c r="E10566" s="1857" t="s">
        <v>1508</v>
      </c>
      <c r="F10566" s="1403" t="s">
        <v>5</v>
      </c>
      <c r="G10566" s="1362">
        <v>1</v>
      </c>
      <c r="H10566" s="1359">
        <f>H10565*G10566</f>
        <v>0.45</v>
      </c>
      <c r="I10566" s="198"/>
      <c r="J10566" s="6"/>
      <c r="K10566" s="1307">
        <f>H10566*K10556</f>
        <v>7.2</v>
      </c>
      <c r="L10566" s="1335">
        <f t="shared" ref="L10566:L10567" si="1394">K10566*$K$10473</f>
        <v>0</v>
      </c>
      <c r="M10566" s="1499">
        <v>18.28</v>
      </c>
      <c r="N10566" s="1724">
        <f>G10566*M10566</f>
        <v>18.28</v>
      </c>
      <c r="O10566" s="1290">
        <f>H10566*M10566</f>
        <v>8.2260000000000009</v>
      </c>
      <c r="P10566" s="1332">
        <f>M10566*K10566</f>
        <v>131.61600000000001</v>
      </c>
      <c r="Q10566" s="3391"/>
    </row>
    <row r="10567" spans="1:18">
      <c r="A10567" s="553"/>
      <c r="B10567" s="1042"/>
      <c r="C10567" s="1042"/>
      <c r="D10567" s="3951" t="s">
        <v>1077</v>
      </c>
      <c r="E10567" s="1857" t="s">
        <v>1508</v>
      </c>
      <c r="F10567" s="1403" t="s">
        <v>37</v>
      </c>
      <c r="G10567" s="1362">
        <v>1</v>
      </c>
      <c r="H10567" s="1359">
        <f>H10565*G10567</f>
        <v>0.45</v>
      </c>
      <c r="I10567" s="198"/>
      <c r="J10567" s="6"/>
      <c r="K10567" s="1307">
        <f>H10567*K10556</f>
        <v>7.2</v>
      </c>
      <c r="L10567" s="1335">
        <f t="shared" si="1394"/>
        <v>0</v>
      </c>
      <c r="M10567" s="1499">
        <v>19.23</v>
      </c>
      <c r="N10567" s="1724">
        <f>G10567*M10567</f>
        <v>19.23</v>
      </c>
      <c r="O10567" s="1290">
        <f>H10567*M10567</f>
        <v>8.6535000000000011</v>
      </c>
      <c r="P10567" s="1332">
        <f>M10567*K10567</f>
        <v>138.45600000000002</v>
      </c>
      <c r="Q10567" s="3391"/>
    </row>
    <row r="10568" spans="1:18">
      <c r="A10568" s="22"/>
      <c r="B10568" s="1599"/>
      <c r="C10568" s="1938" t="s">
        <v>2649</v>
      </c>
      <c r="D10568" s="1311"/>
      <c r="E10568" s="2176" t="s">
        <v>1508</v>
      </c>
      <c r="F10568" s="1648" t="s">
        <v>2650</v>
      </c>
      <c r="G10568" s="1990"/>
      <c r="H10568" s="1954">
        <v>0.9</v>
      </c>
      <c r="I10568" s="1444"/>
      <c r="J10568" s="1388"/>
      <c r="K10568" s="1445"/>
      <c r="L10568" s="1457"/>
      <c r="M10568" s="1447"/>
      <c r="N10568" s="1447">
        <f>SUM(N10569:N10570)</f>
        <v>37.650000000000006</v>
      </c>
      <c r="O10568" s="1447">
        <f>SUM(O10569:O10570)</f>
        <v>33.885000000000005</v>
      </c>
      <c r="P10568" s="1447">
        <f>SUM(P10569:P10570)</f>
        <v>542.16000000000008</v>
      </c>
      <c r="Q10568" s="3391"/>
      <c r="R10568" s="2337"/>
    </row>
    <row r="10569" spans="1:18" s="16" customFormat="1">
      <c r="A10569" s="22"/>
      <c r="B10569" s="1599"/>
      <c r="C10569" s="1327"/>
      <c r="D10569" s="1430" t="s">
        <v>2691</v>
      </c>
      <c r="E10569" s="1857" t="s">
        <v>1508</v>
      </c>
      <c r="F10569" s="1403" t="s">
        <v>2692</v>
      </c>
      <c r="G10569" s="1991">
        <v>1</v>
      </c>
      <c r="H10569" s="1937">
        <f>G10569*H10568</f>
        <v>0.9</v>
      </c>
      <c r="I10569" s="1286"/>
      <c r="J10569" s="198"/>
      <c r="K10569" s="1307">
        <f>H10569*K10556</f>
        <v>14.4</v>
      </c>
      <c r="L10569" s="1335">
        <f t="shared" ref="L10569:L10570" si="1395">K10569*$K$10473</f>
        <v>0</v>
      </c>
      <c r="M10569" s="1302">
        <v>19.23</v>
      </c>
      <c r="N10569" s="1718">
        <f>G10569*M10569</f>
        <v>19.23</v>
      </c>
      <c r="O10569" s="1290">
        <f>H10569*M10569</f>
        <v>17.307000000000002</v>
      </c>
      <c r="P10569" s="1720">
        <f>M10569*K10569</f>
        <v>276.91200000000003</v>
      </c>
      <c r="Q10569" s="3396"/>
      <c r="R10569" s="2337"/>
    </row>
    <row r="10570" spans="1:18" s="16" customFormat="1">
      <c r="A10570" s="22"/>
      <c r="B10570" s="1599"/>
      <c r="C10570" s="1320"/>
      <c r="D10570" s="1430" t="s">
        <v>1110</v>
      </c>
      <c r="E10570" s="1857" t="s">
        <v>1508</v>
      </c>
      <c r="F10570" s="1403" t="s">
        <v>2281</v>
      </c>
      <c r="G10570" s="1991">
        <v>1</v>
      </c>
      <c r="H10570" s="1937">
        <f>G10570*H10568</f>
        <v>0.9</v>
      </c>
      <c r="I10570" s="197"/>
      <c r="J10570" s="198"/>
      <c r="K10570" s="1307">
        <f>H10570*K10556</f>
        <v>14.4</v>
      </c>
      <c r="L10570" s="1335">
        <f t="shared" si="1395"/>
        <v>0</v>
      </c>
      <c r="M10570" s="1302">
        <v>18.420000000000002</v>
      </c>
      <c r="N10570" s="1718">
        <f>G10570*M10570</f>
        <v>18.420000000000002</v>
      </c>
      <c r="O10570" s="1290">
        <f>H10570*M10570</f>
        <v>16.578000000000003</v>
      </c>
      <c r="P10570" s="1720">
        <f>M10570*K10570</f>
        <v>265.24800000000005</v>
      </c>
      <c r="Q10570" s="3396"/>
      <c r="R10570" s="2337"/>
    </row>
    <row r="10571" spans="1:18" s="16" customFormat="1">
      <c r="A10571" s="1320"/>
      <c r="B10571" s="22"/>
      <c r="C10571" s="1320"/>
      <c r="D10571" s="1359"/>
      <c r="E10571" s="1858"/>
      <c r="F10571" s="1361"/>
      <c r="G10571" s="1361"/>
      <c r="H10571" s="1466"/>
      <c r="I10571" s="1299"/>
      <c r="J10571" s="1300"/>
      <c r="K10571" s="1307"/>
      <c r="L10571" s="1335"/>
      <c r="M10571" s="1302"/>
      <c r="N10571" s="1700"/>
      <c r="O10571" s="1290"/>
      <c r="P10571" s="1332"/>
      <c r="Q10571" s="3391"/>
      <c r="R10571" s="2339"/>
    </row>
    <row r="10572" spans="1:18">
      <c r="A10572" s="1320"/>
      <c r="B10572" s="22"/>
      <c r="C10572" s="1320"/>
      <c r="D10572" s="1373"/>
      <c r="E10572" s="2123"/>
      <c r="F10572" s="1374" t="s">
        <v>3</v>
      </c>
      <c r="G10572" s="1375"/>
      <c r="H10572" s="1376"/>
      <c r="I10572" s="1382"/>
      <c r="J10572" s="1383"/>
      <c r="K10572" s="1383"/>
      <c r="L10572" s="1413"/>
      <c r="M10572" s="1376"/>
      <c r="N10572" s="1376"/>
      <c r="O10572" s="1376"/>
      <c r="P10572" s="1373"/>
      <c r="Q10572" s="3387"/>
    </row>
    <row r="10573" spans="1:18">
      <c r="A10573" s="1321"/>
      <c r="B10573" s="1295"/>
      <c r="C10573" s="1321"/>
      <c r="D10573" s="1377"/>
      <c r="E10573" s="2124"/>
      <c r="F10573" s="1378"/>
      <c r="G10573" s="1378"/>
      <c r="H10573" s="1379"/>
      <c r="I10573" s="1299"/>
      <c r="J10573" s="1300"/>
      <c r="K10573" s="1307"/>
      <c r="L10573" s="1335"/>
      <c r="M10573" s="1302"/>
      <c r="N10573" s="1700"/>
      <c r="O10573" s="1290"/>
      <c r="P10573" s="1332"/>
      <c r="Q10573" s="3391"/>
    </row>
    <row r="10574" spans="1:18">
      <c r="A10574" s="1321"/>
      <c r="B10574" s="1295"/>
      <c r="C10574" s="1321"/>
      <c r="D10574" s="1377"/>
      <c r="E10574" s="2124"/>
      <c r="F10574" s="1378"/>
      <c r="G10574" s="1378"/>
      <c r="H10574" s="1379"/>
      <c r="I10574" s="1299"/>
      <c r="J10574" s="1300"/>
      <c r="K10574" s="1307"/>
      <c r="L10574" s="1335"/>
      <c r="M10574" s="1302"/>
      <c r="N10574" s="1700"/>
      <c r="O10574" s="1290"/>
      <c r="P10574" s="1333"/>
      <c r="Q10574" s="3391"/>
    </row>
    <row r="10575" spans="1:18">
      <c r="A10575" s="1042"/>
      <c r="B10575" s="22"/>
      <c r="C10575" s="1042"/>
      <c r="D10575" s="1677"/>
      <c r="E10575" s="2161"/>
      <c r="F10575" s="1678"/>
      <c r="G10575" s="1678"/>
      <c r="H10575" s="1376"/>
      <c r="I10575" s="1299"/>
      <c r="J10575" s="1300"/>
      <c r="K10575" s="1307"/>
      <c r="L10575" s="1335"/>
      <c r="M10575" s="1302"/>
      <c r="N10575" s="1700"/>
      <c r="O10575" s="1290"/>
      <c r="P10575" s="1332"/>
      <c r="Q10575" s="3391"/>
    </row>
    <row r="10576" spans="1:18">
      <c r="A10576" s="18" t="s">
        <v>3764</v>
      </c>
      <c r="B10576" s="4370" t="s">
        <v>3752</v>
      </c>
      <c r="C10576" s="3972"/>
      <c r="D10576" s="4371"/>
      <c r="E10576" s="4329" t="s">
        <v>1504</v>
      </c>
      <c r="F10576" s="4336" t="s">
        <v>3753</v>
      </c>
      <c r="G10576" s="4331" t="s">
        <v>1568</v>
      </c>
      <c r="H10576" s="4331" t="s">
        <v>1574</v>
      </c>
      <c r="I10576" s="1572" t="s">
        <v>1559</v>
      </c>
      <c r="J10576" s="1294" t="s">
        <v>1560</v>
      </c>
      <c r="K10576" s="1294" t="s">
        <v>1569</v>
      </c>
      <c r="L10576" s="4333" t="s">
        <v>3765</v>
      </c>
      <c r="M10576" s="4335" t="s">
        <v>1571</v>
      </c>
      <c r="N10576" s="4323" t="s">
        <v>1776</v>
      </c>
      <c r="O10576" s="3884" t="s">
        <v>1563</v>
      </c>
      <c r="P10576" s="1336" t="s">
        <v>1562</v>
      </c>
      <c r="Q10576" s="3389"/>
      <c r="R10576" s="1699" t="s">
        <v>1327</v>
      </c>
    </row>
    <row r="10577" spans="1:18">
      <c r="A10577" s="1662" t="s">
        <v>3736</v>
      </c>
      <c r="B10577" s="4326"/>
      <c r="C10577" s="3886"/>
      <c r="D10577" s="4328"/>
      <c r="E10577" s="4330"/>
      <c r="F10577" s="4336"/>
      <c r="G10577" s="4332"/>
      <c r="H10577" s="4332"/>
      <c r="I10577" s="1345">
        <v>1</v>
      </c>
      <c r="J10577" s="1307">
        <v>1</v>
      </c>
      <c r="K10577" s="1297">
        <f>I10577*J10577</f>
        <v>1</v>
      </c>
      <c r="L10577" s="4334"/>
      <c r="M10577" s="4335"/>
      <c r="N10577" s="4324"/>
      <c r="O10577" s="1298">
        <f>O10579+O10580+O10583</f>
        <v>45.912500000000001</v>
      </c>
      <c r="P10577" s="1337">
        <f>O10577*K10577</f>
        <v>45.912500000000001</v>
      </c>
      <c r="Q10577" s="3390"/>
      <c r="R10577" s="1721">
        <f>P10579+P10580+P10583</f>
        <v>45.912500000000001</v>
      </c>
    </row>
    <row r="10578" spans="1:18">
      <c r="A10578" s="1320"/>
      <c r="B10578" s="22"/>
      <c r="C10578" s="1327"/>
      <c r="D10578" s="1367"/>
      <c r="E10578" s="2121"/>
      <c r="F10578" s="1389" t="s">
        <v>1</v>
      </c>
      <c r="G10578" s="1389"/>
      <c r="H10578" s="1369"/>
      <c r="I10578" s="1409"/>
      <c r="J10578" s="1390"/>
      <c r="K10578" s="1391"/>
      <c r="L10578" s="1559"/>
      <c r="M10578" s="1369"/>
      <c r="N10578" s="1369"/>
      <c r="O10578" s="1369"/>
      <c r="P10578" s="1392"/>
      <c r="Q10578" s="3395"/>
    </row>
    <row r="10579" spans="1:18">
      <c r="A10579" s="1042"/>
      <c r="B10579" s="22"/>
      <c r="C10579" s="1042"/>
      <c r="D10579" s="3964" t="s">
        <v>3754</v>
      </c>
      <c r="E10579" s="3965" t="s">
        <v>1504</v>
      </c>
      <c r="F10579" s="3966" t="s">
        <v>3755</v>
      </c>
      <c r="G10579" s="3970">
        <v>1</v>
      </c>
      <c r="H10579" s="1674"/>
      <c r="I10579" s="1299"/>
      <c r="J10579" s="1300"/>
      <c r="K10579" s="1307">
        <f>G10579*K10577</f>
        <v>1</v>
      </c>
      <c r="L10579" s="1335">
        <f t="shared" ref="L10579:L10580" si="1396">K10579*$K$10473</f>
        <v>0</v>
      </c>
      <c r="M10579" s="1302">
        <v>36.200000000000003</v>
      </c>
      <c r="N10579" s="1700"/>
      <c r="O10579" s="1290">
        <f t="shared" ref="O10579:O10580" si="1397">G10579*M10579</f>
        <v>36.200000000000003</v>
      </c>
      <c r="P10579" s="1332">
        <f t="shared" ref="P10579:P10580" si="1398">M10579*K10579</f>
        <v>36.200000000000003</v>
      </c>
      <c r="Q10579" s="3391"/>
    </row>
    <row r="10580" spans="1:18">
      <c r="A10580" s="1042"/>
      <c r="B10580" s="22"/>
      <c r="C10580" s="1042"/>
      <c r="D10580" s="3964" t="s">
        <v>1082</v>
      </c>
      <c r="E10580" s="3965" t="s">
        <v>1504</v>
      </c>
      <c r="F10580" s="3966" t="s">
        <v>1541</v>
      </c>
      <c r="G10580" s="3970">
        <v>1</v>
      </c>
      <c r="H10580" s="1369"/>
      <c r="I10580" s="1299"/>
      <c r="J10580" s="1300"/>
      <c r="K10580" s="1307">
        <f>G10580*K10577</f>
        <v>1</v>
      </c>
      <c r="L10580" s="1335">
        <f t="shared" si="1396"/>
        <v>0</v>
      </c>
      <c r="M10580" s="1302">
        <v>0.3</v>
      </c>
      <c r="N10580" s="1700"/>
      <c r="O10580" s="1290">
        <f t="shared" si="1397"/>
        <v>0.3</v>
      </c>
      <c r="P10580" s="1332">
        <f t="shared" si="1398"/>
        <v>0.3</v>
      </c>
      <c r="Q10580" s="3391"/>
    </row>
    <row r="10581" spans="1:18">
      <c r="A10581" s="1042"/>
      <c r="B10581" s="22"/>
      <c r="C10581" s="1042"/>
      <c r="D10581" s="1367"/>
      <c r="E10581" s="2121"/>
      <c r="F10581" s="1436"/>
      <c r="G10581" s="1436"/>
      <c r="H10581" s="1369"/>
      <c r="I10581" s="1299"/>
      <c r="J10581" s="1300"/>
      <c r="K10581" s="1307"/>
      <c r="L10581" s="1335"/>
      <c r="M10581" s="1302"/>
      <c r="N10581" s="1700"/>
      <c r="O10581" s="1290"/>
      <c r="P10581" s="1332"/>
      <c r="Q10581" s="3391"/>
    </row>
    <row r="10582" spans="1:18">
      <c r="A10582" s="1042"/>
      <c r="B10582" s="22"/>
      <c r="C10582" s="1042"/>
      <c r="D10582" s="1359"/>
      <c r="E10582" s="1858"/>
      <c r="F10582" s="1360" t="s">
        <v>2</v>
      </c>
      <c r="G10582" s="1360"/>
      <c r="H10582" s="1362"/>
      <c r="I10582" s="1380"/>
      <c r="J10582" s="1381"/>
      <c r="K10582" s="1381"/>
      <c r="L10582" s="1458"/>
      <c r="M10582" s="1362"/>
      <c r="N10582" s="1362"/>
      <c r="O10582" s="1362"/>
      <c r="P10582" s="1359"/>
      <c r="Q10582" s="3387"/>
    </row>
    <row r="10583" spans="1:18">
      <c r="A10583" s="22"/>
      <c r="B10583" s="1599"/>
      <c r="C10583" s="1938" t="s">
        <v>2649</v>
      </c>
      <c r="D10583" s="1311"/>
      <c r="E10583" s="2176" t="s">
        <v>1508</v>
      </c>
      <c r="F10583" s="1648" t="s">
        <v>2650</v>
      </c>
      <c r="G10583" s="1990"/>
      <c r="H10583" s="1954">
        <v>0.25</v>
      </c>
      <c r="I10583" s="1444"/>
      <c r="J10583" s="1388"/>
      <c r="K10583" s="1445"/>
      <c r="L10583" s="1457"/>
      <c r="M10583" s="1447"/>
      <c r="N10583" s="1447">
        <f>SUM(N10584:N10585)</f>
        <v>37.650000000000006</v>
      </c>
      <c r="O10583" s="1447">
        <f>SUM(O10584:O10585)</f>
        <v>9.4125000000000014</v>
      </c>
      <c r="P10583" s="1447">
        <f>SUM(P10584:P10585)</f>
        <v>9.4125000000000014</v>
      </c>
      <c r="Q10583" s="3391"/>
      <c r="R10583" s="2337"/>
    </row>
    <row r="10584" spans="1:18">
      <c r="A10584" s="22"/>
      <c r="B10584" s="1599"/>
      <c r="C10584" s="1327"/>
      <c r="D10584" s="1430" t="s">
        <v>2691</v>
      </c>
      <c r="E10584" s="1857" t="s">
        <v>1508</v>
      </c>
      <c r="F10584" s="1403" t="s">
        <v>2692</v>
      </c>
      <c r="G10584" s="1991">
        <v>1</v>
      </c>
      <c r="H10584" s="1937">
        <f>G10584*H10583</f>
        <v>0.25</v>
      </c>
      <c r="I10584" s="1286"/>
      <c r="J10584" s="198"/>
      <c r="K10584" s="1307">
        <f>H10584*K10577</f>
        <v>0.25</v>
      </c>
      <c r="L10584" s="1335">
        <f t="shared" ref="L10584:L10585" si="1399">K10584*$K$10473</f>
        <v>0</v>
      </c>
      <c r="M10584" s="1302">
        <v>19.23</v>
      </c>
      <c r="N10584" s="1718">
        <f>G10584*M10584</f>
        <v>19.23</v>
      </c>
      <c r="O10584" s="1290">
        <f>H10584*M10584</f>
        <v>4.8075000000000001</v>
      </c>
      <c r="P10584" s="1720">
        <f>M10584*K10584</f>
        <v>4.8075000000000001</v>
      </c>
      <c r="Q10584" s="3396"/>
      <c r="R10584" s="2337"/>
    </row>
    <row r="10585" spans="1:18">
      <c r="A10585" s="22"/>
      <c r="B10585" s="1599"/>
      <c r="C10585" s="1320"/>
      <c r="D10585" s="1430" t="s">
        <v>1110</v>
      </c>
      <c r="E10585" s="1857" t="s">
        <v>1508</v>
      </c>
      <c r="F10585" s="1403" t="s">
        <v>2281</v>
      </c>
      <c r="G10585" s="1991">
        <v>1</v>
      </c>
      <c r="H10585" s="1937">
        <f>G10585*H10583</f>
        <v>0.25</v>
      </c>
      <c r="I10585" s="197"/>
      <c r="J10585" s="198"/>
      <c r="K10585" s="1307">
        <f>H10585*K10577</f>
        <v>0.25</v>
      </c>
      <c r="L10585" s="1335">
        <f t="shared" si="1399"/>
        <v>0</v>
      </c>
      <c r="M10585" s="1302">
        <v>18.420000000000002</v>
      </c>
      <c r="N10585" s="1718">
        <f>G10585*M10585</f>
        <v>18.420000000000002</v>
      </c>
      <c r="O10585" s="1290">
        <f>H10585*M10585</f>
        <v>4.6050000000000004</v>
      </c>
      <c r="P10585" s="1720">
        <f>M10585*K10585</f>
        <v>4.6050000000000004</v>
      </c>
      <c r="Q10585" s="3396"/>
      <c r="R10585" s="2337"/>
    </row>
    <row r="10586" spans="1:18">
      <c r="A10586" s="1320"/>
      <c r="B10586" s="22"/>
      <c r="C10586" s="1320"/>
      <c r="D10586" s="1359"/>
      <c r="E10586" s="1858"/>
      <c r="F10586" s="1361"/>
      <c r="G10586" s="1361"/>
      <c r="H10586" s="1466"/>
      <c r="I10586" s="1299"/>
      <c r="J10586" s="1300"/>
      <c r="K10586" s="1307"/>
      <c r="L10586" s="1335"/>
      <c r="M10586" s="1302"/>
      <c r="N10586" s="1700"/>
      <c r="O10586" s="1290"/>
      <c r="P10586" s="1332"/>
      <c r="Q10586" s="3391"/>
    </row>
    <row r="10587" spans="1:18">
      <c r="A10587" s="1320"/>
      <c r="B10587" s="22"/>
      <c r="C10587" s="1320"/>
      <c r="D10587" s="1373"/>
      <c r="E10587" s="2123"/>
      <c r="F10587" s="1374" t="s">
        <v>3</v>
      </c>
      <c r="G10587" s="1375"/>
      <c r="H10587" s="1376"/>
      <c r="I10587" s="1382"/>
      <c r="J10587" s="1383"/>
      <c r="K10587" s="1383"/>
      <c r="L10587" s="1413"/>
      <c r="M10587" s="1376"/>
      <c r="N10587" s="1376"/>
      <c r="O10587" s="1376"/>
      <c r="P10587" s="1373"/>
      <c r="Q10587" s="3387"/>
    </row>
    <row r="10588" spans="1:18">
      <c r="A10588" s="1321"/>
      <c r="B10588" s="1295"/>
      <c r="C10588" s="1321"/>
      <c r="D10588" s="1377"/>
      <c r="E10588" s="2124"/>
      <c r="F10588" s="1378"/>
      <c r="G10588" s="1378"/>
      <c r="H10588" s="1379"/>
      <c r="I10588" s="1299"/>
      <c r="J10588" s="1300"/>
      <c r="K10588" s="1307"/>
      <c r="L10588" s="1335"/>
      <c r="M10588" s="1302"/>
      <c r="N10588" s="1700"/>
      <c r="O10588" s="1290"/>
      <c r="P10588" s="1332"/>
      <c r="Q10588" s="3391"/>
    </row>
    <row r="10589" spans="1:18" s="16" customFormat="1">
      <c r="A10589" s="1321"/>
      <c r="B10589" s="1295"/>
      <c r="C10589" s="1321"/>
      <c r="D10589" s="1377"/>
      <c r="E10589" s="2124"/>
      <c r="F10589" s="1378"/>
      <c r="G10589" s="1378"/>
      <c r="H10589" s="1379"/>
      <c r="I10589" s="1299"/>
      <c r="J10589" s="1300"/>
      <c r="K10589" s="1307"/>
      <c r="L10589" s="1335"/>
      <c r="M10589" s="1302"/>
      <c r="N10589" s="1700"/>
      <c r="O10589" s="1290"/>
      <c r="P10589" s="1333"/>
      <c r="Q10589" s="3391"/>
      <c r="R10589" s="2339"/>
    </row>
    <row r="10590" spans="1:18" s="16" customFormat="1">
      <c r="A10590" s="1042"/>
      <c r="B10590" s="22"/>
      <c r="C10590" s="1042"/>
      <c r="D10590" s="1677"/>
      <c r="E10590" s="2161"/>
      <c r="F10590" s="1678"/>
      <c r="G10590" s="1678"/>
      <c r="H10590" s="1376"/>
      <c r="I10590" s="1299"/>
      <c r="J10590" s="1300"/>
      <c r="K10590" s="1307"/>
      <c r="L10590" s="1335"/>
      <c r="M10590" s="1302"/>
      <c r="N10590" s="1700"/>
      <c r="O10590" s="1290"/>
      <c r="P10590" s="1332"/>
      <c r="Q10590" s="3391"/>
      <c r="R10590" s="2339"/>
    </row>
    <row r="10591" spans="1:18" s="16" customFormat="1">
      <c r="A10591" s="18" t="s">
        <v>3764</v>
      </c>
      <c r="B10591" s="4370" t="s">
        <v>3756</v>
      </c>
      <c r="C10591" s="3972"/>
      <c r="D10591" s="4371"/>
      <c r="E10591" s="4329" t="s">
        <v>1527</v>
      </c>
      <c r="F10591" s="4336" t="s">
        <v>3757</v>
      </c>
      <c r="G10591" s="4331" t="s">
        <v>1568</v>
      </c>
      <c r="H10591" s="4331" t="s">
        <v>1574</v>
      </c>
      <c r="I10591" s="1572" t="s">
        <v>1559</v>
      </c>
      <c r="J10591" s="1294" t="s">
        <v>1560</v>
      </c>
      <c r="K10591" s="1294" t="s">
        <v>1569</v>
      </c>
      <c r="L10591" s="4333" t="s">
        <v>3765</v>
      </c>
      <c r="M10591" s="4335" t="s">
        <v>1571</v>
      </c>
      <c r="N10591" s="4323" t="s">
        <v>1776</v>
      </c>
      <c r="O10591" s="3884" t="s">
        <v>1563</v>
      </c>
      <c r="P10591" s="1336" t="s">
        <v>1562</v>
      </c>
      <c r="Q10591" s="3389"/>
      <c r="R10591" s="1699" t="s">
        <v>1327</v>
      </c>
    </row>
    <row r="10592" spans="1:18">
      <c r="A10592" s="1662" t="s">
        <v>3736</v>
      </c>
      <c r="B10592" s="4326"/>
      <c r="C10592" s="3886"/>
      <c r="D10592" s="4328"/>
      <c r="E10592" s="4330"/>
      <c r="F10592" s="4336"/>
      <c r="G10592" s="4332"/>
      <c r="H10592" s="4332"/>
      <c r="I10592" s="1345">
        <v>13</v>
      </c>
      <c r="J10592" s="1307">
        <v>1</v>
      </c>
      <c r="K10592" s="1297">
        <f>I10592*J10592</f>
        <v>13</v>
      </c>
      <c r="L10592" s="4334"/>
      <c r="M10592" s="4335"/>
      <c r="N10592" s="4324"/>
      <c r="O10592" s="1298">
        <f>O10594+O10595+O10596+O10597+O10600+O10603</f>
        <v>5.6386000000000003</v>
      </c>
      <c r="P10592" s="1337">
        <f>O10592*K10592</f>
        <v>73.3018</v>
      </c>
      <c r="Q10592" s="3390"/>
      <c r="R10592" s="1721">
        <f>P10594+P10595+P10596+P10597+P10600+P10603</f>
        <v>73.301800000000014</v>
      </c>
    </row>
    <row r="10593" spans="1:18">
      <c r="A10593" s="1320"/>
      <c r="B10593" s="22"/>
      <c r="C10593" s="1327"/>
      <c r="D10593" s="1367"/>
      <c r="E10593" s="2121"/>
      <c r="F10593" s="1389" t="s">
        <v>1</v>
      </c>
      <c r="G10593" s="1389"/>
      <c r="H10593" s="1369"/>
      <c r="I10593" s="1409"/>
      <c r="J10593" s="1390"/>
      <c r="K10593" s="1391"/>
      <c r="L10593" s="1559"/>
      <c r="M10593" s="1369"/>
      <c r="N10593" s="1369"/>
      <c r="O10593" s="1369"/>
      <c r="P10593" s="1392"/>
      <c r="Q10593" s="3395"/>
    </row>
    <row r="10594" spans="1:18">
      <c r="A10594" s="1042"/>
      <c r="B10594" s="22"/>
      <c r="C10594" s="1042"/>
      <c r="D10594" s="3964" t="s">
        <v>1252</v>
      </c>
      <c r="E10594" s="3965" t="s">
        <v>1527</v>
      </c>
      <c r="F10594" s="3966" t="s">
        <v>2168</v>
      </c>
      <c r="G10594" s="3970">
        <v>1.01</v>
      </c>
      <c r="H10594" s="1674"/>
      <c r="I10594" s="1299"/>
      <c r="J10594" s="1300"/>
      <c r="K10594" s="1307">
        <f t="shared" ref="K10594" si="1400">G10594*K10592</f>
        <v>13.13</v>
      </c>
      <c r="L10594" s="1335">
        <f t="shared" ref="L10594:L10597" si="1401">K10594*$K$10473</f>
        <v>0</v>
      </c>
      <c r="M10594" s="1302">
        <v>0.16</v>
      </c>
      <c r="N10594" s="1700"/>
      <c r="O10594" s="1290">
        <f t="shared" ref="O10594:O10597" si="1402">G10594*M10594</f>
        <v>0.16159999999999999</v>
      </c>
      <c r="P10594" s="1332">
        <f t="shared" ref="P10594:P10597" si="1403">M10594*K10594</f>
        <v>2.1008</v>
      </c>
      <c r="Q10594" s="3391"/>
    </row>
    <row r="10595" spans="1:18">
      <c r="A10595" s="1042"/>
      <c r="B10595" s="22"/>
      <c r="C10595" s="1042"/>
      <c r="D10595" s="3967" t="s">
        <v>3750</v>
      </c>
      <c r="E10595" s="3968" t="s">
        <v>1527</v>
      </c>
      <c r="F10595" s="3969" t="s">
        <v>3751</v>
      </c>
      <c r="G10595" s="3971">
        <v>1.1000000000000001</v>
      </c>
      <c r="H10595" s="3963"/>
      <c r="I10595" s="1299"/>
      <c r="J10595" s="3939"/>
      <c r="K10595" s="1307">
        <f t="shared" ref="K10595" si="1404">G10595*K10592</f>
        <v>14.3</v>
      </c>
      <c r="L10595" s="1335">
        <f t="shared" si="1401"/>
        <v>0</v>
      </c>
      <c r="M10595" s="3918">
        <v>1.19</v>
      </c>
      <c r="N10595" s="1700"/>
      <c r="O10595" s="1290">
        <f t="shared" si="1402"/>
        <v>1.3089999999999999</v>
      </c>
      <c r="P10595" s="1332">
        <f t="shared" si="1403"/>
        <v>17.016999999999999</v>
      </c>
      <c r="Q10595" s="3391"/>
    </row>
    <row r="10596" spans="1:18">
      <c r="A10596" s="1042"/>
      <c r="B10596" s="22"/>
      <c r="C10596" s="1042"/>
      <c r="D10596" s="3967" t="s">
        <v>1097</v>
      </c>
      <c r="E10596" s="3968" t="s">
        <v>1504</v>
      </c>
      <c r="F10596" s="3969" t="s">
        <v>1632</v>
      </c>
      <c r="G10596" s="3971">
        <v>0.2</v>
      </c>
      <c r="H10596" s="3963"/>
      <c r="I10596" s="1299"/>
      <c r="J10596" s="3939"/>
      <c r="K10596" s="1307">
        <f>G10596*K10592</f>
        <v>2.6</v>
      </c>
      <c r="L10596" s="1335">
        <f t="shared" si="1401"/>
        <v>0</v>
      </c>
      <c r="M10596" s="3918">
        <v>0.55000000000000004</v>
      </c>
      <c r="N10596" s="1700"/>
      <c r="O10596" s="1290">
        <f t="shared" si="1402"/>
        <v>0.11000000000000001</v>
      </c>
      <c r="P10596" s="1332">
        <f t="shared" si="1403"/>
        <v>1.4300000000000002</v>
      </c>
      <c r="Q10596" s="3391"/>
    </row>
    <row r="10597" spans="1:18" ht="15" customHeight="1">
      <c r="A10597" s="1042"/>
      <c r="B10597" s="22"/>
      <c r="C10597" s="1042"/>
      <c r="D10597" s="3964" t="s">
        <v>1082</v>
      </c>
      <c r="E10597" s="3965" t="s">
        <v>1504</v>
      </c>
      <c r="F10597" s="3966" t="s">
        <v>1541</v>
      </c>
      <c r="G10597" s="3970">
        <v>1</v>
      </c>
      <c r="H10597" s="1369"/>
      <c r="I10597" s="1299"/>
      <c r="J10597" s="1300"/>
      <c r="K10597" s="1307">
        <f>G10597*K10592</f>
        <v>13</v>
      </c>
      <c r="L10597" s="1335">
        <f t="shared" si="1401"/>
        <v>0</v>
      </c>
      <c r="M10597" s="1302">
        <v>0.3</v>
      </c>
      <c r="N10597" s="1700"/>
      <c r="O10597" s="1290">
        <f t="shared" si="1402"/>
        <v>0.3</v>
      </c>
      <c r="P10597" s="1332">
        <f t="shared" si="1403"/>
        <v>3.9</v>
      </c>
      <c r="Q10597" s="3391"/>
    </row>
    <row r="10598" spans="1:18">
      <c r="A10598" s="1042"/>
      <c r="B10598" s="22"/>
      <c r="C10598" s="1042"/>
      <c r="D10598" s="1367"/>
      <c r="E10598" s="2121"/>
      <c r="F10598" s="1436"/>
      <c r="G10598" s="1436"/>
      <c r="H10598" s="1369"/>
      <c r="I10598" s="1299"/>
      <c r="J10598" s="1300"/>
      <c r="K10598" s="1307"/>
      <c r="L10598" s="1335"/>
      <c r="M10598" s="1302"/>
      <c r="N10598" s="1700"/>
      <c r="O10598" s="1290"/>
      <c r="P10598" s="1332"/>
      <c r="Q10598" s="3391"/>
    </row>
    <row r="10599" spans="1:18">
      <c r="A10599" s="1042"/>
      <c r="B10599" s="22"/>
      <c r="C10599" s="1042"/>
      <c r="D10599" s="1359"/>
      <c r="E10599" s="1858"/>
      <c r="F10599" s="1360" t="s">
        <v>2</v>
      </c>
      <c r="G10599" s="1360"/>
      <c r="H10599" s="1362"/>
      <c r="I10599" s="1380"/>
      <c r="J10599" s="1381"/>
      <c r="K10599" s="1381"/>
      <c r="L10599" s="1458"/>
      <c r="M10599" s="1362"/>
      <c r="N10599" s="1362"/>
      <c r="O10599" s="1362"/>
      <c r="P10599" s="1359"/>
      <c r="Q10599" s="3387"/>
    </row>
    <row r="10600" spans="1:18">
      <c r="A10600" s="553"/>
      <c r="B10600" s="1042"/>
      <c r="C10600" s="3953" t="s">
        <v>1523</v>
      </c>
      <c r="D10600" s="3950"/>
      <c r="E10600" s="2128" t="s">
        <v>1508</v>
      </c>
      <c r="F10600" s="2248" t="s">
        <v>1524</v>
      </c>
      <c r="G10600" s="1338"/>
      <c r="H10600" s="1344">
        <v>0.05</v>
      </c>
      <c r="I10600" s="1388"/>
      <c r="J10600" s="1366"/>
      <c r="K10600" s="1448"/>
      <c r="L10600" s="1457"/>
      <c r="M10600" s="1503"/>
      <c r="N10600" s="1447">
        <f>SUM(N10601:N10602)</f>
        <v>37.510000000000005</v>
      </c>
      <c r="O10600" s="1447">
        <f>SUM(O10601:O10602)</f>
        <v>1.8755000000000002</v>
      </c>
      <c r="P10600" s="1447">
        <f>SUM(P10601:P10602)</f>
        <v>24.381500000000003</v>
      </c>
      <c r="Q10600" s="3391"/>
    </row>
    <row r="10601" spans="1:18">
      <c r="A10601" s="553"/>
      <c r="B10601" s="1042"/>
      <c r="C10601" s="3954"/>
      <c r="D10601" s="3951" t="s">
        <v>1067</v>
      </c>
      <c r="E10601" s="1857" t="s">
        <v>1508</v>
      </c>
      <c r="F10601" s="1403" t="s">
        <v>5</v>
      </c>
      <c r="G10601" s="1362">
        <v>1</v>
      </c>
      <c r="H10601" s="1359">
        <f>H10600*G10601</f>
        <v>0.05</v>
      </c>
      <c r="I10601" s="198"/>
      <c r="J10601" s="6"/>
      <c r="K10601" s="1307">
        <f>H10601*K10592</f>
        <v>0.65</v>
      </c>
      <c r="L10601" s="1335">
        <f t="shared" ref="L10601:L10602" si="1405">K10601*$K$10473</f>
        <v>0</v>
      </c>
      <c r="M10601" s="1499">
        <v>18.28</v>
      </c>
      <c r="N10601" s="1724">
        <f>G10601*M10601</f>
        <v>18.28</v>
      </c>
      <c r="O10601" s="1290">
        <f>H10601*M10601</f>
        <v>0.91400000000000015</v>
      </c>
      <c r="P10601" s="1332">
        <f>M10601*K10601</f>
        <v>11.882000000000001</v>
      </c>
      <c r="Q10601" s="3391"/>
    </row>
    <row r="10602" spans="1:18">
      <c r="A10602" s="553"/>
      <c r="B10602" s="1042"/>
      <c r="C10602" s="1042"/>
      <c r="D10602" s="3951" t="s">
        <v>1077</v>
      </c>
      <c r="E10602" s="1857" t="s">
        <v>1508</v>
      </c>
      <c r="F10602" s="1403" t="s">
        <v>37</v>
      </c>
      <c r="G10602" s="1362">
        <v>1</v>
      </c>
      <c r="H10602" s="1359">
        <f>H10600*G10602</f>
        <v>0.05</v>
      </c>
      <c r="I10602" s="198"/>
      <c r="J10602" s="6"/>
      <c r="K10602" s="1307">
        <f>H10602*K10592</f>
        <v>0.65</v>
      </c>
      <c r="L10602" s="1335">
        <f t="shared" si="1405"/>
        <v>0</v>
      </c>
      <c r="M10602" s="1499">
        <v>19.23</v>
      </c>
      <c r="N10602" s="1724">
        <f>G10602*M10602</f>
        <v>19.23</v>
      </c>
      <c r="O10602" s="1290">
        <f>H10602*M10602</f>
        <v>0.96150000000000002</v>
      </c>
      <c r="P10602" s="1332">
        <f>M10602*K10602</f>
        <v>12.499500000000001</v>
      </c>
      <c r="Q10602" s="3391"/>
    </row>
    <row r="10603" spans="1:18">
      <c r="A10603" s="22"/>
      <c r="B10603" s="1599"/>
      <c r="C10603" s="1938" t="s">
        <v>2649</v>
      </c>
      <c r="D10603" s="1311"/>
      <c r="E10603" s="2176" t="s">
        <v>1508</v>
      </c>
      <c r="F10603" s="1648" t="s">
        <v>2650</v>
      </c>
      <c r="G10603" s="1990"/>
      <c r="H10603" s="1954">
        <v>0.05</v>
      </c>
      <c r="I10603" s="1444"/>
      <c r="J10603" s="1388"/>
      <c r="K10603" s="1445"/>
      <c r="L10603" s="1457"/>
      <c r="M10603" s="1447"/>
      <c r="N10603" s="1447">
        <f>SUM(N10604:N10605)</f>
        <v>37.650000000000006</v>
      </c>
      <c r="O10603" s="1447">
        <f>SUM(O10604:O10605)</f>
        <v>1.8825000000000003</v>
      </c>
      <c r="P10603" s="1447">
        <f>SUM(P10604:P10605)</f>
        <v>24.472500000000004</v>
      </c>
      <c r="Q10603" s="3391"/>
      <c r="R10603" s="2337"/>
    </row>
    <row r="10604" spans="1:18">
      <c r="A10604" s="22"/>
      <c r="B10604" s="1599"/>
      <c r="C10604" s="1327"/>
      <c r="D10604" s="1430" t="s">
        <v>2691</v>
      </c>
      <c r="E10604" s="1857" t="s">
        <v>1508</v>
      </c>
      <c r="F10604" s="1403" t="s">
        <v>2692</v>
      </c>
      <c r="G10604" s="1991">
        <v>1</v>
      </c>
      <c r="H10604" s="1937">
        <f>G10604*H10603</f>
        <v>0.05</v>
      </c>
      <c r="I10604" s="1286"/>
      <c r="J10604" s="198"/>
      <c r="K10604" s="1307">
        <f>H10604*K10592</f>
        <v>0.65</v>
      </c>
      <c r="L10604" s="1335">
        <f t="shared" ref="L10604:L10605" si="1406">K10604*$K$10473</f>
        <v>0</v>
      </c>
      <c r="M10604" s="1302">
        <v>19.23</v>
      </c>
      <c r="N10604" s="1718">
        <f>G10604*M10604</f>
        <v>19.23</v>
      </c>
      <c r="O10604" s="1290">
        <f>H10604*M10604</f>
        <v>0.96150000000000002</v>
      </c>
      <c r="P10604" s="1720">
        <f>M10604*K10604</f>
        <v>12.499500000000001</v>
      </c>
      <c r="Q10604" s="3396"/>
      <c r="R10604" s="2337"/>
    </row>
    <row r="10605" spans="1:18">
      <c r="A10605" s="22"/>
      <c r="B10605" s="1599"/>
      <c r="C10605" s="1320"/>
      <c r="D10605" s="1430" t="s">
        <v>1110</v>
      </c>
      <c r="E10605" s="1857" t="s">
        <v>1508</v>
      </c>
      <c r="F10605" s="1403" t="s">
        <v>2281</v>
      </c>
      <c r="G10605" s="1991">
        <v>1</v>
      </c>
      <c r="H10605" s="1937">
        <f>G10605*H10603</f>
        <v>0.05</v>
      </c>
      <c r="I10605" s="197"/>
      <c r="J10605" s="198"/>
      <c r="K10605" s="1307">
        <f>H10605*K10592</f>
        <v>0.65</v>
      </c>
      <c r="L10605" s="1335">
        <f t="shared" si="1406"/>
        <v>0</v>
      </c>
      <c r="M10605" s="1302">
        <v>18.420000000000002</v>
      </c>
      <c r="N10605" s="1718">
        <f>G10605*M10605</f>
        <v>18.420000000000002</v>
      </c>
      <c r="O10605" s="1290">
        <f>H10605*M10605</f>
        <v>0.92100000000000015</v>
      </c>
      <c r="P10605" s="1720">
        <f>M10605*K10605</f>
        <v>11.973000000000001</v>
      </c>
      <c r="Q10605" s="3396"/>
      <c r="R10605" s="2337"/>
    </row>
    <row r="10606" spans="1:18">
      <c r="A10606" s="1320"/>
      <c r="B10606" s="22"/>
      <c r="C10606" s="1320"/>
      <c r="D10606" s="1359"/>
      <c r="E10606" s="1858"/>
      <c r="F10606" s="1404"/>
      <c r="G10606" s="1404"/>
      <c r="H10606" s="1359"/>
      <c r="I10606" s="1299"/>
      <c r="J10606" s="1300"/>
      <c r="K10606" s="1307"/>
      <c r="L10606" s="1335"/>
      <c r="M10606" s="1302"/>
      <c r="N10606" s="1700"/>
      <c r="O10606" s="1290"/>
      <c r="P10606" s="1332"/>
      <c r="Q10606" s="3391"/>
    </row>
    <row r="10607" spans="1:18">
      <c r="A10607" s="1320"/>
      <c r="B10607" s="22"/>
      <c r="C10607" s="1320"/>
      <c r="D10607" s="1359"/>
      <c r="E10607" s="1858"/>
      <c r="F10607" s="1361"/>
      <c r="G10607" s="1361"/>
      <c r="H10607" s="1466"/>
      <c r="I10607" s="1299"/>
      <c r="J10607" s="1300"/>
      <c r="K10607" s="1307"/>
      <c r="L10607" s="1335"/>
      <c r="M10607" s="1302"/>
      <c r="N10607" s="1700"/>
      <c r="O10607" s="1290"/>
      <c r="P10607" s="1332"/>
      <c r="Q10607" s="3391"/>
    </row>
    <row r="10608" spans="1:18">
      <c r="A10608" s="1320"/>
      <c r="B10608" s="22"/>
      <c r="C10608" s="1320"/>
      <c r="D10608" s="1373"/>
      <c r="E10608" s="2123"/>
      <c r="F10608" s="1374" t="s">
        <v>3</v>
      </c>
      <c r="G10608" s="1375"/>
      <c r="H10608" s="1376"/>
      <c r="I10608" s="1382"/>
      <c r="J10608" s="1383"/>
      <c r="K10608" s="1383"/>
      <c r="L10608" s="1413"/>
      <c r="M10608" s="1376"/>
      <c r="N10608" s="1376"/>
      <c r="O10608" s="1376"/>
      <c r="P10608" s="1373"/>
      <c r="Q10608" s="3387"/>
    </row>
    <row r="10609" spans="1:18">
      <c r="A10609" s="1321"/>
      <c r="B10609" s="1295"/>
      <c r="C10609" s="1321"/>
      <c r="D10609" s="1377"/>
      <c r="E10609" s="2124"/>
      <c r="F10609" s="1378"/>
      <c r="G10609" s="1378"/>
      <c r="H10609" s="1379"/>
      <c r="I10609" s="1299"/>
      <c r="J10609" s="1300"/>
      <c r="K10609" s="1307"/>
      <c r="L10609" s="1335"/>
      <c r="M10609" s="1302"/>
      <c r="N10609" s="1700"/>
      <c r="O10609" s="1290"/>
      <c r="P10609" s="1332"/>
      <c r="Q10609" s="3391"/>
    </row>
    <row r="10610" spans="1:18">
      <c r="A10610" s="1321"/>
      <c r="B10610" s="1295"/>
      <c r="C10610" s="1321"/>
      <c r="D10610" s="1377"/>
      <c r="E10610" s="2124"/>
      <c r="F10610" s="1378"/>
      <c r="G10610" s="1378"/>
      <c r="H10610" s="1379"/>
      <c r="I10610" s="1299"/>
      <c r="J10610" s="1300"/>
      <c r="K10610" s="1307"/>
      <c r="L10610" s="1335"/>
      <c r="M10610" s="1302"/>
      <c r="N10610" s="1700"/>
      <c r="O10610" s="1290"/>
      <c r="P10610" s="1333"/>
      <c r="Q10610" s="3391"/>
    </row>
    <row r="10611" spans="1:18">
      <c r="A10611" s="18" t="s">
        <v>3764</v>
      </c>
      <c r="B10611" s="4370" t="s">
        <v>3758</v>
      </c>
      <c r="C10611" s="3972"/>
      <c r="D10611" s="4371"/>
      <c r="E10611" s="4329" t="s">
        <v>1527</v>
      </c>
      <c r="F10611" s="4336" t="s">
        <v>3759</v>
      </c>
      <c r="G10611" s="4331" t="s">
        <v>1568</v>
      </c>
      <c r="H10611" s="4331" t="s">
        <v>1574</v>
      </c>
      <c r="I10611" s="1572" t="s">
        <v>1559</v>
      </c>
      <c r="J10611" s="1294" t="s">
        <v>1560</v>
      </c>
      <c r="K10611" s="1294" t="s">
        <v>1569</v>
      </c>
      <c r="L10611" s="4333" t="s">
        <v>3765</v>
      </c>
      <c r="M10611" s="4335" t="s">
        <v>1571</v>
      </c>
      <c r="N10611" s="4323" t="s">
        <v>1776</v>
      </c>
      <c r="O10611" s="4054" t="s">
        <v>1563</v>
      </c>
      <c r="P10611" s="1336" t="s">
        <v>1562</v>
      </c>
      <c r="Q10611" s="3389"/>
      <c r="R10611" s="1699" t="s">
        <v>1327</v>
      </c>
    </row>
    <row r="10612" spans="1:18">
      <c r="A10612" s="1662" t="s">
        <v>3736</v>
      </c>
      <c r="B10612" s="4390"/>
      <c r="C10612" s="4057"/>
      <c r="D10612" s="4328"/>
      <c r="E10612" s="4330"/>
      <c r="F10612" s="4336"/>
      <c r="G10612" s="4332"/>
      <c r="H10612" s="4332"/>
      <c r="I10612" s="1345">
        <v>32</v>
      </c>
      <c r="J10612" s="1307">
        <v>1</v>
      </c>
      <c r="K10612" s="1297">
        <f>I10612*J10612</f>
        <v>32</v>
      </c>
      <c r="L10612" s="4334"/>
      <c r="M10612" s="4335"/>
      <c r="N10612" s="4324"/>
      <c r="O10612" s="1298">
        <f>O10614+O10615+O10616+O10617+O10620+O10623</f>
        <v>4.8884000000000007</v>
      </c>
      <c r="P10612" s="1337">
        <f>O10612*K10612</f>
        <v>156.42880000000002</v>
      </c>
      <c r="Q10612" s="3390"/>
      <c r="R10612" s="1721">
        <f>P10614+P10615+P10616+P10617+P10620+P10623</f>
        <v>156.42880000000002</v>
      </c>
    </row>
    <row r="10613" spans="1:18">
      <c r="A10613" s="1599"/>
      <c r="B10613" s="3952"/>
      <c r="C10613" s="3952"/>
      <c r="D10613" s="3912"/>
      <c r="E10613" s="2121"/>
      <c r="F10613" s="1389" t="s">
        <v>1</v>
      </c>
      <c r="G10613" s="1389"/>
      <c r="H10613" s="1369"/>
      <c r="I10613" s="1409"/>
      <c r="J10613" s="1390"/>
      <c r="K10613" s="1391"/>
      <c r="L10613" s="1559"/>
      <c r="M10613" s="1369"/>
      <c r="N10613" s="1369"/>
      <c r="O10613" s="1369"/>
      <c r="P10613" s="1392"/>
      <c r="Q10613" s="3395"/>
    </row>
    <row r="10614" spans="1:18">
      <c r="A10614" s="553"/>
      <c r="B10614" s="1320"/>
      <c r="C10614" s="1042"/>
      <c r="D10614" s="3983" t="s">
        <v>1252</v>
      </c>
      <c r="E10614" s="3965" t="s">
        <v>1527</v>
      </c>
      <c r="F10614" s="3966" t="s">
        <v>2168</v>
      </c>
      <c r="G10614" s="3970">
        <v>1.01</v>
      </c>
      <c r="H10614" s="1674"/>
      <c r="I10614" s="1299"/>
      <c r="J10614" s="1300"/>
      <c r="K10614" s="1307">
        <f>G10614*K10612</f>
        <v>32.32</v>
      </c>
      <c r="L10614" s="1335">
        <f t="shared" ref="L10614:L10617" si="1407">K10614*$K$10473</f>
        <v>0</v>
      </c>
      <c r="M10614" s="1302">
        <v>0.16</v>
      </c>
      <c r="N10614" s="1700"/>
      <c r="O10614" s="1290">
        <f t="shared" ref="O10614:O10617" si="1408">G10614*M10614</f>
        <v>0.16159999999999999</v>
      </c>
      <c r="P10614" s="1332">
        <f t="shared" ref="P10614:P10617" si="1409">M10614*K10614</f>
        <v>5.1711999999999998</v>
      </c>
      <c r="Q10614" s="3391"/>
    </row>
    <row r="10615" spans="1:18">
      <c r="A10615" s="553"/>
      <c r="B10615" s="1320"/>
      <c r="C10615" s="1042"/>
      <c r="D10615" s="3983" t="s">
        <v>3750</v>
      </c>
      <c r="E10615" s="3968" t="s">
        <v>1527</v>
      </c>
      <c r="F10615" s="3969" t="s">
        <v>3751</v>
      </c>
      <c r="G10615" s="3971">
        <v>1.1000000000000001</v>
      </c>
      <c r="H10615" s="3963"/>
      <c r="I10615" s="1299"/>
      <c r="J10615" s="3939"/>
      <c r="K10615" s="1307">
        <f t="shared" ref="K10615" si="1410">G10615*K10612</f>
        <v>35.200000000000003</v>
      </c>
      <c r="L10615" s="1335">
        <f t="shared" si="1407"/>
        <v>0</v>
      </c>
      <c r="M10615" s="3918">
        <v>1.19</v>
      </c>
      <c r="N10615" s="1700"/>
      <c r="O10615" s="1290">
        <f t="shared" si="1408"/>
        <v>1.3089999999999999</v>
      </c>
      <c r="P10615" s="1332">
        <f t="shared" si="1409"/>
        <v>41.887999999999998</v>
      </c>
      <c r="Q10615" s="3391"/>
    </row>
    <row r="10616" spans="1:18">
      <c r="A10616" s="553"/>
      <c r="B10616" s="1320"/>
      <c r="C10616" s="1042"/>
      <c r="D10616" s="3983" t="s">
        <v>1097</v>
      </c>
      <c r="E10616" s="3968" t="s">
        <v>1504</v>
      </c>
      <c r="F10616" s="3969" t="s">
        <v>1632</v>
      </c>
      <c r="G10616" s="3971">
        <v>0.2</v>
      </c>
      <c r="H10616" s="3963"/>
      <c r="I10616" s="1299"/>
      <c r="J10616" s="3939"/>
      <c r="K10616" s="1307">
        <f>G10616*K10612</f>
        <v>6.4</v>
      </c>
      <c r="L10616" s="1335">
        <f t="shared" si="1407"/>
        <v>0</v>
      </c>
      <c r="M10616" s="3918">
        <v>0.55000000000000004</v>
      </c>
      <c r="N10616" s="1700"/>
      <c r="O10616" s="1290">
        <f t="shared" si="1408"/>
        <v>0.11000000000000001</v>
      </c>
      <c r="P10616" s="1332">
        <f t="shared" si="1409"/>
        <v>3.5200000000000005</v>
      </c>
      <c r="Q10616" s="3391"/>
    </row>
    <row r="10617" spans="1:18">
      <c r="A10617" s="553"/>
      <c r="B10617" s="1320"/>
      <c r="C10617" s="1042"/>
      <c r="D10617" s="3983" t="s">
        <v>1082</v>
      </c>
      <c r="E10617" s="3965" t="s">
        <v>1504</v>
      </c>
      <c r="F10617" s="3966" t="s">
        <v>1541</v>
      </c>
      <c r="G10617" s="3970">
        <v>1</v>
      </c>
      <c r="H10617" s="1369"/>
      <c r="I10617" s="1299"/>
      <c r="J10617" s="1300"/>
      <c r="K10617" s="1307">
        <f>G10617*K10612</f>
        <v>32</v>
      </c>
      <c r="L10617" s="1335">
        <f t="shared" si="1407"/>
        <v>0</v>
      </c>
      <c r="M10617" s="1302">
        <v>0.3</v>
      </c>
      <c r="N10617" s="1700"/>
      <c r="O10617" s="1290">
        <f t="shared" si="1408"/>
        <v>0.3</v>
      </c>
      <c r="P10617" s="1332">
        <f t="shared" si="1409"/>
        <v>9.6</v>
      </c>
      <c r="Q10617" s="3391"/>
    </row>
    <row r="10618" spans="1:18" ht="25.5" customHeight="1">
      <c r="A10618" s="553"/>
      <c r="B10618" s="1320"/>
      <c r="C10618" s="1042"/>
      <c r="D10618" s="3912"/>
      <c r="E10618" s="2121"/>
      <c r="F10618" s="1436"/>
      <c r="G10618" s="1436"/>
      <c r="H10618" s="1369"/>
      <c r="I10618" s="1299"/>
      <c r="J10618" s="1300"/>
      <c r="K10618" s="1307"/>
      <c r="L10618" s="1335"/>
      <c r="M10618" s="1302"/>
      <c r="N10618" s="1700"/>
      <c r="O10618" s="1290"/>
      <c r="P10618" s="1332"/>
      <c r="Q10618" s="3391"/>
    </row>
    <row r="10619" spans="1:18">
      <c r="A10619" s="553"/>
      <c r="B10619" s="1320"/>
      <c r="C10619" s="1042"/>
      <c r="D10619" s="3982"/>
      <c r="E10619" s="1858"/>
      <c r="F10619" s="1360" t="s">
        <v>2</v>
      </c>
      <c r="G10619" s="1360"/>
      <c r="H10619" s="1362"/>
      <c r="I10619" s="1380"/>
      <c r="J10619" s="1381"/>
      <c r="K10619" s="1381"/>
      <c r="L10619" s="1458"/>
      <c r="M10619" s="1362"/>
      <c r="N10619" s="1362"/>
      <c r="O10619" s="1362"/>
      <c r="P10619" s="1359"/>
      <c r="Q10619" s="3387"/>
    </row>
    <row r="10620" spans="1:18">
      <c r="A10620" s="553"/>
      <c r="B10620" s="1042"/>
      <c r="C10620" s="3953" t="s">
        <v>1523</v>
      </c>
      <c r="D10620" s="3950"/>
      <c r="E10620" s="2128" t="s">
        <v>1508</v>
      </c>
      <c r="F10620" s="2248" t="s">
        <v>1524</v>
      </c>
      <c r="G10620" s="1338"/>
      <c r="H10620" s="1344">
        <v>0.03</v>
      </c>
      <c r="I10620" s="1388"/>
      <c r="J10620" s="1366"/>
      <c r="K10620" s="1448"/>
      <c r="L10620" s="1457"/>
      <c r="M10620" s="1503"/>
      <c r="N10620" s="1447">
        <f>SUM(N10621:N10622)</f>
        <v>37.510000000000005</v>
      </c>
      <c r="O10620" s="1447">
        <f>SUM(O10621:O10622)</f>
        <v>1.1253</v>
      </c>
      <c r="P10620" s="1447">
        <f>SUM(P10621:P10622)</f>
        <v>36.009599999999999</v>
      </c>
      <c r="Q10620" s="3391"/>
    </row>
    <row r="10621" spans="1:18">
      <c r="A10621" s="553"/>
      <c r="B10621" s="1042"/>
      <c r="C10621" s="3954"/>
      <c r="D10621" s="3951" t="s">
        <v>1067</v>
      </c>
      <c r="E10621" s="1857" t="s">
        <v>1508</v>
      </c>
      <c r="F10621" s="1403" t="s">
        <v>5</v>
      </c>
      <c r="G10621" s="1362">
        <v>1</v>
      </c>
      <c r="H10621" s="1359">
        <f>H10620*G10621</f>
        <v>0.03</v>
      </c>
      <c r="I10621" s="198"/>
      <c r="J10621" s="6"/>
      <c r="K10621" s="1307">
        <f>H10621*K10612</f>
        <v>0.96</v>
      </c>
      <c r="L10621" s="1335">
        <f t="shared" ref="L10621:L10622" si="1411">K10621*$K$10473</f>
        <v>0</v>
      </c>
      <c r="M10621" s="1499">
        <v>18.28</v>
      </c>
      <c r="N10621" s="1724">
        <f>G10621*M10621</f>
        <v>18.28</v>
      </c>
      <c r="O10621" s="1290">
        <f>H10621*M10621</f>
        <v>0.5484</v>
      </c>
      <c r="P10621" s="1332">
        <f>M10621*K10621</f>
        <v>17.5488</v>
      </c>
      <c r="Q10621" s="3391"/>
    </row>
    <row r="10622" spans="1:18" ht="15" customHeight="1">
      <c r="A10622" s="553"/>
      <c r="B10622" s="1042"/>
      <c r="C10622" s="1042"/>
      <c r="D10622" s="3951" t="s">
        <v>1077</v>
      </c>
      <c r="E10622" s="1857" t="s">
        <v>1508</v>
      </c>
      <c r="F10622" s="1403" t="s">
        <v>37</v>
      </c>
      <c r="G10622" s="1362">
        <v>1</v>
      </c>
      <c r="H10622" s="1359">
        <f>H10620*G10622</f>
        <v>0.03</v>
      </c>
      <c r="I10622" s="198"/>
      <c r="J10622" s="6"/>
      <c r="K10622" s="1307">
        <f>H10622*K10612</f>
        <v>0.96</v>
      </c>
      <c r="L10622" s="1335">
        <f t="shared" si="1411"/>
        <v>0</v>
      </c>
      <c r="M10622" s="1499">
        <v>19.23</v>
      </c>
      <c r="N10622" s="1724">
        <f>G10622*M10622</f>
        <v>19.23</v>
      </c>
      <c r="O10622" s="1290">
        <f>H10622*M10622</f>
        <v>0.57689999999999997</v>
      </c>
      <c r="P10622" s="1332">
        <f>M10622*K10622</f>
        <v>18.460799999999999</v>
      </c>
      <c r="Q10622" s="3391"/>
    </row>
    <row r="10623" spans="1:18">
      <c r="A10623" s="22"/>
      <c r="B10623" s="1320"/>
      <c r="C10623" s="3984" t="s">
        <v>2649</v>
      </c>
      <c r="D10623" s="3950"/>
      <c r="E10623" s="2176" t="s">
        <v>1508</v>
      </c>
      <c r="F10623" s="1648" t="s">
        <v>2650</v>
      </c>
      <c r="G10623" s="1990"/>
      <c r="H10623" s="1954">
        <v>0.05</v>
      </c>
      <c r="I10623" s="1444"/>
      <c r="J10623" s="1388"/>
      <c r="K10623" s="1445"/>
      <c r="L10623" s="1457"/>
      <c r="M10623" s="1447"/>
      <c r="N10623" s="1447">
        <f>SUM(N10624:N10625)</f>
        <v>37.650000000000006</v>
      </c>
      <c r="O10623" s="1447">
        <f>SUM(O10624:O10625)</f>
        <v>1.8825000000000003</v>
      </c>
      <c r="P10623" s="1447">
        <f>SUM(P10624:P10625)</f>
        <v>60.240000000000009</v>
      </c>
      <c r="Q10623" s="3391"/>
      <c r="R10623" s="2337"/>
    </row>
    <row r="10624" spans="1:18">
      <c r="A10624" s="22"/>
      <c r="B10624" s="1320"/>
      <c r="C10624" s="3952"/>
      <c r="D10624" s="3951" t="s">
        <v>2691</v>
      </c>
      <c r="E10624" s="1857" t="s">
        <v>1508</v>
      </c>
      <c r="F10624" s="1403" t="s">
        <v>2692</v>
      </c>
      <c r="G10624" s="1991">
        <v>1</v>
      </c>
      <c r="H10624" s="1937">
        <f>G10624*H10623</f>
        <v>0.05</v>
      </c>
      <c r="I10624" s="1286"/>
      <c r="J10624" s="198"/>
      <c r="K10624" s="1307">
        <f>H10624*K10612</f>
        <v>1.6</v>
      </c>
      <c r="L10624" s="1335">
        <f t="shared" ref="L10624:L10625" si="1412">K10624*$K$10473</f>
        <v>0</v>
      </c>
      <c r="M10624" s="1302">
        <v>19.23</v>
      </c>
      <c r="N10624" s="1718">
        <f>G10624*M10624</f>
        <v>19.23</v>
      </c>
      <c r="O10624" s="1290">
        <f>H10624*M10624</f>
        <v>0.96150000000000002</v>
      </c>
      <c r="P10624" s="1720">
        <f>M10624*K10624</f>
        <v>30.768000000000001</v>
      </c>
      <c r="Q10624" s="3396"/>
      <c r="R10624" s="2337"/>
    </row>
    <row r="10625" spans="1:18">
      <c r="A10625" s="22"/>
      <c r="B10625" s="1320"/>
      <c r="C10625" s="1320"/>
      <c r="D10625" s="3951" t="s">
        <v>1110</v>
      </c>
      <c r="E10625" s="1857" t="s">
        <v>1508</v>
      </c>
      <c r="F10625" s="1403" t="s">
        <v>2281</v>
      </c>
      <c r="G10625" s="1991">
        <v>1</v>
      </c>
      <c r="H10625" s="1937">
        <f>G10625*H10623</f>
        <v>0.05</v>
      </c>
      <c r="I10625" s="197"/>
      <c r="J10625" s="198"/>
      <c r="K10625" s="1307">
        <f>H10625*K10612</f>
        <v>1.6</v>
      </c>
      <c r="L10625" s="1335">
        <f t="shared" si="1412"/>
        <v>0</v>
      </c>
      <c r="M10625" s="1302">
        <v>18.420000000000002</v>
      </c>
      <c r="N10625" s="1718">
        <f>G10625*M10625</f>
        <v>18.420000000000002</v>
      </c>
      <c r="O10625" s="1290">
        <f>H10625*M10625</f>
        <v>0.92100000000000015</v>
      </c>
      <c r="P10625" s="1720">
        <f>M10625*K10625</f>
        <v>29.472000000000005</v>
      </c>
      <c r="Q10625" s="3396"/>
      <c r="R10625" s="2337"/>
    </row>
    <row r="10626" spans="1:18">
      <c r="A10626" s="1599"/>
      <c r="B10626" s="1320"/>
      <c r="C10626" s="1320"/>
      <c r="D10626" s="3982"/>
      <c r="E10626" s="1858"/>
      <c r="F10626" s="1404"/>
      <c r="G10626" s="1404"/>
      <c r="H10626" s="1359"/>
      <c r="I10626" s="1299"/>
      <c r="J10626" s="1300"/>
      <c r="K10626" s="1307"/>
      <c r="L10626" s="1335"/>
      <c r="M10626" s="1302"/>
      <c r="N10626" s="1700"/>
      <c r="O10626" s="1290"/>
      <c r="P10626" s="1332"/>
      <c r="Q10626" s="3391"/>
    </row>
    <row r="10627" spans="1:18">
      <c r="A10627" s="1599"/>
      <c r="B10627" s="1320"/>
      <c r="C10627" s="1320"/>
      <c r="D10627" s="3982"/>
      <c r="E10627" s="1858"/>
      <c r="F10627" s="1361"/>
      <c r="G10627" s="1361"/>
      <c r="H10627" s="1466"/>
      <c r="I10627" s="1299"/>
      <c r="J10627" s="1300"/>
      <c r="K10627" s="1307"/>
      <c r="L10627" s="1335"/>
      <c r="M10627" s="1302"/>
      <c r="N10627" s="1700"/>
      <c r="O10627" s="1290"/>
      <c r="P10627" s="1332"/>
      <c r="Q10627" s="3391"/>
    </row>
    <row r="10628" spans="1:18">
      <c r="A10628" s="1599"/>
      <c r="B10628" s="1320"/>
      <c r="C10628" s="1320"/>
      <c r="D10628" s="3947"/>
      <c r="E10628" s="2123"/>
      <c r="F10628" s="1374" t="s">
        <v>3</v>
      </c>
      <c r="G10628" s="1375"/>
      <c r="H10628" s="1376"/>
      <c r="I10628" s="1382"/>
      <c r="J10628" s="1383"/>
      <c r="K10628" s="1383"/>
      <c r="L10628" s="1413"/>
      <c r="M10628" s="1376"/>
      <c r="N10628" s="1376"/>
      <c r="O10628" s="1376"/>
      <c r="P10628" s="1373"/>
      <c r="Q10628" s="3387"/>
    </row>
    <row r="10629" spans="1:18">
      <c r="A10629" s="2053"/>
      <c r="B10629" s="1321"/>
      <c r="C10629" s="1321"/>
      <c r="D10629" s="3946"/>
      <c r="E10629" s="2124"/>
      <c r="F10629" s="1378"/>
      <c r="G10629" s="1378"/>
      <c r="H10629" s="1379"/>
      <c r="I10629" s="1299"/>
      <c r="J10629" s="1300"/>
      <c r="K10629" s="1307"/>
      <c r="L10629" s="1335"/>
      <c r="M10629" s="1302"/>
      <c r="N10629" s="1700"/>
      <c r="O10629" s="1290"/>
      <c r="P10629" s="1332"/>
      <c r="Q10629" s="3391"/>
    </row>
    <row r="10630" spans="1:18">
      <c r="A10630" s="2053"/>
      <c r="B10630" s="1321"/>
      <c r="C10630" s="1321"/>
      <c r="D10630" s="3932"/>
      <c r="E10630" s="3933"/>
      <c r="F10630" s="1478"/>
      <c r="G10630" s="1478"/>
      <c r="H10630" s="1481"/>
      <c r="I10630" s="2280"/>
      <c r="J10630" s="3894"/>
      <c r="K10630" s="2236"/>
      <c r="L10630" s="1594"/>
      <c r="M10630" s="3895"/>
      <c r="N10630" s="2283"/>
      <c r="O10630" s="2237"/>
      <c r="P10630" s="3978"/>
      <c r="Q10630" s="3391"/>
    </row>
    <row r="10631" spans="1:18">
      <c r="A10631" s="553"/>
      <c r="B10631" s="225"/>
      <c r="C10631" s="223"/>
      <c r="D10631" s="3947"/>
      <c r="E10631" s="3943"/>
      <c r="F10631" s="3979"/>
      <c r="G10631" s="3979"/>
      <c r="H10631" s="3945"/>
      <c r="I10631" s="3980"/>
      <c r="J10631" s="3939"/>
      <c r="K10631" s="3940"/>
      <c r="L10631" s="3941"/>
      <c r="M10631" s="3918"/>
      <c r="N10631" s="3918"/>
      <c r="O10631" s="3942"/>
      <c r="P10631" s="3919"/>
      <c r="Q10631" s="3391"/>
    </row>
    <row r="10632" spans="1:18" ht="29">
      <c r="A10632" s="18" t="s">
        <v>3764</v>
      </c>
      <c r="B10632" s="4055" t="s">
        <v>1712</v>
      </c>
      <c r="C10632" s="4058"/>
      <c r="D10632" s="4051"/>
      <c r="E10632" s="4056" t="s">
        <v>1507</v>
      </c>
      <c r="F10632" s="4048" t="s">
        <v>1714</v>
      </c>
      <c r="G10632" s="4052" t="s">
        <v>1568</v>
      </c>
      <c r="H10632" s="4052" t="s">
        <v>1574</v>
      </c>
      <c r="I10632" s="1572" t="s">
        <v>1559</v>
      </c>
      <c r="J10632" s="1294" t="s">
        <v>1560</v>
      </c>
      <c r="K10632" s="1294" t="s">
        <v>1561</v>
      </c>
      <c r="L10632" s="4053" t="s">
        <v>3765</v>
      </c>
      <c r="M10632" s="4335" t="s">
        <v>1571</v>
      </c>
      <c r="N10632" s="4323" t="s">
        <v>1776</v>
      </c>
      <c r="O10632" s="4054" t="s">
        <v>1563</v>
      </c>
      <c r="P10632" s="1336" t="s">
        <v>1562</v>
      </c>
      <c r="Q10632" s="3389"/>
      <c r="R10632" s="1699" t="s">
        <v>1327</v>
      </c>
    </row>
    <row r="10633" spans="1:18" ht="15" customHeight="1">
      <c r="A10633" s="1662" t="s">
        <v>3736</v>
      </c>
      <c r="B10633" s="4046"/>
      <c r="C10633" s="4057"/>
      <c r="D10633" s="4047"/>
      <c r="E10633" s="4056"/>
      <c r="F10633" s="4048"/>
      <c r="G10633" s="4049"/>
      <c r="H10633" s="4049"/>
      <c r="I10633" s="1345">
        <v>13.5</v>
      </c>
      <c r="J10633" s="1307">
        <v>1</v>
      </c>
      <c r="K10633" s="1297">
        <f>I10633*J10633</f>
        <v>13.5</v>
      </c>
      <c r="L10633" s="4050"/>
      <c r="M10633" s="4335"/>
      <c r="N10633" s="4324"/>
      <c r="O10633" s="1298">
        <f>SUM(O10635:O10645)</f>
        <v>7.8734500000000001</v>
      </c>
      <c r="P10633" s="1337">
        <f>K10633*O10633</f>
        <v>106.29157499999999</v>
      </c>
      <c r="Q10633" s="3390"/>
      <c r="R10633" s="1721">
        <f>SUM(P10635:P10646)</f>
        <v>106.29157499999999</v>
      </c>
    </row>
    <row r="10634" spans="1:18">
      <c r="A10634" s="1599"/>
      <c r="B10634" s="551"/>
      <c r="C10634" s="18"/>
      <c r="D10634" s="1400"/>
      <c r="E10634" s="2121"/>
      <c r="F10634" s="1389" t="s">
        <v>1</v>
      </c>
      <c r="G10634" s="1369"/>
      <c r="H10634" s="1369"/>
      <c r="I10634" s="1391"/>
      <c r="J10634" s="1369"/>
      <c r="K10634" s="1369"/>
      <c r="L10634" s="1554"/>
      <c r="M10634" s="1487"/>
      <c r="N10634" s="1487"/>
      <c r="O10634" s="1487"/>
      <c r="P10634" s="1367"/>
      <c r="Q10634" s="3387"/>
      <c r="R10634" s="2338"/>
    </row>
    <row r="10635" spans="1:18">
      <c r="A10635" s="553"/>
      <c r="B10635" s="553"/>
      <c r="C10635" s="1042"/>
      <c r="D10635" s="1615" t="s">
        <v>1128</v>
      </c>
      <c r="E10635" s="1856" t="s">
        <v>1517</v>
      </c>
      <c r="F10635" s="1421" t="s">
        <v>1695</v>
      </c>
      <c r="G10635" s="1604">
        <v>1.4999999999999999E-2</v>
      </c>
      <c r="H10635" s="1604"/>
      <c r="I10635" s="1342"/>
      <c r="J10635" s="198"/>
      <c r="K10635" s="1732">
        <f>G10635*K10633</f>
        <v>0.20249999999999999</v>
      </c>
      <c r="L10635" s="1335">
        <f>K10635*$K$10671</f>
        <v>0</v>
      </c>
      <c r="M10635" s="1302">
        <v>104.28</v>
      </c>
      <c r="N10635" s="1700"/>
      <c r="O10635" s="1290">
        <f>G10635*M10635</f>
        <v>1.5642</v>
      </c>
      <c r="P10635" s="1332">
        <f>M10635*K10635</f>
        <v>21.116699999999998</v>
      </c>
      <c r="Q10635" s="3391"/>
      <c r="R10635" s="2338"/>
    </row>
    <row r="10636" spans="1:18">
      <c r="A10636" s="553"/>
      <c r="B10636" s="553"/>
      <c r="C10636" s="1042"/>
      <c r="D10636" s="1428" t="s">
        <v>1152</v>
      </c>
      <c r="E10636" s="2122" t="s">
        <v>1517</v>
      </c>
      <c r="F10636" s="1370" t="s">
        <v>1696</v>
      </c>
      <c r="G10636" s="1452">
        <v>5.0000000000000001E-3</v>
      </c>
      <c r="H10636" s="1452"/>
      <c r="I10636" s="1286"/>
      <c r="J10636" s="198"/>
      <c r="K10636" s="1732">
        <f>G10636*K10633</f>
        <v>6.7500000000000004E-2</v>
      </c>
      <c r="L10636" s="1335">
        <f>K10636*$K$10671</f>
        <v>0</v>
      </c>
      <c r="M10636" s="1302">
        <v>108.05</v>
      </c>
      <c r="N10636" s="1700"/>
      <c r="O10636" s="1290">
        <f>G10636*M10636</f>
        <v>0.54025000000000001</v>
      </c>
      <c r="P10636" s="1332">
        <f>M10636*K10636</f>
        <v>7.2933750000000002</v>
      </c>
      <c r="Q10636" s="3391"/>
      <c r="R10636" s="2338"/>
    </row>
    <row r="10637" spans="1:18">
      <c r="A10637" s="553"/>
      <c r="B10637" s="553"/>
      <c r="C10637" s="1042"/>
      <c r="D10637" s="1400"/>
      <c r="E10637" s="1856"/>
      <c r="F10637" s="1397"/>
      <c r="G10637" s="1399"/>
      <c r="H10637" s="1399"/>
      <c r="I10637" s="197"/>
      <c r="J10637" s="198"/>
      <c r="K10637" s="1307" t="s">
        <v>506</v>
      </c>
      <c r="L10637" s="1335"/>
      <c r="M10637" s="1302"/>
      <c r="N10637" s="1700"/>
      <c r="O10637" s="1290"/>
      <c r="P10637" s="1332"/>
      <c r="Q10637" s="3391"/>
      <c r="R10637" s="2338"/>
    </row>
    <row r="10638" spans="1:18">
      <c r="A10638" s="553"/>
      <c r="B10638" s="553"/>
      <c r="C10638" s="1042"/>
      <c r="D10638" s="1400"/>
      <c r="E10638" s="1856"/>
      <c r="F10638" s="1397"/>
      <c r="G10638" s="1399"/>
      <c r="H10638" s="1399"/>
      <c r="I10638" s="197"/>
      <c r="J10638" s="198"/>
      <c r="K10638" s="1307" t="s">
        <v>506</v>
      </c>
      <c r="L10638" s="1335"/>
      <c r="M10638" s="1302"/>
      <c r="N10638" s="1700"/>
      <c r="O10638" s="1290"/>
      <c r="P10638" s="1332"/>
      <c r="Q10638" s="3391"/>
      <c r="R10638" s="2338"/>
    </row>
    <row r="10639" spans="1:18">
      <c r="A10639" s="553"/>
      <c r="B10639" s="553"/>
      <c r="C10639" s="1042"/>
      <c r="D10639" s="1404"/>
      <c r="E10639" s="1858"/>
      <c r="F10639" s="1465" t="s">
        <v>2</v>
      </c>
      <c r="G10639" s="1362"/>
      <c r="H10639" s="1362"/>
      <c r="I10639" s="1381"/>
      <c r="J10639" s="1381"/>
      <c r="K10639" s="1359"/>
      <c r="L10639" s="1458"/>
      <c r="M10639" s="1498"/>
      <c r="N10639" s="1498"/>
      <c r="O10639" s="1498"/>
      <c r="P10639" s="1359"/>
      <c r="Q10639" s="3387"/>
      <c r="R10639" s="2338"/>
    </row>
    <row r="10640" spans="1:18">
      <c r="A10640" s="553"/>
      <c r="B10640" s="553"/>
      <c r="C10640" s="1042"/>
      <c r="D10640" s="1622" t="s">
        <v>1153</v>
      </c>
      <c r="E10640" s="2125" t="s">
        <v>1508</v>
      </c>
      <c r="F10640" s="1363" t="s">
        <v>1697</v>
      </c>
      <c r="G10640" s="1408">
        <v>0.3</v>
      </c>
      <c r="H10640" s="1408"/>
      <c r="I10640" s="1340"/>
      <c r="J10640" s="198"/>
      <c r="K10640" s="1307">
        <f>G10640*K10633</f>
        <v>4.05</v>
      </c>
      <c r="L10640" s="1335">
        <f>K10640*$K$10671</f>
        <v>0</v>
      </c>
      <c r="M10640" s="1302">
        <v>19.23</v>
      </c>
      <c r="N10640" s="1700"/>
      <c r="O10640" s="1290">
        <f>G10640*M10640</f>
        <v>5.7690000000000001</v>
      </c>
      <c r="P10640" s="1332">
        <f>M10640*K10640</f>
        <v>77.881500000000003</v>
      </c>
      <c r="Q10640" s="3391"/>
      <c r="R10640" s="2338"/>
    </row>
    <row r="10641" spans="1:18">
      <c r="A10641" s="553"/>
      <c r="B10641" s="553"/>
      <c r="C10641" s="1042"/>
      <c r="D10641" s="1622"/>
      <c r="E10641" s="2125"/>
      <c r="F10641" s="1363"/>
      <c r="G10641" s="1408"/>
      <c r="H10641" s="1408"/>
      <c r="I10641" s="1340"/>
      <c r="J10641" s="198"/>
      <c r="K10641" s="1307"/>
      <c r="L10641" s="1335"/>
      <c r="M10641" s="1302"/>
      <c r="N10641" s="1700"/>
      <c r="O10641" s="1290"/>
      <c r="P10641" s="1332"/>
      <c r="Q10641" s="3391"/>
      <c r="R10641" s="2338"/>
    </row>
    <row r="10642" spans="1:18">
      <c r="A10642" s="553"/>
      <c r="B10642" s="553"/>
      <c r="C10642" s="1042"/>
      <c r="D10642" s="1622"/>
      <c r="E10642" s="2125"/>
      <c r="F10642" s="1363"/>
      <c r="G10642" s="1408"/>
      <c r="H10642" s="1408"/>
      <c r="I10642" s="1340"/>
      <c r="J10642" s="198"/>
      <c r="K10642" s="1307"/>
      <c r="L10642" s="1335"/>
      <c r="M10642" s="1302"/>
      <c r="N10642" s="1700"/>
      <c r="O10642" s="1290"/>
      <c r="P10642" s="1332"/>
      <c r="Q10642" s="3391"/>
      <c r="R10642" s="2338"/>
    </row>
    <row r="10643" spans="1:18">
      <c r="A10643" s="553"/>
      <c r="B10643" s="553"/>
      <c r="C10643" s="1042"/>
      <c r="D10643" s="1411"/>
      <c r="E10643" s="2123"/>
      <c r="F10643" s="1475" t="s">
        <v>3</v>
      </c>
      <c r="G10643" s="1377"/>
      <c r="H10643" s="1377"/>
      <c r="I10643" s="1383" t="s">
        <v>506</v>
      </c>
      <c r="J10643" s="1383"/>
      <c r="K10643" s="1383"/>
      <c r="L10643" s="1413"/>
      <c r="M10643" s="1376"/>
      <c r="N10643" s="1376"/>
      <c r="O10643" s="1376"/>
      <c r="P10643" s="1373"/>
      <c r="Q10643" s="3387"/>
      <c r="R10643" s="2338"/>
    </row>
    <row r="10644" spans="1:18">
      <c r="A10644" s="22"/>
      <c r="B10644" s="553"/>
      <c r="C10644" s="1042"/>
      <c r="D10644" s="1440"/>
      <c r="E10644" s="2132"/>
      <c r="F10644" s="1441"/>
      <c r="G10644" s="1441"/>
      <c r="H10644" s="1442"/>
      <c r="I10644" s="197" t="s">
        <v>506</v>
      </c>
      <c r="J10644" s="198"/>
      <c r="K10644" s="1307"/>
      <c r="L10644" s="1335" t="s">
        <v>506</v>
      </c>
      <c r="M10644" s="1499"/>
      <c r="N10644" s="1701"/>
      <c r="O10644" s="1290"/>
      <c r="P10644" s="1332"/>
      <c r="Q10644" s="3391"/>
      <c r="R10644" s="2338"/>
    </row>
    <row r="10645" spans="1:18">
      <c r="A10645" s="22"/>
      <c r="B10645" s="553"/>
      <c r="C10645" s="1042"/>
      <c r="D10645" s="1440"/>
      <c r="E10645" s="2132"/>
      <c r="F10645" s="1441"/>
      <c r="G10645" s="1441"/>
      <c r="H10645" s="1442"/>
      <c r="I10645" s="197" t="s">
        <v>506</v>
      </c>
      <c r="J10645" s="198"/>
      <c r="K10645" s="1307"/>
      <c r="L10645" s="1335" t="s">
        <v>506</v>
      </c>
      <c r="M10645" s="1499"/>
      <c r="N10645" s="1701"/>
      <c r="O10645" s="1290"/>
      <c r="P10645" s="1332"/>
      <c r="Q10645" s="3391"/>
      <c r="R10645" s="2338"/>
    </row>
    <row r="10646" spans="1:18">
      <c r="A10646" s="22"/>
      <c r="B10646" s="554"/>
      <c r="C10646" s="223"/>
      <c r="D10646" s="1440"/>
      <c r="E10646" s="2132"/>
      <c r="F10646" s="1441"/>
      <c r="G10646" s="1441"/>
      <c r="H10646" s="1442"/>
      <c r="I10646" s="197"/>
      <c r="J10646" s="198"/>
      <c r="K10646" s="1307"/>
      <c r="L10646" s="1335"/>
      <c r="M10646" s="1499"/>
      <c r="N10646" s="1701"/>
      <c r="O10646" s="1290"/>
      <c r="P10646" s="1332"/>
      <c r="Q10646" s="3391"/>
      <c r="R10646" s="2338"/>
    </row>
    <row r="10647" spans="1:18">
      <c r="A10647" s="18" t="s">
        <v>3764</v>
      </c>
      <c r="B10647" s="4325" t="s">
        <v>1661</v>
      </c>
      <c r="C10647" s="4061"/>
      <c r="D10647" s="4327"/>
      <c r="E10647" s="4337" t="s">
        <v>1507</v>
      </c>
      <c r="F10647" s="4338" t="s">
        <v>1706</v>
      </c>
      <c r="G10647" s="4331" t="s">
        <v>1568</v>
      </c>
      <c r="H10647" s="4331" t="s">
        <v>1574</v>
      </c>
      <c r="I10647" s="1572" t="s">
        <v>1559</v>
      </c>
      <c r="J10647" s="1294" t="s">
        <v>1560</v>
      </c>
      <c r="K10647" s="1294" t="s">
        <v>1561</v>
      </c>
      <c r="L10647" s="4333" t="s">
        <v>3765</v>
      </c>
      <c r="M10647" s="4335" t="s">
        <v>1571</v>
      </c>
      <c r="N10647" s="4323" t="s">
        <v>1776</v>
      </c>
      <c r="O10647" s="4060" t="s">
        <v>1563</v>
      </c>
      <c r="P10647" s="1336" t="s">
        <v>1562</v>
      </c>
      <c r="Q10647" s="3389"/>
      <c r="R10647" s="1699" t="s">
        <v>1327</v>
      </c>
    </row>
    <row r="10648" spans="1:18">
      <c r="A10648" s="1662" t="s">
        <v>3736</v>
      </c>
      <c r="B10648" s="4326"/>
      <c r="C10648" s="4063"/>
      <c r="D10648" s="4328"/>
      <c r="E10648" s="4337"/>
      <c r="F10648" s="4338"/>
      <c r="G10648" s="4332"/>
      <c r="H10648" s="4332"/>
      <c r="I10648" s="1345">
        <v>13.5</v>
      </c>
      <c r="J10648" s="1307">
        <v>1</v>
      </c>
      <c r="K10648" s="1297">
        <f>I10648*J10648</f>
        <v>13.5</v>
      </c>
      <c r="L10648" s="4334"/>
      <c r="M10648" s="4335"/>
      <c r="N10648" s="4324"/>
      <c r="O10648" s="1298">
        <f>SUM(O10650:O10662)</f>
        <v>8.9870400000000004</v>
      </c>
      <c r="P10648" s="1337">
        <f>K10648*O10648</f>
        <v>121.32504</v>
      </c>
      <c r="Q10648" s="3390"/>
      <c r="R10648" s="1721">
        <f>SUM(P10650:P10662)</f>
        <v>121.32504</v>
      </c>
    </row>
    <row r="10649" spans="1:18">
      <c r="B10649" s="551"/>
      <c r="C10649" s="18"/>
      <c r="D10649" s="1400"/>
      <c r="E10649" s="2121"/>
      <c r="F10649" s="1389" t="s">
        <v>1</v>
      </c>
      <c r="G10649" s="1369"/>
      <c r="H10649" s="1369"/>
      <c r="I10649" s="1391"/>
      <c r="J10649" s="1369"/>
      <c r="K10649" s="1369"/>
      <c r="L10649" s="1554"/>
      <c r="M10649" s="1487"/>
      <c r="N10649" s="1487"/>
      <c r="O10649" s="1487"/>
      <c r="P10649" s="1367"/>
      <c r="Q10649" s="3387"/>
      <c r="R10649" s="2338"/>
    </row>
    <row r="10650" spans="1:18">
      <c r="B10650" s="553"/>
      <c r="C10650" s="1042"/>
      <c r="D10650" s="1615" t="s">
        <v>1698</v>
      </c>
      <c r="E10650" s="1856" t="s">
        <v>1357</v>
      </c>
      <c r="F10650" s="1421" t="s">
        <v>1699</v>
      </c>
      <c r="G10650" s="1605">
        <v>0.45</v>
      </c>
      <c r="H10650" s="1605"/>
      <c r="I10650" s="1342"/>
      <c r="J10650" s="198"/>
      <c r="K10650" s="1307">
        <f>G10650*K10648</f>
        <v>6.0750000000000002</v>
      </c>
      <c r="L10650" s="1335">
        <f>K10650*$K$10671</f>
        <v>0</v>
      </c>
      <c r="M10650" s="1302">
        <v>1.7</v>
      </c>
      <c r="N10650" s="1700"/>
      <c r="O10650" s="1290">
        <f>G10650*M10650</f>
        <v>0.76500000000000001</v>
      </c>
      <c r="P10650" s="1332">
        <f>M10650*K10650</f>
        <v>10.327500000000001</v>
      </c>
      <c r="Q10650" s="3391"/>
      <c r="R10650" s="2338"/>
    </row>
    <row r="10651" spans="1:18" s="22" customFormat="1">
      <c r="A10651"/>
      <c r="B10651" s="553"/>
      <c r="C10651" s="1042"/>
      <c r="D10651" s="1615" t="s">
        <v>1214</v>
      </c>
      <c r="E10651" s="1856" t="s">
        <v>1357</v>
      </c>
      <c r="F10651" s="1421" t="s">
        <v>1700</v>
      </c>
      <c r="G10651" s="1452">
        <v>0.35</v>
      </c>
      <c r="H10651" s="1452"/>
      <c r="I10651" s="1286"/>
      <c r="J10651" s="198"/>
      <c r="K10651" s="1307">
        <f>G10651*K10648</f>
        <v>4.7249999999999996</v>
      </c>
      <c r="L10651" s="1335">
        <f>K10651*$K$10671</f>
        <v>0</v>
      </c>
      <c r="M10651" s="1302">
        <v>4.2</v>
      </c>
      <c r="N10651" s="1700"/>
      <c r="O10651" s="1290">
        <f>G10651*M10651</f>
        <v>1.47</v>
      </c>
      <c r="P10651" s="1332">
        <f>M10651*K10651</f>
        <v>19.844999999999999</v>
      </c>
      <c r="Q10651" s="3391"/>
      <c r="R10651" s="4064"/>
    </row>
    <row r="10652" spans="1:18" s="22" customFormat="1">
      <c r="A10652"/>
      <c r="B10652" s="553"/>
      <c r="C10652" s="1320"/>
      <c r="D10652" s="1400" t="s">
        <v>1701</v>
      </c>
      <c r="E10652" s="1856" t="s">
        <v>1504</v>
      </c>
      <c r="F10652" s="1421" t="s">
        <v>1541</v>
      </c>
      <c r="G10652" s="1399">
        <v>0.2</v>
      </c>
      <c r="H10652" s="1399"/>
      <c r="I10652" s="1614"/>
      <c r="J10652" s="1341"/>
      <c r="K10652" s="1307">
        <f>G10652*K10648</f>
        <v>2.7</v>
      </c>
      <c r="L10652" s="1335">
        <f>K10652*$K$10671</f>
        <v>0</v>
      </c>
      <c r="M10652" s="1302">
        <v>0.3</v>
      </c>
      <c r="N10652" s="1700"/>
      <c r="O10652" s="1290">
        <f>G10652*M10652</f>
        <v>0.06</v>
      </c>
      <c r="P10652" s="1332">
        <f>M10652*K10652</f>
        <v>0.81</v>
      </c>
      <c r="Q10652" s="3391"/>
      <c r="R10652" s="4064"/>
    </row>
    <row r="10653" spans="1:18" s="22" customFormat="1">
      <c r="A10653"/>
      <c r="B10653" s="553"/>
      <c r="C10653" s="1042"/>
      <c r="D10653" s="1400"/>
      <c r="E10653" s="1856"/>
      <c r="F10653" s="1421"/>
      <c r="G10653" s="1399"/>
      <c r="H10653" s="1399"/>
      <c r="I10653" s="1614"/>
      <c r="J10653" s="1341"/>
      <c r="K10653" s="1307"/>
      <c r="L10653" s="1335"/>
      <c r="M10653" s="1302"/>
      <c r="N10653" s="1700"/>
      <c r="O10653" s="1290"/>
      <c r="P10653" s="1332"/>
      <c r="Q10653" s="3391"/>
      <c r="R10653" s="4064"/>
    </row>
    <row r="10654" spans="1:18" s="22" customFormat="1">
      <c r="A10654"/>
      <c r="B10654" s="553"/>
      <c r="C10654" s="1042"/>
      <c r="D10654" s="1400"/>
      <c r="E10654" s="1856"/>
      <c r="F10654" s="1421"/>
      <c r="G10654" s="1399"/>
      <c r="H10654" s="1399"/>
      <c r="I10654" s="1614"/>
      <c r="J10654" s="1341"/>
      <c r="K10654" s="1307"/>
      <c r="L10654" s="1335"/>
      <c r="M10654" s="1302"/>
      <c r="N10654" s="1700"/>
      <c r="O10654" s="1290"/>
      <c r="P10654" s="1332"/>
      <c r="Q10654" s="3391"/>
      <c r="R10654" s="4064"/>
    </row>
    <row r="10655" spans="1:18" s="22" customFormat="1" ht="18" customHeight="1">
      <c r="A10655"/>
      <c r="B10655" s="553"/>
      <c r="C10655" s="1042"/>
      <c r="D10655" s="1404"/>
      <c r="E10655" s="1858"/>
      <c r="F10655" s="1465" t="s">
        <v>2</v>
      </c>
      <c r="G10655" s="1362"/>
      <c r="H10655" s="1362"/>
      <c r="I10655" s="1381"/>
      <c r="J10655" s="1381"/>
      <c r="K10655" s="1359"/>
      <c r="L10655" s="1458"/>
      <c r="M10655" s="1498"/>
      <c r="N10655" s="1498"/>
      <c r="O10655" s="1498"/>
      <c r="P10655" s="1359"/>
      <c r="Q10655" s="3387"/>
      <c r="R10655" s="4064"/>
    </row>
    <row r="10656" spans="1:18" s="22" customFormat="1">
      <c r="A10656" s="1599"/>
      <c r="B10656" s="553"/>
      <c r="C10656" s="1042"/>
      <c r="D10656" s="1623" t="s">
        <v>1702</v>
      </c>
      <c r="E10656" s="2158" t="s">
        <v>1508</v>
      </c>
      <c r="F10656" s="1624" t="s">
        <v>1703</v>
      </c>
      <c r="G10656" s="1625">
        <v>0.34799999999999998</v>
      </c>
      <c r="H10656" s="1625"/>
      <c r="I10656" s="1340"/>
      <c r="J10656" s="198"/>
      <c r="K10656" s="1307">
        <f>G10656*K10648</f>
        <v>4.6979999999999995</v>
      </c>
      <c r="L10656" s="1335">
        <f>K10656*$K$10671</f>
        <v>0</v>
      </c>
      <c r="M10656" s="1302">
        <v>19.23</v>
      </c>
      <c r="N10656" s="1700"/>
      <c r="O10656" s="1290">
        <f>G10656*M10656</f>
        <v>6.6920399999999995</v>
      </c>
      <c r="P10656" s="1332">
        <f>M10656*K10656</f>
        <v>90.34254</v>
      </c>
      <c r="Q10656" s="3391"/>
      <c r="R10656" s="4064"/>
    </row>
    <row r="10657" spans="1:18" s="22" customFormat="1">
      <c r="A10657" s="1599"/>
      <c r="B10657" s="553"/>
      <c r="C10657" s="1042"/>
      <c r="D10657" s="1623"/>
      <c r="E10657" s="2158"/>
      <c r="F10657" s="1624"/>
      <c r="G10657" s="1625"/>
      <c r="H10657" s="1625"/>
      <c r="I10657" s="1340"/>
      <c r="J10657" s="198"/>
      <c r="K10657" s="1307"/>
      <c r="L10657" s="1335"/>
      <c r="M10657" s="1302"/>
      <c r="N10657" s="1700"/>
      <c r="O10657" s="1290"/>
      <c r="P10657" s="1332"/>
      <c r="Q10657" s="3391"/>
      <c r="R10657" s="4064"/>
    </row>
    <row r="10658" spans="1:18" s="22" customFormat="1">
      <c r="A10658" s="1599"/>
      <c r="B10658" s="553"/>
      <c r="C10658" s="1042"/>
      <c r="D10658" s="1623"/>
      <c r="E10658" s="2158"/>
      <c r="F10658" s="1624"/>
      <c r="G10658" s="1625"/>
      <c r="H10658" s="1625"/>
      <c r="I10658" s="1340"/>
      <c r="J10658" s="198"/>
      <c r="K10658" s="1307"/>
      <c r="L10658" s="1335"/>
      <c r="M10658" s="1302"/>
      <c r="N10658" s="1700"/>
      <c r="O10658" s="1290"/>
      <c r="P10658" s="1332"/>
      <c r="Q10658" s="3391"/>
      <c r="R10658" s="4064"/>
    </row>
    <row r="10659" spans="1:18" s="22" customFormat="1">
      <c r="A10659" s="2053"/>
      <c r="B10659" s="553"/>
      <c r="C10659" s="1042"/>
      <c r="D10659" s="1411"/>
      <c r="E10659" s="2123"/>
      <c r="F10659" s="1475" t="s">
        <v>3</v>
      </c>
      <c r="G10659" s="1377"/>
      <c r="H10659" s="1377"/>
      <c r="I10659" s="1383"/>
      <c r="J10659" s="1383"/>
      <c r="K10659" s="1383"/>
      <c r="L10659" s="1413"/>
      <c r="M10659" s="1376"/>
      <c r="N10659" s="1376"/>
      <c r="O10659" s="1376"/>
      <c r="P10659" s="1373"/>
      <c r="Q10659" s="3387"/>
      <c r="R10659" s="4064"/>
    </row>
    <row r="10660" spans="1:18" s="22" customFormat="1">
      <c r="A10660" s="2053"/>
      <c r="B10660" s="553"/>
      <c r="C10660" s="1042"/>
      <c r="D10660" s="1440"/>
      <c r="E10660" s="2132"/>
      <c r="F10660" s="1441"/>
      <c r="G10660" s="1441"/>
      <c r="H10660" s="1442"/>
      <c r="I10660" s="197"/>
      <c r="J10660" s="198"/>
      <c r="K10660" s="1307"/>
      <c r="L10660" s="1335"/>
      <c r="M10660" s="1499"/>
      <c r="N10660" s="1701"/>
      <c r="O10660" s="1290"/>
      <c r="P10660" s="1332"/>
      <c r="Q10660" s="3391"/>
      <c r="R10660" s="1173"/>
    </row>
    <row r="10661" spans="1:18" s="22" customFormat="1">
      <c r="A10661" s="553"/>
      <c r="B10661" s="553"/>
      <c r="C10661" s="1042"/>
      <c r="D10661" s="1440"/>
      <c r="E10661" s="2132"/>
      <c r="F10661" s="1441"/>
      <c r="G10661" s="1441"/>
      <c r="H10661" s="1442"/>
      <c r="I10661" s="197"/>
      <c r="J10661" s="198"/>
      <c r="K10661" s="1307"/>
      <c r="L10661" s="1335"/>
      <c r="M10661" s="1499"/>
      <c r="N10661" s="1701"/>
      <c r="O10661" s="1290"/>
      <c r="P10661" s="1332"/>
      <c r="Q10661" s="3391"/>
      <c r="R10661" s="2338"/>
    </row>
    <row r="10662" spans="1:18" s="22" customFormat="1" ht="15" customHeight="1">
      <c r="A10662" s="19"/>
      <c r="B10662" s="554"/>
      <c r="C10662" s="223"/>
      <c r="D10662" s="1440"/>
      <c r="E10662" s="2132"/>
      <c r="F10662" s="1441"/>
      <c r="G10662" s="1441"/>
      <c r="H10662" s="1442"/>
      <c r="I10662" s="197"/>
      <c r="J10662" s="198"/>
      <c r="K10662" s="1307"/>
      <c r="L10662" s="1335"/>
      <c r="M10662" s="1499"/>
      <c r="N10662" s="1701"/>
      <c r="O10662" s="1290"/>
      <c r="P10662" s="1332"/>
      <c r="Q10662" s="3391"/>
      <c r="R10662" s="2338"/>
    </row>
    <row r="10663" spans="1:18" s="22" customFormat="1">
      <c r="A10663"/>
      <c r="B10663"/>
      <c r="C10663"/>
      <c r="D10663"/>
      <c r="E10663" s="3358"/>
      <c r="F10663"/>
      <c r="G10663"/>
      <c r="H10663"/>
      <c r="I10663" s="28"/>
      <c r="J10663"/>
      <c r="K10663"/>
      <c r="L10663" s="28"/>
      <c r="M10663"/>
      <c r="N10663"/>
      <c r="O10663"/>
      <c r="P10663"/>
      <c r="Q10663" s="3383"/>
      <c r="R10663" s="2339"/>
    </row>
    <row r="10664" spans="1:18" s="22" customFormat="1">
      <c r="A10664"/>
      <c r="B10664"/>
      <c r="C10664"/>
      <c r="D10664"/>
      <c r="E10664" s="3358"/>
      <c r="F10664"/>
      <c r="G10664"/>
      <c r="H10664"/>
      <c r="I10664" s="28"/>
      <c r="J10664"/>
      <c r="K10664"/>
      <c r="L10664" s="28"/>
      <c r="M10664"/>
      <c r="N10664"/>
      <c r="O10664"/>
      <c r="P10664"/>
      <c r="Q10664" s="3383"/>
      <c r="R10664" s="2339"/>
    </row>
    <row r="10665" spans="1:18" s="22" customFormat="1">
      <c r="A10665" s="4391" t="s">
        <v>2619</v>
      </c>
      <c r="B10665" s="4392"/>
      <c r="C10665" s="4392"/>
      <c r="D10665" s="4392"/>
      <c r="E10665" s="3344" t="s">
        <v>1504</v>
      </c>
      <c r="F10665" s="2197" t="s">
        <v>2622</v>
      </c>
      <c r="G10665" s="1288"/>
      <c r="H10665" s="1288"/>
      <c r="I10665" s="1557"/>
      <c r="J10665" s="1288"/>
      <c r="K10665" s="1288"/>
      <c r="L10665" s="1557"/>
      <c r="M10665" s="1288"/>
      <c r="N10665" s="1288"/>
      <c r="O10665" s="1288"/>
      <c r="P10665" s="1283"/>
      <c r="Q10665" s="3386"/>
      <c r="R10665" s="3363"/>
    </row>
    <row r="10666" spans="1:18" s="22" customFormat="1">
      <c r="B10666" s="16"/>
      <c r="C10666" s="16"/>
      <c r="D10666" s="1795"/>
      <c r="E10666" s="2179"/>
      <c r="F10666" s="1795"/>
      <c r="G10666" s="1795"/>
      <c r="H10666" s="1797"/>
      <c r="I10666" s="1561"/>
      <c r="J10666" s="1561"/>
      <c r="K10666" s="1639"/>
      <c r="L10666" s="1640"/>
      <c r="M10666" s="1292"/>
      <c r="N10666" s="1292"/>
      <c r="O10666" s="1292"/>
      <c r="P10666" s="1292"/>
      <c r="Q10666" s="3391"/>
      <c r="R10666" s="3363"/>
    </row>
    <row r="10667" spans="1:18" s="22" customFormat="1" ht="28.5">
      <c r="B10667" s="16"/>
      <c r="C10667" s="16"/>
      <c r="D10667" s="1795"/>
      <c r="E10667" s="2179"/>
      <c r="F10667" s="1795"/>
      <c r="G10667" s="1795"/>
      <c r="H10667" s="1797"/>
      <c r="I10667" s="1561"/>
      <c r="J10667" s="1561"/>
      <c r="K10667" s="1639"/>
      <c r="L10667" s="2375" t="s">
        <v>2856</v>
      </c>
      <c r="M10667" s="1292"/>
      <c r="N10667" s="1292"/>
      <c r="O10667" s="1292"/>
      <c r="P10667" s="1292"/>
      <c r="Q10667" s="3391"/>
      <c r="R10667" s="3363"/>
    </row>
    <row r="10668" spans="1:18" s="22" customFormat="1">
      <c r="A10668" s="4393" t="s">
        <v>162</v>
      </c>
      <c r="B10668" s="4394"/>
      <c r="C10668" s="4394"/>
      <c r="D10668" s="4395"/>
      <c r="E10668" s="4428" t="s">
        <v>1549</v>
      </c>
      <c r="F10668" s="4398" t="s">
        <v>1550</v>
      </c>
      <c r="G10668" s="4399" t="s">
        <v>1566</v>
      </c>
      <c r="H10668" s="4400"/>
      <c r="I10668" s="4400"/>
      <c r="J10668" s="4400"/>
      <c r="K10668" s="4400"/>
      <c r="L10668" s="4401"/>
      <c r="M10668" s="4431" t="s">
        <v>1567</v>
      </c>
      <c r="N10668" s="4432"/>
      <c r="O10668" s="4432"/>
      <c r="P10668" s="4433"/>
      <c r="Q10668" s="3395"/>
      <c r="R10668" s="2339"/>
    </row>
    <row r="10669" spans="1:18" s="22" customFormat="1" ht="15" thickBot="1">
      <c r="A10669" s="1324" t="s">
        <v>3766</v>
      </c>
      <c r="B10669" s="1325" t="s">
        <v>1513</v>
      </c>
      <c r="C10669" s="1326" t="s">
        <v>1573</v>
      </c>
      <c r="D10669" s="1323" t="s">
        <v>1514</v>
      </c>
      <c r="E10669" s="4429"/>
      <c r="F10669" s="4430"/>
      <c r="G10669" s="4402"/>
      <c r="H10669" s="4403"/>
      <c r="I10669" s="4403"/>
      <c r="J10669" s="4403"/>
      <c r="K10669" s="4403"/>
      <c r="L10669" s="4404"/>
      <c r="M10669" s="4434"/>
      <c r="N10669" s="4435"/>
      <c r="O10669" s="4435"/>
      <c r="P10669" s="4436"/>
      <c r="Q10669" s="3395"/>
      <c r="R10669" s="2339"/>
    </row>
    <row r="10670" spans="1:18" s="22" customFormat="1" ht="34.5" customHeight="1">
      <c r="A10670" s="4374" t="s">
        <v>3761</v>
      </c>
      <c r="B10670" s="4375"/>
      <c r="C10670" s="4375"/>
      <c r="D10670" s="4376"/>
      <c r="E10670" s="4380" t="s">
        <v>1504</v>
      </c>
      <c r="F10670" s="4382" t="s">
        <v>3762</v>
      </c>
      <c r="G10670" s="4406" t="s">
        <v>294</v>
      </c>
      <c r="H10670" s="4407"/>
      <c r="I10670" s="1665" t="s">
        <v>1565</v>
      </c>
      <c r="J10670" s="3649" t="s">
        <v>3760</v>
      </c>
      <c r="K10670" s="4406" t="s">
        <v>289</v>
      </c>
      <c r="L10670" s="4407"/>
      <c r="M10670" s="4445" t="s">
        <v>3349</v>
      </c>
      <c r="N10670" s="4446"/>
      <c r="O10670" s="4446"/>
      <c r="P10670" s="4447"/>
      <c r="Q10670" s="4244" t="s">
        <v>3982</v>
      </c>
      <c r="R10670" s="2339"/>
    </row>
    <row r="10671" spans="1:18" s="22" customFormat="1" ht="23.25" customHeight="1" thickBot="1">
      <c r="A10671" s="4377"/>
      <c r="B10671" s="4378"/>
      <c r="C10671" s="4378"/>
      <c r="D10671" s="4379"/>
      <c r="E10671" s="4381"/>
      <c r="F10671" s="4383"/>
      <c r="G10671" s="4410">
        <f>IF('Seleccion proyecto HEREVEA02'!G72="Nueva instalación",'Seleccion proyecto HEREVEA02'!E72,0)</f>
        <v>0</v>
      </c>
      <c r="H10671" s="4411"/>
      <c r="I10671" s="3633">
        <f>IF('Seleccion proyecto HEREVEA02'!H72=0,0,IF('Seleccion proyecto HEREVEA02'!H72=100,1))</f>
        <v>1</v>
      </c>
      <c r="J10671" s="3646">
        <f>'Seleccion proyecto HEREVEA02'!L16</f>
        <v>2</v>
      </c>
      <c r="K10671" s="4426">
        <f>G10671*I10671*J10671</f>
        <v>0</v>
      </c>
      <c r="L10671" s="4427"/>
      <c r="M10671" s="4360">
        <f>P10673+P10688+P10703+P10717+P10731+P10745+P10759+P10773+P10790+P10811+P10837+P10853+P10869+P10884+P10905+P10927+P10948+P10980+P11020+P11038+P11056+P11074+P11088+P11102+P11116+P11130+P11144+P11165+P11183+P11201+P11227+P11246+P11270+P11285+P11300+P11316+P11331</f>
        <v>29747.897228419599</v>
      </c>
      <c r="N10671" s="4361"/>
      <c r="O10671" s="4361"/>
      <c r="P10671" s="4362"/>
      <c r="Q10671" s="4245">
        <f>M10671*K10671</f>
        <v>0</v>
      </c>
      <c r="R10671" s="2339"/>
    </row>
    <row r="10672" spans="1:18" s="22" customFormat="1">
      <c r="A10672" s="18" t="s">
        <v>3764</v>
      </c>
      <c r="B10672" s="4325" t="s">
        <v>3767</v>
      </c>
      <c r="C10672" s="3885"/>
      <c r="D10672" s="4327"/>
      <c r="E10672" s="4329" t="s">
        <v>1507</v>
      </c>
      <c r="F10672" s="4372" t="s">
        <v>3763</v>
      </c>
      <c r="G10672" s="4331" t="s">
        <v>1568</v>
      </c>
      <c r="H10672" s="4331" t="s">
        <v>1574</v>
      </c>
      <c r="I10672" s="1572" t="s">
        <v>1559</v>
      </c>
      <c r="J10672" s="1294" t="s">
        <v>1560</v>
      </c>
      <c r="K10672" s="1294" t="s">
        <v>1569</v>
      </c>
      <c r="L10672" s="4333" t="s">
        <v>3765</v>
      </c>
      <c r="M10672" s="4323" t="s">
        <v>1571</v>
      </c>
      <c r="N10672" s="4323" t="s">
        <v>1776</v>
      </c>
      <c r="O10672" s="3884" t="s">
        <v>1563</v>
      </c>
      <c r="P10672" s="1336" t="s">
        <v>1562</v>
      </c>
      <c r="Q10672" s="3389"/>
      <c r="R10672" s="1699" t="s">
        <v>1327</v>
      </c>
    </row>
    <row r="10673" spans="1:18" s="22" customFormat="1">
      <c r="A10673" s="1599" t="s">
        <v>3761</v>
      </c>
      <c r="B10673" s="4326"/>
      <c r="C10673" s="3886"/>
      <c r="D10673" s="4328"/>
      <c r="E10673" s="4330"/>
      <c r="F10673" s="4363"/>
      <c r="G10673" s="4332"/>
      <c r="H10673" s="4332"/>
      <c r="I10673" s="1345">
        <v>2.33</v>
      </c>
      <c r="J10673" s="1307">
        <v>1</v>
      </c>
      <c r="K10673" s="1666">
        <f>I10673*J10673</f>
        <v>2.33</v>
      </c>
      <c r="L10673" s="4334"/>
      <c r="M10673" s="4324"/>
      <c r="N10673" s="4324"/>
      <c r="O10673" s="1298">
        <f>SUM(O10675:O10685)</f>
        <v>13.27516</v>
      </c>
      <c r="P10673" s="1337">
        <f>O10673*K10673</f>
        <v>30.931122800000001</v>
      </c>
      <c r="Q10673" s="3390"/>
      <c r="R10673" s="1721">
        <f>SUM(P10675:P10685)</f>
        <v>30.931122800000001</v>
      </c>
    </row>
    <row r="10674" spans="1:18" s="22" customFormat="1">
      <c r="A10674" s="1320"/>
      <c r="B10674" s="1949"/>
      <c r="C10674" s="1327"/>
      <c r="D10674" s="1367"/>
      <c r="E10674" s="2121"/>
      <c r="F10674" s="1389" t="s">
        <v>1</v>
      </c>
      <c r="G10674" s="1389"/>
      <c r="H10674" s="1369"/>
      <c r="I10674" s="2088"/>
      <c r="J10674" s="1369"/>
      <c r="K10674" s="1391"/>
      <c r="L10674" s="1559"/>
      <c r="M10674" s="1369"/>
      <c r="N10674" s="1369"/>
      <c r="O10674" s="1369"/>
      <c r="P10674" s="1392"/>
      <c r="Q10674" s="3395"/>
      <c r="R10674" s="2344"/>
    </row>
    <row r="10675" spans="1:18" s="22" customFormat="1">
      <c r="A10675" s="1320"/>
      <c r="B10675" s="1599"/>
      <c r="C10675" s="1320"/>
      <c r="D10675" s="1598"/>
      <c r="E10675" s="2154"/>
      <c r="F10675" s="1598"/>
      <c r="G10675" s="1995"/>
      <c r="H10675" s="1369"/>
      <c r="I10675" s="1299"/>
      <c r="J10675" s="1300"/>
      <c r="K10675" s="1307"/>
      <c r="L10675" s="1335"/>
      <c r="M10675" s="1302"/>
      <c r="N10675" s="1700"/>
      <c r="O10675" s="1290"/>
      <c r="P10675" s="1332"/>
      <c r="Q10675" s="3402"/>
      <c r="R10675" s="2356"/>
    </row>
    <row r="10676" spans="1:18" s="22" customFormat="1">
      <c r="A10676" s="16"/>
      <c r="B10676" s="1599"/>
      <c r="C10676" s="1320"/>
      <c r="D10676" s="1598"/>
      <c r="E10676" s="1856"/>
      <c r="F10676" s="1598"/>
      <c r="G10676" s="1651"/>
      <c r="H10676" s="1399"/>
      <c r="I10676" s="198"/>
      <c r="J10676" s="198"/>
      <c r="K10676" s="1307"/>
      <c r="L10676" s="1335"/>
      <c r="M10676" s="1499"/>
      <c r="N10676" s="1701"/>
      <c r="O10676" s="1290"/>
      <c r="P10676" s="1332"/>
      <c r="Q10676" s="3391"/>
      <c r="R10676" s="3889"/>
    </row>
    <row r="10677" spans="1:18" s="22" customFormat="1" ht="15" customHeight="1">
      <c r="A10677" s="16"/>
      <c r="B10677" s="1599"/>
      <c r="C10677" s="1320"/>
      <c r="D10677" s="1598"/>
      <c r="E10677" s="1856"/>
      <c r="F10677" s="1598"/>
      <c r="G10677" s="1399"/>
      <c r="H10677" s="1399"/>
      <c r="I10677" s="198"/>
      <c r="J10677" s="198"/>
      <c r="K10677" s="1307"/>
      <c r="L10677" s="1335"/>
      <c r="M10677" s="1499"/>
      <c r="N10677" s="1701"/>
      <c r="O10677" s="1291"/>
      <c r="P10677" s="1332"/>
      <c r="Q10677" s="3391"/>
      <c r="R10677" s="3889"/>
    </row>
    <row r="10678" spans="1:18" s="22" customFormat="1" ht="26">
      <c r="A10678" s="2187"/>
      <c r="B10678" s="1599"/>
      <c r="C10678" s="1042"/>
      <c r="D10678" s="1359"/>
      <c r="E10678" s="1858"/>
      <c r="F10678" s="1360" t="s">
        <v>2</v>
      </c>
      <c r="G10678" s="1360"/>
      <c r="H10678" s="1362"/>
      <c r="I10678" s="1380"/>
      <c r="J10678" s="1381"/>
      <c r="K10678" s="1381"/>
      <c r="L10678" s="1458"/>
      <c r="M10678" s="1362"/>
      <c r="N10678" s="1362"/>
      <c r="O10678" s="1362"/>
      <c r="P10678" s="1359"/>
      <c r="Q10678" s="3403"/>
      <c r="R10678" s="2357"/>
    </row>
    <row r="10679" spans="1:18" s="22" customFormat="1">
      <c r="A10679" s="19"/>
      <c r="B10679" s="1042"/>
      <c r="C10679" s="1042"/>
      <c r="D10679" s="1402" t="s">
        <v>1067</v>
      </c>
      <c r="E10679" s="1857" t="s">
        <v>1508</v>
      </c>
      <c r="F10679" s="1430" t="s">
        <v>5</v>
      </c>
      <c r="G10679" s="1381">
        <v>0.622</v>
      </c>
      <c r="H10679" s="1408"/>
      <c r="I10679" s="1340"/>
      <c r="J10679" s="198"/>
      <c r="K10679" s="1307">
        <f>G10679*K10673</f>
        <v>1.44926</v>
      </c>
      <c r="L10679" s="1335">
        <f>K10679*$K$10671</f>
        <v>0</v>
      </c>
      <c r="M10679" s="1302">
        <v>18.28</v>
      </c>
      <c r="N10679" s="1724"/>
      <c r="O10679" s="1290">
        <f>G10679*M10679</f>
        <v>11.37016</v>
      </c>
      <c r="P10679" s="1332">
        <f>M10679*K10679</f>
        <v>26.492472800000002</v>
      </c>
      <c r="Q10679" s="3391"/>
      <c r="R10679" s="2338"/>
    </row>
    <row r="10680" spans="1:18" s="22" customFormat="1">
      <c r="A10680"/>
      <c r="B10680" s="1042"/>
      <c r="C10680" s="19"/>
      <c r="D10680" s="1430"/>
      <c r="E10680" s="1857"/>
      <c r="F10680" s="1394"/>
      <c r="G10680" s="2183"/>
      <c r="H10680" s="1395"/>
      <c r="I10680" s="197"/>
      <c r="J10680" s="198"/>
      <c r="K10680" s="1307"/>
      <c r="L10680" s="1335"/>
      <c r="M10680" s="1302"/>
      <c r="N10680" s="1718"/>
      <c r="O10680" s="1290"/>
      <c r="P10680" s="1720"/>
      <c r="Q10680" s="3396"/>
      <c r="R10680" s="2337"/>
    </row>
    <row r="10681" spans="1:18" s="22" customFormat="1">
      <c r="B10681" s="1320"/>
      <c r="C10681" s="16"/>
      <c r="D10681" s="1359"/>
      <c r="E10681" s="1858"/>
      <c r="F10681" s="1474"/>
      <c r="G10681" s="2198"/>
      <c r="H10681" s="1466"/>
      <c r="I10681" s="1289"/>
      <c r="J10681" s="8"/>
      <c r="K10681" s="1307"/>
      <c r="L10681" s="1335"/>
      <c r="M10681" s="1302"/>
      <c r="N10681" s="1700"/>
      <c r="O10681" s="1290"/>
      <c r="P10681" s="1332"/>
      <c r="Q10681" s="3391"/>
      <c r="R10681" s="2344"/>
    </row>
    <row r="10682" spans="1:18" s="22" customFormat="1">
      <c r="A10682" s="1320"/>
      <c r="B10682" s="1599"/>
      <c r="C10682" s="1320"/>
      <c r="D10682" s="1373"/>
      <c r="E10682" s="2123"/>
      <c r="F10682" s="1374" t="s">
        <v>3</v>
      </c>
      <c r="G10682" s="2199"/>
      <c r="H10682" s="1376"/>
      <c r="I10682" s="1382"/>
      <c r="J10682" s="1383"/>
      <c r="K10682" s="1383"/>
      <c r="L10682" s="1413"/>
      <c r="M10682" s="1376"/>
      <c r="N10682" s="1376"/>
      <c r="O10682" s="1376"/>
      <c r="P10682" s="1373"/>
      <c r="Q10682" s="3403"/>
      <c r="R10682" s="2356"/>
    </row>
    <row r="10683" spans="1:18" s="22" customFormat="1">
      <c r="A10683" s="1321"/>
      <c r="B10683" s="2053"/>
      <c r="C10683" s="1321"/>
      <c r="D10683" s="3985" t="s">
        <v>1080</v>
      </c>
      <c r="E10683" s="3986" t="s">
        <v>1508</v>
      </c>
      <c r="F10683" s="3987" t="s">
        <v>1511</v>
      </c>
      <c r="G10683" s="3988">
        <v>0.3</v>
      </c>
      <c r="H10683" s="1379"/>
      <c r="I10683" s="1299"/>
      <c r="J10683" s="1300"/>
      <c r="K10683" s="1307">
        <f>G10683*K10673</f>
        <v>0.69899999999999995</v>
      </c>
      <c r="L10683" s="1335">
        <f>K10683*$K$10671</f>
        <v>0</v>
      </c>
      <c r="M10683" s="1302">
        <v>6.35</v>
      </c>
      <c r="N10683" s="1700"/>
      <c r="O10683" s="1290">
        <f>G10683*M10683</f>
        <v>1.9049999999999998</v>
      </c>
      <c r="P10683" s="1332">
        <f>M10683*K10683</f>
        <v>4.4386499999999991</v>
      </c>
      <c r="Q10683" s="3402"/>
      <c r="R10683" s="2053"/>
    </row>
    <row r="10684" spans="1:18" s="22" customFormat="1">
      <c r="A10684" s="1321"/>
      <c r="B10684" s="2053"/>
      <c r="C10684" s="1321"/>
      <c r="D10684" s="1377"/>
      <c r="E10684" s="2124"/>
      <c r="F10684" s="1378"/>
      <c r="G10684" s="2200"/>
      <c r="H10684" s="1379"/>
      <c r="I10684" s="1299"/>
      <c r="J10684" s="1300"/>
      <c r="K10684" s="1307"/>
      <c r="L10684" s="1335"/>
      <c r="M10684" s="1302"/>
      <c r="N10684" s="1700"/>
      <c r="O10684" s="1290"/>
      <c r="P10684" s="1332"/>
      <c r="Q10684" s="3402"/>
      <c r="R10684" s="2053"/>
    </row>
    <row r="10685" spans="1:18" s="22" customFormat="1">
      <c r="A10685" s="1599"/>
      <c r="B10685" s="1320"/>
      <c r="C10685" s="88"/>
      <c r="D10685" s="1411"/>
      <c r="E10685" s="2161"/>
      <c r="F10685" s="1678"/>
      <c r="G10685" s="2201"/>
      <c r="H10685" s="1376"/>
      <c r="I10685" s="1299"/>
      <c r="J10685" s="1300"/>
      <c r="K10685" s="1307"/>
      <c r="L10685" s="1335"/>
      <c r="M10685" s="1302"/>
      <c r="N10685" s="1700"/>
      <c r="O10685" s="1290"/>
      <c r="P10685" s="1332"/>
      <c r="Q10685" s="3402"/>
      <c r="R10685" s="2356"/>
    </row>
    <row r="10686" spans="1:18" s="22" customFormat="1">
      <c r="A10686" s="1599"/>
      <c r="B10686" s="225"/>
      <c r="C10686" s="581"/>
      <c r="D10686" s="1411"/>
      <c r="E10686" s="2161"/>
      <c r="F10686" s="1678"/>
      <c r="G10686" s="2201"/>
      <c r="H10686" s="1376"/>
      <c r="I10686" s="1299"/>
      <c r="J10686" s="1300"/>
      <c r="K10686" s="1307"/>
      <c r="L10686" s="1335"/>
      <c r="M10686" s="1302"/>
      <c r="N10686" s="1700"/>
      <c r="O10686" s="1290"/>
      <c r="P10686" s="1332"/>
      <c r="Q10686" s="3402"/>
      <c r="R10686" s="2356"/>
    </row>
    <row r="10687" spans="1:18" s="22" customFormat="1">
      <c r="A10687" s="18" t="s">
        <v>3764</v>
      </c>
      <c r="B10687" s="4325" t="s">
        <v>3768</v>
      </c>
      <c r="C10687" s="3350"/>
      <c r="D10687" s="4327"/>
      <c r="E10687" s="4329" t="s">
        <v>1507</v>
      </c>
      <c r="F10687" s="4372" t="s">
        <v>3769</v>
      </c>
      <c r="G10687" s="4331" t="s">
        <v>1568</v>
      </c>
      <c r="H10687" s="4331" t="s">
        <v>1574</v>
      </c>
      <c r="I10687" s="1572" t="s">
        <v>1559</v>
      </c>
      <c r="J10687" s="1294" t="s">
        <v>1560</v>
      </c>
      <c r="K10687" s="1294" t="s">
        <v>1569</v>
      </c>
      <c r="L10687" s="4333" t="s">
        <v>3765</v>
      </c>
      <c r="M10687" s="4323" t="s">
        <v>1571</v>
      </c>
      <c r="N10687" s="4323" t="s">
        <v>1776</v>
      </c>
      <c r="O10687" s="3347" t="s">
        <v>1563</v>
      </c>
      <c r="P10687" s="1336" t="s">
        <v>1562</v>
      </c>
      <c r="Q10687" s="3389"/>
      <c r="R10687" s="1699" t="s">
        <v>1327</v>
      </c>
    </row>
    <row r="10688" spans="1:18" s="22" customFormat="1">
      <c r="A10688" s="1599" t="s">
        <v>3761</v>
      </c>
      <c r="B10688" s="4326"/>
      <c r="C10688" s="3351"/>
      <c r="D10688" s="4328"/>
      <c r="E10688" s="4330"/>
      <c r="F10688" s="4363"/>
      <c r="G10688" s="4332"/>
      <c r="H10688" s="4332"/>
      <c r="I10688" s="1345">
        <v>2.33</v>
      </c>
      <c r="J10688" s="1307">
        <v>1</v>
      </c>
      <c r="K10688" s="1666">
        <f>I10688*J10688</f>
        <v>2.33</v>
      </c>
      <c r="L10688" s="4334"/>
      <c r="M10688" s="4324"/>
      <c r="N10688" s="4324"/>
      <c r="O10688" s="1298">
        <f>SUM(O10690:O10700)</f>
        <v>12.872999999999999</v>
      </c>
      <c r="P10688" s="1337">
        <f>O10688*K10688</f>
        <v>29.99409</v>
      </c>
      <c r="Q10688" s="3390"/>
      <c r="R10688" s="1721">
        <f>SUM(P10690:P10700)</f>
        <v>29.99409</v>
      </c>
    </row>
    <row r="10689" spans="1:18" s="22" customFormat="1">
      <c r="A10689" s="1320"/>
      <c r="B10689" s="1949"/>
      <c r="C10689" s="1327"/>
      <c r="D10689" s="1367"/>
      <c r="E10689" s="2121"/>
      <c r="F10689" s="1389" t="s">
        <v>1</v>
      </c>
      <c r="G10689" s="1389"/>
      <c r="H10689" s="1369"/>
      <c r="I10689" s="2088"/>
      <c r="J10689" s="1369"/>
      <c r="K10689" s="1391"/>
      <c r="L10689" s="1559"/>
      <c r="M10689" s="1369"/>
      <c r="N10689" s="1369"/>
      <c r="O10689" s="1369"/>
      <c r="P10689" s="1392"/>
      <c r="Q10689" s="3395"/>
      <c r="R10689" s="2344"/>
    </row>
    <row r="10690" spans="1:18" s="22" customFormat="1">
      <c r="A10690" s="1320"/>
      <c r="B10690" s="1599"/>
      <c r="C10690" s="1320"/>
      <c r="D10690" s="1598"/>
      <c r="E10690" s="2154"/>
      <c r="F10690" s="1598"/>
      <c r="G10690" s="1995"/>
      <c r="H10690" s="1369"/>
      <c r="I10690" s="1299"/>
      <c r="J10690" s="1300"/>
      <c r="K10690" s="1307"/>
      <c r="L10690" s="1335"/>
      <c r="M10690" s="1302"/>
      <c r="N10690" s="1700"/>
      <c r="O10690" s="1290"/>
      <c r="P10690" s="1332"/>
      <c r="Q10690" s="3402"/>
      <c r="R10690" s="2356"/>
    </row>
    <row r="10691" spans="1:18" s="22" customFormat="1">
      <c r="A10691" s="16"/>
      <c r="B10691" s="1599"/>
      <c r="C10691" s="1320"/>
      <c r="D10691" s="1598"/>
      <c r="E10691" s="1856"/>
      <c r="F10691" s="1598"/>
      <c r="G10691" s="1651"/>
      <c r="H10691" s="1399"/>
      <c r="I10691" s="198"/>
      <c r="J10691" s="198"/>
      <c r="K10691" s="1307"/>
      <c r="L10691" s="1335"/>
      <c r="M10691" s="1499"/>
      <c r="N10691" s="1701"/>
      <c r="O10691" s="1290"/>
      <c r="P10691" s="1332"/>
      <c r="Q10691" s="3391"/>
      <c r="R10691" s="3363"/>
    </row>
    <row r="10692" spans="1:18" s="22" customFormat="1">
      <c r="A10692" s="16"/>
      <c r="B10692" s="1599"/>
      <c r="C10692" s="1320"/>
      <c r="D10692" s="1598"/>
      <c r="E10692" s="1856"/>
      <c r="F10692" s="1598"/>
      <c r="G10692" s="1399"/>
      <c r="H10692" s="1399"/>
      <c r="I10692" s="198"/>
      <c r="J10692" s="198"/>
      <c r="K10692" s="1307"/>
      <c r="L10692" s="1335"/>
      <c r="M10692" s="1499"/>
      <c r="N10692" s="1701"/>
      <c r="O10692" s="1291"/>
      <c r="P10692" s="1332"/>
      <c r="Q10692" s="3391"/>
      <c r="R10692" s="3363"/>
    </row>
    <row r="10693" spans="1:18" s="22" customFormat="1" ht="26">
      <c r="A10693" s="2187"/>
      <c r="B10693" s="1599"/>
      <c r="C10693" s="1042"/>
      <c r="D10693" s="1359"/>
      <c r="E10693" s="1858"/>
      <c r="F10693" s="1360" t="s">
        <v>2</v>
      </c>
      <c r="G10693" s="1360"/>
      <c r="H10693" s="1362"/>
      <c r="I10693" s="1380"/>
      <c r="J10693" s="1381"/>
      <c r="K10693" s="1381"/>
      <c r="L10693" s="1458"/>
      <c r="M10693" s="1362"/>
      <c r="N10693" s="1362"/>
      <c r="O10693" s="1362"/>
      <c r="P10693" s="1359"/>
      <c r="Q10693" s="3403"/>
      <c r="R10693" s="2357"/>
    </row>
    <row r="10694" spans="1:18" s="22" customFormat="1">
      <c r="A10694" s="19"/>
      <c r="B10694" s="1042"/>
      <c r="C10694" s="1042"/>
      <c r="D10694" s="1402" t="s">
        <v>1067</v>
      </c>
      <c r="E10694" s="1857" t="s">
        <v>1508</v>
      </c>
      <c r="F10694" s="1430" t="s">
        <v>5</v>
      </c>
      <c r="G10694" s="1381">
        <v>0.6</v>
      </c>
      <c r="H10694" s="1408"/>
      <c r="I10694" s="1340"/>
      <c r="J10694" s="198"/>
      <c r="K10694" s="1307">
        <f>G10694*K10688</f>
        <v>1.3979999999999999</v>
      </c>
      <c r="L10694" s="1335">
        <f>K10694*$K$10671</f>
        <v>0</v>
      </c>
      <c r="M10694" s="1302">
        <v>18.28</v>
      </c>
      <c r="N10694" s="1724"/>
      <c r="O10694" s="1290">
        <f>G10694*M10694</f>
        <v>10.968</v>
      </c>
      <c r="P10694" s="1332">
        <f>M10694*K10694</f>
        <v>25.555440000000001</v>
      </c>
      <c r="Q10694" s="3391"/>
      <c r="R10694" s="2338"/>
    </row>
    <row r="10695" spans="1:18" s="22" customFormat="1">
      <c r="A10695"/>
      <c r="B10695" s="1042"/>
      <c r="C10695" s="19"/>
      <c r="D10695" s="1430"/>
      <c r="E10695" s="1857"/>
      <c r="F10695" s="1394"/>
      <c r="G10695" s="2183"/>
      <c r="H10695" s="1395"/>
      <c r="I10695" s="197"/>
      <c r="J10695" s="198"/>
      <c r="K10695" s="1307"/>
      <c r="L10695" s="1335"/>
      <c r="M10695" s="1302"/>
      <c r="N10695" s="1718"/>
      <c r="O10695" s="1290"/>
      <c r="P10695" s="1720"/>
      <c r="Q10695" s="3396"/>
      <c r="R10695" s="2337"/>
    </row>
    <row r="10696" spans="1:18" s="22" customFormat="1">
      <c r="B10696" s="1320"/>
      <c r="C10696" s="16"/>
      <c r="D10696" s="1359"/>
      <c r="E10696" s="1858"/>
      <c r="F10696" s="1474"/>
      <c r="G10696" s="2198"/>
      <c r="H10696" s="1466"/>
      <c r="I10696" s="1289"/>
      <c r="J10696" s="8"/>
      <c r="K10696" s="1307"/>
      <c r="L10696" s="1335"/>
      <c r="M10696" s="1302"/>
      <c r="N10696" s="1700"/>
      <c r="O10696" s="1290"/>
      <c r="P10696" s="1332"/>
      <c r="Q10696" s="3391"/>
      <c r="R10696" s="2344"/>
    </row>
    <row r="10697" spans="1:18" s="22" customFormat="1">
      <c r="A10697" s="1320"/>
      <c r="B10697" s="1599"/>
      <c r="C10697" s="1320"/>
      <c r="D10697" s="1373"/>
      <c r="E10697" s="2123"/>
      <c r="F10697" s="1374" t="s">
        <v>3</v>
      </c>
      <c r="G10697" s="2199"/>
      <c r="H10697" s="1376"/>
      <c r="I10697" s="1382"/>
      <c r="J10697" s="1383"/>
      <c r="K10697" s="1383"/>
      <c r="L10697" s="1413"/>
      <c r="M10697" s="1376"/>
      <c r="N10697" s="1376"/>
      <c r="O10697" s="1376"/>
      <c r="P10697" s="1373"/>
      <c r="Q10697" s="3403"/>
      <c r="R10697" s="2356"/>
    </row>
    <row r="10698" spans="1:18" s="22" customFormat="1">
      <c r="A10698" s="1321"/>
      <c r="B10698" s="2053"/>
      <c r="C10698" s="1321"/>
      <c r="D10698" s="3985" t="s">
        <v>1080</v>
      </c>
      <c r="E10698" s="3986" t="s">
        <v>1508</v>
      </c>
      <c r="F10698" s="3987" t="s">
        <v>1511</v>
      </c>
      <c r="G10698" s="3988">
        <v>0.3</v>
      </c>
      <c r="H10698" s="1379"/>
      <c r="I10698" s="1299"/>
      <c r="J10698" s="1300"/>
      <c r="K10698" s="1307">
        <f>G10698*K10688</f>
        <v>0.69899999999999995</v>
      </c>
      <c r="L10698" s="1335">
        <f>K10698*$K$10671</f>
        <v>0</v>
      </c>
      <c r="M10698" s="1302">
        <v>6.35</v>
      </c>
      <c r="N10698" s="1700"/>
      <c r="O10698" s="1290">
        <f>G10698*M10698</f>
        <v>1.9049999999999998</v>
      </c>
      <c r="P10698" s="1332">
        <f>M10698*K10698</f>
        <v>4.4386499999999991</v>
      </c>
      <c r="Q10698" s="3402"/>
      <c r="R10698" s="2053"/>
    </row>
    <row r="10699" spans="1:18" s="22" customFormat="1">
      <c r="A10699" s="1321"/>
      <c r="B10699" s="2053"/>
      <c r="C10699" s="1321"/>
      <c r="D10699" s="1377"/>
      <c r="E10699" s="2124"/>
      <c r="F10699" s="1378"/>
      <c r="G10699" s="2200"/>
      <c r="H10699" s="1379"/>
      <c r="I10699" s="1299"/>
      <c r="J10699" s="1300"/>
      <c r="K10699" s="1307"/>
      <c r="L10699" s="1335"/>
      <c r="M10699" s="1302"/>
      <c r="N10699" s="1700"/>
      <c r="O10699" s="1290"/>
      <c r="P10699" s="1332"/>
      <c r="Q10699" s="3402"/>
      <c r="R10699" s="2053"/>
    </row>
    <row r="10700" spans="1:18" s="22" customFormat="1">
      <c r="A10700" s="1599"/>
      <c r="B10700" s="1320"/>
      <c r="C10700" s="88"/>
      <c r="D10700" s="1411"/>
      <c r="E10700" s="2161"/>
      <c r="F10700" s="1678"/>
      <c r="G10700" s="2201"/>
      <c r="H10700" s="1376"/>
      <c r="I10700" s="1299"/>
      <c r="J10700" s="1300"/>
      <c r="K10700" s="1307"/>
      <c r="L10700" s="1335"/>
      <c r="M10700" s="1302"/>
      <c r="N10700" s="1700"/>
      <c r="O10700" s="1290"/>
      <c r="P10700" s="1332"/>
      <c r="Q10700" s="3402"/>
      <c r="R10700" s="2356"/>
    </row>
    <row r="10701" spans="1:18" s="22" customFormat="1">
      <c r="A10701" s="1599"/>
      <c r="B10701" s="225"/>
      <c r="C10701" s="581"/>
      <c r="D10701" s="1411"/>
      <c r="E10701" s="2161"/>
      <c r="F10701" s="1678"/>
      <c r="G10701" s="2201"/>
      <c r="H10701" s="1376"/>
      <c r="I10701" s="1299"/>
      <c r="J10701" s="1300"/>
      <c r="K10701" s="1307"/>
      <c r="L10701" s="1335"/>
      <c r="M10701" s="1302"/>
      <c r="N10701" s="1700"/>
      <c r="O10701" s="1290"/>
      <c r="P10701" s="1332"/>
      <c r="Q10701" s="3402"/>
      <c r="R10701" s="2356"/>
    </row>
    <row r="10702" spans="1:18" s="22" customFormat="1">
      <c r="A10702" s="18" t="s">
        <v>3764</v>
      </c>
      <c r="B10702" s="4390" t="s">
        <v>3652</v>
      </c>
      <c r="C10702" s="3354"/>
      <c r="D10702" s="4327"/>
      <c r="E10702" s="4329" t="s">
        <v>1527</v>
      </c>
      <c r="F10702" s="4372" t="s">
        <v>2694</v>
      </c>
      <c r="G10702" s="4331" t="s">
        <v>1568</v>
      </c>
      <c r="H10702" s="4331" t="s">
        <v>1574</v>
      </c>
      <c r="I10702" s="1572" t="s">
        <v>1559</v>
      </c>
      <c r="J10702" s="1294" t="s">
        <v>1560</v>
      </c>
      <c r="K10702" s="1294" t="s">
        <v>1569</v>
      </c>
      <c r="L10702" s="4333" t="s">
        <v>3765</v>
      </c>
      <c r="M10702" s="4323" t="s">
        <v>1571</v>
      </c>
      <c r="N10702" s="4323" t="s">
        <v>1776</v>
      </c>
      <c r="O10702" s="3347" t="s">
        <v>1563</v>
      </c>
      <c r="P10702" s="1336" t="s">
        <v>1562</v>
      </c>
      <c r="Q10702" s="3389"/>
      <c r="R10702" s="1699" t="s">
        <v>1327</v>
      </c>
    </row>
    <row r="10703" spans="1:18" s="22" customFormat="1">
      <c r="A10703" s="1599" t="s">
        <v>3761</v>
      </c>
      <c r="B10703" s="4326"/>
      <c r="C10703" s="3351"/>
      <c r="D10703" s="4328"/>
      <c r="E10703" s="4330"/>
      <c r="F10703" s="4363"/>
      <c r="G10703" s="4332"/>
      <c r="H10703" s="4332"/>
      <c r="I10703" s="1345">
        <v>13.95</v>
      </c>
      <c r="J10703" s="1307">
        <v>1</v>
      </c>
      <c r="K10703" s="1666">
        <f>I10703*J10703</f>
        <v>13.95</v>
      </c>
      <c r="L10703" s="4334"/>
      <c r="M10703" s="4324"/>
      <c r="N10703" s="4324"/>
      <c r="O10703" s="1298">
        <f>SUM(O10705:O10715)</f>
        <v>4.9546000000000001</v>
      </c>
      <c r="P10703" s="1337">
        <f>O10703*K10703</f>
        <v>69.116669999999999</v>
      </c>
      <c r="Q10703" s="3390"/>
      <c r="R10703" s="1721">
        <f>SUM(P10705:P10715)</f>
        <v>6.6401999999999992</v>
      </c>
    </row>
    <row r="10704" spans="1:18" s="22" customFormat="1">
      <c r="A10704" s="1320"/>
      <c r="B10704" s="1949"/>
      <c r="C10704" s="1327"/>
      <c r="D10704" s="1367"/>
      <c r="E10704" s="2121"/>
      <c r="F10704" s="1389" t="s">
        <v>1</v>
      </c>
      <c r="G10704" s="1389"/>
      <c r="H10704" s="1369"/>
      <c r="I10704" s="2088"/>
      <c r="J10704" s="1369"/>
      <c r="K10704" s="1391"/>
      <c r="L10704" s="1559"/>
      <c r="M10704" s="1369"/>
      <c r="N10704" s="1369"/>
      <c r="O10704" s="1369"/>
      <c r="P10704" s="1392"/>
      <c r="Q10704" s="3395"/>
      <c r="R10704" s="2344"/>
    </row>
    <row r="10705" spans="1:18" s="22" customFormat="1">
      <c r="A10705" s="1320"/>
      <c r="B10705" s="1599"/>
      <c r="C10705" s="1320"/>
      <c r="D10705" s="1598"/>
      <c r="E10705" s="2154"/>
      <c r="F10705" s="1598"/>
      <c r="G10705" s="1995"/>
      <c r="H10705" s="1369"/>
      <c r="I10705" s="1299"/>
      <c r="J10705" s="1300"/>
      <c r="K10705" s="1307"/>
      <c r="L10705" s="1335"/>
      <c r="M10705" s="1302"/>
      <c r="N10705" s="1700"/>
      <c r="O10705" s="1290"/>
      <c r="P10705" s="1332"/>
      <c r="Q10705" s="3402"/>
      <c r="R10705" s="2356"/>
    </row>
    <row r="10706" spans="1:18" s="22" customFormat="1">
      <c r="A10706" s="16"/>
      <c r="B10706" s="1599"/>
      <c r="C10706" s="1320"/>
      <c r="D10706" s="1598"/>
      <c r="E10706" s="1856"/>
      <c r="F10706" s="1598"/>
      <c r="G10706" s="1651"/>
      <c r="H10706" s="1399"/>
      <c r="I10706" s="198"/>
      <c r="J10706" s="198"/>
      <c r="K10706" s="1307"/>
      <c r="L10706" s="1335"/>
      <c r="M10706" s="1499"/>
      <c r="N10706" s="1701"/>
      <c r="O10706" s="1290"/>
      <c r="P10706" s="1332"/>
      <c r="Q10706" s="3391"/>
      <c r="R10706" s="3363"/>
    </row>
    <row r="10707" spans="1:18" s="22" customFormat="1">
      <c r="A10707" s="16"/>
      <c r="B10707" s="1599"/>
      <c r="C10707" s="1320"/>
      <c r="D10707" s="1598"/>
      <c r="E10707" s="1856"/>
      <c r="F10707" s="1598"/>
      <c r="G10707" s="1399"/>
      <c r="H10707" s="1399"/>
      <c r="I10707" s="198"/>
      <c r="J10707" s="198"/>
      <c r="K10707" s="1307"/>
      <c r="L10707" s="1335"/>
      <c r="M10707" s="1499"/>
      <c r="N10707" s="1701"/>
      <c r="O10707" s="1291"/>
      <c r="P10707" s="1332"/>
      <c r="Q10707" s="3391"/>
      <c r="R10707" s="3363"/>
    </row>
    <row r="10708" spans="1:18" s="22" customFormat="1" ht="26">
      <c r="A10708" s="2187"/>
      <c r="B10708" s="1599"/>
      <c r="C10708" s="1042"/>
      <c r="D10708" s="1359"/>
      <c r="E10708" s="1858"/>
      <c r="F10708" s="1360" t="s">
        <v>2</v>
      </c>
      <c r="G10708" s="1360"/>
      <c r="H10708" s="1362"/>
      <c r="I10708" s="1380"/>
      <c r="J10708" s="1381"/>
      <c r="K10708" s="1381"/>
      <c r="L10708" s="1458"/>
      <c r="M10708" s="1362"/>
      <c r="N10708" s="1362"/>
      <c r="O10708" s="1362"/>
      <c r="P10708" s="1359"/>
      <c r="Q10708" s="3403"/>
      <c r="R10708" s="2357"/>
    </row>
    <row r="10709" spans="1:18" s="22" customFormat="1">
      <c r="A10709" s="1321"/>
      <c r="B10709" s="2053"/>
      <c r="C10709" s="1321"/>
      <c r="D10709" s="1363" t="s">
        <v>1111</v>
      </c>
      <c r="E10709" s="2125" t="s">
        <v>1508</v>
      </c>
      <c r="F10709" s="1364" t="s">
        <v>2069</v>
      </c>
      <c r="G10709" s="2398">
        <v>0.02</v>
      </c>
      <c r="H10709" s="1365"/>
      <c r="I10709" s="1299"/>
      <c r="J10709" s="1300"/>
      <c r="K10709" s="1350">
        <f>G10709*K10703</f>
        <v>0.27899999999999997</v>
      </c>
      <c r="L10709" s="1335">
        <f>K10709*$K$10671</f>
        <v>0</v>
      </c>
      <c r="M10709" s="1302">
        <v>19.23</v>
      </c>
      <c r="N10709" s="1700"/>
      <c r="O10709" s="1290">
        <f>G10709*M10709</f>
        <v>0.3846</v>
      </c>
      <c r="P10709" s="1332">
        <f>M10709*K10709</f>
        <v>5.3651699999999991</v>
      </c>
      <c r="Q10709" s="3402"/>
      <c r="R10709" s="2053"/>
    </row>
    <row r="10710" spans="1:18" s="22" customFormat="1">
      <c r="A10710" s="1321"/>
      <c r="B10710" s="2053"/>
      <c r="C10710" s="1321"/>
      <c r="D10710" s="1363" t="s">
        <v>1067</v>
      </c>
      <c r="E10710" s="2125" t="s">
        <v>1508</v>
      </c>
      <c r="F10710" s="1364" t="s">
        <v>1512</v>
      </c>
      <c r="G10710" s="2398">
        <v>0.25</v>
      </c>
      <c r="H10710" s="1365"/>
      <c r="I10710" s="1299"/>
      <c r="J10710" s="1300"/>
      <c r="K10710" s="1350">
        <f>G10710*K10709</f>
        <v>6.9749999999999993E-2</v>
      </c>
      <c r="L10710" s="1335">
        <f>K10710*$K$10671</f>
        <v>0</v>
      </c>
      <c r="M10710" s="1302">
        <v>18.28</v>
      </c>
      <c r="N10710" s="1700"/>
      <c r="O10710" s="1290">
        <f>G10710*M10710</f>
        <v>4.57</v>
      </c>
      <c r="P10710" s="1332">
        <f>M10710*K10710</f>
        <v>1.2750299999999999</v>
      </c>
      <c r="Q10710" s="3402"/>
      <c r="R10710" s="2053"/>
    </row>
    <row r="10711" spans="1:18" s="22" customFormat="1">
      <c r="B10711" s="1320"/>
      <c r="C10711" s="16"/>
      <c r="D10711" s="1359"/>
      <c r="E10711" s="1858"/>
      <c r="F10711" s="1474"/>
      <c r="G10711" s="2198"/>
      <c r="H10711" s="1466"/>
      <c r="I10711" s="1289"/>
      <c r="J10711" s="8"/>
      <c r="K10711" s="1307"/>
      <c r="L10711" s="1335"/>
      <c r="M10711" s="1302"/>
      <c r="N10711" s="1700"/>
      <c r="O10711" s="1290"/>
      <c r="P10711" s="1332"/>
      <c r="Q10711" s="3391"/>
      <c r="R10711" s="2344"/>
    </row>
    <row r="10712" spans="1:18" s="22" customFormat="1">
      <c r="A10712" s="1320"/>
      <c r="B10712" s="1599"/>
      <c r="C10712" s="1320"/>
      <c r="D10712" s="1373"/>
      <c r="E10712" s="2123"/>
      <c r="F10712" s="1374" t="s">
        <v>3</v>
      </c>
      <c r="G10712" s="2199"/>
      <c r="H10712" s="1376"/>
      <c r="I10712" s="1382"/>
      <c r="J10712" s="1383"/>
      <c r="K10712" s="1383"/>
      <c r="L10712" s="1413"/>
      <c r="M10712" s="1376"/>
      <c r="N10712" s="1376"/>
      <c r="O10712" s="1376"/>
      <c r="P10712" s="1373"/>
      <c r="Q10712" s="3403"/>
      <c r="R10712" s="2356"/>
    </row>
    <row r="10713" spans="1:18" s="22" customFormat="1">
      <c r="A10713" s="1321"/>
      <c r="B10713" s="2053"/>
      <c r="C10713" s="1321"/>
      <c r="D10713" s="1377"/>
      <c r="E10713" s="2124"/>
      <c r="F10713" s="1378"/>
      <c r="G10713" s="2200"/>
      <c r="H10713" s="1379"/>
      <c r="I10713" s="1299"/>
      <c r="J10713" s="1300"/>
      <c r="K10713" s="1350"/>
      <c r="L10713" s="1335"/>
      <c r="M10713" s="1302"/>
      <c r="N10713" s="1700"/>
      <c r="O10713" s="1290"/>
      <c r="P10713" s="1332"/>
      <c r="Q10713" s="3402"/>
      <c r="R10713" s="2053"/>
    </row>
    <row r="10714" spans="1:18" s="22" customFormat="1">
      <c r="A10714" s="1321"/>
      <c r="B10714" s="2053"/>
      <c r="C10714" s="1321"/>
      <c r="D10714" s="1377"/>
      <c r="E10714" s="2124"/>
      <c r="F10714" s="1378"/>
      <c r="G10714" s="2200"/>
      <c r="H10714" s="1379"/>
      <c r="I10714" s="1299"/>
      <c r="J10714" s="1300"/>
      <c r="K10714" s="1350"/>
      <c r="L10714" s="1335"/>
      <c r="M10714" s="1302"/>
      <c r="N10714" s="1700"/>
      <c r="O10714" s="1290"/>
      <c r="P10714" s="1332"/>
      <c r="Q10714" s="3402"/>
      <c r="R10714" s="2053"/>
    </row>
    <row r="10715" spans="1:18" s="22" customFormat="1">
      <c r="A10715" s="1320"/>
      <c r="B10715" s="1765"/>
      <c r="C10715" s="223"/>
      <c r="D10715" s="1373"/>
      <c r="E10715" s="2161"/>
      <c r="F10715" s="1678"/>
      <c r="G10715" s="2201"/>
      <c r="H10715" s="1376"/>
      <c r="I10715" s="1299"/>
      <c r="J10715" s="1300"/>
      <c r="K10715" s="1307"/>
      <c r="L10715" s="1335"/>
      <c r="M10715" s="1302"/>
      <c r="N10715" s="1700"/>
      <c r="O10715" s="1290"/>
      <c r="P10715" s="1332"/>
      <c r="Q10715" s="3402"/>
      <c r="R10715" s="2356"/>
    </row>
    <row r="10716" spans="1:18" s="22" customFormat="1">
      <c r="A10716" s="18" t="s">
        <v>3764</v>
      </c>
      <c r="B10716" s="4390" t="s">
        <v>2623</v>
      </c>
      <c r="C10716" s="3354"/>
      <c r="D10716" s="4327"/>
      <c r="E10716" s="4329" t="s">
        <v>1517</v>
      </c>
      <c r="F10716" s="4372" t="s">
        <v>2624</v>
      </c>
      <c r="G10716" s="4331" t="s">
        <v>1568</v>
      </c>
      <c r="H10716" s="4331" t="s">
        <v>1574</v>
      </c>
      <c r="I10716" s="1572" t="s">
        <v>1559</v>
      </c>
      <c r="J10716" s="1294" t="s">
        <v>1560</v>
      </c>
      <c r="K10716" s="1294" t="s">
        <v>1569</v>
      </c>
      <c r="L10716" s="4333" t="s">
        <v>3765</v>
      </c>
      <c r="M10716" s="4323" t="s">
        <v>1571</v>
      </c>
      <c r="N10716" s="4323" t="s">
        <v>1776</v>
      </c>
      <c r="O10716" s="3347" t="s">
        <v>1563</v>
      </c>
      <c r="P10716" s="1336" t="s">
        <v>1562</v>
      </c>
      <c r="Q10716" s="3389"/>
      <c r="R10716" s="1699" t="s">
        <v>1327</v>
      </c>
    </row>
    <row r="10717" spans="1:18" s="22" customFormat="1">
      <c r="A10717" s="1599" t="s">
        <v>3761</v>
      </c>
      <c r="B10717" s="4326"/>
      <c r="C10717" s="3351"/>
      <c r="D10717" s="4328"/>
      <c r="E10717" s="4330"/>
      <c r="F10717" s="4363"/>
      <c r="G10717" s="4332"/>
      <c r="H10717" s="4332"/>
      <c r="I10717" s="1345">
        <v>9</v>
      </c>
      <c r="J10717" s="1307">
        <v>1</v>
      </c>
      <c r="K10717" s="1666">
        <f>I10717*J10717</f>
        <v>9</v>
      </c>
      <c r="L10717" s="4334"/>
      <c r="M10717" s="4324"/>
      <c r="N10717" s="4324"/>
      <c r="O10717" s="1298">
        <f>SUM(O10719:O10729)</f>
        <v>0.81158000000000008</v>
      </c>
      <c r="P10717" s="1337">
        <f>O10717*K10717</f>
        <v>7.3042200000000008</v>
      </c>
      <c r="Q10717" s="3390"/>
      <c r="R10717" s="1721">
        <f>SUM(P10719:P10729)</f>
        <v>7.3042200000000017</v>
      </c>
    </row>
    <row r="10718" spans="1:18" s="22" customFormat="1">
      <c r="A10718" s="1320"/>
      <c r="B10718" s="1949"/>
      <c r="C10718" s="1327"/>
      <c r="D10718" s="1367"/>
      <c r="E10718" s="2121"/>
      <c r="F10718" s="1389" t="s">
        <v>1</v>
      </c>
      <c r="G10718" s="1389"/>
      <c r="H10718" s="1369"/>
      <c r="I10718" s="2088"/>
      <c r="J10718" s="1369"/>
      <c r="K10718" s="1391"/>
      <c r="L10718" s="1559"/>
      <c r="M10718" s="1369"/>
      <c r="N10718" s="1369"/>
      <c r="O10718" s="1369"/>
      <c r="P10718" s="1392"/>
      <c r="Q10718" s="3395"/>
      <c r="R10718" s="2344"/>
    </row>
    <row r="10719" spans="1:18" s="22" customFormat="1">
      <c r="A10719" s="1320"/>
      <c r="B10719" s="1599"/>
      <c r="C10719" s="1320"/>
      <c r="D10719" s="1598"/>
      <c r="E10719" s="2154"/>
      <c r="F10719" s="1598"/>
      <c r="G10719" s="1995"/>
      <c r="H10719" s="1369"/>
      <c r="I10719" s="1299"/>
      <c r="J10719" s="1300"/>
      <c r="K10719" s="1307"/>
      <c r="L10719" s="1335"/>
      <c r="M10719" s="1302"/>
      <c r="N10719" s="1700"/>
      <c r="O10719" s="1290"/>
      <c r="P10719" s="1332"/>
      <c r="Q10719" s="3402"/>
      <c r="R10719" s="2356"/>
    </row>
    <row r="10720" spans="1:18" s="22" customFormat="1">
      <c r="A10720" s="16"/>
      <c r="B10720" s="1599"/>
      <c r="C10720" s="1320"/>
      <c r="D10720" s="1598"/>
      <c r="E10720" s="1856"/>
      <c r="F10720" s="1598"/>
      <c r="G10720" s="1651"/>
      <c r="H10720" s="1399"/>
      <c r="I10720" s="198"/>
      <c r="J10720" s="198"/>
      <c r="K10720" s="1307"/>
      <c r="L10720" s="1335"/>
      <c r="M10720" s="1499"/>
      <c r="N10720" s="1701"/>
      <c r="O10720" s="1290"/>
      <c r="P10720" s="1332"/>
      <c r="Q10720" s="3391"/>
      <c r="R10720" s="3363"/>
    </row>
    <row r="10721" spans="1:18" s="22" customFormat="1">
      <c r="A10721" s="16"/>
      <c r="B10721" s="1599"/>
      <c r="C10721" s="1320"/>
      <c r="D10721" s="1598"/>
      <c r="E10721" s="1856"/>
      <c r="F10721" s="1598"/>
      <c r="G10721" s="1399"/>
      <c r="H10721" s="1399"/>
      <c r="I10721" s="198"/>
      <c r="J10721" s="198"/>
      <c r="K10721" s="1307"/>
      <c r="L10721" s="1335"/>
      <c r="M10721" s="1499"/>
      <c r="N10721" s="1701"/>
      <c r="O10721" s="1291"/>
      <c r="P10721" s="1332"/>
      <c r="Q10721" s="3391"/>
      <c r="R10721" s="3363"/>
    </row>
    <row r="10722" spans="1:18" s="22" customFormat="1" ht="26">
      <c r="A10722" s="2187"/>
      <c r="B10722" s="1599"/>
      <c r="C10722" s="1042"/>
      <c r="D10722" s="1359"/>
      <c r="E10722" s="1858"/>
      <c r="F10722" s="1360" t="s">
        <v>2</v>
      </c>
      <c r="G10722" s="1360"/>
      <c r="H10722" s="1362"/>
      <c r="I10722" s="1380"/>
      <c r="J10722" s="1381"/>
      <c r="K10722" s="1381"/>
      <c r="L10722" s="1458"/>
      <c r="M10722" s="1362"/>
      <c r="N10722" s="1362"/>
      <c r="O10722" s="1362"/>
      <c r="P10722" s="1359"/>
      <c r="Q10722" s="3403"/>
      <c r="R10722" s="2357"/>
    </row>
    <row r="10723" spans="1:18" s="22" customFormat="1">
      <c r="A10723" s="19"/>
      <c r="B10723" s="1042"/>
      <c r="C10723" s="1042"/>
      <c r="D10723" s="1402"/>
      <c r="E10723" s="1857"/>
      <c r="F10723" s="1430"/>
      <c r="G10723" s="1381"/>
      <c r="H10723" s="1408"/>
      <c r="I10723" s="1340"/>
      <c r="J10723" s="198"/>
      <c r="K10723" s="1350"/>
      <c r="L10723" s="1335"/>
      <c r="M10723" s="1302"/>
      <c r="N10723" s="1724"/>
      <c r="O10723" s="1290"/>
      <c r="P10723" s="1332"/>
      <c r="Q10723" s="3391"/>
      <c r="R10723" s="2338"/>
    </row>
    <row r="10724" spans="1:18" s="22" customFormat="1">
      <c r="A10724"/>
      <c r="B10724" s="1042"/>
      <c r="C10724" s="19"/>
      <c r="D10724" s="1430"/>
      <c r="E10724" s="1857"/>
      <c r="F10724" s="1394"/>
      <c r="G10724" s="2183"/>
      <c r="H10724" s="1395"/>
      <c r="I10724" s="197"/>
      <c r="J10724" s="198"/>
      <c r="K10724" s="1307"/>
      <c r="L10724" s="1335"/>
      <c r="M10724" s="1302"/>
      <c r="N10724" s="1718"/>
      <c r="O10724" s="1290"/>
      <c r="P10724" s="1720"/>
      <c r="Q10724" s="3396"/>
      <c r="R10724" s="2337"/>
    </row>
    <row r="10725" spans="1:18" s="22" customFormat="1">
      <c r="B10725" s="1320"/>
      <c r="C10725" s="16"/>
      <c r="D10725" s="1359"/>
      <c r="E10725" s="1858"/>
      <c r="F10725" s="1474"/>
      <c r="G10725" s="2198"/>
      <c r="H10725" s="1466"/>
      <c r="I10725" s="1289"/>
      <c r="J10725" s="8"/>
      <c r="K10725" s="1307"/>
      <c r="L10725" s="1335"/>
      <c r="M10725" s="1302"/>
      <c r="N10725" s="1700"/>
      <c r="O10725" s="1290"/>
      <c r="P10725" s="1332"/>
      <c r="Q10725" s="3391"/>
      <c r="R10725" s="2344"/>
    </row>
    <row r="10726" spans="1:18" s="22" customFormat="1">
      <c r="A10726" s="1320"/>
      <c r="B10726" s="1599"/>
      <c r="C10726" s="1320"/>
      <c r="D10726" s="1373"/>
      <c r="E10726" s="2123"/>
      <c r="F10726" s="1374" t="s">
        <v>3</v>
      </c>
      <c r="G10726" s="2199"/>
      <c r="H10726" s="1376"/>
      <c r="I10726" s="1382"/>
      <c r="J10726" s="1383"/>
      <c r="K10726" s="1383"/>
      <c r="L10726" s="1413"/>
      <c r="M10726" s="1376"/>
      <c r="N10726" s="1376"/>
      <c r="O10726" s="1376"/>
      <c r="P10726" s="1373"/>
      <c r="Q10726" s="3403"/>
      <c r="R10726" s="2356"/>
    </row>
    <row r="10727" spans="1:18" s="22" customFormat="1" ht="15" customHeight="1">
      <c r="A10727" s="1321"/>
      <c r="B10727" s="2053"/>
      <c r="C10727" s="1321"/>
      <c r="D10727" s="1377" t="s">
        <v>1066</v>
      </c>
      <c r="E10727" s="2124" t="s">
        <v>1508</v>
      </c>
      <c r="F10727" s="1378" t="s">
        <v>1510</v>
      </c>
      <c r="G10727" s="2200">
        <v>3.4000000000000002E-2</v>
      </c>
      <c r="H10727" s="1379"/>
      <c r="I10727" s="1299"/>
      <c r="J10727" s="1300"/>
      <c r="K10727" s="1350">
        <f>G10727*K10717</f>
        <v>0.30600000000000005</v>
      </c>
      <c r="L10727" s="1335">
        <f>K10727*$K$10671</f>
        <v>0</v>
      </c>
      <c r="M10727" s="1302">
        <v>23.87</v>
      </c>
      <c r="N10727" s="1700"/>
      <c r="O10727" s="1290">
        <f>G10727*M10727</f>
        <v>0.81158000000000008</v>
      </c>
      <c r="P10727" s="1332">
        <f>M10727*K10727</f>
        <v>7.3042200000000017</v>
      </c>
      <c r="Q10727" s="3402"/>
      <c r="R10727" s="2053"/>
    </row>
    <row r="10728" spans="1:18" s="22" customFormat="1">
      <c r="A10728" s="1321"/>
      <c r="B10728" s="2053"/>
      <c r="C10728" s="1321"/>
      <c r="D10728" s="1377"/>
      <c r="E10728" s="2124"/>
      <c r="F10728" s="1378"/>
      <c r="G10728" s="2200"/>
      <c r="H10728" s="1379"/>
      <c r="I10728" s="1299"/>
      <c r="J10728" s="1300"/>
      <c r="K10728" s="1307"/>
      <c r="L10728" s="1335"/>
      <c r="M10728" s="1302"/>
      <c r="N10728" s="1700"/>
      <c r="O10728" s="1290"/>
      <c r="P10728" s="1332"/>
      <c r="Q10728" s="3402"/>
      <c r="R10728" s="2053"/>
    </row>
    <row r="10729" spans="1:18" s="22" customFormat="1">
      <c r="A10729" s="1320"/>
      <c r="B10729" s="1765"/>
      <c r="C10729" s="223"/>
      <c r="D10729" s="1373"/>
      <c r="E10729" s="2161"/>
      <c r="F10729" s="1678"/>
      <c r="G10729" s="2201"/>
      <c r="H10729" s="1376"/>
      <c r="I10729" s="1299"/>
      <c r="J10729" s="1300"/>
      <c r="K10729" s="1307"/>
      <c r="L10729" s="1335"/>
      <c r="M10729" s="1302"/>
      <c r="N10729" s="1700"/>
      <c r="O10729" s="1290"/>
      <c r="P10729" s="1332"/>
      <c r="Q10729" s="3402"/>
      <c r="R10729" s="2356"/>
    </row>
    <row r="10730" spans="1:18" s="22" customFormat="1">
      <c r="A10730" s="18" t="s">
        <v>3764</v>
      </c>
      <c r="B10730" s="4325" t="s">
        <v>2625</v>
      </c>
      <c r="C10730" s="3350"/>
      <c r="D10730" s="4327"/>
      <c r="E10730" s="4329" t="s">
        <v>1507</v>
      </c>
      <c r="F10730" s="4372" t="s">
        <v>2626</v>
      </c>
      <c r="G10730" s="4331" t="s">
        <v>1568</v>
      </c>
      <c r="H10730" s="4331" t="s">
        <v>1574</v>
      </c>
      <c r="I10730" s="1572" t="s">
        <v>1559</v>
      </c>
      <c r="J10730" s="1294" t="s">
        <v>1560</v>
      </c>
      <c r="K10730" s="1294" t="s">
        <v>1569</v>
      </c>
      <c r="L10730" s="4333" t="s">
        <v>3765</v>
      </c>
      <c r="M10730" s="4323" t="s">
        <v>1571</v>
      </c>
      <c r="N10730" s="4323" t="s">
        <v>1776</v>
      </c>
      <c r="O10730" s="3347" t="s">
        <v>1563</v>
      </c>
      <c r="P10730" s="1336" t="s">
        <v>1562</v>
      </c>
      <c r="Q10730" s="3389"/>
      <c r="R10730" s="1699" t="s">
        <v>1327</v>
      </c>
    </row>
    <row r="10731" spans="1:18" s="22" customFormat="1">
      <c r="A10731" s="1599" t="s">
        <v>3761</v>
      </c>
      <c r="B10731" s="4326"/>
      <c r="C10731" s="3351"/>
      <c r="D10731" s="4328"/>
      <c r="E10731" s="4330"/>
      <c r="F10731" s="4363"/>
      <c r="G10731" s="4332"/>
      <c r="H10731" s="4332"/>
      <c r="I10731" s="1345">
        <v>4</v>
      </c>
      <c r="J10731" s="1307">
        <v>1</v>
      </c>
      <c r="K10731" s="1666">
        <f>I10731*J10731</f>
        <v>4</v>
      </c>
      <c r="L10731" s="4334"/>
      <c r="M10731" s="4324"/>
      <c r="N10731" s="4324"/>
      <c r="O10731" s="1298">
        <f>SUM(O10733:O10743)</f>
        <v>2.7749999999999999</v>
      </c>
      <c r="P10731" s="1337">
        <f>O10731*K10731</f>
        <v>11.1</v>
      </c>
      <c r="Q10731" s="3390"/>
      <c r="R10731" s="1721">
        <f>SUM(P10733:P10743)</f>
        <v>11.1</v>
      </c>
    </row>
    <row r="10732" spans="1:18" s="22" customFormat="1">
      <c r="A10732" s="1320"/>
      <c r="B10732" s="1949"/>
      <c r="C10732" s="1327"/>
      <c r="D10732" s="1367"/>
      <c r="E10732" s="2121"/>
      <c r="F10732" s="1389" t="s">
        <v>1</v>
      </c>
      <c r="G10732" s="1389"/>
      <c r="H10732" s="1369"/>
      <c r="I10732" s="2088"/>
      <c r="J10732" s="1369"/>
      <c r="K10732" s="1391"/>
      <c r="L10732" s="1559"/>
      <c r="M10732" s="1369"/>
      <c r="N10732" s="1369"/>
      <c r="O10732" s="1369"/>
      <c r="P10732" s="1392"/>
      <c r="Q10732" s="3395"/>
      <c r="R10732" s="2344"/>
    </row>
    <row r="10733" spans="1:18" s="22" customFormat="1">
      <c r="A10733" s="1320"/>
      <c r="B10733" s="1599"/>
      <c r="C10733" s="1320"/>
      <c r="D10733" s="1598" t="s">
        <v>1069</v>
      </c>
      <c r="E10733" s="2154" t="s">
        <v>1517</v>
      </c>
      <c r="F10733" s="1598" t="s">
        <v>1578</v>
      </c>
      <c r="G10733" s="1995">
        <v>0.06</v>
      </c>
      <c r="H10733" s="1369"/>
      <c r="I10733" s="1299"/>
      <c r="J10733" s="1300"/>
      <c r="K10733" s="1307">
        <f>G10733*K10731</f>
        <v>0.24</v>
      </c>
      <c r="L10733" s="1335">
        <f>K10733*$K$10671</f>
        <v>0</v>
      </c>
      <c r="M10733" s="1302">
        <v>0.55000000000000004</v>
      </c>
      <c r="N10733" s="1724"/>
      <c r="O10733" s="1290">
        <f>G10733*M10733</f>
        <v>3.3000000000000002E-2</v>
      </c>
      <c r="P10733" s="1332">
        <f>M10733*K10733</f>
        <v>0.13200000000000001</v>
      </c>
      <c r="Q10733" s="3402"/>
      <c r="R10733" s="2356"/>
    </row>
    <row r="10734" spans="1:18" s="22" customFormat="1">
      <c r="A10734" s="16"/>
      <c r="B10734" s="1599"/>
      <c r="C10734" s="1320"/>
      <c r="D10734" s="1598"/>
      <c r="E10734" s="1856"/>
      <c r="F10734" s="1598"/>
      <c r="G10734" s="1651"/>
      <c r="H10734" s="1399"/>
      <c r="I10734" s="198"/>
      <c r="J10734" s="198"/>
      <c r="K10734" s="1307"/>
      <c r="L10734" s="1335"/>
      <c r="M10734" s="1499"/>
      <c r="N10734" s="1701"/>
      <c r="O10734" s="1290"/>
      <c r="P10734" s="1332"/>
      <c r="Q10734" s="3391"/>
      <c r="R10734" s="3363"/>
    </row>
    <row r="10735" spans="1:18" s="22" customFormat="1">
      <c r="A10735" s="16"/>
      <c r="B10735" s="1599"/>
      <c r="C10735" s="1320"/>
      <c r="D10735" s="1598"/>
      <c r="E10735" s="1856"/>
      <c r="F10735" s="1598"/>
      <c r="G10735" s="1399"/>
      <c r="H10735" s="1399"/>
      <c r="I10735" s="198"/>
      <c r="J10735" s="198"/>
      <c r="K10735" s="1307"/>
      <c r="L10735" s="1335"/>
      <c r="M10735" s="1499"/>
      <c r="N10735" s="1701"/>
      <c r="O10735" s="1291"/>
      <c r="P10735" s="1332"/>
      <c r="Q10735" s="3391"/>
      <c r="R10735" s="3363"/>
    </row>
    <row r="10736" spans="1:18" s="22" customFormat="1" ht="26">
      <c r="A10736" s="2187"/>
      <c r="B10736" s="1599"/>
      <c r="C10736" s="1042"/>
      <c r="D10736" s="1359"/>
      <c r="E10736" s="1858"/>
      <c r="F10736" s="1360" t="s">
        <v>2</v>
      </c>
      <c r="G10736" s="1360"/>
      <c r="H10736" s="1362"/>
      <c r="I10736" s="1380"/>
      <c r="J10736" s="1381"/>
      <c r="K10736" s="1381"/>
      <c r="L10736" s="1458"/>
      <c r="M10736" s="1362"/>
      <c r="N10736" s="1362"/>
      <c r="O10736" s="1362"/>
      <c r="P10736" s="1359"/>
      <c r="Q10736" s="3403"/>
      <c r="R10736" s="2357"/>
    </row>
    <row r="10737" spans="1:18" s="22" customFormat="1">
      <c r="A10737" s="19"/>
      <c r="B10737" s="1042"/>
      <c r="C10737" s="1042"/>
      <c r="D10737" s="1402" t="s">
        <v>1067</v>
      </c>
      <c r="E10737" s="1857" t="s">
        <v>1508</v>
      </c>
      <c r="F10737" s="1430" t="s">
        <v>5</v>
      </c>
      <c r="G10737" s="1381">
        <v>0.15</v>
      </c>
      <c r="H10737" s="1408"/>
      <c r="I10737" s="1340"/>
      <c r="J10737" s="198"/>
      <c r="K10737" s="1307">
        <f>G10737*K10731</f>
        <v>0.6</v>
      </c>
      <c r="L10737" s="1335">
        <f>K10737*$K$10671</f>
        <v>0</v>
      </c>
      <c r="M10737" s="1302">
        <v>18.28</v>
      </c>
      <c r="N10737" s="1724"/>
      <c r="O10737" s="1290">
        <f>G10737*M10737</f>
        <v>2.742</v>
      </c>
      <c r="P10737" s="1332">
        <f>M10737*K10737</f>
        <v>10.968</v>
      </c>
      <c r="Q10737" s="3391"/>
      <c r="R10737" s="2338"/>
    </row>
    <row r="10738" spans="1:18" s="22" customFormat="1">
      <c r="A10738"/>
      <c r="B10738" s="1042"/>
      <c r="C10738" s="19"/>
      <c r="D10738" s="1430"/>
      <c r="E10738" s="1857"/>
      <c r="F10738" s="1394"/>
      <c r="G10738" s="2183"/>
      <c r="H10738" s="1395"/>
      <c r="I10738" s="197"/>
      <c r="J10738" s="198"/>
      <c r="K10738" s="1307"/>
      <c r="L10738" s="1335"/>
      <c r="M10738" s="1302"/>
      <c r="N10738" s="1718"/>
      <c r="O10738" s="1290"/>
      <c r="P10738" s="1720"/>
      <c r="Q10738" s="3396"/>
      <c r="R10738" s="2337"/>
    </row>
    <row r="10739" spans="1:18" s="22" customFormat="1">
      <c r="B10739" s="1320"/>
      <c r="C10739" s="16"/>
      <c r="D10739" s="1359"/>
      <c r="E10739" s="1858"/>
      <c r="F10739" s="1474"/>
      <c r="G10739" s="2198"/>
      <c r="H10739" s="1466"/>
      <c r="I10739" s="1289"/>
      <c r="J10739" s="8"/>
      <c r="K10739" s="1307"/>
      <c r="L10739" s="1335"/>
      <c r="M10739" s="1302"/>
      <c r="N10739" s="1700"/>
      <c r="O10739" s="1290"/>
      <c r="P10739" s="1332"/>
      <c r="Q10739" s="3391"/>
      <c r="R10739" s="2344"/>
    </row>
    <row r="10740" spans="1:18" s="22" customFormat="1">
      <c r="A10740" s="1320"/>
      <c r="B10740" s="1599"/>
      <c r="C10740" s="1320"/>
      <c r="D10740" s="1373"/>
      <c r="E10740" s="2123"/>
      <c r="F10740" s="1374" t="s">
        <v>3</v>
      </c>
      <c r="G10740" s="2199"/>
      <c r="H10740" s="1376"/>
      <c r="I10740" s="1382"/>
      <c r="J10740" s="1383"/>
      <c r="K10740" s="1383"/>
      <c r="L10740" s="1413"/>
      <c r="M10740" s="1376"/>
      <c r="N10740" s="1376"/>
      <c r="O10740" s="1376"/>
      <c r="P10740" s="1373"/>
      <c r="Q10740" s="3403"/>
      <c r="R10740" s="2356"/>
    </row>
    <row r="10741" spans="1:18" s="22" customFormat="1">
      <c r="A10741" s="1321"/>
      <c r="B10741" s="2053"/>
      <c r="C10741" s="1321"/>
      <c r="D10741" s="1377"/>
      <c r="E10741" s="2124"/>
      <c r="F10741" s="1378"/>
      <c r="G10741" s="2200"/>
      <c r="H10741" s="1379"/>
      <c r="I10741" s="1299"/>
      <c r="J10741" s="1300"/>
      <c r="K10741" s="1350"/>
      <c r="L10741" s="1335"/>
      <c r="M10741" s="1302"/>
      <c r="N10741" s="1700"/>
      <c r="O10741" s="1290"/>
      <c r="P10741" s="1332"/>
      <c r="Q10741" s="3402"/>
      <c r="R10741" s="2053"/>
    </row>
    <row r="10742" spans="1:18" s="22" customFormat="1">
      <c r="A10742" s="1321"/>
      <c r="B10742" s="2053"/>
      <c r="C10742" s="1321"/>
      <c r="D10742" s="1377"/>
      <c r="E10742" s="2124"/>
      <c r="F10742" s="1378"/>
      <c r="G10742" s="2200"/>
      <c r="H10742" s="1379"/>
      <c r="I10742" s="1299"/>
      <c r="J10742" s="1300"/>
      <c r="K10742" s="1307"/>
      <c r="L10742" s="1335"/>
      <c r="M10742" s="1302"/>
      <c r="N10742" s="1700"/>
      <c r="O10742" s="1290"/>
      <c r="P10742" s="1332"/>
      <c r="Q10742" s="3402"/>
      <c r="R10742" s="2053"/>
    </row>
    <row r="10743" spans="1:18" s="22" customFormat="1">
      <c r="A10743" s="1320"/>
      <c r="B10743" s="1765"/>
      <c r="C10743" s="223"/>
      <c r="D10743" s="1373"/>
      <c r="E10743" s="2161"/>
      <c r="F10743" s="1678"/>
      <c r="G10743" s="2201"/>
      <c r="H10743" s="1376"/>
      <c r="I10743" s="1299"/>
      <c r="J10743" s="1300"/>
      <c r="K10743" s="1307"/>
      <c r="L10743" s="1335"/>
      <c r="M10743" s="1302"/>
      <c r="N10743" s="1700"/>
      <c r="O10743" s="1290"/>
      <c r="P10743" s="1332"/>
      <c r="Q10743" s="3402"/>
      <c r="R10743" s="2356"/>
    </row>
    <row r="10744" spans="1:18" s="22" customFormat="1">
      <c r="A10744" s="18" t="s">
        <v>3764</v>
      </c>
      <c r="B10744" s="4325" t="s">
        <v>2627</v>
      </c>
      <c r="C10744" s="3350"/>
      <c r="D10744" s="4327"/>
      <c r="E10744" s="4329" t="s">
        <v>1517</v>
      </c>
      <c r="F10744" s="4372" t="s">
        <v>2628</v>
      </c>
      <c r="G10744" s="4331" t="s">
        <v>1568</v>
      </c>
      <c r="H10744" s="4331" t="s">
        <v>1574</v>
      </c>
      <c r="I10744" s="1572" t="s">
        <v>1559</v>
      </c>
      <c r="J10744" s="1294" t="s">
        <v>1560</v>
      </c>
      <c r="K10744" s="1294" t="s">
        <v>1569</v>
      </c>
      <c r="L10744" s="4333" t="s">
        <v>3765</v>
      </c>
      <c r="M10744" s="4323" t="s">
        <v>1571</v>
      </c>
      <c r="N10744" s="4323" t="s">
        <v>1776</v>
      </c>
      <c r="O10744" s="3347" t="s">
        <v>1563</v>
      </c>
      <c r="P10744" s="1336" t="s">
        <v>1562</v>
      </c>
      <c r="Q10744" s="3389"/>
      <c r="R10744" s="1699" t="s">
        <v>1327</v>
      </c>
    </row>
    <row r="10745" spans="1:18" s="22" customFormat="1">
      <c r="A10745" s="1599" t="s">
        <v>3761</v>
      </c>
      <c r="B10745" s="4326"/>
      <c r="C10745" s="3351"/>
      <c r="D10745" s="4328"/>
      <c r="E10745" s="4330"/>
      <c r="F10745" s="4363"/>
      <c r="G10745" s="4332"/>
      <c r="H10745" s="4332"/>
      <c r="I10745" s="1345">
        <v>0.8</v>
      </c>
      <c r="J10745" s="1307">
        <v>1</v>
      </c>
      <c r="K10745" s="1666">
        <f>I10745*J10745</f>
        <v>0.8</v>
      </c>
      <c r="L10745" s="4334"/>
      <c r="M10745" s="4324"/>
      <c r="N10745" s="4324"/>
      <c r="O10745" s="1298">
        <f>SUM(O10747:O10757)</f>
        <v>25.584500000000002</v>
      </c>
      <c r="P10745" s="1337">
        <f>O10745*K10745</f>
        <v>20.467600000000004</v>
      </c>
      <c r="Q10745" s="3390"/>
      <c r="R10745" s="1721">
        <f>SUM(P10747:P10757)</f>
        <v>20.467600000000004</v>
      </c>
    </row>
    <row r="10746" spans="1:18" s="22" customFormat="1">
      <c r="A10746" s="1320"/>
      <c r="B10746" s="1949"/>
      <c r="C10746" s="1327"/>
      <c r="D10746" s="1367"/>
      <c r="E10746" s="2121"/>
      <c r="F10746" s="1389" t="s">
        <v>1</v>
      </c>
      <c r="G10746" s="1389"/>
      <c r="H10746" s="1369"/>
      <c r="I10746" s="2088"/>
      <c r="J10746" s="1369"/>
      <c r="K10746" s="1391"/>
      <c r="L10746" s="1559"/>
      <c r="M10746" s="1369"/>
      <c r="N10746" s="1369"/>
      <c r="O10746" s="1369"/>
      <c r="P10746" s="1392"/>
      <c r="Q10746" s="3395"/>
      <c r="R10746" s="2344"/>
    </row>
    <row r="10747" spans="1:18" s="22" customFormat="1">
      <c r="A10747" s="1320"/>
      <c r="B10747" s="1599"/>
      <c r="C10747" s="1320"/>
      <c r="D10747" s="1598" t="s">
        <v>1069</v>
      </c>
      <c r="E10747" s="2154" t="s">
        <v>1517</v>
      </c>
      <c r="F10747" s="1598" t="s">
        <v>1578</v>
      </c>
      <c r="G10747" s="1995">
        <v>0.3</v>
      </c>
      <c r="H10747" s="1369"/>
      <c r="I10747" s="1299"/>
      <c r="J10747" s="1300"/>
      <c r="K10747" s="1307">
        <f>G10747*K10745</f>
        <v>0.24</v>
      </c>
      <c r="L10747" s="1335">
        <f>K10747*$K$10671</f>
        <v>0</v>
      </c>
      <c r="M10747" s="1302">
        <v>0.55000000000000004</v>
      </c>
      <c r="N10747" s="1724"/>
      <c r="O10747" s="1290">
        <f>G10747*M10747</f>
        <v>0.16500000000000001</v>
      </c>
      <c r="P10747" s="1332">
        <f>M10747*K10747</f>
        <v>0.13200000000000001</v>
      </c>
      <c r="Q10747" s="3402"/>
      <c r="R10747" s="2356"/>
    </row>
    <row r="10748" spans="1:18" s="22" customFormat="1">
      <c r="A10748" s="16"/>
      <c r="B10748" s="1599"/>
      <c r="C10748" s="1320"/>
      <c r="D10748" s="1598"/>
      <c r="E10748" s="1856"/>
      <c r="F10748" s="1598"/>
      <c r="G10748" s="1651"/>
      <c r="H10748" s="1399"/>
      <c r="I10748" s="198"/>
      <c r="J10748" s="198"/>
      <c r="K10748" s="1307"/>
      <c r="L10748" s="1335"/>
      <c r="M10748" s="1499"/>
      <c r="N10748" s="1701"/>
      <c r="O10748" s="1290"/>
      <c r="P10748" s="1332"/>
      <c r="Q10748" s="3391"/>
      <c r="R10748" s="3363"/>
    </row>
    <row r="10749" spans="1:18" s="22" customFormat="1" ht="15" customHeight="1">
      <c r="A10749" s="16"/>
      <c r="B10749" s="1599"/>
      <c r="C10749" s="1320"/>
      <c r="D10749" s="1598"/>
      <c r="E10749" s="1856"/>
      <c r="F10749" s="1598"/>
      <c r="G10749" s="1399"/>
      <c r="H10749" s="1399"/>
      <c r="I10749" s="198"/>
      <c r="J10749" s="198"/>
      <c r="K10749" s="1307"/>
      <c r="L10749" s="1335"/>
      <c r="M10749" s="1499"/>
      <c r="N10749" s="1701"/>
      <c r="O10749" s="1291"/>
      <c r="P10749" s="1332"/>
      <c r="Q10749" s="3391"/>
      <c r="R10749" s="3363"/>
    </row>
    <row r="10750" spans="1:18" s="22" customFormat="1" ht="15" customHeight="1">
      <c r="A10750" s="2187"/>
      <c r="B10750" s="1599"/>
      <c r="C10750" s="1042"/>
      <c r="D10750" s="1359"/>
      <c r="E10750" s="1858"/>
      <c r="F10750" s="1360" t="s">
        <v>2</v>
      </c>
      <c r="G10750" s="1360"/>
      <c r="H10750" s="1362"/>
      <c r="I10750" s="1380"/>
      <c r="J10750" s="1381"/>
      <c r="K10750" s="1381"/>
      <c r="L10750" s="1458"/>
      <c r="M10750" s="1362"/>
      <c r="N10750" s="1362"/>
      <c r="O10750" s="1362"/>
      <c r="P10750" s="1359"/>
      <c r="Q10750" s="3403"/>
      <c r="R10750" s="2357"/>
    </row>
    <row r="10751" spans="1:18" s="22" customFormat="1">
      <c r="A10751" s="19"/>
      <c r="B10751" s="1042"/>
      <c r="C10751" s="1042"/>
      <c r="D10751" s="1402" t="s">
        <v>1067</v>
      </c>
      <c r="E10751" s="1857" t="s">
        <v>1508</v>
      </c>
      <c r="F10751" s="1430" t="s">
        <v>5</v>
      </c>
      <c r="G10751" s="1381">
        <v>1.3</v>
      </c>
      <c r="H10751" s="1408"/>
      <c r="I10751" s="1340"/>
      <c r="J10751" s="198"/>
      <c r="K10751" s="1307">
        <f>G10751*K10745</f>
        <v>1.04</v>
      </c>
      <c r="L10751" s="1335">
        <f>K10751*$K$10671</f>
        <v>0</v>
      </c>
      <c r="M10751" s="1302">
        <v>18.28</v>
      </c>
      <c r="N10751" s="1724"/>
      <c r="O10751" s="1290">
        <f>G10751*M10751</f>
        <v>23.764000000000003</v>
      </c>
      <c r="P10751" s="1332">
        <f>M10751*K10751</f>
        <v>19.011200000000002</v>
      </c>
      <c r="Q10751" s="3391"/>
      <c r="R10751" s="2338"/>
    </row>
    <row r="10752" spans="1:18" s="22" customFormat="1">
      <c r="A10752"/>
      <c r="B10752" s="1042"/>
      <c r="C10752" s="19"/>
      <c r="D10752" s="1430"/>
      <c r="E10752" s="1857"/>
      <c r="F10752" s="1394"/>
      <c r="G10752" s="2183"/>
      <c r="H10752" s="1395"/>
      <c r="I10752" s="197"/>
      <c r="J10752" s="198"/>
      <c r="K10752" s="1307"/>
      <c r="L10752" s="1335"/>
      <c r="M10752" s="1302"/>
      <c r="N10752" s="1718"/>
      <c r="O10752" s="1290"/>
      <c r="P10752" s="1720"/>
      <c r="Q10752" s="3396"/>
      <c r="R10752" s="2337"/>
    </row>
    <row r="10753" spans="1:18" s="22" customFormat="1">
      <c r="B10753" s="1320"/>
      <c r="C10753" s="16"/>
      <c r="D10753" s="1359"/>
      <c r="E10753" s="1858"/>
      <c r="F10753" s="1474"/>
      <c r="G10753" s="2198"/>
      <c r="H10753" s="1466"/>
      <c r="I10753" s="1289"/>
      <c r="J10753" s="8"/>
      <c r="K10753" s="1307"/>
      <c r="L10753" s="1335"/>
      <c r="M10753" s="1302"/>
      <c r="N10753" s="1700"/>
      <c r="O10753" s="1290"/>
      <c r="P10753" s="1332"/>
      <c r="Q10753" s="3391"/>
      <c r="R10753" s="2344"/>
    </row>
    <row r="10754" spans="1:18" s="22" customFormat="1">
      <c r="A10754" s="1320"/>
      <c r="B10754" s="1599"/>
      <c r="C10754" s="1320"/>
      <c r="D10754" s="1373"/>
      <c r="E10754" s="2123"/>
      <c r="F10754" s="1374" t="s">
        <v>3</v>
      </c>
      <c r="G10754" s="2199"/>
      <c r="H10754" s="1376"/>
      <c r="I10754" s="1382"/>
      <c r="J10754" s="1383"/>
      <c r="K10754" s="1383"/>
      <c r="L10754" s="1413"/>
      <c r="M10754" s="1376"/>
      <c r="N10754" s="1376"/>
      <c r="O10754" s="1376"/>
      <c r="P10754" s="1373"/>
      <c r="Q10754" s="3403"/>
      <c r="R10754" s="2356"/>
    </row>
    <row r="10755" spans="1:18" s="22" customFormat="1" ht="15" customHeight="1">
      <c r="A10755" s="1321"/>
      <c r="B10755" s="2053"/>
      <c r="C10755" s="1321"/>
      <c r="D10755" s="2202" t="s">
        <v>1070</v>
      </c>
      <c r="E10755" s="2304" t="s">
        <v>1508</v>
      </c>
      <c r="F10755" s="2202" t="s">
        <v>1634</v>
      </c>
      <c r="G10755" s="2203">
        <v>0.55000000000000004</v>
      </c>
      <c r="H10755" s="1379"/>
      <c r="I10755" s="1299"/>
      <c r="J10755" s="1300"/>
      <c r="K10755" s="1307">
        <f>G10755*K10745</f>
        <v>0.44000000000000006</v>
      </c>
      <c r="L10755" s="1335">
        <f>K10755*$K$10671</f>
        <v>0</v>
      </c>
      <c r="M10755" s="1302">
        <v>3.01</v>
      </c>
      <c r="N10755" s="1700"/>
      <c r="O10755" s="1290">
        <f>G10755*M10755</f>
        <v>1.6555</v>
      </c>
      <c r="P10755" s="1332">
        <f>M10755*K10755</f>
        <v>1.3244</v>
      </c>
      <c r="Q10755" s="3402"/>
      <c r="R10755" s="2053"/>
    </row>
    <row r="10756" spans="1:18" s="22" customFormat="1">
      <c r="A10756" s="1321"/>
      <c r="B10756" s="2053"/>
      <c r="C10756" s="1321"/>
      <c r="D10756" s="1377"/>
      <c r="E10756" s="2124"/>
      <c r="F10756" s="1378"/>
      <c r="G10756" s="2200"/>
      <c r="H10756" s="1379"/>
      <c r="I10756" s="1299"/>
      <c r="J10756" s="1300"/>
      <c r="K10756" s="1307"/>
      <c r="L10756" s="1335"/>
      <c r="M10756" s="1302"/>
      <c r="N10756" s="1700"/>
      <c r="O10756" s="1290"/>
      <c r="P10756" s="1332"/>
      <c r="Q10756" s="3402"/>
      <c r="R10756" s="2053"/>
    </row>
    <row r="10757" spans="1:18" s="22" customFormat="1">
      <c r="A10757" s="1320"/>
      <c r="B10757" s="1765"/>
      <c r="C10757" s="223"/>
      <c r="D10757" s="1373"/>
      <c r="E10757" s="2161"/>
      <c r="F10757" s="1678"/>
      <c r="G10757" s="2201"/>
      <c r="H10757" s="1376"/>
      <c r="I10757" s="1299"/>
      <c r="J10757" s="1300"/>
      <c r="K10757" s="1307"/>
      <c r="L10757" s="1335"/>
      <c r="M10757" s="1302"/>
      <c r="N10757" s="1700"/>
      <c r="O10757" s="1290"/>
      <c r="P10757" s="1332"/>
      <c r="Q10757" s="3402"/>
      <c r="R10757" s="2356"/>
    </row>
    <row r="10758" spans="1:18" s="22" customFormat="1">
      <c r="A10758" s="551" t="s">
        <v>3764</v>
      </c>
      <c r="B10758" s="4325" t="s">
        <v>2629</v>
      </c>
      <c r="C10758" s="3350"/>
      <c r="D10758" s="4327"/>
      <c r="E10758" s="4329" t="s">
        <v>1507</v>
      </c>
      <c r="F10758" s="4372" t="s">
        <v>2630</v>
      </c>
      <c r="G10758" s="4331" t="s">
        <v>1568</v>
      </c>
      <c r="H10758" s="4331" t="s">
        <v>1574</v>
      </c>
      <c r="I10758" s="1572" t="s">
        <v>1559</v>
      </c>
      <c r="J10758" s="1294" t="s">
        <v>1560</v>
      </c>
      <c r="K10758" s="1294" t="s">
        <v>1569</v>
      </c>
      <c r="L10758" s="4333" t="s">
        <v>3765</v>
      </c>
      <c r="M10758" s="4323" t="s">
        <v>1571</v>
      </c>
      <c r="N10758" s="4323" t="s">
        <v>1776</v>
      </c>
      <c r="O10758" s="3347" t="s">
        <v>1563</v>
      </c>
      <c r="P10758" s="1336" t="s">
        <v>1562</v>
      </c>
      <c r="Q10758" s="3389"/>
      <c r="R10758" s="1699" t="s">
        <v>1327</v>
      </c>
    </row>
    <row r="10759" spans="1:18" s="22" customFormat="1">
      <c r="A10759" s="1599" t="s">
        <v>3761</v>
      </c>
      <c r="B10759" s="4326"/>
      <c r="C10759" s="3351"/>
      <c r="D10759" s="4328"/>
      <c r="E10759" s="4330"/>
      <c r="F10759" s="4363"/>
      <c r="G10759" s="4332"/>
      <c r="H10759" s="4332"/>
      <c r="I10759" s="1345">
        <v>4</v>
      </c>
      <c r="J10759" s="1307">
        <v>1</v>
      </c>
      <c r="K10759" s="1666">
        <f>I10759*J10759</f>
        <v>4</v>
      </c>
      <c r="L10759" s="4334"/>
      <c r="M10759" s="4324"/>
      <c r="N10759" s="4324"/>
      <c r="O10759" s="1298">
        <f>SUM(O10761:O10771)</f>
        <v>8.5373000000000001</v>
      </c>
      <c r="P10759" s="1337">
        <f>O10759*K10759</f>
        <v>34.1492</v>
      </c>
      <c r="Q10759" s="3390"/>
      <c r="R10759" s="1721">
        <f>SUM(P10761:P10767)</f>
        <v>34.1492</v>
      </c>
    </row>
    <row r="10760" spans="1:18" s="22" customFormat="1">
      <c r="A10760" s="1599"/>
      <c r="B10760" s="1949"/>
      <c r="C10760" s="1327"/>
      <c r="D10760" s="1367"/>
      <c r="E10760" s="2121"/>
      <c r="F10760" s="1389" t="s">
        <v>1</v>
      </c>
      <c r="G10760" s="1389"/>
      <c r="H10760" s="1369"/>
      <c r="I10760" s="2088"/>
      <c r="J10760" s="1369"/>
      <c r="K10760" s="1391"/>
      <c r="L10760" s="1559"/>
      <c r="M10760" s="1369"/>
      <c r="N10760" s="1369"/>
      <c r="O10760" s="1369"/>
      <c r="P10760" s="1392"/>
      <c r="Q10760" s="3395"/>
      <c r="R10760" s="2344"/>
    </row>
    <row r="10761" spans="1:18" s="22" customFormat="1">
      <c r="A10761"/>
      <c r="B10761" s="553"/>
      <c r="C10761" s="1042"/>
      <c r="D10761" s="1367" t="s">
        <v>1095</v>
      </c>
      <c r="E10761" s="2121" t="s">
        <v>1517</v>
      </c>
      <c r="F10761" s="1367" t="s">
        <v>1520</v>
      </c>
      <c r="G10761" s="1367">
        <v>0.11</v>
      </c>
      <c r="H10761" s="1369"/>
      <c r="I10761" s="1299"/>
      <c r="J10761" s="1300"/>
      <c r="K10761" s="1307">
        <f>G10761*K10759</f>
        <v>0.44</v>
      </c>
      <c r="L10761" s="1335">
        <f>K10761*$K$10671</f>
        <v>0</v>
      </c>
      <c r="M10761" s="1499">
        <v>56.63</v>
      </c>
      <c r="N10761" s="1724"/>
      <c r="O10761" s="1290">
        <f>G10761*M10761</f>
        <v>6.2293000000000003</v>
      </c>
      <c r="P10761" s="1332">
        <f>M10761*K10761</f>
        <v>24.917200000000001</v>
      </c>
      <c r="Q10761" s="3391"/>
      <c r="R10761" s="2339"/>
    </row>
    <row r="10762" spans="1:18" s="22" customFormat="1">
      <c r="A10762" s="16"/>
      <c r="B10762" s="1599"/>
      <c r="C10762" s="1320"/>
      <c r="D10762" s="1587"/>
      <c r="E10762" s="2138"/>
      <c r="F10762" s="1587"/>
      <c r="G10762" s="2207"/>
      <c r="H10762" s="1369"/>
      <c r="I10762" s="1299"/>
      <c r="J10762" s="1300"/>
      <c r="K10762" s="1307"/>
      <c r="L10762" s="1335"/>
      <c r="M10762" s="1499"/>
      <c r="N10762" s="1724"/>
      <c r="O10762" s="1290"/>
      <c r="P10762" s="1332"/>
      <c r="Q10762" s="3391"/>
      <c r="R10762" s="3363"/>
    </row>
    <row r="10763" spans="1:18" s="22" customFormat="1">
      <c r="A10763" s="16"/>
      <c r="B10763" s="1599"/>
      <c r="C10763" s="1320"/>
      <c r="D10763" s="2205"/>
      <c r="E10763" s="2130"/>
      <c r="F10763" s="2205"/>
      <c r="G10763" s="2206"/>
      <c r="H10763" s="1399"/>
      <c r="I10763" s="198"/>
      <c r="J10763" s="198"/>
      <c r="K10763" s="1307"/>
      <c r="L10763" s="1335"/>
      <c r="M10763" s="1499"/>
      <c r="N10763" s="1701"/>
      <c r="O10763" s="1291"/>
      <c r="P10763" s="1332"/>
      <c r="Q10763" s="3391"/>
      <c r="R10763" s="3363"/>
    </row>
    <row r="10764" spans="1:18" s="22" customFormat="1" ht="26">
      <c r="A10764" s="2187"/>
      <c r="B10764" s="1599"/>
      <c r="C10764" s="1042"/>
      <c r="D10764" s="1359"/>
      <c r="E10764" s="1858"/>
      <c r="F10764" s="1360" t="s">
        <v>2</v>
      </c>
      <c r="G10764" s="1360"/>
      <c r="H10764" s="1362"/>
      <c r="I10764" s="1380"/>
      <c r="J10764" s="1381"/>
      <c r="K10764" s="1381"/>
      <c r="L10764" s="1458"/>
      <c r="M10764" s="1362"/>
      <c r="N10764" s="1362"/>
      <c r="O10764" s="1362"/>
      <c r="P10764" s="1359"/>
      <c r="Q10764" s="3403"/>
      <c r="R10764" s="2357"/>
    </row>
    <row r="10765" spans="1:18" s="22" customFormat="1">
      <c r="A10765" s="19"/>
      <c r="B10765" s="1042"/>
      <c r="C10765" s="1042"/>
      <c r="D10765" s="1402" t="s">
        <v>1133</v>
      </c>
      <c r="E10765" s="1857" t="s">
        <v>1508</v>
      </c>
      <c r="F10765" s="1430" t="s">
        <v>1850</v>
      </c>
      <c r="G10765" s="1381">
        <v>0.05</v>
      </c>
      <c r="H10765" s="1408"/>
      <c r="I10765" s="1340"/>
      <c r="J10765" s="198"/>
      <c r="K10765" s="1307">
        <f>G10765*K10759</f>
        <v>0.2</v>
      </c>
      <c r="L10765" s="1335">
        <f>K10765*$K$10671</f>
        <v>0</v>
      </c>
      <c r="M10765" s="1302">
        <v>18.739999999999998</v>
      </c>
      <c r="N10765" s="1724"/>
      <c r="O10765" s="1290">
        <f>G10765*M10765</f>
        <v>0.93699999999999994</v>
      </c>
      <c r="P10765" s="1332">
        <f>M10765*K10765</f>
        <v>3.7479999999999998</v>
      </c>
      <c r="Q10765" s="3391"/>
      <c r="R10765" s="2338"/>
    </row>
    <row r="10766" spans="1:18" s="22" customFormat="1">
      <c r="A10766" s="19"/>
      <c r="B10766" s="1042"/>
      <c r="C10766" s="1042"/>
      <c r="D10766" s="1402" t="s">
        <v>1067</v>
      </c>
      <c r="E10766" s="1857" t="s">
        <v>1508</v>
      </c>
      <c r="F10766" s="1430" t="s">
        <v>5</v>
      </c>
      <c r="G10766" s="1381">
        <v>7.4999999999999997E-2</v>
      </c>
      <c r="H10766" s="1408"/>
      <c r="I10766" s="1340"/>
      <c r="J10766" s="198"/>
      <c r="K10766" s="1307">
        <f>G10766*K10759</f>
        <v>0.3</v>
      </c>
      <c r="L10766" s="1335">
        <f>K10766*$K$10671</f>
        <v>0</v>
      </c>
      <c r="M10766" s="1302">
        <v>18.28</v>
      </c>
      <c r="N10766" s="1724"/>
      <c r="O10766" s="1290">
        <f>G10766*M10766</f>
        <v>1.371</v>
      </c>
      <c r="P10766" s="1332">
        <f>M10766*K10766</f>
        <v>5.484</v>
      </c>
      <c r="Q10766" s="3391"/>
      <c r="R10766" s="2338"/>
    </row>
    <row r="10767" spans="1:18" s="22" customFormat="1">
      <c r="B10767" s="1320"/>
      <c r="C10767" s="16"/>
      <c r="D10767" s="1359"/>
      <c r="E10767" s="1858"/>
      <c r="F10767" s="1474"/>
      <c r="G10767" s="2198"/>
      <c r="H10767" s="1466"/>
      <c r="I10767" s="1289"/>
      <c r="J10767" s="8"/>
      <c r="K10767" s="1307"/>
      <c r="L10767" s="1335"/>
      <c r="M10767" s="1302"/>
      <c r="N10767" s="1700"/>
      <c r="O10767" s="1290"/>
      <c r="P10767" s="1332"/>
      <c r="Q10767" s="3391"/>
      <c r="R10767" s="2344"/>
    </row>
    <row r="10768" spans="1:18" s="22" customFormat="1">
      <c r="A10768" s="1320"/>
      <c r="B10768" s="1599"/>
      <c r="C10768" s="1320"/>
      <c r="D10768" s="1373"/>
      <c r="E10768" s="2123"/>
      <c r="F10768" s="1374" t="s">
        <v>3</v>
      </c>
      <c r="G10768" s="2199"/>
      <c r="H10768" s="1376"/>
      <c r="I10768" s="1382"/>
      <c r="J10768" s="1383"/>
      <c r="K10768" s="1383"/>
      <c r="L10768" s="1413"/>
      <c r="M10768" s="1376"/>
      <c r="N10768" s="1376"/>
      <c r="O10768" s="1376"/>
      <c r="P10768" s="1373"/>
      <c r="Q10768" s="3403"/>
      <c r="R10768" s="2356"/>
    </row>
    <row r="10769" spans="1:24" s="22" customFormat="1">
      <c r="A10769" s="1321"/>
      <c r="B10769" s="2053"/>
      <c r="C10769" s="1321"/>
      <c r="D10769" s="2202"/>
      <c r="E10769" s="2304"/>
      <c r="F10769" s="2202"/>
      <c r="G10769" s="2203"/>
      <c r="H10769" s="1379"/>
      <c r="I10769" s="1299"/>
      <c r="J10769" s="1300"/>
      <c r="K10769" s="1307"/>
      <c r="L10769" s="1335"/>
      <c r="M10769" s="1302"/>
      <c r="N10769" s="1700"/>
      <c r="O10769" s="1290"/>
      <c r="P10769" s="1332"/>
      <c r="Q10769" s="3402"/>
      <c r="R10769" s="2053"/>
    </row>
    <row r="10770" spans="1:24" s="22" customFormat="1">
      <c r="A10770" s="1321"/>
      <c r="B10770" s="2053"/>
      <c r="C10770" s="1321"/>
      <c r="D10770" s="1377"/>
      <c r="E10770" s="2124"/>
      <c r="F10770" s="1378"/>
      <c r="G10770" s="2200"/>
      <c r="H10770" s="1379"/>
      <c r="I10770" s="1299"/>
      <c r="J10770" s="1300"/>
      <c r="K10770" s="1307"/>
      <c r="L10770" s="1335"/>
      <c r="M10770" s="1302"/>
      <c r="N10770" s="1700"/>
      <c r="O10770" s="1290"/>
      <c r="P10770" s="1332"/>
      <c r="Q10770" s="3402"/>
      <c r="R10770" s="2053"/>
    </row>
    <row r="10771" spans="1:24" s="22" customFormat="1">
      <c r="A10771" s="1320"/>
      <c r="B10771" s="1765"/>
      <c r="C10771" s="223"/>
      <c r="D10771" s="1373"/>
      <c r="E10771" s="2161"/>
      <c r="F10771" s="1678"/>
      <c r="G10771" s="2201"/>
      <c r="H10771" s="1376"/>
      <c r="I10771" s="1299"/>
      <c r="J10771" s="1300"/>
      <c r="K10771" s="1307"/>
      <c r="L10771" s="1335"/>
      <c r="M10771" s="1302"/>
      <c r="N10771" s="1700"/>
      <c r="O10771" s="1290"/>
      <c r="P10771" s="1332"/>
      <c r="Q10771" s="3402"/>
      <c r="R10771" s="2356"/>
    </row>
    <row r="10772" spans="1:24" s="22" customFormat="1">
      <c r="A10772" s="551" t="s">
        <v>3764</v>
      </c>
      <c r="B10772" s="4325" t="s">
        <v>2631</v>
      </c>
      <c r="C10772" s="3350"/>
      <c r="D10772" s="4327"/>
      <c r="E10772" s="4329" t="s">
        <v>1507</v>
      </c>
      <c r="F10772" s="4372" t="s">
        <v>2632</v>
      </c>
      <c r="G10772" s="4331" t="s">
        <v>1568</v>
      </c>
      <c r="H10772" s="4331" t="s">
        <v>1574</v>
      </c>
      <c r="I10772" s="1572" t="s">
        <v>1559</v>
      </c>
      <c r="J10772" s="1294" t="s">
        <v>1560</v>
      </c>
      <c r="K10772" s="1294" t="s">
        <v>1569</v>
      </c>
      <c r="L10772" s="4333" t="s">
        <v>3765</v>
      </c>
      <c r="M10772" s="4323" t="s">
        <v>1571</v>
      </c>
      <c r="N10772" s="4323" t="s">
        <v>1776</v>
      </c>
      <c r="O10772" s="3347" t="s">
        <v>1563</v>
      </c>
      <c r="P10772" s="1336" t="s">
        <v>1562</v>
      </c>
      <c r="Q10772" s="3389"/>
      <c r="R10772" s="1699" t="s">
        <v>1327</v>
      </c>
    </row>
    <row r="10773" spans="1:24" s="22" customFormat="1">
      <c r="A10773" s="1599" t="s">
        <v>3761</v>
      </c>
      <c r="B10773" s="4326"/>
      <c r="C10773" s="3351"/>
      <c r="D10773" s="4328"/>
      <c r="E10773" s="4330"/>
      <c r="F10773" s="4363"/>
      <c r="G10773" s="4332"/>
      <c r="H10773" s="4332"/>
      <c r="I10773" s="1345">
        <v>22.53</v>
      </c>
      <c r="J10773" s="1307">
        <v>1</v>
      </c>
      <c r="K10773" s="1666">
        <f>I10773*J10773</f>
        <v>22.53</v>
      </c>
      <c r="L10773" s="4334"/>
      <c r="M10773" s="4324"/>
      <c r="N10773" s="4324"/>
      <c r="O10773" s="1298">
        <f>SUM(O10775:O10788)</f>
        <v>15.27392</v>
      </c>
      <c r="P10773" s="1337">
        <f>O10773*K10773</f>
        <v>344.12141760000003</v>
      </c>
      <c r="Q10773" s="3390"/>
      <c r="R10773" s="1721">
        <f>SUM(P10775:P10784)</f>
        <v>344.12141760000003</v>
      </c>
    </row>
    <row r="10774" spans="1:24" s="22" customFormat="1">
      <c r="A10774" s="1599"/>
      <c r="B10774" s="1949"/>
      <c r="C10774" s="1327"/>
      <c r="D10774" s="1367"/>
      <c r="E10774" s="2121"/>
      <c r="F10774" s="1389" t="s">
        <v>1</v>
      </c>
      <c r="G10774" s="1389"/>
      <c r="H10774" s="1369"/>
      <c r="I10774" s="2088"/>
      <c r="J10774" s="1369"/>
      <c r="K10774" s="1391"/>
      <c r="L10774" s="1559"/>
      <c r="M10774" s="1369"/>
      <c r="N10774" s="1369"/>
      <c r="O10774" s="1369"/>
      <c r="P10774" s="1392"/>
      <c r="Q10774" s="3395"/>
      <c r="R10774" s="2344"/>
    </row>
    <row r="10775" spans="1:24" s="22" customFormat="1">
      <c r="A10775"/>
      <c r="B10775" s="553"/>
      <c r="C10775" s="1042"/>
      <c r="D10775" s="1367" t="s">
        <v>1083</v>
      </c>
      <c r="E10775" s="2121" t="s">
        <v>1683</v>
      </c>
      <c r="F10775" s="1367" t="s">
        <v>2633</v>
      </c>
      <c r="G10775" s="1367">
        <v>0.4</v>
      </c>
      <c r="H10775" s="1369"/>
      <c r="I10775" s="1299"/>
      <c r="J10775" s="1300"/>
      <c r="K10775" s="1307">
        <f>G10775*K10773</f>
        <v>9.0120000000000005</v>
      </c>
      <c r="L10775" s="1335">
        <f>K10775*$K$10671</f>
        <v>0</v>
      </c>
      <c r="M10775" s="1499">
        <v>1.72</v>
      </c>
      <c r="N10775" s="1724"/>
      <c r="O10775" s="1290">
        <f>G10775*M10775</f>
        <v>0.68800000000000006</v>
      </c>
      <c r="P10775" s="1332">
        <f>M10775*K10775</f>
        <v>15.500640000000001</v>
      </c>
      <c r="Q10775" s="3391"/>
      <c r="R10775" s="2339"/>
    </row>
    <row r="10776" spans="1:24" s="22" customFormat="1">
      <c r="A10776" s="16"/>
      <c r="B10776" s="1599"/>
      <c r="C10776" s="1320"/>
      <c r="D10776" s="1587" t="s">
        <v>1114</v>
      </c>
      <c r="E10776" s="2138" t="s">
        <v>1517</v>
      </c>
      <c r="F10776" s="1587" t="s">
        <v>1538</v>
      </c>
      <c r="G10776" s="1588">
        <v>2E-3</v>
      </c>
      <c r="H10776" s="1369"/>
      <c r="I10776" s="1299"/>
      <c r="J10776" s="1300"/>
      <c r="K10776" s="1307">
        <f>G10776*K10773</f>
        <v>4.5060000000000003E-2</v>
      </c>
      <c r="L10776" s="1335">
        <f>K10776*$K$10671</f>
        <v>0</v>
      </c>
      <c r="M10776" s="1499">
        <v>225.64</v>
      </c>
      <c r="N10776" s="1724"/>
      <c r="O10776" s="1290">
        <f>G10776*M10776</f>
        <v>0.45127999999999996</v>
      </c>
      <c r="P10776" s="1332">
        <f>M10776*K10776</f>
        <v>10.1673384</v>
      </c>
      <c r="Q10776" s="3391"/>
      <c r="R10776" s="3363"/>
    </row>
    <row r="10777" spans="1:24" s="22" customFormat="1">
      <c r="A10777" s="16"/>
      <c r="B10777" s="1599"/>
      <c r="C10777" s="1320"/>
      <c r="D10777" s="1587" t="s">
        <v>1081</v>
      </c>
      <c r="E10777" s="2138" t="s">
        <v>1517</v>
      </c>
      <c r="F10777" s="1587" t="s">
        <v>2045</v>
      </c>
      <c r="G10777" s="2207">
        <v>8.0000000000000002E-3</v>
      </c>
      <c r="H10777" s="1369"/>
      <c r="I10777" s="1299"/>
      <c r="J10777" s="1300"/>
      <c r="K10777" s="1307">
        <f>G10777*K10773</f>
        <v>0.18024000000000001</v>
      </c>
      <c r="L10777" s="1335">
        <f>K10777*$K$10671</f>
        <v>0</v>
      </c>
      <c r="M10777" s="1499">
        <v>195.18</v>
      </c>
      <c r="N10777" s="1724"/>
      <c r="O10777" s="1290">
        <f>G10777*M10777</f>
        <v>1.5614400000000002</v>
      </c>
      <c r="P10777" s="1332">
        <f>M10777*K10777</f>
        <v>35.179243200000002</v>
      </c>
      <c r="Q10777" s="3391"/>
      <c r="R10777" s="3363"/>
    </row>
    <row r="10778" spans="1:24" s="22" customFormat="1" ht="15" customHeight="1">
      <c r="A10778" s="1320"/>
      <c r="B10778" s="1599"/>
      <c r="C10778" s="1320"/>
      <c r="D10778" s="1587" t="s">
        <v>1082</v>
      </c>
      <c r="E10778" s="2303" t="s">
        <v>1504</v>
      </c>
      <c r="F10778" s="1654" t="s">
        <v>1541</v>
      </c>
      <c r="G10778" s="2204">
        <v>1.9</v>
      </c>
      <c r="H10778" s="1369"/>
      <c r="I10778" s="1299"/>
      <c r="J10778" s="1300"/>
      <c r="K10778" s="1307">
        <f>G10778*K10773</f>
        <v>42.807000000000002</v>
      </c>
      <c r="L10778" s="1335">
        <f>K10778*$K$10671</f>
        <v>0</v>
      </c>
      <c r="M10778" s="1302">
        <v>0.3</v>
      </c>
      <c r="N10778" s="1724"/>
      <c r="O10778" s="1290">
        <f>G10778*M10778</f>
        <v>0.56999999999999995</v>
      </c>
      <c r="P10778" s="1332">
        <f>M10778*K10778</f>
        <v>12.8421</v>
      </c>
      <c r="Q10778" s="3402"/>
      <c r="R10778" s="2356"/>
    </row>
    <row r="10779" spans="1:24" s="22" customFormat="1">
      <c r="A10779" s="1042"/>
      <c r="C10779" s="1320"/>
      <c r="D10779" s="1367"/>
      <c r="E10779" s="1856"/>
      <c r="F10779" s="1421"/>
      <c r="G10779" s="1452"/>
      <c r="H10779" s="1453"/>
      <c r="I10779" s="197"/>
      <c r="J10779" s="198"/>
      <c r="K10779" s="1307"/>
      <c r="L10779" s="1335"/>
      <c r="M10779" s="1723"/>
      <c r="N10779" s="1724"/>
      <c r="O10779" s="1719"/>
      <c r="P10779" s="1720"/>
      <c r="Q10779" s="3396"/>
      <c r="R10779" s="1296"/>
    </row>
    <row r="10780" spans="1:24" s="16" customFormat="1">
      <c r="B10780" s="1599"/>
      <c r="C10780" s="1320"/>
      <c r="D10780" s="2205"/>
      <c r="E10780" s="2130"/>
      <c r="F10780" s="2205"/>
      <c r="G10780" s="2206"/>
      <c r="H10780" s="1399"/>
      <c r="I10780" s="198"/>
      <c r="J10780" s="198"/>
      <c r="K10780" s="1307"/>
      <c r="L10780" s="1335"/>
      <c r="M10780" s="1499"/>
      <c r="N10780" s="1701"/>
      <c r="O10780" s="1291"/>
      <c r="P10780" s="1332"/>
      <c r="Q10780" s="3391"/>
      <c r="R10780" s="3363"/>
      <c r="S10780" s="1792"/>
      <c r="T10780" s="1792"/>
      <c r="U10780" s="1792"/>
      <c r="V10780" s="1793"/>
      <c r="W10780" s="1794"/>
      <c r="X10780" s="1794"/>
    </row>
    <row r="10781" spans="1:24" s="16" customFormat="1" ht="26">
      <c r="A10781" s="2187"/>
      <c r="B10781" s="1599"/>
      <c r="C10781" s="1042"/>
      <c r="D10781" s="1359"/>
      <c r="E10781" s="1858"/>
      <c r="F10781" s="1360" t="s">
        <v>2</v>
      </c>
      <c r="G10781" s="1360"/>
      <c r="H10781" s="1362"/>
      <c r="I10781" s="1380"/>
      <c r="J10781" s="1381"/>
      <c r="K10781" s="1381"/>
      <c r="L10781" s="1458"/>
      <c r="M10781" s="1362"/>
      <c r="N10781" s="1362"/>
      <c r="O10781" s="1362"/>
      <c r="P10781" s="1359"/>
      <c r="Q10781" s="3403"/>
      <c r="R10781" s="2357"/>
      <c r="S10781" s="1792"/>
      <c r="T10781" s="1792"/>
      <c r="U10781" s="1792"/>
      <c r="V10781" s="1793"/>
      <c r="W10781" s="1794"/>
      <c r="X10781" s="1794"/>
    </row>
    <row r="10782" spans="1:24" s="16" customFormat="1">
      <c r="A10782" s="19"/>
      <c r="B10782" s="1042"/>
      <c r="C10782" s="1042"/>
      <c r="D10782" s="1402" t="s">
        <v>1067</v>
      </c>
      <c r="E10782" s="1857" t="s">
        <v>1508</v>
      </c>
      <c r="F10782" s="1430" t="s">
        <v>1512</v>
      </c>
      <c r="G10782" s="1381">
        <v>0.32</v>
      </c>
      <c r="H10782" s="1408"/>
      <c r="I10782" s="1340"/>
      <c r="J10782" s="198"/>
      <c r="K10782" s="1307">
        <f>G10782*K10773</f>
        <v>7.2096000000000009</v>
      </c>
      <c r="L10782" s="1335">
        <f>K10782*$K$10671</f>
        <v>0</v>
      </c>
      <c r="M10782" s="1302">
        <v>18.28</v>
      </c>
      <c r="N10782" s="1724"/>
      <c r="O10782" s="1290">
        <f>G10782*M10782</f>
        <v>5.8496000000000006</v>
      </c>
      <c r="P10782" s="1332">
        <f>M10782*K10782</f>
        <v>131.79148800000002</v>
      </c>
      <c r="Q10782" s="3391"/>
      <c r="R10782" s="2338"/>
      <c r="S10782" s="1792"/>
      <c r="T10782" s="1792"/>
      <c r="U10782" s="1792"/>
      <c r="V10782" s="1793"/>
      <c r="W10782" s="1794"/>
      <c r="X10782" s="1794"/>
    </row>
    <row r="10783" spans="1:24" s="22" customFormat="1">
      <c r="A10783" s="19"/>
      <c r="B10783" s="1042"/>
      <c r="C10783" s="1042"/>
      <c r="D10783" s="1402" t="s">
        <v>1084</v>
      </c>
      <c r="E10783" s="1857" t="s">
        <v>1508</v>
      </c>
      <c r="F10783" s="1430" t="s">
        <v>2634</v>
      </c>
      <c r="G10783" s="1381">
        <v>0.32</v>
      </c>
      <c r="H10783" s="1408"/>
      <c r="I10783" s="1340"/>
      <c r="J10783" s="198"/>
      <c r="K10783" s="1307">
        <f>G10783*K10773</f>
        <v>7.2096000000000009</v>
      </c>
      <c r="L10783" s="1335">
        <f>K10783*$K$10671</f>
        <v>0</v>
      </c>
      <c r="M10783" s="1302">
        <v>19.23</v>
      </c>
      <c r="N10783" s="1724"/>
      <c r="O10783" s="1290">
        <f>G10783*M10783</f>
        <v>6.1536</v>
      </c>
      <c r="P10783" s="1332">
        <f>M10783*K10783</f>
        <v>138.64060800000001</v>
      </c>
      <c r="Q10783" s="3391"/>
      <c r="R10783" s="2338"/>
    </row>
    <row r="10784" spans="1:24" s="22" customFormat="1">
      <c r="B10784" s="1320"/>
      <c r="C10784" s="16"/>
      <c r="D10784" s="1359"/>
      <c r="E10784" s="1858"/>
      <c r="F10784" s="1474"/>
      <c r="G10784" s="2198"/>
      <c r="H10784" s="1466"/>
      <c r="I10784" s="1289"/>
      <c r="J10784" s="8"/>
      <c r="K10784" s="1307"/>
      <c r="L10784" s="1335"/>
      <c r="M10784" s="1302"/>
      <c r="N10784" s="1700"/>
      <c r="O10784" s="1290"/>
      <c r="P10784" s="1332"/>
      <c r="Q10784" s="3391"/>
      <c r="R10784" s="2344"/>
    </row>
    <row r="10785" spans="1:18" s="22" customFormat="1">
      <c r="A10785" s="1320"/>
      <c r="B10785" s="1599"/>
      <c r="C10785" s="1320"/>
      <c r="D10785" s="1373"/>
      <c r="E10785" s="2123"/>
      <c r="F10785" s="1374" t="s">
        <v>3</v>
      </c>
      <c r="G10785" s="2199"/>
      <c r="H10785" s="1376"/>
      <c r="I10785" s="1382"/>
      <c r="J10785" s="1383"/>
      <c r="K10785" s="1383"/>
      <c r="L10785" s="1413"/>
      <c r="M10785" s="1376"/>
      <c r="N10785" s="1376"/>
      <c r="O10785" s="1376"/>
      <c r="P10785" s="1373"/>
      <c r="Q10785" s="3403"/>
      <c r="R10785" s="2356"/>
    </row>
    <row r="10786" spans="1:18" s="22" customFormat="1">
      <c r="A10786" s="1321"/>
      <c r="B10786" s="2053"/>
      <c r="C10786" s="1321"/>
      <c r="D10786" s="2202"/>
      <c r="E10786" s="2304"/>
      <c r="F10786" s="2202"/>
      <c r="G10786" s="2203"/>
      <c r="H10786" s="1379"/>
      <c r="I10786" s="1299"/>
      <c r="J10786" s="1300"/>
      <c r="K10786" s="1307"/>
      <c r="L10786" s="1335"/>
      <c r="M10786" s="1302"/>
      <c r="N10786" s="1700"/>
      <c r="O10786" s="1290"/>
      <c r="P10786" s="1332"/>
      <c r="Q10786" s="3402"/>
      <c r="R10786" s="2053"/>
    </row>
    <row r="10787" spans="1:18" s="22" customFormat="1">
      <c r="A10787" s="1321"/>
      <c r="B10787" s="2053"/>
      <c r="C10787" s="1321"/>
      <c r="D10787" s="1377"/>
      <c r="E10787" s="2124"/>
      <c r="F10787" s="1378"/>
      <c r="G10787" s="2200"/>
      <c r="H10787" s="1379"/>
      <c r="I10787" s="1299"/>
      <c r="J10787" s="1300"/>
      <c r="K10787" s="1307"/>
      <c r="L10787" s="1335"/>
      <c r="M10787" s="1302"/>
      <c r="N10787" s="1700"/>
      <c r="O10787" s="1290"/>
      <c r="P10787" s="1332"/>
      <c r="Q10787" s="3402"/>
      <c r="R10787" s="2053"/>
    </row>
    <row r="10788" spans="1:18" s="22" customFormat="1">
      <c r="A10788" s="1320"/>
      <c r="B10788" s="1765"/>
      <c r="C10788" s="223"/>
      <c r="D10788" s="1373"/>
      <c r="E10788" s="2161"/>
      <c r="F10788" s="1678"/>
      <c r="G10788" s="2201"/>
      <c r="H10788" s="1376"/>
      <c r="I10788" s="1299"/>
      <c r="J10788" s="1300"/>
      <c r="K10788" s="1307"/>
      <c r="L10788" s="1335"/>
      <c r="M10788" s="1302"/>
      <c r="N10788" s="1700"/>
      <c r="O10788" s="1290"/>
      <c r="P10788" s="1332"/>
      <c r="Q10788" s="3402"/>
      <c r="R10788" s="2356"/>
    </row>
    <row r="10789" spans="1:18" s="22" customFormat="1">
      <c r="A10789" s="551" t="s">
        <v>3764</v>
      </c>
      <c r="B10789" s="4325" t="s">
        <v>2635</v>
      </c>
      <c r="C10789" s="3350"/>
      <c r="D10789" s="4327"/>
      <c r="E10789" s="4329" t="s">
        <v>1517</v>
      </c>
      <c r="F10789" s="4372" t="s">
        <v>2636</v>
      </c>
      <c r="G10789" s="4331" t="s">
        <v>1568</v>
      </c>
      <c r="H10789" s="4331" t="s">
        <v>1574</v>
      </c>
      <c r="I10789" s="1572" t="s">
        <v>1559</v>
      </c>
      <c r="J10789" s="1294" t="s">
        <v>1560</v>
      </c>
      <c r="K10789" s="1294" t="s">
        <v>1569</v>
      </c>
      <c r="L10789" s="4333" t="s">
        <v>3765</v>
      </c>
      <c r="M10789" s="4323" t="s">
        <v>1571</v>
      </c>
      <c r="N10789" s="4323" t="s">
        <v>1776</v>
      </c>
      <c r="O10789" s="3347" t="s">
        <v>1563</v>
      </c>
      <c r="P10789" s="1336" t="s">
        <v>1562</v>
      </c>
      <c r="Q10789" s="3389"/>
      <c r="R10789" s="1699" t="s">
        <v>1327</v>
      </c>
    </row>
    <row r="10790" spans="1:18" s="22" customFormat="1">
      <c r="A10790" s="1599" t="s">
        <v>3761</v>
      </c>
      <c r="B10790" s="4326"/>
      <c r="C10790" s="3351"/>
      <c r="D10790" s="4328"/>
      <c r="E10790" s="4330"/>
      <c r="F10790" s="4363"/>
      <c r="G10790" s="4332"/>
      <c r="H10790" s="4332"/>
      <c r="I10790" s="1345">
        <v>4.04</v>
      </c>
      <c r="J10790" s="1307">
        <v>1</v>
      </c>
      <c r="K10790" s="1666">
        <f>I10790*J10790</f>
        <v>4.04</v>
      </c>
      <c r="L10790" s="4334"/>
      <c r="M10790" s="4324"/>
      <c r="N10790" s="4324"/>
      <c r="O10790" s="1298">
        <f>O10797+O10792</f>
        <v>127.85770000000002</v>
      </c>
      <c r="P10790" s="1337">
        <f>O10790*K10790</f>
        <v>516.54510800000014</v>
      </c>
      <c r="Q10790" s="3390"/>
      <c r="R10790" s="1721">
        <f>P10797+P10792</f>
        <v>516.54510800000003</v>
      </c>
    </row>
    <row r="10791" spans="1:18" s="22" customFormat="1">
      <c r="A10791" s="1599"/>
      <c r="B10791" s="1949"/>
      <c r="C10791" s="4004"/>
      <c r="D10791" s="1367"/>
      <c r="E10791" s="2121"/>
      <c r="F10791" s="1389" t="s">
        <v>1</v>
      </c>
      <c r="G10791" s="1389"/>
      <c r="H10791" s="1369"/>
      <c r="I10791" s="2088"/>
      <c r="J10791" s="1369"/>
      <c r="K10791" s="1391"/>
      <c r="L10791" s="1559"/>
      <c r="M10791" s="1369"/>
      <c r="N10791" s="1369"/>
      <c r="O10791" s="1369"/>
      <c r="P10791" s="1392"/>
      <c r="Q10791" s="3395"/>
      <c r="R10791" s="2344"/>
    </row>
    <row r="10792" spans="1:18" s="22" customFormat="1">
      <c r="A10792" s="16"/>
      <c r="B10792" s="1599"/>
      <c r="C10792" s="4005" t="s">
        <v>2639</v>
      </c>
      <c r="D10792" s="4003"/>
      <c r="E10792" s="2306" t="s">
        <v>1357</v>
      </c>
      <c r="F10792" s="2210" t="s">
        <v>2640</v>
      </c>
      <c r="G10792" s="2211"/>
      <c r="H10792" s="1366">
        <v>40</v>
      </c>
      <c r="I10792" s="1444"/>
      <c r="J10792" s="1366"/>
      <c r="K10792" s="1510"/>
      <c r="L10792" s="1445"/>
      <c r="M10792" s="1500"/>
      <c r="N10792" s="1447">
        <f>SUM(N10793:N10796)</f>
        <v>1.2805500000000001</v>
      </c>
      <c r="O10792" s="1447">
        <f>SUM(O10793:O10796)</f>
        <v>51.27000000000001</v>
      </c>
      <c r="P10792" s="1447">
        <f>SUM(P10793:P10796)</f>
        <v>207.13080000000005</v>
      </c>
      <c r="Q10792" s="3391"/>
      <c r="R10792" s="3363"/>
    </row>
    <row r="10793" spans="1:18" s="22" customFormat="1">
      <c r="A10793" s="16"/>
      <c r="B10793" s="1599"/>
      <c r="C10793" s="1320"/>
      <c r="D10793" s="1587" t="s">
        <v>1075</v>
      </c>
      <c r="E10793" s="2138" t="s">
        <v>1357</v>
      </c>
      <c r="F10793" s="1587" t="s">
        <v>3770</v>
      </c>
      <c r="G10793" s="2207">
        <v>1.08</v>
      </c>
      <c r="H10793" s="1369">
        <f>G10793*H10792</f>
        <v>43.2</v>
      </c>
      <c r="I10793" s="1299"/>
      <c r="J10793" s="1300"/>
      <c r="K10793" s="1307">
        <f>H10793*K10790</f>
        <v>174.52800000000002</v>
      </c>
      <c r="L10793" s="1335">
        <f>K10793*$K$10671</f>
        <v>0</v>
      </c>
      <c r="M10793" s="1302">
        <v>0.81</v>
      </c>
      <c r="N10793" s="1718">
        <f>G10793*M10793</f>
        <v>0.87480000000000013</v>
      </c>
      <c r="O10793" s="1290">
        <f>H10793*M10793</f>
        <v>34.992000000000004</v>
      </c>
      <c r="P10793" s="1720">
        <f>M10793*K10793</f>
        <v>141.36768000000004</v>
      </c>
      <c r="Q10793" s="3396"/>
      <c r="R10793" s="3363"/>
    </row>
    <row r="10794" spans="1:18" s="22" customFormat="1">
      <c r="A10794" s="1320"/>
      <c r="B10794" s="1599"/>
      <c r="C10794" s="1320"/>
      <c r="D10794" s="1587" t="s">
        <v>1090</v>
      </c>
      <c r="E10794" s="2138" t="s">
        <v>1357</v>
      </c>
      <c r="F10794" s="2292" t="s">
        <v>1723</v>
      </c>
      <c r="G10794" s="1588">
        <v>5.0000000000000001E-3</v>
      </c>
      <c r="H10794" s="1369">
        <f>G10794*H10792</f>
        <v>0.2</v>
      </c>
      <c r="I10794" s="1299"/>
      <c r="J10794" s="1300"/>
      <c r="K10794" s="1307">
        <f>H10794*K10790</f>
        <v>0.80800000000000005</v>
      </c>
      <c r="L10794" s="1335">
        <f>K10794*$K$10671</f>
        <v>0</v>
      </c>
      <c r="M10794" s="1302">
        <v>1.23</v>
      </c>
      <c r="N10794" s="1718">
        <f>G10794*M10794</f>
        <v>6.1500000000000001E-3</v>
      </c>
      <c r="O10794" s="1290">
        <f>H10794*M10794</f>
        <v>0.246</v>
      </c>
      <c r="P10794" s="1720">
        <f>M10794*K10794</f>
        <v>0.99384000000000006</v>
      </c>
      <c r="Q10794" s="3400"/>
      <c r="R10794" s="2356"/>
    </row>
    <row r="10795" spans="1:18" s="22" customFormat="1">
      <c r="A10795" s="1320"/>
      <c r="B10795" s="16"/>
      <c r="C10795" s="1320"/>
      <c r="D10795" s="1587" t="s">
        <v>1082</v>
      </c>
      <c r="E10795" s="2303" t="s">
        <v>1504</v>
      </c>
      <c r="F10795" s="2292" t="s">
        <v>1541</v>
      </c>
      <c r="G10795" s="2207">
        <v>0.05</v>
      </c>
      <c r="H10795" s="1369">
        <f>G10795*H10793</f>
        <v>2.16</v>
      </c>
      <c r="I10795" s="1299"/>
      <c r="J10795" s="1300"/>
      <c r="K10795" s="1307">
        <f>H10795*K10790</f>
        <v>8.7263999999999999</v>
      </c>
      <c r="L10795" s="1335">
        <f>K10795*$K$10671</f>
        <v>0</v>
      </c>
      <c r="M10795" s="1302">
        <v>0.3</v>
      </c>
      <c r="N10795" s="1718">
        <f>G10795*M10795</f>
        <v>1.4999999999999999E-2</v>
      </c>
      <c r="O10795" s="1290">
        <f>H10795*M10795</f>
        <v>0.64800000000000002</v>
      </c>
      <c r="P10795" s="1720">
        <f>M10795*K10795</f>
        <v>2.6179199999999998</v>
      </c>
      <c r="Q10795" s="3396"/>
      <c r="R10795" s="3363"/>
    </row>
    <row r="10796" spans="1:18" s="22" customFormat="1">
      <c r="A10796" s="1320"/>
      <c r="C10796" s="1320"/>
      <c r="D10796" s="1359" t="s">
        <v>1076</v>
      </c>
      <c r="E10796" s="1857" t="s">
        <v>1508</v>
      </c>
      <c r="F10796" s="2293" t="s">
        <v>2728</v>
      </c>
      <c r="G10796" s="1991">
        <v>0.02</v>
      </c>
      <c r="H10796" s="1362">
        <f>G10796*H10792</f>
        <v>0.8</v>
      </c>
      <c r="I10796" s="197"/>
      <c r="J10796" s="198"/>
      <c r="K10796" s="1307">
        <f>H10796*K10790</f>
        <v>3.2320000000000002</v>
      </c>
      <c r="L10796" s="1335">
        <f>K10796*$K$10671</f>
        <v>0</v>
      </c>
      <c r="M10796" s="1302">
        <v>19.23</v>
      </c>
      <c r="N10796" s="1718">
        <f>G10796*M10796</f>
        <v>0.3846</v>
      </c>
      <c r="O10796" s="1290">
        <f>H10796*M10796</f>
        <v>15.384</v>
      </c>
      <c r="P10796" s="1720">
        <f>M10796*K10796</f>
        <v>62.151360000000004</v>
      </c>
      <c r="Q10796" s="3396"/>
      <c r="R10796" s="1296"/>
    </row>
    <row r="10797" spans="1:18" s="22" customFormat="1">
      <c r="B10797" s="553"/>
      <c r="C10797" s="1358" t="s">
        <v>2637</v>
      </c>
      <c r="D10797" s="1338"/>
      <c r="E10797" s="2209" t="s">
        <v>1517</v>
      </c>
      <c r="F10797" s="1338" t="s">
        <v>2638</v>
      </c>
      <c r="G10797" s="1338"/>
      <c r="H10797" s="1388">
        <v>1</v>
      </c>
      <c r="I10797" s="1444"/>
      <c r="J10797" s="1366"/>
      <c r="K10797" s="1510"/>
      <c r="L10797" s="1445"/>
      <c r="M10797" s="1500"/>
      <c r="N10797" s="1447">
        <f>SUM(N10798:N10800)</f>
        <v>76.587700000000012</v>
      </c>
      <c r="O10797" s="1447">
        <f>SUM(O10798:O10800)</f>
        <v>76.587700000000012</v>
      </c>
      <c r="P10797" s="1447">
        <f>SUM(P10798:P10800)</f>
        <v>309.41430799999995</v>
      </c>
      <c r="Q10797" s="3391"/>
      <c r="R10797" s="2339"/>
    </row>
    <row r="10798" spans="1:18" s="22" customFormat="1">
      <c r="B10798" s="553"/>
      <c r="C10798" s="1042"/>
      <c r="D10798" s="1367" t="s">
        <v>1093</v>
      </c>
      <c r="E10798" s="2121" t="s">
        <v>1517</v>
      </c>
      <c r="F10798" s="1367" t="s">
        <v>2727</v>
      </c>
      <c r="G10798" s="1367">
        <v>1.03</v>
      </c>
      <c r="H10798" s="1369">
        <f>G10798*H10797</f>
        <v>1.03</v>
      </c>
      <c r="I10798" s="1299"/>
      <c r="J10798" s="1300"/>
      <c r="K10798" s="1307">
        <f>H10798*K10790</f>
        <v>4.1612</v>
      </c>
      <c r="L10798" s="1335">
        <f>K10798*$K$10671</f>
        <v>0</v>
      </c>
      <c r="M10798" s="1499">
        <v>65.19</v>
      </c>
      <c r="N10798" s="1718">
        <f>G10798*M10798</f>
        <v>67.145700000000005</v>
      </c>
      <c r="O10798" s="1290">
        <f>H10798*M10798</f>
        <v>67.145700000000005</v>
      </c>
      <c r="P10798" s="1720">
        <f>M10798*K10798</f>
        <v>271.26862799999998</v>
      </c>
      <c r="Q10798" s="3396"/>
      <c r="R10798" s="2339"/>
    </row>
    <row r="10799" spans="1:18" s="22" customFormat="1">
      <c r="B10799" s="553"/>
      <c r="C10799" s="1042"/>
      <c r="D10799" s="1359" t="s">
        <v>1067</v>
      </c>
      <c r="E10799" s="1858" t="s">
        <v>1508</v>
      </c>
      <c r="F10799" s="1359" t="s">
        <v>1512</v>
      </c>
      <c r="G10799" s="1359">
        <v>0.5</v>
      </c>
      <c r="H10799" s="1362">
        <f>G10799*H10797</f>
        <v>0.5</v>
      </c>
      <c r="I10799" s="1299"/>
      <c r="J10799" s="1300"/>
      <c r="K10799" s="1307">
        <f>H10799*K10790</f>
        <v>2.02</v>
      </c>
      <c r="L10799" s="1335">
        <f>K10799*$K$10671</f>
        <v>0</v>
      </c>
      <c r="M10799" s="1499">
        <v>18.28</v>
      </c>
      <c r="N10799" s="1718">
        <f>G10799*M10799</f>
        <v>9.14</v>
      </c>
      <c r="O10799" s="1290">
        <f>H10799*M10799</f>
        <v>9.14</v>
      </c>
      <c r="P10799" s="1720">
        <f>M10799*K10799</f>
        <v>36.925600000000003</v>
      </c>
      <c r="Q10799" s="3396"/>
      <c r="R10799" s="2339"/>
    </row>
    <row r="10800" spans="1:18" s="22" customFormat="1">
      <c r="B10800" s="553"/>
      <c r="C10800" s="1042"/>
      <c r="D10800" s="1592" t="s">
        <v>1087</v>
      </c>
      <c r="E10800" s="2305" t="s">
        <v>1508</v>
      </c>
      <c r="F10800" s="1592" t="s">
        <v>1542</v>
      </c>
      <c r="G10800" s="1593">
        <v>0.2</v>
      </c>
      <c r="H10800" s="1376">
        <f>G10800*H10797</f>
        <v>0.2</v>
      </c>
      <c r="I10800" s="1299"/>
      <c r="J10800" s="1300"/>
      <c r="K10800" s="1307">
        <f>H10800*K10790</f>
        <v>0.80800000000000005</v>
      </c>
      <c r="L10800" s="1335">
        <f>K10800*$K$10671</f>
        <v>0</v>
      </c>
      <c r="M10800" s="1499">
        <v>1.51</v>
      </c>
      <c r="N10800" s="1718">
        <f>G10800*M10800</f>
        <v>0.30200000000000005</v>
      </c>
      <c r="O10800" s="1290">
        <f>H10800*M10800</f>
        <v>0.30200000000000005</v>
      </c>
      <c r="P10800" s="1720">
        <f>M10800*K10800</f>
        <v>1.2200800000000001</v>
      </c>
      <c r="Q10800" s="3396"/>
      <c r="R10800" s="2339"/>
    </row>
    <row r="10801" spans="1:18">
      <c r="A10801" s="22"/>
      <c r="B10801" s="553"/>
      <c r="C10801" s="1042"/>
      <c r="D10801" s="1367"/>
      <c r="E10801" s="2121"/>
      <c r="F10801" s="1367"/>
      <c r="G10801" s="1367"/>
      <c r="H10801" s="1369"/>
      <c r="I10801" s="1299"/>
      <c r="J10801" s="1300"/>
      <c r="K10801" s="1307"/>
      <c r="L10801" s="1335"/>
      <c r="M10801" s="1499"/>
      <c r="N10801" s="1718"/>
      <c r="O10801" s="1290"/>
      <c r="P10801" s="1720"/>
      <c r="Q10801" s="3396"/>
    </row>
    <row r="10802" spans="1:18" ht="26">
      <c r="A10802" s="2187"/>
      <c r="B10802" s="1599"/>
      <c r="C10802" s="1042"/>
      <c r="D10802" s="1359"/>
      <c r="E10802" s="1858"/>
      <c r="F10802" s="1360" t="s">
        <v>2</v>
      </c>
      <c r="G10802" s="1360"/>
      <c r="H10802" s="1362"/>
      <c r="I10802" s="1380"/>
      <c r="J10802" s="1381"/>
      <c r="K10802" s="1381"/>
      <c r="L10802" s="1458"/>
      <c r="M10802" s="1362"/>
      <c r="N10802" s="1362"/>
      <c r="O10802" s="1362"/>
      <c r="P10802" s="1359"/>
      <c r="Q10802" s="3403"/>
      <c r="R10802" s="2357"/>
    </row>
    <row r="10803" spans="1:18">
      <c r="A10803" s="16"/>
      <c r="B10803" s="1042"/>
      <c r="C10803" s="1042"/>
      <c r="D10803" s="1402"/>
      <c r="E10803" s="1857"/>
      <c r="F10803" s="1430"/>
      <c r="G10803" s="1381"/>
      <c r="H10803" s="1408"/>
      <c r="I10803" s="1340"/>
      <c r="J10803" s="198"/>
      <c r="K10803" s="1307"/>
      <c r="L10803" s="1335"/>
      <c r="M10803" s="1302"/>
      <c r="N10803" s="1724"/>
      <c r="O10803" s="1290"/>
      <c r="P10803" s="1332"/>
      <c r="Q10803" s="3391"/>
      <c r="R10803" s="2338"/>
    </row>
    <row r="10804" spans="1:18">
      <c r="A10804" s="16"/>
      <c r="B10804" s="1042"/>
      <c r="C10804" s="1042"/>
      <c r="D10804" s="1402"/>
      <c r="E10804" s="1857"/>
      <c r="F10804" s="1430"/>
      <c r="G10804" s="1381"/>
      <c r="H10804" s="1408"/>
      <c r="I10804" s="1340"/>
      <c r="J10804" s="198"/>
      <c r="K10804" s="1307"/>
      <c r="L10804" s="1335"/>
      <c r="M10804" s="1302"/>
      <c r="N10804" s="1724"/>
      <c r="O10804" s="1290"/>
      <c r="P10804" s="1332"/>
      <c r="Q10804" s="3391"/>
      <c r="R10804" s="2338"/>
    </row>
    <row r="10805" spans="1:18">
      <c r="A10805" s="22"/>
      <c r="B10805" s="1320"/>
      <c r="C10805" s="16"/>
      <c r="D10805" s="1359"/>
      <c r="E10805" s="1858"/>
      <c r="F10805" s="1474"/>
      <c r="G10805" s="2198"/>
      <c r="H10805" s="1466"/>
      <c r="I10805" s="1289"/>
      <c r="J10805" s="8"/>
      <c r="K10805" s="1307"/>
      <c r="L10805" s="1335"/>
      <c r="M10805" s="1302"/>
      <c r="N10805" s="1700"/>
      <c r="O10805" s="1290"/>
      <c r="P10805" s="1332"/>
      <c r="Q10805" s="3391"/>
      <c r="R10805" s="2344"/>
    </row>
    <row r="10806" spans="1:18">
      <c r="A10806" s="1320"/>
      <c r="B10806" s="1599"/>
      <c r="C10806" s="1320"/>
      <c r="D10806" s="1373"/>
      <c r="E10806" s="2123"/>
      <c r="F10806" s="1374" t="s">
        <v>3</v>
      </c>
      <c r="G10806" s="2199"/>
      <c r="H10806" s="1376"/>
      <c r="I10806" s="1382"/>
      <c r="J10806" s="1383"/>
      <c r="K10806" s="1383"/>
      <c r="L10806" s="1413"/>
      <c r="M10806" s="1376"/>
      <c r="N10806" s="1376"/>
      <c r="O10806" s="1376"/>
      <c r="P10806" s="1373"/>
      <c r="Q10806" s="3403"/>
      <c r="R10806" s="2356"/>
    </row>
    <row r="10807" spans="1:18">
      <c r="A10807" s="1321"/>
      <c r="B10807" s="2053"/>
      <c r="C10807" s="1321"/>
      <c r="D10807" s="2202"/>
      <c r="E10807" s="2304"/>
      <c r="F10807" s="2202"/>
      <c r="G10807" s="2203"/>
      <c r="H10807" s="1379"/>
      <c r="I10807" s="1299"/>
      <c r="J10807" s="1300"/>
      <c r="K10807" s="1307"/>
      <c r="L10807" s="1335"/>
      <c r="M10807" s="1302"/>
      <c r="N10807" s="1700"/>
      <c r="O10807" s="1290"/>
      <c r="P10807" s="1332"/>
      <c r="Q10807" s="3402"/>
      <c r="R10807" s="2053"/>
    </row>
    <row r="10808" spans="1:18">
      <c r="A10808" s="1321"/>
      <c r="B10808" s="2053"/>
      <c r="C10808" s="1321"/>
      <c r="D10808" s="1377"/>
      <c r="E10808" s="2124"/>
      <c r="F10808" s="1378"/>
      <c r="G10808" s="2200"/>
      <c r="H10808" s="1379"/>
      <c r="I10808" s="1299"/>
      <c r="J10808" s="1300"/>
      <c r="K10808" s="1307"/>
      <c r="L10808" s="1335"/>
      <c r="M10808" s="1302"/>
      <c r="N10808" s="1700"/>
      <c r="O10808" s="1290"/>
      <c r="P10808" s="1332"/>
      <c r="Q10808" s="3402"/>
      <c r="R10808" s="2053"/>
    </row>
    <row r="10809" spans="1:18">
      <c r="A10809" s="1320"/>
      <c r="B10809" s="1765"/>
      <c r="C10809" s="223"/>
      <c r="D10809" s="1373"/>
      <c r="E10809" s="2161"/>
      <c r="F10809" s="1678"/>
      <c r="G10809" s="2201"/>
      <c r="H10809" s="1376"/>
      <c r="I10809" s="1299"/>
      <c r="J10809" s="1300"/>
      <c r="K10809" s="1307"/>
      <c r="L10809" s="1335"/>
      <c r="M10809" s="1302"/>
      <c r="N10809" s="1700"/>
      <c r="O10809" s="1290"/>
      <c r="P10809" s="1332"/>
      <c r="Q10809" s="3402"/>
      <c r="R10809" s="2356"/>
    </row>
    <row r="10810" spans="1:18">
      <c r="A10810" s="551" t="s">
        <v>3764</v>
      </c>
      <c r="B10810" s="4325" t="s">
        <v>1497</v>
      </c>
      <c r="C10810" s="3885"/>
      <c r="D10810" s="4327"/>
      <c r="E10810" s="4329" t="s">
        <v>1504</v>
      </c>
      <c r="F10810" s="4372" t="s">
        <v>3771</v>
      </c>
      <c r="G10810" s="4331" t="s">
        <v>1568</v>
      </c>
      <c r="H10810" s="4331" t="s">
        <v>1574</v>
      </c>
      <c r="I10810" s="1572" t="s">
        <v>1559</v>
      </c>
      <c r="J10810" s="1294" t="s">
        <v>1560</v>
      </c>
      <c r="K10810" s="1294" t="s">
        <v>1569</v>
      </c>
      <c r="L10810" s="4333" t="s">
        <v>3765</v>
      </c>
      <c r="M10810" s="4323" t="s">
        <v>1571</v>
      </c>
      <c r="N10810" s="4323" t="s">
        <v>1776</v>
      </c>
      <c r="O10810" s="3884" t="s">
        <v>1563</v>
      </c>
      <c r="P10810" s="1336" t="s">
        <v>1562</v>
      </c>
      <c r="Q10810" s="3389"/>
      <c r="R10810" s="1699" t="s">
        <v>1327</v>
      </c>
    </row>
    <row r="10811" spans="1:18" s="22" customFormat="1">
      <c r="A10811" s="1599" t="s">
        <v>3761</v>
      </c>
      <c r="B10811" s="4326"/>
      <c r="C10811" s="3886"/>
      <c r="D10811" s="4328"/>
      <c r="E10811" s="4330"/>
      <c r="F10811" s="4363"/>
      <c r="G10811" s="4332"/>
      <c r="H10811" s="4332"/>
      <c r="I10811" s="1345">
        <v>1</v>
      </c>
      <c r="J10811" s="1307">
        <v>1</v>
      </c>
      <c r="K10811" s="1666">
        <f>I10811*J10811</f>
        <v>1</v>
      </c>
      <c r="L10811" s="4334"/>
      <c r="M10811" s="4324"/>
      <c r="N10811" s="4324"/>
      <c r="O10811" s="1298">
        <f>O10813+O10814+O10815+O10820+O10826+O10827+O10833</f>
        <v>259.56726569000006</v>
      </c>
      <c r="P10811" s="1337">
        <f>O10811*K10811</f>
        <v>259.56726569000006</v>
      </c>
      <c r="Q10811" s="3390"/>
      <c r="R10811" s="1721">
        <f>P10813+P10814+P10815+P10820+P10826+P10827+P10833</f>
        <v>259.56726569000006</v>
      </c>
    </row>
    <row r="10812" spans="1:18" s="22" customFormat="1">
      <c r="A10812" s="1599"/>
      <c r="B10812" s="1949"/>
      <c r="C10812" s="1327"/>
      <c r="D10812" s="1367"/>
      <c r="E10812" s="2121"/>
      <c r="F10812" s="1389" t="s">
        <v>1</v>
      </c>
      <c r="G10812" s="1389"/>
      <c r="H10812" s="1369"/>
      <c r="I10812" s="2088"/>
      <c r="J10812" s="1369"/>
      <c r="K10812" s="1391"/>
      <c r="L10812" s="1559"/>
      <c r="M10812" s="1369"/>
      <c r="N10812" s="1369"/>
      <c r="O10812" s="1369"/>
      <c r="P10812" s="1392"/>
      <c r="Q10812" s="3395"/>
      <c r="R10812" s="2344"/>
    </row>
    <row r="10813" spans="1:18">
      <c r="A10813" s="22"/>
      <c r="B10813" s="553"/>
      <c r="C10813" s="1042"/>
      <c r="D10813" s="1367" t="s">
        <v>1095</v>
      </c>
      <c r="E10813" s="2121" t="s">
        <v>1517</v>
      </c>
      <c r="F10813" s="1367" t="s">
        <v>1520</v>
      </c>
      <c r="G10813" s="1367">
        <v>0.17399999999999999</v>
      </c>
      <c r="H10813" s="1369"/>
      <c r="I10813" s="1299"/>
      <c r="J10813" s="1300"/>
      <c r="K10813" s="1307">
        <f>G10813*K10811</f>
        <v>0.17399999999999999</v>
      </c>
      <c r="L10813" s="1335">
        <f>K10813*$K$10671</f>
        <v>0</v>
      </c>
      <c r="M10813" s="1499">
        <v>56.63</v>
      </c>
      <c r="N10813" s="1724"/>
      <c r="O10813" s="1290">
        <f>G10813*M10813</f>
        <v>9.8536199999999994</v>
      </c>
      <c r="P10813" s="1332">
        <f>M10813*K10813</f>
        <v>9.8536199999999994</v>
      </c>
      <c r="Q10813" s="3391"/>
    </row>
    <row r="10814" spans="1:18">
      <c r="A10814" s="22"/>
      <c r="B10814" s="553"/>
      <c r="C10814" s="1042"/>
      <c r="D10814" s="1367" t="s">
        <v>1101</v>
      </c>
      <c r="E10814" s="2121" t="s">
        <v>1521</v>
      </c>
      <c r="F10814" s="1367" t="s">
        <v>1522</v>
      </c>
      <c r="G10814" s="1367">
        <v>0.14699999999999999</v>
      </c>
      <c r="H10814" s="1369"/>
      <c r="I10814" s="1299"/>
      <c r="J10814" s="1300"/>
      <c r="K10814" s="1307">
        <f>G10814*K10811</f>
        <v>0.14699999999999999</v>
      </c>
      <c r="L10814" s="1335">
        <f>K10814*$K$10671</f>
        <v>0</v>
      </c>
      <c r="M10814" s="1499">
        <v>73.92</v>
      </c>
      <c r="N10814" s="1724"/>
      <c r="O10814" s="1290">
        <f>G10814*M10814</f>
        <v>10.866239999999999</v>
      </c>
      <c r="P10814" s="1332">
        <f>M10814*K10814</f>
        <v>10.866239999999999</v>
      </c>
      <c r="Q10814" s="3391"/>
    </row>
    <row r="10815" spans="1:18">
      <c r="A10815" s="1042"/>
      <c r="B10815" s="1042"/>
      <c r="C10815" s="1356" t="s">
        <v>1100</v>
      </c>
      <c r="D10815" s="1311"/>
      <c r="E10815" s="2128" t="s">
        <v>1517</v>
      </c>
      <c r="F10815" s="2251" t="s">
        <v>1518</v>
      </c>
      <c r="G10815" s="1338"/>
      <c r="H10815" s="1344">
        <v>1.7999999999999999E-2</v>
      </c>
      <c r="I10815" s="1388"/>
      <c r="J10815" s="1366"/>
      <c r="K10815" s="1510"/>
      <c r="L10815" s="1445"/>
      <c r="M10815" s="1500"/>
      <c r="N10815" s="1447">
        <f>SUM(N10816:N10819)</f>
        <v>67.452539999999999</v>
      </c>
      <c r="O10815" s="1447">
        <f>SUM(O10816:O10819)</f>
        <v>1.2141457199999999</v>
      </c>
      <c r="P10815" s="1447">
        <f>SUM(P10816:P10819)</f>
        <v>1.2141457199999999</v>
      </c>
      <c r="Q10815" s="3391"/>
    </row>
    <row r="10816" spans="1:18" s="22" customFormat="1">
      <c r="A10816" s="1042"/>
      <c r="B10816" s="1042"/>
      <c r="C10816" s="1042"/>
      <c r="D10816" s="1396" t="s">
        <v>1069</v>
      </c>
      <c r="E10816" s="1856" t="s">
        <v>1517</v>
      </c>
      <c r="F10816" s="1397" t="s">
        <v>1578</v>
      </c>
      <c r="G10816" s="1398">
        <v>0.26800000000000002</v>
      </c>
      <c r="H10816" s="2206">
        <f>$H$173*G10816</f>
        <v>4.8240000000000002E-3</v>
      </c>
      <c r="I10816" s="27"/>
      <c r="J10816" s="10"/>
      <c r="K10816" s="1307">
        <f>H10816*K10811</f>
        <v>4.8240000000000002E-3</v>
      </c>
      <c r="L10816" s="1335">
        <f t="shared" ref="L10816:L10819" si="1413">K10816*$K$10671</f>
        <v>0</v>
      </c>
      <c r="M10816" s="1499">
        <v>0.55000000000000004</v>
      </c>
      <c r="N10816" s="1724">
        <f>G10816*M10816</f>
        <v>0.14740000000000003</v>
      </c>
      <c r="O10816" s="1719">
        <f>H10816*M10816</f>
        <v>2.6532000000000001E-3</v>
      </c>
      <c r="P10816" s="1720">
        <f>M10816*K10816</f>
        <v>2.6532000000000001E-3</v>
      </c>
      <c r="Q10816" s="3396"/>
      <c r="R10816" s="2339"/>
    </row>
    <row r="10817" spans="1:18" s="22" customFormat="1">
      <c r="A10817" s="1042"/>
      <c r="B10817" s="1042"/>
      <c r="C10817" s="1042"/>
      <c r="D10817" s="1400" t="s">
        <v>1394</v>
      </c>
      <c r="E10817" s="1856" t="s">
        <v>1577</v>
      </c>
      <c r="F10817" s="1397" t="s">
        <v>1579</v>
      </c>
      <c r="G10817" s="1398">
        <v>0.45300000000000001</v>
      </c>
      <c r="H10817" s="1399">
        <f>$H$173*G10817</f>
        <v>8.1539999999999998E-3</v>
      </c>
      <c r="I10817" s="198"/>
      <c r="J10817" s="198"/>
      <c r="K10817" s="1307">
        <f>H10817*K10811</f>
        <v>8.1539999999999998E-3</v>
      </c>
      <c r="L10817" s="1335">
        <f t="shared" si="1413"/>
        <v>0</v>
      </c>
      <c r="M10817" s="1499">
        <v>92.54</v>
      </c>
      <c r="N10817" s="1724">
        <f>G10817*M10817</f>
        <v>41.920620000000007</v>
      </c>
      <c r="O10817" s="1719">
        <f>H10817*M10817</f>
        <v>0.75457116000000002</v>
      </c>
      <c r="P10817" s="1720">
        <f>M10817*K10817</f>
        <v>0.75457116000000002</v>
      </c>
      <c r="Q10817" s="3396"/>
      <c r="R10817" s="2339"/>
    </row>
    <row r="10818" spans="1:18" s="22" customFormat="1">
      <c r="A10818" s="1042"/>
      <c r="B10818" s="1042"/>
      <c r="C10818" s="1042"/>
      <c r="D10818" s="1400" t="s">
        <v>1576</v>
      </c>
      <c r="E10818" s="1856" t="s">
        <v>1517</v>
      </c>
      <c r="F10818" s="1397" t="s">
        <v>1580</v>
      </c>
      <c r="G10818" s="1401">
        <v>1.004</v>
      </c>
      <c r="H10818" s="1399">
        <f>$H$173*G10818</f>
        <v>1.8071999999999998E-2</v>
      </c>
      <c r="I10818" s="198"/>
      <c r="J10818" s="198"/>
      <c r="K10818" s="1307">
        <f>H10818*K10811</f>
        <v>1.8071999999999998E-2</v>
      </c>
      <c r="L10818" s="1335">
        <f t="shared" si="1413"/>
        <v>0</v>
      </c>
      <c r="M10818" s="1499">
        <v>6.53</v>
      </c>
      <c r="N10818" s="1724">
        <f>G10818*M10818</f>
        <v>6.5561199999999999</v>
      </c>
      <c r="O10818" s="1719">
        <f>H10818*M10818</f>
        <v>0.11801015999999999</v>
      </c>
      <c r="P10818" s="1720">
        <f>M10818*K10818</f>
        <v>0.11801015999999999</v>
      </c>
      <c r="Q10818" s="3396"/>
      <c r="R10818" s="2339"/>
    </row>
    <row r="10819" spans="1:18" s="22" customFormat="1">
      <c r="A10819" s="1042"/>
      <c r="B10819" s="1042"/>
      <c r="C10819" s="1042"/>
      <c r="D10819" s="1393" t="s">
        <v>1067</v>
      </c>
      <c r="E10819" s="2129" t="s">
        <v>1508</v>
      </c>
      <c r="F10819" s="1394" t="s">
        <v>1512</v>
      </c>
      <c r="G10819" s="1395">
        <v>1.03</v>
      </c>
      <c r="H10819" s="1408">
        <f>$H$173*G10819</f>
        <v>1.8539999999999997E-2</v>
      </c>
      <c r="I10819" s="198"/>
      <c r="J10819" s="198"/>
      <c r="K10819" s="1307">
        <f>H10819*K10811</f>
        <v>1.8539999999999997E-2</v>
      </c>
      <c r="L10819" s="1335">
        <f t="shared" si="1413"/>
        <v>0</v>
      </c>
      <c r="M10819" s="1499">
        <v>18.28</v>
      </c>
      <c r="N10819" s="1724">
        <f>G10819*M10819</f>
        <v>18.828400000000002</v>
      </c>
      <c r="O10819" s="1719">
        <f>H10819*M10819</f>
        <v>0.33891119999999997</v>
      </c>
      <c r="P10819" s="1720">
        <f>M10819*K10819</f>
        <v>0.33891119999999997</v>
      </c>
      <c r="Q10819" s="3396"/>
      <c r="R10819" s="2339"/>
    </row>
    <row r="10820" spans="1:18" s="22" customFormat="1">
      <c r="A10820" s="1042"/>
      <c r="B10820" s="553"/>
      <c r="C10820" s="1419" t="s">
        <v>1127</v>
      </c>
      <c r="D10820" s="1311"/>
      <c r="E10820" s="2128" t="s">
        <v>1517</v>
      </c>
      <c r="F10820" s="2250" t="s">
        <v>1519</v>
      </c>
      <c r="G10820" s="1338"/>
      <c r="H10820" s="1344">
        <v>7.9000000000000001E-2</v>
      </c>
      <c r="I10820" s="1460"/>
      <c r="J10820" s="1387"/>
      <c r="K10820" s="1459"/>
      <c r="L10820" s="1457"/>
      <c r="M10820" s="1501"/>
      <c r="N10820" s="1447">
        <f>SUM(N10821:N10824)</f>
        <v>50.044430000000006</v>
      </c>
      <c r="O10820" s="1447">
        <f>SUM(O10821:O10824)</f>
        <v>3.9535099699999998</v>
      </c>
      <c r="P10820" s="1447">
        <f>SUM(P10821:P10824)</f>
        <v>3.9535099699999998</v>
      </c>
      <c r="Q10820" s="3391"/>
      <c r="R10820" s="2339"/>
    </row>
    <row r="10821" spans="1:18" s="22" customFormat="1">
      <c r="A10821" s="1042"/>
      <c r="B10821" s="553"/>
      <c r="C10821" s="18"/>
      <c r="D10821" s="1396" t="s">
        <v>1069</v>
      </c>
      <c r="E10821" s="2130" t="s">
        <v>1517</v>
      </c>
      <c r="F10821" s="1414" t="s">
        <v>1578</v>
      </c>
      <c r="G10821" s="1415">
        <v>0.26300000000000001</v>
      </c>
      <c r="H10821" s="1399">
        <f>$H$178*G10821</f>
        <v>2.0777E-2</v>
      </c>
      <c r="I10821" s="197"/>
      <c r="J10821" s="198"/>
      <c r="K10821" s="1307">
        <f>H10821*K10811</f>
        <v>2.0777E-2</v>
      </c>
      <c r="L10821" s="1335">
        <f t="shared" ref="L10821:L10824" si="1414">K10821*$K$10671</f>
        <v>0</v>
      </c>
      <c r="M10821" s="1499">
        <v>0.55000000000000004</v>
      </c>
      <c r="N10821" s="1724">
        <f>G10821*M10821</f>
        <v>0.14465000000000003</v>
      </c>
      <c r="O10821" s="1290">
        <f>H10821*M10821</f>
        <v>1.1427350000000001E-2</v>
      </c>
      <c r="P10821" s="1332">
        <f>M10821*K10821</f>
        <v>1.1427350000000001E-2</v>
      </c>
      <c r="Q10821" s="3391"/>
      <c r="R10821" s="2339"/>
    </row>
    <row r="10822" spans="1:18" s="22" customFormat="1">
      <c r="A10822" s="1042"/>
      <c r="B10822" s="553"/>
      <c r="C10822" s="1042"/>
      <c r="D10822" s="1400" t="s">
        <v>1394</v>
      </c>
      <c r="E10822" s="1856" t="s">
        <v>1577</v>
      </c>
      <c r="F10822" s="1397" t="s">
        <v>1579</v>
      </c>
      <c r="G10822" s="1416">
        <v>0.25800000000000001</v>
      </c>
      <c r="H10822" s="1399">
        <f>$H$178*G10822</f>
        <v>2.0382000000000001E-2</v>
      </c>
      <c r="I10822" s="197"/>
      <c r="J10822" s="198"/>
      <c r="K10822" s="1307">
        <f>H10822*K10811</f>
        <v>2.0382000000000001E-2</v>
      </c>
      <c r="L10822" s="1335">
        <f t="shared" si="1414"/>
        <v>0</v>
      </c>
      <c r="M10822" s="1499">
        <v>92.54</v>
      </c>
      <c r="N10822" s="1724">
        <f>G10822*M10822</f>
        <v>23.875320000000002</v>
      </c>
      <c r="O10822" s="1290">
        <f>H10822*M10822</f>
        <v>1.8861502800000003</v>
      </c>
      <c r="P10822" s="1332">
        <f>M10822*K10822</f>
        <v>1.8861502800000003</v>
      </c>
      <c r="Q10822" s="3391"/>
      <c r="R10822" s="2339"/>
    </row>
    <row r="10823" spans="1:18" s="22" customFormat="1">
      <c r="A10823" s="1042"/>
      <c r="B10823" s="553"/>
      <c r="C10823" s="1042"/>
      <c r="D10823" s="1400" t="s">
        <v>1576</v>
      </c>
      <c r="E10823" s="1856" t="s">
        <v>1517</v>
      </c>
      <c r="F10823" s="1397" t="s">
        <v>1580</v>
      </c>
      <c r="G10823" s="1416">
        <v>1.1020000000000001</v>
      </c>
      <c r="H10823" s="1399">
        <f>$H$178*G10823</f>
        <v>8.705800000000001E-2</v>
      </c>
      <c r="I10823" s="1289"/>
      <c r="J10823" s="198"/>
      <c r="K10823" s="1307">
        <f>H10823*K10811</f>
        <v>8.705800000000001E-2</v>
      </c>
      <c r="L10823" s="1335">
        <f t="shared" si="1414"/>
        <v>0</v>
      </c>
      <c r="M10823" s="1499">
        <v>6.53</v>
      </c>
      <c r="N10823" s="1724">
        <f>G10823*M10823</f>
        <v>7.196060000000001</v>
      </c>
      <c r="O10823" s="1290">
        <f>H10823*M10823</f>
        <v>0.56848874000000005</v>
      </c>
      <c r="P10823" s="1332">
        <f>M10823*K10823</f>
        <v>0.56848874000000005</v>
      </c>
      <c r="Q10823" s="3391"/>
      <c r="R10823" s="2339"/>
    </row>
    <row r="10824" spans="1:18" s="22" customFormat="1">
      <c r="A10824" s="1042"/>
      <c r="B10824" s="553"/>
      <c r="C10824" s="1042"/>
      <c r="D10824" s="1404" t="s">
        <v>1067</v>
      </c>
      <c r="E10824" s="1857" t="s">
        <v>1508</v>
      </c>
      <c r="F10824" s="1406" t="s">
        <v>1512</v>
      </c>
      <c r="G10824" s="1407">
        <v>1.03</v>
      </c>
      <c r="H10824" s="1408">
        <f>$H$178*G10824</f>
        <v>8.1369999999999998E-2</v>
      </c>
      <c r="I10824" s="1289"/>
      <c r="J10824" s="198"/>
      <c r="K10824" s="1307">
        <f>H10824*K10811</f>
        <v>8.1369999999999998E-2</v>
      </c>
      <c r="L10824" s="1335">
        <f t="shared" si="1414"/>
        <v>0</v>
      </c>
      <c r="M10824" s="1499">
        <v>18.28</v>
      </c>
      <c r="N10824" s="1724">
        <f>G10824*M10824</f>
        <v>18.828400000000002</v>
      </c>
      <c r="O10824" s="1290">
        <f>H10824*M10824</f>
        <v>1.4874436</v>
      </c>
      <c r="P10824" s="1332">
        <f>M10824*K10824</f>
        <v>1.4874436</v>
      </c>
      <c r="Q10824" s="3391"/>
      <c r="R10824" s="2339"/>
    </row>
    <row r="10825" spans="1:18" s="22" customFormat="1" ht="26">
      <c r="A10825" s="2187"/>
      <c r="B10825" s="1599"/>
      <c r="C10825" s="1042"/>
      <c r="D10825" s="1359"/>
      <c r="E10825" s="1858"/>
      <c r="F10825" s="1360" t="s">
        <v>2</v>
      </c>
      <c r="G10825" s="1360"/>
      <c r="H10825" s="1362"/>
      <c r="I10825" s="1380"/>
      <c r="J10825" s="1381"/>
      <c r="K10825" s="1381"/>
      <c r="L10825" s="1458"/>
      <c r="M10825" s="1362"/>
      <c r="N10825" s="1362"/>
      <c r="O10825" s="1362"/>
      <c r="P10825" s="1359"/>
      <c r="Q10825" s="3403"/>
      <c r="R10825" s="2357"/>
    </row>
    <row r="10826" spans="1:18" s="22" customFormat="1">
      <c r="A10826" s="16"/>
      <c r="B10826" s="1042"/>
      <c r="C10826" s="1042"/>
      <c r="D10826" s="1402" t="s">
        <v>1067</v>
      </c>
      <c r="E10826" s="1857" t="s">
        <v>1508</v>
      </c>
      <c r="F10826" s="1430" t="s">
        <v>1512</v>
      </c>
      <c r="G10826" s="1362">
        <v>3.9649999999999999</v>
      </c>
      <c r="H10826" s="1408"/>
      <c r="I10826" s="1340"/>
      <c r="J10826" s="198"/>
      <c r="K10826" s="1307">
        <f>G10826*K10811</f>
        <v>3.9649999999999999</v>
      </c>
      <c r="L10826" s="1335">
        <f>K10826*$K$10671</f>
        <v>0</v>
      </c>
      <c r="M10826" s="1302">
        <v>18.28</v>
      </c>
      <c r="N10826" s="1724"/>
      <c r="O10826" s="1290">
        <f>G10826*M10826</f>
        <v>72.480199999999996</v>
      </c>
      <c r="P10826" s="1332">
        <f>M10826*K10826</f>
        <v>72.480199999999996</v>
      </c>
      <c r="Q10826" s="3391"/>
      <c r="R10826" s="2338"/>
    </row>
    <row r="10827" spans="1:18" s="22" customFormat="1">
      <c r="A10827" s="553"/>
      <c r="B10827" s="1042"/>
      <c r="C10827" s="3953" t="s">
        <v>1523</v>
      </c>
      <c r="D10827" s="3950"/>
      <c r="E10827" s="2128" t="s">
        <v>1508</v>
      </c>
      <c r="F10827" s="2248" t="s">
        <v>1524</v>
      </c>
      <c r="G10827" s="1338"/>
      <c r="H10827" s="1344">
        <v>3.7050000000000001</v>
      </c>
      <c r="I10827" s="1388"/>
      <c r="J10827" s="1366"/>
      <c r="K10827" s="1448"/>
      <c r="L10827" s="1457"/>
      <c r="M10827" s="1503"/>
      <c r="N10827" s="1447">
        <f>SUM(N10828:N10829)</f>
        <v>37.510000000000005</v>
      </c>
      <c r="O10827" s="1447">
        <f>SUM(O10828:O10829)</f>
        <v>138.97455000000002</v>
      </c>
      <c r="P10827" s="1447">
        <f>SUM(P10828:P10829)</f>
        <v>138.97455000000002</v>
      </c>
      <c r="Q10827" s="3391"/>
      <c r="R10827" s="2339"/>
    </row>
    <row r="10828" spans="1:18" s="22" customFormat="1">
      <c r="A10828" s="553"/>
      <c r="B10828" s="1042"/>
      <c r="C10828" s="3954"/>
      <c r="D10828" s="3951" t="s">
        <v>1067</v>
      </c>
      <c r="E10828" s="1857" t="s">
        <v>1508</v>
      </c>
      <c r="F10828" s="1403" t="s">
        <v>5</v>
      </c>
      <c r="G10828" s="1362">
        <v>1</v>
      </c>
      <c r="H10828" s="1359">
        <f>H10827*G10828</f>
        <v>3.7050000000000001</v>
      </c>
      <c r="I10828" s="198"/>
      <c r="J10828" s="6"/>
      <c r="K10828" s="1307">
        <f>H10828*K10811</f>
        <v>3.7050000000000001</v>
      </c>
      <c r="L10828" s="1335">
        <f t="shared" ref="L10828:L10829" si="1415">K10828*$K$10671</f>
        <v>0</v>
      </c>
      <c r="M10828" s="1499">
        <v>18.28</v>
      </c>
      <c r="N10828" s="1724">
        <f>G10828*M10828</f>
        <v>18.28</v>
      </c>
      <c r="O10828" s="1290">
        <f>H10828*M10828</f>
        <v>67.727400000000003</v>
      </c>
      <c r="P10828" s="1332">
        <f>M10828*K10828</f>
        <v>67.727400000000003</v>
      </c>
      <c r="Q10828" s="3391"/>
      <c r="R10828" s="2339"/>
    </row>
    <row r="10829" spans="1:18" s="22" customFormat="1">
      <c r="A10829" s="553"/>
      <c r="B10829" s="1042"/>
      <c r="C10829" s="1042"/>
      <c r="D10829" s="3951" t="s">
        <v>1077</v>
      </c>
      <c r="E10829" s="1857" t="s">
        <v>1508</v>
      </c>
      <c r="F10829" s="1403" t="s">
        <v>37</v>
      </c>
      <c r="G10829" s="1362">
        <v>1</v>
      </c>
      <c r="H10829" s="1359">
        <f>H10827*G10829</f>
        <v>3.7050000000000001</v>
      </c>
      <c r="I10829" s="198"/>
      <c r="J10829" s="6"/>
      <c r="K10829" s="1307">
        <f>H10829*K10811</f>
        <v>3.7050000000000001</v>
      </c>
      <c r="L10829" s="1335">
        <f t="shared" si="1415"/>
        <v>0</v>
      </c>
      <c r="M10829" s="1499">
        <v>19.23</v>
      </c>
      <c r="N10829" s="1724">
        <f>G10829*M10829</f>
        <v>19.23</v>
      </c>
      <c r="O10829" s="1290">
        <f>H10829*M10829</f>
        <v>71.247150000000005</v>
      </c>
      <c r="P10829" s="1332">
        <f>M10829*K10829</f>
        <v>71.247150000000005</v>
      </c>
      <c r="Q10829" s="3391"/>
      <c r="R10829" s="2339"/>
    </row>
    <row r="10830" spans="1:18" s="22" customFormat="1">
      <c r="A10830" s="16"/>
      <c r="B10830" s="1042"/>
      <c r="C10830" s="1042"/>
      <c r="D10830" s="1402"/>
      <c r="E10830" s="1857"/>
      <c r="F10830" s="1430"/>
      <c r="G10830" s="1362"/>
      <c r="H10830" s="1408"/>
      <c r="I10830" s="1340"/>
      <c r="J10830" s="198"/>
      <c r="K10830" s="1307"/>
      <c r="L10830" s="1335"/>
      <c r="M10830" s="1302"/>
      <c r="N10830" s="1724"/>
      <c r="O10830" s="1290"/>
      <c r="P10830" s="1332"/>
      <c r="Q10830" s="3391"/>
      <c r="R10830" s="2338"/>
    </row>
    <row r="10831" spans="1:18" s="22" customFormat="1">
      <c r="B10831" s="1320"/>
      <c r="C10831" s="16"/>
      <c r="D10831" s="1359"/>
      <c r="E10831" s="1858"/>
      <c r="F10831" s="1474"/>
      <c r="G10831" s="2198"/>
      <c r="H10831" s="1466"/>
      <c r="I10831" s="1289"/>
      <c r="J10831" s="8"/>
      <c r="K10831" s="1307"/>
      <c r="L10831" s="1335"/>
      <c r="M10831" s="1302"/>
      <c r="N10831" s="1700"/>
      <c r="O10831" s="1290"/>
      <c r="P10831" s="1332"/>
      <c r="Q10831" s="3391"/>
      <c r="R10831" s="2344"/>
    </row>
    <row r="10832" spans="1:18" s="22" customFormat="1">
      <c r="A10832" s="1320"/>
      <c r="B10832" s="1599"/>
      <c r="C10832" s="1320"/>
      <c r="D10832" s="1373"/>
      <c r="E10832" s="2123"/>
      <c r="F10832" s="1374" t="s">
        <v>3</v>
      </c>
      <c r="G10832" s="2199"/>
      <c r="H10832" s="1376"/>
      <c r="I10832" s="1382"/>
      <c r="J10832" s="1383"/>
      <c r="K10832" s="1383"/>
      <c r="L10832" s="1413"/>
      <c r="M10832" s="1376"/>
      <c r="N10832" s="1376"/>
      <c r="O10832" s="1376"/>
      <c r="P10832" s="1373"/>
      <c r="Q10832" s="3403"/>
      <c r="R10832" s="2356"/>
    </row>
    <row r="10833" spans="1:18" s="22" customFormat="1">
      <c r="A10833" s="1321"/>
      <c r="B10833" s="2053"/>
      <c r="C10833" s="1321"/>
      <c r="D10833" s="2202" t="s">
        <v>1080</v>
      </c>
      <c r="E10833" s="2304" t="s">
        <v>1508</v>
      </c>
      <c r="F10833" s="2202" t="s">
        <v>1511</v>
      </c>
      <c r="G10833" s="2203">
        <v>3.5</v>
      </c>
      <c r="H10833" s="1379"/>
      <c r="I10833" s="1299"/>
      <c r="J10833" s="1300"/>
      <c r="K10833" s="1307">
        <f>G10833*K10811</f>
        <v>3.5</v>
      </c>
      <c r="L10833" s="1335"/>
      <c r="M10833" s="1302">
        <v>6.35</v>
      </c>
      <c r="N10833" s="1700"/>
      <c r="O10833" s="1290">
        <f>G10833*M10833</f>
        <v>22.224999999999998</v>
      </c>
      <c r="P10833" s="1332">
        <f>M10833*K10833</f>
        <v>22.224999999999998</v>
      </c>
      <c r="Q10833" s="3402"/>
      <c r="R10833" s="2053"/>
    </row>
    <row r="10834" spans="1:18" s="22" customFormat="1">
      <c r="A10834" s="1321"/>
      <c r="B10834" s="2053"/>
      <c r="C10834" s="1321"/>
      <c r="D10834" s="1377"/>
      <c r="E10834" s="2124"/>
      <c r="F10834" s="1378"/>
      <c r="G10834" s="2200"/>
      <c r="H10834" s="1379"/>
      <c r="I10834" s="1299"/>
      <c r="J10834" s="1300"/>
      <c r="K10834" s="1307"/>
      <c r="L10834" s="1335"/>
      <c r="M10834" s="1302"/>
      <c r="N10834" s="1700"/>
      <c r="O10834" s="1290"/>
      <c r="P10834" s="1332"/>
      <c r="Q10834" s="3402"/>
      <c r="R10834" s="2053"/>
    </row>
    <row r="10835" spans="1:18" s="22" customFormat="1">
      <c r="A10835" s="1320"/>
      <c r="B10835" s="1765"/>
      <c r="C10835" s="223"/>
      <c r="D10835" s="1373"/>
      <c r="E10835" s="2161"/>
      <c r="F10835" s="1678"/>
      <c r="G10835" s="2201"/>
      <c r="H10835" s="1376"/>
      <c r="I10835" s="1299"/>
      <c r="J10835" s="1300"/>
      <c r="K10835" s="1307"/>
      <c r="L10835" s="1335"/>
      <c r="M10835" s="1302"/>
      <c r="N10835" s="1700"/>
      <c r="O10835" s="1290"/>
      <c r="P10835" s="1332"/>
      <c r="Q10835" s="3402"/>
      <c r="R10835" s="2356"/>
    </row>
    <row r="10836" spans="1:18" s="22" customFormat="1">
      <c r="A10836" s="551" t="s">
        <v>3764</v>
      </c>
      <c r="B10836" s="4325" t="s">
        <v>2641</v>
      </c>
      <c r="C10836" s="3350"/>
      <c r="D10836" s="4327"/>
      <c r="E10836" s="4329" t="s">
        <v>1357</v>
      </c>
      <c r="F10836" s="4372" t="s">
        <v>2642</v>
      </c>
      <c r="G10836" s="4331" t="s">
        <v>1568</v>
      </c>
      <c r="H10836" s="4331" t="s">
        <v>1574</v>
      </c>
      <c r="I10836" s="1572" t="s">
        <v>1559</v>
      </c>
      <c r="J10836" s="1294" t="s">
        <v>1560</v>
      </c>
      <c r="K10836" s="1294" t="s">
        <v>1569</v>
      </c>
      <c r="L10836" s="4333" t="s">
        <v>3765</v>
      </c>
      <c r="M10836" s="4323" t="s">
        <v>1571</v>
      </c>
      <c r="N10836" s="4323" t="s">
        <v>1776</v>
      </c>
      <c r="O10836" s="3347" t="s">
        <v>1563</v>
      </c>
      <c r="P10836" s="1336" t="s">
        <v>1562</v>
      </c>
      <c r="Q10836" s="3389"/>
      <c r="R10836" s="1699" t="s">
        <v>1327</v>
      </c>
    </row>
    <row r="10837" spans="1:18" s="22" customFormat="1">
      <c r="A10837" s="1599" t="s">
        <v>3761</v>
      </c>
      <c r="B10837" s="4326"/>
      <c r="C10837" s="3351"/>
      <c r="D10837" s="4328"/>
      <c r="E10837" s="4330"/>
      <c r="F10837" s="4363"/>
      <c r="G10837" s="4332"/>
      <c r="H10837" s="4332"/>
      <c r="I10837" s="1345">
        <v>2.69</v>
      </c>
      <c r="J10837" s="1307">
        <v>1</v>
      </c>
      <c r="K10837" s="1666">
        <f>I10837*J10837</f>
        <v>2.69</v>
      </c>
      <c r="L10837" s="4334"/>
      <c r="M10837" s="4324"/>
      <c r="N10837" s="4324"/>
      <c r="O10837" s="1298">
        <f>SUM(O10839:O10851)</f>
        <v>2.74499</v>
      </c>
      <c r="P10837" s="1337">
        <f>O10837*K10837</f>
        <v>7.3840231000000003</v>
      </c>
      <c r="Q10837" s="3390"/>
      <c r="R10837" s="1721">
        <f>SUM(P10839:P10847)</f>
        <v>7.3840231000000003</v>
      </c>
    </row>
    <row r="10838" spans="1:18" s="22" customFormat="1">
      <c r="A10838" s="1599"/>
      <c r="B10838" s="1949"/>
      <c r="C10838" s="1327"/>
      <c r="D10838" s="1367"/>
      <c r="E10838" s="2121"/>
      <c r="F10838" s="1389" t="s">
        <v>1</v>
      </c>
      <c r="G10838" s="1389"/>
      <c r="H10838" s="1369"/>
      <c r="I10838" s="2088"/>
      <c r="J10838" s="1369"/>
      <c r="K10838" s="1391"/>
      <c r="L10838" s="1559"/>
      <c r="M10838" s="1369"/>
      <c r="N10838" s="1369"/>
      <c r="O10838" s="1369"/>
      <c r="P10838" s="1392"/>
      <c r="Q10838" s="3395"/>
      <c r="R10838" s="2344"/>
    </row>
    <row r="10839" spans="1:18" s="22" customFormat="1">
      <c r="B10839" s="553"/>
      <c r="C10839" s="1042"/>
      <c r="D10839" s="1367" t="s">
        <v>2643</v>
      </c>
      <c r="E10839" s="2121" t="s">
        <v>1357</v>
      </c>
      <c r="F10839" s="1367" t="s">
        <v>2644</v>
      </c>
      <c r="G10839" s="1367">
        <v>0.69199999999999995</v>
      </c>
      <c r="H10839" s="1369"/>
      <c r="I10839" s="1299"/>
      <c r="J10839" s="1300"/>
      <c r="K10839" s="1307">
        <f>G10839*K10837</f>
        <v>1.8614799999999998</v>
      </c>
      <c r="L10839" s="1335">
        <f t="shared" ref="L10839:L10841" si="1416">K10839*$K$10671</f>
        <v>0</v>
      </c>
      <c r="M10839" s="1499">
        <v>1.03</v>
      </c>
      <c r="N10839" s="1724"/>
      <c r="O10839" s="1290">
        <f>G10839*M10839</f>
        <v>0.71275999999999995</v>
      </c>
      <c r="P10839" s="1332">
        <f>M10839*K10839</f>
        <v>1.9173243999999998</v>
      </c>
      <c r="Q10839" s="3391"/>
      <c r="R10839" s="2339"/>
    </row>
    <row r="10840" spans="1:18" s="22" customFormat="1">
      <c r="B10840" s="553"/>
      <c r="C10840" s="1042"/>
      <c r="D10840" s="1367" t="s">
        <v>1075</v>
      </c>
      <c r="E10840" s="2121" t="s">
        <v>1357</v>
      </c>
      <c r="F10840" s="1367" t="s">
        <v>1532</v>
      </c>
      <c r="G10840" s="1367">
        <v>0.38800000000000001</v>
      </c>
      <c r="H10840" s="1369"/>
      <c r="I10840" s="1299"/>
      <c r="J10840" s="1300"/>
      <c r="K10840" s="1307">
        <f>G10840*K10837</f>
        <v>1.04372</v>
      </c>
      <c r="L10840" s="1335">
        <f t="shared" si="1416"/>
        <v>0</v>
      </c>
      <c r="M10840" s="1499">
        <v>0.81</v>
      </c>
      <c r="N10840" s="1724"/>
      <c r="O10840" s="1290">
        <f>G10840*M10840</f>
        <v>0.31428</v>
      </c>
      <c r="P10840" s="1332">
        <f>M10840*K10840</f>
        <v>0.84541320000000009</v>
      </c>
      <c r="Q10840" s="3391"/>
      <c r="R10840" s="2339"/>
    </row>
    <row r="10841" spans="1:18" s="22" customFormat="1">
      <c r="B10841" s="553"/>
      <c r="C10841" s="1042"/>
      <c r="D10841" s="1367" t="s">
        <v>1082</v>
      </c>
      <c r="E10841" s="2121" t="s">
        <v>1504</v>
      </c>
      <c r="F10841" s="1367" t="s">
        <v>1541</v>
      </c>
      <c r="G10841" s="1554">
        <v>0.1</v>
      </c>
      <c r="H10841" s="1369"/>
      <c r="I10841" s="1299"/>
      <c r="J10841" s="1300"/>
      <c r="K10841" s="1307">
        <f>G10841*K10837</f>
        <v>0.26900000000000002</v>
      </c>
      <c r="L10841" s="1335">
        <f t="shared" si="1416"/>
        <v>0</v>
      </c>
      <c r="M10841" s="1499">
        <v>0.3</v>
      </c>
      <c r="N10841" s="1724"/>
      <c r="O10841" s="1290">
        <f>G10841*M10841</f>
        <v>0.03</v>
      </c>
      <c r="P10841" s="1332">
        <f>M10841*K10841</f>
        <v>8.0700000000000008E-2</v>
      </c>
      <c r="Q10841" s="3391"/>
      <c r="R10841" s="2339"/>
    </row>
    <row r="10842" spans="1:18" s="22" customFormat="1">
      <c r="B10842" s="553"/>
      <c r="C10842" s="1042"/>
      <c r="D10842" s="1367"/>
      <c r="E10842" s="2121"/>
      <c r="F10842" s="1367"/>
      <c r="G10842" s="1367"/>
      <c r="H10842" s="1369"/>
      <c r="I10842" s="1299"/>
      <c r="J10842" s="1300"/>
      <c r="K10842" s="1307"/>
      <c r="L10842" s="1335"/>
      <c r="M10842" s="1499"/>
      <c r="N10842" s="1724"/>
      <c r="O10842" s="1290"/>
      <c r="P10842" s="1332"/>
      <c r="Q10842" s="3391"/>
      <c r="R10842" s="2339"/>
    </row>
    <row r="10843" spans="1:18" s="22" customFormat="1">
      <c r="A10843" s="16"/>
      <c r="B10843" s="1599"/>
      <c r="C10843" s="1320"/>
      <c r="D10843" s="2205"/>
      <c r="E10843" s="2130"/>
      <c r="F10843" s="2205"/>
      <c r="G10843" s="2206"/>
      <c r="H10843" s="1399"/>
      <c r="I10843" s="198"/>
      <c r="J10843" s="198"/>
      <c r="K10843" s="1307"/>
      <c r="L10843" s="1335"/>
      <c r="M10843" s="1499"/>
      <c r="N10843" s="1701"/>
      <c r="O10843" s="1291"/>
      <c r="P10843" s="1332"/>
      <c r="Q10843" s="3391"/>
      <c r="R10843" s="3363"/>
    </row>
    <row r="10844" spans="1:18" s="22" customFormat="1" ht="26">
      <c r="A10844" s="2187"/>
      <c r="B10844" s="1599"/>
      <c r="C10844" s="1042"/>
      <c r="D10844" s="1359"/>
      <c r="E10844" s="1858"/>
      <c r="F10844" s="1360" t="s">
        <v>2</v>
      </c>
      <c r="G10844" s="1360"/>
      <c r="H10844" s="1362"/>
      <c r="I10844" s="1380"/>
      <c r="J10844" s="1381"/>
      <c r="K10844" s="1381"/>
      <c r="L10844" s="1458"/>
      <c r="M10844" s="1362"/>
      <c r="N10844" s="1362"/>
      <c r="O10844" s="1362"/>
      <c r="P10844" s="1359"/>
      <c r="Q10844" s="3403"/>
      <c r="R10844" s="2357"/>
    </row>
    <row r="10845" spans="1:18" s="22" customFormat="1">
      <c r="A10845" s="16"/>
      <c r="B10845" s="1042"/>
      <c r="C10845" s="1042"/>
      <c r="D10845" s="1402" t="s">
        <v>1067</v>
      </c>
      <c r="E10845" s="1857" t="s">
        <v>1508</v>
      </c>
      <c r="F10845" s="1430" t="s">
        <v>1512</v>
      </c>
      <c r="G10845" s="1362">
        <v>4.4999999999999998E-2</v>
      </c>
      <c r="H10845" s="1408"/>
      <c r="I10845" s="1340"/>
      <c r="J10845" s="198"/>
      <c r="K10845" s="1307">
        <f>G10845*K10837</f>
        <v>0.12104999999999999</v>
      </c>
      <c r="L10845" s="1335">
        <f>K10845*$K$10671</f>
        <v>0</v>
      </c>
      <c r="M10845" s="1302">
        <v>18.28</v>
      </c>
      <c r="N10845" s="1724"/>
      <c r="O10845" s="1290">
        <f>G10845*M10845</f>
        <v>0.8226</v>
      </c>
      <c r="P10845" s="1332">
        <f>M10845*K10845</f>
        <v>2.2127940000000001</v>
      </c>
      <c r="Q10845" s="3391"/>
      <c r="R10845" s="2338"/>
    </row>
    <row r="10846" spans="1:18" s="22" customFormat="1">
      <c r="A10846" s="16"/>
      <c r="B10846" s="1042"/>
      <c r="C10846" s="1042"/>
      <c r="D10846" s="1402" t="s">
        <v>1077</v>
      </c>
      <c r="E10846" s="1857" t="s">
        <v>1508</v>
      </c>
      <c r="F10846" s="1430" t="s">
        <v>1539</v>
      </c>
      <c r="G10846" s="1362">
        <v>4.4999999999999998E-2</v>
      </c>
      <c r="H10846" s="1408"/>
      <c r="I10846" s="1340"/>
      <c r="J10846" s="198"/>
      <c r="K10846" s="1307">
        <f>G10846*K10837</f>
        <v>0.12104999999999999</v>
      </c>
      <c r="L10846" s="1335">
        <f>K10846*$K$10671</f>
        <v>0</v>
      </c>
      <c r="M10846" s="1302">
        <v>19.23</v>
      </c>
      <c r="N10846" s="1724"/>
      <c r="O10846" s="1290">
        <f>G10846*M10846</f>
        <v>0.86534999999999995</v>
      </c>
      <c r="P10846" s="1332">
        <f>M10846*K10846</f>
        <v>2.3277915</v>
      </c>
      <c r="Q10846" s="3391"/>
      <c r="R10846" s="2338"/>
    </row>
    <row r="10847" spans="1:18" s="22" customFormat="1">
      <c r="B10847" s="1320"/>
      <c r="C10847" s="16"/>
      <c r="D10847" s="1359"/>
      <c r="E10847" s="1858"/>
      <c r="F10847" s="1474"/>
      <c r="G10847" s="2198"/>
      <c r="H10847" s="1466"/>
      <c r="I10847" s="1289"/>
      <c r="J10847" s="8"/>
      <c r="K10847" s="1307"/>
      <c r="L10847" s="1335"/>
      <c r="M10847" s="1302"/>
      <c r="N10847" s="1700"/>
      <c r="O10847" s="1290"/>
      <c r="P10847" s="1332"/>
      <c r="Q10847" s="3391"/>
      <c r="R10847" s="2344"/>
    </row>
    <row r="10848" spans="1:18" s="22" customFormat="1">
      <c r="A10848" s="1320"/>
      <c r="B10848" s="1599"/>
      <c r="C10848" s="1320"/>
      <c r="D10848" s="1373"/>
      <c r="E10848" s="2123"/>
      <c r="F10848" s="1374" t="s">
        <v>3</v>
      </c>
      <c r="G10848" s="2199"/>
      <c r="H10848" s="1376"/>
      <c r="I10848" s="1382"/>
      <c r="J10848" s="1383"/>
      <c r="K10848" s="1383"/>
      <c r="L10848" s="1413"/>
      <c r="M10848" s="1376"/>
      <c r="N10848" s="1376"/>
      <c r="O10848" s="1376"/>
      <c r="P10848" s="1373"/>
      <c r="Q10848" s="3403"/>
      <c r="R10848" s="2356"/>
    </row>
    <row r="10849" spans="1:18" s="22" customFormat="1">
      <c r="A10849" s="1321"/>
      <c r="B10849" s="2053"/>
      <c r="C10849" s="1321"/>
      <c r="D10849" s="2202"/>
      <c r="E10849" s="2304"/>
      <c r="F10849" s="2202"/>
      <c r="G10849" s="2203"/>
      <c r="H10849" s="1379"/>
      <c r="I10849" s="1299"/>
      <c r="J10849" s="1300"/>
      <c r="K10849" s="1307"/>
      <c r="L10849" s="1335"/>
      <c r="M10849" s="1302"/>
      <c r="N10849" s="1700"/>
      <c r="O10849" s="1290"/>
      <c r="P10849" s="1332"/>
      <c r="Q10849" s="3402"/>
      <c r="R10849" s="2053"/>
    </row>
    <row r="10850" spans="1:18" s="22" customFormat="1">
      <c r="A10850" s="1321"/>
      <c r="B10850" s="2053"/>
      <c r="C10850" s="1321"/>
      <c r="D10850" s="1377"/>
      <c r="E10850" s="2124"/>
      <c r="F10850" s="1378"/>
      <c r="G10850" s="2200"/>
      <c r="H10850" s="1379"/>
      <c r="I10850" s="1299"/>
      <c r="J10850" s="1300"/>
      <c r="K10850" s="1307"/>
      <c r="L10850" s="1335"/>
      <c r="M10850" s="1302"/>
      <c r="N10850" s="1700"/>
      <c r="O10850" s="1290"/>
      <c r="P10850" s="1332"/>
      <c r="Q10850" s="3402"/>
      <c r="R10850" s="2053"/>
    </row>
    <row r="10851" spans="1:18" s="22" customFormat="1">
      <c r="A10851" s="1320"/>
      <c r="B10851" s="1765"/>
      <c r="C10851" s="223"/>
      <c r="D10851" s="1373"/>
      <c r="E10851" s="2161"/>
      <c r="F10851" s="1678"/>
      <c r="G10851" s="2201"/>
      <c r="H10851" s="1376"/>
      <c r="I10851" s="1299"/>
      <c r="J10851" s="1300"/>
      <c r="K10851" s="1307"/>
      <c r="L10851" s="1335"/>
      <c r="M10851" s="1302"/>
      <c r="N10851" s="1700"/>
      <c r="O10851" s="1290"/>
      <c r="P10851" s="1332"/>
      <c r="Q10851" s="3402"/>
      <c r="R10851" s="2356"/>
    </row>
    <row r="10852" spans="1:18" s="22" customFormat="1">
      <c r="A10852" s="551" t="s">
        <v>3764</v>
      </c>
      <c r="B10852" s="4325" t="s">
        <v>2696</v>
      </c>
      <c r="C10852" s="3350"/>
      <c r="D10852" s="4327"/>
      <c r="E10852" s="4329" t="s">
        <v>1357</v>
      </c>
      <c r="F10852" s="4372" t="s">
        <v>2695</v>
      </c>
      <c r="G10852" s="4331" t="s">
        <v>1568</v>
      </c>
      <c r="H10852" s="4331" t="s">
        <v>1574</v>
      </c>
      <c r="I10852" s="1572" t="s">
        <v>1559</v>
      </c>
      <c r="J10852" s="1294" t="s">
        <v>1560</v>
      </c>
      <c r="K10852" s="1294" t="s">
        <v>1569</v>
      </c>
      <c r="L10852" s="4333" t="s">
        <v>3765</v>
      </c>
      <c r="M10852" s="4323" t="s">
        <v>1571</v>
      </c>
      <c r="N10852" s="4323" t="s">
        <v>1776</v>
      </c>
      <c r="O10852" s="3347" t="s">
        <v>1563</v>
      </c>
      <c r="P10852" s="1336" t="s">
        <v>1562</v>
      </c>
      <c r="Q10852" s="3389"/>
      <c r="R10852" s="1699" t="s">
        <v>1327</v>
      </c>
    </row>
    <row r="10853" spans="1:18" s="22" customFormat="1">
      <c r="A10853" s="1599" t="s">
        <v>3761</v>
      </c>
      <c r="B10853" s="4326"/>
      <c r="C10853" s="3351"/>
      <c r="D10853" s="4328"/>
      <c r="E10853" s="4330"/>
      <c r="F10853" s="4363"/>
      <c r="G10853" s="4332"/>
      <c r="H10853" s="4332"/>
      <c r="I10853" s="1345">
        <v>255.96</v>
      </c>
      <c r="J10853" s="1307">
        <v>1</v>
      </c>
      <c r="K10853" s="1666">
        <f>I10853*J10853</f>
        <v>255.96</v>
      </c>
      <c r="L10853" s="4334"/>
      <c r="M10853" s="4324"/>
      <c r="N10853" s="4324"/>
      <c r="O10853" s="1298">
        <f>SUM(O10855:O10867)</f>
        <v>1.7064000000000001</v>
      </c>
      <c r="P10853" s="1337">
        <f>O10853*K10853</f>
        <v>436.77014400000007</v>
      </c>
      <c r="Q10853" s="3390"/>
      <c r="R10853" s="1721">
        <f>SUM(P10855:P10863)</f>
        <v>436.77014400000007</v>
      </c>
    </row>
    <row r="10854" spans="1:18" s="22" customFormat="1">
      <c r="A10854" s="1599"/>
      <c r="B10854" s="1949"/>
      <c r="C10854" s="1327"/>
      <c r="D10854" s="1367"/>
      <c r="E10854" s="2121"/>
      <c r="F10854" s="1389" t="s">
        <v>1</v>
      </c>
      <c r="G10854" s="1389"/>
      <c r="H10854" s="1369"/>
      <c r="I10854" s="2088"/>
      <c r="J10854" s="1369"/>
      <c r="K10854" s="1391"/>
      <c r="L10854" s="1559"/>
      <c r="M10854" s="1369"/>
      <c r="N10854" s="1369"/>
      <c r="O10854" s="1369"/>
      <c r="P10854" s="1392"/>
      <c r="Q10854" s="3395"/>
      <c r="R10854" s="2344"/>
    </row>
    <row r="10855" spans="1:18" s="22" customFormat="1">
      <c r="B10855" s="553"/>
      <c r="C10855" s="1042"/>
      <c r="D10855" s="1367" t="s">
        <v>2697</v>
      </c>
      <c r="E10855" s="2121" t="s">
        <v>1357</v>
      </c>
      <c r="F10855" s="1367" t="s">
        <v>2698</v>
      </c>
      <c r="G10855" s="1367">
        <v>1.08</v>
      </c>
      <c r="H10855" s="1369"/>
      <c r="I10855" s="1299"/>
      <c r="J10855" s="1300"/>
      <c r="K10855" s="1307">
        <f>G10855*K10853</f>
        <v>276.43680000000001</v>
      </c>
      <c r="L10855" s="1335">
        <f>K10855*$K$10671</f>
        <v>0</v>
      </c>
      <c r="M10855" s="1499">
        <v>0.83</v>
      </c>
      <c r="N10855" s="1724"/>
      <c r="O10855" s="1290">
        <f>G10855*M10855</f>
        <v>0.89639999999999997</v>
      </c>
      <c r="P10855" s="1332">
        <f>M10855*K10855</f>
        <v>229.442544</v>
      </c>
      <c r="Q10855" s="3391"/>
      <c r="R10855" s="2339"/>
    </row>
    <row r="10856" spans="1:18" s="22" customFormat="1">
      <c r="B10856" s="553"/>
      <c r="C10856" s="1042"/>
      <c r="D10856" s="1367" t="s">
        <v>1082</v>
      </c>
      <c r="E10856" s="2121" t="s">
        <v>1504</v>
      </c>
      <c r="F10856" s="1367" t="s">
        <v>1541</v>
      </c>
      <c r="G10856" s="1367">
        <v>0.08</v>
      </c>
      <c r="H10856" s="1369"/>
      <c r="I10856" s="1299"/>
      <c r="J10856" s="1300"/>
      <c r="K10856" s="1307">
        <f>G10856*K10853</f>
        <v>20.476800000000001</v>
      </c>
      <c r="L10856" s="1335">
        <f>K10856*$K$10671</f>
        <v>0</v>
      </c>
      <c r="M10856" s="1499">
        <v>0.3</v>
      </c>
      <c r="N10856" s="1724"/>
      <c r="O10856" s="1290">
        <f>G10856*M10856</f>
        <v>2.4E-2</v>
      </c>
      <c r="P10856" s="1332">
        <f>M10856*K10856</f>
        <v>6.1430400000000001</v>
      </c>
      <c r="Q10856" s="3391"/>
      <c r="R10856" s="2339"/>
    </row>
    <row r="10857" spans="1:18" s="22" customFormat="1">
      <c r="B10857" s="553"/>
      <c r="C10857" s="1042"/>
      <c r="D10857" s="1367" t="s">
        <v>1097</v>
      </c>
      <c r="E10857" s="2121" t="s">
        <v>1504</v>
      </c>
      <c r="F10857" s="1367" t="s">
        <v>1632</v>
      </c>
      <c r="G10857" s="1367">
        <v>0.06</v>
      </c>
      <c r="H10857" s="1369"/>
      <c r="I10857" s="1299"/>
      <c r="J10857" s="1300"/>
      <c r="K10857" s="1307">
        <f>G10857*K10853</f>
        <v>15.3576</v>
      </c>
      <c r="L10857" s="1335">
        <f>K10857*$K$10671</f>
        <v>0</v>
      </c>
      <c r="M10857" s="1499">
        <v>0.55000000000000004</v>
      </c>
      <c r="N10857" s="1724"/>
      <c r="O10857" s="1290">
        <f>G10857*M10857</f>
        <v>3.3000000000000002E-2</v>
      </c>
      <c r="P10857" s="1332">
        <f>M10857*K10857</f>
        <v>8.4466800000000006</v>
      </c>
      <c r="Q10857" s="3391"/>
      <c r="R10857" s="2339"/>
    </row>
    <row r="10858" spans="1:18" s="22" customFormat="1">
      <c r="B10858" s="553"/>
      <c r="C10858" s="1042"/>
      <c r="D10858" s="1367"/>
      <c r="E10858" s="2121"/>
      <c r="F10858" s="1367"/>
      <c r="G10858" s="1367"/>
      <c r="H10858" s="1369"/>
      <c r="I10858" s="1299"/>
      <c r="J10858" s="1300"/>
      <c r="K10858" s="1307"/>
      <c r="L10858" s="1335"/>
      <c r="M10858" s="1499"/>
      <c r="N10858" s="1724"/>
      <c r="O10858" s="1290"/>
      <c r="P10858" s="1332"/>
      <c r="Q10858" s="3391"/>
      <c r="R10858" s="2339"/>
    </row>
    <row r="10859" spans="1:18" s="22" customFormat="1">
      <c r="A10859" s="16"/>
      <c r="B10859" s="1599"/>
      <c r="C10859" s="1320"/>
      <c r="D10859" s="2205"/>
      <c r="E10859" s="2130"/>
      <c r="F10859" s="2205"/>
      <c r="G10859" s="2206"/>
      <c r="H10859" s="1399"/>
      <c r="I10859" s="198"/>
      <c r="J10859" s="198"/>
      <c r="K10859" s="1307"/>
      <c r="L10859" s="1335"/>
      <c r="M10859" s="1499"/>
      <c r="N10859" s="1701"/>
      <c r="O10859" s="1291"/>
      <c r="P10859" s="1332"/>
      <c r="Q10859" s="3391"/>
      <c r="R10859" s="3363"/>
    </row>
    <row r="10860" spans="1:18" s="22" customFormat="1" ht="26">
      <c r="A10860" s="2187"/>
      <c r="B10860" s="1599"/>
      <c r="C10860" s="1042"/>
      <c r="D10860" s="1359"/>
      <c r="E10860" s="1858"/>
      <c r="F10860" s="1360" t="s">
        <v>2</v>
      </c>
      <c r="G10860" s="1360"/>
      <c r="H10860" s="1362"/>
      <c r="I10860" s="1380"/>
      <c r="J10860" s="1381"/>
      <c r="K10860" s="1381"/>
      <c r="L10860" s="1458"/>
      <c r="M10860" s="1362"/>
      <c r="N10860" s="1362"/>
      <c r="O10860" s="1362"/>
      <c r="P10860" s="1359"/>
      <c r="Q10860" s="3403"/>
      <c r="R10860" s="2357"/>
    </row>
    <row r="10861" spans="1:18" s="22" customFormat="1">
      <c r="A10861" s="16"/>
      <c r="B10861" s="1042"/>
      <c r="C10861" s="1042"/>
      <c r="D10861" s="1402" t="s">
        <v>1110</v>
      </c>
      <c r="E10861" s="1857" t="s">
        <v>1508</v>
      </c>
      <c r="F10861" s="1430" t="s">
        <v>2281</v>
      </c>
      <c r="G10861" s="1362">
        <v>0.02</v>
      </c>
      <c r="H10861" s="1408"/>
      <c r="I10861" s="1340"/>
      <c r="J10861" s="198"/>
      <c r="K10861" s="1307">
        <f>G10861*K10853</f>
        <v>5.1192000000000002</v>
      </c>
      <c r="L10861" s="1335">
        <f>K10861*$K$10671</f>
        <v>0</v>
      </c>
      <c r="M10861" s="1302">
        <v>18.420000000000002</v>
      </c>
      <c r="N10861" s="1724"/>
      <c r="O10861" s="1290">
        <f>G10861*M10861</f>
        <v>0.36840000000000006</v>
      </c>
      <c r="P10861" s="1332">
        <f>M10861*K10861</f>
        <v>94.295664000000016</v>
      </c>
      <c r="Q10861" s="3391"/>
      <c r="R10861" s="2338"/>
    </row>
    <row r="10862" spans="1:18" s="22" customFormat="1">
      <c r="A10862" s="16"/>
      <c r="B10862" s="1042"/>
      <c r="C10862" s="1042"/>
      <c r="D10862" s="1402" t="s">
        <v>1111</v>
      </c>
      <c r="E10862" s="1857" t="s">
        <v>1508</v>
      </c>
      <c r="F10862" s="1430" t="s">
        <v>2069</v>
      </c>
      <c r="G10862" s="1362">
        <v>0.02</v>
      </c>
      <c r="H10862" s="1408"/>
      <c r="I10862" s="1340"/>
      <c r="J10862" s="198"/>
      <c r="K10862" s="1307">
        <f>G10862*K10853</f>
        <v>5.1192000000000002</v>
      </c>
      <c r="L10862" s="1335">
        <f>K10862*$K$10671</f>
        <v>0</v>
      </c>
      <c r="M10862" s="1302">
        <v>19.23</v>
      </c>
      <c r="N10862" s="1724"/>
      <c r="O10862" s="1290">
        <f>G10862*M10862</f>
        <v>0.3846</v>
      </c>
      <c r="P10862" s="1332">
        <f>M10862*K10862</f>
        <v>98.442216000000002</v>
      </c>
      <c r="Q10862" s="3391"/>
      <c r="R10862" s="2338"/>
    </row>
    <row r="10863" spans="1:18" s="22" customFormat="1">
      <c r="B10863" s="1320"/>
      <c r="C10863" s="16"/>
      <c r="D10863" s="1359"/>
      <c r="E10863" s="1858"/>
      <c r="F10863" s="1474"/>
      <c r="G10863" s="2198"/>
      <c r="H10863" s="1466"/>
      <c r="I10863" s="1289"/>
      <c r="J10863" s="8"/>
      <c r="K10863" s="1307"/>
      <c r="L10863" s="1335"/>
      <c r="M10863" s="1302"/>
      <c r="N10863" s="1700"/>
      <c r="O10863" s="1290"/>
      <c r="P10863" s="1332"/>
      <c r="Q10863" s="3391"/>
      <c r="R10863" s="2344"/>
    </row>
    <row r="10864" spans="1:18" s="22" customFormat="1">
      <c r="A10864" s="1320"/>
      <c r="B10864" s="1599"/>
      <c r="C10864" s="1320"/>
      <c r="D10864" s="1373"/>
      <c r="E10864" s="2123"/>
      <c r="F10864" s="1374" t="s">
        <v>3</v>
      </c>
      <c r="G10864" s="2199"/>
      <c r="H10864" s="1376"/>
      <c r="I10864" s="1382"/>
      <c r="J10864" s="1383"/>
      <c r="K10864" s="1383"/>
      <c r="L10864" s="1413"/>
      <c r="M10864" s="1376"/>
      <c r="N10864" s="1376"/>
      <c r="O10864" s="1376"/>
      <c r="P10864" s="1373"/>
      <c r="Q10864" s="3403"/>
      <c r="R10864" s="2356"/>
    </row>
    <row r="10865" spans="1:22" s="22" customFormat="1">
      <c r="A10865" s="1321"/>
      <c r="B10865" s="2053"/>
      <c r="C10865" s="1321"/>
      <c r="D10865" s="2202"/>
      <c r="E10865" s="2304"/>
      <c r="F10865" s="2202"/>
      <c r="G10865" s="2203"/>
      <c r="H10865" s="1379"/>
      <c r="I10865" s="1299"/>
      <c r="J10865" s="1300"/>
      <c r="K10865" s="1307"/>
      <c r="L10865" s="1335"/>
      <c r="M10865" s="1302"/>
      <c r="N10865" s="1700"/>
      <c r="O10865" s="1290"/>
      <c r="P10865" s="1332"/>
      <c r="Q10865" s="3402"/>
      <c r="R10865" s="2053"/>
    </row>
    <row r="10866" spans="1:22" s="22" customFormat="1">
      <c r="A10866" s="1321"/>
      <c r="B10866" s="2053"/>
      <c r="C10866" s="1321"/>
      <c r="D10866" s="1377"/>
      <c r="E10866" s="2124"/>
      <c r="F10866" s="1378"/>
      <c r="G10866" s="2200"/>
      <c r="H10866" s="1379"/>
      <c r="I10866" s="1299"/>
      <c r="J10866" s="1300"/>
      <c r="K10866" s="1307"/>
      <c r="L10866" s="1335"/>
      <c r="M10866" s="1302"/>
      <c r="N10866" s="1700"/>
      <c r="O10866" s="1290"/>
      <c r="P10866" s="1332"/>
      <c r="Q10866" s="3402"/>
      <c r="R10866" s="2053"/>
    </row>
    <row r="10867" spans="1:22" s="22" customFormat="1">
      <c r="A10867" s="1320"/>
      <c r="B10867" s="1765"/>
      <c r="C10867" s="223"/>
      <c r="D10867" s="1373"/>
      <c r="E10867" s="2161"/>
      <c r="F10867" s="1678"/>
      <c r="G10867" s="2201"/>
      <c r="H10867" s="1376"/>
      <c r="I10867" s="1299"/>
      <c r="J10867" s="1300"/>
      <c r="K10867" s="1307"/>
      <c r="L10867" s="1335"/>
      <c r="M10867" s="1302"/>
      <c r="N10867" s="1700"/>
      <c r="O10867" s="1290"/>
      <c r="P10867" s="1332"/>
      <c r="Q10867" s="3402"/>
      <c r="R10867" s="2356"/>
    </row>
    <row r="10868" spans="1:22" s="22" customFormat="1">
      <c r="A10868" s="551" t="s">
        <v>3764</v>
      </c>
      <c r="B10868" s="4325" t="s">
        <v>2699</v>
      </c>
      <c r="C10868" s="3350"/>
      <c r="D10868" s="4327"/>
      <c r="E10868" s="4329" t="s">
        <v>1357</v>
      </c>
      <c r="F10868" s="4372" t="s">
        <v>2700</v>
      </c>
      <c r="G10868" s="4331" t="s">
        <v>1568</v>
      </c>
      <c r="H10868" s="4331" t="s">
        <v>1574</v>
      </c>
      <c r="I10868" s="1572" t="s">
        <v>1559</v>
      </c>
      <c r="J10868" s="1294" t="s">
        <v>1560</v>
      </c>
      <c r="K10868" s="1294" t="s">
        <v>1569</v>
      </c>
      <c r="L10868" s="4333" t="s">
        <v>3765</v>
      </c>
      <c r="M10868" s="4323" t="s">
        <v>1571</v>
      </c>
      <c r="N10868" s="4323" t="s">
        <v>1776</v>
      </c>
      <c r="O10868" s="3347" t="s">
        <v>1563</v>
      </c>
      <c r="P10868" s="1336" t="s">
        <v>1562</v>
      </c>
      <c r="Q10868" s="3389"/>
      <c r="R10868" s="1699" t="s">
        <v>1327</v>
      </c>
    </row>
    <row r="10869" spans="1:22" s="22" customFormat="1">
      <c r="A10869" s="1599" t="s">
        <v>3761</v>
      </c>
      <c r="B10869" s="4326"/>
      <c r="C10869" s="3351"/>
      <c r="D10869" s="4328"/>
      <c r="E10869" s="4330"/>
      <c r="F10869" s="4363"/>
      <c r="G10869" s="4332"/>
      <c r="H10869" s="4332"/>
      <c r="I10869" s="1345">
        <v>450</v>
      </c>
      <c r="J10869" s="1307">
        <v>1</v>
      </c>
      <c r="K10869" s="1666">
        <f>I10869*J10869</f>
        <v>450</v>
      </c>
      <c r="L10869" s="4334"/>
      <c r="M10869" s="4324"/>
      <c r="N10869" s="4324"/>
      <c r="O10869" s="1298">
        <f>SUM(O10871:O10882)</f>
        <v>2.5545</v>
      </c>
      <c r="P10869" s="1337">
        <f>O10869*K10869</f>
        <v>1149.5250000000001</v>
      </c>
      <c r="Q10869" s="3390"/>
      <c r="R10869" s="1721">
        <f>SUM(P10871:P10879)</f>
        <v>1149.5250000000001</v>
      </c>
    </row>
    <row r="10870" spans="1:22" s="22" customFormat="1">
      <c r="A10870" s="1599"/>
      <c r="B10870" s="1949"/>
      <c r="C10870" s="1327"/>
      <c r="D10870" s="1367"/>
      <c r="E10870" s="2121"/>
      <c r="F10870" s="1389" t="s">
        <v>1</v>
      </c>
      <c r="G10870" s="1389"/>
      <c r="H10870" s="1369"/>
      <c r="I10870" s="2088"/>
      <c r="J10870" s="1369"/>
      <c r="K10870" s="1391"/>
      <c r="L10870" s="1559"/>
      <c r="M10870" s="1369"/>
      <c r="N10870" s="1369"/>
      <c r="O10870" s="1369"/>
      <c r="P10870" s="1392"/>
      <c r="Q10870" s="3395"/>
      <c r="R10870" s="2344"/>
    </row>
    <row r="10871" spans="1:22" s="22" customFormat="1">
      <c r="B10871" s="553"/>
      <c r="C10871" s="1042"/>
      <c r="D10871" s="1367" t="s">
        <v>2701</v>
      </c>
      <c r="E10871" s="2121" t="s">
        <v>1357</v>
      </c>
      <c r="F10871" s="1367" t="s">
        <v>2702</v>
      </c>
      <c r="G10871" s="1554">
        <v>1.1000000000000001</v>
      </c>
      <c r="H10871" s="1369"/>
      <c r="I10871" s="1299"/>
      <c r="J10871" s="1300"/>
      <c r="K10871" s="1307">
        <f>G10871*K10869</f>
        <v>495.00000000000006</v>
      </c>
      <c r="L10871" s="1335">
        <f>K10871*$K$10671</f>
        <v>0</v>
      </c>
      <c r="M10871" s="1499">
        <v>1.26</v>
      </c>
      <c r="N10871" s="1724"/>
      <c r="O10871" s="1290">
        <f>G10871*M10871</f>
        <v>1.3860000000000001</v>
      </c>
      <c r="P10871" s="1332">
        <f>M10871*K10871</f>
        <v>623.70000000000005</v>
      </c>
      <c r="Q10871" s="3391"/>
      <c r="R10871" s="2339"/>
    </row>
    <row r="10872" spans="1:22" s="22" customFormat="1">
      <c r="B10872" s="553"/>
      <c r="C10872" s="1042"/>
      <c r="D10872" s="1367" t="s">
        <v>1082</v>
      </c>
      <c r="E10872" s="2121" t="s">
        <v>1504</v>
      </c>
      <c r="F10872" s="1367" t="s">
        <v>1541</v>
      </c>
      <c r="G10872" s="1367">
        <v>0.13</v>
      </c>
      <c r="H10872" s="1369"/>
      <c r="I10872" s="1299"/>
      <c r="J10872" s="1300"/>
      <c r="K10872" s="1307">
        <f>G10872*K10869</f>
        <v>58.5</v>
      </c>
      <c r="L10872" s="1335">
        <f>K10872*$K$10671</f>
        <v>0</v>
      </c>
      <c r="M10872" s="1499">
        <v>0.3</v>
      </c>
      <c r="N10872" s="1724"/>
      <c r="O10872" s="1290">
        <f>G10872*M10872</f>
        <v>3.9E-2</v>
      </c>
      <c r="P10872" s="1332">
        <f>M10872*K10872</f>
        <v>17.55</v>
      </c>
      <c r="Q10872" s="3391"/>
      <c r="R10872" s="2339"/>
    </row>
    <row r="10873" spans="1:22">
      <c r="A10873" s="22"/>
      <c r="B10873" s="553"/>
      <c r="C10873" s="1042"/>
      <c r="D10873" s="1367"/>
      <c r="E10873" s="2121"/>
      <c r="F10873" s="1367"/>
      <c r="G10873" s="1367"/>
      <c r="H10873" s="1369"/>
      <c r="I10873" s="1299"/>
      <c r="J10873" s="1300"/>
      <c r="K10873" s="1307"/>
      <c r="L10873" s="1335"/>
      <c r="M10873" s="1499"/>
      <c r="N10873" s="1724"/>
      <c r="O10873" s="1290"/>
      <c r="P10873" s="1332"/>
      <c r="Q10873" s="3391"/>
      <c r="S10873" s="16"/>
      <c r="T10873" s="16"/>
      <c r="U10873" s="16"/>
      <c r="V10873" s="16"/>
    </row>
    <row r="10874" spans="1:22">
      <c r="A10874" s="22"/>
      <c r="B10874" s="553"/>
      <c r="C10874" s="1042"/>
      <c r="D10874" s="1367"/>
      <c r="E10874" s="2121"/>
      <c r="F10874" s="1367"/>
      <c r="G10874" s="1367"/>
      <c r="H10874" s="1369"/>
      <c r="I10874" s="1299"/>
      <c r="J10874" s="1300"/>
      <c r="K10874" s="1307"/>
      <c r="L10874" s="1335"/>
      <c r="M10874" s="1499"/>
      <c r="N10874" s="1724"/>
      <c r="O10874" s="1290"/>
      <c r="P10874" s="1332"/>
      <c r="Q10874" s="3391"/>
      <c r="S10874" s="16"/>
      <c r="T10874" s="16"/>
      <c r="U10874" s="16"/>
      <c r="V10874" s="16"/>
    </row>
    <row r="10875" spans="1:22">
      <c r="A10875" s="16"/>
      <c r="B10875" s="1599"/>
      <c r="C10875" s="1320"/>
      <c r="D10875" s="2205"/>
      <c r="E10875" s="2130"/>
      <c r="F10875" s="2205"/>
      <c r="G10875" s="2206"/>
      <c r="H10875" s="1399"/>
      <c r="I10875" s="198"/>
      <c r="J10875" s="198"/>
      <c r="K10875" s="1307"/>
      <c r="L10875" s="1335"/>
      <c r="M10875" s="1499"/>
      <c r="N10875" s="1701"/>
      <c r="O10875" s="1291"/>
      <c r="P10875" s="1332"/>
      <c r="Q10875" s="3391"/>
      <c r="R10875" s="3363"/>
      <c r="S10875" s="16"/>
      <c r="T10875" s="16"/>
      <c r="U10875" s="16"/>
      <c r="V10875" s="16"/>
    </row>
    <row r="10876" spans="1:22" ht="26">
      <c r="A10876" s="2187"/>
      <c r="B10876" s="1599"/>
      <c r="C10876" s="1042"/>
      <c r="D10876" s="1359"/>
      <c r="E10876" s="1858"/>
      <c r="F10876" s="1360" t="s">
        <v>2</v>
      </c>
      <c r="G10876" s="1360"/>
      <c r="H10876" s="1362"/>
      <c r="I10876" s="1380"/>
      <c r="J10876" s="1381"/>
      <c r="K10876" s="1381"/>
      <c r="L10876" s="1458"/>
      <c r="M10876" s="1362"/>
      <c r="N10876" s="1362"/>
      <c r="O10876" s="1362"/>
      <c r="P10876" s="1359"/>
      <c r="Q10876" s="3403"/>
      <c r="R10876" s="2357"/>
      <c r="S10876" s="16"/>
      <c r="T10876" s="16"/>
      <c r="U10876" s="16"/>
      <c r="V10876" s="16"/>
    </row>
    <row r="10877" spans="1:22">
      <c r="A10877" s="16"/>
      <c r="B10877" s="1042"/>
      <c r="C10877" s="1042"/>
      <c r="D10877" s="1402" t="s">
        <v>1110</v>
      </c>
      <c r="E10877" s="1857" t="s">
        <v>1508</v>
      </c>
      <c r="F10877" s="1430" t="s">
        <v>2281</v>
      </c>
      <c r="G10877" s="1362">
        <v>0.03</v>
      </c>
      <c r="H10877" s="1408"/>
      <c r="I10877" s="1340"/>
      <c r="J10877" s="198"/>
      <c r="K10877" s="1307">
        <f>G10877*K10869</f>
        <v>13.5</v>
      </c>
      <c r="L10877" s="1335">
        <f>K10877*$K$10671</f>
        <v>0</v>
      </c>
      <c r="M10877" s="1302">
        <v>18.420000000000002</v>
      </c>
      <c r="N10877" s="1724"/>
      <c r="O10877" s="1290">
        <f>G10877*M10877</f>
        <v>0.55259999999999998</v>
      </c>
      <c r="P10877" s="1332">
        <f>M10877*K10877</f>
        <v>248.67000000000002</v>
      </c>
      <c r="Q10877" s="3391"/>
      <c r="R10877" s="2338"/>
      <c r="S10877" s="16"/>
      <c r="T10877" s="16"/>
      <c r="U10877" s="16"/>
      <c r="V10877" s="16"/>
    </row>
    <row r="10878" spans="1:22">
      <c r="A10878" s="16"/>
      <c r="B10878" s="1042"/>
      <c r="C10878" s="1042"/>
      <c r="D10878" s="1402" t="s">
        <v>1111</v>
      </c>
      <c r="E10878" s="1857" t="s">
        <v>1508</v>
      </c>
      <c r="F10878" s="1430" t="s">
        <v>2069</v>
      </c>
      <c r="G10878" s="1362">
        <v>0.03</v>
      </c>
      <c r="H10878" s="1408"/>
      <c r="I10878" s="1340"/>
      <c r="J10878" s="198"/>
      <c r="K10878" s="1307">
        <f>G10878*K10869</f>
        <v>13.5</v>
      </c>
      <c r="L10878" s="1335">
        <f>K10878*$K$10671</f>
        <v>0</v>
      </c>
      <c r="M10878" s="1302">
        <v>19.23</v>
      </c>
      <c r="N10878" s="1724"/>
      <c r="O10878" s="1290">
        <f>G10878*M10878</f>
        <v>0.57689999999999997</v>
      </c>
      <c r="P10878" s="1332">
        <f>M10878*K10878</f>
        <v>259.60500000000002</v>
      </c>
      <c r="Q10878" s="3391"/>
      <c r="R10878" s="2338"/>
      <c r="S10878" s="16"/>
      <c r="T10878" s="16"/>
      <c r="U10878" s="16"/>
      <c r="V10878" s="16"/>
    </row>
    <row r="10879" spans="1:22" s="22" customFormat="1">
      <c r="B10879" s="1320"/>
      <c r="C10879" s="16"/>
      <c r="D10879" s="1359"/>
      <c r="E10879" s="1858"/>
      <c r="F10879" s="1474"/>
      <c r="G10879" s="2198"/>
      <c r="H10879" s="1466"/>
      <c r="I10879" s="1289"/>
      <c r="J10879" s="8"/>
      <c r="K10879" s="1307"/>
      <c r="L10879" s="1335"/>
      <c r="M10879" s="1302"/>
      <c r="N10879" s="1700"/>
      <c r="O10879" s="1290"/>
      <c r="P10879" s="1332"/>
      <c r="Q10879" s="3391"/>
      <c r="R10879" s="2344"/>
    </row>
    <row r="10880" spans="1:22" s="22" customFormat="1">
      <c r="A10880" s="1320"/>
      <c r="B10880" s="1599"/>
      <c r="C10880" s="1320"/>
      <c r="D10880" s="1373"/>
      <c r="E10880" s="2123"/>
      <c r="F10880" s="1374" t="s">
        <v>3</v>
      </c>
      <c r="G10880" s="2199"/>
      <c r="H10880" s="1376"/>
      <c r="I10880" s="1382"/>
      <c r="J10880" s="1383"/>
      <c r="K10880" s="1383"/>
      <c r="L10880" s="1413"/>
      <c r="M10880" s="1376"/>
      <c r="N10880" s="1376"/>
      <c r="O10880" s="1376"/>
      <c r="P10880" s="1373"/>
      <c r="Q10880" s="3403"/>
      <c r="R10880" s="2356"/>
    </row>
    <row r="10881" spans="1:19" s="22" customFormat="1">
      <c r="A10881" s="1321"/>
      <c r="B10881" s="2053"/>
      <c r="C10881" s="1321"/>
      <c r="D10881" s="2202"/>
      <c r="E10881" s="2304"/>
      <c r="F10881" s="2202"/>
      <c r="G10881" s="2203"/>
      <c r="H10881" s="1379"/>
      <c r="I10881" s="1299"/>
      <c r="J10881" s="1300"/>
      <c r="K10881" s="1307"/>
      <c r="L10881" s="1335"/>
      <c r="M10881" s="1302"/>
      <c r="N10881" s="1700"/>
      <c r="O10881" s="1290"/>
      <c r="P10881" s="1332"/>
      <c r="Q10881" s="3402"/>
      <c r="R10881" s="2053"/>
      <c r="S10881" s="1292"/>
    </row>
    <row r="10882" spans="1:19" s="22" customFormat="1">
      <c r="A10882" s="1321"/>
      <c r="B10882" s="2053"/>
      <c r="C10882" s="1321"/>
      <c r="D10882" s="1377"/>
      <c r="E10882" s="2124"/>
      <c r="F10882" s="1378"/>
      <c r="G10882" s="2200"/>
      <c r="H10882" s="1379"/>
      <c r="I10882" s="1299"/>
      <c r="J10882" s="1300"/>
      <c r="K10882" s="1307"/>
      <c r="L10882" s="1335"/>
      <c r="M10882" s="1302"/>
      <c r="N10882" s="1700"/>
      <c r="O10882" s="1290"/>
      <c r="P10882" s="1332"/>
      <c r="Q10882" s="3402"/>
      <c r="R10882" s="2053"/>
    </row>
    <row r="10883" spans="1:19" s="22" customFormat="1">
      <c r="A10883" s="551" t="s">
        <v>3764</v>
      </c>
      <c r="B10883" s="4325" t="s">
        <v>3772</v>
      </c>
      <c r="C10883" s="3885"/>
      <c r="D10883" s="4327"/>
      <c r="E10883" s="4329" t="s">
        <v>1507</v>
      </c>
      <c r="F10883" s="4372" t="s">
        <v>3773</v>
      </c>
      <c r="G10883" s="4331" t="s">
        <v>1568</v>
      </c>
      <c r="H10883" s="4331" t="s">
        <v>1574</v>
      </c>
      <c r="I10883" s="1572" t="s">
        <v>1559</v>
      </c>
      <c r="J10883" s="1294" t="s">
        <v>1560</v>
      </c>
      <c r="K10883" s="1294" t="s">
        <v>1569</v>
      </c>
      <c r="L10883" s="4333" t="s">
        <v>3765</v>
      </c>
      <c r="M10883" s="4323" t="s">
        <v>1571</v>
      </c>
      <c r="N10883" s="4323" t="s">
        <v>1776</v>
      </c>
      <c r="O10883" s="3884" t="s">
        <v>1563</v>
      </c>
      <c r="P10883" s="1336" t="s">
        <v>1562</v>
      </c>
      <c r="Q10883" s="3389"/>
      <c r="R10883" s="1699" t="s">
        <v>1327</v>
      </c>
    </row>
    <row r="10884" spans="1:19" s="22" customFormat="1">
      <c r="A10884" s="1599" t="s">
        <v>3761</v>
      </c>
      <c r="B10884" s="4326"/>
      <c r="C10884" s="3886"/>
      <c r="D10884" s="4328"/>
      <c r="E10884" s="4330"/>
      <c r="F10884" s="4363"/>
      <c r="G10884" s="4332"/>
      <c r="H10884" s="4332"/>
      <c r="I10884" s="1345">
        <v>2.76</v>
      </c>
      <c r="J10884" s="1307">
        <v>1</v>
      </c>
      <c r="K10884" s="1666">
        <f>I10884*J10884</f>
        <v>2.76</v>
      </c>
      <c r="L10884" s="4334"/>
      <c r="M10884" s="4324"/>
      <c r="N10884" s="4324"/>
      <c r="O10884" s="1298">
        <f>O10886+O10887+O10897+O10896</f>
        <v>29.64400895</v>
      </c>
      <c r="P10884" s="1337">
        <f>O10884*K10884</f>
        <v>81.817464701999995</v>
      </c>
      <c r="Q10884" s="3390"/>
      <c r="R10884" s="1721">
        <f>P10886+P10887+P10896+P10897</f>
        <v>81.817464701999995</v>
      </c>
    </row>
    <row r="10885" spans="1:19" s="22" customFormat="1">
      <c r="A10885" s="1599"/>
      <c r="B10885" s="3928"/>
      <c r="C10885" s="3952"/>
      <c r="D10885" s="3912"/>
      <c r="E10885" s="2121"/>
      <c r="F10885" s="1389" t="s">
        <v>1</v>
      </c>
      <c r="G10885" s="1389"/>
      <c r="H10885" s="1369"/>
      <c r="I10885" s="2088"/>
      <c r="J10885" s="1369"/>
      <c r="K10885" s="1391"/>
      <c r="L10885" s="1559"/>
      <c r="M10885" s="1369"/>
      <c r="N10885" s="1369"/>
      <c r="O10885" s="1369"/>
      <c r="P10885" s="1392"/>
      <c r="Q10885" s="3395"/>
      <c r="R10885" s="2344"/>
    </row>
    <row r="10886" spans="1:19" s="22" customFormat="1">
      <c r="B10886" s="553"/>
      <c r="C10886" s="1042"/>
      <c r="D10886" s="3912" t="s">
        <v>1124</v>
      </c>
      <c r="E10886" s="2121" t="s">
        <v>1521</v>
      </c>
      <c r="F10886" s="1367" t="s">
        <v>3774</v>
      </c>
      <c r="G10886" s="1453">
        <v>8.8999999999999996E-2</v>
      </c>
      <c r="H10886" s="1369"/>
      <c r="I10886" s="1299"/>
      <c r="J10886" s="1300"/>
      <c r="K10886" s="1350">
        <f>G10886*K10884</f>
        <v>0.24563999999999997</v>
      </c>
      <c r="L10886" s="1335">
        <f>K10886*$K$10671</f>
        <v>0</v>
      </c>
      <c r="M10886" s="1499">
        <v>83.82</v>
      </c>
      <c r="N10886" s="1724"/>
      <c r="O10886" s="1290">
        <f t="shared" ref="O10886" si="1417">G10886*M10886</f>
        <v>7.4599799999999989</v>
      </c>
      <c r="P10886" s="1332">
        <f t="shared" ref="P10886" si="1418">M10886*K10886</f>
        <v>20.589544799999995</v>
      </c>
      <c r="Q10886" s="3391"/>
      <c r="R10886" s="2339"/>
    </row>
    <row r="10887" spans="1:19" s="22" customFormat="1">
      <c r="A10887" s="1042"/>
      <c r="C10887" s="1658" t="s">
        <v>1122</v>
      </c>
      <c r="D10887" s="1311"/>
      <c r="E10887" s="1855" t="s">
        <v>1517</v>
      </c>
      <c r="F10887" s="1647" t="s">
        <v>1681</v>
      </c>
      <c r="G10887" s="1688"/>
      <c r="H10887" s="4006">
        <v>4.4999999999999998E-2</v>
      </c>
      <c r="I10887" s="1444"/>
      <c r="J10887" s="1388"/>
      <c r="K10887" s="1510"/>
      <c r="L10887" s="1445"/>
      <c r="M10887" s="1500"/>
      <c r="N10887" s="1501">
        <f>SUM(N10888:N10892)</f>
        <v>51.667310000000001</v>
      </c>
      <c r="O10887" s="1501">
        <f>SUM(O10888:O10892)</f>
        <v>2.3250289500000001</v>
      </c>
      <c r="P10887" s="1501">
        <f>SUM(P10888:P10892)</f>
        <v>6.4170799020000002</v>
      </c>
      <c r="Q10887" s="3391"/>
      <c r="R10887" s="1296"/>
    </row>
    <row r="10888" spans="1:19" s="22" customFormat="1">
      <c r="A10888" s="1042"/>
      <c r="C10888" s="1042"/>
      <c r="D10888" s="1451" t="s">
        <v>1069</v>
      </c>
      <c r="E10888" s="1856" t="s">
        <v>1517</v>
      </c>
      <c r="F10888" s="1421" t="s">
        <v>1578</v>
      </c>
      <c r="G10888" s="1452">
        <v>0.26300000000000001</v>
      </c>
      <c r="H10888" s="1453">
        <f>H10887*G10888</f>
        <v>1.1835E-2</v>
      </c>
      <c r="I10888" s="1286"/>
      <c r="J10888" s="198"/>
      <c r="K10888" s="1307">
        <f>H10888*K10884</f>
        <v>3.2664599999999995E-2</v>
      </c>
      <c r="L10888" s="1335">
        <f t="shared" ref="L10888:L10892" si="1419">K10888*$K$10671</f>
        <v>0</v>
      </c>
      <c r="M10888" s="1302">
        <v>0.55000000000000004</v>
      </c>
      <c r="N10888" s="1724">
        <f>G10888*M10888</f>
        <v>0.14465000000000003</v>
      </c>
      <c r="O10888" s="1726">
        <f>H10888*M10888</f>
        <v>6.5092500000000003E-3</v>
      </c>
      <c r="P10888" s="1727">
        <f>M10888*K10888</f>
        <v>1.796553E-2</v>
      </c>
      <c r="Q10888" s="3396"/>
      <c r="R10888" s="1296"/>
    </row>
    <row r="10889" spans="1:19" s="22" customFormat="1">
      <c r="A10889" s="1042"/>
      <c r="C10889" s="1320"/>
      <c r="D10889" s="1367" t="s">
        <v>1394</v>
      </c>
      <c r="E10889" s="1856" t="s">
        <v>1577</v>
      </c>
      <c r="F10889" s="1421" t="s">
        <v>1579</v>
      </c>
      <c r="G10889" s="1452">
        <v>0.25800000000000001</v>
      </c>
      <c r="H10889" s="1453">
        <f>H10887*G10889</f>
        <v>1.1610000000000001E-2</v>
      </c>
      <c r="I10889" s="1286"/>
      <c r="J10889" s="198"/>
      <c r="K10889" s="1307">
        <f>H10889*K10884</f>
        <v>3.2043599999999998E-2</v>
      </c>
      <c r="L10889" s="1335">
        <f t="shared" si="1419"/>
        <v>0</v>
      </c>
      <c r="M10889" s="1302">
        <v>92.54</v>
      </c>
      <c r="N10889" s="1724">
        <f>G10889*M10889</f>
        <v>23.875320000000002</v>
      </c>
      <c r="O10889" s="1719">
        <f>H10889*M10889</f>
        <v>1.0743894</v>
      </c>
      <c r="P10889" s="1720">
        <f>M10889*K10889</f>
        <v>2.9653147440000001</v>
      </c>
      <c r="Q10889" s="3396"/>
      <c r="R10889" s="1296"/>
    </row>
    <row r="10890" spans="1:19" s="22" customFormat="1" ht="15" customHeight="1">
      <c r="A10890" s="1042"/>
      <c r="C10890" s="1320"/>
      <c r="D10890" s="1603" t="s">
        <v>1682</v>
      </c>
      <c r="E10890" s="1856" t="s">
        <v>1683</v>
      </c>
      <c r="F10890" s="1421" t="s">
        <v>1684</v>
      </c>
      <c r="G10890" s="1452">
        <v>1.288</v>
      </c>
      <c r="H10890" s="1453">
        <f>H10887*G10890</f>
        <v>5.7959999999999998E-2</v>
      </c>
      <c r="I10890" s="1286"/>
      <c r="J10890" s="198"/>
      <c r="K10890" s="1307">
        <f>H10890*K10884</f>
        <v>0.15996959999999999</v>
      </c>
      <c r="L10890" s="1335">
        <f t="shared" si="1419"/>
        <v>0</v>
      </c>
      <c r="M10890" s="1302">
        <v>1.26</v>
      </c>
      <c r="N10890" s="1724">
        <f>G10890*M10890</f>
        <v>1.6228800000000001</v>
      </c>
      <c r="O10890" s="1719">
        <f>H10890*M10890</f>
        <v>7.30296E-2</v>
      </c>
      <c r="P10890" s="1720">
        <f>M10890*K10890</f>
        <v>0.20156169599999998</v>
      </c>
      <c r="Q10890" s="3396"/>
      <c r="R10890" s="1296"/>
    </row>
    <row r="10891" spans="1:19" s="22" customFormat="1">
      <c r="A10891" s="1042"/>
      <c r="C10891" s="1320"/>
      <c r="D10891" s="1603" t="s">
        <v>1576</v>
      </c>
      <c r="E10891" s="1856" t="s">
        <v>1517</v>
      </c>
      <c r="F10891" s="1421" t="s">
        <v>1580</v>
      </c>
      <c r="G10891" s="1452">
        <v>1.1020000000000001</v>
      </c>
      <c r="H10891" s="1453">
        <f>H10887*G10891</f>
        <v>4.9590000000000002E-2</v>
      </c>
      <c r="I10891" s="1286"/>
      <c r="J10891" s="198"/>
      <c r="K10891" s="1307">
        <f>H10891*K10884</f>
        <v>0.1368684</v>
      </c>
      <c r="L10891" s="1335">
        <f t="shared" si="1419"/>
        <v>0</v>
      </c>
      <c r="M10891" s="1302">
        <v>6.53</v>
      </c>
      <c r="N10891" s="1724">
        <f>G10891*M10891</f>
        <v>7.196060000000001</v>
      </c>
      <c r="O10891" s="1719">
        <f>H10891*M10891</f>
        <v>0.32382270000000002</v>
      </c>
      <c r="P10891" s="1720">
        <f>M10891*K10891</f>
        <v>0.89375065200000003</v>
      </c>
      <c r="Q10891" s="3396"/>
      <c r="R10891" s="1296"/>
    </row>
    <row r="10892" spans="1:19" s="22" customFormat="1">
      <c r="A10892" s="1042"/>
      <c r="C10892" s="1320"/>
      <c r="D10892" s="1443" t="s">
        <v>1067</v>
      </c>
      <c r="E10892" s="1857" t="s">
        <v>1508</v>
      </c>
      <c r="F10892" s="1430" t="s">
        <v>1512</v>
      </c>
      <c r="G10892" s="1431">
        <v>1.03</v>
      </c>
      <c r="H10892" s="1431">
        <f>H10887*G10892</f>
        <v>4.6350000000000002E-2</v>
      </c>
      <c r="I10892" s="1286"/>
      <c r="J10892" s="198"/>
      <c r="K10892" s="1307">
        <f>H10892*K10884</f>
        <v>0.12792599999999998</v>
      </c>
      <c r="L10892" s="1335">
        <f t="shared" si="1419"/>
        <v>0</v>
      </c>
      <c r="M10892" s="1302">
        <v>18.28</v>
      </c>
      <c r="N10892" s="1724">
        <f>G10892*M10892</f>
        <v>18.828400000000002</v>
      </c>
      <c r="O10892" s="1719">
        <f>H10892*M10892</f>
        <v>0.84727800000000009</v>
      </c>
      <c r="P10892" s="1720">
        <f>M10892*K10892</f>
        <v>2.3384872799999998</v>
      </c>
      <c r="Q10892" s="3396"/>
      <c r="R10892" s="1296"/>
    </row>
    <row r="10893" spans="1:19" s="22" customFormat="1">
      <c r="B10893" s="553"/>
      <c r="C10893" s="1042"/>
      <c r="D10893" s="3912"/>
      <c r="E10893" s="2121"/>
      <c r="F10893" s="1367"/>
      <c r="G10893" s="1554"/>
      <c r="H10893" s="1369"/>
      <c r="I10893" s="1299"/>
      <c r="J10893" s="1300"/>
      <c r="K10893" s="1350"/>
      <c r="L10893" s="1335"/>
      <c r="M10893" s="1499"/>
      <c r="N10893" s="1724"/>
      <c r="O10893" s="1290"/>
      <c r="P10893" s="1332"/>
      <c r="Q10893" s="3391"/>
      <c r="R10893" s="2339"/>
    </row>
    <row r="10894" spans="1:19" s="22" customFormat="1">
      <c r="A10894" s="16"/>
      <c r="B10894" s="1599"/>
      <c r="C10894" s="1320"/>
      <c r="D10894" s="4001"/>
      <c r="E10894" s="2130"/>
      <c r="F10894" s="2205"/>
      <c r="G10894" s="2206"/>
      <c r="H10894" s="1399"/>
      <c r="I10894" s="198"/>
      <c r="J10894" s="198"/>
      <c r="K10894" s="1307"/>
      <c r="L10894" s="1335"/>
      <c r="M10894" s="1499"/>
      <c r="N10894" s="1701"/>
      <c r="O10894" s="1291"/>
      <c r="P10894" s="1332"/>
      <c r="Q10894" s="3391"/>
      <c r="R10894" s="3889"/>
    </row>
    <row r="10895" spans="1:19" s="22" customFormat="1" ht="26">
      <c r="A10895" s="3995"/>
      <c r="B10895" s="1599"/>
      <c r="C10895" s="1042"/>
      <c r="D10895" s="3982"/>
      <c r="E10895" s="1858"/>
      <c r="F10895" s="1360" t="s">
        <v>2</v>
      </c>
      <c r="G10895" s="1360"/>
      <c r="H10895" s="1362"/>
      <c r="I10895" s="1380"/>
      <c r="J10895" s="1381"/>
      <c r="K10895" s="1381"/>
      <c r="L10895" s="1458"/>
      <c r="M10895" s="1362"/>
      <c r="N10895" s="1362"/>
      <c r="O10895" s="1362"/>
      <c r="P10895" s="1359"/>
      <c r="Q10895" s="3403"/>
      <c r="R10895" s="1292"/>
    </row>
    <row r="10896" spans="1:19" s="22" customFormat="1">
      <c r="A10896" s="19"/>
      <c r="B10896" s="553"/>
      <c r="C10896" s="4002"/>
      <c r="D10896" s="3949" t="s">
        <v>1121</v>
      </c>
      <c r="E10896" s="3998" t="s">
        <v>1508</v>
      </c>
      <c r="F10896" s="3999" t="s">
        <v>1663</v>
      </c>
      <c r="G10896" s="4000">
        <v>0.7</v>
      </c>
      <c r="H10896" s="1408"/>
      <c r="I10896" s="1299"/>
      <c r="J10896" s="1300"/>
      <c r="K10896" s="1350">
        <f>G10896*K10884</f>
        <v>1.9319999999999997</v>
      </c>
      <c r="L10896" s="1335">
        <f>K10896*$K$10671</f>
        <v>0</v>
      </c>
      <c r="M10896" s="1499">
        <v>19.23</v>
      </c>
      <c r="N10896" s="1724"/>
      <c r="O10896" s="1290">
        <f>G10896*M10896</f>
        <v>13.461</v>
      </c>
      <c r="P10896" s="1332">
        <f t="shared" ref="P10896" si="1420">M10896*K10896</f>
        <v>37.152359999999994</v>
      </c>
      <c r="Q10896" s="3391"/>
      <c r="R10896" s="2338"/>
    </row>
    <row r="10897" spans="1:20" s="22" customFormat="1">
      <c r="A10897" s="19"/>
      <c r="B10897" s="553"/>
      <c r="C10897" s="1042"/>
      <c r="D10897" s="3951" t="s">
        <v>1067</v>
      </c>
      <c r="E10897" s="1857" t="s">
        <v>1508</v>
      </c>
      <c r="F10897" s="1430" t="s">
        <v>1512</v>
      </c>
      <c r="G10897" s="1381">
        <v>0.35</v>
      </c>
      <c r="H10897" s="1408"/>
      <c r="I10897" s="1340"/>
      <c r="J10897" s="198"/>
      <c r="K10897" s="1350">
        <f>G10897*K10884</f>
        <v>0.96599999999999986</v>
      </c>
      <c r="L10897" s="1335">
        <f>K10897*$K$10671</f>
        <v>0</v>
      </c>
      <c r="M10897" s="1302">
        <v>18.28</v>
      </c>
      <c r="N10897" s="1724"/>
      <c r="O10897" s="1290">
        <f t="shared" ref="O10897" si="1421">G10897*M10897</f>
        <v>6.3979999999999997</v>
      </c>
      <c r="P10897" s="1332">
        <f t="shared" ref="P10897" si="1422">M10897*K10897</f>
        <v>17.658479999999997</v>
      </c>
      <c r="Q10897" s="3396"/>
      <c r="R10897" s="2338"/>
    </row>
    <row r="10898" spans="1:20" s="22" customFormat="1">
      <c r="A10898" s="19"/>
      <c r="B10898" s="553"/>
      <c r="C10898" s="1042"/>
      <c r="D10898" s="3951"/>
      <c r="E10898" s="1857"/>
      <c r="F10898" s="1430"/>
      <c r="G10898" s="1381"/>
      <c r="H10898" s="1408"/>
      <c r="I10898" s="198"/>
      <c r="J10898" s="198"/>
      <c r="K10898" s="1307"/>
      <c r="L10898" s="1335"/>
      <c r="M10898" s="1302"/>
      <c r="N10898" s="1724"/>
      <c r="O10898" s="1719"/>
      <c r="P10898" s="1727"/>
      <c r="Q10898" s="3396"/>
      <c r="R10898" s="2338"/>
    </row>
    <row r="10899" spans="1:20" s="22" customFormat="1" ht="15" customHeight="1">
      <c r="A10899" s="19"/>
      <c r="B10899" s="553"/>
      <c r="C10899" s="1042"/>
      <c r="D10899" s="3951"/>
      <c r="E10899" s="1857"/>
      <c r="F10899" s="1402"/>
      <c r="G10899" s="2105"/>
      <c r="H10899" s="1408"/>
      <c r="I10899" s="197"/>
      <c r="J10899" s="198"/>
      <c r="K10899" s="1307"/>
      <c r="L10899" s="1335"/>
      <c r="M10899" s="1302"/>
      <c r="N10899" s="1724"/>
      <c r="O10899" s="1719"/>
      <c r="P10899" s="1727"/>
      <c r="Q10899" s="3396"/>
      <c r="R10899" s="2338"/>
      <c r="T10899" s="2184">
        <v>42179</v>
      </c>
    </row>
    <row r="10900" spans="1:20" s="22" customFormat="1">
      <c r="A10900" s="1599"/>
      <c r="B10900" s="1599"/>
      <c r="C10900" s="1320"/>
      <c r="D10900" s="3947"/>
      <c r="E10900" s="2123"/>
      <c r="F10900" s="1374" t="s">
        <v>3</v>
      </c>
      <c r="G10900" s="2199"/>
      <c r="H10900" s="1376"/>
      <c r="I10900" s="1382"/>
      <c r="J10900" s="1383"/>
      <c r="K10900" s="1383"/>
      <c r="L10900" s="1413"/>
      <c r="M10900" s="1376"/>
      <c r="N10900" s="1376"/>
      <c r="O10900" s="1376"/>
      <c r="P10900" s="1373"/>
      <c r="Q10900" s="3403"/>
      <c r="R10900" s="2356"/>
    </row>
    <row r="10901" spans="1:20" s="22" customFormat="1">
      <c r="A10901" s="2053"/>
      <c r="B10901" s="2053"/>
      <c r="C10901" s="1321"/>
      <c r="D10901" s="3997"/>
      <c r="E10901" s="2304"/>
      <c r="F10901" s="2202"/>
      <c r="G10901" s="2203"/>
      <c r="H10901" s="1379"/>
      <c r="I10901" s="1299"/>
      <c r="J10901" s="1300"/>
      <c r="K10901" s="1307"/>
      <c r="L10901" s="1335"/>
      <c r="M10901" s="1302"/>
      <c r="N10901" s="1700"/>
      <c r="O10901" s="1290"/>
      <c r="P10901" s="1332"/>
      <c r="Q10901" s="3402"/>
      <c r="R10901" s="2053"/>
    </row>
    <row r="10902" spans="1:20" s="22" customFormat="1">
      <c r="A10902" s="2053"/>
      <c r="B10902" s="2053"/>
      <c r="C10902" s="1321"/>
      <c r="D10902" s="3946"/>
      <c r="E10902" s="2124"/>
      <c r="F10902" s="1378"/>
      <c r="G10902" s="2200"/>
      <c r="H10902" s="1379"/>
      <c r="I10902" s="1299"/>
      <c r="J10902" s="1300"/>
      <c r="K10902" s="1307"/>
      <c r="L10902" s="1335"/>
      <c r="M10902" s="1302"/>
      <c r="N10902" s="1700"/>
      <c r="O10902" s="1290"/>
      <c r="P10902" s="1332"/>
      <c r="Q10902" s="3402"/>
      <c r="R10902" s="2053"/>
    </row>
    <row r="10903" spans="1:20" s="22" customFormat="1">
      <c r="A10903" s="1599"/>
      <c r="B10903" s="1599"/>
      <c r="C10903" s="1042"/>
      <c r="D10903" s="3890"/>
      <c r="E10903" s="2161"/>
      <c r="F10903" s="1678"/>
      <c r="G10903" s="2201"/>
      <c r="H10903" s="1376"/>
      <c r="I10903" s="1299"/>
      <c r="J10903" s="1300"/>
      <c r="K10903" s="1307"/>
      <c r="L10903" s="1335"/>
      <c r="M10903" s="1302"/>
      <c r="N10903" s="1700"/>
      <c r="O10903" s="1290"/>
      <c r="P10903" s="1332"/>
      <c r="Q10903" s="3402"/>
      <c r="R10903" s="2356"/>
    </row>
    <row r="10904" spans="1:20" s="22" customFormat="1">
      <c r="A10904" s="551" t="s">
        <v>3764</v>
      </c>
      <c r="B10904" s="4370" t="s">
        <v>2716</v>
      </c>
      <c r="C10904" s="3972"/>
      <c r="D10904" s="4371"/>
      <c r="E10904" s="4329" t="s">
        <v>1357</v>
      </c>
      <c r="F10904" s="4372" t="s">
        <v>2715</v>
      </c>
      <c r="G10904" s="4331" t="s">
        <v>1568</v>
      </c>
      <c r="H10904" s="4331" t="s">
        <v>1574</v>
      </c>
      <c r="I10904" s="1572" t="s">
        <v>1559</v>
      </c>
      <c r="J10904" s="1294" t="s">
        <v>1560</v>
      </c>
      <c r="K10904" s="1294" t="s">
        <v>1569</v>
      </c>
      <c r="L10904" s="4333" t="s">
        <v>3765</v>
      </c>
      <c r="M10904" s="4323" t="s">
        <v>1571</v>
      </c>
      <c r="N10904" s="4323" t="s">
        <v>1776</v>
      </c>
      <c r="O10904" s="3884" t="s">
        <v>1563</v>
      </c>
      <c r="P10904" s="1336" t="s">
        <v>1562</v>
      </c>
      <c r="Q10904" s="3389"/>
      <c r="R10904" s="1699" t="s">
        <v>1327</v>
      </c>
    </row>
    <row r="10905" spans="1:20" s="22" customFormat="1">
      <c r="A10905" s="1599" t="s">
        <v>3761</v>
      </c>
      <c r="B10905" s="4390"/>
      <c r="C10905" s="3886"/>
      <c r="D10905" s="4328"/>
      <c r="E10905" s="4330"/>
      <c r="F10905" s="4363"/>
      <c r="G10905" s="4332"/>
      <c r="H10905" s="4332"/>
      <c r="I10905" s="1345">
        <v>76.06</v>
      </c>
      <c r="J10905" s="1307">
        <v>1</v>
      </c>
      <c r="K10905" s="1666">
        <f>I10905*J10905</f>
        <v>76.06</v>
      </c>
      <c r="L10905" s="4334"/>
      <c r="M10905" s="4324"/>
      <c r="N10905" s="4324"/>
      <c r="O10905" s="1298">
        <f>SUM(O10907:O10917)</f>
        <v>80.305000000000007</v>
      </c>
      <c r="P10905" s="1337">
        <f>O10905*K10905</f>
        <v>6107.9983000000011</v>
      </c>
      <c r="Q10905" s="3390"/>
      <c r="R10905" s="1721">
        <f>SUM(P10907:P10917)</f>
        <v>6107.9982999999993</v>
      </c>
    </row>
    <row r="10906" spans="1:20" s="22" customFormat="1">
      <c r="A10906" s="1599"/>
      <c r="B10906" s="3952"/>
      <c r="C10906" s="3981"/>
      <c r="D10906" s="1367"/>
      <c r="E10906" s="2121"/>
      <c r="F10906" s="1389" t="s">
        <v>1</v>
      </c>
      <c r="G10906" s="1389"/>
      <c r="H10906" s="1369"/>
      <c r="I10906" s="2088"/>
      <c r="J10906" s="1369"/>
      <c r="K10906" s="1391"/>
      <c r="L10906" s="1559"/>
      <c r="M10906" s="1369"/>
      <c r="N10906" s="1369"/>
      <c r="O10906" s="1369"/>
      <c r="P10906" s="1392"/>
      <c r="Q10906" s="3395"/>
      <c r="R10906" s="2344"/>
    </row>
    <row r="10907" spans="1:20" s="22" customFormat="1">
      <c r="B10907" s="1042"/>
      <c r="C10907" s="88"/>
      <c r="D10907" s="1367" t="s">
        <v>1194</v>
      </c>
      <c r="E10907" s="2121" t="s">
        <v>1357</v>
      </c>
      <c r="F10907" s="1367" t="s">
        <v>2122</v>
      </c>
      <c r="G10907" s="1554">
        <v>5.9</v>
      </c>
      <c r="H10907" s="1369"/>
      <c r="I10907" s="1299"/>
      <c r="J10907" s="1300"/>
      <c r="K10907" s="1350">
        <f>G10907*K10905</f>
        <v>448.75400000000002</v>
      </c>
      <c r="L10907" s="1335">
        <f t="shared" ref="L10907:L10914" si="1423">K10907*$K$10671</f>
        <v>0</v>
      </c>
      <c r="M10907" s="1499">
        <v>1.24</v>
      </c>
      <c r="N10907" s="1724"/>
      <c r="O10907" s="1290">
        <f t="shared" ref="O10907:O10914" si="1424">G10907*M10907</f>
        <v>7.3160000000000007</v>
      </c>
      <c r="P10907" s="1332">
        <f t="shared" ref="P10907:P10914" si="1425">M10907*K10907</f>
        <v>556.45496000000003</v>
      </c>
      <c r="Q10907" s="3391"/>
      <c r="R10907" s="2339"/>
    </row>
    <row r="10908" spans="1:20" s="22" customFormat="1">
      <c r="B10908" s="1042"/>
      <c r="C10908" s="88"/>
      <c r="D10908" s="1367" t="s">
        <v>2719</v>
      </c>
      <c r="E10908" s="2121" t="s">
        <v>1507</v>
      </c>
      <c r="F10908" s="1367" t="s">
        <v>2720</v>
      </c>
      <c r="G10908" s="1367">
        <v>1.05</v>
      </c>
      <c r="H10908" s="1369"/>
      <c r="I10908" s="1299"/>
      <c r="J10908" s="1300"/>
      <c r="K10908" s="1350">
        <f>G10908*K10905</f>
        <v>79.863</v>
      </c>
      <c r="L10908" s="1335">
        <f t="shared" si="1423"/>
        <v>0</v>
      </c>
      <c r="M10908" s="1499">
        <v>32.5</v>
      </c>
      <c r="N10908" s="1724"/>
      <c r="O10908" s="1290">
        <f t="shared" si="1424"/>
        <v>34.125</v>
      </c>
      <c r="P10908" s="1332">
        <f t="shared" si="1425"/>
        <v>2595.5475000000001</v>
      </c>
      <c r="Q10908" s="3391"/>
      <c r="R10908" s="2339"/>
    </row>
    <row r="10909" spans="1:20" s="22" customFormat="1">
      <c r="B10909" s="1042"/>
      <c r="C10909" s="88"/>
      <c r="D10909" s="1367" t="s">
        <v>2717</v>
      </c>
      <c r="E10909" s="2121" t="s">
        <v>1527</v>
      </c>
      <c r="F10909" s="1367" t="s">
        <v>2718</v>
      </c>
      <c r="G10909" s="1554">
        <v>1.3</v>
      </c>
      <c r="H10909" s="1369"/>
      <c r="I10909" s="1299"/>
      <c r="J10909" s="1300"/>
      <c r="K10909" s="1350">
        <f>G10909*K10905</f>
        <v>98.878</v>
      </c>
      <c r="L10909" s="1335">
        <f t="shared" si="1423"/>
        <v>0</v>
      </c>
      <c r="M10909" s="1499">
        <v>2.34</v>
      </c>
      <c r="N10909" s="1724"/>
      <c r="O10909" s="1290">
        <f t="shared" si="1424"/>
        <v>3.0419999999999998</v>
      </c>
      <c r="P10909" s="1332">
        <f t="shared" si="1425"/>
        <v>231.37451999999999</v>
      </c>
      <c r="Q10909" s="3391"/>
      <c r="R10909" s="2339"/>
    </row>
    <row r="10910" spans="1:20" s="22" customFormat="1">
      <c r="B10910" s="1042"/>
      <c r="C10910" s="88"/>
      <c r="D10910" s="1367" t="s">
        <v>2721</v>
      </c>
      <c r="E10910" s="2121" t="s">
        <v>1527</v>
      </c>
      <c r="F10910" s="1367" t="s">
        <v>2722</v>
      </c>
      <c r="G10910" s="1554">
        <v>0.8</v>
      </c>
      <c r="H10910" s="1369"/>
      <c r="I10910" s="1299"/>
      <c r="J10910" s="1300"/>
      <c r="K10910" s="1350">
        <f>G10910*K10905</f>
        <v>60.848000000000006</v>
      </c>
      <c r="L10910" s="1335">
        <f t="shared" si="1423"/>
        <v>0</v>
      </c>
      <c r="M10910" s="1499">
        <v>0.55000000000000004</v>
      </c>
      <c r="N10910" s="1724"/>
      <c r="O10910" s="1290">
        <f t="shared" si="1424"/>
        <v>0.44000000000000006</v>
      </c>
      <c r="P10910" s="1332">
        <f t="shared" si="1425"/>
        <v>33.466400000000007</v>
      </c>
      <c r="Q10910" s="3391"/>
      <c r="R10910" s="2339"/>
    </row>
    <row r="10911" spans="1:20" s="22" customFormat="1">
      <c r="B10911" s="1042"/>
      <c r="C10911" s="88"/>
      <c r="D10911" s="1367" t="s">
        <v>2723</v>
      </c>
      <c r="E10911" s="2121" t="s">
        <v>1527</v>
      </c>
      <c r="F10911" s="1367" t="s">
        <v>2724</v>
      </c>
      <c r="G10911" s="1554">
        <v>0.8</v>
      </c>
      <c r="H10911" s="1369"/>
      <c r="I10911" s="1299"/>
      <c r="J10911" s="1300"/>
      <c r="K10911" s="1350">
        <f>G10911*K10905</f>
        <v>60.848000000000006</v>
      </c>
      <c r="L10911" s="1335">
        <f t="shared" si="1423"/>
        <v>0</v>
      </c>
      <c r="M10911" s="1499">
        <v>2.33</v>
      </c>
      <c r="N10911" s="1724"/>
      <c r="O10911" s="1290">
        <f t="shared" si="1424"/>
        <v>1.8640000000000001</v>
      </c>
      <c r="P10911" s="1332">
        <f t="shared" si="1425"/>
        <v>141.77584000000002</v>
      </c>
      <c r="Q10911" s="3391"/>
      <c r="R10911" s="2339"/>
    </row>
    <row r="10912" spans="1:20" s="22" customFormat="1">
      <c r="B10912" s="1042"/>
      <c r="C10912" s="88"/>
      <c r="D10912" s="1367" t="s">
        <v>2725</v>
      </c>
      <c r="E10912" s="2121" t="s">
        <v>1504</v>
      </c>
      <c r="F10912" s="1367" t="s">
        <v>2726</v>
      </c>
      <c r="G10912" s="1554">
        <v>6</v>
      </c>
      <c r="H10912" s="1369"/>
      <c r="I10912" s="1299"/>
      <c r="J10912" s="1300"/>
      <c r="K10912" s="1350">
        <f>G10912*K10905</f>
        <v>456.36</v>
      </c>
      <c r="L10912" s="1335">
        <f t="shared" si="1423"/>
        <v>0</v>
      </c>
      <c r="M10912" s="1499">
        <v>0.26</v>
      </c>
      <c r="N10912" s="1724"/>
      <c r="O10912" s="1290">
        <f t="shared" si="1424"/>
        <v>1.56</v>
      </c>
      <c r="P10912" s="1332">
        <f t="shared" si="1425"/>
        <v>118.65360000000001</v>
      </c>
      <c r="Q10912" s="3391"/>
      <c r="R10912" s="2339"/>
    </row>
    <row r="10913" spans="1:22" s="22" customFormat="1">
      <c r="B10913" s="1042"/>
      <c r="C10913" s="88"/>
      <c r="D10913" s="1367" t="s">
        <v>1097</v>
      </c>
      <c r="E10913" s="2121" t="s">
        <v>1504</v>
      </c>
      <c r="F10913" s="1367" t="s">
        <v>1632</v>
      </c>
      <c r="G10913" s="1554">
        <v>3</v>
      </c>
      <c r="H10913" s="1369"/>
      <c r="I10913" s="1299"/>
      <c r="J10913" s="1300"/>
      <c r="K10913" s="1350">
        <f>G10913*K10905</f>
        <v>228.18</v>
      </c>
      <c r="L10913" s="1335">
        <f t="shared" si="1423"/>
        <v>0</v>
      </c>
      <c r="M10913" s="1499">
        <v>0.55000000000000004</v>
      </c>
      <c r="N10913" s="1724"/>
      <c r="O10913" s="1290">
        <f t="shared" si="1424"/>
        <v>1.6500000000000001</v>
      </c>
      <c r="P10913" s="1332">
        <f t="shared" si="1425"/>
        <v>125.49900000000001</v>
      </c>
      <c r="Q10913" s="3391"/>
      <c r="R10913" s="2339"/>
    </row>
    <row r="10914" spans="1:22" s="22" customFormat="1">
      <c r="B10914" s="1042"/>
      <c r="C10914" s="88"/>
      <c r="D10914" s="1367" t="s">
        <v>1082</v>
      </c>
      <c r="E10914" s="2121" t="s">
        <v>1504</v>
      </c>
      <c r="F10914" s="1367" t="s">
        <v>1541</v>
      </c>
      <c r="G10914" s="1554">
        <v>1</v>
      </c>
      <c r="H10914" s="1369"/>
      <c r="I10914" s="1299"/>
      <c r="J10914" s="1300"/>
      <c r="K10914" s="1350">
        <f>G10914*K10905</f>
        <v>76.06</v>
      </c>
      <c r="L10914" s="1335">
        <f t="shared" si="1423"/>
        <v>0</v>
      </c>
      <c r="M10914" s="1499">
        <v>0.3</v>
      </c>
      <c r="N10914" s="1724"/>
      <c r="O10914" s="1290">
        <f t="shared" si="1424"/>
        <v>0.3</v>
      </c>
      <c r="P10914" s="1332">
        <f t="shared" si="1425"/>
        <v>22.818000000000001</v>
      </c>
      <c r="Q10914" s="3391"/>
      <c r="R10914" s="2339"/>
    </row>
    <row r="10915" spans="1:22" s="22" customFormat="1">
      <c r="A10915" s="16"/>
      <c r="B10915" s="1320"/>
      <c r="C10915" s="595"/>
      <c r="D10915" s="2205"/>
      <c r="E10915" s="2130"/>
      <c r="F10915" s="2205"/>
      <c r="G10915" s="2206"/>
      <c r="H10915" s="1399"/>
      <c r="I10915" s="198"/>
      <c r="J10915" s="198"/>
      <c r="K10915" s="1307"/>
      <c r="L10915" s="1335"/>
      <c r="M10915" s="1499"/>
      <c r="N10915" s="1701"/>
      <c r="O10915" s="1291"/>
      <c r="P10915" s="1332"/>
      <c r="Q10915" s="3391"/>
      <c r="R10915" s="3889"/>
    </row>
    <row r="10916" spans="1:22" s="22" customFormat="1" ht="26">
      <c r="A10916" s="3995"/>
      <c r="B10916" s="1320"/>
      <c r="C10916" s="88"/>
      <c r="D10916" s="1359"/>
      <c r="E10916" s="1858"/>
      <c r="F10916" s="1360" t="s">
        <v>2</v>
      </c>
      <c r="G10916" s="1360"/>
      <c r="H10916" s="1362"/>
      <c r="I10916" s="1380"/>
      <c r="J10916" s="1381"/>
      <c r="K10916" s="1381"/>
      <c r="L10916" s="1458"/>
      <c r="M10916" s="1362"/>
      <c r="N10916" s="1362"/>
      <c r="O10916" s="1362"/>
      <c r="P10916" s="1359"/>
      <c r="Q10916" s="3403"/>
      <c r="R10916" s="2357"/>
    </row>
    <row r="10917" spans="1:22" s="22" customFormat="1">
      <c r="A10917" s="19"/>
      <c r="B10917" s="1042"/>
      <c r="C10917" s="4007" t="s">
        <v>1523</v>
      </c>
      <c r="D10917" s="1329"/>
      <c r="E10917" s="2135" t="s">
        <v>1508</v>
      </c>
      <c r="F10917" s="1330" t="s">
        <v>1524</v>
      </c>
      <c r="G10917" s="1461"/>
      <c r="H10917" s="1776">
        <v>0.8</v>
      </c>
      <c r="I10917" s="1488"/>
      <c r="J10917" s="1388"/>
      <c r="K10917" s="1510"/>
      <c r="L10917" s="1445"/>
      <c r="M10917" s="1446"/>
      <c r="N10917" s="1447">
        <f>SUM(N10918:N10919)</f>
        <v>37.510000000000005</v>
      </c>
      <c r="O10917" s="1447">
        <f>SUM(O10918:O10919)</f>
        <v>30.008000000000003</v>
      </c>
      <c r="P10917" s="1447">
        <f>SUM(P10918:P10919)</f>
        <v>2282.4084800000001</v>
      </c>
      <c r="Q10917" s="3391"/>
      <c r="R10917" s="2338"/>
    </row>
    <row r="10918" spans="1:22" s="22" customFormat="1">
      <c r="A10918" s="19"/>
      <c r="B10918" s="553"/>
      <c r="C10918" s="3954"/>
      <c r="D10918" s="3951" t="s">
        <v>1067</v>
      </c>
      <c r="E10918" s="1857" t="s">
        <v>1508</v>
      </c>
      <c r="F10918" s="1430" t="s">
        <v>5</v>
      </c>
      <c r="G10918" s="1381">
        <v>1</v>
      </c>
      <c r="H10918" s="1408">
        <f>G10918*H10917</f>
        <v>0.8</v>
      </c>
      <c r="I10918" s="1340"/>
      <c r="J10918" s="198"/>
      <c r="K10918" s="1307">
        <f>H10918*K10905</f>
        <v>60.848000000000006</v>
      </c>
      <c r="L10918" s="1335">
        <f>K10918*$K$10671</f>
        <v>0</v>
      </c>
      <c r="M10918" s="1302">
        <v>18.28</v>
      </c>
      <c r="N10918" s="1724">
        <f>G10918*M10918</f>
        <v>18.28</v>
      </c>
      <c r="O10918" s="1726">
        <f>H10918*M10918</f>
        <v>14.624000000000002</v>
      </c>
      <c r="P10918" s="1727">
        <f>M10918*K10918</f>
        <v>1112.3014400000002</v>
      </c>
      <c r="Q10918" s="3396"/>
      <c r="R10918" s="2338"/>
    </row>
    <row r="10919" spans="1:22">
      <c r="A10919" s="19"/>
      <c r="B10919" s="553"/>
      <c r="C10919" s="1042"/>
      <c r="D10919" s="3951" t="s">
        <v>1077</v>
      </c>
      <c r="E10919" s="1857" t="s">
        <v>1508</v>
      </c>
      <c r="F10919" s="1430" t="s">
        <v>37</v>
      </c>
      <c r="G10919" s="1381">
        <v>1</v>
      </c>
      <c r="H10919" s="1408">
        <f>G10919*H10917</f>
        <v>0.8</v>
      </c>
      <c r="I10919" s="198"/>
      <c r="J10919" s="198"/>
      <c r="K10919" s="1307">
        <f>H10919*K10905</f>
        <v>60.848000000000006</v>
      </c>
      <c r="L10919" s="1335">
        <f>K10919*$K$10671</f>
        <v>0</v>
      </c>
      <c r="M10919" s="1302">
        <v>19.23</v>
      </c>
      <c r="N10919" s="1724">
        <f>G10919*M10919</f>
        <v>19.23</v>
      </c>
      <c r="O10919" s="1719">
        <f>(H10919*M10919)</f>
        <v>15.384</v>
      </c>
      <c r="P10919" s="1727">
        <f>M10919*K10919</f>
        <v>1170.1070400000001</v>
      </c>
      <c r="Q10919" s="3396"/>
      <c r="R10919" s="2338"/>
      <c r="S10919" s="16"/>
      <c r="T10919" s="16"/>
      <c r="U10919" s="16"/>
      <c r="V10919" s="16"/>
    </row>
    <row r="10920" spans="1:22">
      <c r="A10920" s="19"/>
      <c r="B10920" s="553"/>
      <c r="C10920" s="1042"/>
      <c r="D10920" s="3951"/>
      <c r="E10920" s="1857"/>
      <c r="F10920" s="1402"/>
      <c r="G10920" s="2105"/>
      <c r="H10920" s="1408"/>
      <c r="I10920" s="197"/>
      <c r="J10920" s="198"/>
      <c r="K10920" s="1307"/>
      <c r="L10920" s="1335"/>
      <c r="M10920" s="1302"/>
      <c r="N10920" s="1724"/>
      <c r="O10920" s="1719"/>
      <c r="P10920" s="1727"/>
      <c r="Q10920" s="3396"/>
      <c r="R10920" s="2338"/>
      <c r="S10920" s="16"/>
      <c r="T10920" s="16"/>
      <c r="U10920" s="16"/>
      <c r="V10920" s="16"/>
    </row>
    <row r="10921" spans="1:22">
      <c r="A10921" s="1599"/>
      <c r="B10921" s="1599"/>
      <c r="C10921" s="1320"/>
      <c r="D10921" s="3947"/>
      <c r="E10921" s="2123"/>
      <c r="F10921" s="1374" t="s">
        <v>3</v>
      </c>
      <c r="G10921" s="2199"/>
      <c r="H10921" s="1376"/>
      <c r="I10921" s="1382"/>
      <c r="J10921" s="1383"/>
      <c r="K10921" s="1383"/>
      <c r="L10921" s="1413"/>
      <c r="M10921" s="1376"/>
      <c r="N10921" s="1376"/>
      <c r="O10921" s="1376"/>
      <c r="P10921" s="1373"/>
      <c r="Q10921" s="3403"/>
      <c r="R10921" s="2356"/>
      <c r="S10921" s="16"/>
      <c r="T10921" s="16"/>
      <c r="U10921" s="16"/>
      <c r="V10921" s="16"/>
    </row>
    <row r="10922" spans="1:22">
      <c r="A10922" s="2053"/>
      <c r="B10922" s="2053"/>
      <c r="C10922" s="1321"/>
      <c r="D10922" s="3997"/>
      <c r="E10922" s="2304"/>
      <c r="F10922" s="2202"/>
      <c r="G10922" s="2203"/>
      <c r="H10922" s="1379"/>
      <c r="I10922" s="1299"/>
      <c r="J10922" s="1300"/>
      <c r="K10922" s="1307"/>
      <c r="L10922" s="1335"/>
      <c r="M10922" s="1302"/>
      <c r="N10922" s="1700"/>
      <c r="O10922" s="1290"/>
      <c r="P10922" s="1332"/>
      <c r="Q10922" s="3402"/>
      <c r="R10922" s="2053"/>
      <c r="S10922" s="16"/>
      <c r="T10922" s="16"/>
      <c r="U10922" s="16"/>
      <c r="V10922" s="16"/>
    </row>
    <row r="10923" spans="1:22">
      <c r="A10923" s="2053"/>
      <c r="B10923" s="2053"/>
      <c r="C10923" s="1321"/>
      <c r="D10923" s="3946"/>
      <c r="E10923" s="2124"/>
      <c r="F10923" s="1378"/>
      <c r="G10923" s="2200"/>
      <c r="H10923" s="1379"/>
      <c r="I10923" s="1299"/>
      <c r="J10923" s="1300"/>
      <c r="K10923" s="1307"/>
      <c r="L10923" s="1335"/>
      <c r="M10923" s="1302"/>
      <c r="N10923" s="1700"/>
      <c r="O10923" s="1290"/>
      <c r="P10923" s="1332"/>
      <c r="Q10923" s="3402"/>
      <c r="R10923" s="2053"/>
      <c r="S10923" s="16"/>
      <c r="T10923" s="16"/>
      <c r="U10923" s="16"/>
      <c r="V10923" s="16"/>
    </row>
    <row r="10924" spans="1:22">
      <c r="A10924" s="1599"/>
      <c r="B10924" s="1599"/>
      <c r="C10924" s="1042"/>
      <c r="D10924" s="3947"/>
      <c r="E10924" s="2161"/>
      <c r="F10924" s="1678"/>
      <c r="G10924" s="2201"/>
      <c r="H10924" s="1376"/>
      <c r="I10924" s="1299"/>
      <c r="J10924" s="1300"/>
      <c r="K10924" s="1307"/>
      <c r="L10924" s="1335"/>
      <c r="M10924" s="1302"/>
      <c r="N10924" s="1700"/>
      <c r="O10924" s="1290"/>
      <c r="P10924" s="1332"/>
      <c r="Q10924" s="3402"/>
      <c r="R10924" s="2356"/>
      <c r="S10924" s="16"/>
      <c r="T10924" s="16"/>
      <c r="U10924" s="16"/>
      <c r="V10924" s="16"/>
    </row>
    <row r="10925" spans="1:22" s="22" customFormat="1">
      <c r="A10925" s="2053"/>
      <c r="B10925" s="2053"/>
      <c r="C10925" s="2108"/>
      <c r="D10925" s="3932"/>
      <c r="E10925" s="3933"/>
      <c r="F10925" s="3935"/>
      <c r="G10925" s="3937"/>
      <c r="H10925" s="3937"/>
      <c r="I10925" s="3938"/>
      <c r="J10925" s="3939"/>
      <c r="K10925" s="1307"/>
      <c r="L10925" s="1594"/>
      <c r="M10925" s="3895"/>
      <c r="N10925" s="2283"/>
      <c r="O10925" s="1290"/>
      <c r="P10925" s="3919"/>
      <c r="Q10925" s="3391"/>
      <c r="R10925" s="1295"/>
    </row>
    <row r="10926" spans="1:22" s="22" customFormat="1">
      <c r="A10926" s="551" t="s">
        <v>3764</v>
      </c>
      <c r="B10926" s="4370" t="s">
        <v>3775</v>
      </c>
      <c r="C10926" s="3888"/>
      <c r="D10926" s="4371"/>
      <c r="E10926" s="4329" t="s">
        <v>1507</v>
      </c>
      <c r="F10926" s="4372" t="s">
        <v>3776</v>
      </c>
      <c r="G10926" s="4331" t="s">
        <v>1568</v>
      </c>
      <c r="H10926" s="4331" t="s">
        <v>1574</v>
      </c>
      <c r="I10926" s="1572" t="s">
        <v>1559</v>
      </c>
      <c r="J10926" s="1294" t="s">
        <v>1560</v>
      </c>
      <c r="K10926" s="1294" t="s">
        <v>1569</v>
      </c>
      <c r="L10926" s="4333" t="s">
        <v>3765</v>
      </c>
      <c r="M10926" s="4323" t="s">
        <v>1571</v>
      </c>
      <c r="N10926" s="4323" t="s">
        <v>1776</v>
      </c>
      <c r="O10926" s="3347" t="s">
        <v>1563</v>
      </c>
      <c r="P10926" s="1336" t="s">
        <v>1562</v>
      </c>
      <c r="Q10926" s="3389"/>
      <c r="R10926" s="1699" t="s">
        <v>1327</v>
      </c>
    </row>
    <row r="10927" spans="1:22" s="22" customFormat="1">
      <c r="A10927" s="1599" t="s">
        <v>3761</v>
      </c>
      <c r="B10927" s="4326"/>
      <c r="C10927" s="3886"/>
      <c r="D10927" s="4328"/>
      <c r="E10927" s="4330"/>
      <c r="F10927" s="4363"/>
      <c r="G10927" s="4332"/>
      <c r="H10927" s="4332"/>
      <c r="I10927" s="1345">
        <v>3.42</v>
      </c>
      <c r="J10927" s="1307">
        <v>1</v>
      </c>
      <c r="K10927" s="1666">
        <f>I10927*J10927</f>
        <v>3.42</v>
      </c>
      <c r="L10927" s="4334"/>
      <c r="M10927" s="4324"/>
      <c r="N10927" s="4324"/>
      <c r="O10927" s="1298">
        <f>SUM(O10929:O10932)+O10933+O10940+O10941</f>
        <v>36.567473100000001</v>
      </c>
      <c r="P10927" s="1337">
        <f>O10927*K10927</f>
        <v>125.060758002</v>
      </c>
      <c r="Q10927" s="3390"/>
      <c r="R10927" s="1721">
        <f>SUM(P10929:P10933)+P10940+P10941</f>
        <v>125.060758002</v>
      </c>
    </row>
    <row r="10928" spans="1:22" s="22" customFormat="1">
      <c r="A10928" s="1599"/>
      <c r="B10928" s="3952"/>
      <c r="C10928" s="1327"/>
      <c r="D10928" s="1367"/>
      <c r="E10928" s="2121"/>
      <c r="F10928" s="1389" t="s">
        <v>1</v>
      </c>
      <c r="G10928" s="1389"/>
      <c r="H10928" s="1369"/>
      <c r="I10928" s="2088"/>
      <c r="J10928" s="1369"/>
      <c r="K10928" s="1391"/>
      <c r="L10928" s="1559"/>
      <c r="M10928" s="1369"/>
      <c r="N10928" s="1369"/>
      <c r="O10928" s="1369"/>
      <c r="P10928" s="1392"/>
      <c r="Q10928" s="3395"/>
      <c r="R10928" s="2344"/>
    </row>
    <row r="10929" spans="1:18" s="22" customFormat="1">
      <c r="B10929" s="1042"/>
      <c r="C10929" s="1042"/>
      <c r="D10929" s="1367" t="s">
        <v>1724</v>
      </c>
      <c r="E10929" s="2121" t="s">
        <v>1357</v>
      </c>
      <c r="F10929" s="1367" t="s">
        <v>1725</v>
      </c>
      <c r="G10929" s="1554">
        <v>2.0499999999999998</v>
      </c>
      <c r="H10929" s="1369"/>
      <c r="I10929" s="1299"/>
      <c r="J10929" s="1300"/>
      <c r="K10929" s="1350">
        <f>G10929*K10927</f>
        <v>7.0109999999999992</v>
      </c>
      <c r="L10929" s="1335">
        <f>K10929*$K$10671</f>
        <v>0</v>
      </c>
      <c r="M10929" s="1499">
        <v>0.93</v>
      </c>
      <c r="N10929" s="1724"/>
      <c r="O10929" s="1290">
        <f t="shared" ref="O10929:O10931" si="1426">G10929*M10929</f>
        <v>1.9064999999999999</v>
      </c>
      <c r="P10929" s="1332">
        <f t="shared" ref="P10929:P10931" si="1427">M10929*K10929</f>
        <v>6.5202299999999997</v>
      </c>
      <c r="Q10929" s="3391"/>
      <c r="R10929" s="2339"/>
    </row>
    <row r="10930" spans="1:18" s="22" customFormat="1">
      <c r="B10930" s="1042"/>
      <c r="C10930" s="1042"/>
      <c r="D10930" s="1367" t="s">
        <v>3777</v>
      </c>
      <c r="E10930" s="2121" t="s">
        <v>1357</v>
      </c>
      <c r="F10930" s="1367" t="s">
        <v>3778</v>
      </c>
      <c r="G10930" s="1367">
        <v>6.24</v>
      </c>
      <c r="H10930" s="1369"/>
      <c r="I10930" s="1299"/>
      <c r="J10930" s="1300"/>
      <c r="K10930" s="1350">
        <f>G10930*K10927</f>
        <v>21.340800000000002</v>
      </c>
      <c r="L10930" s="1335">
        <f>K10930*$K$10671</f>
        <v>0</v>
      </c>
      <c r="M10930" s="1499">
        <v>0.83</v>
      </c>
      <c r="N10930" s="1724"/>
      <c r="O10930" s="1290">
        <f t="shared" si="1426"/>
        <v>5.1791999999999998</v>
      </c>
      <c r="P10930" s="1332">
        <f t="shared" si="1427"/>
        <v>17.712864</v>
      </c>
      <c r="Q10930" s="3391"/>
      <c r="R10930" s="2339"/>
    </row>
    <row r="10931" spans="1:18" s="22" customFormat="1">
      <c r="B10931" s="1042"/>
      <c r="C10931" s="1042"/>
      <c r="D10931" s="1367" t="s">
        <v>3714</v>
      </c>
      <c r="E10931" s="2121" t="s">
        <v>1504</v>
      </c>
      <c r="F10931" s="1367" t="s">
        <v>3715</v>
      </c>
      <c r="G10931" s="1554">
        <v>4</v>
      </c>
      <c r="H10931" s="1369"/>
      <c r="I10931" s="1299"/>
      <c r="J10931" s="1300"/>
      <c r="K10931" s="1350">
        <f>G10931*K10927</f>
        <v>13.68</v>
      </c>
      <c r="L10931" s="1335">
        <f>K10931*$K$10671</f>
        <v>0</v>
      </c>
      <c r="M10931" s="1499">
        <v>0.84</v>
      </c>
      <c r="N10931" s="1724"/>
      <c r="O10931" s="1290">
        <f t="shared" si="1426"/>
        <v>3.36</v>
      </c>
      <c r="P10931" s="1332">
        <f t="shared" si="1427"/>
        <v>11.491199999999999</v>
      </c>
      <c r="Q10931" s="3391"/>
      <c r="R10931" s="2339"/>
    </row>
    <row r="10932" spans="1:18" s="22" customFormat="1">
      <c r="B10932" s="1042"/>
      <c r="C10932" s="553"/>
      <c r="D10932" s="3973" t="s">
        <v>1095</v>
      </c>
      <c r="E10932" s="4008" t="s">
        <v>1517</v>
      </c>
      <c r="F10932" s="3038" t="s">
        <v>1520</v>
      </c>
      <c r="G10932" s="4010">
        <v>0.02</v>
      </c>
      <c r="H10932" s="3913"/>
      <c r="I10932" s="1299"/>
      <c r="J10932" s="3939"/>
      <c r="K10932" s="1350">
        <f>G10932*K10927</f>
        <v>6.8400000000000002E-2</v>
      </c>
      <c r="L10932" s="1335">
        <f>K10932*$K$10671</f>
        <v>0</v>
      </c>
      <c r="M10932" s="3992">
        <v>56.63</v>
      </c>
      <c r="N10932" s="1724"/>
      <c r="O10932" s="1290">
        <f t="shared" ref="O10932" si="1428">G10932*M10932</f>
        <v>1.1326000000000001</v>
      </c>
      <c r="P10932" s="1332">
        <f t="shared" ref="P10932" si="1429">M10932*K10932</f>
        <v>3.8734920000000002</v>
      </c>
      <c r="Q10932" s="3391"/>
      <c r="R10932" s="2339"/>
    </row>
    <row r="10933" spans="1:18" s="22" customFormat="1">
      <c r="A10933" s="2041" t="s">
        <v>3779</v>
      </c>
      <c r="B10933" s="1320"/>
      <c r="C10933" s="1658" t="s">
        <v>1122</v>
      </c>
      <c r="D10933" s="1311"/>
      <c r="E10933" s="1855" t="s">
        <v>1517</v>
      </c>
      <c r="F10933" s="1647" t="s">
        <v>1681</v>
      </c>
      <c r="G10933" s="4009"/>
      <c r="H10933" s="4006">
        <v>0.01</v>
      </c>
      <c r="I10933" s="1444"/>
      <c r="J10933" s="1388"/>
      <c r="K10933" s="1510"/>
      <c r="L10933" s="1445"/>
      <c r="M10933" s="1500"/>
      <c r="N10933" s="1501">
        <f>SUM(N10934:N10938)</f>
        <v>51.667310000000001</v>
      </c>
      <c r="O10933" s="1501">
        <f>SUM(O10934:O10938)</f>
        <v>0.5166731</v>
      </c>
      <c r="P10933" s="1501">
        <f>SUM(P10934:P10938)</f>
        <v>1.767022002</v>
      </c>
      <c r="Q10933" s="3391"/>
      <c r="R10933" s="1296"/>
    </row>
    <row r="10934" spans="1:18" s="22" customFormat="1">
      <c r="A10934" s="2041" t="s">
        <v>3780</v>
      </c>
      <c r="B10934" s="1320"/>
      <c r="C10934" s="1042"/>
      <c r="D10934" s="1451" t="s">
        <v>1069</v>
      </c>
      <c r="E10934" s="1856" t="s">
        <v>1517</v>
      </c>
      <c r="F10934" s="1421" t="s">
        <v>1578</v>
      </c>
      <c r="G10934" s="1452">
        <v>0.26300000000000001</v>
      </c>
      <c r="H10934" s="1453">
        <f>H10933*G10934</f>
        <v>2.63E-3</v>
      </c>
      <c r="I10934" s="1286"/>
      <c r="J10934" s="198"/>
      <c r="K10934" s="1307">
        <f>H10934*K10927</f>
        <v>8.9946000000000002E-3</v>
      </c>
      <c r="L10934" s="1335">
        <f t="shared" ref="L10934:L10938" si="1430">K10934*$K$10671</f>
        <v>0</v>
      </c>
      <c r="M10934" s="1302">
        <v>0.55000000000000004</v>
      </c>
      <c r="N10934" s="1724">
        <f>G10934*M10934</f>
        <v>0.14465000000000003</v>
      </c>
      <c r="O10934" s="1726">
        <f>H10934*M10934</f>
        <v>1.4465000000000001E-3</v>
      </c>
      <c r="P10934" s="1727">
        <f>M10934*K10934</f>
        <v>4.9470300000000007E-3</v>
      </c>
      <c r="Q10934" s="3396"/>
      <c r="R10934" s="1296"/>
    </row>
    <row r="10935" spans="1:18" s="22" customFormat="1">
      <c r="A10935" s="553"/>
      <c r="B10935" s="1320"/>
      <c r="C10935" s="1320"/>
      <c r="D10935" s="1367" t="s">
        <v>1394</v>
      </c>
      <c r="E10935" s="1856" t="s">
        <v>1577</v>
      </c>
      <c r="F10935" s="1421" t="s">
        <v>1579</v>
      </c>
      <c r="G10935" s="1452">
        <v>0.25800000000000001</v>
      </c>
      <c r="H10935" s="1453">
        <f>H10933*G10935</f>
        <v>2.5800000000000003E-3</v>
      </c>
      <c r="I10935" s="1286"/>
      <c r="J10935" s="198"/>
      <c r="K10935" s="1307">
        <f>H10935*K10927</f>
        <v>8.8236000000000009E-3</v>
      </c>
      <c r="L10935" s="1335">
        <f t="shared" si="1430"/>
        <v>0</v>
      </c>
      <c r="M10935" s="1302">
        <v>92.54</v>
      </c>
      <c r="N10935" s="1724">
        <f>G10935*M10935</f>
        <v>23.875320000000002</v>
      </c>
      <c r="O10935" s="1719">
        <f>H10935*M10935</f>
        <v>0.23875320000000003</v>
      </c>
      <c r="P10935" s="1720">
        <f>M10935*K10935</f>
        <v>0.81653594400000018</v>
      </c>
      <c r="Q10935" s="3396"/>
      <c r="R10935" s="1296"/>
    </row>
    <row r="10936" spans="1:18" s="22" customFormat="1">
      <c r="A10936" s="553"/>
      <c r="B10936" s="1320"/>
      <c r="C10936" s="1320"/>
      <c r="D10936" s="1603" t="s">
        <v>1682</v>
      </c>
      <c r="E10936" s="1856" t="s">
        <v>1683</v>
      </c>
      <c r="F10936" s="1421" t="s">
        <v>1684</v>
      </c>
      <c r="G10936" s="1452">
        <v>1.288</v>
      </c>
      <c r="H10936" s="1453">
        <f>H10933*G10936</f>
        <v>1.2880000000000001E-2</v>
      </c>
      <c r="I10936" s="1286"/>
      <c r="J10936" s="198"/>
      <c r="K10936" s="1307">
        <f>H10936*K10927</f>
        <v>4.4049600000000001E-2</v>
      </c>
      <c r="L10936" s="1335">
        <f t="shared" si="1430"/>
        <v>0</v>
      </c>
      <c r="M10936" s="1302">
        <v>1.26</v>
      </c>
      <c r="N10936" s="1724">
        <f>G10936*M10936</f>
        <v>1.6228800000000001</v>
      </c>
      <c r="O10936" s="1719">
        <f>H10936*M10936</f>
        <v>1.6228800000000002E-2</v>
      </c>
      <c r="P10936" s="1720">
        <f>M10936*K10936</f>
        <v>5.5502496000000005E-2</v>
      </c>
      <c r="Q10936" s="3396"/>
      <c r="R10936" s="1296"/>
    </row>
    <row r="10937" spans="1:18" s="22" customFormat="1">
      <c r="A10937" s="553"/>
      <c r="B10937" s="1320"/>
      <c r="C10937" s="1320"/>
      <c r="D10937" s="1603" t="s">
        <v>1576</v>
      </c>
      <c r="E10937" s="1856" t="s">
        <v>1517</v>
      </c>
      <c r="F10937" s="1421" t="s">
        <v>1580</v>
      </c>
      <c r="G10937" s="1452">
        <v>1.1020000000000001</v>
      </c>
      <c r="H10937" s="1453">
        <f>H10933*G10937</f>
        <v>1.102E-2</v>
      </c>
      <c r="I10937" s="1286"/>
      <c r="J10937" s="198"/>
      <c r="K10937" s="1307">
        <f>H10937*K10927</f>
        <v>3.7688399999999997E-2</v>
      </c>
      <c r="L10937" s="1335">
        <f t="shared" si="1430"/>
        <v>0</v>
      </c>
      <c r="M10937" s="1302">
        <v>6.53</v>
      </c>
      <c r="N10937" s="1724">
        <f>G10937*M10937</f>
        <v>7.196060000000001</v>
      </c>
      <c r="O10937" s="1719">
        <f>H10937*M10937</f>
        <v>7.19606E-2</v>
      </c>
      <c r="P10937" s="1720">
        <f>M10937*K10937</f>
        <v>0.246105252</v>
      </c>
      <c r="Q10937" s="3396"/>
      <c r="R10937" s="1296"/>
    </row>
    <row r="10938" spans="1:18" s="22" customFormat="1">
      <c r="A10938" s="553"/>
      <c r="B10938" s="1320"/>
      <c r="C10938" s="1320"/>
      <c r="D10938" s="1443" t="s">
        <v>1067</v>
      </c>
      <c r="E10938" s="1857" t="s">
        <v>1508</v>
      </c>
      <c r="F10938" s="1430" t="s">
        <v>1512</v>
      </c>
      <c r="G10938" s="1431">
        <v>1.03</v>
      </c>
      <c r="H10938" s="1431">
        <f>H10933*G10938</f>
        <v>1.03E-2</v>
      </c>
      <c r="I10938" s="1286"/>
      <c r="J10938" s="198"/>
      <c r="K10938" s="1307">
        <f>H10938*K10927</f>
        <v>3.5226E-2</v>
      </c>
      <c r="L10938" s="1335">
        <f t="shared" si="1430"/>
        <v>0</v>
      </c>
      <c r="M10938" s="1302">
        <v>18.28</v>
      </c>
      <c r="N10938" s="1724">
        <f>G10938*M10938</f>
        <v>18.828400000000002</v>
      </c>
      <c r="O10938" s="1719">
        <f>H10938*M10938</f>
        <v>0.18828400000000001</v>
      </c>
      <c r="P10938" s="1720">
        <f>M10938*K10938</f>
        <v>0.64393127999999999</v>
      </c>
      <c r="Q10938" s="3396"/>
      <c r="R10938" s="1296"/>
    </row>
    <row r="10939" spans="1:18" s="22" customFormat="1" ht="26">
      <c r="A10939" s="3995"/>
      <c r="B10939" s="1320"/>
      <c r="C10939" s="1042"/>
      <c r="D10939" s="1359"/>
      <c r="E10939" s="1858"/>
      <c r="F10939" s="1360" t="s">
        <v>2</v>
      </c>
      <c r="G10939" s="1360"/>
      <c r="H10939" s="1362"/>
      <c r="I10939" s="1380"/>
      <c r="J10939" s="1381"/>
      <c r="K10939" s="1381"/>
      <c r="L10939" s="1458"/>
      <c r="M10939" s="1362"/>
      <c r="N10939" s="1362"/>
      <c r="O10939" s="1362"/>
      <c r="P10939" s="1359"/>
      <c r="Q10939" s="3403"/>
      <c r="R10939" s="2357"/>
    </row>
    <row r="10940" spans="1:18" s="22" customFormat="1">
      <c r="A10940" s="19"/>
      <c r="B10940" s="1042"/>
      <c r="C10940" s="1042"/>
      <c r="D10940" s="1402" t="s">
        <v>2063</v>
      </c>
      <c r="E10940" s="1857" t="s">
        <v>1508</v>
      </c>
      <c r="F10940" s="1430" t="s">
        <v>1966</v>
      </c>
      <c r="G10940" s="1381">
        <v>0.65</v>
      </c>
      <c r="H10940" s="1408"/>
      <c r="I10940" s="1340"/>
      <c r="J10940" s="198"/>
      <c r="K10940" s="1307">
        <f>G10940*K10927</f>
        <v>2.2229999999999999</v>
      </c>
      <c r="L10940" s="1335">
        <f>K10940*$K$10671</f>
        <v>0</v>
      </c>
      <c r="M10940" s="1302">
        <v>18.420000000000002</v>
      </c>
      <c r="N10940" s="1724"/>
      <c r="O10940" s="1290">
        <f t="shared" ref="O10940:O10941" si="1431">G10940*M10940</f>
        <v>11.973000000000001</v>
      </c>
      <c r="P10940" s="1332">
        <f t="shared" ref="P10940:P10941" si="1432">M10940*K10940</f>
        <v>40.947659999999999</v>
      </c>
      <c r="Q10940" s="3396"/>
      <c r="R10940" s="2338"/>
    </row>
    <row r="10941" spans="1:18">
      <c r="A10941" s="19"/>
      <c r="B10941" s="1042"/>
      <c r="C10941" s="1042"/>
      <c r="D10941" s="1402" t="s">
        <v>1077</v>
      </c>
      <c r="E10941" s="1857" t="s">
        <v>1508</v>
      </c>
      <c r="F10941" s="1430" t="s">
        <v>1539</v>
      </c>
      <c r="G10941" s="1381">
        <v>0.65</v>
      </c>
      <c r="H10941" s="1408"/>
      <c r="I10941" s="198"/>
      <c r="J10941" s="198"/>
      <c r="K10941" s="1307">
        <f>G10941*K10927</f>
        <v>2.2229999999999999</v>
      </c>
      <c r="L10941" s="1335">
        <f>K10941*$K$10671</f>
        <v>0</v>
      </c>
      <c r="M10941" s="1302">
        <v>19.23</v>
      </c>
      <c r="N10941" s="1724"/>
      <c r="O10941" s="1290">
        <f t="shared" si="1431"/>
        <v>12.499500000000001</v>
      </c>
      <c r="P10941" s="1332">
        <f t="shared" si="1432"/>
        <v>42.748289999999997</v>
      </c>
      <c r="Q10941" s="3396"/>
      <c r="R10941" s="2338"/>
    </row>
    <row r="10942" spans="1:18">
      <c r="A10942" s="19"/>
      <c r="B10942" s="1042"/>
      <c r="C10942" s="1042"/>
      <c r="D10942" s="1402"/>
      <c r="E10942" s="1857"/>
      <c r="F10942" s="1402"/>
      <c r="G10942" s="2105"/>
      <c r="H10942" s="1408"/>
      <c r="I10942" s="197"/>
      <c r="J10942" s="198"/>
      <c r="K10942" s="1307"/>
      <c r="L10942" s="1335"/>
      <c r="M10942" s="1302"/>
      <c r="N10942" s="1724"/>
      <c r="O10942" s="1719"/>
      <c r="P10942" s="1727"/>
      <c r="Q10942" s="3396"/>
      <c r="R10942" s="2338"/>
    </row>
    <row r="10943" spans="1:18">
      <c r="A10943" s="1599"/>
      <c r="B10943" s="1320"/>
      <c r="C10943" s="1320"/>
      <c r="D10943" s="1373"/>
      <c r="E10943" s="2123"/>
      <c r="F10943" s="1374" t="s">
        <v>3</v>
      </c>
      <c r="G10943" s="2199"/>
      <c r="H10943" s="1376"/>
      <c r="I10943" s="1382"/>
      <c r="J10943" s="1383"/>
      <c r="K10943" s="1383"/>
      <c r="L10943" s="1413"/>
      <c r="M10943" s="1376"/>
      <c r="N10943" s="1376"/>
      <c r="O10943" s="1376"/>
      <c r="P10943" s="1373"/>
      <c r="Q10943" s="3403"/>
      <c r="R10943" s="2356"/>
    </row>
    <row r="10944" spans="1:18">
      <c r="A10944" s="2053"/>
      <c r="B10944" s="1321"/>
      <c r="C10944" s="1321"/>
      <c r="D10944" s="2202"/>
      <c r="E10944" s="2304"/>
      <c r="F10944" s="2202"/>
      <c r="G10944" s="2203"/>
      <c r="H10944" s="1379"/>
      <c r="I10944" s="1299"/>
      <c r="J10944" s="1300"/>
      <c r="K10944" s="1307"/>
      <c r="L10944" s="1335"/>
      <c r="M10944" s="1302"/>
      <c r="N10944" s="1700"/>
      <c r="O10944" s="1290"/>
      <c r="P10944" s="1332"/>
      <c r="Q10944" s="3402"/>
      <c r="R10944" s="2053"/>
    </row>
    <row r="10945" spans="1:22">
      <c r="A10945" s="2053"/>
      <c r="B10945" s="1321"/>
      <c r="C10945" s="1321"/>
      <c r="D10945" s="1377"/>
      <c r="E10945" s="2124"/>
      <c r="F10945" s="1378"/>
      <c r="G10945" s="2200"/>
      <c r="H10945" s="1379"/>
      <c r="I10945" s="1299"/>
      <c r="J10945" s="1300"/>
      <c r="K10945" s="1307"/>
      <c r="L10945" s="1335"/>
      <c r="M10945" s="1302"/>
      <c r="N10945" s="1700"/>
      <c r="O10945" s="1290"/>
      <c r="P10945" s="1332"/>
      <c r="Q10945" s="3402"/>
      <c r="R10945" s="2053"/>
    </row>
    <row r="10946" spans="1:22">
      <c r="A10946" s="1599"/>
      <c r="B10946" s="225"/>
      <c r="C10946" s="223"/>
      <c r="D10946" s="1373"/>
      <c r="E10946" s="2161"/>
      <c r="F10946" s="1678"/>
      <c r="G10946" s="2201"/>
      <c r="H10946" s="1376"/>
      <c r="I10946" s="1299"/>
      <c r="J10946" s="1300"/>
      <c r="K10946" s="1307"/>
      <c r="L10946" s="1335"/>
      <c r="M10946" s="1302"/>
      <c r="N10946" s="1700"/>
      <c r="O10946" s="1290"/>
      <c r="P10946" s="1332"/>
      <c r="Q10946" s="3402"/>
      <c r="R10946" s="2356"/>
      <c r="S10946" s="16"/>
      <c r="T10946" s="16"/>
      <c r="U10946" s="16"/>
      <c r="V10946" s="16"/>
    </row>
    <row r="10947" spans="1:22">
      <c r="A10947" s="551" t="s">
        <v>3764</v>
      </c>
      <c r="B10947" s="4325" t="s">
        <v>3781</v>
      </c>
      <c r="C10947" s="3885"/>
      <c r="D10947" s="4327"/>
      <c r="E10947" s="4329" t="s">
        <v>1527</v>
      </c>
      <c r="F10947" s="4372" t="s">
        <v>3782</v>
      </c>
      <c r="G10947" s="4331" t="s">
        <v>1568</v>
      </c>
      <c r="H10947" s="4331" t="s">
        <v>1574</v>
      </c>
      <c r="I10947" s="1572" t="s">
        <v>1559</v>
      </c>
      <c r="J10947" s="1294" t="s">
        <v>1560</v>
      </c>
      <c r="K10947" s="1294" t="s">
        <v>1569</v>
      </c>
      <c r="L10947" s="4333" t="s">
        <v>3765</v>
      </c>
      <c r="M10947" s="4323" t="s">
        <v>1571</v>
      </c>
      <c r="N10947" s="4323" t="s">
        <v>1776</v>
      </c>
      <c r="O10947" s="3884" t="s">
        <v>1563</v>
      </c>
      <c r="P10947" s="1336" t="s">
        <v>1562</v>
      </c>
      <c r="Q10947" s="3389"/>
      <c r="R10947" s="1699" t="s">
        <v>1327</v>
      </c>
      <c r="S10947" s="16"/>
      <c r="T10947" s="16"/>
      <c r="U10947" s="16"/>
      <c r="V10947" s="16"/>
    </row>
    <row r="10948" spans="1:22">
      <c r="A10948" s="1599" t="s">
        <v>3761</v>
      </c>
      <c r="B10948" s="4326"/>
      <c r="C10948" s="3886"/>
      <c r="D10948" s="4328"/>
      <c r="E10948" s="4330"/>
      <c r="F10948" s="4363"/>
      <c r="G10948" s="4332"/>
      <c r="H10948" s="4332"/>
      <c r="I10948" s="1345">
        <v>7.62</v>
      </c>
      <c r="J10948" s="1307">
        <v>1</v>
      </c>
      <c r="K10948" s="1666">
        <f>I10948*J10948</f>
        <v>7.62</v>
      </c>
      <c r="L10948" s="4334"/>
      <c r="M10948" s="4324"/>
      <c r="N10948" s="4324"/>
      <c r="O10948" s="1298">
        <f>O10950+O10951+O10952+O10953+O10954+O10955+O10960+O10968+O10969+O10970+O10971</f>
        <v>28.783098950000003</v>
      </c>
      <c r="P10948" s="1337">
        <f>O10948*K10948</f>
        <v>219.32721399900004</v>
      </c>
      <c r="Q10948" s="3390"/>
      <c r="R10948" s="1721">
        <f>SUM(P10950:P10955)+P10960+P10968+P10969+P10970+P10971</f>
        <v>219.32721399900001</v>
      </c>
      <c r="S10948" s="16"/>
      <c r="T10948" s="16"/>
      <c r="U10948" s="16"/>
      <c r="V10948" s="16"/>
    </row>
    <row r="10949" spans="1:22">
      <c r="A10949" s="1599"/>
      <c r="B10949" s="1949"/>
      <c r="C10949" s="1327"/>
      <c r="D10949" s="1367"/>
      <c r="E10949" s="2121"/>
      <c r="F10949" s="1389" t="s">
        <v>1</v>
      </c>
      <c r="G10949" s="1389"/>
      <c r="H10949" s="1369"/>
      <c r="I10949" s="2088"/>
      <c r="J10949" s="1369"/>
      <c r="K10949" s="1391"/>
      <c r="L10949" s="1559"/>
      <c r="M10949" s="1369"/>
      <c r="N10949" s="1369"/>
      <c r="O10949" s="1369"/>
      <c r="P10949" s="1392"/>
      <c r="Q10949" s="3395"/>
      <c r="R10949" s="2344"/>
      <c r="S10949" s="16"/>
      <c r="T10949" s="16"/>
      <c r="U10949" s="16"/>
      <c r="V10949" s="16"/>
    </row>
    <row r="10950" spans="1:22">
      <c r="A10950" s="22"/>
      <c r="B10950" s="553"/>
      <c r="C10950" s="1042"/>
      <c r="D10950" s="1367" t="s">
        <v>1129</v>
      </c>
      <c r="E10950" s="2121" t="s">
        <v>1504</v>
      </c>
      <c r="F10950" s="1367" t="s">
        <v>1988</v>
      </c>
      <c r="G10950" s="1554">
        <v>5</v>
      </c>
      <c r="H10950" s="1369"/>
      <c r="I10950" s="1299"/>
      <c r="J10950" s="1300"/>
      <c r="K10950" s="1350">
        <f>G10950*K10948</f>
        <v>38.1</v>
      </c>
      <c r="L10950" s="1335">
        <f>K10950*$K$10671</f>
        <v>0</v>
      </c>
      <c r="M10950" s="1499">
        <v>0.19</v>
      </c>
      <c r="N10950" s="1724"/>
      <c r="O10950" s="1290">
        <f>G10950*M10950</f>
        <v>0.95</v>
      </c>
      <c r="P10950" s="1332">
        <f>M10950*K10950</f>
        <v>7.2390000000000008</v>
      </c>
      <c r="Q10950" s="3391"/>
      <c r="S10950" s="16"/>
      <c r="T10950" s="16"/>
      <c r="U10950" s="16"/>
      <c r="V10950" s="16"/>
    </row>
    <row r="10951" spans="1:22">
      <c r="A10951" s="22"/>
      <c r="B10951" s="553"/>
      <c r="C10951" s="1042"/>
      <c r="D10951" s="1367" t="s">
        <v>2004</v>
      </c>
      <c r="E10951" s="2121" t="s">
        <v>1527</v>
      </c>
      <c r="F10951" s="1367" t="s">
        <v>2005</v>
      </c>
      <c r="G10951" s="1367">
        <v>0.65700000000000003</v>
      </c>
      <c r="H10951" s="1369"/>
      <c r="I10951" s="1299"/>
      <c r="J10951" s="1300"/>
      <c r="K10951" s="1350">
        <f>G10951*K10948</f>
        <v>5.0063400000000007</v>
      </c>
      <c r="L10951" s="1335">
        <f>K10951*$K$10671</f>
        <v>0</v>
      </c>
      <c r="M10951" s="1499">
        <v>9.27</v>
      </c>
      <c r="N10951" s="1724"/>
      <c r="O10951" s="1290">
        <f>G10951*M10951</f>
        <v>6.0903900000000002</v>
      </c>
      <c r="P10951" s="1332">
        <f>M10951*K10951</f>
        <v>46.408771800000004</v>
      </c>
      <c r="Q10951" s="3391"/>
      <c r="S10951" s="16"/>
      <c r="T10951" s="16"/>
      <c r="U10951" s="16"/>
      <c r="V10951" s="16"/>
    </row>
    <row r="10952" spans="1:22">
      <c r="A10952" s="22"/>
      <c r="B10952" s="553"/>
      <c r="C10952" s="1042"/>
      <c r="D10952" s="1367" t="s">
        <v>2002</v>
      </c>
      <c r="E10952" s="2121" t="s">
        <v>1507</v>
      </c>
      <c r="F10952" s="1367" t="s">
        <v>2003</v>
      </c>
      <c r="G10952" s="1554">
        <v>0.65700000000000003</v>
      </c>
      <c r="H10952" s="1369"/>
      <c r="I10952" s="1299"/>
      <c r="J10952" s="1300"/>
      <c r="K10952" s="1307">
        <f>G10952*K10948</f>
        <v>5.0063400000000007</v>
      </c>
      <c r="L10952" s="1335">
        <f>K10952*$K$10671</f>
        <v>0</v>
      </c>
      <c r="M10952" s="1499">
        <v>8.4700000000000006</v>
      </c>
      <c r="N10952" s="1724"/>
      <c r="O10952" s="1290">
        <f>G10952*M10952</f>
        <v>5.5647900000000003</v>
      </c>
      <c r="P10952" s="1332">
        <f>M10952*K10952</f>
        <v>42.403699800000012</v>
      </c>
      <c r="Q10952" s="3391"/>
    </row>
    <row r="10953" spans="1:22" s="22" customFormat="1">
      <c r="B10953" s="553"/>
      <c r="C10953" s="1042"/>
      <c r="D10953" s="1367" t="s">
        <v>1998</v>
      </c>
      <c r="E10953" s="2121" t="s">
        <v>1517</v>
      </c>
      <c r="F10953" s="1367" t="s">
        <v>1999</v>
      </c>
      <c r="G10953" s="1554">
        <v>1.2E-2</v>
      </c>
      <c r="H10953" s="1369"/>
      <c r="I10953" s="1299"/>
      <c r="J10953" s="1300"/>
      <c r="K10953" s="1307">
        <f>G10953*K10948</f>
        <v>9.1440000000000007E-2</v>
      </c>
      <c r="L10953" s="1335">
        <f>K10953*$K$10671</f>
        <v>0</v>
      </c>
      <c r="M10953" s="1499">
        <v>223.2</v>
      </c>
      <c r="N10953" s="1724"/>
      <c r="O10953" s="1290">
        <f>G10953*M10953</f>
        <v>2.6783999999999999</v>
      </c>
      <c r="P10953" s="1332">
        <f>M10953*K10953</f>
        <v>20.409407999999999</v>
      </c>
      <c r="Q10953" s="3391"/>
      <c r="R10953" s="2339"/>
    </row>
    <row r="10954" spans="1:22" s="22" customFormat="1" ht="18" customHeight="1">
      <c r="A10954" s="16"/>
      <c r="B10954" s="1599"/>
      <c r="C10954" s="1320"/>
      <c r="D10954" s="2205" t="s">
        <v>1082</v>
      </c>
      <c r="E10954" s="2130" t="s">
        <v>1504</v>
      </c>
      <c r="F10954" s="2205" t="s">
        <v>1541</v>
      </c>
      <c r="G10954" s="2206">
        <v>0.2</v>
      </c>
      <c r="H10954" s="1399"/>
      <c r="I10954" s="198"/>
      <c r="J10954" s="198"/>
      <c r="K10954" s="1307">
        <f>G10954*K10948</f>
        <v>1.524</v>
      </c>
      <c r="L10954" s="1335">
        <f>K10954*$K$10671</f>
        <v>0</v>
      </c>
      <c r="M10954" s="1499">
        <v>0.3</v>
      </c>
      <c r="N10954" s="1701"/>
      <c r="O10954" s="1290">
        <f>G10954*M10954</f>
        <v>0.06</v>
      </c>
      <c r="P10954" s="1332">
        <f>M10954*K10954</f>
        <v>0.4572</v>
      </c>
      <c r="Q10954" s="3391"/>
      <c r="R10954" s="3889"/>
    </row>
    <row r="10955" spans="1:22" s="22" customFormat="1" ht="20.25" customHeight="1">
      <c r="A10955" s="1042"/>
      <c r="B10955" s="553"/>
      <c r="C10955" s="1419" t="s">
        <v>1127</v>
      </c>
      <c r="D10955" s="1311"/>
      <c r="E10955" s="2128" t="s">
        <v>1517</v>
      </c>
      <c r="F10955" s="2250" t="s">
        <v>1519</v>
      </c>
      <c r="G10955" s="1338"/>
      <c r="H10955" s="1344">
        <v>1.4999999999999999E-2</v>
      </c>
      <c r="I10955" s="1460"/>
      <c r="J10955" s="1387"/>
      <c r="K10955" s="1459"/>
      <c r="L10955" s="1457"/>
      <c r="M10955" s="1501"/>
      <c r="N10955" s="1447">
        <f>SUM(N10956:N10959)</f>
        <v>50.044430000000006</v>
      </c>
      <c r="O10955" s="1447">
        <f>SUM(O10956:O10959)</f>
        <v>1.8477431500000001</v>
      </c>
      <c r="P10955" s="1447">
        <f>SUM(P10956:P10959)</f>
        <v>14.079802803000002</v>
      </c>
      <c r="Q10955" s="3391"/>
      <c r="R10955" s="2339"/>
    </row>
    <row r="10956" spans="1:22" s="22" customFormat="1">
      <c r="A10956" s="1042"/>
      <c r="B10956" s="553"/>
      <c r="C10956" s="18"/>
      <c r="D10956" s="1396" t="s">
        <v>1069</v>
      </c>
      <c r="E10956" s="2130" t="s">
        <v>1517</v>
      </c>
      <c r="F10956" s="1414" t="s">
        <v>1578</v>
      </c>
      <c r="G10956" s="1415">
        <v>0.26300000000000001</v>
      </c>
      <c r="H10956" s="1399">
        <f>H10955*G10956</f>
        <v>3.9449999999999997E-3</v>
      </c>
      <c r="I10956" s="197"/>
      <c r="J10956" s="198"/>
      <c r="K10956" s="1307">
        <f>H10956*K10948</f>
        <v>3.0060899999999998E-2</v>
      </c>
      <c r="L10956" s="1335">
        <f t="shared" ref="L10956:L10959" si="1433">K10956*$K$10671</f>
        <v>0</v>
      </c>
      <c r="M10956" s="1499">
        <v>0.55000000000000004</v>
      </c>
      <c r="N10956" s="1724">
        <f>G10956*M10956</f>
        <v>0.14465000000000003</v>
      </c>
      <c r="O10956" s="1290">
        <f>H10956*M10956</f>
        <v>2.1697500000000002E-3</v>
      </c>
      <c r="P10956" s="1332">
        <f>M10956*K10956</f>
        <v>1.6533494999999999E-2</v>
      </c>
      <c r="Q10956" s="3391"/>
      <c r="R10956" s="2339"/>
    </row>
    <row r="10957" spans="1:22" s="22" customFormat="1">
      <c r="A10957" s="1042"/>
      <c r="B10957" s="553"/>
      <c r="C10957" s="1042"/>
      <c r="D10957" s="1400" t="s">
        <v>1394</v>
      </c>
      <c r="E10957" s="1856" t="s">
        <v>1577</v>
      </c>
      <c r="F10957" s="1397" t="s">
        <v>1579</v>
      </c>
      <c r="G10957" s="1416">
        <v>0.25800000000000001</v>
      </c>
      <c r="H10957" s="1399">
        <f>H10955*G10957</f>
        <v>3.8700000000000002E-3</v>
      </c>
      <c r="I10957" s="197"/>
      <c r="J10957" s="198"/>
      <c r="K10957" s="1307">
        <f>H10957*K10948</f>
        <v>2.9489400000000002E-2</v>
      </c>
      <c r="L10957" s="1335">
        <f t="shared" si="1433"/>
        <v>0</v>
      </c>
      <c r="M10957" s="1499">
        <v>92.54</v>
      </c>
      <c r="N10957" s="1724">
        <f>G10957*M10957</f>
        <v>23.875320000000002</v>
      </c>
      <c r="O10957" s="1290">
        <f>H10957*M10957</f>
        <v>0.35812980000000005</v>
      </c>
      <c r="P10957" s="1332">
        <f>M10957*K10957</f>
        <v>2.7289490760000006</v>
      </c>
      <c r="Q10957" s="3391"/>
      <c r="R10957" s="2339"/>
    </row>
    <row r="10958" spans="1:22" s="22" customFormat="1">
      <c r="A10958" s="1042"/>
      <c r="B10958" s="553"/>
      <c r="C10958" s="1042"/>
      <c r="D10958" s="1400" t="s">
        <v>1576</v>
      </c>
      <c r="E10958" s="1856" t="s">
        <v>1517</v>
      </c>
      <c r="F10958" s="1397" t="s">
        <v>1580</v>
      </c>
      <c r="G10958" s="1416">
        <v>1.1020000000000001</v>
      </c>
      <c r="H10958" s="1399">
        <f>H105153*G10958</f>
        <v>0</v>
      </c>
      <c r="I10958" s="1289"/>
      <c r="J10958" s="198"/>
      <c r="K10958" s="1307">
        <f>H10958*K10948</f>
        <v>0</v>
      </c>
      <c r="L10958" s="1335">
        <f t="shared" si="1433"/>
        <v>0</v>
      </c>
      <c r="M10958" s="1499">
        <v>6.53</v>
      </c>
      <c r="N10958" s="1724">
        <f>G10958*M10958</f>
        <v>7.196060000000001</v>
      </c>
      <c r="O10958" s="1290">
        <f>H10958*M10958</f>
        <v>0</v>
      </c>
      <c r="P10958" s="1332">
        <f>M10958*K10958</f>
        <v>0</v>
      </c>
      <c r="Q10958" s="3391"/>
      <c r="R10958" s="2339"/>
    </row>
    <row r="10959" spans="1:22" s="22" customFormat="1">
      <c r="A10959" s="1042"/>
      <c r="B10959" s="553"/>
      <c r="C10959" s="1042"/>
      <c r="D10959" s="1404" t="s">
        <v>1067</v>
      </c>
      <c r="E10959" s="1857" t="s">
        <v>1508</v>
      </c>
      <c r="F10959" s="1406" t="s">
        <v>1512</v>
      </c>
      <c r="G10959" s="1407">
        <v>1.03</v>
      </c>
      <c r="H10959" s="1408">
        <f>$H$178*G10959</f>
        <v>8.1369999999999998E-2</v>
      </c>
      <c r="I10959" s="1289"/>
      <c r="J10959" s="198"/>
      <c r="K10959" s="1307">
        <f>H10959*K10948</f>
        <v>0.62003940000000002</v>
      </c>
      <c r="L10959" s="1335">
        <f t="shared" si="1433"/>
        <v>0</v>
      </c>
      <c r="M10959" s="1499">
        <v>18.28</v>
      </c>
      <c r="N10959" s="1724">
        <f>G10959*M10959</f>
        <v>18.828400000000002</v>
      </c>
      <c r="O10959" s="1290">
        <f>H10959*M10959</f>
        <v>1.4874436</v>
      </c>
      <c r="P10959" s="1332">
        <f>M10959*K10959</f>
        <v>11.334320232000001</v>
      </c>
      <c r="Q10959" s="3391"/>
      <c r="R10959" s="2339"/>
    </row>
    <row r="10960" spans="1:22" s="22" customFormat="1">
      <c r="A10960" s="16"/>
      <c r="B10960" s="1320"/>
      <c r="C10960" s="1356" t="s">
        <v>1119</v>
      </c>
      <c r="D10960" s="1311"/>
      <c r="E10960" s="1854" t="s">
        <v>1517</v>
      </c>
      <c r="F10960" s="1749" t="s">
        <v>1917</v>
      </c>
      <c r="G10960" s="1688"/>
      <c r="H10960" s="1366">
        <v>0.01</v>
      </c>
      <c r="I10960" s="1388"/>
      <c r="J10960" s="1388"/>
      <c r="K10960" s="1510"/>
      <c r="L10960" s="1445"/>
      <c r="M10960" s="1447"/>
      <c r="N10960" s="1447">
        <f>SUM(N10961:N10965)</f>
        <v>83.047780000000003</v>
      </c>
      <c r="O10960" s="1447">
        <f>SUM(O10961:O10965)</f>
        <v>0.47882580000000002</v>
      </c>
      <c r="P10960" s="1446">
        <f>SUM(P10961:P10965)</f>
        <v>3.6486525959999998</v>
      </c>
      <c r="Q10960" s="3391"/>
      <c r="R10960" s="2339"/>
    </row>
    <row r="10961" spans="1:18" s="22" customFormat="1">
      <c r="A10961" s="16"/>
      <c r="B10961" s="1320"/>
      <c r="C10961" s="18"/>
      <c r="D10961" s="1752" t="s">
        <v>1069</v>
      </c>
      <c r="E10961" s="1852" t="s">
        <v>1517</v>
      </c>
      <c r="F10961" s="1752" t="s">
        <v>1578</v>
      </c>
      <c r="G10961" s="1941">
        <v>0.2</v>
      </c>
      <c r="H10961" s="1453">
        <f>G10961*H10960</f>
        <v>2E-3</v>
      </c>
      <c r="I10961" s="198"/>
      <c r="J10961" s="198"/>
      <c r="K10961" s="1307">
        <f>H10961*K10948</f>
        <v>1.524E-2</v>
      </c>
      <c r="L10961" s="1335">
        <f t="shared" ref="L10961:L10965" si="1434">K10961*$K$10671</f>
        <v>0</v>
      </c>
      <c r="M10961" s="1499">
        <v>0.55000000000000004</v>
      </c>
      <c r="N10961" s="1718">
        <f>G10961*M10961</f>
        <v>0.11000000000000001</v>
      </c>
      <c r="O10961" s="1719">
        <f>H10961*M10961</f>
        <v>1.1000000000000001E-3</v>
      </c>
      <c r="P10961" s="1720">
        <f>M10961*K10961</f>
        <v>8.3820000000000006E-3</v>
      </c>
      <c r="Q10961" s="3396"/>
      <c r="R10961" s="2337"/>
    </row>
    <row r="10962" spans="1:18" s="22" customFormat="1">
      <c r="A10962" s="16"/>
      <c r="B10962" s="1320"/>
      <c r="C10962" s="1042"/>
      <c r="D10962" s="1752" t="s">
        <v>1792</v>
      </c>
      <c r="E10962" s="1852" t="s">
        <v>1577</v>
      </c>
      <c r="F10962" s="1752" t="s">
        <v>1793</v>
      </c>
      <c r="G10962" s="1941">
        <v>0.19</v>
      </c>
      <c r="H10962" s="1399">
        <f>H10960*G10962</f>
        <v>1.9E-3</v>
      </c>
      <c r="I10962" s="197"/>
      <c r="J10962" s="198"/>
      <c r="K10962" s="1307">
        <f>H10962*K10948</f>
        <v>1.4478E-2</v>
      </c>
      <c r="L10962" s="1335">
        <f t="shared" si="1434"/>
        <v>0</v>
      </c>
      <c r="M10962" s="1499">
        <v>85.09</v>
      </c>
      <c r="N10962" s="1718">
        <f>G10962*M10962</f>
        <v>16.167100000000001</v>
      </c>
      <c r="O10962" s="1719">
        <f>H10962*M10962</f>
        <v>0.16167100000000001</v>
      </c>
      <c r="P10962" s="1720">
        <f>M10962*K10962</f>
        <v>1.23193302</v>
      </c>
      <c r="Q10962" s="3396"/>
      <c r="R10962" s="2337"/>
    </row>
    <row r="10963" spans="1:18" s="22" customFormat="1">
      <c r="A10963" s="16"/>
      <c r="B10963" s="1320"/>
      <c r="C10963" s="1042"/>
      <c r="D10963" s="1752" t="s">
        <v>1394</v>
      </c>
      <c r="E10963" s="1852" t="s">
        <v>1577</v>
      </c>
      <c r="F10963" s="1752" t="s">
        <v>1579</v>
      </c>
      <c r="G10963" s="1941">
        <v>0.38</v>
      </c>
      <c r="H10963" s="1399">
        <f>H105158*G10963</f>
        <v>0</v>
      </c>
      <c r="I10963" s="1289"/>
      <c r="J10963" s="198"/>
      <c r="K10963" s="1307">
        <f>H10963*K10948</f>
        <v>0</v>
      </c>
      <c r="L10963" s="1335">
        <f t="shared" si="1434"/>
        <v>0</v>
      </c>
      <c r="M10963" s="1499">
        <v>92.54</v>
      </c>
      <c r="N10963" s="1718">
        <f>G10963*M10963</f>
        <v>35.165200000000006</v>
      </c>
      <c r="O10963" s="1719">
        <f>H10963*M10963</f>
        <v>0</v>
      </c>
      <c r="P10963" s="1720">
        <f>M10963*K10963</f>
        <v>0</v>
      </c>
      <c r="Q10963" s="3396"/>
      <c r="R10963" s="2337"/>
    </row>
    <row r="10964" spans="1:18" s="22" customFormat="1">
      <c r="A10964" s="16"/>
      <c r="B10964" s="1320"/>
      <c r="C10964" s="1042"/>
      <c r="D10964" s="1752" t="s">
        <v>1576</v>
      </c>
      <c r="E10964" s="1852" t="s">
        <v>1517</v>
      </c>
      <c r="F10964" s="1752" t="s">
        <v>1580</v>
      </c>
      <c r="G10964" s="1941">
        <v>1.38</v>
      </c>
      <c r="H10964" s="1453">
        <f>G10964*H10960</f>
        <v>1.38E-2</v>
      </c>
      <c r="I10964" s="1289"/>
      <c r="J10964" s="198"/>
      <c r="K10964" s="1307">
        <f>H10964*K10948</f>
        <v>0.105156</v>
      </c>
      <c r="L10964" s="1335">
        <f t="shared" si="1434"/>
        <v>0</v>
      </c>
      <c r="M10964" s="1499">
        <v>6.53</v>
      </c>
      <c r="N10964" s="1718">
        <f>G10964*M10964</f>
        <v>9.0114000000000001</v>
      </c>
      <c r="O10964" s="1719">
        <f>H10964*M10964</f>
        <v>9.0114E-2</v>
      </c>
      <c r="P10964" s="1720">
        <f>M10964*K10964</f>
        <v>0.68666868000000003</v>
      </c>
      <c r="Q10964" s="3396"/>
      <c r="R10964" s="2337"/>
    </row>
    <row r="10965" spans="1:18" s="22" customFormat="1">
      <c r="A10965" s="16"/>
      <c r="B10965" s="1320"/>
      <c r="C10965" s="1042"/>
      <c r="D10965" s="1754" t="s">
        <v>1067</v>
      </c>
      <c r="E10965" s="1853" t="s">
        <v>1508</v>
      </c>
      <c r="F10965" s="1754" t="s">
        <v>1512</v>
      </c>
      <c r="G10965" s="4018">
        <v>1.236</v>
      </c>
      <c r="H10965" s="4019">
        <f>G10965*H10960</f>
        <v>1.2359999999999999E-2</v>
      </c>
      <c r="I10965" s="1289"/>
      <c r="J10965" s="198"/>
      <c r="K10965" s="1307">
        <f>H10965*K10948</f>
        <v>9.4183199999999995E-2</v>
      </c>
      <c r="L10965" s="1335">
        <f t="shared" si="1434"/>
        <v>0</v>
      </c>
      <c r="M10965" s="1499">
        <v>18.28</v>
      </c>
      <c r="N10965" s="1718">
        <f>G10965*M10965</f>
        <v>22.594080000000002</v>
      </c>
      <c r="O10965" s="1719">
        <f>H10965*M10965</f>
        <v>0.2259408</v>
      </c>
      <c r="P10965" s="1720">
        <f>M10965*K10965</f>
        <v>1.7216688959999999</v>
      </c>
      <c r="Q10965" s="3396"/>
      <c r="R10965" s="2337"/>
    </row>
    <row r="10966" spans="1:18" s="22" customFormat="1">
      <c r="A10966" s="19"/>
      <c r="B10966" s="553"/>
      <c r="C10966" s="1042"/>
      <c r="D10966" s="3989"/>
      <c r="E10966" s="3990"/>
      <c r="F10966" s="1766"/>
      <c r="G10966" s="4020"/>
      <c r="H10966" s="3994"/>
      <c r="I10966" s="1289"/>
      <c r="J10966" s="3991"/>
      <c r="K10966" s="1307"/>
      <c r="L10966" s="1335"/>
      <c r="M10966" s="3992"/>
      <c r="N10966" s="1724"/>
      <c r="O10966" s="1290"/>
      <c r="P10966" s="3919"/>
      <c r="Q10966" s="3391"/>
      <c r="R10966" s="2339"/>
    </row>
    <row r="10967" spans="1:18" s="22" customFormat="1" ht="26">
      <c r="A10967" s="2187"/>
      <c r="B10967" s="1599"/>
      <c r="C10967" s="1042"/>
      <c r="D10967" s="1359"/>
      <c r="E10967" s="1858"/>
      <c r="F10967" s="1360" t="s">
        <v>2</v>
      </c>
      <c r="G10967" s="1360"/>
      <c r="H10967" s="1362"/>
      <c r="I10967" s="1380"/>
      <c r="J10967" s="1381"/>
      <c r="K10967" s="1381"/>
      <c r="L10967" s="1458"/>
      <c r="M10967" s="1362"/>
      <c r="N10967" s="1362"/>
      <c r="O10967" s="1362"/>
      <c r="P10967" s="1359"/>
      <c r="Q10967" s="3403"/>
      <c r="R10967" s="2357"/>
    </row>
    <row r="10968" spans="1:18" s="22" customFormat="1" ht="26">
      <c r="A10968" s="4012"/>
      <c r="B10968" s="1599"/>
      <c r="C10968" s="1042"/>
      <c r="D10968" s="4013" t="s">
        <v>1133</v>
      </c>
      <c r="E10968" s="4014" t="s">
        <v>1508</v>
      </c>
      <c r="F10968" s="4015" t="s">
        <v>1955</v>
      </c>
      <c r="G10968" s="4017">
        <v>0.1</v>
      </c>
      <c r="H10968" s="3897"/>
      <c r="I10968" s="198"/>
      <c r="J10968" s="198"/>
      <c r="K10968" s="1307">
        <f>G10968*K10948</f>
        <v>0.76200000000000001</v>
      </c>
      <c r="L10968" s="1335">
        <f t="shared" ref="L10968:L10970" si="1435">K10968*$K$10671</f>
        <v>0</v>
      </c>
      <c r="M10968" s="1499">
        <v>19.23</v>
      </c>
      <c r="N10968" s="1718"/>
      <c r="O10968" s="1290">
        <f t="shared" ref="O10968:O10970" si="1436">G10968*M10968</f>
        <v>1.923</v>
      </c>
      <c r="P10968" s="1332">
        <f t="shared" ref="P10968:P10970" si="1437">M10968*K10968</f>
        <v>14.653260000000001</v>
      </c>
      <c r="Q10968" s="3387"/>
      <c r="R10968" s="3996"/>
    </row>
    <row r="10969" spans="1:18" s="22" customFormat="1" ht="26">
      <c r="A10969" s="4012"/>
      <c r="B10969" s="1599"/>
      <c r="C10969" s="1042"/>
      <c r="D10969" s="4013" t="s">
        <v>1134</v>
      </c>
      <c r="E10969" s="4014" t="s">
        <v>1508</v>
      </c>
      <c r="F10969" s="4015" t="s">
        <v>1547</v>
      </c>
      <c r="G10969" s="4017">
        <v>7.0000000000000007E-2</v>
      </c>
      <c r="H10969" s="3897"/>
      <c r="I10969" s="197"/>
      <c r="J10969" s="198"/>
      <c r="K10969" s="1307">
        <f>G10969*K10948</f>
        <v>0.5334000000000001</v>
      </c>
      <c r="L10969" s="1335">
        <f t="shared" si="1435"/>
        <v>0</v>
      </c>
      <c r="M10969" s="1499">
        <v>19.23</v>
      </c>
      <c r="N10969" s="1718"/>
      <c r="O10969" s="1290">
        <f t="shared" si="1436"/>
        <v>1.3461000000000001</v>
      </c>
      <c r="P10969" s="1332">
        <f t="shared" si="1437"/>
        <v>10.257282000000002</v>
      </c>
      <c r="Q10969" s="3387"/>
      <c r="R10969" s="3996"/>
    </row>
    <row r="10970" spans="1:18" s="22" customFormat="1">
      <c r="A10970" s="16"/>
      <c r="B10970" s="1042"/>
      <c r="C10970" s="1042"/>
      <c r="D10970" s="1402" t="s">
        <v>1067</v>
      </c>
      <c r="E10970" s="1857" t="s">
        <v>1508</v>
      </c>
      <c r="F10970" s="1430" t="s">
        <v>1512</v>
      </c>
      <c r="G10970" s="4016">
        <v>7.0000000000000007E-2</v>
      </c>
      <c r="H10970" s="1408"/>
      <c r="I10970" s="1289"/>
      <c r="J10970" s="198"/>
      <c r="K10970" s="1307">
        <f>G10970*K10948</f>
        <v>0.5334000000000001</v>
      </c>
      <c r="L10970" s="1335">
        <f t="shared" si="1435"/>
        <v>0</v>
      </c>
      <c r="M10970" s="1499">
        <v>18.28</v>
      </c>
      <c r="N10970" s="1718"/>
      <c r="O10970" s="1290">
        <f t="shared" si="1436"/>
        <v>1.2796000000000003</v>
      </c>
      <c r="P10970" s="1332">
        <f t="shared" si="1437"/>
        <v>9.7505520000000026</v>
      </c>
      <c r="Q10970" s="3391"/>
      <c r="R10970" s="2338"/>
    </row>
    <row r="10971" spans="1:18" s="22" customFormat="1">
      <c r="A10971"/>
      <c r="B10971" s="553"/>
      <c r="C10971" s="1938" t="s">
        <v>1755</v>
      </c>
      <c r="D10971" s="1311"/>
      <c r="E10971" s="2176" t="s">
        <v>1508</v>
      </c>
      <c r="F10971" s="2051" t="s">
        <v>1524</v>
      </c>
      <c r="G10971" s="2052"/>
      <c r="H10971" s="1338">
        <v>0.17499999999999999</v>
      </c>
      <c r="I10971" s="1444"/>
      <c r="J10971" s="1388"/>
      <c r="K10971" s="1445"/>
      <c r="L10971" s="1457"/>
      <c r="M10971" s="1447"/>
      <c r="N10971" s="1447">
        <f>SUM(N10972:N10973)</f>
        <v>37.510000000000005</v>
      </c>
      <c r="O10971" s="1447">
        <f>SUM(O10972:O10973)</f>
        <v>6.5642499999999995</v>
      </c>
      <c r="P10971" s="1447">
        <f>SUM(P10972:P10973)</f>
        <v>50.019584999999999</v>
      </c>
      <c r="Q10971" s="3391"/>
      <c r="R10971" s="2337"/>
    </row>
    <row r="10972" spans="1:18" s="22" customFormat="1">
      <c r="A10972" s="19"/>
      <c r="B10972" s="1042"/>
      <c r="C10972" s="1042"/>
      <c r="D10972" s="1402" t="s">
        <v>1067</v>
      </c>
      <c r="E10972" s="1857" t="s">
        <v>1508</v>
      </c>
      <c r="F10972" s="1430" t="s">
        <v>5</v>
      </c>
      <c r="G10972" s="1381">
        <v>1</v>
      </c>
      <c r="H10972" s="1408">
        <f>G10972*H10971</f>
        <v>0.17499999999999999</v>
      </c>
      <c r="I10972" s="1340"/>
      <c r="J10972" s="198"/>
      <c r="K10972" s="1307">
        <f>H10972*K10948</f>
        <v>1.3334999999999999</v>
      </c>
      <c r="L10972" s="1335">
        <f>K10972*$K$10671</f>
        <v>0</v>
      </c>
      <c r="M10972" s="1302">
        <v>18.28</v>
      </c>
      <c r="N10972" s="1724">
        <f>G10972*M10972</f>
        <v>18.28</v>
      </c>
      <c r="O10972" s="1726">
        <f>H10972*M10972</f>
        <v>3.1989999999999998</v>
      </c>
      <c r="P10972" s="1727">
        <f>M10972*K10972</f>
        <v>24.376380000000001</v>
      </c>
      <c r="Q10972" s="3396"/>
      <c r="R10972" s="2338"/>
    </row>
    <row r="10973" spans="1:18" s="22" customFormat="1">
      <c r="A10973" s="19"/>
      <c r="B10973" s="1042"/>
      <c r="C10973" s="1042"/>
      <c r="D10973" s="1402" t="s">
        <v>1077</v>
      </c>
      <c r="E10973" s="1857" t="s">
        <v>1508</v>
      </c>
      <c r="F10973" s="1430" t="s">
        <v>37</v>
      </c>
      <c r="G10973" s="1381">
        <v>1</v>
      </c>
      <c r="H10973" s="1408">
        <f>G10973*H10971</f>
        <v>0.17499999999999999</v>
      </c>
      <c r="I10973" s="198"/>
      <c r="J10973" s="198"/>
      <c r="K10973" s="1307">
        <f>H10973*K10948</f>
        <v>1.3334999999999999</v>
      </c>
      <c r="L10973" s="1335">
        <f>K10973*$K$10671</f>
        <v>0</v>
      </c>
      <c r="M10973" s="1302">
        <v>19.23</v>
      </c>
      <c r="N10973" s="1724">
        <f>G10973*M10973</f>
        <v>19.23</v>
      </c>
      <c r="O10973" s="1719">
        <f>(H10973*M10973)</f>
        <v>3.3652500000000001</v>
      </c>
      <c r="P10973" s="1727">
        <f>M10973*K10973</f>
        <v>25.643204999999998</v>
      </c>
      <c r="Q10973" s="3396"/>
      <c r="R10973" s="2338"/>
    </row>
    <row r="10974" spans="1:18" s="22" customFormat="1">
      <c r="B10974" s="1320"/>
      <c r="C10974" s="16"/>
      <c r="D10974" s="1359"/>
      <c r="E10974" s="1858"/>
      <c r="F10974" s="1474"/>
      <c r="G10974" s="2198"/>
      <c r="H10974" s="1466"/>
      <c r="I10974" s="1289"/>
      <c r="J10974" s="8"/>
      <c r="K10974" s="1307"/>
      <c r="L10974" s="1335"/>
      <c r="M10974" s="1302"/>
      <c r="N10974" s="1700"/>
      <c r="O10974" s="1290"/>
      <c r="P10974" s="1332"/>
      <c r="Q10974" s="3391"/>
      <c r="R10974" s="2344"/>
    </row>
    <row r="10975" spans="1:18" s="22" customFormat="1">
      <c r="A10975" s="1320"/>
      <c r="B10975" s="1599"/>
      <c r="C10975" s="1320"/>
      <c r="D10975" s="1373"/>
      <c r="E10975" s="2123"/>
      <c r="F10975" s="1374" t="s">
        <v>3</v>
      </c>
      <c r="G10975" s="2199"/>
      <c r="H10975" s="1376"/>
      <c r="I10975" s="1382"/>
      <c r="J10975" s="1383"/>
      <c r="K10975" s="1383"/>
      <c r="L10975" s="1413"/>
      <c r="M10975" s="1376"/>
      <c r="N10975" s="1376"/>
      <c r="O10975" s="1376"/>
      <c r="P10975" s="1373"/>
      <c r="Q10975" s="3403"/>
      <c r="R10975" s="2356"/>
    </row>
    <row r="10976" spans="1:18">
      <c r="A10976" s="1321"/>
      <c r="B10976" s="2053"/>
      <c r="C10976" s="1321"/>
      <c r="D10976" s="2202"/>
      <c r="E10976" s="2304"/>
      <c r="F10976" s="2202"/>
      <c r="G10976" s="2203"/>
      <c r="H10976" s="1379"/>
      <c r="I10976" s="1299"/>
      <c r="J10976" s="1300"/>
      <c r="K10976" s="1307"/>
      <c r="L10976" s="1335"/>
      <c r="M10976" s="1302"/>
      <c r="N10976" s="1700"/>
      <c r="O10976" s="1290"/>
      <c r="P10976" s="1332"/>
      <c r="Q10976" s="3402"/>
      <c r="R10976" s="2053"/>
    </row>
    <row r="10977" spans="1:22">
      <c r="A10977" s="1321"/>
      <c r="B10977" s="2053"/>
      <c r="C10977" s="1321"/>
      <c r="D10977" s="1377"/>
      <c r="E10977" s="2124"/>
      <c r="F10977" s="1378"/>
      <c r="G10977" s="2200"/>
      <c r="H10977" s="1379"/>
      <c r="I10977" s="1299"/>
      <c r="J10977" s="1300"/>
      <c r="K10977" s="1307"/>
      <c r="L10977" s="1335"/>
      <c r="M10977" s="1302"/>
      <c r="N10977" s="1700"/>
      <c r="O10977" s="1290"/>
      <c r="P10977" s="1332"/>
      <c r="Q10977" s="3402"/>
      <c r="R10977" s="2053"/>
    </row>
    <row r="10978" spans="1:22">
      <c r="A10978" s="1320"/>
      <c r="B10978" s="1765"/>
      <c r="C10978" s="223"/>
      <c r="D10978" s="1373"/>
      <c r="E10978" s="2161"/>
      <c r="F10978" s="1678"/>
      <c r="G10978" s="2201"/>
      <c r="H10978" s="1376"/>
      <c r="I10978" s="1299"/>
      <c r="J10978" s="1300"/>
      <c r="K10978" s="1307"/>
      <c r="L10978" s="1335"/>
      <c r="M10978" s="1302"/>
      <c r="N10978" s="1700"/>
      <c r="O10978" s="1290"/>
      <c r="P10978" s="1332"/>
      <c r="Q10978" s="3402"/>
      <c r="R10978" s="2356"/>
    </row>
    <row r="10979" spans="1:22">
      <c r="A10979" s="551" t="s">
        <v>3764</v>
      </c>
      <c r="B10979" s="4325" t="s">
        <v>3783</v>
      </c>
      <c r="C10979" s="3885"/>
      <c r="D10979" s="4327"/>
      <c r="E10979" s="4329" t="s">
        <v>1527</v>
      </c>
      <c r="F10979" s="4372" t="s">
        <v>3784</v>
      </c>
      <c r="G10979" s="4331" t="s">
        <v>1568</v>
      </c>
      <c r="H10979" s="4331" t="s">
        <v>1574</v>
      </c>
      <c r="I10979" s="1572" t="s">
        <v>1559</v>
      </c>
      <c r="J10979" s="1294" t="s">
        <v>1560</v>
      </c>
      <c r="K10979" s="1294" t="s">
        <v>1569</v>
      </c>
      <c r="L10979" s="4333" t="s">
        <v>3765</v>
      </c>
      <c r="M10979" s="4323" t="s">
        <v>1571</v>
      </c>
      <c r="N10979" s="4323" t="s">
        <v>1776</v>
      </c>
      <c r="O10979" s="3884" t="s">
        <v>1563</v>
      </c>
      <c r="P10979" s="1336" t="s">
        <v>1562</v>
      </c>
      <c r="Q10979" s="3389"/>
      <c r="R10979" s="1699" t="s">
        <v>1327</v>
      </c>
    </row>
    <row r="10980" spans="1:22">
      <c r="A10980" s="1599" t="s">
        <v>3761</v>
      </c>
      <c r="B10980" s="4326"/>
      <c r="C10980" s="3886"/>
      <c r="D10980" s="4328"/>
      <c r="E10980" s="4330"/>
      <c r="F10980" s="4363"/>
      <c r="G10980" s="4332"/>
      <c r="H10980" s="4332"/>
      <c r="I10980" s="1345">
        <v>3.42</v>
      </c>
      <c r="J10980" s="1307">
        <v>1</v>
      </c>
      <c r="K10980" s="1666">
        <f>I10980*J10980</f>
        <v>3.42</v>
      </c>
      <c r="L10980" s="4334"/>
      <c r="M10980" s="4324"/>
      <c r="N10980" s="4324"/>
      <c r="O10980" s="1298">
        <f>O10982+O10983+O10984+O10985+O10986+O10987+O10988+O10990+O10995+O11000+O11008+O11009+O11010+O11011</f>
        <v>70.091315229999992</v>
      </c>
      <c r="P10980" s="1337">
        <f>O10980*K10980</f>
        <v>239.71229808659996</v>
      </c>
      <c r="Q10980" s="3390"/>
      <c r="R10980" s="1721">
        <f>SUM(P10982:P10990)+P10995+P11000+P11008+P11009+P11010+P11011</f>
        <v>239.71229808660004</v>
      </c>
    </row>
    <row r="10981" spans="1:22">
      <c r="A10981" s="1599"/>
      <c r="B10981" s="1949"/>
      <c r="C10981" s="1327"/>
      <c r="D10981" s="1367"/>
      <c r="E10981" s="2121"/>
      <c r="F10981" s="1389" t="s">
        <v>1</v>
      </c>
      <c r="G10981" s="1389"/>
      <c r="H10981" s="1369"/>
      <c r="I10981" s="2088"/>
      <c r="J10981" s="1369"/>
      <c r="K10981" s="1391"/>
      <c r="L10981" s="1559"/>
      <c r="M10981" s="1369"/>
      <c r="N10981" s="1369"/>
      <c r="O10981" s="1369"/>
      <c r="P10981" s="1392"/>
      <c r="Q10981" s="3395"/>
      <c r="R10981" s="2344"/>
      <c r="S10981" s="16"/>
      <c r="T10981" s="16"/>
      <c r="U10981" s="16"/>
      <c r="V10981" s="16"/>
    </row>
    <row r="10982" spans="1:22">
      <c r="A10982" s="22"/>
      <c r="B10982" s="553"/>
      <c r="C10982" s="1042"/>
      <c r="D10982" s="1367" t="s">
        <v>3785</v>
      </c>
      <c r="E10982" s="2121" t="s">
        <v>1507</v>
      </c>
      <c r="F10982" s="1367" t="s">
        <v>3786</v>
      </c>
      <c r="G10982" s="1554">
        <v>1.1000000000000001</v>
      </c>
      <c r="H10982" s="1369"/>
      <c r="I10982" s="1299"/>
      <c r="J10982" s="1300"/>
      <c r="K10982" s="1350">
        <f>G10982*K10980</f>
        <v>3.762</v>
      </c>
      <c r="L10982" s="1335">
        <f>K10982*$K$10671</f>
        <v>0</v>
      </c>
      <c r="M10982" s="1499">
        <v>0.9</v>
      </c>
      <c r="N10982" s="1724"/>
      <c r="O10982" s="1290">
        <f>G10982*M10982</f>
        <v>0.9900000000000001</v>
      </c>
      <c r="P10982" s="1332">
        <f>M10982*K10982</f>
        <v>3.3858000000000001</v>
      </c>
      <c r="Q10982" s="3391"/>
      <c r="S10982" s="16"/>
      <c r="T10982" s="16"/>
      <c r="U10982" s="16"/>
      <c r="V10982" s="16"/>
    </row>
    <row r="10983" spans="1:22">
      <c r="A10983" s="22"/>
      <c r="B10983" s="553"/>
      <c r="C10983" s="1042"/>
      <c r="D10983" s="1367" t="s">
        <v>2006</v>
      </c>
      <c r="E10983" s="2121" t="s">
        <v>1507</v>
      </c>
      <c r="F10983" s="1367" t="s">
        <v>2007</v>
      </c>
      <c r="G10983" s="1367">
        <v>1.1000000000000001</v>
      </c>
      <c r="H10983" s="1369"/>
      <c r="I10983" s="1299"/>
      <c r="J10983" s="1300"/>
      <c r="K10983" s="1350">
        <f>G10983*K10980</f>
        <v>3.762</v>
      </c>
      <c r="L10983" s="1335">
        <f>K10983*$K$10671</f>
        <v>0</v>
      </c>
      <c r="M10983" s="1499">
        <v>0.73</v>
      </c>
      <c r="N10983" s="1724"/>
      <c r="O10983" s="1290">
        <f>G10983*M10983</f>
        <v>0.80300000000000005</v>
      </c>
      <c r="P10983" s="1332">
        <f>M10983*K10983</f>
        <v>2.7462599999999999</v>
      </c>
      <c r="Q10983" s="3391"/>
      <c r="S10983" s="16"/>
      <c r="T10983" s="16"/>
      <c r="U10983" s="16"/>
      <c r="V10983" s="16"/>
    </row>
    <row r="10984" spans="1:22">
      <c r="A10984" s="22"/>
      <c r="B10984" s="553"/>
      <c r="C10984" s="1042"/>
      <c r="D10984" s="1367" t="s">
        <v>1129</v>
      </c>
      <c r="E10984" s="2121" t="s">
        <v>1504</v>
      </c>
      <c r="F10984" s="1367" t="s">
        <v>1988</v>
      </c>
      <c r="G10984" s="1554">
        <v>25</v>
      </c>
      <c r="H10984" s="1369"/>
      <c r="I10984" s="1299"/>
      <c r="J10984" s="1300"/>
      <c r="K10984" s="1307">
        <f>G10984*K10980</f>
        <v>85.5</v>
      </c>
      <c r="L10984" s="1335">
        <f>K10984*$K$10671</f>
        <v>0</v>
      </c>
      <c r="M10984" s="1499">
        <v>0.19</v>
      </c>
      <c r="N10984" s="1724"/>
      <c r="O10984" s="1290">
        <f>G10984*M10984</f>
        <v>4.75</v>
      </c>
      <c r="P10984" s="1332">
        <f>M10984*K10984</f>
        <v>16.245000000000001</v>
      </c>
      <c r="Q10984" s="3391"/>
      <c r="S10984" s="16"/>
      <c r="T10984" s="16"/>
      <c r="U10984" s="16"/>
      <c r="V10984" s="16"/>
    </row>
    <row r="10985" spans="1:22">
      <c r="A10985" s="22"/>
      <c r="B10985" s="553"/>
      <c r="C10985" s="1042"/>
      <c r="D10985" s="1367" t="s">
        <v>2004</v>
      </c>
      <c r="E10985" s="2121" t="s">
        <v>1527</v>
      </c>
      <c r="F10985" s="1367" t="s">
        <v>2005</v>
      </c>
      <c r="G10985" s="1554">
        <v>1.111</v>
      </c>
      <c r="H10985" s="1369"/>
      <c r="I10985" s="1299"/>
      <c r="J10985" s="1300"/>
      <c r="K10985" s="1307">
        <f>G10985*K10980</f>
        <v>3.79962</v>
      </c>
      <c r="L10985" s="1335">
        <f>K10985*$K$10671</f>
        <v>0</v>
      </c>
      <c r="M10985" s="1499">
        <v>9.27</v>
      </c>
      <c r="N10985" s="1724"/>
      <c r="O10985" s="1290">
        <f>G10985*M10985</f>
        <v>10.298969999999999</v>
      </c>
      <c r="P10985" s="1332">
        <f>M10985*K10985</f>
        <v>35.222477399999995</v>
      </c>
      <c r="Q10985" s="3391"/>
      <c r="S10985" s="16"/>
      <c r="T10985" s="16"/>
      <c r="U10985" s="16"/>
      <c r="V10985" s="16"/>
    </row>
    <row r="10986" spans="1:22">
      <c r="A10986" s="16"/>
      <c r="B10986" s="1599"/>
      <c r="C10986" s="1320"/>
      <c r="D10986" s="4021" t="s">
        <v>2002</v>
      </c>
      <c r="E10986" s="4022" t="s">
        <v>1507</v>
      </c>
      <c r="F10986" s="4021" t="s">
        <v>2003</v>
      </c>
      <c r="G10986" s="2206">
        <v>1.111</v>
      </c>
      <c r="H10986" s="1399"/>
      <c r="I10986" s="198"/>
      <c r="J10986" s="198"/>
      <c r="K10986" s="1307">
        <f>G10986*K10980</f>
        <v>3.79962</v>
      </c>
      <c r="L10986" s="1335">
        <f>K10986*$K$10671</f>
        <v>0</v>
      </c>
      <c r="M10986" s="1499">
        <v>8.4700000000000006</v>
      </c>
      <c r="N10986" s="1701"/>
      <c r="O10986" s="1290">
        <f>G10986*M10986</f>
        <v>9.4101700000000008</v>
      </c>
      <c r="P10986" s="1332">
        <f>M10986*K10986</f>
        <v>32.182781400000003</v>
      </c>
      <c r="Q10986" s="3391"/>
      <c r="R10986" s="3889"/>
      <c r="S10986" s="16"/>
      <c r="T10986" s="16"/>
      <c r="U10986" s="16"/>
      <c r="V10986" s="16"/>
    </row>
    <row r="10987" spans="1:22">
      <c r="A10987" s="16"/>
      <c r="B10987" s="1599"/>
      <c r="C10987" s="1320"/>
      <c r="D10987" s="4023" t="s">
        <v>1998</v>
      </c>
      <c r="E10987" s="4024" t="s">
        <v>1517</v>
      </c>
      <c r="F10987" s="4023" t="s">
        <v>1999</v>
      </c>
      <c r="G10987" s="2206">
        <v>0.06</v>
      </c>
      <c r="H10987" s="4011"/>
      <c r="I10987" s="1806"/>
      <c r="J10987" s="1806"/>
      <c r="K10987" s="1307">
        <f>G10987*K10980</f>
        <v>0.20519999999999999</v>
      </c>
      <c r="L10987" s="1335"/>
      <c r="M10987" s="1701">
        <v>223.2</v>
      </c>
      <c r="N10987" s="1701"/>
      <c r="O10987" s="1290">
        <f t="shared" ref="O10987:O10988" si="1438">G10987*M10987</f>
        <v>13.391999999999999</v>
      </c>
      <c r="P10987" s="1332">
        <f t="shared" ref="P10987:P10988" si="1439">M10987*K10987</f>
        <v>45.800639999999994</v>
      </c>
      <c r="Q10987" s="3391"/>
      <c r="R10987" s="3889"/>
      <c r="S10987" s="16"/>
      <c r="T10987" s="16"/>
      <c r="U10987" s="16"/>
      <c r="V10987" s="16"/>
    </row>
    <row r="10988" spans="1:22">
      <c r="A10988" s="16"/>
      <c r="B10988" s="1599"/>
      <c r="C10988" s="1320"/>
      <c r="D10988" s="4023" t="s">
        <v>1082</v>
      </c>
      <c r="E10988" s="4024" t="s">
        <v>1504</v>
      </c>
      <c r="F10988" s="4023" t="s">
        <v>1541</v>
      </c>
      <c r="G10988" s="2206">
        <v>1</v>
      </c>
      <c r="H10988" s="4011"/>
      <c r="I10988" s="1806"/>
      <c r="J10988" s="1806"/>
      <c r="K10988" s="1307">
        <f>G10988*K10980</f>
        <v>3.42</v>
      </c>
      <c r="L10988" s="1335"/>
      <c r="M10988" s="1701">
        <v>0.3</v>
      </c>
      <c r="N10988" s="1701"/>
      <c r="O10988" s="1290">
        <f t="shared" si="1438"/>
        <v>0.3</v>
      </c>
      <c r="P10988" s="1332">
        <f t="shared" si="1439"/>
        <v>1.026</v>
      </c>
      <c r="Q10988" s="3391"/>
      <c r="R10988" s="3889"/>
      <c r="S10988" s="16"/>
      <c r="T10988" s="16"/>
      <c r="U10988" s="16"/>
      <c r="V10988" s="16"/>
    </row>
    <row r="10989" spans="1:22">
      <c r="A10989" s="16"/>
      <c r="B10989" s="1599"/>
      <c r="C10989" s="1320"/>
      <c r="D10989" s="4023"/>
      <c r="E10989" s="4024"/>
      <c r="F10989" s="4023"/>
      <c r="G10989" s="2206"/>
      <c r="H10989" s="4011"/>
      <c r="I10989" s="1806"/>
      <c r="J10989" s="1806"/>
      <c r="K10989" s="1307"/>
      <c r="L10989" s="1335"/>
      <c r="M10989" s="1701"/>
      <c r="N10989" s="1701"/>
      <c r="O10989" s="1290"/>
      <c r="P10989" s="1333"/>
      <c r="Q10989" s="3391"/>
      <c r="R10989" s="3889"/>
      <c r="S10989" s="16"/>
      <c r="T10989" s="16"/>
      <c r="U10989" s="16"/>
      <c r="V10989" s="16"/>
    </row>
    <row r="10990" spans="1:22">
      <c r="A10990" s="1042"/>
      <c r="B10990" s="553"/>
      <c r="C10990" s="1419" t="s">
        <v>1127</v>
      </c>
      <c r="D10990" s="1311"/>
      <c r="E10990" s="2128" t="s">
        <v>1517</v>
      </c>
      <c r="F10990" s="2250" t="s">
        <v>1519</v>
      </c>
      <c r="G10990" s="1338"/>
      <c r="H10990" s="1344">
        <v>3.1E-2</v>
      </c>
      <c r="I10990" s="1460"/>
      <c r="J10990" s="1387"/>
      <c r="K10990" s="1459"/>
      <c r="L10990" s="1457"/>
      <c r="M10990" s="1501"/>
      <c r="N10990" s="1447">
        <f>SUM(N10991:N10994)</f>
        <v>50.044430000000006</v>
      </c>
      <c r="O10990" s="1447">
        <f>SUM(O10991:O10994)</f>
        <v>1.5513773300000002</v>
      </c>
      <c r="P10990" s="1447">
        <f>SUM(P10991:P10994)</f>
        <v>5.3057104686000001</v>
      </c>
      <c r="Q10990" s="3391"/>
      <c r="S10990" s="16"/>
      <c r="T10990" s="16"/>
      <c r="U10990" s="16"/>
      <c r="V10990" s="16"/>
    </row>
    <row r="10991" spans="1:22">
      <c r="A10991" s="1042"/>
      <c r="B10991" s="553"/>
      <c r="C10991" s="18"/>
      <c r="D10991" s="1396" t="s">
        <v>1069</v>
      </c>
      <c r="E10991" s="2130" t="s">
        <v>1517</v>
      </c>
      <c r="F10991" s="1414" t="s">
        <v>1578</v>
      </c>
      <c r="G10991" s="1415">
        <v>0.26300000000000001</v>
      </c>
      <c r="H10991" s="1399">
        <f>H10990*G10991</f>
        <v>8.1530000000000005E-3</v>
      </c>
      <c r="I10991" s="197"/>
      <c r="J10991" s="198"/>
      <c r="K10991" s="1307">
        <f>H10991*K10980</f>
        <v>2.788326E-2</v>
      </c>
      <c r="L10991" s="1335">
        <f t="shared" ref="L10991:L10994" si="1440">K10991*$K$10671</f>
        <v>0</v>
      </c>
      <c r="M10991" s="1499">
        <v>0.55000000000000004</v>
      </c>
      <c r="N10991" s="1724">
        <f>G10991*M10991</f>
        <v>0.14465000000000003</v>
      </c>
      <c r="O10991" s="1290">
        <f>H10991*M10991</f>
        <v>4.484150000000001E-3</v>
      </c>
      <c r="P10991" s="1332">
        <f>M10991*K10991</f>
        <v>1.5335793000000002E-2</v>
      </c>
      <c r="Q10991" s="3391"/>
      <c r="S10991" s="16"/>
      <c r="T10991" s="16"/>
      <c r="U10991" s="16"/>
      <c r="V10991" s="16"/>
    </row>
    <row r="10992" spans="1:22">
      <c r="A10992" s="1042"/>
      <c r="B10992" s="553"/>
      <c r="C10992" s="1042"/>
      <c r="D10992" s="1400" t="s">
        <v>1394</v>
      </c>
      <c r="E10992" s="1856" t="s">
        <v>1577</v>
      </c>
      <c r="F10992" s="1397" t="s">
        <v>1579</v>
      </c>
      <c r="G10992" s="1416">
        <v>0.25800000000000001</v>
      </c>
      <c r="H10992" s="1399">
        <f>H10990*G10992</f>
        <v>7.9979999999999999E-3</v>
      </c>
      <c r="I10992" s="197"/>
      <c r="J10992" s="198"/>
      <c r="K10992" s="1307">
        <f>H10992*K10980</f>
        <v>2.7353159999999998E-2</v>
      </c>
      <c r="L10992" s="1335">
        <f t="shared" si="1440"/>
        <v>0</v>
      </c>
      <c r="M10992" s="1499">
        <v>92.54</v>
      </c>
      <c r="N10992" s="1724">
        <f>G10992*M10992</f>
        <v>23.875320000000002</v>
      </c>
      <c r="O10992" s="1290">
        <f>H10992*M10992</f>
        <v>0.74013492000000003</v>
      </c>
      <c r="P10992" s="1332">
        <f>M10992*K10992</f>
        <v>2.5312614264</v>
      </c>
      <c r="Q10992" s="3391"/>
    </row>
    <row r="10993" spans="1:18" s="22" customFormat="1">
      <c r="A10993" s="1042"/>
      <c r="B10993" s="553"/>
      <c r="C10993" s="1042"/>
      <c r="D10993" s="1400" t="s">
        <v>1576</v>
      </c>
      <c r="E10993" s="1856" t="s">
        <v>1517</v>
      </c>
      <c r="F10993" s="1397" t="s">
        <v>1580</v>
      </c>
      <c r="G10993" s="1416">
        <v>1.1020000000000001</v>
      </c>
      <c r="H10993" s="1399">
        <f>H10990*G10993</f>
        <v>3.4162000000000005E-2</v>
      </c>
      <c r="I10993" s="1289"/>
      <c r="J10993" s="198"/>
      <c r="K10993" s="1307">
        <f>H10993*K10980</f>
        <v>0.11683404000000001</v>
      </c>
      <c r="L10993" s="1335">
        <f t="shared" si="1440"/>
        <v>0</v>
      </c>
      <c r="M10993" s="1499">
        <v>6.53</v>
      </c>
      <c r="N10993" s="1724">
        <f>G10993*M10993</f>
        <v>7.196060000000001</v>
      </c>
      <c r="O10993" s="1290">
        <f>H10993*M10993</f>
        <v>0.22307786000000004</v>
      </c>
      <c r="P10993" s="1332">
        <f>M10993*K10993</f>
        <v>0.76292628120000017</v>
      </c>
      <c r="Q10993" s="3391"/>
      <c r="R10993" s="2339"/>
    </row>
    <row r="10994" spans="1:18" s="22" customFormat="1" ht="18" customHeight="1">
      <c r="A10994" s="1042"/>
      <c r="B10994" s="553"/>
      <c r="C10994" s="1042"/>
      <c r="D10994" s="1404" t="s">
        <v>1067</v>
      </c>
      <c r="E10994" s="1857" t="s">
        <v>1508</v>
      </c>
      <c r="F10994" s="1406" t="s">
        <v>1512</v>
      </c>
      <c r="G10994" s="1407">
        <v>1.03</v>
      </c>
      <c r="H10994" s="1408">
        <f>H10990*G10994</f>
        <v>3.193E-2</v>
      </c>
      <c r="I10994" s="1289"/>
      <c r="J10994" s="198"/>
      <c r="K10994" s="1307">
        <f>H10994*K10980</f>
        <v>0.10920059999999999</v>
      </c>
      <c r="L10994" s="1335">
        <f t="shared" si="1440"/>
        <v>0</v>
      </c>
      <c r="M10994" s="1499">
        <v>18.28</v>
      </c>
      <c r="N10994" s="1724">
        <f>G10994*M10994</f>
        <v>18.828400000000002</v>
      </c>
      <c r="O10994" s="1290">
        <f>H10994*M10994</f>
        <v>0.58368039999999999</v>
      </c>
      <c r="P10994" s="1332">
        <f>M10994*K10994</f>
        <v>1.996186968</v>
      </c>
      <c r="Q10994" s="3391"/>
      <c r="R10994" s="2339"/>
    </row>
    <row r="10995" spans="1:18" s="22" customFormat="1" ht="20.25" customHeight="1">
      <c r="A10995" s="16"/>
      <c r="B10995" s="1042"/>
      <c r="C10995" s="2020" t="s">
        <v>1137</v>
      </c>
      <c r="D10995" s="1311"/>
      <c r="E10995" s="2137" t="s">
        <v>1517</v>
      </c>
      <c r="F10995" s="1319" t="s">
        <v>2037</v>
      </c>
      <c r="G10995" s="1353"/>
      <c r="H10995" s="1456">
        <v>5.1999999999999998E-2</v>
      </c>
      <c r="I10995" s="1444"/>
      <c r="J10995" s="1388"/>
      <c r="K10995" s="1445"/>
      <c r="L10995" s="1457"/>
      <c r="M10995" s="1447"/>
      <c r="N10995" s="1447">
        <f>SUM(N10996:N10999)</f>
        <v>44.774360000000001</v>
      </c>
      <c r="O10995" s="1447">
        <f>SUM(O10996:O10999)</f>
        <v>2.3282667200000002</v>
      </c>
      <c r="P10995" s="1446">
        <f>SUM(P10996:P10999)</f>
        <v>7.9626721824000004</v>
      </c>
      <c r="Q10995" s="3391"/>
      <c r="R10995" s="2337"/>
    </row>
    <row r="10996" spans="1:18" s="22" customFormat="1">
      <c r="A10996" s="16"/>
      <c r="B10996" s="1042"/>
      <c r="C10996" s="1327"/>
      <c r="D10996" s="1400" t="s">
        <v>1069</v>
      </c>
      <c r="E10996" s="1856" t="s">
        <v>1517</v>
      </c>
      <c r="F10996" s="1397" t="s">
        <v>1578</v>
      </c>
      <c r="G10996" s="1416">
        <v>0.25800000000000001</v>
      </c>
      <c r="H10996" s="1399">
        <f>G10996*H10995</f>
        <v>1.3415999999999999E-2</v>
      </c>
      <c r="I10996" s="197"/>
      <c r="J10996" s="198"/>
      <c r="K10996" s="1307">
        <f>H10996*K10980</f>
        <v>4.5882719999999995E-2</v>
      </c>
      <c r="L10996" s="1335">
        <f t="shared" ref="L10996:L10999" si="1441">K10996*$K$10671</f>
        <v>0</v>
      </c>
      <c r="M10996" s="1302">
        <v>0.55000000000000004</v>
      </c>
      <c r="N10996" s="1718">
        <f>G10996*M10996</f>
        <v>0.14190000000000003</v>
      </c>
      <c r="O10996" s="1290">
        <f>H10996*M10996</f>
        <v>7.3788000000000005E-3</v>
      </c>
      <c r="P10996" s="1332">
        <f>M10996*K10996</f>
        <v>2.5235496E-2</v>
      </c>
      <c r="Q10996" s="3391"/>
      <c r="R10996" s="2337"/>
    </row>
    <row r="10997" spans="1:18" s="22" customFormat="1">
      <c r="A10997" s="16"/>
      <c r="B10997" s="1042"/>
      <c r="C10997" s="1320"/>
      <c r="D10997" s="1400" t="s">
        <v>1394</v>
      </c>
      <c r="E10997" s="1856" t="s">
        <v>1577</v>
      </c>
      <c r="F10997" s="1397" t="s">
        <v>1579</v>
      </c>
      <c r="G10997" s="1416">
        <v>0.19600000000000001</v>
      </c>
      <c r="H10997" s="1399">
        <f>G10997*H10995</f>
        <v>1.0192E-2</v>
      </c>
      <c r="I10997" s="197"/>
      <c r="J10997" s="198"/>
      <c r="K10997" s="1307">
        <f>H10997*K10980</f>
        <v>3.4856640000000001E-2</v>
      </c>
      <c r="L10997" s="1335">
        <f t="shared" si="1441"/>
        <v>0</v>
      </c>
      <c r="M10997" s="1302">
        <v>92.54</v>
      </c>
      <c r="N10997" s="1718">
        <f>G10997*M10997</f>
        <v>18.137840000000001</v>
      </c>
      <c r="O10997" s="1290">
        <f>H10997*M10997</f>
        <v>0.94316768000000006</v>
      </c>
      <c r="P10997" s="1332">
        <f>M10997*K10997</f>
        <v>3.2256334656000005</v>
      </c>
      <c r="Q10997" s="3391"/>
      <c r="R10997" s="2337"/>
    </row>
    <row r="10998" spans="1:18" s="22" customFormat="1">
      <c r="A10998" s="16"/>
      <c r="B10998" s="1042"/>
      <c r="C10998" s="1320"/>
      <c r="D10998" s="1400" t="s">
        <v>1576</v>
      </c>
      <c r="E10998" s="1856" t="s">
        <v>1517</v>
      </c>
      <c r="F10998" s="1397" t="s">
        <v>1580</v>
      </c>
      <c r="G10998" s="1416">
        <v>1.1739999999999999</v>
      </c>
      <c r="H10998" s="1399">
        <f>G10998*H10995</f>
        <v>6.1047999999999991E-2</v>
      </c>
      <c r="I10998" s="197"/>
      <c r="J10998" s="198"/>
      <c r="K10998" s="1307">
        <f>H10998*K10980</f>
        <v>0.20878415999999997</v>
      </c>
      <c r="L10998" s="1335">
        <f t="shared" si="1441"/>
        <v>0</v>
      </c>
      <c r="M10998" s="1302">
        <v>6.53</v>
      </c>
      <c r="N10998" s="1718">
        <f>G10998*M10998</f>
        <v>7.66622</v>
      </c>
      <c r="O10998" s="1290">
        <f>H10998*M10998</f>
        <v>0.39864343999999996</v>
      </c>
      <c r="P10998" s="1332">
        <f>M10998*K10998</f>
        <v>1.3633605647999998</v>
      </c>
      <c r="Q10998" s="3391"/>
      <c r="R10998" s="2337"/>
    </row>
    <row r="10999" spans="1:18" s="22" customFormat="1">
      <c r="A10999" s="16"/>
      <c r="B10999" s="1042"/>
      <c r="C10999" s="1320"/>
      <c r="D10999" s="1404" t="s">
        <v>1067</v>
      </c>
      <c r="E10999" s="1857" t="s">
        <v>1508</v>
      </c>
      <c r="F10999" s="1406" t="s">
        <v>1512</v>
      </c>
      <c r="G10999" s="1407">
        <v>1.03</v>
      </c>
      <c r="H10999" s="1408">
        <f>G10999*H10995</f>
        <v>5.3559999999999997E-2</v>
      </c>
      <c r="I10999" s="197"/>
      <c r="J10999" s="198"/>
      <c r="K10999" s="1307">
        <f>H10999*K10980</f>
        <v>0.18317519999999998</v>
      </c>
      <c r="L10999" s="1335">
        <f t="shared" si="1441"/>
        <v>0</v>
      </c>
      <c r="M10999" s="1302">
        <v>18.28</v>
      </c>
      <c r="N10999" s="1718">
        <f>G10999*M10999</f>
        <v>18.828400000000002</v>
      </c>
      <c r="O10999" s="1290">
        <f>H10999*M10999</f>
        <v>0.97907679999999997</v>
      </c>
      <c r="P10999" s="1332">
        <f>M10999*K10999</f>
        <v>3.348442656</v>
      </c>
      <c r="Q10999" s="3391"/>
      <c r="R10999" s="2337"/>
    </row>
    <row r="11000" spans="1:18" s="22" customFormat="1">
      <c r="A11000" s="16"/>
      <c r="B11000" s="1320"/>
      <c r="C11000" s="1356" t="s">
        <v>1119</v>
      </c>
      <c r="D11000" s="1311"/>
      <c r="E11000" s="1854" t="s">
        <v>1517</v>
      </c>
      <c r="F11000" s="1749" t="s">
        <v>1917</v>
      </c>
      <c r="G11000" s="1688"/>
      <c r="H11000" s="1366">
        <v>3.1E-2</v>
      </c>
      <c r="I11000" s="1388"/>
      <c r="J11000" s="1388"/>
      <c r="K11000" s="1510"/>
      <c r="L11000" s="1445"/>
      <c r="M11000" s="1447"/>
      <c r="N11000" s="1447">
        <f>SUM(N11001:N11005)</f>
        <v>83.047780000000003</v>
      </c>
      <c r="O11000" s="1447">
        <f>SUM(O11001:O11005)</f>
        <v>2.5744811800000003</v>
      </c>
      <c r="P11000" s="1446">
        <f>SUM(P11001:P11005)</f>
        <v>8.8047256355999988</v>
      </c>
      <c r="Q11000" s="3391"/>
      <c r="R11000" s="2339"/>
    </row>
    <row r="11001" spans="1:18" s="22" customFormat="1">
      <c r="A11001" s="16"/>
      <c r="B11001" s="1320"/>
      <c r="C11001" s="18"/>
      <c r="D11001" s="1752" t="s">
        <v>1069</v>
      </c>
      <c r="E11001" s="1852" t="s">
        <v>1517</v>
      </c>
      <c r="F11001" s="1752" t="s">
        <v>1578</v>
      </c>
      <c r="G11001" s="1941">
        <v>0.2</v>
      </c>
      <c r="H11001" s="1453">
        <f>G11001*H11000</f>
        <v>6.2000000000000006E-3</v>
      </c>
      <c r="I11001" s="198"/>
      <c r="J11001" s="198"/>
      <c r="K11001" s="1307">
        <f>H11001*K10980</f>
        <v>2.1204000000000001E-2</v>
      </c>
      <c r="L11001" s="1335">
        <f t="shared" ref="L11001:L11005" si="1442">K11001*$K$10671</f>
        <v>0</v>
      </c>
      <c r="M11001" s="1499">
        <v>0.55000000000000004</v>
      </c>
      <c r="N11001" s="1718">
        <f>G11001*M11001</f>
        <v>0.11000000000000001</v>
      </c>
      <c r="O11001" s="1719">
        <f>H11001*M11001</f>
        <v>3.4100000000000007E-3</v>
      </c>
      <c r="P11001" s="1720">
        <f>M11001*K11001</f>
        <v>1.1662200000000001E-2</v>
      </c>
      <c r="Q11001" s="3396"/>
      <c r="R11001" s="2337"/>
    </row>
    <row r="11002" spans="1:18" s="22" customFormat="1">
      <c r="A11002" s="16"/>
      <c r="B11002" s="1320"/>
      <c r="C11002" s="1042"/>
      <c r="D11002" s="1752" t="s">
        <v>1792</v>
      </c>
      <c r="E11002" s="1852" t="s">
        <v>1577</v>
      </c>
      <c r="F11002" s="1752" t="s">
        <v>1793</v>
      </c>
      <c r="G11002" s="1941">
        <v>0.19</v>
      </c>
      <c r="H11002" s="1399">
        <f>H11000*G11002</f>
        <v>5.8900000000000003E-3</v>
      </c>
      <c r="I11002" s="197"/>
      <c r="J11002" s="198"/>
      <c r="K11002" s="1307">
        <f>H11002*K10980</f>
        <v>2.01438E-2</v>
      </c>
      <c r="L11002" s="1335">
        <f t="shared" si="1442"/>
        <v>0</v>
      </c>
      <c r="M11002" s="1499">
        <v>85.09</v>
      </c>
      <c r="N11002" s="1718">
        <f>G11002*M11002</f>
        <v>16.167100000000001</v>
      </c>
      <c r="O11002" s="1719">
        <f>H11002*M11002</f>
        <v>0.50118010000000002</v>
      </c>
      <c r="P11002" s="1720">
        <f>M11002*K11002</f>
        <v>1.714035942</v>
      </c>
      <c r="Q11002" s="3396"/>
      <c r="R11002" s="2337"/>
    </row>
    <row r="11003" spans="1:18" s="22" customFormat="1">
      <c r="A11003" s="16"/>
      <c r="B11003" s="1320"/>
      <c r="C11003" s="1042"/>
      <c r="D11003" s="1752" t="s">
        <v>1394</v>
      </c>
      <c r="E11003" s="1852" t="s">
        <v>1577</v>
      </c>
      <c r="F11003" s="1752" t="s">
        <v>1579</v>
      </c>
      <c r="G11003" s="1941">
        <v>0.38</v>
      </c>
      <c r="H11003" s="1399">
        <f>H11000*G11003</f>
        <v>1.1780000000000001E-2</v>
      </c>
      <c r="I11003" s="1289"/>
      <c r="J11003" s="198"/>
      <c r="K11003" s="1307">
        <f>H11003*K10980</f>
        <v>4.02876E-2</v>
      </c>
      <c r="L11003" s="1335">
        <f t="shared" si="1442"/>
        <v>0</v>
      </c>
      <c r="M11003" s="1499">
        <v>92.54</v>
      </c>
      <c r="N11003" s="1718">
        <f>G11003*M11003</f>
        <v>35.165200000000006</v>
      </c>
      <c r="O11003" s="1719">
        <f>H11003*M11003</f>
        <v>1.0901212000000002</v>
      </c>
      <c r="P11003" s="1720">
        <f>M11003*K11003</f>
        <v>3.7282145040000003</v>
      </c>
      <c r="Q11003" s="3396"/>
      <c r="R11003" s="2337"/>
    </row>
    <row r="11004" spans="1:18" s="22" customFormat="1">
      <c r="A11004" s="16"/>
      <c r="B11004" s="1320"/>
      <c r="C11004" s="1042"/>
      <c r="D11004" s="1752" t="s">
        <v>1576</v>
      </c>
      <c r="E11004" s="1852" t="s">
        <v>1517</v>
      </c>
      <c r="F11004" s="1752" t="s">
        <v>1580</v>
      </c>
      <c r="G11004" s="1941">
        <v>1.38</v>
      </c>
      <c r="H11004" s="1453">
        <f>G11004*H11000</f>
        <v>4.2779999999999999E-2</v>
      </c>
      <c r="I11004" s="1289"/>
      <c r="J11004" s="198"/>
      <c r="K11004" s="1307">
        <f>H11004*K10980</f>
        <v>0.14630759999999998</v>
      </c>
      <c r="L11004" s="1335">
        <f t="shared" si="1442"/>
        <v>0</v>
      </c>
      <c r="M11004" s="1499">
        <v>6.53</v>
      </c>
      <c r="N11004" s="1718">
        <f>G11004*M11004</f>
        <v>9.0114000000000001</v>
      </c>
      <c r="O11004" s="1719">
        <f>H11004*M11004</f>
        <v>0.27935339999999997</v>
      </c>
      <c r="P11004" s="1720">
        <f>M11004*K11004</f>
        <v>0.95538862799999991</v>
      </c>
      <c r="Q11004" s="3396"/>
      <c r="R11004" s="2337"/>
    </row>
    <row r="11005" spans="1:18" s="22" customFormat="1" ht="15" customHeight="1">
      <c r="A11005" s="16"/>
      <c r="B11005" s="1320"/>
      <c r="C11005" s="1042"/>
      <c r="D11005" s="1754" t="s">
        <v>1067</v>
      </c>
      <c r="E11005" s="1853" t="s">
        <v>1508</v>
      </c>
      <c r="F11005" s="1754" t="s">
        <v>1512</v>
      </c>
      <c r="G11005" s="4018">
        <v>1.236</v>
      </c>
      <c r="H11005" s="4019">
        <f>G11005*H11000</f>
        <v>3.8315999999999996E-2</v>
      </c>
      <c r="I11005" s="1289"/>
      <c r="J11005" s="198"/>
      <c r="K11005" s="1307">
        <f>H11005*K10980</f>
        <v>0.13104071999999997</v>
      </c>
      <c r="L11005" s="1335">
        <f t="shared" si="1442"/>
        <v>0</v>
      </c>
      <c r="M11005" s="1499">
        <v>18.28</v>
      </c>
      <c r="N11005" s="1718">
        <f>G11005*M11005</f>
        <v>22.594080000000002</v>
      </c>
      <c r="O11005" s="1719">
        <f>H11005*M11005</f>
        <v>0.70041648000000001</v>
      </c>
      <c r="P11005" s="1720">
        <f>M11005*K11005</f>
        <v>2.3954243615999995</v>
      </c>
      <c r="Q11005" s="3396"/>
      <c r="R11005" s="2337"/>
    </row>
    <row r="11006" spans="1:18" s="22" customFormat="1">
      <c r="A11006" s="19"/>
      <c r="B11006" s="553"/>
      <c r="C11006" s="1042"/>
      <c r="D11006" s="3989"/>
      <c r="E11006" s="3990"/>
      <c r="F11006" s="1766"/>
      <c r="G11006" s="4020"/>
      <c r="H11006" s="3994"/>
      <c r="I11006" s="1289"/>
      <c r="J11006" s="3991"/>
      <c r="K11006" s="1307"/>
      <c r="L11006" s="1335"/>
      <c r="M11006" s="3992"/>
      <c r="N11006" s="1724"/>
      <c r="O11006" s="1290"/>
      <c r="P11006" s="3919"/>
      <c r="Q11006" s="3391"/>
      <c r="R11006" s="2339"/>
    </row>
    <row r="11007" spans="1:18" s="22" customFormat="1" ht="26">
      <c r="A11007" s="2187"/>
      <c r="B11007" s="1599"/>
      <c r="C11007" s="1042"/>
      <c r="D11007" s="1359"/>
      <c r="E11007" s="1858"/>
      <c r="F11007" s="1360" t="s">
        <v>2</v>
      </c>
      <c r="G11007" s="1360"/>
      <c r="H11007" s="1362"/>
      <c r="I11007" s="1380"/>
      <c r="J11007" s="1381"/>
      <c r="K11007" s="1381"/>
      <c r="L11007" s="1458"/>
      <c r="M11007" s="1362"/>
      <c r="N11007" s="1362"/>
      <c r="O11007" s="1362"/>
      <c r="P11007" s="1359"/>
      <c r="Q11007" s="3403"/>
      <c r="R11007" s="2357"/>
    </row>
    <row r="11008" spans="1:18" s="22" customFormat="1" ht="26">
      <c r="A11008" s="4012"/>
      <c r="B11008" s="1599"/>
      <c r="C11008" s="1042"/>
      <c r="D11008" s="4013" t="s">
        <v>1133</v>
      </c>
      <c r="E11008" s="4014" t="s">
        <v>1508</v>
      </c>
      <c r="F11008" s="4015" t="s">
        <v>1955</v>
      </c>
      <c r="G11008" s="4017">
        <v>0.1</v>
      </c>
      <c r="H11008" s="3897"/>
      <c r="I11008" s="198"/>
      <c r="J11008" s="198"/>
      <c r="K11008" s="1307">
        <f>G11008*K10980</f>
        <v>0.34200000000000003</v>
      </c>
      <c r="L11008" s="1335">
        <f t="shared" ref="L11008:L11010" si="1443">K11008*$K$10671</f>
        <v>0</v>
      </c>
      <c r="M11008" s="1499">
        <v>19.23</v>
      </c>
      <c r="N11008" s="1718"/>
      <c r="O11008" s="1290">
        <f t="shared" ref="O11008:O11010" si="1444">G11008*M11008</f>
        <v>1.923</v>
      </c>
      <c r="P11008" s="1332">
        <f t="shared" ref="P11008:P11010" si="1445">M11008*K11008</f>
        <v>6.5766600000000004</v>
      </c>
      <c r="Q11008" s="3387"/>
      <c r="R11008" s="3996"/>
    </row>
    <row r="11009" spans="1:18" s="22" customFormat="1" ht="26">
      <c r="A11009" s="4012"/>
      <c r="B11009" s="1599"/>
      <c r="C11009" s="1042"/>
      <c r="D11009" s="4013" t="s">
        <v>1134</v>
      </c>
      <c r="E11009" s="4014" t="s">
        <v>1508</v>
      </c>
      <c r="F11009" s="4015" t="s">
        <v>1547</v>
      </c>
      <c r="G11009" s="4017">
        <v>0.3</v>
      </c>
      <c r="H11009" s="3897"/>
      <c r="I11009" s="197"/>
      <c r="J11009" s="198"/>
      <c r="K11009" s="1307">
        <f>G11009*K10980</f>
        <v>1.026</v>
      </c>
      <c r="L11009" s="1335">
        <f t="shared" si="1443"/>
        <v>0</v>
      </c>
      <c r="M11009" s="1499">
        <v>19.23</v>
      </c>
      <c r="N11009" s="1718"/>
      <c r="O11009" s="1290">
        <f t="shared" si="1444"/>
        <v>5.7690000000000001</v>
      </c>
      <c r="P11009" s="1332">
        <f t="shared" si="1445"/>
        <v>19.729980000000001</v>
      </c>
      <c r="Q11009" s="3387"/>
      <c r="R11009" s="3996"/>
    </row>
    <row r="11010" spans="1:18" s="22" customFormat="1">
      <c r="A11010" s="16"/>
      <c r="B11010" s="1042"/>
      <c r="C11010" s="1042"/>
      <c r="D11010" s="1402" t="s">
        <v>1067</v>
      </c>
      <c r="E11010" s="1857" t="s">
        <v>1508</v>
      </c>
      <c r="F11010" s="1430" t="s">
        <v>1512</v>
      </c>
      <c r="G11010" s="4016">
        <v>0.27</v>
      </c>
      <c r="H11010" s="1408"/>
      <c r="I11010" s="1289"/>
      <c r="J11010" s="198"/>
      <c r="K11010" s="1307">
        <f>G11010*K10980</f>
        <v>0.9234</v>
      </c>
      <c r="L11010" s="1335">
        <f t="shared" si="1443"/>
        <v>0</v>
      </c>
      <c r="M11010" s="1499">
        <v>18.28</v>
      </c>
      <c r="N11010" s="1718"/>
      <c r="O11010" s="1290">
        <f t="shared" si="1444"/>
        <v>4.9356000000000009</v>
      </c>
      <c r="P11010" s="1332">
        <f t="shared" si="1445"/>
        <v>16.879752</v>
      </c>
      <c r="Q11010" s="3391"/>
      <c r="R11010" s="2338"/>
    </row>
    <row r="11011" spans="1:18" s="22" customFormat="1">
      <c r="A11011"/>
      <c r="B11011" s="553"/>
      <c r="C11011" s="1938" t="s">
        <v>1755</v>
      </c>
      <c r="D11011" s="1311"/>
      <c r="E11011" s="2176" t="s">
        <v>1508</v>
      </c>
      <c r="F11011" s="2051" t="s">
        <v>1524</v>
      </c>
      <c r="G11011" s="2052"/>
      <c r="H11011" s="1338">
        <v>0.29499999999999998</v>
      </c>
      <c r="I11011" s="1444"/>
      <c r="J11011" s="1388"/>
      <c r="K11011" s="1445"/>
      <c r="L11011" s="1457"/>
      <c r="M11011" s="1447"/>
      <c r="N11011" s="1447">
        <f>SUM(N11012:N11013)</f>
        <v>37.510000000000005</v>
      </c>
      <c r="O11011" s="1447">
        <f>SUM(O11012:O11013)</f>
        <v>11.065449999999998</v>
      </c>
      <c r="P11011" s="1447">
        <f>SUM(P11012:P11013)</f>
        <v>37.843839000000003</v>
      </c>
      <c r="Q11011" s="3391"/>
      <c r="R11011" s="2337"/>
    </row>
    <row r="11012" spans="1:18" s="22" customFormat="1">
      <c r="A11012" s="19"/>
      <c r="B11012" s="1042"/>
      <c r="C11012" s="1042"/>
      <c r="D11012" s="1402" t="s">
        <v>1067</v>
      </c>
      <c r="E11012" s="1857" t="s">
        <v>1508</v>
      </c>
      <c r="F11012" s="1430" t="s">
        <v>5</v>
      </c>
      <c r="G11012" s="1381">
        <v>1</v>
      </c>
      <c r="H11012" s="1408">
        <f>G11012*H11011</f>
        <v>0.29499999999999998</v>
      </c>
      <c r="I11012" s="1340"/>
      <c r="J11012" s="198"/>
      <c r="K11012" s="1307">
        <f>H11012*K10980</f>
        <v>1.0088999999999999</v>
      </c>
      <c r="L11012" s="1335">
        <f>K11012*$K$10671</f>
        <v>0</v>
      </c>
      <c r="M11012" s="1302">
        <v>18.28</v>
      </c>
      <c r="N11012" s="1724">
        <f>G11012*M11012</f>
        <v>18.28</v>
      </c>
      <c r="O11012" s="1726">
        <f>H11012*M11012</f>
        <v>5.3925999999999998</v>
      </c>
      <c r="P11012" s="1727">
        <f>M11012*K11012</f>
        <v>18.442692000000001</v>
      </c>
      <c r="Q11012" s="3396"/>
      <c r="R11012" s="2338"/>
    </row>
    <row r="11013" spans="1:18" s="22" customFormat="1">
      <c r="A11013" s="19"/>
      <c r="B11013" s="1042"/>
      <c r="C11013" s="1042"/>
      <c r="D11013" s="1402" t="s">
        <v>1077</v>
      </c>
      <c r="E11013" s="1857" t="s">
        <v>1508</v>
      </c>
      <c r="F11013" s="1430" t="s">
        <v>37</v>
      </c>
      <c r="G11013" s="1381">
        <v>1</v>
      </c>
      <c r="H11013" s="1408">
        <f>G11013*H11011</f>
        <v>0.29499999999999998</v>
      </c>
      <c r="I11013" s="198"/>
      <c r="J11013" s="198"/>
      <c r="K11013" s="1307">
        <f>H11013*K10980</f>
        <v>1.0088999999999999</v>
      </c>
      <c r="L11013" s="1335">
        <f>K11013*$K$10671</f>
        <v>0</v>
      </c>
      <c r="M11013" s="1302">
        <v>19.23</v>
      </c>
      <c r="N11013" s="1724">
        <f>G11013*M11013</f>
        <v>19.23</v>
      </c>
      <c r="O11013" s="1719">
        <f>(H11013*M11013)</f>
        <v>5.6728499999999995</v>
      </c>
      <c r="P11013" s="1727">
        <f>M11013*K11013</f>
        <v>19.401146999999998</v>
      </c>
      <c r="Q11013" s="3396"/>
      <c r="R11013" s="2338"/>
    </row>
    <row r="11014" spans="1:18" s="22" customFormat="1">
      <c r="B11014" s="1320"/>
      <c r="C11014" s="16"/>
      <c r="D11014" s="1359"/>
      <c r="E11014" s="1858"/>
      <c r="F11014" s="1474"/>
      <c r="G11014" s="2198"/>
      <c r="H11014" s="1466"/>
      <c r="I11014" s="1289"/>
      <c r="J11014" s="8"/>
      <c r="K11014" s="1307"/>
      <c r="L11014" s="1335"/>
      <c r="M11014" s="1302"/>
      <c r="N11014" s="1700"/>
      <c r="O11014" s="1290"/>
      <c r="P11014" s="1332"/>
      <c r="Q11014" s="3391"/>
      <c r="R11014" s="2344"/>
    </row>
    <row r="11015" spans="1:18" s="22" customFormat="1">
      <c r="A11015" s="1320"/>
      <c r="B11015" s="1599"/>
      <c r="C11015" s="1320"/>
      <c r="D11015" s="1373"/>
      <c r="E11015" s="2123"/>
      <c r="F11015" s="1374" t="s">
        <v>3</v>
      </c>
      <c r="G11015" s="2199"/>
      <c r="H11015" s="1376"/>
      <c r="I11015" s="1382"/>
      <c r="J11015" s="1383"/>
      <c r="K11015" s="1383"/>
      <c r="L11015" s="1413"/>
      <c r="M11015" s="1376"/>
      <c r="N11015" s="1376"/>
      <c r="O11015" s="1376"/>
      <c r="P11015" s="1373"/>
      <c r="Q11015" s="3403"/>
      <c r="R11015" s="2356"/>
    </row>
    <row r="11016" spans="1:18" s="22" customFormat="1">
      <c r="A11016" s="1321"/>
      <c r="B11016" s="2053"/>
      <c r="C11016" s="1321"/>
      <c r="D11016" s="2202"/>
      <c r="E11016" s="2304"/>
      <c r="F11016" s="2202"/>
      <c r="G11016" s="2203"/>
      <c r="H11016" s="1379"/>
      <c r="I11016" s="1299"/>
      <c r="J11016" s="1300"/>
      <c r="K11016" s="1307"/>
      <c r="L11016" s="1335"/>
      <c r="M11016" s="1302"/>
      <c r="N11016" s="1700"/>
      <c r="O11016" s="1290"/>
      <c r="P11016" s="1332"/>
      <c r="Q11016" s="3402"/>
      <c r="R11016" s="2053"/>
    </row>
    <row r="11017" spans="1:18" s="22" customFormat="1">
      <c r="A11017" s="1321"/>
      <c r="B11017" s="2053"/>
      <c r="C11017" s="1321"/>
      <c r="D11017" s="1377"/>
      <c r="E11017" s="2124"/>
      <c r="F11017" s="1378"/>
      <c r="G11017" s="2200"/>
      <c r="H11017" s="1379"/>
      <c r="I11017" s="1299"/>
      <c r="J11017" s="1300"/>
      <c r="K11017" s="1307"/>
      <c r="L11017" s="1335"/>
      <c r="M11017" s="1302"/>
      <c r="N11017" s="1700"/>
      <c r="O11017" s="1290"/>
      <c r="P11017" s="1332"/>
      <c r="Q11017" s="3402"/>
      <c r="R11017" s="2053"/>
    </row>
    <row r="11018" spans="1:18" s="22" customFormat="1">
      <c r="A11018" s="1320"/>
      <c r="B11018" s="1765"/>
      <c r="C11018" s="223"/>
      <c r="D11018" s="1373"/>
      <c r="E11018" s="2161"/>
      <c r="F11018" s="1678"/>
      <c r="G11018" s="2201"/>
      <c r="H11018" s="1376"/>
      <c r="I11018" s="1299"/>
      <c r="J11018" s="1300"/>
      <c r="K11018" s="1307"/>
      <c r="L11018" s="1335"/>
      <c r="M11018" s="1302"/>
      <c r="N11018" s="1700"/>
      <c r="O11018" s="1290"/>
      <c r="P11018" s="1332"/>
      <c r="Q11018" s="3402"/>
      <c r="R11018" s="2356"/>
    </row>
    <row r="11019" spans="1:18" s="22" customFormat="1">
      <c r="A11019" s="551" t="s">
        <v>3764</v>
      </c>
      <c r="B11019" s="4325" t="s">
        <v>3788</v>
      </c>
      <c r="C11019" s="3350"/>
      <c r="D11019" s="4327"/>
      <c r="E11019" s="4329" t="s">
        <v>1527</v>
      </c>
      <c r="F11019" s="4372" t="s">
        <v>3787</v>
      </c>
      <c r="G11019" s="4331" t="s">
        <v>1568</v>
      </c>
      <c r="H11019" s="4331" t="s">
        <v>1574</v>
      </c>
      <c r="I11019" s="1572" t="s">
        <v>1559</v>
      </c>
      <c r="J11019" s="1294" t="s">
        <v>1560</v>
      </c>
      <c r="K11019" s="1294" t="s">
        <v>1569</v>
      </c>
      <c r="L11019" s="4333" t="s">
        <v>3765</v>
      </c>
      <c r="M11019" s="4323" t="s">
        <v>1571</v>
      </c>
      <c r="N11019" s="4323" t="s">
        <v>1776</v>
      </c>
      <c r="O11019" s="3347" t="s">
        <v>1563</v>
      </c>
      <c r="P11019" s="1336" t="s">
        <v>1562</v>
      </c>
      <c r="Q11019" s="3389"/>
      <c r="R11019" s="1699" t="s">
        <v>1327</v>
      </c>
    </row>
    <row r="11020" spans="1:18" s="22" customFormat="1">
      <c r="A11020" s="1599" t="s">
        <v>3761</v>
      </c>
      <c r="B11020" s="4326"/>
      <c r="C11020" s="3351"/>
      <c r="D11020" s="4328"/>
      <c r="E11020" s="4330"/>
      <c r="F11020" s="4363"/>
      <c r="G11020" s="4332"/>
      <c r="H11020" s="4332"/>
      <c r="I11020" s="1345">
        <v>30</v>
      </c>
      <c r="J11020" s="1307">
        <v>1</v>
      </c>
      <c r="K11020" s="1666">
        <f>I11020*J11020</f>
        <v>30</v>
      </c>
      <c r="L11020" s="4334"/>
      <c r="M11020" s="4324"/>
      <c r="N11020" s="4324"/>
      <c r="O11020" s="1298">
        <f>O11022+O11023+O11024+O11025+O11028+O11029</f>
        <v>3.75908</v>
      </c>
      <c r="P11020" s="1337">
        <f>O11020*K11020</f>
        <v>112.7724</v>
      </c>
      <c r="Q11020" s="3390"/>
      <c r="R11020" s="1721">
        <f>P11022+P11023+P11024+P11025+P11028+P11029</f>
        <v>112.77239999999999</v>
      </c>
    </row>
    <row r="11021" spans="1:18" s="22" customFormat="1">
      <c r="A11021" s="1599"/>
      <c r="B11021" s="1949"/>
      <c r="C11021" s="1327"/>
      <c r="D11021" s="1367"/>
      <c r="E11021" s="2121"/>
      <c r="F11021" s="1389" t="s">
        <v>1</v>
      </c>
      <c r="G11021" s="1389"/>
      <c r="H11021" s="1369"/>
      <c r="I11021" s="2088"/>
      <c r="J11021" s="1369"/>
      <c r="K11021" s="1391"/>
      <c r="L11021" s="1559"/>
      <c r="M11021" s="1369"/>
      <c r="N11021" s="1369"/>
      <c r="O11021" s="1369"/>
      <c r="P11021" s="1392"/>
      <c r="Q11021" s="3395"/>
      <c r="R11021" s="2344"/>
    </row>
    <row r="11022" spans="1:18" s="22" customFormat="1">
      <c r="B11022" s="553"/>
      <c r="C11022" s="1042"/>
      <c r="D11022" s="1367" t="s">
        <v>1252</v>
      </c>
      <c r="E11022" s="2121" t="s">
        <v>1527</v>
      </c>
      <c r="F11022" s="1367" t="s">
        <v>2168</v>
      </c>
      <c r="G11022" s="1554">
        <v>1.01</v>
      </c>
      <c r="H11022" s="1369"/>
      <c r="I11022" s="1299"/>
      <c r="J11022" s="1300"/>
      <c r="K11022" s="1350">
        <f>G11022*K11020</f>
        <v>30.3</v>
      </c>
      <c r="L11022" s="1335">
        <f>K11022*$K$10671</f>
        <v>0</v>
      </c>
      <c r="M11022" s="1499">
        <v>0.16</v>
      </c>
      <c r="N11022" s="1724"/>
      <c r="O11022" s="1290">
        <f>G11022*M11022</f>
        <v>0.16159999999999999</v>
      </c>
      <c r="P11022" s="1332">
        <f>M11022*K11022</f>
        <v>4.8479999999999999</v>
      </c>
      <c r="Q11022" s="3391"/>
      <c r="R11022" s="2339"/>
    </row>
    <row r="11023" spans="1:18" s="22" customFormat="1" ht="15" customHeight="1">
      <c r="B11023" s="553"/>
      <c r="C11023" s="1042"/>
      <c r="D11023" s="1367" t="s">
        <v>1245</v>
      </c>
      <c r="E11023" s="2121" t="s">
        <v>1527</v>
      </c>
      <c r="F11023" s="1367" t="s">
        <v>2169</v>
      </c>
      <c r="G11023" s="1367">
        <v>3.03</v>
      </c>
      <c r="H11023" s="1369"/>
      <c r="I11023" s="1299"/>
      <c r="J11023" s="1300"/>
      <c r="K11023" s="1350">
        <f>G11023*K11020</f>
        <v>90.899999999999991</v>
      </c>
      <c r="L11023" s="1335">
        <f>K11023*$K$10671</f>
        <v>0</v>
      </c>
      <c r="M11023" s="1499">
        <v>0.42</v>
      </c>
      <c r="N11023" s="1724"/>
      <c r="O11023" s="1290">
        <f>G11023*M11023</f>
        <v>1.2726</v>
      </c>
      <c r="P11023" s="1332">
        <f>M11023*K11023</f>
        <v>38.177999999999997</v>
      </c>
      <c r="Q11023" s="3391"/>
      <c r="R11023" s="2339"/>
    </row>
    <row r="11024" spans="1:18" s="22" customFormat="1">
      <c r="B11024" s="553"/>
      <c r="C11024" s="1042"/>
      <c r="D11024" s="1367" t="s">
        <v>1082</v>
      </c>
      <c r="E11024" s="2121" t="s">
        <v>1504</v>
      </c>
      <c r="F11024" s="1367" t="s">
        <v>1541</v>
      </c>
      <c r="G11024" s="1554">
        <v>0.5</v>
      </c>
      <c r="H11024" s="1369"/>
      <c r="I11024" s="1299"/>
      <c r="J11024" s="1300"/>
      <c r="K11024" s="1307">
        <f>G11024*K11020</f>
        <v>15</v>
      </c>
      <c r="L11024" s="1335">
        <f>K11024*$K$10671</f>
        <v>0</v>
      </c>
      <c r="M11024" s="1499">
        <v>0.3</v>
      </c>
      <c r="N11024" s="1724"/>
      <c r="O11024" s="1290">
        <f>G11024*M11024</f>
        <v>0.15</v>
      </c>
      <c r="P11024" s="1332">
        <f>M11024*K11024</f>
        <v>4.5</v>
      </c>
      <c r="Q11024" s="3391"/>
      <c r="R11024" s="2339"/>
    </row>
    <row r="11025" spans="1:19" s="22" customFormat="1">
      <c r="B11025" s="553"/>
      <c r="C11025" s="1042"/>
      <c r="D11025" s="1367" t="s">
        <v>1097</v>
      </c>
      <c r="E11025" s="2121" t="s">
        <v>1504</v>
      </c>
      <c r="F11025" s="1367" t="s">
        <v>1632</v>
      </c>
      <c r="G11025" s="1554">
        <v>0.3</v>
      </c>
      <c r="H11025" s="1369"/>
      <c r="I11025" s="1299"/>
      <c r="J11025" s="1300"/>
      <c r="K11025" s="1307">
        <f>G11025*K11020</f>
        <v>9</v>
      </c>
      <c r="L11025" s="1335">
        <f>K11025*$K$10671</f>
        <v>0</v>
      </c>
      <c r="M11025" s="1499">
        <v>0.55000000000000004</v>
      </c>
      <c r="N11025" s="1724"/>
      <c r="O11025" s="1290">
        <f>G11025*M11025</f>
        <v>0.16500000000000001</v>
      </c>
      <c r="P11025" s="1332">
        <f>M11025*K11025</f>
        <v>4.95</v>
      </c>
      <c r="Q11025" s="3391"/>
      <c r="R11025" s="2339"/>
    </row>
    <row r="11026" spans="1:19" s="22" customFormat="1">
      <c r="A11026" s="16"/>
      <c r="B11026" s="1599"/>
      <c r="C11026" s="1320"/>
      <c r="D11026" s="2205"/>
      <c r="E11026" s="2130"/>
      <c r="F11026" s="2205"/>
      <c r="G11026" s="2206"/>
      <c r="H11026" s="1399"/>
      <c r="I11026" s="198"/>
      <c r="J11026" s="198"/>
      <c r="K11026" s="1307"/>
      <c r="L11026" s="1335"/>
      <c r="M11026" s="1499"/>
      <c r="N11026" s="1701"/>
      <c r="O11026" s="1291"/>
      <c r="P11026" s="1332"/>
      <c r="Q11026" s="3391"/>
      <c r="R11026" s="3363"/>
    </row>
    <row r="11027" spans="1:19" s="22" customFormat="1" ht="26">
      <c r="A11027" s="2187"/>
      <c r="B11027" s="1599"/>
      <c r="C11027" s="1042"/>
      <c r="D11027" s="1359"/>
      <c r="E11027" s="1858"/>
      <c r="F11027" s="1360" t="s">
        <v>2</v>
      </c>
      <c r="G11027" s="1360"/>
      <c r="H11027" s="1362"/>
      <c r="I11027" s="1380"/>
      <c r="J11027" s="1381"/>
      <c r="K11027" s="1381"/>
      <c r="L11027" s="1458"/>
      <c r="M11027" s="1362"/>
      <c r="N11027" s="1362"/>
      <c r="O11027" s="1362"/>
      <c r="P11027" s="1359"/>
      <c r="Q11027" s="3403"/>
      <c r="R11027" s="2357"/>
    </row>
    <row r="11028" spans="1:19" s="22" customFormat="1">
      <c r="A11028" s="16"/>
      <c r="B11028" s="1042"/>
      <c r="C11028" s="1042"/>
      <c r="D11028" s="1402" t="s">
        <v>1593</v>
      </c>
      <c r="E11028" s="1857" t="s">
        <v>1508</v>
      </c>
      <c r="F11028" s="1430" t="s">
        <v>2280</v>
      </c>
      <c r="G11028" s="1362">
        <v>4.5999999999999999E-2</v>
      </c>
      <c r="H11028" s="1408"/>
      <c r="I11028" s="1340"/>
      <c r="J11028" s="198"/>
      <c r="K11028" s="1307">
        <f>G11028*K11020</f>
        <v>1.38</v>
      </c>
      <c r="L11028" s="1335">
        <f>K11028*$K$10671</f>
        <v>0</v>
      </c>
      <c r="M11028" s="1302">
        <v>19.23</v>
      </c>
      <c r="N11028" s="1724"/>
      <c r="O11028" s="1290">
        <f>G11028*M11028</f>
        <v>0.88458000000000003</v>
      </c>
      <c r="P11028" s="1332">
        <f>M11028*K11028</f>
        <v>26.537399999999998</v>
      </c>
      <c r="Q11028" s="3391"/>
      <c r="R11028" s="2338"/>
    </row>
    <row r="11029" spans="1:19" s="22" customFormat="1">
      <c r="A11029"/>
      <c r="B11029" s="553"/>
      <c r="C11029" s="1938" t="s">
        <v>1755</v>
      </c>
      <c r="D11029" s="1311"/>
      <c r="E11029" s="2176" t="s">
        <v>1508</v>
      </c>
      <c r="F11029" s="2051" t="s">
        <v>1524</v>
      </c>
      <c r="G11029" s="2052"/>
      <c r="H11029" s="1338">
        <v>0.03</v>
      </c>
      <c r="I11029" s="1444"/>
      <c r="J11029" s="1388"/>
      <c r="K11029" s="1445"/>
      <c r="L11029" s="1457"/>
      <c r="M11029" s="1447"/>
      <c r="N11029" s="1447">
        <f>SUM(N11030:N11031)</f>
        <v>37.510000000000005</v>
      </c>
      <c r="O11029" s="1447">
        <f>SUM(O11030:O11031)</f>
        <v>1.1253</v>
      </c>
      <c r="P11029" s="1447">
        <f>SUM(P11030:P11031)</f>
        <v>33.759</v>
      </c>
      <c r="Q11029" s="3391"/>
      <c r="R11029" s="2337"/>
    </row>
    <row r="11030" spans="1:19" s="22" customFormat="1">
      <c r="A11030" s="19"/>
      <c r="B11030" s="1042"/>
      <c r="C11030" s="1042"/>
      <c r="D11030" s="1402" t="s">
        <v>1067</v>
      </c>
      <c r="E11030" s="1857" t="s">
        <v>1508</v>
      </c>
      <c r="F11030" s="1430" t="s">
        <v>5</v>
      </c>
      <c r="G11030" s="1381">
        <v>1</v>
      </c>
      <c r="H11030" s="1408">
        <f>G11030*H11029</f>
        <v>0.03</v>
      </c>
      <c r="I11030" s="1340"/>
      <c r="J11030" s="198"/>
      <c r="K11030" s="1307">
        <f>H11030*K11020</f>
        <v>0.89999999999999991</v>
      </c>
      <c r="L11030" s="1335">
        <f>K11030*$K$10671</f>
        <v>0</v>
      </c>
      <c r="M11030" s="1302">
        <v>18.28</v>
      </c>
      <c r="N11030" s="1724">
        <f>G11030*M11030</f>
        <v>18.28</v>
      </c>
      <c r="O11030" s="1726">
        <f>H11030*M11030</f>
        <v>0.5484</v>
      </c>
      <c r="P11030" s="1727">
        <f>M11030*K11030</f>
        <v>16.451999999999998</v>
      </c>
      <c r="Q11030" s="3396"/>
      <c r="R11030" s="2338"/>
    </row>
    <row r="11031" spans="1:19" s="22" customFormat="1">
      <c r="A11031" s="19"/>
      <c r="B11031" s="1042"/>
      <c r="C11031" s="1042"/>
      <c r="D11031" s="1402" t="s">
        <v>1077</v>
      </c>
      <c r="E11031" s="1857" t="s">
        <v>1508</v>
      </c>
      <c r="F11031" s="1430" t="s">
        <v>37</v>
      </c>
      <c r="G11031" s="1381">
        <v>1</v>
      </c>
      <c r="H11031" s="1408">
        <f>G11031*H11029</f>
        <v>0.03</v>
      </c>
      <c r="I11031" s="198"/>
      <c r="J11031" s="198"/>
      <c r="K11031" s="1307">
        <f>H11031*K11020</f>
        <v>0.89999999999999991</v>
      </c>
      <c r="L11031" s="1335">
        <f>K11031*$K$10671</f>
        <v>0</v>
      </c>
      <c r="M11031" s="1302">
        <v>19.23</v>
      </c>
      <c r="N11031" s="1724">
        <f>G11031*M11031</f>
        <v>19.23</v>
      </c>
      <c r="O11031" s="1719">
        <f>(H11031*M11031)</f>
        <v>0.57689999999999997</v>
      </c>
      <c r="P11031" s="1727">
        <f>M11031*K11031</f>
        <v>17.306999999999999</v>
      </c>
      <c r="Q11031" s="3396"/>
      <c r="R11031" s="2338"/>
    </row>
    <row r="11032" spans="1:19" s="22" customFormat="1">
      <c r="B11032" s="1320"/>
      <c r="C11032" s="16"/>
      <c r="D11032" s="1359"/>
      <c r="E11032" s="1858"/>
      <c r="F11032" s="1474"/>
      <c r="G11032" s="2198"/>
      <c r="H11032" s="1466"/>
      <c r="I11032" s="1289"/>
      <c r="J11032" s="8"/>
      <c r="K11032" s="1307"/>
      <c r="L11032" s="1335"/>
      <c r="M11032" s="1302"/>
      <c r="N11032" s="1700"/>
      <c r="O11032" s="1290"/>
      <c r="P11032" s="1332"/>
      <c r="Q11032" s="3391"/>
      <c r="R11032" s="2344"/>
    </row>
    <row r="11033" spans="1:19">
      <c r="A11033" s="1320"/>
      <c r="B11033" s="1599"/>
      <c r="C11033" s="1320"/>
      <c r="D11033" s="1373"/>
      <c r="E11033" s="2123"/>
      <c r="F11033" s="1374" t="s">
        <v>3</v>
      </c>
      <c r="G11033" s="2199"/>
      <c r="H11033" s="1376"/>
      <c r="I11033" s="1382"/>
      <c r="J11033" s="1383"/>
      <c r="K11033" s="1383"/>
      <c r="L11033" s="1413"/>
      <c r="M11033" s="1376"/>
      <c r="N11033" s="1376"/>
      <c r="O11033" s="1376"/>
      <c r="P11033" s="1373"/>
      <c r="Q11033" s="3403"/>
      <c r="R11033" s="2356"/>
      <c r="S11033" s="22"/>
    </row>
    <row r="11034" spans="1:19" s="22" customFormat="1">
      <c r="A11034" s="1321"/>
      <c r="B11034" s="2053"/>
      <c r="C11034" s="1321"/>
      <c r="D11034" s="2202"/>
      <c r="E11034" s="2304"/>
      <c r="F11034" s="2202"/>
      <c r="G11034" s="2203"/>
      <c r="H11034" s="1379"/>
      <c r="I11034" s="1299"/>
      <c r="J11034" s="1300"/>
      <c r="K11034" s="1307"/>
      <c r="L11034" s="1335"/>
      <c r="M11034" s="1302"/>
      <c r="N11034" s="1700"/>
      <c r="O11034" s="1290"/>
      <c r="P11034" s="1332"/>
      <c r="Q11034" s="3402"/>
      <c r="R11034" s="2053"/>
    </row>
    <row r="11035" spans="1:19" s="22" customFormat="1">
      <c r="A11035" s="1321"/>
      <c r="B11035" s="2053"/>
      <c r="C11035" s="1321"/>
      <c r="D11035" s="1377"/>
      <c r="E11035" s="2124"/>
      <c r="F11035" s="1378"/>
      <c r="G11035" s="2200"/>
      <c r="H11035" s="1379"/>
      <c r="I11035" s="1299"/>
      <c r="J11035" s="1300"/>
      <c r="K11035" s="1307"/>
      <c r="L11035" s="1335"/>
      <c r="M11035" s="1302"/>
      <c r="N11035" s="1700"/>
      <c r="O11035" s="1290"/>
      <c r="P11035" s="1332"/>
      <c r="Q11035" s="3402"/>
      <c r="R11035" s="2053"/>
    </row>
    <row r="11036" spans="1:19" s="22" customFormat="1">
      <c r="A11036" s="1320"/>
      <c r="B11036" s="1765"/>
      <c r="C11036" s="223"/>
      <c r="D11036" s="1373"/>
      <c r="E11036" s="2161"/>
      <c r="F11036" s="1678"/>
      <c r="G11036" s="2201"/>
      <c r="H11036" s="1376"/>
      <c r="I11036" s="1299"/>
      <c r="J11036" s="1300"/>
      <c r="K11036" s="1307"/>
      <c r="L11036" s="1335"/>
      <c r="M11036" s="1302"/>
      <c r="N11036" s="1700"/>
      <c r="O11036" s="1290"/>
      <c r="P11036" s="1332"/>
      <c r="Q11036" s="3402"/>
      <c r="R11036" s="2356"/>
    </row>
    <row r="11037" spans="1:19" s="22" customFormat="1">
      <c r="A11037" s="551" t="s">
        <v>3764</v>
      </c>
      <c r="B11037" s="4325" t="s">
        <v>3789</v>
      </c>
      <c r="C11037" s="3885"/>
      <c r="D11037" s="4327"/>
      <c r="E11037" s="4329" t="s">
        <v>1527</v>
      </c>
      <c r="F11037" s="4372" t="s">
        <v>3790</v>
      </c>
      <c r="G11037" s="4331" t="s">
        <v>1568</v>
      </c>
      <c r="H11037" s="4331" t="s">
        <v>1574</v>
      </c>
      <c r="I11037" s="1572" t="s">
        <v>1559</v>
      </c>
      <c r="J11037" s="1294" t="s">
        <v>1560</v>
      </c>
      <c r="K11037" s="1294" t="s">
        <v>1569</v>
      </c>
      <c r="L11037" s="4333" t="s">
        <v>3765</v>
      </c>
      <c r="M11037" s="4323" t="s">
        <v>1571</v>
      </c>
      <c r="N11037" s="4323" t="s">
        <v>1776</v>
      </c>
      <c r="O11037" s="3884" t="s">
        <v>1563</v>
      </c>
      <c r="P11037" s="1336" t="s">
        <v>1562</v>
      </c>
      <c r="Q11037" s="3389"/>
      <c r="R11037" s="1699" t="s">
        <v>1327</v>
      </c>
    </row>
    <row r="11038" spans="1:19" s="22" customFormat="1">
      <c r="A11038" s="1599" t="s">
        <v>3761</v>
      </c>
      <c r="B11038" s="4326"/>
      <c r="C11038" s="3886"/>
      <c r="D11038" s="4328"/>
      <c r="E11038" s="4330"/>
      <c r="F11038" s="4363"/>
      <c r="G11038" s="4332"/>
      <c r="H11038" s="4332"/>
      <c r="I11038" s="1345">
        <v>15</v>
      </c>
      <c r="J11038" s="1307">
        <v>1</v>
      </c>
      <c r="K11038" s="1666">
        <f>I11038*J11038</f>
        <v>15</v>
      </c>
      <c r="L11038" s="4334"/>
      <c r="M11038" s="4324"/>
      <c r="N11038" s="4324"/>
      <c r="O11038" s="1298">
        <f>O11040+O11041+O11042+O11043+O11046+O11047</f>
        <v>4.5165800000000003</v>
      </c>
      <c r="P11038" s="1337">
        <f>O11038*K11038</f>
        <v>67.748699999999999</v>
      </c>
      <c r="Q11038" s="3390"/>
      <c r="R11038" s="1721">
        <f>P11040+P11041+P11042+P11043+P11046+P11047</f>
        <v>67.748700000000014</v>
      </c>
    </row>
    <row r="11039" spans="1:19" s="22" customFormat="1">
      <c r="A11039" s="1599"/>
      <c r="B11039" s="1949"/>
      <c r="C11039" s="1327"/>
      <c r="D11039" s="1367"/>
      <c r="E11039" s="2121"/>
      <c r="F11039" s="1389" t="s">
        <v>1</v>
      </c>
      <c r="G11039" s="1389"/>
      <c r="H11039" s="1369"/>
      <c r="I11039" s="2088"/>
      <c r="J11039" s="1369"/>
      <c r="K11039" s="1391"/>
      <c r="L11039" s="1559"/>
      <c r="M11039" s="1369"/>
      <c r="N11039" s="1369"/>
      <c r="O11039" s="1369"/>
      <c r="P11039" s="1392"/>
      <c r="Q11039" s="3395"/>
      <c r="R11039" s="2344"/>
    </row>
    <row r="11040" spans="1:19" s="22" customFormat="1">
      <c r="B11040" s="553"/>
      <c r="C11040" s="1042"/>
      <c r="D11040" s="1367" t="s">
        <v>1252</v>
      </c>
      <c r="E11040" s="2121" t="s">
        <v>1527</v>
      </c>
      <c r="F11040" s="1367" t="s">
        <v>2168</v>
      </c>
      <c r="G11040" s="1554">
        <v>1.01</v>
      </c>
      <c r="H11040" s="1369"/>
      <c r="I11040" s="1299"/>
      <c r="J11040" s="1300"/>
      <c r="K11040" s="1350">
        <f>G11040*K11038</f>
        <v>15.15</v>
      </c>
      <c r="L11040" s="1335">
        <f>K11040*$K$10671</f>
        <v>0</v>
      </c>
      <c r="M11040" s="1499">
        <v>0.16</v>
      </c>
      <c r="N11040" s="1724"/>
      <c r="O11040" s="1290">
        <f>G11040*M11040</f>
        <v>0.16159999999999999</v>
      </c>
      <c r="P11040" s="1332">
        <f>M11040*K11040</f>
        <v>2.4239999999999999</v>
      </c>
      <c r="Q11040" s="3391"/>
      <c r="R11040" s="2339"/>
    </row>
    <row r="11041" spans="1:19" s="22" customFormat="1" ht="15" customHeight="1">
      <c r="B11041" s="553"/>
      <c r="C11041" s="1042"/>
      <c r="D11041" s="1367" t="s">
        <v>2172</v>
      </c>
      <c r="E11041" s="2121" t="s">
        <v>1527</v>
      </c>
      <c r="F11041" s="1367" t="s">
        <v>2173</v>
      </c>
      <c r="G11041" s="1367">
        <v>3.03</v>
      </c>
      <c r="H11041" s="1369"/>
      <c r="I11041" s="1299"/>
      <c r="J11041" s="1300"/>
      <c r="K11041" s="1350">
        <f>G11041*K11038</f>
        <v>45.449999999999996</v>
      </c>
      <c r="L11041" s="1335">
        <f>K11041*$K$10671</f>
        <v>0</v>
      </c>
      <c r="M11041" s="1499">
        <v>0.67</v>
      </c>
      <c r="N11041" s="1724"/>
      <c r="O11041" s="1290">
        <f>G11041*M11041</f>
        <v>2.0301</v>
      </c>
      <c r="P11041" s="1332">
        <f>M11041*K11041</f>
        <v>30.451499999999999</v>
      </c>
      <c r="Q11041" s="3391"/>
      <c r="R11041" s="2339"/>
    </row>
    <row r="11042" spans="1:19" s="22" customFormat="1">
      <c r="B11042" s="553"/>
      <c r="C11042" s="1042"/>
      <c r="D11042" s="1367" t="s">
        <v>1082</v>
      </c>
      <c r="E11042" s="2121" t="s">
        <v>1504</v>
      </c>
      <c r="F11042" s="1367" t="s">
        <v>1541</v>
      </c>
      <c r="G11042" s="1554">
        <v>0.5</v>
      </c>
      <c r="H11042" s="1369"/>
      <c r="I11042" s="1299"/>
      <c r="J11042" s="1300"/>
      <c r="K11042" s="1307">
        <f>G11042*K11038</f>
        <v>7.5</v>
      </c>
      <c r="L11042" s="1335">
        <f>K11042*$K$10671</f>
        <v>0</v>
      </c>
      <c r="M11042" s="1499">
        <v>0.3</v>
      </c>
      <c r="N11042" s="1724"/>
      <c r="O11042" s="1290">
        <f>G11042*M11042</f>
        <v>0.15</v>
      </c>
      <c r="P11042" s="1332">
        <f>M11042*K11042</f>
        <v>2.25</v>
      </c>
      <c r="Q11042" s="3391"/>
      <c r="R11042" s="2339"/>
    </row>
    <row r="11043" spans="1:19" s="22" customFormat="1">
      <c r="B11043" s="553"/>
      <c r="C11043" s="1042"/>
      <c r="D11043" s="1367" t="s">
        <v>1097</v>
      </c>
      <c r="E11043" s="2121" t="s">
        <v>1504</v>
      </c>
      <c r="F11043" s="1367" t="s">
        <v>1632</v>
      </c>
      <c r="G11043" s="1554">
        <v>0.3</v>
      </c>
      <c r="H11043" s="1369"/>
      <c r="I11043" s="1299"/>
      <c r="J11043" s="1300"/>
      <c r="K11043" s="1307">
        <f>G11043*K11038</f>
        <v>4.5</v>
      </c>
      <c r="L11043" s="1335">
        <f>K11043*$K$10671</f>
        <v>0</v>
      </c>
      <c r="M11043" s="1499">
        <v>0.55000000000000004</v>
      </c>
      <c r="N11043" s="1724"/>
      <c r="O11043" s="1290">
        <f>G11043*M11043</f>
        <v>0.16500000000000001</v>
      </c>
      <c r="P11043" s="1332">
        <f>M11043*K11043</f>
        <v>2.4750000000000001</v>
      </c>
      <c r="Q11043" s="3391"/>
      <c r="R11043" s="2339"/>
    </row>
    <row r="11044" spans="1:19" s="22" customFormat="1">
      <c r="A11044" s="16"/>
      <c r="B11044" s="1599"/>
      <c r="C11044" s="1320"/>
      <c r="D11044" s="2205"/>
      <c r="E11044" s="2130"/>
      <c r="F11044" s="2205"/>
      <c r="G11044" s="2206"/>
      <c r="H11044" s="1399"/>
      <c r="I11044" s="198"/>
      <c r="J11044" s="198"/>
      <c r="K11044" s="1307"/>
      <c r="L11044" s="1335"/>
      <c r="M11044" s="1499"/>
      <c r="N11044" s="1701"/>
      <c r="O11044" s="1291"/>
      <c r="P11044" s="1332"/>
      <c r="Q11044" s="3391"/>
      <c r="R11044" s="3889"/>
    </row>
    <row r="11045" spans="1:19" s="22" customFormat="1" ht="26">
      <c r="A11045" s="2187"/>
      <c r="B11045" s="1599"/>
      <c r="C11045" s="1042"/>
      <c r="D11045" s="1359"/>
      <c r="E11045" s="1858"/>
      <c r="F11045" s="1360" t="s">
        <v>2</v>
      </c>
      <c r="G11045" s="1360"/>
      <c r="H11045" s="1362"/>
      <c r="I11045" s="1380"/>
      <c r="J11045" s="1381"/>
      <c r="K11045" s="1381"/>
      <c r="L11045" s="1458"/>
      <c r="M11045" s="1362"/>
      <c r="N11045" s="1362"/>
      <c r="O11045" s="1362"/>
      <c r="P11045" s="1359"/>
      <c r="Q11045" s="3403"/>
      <c r="R11045" s="2357"/>
    </row>
    <row r="11046" spans="1:19" s="22" customFormat="1">
      <c r="A11046" s="16"/>
      <c r="B11046" s="1042"/>
      <c r="C11046" s="1042"/>
      <c r="D11046" s="1402" t="s">
        <v>1593</v>
      </c>
      <c r="E11046" s="1857" t="s">
        <v>1508</v>
      </c>
      <c r="F11046" s="1430" t="s">
        <v>2280</v>
      </c>
      <c r="G11046" s="1362">
        <v>4.5999999999999999E-2</v>
      </c>
      <c r="H11046" s="1408"/>
      <c r="I11046" s="1340"/>
      <c r="J11046" s="198"/>
      <c r="K11046" s="1307">
        <f>G11046*K11038</f>
        <v>0.69</v>
      </c>
      <c r="L11046" s="1335">
        <f>K11046*$K$10671</f>
        <v>0</v>
      </c>
      <c r="M11046" s="1302">
        <v>19.23</v>
      </c>
      <c r="N11046" s="1724"/>
      <c r="O11046" s="1290">
        <f>G11046*M11046</f>
        <v>0.88458000000000003</v>
      </c>
      <c r="P11046" s="1332">
        <f>M11046*K11046</f>
        <v>13.268699999999999</v>
      </c>
      <c r="Q11046" s="3391"/>
      <c r="R11046" s="2338"/>
    </row>
    <row r="11047" spans="1:19" s="22" customFormat="1">
      <c r="A11047"/>
      <c r="B11047" s="553"/>
      <c r="C11047" s="1938" t="s">
        <v>1755</v>
      </c>
      <c r="D11047" s="1311"/>
      <c r="E11047" s="2176" t="s">
        <v>1508</v>
      </c>
      <c r="F11047" s="2051" t="s">
        <v>1524</v>
      </c>
      <c r="G11047" s="2052"/>
      <c r="H11047" s="1338">
        <v>0.03</v>
      </c>
      <c r="I11047" s="1444"/>
      <c r="J11047" s="1388"/>
      <c r="K11047" s="1445"/>
      <c r="L11047" s="1457"/>
      <c r="M11047" s="1447"/>
      <c r="N11047" s="1447">
        <f>SUM(N11048:N11049)</f>
        <v>37.510000000000005</v>
      </c>
      <c r="O11047" s="1447">
        <f>SUM(O11048:O11049)</f>
        <v>1.1253</v>
      </c>
      <c r="P11047" s="1447">
        <f>SUM(P11048:P11049)</f>
        <v>16.8795</v>
      </c>
      <c r="Q11047" s="3391"/>
      <c r="R11047" s="2337"/>
    </row>
    <row r="11048" spans="1:19" s="22" customFormat="1">
      <c r="A11048" s="19"/>
      <c r="B11048" s="1042"/>
      <c r="C11048" s="1042"/>
      <c r="D11048" s="1402" t="s">
        <v>1067</v>
      </c>
      <c r="E11048" s="1857" t="s">
        <v>1508</v>
      </c>
      <c r="F11048" s="1430" t="s">
        <v>5</v>
      </c>
      <c r="G11048" s="1381">
        <v>1</v>
      </c>
      <c r="H11048" s="1408">
        <f>G11048*H11047</f>
        <v>0.03</v>
      </c>
      <c r="I11048" s="1340"/>
      <c r="J11048" s="198"/>
      <c r="K11048" s="1307">
        <f>H11048*K11038</f>
        <v>0.44999999999999996</v>
      </c>
      <c r="L11048" s="1335">
        <f>K11048*$K$10671</f>
        <v>0</v>
      </c>
      <c r="M11048" s="1302">
        <v>18.28</v>
      </c>
      <c r="N11048" s="1724">
        <f>G11048*M11048</f>
        <v>18.28</v>
      </c>
      <c r="O11048" s="1726">
        <f>H11048*M11048</f>
        <v>0.5484</v>
      </c>
      <c r="P11048" s="1727">
        <f>M11048*K11048</f>
        <v>8.2259999999999991</v>
      </c>
      <c r="Q11048" s="3396"/>
      <c r="R11048" s="2338"/>
    </row>
    <row r="11049" spans="1:19" s="22" customFormat="1">
      <c r="A11049" s="19"/>
      <c r="B11049" s="1042"/>
      <c r="C11049" s="1042"/>
      <c r="D11049" s="1402" t="s">
        <v>1077</v>
      </c>
      <c r="E11049" s="1857" t="s">
        <v>1508</v>
      </c>
      <c r="F11049" s="1430" t="s">
        <v>37</v>
      </c>
      <c r="G11049" s="1381">
        <v>1</v>
      </c>
      <c r="H11049" s="1408">
        <f>G11049*H11047</f>
        <v>0.03</v>
      </c>
      <c r="I11049" s="198"/>
      <c r="J11049" s="198"/>
      <c r="K11049" s="1307">
        <f>H11049*K11038</f>
        <v>0.44999999999999996</v>
      </c>
      <c r="L11049" s="1335">
        <f>K11049*$K$10671</f>
        <v>0</v>
      </c>
      <c r="M11049" s="1302">
        <v>19.23</v>
      </c>
      <c r="N11049" s="1724">
        <f>G11049*M11049</f>
        <v>19.23</v>
      </c>
      <c r="O11049" s="1719">
        <f>(H11049*M11049)</f>
        <v>0.57689999999999997</v>
      </c>
      <c r="P11049" s="1727">
        <f>M11049*K11049</f>
        <v>8.6534999999999993</v>
      </c>
      <c r="Q11049" s="3396"/>
      <c r="R11049" s="2338"/>
    </row>
    <row r="11050" spans="1:19" s="22" customFormat="1">
      <c r="B11050" s="1320"/>
      <c r="C11050" s="16"/>
      <c r="D11050" s="1359"/>
      <c r="E11050" s="1858"/>
      <c r="F11050" s="1474"/>
      <c r="G11050" s="2198"/>
      <c r="H11050" s="1466"/>
      <c r="I11050" s="1289"/>
      <c r="J11050" s="8"/>
      <c r="K11050" s="1307"/>
      <c r="L11050" s="1335"/>
      <c r="M11050" s="1302"/>
      <c r="N11050" s="1700"/>
      <c r="O11050" s="1290"/>
      <c r="P11050" s="1332"/>
      <c r="Q11050" s="3391"/>
      <c r="R11050" s="2344"/>
    </row>
    <row r="11051" spans="1:19" s="22" customFormat="1">
      <c r="A11051" s="1320"/>
      <c r="B11051" s="1599"/>
      <c r="C11051" s="1320"/>
      <c r="D11051" s="1373"/>
      <c r="E11051" s="2123"/>
      <c r="F11051" s="1374" t="s">
        <v>3</v>
      </c>
      <c r="G11051" s="2199"/>
      <c r="H11051" s="1376"/>
      <c r="I11051" s="1382"/>
      <c r="J11051" s="1383"/>
      <c r="K11051" s="1383"/>
      <c r="L11051" s="1413"/>
      <c r="M11051" s="1376"/>
      <c r="N11051" s="1376"/>
      <c r="O11051" s="1376"/>
      <c r="P11051" s="1373"/>
      <c r="Q11051" s="3403"/>
      <c r="R11051" s="2356"/>
      <c r="S11051"/>
    </row>
    <row r="11052" spans="1:19" s="22" customFormat="1">
      <c r="A11052" s="1321"/>
      <c r="B11052" s="2053"/>
      <c r="C11052" s="1321"/>
      <c r="D11052" s="2202"/>
      <c r="E11052" s="2304"/>
      <c r="F11052" s="2202"/>
      <c r="G11052" s="2203"/>
      <c r="H11052" s="1379"/>
      <c r="I11052" s="1299"/>
      <c r="J11052" s="1300"/>
      <c r="K11052" s="1307"/>
      <c r="L11052" s="1335"/>
      <c r="M11052" s="1302"/>
      <c r="N11052" s="1700"/>
      <c r="O11052" s="1290"/>
      <c r="P11052" s="1332"/>
      <c r="Q11052" s="3402"/>
      <c r="R11052" s="2053"/>
    </row>
    <row r="11053" spans="1:19" s="22" customFormat="1">
      <c r="A11053" s="1321"/>
      <c r="B11053" s="2053"/>
      <c r="C11053" s="1321"/>
      <c r="D11053" s="1377"/>
      <c r="E11053" s="2124"/>
      <c r="F11053" s="1378"/>
      <c r="G11053" s="2200"/>
      <c r="H11053" s="1379"/>
      <c r="I11053" s="1299"/>
      <c r="J11053" s="1300"/>
      <c r="K11053" s="1307"/>
      <c r="L11053" s="1335"/>
      <c r="M11053" s="1302"/>
      <c r="N11053" s="1700"/>
      <c r="O11053" s="1290"/>
      <c r="P11053" s="1332"/>
      <c r="Q11053" s="3402"/>
      <c r="R11053" s="2053"/>
    </row>
    <row r="11054" spans="1:19" s="22" customFormat="1">
      <c r="A11054" s="1320"/>
      <c r="B11054" s="1765"/>
      <c r="C11054" s="223"/>
      <c r="D11054" s="1373"/>
      <c r="E11054" s="2161"/>
      <c r="F11054" s="1678"/>
      <c r="G11054" s="2201"/>
      <c r="H11054" s="1376"/>
      <c r="I11054" s="1299"/>
      <c r="J11054" s="1300"/>
      <c r="K11054" s="1307"/>
      <c r="L11054" s="1335"/>
      <c r="M11054" s="1302"/>
      <c r="N11054" s="1700"/>
      <c r="O11054" s="1290"/>
      <c r="P11054" s="1332"/>
      <c r="Q11054" s="3402"/>
      <c r="R11054" s="2356"/>
    </row>
    <row r="11055" spans="1:19" s="22" customFormat="1">
      <c r="A11055" s="551" t="s">
        <v>3764</v>
      </c>
      <c r="B11055" s="4325" t="s">
        <v>3791</v>
      </c>
      <c r="C11055" s="3885"/>
      <c r="D11055" s="4327"/>
      <c r="E11055" s="4329" t="s">
        <v>1527</v>
      </c>
      <c r="F11055" s="4372" t="s">
        <v>3792</v>
      </c>
      <c r="G11055" s="4331" t="s">
        <v>1568</v>
      </c>
      <c r="H11055" s="4331" t="s">
        <v>1574</v>
      </c>
      <c r="I11055" s="1572" t="s">
        <v>1559</v>
      </c>
      <c r="J11055" s="1294" t="s">
        <v>1560</v>
      </c>
      <c r="K11055" s="1294" t="s">
        <v>1569</v>
      </c>
      <c r="L11055" s="4333" t="s">
        <v>3765</v>
      </c>
      <c r="M11055" s="4323" t="s">
        <v>1571</v>
      </c>
      <c r="N11055" s="4323" t="s">
        <v>1776</v>
      </c>
      <c r="O11055" s="3884" t="s">
        <v>1563</v>
      </c>
      <c r="P11055" s="1336" t="s">
        <v>1562</v>
      </c>
      <c r="Q11055" s="3389"/>
      <c r="R11055" s="1699" t="s">
        <v>1327</v>
      </c>
    </row>
    <row r="11056" spans="1:19" s="22" customFormat="1">
      <c r="A11056" s="1599" t="s">
        <v>3761</v>
      </c>
      <c r="B11056" s="4326"/>
      <c r="C11056" s="3886"/>
      <c r="D11056" s="4328"/>
      <c r="E11056" s="4330"/>
      <c r="F11056" s="4363"/>
      <c r="G11056" s="4332"/>
      <c r="H11056" s="4332"/>
      <c r="I11056" s="1345">
        <v>15</v>
      </c>
      <c r="J11056" s="1307">
        <v>1</v>
      </c>
      <c r="K11056" s="1666">
        <f>I11056*J11056</f>
        <v>15</v>
      </c>
      <c r="L11056" s="4334"/>
      <c r="M11056" s="4324"/>
      <c r="N11056" s="4324"/>
      <c r="O11056" s="1298">
        <f>O11058+O11059+O11060+O11061+O11064+O11065</f>
        <v>5.6578799999999996</v>
      </c>
      <c r="P11056" s="1337">
        <f>O11056*K11056</f>
        <v>84.868199999999987</v>
      </c>
      <c r="Q11056" s="3390"/>
      <c r="R11056" s="1721">
        <f>P11058+P11059+P11060+P11061+P11064+P11065</f>
        <v>84.868200000000002</v>
      </c>
    </row>
    <row r="11057" spans="1:18" s="22" customFormat="1">
      <c r="A11057" s="1599"/>
      <c r="B11057" s="1949"/>
      <c r="C11057" s="1327"/>
      <c r="D11057" s="1367"/>
      <c r="E11057" s="2121"/>
      <c r="F11057" s="1389" t="s">
        <v>1</v>
      </c>
      <c r="G11057" s="1389"/>
      <c r="H11057" s="1369"/>
      <c r="I11057" s="2088"/>
      <c r="J11057" s="1369"/>
      <c r="K11057" s="1391"/>
      <c r="L11057" s="1559"/>
      <c r="M11057" s="1369"/>
      <c r="N11057" s="1369"/>
      <c r="O11057" s="1369"/>
      <c r="P11057" s="1392"/>
      <c r="Q11057" s="3395"/>
      <c r="R11057" s="2344"/>
    </row>
    <row r="11058" spans="1:18" s="22" customFormat="1">
      <c r="B11058" s="553"/>
      <c r="C11058" s="1042"/>
      <c r="D11058" s="1367" t="s">
        <v>2176</v>
      </c>
      <c r="E11058" s="2121" t="s">
        <v>1527</v>
      </c>
      <c r="F11058" s="1367" t="s">
        <v>2177</v>
      </c>
      <c r="G11058" s="1554">
        <v>1.01</v>
      </c>
      <c r="H11058" s="1369"/>
      <c r="I11058" s="1299"/>
      <c r="J11058" s="1300"/>
      <c r="K11058" s="1350">
        <f>G11058*K11056</f>
        <v>15.15</v>
      </c>
      <c r="L11058" s="1335">
        <f>K11058*$K$10671</f>
        <v>0</v>
      </c>
      <c r="M11058" s="1499">
        <v>0.21</v>
      </c>
      <c r="N11058" s="1724"/>
      <c r="O11058" s="1290">
        <f>G11058*M11058</f>
        <v>0.21209999999999998</v>
      </c>
      <c r="P11058" s="1332">
        <f>M11058*K11058</f>
        <v>3.1814999999999998</v>
      </c>
      <c r="Q11058" s="3391"/>
      <c r="R11058" s="2339"/>
    </row>
    <row r="11059" spans="1:18" s="22" customFormat="1">
      <c r="B11059" s="553"/>
      <c r="C11059" s="1042"/>
      <c r="D11059" s="1367" t="s">
        <v>2178</v>
      </c>
      <c r="E11059" s="2121" t="s">
        <v>1527</v>
      </c>
      <c r="F11059" s="1367" t="s">
        <v>2179</v>
      </c>
      <c r="G11059" s="1367">
        <v>3.03</v>
      </c>
      <c r="H11059" s="1369"/>
      <c r="I11059" s="1299"/>
      <c r="J11059" s="1300"/>
      <c r="K11059" s="1350">
        <f>G11059*K11056</f>
        <v>45.449999999999996</v>
      </c>
      <c r="L11059" s="1335">
        <f>K11059*$K$10671</f>
        <v>0</v>
      </c>
      <c r="M11059" s="1499">
        <v>1.03</v>
      </c>
      <c r="N11059" s="1724"/>
      <c r="O11059" s="1290">
        <f>G11059*M11059</f>
        <v>3.1208999999999998</v>
      </c>
      <c r="P11059" s="1332">
        <f>M11059*K11059</f>
        <v>46.813499999999998</v>
      </c>
      <c r="Q11059" s="3391"/>
      <c r="R11059" s="2339"/>
    </row>
    <row r="11060" spans="1:18" s="22" customFormat="1">
      <c r="B11060" s="553"/>
      <c r="C11060" s="1042"/>
      <c r="D11060" s="1367" t="s">
        <v>1082</v>
      </c>
      <c r="E11060" s="2121" t="s">
        <v>1504</v>
      </c>
      <c r="F11060" s="1367" t="s">
        <v>1541</v>
      </c>
      <c r="G11060" s="1554">
        <v>0.5</v>
      </c>
      <c r="H11060" s="1369"/>
      <c r="I11060" s="1299"/>
      <c r="J11060" s="1300"/>
      <c r="K11060" s="1307">
        <f>G11060*K11056</f>
        <v>7.5</v>
      </c>
      <c r="L11060" s="1335">
        <f>K11060*$K$10671</f>
        <v>0</v>
      </c>
      <c r="M11060" s="1499">
        <v>0.3</v>
      </c>
      <c r="N11060" s="1724"/>
      <c r="O11060" s="1290">
        <f>G11060*M11060</f>
        <v>0.15</v>
      </c>
      <c r="P11060" s="1332">
        <f>M11060*K11060</f>
        <v>2.25</v>
      </c>
      <c r="Q11060" s="3391"/>
      <c r="R11060" s="2339"/>
    </row>
    <row r="11061" spans="1:18" s="22" customFormat="1">
      <c r="B11061" s="553"/>
      <c r="C11061" s="1042"/>
      <c r="D11061" s="1367" t="s">
        <v>1097</v>
      </c>
      <c r="E11061" s="2121" t="s">
        <v>1504</v>
      </c>
      <c r="F11061" s="1367" t="s">
        <v>1632</v>
      </c>
      <c r="G11061" s="1554">
        <v>0.3</v>
      </c>
      <c r="H11061" s="1369"/>
      <c r="I11061" s="1299"/>
      <c r="J11061" s="1300"/>
      <c r="K11061" s="1307">
        <f>G11061*K11056</f>
        <v>4.5</v>
      </c>
      <c r="L11061" s="1335">
        <f>K11061*$K$10671</f>
        <v>0</v>
      </c>
      <c r="M11061" s="1499">
        <v>0.55000000000000004</v>
      </c>
      <c r="N11061" s="1724"/>
      <c r="O11061" s="1290">
        <f>G11061*M11061</f>
        <v>0.16500000000000001</v>
      </c>
      <c r="P11061" s="1332">
        <f>M11061*K11061</f>
        <v>2.4750000000000001</v>
      </c>
      <c r="Q11061" s="3391"/>
      <c r="R11061" s="2339"/>
    </row>
    <row r="11062" spans="1:18" s="22" customFormat="1">
      <c r="A11062" s="16"/>
      <c r="B11062" s="1599"/>
      <c r="C11062" s="1320"/>
      <c r="D11062" s="2205"/>
      <c r="E11062" s="2130"/>
      <c r="F11062" s="2205"/>
      <c r="G11062" s="2206"/>
      <c r="H11062" s="1399"/>
      <c r="I11062" s="198"/>
      <c r="J11062" s="198"/>
      <c r="K11062" s="1307"/>
      <c r="L11062" s="1335"/>
      <c r="M11062" s="1499"/>
      <c r="N11062" s="1701"/>
      <c r="O11062" s="1291"/>
      <c r="P11062" s="1332"/>
      <c r="Q11062" s="3391"/>
      <c r="R11062" s="3889"/>
    </row>
    <row r="11063" spans="1:18" s="22" customFormat="1" ht="26">
      <c r="A11063" s="2187"/>
      <c r="B11063" s="1599"/>
      <c r="C11063" s="1042"/>
      <c r="D11063" s="1359"/>
      <c r="E11063" s="1858"/>
      <c r="F11063" s="1360" t="s">
        <v>2</v>
      </c>
      <c r="G11063" s="1360"/>
      <c r="H11063" s="1362"/>
      <c r="I11063" s="1380"/>
      <c r="J11063" s="1381"/>
      <c r="K11063" s="1381"/>
      <c r="L11063" s="1458"/>
      <c r="M11063" s="1362"/>
      <c r="N11063" s="1362"/>
      <c r="O11063" s="1362"/>
      <c r="P11063" s="1359"/>
      <c r="Q11063" s="3403"/>
      <c r="R11063" s="2357"/>
    </row>
    <row r="11064" spans="1:18" s="22" customFormat="1">
      <c r="A11064" s="16"/>
      <c r="B11064" s="1042"/>
      <c r="C11064" s="1042"/>
      <c r="D11064" s="1402" t="s">
        <v>1593</v>
      </c>
      <c r="E11064" s="1857" t="s">
        <v>1508</v>
      </c>
      <c r="F11064" s="1430" t="s">
        <v>2280</v>
      </c>
      <c r="G11064" s="1362">
        <v>4.5999999999999999E-2</v>
      </c>
      <c r="H11064" s="1408"/>
      <c r="I11064" s="1340"/>
      <c r="J11064" s="198"/>
      <c r="K11064" s="1307">
        <f>G11064*K11056</f>
        <v>0.69</v>
      </c>
      <c r="L11064" s="1335">
        <f>K11064*$K$10671</f>
        <v>0</v>
      </c>
      <c r="M11064" s="1302">
        <v>19.23</v>
      </c>
      <c r="N11064" s="1724"/>
      <c r="O11064" s="1290">
        <f>G11064*M11064</f>
        <v>0.88458000000000003</v>
      </c>
      <c r="P11064" s="1332">
        <f>M11064*K11064</f>
        <v>13.268699999999999</v>
      </c>
      <c r="Q11064" s="3391"/>
      <c r="R11064" s="2338"/>
    </row>
    <row r="11065" spans="1:18" s="22" customFormat="1">
      <c r="A11065"/>
      <c r="B11065" s="553"/>
      <c r="C11065" s="1938" t="s">
        <v>1755</v>
      </c>
      <c r="D11065" s="1311"/>
      <c r="E11065" s="2176" t="s">
        <v>1508</v>
      </c>
      <c r="F11065" s="2051" t="s">
        <v>1524</v>
      </c>
      <c r="G11065" s="2052"/>
      <c r="H11065" s="1338">
        <v>0.03</v>
      </c>
      <c r="I11065" s="1444"/>
      <c r="J11065" s="1388"/>
      <c r="K11065" s="1445"/>
      <c r="L11065" s="1457"/>
      <c r="M11065" s="1447"/>
      <c r="N11065" s="1447">
        <f>SUM(N11066:N11067)</f>
        <v>37.510000000000005</v>
      </c>
      <c r="O11065" s="1447">
        <f>SUM(O11066:O11067)</f>
        <v>1.1253</v>
      </c>
      <c r="P11065" s="1447">
        <f>SUM(P11066:P11067)</f>
        <v>16.8795</v>
      </c>
      <c r="Q11065" s="3391"/>
      <c r="R11065" s="2337"/>
    </row>
    <row r="11066" spans="1:18" s="22" customFormat="1">
      <c r="A11066" s="19"/>
      <c r="B11066" s="1042"/>
      <c r="C11066" s="1042"/>
      <c r="D11066" s="1402" t="s">
        <v>1067</v>
      </c>
      <c r="E11066" s="1857" t="s">
        <v>1508</v>
      </c>
      <c r="F11066" s="1430" t="s">
        <v>5</v>
      </c>
      <c r="G11066" s="1381">
        <v>1</v>
      </c>
      <c r="H11066" s="1408">
        <f>G11066*H11065</f>
        <v>0.03</v>
      </c>
      <c r="I11066" s="1340"/>
      <c r="J11066" s="198"/>
      <c r="K11066" s="1307">
        <f>H11066*K11056</f>
        <v>0.44999999999999996</v>
      </c>
      <c r="L11066" s="1335">
        <f>K11066*$K$10671</f>
        <v>0</v>
      </c>
      <c r="M11066" s="1302">
        <v>18.28</v>
      </c>
      <c r="N11066" s="1724">
        <f>G11066*M11066</f>
        <v>18.28</v>
      </c>
      <c r="O11066" s="1726">
        <f>H11066*M11066</f>
        <v>0.5484</v>
      </c>
      <c r="P11066" s="1727">
        <f>M11066*K11066</f>
        <v>8.2259999999999991</v>
      </c>
      <c r="Q11066" s="3396"/>
      <c r="R11066" s="2338"/>
    </row>
    <row r="11067" spans="1:18" s="22" customFormat="1">
      <c r="A11067" s="19"/>
      <c r="B11067" s="1042"/>
      <c r="C11067" s="1042"/>
      <c r="D11067" s="1402" t="s">
        <v>1077</v>
      </c>
      <c r="E11067" s="1857" t="s">
        <v>1508</v>
      </c>
      <c r="F11067" s="1430" t="s">
        <v>37</v>
      </c>
      <c r="G11067" s="1381">
        <v>1</v>
      </c>
      <c r="H11067" s="1408">
        <f>G11067*H11065</f>
        <v>0.03</v>
      </c>
      <c r="I11067" s="198"/>
      <c r="J11067" s="198"/>
      <c r="K11067" s="1307">
        <f>H11067*K11056</f>
        <v>0.44999999999999996</v>
      </c>
      <c r="L11067" s="1335">
        <f>K11067*$K$10671</f>
        <v>0</v>
      </c>
      <c r="M11067" s="1302">
        <v>19.23</v>
      </c>
      <c r="N11067" s="1724">
        <f>G11067*M11067</f>
        <v>19.23</v>
      </c>
      <c r="O11067" s="1719">
        <f>(H11067*M11067)</f>
        <v>0.57689999999999997</v>
      </c>
      <c r="P11067" s="1727">
        <f>M11067*K11067</f>
        <v>8.6534999999999993</v>
      </c>
      <c r="Q11067" s="3396"/>
      <c r="R11067" s="2338"/>
    </row>
    <row r="11068" spans="1:18" s="22" customFormat="1">
      <c r="B11068" s="1320"/>
      <c r="C11068" s="16"/>
      <c r="D11068" s="1359"/>
      <c r="E11068" s="1858"/>
      <c r="F11068" s="1474"/>
      <c r="G11068" s="2198"/>
      <c r="H11068" s="1466"/>
      <c r="I11068" s="1289"/>
      <c r="J11068" s="8"/>
      <c r="K11068" s="1307"/>
      <c r="L11068" s="1335"/>
      <c r="M11068" s="1302"/>
      <c r="N11068" s="1700"/>
      <c r="O11068" s="1290"/>
      <c r="P11068" s="1332"/>
      <c r="Q11068" s="3391"/>
      <c r="R11068" s="2344"/>
    </row>
    <row r="11069" spans="1:18" s="22" customFormat="1">
      <c r="A11069" s="1320"/>
      <c r="B11069" s="1599"/>
      <c r="C11069" s="1320"/>
      <c r="D11069" s="1373"/>
      <c r="E11069" s="2123"/>
      <c r="F11069" s="1374" t="s">
        <v>3</v>
      </c>
      <c r="G11069" s="2199"/>
      <c r="H11069" s="1376"/>
      <c r="I11069" s="1382"/>
      <c r="J11069" s="1383"/>
      <c r="K11069" s="1383"/>
      <c r="L11069" s="1413"/>
      <c r="M11069" s="1376"/>
      <c r="N11069" s="1376"/>
      <c r="O11069" s="1376"/>
      <c r="P11069" s="1373"/>
      <c r="Q11069" s="3403"/>
      <c r="R11069" s="2356"/>
    </row>
    <row r="11070" spans="1:18" s="22" customFormat="1">
      <c r="A11070" s="1321"/>
      <c r="B11070" s="2053"/>
      <c r="C11070" s="1321"/>
      <c r="D11070" s="2202"/>
      <c r="E11070" s="2304"/>
      <c r="F11070" s="2202"/>
      <c r="G11070" s="2203"/>
      <c r="H11070" s="1379"/>
      <c r="I11070" s="1299"/>
      <c r="J11070" s="1300"/>
      <c r="K11070" s="1307"/>
      <c r="L11070" s="1335"/>
      <c r="M11070" s="1302"/>
      <c r="N11070" s="1700"/>
      <c r="O11070" s="1290"/>
      <c r="P11070" s="1332"/>
      <c r="Q11070" s="3402"/>
      <c r="R11070" s="2053"/>
    </row>
    <row r="11071" spans="1:18" s="22" customFormat="1">
      <c r="A11071" s="1321"/>
      <c r="B11071" s="2053"/>
      <c r="C11071" s="1321"/>
      <c r="D11071" s="1377"/>
      <c r="E11071" s="2124"/>
      <c r="F11071" s="1378"/>
      <c r="G11071" s="2200"/>
      <c r="H11071" s="1379"/>
      <c r="I11071" s="1299"/>
      <c r="J11071" s="1300"/>
      <c r="K11071" s="1307"/>
      <c r="L11071" s="1335"/>
      <c r="M11071" s="1302"/>
      <c r="N11071" s="1700"/>
      <c r="O11071" s="1290"/>
      <c r="P11071" s="1332"/>
      <c r="Q11071" s="3402"/>
      <c r="R11071" s="2053"/>
    </row>
    <row r="11072" spans="1:18" s="22" customFormat="1">
      <c r="A11072" s="1320"/>
      <c r="B11072" s="1765"/>
      <c r="C11072" s="223"/>
      <c r="D11072" s="1373"/>
      <c r="E11072" s="2161"/>
      <c r="F11072" s="1678"/>
      <c r="G11072" s="2201"/>
      <c r="H11072" s="1376"/>
      <c r="I11072" s="1299"/>
      <c r="J11072" s="1300"/>
      <c r="K11072" s="1307"/>
      <c r="L11072" s="1335"/>
      <c r="M11072" s="1302"/>
      <c r="N11072" s="1700"/>
      <c r="O11072" s="1290"/>
      <c r="P11072" s="1332"/>
      <c r="Q11072" s="3402"/>
      <c r="R11072" s="2356"/>
    </row>
    <row r="11073" spans="1:18" s="22" customFormat="1">
      <c r="A11073" s="551" t="s">
        <v>3764</v>
      </c>
      <c r="B11073" s="4325" t="s">
        <v>3793</v>
      </c>
      <c r="C11073" s="3885"/>
      <c r="D11073" s="4327"/>
      <c r="E11073" s="4329" t="s">
        <v>1504</v>
      </c>
      <c r="F11073" s="4372" t="s">
        <v>3794</v>
      </c>
      <c r="G11073" s="4331" t="s">
        <v>1568</v>
      </c>
      <c r="H11073" s="4331" t="s">
        <v>1574</v>
      </c>
      <c r="I11073" s="1572" t="s">
        <v>1559</v>
      </c>
      <c r="J11073" s="1294" t="s">
        <v>1560</v>
      </c>
      <c r="K11073" s="1294" t="s">
        <v>1569</v>
      </c>
      <c r="L11073" s="4333" t="s">
        <v>3765</v>
      </c>
      <c r="M11073" s="4323" t="s">
        <v>1571</v>
      </c>
      <c r="N11073" s="4323" t="s">
        <v>1776</v>
      </c>
      <c r="O11073" s="3884" t="s">
        <v>1563</v>
      </c>
      <c r="P11073" s="1336" t="s">
        <v>1562</v>
      </c>
      <c r="Q11073" s="3389"/>
      <c r="R11073" s="1699" t="s">
        <v>1327</v>
      </c>
    </row>
    <row r="11074" spans="1:18" s="22" customFormat="1">
      <c r="A11074" s="1599" t="s">
        <v>3761</v>
      </c>
      <c r="B11074" s="4326"/>
      <c r="C11074" s="3886"/>
      <c r="D11074" s="4328"/>
      <c r="E11074" s="4330"/>
      <c r="F11074" s="4363"/>
      <c r="G11074" s="4332"/>
      <c r="H11074" s="4332"/>
      <c r="I11074" s="1345">
        <v>1</v>
      </c>
      <c r="J11074" s="1307">
        <v>1</v>
      </c>
      <c r="K11074" s="1666">
        <f>I11074*J11074</f>
        <v>1</v>
      </c>
      <c r="L11074" s="4334"/>
      <c r="M11074" s="4324"/>
      <c r="N11074" s="4324"/>
      <c r="O11074" s="1298">
        <f>O11076+O11080</f>
        <v>178.892</v>
      </c>
      <c r="P11074" s="1337">
        <f>O11074*K11074</f>
        <v>178.892</v>
      </c>
      <c r="Q11074" s="3390"/>
      <c r="R11074" s="1721">
        <f>P11076+P11080</f>
        <v>178.892</v>
      </c>
    </row>
    <row r="11075" spans="1:18" s="22" customFormat="1">
      <c r="A11075" s="1599"/>
      <c r="B11075" s="1949"/>
      <c r="C11075" s="1327"/>
      <c r="D11075" s="1367"/>
      <c r="E11075" s="2121"/>
      <c r="F11075" s="1389" t="s">
        <v>1</v>
      </c>
      <c r="G11075" s="1389"/>
      <c r="H11075" s="1369"/>
      <c r="I11075" s="2088"/>
      <c r="J11075" s="1369"/>
      <c r="K11075" s="1391"/>
      <c r="L11075" s="1559"/>
      <c r="M11075" s="1369"/>
      <c r="N11075" s="1369"/>
      <c r="O11075" s="1369"/>
      <c r="P11075" s="1392"/>
      <c r="Q11075" s="3395"/>
      <c r="R11075" s="2344"/>
    </row>
    <row r="11076" spans="1:18" s="22" customFormat="1">
      <c r="B11076" s="553"/>
      <c r="C11076" s="1042"/>
      <c r="D11076" s="1367" t="s">
        <v>3795</v>
      </c>
      <c r="E11076" s="2121" t="s">
        <v>1504</v>
      </c>
      <c r="F11076" s="1367" t="s">
        <v>3796</v>
      </c>
      <c r="G11076" s="1554">
        <v>1</v>
      </c>
      <c r="H11076" s="1369"/>
      <c r="I11076" s="1299"/>
      <c r="J11076" s="1300"/>
      <c r="K11076" s="1350">
        <f>G11076*K11074</f>
        <v>1</v>
      </c>
      <c r="L11076" s="1335">
        <f>K11076*$K$10671</f>
        <v>0</v>
      </c>
      <c r="M11076" s="1499">
        <v>171.2</v>
      </c>
      <c r="N11076" s="1724"/>
      <c r="O11076" s="1290">
        <f>G11076*M11076</f>
        <v>171.2</v>
      </c>
      <c r="P11076" s="1332">
        <f>M11076*K11076</f>
        <v>171.2</v>
      </c>
      <c r="Q11076" s="3391"/>
      <c r="R11076" s="2339"/>
    </row>
    <row r="11077" spans="1:18" s="22" customFormat="1">
      <c r="B11077" s="553"/>
      <c r="C11077" s="1042"/>
      <c r="D11077" s="1367"/>
      <c r="E11077" s="2121"/>
      <c r="F11077" s="1367"/>
      <c r="G11077" s="1554"/>
      <c r="H11077" s="1369"/>
      <c r="I11077" s="1299"/>
      <c r="J11077" s="1300"/>
      <c r="K11077" s="1307"/>
      <c r="L11077" s="1335"/>
      <c r="M11077" s="1499"/>
      <c r="N11077" s="1724"/>
      <c r="O11077" s="1290"/>
      <c r="P11077" s="1332"/>
      <c r="Q11077" s="3391"/>
      <c r="R11077" s="2339"/>
    </row>
    <row r="11078" spans="1:18" s="22" customFormat="1">
      <c r="A11078" s="16"/>
      <c r="B11078" s="1599"/>
      <c r="C11078" s="1320"/>
      <c r="D11078" s="2205"/>
      <c r="E11078" s="2130"/>
      <c r="F11078" s="2205"/>
      <c r="G11078" s="2206"/>
      <c r="H11078" s="1399"/>
      <c r="I11078" s="198"/>
      <c r="J11078" s="198"/>
      <c r="K11078" s="1307"/>
      <c r="L11078" s="1335"/>
      <c r="M11078" s="1499"/>
      <c r="N11078" s="1701"/>
      <c r="O11078" s="1291"/>
      <c r="P11078" s="1332"/>
      <c r="Q11078" s="3391"/>
      <c r="R11078" s="3889"/>
    </row>
    <row r="11079" spans="1:18" s="22" customFormat="1" ht="26">
      <c r="A11079" s="2187"/>
      <c r="B11079" s="1599"/>
      <c r="C11079" s="1042"/>
      <c r="D11079" s="1359"/>
      <c r="E11079" s="1858"/>
      <c r="F11079" s="1360" t="s">
        <v>2</v>
      </c>
      <c r="G11079" s="1360"/>
      <c r="H11079" s="1362"/>
      <c r="I11079" s="1380"/>
      <c r="J11079" s="1381"/>
      <c r="K11079" s="1381"/>
      <c r="L11079" s="1458"/>
      <c r="M11079" s="1362"/>
      <c r="N11079" s="1362"/>
      <c r="O11079" s="1362"/>
      <c r="P11079" s="1359"/>
      <c r="Q11079" s="3403"/>
      <c r="R11079" s="2357"/>
    </row>
    <row r="11080" spans="1:18" s="22" customFormat="1">
      <c r="A11080" s="16"/>
      <c r="B11080" s="1042"/>
      <c r="C11080" s="1042"/>
      <c r="D11080" s="1402" t="s">
        <v>1593</v>
      </c>
      <c r="E11080" s="1857" t="s">
        <v>1508</v>
      </c>
      <c r="F11080" s="1430" t="s">
        <v>2280</v>
      </c>
      <c r="G11080" s="1362">
        <v>0.4</v>
      </c>
      <c r="H11080" s="1408"/>
      <c r="I11080" s="1340"/>
      <c r="J11080" s="198"/>
      <c r="K11080" s="1307">
        <f>G11080*K11074</f>
        <v>0.4</v>
      </c>
      <c r="L11080" s="1335">
        <f>K11080*$K$10671</f>
        <v>0</v>
      </c>
      <c r="M11080" s="1302">
        <v>19.23</v>
      </c>
      <c r="N11080" s="1724"/>
      <c r="O11080" s="1290">
        <f>G11080*M11080</f>
        <v>7.6920000000000002</v>
      </c>
      <c r="P11080" s="1332">
        <f>M11080*K11080</f>
        <v>7.6920000000000002</v>
      </c>
      <c r="Q11080" s="3391"/>
      <c r="R11080" s="2338"/>
    </row>
    <row r="11081" spans="1:18" s="22" customFormat="1">
      <c r="A11081" s="19"/>
      <c r="B11081" s="1042"/>
      <c r="C11081" s="1042"/>
      <c r="D11081" s="1402"/>
      <c r="E11081" s="1857"/>
      <c r="F11081" s="1430"/>
      <c r="G11081" s="1381"/>
      <c r="H11081" s="1408"/>
      <c r="I11081" s="198"/>
      <c r="J11081" s="198"/>
      <c r="K11081" s="1307"/>
      <c r="L11081" s="1335"/>
      <c r="M11081" s="1302"/>
      <c r="N11081" s="1724"/>
      <c r="O11081" s="1719"/>
      <c r="P11081" s="1727"/>
      <c r="Q11081" s="3396"/>
      <c r="R11081" s="2338"/>
    </row>
    <row r="11082" spans="1:18" s="22" customFormat="1">
      <c r="B11082" s="1320"/>
      <c r="C11082" s="16"/>
      <c r="D11082" s="1359"/>
      <c r="E11082" s="1858"/>
      <c r="F11082" s="1474"/>
      <c r="G11082" s="2198"/>
      <c r="H11082" s="1466"/>
      <c r="I11082" s="1289"/>
      <c r="J11082" s="8"/>
      <c r="K11082" s="1307"/>
      <c r="L11082" s="1335"/>
      <c r="M11082" s="1302"/>
      <c r="N11082" s="1700"/>
      <c r="O11082" s="1290"/>
      <c r="P11082" s="1332"/>
      <c r="Q11082" s="3391"/>
      <c r="R11082" s="2344"/>
    </row>
    <row r="11083" spans="1:18" s="22" customFormat="1">
      <c r="A11083" s="1320"/>
      <c r="B11083" s="1599"/>
      <c r="C11083" s="1320"/>
      <c r="D11083" s="1373"/>
      <c r="E11083" s="2123"/>
      <c r="F11083" s="1374" t="s">
        <v>3</v>
      </c>
      <c r="G11083" s="2199"/>
      <c r="H11083" s="1376"/>
      <c r="I11083" s="1382"/>
      <c r="J11083" s="1383"/>
      <c r="K11083" s="1383"/>
      <c r="L11083" s="1413"/>
      <c r="M11083" s="1376"/>
      <c r="N11083" s="1376"/>
      <c r="O11083" s="1376"/>
      <c r="P11083" s="1373"/>
      <c r="Q11083" s="3403"/>
      <c r="R11083" s="2356"/>
    </row>
    <row r="11084" spans="1:18" s="22" customFormat="1">
      <c r="A11084" s="1321"/>
      <c r="B11084" s="2053"/>
      <c r="C11084" s="1321"/>
      <c r="D11084" s="2202"/>
      <c r="E11084" s="2304"/>
      <c r="F11084" s="2202"/>
      <c r="G11084" s="2203"/>
      <c r="H11084" s="1379"/>
      <c r="I11084" s="1299"/>
      <c r="J11084" s="1300"/>
      <c r="K11084" s="1307"/>
      <c r="L11084" s="1335"/>
      <c r="M11084" s="1302"/>
      <c r="N11084" s="1700"/>
      <c r="O11084" s="1290"/>
      <c r="P11084" s="1332"/>
      <c r="Q11084" s="3402"/>
      <c r="R11084" s="2053"/>
    </row>
    <row r="11085" spans="1:18" s="22" customFormat="1">
      <c r="A11085" s="1321"/>
      <c r="B11085" s="2053"/>
      <c r="C11085" s="1321"/>
      <c r="D11085" s="1377"/>
      <c r="E11085" s="2124"/>
      <c r="F11085" s="1378"/>
      <c r="G11085" s="2200"/>
      <c r="H11085" s="1379"/>
      <c r="I11085" s="1299"/>
      <c r="J11085" s="1300"/>
      <c r="K11085" s="1307"/>
      <c r="L11085" s="1335"/>
      <c r="M11085" s="1302"/>
      <c r="N11085" s="1700"/>
      <c r="O11085" s="1290"/>
      <c r="P11085" s="1332"/>
      <c r="Q11085" s="3402"/>
      <c r="R11085" s="2053"/>
    </row>
    <row r="11086" spans="1:18" s="22" customFormat="1">
      <c r="A11086" s="1320"/>
      <c r="B11086" s="1765"/>
      <c r="C11086" s="223"/>
      <c r="D11086" s="1373"/>
      <c r="E11086" s="2161"/>
      <c r="F11086" s="1678"/>
      <c r="G11086" s="2201"/>
      <c r="H11086" s="1376"/>
      <c r="I11086" s="1299"/>
      <c r="J11086" s="1300"/>
      <c r="K11086" s="1307"/>
      <c r="L11086" s="1335"/>
      <c r="M11086" s="1302"/>
      <c r="N11086" s="1700"/>
      <c r="O11086" s="1290"/>
      <c r="P11086" s="1332"/>
      <c r="Q11086" s="3402"/>
      <c r="R11086" s="2356"/>
    </row>
    <row r="11087" spans="1:18" s="22" customFormat="1">
      <c r="A11087" s="551" t="s">
        <v>3764</v>
      </c>
      <c r="B11087" s="4325" t="s">
        <v>2153</v>
      </c>
      <c r="C11087" s="3350"/>
      <c r="D11087" s="4327"/>
      <c r="E11087" s="4329" t="s">
        <v>1504</v>
      </c>
      <c r="F11087" s="4372" t="s">
        <v>2154</v>
      </c>
      <c r="G11087" s="4331" t="s">
        <v>1568</v>
      </c>
      <c r="H11087" s="4331" t="s">
        <v>1574</v>
      </c>
      <c r="I11087" s="1572" t="s">
        <v>1559</v>
      </c>
      <c r="J11087" s="1294" t="s">
        <v>1560</v>
      </c>
      <c r="K11087" s="1294" t="s">
        <v>1569</v>
      </c>
      <c r="L11087" s="4333" t="s">
        <v>3765</v>
      </c>
      <c r="M11087" s="4323" t="s">
        <v>1571</v>
      </c>
      <c r="N11087" s="4323" t="s">
        <v>1776</v>
      </c>
      <c r="O11087" s="3347" t="s">
        <v>1563</v>
      </c>
      <c r="P11087" s="1336" t="s">
        <v>1562</v>
      </c>
      <c r="Q11087" s="3389"/>
      <c r="R11087" s="1699" t="s">
        <v>1327</v>
      </c>
    </row>
    <row r="11088" spans="1:18" s="22" customFormat="1">
      <c r="A11088" s="1599" t="s">
        <v>3761</v>
      </c>
      <c r="B11088" s="4326"/>
      <c r="C11088" s="3351"/>
      <c r="D11088" s="4328"/>
      <c r="E11088" s="4330"/>
      <c r="F11088" s="4363"/>
      <c r="G11088" s="4332"/>
      <c r="H11088" s="4332"/>
      <c r="I11088" s="1345">
        <v>2</v>
      </c>
      <c r="J11088" s="1307">
        <v>1</v>
      </c>
      <c r="K11088" s="1666">
        <f>I11088*J11088</f>
        <v>2</v>
      </c>
      <c r="L11088" s="4334"/>
      <c r="M11088" s="4324"/>
      <c r="N11088" s="4324"/>
      <c r="O11088" s="1298">
        <f>O11090+O11094</f>
        <v>48.807499999999997</v>
      </c>
      <c r="P11088" s="1337">
        <f>O11088*K11088</f>
        <v>97.614999999999995</v>
      </c>
      <c r="Q11088" s="3390"/>
      <c r="R11088" s="1721">
        <f>P11090+P11094</f>
        <v>97.614999999999995</v>
      </c>
    </row>
    <row r="11089" spans="1:18" s="22" customFormat="1">
      <c r="A11089" s="1599"/>
      <c r="B11089" s="1949"/>
      <c r="C11089" s="1327"/>
      <c r="D11089" s="1367"/>
      <c r="E11089" s="2121"/>
      <c r="F11089" s="1389" t="s">
        <v>1</v>
      </c>
      <c r="G11089" s="1389"/>
      <c r="H11089" s="1369"/>
      <c r="I11089" s="2088"/>
      <c r="J11089" s="1369"/>
      <c r="K11089" s="1391"/>
      <c r="L11089" s="1559"/>
      <c r="M11089" s="1369"/>
      <c r="N11089" s="1369"/>
      <c r="O11089" s="1369"/>
      <c r="P11089" s="1392"/>
      <c r="Q11089" s="3395"/>
      <c r="R11089" s="2344"/>
    </row>
    <row r="11090" spans="1:18" s="22" customFormat="1">
      <c r="B11090" s="553"/>
      <c r="C11090" s="1042"/>
      <c r="D11090" s="1367" t="s">
        <v>2155</v>
      </c>
      <c r="E11090" s="2121" t="s">
        <v>1504</v>
      </c>
      <c r="F11090" s="1367" t="s">
        <v>2156</v>
      </c>
      <c r="G11090" s="1554">
        <v>1</v>
      </c>
      <c r="H11090" s="1369"/>
      <c r="I11090" s="1299"/>
      <c r="J11090" s="1300"/>
      <c r="K11090" s="1350">
        <f>G11090*K11088</f>
        <v>2</v>
      </c>
      <c r="L11090" s="1335">
        <f>K11090*$K$10671</f>
        <v>0</v>
      </c>
      <c r="M11090" s="1499">
        <v>44</v>
      </c>
      <c r="N11090" s="1724"/>
      <c r="O11090" s="1290">
        <f>G11090*M11090</f>
        <v>44</v>
      </c>
      <c r="P11090" s="1332">
        <f>M11090*K11090</f>
        <v>88</v>
      </c>
      <c r="Q11090" s="3391"/>
      <c r="R11090" s="2339"/>
    </row>
    <row r="11091" spans="1:18" s="22" customFormat="1">
      <c r="B11091" s="553"/>
      <c r="C11091" s="1042"/>
      <c r="D11091" s="1367"/>
      <c r="E11091" s="2121"/>
      <c r="F11091" s="1367"/>
      <c r="G11091" s="1554"/>
      <c r="H11091" s="1369"/>
      <c r="I11091" s="1299"/>
      <c r="J11091" s="1300"/>
      <c r="K11091" s="1307"/>
      <c r="L11091" s="1335"/>
      <c r="M11091" s="1499"/>
      <c r="N11091" s="1724"/>
      <c r="O11091" s="1290"/>
      <c r="P11091" s="1332"/>
      <c r="Q11091" s="3391"/>
      <c r="R11091" s="2339"/>
    </row>
    <row r="11092" spans="1:18" s="22" customFormat="1">
      <c r="A11092" s="16"/>
      <c r="B11092" s="1599"/>
      <c r="C11092" s="1320"/>
      <c r="D11092" s="2205"/>
      <c r="E11092" s="2130"/>
      <c r="F11092" s="2205"/>
      <c r="G11092" s="2206"/>
      <c r="H11092" s="1399"/>
      <c r="I11092" s="198"/>
      <c r="J11092" s="198"/>
      <c r="K11092" s="1307"/>
      <c r="L11092" s="1335"/>
      <c r="M11092" s="1499"/>
      <c r="N11092" s="1701"/>
      <c r="O11092" s="1291"/>
      <c r="P11092" s="1332"/>
      <c r="Q11092" s="3391"/>
      <c r="R11092" s="3363"/>
    </row>
    <row r="11093" spans="1:18" s="22" customFormat="1" ht="26">
      <c r="A11093" s="2187"/>
      <c r="B11093" s="1599"/>
      <c r="C11093" s="1042"/>
      <c r="D11093" s="1359"/>
      <c r="E11093" s="1858"/>
      <c r="F11093" s="1360" t="s">
        <v>2</v>
      </c>
      <c r="G11093" s="1360"/>
      <c r="H11093" s="1362"/>
      <c r="I11093" s="1380"/>
      <c r="J11093" s="1381"/>
      <c r="K11093" s="1381"/>
      <c r="L11093" s="1458"/>
      <c r="M11093" s="1362"/>
      <c r="N11093" s="1362"/>
      <c r="O11093" s="1362"/>
      <c r="P11093" s="1359"/>
      <c r="Q11093" s="3403"/>
      <c r="R11093" s="2357"/>
    </row>
    <row r="11094" spans="1:18" s="22" customFormat="1">
      <c r="A11094" s="16"/>
      <c r="B11094" s="1042"/>
      <c r="C11094" s="1042"/>
      <c r="D11094" s="1402" t="s">
        <v>1593</v>
      </c>
      <c r="E11094" s="1857" t="s">
        <v>1508</v>
      </c>
      <c r="F11094" s="1430" t="s">
        <v>2280</v>
      </c>
      <c r="G11094" s="1362">
        <v>0.25</v>
      </c>
      <c r="H11094" s="1408"/>
      <c r="I11094" s="1340"/>
      <c r="J11094" s="198"/>
      <c r="K11094" s="1307">
        <f>G11094*K11088</f>
        <v>0.5</v>
      </c>
      <c r="L11094" s="1335">
        <f>K11094*$K$10671</f>
        <v>0</v>
      </c>
      <c r="M11094" s="1302">
        <v>19.23</v>
      </c>
      <c r="N11094" s="1724"/>
      <c r="O11094" s="1290">
        <f>G11094*M11094</f>
        <v>4.8075000000000001</v>
      </c>
      <c r="P11094" s="1332">
        <f>M11094*K11094</f>
        <v>9.6150000000000002</v>
      </c>
      <c r="Q11094" s="3391"/>
      <c r="R11094" s="2338"/>
    </row>
    <row r="11095" spans="1:18" s="22" customFormat="1">
      <c r="A11095" s="19"/>
      <c r="B11095" s="1042"/>
      <c r="C11095" s="1042"/>
      <c r="D11095" s="1402"/>
      <c r="E11095" s="1857"/>
      <c r="F11095" s="1430"/>
      <c r="G11095" s="1381"/>
      <c r="H11095" s="1408"/>
      <c r="I11095" s="198"/>
      <c r="J11095" s="198"/>
      <c r="K11095" s="1307"/>
      <c r="L11095" s="1335"/>
      <c r="M11095" s="1302"/>
      <c r="N11095" s="1724"/>
      <c r="O11095" s="1719"/>
      <c r="P11095" s="1727"/>
      <c r="Q11095" s="3396"/>
      <c r="R11095" s="2338"/>
    </row>
    <row r="11096" spans="1:18" s="22" customFormat="1">
      <c r="B11096" s="1320"/>
      <c r="C11096" s="16"/>
      <c r="D11096" s="1359"/>
      <c r="E11096" s="1858"/>
      <c r="F11096" s="1474"/>
      <c r="G11096" s="2198"/>
      <c r="H11096" s="1466"/>
      <c r="I11096" s="1289"/>
      <c r="J11096" s="8"/>
      <c r="K11096" s="1307"/>
      <c r="L11096" s="1335"/>
      <c r="M11096" s="1302"/>
      <c r="N11096" s="1700"/>
      <c r="O11096" s="1290"/>
      <c r="P11096" s="1332"/>
      <c r="Q11096" s="3391"/>
      <c r="R11096" s="2344"/>
    </row>
    <row r="11097" spans="1:18" s="22" customFormat="1">
      <c r="A11097" s="1320"/>
      <c r="B11097" s="1599"/>
      <c r="C11097" s="1320"/>
      <c r="D11097" s="1373"/>
      <c r="E11097" s="2123"/>
      <c r="F11097" s="1374" t="s">
        <v>3</v>
      </c>
      <c r="G11097" s="2199"/>
      <c r="H11097" s="1376"/>
      <c r="I11097" s="1382"/>
      <c r="J11097" s="1383"/>
      <c r="K11097" s="1383"/>
      <c r="L11097" s="1413"/>
      <c r="M11097" s="1376"/>
      <c r="N11097" s="1376"/>
      <c r="O11097" s="1376"/>
      <c r="P11097" s="1373"/>
      <c r="Q11097" s="3403"/>
      <c r="R11097" s="2356"/>
    </row>
    <row r="11098" spans="1:18" s="22" customFormat="1">
      <c r="A11098" s="1321"/>
      <c r="B11098" s="2053"/>
      <c r="C11098" s="1321"/>
      <c r="D11098" s="2202"/>
      <c r="E11098" s="2304"/>
      <c r="F11098" s="2202"/>
      <c r="G11098" s="2203"/>
      <c r="H11098" s="1379"/>
      <c r="I11098" s="1299"/>
      <c r="J11098" s="1300"/>
      <c r="K11098" s="1307"/>
      <c r="L11098" s="1335"/>
      <c r="M11098" s="1302"/>
      <c r="N11098" s="1700"/>
      <c r="O11098" s="1290"/>
      <c r="P11098" s="1332"/>
      <c r="Q11098" s="3402"/>
      <c r="R11098" s="2053"/>
    </row>
    <row r="11099" spans="1:18" s="22" customFormat="1">
      <c r="A11099" s="1321"/>
      <c r="B11099" s="2053"/>
      <c r="C11099" s="1321"/>
      <c r="D11099" s="1377"/>
      <c r="E11099" s="2124"/>
      <c r="F11099" s="1378"/>
      <c r="G11099" s="2200"/>
      <c r="H11099" s="1379"/>
      <c r="I11099" s="1299"/>
      <c r="J11099" s="1300"/>
      <c r="K11099" s="1307"/>
      <c r="L11099" s="1335"/>
      <c r="M11099" s="1302"/>
      <c r="N11099" s="1700"/>
      <c r="O11099" s="1290"/>
      <c r="P11099" s="1332"/>
      <c r="Q11099" s="3402"/>
      <c r="R11099" s="2053"/>
    </row>
    <row r="11100" spans="1:18" s="22" customFormat="1">
      <c r="A11100" s="1320"/>
      <c r="B11100" s="1765"/>
      <c r="C11100" s="223"/>
      <c r="D11100" s="1373"/>
      <c r="E11100" s="2161"/>
      <c r="F11100" s="1678"/>
      <c r="G11100" s="2201"/>
      <c r="H11100" s="1376"/>
      <c r="I11100" s="1299"/>
      <c r="J11100" s="1300"/>
      <c r="K11100" s="1307"/>
      <c r="L11100" s="1335"/>
      <c r="M11100" s="1302"/>
      <c r="N11100" s="1700"/>
      <c r="O11100" s="1290"/>
      <c r="P11100" s="1332"/>
      <c r="Q11100" s="3402"/>
      <c r="R11100" s="2356"/>
    </row>
    <row r="11101" spans="1:18" s="22" customFormat="1">
      <c r="A11101" s="551" t="s">
        <v>3764</v>
      </c>
      <c r="B11101" s="4325" t="s">
        <v>2157</v>
      </c>
      <c r="C11101" s="3885"/>
      <c r="D11101" s="4327"/>
      <c r="E11101" s="4329" t="s">
        <v>1504</v>
      </c>
      <c r="F11101" s="4372" t="s">
        <v>2158</v>
      </c>
      <c r="G11101" s="4331" t="s">
        <v>1568</v>
      </c>
      <c r="H11101" s="4331" t="s">
        <v>1574</v>
      </c>
      <c r="I11101" s="1572" t="s">
        <v>1559</v>
      </c>
      <c r="J11101" s="1294" t="s">
        <v>1560</v>
      </c>
      <c r="K11101" s="1294" t="s">
        <v>1569</v>
      </c>
      <c r="L11101" s="4333" t="s">
        <v>3765</v>
      </c>
      <c r="M11101" s="4323" t="s">
        <v>1571</v>
      </c>
      <c r="N11101" s="4323" t="s">
        <v>1776</v>
      </c>
      <c r="O11101" s="3884" t="s">
        <v>1563</v>
      </c>
      <c r="P11101" s="1336" t="s">
        <v>1562</v>
      </c>
      <c r="Q11101" s="3389"/>
      <c r="R11101" s="1699" t="s">
        <v>1327</v>
      </c>
    </row>
    <row r="11102" spans="1:18" s="22" customFormat="1">
      <c r="A11102" s="1599" t="s">
        <v>3761</v>
      </c>
      <c r="B11102" s="4326"/>
      <c r="C11102" s="3886"/>
      <c r="D11102" s="4328"/>
      <c r="E11102" s="4330"/>
      <c r="F11102" s="4363"/>
      <c r="G11102" s="4332"/>
      <c r="H11102" s="4332"/>
      <c r="I11102" s="1345">
        <v>1</v>
      </c>
      <c r="J11102" s="1307">
        <v>1</v>
      </c>
      <c r="K11102" s="1666">
        <f>I11102*J11102</f>
        <v>1</v>
      </c>
      <c r="L11102" s="4334"/>
      <c r="M11102" s="4324"/>
      <c r="N11102" s="4324"/>
      <c r="O11102" s="1298">
        <f>O11104+O11108</f>
        <v>48.807499999999997</v>
      </c>
      <c r="P11102" s="1337">
        <f>O11102*K11102</f>
        <v>48.807499999999997</v>
      </c>
      <c r="Q11102" s="3390"/>
      <c r="R11102" s="1721">
        <f>P11104+P11108</f>
        <v>48.807499999999997</v>
      </c>
    </row>
    <row r="11103" spans="1:18" s="22" customFormat="1">
      <c r="A11103" s="1599"/>
      <c r="B11103" s="1949"/>
      <c r="C11103" s="1327"/>
      <c r="D11103" s="1367"/>
      <c r="E11103" s="2121"/>
      <c r="F11103" s="1389" t="s">
        <v>1</v>
      </c>
      <c r="G11103" s="1389"/>
      <c r="H11103" s="1369"/>
      <c r="I11103" s="2088"/>
      <c r="J11103" s="1369"/>
      <c r="K11103" s="1391"/>
      <c r="L11103" s="1559"/>
      <c r="M11103" s="1369"/>
      <c r="N11103" s="1369"/>
      <c r="O11103" s="1369"/>
      <c r="P11103" s="1392"/>
      <c r="Q11103" s="3395"/>
      <c r="R11103" s="2344"/>
    </row>
    <row r="11104" spans="1:18" s="22" customFormat="1">
      <c r="B11104" s="553"/>
      <c r="C11104" s="1042"/>
      <c r="D11104" s="1367" t="s">
        <v>2155</v>
      </c>
      <c r="E11104" s="2121" t="s">
        <v>1504</v>
      </c>
      <c r="F11104" s="1367" t="s">
        <v>2156</v>
      </c>
      <c r="G11104" s="1554">
        <v>1</v>
      </c>
      <c r="H11104" s="1369"/>
      <c r="I11104" s="1299"/>
      <c r="J11104" s="1300"/>
      <c r="K11104" s="1350">
        <f>G11104*K11102</f>
        <v>1</v>
      </c>
      <c r="L11104" s="1335">
        <f>K11104*$K$10671</f>
        <v>0</v>
      </c>
      <c r="M11104" s="1499">
        <v>44</v>
      </c>
      <c r="N11104" s="1724"/>
      <c r="O11104" s="1290">
        <f>G11104*M11104</f>
        <v>44</v>
      </c>
      <c r="P11104" s="1332">
        <f>M11104*K11104</f>
        <v>44</v>
      </c>
      <c r="Q11104" s="3391"/>
      <c r="R11104" s="2339"/>
    </row>
    <row r="11105" spans="1:18" s="22" customFormat="1">
      <c r="B11105" s="553"/>
      <c r="C11105" s="1042"/>
      <c r="D11105" s="1367"/>
      <c r="E11105" s="2121"/>
      <c r="F11105" s="1367"/>
      <c r="G11105" s="1554"/>
      <c r="H11105" s="1369"/>
      <c r="I11105" s="1299"/>
      <c r="J11105" s="1300"/>
      <c r="K11105" s="1307"/>
      <c r="L11105" s="1335"/>
      <c r="M11105" s="1499"/>
      <c r="N11105" s="1724"/>
      <c r="O11105" s="1290"/>
      <c r="P11105" s="1332"/>
      <c r="Q11105" s="3391"/>
      <c r="R11105" s="2339"/>
    </row>
    <row r="11106" spans="1:18" s="22" customFormat="1">
      <c r="A11106" s="16"/>
      <c r="B11106" s="1599"/>
      <c r="C11106" s="1320"/>
      <c r="D11106" s="2205"/>
      <c r="E11106" s="2130"/>
      <c r="F11106" s="2205"/>
      <c r="G11106" s="2206"/>
      <c r="H11106" s="1399"/>
      <c r="I11106" s="198"/>
      <c r="J11106" s="198"/>
      <c r="K11106" s="1307"/>
      <c r="L11106" s="1335"/>
      <c r="M11106" s="1499"/>
      <c r="N11106" s="1701"/>
      <c r="O11106" s="1291"/>
      <c r="P11106" s="1332"/>
      <c r="Q11106" s="3391"/>
      <c r="R11106" s="3889"/>
    </row>
    <row r="11107" spans="1:18" s="22" customFormat="1" ht="26">
      <c r="A11107" s="2187"/>
      <c r="B11107" s="1599"/>
      <c r="C11107" s="1042"/>
      <c r="D11107" s="1359"/>
      <c r="E11107" s="1858"/>
      <c r="F11107" s="1360" t="s">
        <v>2</v>
      </c>
      <c r="G11107" s="1360"/>
      <c r="H11107" s="1362"/>
      <c r="I11107" s="1380"/>
      <c r="J11107" s="1381"/>
      <c r="K11107" s="1381"/>
      <c r="L11107" s="1458"/>
      <c r="M11107" s="1362"/>
      <c r="N11107" s="1362"/>
      <c r="O11107" s="1362"/>
      <c r="P11107" s="1359"/>
      <c r="Q11107" s="3403"/>
      <c r="R11107" s="2357"/>
    </row>
    <row r="11108" spans="1:18" s="22" customFormat="1">
      <c r="A11108" s="16"/>
      <c r="B11108" s="1042"/>
      <c r="C11108" s="1042"/>
      <c r="D11108" s="1402" t="s">
        <v>1593</v>
      </c>
      <c r="E11108" s="1857" t="s">
        <v>1508</v>
      </c>
      <c r="F11108" s="1430" t="s">
        <v>2280</v>
      </c>
      <c r="G11108" s="1362">
        <v>0.25</v>
      </c>
      <c r="H11108" s="1408"/>
      <c r="I11108" s="1340"/>
      <c r="J11108" s="198"/>
      <c r="K11108" s="1307">
        <f>G11108*K11102</f>
        <v>0.25</v>
      </c>
      <c r="L11108" s="1335">
        <f>K11108*$K$10671</f>
        <v>0</v>
      </c>
      <c r="M11108" s="1302">
        <v>19.23</v>
      </c>
      <c r="N11108" s="1724"/>
      <c r="O11108" s="1290">
        <f>G11108*M11108</f>
        <v>4.8075000000000001</v>
      </c>
      <c r="P11108" s="1332">
        <f>M11108*K11108</f>
        <v>4.8075000000000001</v>
      </c>
      <c r="Q11108" s="3391"/>
      <c r="R11108" s="2338"/>
    </row>
    <row r="11109" spans="1:18" s="22" customFormat="1">
      <c r="A11109" s="19"/>
      <c r="B11109" s="1042"/>
      <c r="C11109" s="1042"/>
      <c r="D11109" s="1402"/>
      <c r="E11109" s="1857"/>
      <c r="F11109" s="1430"/>
      <c r="G11109" s="1381"/>
      <c r="H11109" s="1408"/>
      <c r="I11109" s="198"/>
      <c r="J11109" s="198"/>
      <c r="K11109" s="1307"/>
      <c r="L11109" s="1335"/>
      <c r="M11109" s="1302"/>
      <c r="N11109" s="1724"/>
      <c r="O11109" s="1719"/>
      <c r="P11109" s="1727"/>
      <c r="Q11109" s="3396"/>
      <c r="R11109" s="2338"/>
    </row>
    <row r="11110" spans="1:18" s="22" customFormat="1">
      <c r="B11110" s="1320"/>
      <c r="C11110" s="16"/>
      <c r="D11110" s="1359"/>
      <c r="E11110" s="1858"/>
      <c r="F11110" s="1474"/>
      <c r="G11110" s="2198"/>
      <c r="H11110" s="1466"/>
      <c r="I11110" s="1289"/>
      <c r="J11110" s="8"/>
      <c r="K11110" s="1307"/>
      <c r="L11110" s="1335"/>
      <c r="M11110" s="1302"/>
      <c r="N11110" s="1700"/>
      <c r="O11110" s="1290"/>
      <c r="P11110" s="1332"/>
      <c r="Q11110" s="3391"/>
      <c r="R11110" s="2344"/>
    </row>
    <row r="11111" spans="1:18" s="22" customFormat="1">
      <c r="A11111" s="1320"/>
      <c r="B11111" s="1599"/>
      <c r="C11111" s="1320"/>
      <c r="D11111" s="1373"/>
      <c r="E11111" s="2123"/>
      <c r="F11111" s="1374" t="s">
        <v>3</v>
      </c>
      <c r="G11111" s="2199"/>
      <c r="H11111" s="1376"/>
      <c r="I11111" s="1382"/>
      <c r="J11111" s="1383"/>
      <c r="K11111" s="1383"/>
      <c r="L11111" s="1413"/>
      <c r="M11111" s="1376"/>
      <c r="N11111" s="1376"/>
      <c r="O11111" s="1376"/>
      <c r="P11111" s="1373"/>
      <c r="Q11111" s="3403"/>
      <c r="R11111" s="2356"/>
    </row>
    <row r="11112" spans="1:18" s="22" customFormat="1">
      <c r="A11112" s="1321"/>
      <c r="B11112" s="2053"/>
      <c r="C11112" s="1321"/>
      <c r="D11112" s="2202"/>
      <c r="E11112" s="2304"/>
      <c r="F11112" s="2202"/>
      <c r="G11112" s="2203"/>
      <c r="H11112" s="1379"/>
      <c r="I11112" s="1299"/>
      <c r="J11112" s="1300"/>
      <c r="K11112" s="1307"/>
      <c r="L11112" s="1335"/>
      <c r="M11112" s="1302"/>
      <c r="N11112" s="1700"/>
      <c r="O11112" s="1290"/>
      <c r="P11112" s="1332"/>
      <c r="Q11112" s="3402"/>
      <c r="R11112" s="2053"/>
    </row>
    <row r="11113" spans="1:18" s="22" customFormat="1">
      <c r="A11113" s="1321"/>
      <c r="B11113" s="2053"/>
      <c r="C11113" s="1321"/>
      <c r="D11113" s="1377"/>
      <c r="E11113" s="2124"/>
      <c r="F11113" s="1378"/>
      <c r="G11113" s="2200"/>
      <c r="H11113" s="1379"/>
      <c r="I11113" s="1299"/>
      <c r="J11113" s="1300"/>
      <c r="K11113" s="1307"/>
      <c r="L11113" s="1335"/>
      <c r="M11113" s="1302"/>
      <c r="N11113" s="1700"/>
      <c r="O11113" s="1290"/>
      <c r="P11113" s="1332"/>
      <c r="Q11113" s="3402"/>
      <c r="R11113" s="2053"/>
    </row>
    <row r="11114" spans="1:18" s="22" customFormat="1">
      <c r="A11114" s="1320"/>
      <c r="B11114" s="1765"/>
      <c r="C11114" s="223"/>
      <c r="D11114" s="1373"/>
      <c r="E11114" s="2161"/>
      <c r="F11114" s="1678"/>
      <c r="G11114" s="2201"/>
      <c r="H11114" s="1376"/>
      <c r="I11114" s="1299"/>
      <c r="J11114" s="1300"/>
      <c r="K11114" s="1307"/>
      <c r="L11114" s="1335"/>
      <c r="M11114" s="1302"/>
      <c r="N11114" s="1700"/>
      <c r="O11114" s="1290"/>
      <c r="P11114" s="1332"/>
      <c r="Q11114" s="3402"/>
      <c r="R11114" s="2356"/>
    </row>
    <row r="11115" spans="1:18" s="22" customFormat="1">
      <c r="A11115" s="551" t="s">
        <v>3764</v>
      </c>
      <c r="B11115" s="4325" t="s">
        <v>2159</v>
      </c>
      <c r="C11115" s="3350"/>
      <c r="D11115" s="4327"/>
      <c r="E11115" s="4329" t="s">
        <v>1504</v>
      </c>
      <c r="F11115" s="4372" t="s">
        <v>2160</v>
      </c>
      <c r="G11115" s="4331" t="s">
        <v>1568</v>
      </c>
      <c r="H11115" s="4331" t="s">
        <v>1574</v>
      </c>
      <c r="I11115" s="1572" t="s">
        <v>1559</v>
      </c>
      <c r="J11115" s="1294" t="s">
        <v>1560</v>
      </c>
      <c r="K11115" s="1294" t="s">
        <v>1569</v>
      </c>
      <c r="L11115" s="4333" t="s">
        <v>3765</v>
      </c>
      <c r="M11115" s="4323" t="s">
        <v>1571</v>
      </c>
      <c r="N11115" s="4323" t="s">
        <v>1776</v>
      </c>
      <c r="O11115" s="3347" t="s">
        <v>1563</v>
      </c>
      <c r="P11115" s="1336" t="s">
        <v>1562</v>
      </c>
      <c r="Q11115" s="3389"/>
      <c r="R11115" s="1699" t="s">
        <v>1327</v>
      </c>
    </row>
    <row r="11116" spans="1:18" s="22" customFormat="1">
      <c r="A11116" s="1599" t="s">
        <v>3761</v>
      </c>
      <c r="B11116" s="4326"/>
      <c r="C11116" s="3351"/>
      <c r="D11116" s="4328"/>
      <c r="E11116" s="4330"/>
      <c r="F11116" s="4363"/>
      <c r="G11116" s="4332"/>
      <c r="H11116" s="4332"/>
      <c r="I11116" s="1345">
        <v>1</v>
      </c>
      <c r="J11116" s="1307">
        <v>1</v>
      </c>
      <c r="K11116" s="1666">
        <f>I11116*J11116</f>
        <v>1</v>
      </c>
      <c r="L11116" s="4334"/>
      <c r="M11116" s="4324"/>
      <c r="N11116" s="4324"/>
      <c r="O11116" s="1298">
        <f>O11118+O11122</f>
        <v>48.807499999999997</v>
      </c>
      <c r="P11116" s="1337">
        <f>O11116*K11116</f>
        <v>48.807499999999997</v>
      </c>
      <c r="Q11116" s="3390"/>
      <c r="R11116" s="1721">
        <f>P11118+P11122</f>
        <v>48.807499999999997</v>
      </c>
    </row>
    <row r="11117" spans="1:18" s="22" customFormat="1">
      <c r="A11117" s="1599"/>
      <c r="B11117" s="1949"/>
      <c r="C11117" s="1327"/>
      <c r="D11117" s="1367"/>
      <c r="E11117" s="2121"/>
      <c r="F11117" s="1389" t="s">
        <v>1</v>
      </c>
      <c r="G11117" s="1389"/>
      <c r="H11117" s="1369"/>
      <c r="I11117" s="2088"/>
      <c r="J11117" s="1369"/>
      <c r="K11117" s="1391"/>
      <c r="L11117" s="1559"/>
      <c r="M11117" s="1369"/>
      <c r="N11117" s="1369"/>
      <c r="O11117" s="1369"/>
      <c r="P11117" s="1392"/>
      <c r="Q11117" s="3395"/>
      <c r="R11117" s="2344"/>
    </row>
    <row r="11118" spans="1:18" s="22" customFormat="1">
      <c r="B11118" s="553"/>
      <c r="C11118" s="1042"/>
      <c r="D11118" s="1367" t="s">
        <v>2155</v>
      </c>
      <c r="E11118" s="2121" t="s">
        <v>1504</v>
      </c>
      <c r="F11118" s="1367" t="s">
        <v>2156</v>
      </c>
      <c r="G11118" s="1554">
        <v>1</v>
      </c>
      <c r="H11118" s="1369"/>
      <c r="I11118" s="1299"/>
      <c r="J11118" s="1300"/>
      <c r="K11118" s="1350">
        <f>G11118*K11116</f>
        <v>1</v>
      </c>
      <c r="L11118" s="1335">
        <f>K11118*$K$10671</f>
        <v>0</v>
      </c>
      <c r="M11118" s="1499">
        <v>44</v>
      </c>
      <c r="N11118" s="1724"/>
      <c r="O11118" s="1290">
        <f>G11118*M11118</f>
        <v>44</v>
      </c>
      <c r="P11118" s="1332">
        <f>M11118*K11118</f>
        <v>44</v>
      </c>
      <c r="Q11118" s="3391"/>
      <c r="R11118" s="2339"/>
    </row>
    <row r="11119" spans="1:18" s="22" customFormat="1">
      <c r="B11119" s="553"/>
      <c r="C11119" s="1042"/>
      <c r="D11119" s="1367"/>
      <c r="E11119" s="2121"/>
      <c r="F11119" s="1367"/>
      <c r="G11119" s="1554"/>
      <c r="H11119" s="1369"/>
      <c r="I11119" s="1299"/>
      <c r="J11119" s="1300"/>
      <c r="K11119" s="1307"/>
      <c r="L11119" s="1335"/>
      <c r="M11119" s="1499"/>
      <c r="N11119" s="1724"/>
      <c r="O11119" s="1290"/>
      <c r="P11119" s="1332"/>
      <c r="Q11119" s="3391"/>
      <c r="R11119" s="2339"/>
    </row>
    <row r="11120" spans="1:18" s="22" customFormat="1">
      <c r="A11120" s="16"/>
      <c r="B11120" s="1599"/>
      <c r="C11120" s="1320"/>
      <c r="D11120" s="2205"/>
      <c r="E11120" s="2130"/>
      <c r="F11120" s="2205"/>
      <c r="G11120" s="2206"/>
      <c r="H11120" s="1399"/>
      <c r="I11120" s="198"/>
      <c r="J11120" s="198"/>
      <c r="K11120" s="1307"/>
      <c r="L11120" s="1335"/>
      <c r="M11120" s="1499"/>
      <c r="N11120" s="1701"/>
      <c r="O11120" s="1291"/>
      <c r="P11120" s="1332"/>
      <c r="Q11120" s="3391"/>
      <c r="R11120" s="3363"/>
    </row>
    <row r="11121" spans="1:18" s="22" customFormat="1" ht="26">
      <c r="A11121" s="2187"/>
      <c r="B11121" s="1599"/>
      <c r="C11121" s="1042"/>
      <c r="D11121" s="1359"/>
      <c r="E11121" s="1858"/>
      <c r="F11121" s="1360" t="s">
        <v>2</v>
      </c>
      <c r="G11121" s="1360"/>
      <c r="H11121" s="1362"/>
      <c r="I11121" s="1380"/>
      <c r="J11121" s="1381"/>
      <c r="K11121" s="1381"/>
      <c r="L11121" s="1458"/>
      <c r="M11121" s="1362"/>
      <c r="N11121" s="1362"/>
      <c r="O11121" s="1362"/>
      <c r="P11121" s="1359"/>
      <c r="Q11121" s="3403"/>
      <c r="R11121" s="2357"/>
    </row>
    <row r="11122" spans="1:18" s="22" customFormat="1">
      <c r="A11122" s="16"/>
      <c r="B11122" s="1042"/>
      <c r="C11122" s="1042"/>
      <c r="D11122" s="1402" t="s">
        <v>1593</v>
      </c>
      <c r="E11122" s="1857" t="s">
        <v>1508</v>
      </c>
      <c r="F11122" s="1430" t="s">
        <v>2280</v>
      </c>
      <c r="G11122" s="1362">
        <v>0.25</v>
      </c>
      <c r="H11122" s="1408"/>
      <c r="I11122" s="1340"/>
      <c r="J11122" s="198"/>
      <c r="K11122" s="1307">
        <f>G11122*K11116</f>
        <v>0.25</v>
      </c>
      <c r="L11122" s="1335">
        <f>K11122*$K$10671</f>
        <v>0</v>
      </c>
      <c r="M11122" s="1302">
        <v>19.23</v>
      </c>
      <c r="N11122" s="1724"/>
      <c r="O11122" s="1290">
        <f>G11122*M11122</f>
        <v>4.8075000000000001</v>
      </c>
      <c r="P11122" s="1332">
        <f>M11122*K11122</f>
        <v>4.8075000000000001</v>
      </c>
      <c r="Q11122" s="3391"/>
      <c r="R11122" s="2338"/>
    </row>
    <row r="11123" spans="1:18" s="22" customFormat="1">
      <c r="A11123" s="19"/>
      <c r="B11123" s="1042"/>
      <c r="C11123" s="1042"/>
      <c r="D11123" s="1402"/>
      <c r="E11123" s="1857"/>
      <c r="F11123" s="1430"/>
      <c r="G11123" s="1381"/>
      <c r="H11123" s="1408"/>
      <c r="I11123" s="198"/>
      <c r="J11123" s="198"/>
      <c r="K11123" s="1307"/>
      <c r="L11123" s="1335"/>
      <c r="M11123" s="1302"/>
      <c r="N11123" s="1724"/>
      <c r="O11123" s="1719"/>
      <c r="P11123" s="1727"/>
      <c r="Q11123" s="3396"/>
      <c r="R11123" s="2338"/>
    </row>
    <row r="11124" spans="1:18" s="22" customFormat="1">
      <c r="B11124" s="1320"/>
      <c r="C11124" s="16"/>
      <c r="D11124" s="1359"/>
      <c r="E11124" s="1858"/>
      <c r="F11124" s="1474"/>
      <c r="G11124" s="2198"/>
      <c r="H11124" s="1466"/>
      <c r="I11124" s="1289"/>
      <c r="J11124" s="8"/>
      <c r="K11124" s="1307"/>
      <c r="L11124" s="1335"/>
      <c r="M11124" s="1302"/>
      <c r="N11124" s="1700"/>
      <c r="O11124" s="1290"/>
      <c r="P11124" s="1332"/>
      <c r="Q11124" s="3391"/>
      <c r="R11124" s="2344"/>
    </row>
    <row r="11125" spans="1:18" s="22" customFormat="1">
      <c r="A11125" s="1320"/>
      <c r="B11125" s="1599"/>
      <c r="C11125" s="1320"/>
      <c r="D11125" s="1373"/>
      <c r="E11125" s="2123"/>
      <c r="F11125" s="1374" t="s">
        <v>3</v>
      </c>
      <c r="G11125" s="2199"/>
      <c r="H11125" s="1376"/>
      <c r="I11125" s="1382"/>
      <c r="J11125" s="1383"/>
      <c r="K11125" s="1383"/>
      <c r="L11125" s="1413"/>
      <c r="M11125" s="1376"/>
      <c r="N11125" s="1376"/>
      <c r="O11125" s="1376"/>
      <c r="P11125" s="1373"/>
      <c r="Q11125" s="3403"/>
      <c r="R11125" s="2356"/>
    </row>
    <row r="11126" spans="1:18" s="22" customFormat="1">
      <c r="A11126" s="1321"/>
      <c r="B11126" s="2053"/>
      <c r="C11126" s="1321"/>
      <c r="D11126" s="2202"/>
      <c r="E11126" s="2304"/>
      <c r="F11126" s="2202"/>
      <c r="G11126" s="2203"/>
      <c r="H11126" s="1379"/>
      <c r="I11126" s="1299"/>
      <c r="J11126" s="1300"/>
      <c r="K11126" s="1307"/>
      <c r="L11126" s="1335"/>
      <c r="M11126" s="1302"/>
      <c r="N11126" s="1700"/>
      <c r="O11126" s="1290"/>
      <c r="P11126" s="1332"/>
      <c r="Q11126" s="3402"/>
      <c r="R11126" s="2053"/>
    </row>
    <row r="11127" spans="1:18" s="22" customFormat="1">
      <c r="A11127" s="1321"/>
      <c r="B11127" s="2053"/>
      <c r="C11127" s="1321"/>
      <c r="D11127" s="1377"/>
      <c r="E11127" s="2124"/>
      <c r="F11127" s="1378"/>
      <c r="G11127" s="2200"/>
      <c r="H11127" s="1379"/>
      <c r="I11127" s="1299"/>
      <c r="J11127" s="1300"/>
      <c r="K11127" s="1307"/>
      <c r="L11127" s="1335"/>
      <c r="M11127" s="1302"/>
      <c r="N11127" s="1700"/>
      <c r="O11127" s="1290"/>
      <c r="P11127" s="1332"/>
      <c r="Q11127" s="3402"/>
      <c r="R11127" s="2053"/>
    </row>
    <row r="11128" spans="1:18" s="22" customFormat="1">
      <c r="A11128" s="1320"/>
      <c r="B11128" s="1765"/>
      <c r="C11128" s="223"/>
      <c r="D11128" s="1373"/>
      <c r="E11128" s="2161"/>
      <c r="F11128" s="1678"/>
      <c r="G11128" s="2201"/>
      <c r="H11128" s="1376"/>
      <c r="I11128" s="1299"/>
      <c r="J11128" s="1300"/>
      <c r="K11128" s="1307"/>
      <c r="L11128" s="1335"/>
      <c r="M11128" s="1302"/>
      <c r="N11128" s="1700"/>
      <c r="O11128" s="1290"/>
      <c r="P11128" s="1332"/>
      <c r="Q11128" s="3402"/>
      <c r="R11128" s="2356"/>
    </row>
    <row r="11129" spans="1:18" s="22" customFormat="1">
      <c r="A11129" s="551" t="s">
        <v>3764</v>
      </c>
      <c r="B11129" s="4325" t="s">
        <v>2161</v>
      </c>
      <c r="C11129" s="3350"/>
      <c r="D11129" s="4327"/>
      <c r="E11129" s="4329" t="s">
        <v>1504</v>
      </c>
      <c r="F11129" s="4372" t="s">
        <v>2162</v>
      </c>
      <c r="G11129" s="4331" t="s">
        <v>1568</v>
      </c>
      <c r="H11129" s="4331" t="s">
        <v>1574</v>
      </c>
      <c r="I11129" s="1572" t="s">
        <v>1559</v>
      </c>
      <c r="J11129" s="1294" t="s">
        <v>1560</v>
      </c>
      <c r="K11129" s="1294" t="s">
        <v>1569</v>
      </c>
      <c r="L11129" s="4333" t="s">
        <v>3765</v>
      </c>
      <c r="M11129" s="4323" t="s">
        <v>1571</v>
      </c>
      <c r="N11129" s="4323" t="s">
        <v>1776</v>
      </c>
      <c r="O11129" s="3347" t="s">
        <v>1563</v>
      </c>
      <c r="P11129" s="1336" t="s">
        <v>1562</v>
      </c>
      <c r="Q11129" s="3389"/>
      <c r="R11129" s="1699" t="s">
        <v>1327</v>
      </c>
    </row>
    <row r="11130" spans="1:18" s="22" customFormat="1">
      <c r="A11130" s="1599" t="s">
        <v>3761</v>
      </c>
      <c r="B11130" s="4326"/>
      <c r="C11130" s="3351"/>
      <c r="D11130" s="4328"/>
      <c r="E11130" s="4330"/>
      <c r="F11130" s="4363"/>
      <c r="G11130" s="4332"/>
      <c r="H11130" s="4332"/>
      <c r="I11130" s="1345">
        <v>1</v>
      </c>
      <c r="J11130" s="1307">
        <v>1</v>
      </c>
      <c r="K11130" s="1666">
        <f>I11130*J11130</f>
        <v>1</v>
      </c>
      <c r="L11130" s="4334"/>
      <c r="M11130" s="4324"/>
      <c r="N11130" s="4324"/>
      <c r="O11130" s="1298">
        <f>O11132+O11136</f>
        <v>48.807499999999997</v>
      </c>
      <c r="P11130" s="1337">
        <f>O11130*K11130</f>
        <v>48.807499999999997</v>
      </c>
      <c r="Q11130" s="3390"/>
      <c r="R11130" s="1721">
        <f>P11132+P11136</f>
        <v>48.807499999999997</v>
      </c>
    </row>
    <row r="11131" spans="1:18" s="22" customFormat="1">
      <c r="A11131" s="1599"/>
      <c r="B11131" s="1949"/>
      <c r="C11131" s="1327"/>
      <c r="D11131" s="1367"/>
      <c r="E11131" s="2121"/>
      <c r="F11131" s="1389" t="s">
        <v>1</v>
      </c>
      <c r="G11131" s="1389"/>
      <c r="H11131" s="1369"/>
      <c r="I11131" s="2088"/>
      <c r="J11131" s="1369"/>
      <c r="K11131" s="1391"/>
      <c r="L11131" s="1559"/>
      <c r="M11131" s="1369"/>
      <c r="N11131" s="1369"/>
      <c r="O11131" s="1369"/>
      <c r="P11131" s="1392"/>
      <c r="Q11131" s="3395"/>
      <c r="R11131" s="2344"/>
    </row>
    <row r="11132" spans="1:18" s="22" customFormat="1">
      <c r="B11132" s="553"/>
      <c r="C11132" s="1042"/>
      <c r="D11132" s="1367" t="s">
        <v>2155</v>
      </c>
      <c r="E11132" s="2121" t="s">
        <v>1504</v>
      </c>
      <c r="F11132" s="1367" t="s">
        <v>2156</v>
      </c>
      <c r="G11132" s="1554">
        <v>1</v>
      </c>
      <c r="H11132" s="1369"/>
      <c r="I11132" s="1299"/>
      <c r="J11132" s="1300"/>
      <c r="K11132" s="1350">
        <f>G11132*K11130</f>
        <v>1</v>
      </c>
      <c r="L11132" s="1335">
        <f>K11132*$K$10671</f>
        <v>0</v>
      </c>
      <c r="M11132" s="1499">
        <v>44</v>
      </c>
      <c r="N11132" s="1724"/>
      <c r="O11132" s="1290">
        <f>G11132*M11132</f>
        <v>44</v>
      </c>
      <c r="P11132" s="1332">
        <f>M11132*K11132</f>
        <v>44</v>
      </c>
      <c r="Q11132" s="3391"/>
      <c r="R11132" s="2339"/>
    </row>
    <row r="11133" spans="1:18" s="22" customFormat="1">
      <c r="B11133" s="553"/>
      <c r="C11133" s="1042"/>
      <c r="D11133" s="1367"/>
      <c r="E11133" s="2121"/>
      <c r="F11133" s="1367"/>
      <c r="G11133" s="1554"/>
      <c r="H11133" s="1369"/>
      <c r="I11133" s="1299"/>
      <c r="J11133" s="1300"/>
      <c r="K11133" s="1307"/>
      <c r="L11133" s="1335"/>
      <c r="M11133" s="1499"/>
      <c r="N11133" s="1724"/>
      <c r="O11133" s="1290"/>
      <c r="P11133" s="1332"/>
      <c r="Q11133" s="3391"/>
      <c r="R11133" s="2339"/>
    </row>
    <row r="11134" spans="1:18" s="22" customFormat="1">
      <c r="A11134" s="16"/>
      <c r="B11134" s="1599"/>
      <c r="C11134" s="1320"/>
      <c r="D11134" s="2205"/>
      <c r="E11134" s="2130"/>
      <c r="F11134" s="2205"/>
      <c r="G11134" s="2206"/>
      <c r="H11134" s="1399"/>
      <c r="I11134" s="198"/>
      <c r="J11134" s="198"/>
      <c r="K11134" s="1307"/>
      <c r="L11134" s="1335"/>
      <c r="M11134" s="1499"/>
      <c r="N11134" s="1701"/>
      <c r="O11134" s="1291"/>
      <c r="P11134" s="1332"/>
      <c r="Q11134" s="3391"/>
      <c r="R11134" s="3363"/>
    </row>
    <row r="11135" spans="1:18" s="22" customFormat="1" ht="26">
      <c r="A11135" s="2187"/>
      <c r="B11135" s="1599"/>
      <c r="C11135" s="1042"/>
      <c r="D11135" s="1359"/>
      <c r="E11135" s="1858"/>
      <c r="F11135" s="1360" t="s">
        <v>2</v>
      </c>
      <c r="G11135" s="1360"/>
      <c r="H11135" s="1362"/>
      <c r="I11135" s="1380"/>
      <c r="J11135" s="1381"/>
      <c r="K11135" s="1381"/>
      <c r="L11135" s="1458"/>
      <c r="M11135" s="1362"/>
      <c r="N11135" s="1362"/>
      <c r="O11135" s="1362"/>
      <c r="P11135" s="1359"/>
      <c r="Q11135" s="3403"/>
      <c r="R11135" s="2357"/>
    </row>
    <row r="11136" spans="1:18" s="22" customFormat="1">
      <c r="A11136" s="16"/>
      <c r="B11136" s="1042"/>
      <c r="C11136" s="1042"/>
      <c r="D11136" s="1402" t="s">
        <v>1593</v>
      </c>
      <c r="E11136" s="1857" t="s">
        <v>1508</v>
      </c>
      <c r="F11136" s="1430" t="s">
        <v>2280</v>
      </c>
      <c r="G11136" s="1362">
        <v>0.25</v>
      </c>
      <c r="H11136" s="1408"/>
      <c r="I11136" s="1340"/>
      <c r="J11136" s="198"/>
      <c r="K11136" s="1307">
        <f>G11136*K11130</f>
        <v>0.25</v>
      </c>
      <c r="L11136" s="1335">
        <f>K11136*$K$10671</f>
        <v>0</v>
      </c>
      <c r="M11136" s="1302">
        <v>19.23</v>
      </c>
      <c r="N11136" s="1724"/>
      <c r="O11136" s="1290">
        <f>G11136*M11136</f>
        <v>4.8075000000000001</v>
      </c>
      <c r="P11136" s="1332">
        <f>M11136*K11136</f>
        <v>4.8075000000000001</v>
      </c>
      <c r="Q11136" s="3391"/>
      <c r="R11136" s="2338"/>
    </row>
    <row r="11137" spans="1:18" s="22" customFormat="1">
      <c r="A11137" s="19"/>
      <c r="B11137" s="1042"/>
      <c r="C11137" s="1042"/>
      <c r="D11137" s="1402"/>
      <c r="E11137" s="1857"/>
      <c r="F11137" s="1430"/>
      <c r="G11137" s="1381"/>
      <c r="H11137" s="1408"/>
      <c r="I11137" s="198"/>
      <c r="J11137" s="198"/>
      <c r="K11137" s="1307"/>
      <c r="L11137" s="1335"/>
      <c r="M11137" s="1302"/>
      <c r="N11137" s="1724"/>
      <c r="O11137" s="1719"/>
      <c r="P11137" s="1727"/>
      <c r="Q11137" s="3396"/>
      <c r="R11137" s="2338"/>
    </row>
    <row r="11138" spans="1:18" s="22" customFormat="1">
      <c r="B11138" s="1320"/>
      <c r="C11138" s="16"/>
      <c r="D11138" s="1359"/>
      <c r="E11138" s="1858"/>
      <c r="F11138" s="1474"/>
      <c r="G11138" s="2198"/>
      <c r="H11138" s="1466"/>
      <c r="I11138" s="1289"/>
      <c r="J11138" s="8"/>
      <c r="K11138" s="1307"/>
      <c r="L11138" s="1335"/>
      <c r="M11138" s="1302"/>
      <c r="N11138" s="1700"/>
      <c r="O11138" s="1290"/>
      <c r="P11138" s="1332"/>
      <c r="Q11138" s="3391"/>
      <c r="R11138" s="2344"/>
    </row>
    <row r="11139" spans="1:18" s="22" customFormat="1">
      <c r="A11139" s="1320"/>
      <c r="B11139" s="1599"/>
      <c r="C11139" s="1320"/>
      <c r="D11139" s="1373"/>
      <c r="E11139" s="2123"/>
      <c r="F11139" s="1374" t="s">
        <v>3</v>
      </c>
      <c r="G11139" s="2199"/>
      <c r="H11139" s="1376"/>
      <c r="I11139" s="1382"/>
      <c r="J11139" s="1383"/>
      <c r="K11139" s="1383"/>
      <c r="L11139" s="1413"/>
      <c r="M11139" s="1376"/>
      <c r="N11139" s="1376"/>
      <c r="O11139" s="1376"/>
      <c r="P11139" s="1373"/>
      <c r="Q11139" s="3403"/>
      <c r="R11139" s="2356"/>
    </row>
    <row r="11140" spans="1:18" s="22" customFormat="1">
      <c r="A11140" s="1321"/>
      <c r="B11140" s="2053"/>
      <c r="C11140" s="1321"/>
      <c r="D11140" s="2202"/>
      <c r="E11140" s="2304"/>
      <c r="F11140" s="2202"/>
      <c r="G11140" s="2203"/>
      <c r="H11140" s="1379"/>
      <c r="I11140" s="1299"/>
      <c r="J11140" s="1300"/>
      <c r="K11140" s="1307"/>
      <c r="L11140" s="1335"/>
      <c r="M11140" s="1302"/>
      <c r="N11140" s="1700"/>
      <c r="O11140" s="1290"/>
      <c r="P11140" s="1332"/>
      <c r="Q11140" s="3402"/>
      <c r="R11140" s="2053"/>
    </row>
    <row r="11141" spans="1:18" s="22" customFormat="1">
      <c r="A11141" s="1321"/>
      <c r="B11141" s="2053"/>
      <c r="C11141" s="1321"/>
      <c r="D11141" s="1377"/>
      <c r="E11141" s="2124"/>
      <c r="F11141" s="1378"/>
      <c r="G11141" s="2200"/>
      <c r="H11141" s="1379"/>
      <c r="I11141" s="1299"/>
      <c r="J11141" s="1300"/>
      <c r="K11141" s="1307"/>
      <c r="L11141" s="1335"/>
      <c r="M11141" s="1302"/>
      <c r="N11141" s="1700"/>
      <c r="O11141" s="1290"/>
      <c r="P11141" s="1332"/>
      <c r="Q11141" s="3402"/>
      <c r="R11141" s="2053"/>
    </row>
    <row r="11142" spans="1:18" s="22" customFormat="1">
      <c r="A11142" s="1320"/>
      <c r="B11142" s="1765"/>
      <c r="C11142" s="223"/>
      <c r="D11142" s="1373"/>
      <c r="E11142" s="2161"/>
      <c r="F11142" s="1678"/>
      <c r="G11142" s="2201"/>
      <c r="H11142" s="1376"/>
      <c r="I11142" s="1299"/>
      <c r="J11142" s="1300"/>
      <c r="K11142" s="1307"/>
      <c r="L11142" s="1335"/>
      <c r="M11142" s="1302"/>
      <c r="N11142" s="1700"/>
      <c r="O11142" s="1290"/>
      <c r="P11142" s="1332"/>
      <c r="Q11142" s="3402"/>
      <c r="R11142" s="2356"/>
    </row>
    <row r="11143" spans="1:18" s="22" customFormat="1">
      <c r="A11143" s="18" t="s">
        <v>3764</v>
      </c>
      <c r="B11143" s="4325" t="s">
        <v>2248</v>
      </c>
      <c r="C11143" s="3350"/>
      <c r="D11143" s="4327"/>
      <c r="E11143" s="4329" t="s">
        <v>1504</v>
      </c>
      <c r="F11143" s="4336" t="s">
        <v>2244</v>
      </c>
      <c r="G11143" s="4331" t="s">
        <v>1568</v>
      </c>
      <c r="H11143" s="4331" t="s">
        <v>1574</v>
      </c>
      <c r="I11143" s="1572" t="s">
        <v>1559</v>
      </c>
      <c r="J11143" s="1294" t="s">
        <v>1560</v>
      </c>
      <c r="K11143" s="1294" t="s">
        <v>1569</v>
      </c>
      <c r="L11143" s="4333" t="s">
        <v>3765</v>
      </c>
      <c r="M11143" s="4335" t="s">
        <v>1571</v>
      </c>
      <c r="N11143" s="4323" t="s">
        <v>1776</v>
      </c>
      <c r="O11143" s="3347" t="s">
        <v>1563</v>
      </c>
      <c r="P11143" s="1336" t="s">
        <v>1562</v>
      </c>
      <c r="Q11143" s="3389"/>
      <c r="R11143" s="1699" t="s">
        <v>1327</v>
      </c>
    </row>
    <row r="11144" spans="1:18" s="22" customFormat="1">
      <c r="A11144" s="1599" t="s">
        <v>3761</v>
      </c>
      <c r="B11144" s="4326"/>
      <c r="C11144" s="3351"/>
      <c r="D11144" s="4328"/>
      <c r="E11144" s="4330"/>
      <c r="F11144" s="4336"/>
      <c r="G11144" s="4332"/>
      <c r="H11144" s="4332"/>
      <c r="I11144" s="1345">
        <v>4</v>
      </c>
      <c r="J11144" s="1307">
        <v>1</v>
      </c>
      <c r="K11144" s="1666">
        <f>I11144*J11144</f>
        <v>4</v>
      </c>
      <c r="L11144" s="4334"/>
      <c r="M11144" s="4335"/>
      <c r="N11144" s="4324"/>
      <c r="O11144" s="1298">
        <f>SUM(O11146:O11155)</f>
        <v>20.5352</v>
      </c>
      <c r="P11144" s="1337">
        <f>O11144*K11144</f>
        <v>82.140799999999999</v>
      </c>
      <c r="Q11144" s="3390"/>
      <c r="R11144" s="1721">
        <f>SUM(P11146:P11155)</f>
        <v>82.140799999999999</v>
      </c>
    </row>
    <row r="11145" spans="1:18" s="22" customFormat="1">
      <c r="A11145" s="1599"/>
      <c r="B11145" s="1327"/>
      <c r="C11145" s="1511"/>
      <c r="D11145" s="1367"/>
      <c r="E11145" s="2121"/>
      <c r="F11145" s="1389" t="s">
        <v>1</v>
      </c>
      <c r="G11145" s="1389"/>
      <c r="H11145" s="1369"/>
      <c r="I11145" s="2088"/>
      <c r="J11145" s="1369"/>
      <c r="K11145" s="1391"/>
      <c r="L11145" s="2089"/>
      <c r="M11145" s="1369"/>
      <c r="N11145" s="1369"/>
      <c r="O11145" s="1369"/>
      <c r="P11145" s="1392"/>
      <c r="Q11145" s="3395"/>
      <c r="R11145" s="2339"/>
    </row>
    <row r="11146" spans="1:18" s="22" customFormat="1">
      <c r="A11146" s="1599"/>
      <c r="B11146" s="1320"/>
      <c r="C11146" s="595"/>
      <c r="D11146" s="1598" t="s">
        <v>1252</v>
      </c>
      <c r="E11146" s="2154" t="s">
        <v>1527</v>
      </c>
      <c r="F11146" s="1598" t="s">
        <v>2168</v>
      </c>
      <c r="G11146" s="1612">
        <v>4.04</v>
      </c>
      <c r="H11146" s="1369"/>
      <c r="I11146" s="1289"/>
      <c r="J11146" s="8"/>
      <c r="K11146" s="1307">
        <f>G11146*K11144</f>
        <v>16.16</v>
      </c>
      <c r="L11146" s="1335">
        <f t="shared" ref="L11146:L11151" si="1446">K11146*$K$10671</f>
        <v>0</v>
      </c>
      <c r="M11146" s="1302">
        <v>0.16</v>
      </c>
      <c r="N11146" s="1700"/>
      <c r="O11146" s="1290">
        <f t="shared" ref="O11146:O11151" si="1447">G11146*M11146</f>
        <v>0.64639999999999997</v>
      </c>
      <c r="P11146" s="1332">
        <f t="shared" ref="P11146:P11151" si="1448">M11146*K11146</f>
        <v>2.5855999999999999</v>
      </c>
      <c r="Q11146" s="3391"/>
      <c r="R11146" s="2339"/>
    </row>
    <row r="11147" spans="1:18" s="22" customFormat="1">
      <c r="A11147" s="1599"/>
      <c r="B11147" s="1320"/>
      <c r="C11147" s="595"/>
      <c r="D11147" s="1598" t="s">
        <v>2245</v>
      </c>
      <c r="E11147" s="2154" t="s">
        <v>1504</v>
      </c>
      <c r="F11147" s="1598" t="s">
        <v>2246</v>
      </c>
      <c r="G11147" s="1612">
        <v>1</v>
      </c>
      <c r="H11147" s="1369"/>
      <c r="I11147" s="1289"/>
      <c r="J11147" s="8"/>
      <c r="K11147" s="1307">
        <f>G11147*K11144</f>
        <v>4</v>
      </c>
      <c r="L11147" s="1335">
        <f t="shared" si="1446"/>
        <v>0</v>
      </c>
      <c r="M11147" s="1302">
        <v>1.45</v>
      </c>
      <c r="N11147" s="1700"/>
      <c r="O11147" s="1290">
        <f t="shared" si="1447"/>
        <v>1.45</v>
      </c>
      <c r="P11147" s="1332">
        <f t="shared" si="1448"/>
        <v>5.8</v>
      </c>
      <c r="Q11147" s="3391"/>
      <c r="R11147" s="2339"/>
    </row>
    <row r="11148" spans="1:18" s="22" customFormat="1">
      <c r="A11148" s="1599"/>
      <c r="B11148" s="1320"/>
      <c r="C11148" s="595"/>
      <c r="D11148" s="1598" t="s">
        <v>1256</v>
      </c>
      <c r="E11148" s="2154" t="s">
        <v>1504</v>
      </c>
      <c r="F11148" s="1598" t="s">
        <v>2247</v>
      </c>
      <c r="G11148" s="1612">
        <v>1</v>
      </c>
      <c r="H11148" s="1369"/>
      <c r="I11148" s="1289"/>
      <c r="J11148" s="8"/>
      <c r="K11148" s="1307">
        <f>G11148*K11144</f>
        <v>4</v>
      </c>
      <c r="L11148" s="1335">
        <f t="shared" si="1446"/>
        <v>0</v>
      </c>
      <c r="M11148" s="1302">
        <v>0.32</v>
      </c>
      <c r="N11148" s="1700"/>
      <c r="O11148" s="1290">
        <f t="shared" si="1447"/>
        <v>0.32</v>
      </c>
      <c r="P11148" s="1332">
        <f t="shared" si="1448"/>
        <v>1.28</v>
      </c>
      <c r="Q11148" s="3391"/>
      <c r="R11148" s="2339"/>
    </row>
    <row r="11149" spans="1:18" s="22" customFormat="1">
      <c r="A11149" s="1599"/>
      <c r="B11149" s="1320"/>
      <c r="C11149" s="595"/>
      <c r="D11149" s="1598" t="s">
        <v>1245</v>
      </c>
      <c r="E11149" s="2154" t="s">
        <v>1527</v>
      </c>
      <c r="F11149" s="1598" t="s">
        <v>2169</v>
      </c>
      <c r="G11149" s="1612">
        <v>8</v>
      </c>
      <c r="H11149" s="1369"/>
      <c r="I11149" s="1289"/>
      <c r="J11149" s="8"/>
      <c r="K11149" s="1307">
        <f>G11149*K11144</f>
        <v>32</v>
      </c>
      <c r="L11149" s="1335">
        <f t="shared" si="1446"/>
        <v>0</v>
      </c>
      <c r="M11149" s="1302">
        <v>0.42</v>
      </c>
      <c r="N11149" s="1700"/>
      <c r="O11149" s="1290">
        <f t="shared" si="1447"/>
        <v>3.36</v>
      </c>
      <c r="P11149" s="1332">
        <f t="shared" si="1448"/>
        <v>13.44</v>
      </c>
      <c r="Q11149" s="3391"/>
      <c r="R11149" s="2339"/>
    </row>
    <row r="11150" spans="1:18" s="22" customFormat="1">
      <c r="A11150" s="553"/>
      <c r="B11150" s="1320"/>
      <c r="C11150" s="88"/>
      <c r="D11150" s="1598" t="s">
        <v>1082</v>
      </c>
      <c r="E11150" s="2154" t="s">
        <v>1504</v>
      </c>
      <c r="F11150" s="1598" t="s">
        <v>1541</v>
      </c>
      <c r="G11150" s="1612">
        <v>0.5</v>
      </c>
      <c r="H11150" s="1674"/>
      <c r="I11150" s="1289"/>
      <c r="J11150" s="8"/>
      <c r="K11150" s="1307">
        <f>G11150*K11144</f>
        <v>2</v>
      </c>
      <c r="L11150" s="1335">
        <f t="shared" si="1446"/>
        <v>0</v>
      </c>
      <c r="M11150" s="1302">
        <v>0.3</v>
      </c>
      <c r="N11150" s="1700"/>
      <c r="O11150" s="1290">
        <f t="shared" si="1447"/>
        <v>0.15</v>
      </c>
      <c r="P11150" s="1332">
        <f t="shared" si="1448"/>
        <v>0.6</v>
      </c>
      <c r="Q11150" s="3391"/>
      <c r="R11150" s="2339"/>
    </row>
    <row r="11151" spans="1:18" s="22" customFormat="1">
      <c r="A11151" s="553"/>
      <c r="B11151" s="1320"/>
      <c r="C11151" s="88"/>
      <c r="D11151" s="1598" t="s">
        <v>1097</v>
      </c>
      <c r="E11151" s="2154" t="s">
        <v>1504</v>
      </c>
      <c r="F11151" s="1598" t="s">
        <v>1632</v>
      </c>
      <c r="G11151" s="1612">
        <v>0.3</v>
      </c>
      <c r="H11151" s="1674"/>
      <c r="I11151" s="1289"/>
      <c r="J11151" s="8"/>
      <c r="K11151" s="1307">
        <f>G11151*K11144</f>
        <v>1.2</v>
      </c>
      <c r="L11151" s="1335">
        <f t="shared" si="1446"/>
        <v>0</v>
      </c>
      <c r="M11151" s="1302">
        <v>0.55000000000000004</v>
      </c>
      <c r="N11151" s="1700"/>
      <c r="O11151" s="1290">
        <f t="shared" si="1447"/>
        <v>0.16500000000000001</v>
      </c>
      <c r="P11151" s="1332">
        <f t="shared" si="1448"/>
        <v>0.66</v>
      </c>
      <c r="Q11151" s="3391"/>
      <c r="R11151" s="2339"/>
    </row>
    <row r="11152" spans="1:18" s="22" customFormat="1">
      <c r="A11152" s="553"/>
      <c r="B11152" s="1320"/>
      <c r="C11152" s="88"/>
      <c r="D11152" s="1367"/>
      <c r="E11152" s="2121"/>
      <c r="F11152" s="1436"/>
      <c r="G11152" s="1436"/>
      <c r="H11152" s="1369"/>
      <c r="I11152" s="1289"/>
      <c r="J11152" s="8"/>
      <c r="K11152" s="1307"/>
      <c r="L11152" s="1335"/>
      <c r="M11152" s="1302"/>
      <c r="N11152" s="1700"/>
      <c r="O11152" s="1290"/>
      <c r="P11152" s="1332"/>
      <c r="Q11152" s="3391"/>
      <c r="R11152" s="2339"/>
    </row>
    <row r="11153" spans="1:18" s="22" customFormat="1">
      <c r="A11153" s="553"/>
      <c r="B11153" s="1320"/>
      <c r="C11153" s="88"/>
      <c r="D11153" s="1359"/>
      <c r="E11153" s="1858"/>
      <c r="F11153" s="1360" t="s">
        <v>2</v>
      </c>
      <c r="G11153" s="1360"/>
      <c r="H11153" s="1362"/>
      <c r="I11153" s="1380"/>
      <c r="J11153" s="1381"/>
      <c r="K11153" s="1381"/>
      <c r="L11153" s="1458"/>
      <c r="M11153" s="1362"/>
      <c r="N11153" s="1362"/>
      <c r="O11153" s="1362"/>
      <c r="P11153" s="1359"/>
      <c r="Q11153" s="3387"/>
      <c r="R11153" s="2339"/>
    </row>
    <row r="11154" spans="1:18" s="22" customFormat="1">
      <c r="A11154" s="1599"/>
      <c r="B11154" s="1320"/>
      <c r="C11154" s="16"/>
      <c r="D11154" s="1359" t="s">
        <v>1593</v>
      </c>
      <c r="E11154" s="1858" t="s">
        <v>1508</v>
      </c>
      <c r="F11154" s="1404" t="s">
        <v>2146</v>
      </c>
      <c r="G11154" s="1404">
        <v>0.4</v>
      </c>
      <c r="H11154" s="1359"/>
      <c r="I11154" s="1289"/>
      <c r="J11154" s="8"/>
      <c r="K11154" s="1307">
        <f>G11154*K11144</f>
        <v>1.6</v>
      </c>
      <c r="L11154" s="1335">
        <f>K11154*$K$10671</f>
        <v>0</v>
      </c>
      <c r="M11154" s="1302">
        <v>19.23</v>
      </c>
      <c r="N11154" s="1700"/>
      <c r="O11154" s="1290">
        <f>G11154*M11154</f>
        <v>7.6920000000000002</v>
      </c>
      <c r="P11154" s="1332">
        <f>M11154*K11154</f>
        <v>30.768000000000001</v>
      </c>
      <c r="Q11154" s="3391"/>
      <c r="R11154" s="2339"/>
    </row>
    <row r="11155" spans="1:18" s="22" customFormat="1">
      <c r="A11155"/>
      <c r="B11155" s="1042"/>
      <c r="C11155" s="2086" t="s">
        <v>1755</v>
      </c>
      <c r="D11155" s="1311"/>
      <c r="E11155" s="2176" t="s">
        <v>1508</v>
      </c>
      <c r="F11155" s="1648" t="s">
        <v>1524</v>
      </c>
      <c r="G11155" s="1990"/>
      <c r="H11155" s="1456">
        <v>0.18</v>
      </c>
      <c r="I11155" s="1444"/>
      <c r="J11155" s="1388"/>
      <c r="K11155" s="1445"/>
      <c r="L11155" s="1457"/>
      <c r="M11155" s="1447"/>
      <c r="N11155" s="1447">
        <f>SUM(N11156:N11157)</f>
        <v>37.510000000000005</v>
      </c>
      <c r="O11155" s="1447">
        <f>SUM(O11156:O11157)</f>
        <v>6.7517999999999994</v>
      </c>
      <c r="P11155" s="1447">
        <f>SUM(P11156:P11157)</f>
        <v>27.007199999999997</v>
      </c>
      <c r="Q11155" s="3391"/>
      <c r="R11155" s="2337"/>
    </row>
    <row r="11156" spans="1:18" s="22" customFormat="1">
      <c r="A11156"/>
      <c r="B11156" s="1042"/>
      <c r="C11156" s="19"/>
      <c r="D11156" s="1430" t="s">
        <v>1067</v>
      </c>
      <c r="E11156" s="1857" t="s">
        <v>1508</v>
      </c>
      <c r="F11156" s="1403" t="s">
        <v>5</v>
      </c>
      <c r="G11156" s="1991">
        <v>1</v>
      </c>
      <c r="H11156" s="1408">
        <f>G11156*H11155</f>
        <v>0.18</v>
      </c>
      <c r="I11156" s="1286"/>
      <c r="J11156" s="198"/>
      <c r="K11156" s="1307">
        <f>H11156*K11144</f>
        <v>0.72</v>
      </c>
      <c r="L11156" s="1335">
        <f>K11156*$K$10671</f>
        <v>0</v>
      </c>
      <c r="M11156" s="1302">
        <v>18.28</v>
      </c>
      <c r="N11156" s="1718">
        <f>G11156*M11156</f>
        <v>18.28</v>
      </c>
      <c r="O11156" s="1290">
        <f>H11156*M11156</f>
        <v>3.2904</v>
      </c>
      <c r="P11156" s="1720">
        <f>M11156*K11156</f>
        <v>13.1616</v>
      </c>
      <c r="Q11156" s="3396"/>
      <c r="R11156" s="2337"/>
    </row>
    <row r="11157" spans="1:18" s="22" customFormat="1">
      <c r="A11157"/>
      <c r="B11157" s="1042"/>
      <c r="C11157" s="19"/>
      <c r="D11157" s="1430" t="s">
        <v>1077</v>
      </c>
      <c r="E11157" s="1857" t="s">
        <v>1508</v>
      </c>
      <c r="F11157" s="1403" t="s">
        <v>37</v>
      </c>
      <c r="G11157" s="1991">
        <v>1</v>
      </c>
      <c r="H11157" s="1408">
        <f>G11157*H11155</f>
        <v>0.18</v>
      </c>
      <c r="I11157" s="197"/>
      <c r="J11157" s="198"/>
      <c r="K11157" s="1307">
        <f>H11157*K11144</f>
        <v>0.72</v>
      </c>
      <c r="L11157" s="1335">
        <f>K11157*$K$10671</f>
        <v>0</v>
      </c>
      <c r="M11157" s="1302">
        <v>19.23</v>
      </c>
      <c r="N11157" s="1718">
        <f>G11157*M11157</f>
        <v>19.23</v>
      </c>
      <c r="O11157" s="1290">
        <f>H11157*M11157</f>
        <v>3.4613999999999998</v>
      </c>
      <c r="P11157" s="1720">
        <f>M11157*K11157</f>
        <v>13.845599999999999</v>
      </c>
      <c r="Q11157" s="3396"/>
      <c r="R11157" s="2337"/>
    </row>
    <row r="11158" spans="1:18" s="22" customFormat="1">
      <c r="A11158"/>
      <c r="B11158" s="1320"/>
      <c r="C11158" s="16"/>
      <c r="D11158" s="1359"/>
      <c r="E11158" s="1858"/>
      <c r="F11158" s="1361"/>
      <c r="G11158" s="1361"/>
      <c r="H11158" s="1466"/>
      <c r="I11158" s="1289"/>
      <c r="J11158" s="8"/>
      <c r="K11158" s="1307"/>
      <c r="L11158" s="1335"/>
      <c r="M11158" s="1302"/>
      <c r="N11158" s="1700"/>
      <c r="O11158" s="1290"/>
      <c r="P11158" s="1332"/>
      <c r="Q11158" s="3391"/>
      <c r="R11158" s="1296"/>
    </row>
    <row r="11159" spans="1:18" s="22" customFormat="1">
      <c r="A11159" s="1599"/>
      <c r="B11159" s="1320"/>
      <c r="C11159" s="595"/>
      <c r="D11159" s="1359"/>
      <c r="E11159" s="1858"/>
      <c r="F11159" s="1361"/>
      <c r="G11159" s="1361"/>
      <c r="H11159" s="1466"/>
      <c r="I11159" s="1299"/>
      <c r="J11159" s="1300"/>
      <c r="K11159" s="1307"/>
      <c r="L11159" s="1335"/>
      <c r="M11159" s="1302"/>
      <c r="N11159" s="1700"/>
      <c r="O11159" s="1290"/>
      <c r="P11159" s="1332"/>
      <c r="Q11159" s="3391"/>
      <c r="R11159" s="2339"/>
    </row>
    <row r="11160" spans="1:18" s="22" customFormat="1">
      <c r="A11160" s="1599"/>
      <c r="B11160" s="1320"/>
      <c r="C11160" s="595"/>
      <c r="D11160" s="1373"/>
      <c r="E11160" s="2123"/>
      <c r="F11160" s="1374" t="s">
        <v>3</v>
      </c>
      <c r="G11160" s="1375"/>
      <c r="H11160" s="1376"/>
      <c r="I11160" s="1382"/>
      <c r="J11160" s="1383"/>
      <c r="K11160" s="1383"/>
      <c r="L11160" s="1413"/>
      <c r="M11160" s="1376"/>
      <c r="N11160" s="1376"/>
      <c r="O11160" s="1376"/>
      <c r="P11160" s="1373"/>
      <c r="Q11160" s="3387"/>
      <c r="R11160" s="2339"/>
    </row>
    <row r="11161" spans="1:18" s="22" customFormat="1">
      <c r="A11161" s="2053"/>
      <c r="B11161" s="1321"/>
      <c r="C11161" s="2021"/>
      <c r="D11161" s="1377"/>
      <c r="E11161" s="2124"/>
      <c r="F11161" s="1378"/>
      <c r="G11161" s="1378"/>
      <c r="H11161" s="1379"/>
      <c r="I11161" s="1299"/>
      <c r="J11161" s="1300"/>
      <c r="K11161" s="1307"/>
      <c r="L11161" s="1335"/>
      <c r="M11161" s="1302"/>
      <c r="N11161" s="1700"/>
      <c r="O11161" s="1290"/>
      <c r="P11161" s="1332"/>
      <c r="Q11161" s="3391"/>
      <c r="R11161" s="2339"/>
    </row>
    <row r="11162" spans="1:18" s="22" customFormat="1">
      <c r="A11162" s="2053"/>
      <c r="B11162" s="1321"/>
      <c r="C11162" s="2021"/>
      <c r="D11162" s="1377"/>
      <c r="E11162" s="2124"/>
      <c r="F11162" s="1378"/>
      <c r="G11162" s="1378"/>
      <c r="H11162" s="1379"/>
      <c r="I11162" s="1299"/>
      <c r="J11162" s="1300"/>
      <c r="K11162" s="1307"/>
      <c r="L11162" s="1335"/>
      <c r="M11162" s="1302"/>
      <c r="N11162" s="1700"/>
      <c r="O11162" s="1290"/>
      <c r="P11162" s="1332"/>
      <c r="Q11162" s="3391"/>
      <c r="R11162" s="2339"/>
    </row>
    <row r="11163" spans="1:18" s="22" customFormat="1">
      <c r="A11163" s="2053"/>
      <c r="B11163" s="1321"/>
      <c r="C11163" s="2021"/>
      <c r="D11163" s="1377"/>
      <c r="E11163" s="2124"/>
      <c r="F11163" s="1378"/>
      <c r="G11163" s="1378"/>
      <c r="H11163" s="1379"/>
      <c r="I11163" s="1299"/>
      <c r="J11163" s="1300"/>
      <c r="K11163" s="1307"/>
      <c r="L11163" s="1335"/>
      <c r="M11163" s="1302"/>
      <c r="N11163" s="1700"/>
      <c r="O11163" s="1290"/>
      <c r="P11163" s="1333"/>
      <c r="Q11163" s="3391"/>
      <c r="R11163" s="2339"/>
    </row>
    <row r="11164" spans="1:18" s="22" customFormat="1">
      <c r="A11164" s="18" t="s">
        <v>3764</v>
      </c>
      <c r="B11164" s="4325" t="s">
        <v>2263</v>
      </c>
      <c r="C11164" s="3350"/>
      <c r="D11164" s="4327"/>
      <c r="E11164" s="4329" t="s">
        <v>1504</v>
      </c>
      <c r="F11164" s="4336" t="s">
        <v>2264</v>
      </c>
      <c r="G11164" s="4331" t="s">
        <v>1568</v>
      </c>
      <c r="H11164" s="4331" t="s">
        <v>1574</v>
      </c>
      <c r="I11164" s="1572" t="s">
        <v>1559</v>
      </c>
      <c r="J11164" s="1294" t="s">
        <v>1560</v>
      </c>
      <c r="K11164" s="1294" t="s">
        <v>1569</v>
      </c>
      <c r="L11164" s="4333" t="s">
        <v>3765</v>
      </c>
      <c r="M11164" s="4335" t="s">
        <v>1571</v>
      </c>
      <c r="N11164" s="4323" t="s">
        <v>1776</v>
      </c>
      <c r="O11164" s="3347" t="s">
        <v>1563</v>
      </c>
      <c r="P11164" s="1336" t="s">
        <v>1562</v>
      </c>
      <c r="Q11164" s="3389"/>
      <c r="R11164" s="1699" t="s">
        <v>1327</v>
      </c>
    </row>
    <row r="11165" spans="1:18" s="22" customFormat="1">
      <c r="A11165" s="1599" t="s">
        <v>3761</v>
      </c>
      <c r="B11165" s="4326"/>
      <c r="C11165" s="3351"/>
      <c r="D11165" s="4328"/>
      <c r="E11165" s="4330"/>
      <c r="F11165" s="4336"/>
      <c r="G11165" s="4332"/>
      <c r="H11165" s="4332"/>
      <c r="I11165" s="1345">
        <v>5</v>
      </c>
      <c r="J11165" s="1307">
        <v>1</v>
      </c>
      <c r="K11165" s="1666">
        <f>I11165*J11165</f>
        <v>5</v>
      </c>
      <c r="L11165" s="4334"/>
      <c r="M11165" s="4335"/>
      <c r="N11165" s="4324"/>
      <c r="O11165" s="1298">
        <f>SUM(O11167:O11175)</f>
        <v>33.438099999999999</v>
      </c>
      <c r="P11165" s="1337">
        <f>O11165*K11165</f>
        <v>167.19049999999999</v>
      </c>
      <c r="Q11165" s="3390"/>
      <c r="R11165" s="1721">
        <f>SUM(P11167:P11175)</f>
        <v>167.19050000000001</v>
      </c>
    </row>
    <row r="11166" spans="1:18" s="22" customFormat="1">
      <c r="A11166" s="1320"/>
      <c r="B11166" s="1949"/>
      <c r="C11166" s="1327"/>
      <c r="D11166" s="1367"/>
      <c r="E11166" s="2121"/>
      <c r="F11166" s="1389" t="s">
        <v>1</v>
      </c>
      <c r="G11166" s="1389"/>
      <c r="H11166" s="1369"/>
      <c r="I11166" s="2088"/>
      <c r="J11166" s="1369"/>
      <c r="K11166" s="1391"/>
      <c r="L11166" s="1559"/>
      <c r="M11166" s="1369"/>
      <c r="N11166" s="1369"/>
      <c r="O11166" s="1369"/>
      <c r="P11166" s="1392"/>
      <c r="Q11166" s="3395"/>
      <c r="R11166" s="2339"/>
    </row>
    <row r="11167" spans="1:18" s="22" customFormat="1">
      <c r="A11167" s="1320"/>
      <c r="B11167" s="1599"/>
      <c r="C11167" s="1320"/>
      <c r="D11167" s="3930" t="s">
        <v>2265</v>
      </c>
      <c r="E11167" s="3929" t="s">
        <v>1504</v>
      </c>
      <c r="F11167" s="3916" t="s">
        <v>2266</v>
      </c>
      <c r="G11167" s="4029">
        <v>1</v>
      </c>
      <c r="H11167" s="3913"/>
      <c r="I11167" s="1289"/>
      <c r="J11167" s="4033"/>
      <c r="K11167" s="1307">
        <f>K11165*G11167</f>
        <v>5</v>
      </c>
      <c r="L11167" s="1335"/>
      <c r="M11167" s="1302">
        <v>2.5299999999999998</v>
      </c>
      <c r="N11167" s="1700"/>
      <c r="O11167" s="1290">
        <f t="shared" ref="O11167:O11172" si="1449">G11167*M11167</f>
        <v>2.5299999999999998</v>
      </c>
      <c r="P11167" s="1332">
        <f t="shared" ref="P11167:P11172" si="1450">M11167*K11167</f>
        <v>12.649999999999999</v>
      </c>
      <c r="Q11167" s="3395"/>
      <c r="R11167" s="2339"/>
    </row>
    <row r="11168" spans="1:18" s="22" customFormat="1">
      <c r="A11168" s="1320"/>
      <c r="B11168" s="1599"/>
      <c r="C11168" s="1320"/>
      <c r="D11168" s="3930" t="s">
        <v>2172</v>
      </c>
      <c r="E11168" s="3929" t="s">
        <v>1527</v>
      </c>
      <c r="F11168" s="3916" t="s">
        <v>2173</v>
      </c>
      <c r="G11168" s="4029">
        <v>15</v>
      </c>
      <c r="H11168" s="3913"/>
      <c r="I11168" s="1289"/>
      <c r="J11168" s="4033"/>
      <c r="K11168" s="1307">
        <f>K11165*G11168</f>
        <v>75</v>
      </c>
      <c r="L11168" s="1335"/>
      <c r="M11168" s="1302">
        <v>0.67</v>
      </c>
      <c r="N11168" s="1700"/>
      <c r="O11168" s="1290">
        <f t="shared" si="1449"/>
        <v>10.050000000000001</v>
      </c>
      <c r="P11168" s="1332">
        <f t="shared" si="1450"/>
        <v>50.25</v>
      </c>
      <c r="Q11168" s="3395"/>
      <c r="R11168" s="2339"/>
    </row>
    <row r="11169" spans="1:18" s="22" customFormat="1">
      <c r="A11169" s="1320"/>
      <c r="B11169" s="1599"/>
      <c r="C11169" s="1320"/>
      <c r="D11169" s="3930" t="s">
        <v>1256</v>
      </c>
      <c r="E11169" s="3929" t="s">
        <v>1504</v>
      </c>
      <c r="F11169" s="3916" t="s">
        <v>2247</v>
      </c>
      <c r="G11169" s="4029">
        <v>1</v>
      </c>
      <c r="H11169" s="3913"/>
      <c r="I11169" s="1289"/>
      <c r="J11169" s="4033"/>
      <c r="K11169" s="1307">
        <f>K11165*G11169</f>
        <v>5</v>
      </c>
      <c r="L11169" s="1335"/>
      <c r="M11169" s="1302">
        <v>0.32</v>
      </c>
      <c r="N11169" s="1700"/>
      <c r="O11169" s="1290">
        <f t="shared" si="1449"/>
        <v>0.32</v>
      </c>
      <c r="P11169" s="1332">
        <f t="shared" si="1450"/>
        <v>1.6</v>
      </c>
      <c r="Q11169" s="3395"/>
      <c r="R11169" s="2339"/>
    </row>
    <row r="11170" spans="1:18" s="22" customFormat="1">
      <c r="A11170" s="1320"/>
      <c r="B11170" s="1599"/>
      <c r="C11170" s="1320"/>
      <c r="D11170" s="4025" t="s">
        <v>1252</v>
      </c>
      <c r="E11170" s="4026" t="s">
        <v>1527</v>
      </c>
      <c r="F11170" s="4025" t="s">
        <v>2168</v>
      </c>
      <c r="G11170" s="4030">
        <v>5.05</v>
      </c>
      <c r="H11170" s="1369"/>
      <c r="I11170" s="1299"/>
      <c r="J11170" s="1300"/>
      <c r="K11170" s="1307">
        <f>K11165*G11170</f>
        <v>25.25</v>
      </c>
      <c r="L11170" s="1335">
        <f>K11170*$K$10671</f>
        <v>0</v>
      </c>
      <c r="M11170" s="1302">
        <v>0.16</v>
      </c>
      <c r="N11170" s="1700"/>
      <c r="O11170" s="1290">
        <f t="shared" si="1449"/>
        <v>0.80799999999999994</v>
      </c>
      <c r="P11170" s="1332">
        <f t="shared" si="1450"/>
        <v>4.04</v>
      </c>
      <c r="Q11170" s="3391"/>
      <c r="R11170" s="2339"/>
    </row>
    <row r="11171" spans="1:18" s="22" customFormat="1">
      <c r="A11171" s="1042"/>
      <c r="B11171" s="1599"/>
      <c r="C11171" s="1042"/>
      <c r="D11171" s="4023" t="s">
        <v>1097</v>
      </c>
      <c r="E11171" s="4027" t="s">
        <v>1504</v>
      </c>
      <c r="F11171" s="4023" t="s">
        <v>1632</v>
      </c>
      <c r="G11171" s="4031">
        <v>0.3</v>
      </c>
      <c r="H11171" s="1674"/>
      <c r="I11171" s="1299"/>
      <c r="J11171" s="1300"/>
      <c r="K11171" s="1307">
        <f>K11165*G11171</f>
        <v>1.5</v>
      </c>
      <c r="L11171" s="1335"/>
      <c r="M11171" s="1302">
        <v>0.55000000000000004</v>
      </c>
      <c r="N11171" s="1700"/>
      <c r="O11171" s="1290">
        <f t="shared" si="1449"/>
        <v>0.16500000000000001</v>
      </c>
      <c r="P11171" s="1332">
        <f t="shared" si="1450"/>
        <v>0.82500000000000007</v>
      </c>
      <c r="Q11171" s="3391"/>
      <c r="R11171" s="2339"/>
    </row>
    <row r="11172" spans="1:18" s="22" customFormat="1">
      <c r="A11172" s="1042"/>
      <c r="B11172" s="1599"/>
      <c r="C11172" s="1042"/>
      <c r="D11172" s="3930" t="s">
        <v>1082</v>
      </c>
      <c r="E11172" s="3929" t="s">
        <v>1504</v>
      </c>
      <c r="F11172" s="4028" t="s">
        <v>1541</v>
      </c>
      <c r="G11172" s="4032">
        <v>0.5</v>
      </c>
      <c r="H11172" s="1369"/>
      <c r="I11172" s="1299">
        <f t="shared" ref="I11172" ca="1" si="1451">IF(COUNT(H11172:O11172)=0,"",(SUM(H11172:O11172)/COUNT(H11172:O11172)))</f>
        <v>0.98333333333333328</v>
      </c>
      <c r="J11172" s="1300"/>
      <c r="K11172" s="1307">
        <f>K11165*G11172</f>
        <v>2.5</v>
      </c>
      <c r="L11172" s="1335"/>
      <c r="M11172" s="1302">
        <v>0.3</v>
      </c>
      <c r="N11172" s="1700"/>
      <c r="O11172" s="1290">
        <f t="shared" si="1449"/>
        <v>0.15</v>
      </c>
      <c r="P11172" s="1332">
        <f t="shared" si="1450"/>
        <v>0.75</v>
      </c>
      <c r="Q11172" s="3391"/>
      <c r="R11172" s="2339"/>
    </row>
    <row r="11173" spans="1:18" s="22" customFormat="1">
      <c r="A11173" s="1042"/>
      <c r="B11173" s="1599"/>
      <c r="C11173" s="1042"/>
      <c r="D11173" s="1359"/>
      <c r="E11173" s="1858"/>
      <c r="F11173" s="1360" t="s">
        <v>2</v>
      </c>
      <c r="G11173" s="1360"/>
      <c r="H11173" s="1362"/>
      <c r="I11173" s="1380"/>
      <c r="J11173" s="1381"/>
      <c r="K11173" s="1381"/>
      <c r="L11173" s="1458"/>
      <c r="M11173" s="1362"/>
      <c r="N11173" s="1362"/>
      <c r="O11173" s="1362"/>
      <c r="P11173" s="1359"/>
      <c r="Q11173" s="3387"/>
      <c r="R11173" s="2339"/>
    </row>
    <row r="11174" spans="1:18" s="22" customFormat="1">
      <c r="A11174" s="1321"/>
      <c r="B11174" s="2053"/>
      <c r="C11174" s="1321"/>
      <c r="D11174" s="1624" t="s">
        <v>1593</v>
      </c>
      <c r="E11174" s="2158" t="s">
        <v>1508</v>
      </c>
      <c r="F11174" s="1624" t="s">
        <v>2280</v>
      </c>
      <c r="G11174" s="1625">
        <v>0.6</v>
      </c>
      <c r="H11174" s="1386"/>
      <c r="I11174" s="1299"/>
      <c r="J11174" s="1300"/>
      <c r="K11174" s="1307">
        <f>G11174*K11165</f>
        <v>3</v>
      </c>
      <c r="L11174" s="1335">
        <f>K11174*$K$10671</f>
        <v>0</v>
      </c>
      <c r="M11174" s="1302">
        <v>19.23</v>
      </c>
      <c r="N11174" s="1700"/>
      <c r="O11174" s="1290">
        <f>G11174*M11174</f>
        <v>11.538</v>
      </c>
      <c r="P11174" s="1332">
        <f>M11174*K11174</f>
        <v>57.69</v>
      </c>
      <c r="Q11174" s="3391"/>
      <c r="R11174" s="2339"/>
    </row>
    <row r="11175" spans="1:18" s="22" customFormat="1">
      <c r="A11175"/>
      <c r="B11175" s="1042"/>
      <c r="C11175" s="2086" t="s">
        <v>1755</v>
      </c>
      <c r="D11175" s="1311"/>
      <c r="E11175" s="2176" t="s">
        <v>1508</v>
      </c>
      <c r="F11175" s="1648" t="s">
        <v>1524</v>
      </c>
      <c r="G11175" s="1990"/>
      <c r="H11175" s="4034">
        <v>0.21</v>
      </c>
      <c r="I11175" s="1444"/>
      <c r="J11175" s="1388"/>
      <c r="K11175" s="1445"/>
      <c r="L11175" s="1457"/>
      <c r="M11175" s="1447"/>
      <c r="N11175" s="1447">
        <f>SUM(N11176:N11177)</f>
        <v>37.510000000000005</v>
      </c>
      <c r="O11175" s="1447">
        <f>SUM(O11176:O11177)</f>
        <v>7.8770999999999995</v>
      </c>
      <c r="P11175" s="1447">
        <f>SUM(P11176:P11177)</f>
        <v>39.385500000000008</v>
      </c>
      <c r="Q11175" s="3391"/>
      <c r="R11175" s="2337"/>
    </row>
    <row r="11176" spans="1:18" s="22" customFormat="1">
      <c r="A11176"/>
      <c r="B11176" s="1042"/>
      <c r="C11176" s="19"/>
      <c r="D11176" s="1430" t="s">
        <v>1067</v>
      </c>
      <c r="E11176" s="1857" t="s">
        <v>1508</v>
      </c>
      <c r="F11176" s="1403" t="s">
        <v>5</v>
      </c>
      <c r="G11176" s="1991">
        <v>1</v>
      </c>
      <c r="H11176" s="1408">
        <f>G11176*H11175</f>
        <v>0.21</v>
      </c>
      <c r="I11176" s="1286"/>
      <c r="J11176" s="198"/>
      <c r="K11176" s="1307">
        <f>H11176*K11165</f>
        <v>1.05</v>
      </c>
      <c r="L11176" s="1335">
        <f>K11176*$K$10671</f>
        <v>0</v>
      </c>
      <c r="M11176" s="1302">
        <v>18.28</v>
      </c>
      <c r="N11176" s="1718">
        <f>G11176*M11176</f>
        <v>18.28</v>
      </c>
      <c r="O11176" s="1290">
        <f>H11176*M11176</f>
        <v>3.8388</v>
      </c>
      <c r="P11176" s="1720">
        <f>M11176*K11176</f>
        <v>19.194000000000003</v>
      </c>
      <c r="Q11176" s="3396"/>
      <c r="R11176" s="2337"/>
    </row>
    <row r="11177" spans="1:18" s="22" customFormat="1">
      <c r="A11177"/>
      <c r="B11177" s="1042"/>
      <c r="C11177" s="19"/>
      <c r="D11177" s="1430" t="s">
        <v>1077</v>
      </c>
      <c r="E11177" s="1857" t="s">
        <v>1508</v>
      </c>
      <c r="F11177" s="1403" t="s">
        <v>37</v>
      </c>
      <c r="G11177" s="1991">
        <v>1</v>
      </c>
      <c r="H11177" s="1408">
        <f>G11177*H11175</f>
        <v>0.21</v>
      </c>
      <c r="I11177" s="197"/>
      <c r="J11177" s="198"/>
      <c r="K11177" s="1307">
        <f>H11177*K11165</f>
        <v>1.05</v>
      </c>
      <c r="L11177" s="1335">
        <f>K11177*$K$10671</f>
        <v>0</v>
      </c>
      <c r="M11177" s="1302">
        <v>19.23</v>
      </c>
      <c r="N11177" s="1718">
        <f>G11177*M11177</f>
        <v>19.23</v>
      </c>
      <c r="O11177" s="1290">
        <f>H11177*M11177</f>
        <v>4.0382999999999996</v>
      </c>
      <c r="P11177" s="1720">
        <f>M11177*K11177</f>
        <v>20.191500000000001</v>
      </c>
      <c r="Q11177" s="3396"/>
      <c r="R11177" s="2337"/>
    </row>
    <row r="11178" spans="1:18" s="22" customFormat="1">
      <c r="A11178" s="1320"/>
      <c r="B11178" s="1599"/>
      <c r="C11178" s="1320"/>
      <c r="D11178" s="1373"/>
      <c r="E11178" s="2123"/>
      <c r="F11178" s="1374" t="s">
        <v>3</v>
      </c>
      <c r="G11178" s="1375"/>
      <c r="H11178" s="1376"/>
      <c r="I11178" s="1382"/>
      <c r="J11178" s="1383"/>
      <c r="K11178" s="1383"/>
      <c r="L11178" s="1413"/>
      <c r="M11178" s="1376"/>
      <c r="N11178" s="1376"/>
      <c r="O11178" s="1376"/>
      <c r="P11178" s="1373"/>
      <c r="Q11178" s="3387"/>
      <c r="R11178" s="2339"/>
    </row>
    <row r="11179" spans="1:18" s="22" customFormat="1">
      <c r="A11179" s="1321"/>
      <c r="B11179" s="2053"/>
      <c r="C11179" s="1321"/>
      <c r="D11179" s="1827"/>
      <c r="E11179" s="2173"/>
      <c r="F11179" s="1827"/>
      <c r="G11179" s="1828"/>
      <c r="H11179" s="1379"/>
      <c r="I11179" s="1299"/>
      <c r="J11179" s="1300"/>
      <c r="K11179" s="1307"/>
      <c r="L11179" s="1335"/>
      <c r="M11179" s="1302"/>
      <c r="N11179" s="1700"/>
      <c r="O11179" s="1290"/>
      <c r="P11179" s="1332"/>
      <c r="Q11179" s="3391"/>
      <c r="R11179" s="2339"/>
    </row>
    <row r="11180" spans="1:18" s="22" customFormat="1">
      <c r="A11180" s="1321"/>
      <c r="B11180" s="2053"/>
      <c r="C11180" s="1321"/>
      <c r="D11180" s="1377"/>
      <c r="E11180" s="2124"/>
      <c r="F11180" s="1378"/>
      <c r="G11180" s="1378"/>
      <c r="H11180" s="1379"/>
      <c r="I11180" s="1299"/>
      <c r="J11180" s="1300"/>
      <c r="K11180" s="1307"/>
      <c r="L11180" s="1335"/>
      <c r="M11180" s="1302"/>
      <c r="N11180" s="1700"/>
      <c r="O11180" s="1290"/>
      <c r="P11180" s="1333"/>
      <c r="Q11180" s="3391"/>
      <c r="R11180" s="2339"/>
    </row>
    <row r="11181" spans="1:18" s="22" customFormat="1">
      <c r="A11181" s="1042"/>
      <c r="B11181" s="1765"/>
      <c r="C11181" s="223"/>
      <c r="D11181" s="1373"/>
      <c r="E11181" s="2161"/>
      <c r="F11181" s="1678"/>
      <c r="G11181" s="1678"/>
      <c r="H11181" s="1376"/>
      <c r="I11181" s="1299"/>
      <c r="J11181" s="1300"/>
      <c r="K11181" s="1307"/>
      <c r="L11181" s="1335"/>
      <c r="M11181" s="1302"/>
      <c r="N11181" s="1700"/>
      <c r="O11181" s="1290"/>
      <c r="P11181" s="1332"/>
      <c r="Q11181" s="3391"/>
      <c r="R11181" s="2339"/>
    </row>
    <row r="11182" spans="1:18" s="22" customFormat="1">
      <c r="A11182" s="551" t="s">
        <v>3764</v>
      </c>
      <c r="B11182" s="4325" t="s">
        <v>2198</v>
      </c>
      <c r="C11182" s="3350"/>
      <c r="D11182" s="4327"/>
      <c r="E11182" s="4329" t="s">
        <v>1504</v>
      </c>
      <c r="F11182" s="4372" t="s">
        <v>2199</v>
      </c>
      <c r="G11182" s="4331" t="s">
        <v>1568</v>
      </c>
      <c r="H11182" s="4331" t="s">
        <v>1574</v>
      </c>
      <c r="I11182" s="1572" t="s">
        <v>1559</v>
      </c>
      <c r="J11182" s="1294" t="s">
        <v>1560</v>
      </c>
      <c r="K11182" s="1294" t="s">
        <v>1569</v>
      </c>
      <c r="L11182" s="4333" t="s">
        <v>3765</v>
      </c>
      <c r="M11182" s="4323" t="s">
        <v>1571</v>
      </c>
      <c r="N11182" s="4323" t="s">
        <v>1776</v>
      </c>
      <c r="O11182" s="3347" t="s">
        <v>1563</v>
      </c>
      <c r="P11182" s="1336" t="s">
        <v>1562</v>
      </c>
      <c r="Q11182" s="3389"/>
      <c r="R11182" s="1699" t="s">
        <v>1327</v>
      </c>
    </row>
    <row r="11183" spans="1:18" s="22" customFormat="1">
      <c r="A11183" s="1599" t="s">
        <v>3761</v>
      </c>
      <c r="B11183" s="4326"/>
      <c r="C11183" s="3351"/>
      <c r="D11183" s="4328"/>
      <c r="E11183" s="4330"/>
      <c r="F11183" s="4363"/>
      <c r="G11183" s="4332"/>
      <c r="H11183" s="4332"/>
      <c r="I11183" s="1345">
        <v>1</v>
      </c>
      <c r="J11183" s="1307">
        <v>1</v>
      </c>
      <c r="K11183" s="1666">
        <f>I11183*J11183</f>
        <v>1</v>
      </c>
      <c r="L11183" s="4334"/>
      <c r="M11183" s="4324"/>
      <c r="N11183" s="4324"/>
      <c r="O11183" s="1298">
        <f>SUM(O11185:O11192)</f>
        <v>11.6539</v>
      </c>
      <c r="P11183" s="1337">
        <f>O11183*K11183</f>
        <v>11.6539</v>
      </c>
      <c r="Q11183" s="3390"/>
      <c r="R11183" s="1721">
        <f>SUM(P11185:P11192)</f>
        <v>11.6539</v>
      </c>
    </row>
    <row r="11184" spans="1:18" s="22" customFormat="1">
      <c r="A11184" s="1599"/>
      <c r="B11184" s="1949"/>
      <c r="C11184" s="1327"/>
      <c r="D11184" s="1367"/>
      <c r="E11184" s="2121"/>
      <c r="F11184" s="1389" t="s">
        <v>1</v>
      </c>
      <c r="G11184" s="1389"/>
      <c r="H11184" s="1369"/>
      <c r="I11184" s="2088"/>
      <c r="J11184" s="1369"/>
      <c r="K11184" s="1391"/>
      <c r="L11184" s="1559"/>
      <c r="M11184" s="1369"/>
      <c r="N11184" s="1369"/>
      <c r="O11184" s="1369"/>
      <c r="P11184" s="1392"/>
      <c r="Q11184" s="3395"/>
      <c r="R11184" s="2344"/>
    </row>
    <row r="11185" spans="1:19" s="16" customFormat="1">
      <c r="A11185" s="22"/>
      <c r="B11185" s="553"/>
      <c r="C11185" s="1042"/>
      <c r="D11185" s="1367" t="s">
        <v>2200</v>
      </c>
      <c r="E11185" s="2121" t="s">
        <v>1504</v>
      </c>
      <c r="F11185" s="1367" t="s">
        <v>2201</v>
      </c>
      <c r="G11185" s="1554">
        <v>1</v>
      </c>
      <c r="H11185" s="1369"/>
      <c r="I11185" s="1299"/>
      <c r="J11185" s="1300"/>
      <c r="K11185" s="1350">
        <f>G11185*K11183</f>
        <v>1</v>
      </c>
      <c r="L11185" s="1335">
        <f>K11185*$K$10671</f>
        <v>0</v>
      </c>
      <c r="M11185" s="1499">
        <v>5.78</v>
      </c>
      <c r="N11185" s="1724"/>
      <c r="O11185" s="1290">
        <f>G11185*M11185</f>
        <v>5.78</v>
      </c>
      <c r="P11185" s="1332">
        <f>M11185*K11185</f>
        <v>5.78</v>
      </c>
      <c r="Q11185" s="3391"/>
      <c r="R11185" s="2339"/>
      <c r="S11185" s="22"/>
    </row>
    <row r="11186" spans="1:19" s="16" customFormat="1">
      <c r="A11186" s="22"/>
      <c r="B11186" s="553"/>
      <c r="C11186" s="1042"/>
      <c r="D11186" s="1367" t="s">
        <v>1097</v>
      </c>
      <c r="E11186" s="2121" t="s">
        <v>1504</v>
      </c>
      <c r="F11186" s="1367" t="s">
        <v>1632</v>
      </c>
      <c r="G11186" s="1554">
        <v>0.5</v>
      </c>
      <c r="H11186" s="1369"/>
      <c r="I11186" s="1299"/>
      <c r="J11186" s="1300"/>
      <c r="K11186" s="1350">
        <f>G11186*K11183</f>
        <v>0.5</v>
      </c>
      <c r="L11186" s="1335">
        <f>K11186*$K$10671</f>
        <v>0</v>
      </c>
      <c r="M11186" s="1499">
        <v>0.55000000000000004</v>
      </c>
      <c r="N11186" s="1724"/>
      <c r="O11186" s="1290">
        <f>G11186*M11186</f>
        <v>0.27500000000000002</v>
      </c>
      <c r="P11186" s="1332">
        <f>M11186*K11186</f>
        <v>0.27500000000000002</v>
      </c>
      <c r="Q11186" s="3391"/>
      <c r="R11186" s="2339"/>
      <c r="S11186" s="22"/>
    </row>
    <row r="11187" spans="1:19" s="16" customFormat="1">
      <c r="A11187" s="22"/>
      <c r="B11187" s="553"/>
      <c r="C11187" s="1042"/>
      <c r="D11187" s="1367" t="s">
        <v>1082</v>
      </c>
      <c r="E11187" s="2121" t="s">
        <v>1504</v>
      </c>
      <c r="F11187" s="1367" t="s">
        <v>1541</v>
      </c>
      <c r="G11187" s="1554">
        <v>1</v>
      </c>
      <c r="H11187" s="1369"/>
      <c r="I11187" s="1299"/>
      <c r="J11187" s="1300"/>
      <c r="K11187" s="1307">
        <f>G11187*K11183</f>
        <v>1</v>
      </c>
      <c r="L11187" s="1335">
        <f>K11187*$K$10671</f>
        <v>0</v>
      </c>
      <c r="M11187" s="1499">
        <v>0.3</v>
      </c>
      <c r="N11187" s="1724"/>
      <c r="O11187" s="1290">
        <f>G11187*M11187</f>
        <v>0.3</v>
      </c>
      <c r="P11187" s="1332">
        <f>M11187*K11187</f>
        <v>0.3</v>
      </c>
      <c r="Q11187" s="3391"/>
      <c r="R11187" s="2339"/>
      <c r="S11187" s="22"/>
    </row>
    <row r="11188" spans="1:19" s="22" customFormat="1">
      <c r="B11188" s="553"/>
      <c r="C11188" s="1042"/>
      <c r="D11188" s="1367"/>
      <c r="E11188" s="2121"/>
      <c r="F11188" s="1367"/>
      <c r="G11188" s="1554"/>
      <c r="H11188" s="1369"/>
      <c r="I11188" s="1299"/>
      <c r="J11188" s="1300"/>
      <c r="K11188" s="1307"/>
      <c r="L11188" s="1335"/>
      <c r="M11188" s="1499"/>
      <c r="N11188" s="1724"/>
      <c r="O11188" s="1290"/>
      <c r="P11188" s="1332"/>
      <c r="Q11188" s="3391"/>
      <c r="R11188" s="2339"/>
    </row>
    <row r="11189" spans="1:19" s="22" customFormat="1">
      <c r="A11189" s="16"/>
      <c r="B11189" s="1599"/>
      <c r="C11189" s="1320"/>
      <c r="D11189" s="2205"/>
      <c r="E11189" s="2130"/>
      <c r="F11189" s="2205"/>
      <c r="G11189" s="2206"/>
      <c r="H11189" s="1399"/>
      <c r="I11189" s="198"/>
      <c r="J11189" s="198"/>
      <c r="K11189" s="1307"/>
      <c r="L11189" s="1335"/>
      <c r="M11189" s="1499"/>
      <c r="N11189" s="1701"/>
      <c r="O11189" s="1291"/>
      <c r="P11189" s="1332"/>
      <c r="Q11189" s="3391"/>
      <c r="R11189" s="3363"/>
    </row>
    <row r="11190" spans="1:19" s="22" customFormat="1" ht="26">
      <c r="A11190" s="2187"/>
      <c r="B11190" s="1599"/>
      <c r="C11190" s="1042"/>
      <c r="D11190" s="1359"/>
      <c r="E11190" s="1858"/>
      <c r="F11190" s="1360" t="s">
        <v>2</v>
      </c>
      <c r="G11190" s="1360"/>
      <c r="H11190" s="1362"/>
      <c r="I11190" s="1380"/>
      <c r="J11190" s="1381"/>
      <c r="K11190" s="1381"/>
      <c r="L11190" s="1458"/>
      <c r="M11190" s="1362"/>
      <c r="N11190" s="1362"/>
      <c r="O11190" s="1362"/>
      <c r="P11190" s="1359"/>
      <c r="Q11190" s="3403"/>
      <c r="R11190" s="2357"/>
    </row>
    <row r="11191" spans="1:19" s="22" customFormat="1">
      <c r="A11191" s="16"/>
      <c r="B11191" s="1042"/>
      <c r="C11191" s="1042"/>
      <c r="D11191" s="1402" t="s">
        <v>1593</v>
      </c>
      <c r="E11191" s="1857" t="s">
        <v>1508</v>
      </c>
      <c r="F11191" s="1430" t="s">
        <v>2280</v>
      </c>
      <c r="G11191" s="1362">
        <v>0.1</v>
      </c>
      <c r="H11191" s="1408"/>
      <c r="I11191" s="1340"/>
      <c r="J11191" s="198"/>
      <c r="K11191" s="1307">
        <f>G11191*K11183</f>
        <v>0.1</v>
      </c>
      <c r="L11191" s="1335">
        <f>K11191*$K$10671</f>
        <v>0</v>
      </c>
      <c r="M11191" s="1302">
        <v>19.23</v>
      </c>
      <c r="N11191" s="1724"/>
      <c r="O11191" s="1290">
        <f>G11191*M11191</f>
        <v>1.923</v>
      </c>
      <c r="P11191" s="1332">
        <f>M11191*K11191</f>
        <v>1.923</v>
      </c>
      <c r="Q11191" s="3391"/>
      <c r="R11191" s="2338"/>
    </row>
    <row r="11192" spans="1:19" s="22" customFormat="1">
      <c r="A11192"/>
      <c r="B11192" s="553"/>
      <c r="C11192" s="1938" t="s">
        <v>1755</v>
      </c>
      <c r="D11192" s="1311"/>
      <c r="E11192" s="2176" t="s">
        <v>1508</v>
      </c>
      <c r="F11192" s="2051" t="s">
        <v>1524</v>
      </c>
      <c r="G11192" s="2052"/>
      <c r="H11192" s="1338">
        <v>0.09</v>
      </c>
      <c r="I11192" s="1444"/>
      <c r="J11192" s="1388"/>
      <c r="K11192" s="1445"/>
      <c r="L11192" s="1457"/>
      <c r="M11192" s="1447"/>
      <c r="N11192" s="1447">
        <f>SUM(N11193:N11194)</f>
        <v>37.510000000000005</v>
      </c>
      <c r="O11192" s="1447">
        <f>SUM(O11193:O11194)</f>
        <v>3.3758999999999997</v>
      </c>
      <c r="P11192" s="1447">
        <f>SUM(P11193:P11194)</f>
        <v>3.3758999999999997</v>
      </c>
      <c r="Q11192" s="3391"/>
      <c r="R11192" s="2337"/>
    </row>
    <row r="11193" spans="1:19" s="22" customFormat="1">
      <c r="A11193" s="19"/>
      <c r="B11193" s="1042"/>
      <c r="C11193" s="1042"/>
      <c r="D11193" s="1402" t="s">
        <v>1067</v>
      </c>
      <c r="E11193" s="1857" t="s">
        <v>1508</v>
      </c>
      <c r="F11193" s="1430" t="s">
        <v>5</v>
      </c>
      <c r="G11193" s="1381">
        <v>1</v>
      </c>
      <c r="H11193" s="1408">
        <f>G11193*H11192</f>
        <v>0.09</v>
      </c>
      <c r="I11193" s="1340"/>
      <c r="J11193" s="198"/>
      <c r="K11193" s="1307">
        <f>H11193*K11183</f>
        <v>0.09</v>
      </c>
      <c r="L11193" s="1335">
        <f>K11193*$K$10671</f>
        <v>0</v>
      </c>
      <c r="M11193" s="1302">
        <v>18.28</v>
      </c>
      <c r="N11193" s="1724">
        <f>G11193*M11193</f>
        <v>18.28</v>
      </c>
      <c r="O11193" s="1726">
        <f>H11193*M11193</f>
        <v>1.6452</v>
      </c>
      <c r="P11193" s="1727">
        <f>M11193*K11193</f>
        <v>1.6452</v>
      </c>
      <c r="Q11193" s="3396"/>
      <c r="R11193" s="2338"/>
    </row>
    <row r="11194" spans="1:19" s="22" customFormat="1">
      <c r="A11194" s="19"/>
      <c r="B11194" s="1042"/>
      <c r="C11194" s="1042"/>
      <c r="D11194" s="1402" t="s">
        <v>1077</v>
      </c>
      <c r="E11194" s="1857" t="s">
        <v>1508</v>
      </c>
      <c r="F11194" s="1430" t="s">
        <v>37</v>
      </c>
      <c r="G11194" s="1381">
        <v>1</v>
      </c>
      <c r="H11194" s="1408">
        <f>G11194*H11192</f>
        <v>0.09</v>
      </c>
      <c r="I11194" s="198"/>
      <c r="J11194" s="198"/>
      <c r="K11194" s="1307">
        <f>H11194*K11183</f>
        <v>0.09</v>
      </c>
      <c r="L11194" s="1335">
        <f>K11194*$K$10671</f>
        <v>0</v>
      </c>
      <c r="M11194" s="1302">
        <v>19.23</v>
      </c>
      <c r="N11194" s="1724">
        <f>G11194*M11194</f>
        <v>19.23</v>
      </c>
      <c r="O11194" s="1719">
        <f>(H11194*M11194)</f>
        <v>1.7306999999999999</v>
      </c>
      <c r="P11194" s="1727">
        <f>M11194*K11194</f>
        <v>1.7306999999999999</v>
      </c>
      <c r="Q11194" s="3396"/>
      <c r="R11194" s="2338"/>
    </row>
    <row r="11195" spans="1:19" s="22" customFormat="1">
      <c r="A11195" s="19"/>
      <c r="B11195" s="553"/>
      <c r="C11195" s="1042"/>
      <c r="D11195" s="1402"/>
      <c r="E11195" s="1857"/>
      <c r="F11195" s="1402"/>
      <c r="G11195" s="2105"/>
      <c r="H11195" s="1408"/>
      <c r="I11195" s="197"/>
      <c r="J11195" s="198"/>
      <c r="K11195" s="1307"/>
      <c r="L11195" s="1335"/>
      <c r="M11195" s="1302"/>
      <c r="N11195" s="1724"/>
      <c r="O11195" s="1719"/>
      <c r="P11195" s="1727"/>
      <c r="Q11195" s="3396"/>
      <c r="R11195" s="2338"/>
    </row>
    <row r="11196" spans="1:19" s="22" customFormat="1">
      <c r="A11196" s="1320"/>
      <c r="B11196" s="1599"/>
      <c r="C11196" s="1320"/>
      <c r="D11196" s="1373"/>
      <c r="E11196" s="2123"/>
      <c r="F11196" s="1374" t="s">
        <v>3</v>
      </c>
      <c r="G11196" s="2199"/>
      <c r="H11196" s="1376"/>
      <c r="I11196" s="1382"/>
      <c r="J11196" s="1383"/>
      <c r="K11196" s="1383"/>
      <c r="L11196" s="1413"/>
      <c r="M11196" s="1376"/>
      <c r="N11196" s="1376"/>
      <c r="O11196" s="1376"/>
      <c r="P11196" s="1373"/>
      <c r="Q11196" s="3403"/>
      <c r="R11196" s="2356"/>
    </row>
    <row r="11197" spans="1:19" s="22" customFormat="1">
      <c r="A11197" s="1321"/>
      <c r="B11197" s="2053"/>
      <c r="C11197" s="1321"/>
      <c r="D11197" s="2202"/>
      <c r="E11197" s="2304"/>
      <c r="F11197" s="2202"/>
      <c r="G11197" s="2203"/>
      <c r="H11197" s="1379"/>
      <c r="I11197" s="1299"/>
      <c r="J11197" s="1300"/>
      <c r="K11197" s="1307"/>
      <c r="L11197" s="1335"/>
      <c r="M11197" s="1302"/>
      <c r="N11197" s="1700"/>
      <c r="O11197" s="1290"/>
      <c r="P11197" s="1332"/>
      <c r="Q11197" s="3402"/>
      <c r="R11197" s="2053"/>
    </row>
    <row r="11198" spans="1:19" s="22" customFormat="1" ht="15" customHeight="1">
      <c r="A11198" s="1321"/>
      <c r="B11198" s="2053"/>
      <c r="C11198" s="1321"/>
      <c r="D11198" s="1377"/>
      <c r="E11198" s="2124"/>
      <c r="F11198" s="1378"/>
      <c r="G11198" s="2200"/>
      <c r="H11198" s="1379"/>
      <c r="I11198" s="1299"/>
      <c r="J11198" s="1300"/>
      <c r="K11198" s="1307"/>
      <c r="L11198" s="1335"/>
      <c r="M11198" s="1302"/>
      <c r="N11198" s="1700"/>
      <c r="O11198" s="1290"/>
      <c r="P11198" s="1332"/>
      <c r="Q11198" s="3402"/>
      <c r="R11198" s="2053"/>
    </row>
    <row r="11199" spans="1:19" s="22" customFormat="1">
      <c r="A11199" s="1320"/>
      <c r="B11199" s="1765"/>
      <c r="C11199" s="223"/>
      <c r="D11199" s="1373"/>
      <c r="E11199" s="2161"/>
      <c r="F11199" s="1678"/>
      <c r="G11199" s="2201"/>
      <c r="H11199" s="1376"/>
      <c r="I11199" s="1299"/>
      <c r="J11199" s="1300"/>
      <c r="K11199" s="1307"/>
      <c r="L11199" s="1335"/>
      <c r="M11199" s="1302"/>
      <c r="N11199" s="1700"/>
      <c r="O11199" s="1290"/>
      <c r="P11199" s="1332"/>
      <c r="Q11199" s="3402"/>
      <c r="R11199" s="2356"/>
    </row>
    <row r="11200" spans="1:19" s="22" customFormat="1">
      <c r="A11200" s="551" t="s">
        <v>3764</v>
      </c>
      <c r="B11200" s="4325" t="s">
        <v>3797</v>
      </c>
      <c r="C11200" s="3350"/>
      <c r="D11200" s="4327"/>
      <c r="E11200" s="4329" t="s">
        <v>1504</v>
      </c>
      <c r="F11200" s="4372" t="s">
        <v>3798</v>
      </c>
      <c r="G11200" s="4331" t="s">
        <v>1568</v>
      </c>
      <c r="H11200" s="4331" t="s">
        <v>1574</v>
      </c>
      <c r="I11200" s="1572" t="s">
        <v>1559</v>
      </c>
      <c r="J11200" s="1294" t="s">
        <v>1560</v>
      </c>
      <c r="K11200" s="1294" t="s">
        <v>1569</v>
      </c>
      <c r="L11200" s="4333" t="s">
        <v>3765</v>
      </c>
      <c r="M11200" s="4323" t="s">
        <v>1571</v>
      </c>
      <c r="N11200" s="4323" t="s">
        <v>1776</v>
      </c>
      <c r="O11200" s="3347" t="s">
        <v>1563</v>
      </c>
      <c r="P11200" s="1336" t="s">
        <v>1562</v>
      </c>
      <c r="Q11200" s="3389"/>
      <c r="R11200" s="1699" t="s">
        <v>1327</v>
      </c>
    </row>
    <row r="11201" spans="1:19">
      <c r="A11201" s="1599" t="s">
        <v>3761</v>
      </c>
      <c r="B11201" s="4326"/>
      <c r="C11201" s="3351"/>
      <c r="D11201" s="4328"/>
      <c r="E11201" s="4330"/>
      <c r="F11201" s="4363"/>
      <c r="G11201" s="4332"/>
      <c r="H11201" s="4332"/>
      <c r="I11201" s="1345">
        <v>1</v>
      </c>
      <c r="J11201" s="1307">
        <v>1</v>
      </c>
      <c r="K11201" s="1666">
        <f>I11201*J11201</f>
        <v>1</v>
      </c>
      <c r="L11201" s="4334"/>
      <c r="M11201" s="4324"/>
      <c r="N11201" s="4324"/>
      <c r="O11201" s="1298">
        <f>O11203+O11204+O11205+O11206+O11207+O11208+O11209+O11210+O11211+O11213+O11216</f>
        <v>18307.72</v>
      </c>
      <c r="P11201" s="1337">
        <f>O11201*K11201</f>
        <v>18307.72</v>
      </c>
      <c r="Q11201" s="3390"/>
      <c r="R11201" s="1721">
        <f>P11203+P11204+P11205+P11206+P11207+P11208+P11209+P11210+P11211+P11213+P11216</f>
        <v>18307.72</v>
      </c>
      <c r="S11201" s="22"/>
    </row>
    <row r="11202" spans="1:19">
      <c r="A11202" s="1599"/>
      <c r="B11202" s="1949"/>
      <c r="C11202" s="1327"/>
      <c r="D11202" s="1367"/>
      <c r="E11202" s="2121"/>
      <c r="F11202" s="1389" t="s">
        <v>1</v>
      </c>
      <c r="G11202" s="1389"/>
      <c r="H11202" s="1369"/>
      <c r="I11202" s="2088"/>
      <c r="J11202" s="1369"/>
      <c r="K11202" s="1391"/>
      <c r="L11202" s="1559"/>
      <c r="M11202" s="1369"/>
      <c r="N11202" s="1369"/>
      <c r="O11202" s="1369"/>
      <c r="P11202" s="1392"/>
      <c r="Q11202" s="3395"/>
      <c r="R11202" s="2344"/>
      <c r="S11202" s="22"/>
    </row>
    <row r="11203" spans="1:19">
      <c r="A11203" s="22"/>
      <c r="B11203" s="553"/>
      <c r="C11203" s="1042"/>
      <c r="D11203" s="2290" t="s">
        <v>3799</v>
      </c>
      <c r="E11203" s="2307" t="s">
        <v>1504</v>
      </c>
      <c r="F11203" s="2290" t="s">
        <v>3800</v>
      </c>
      <c r="G11203" s="2291">
        <v>1</v>
      </c>
      <c r="H11203" s="1369"/>
      <c r="I11203" s="1299"/>
      <c r="J11203" s="1300"/>
      <c r="K11203" s="1350">
        <f>G11203*K11201</f>
        <v>1</v>
      </c>
      <c r="L11203" s="1335">
        <f>K11203*$K$10671</f>
        <v>0</v>
      </c>
      <c r="M11203" s="1499">
        <v>10397</v>
      </c>
      <c r="N11203" s="1724"/>
      <c r="O11203" s="1290">
        <f>G11203*M11203</f>
        <v>10397</v>
      </c>
      <c r="P11203" s="1332">
        <f>M11203*K11203</f>
        <v>10397</v>
      </c>
      <c r="Q11203" s="3391"/>
      <c r="S11203" s="22"/>
    </row>
    <row r="11204" spans="1:19">
      <c r="A11204" s="22"/>
      <c r="B11204" s="553"/>
      <c r="C11204" s="1042"/>
      <c r="D11204" s="2290" t="s">
        <v>2708</v>
      </c>
      <c r="E11204" s="2307" t="s">
        <v>1504</v>
      </c>
      <c r="F11204" s="2290" t="s">
        <v>2709</v>
      </c>
      <c r="G11204" s="2291">
        <v>4</v>
      </c>
      <c r="H11204" s="1369"/>
      <c r="I11204" s="1299"/>
      <c r="J11204" s="1300"/>
      <c r="K11204" s="1350">
        <f>G11204*K11201</f>
        <v>4</v>
      </c>
      <c r="L11204" s="1335">
        <f>K11204*$K$10671</f>
        <v>0</v>
      </c>
      <c r="M11204" s="1499">
        <v>523.42999999999995</v>
      </c>
      <c r="N11204" s="1724"/>
      <c r="O11204" s="1290">
        <f>G11204*M11204</f>
        <v>2093.7199999999998</v>
      </c>
      <c r="P11204" s="1332">
        <f>M11204*K11204</f>
        <v>2093.7199999999998</v>
      </c>
      <c r="Q11204" s="3391"/>
      <c r="S11204" s="22"/>
    </row>
    <row r="11205" spans="1:19">
      <c r="A11205" s="22"/>
      <c r="B11205" s="553"/>
      <c r="C11205" s="1042"/>
      <c r="D11205" s="2290" t="s">
        <v>2710</v>
      </c>
      <c r="E11205" s="2307" t="s">
        <v>1527</v>
      </c>
      <c r="F11205" s="2290" t="s">
        <v>2711</v>
      </c>
      <c r="G11205" s="2291">
        <v>1</v>
      </c>
      <c r="H11205" s="1369"/>
      <c r="I11205" s="1299"/>
      <c r="J11205" s="1300"/>
      <c r="K11205" s="1350">
        <f>G11205*K11201</f>
        <v>1</v>
      </c>
      <c r="L11205" s="1335">
        <f>K11205*$K$10671</f>
        <v>0</v>
      </c>
      <c r="M11205" s="1499">
        <v>88</v>
      </c>
      <c r="N11205" s="1724"/>
      <c r="O11205" s="1290">
        <f>G11205*M11205</f>
        <v>88</v>
      </c>
      <c r="P11205" s="1332">
        <f>M11205*K11205</f>
        <v>88</v>
      </c>
      <c r="Q11205" s="3391"/>
      <c r="S11205" s="22"/>
    </row>
    <row r="11206" spans="1:19">
      <c r="A11206" s="22"/>
      <c r="B11206" s="553"/>
      <c r="C11206" s="1042"/>
      <c r="D11206" s="1367" t="s">
        <v>1082</v>
      </c>
      <c r="E11206" s="2121" t="s">
        <v>1504</v>
      </c>
      <c r="F11206" s="1367" t="s">
        <v>1541</v>
      </c>
      <c r="G11206" s="1554">
        <v>100</v>
      </c>
      <c r="H11206" s="1369"/>
      <c r="I11206" s="1299"/>
      <c r="J11206" s="1300"/>
      <c r="K11206" s="1307">
        <f>G11206*K11201</f>
        <v>100</v>
      </c>
      <c r="L11206" s="1335">
        <f>K11206*$K$10671</f>
        <v>0</v>
      </c>
      <c r="M11206" s="1499">
        <v>0.3</v>
      </c>
      <c r="N11206" s="1724"/>
      <c r="O11206" s="1290">
        <f>G11206*M11206</f>
        <v>30</v>
      </c>
      <c r="P11206" s="1332">
        <f>M11206*K11206</f>
        <v>30</v>
      </c>
      <c r="Q11206" s="3391"/>
      <c r="S11206" s="16"/>
    </row>
    <row r="11207" spans="1:19">
      <c r="A11207" s="22"/>
      <c r="B11207" s="553"/>
      <c r="C11207" s="1042"/>
      <c r="D11207" s="1367" t="s">
        <v>1097</v>
      </c>
      <c r="E11207" s="2121" t="s">
        <v>1504</v>
      </c>
      <c r="F11207" s="1367" t="s">
        <v>1632</v>
      </c>
      <c r="G11207" s="1554">
        <v>100</v>
      </c>
      <c r="H11207" s="1369"/>
      <c r="I11207" s="1299"/>
      <c r="J11207" s="1300"/>
      <c r="K11207" s="1307">
        <f>G11207*K11201</f>
        <v>100</v>
      </c>
      <c r="L11207" s="1335">
        <f>K11207*$K$10671</f>
        <v>0</v>
      </c>
      <c r="M11207" s="1499">
        <v>0.55000000000000004</v>
      </c>
      <c r="N11207" s="1724"/>
      <c r="O11207" s="1290">
        <f>G11207*M11207</f>
        <v>55.000000000000007</v>
      </c>
      <c r="P11207" s="1332">
        <f>M11207*K11207</f>
        <v>55.000000000000007</v>
      </c>
      <c r="Q11207" s="3391"/>
      <c r="S11207" s="16"/>
    </row>
    <row r="11208" spans="1:19">
      <c r="A11208" s="2296" t="s">
        <v>3809</v>
      </c>
      <c r="B11208" s="553"/>
      <c r="C11208" s="1042"/>
      <c r="D11208" s="3973" t="s">
        <v>3801</v>
      </c>
      <c r="E11208" s="3974">
        <v>0</v>
      </c>
      <c r="F11208" s="3973" t="s">
        <v>3802</v>
      </c>
      <c r="G11208" s="4035">
        <v>0</v>
      </c>
      <c r="H11208" s="3913"/>
      <c r="I11208" s="1299"/>
      <c r="J11208" s="3939"/>
      <c r="K11208" s="1307">
        <f>G11208*K11201</f>
        <v>0</v>
      </c>
      <c r="L11208" s="1335">
        <f t="shared" ref="L11208:L11211" si="1452">K11208*$K$10671</f>
        <v>0</v>
      </c>
      <c r="M11208" s="3992">
        <v>210.09</v>
      </c>
      <c r="N11208" s="1724"/>
      <c r="O11208" s="1290">
        <f t="shared" ref="O11208:O11211" si="1453">G11208*M11208</f>
        <v>0</v>
      </c>
      <c r="P11208" s="1332">
        <f t="shared" ref="P11208:P11211" si="1454">M11208*K11208</f>
        <v>0</v>
      </c>
      <c r="Q11208" s="3391"/>
      <c r="S11208" s="16"/>
    </row>
    <row r="11209" spans="1:19">
      <c r="A11209" s="22"/>
      <c r="B11209" s="553"/>
      <c r="C11209" s="1042"/>
      <c r="D11209" s="3973" t="s">
        <v>3803</v>
      </c>
      <c r="E11209" s="3974">
        <v>0</v>
      </c>
      <c r="F11209" s="3973" t="s">
        <v>3804</v>
      </c>
      <c r="G11209" s="4035">
        <v>0</v>
      </c>
      <c r="H11209" s="3913"/>
      <c r="I11209" s="1299"/>
      <c r="J11209" s="3939"/>
      <c r="K11209" s="1307">
        <f>G11209*K11201</f>
        <v>0</v>
      </c>
      <c r="L11209" s="1335">
        <f t="shared" si="1452"/>
        <v>0</v>
      </c>
      <c r="M11209" s="3992">
        <v>120.38</v>
      </c>
      <c r="N11209" s="1724"/>
      <c r="O11209" s="1290">
        <f t="shared" si="1453"/>
        <v>0</v>
      </c>
      <c r="P11209" s="1332">
        <f t="shared" si="1454"/>
        <v>0</v>
      </c>
      <c r="Q11209" s="3391"/>
      <c r="S11209" s="22"/>
    </row>
    <row r="11210" spans="1:19">
      <c r="A11210" s="22"/>
      <c r="B11210" s="553"/>
      <c r="C11210" s="1042"/>
      <c r="D11210" s="3973" t="s">
        <v>3805</v>
      </c>
      <c r="E11210" s="3974">
        <v>0</v>
      </c>
      <c r="F11210" s="3973" t="s">
        <v>3806</v>
      </c>
      <c r="G11210" s="4035">
        <v>0</v>
      </c>
      <c r="H11210" s="3913"/>
      <c r="I11210" s="1299"/>
      <c r="J11210" s="3939"/>
      <c r="K11210" s="1307">
        <f>G11210*K11201</f>
        <v>0</v>
      </c>
      <c r="L11210" s="1335">
        <f t="shared" si="1452"/>
        <v>0</v>
      </c>
      <c r="M11210" s="3992">
        <v>310</v>
      </c>
      <c r="N11210" s="1724"/>
      <c r="O11210" s="1290">
        <f t="shared" si="1453"/>
        <v>0</v>
      </c>
      <c r="P11210" s="1332">
        <f t="shared" si="1454"/>
        <v>0</v>
      </c>
      <c r="Q11210" s="3391"/>
      <c r="S11210" s="22"/>
    </row>
    <row r="11211" spans="1:19">
      <c r="A11211" s="16"/>
      <c r="B11211" s="1599"/>
      <c r="C11211" s="1320"/>
      <c r="D11211" s="4023" t="s">
        <v>3807</v>
      </c>
      <c r="E11211" s="4024">
        <v>0</v>
      </c>
      <c r="F11211" s="4023" t="s">
        <v>3808</v>
      </c>
      <c r="G11211" s="4036">
        <v>0</v>
      </c>
      <c r="H11211" s="1399"/>
      <c r="I11211" s="198"/>
      <c r="J11211" s="198"/>
      <c r="K11211" s="1307">
        <f>G11211*K11201</f>
        <v>0</v>
      </c>
      <c r="L11211" s="1335">
        <f t="shared" si="1452"/>
        <v>0</v>
      </c>
      <c r="M11211" s="1499">
        <v>60.1</v>
      </c>
      <c r="N11211" s="1701"/>
      <c r="O11211" s="1290">
        <f t="shared" si="1453"/>
        <v>0</v>
      </c>
      <c r="P11211" s="1332">
        <f t="shared" si="1454"/>
        <v>0</v>
      </c>
      <c r="Q11211" s="3391"/>
      <c r="R11211" s="3363"/>
      <c r="S11211" s="22"/>
    </row>
    <row r="11212" spans="1:19" ht="26">
      <c r="A11212" s="2187"/>
      <c r="B11212" s="1599"/>
      <c r="C11212" s="1042"/>
      <c r="D11212" s="1359"/>
      <c r="E11212" s="1858"/>
      <c r="F11212" s="1360" t="s">
        <v>2</v>
      </c>
      <c r="G11212" s="1360"/>
      <c r="H11212" s="1362"/>
      <c r="I11212" s="1380"/>
      <c r="J11212" s="1381"/>
      <c r="K11212" s="1381"/>
      <c r="L11212" s="1458"/>
      <c r="M11212" s="1362"/>
      <c r="N11212" s="1362"/>
      <c r="O11212" s="1362"/>
      <c r="P11212" s="1359"/>
      <c r="Q11212" s="3403"/>
      <c r="R11212" s="2357"/>
      <c r="S11212" s="22"/>
    </row>
    <row r="11213" spans="1:19">
      <c r="B11213" s="553"/>
      <c r="C11213" s="1938" t="s">
        <v>1755</v>
      </c>
      <c r="D11213" s="1311"/>
      <c r="E11213" s="2176" t="s">
        <v>1508</v>
      </c>
      <c r="F11213" s="2051" t="s">
        <v>1524</v>
      </c>
      <c r="G11213" s="2052"/>
      <c r="H11213" s="1338">
        <v>25</v>
      </c>
      <c r="I11213" s="1444"/>
      <c r="J11213" s="1388"/>
      <c r="K11213" s="1445"/>
      <c r="L11213" s="1457"/>
      <c r="M11213" s="1447"/>
      <c r="N11213" s="1447">
        <f>SUM(N11214:N11215)</f>
        <v>37.510000000000005</v>
      </c>
      <c r="O11213" s="1447">
        <f>SUM(O11214:O11215)</f>
        <v>937.75</v>
      </c>
      <c r="P11213" s="1447">
        <f>SUM(P11214:P11215)</f>
        <v>937.75</v>
      </c>
      <c r="Q11213" s="3391"/>
      <c r="R11213" s="2337"/>
      <c r="S11213" s="22"/>
    </row>
    <row r="11214" spans="1:19">
      <c r="A11214" s="19"/>
      <c r="B11214" s="1042"/>
      <c r="C11214" s="1042"/>
      <c r="D11214" s="1402" t="s">
        <v>1067</v>
      </c>
      <c r="E11214" s="1857" t="s">
        <v>1508</v>
      </c>
      <c r="F11214" s="1430" t="s">
        <v>5</v>
      </c>
      <c r="G11214" s="1381">
        <v>1</v>
      </c>
      <c r="H11214" s="1408">
        <f>G11214*H11213</f>
        <v>25</v>
      </c>
      <c r="I11214" s="1340"/>
      <c r="J11214" s="198"/>
      <c r="K11214" s="1307">
        <f>H11214*K11201</f>
        <v>25</v>
      </c>
      <c r="L11214" s="1335">
        <f>K11214*$K$10671</f>
        <v>0</v>
      </c>
      <c r="M11214" s="1302">
        <v>18.28</v>
      </c>
      <c r="N11214" s="1724">
        <f>G11214*M11214</f>
        <v>18.28</v>
      </c>
      <c r="O11214" s="1726">
        <f>H11214*M11214</f>
        <v>457</v>
      </c>
      <c r="P11214" s="1727">
        <f>M11214*K11214</f>
        <v>457</v>
      </c>
      <c r="Q11214" s="3396"/>
      <c r="R11214" s="2338"/>
      <c r="S11214" s="22"/>
    </row>
    <row r="11215" spans="1:19">
      <c r="A11215" s="19"/>
      <c r="B11215" s="1042"/>
      <c r="C11215" s="1042"/>
      <c r="D11215" s="1402" t="s">
        <v>1077</v>
      </c>
      <c r="E11215" s="1857" t="s">
        <v>1508</v>
      </c>
      <c r="F11215" s="1430" t="s">
        <v>37</v>
      </c>
      <c r="G11215" s="1381">
        <v>1</v>
      </c>
      <c r="H11215" s="1408">
        <f>G11215*H11213</f>
        <v>25</v>
      </c>
      <c r="I11215" s="198"/>
      <c r="J11215" s="198"/>
      <c r="K11215" s="1307">
        <f>H11215*K11201</f>
        <v>25</v>
      </c>
      <c r="L11215" s="1335">
        <f>K11215*$K$10671</f>
        <v>0</v>
      </c>
      <c r="M11215" s="1302">
        <v>19.23</v>
      </c>
      <c r="N11215" s="1724">
        <f>G11215*M11215</f>
        <v>19.23</v>
      </c>
      <c r="O11215" s="1719">
        <f>(H11215*M11215)</f>
        <v>480.75</v>
      </c>
      <c r="P11215" s="1727">
        <f>M11215*K11215</f>
        <v>480.75</v>
      </c>
      <c r="Q11215" s="3396"/>
      <c r="R11215" s="2338"/>
      <c r="S11215" s="22"/>
    </row>
    <row r="11216" spans="1:19">
      <c r="A11216" s="22"/>
      <c r="B11216" s="1599"/>
      <c r="C11216" s="1938" t="s">
        <v>2649</v>
      </c>
      <c r="D11216" s="1311"/>
      <c r="E11216" s="2176" t="s">
        <v>1508</v>
      </c>
      <c r="F11216" s="1648" t="s">
        <v>2650</v>
      </c>
      <c r="G11216" s="1990"/>
      <c r="H11216" s="1954">
        <v>125</v>
      </c>
      <c r="I11216" s="1444"/>
      <c r="J11216" s="1388"/>
      <c r="K11216" s="1445"/>
      <c r="L11216" s="1457"/>
      <c r="M11216" s="1447"/>
      <c r="N11216" s="1447">
        <f>SUM(N11217:N11218)</f>
        <v>37.650000000000006</v>
      </c>
      <c r="O11216" s="1447">
        <f>SUM(O11217:O11218)</f>
        <v>4706.25</v>
      </c>
      <c r="P11216" s="1447">
        <f>SUM(P11217:P11218)</f>
        <v>4706.25</v>
      </c>
      <c r="Q11216" s="3391"/>
      <c r="R11216" s="2337"/>
      <c r="S11216" s="22"/>
    </row>
    <row r="11217" spans="1:19">
      <c r="A11217" s="22"/>
      <c r="B11217" s="1599"/>
      <c r="C11217" s="1327"/>
      <c r="D11217" s="1430" t="s">
        <v>2691</v>
      </c>
      <c r="E11217" s="1857" t="s">
        <v>1508</v>
      </c>
      <c r="F11217" s="1403" t="s">
        <v>2692</v>
      </c>
      <c r="G11217" s="1991">
        <v>1</v>
      </c>
      <c r="H11217" s="1937">
        <f>G11217*H11216</f>
        <v>125</v>
      </c>
      <c r="I11217" s="1286"/>
      <c r="J11217" s="198"/>
      <c r="K11217" s="1307">
        <f>H11217*K11201</f>
        <v>125</v>
      </c>
      <c r="L11217" s="1335">
        <f>K11217*$K$10671</f>
        <v>0</v>
      </c>
      <c r="M11217" s="1302">
        <v>19.23</v>
      </c>
      <c r="N11217" s="1718">
        <f>G11217*M11217</f>
        <v>19.23</v>
      </c>
      <c r="O11217" s="1290">
        <f>H11217*M11217</f>
        <v>2403.75</v>
      </c>
      <c r="P11217" s="1720">
        <f>M11217*K11217</f>
        <v>2403.75</v>
      </c>
      <c r="Q11217" s="3396"/>
      <c r="R11217" s="2337"/>
      <c r="S11217" s="22"/>
    </row>
    <row r="11218" spans="1:19">
      <c r="A11218" s="22"/>
      <c r="B11218" s="1599"/>
      <c r="C11218" s="1320"/>
      <c r="D11218" s="1430" t="s">
        <v>1110</v>
      </c>
      <c r="E11218" s="1857" t="s">
        <v>1508</v>
      </c>
      <c r="F11218" s="1403" t="s">
        <v>2281</v>
      </c>
      <c r="G11218" s="1991">
        <v>1</v>
      </c>
      <c r="H11218" s="1937">
        <f>G11218*H11216</f>
        <v>125</v>
      </c>
      <c r="I11218" s="197"/>
      <c r="J11218" s="198"/>
      <c r="K11218" s="1307">
        <f>H11218*K11201</f>
        <v>125</v>
      </c>
      <c r="L11218" s="1335">
        <f>K11218*$K$10671</f>
        <v>0</v>
      </c>
      <c r="M11218" s="1302">
        <v>18.420000000000002</v>
      </c>
      <c r="N11218" s="1718">
        <f>G11218*M11218</f>
        <v>18.420000000000002</v>
      </c>
      <c r="O11218" s="1290">
        <f>H11218*M11218</f>
        <v>2302.5</v>
      </c>
      <c r="P11218" s="1720">
        <f>M11218*K11218</f>
        <v>2302.5</v>
      </c>
      <c r="Q11218" s="3396"/>
      <c r="R11218" s="2337"/>
      <c r="S11218" s="22"/>
    </row>
    <row r="11219" spans="1:19">
      <c r="A11219" s="19"/>
      <c r="B11219" s="553"/>
      <c r="C11219" s="1042"/>
      <c r="D11219" s="1402"/>
      <c r="E11219" s="1857"/>
      <c r="F11219" s="1402"/>
      <c r="G11219" s="2105"/>
      <c r="H11219" s="1408"/>
      <c r="I11219" s="197"/>
      <c r="J11219" s="198"/>
      <c r="K11219" s="1307"/>
      <c r="L11219" s="1335"/>
      <c r="M11219" s="1302"/>
      <c r="N11219" s="1724"/>
      <c r="O11219" s="1719"/>
      <c r="P11219" s="1727"/>
      <c r="Q11219" s="3396"/>
      <c r="R11219" s="2338"/>
      <c r="S11219" s="22"/>
    </row>
    <row r="11220" spans="1:19">
      <c r="A11220" s="19"/>
      <c r="B11220" s="553"/>
      <c r="C11220" s="1042"/>
      <c r="D11220" s="1402"/>
      <c r="E11220" s="1857"/>
      <c r="F11220" s="1402"/>
      <c r="G11220" s="2105"/>
      <c r="H11220" s="1408"/>
      <c r="I11220" s="197"/>
      <c r="J11220" s="198"/>
      <c r="K11220" s="1307"/>
      <c r="L11220" s="1335"/>
      <c r="M11220" s="1302"/>
      <c r="N11220" s="1724"/>
      <c r="O11220" s="1719"/>
      <c r="P11220" s="1727"/>
      <c r="Q11220" s="3396"/>
      <c r="R11220" s="2338"/>
      <c r="S11220" s="22"/>
    </row>
    <row r="11221" spans="1:19">
      <c r="A11221" s="19"/>
      <c r="B11221" s="553"/>
      <c r="C11221" s="1042"/>
      <c r="D11221" s="1402"/>
      <c r="E11221" s="1857"/>
      <c r="F11221" s="1402"/>
      <c r="G11221" s="2105"/>
      <c r="H11221" s="1408"/>
      <c r="I11221" s="197"/>
      <c r="J11221" s="198"/>
      <c r="K11221" s="1307"/>
      <c r="L11221" s="1335"/>
      <c r="M11221" s="1302"/>
      <c r="N11221" s="1724"/>
      <c r="O11221" s="1719"/>
      <c r="P11221" s="1727"/>
      <c r="Q11221" s="3396"/>
      <c r="R11221" s="2338"/>
      <c r="S11221" s="22"/>
    </row>
    <row r="11222" spans="1:19">
      <c r="A11222" s="1320"/>
      <c r="B11222" s="1599"/>
      <c r="C11222" s="1320"/>
      <c r="D11222" s="1373"/>
      <c r="E11222" s="2123"/>
      <c r="F11222" s="1374" t="s">
        <v>3</v>
      </c>
      <c r="G11222" s="2199"/>
      <c r="H11222" s="1376"/>
      <c r="I11222" s="1382"/>
      <c r="J11222" s="1383"/>
      <c r="K11222" s="1383" t="str">
        <f>IF(COUNT(I11222)=0,"",(I11222*J11222))</f>
        <v/>
      </c>
      <c r="L11222" s="1413"/>
      <c r="M11222" s="1376"/>
      <c r="N11222" s="1376"/>
      <c r="O11222" s="1376"/>
      <c r="P11222" s="1373"/>
      <c r="Q11222" s="3403"/>
      <c r="R11222" s="2356"/>
      <c r="S11222" s="22"/>
    </row>
    <row r="11223" spans="1:19">
      <c r="A11223" s="1321"/>
      <c r="B11223" s="2053"/>
      <c r="C11223" s="1321"/>
      <c r="D11223" s="2202"/>
      <c r="E11223" s="2304"/>
      <c r="F11223" s="2202"/>
      <c r="G11223" s="2203"/>
      <c r="H11223" s="1379"/>
      <c r="I11223" s="1299"/>
      <c r="J11223" s="1300"/>
      <c r="K11223" s="1307"/>
      <c r="L11223" s="1335"/>
      <c r="M11223" s="1302"/>
      <c r="N11223" s="1700"/>
      <c r="O11223" s="1290"/>
      <c r="P11223" s="1332"/>
      <c r="Q11223" s="3402"/>
      <c r="R11223" s="2053"/>
      <c r="S11223" s="22"/>
    </row>
    <row r="11224" spans="1:19">
      <c r="A11224" s="1321"/>
      <c r="B11224" s="2053"/>
      <c r="C11224" s="1321"/>
      <c r="D11224" s="1377"/>
      <c r="E11224" s="2124"/>
      <c r="F11224" s="1378"/>
      <c r="G11224" s="2200"/>
      <c r="H11224" s="1379"/>
      <c r="I11224" s="1299"/>
      <c r="J11224" s="1300"/>
      <c r="K11224" s="1307"/>
      <c r="L11224" s="1335"/>
      <c r="M11224" s="1302"/>
      <c r="N11224" s="1700"/>
      <c r="O11224" s="1290"/>
      <c r="P11224" s="1332"/>
      <c r="Q11224" s="3402"/>
      <c r="R11224" s="2053"/>
      <c r="S11224" s="22"/>
    </row>
    <row r="11225" spans="1:19">
      <c r="A11225" s="1320"/>
      <c r="B11225" s="1765"/>
      <c r="C11225" s="223"/>
      <c r="D11225" s="1373"/>
      <c r="E11225" s="2161"/>
      <c r="F11225" s="1678"/>
      <c r="G11225" s="2201"/>
      <c r="H11225" s="1376"/>
      <c r="I11225" s="1299"/>
      <c r="J11225" s="1300"/>
      <c r="K11225" s="1307"/>
      <c r="L11225" s="1335"/>
      <c r="M11225" s="1302"/>
      <c r="N11225" s="1700"/>
      <c r="O11225" s="1290"/>
      <c r="P11225" s="1332"/>
      <c r="Q11225" s="3402"/>
      <c r="R11225" s="2356"/>
      <c r="S11225" s="22"/>
    </row>
    <row r="11226" spans="1:19">
      <c r="A11226" s="551" t="s">
        <v>3764</v>
      </c>
      <c r="B11226" s="4325" t="s">
        <v>3810</v>
      </c>
      <c r="C11226" s="3885"/>
      <c r="D11226" s="4327"/>
      <c r="E11226" s="4329" t="s">
        <v>1504</v>
      </c>
      <c r="F11226" s="4372" t="s">
        <v>3811</v>
      </c>
      <c r="G11226" s="4331" t="s">
        <v>1568</v>
      </c>
      <c r="H11226" s="4331" t="s">
        <v>1574</v>
      </c>
      <c r="I11226" s="1572" t="s">
        <v>1559</v>
      </c>
      <c r="J11226" s="1294" t="s">
        <v>1560</v>
      </c>
      <c r="K11226" s="1294" t="s">
        <v>1569</v>
      </c>
      <c r="L11226" s="4333" t="s">
        <v>3765</v>
      </c>
      <c r="M11226" s="4323" t="s">
        <v>1571</v>
      </c>
      <c r="N11226" s="4323" t="s">
        <v>1776</v>
      </c>
      <c r="O11226" s="3884" t="s">
        <v>1563</v>
      </c>
      <c r="P11226" s="1336" t="s">
        <v>1562</v>
      </c>
      <c r="Q11226" s="3389"/>
      <c r="R11226" s="1699" t="s">
        <v>1327</v>
      </c>
      <c r="S11226" s="22"/>
    </row>
    <row r="11227" spans="1:19">
      <c r="A11227" s="1599" t="s">
        <v>3761</v>
      </c>
      <c r="B11227" s="4390"/>
      <c r="C11227" s="3886"/>
      <c r="D11227" s="4328"/>
      <c r="E11227" s="4330"/>
      <c r="F11227" s="4363"/>
      <c r="G11227" s="4332"/>
      <c r="H11227" s="4332"/>
      <c r="I11227" s="1345">
        <v>4</v>
      </c>
      <c r="J11227" s="1307">
        <v>1</v>
      </c>
      <c r="K11227" s="1666">
        <f>I11227*J11227</f>
        <v>4</v>
      </c>
      <c r="L11227" s="4334"/>
      <c r="M11227" s="4324"/>
      <c r="N11227" s="4324"/>
      <c r="O11227" s="1298">
        <f>O11229+O11230+O11231+O11232+O11234</f>
        <v>28.615000000000002</v>
      </c>
      <c r="P11227" s="1337">
        <f>O11227*K11227</f>
        <v>114.46000000000001</v>
      </c>
      <c r="Q11227" s="3390"/>
      <c r="R11227" s="1721">
        <f>P11229+P11230+P11231+P11232+P11234</f>
        <v>114.46000000000001</v>
      </c>
      <c r="S11227" s="22"/>
    </row>
    <row r="11228" spans="1:19">
      <c r="A11228" s="1599"/>
      <c r="B11228" s="3952"/>
      <c r="C11228" s="3981"/>
      <c r="D11228" s="1367"/>
      <c r="E11228" s="2121"/>
      <c r="F11228" s="1389" t="s">
        <v>1</v>
      </c>
      <c r="G11228" s="1389"/>
      <c r="H11228" s="1369"/>
      <c r="I11228" s="2088"/>
      <c r="J11228" s="1369"/>
      <c r="K11228" s="1391"/>
      <c r="L11228" s="1559"/>
      <c r="M11228" s="1369"/>
      <c r="N11228" s="1369"/>
      <c r="O11228" s="1369"/>
      <c r="P11228" s="1392"/>
      <c r="Q11228" s="3395"/>
      <c r="R11228" s="2344"/>
      <c r="S11228" s="22"/>
    </row>
    <row r="11229" spans="1:19">
      <c r="A11229" s="22"/>
      <c r="B11229" s="1042"/>
      <c r="C11229" s="88"/>
      <c r="D11229" s="2290" t="s">
        <v>3812</v>
      </c>
      <c r="E11229" s="2307" t="s">
        <v>1504</v>
      </c>
      <c r="F11229" s="2290" t="s">
        <v>3813</v>
      </c>
      <c r="G11229" s="2291">
        <v>1</v>
      </c>
      <c r="H11229" s="1369"/>
      <c r="I11229" s="1299"/>
      <c r="J11229" s="1300"/>
      <c r="K11229" s="1350">
        <f>G11229*K11227</f>
        <v>4</v>
      </c>
      <c r="L11229" s="1335">
        <f>K11229*$K$10671</f>
        <v>0</v>
      </c>
      <c r="M11229" s="1302">
        <v>24</v>
      </c>
      <c r="N11229" s="1724"/>
      <c r="O11229" s="1290">
        <f>G11229*M11229</f>
        <v>24</v>
      </c>
      <c r="P11229" s="1332">
        <f>M11229*K11229</f>
        <v>96</v>
      </c>
      <c r="Q11229" s="3391"/>
      <c r="S11229" s="22"/>
    </row>
    <row r="11230" spans="1:19">
      <c r="A11230" s="22"/>
      <c r="B11230" s="1042"/>
      <c r="C11230" s="88"/>
      <c r="D11230" s="2290" t="s">
        <v>1097</v>
      </c>
      <c r="E11230" s="2307" t="s">
        <v>1504</v>
      </c>
      <c r="F11230" s="2290" t="s">
        <v>1632</v>
      </c>
      <c r="G11230" s="2291">
        <v>1</v>
      </c>
      <c r="H11230" s="1369"/>
      <c r="I11230" s="1299"/>
      <c r="J11230" s="1300"/>
      <c r="K11230" s="1350">
        <f>G11230*K11227</f>
        <v>4</v>
      </c>
      <c r="L11230" s="1335">
        <f>K11230*$K$10671</f>
        <v>0</v>
      </c>
      <c r="M11230" s="1302">
        <v>0.55000000000000004</v>
      </c>
      <c r="N11230" s="1724"/>
      <c r="O11230" s="1290">
        <f>G11230*M11230</f>
        <v>0.55000000000000004</v>
      </c>
      <c r="P11230" s="1332">
        <f>M11230*K11230</f>
        <v>2.2000000000000002</v>
      </c>
      <c r="Q11230" s="3391"/>
      <c r="S11230" s="22"/>
    </row>
    <row r="11231" spans="1:19">
      <c r="A11231" s="22"/>
      <c r="B11231" s="1042"/>
      <c r="C11231" s="88"/>
      <c r="D11231" s="2290" t="s">
        <v>1082</v>
      </c>
      <c r="E11231" s="2307" t="s">
        <v>1504</v>
      </c>
      <c r="F11231" s="2290" t="s">
        <v>1541</v>
      </c>
      <c r="G11231" s="2291">
        <v>1</v>
      </c>
      <c r="H11231" s="1369"/>
      <c r="I11231" s="1299"/>
      <c r="J11231" s="1300"/>
      <c r="K11231" s="1350">
        <f>G11231*K11227</f>
        <v>4</v>
      </c>
      <c r="L11231" s="1335">
        <f>K11231*$K$10671</f>
        <v>0</v>
      </c>
      <c r="M11231" s="1302">
        <v>0.3</v>
      </c>
      <c r="N11231" s="1724"/>
      <c r="O11231" s="1290">
        <f>G11231*M11231</f>
        <v>0.3</v>
      </c>
      <c r="P11231" s="1332">
        <f>M11231*K11231</f>
        <v>1.2</v>
      </c>
      <c r="Q11231" s="3391"/>
      <c r="S11231" s="22"/>
    </row>
    <row r="11232" spans="1:19">
      <c r="A11232" s="22"/>
      <c r="B11232" s="1042"/>
      <c r="C11232" s="88"/>
      <c r="D11232" s="1367"/>
      <c r="E11232" s="2121"/>
      <c r="F11232" s="1367"/>
      <c r="G11232" s="1554"/>
      <c r="H11232" s="1369"/>
      <c r="I11232" s="1299"/>
      <c r="J11232" s="1300"/>
      <c r="K11232" s="1307"/>
      <c r="L11232" s="1335"/>
      <c r="M11232" s="1302"/>
      <c r="N11232" s="1724"/>
      <c r="O11232" s="1290"/>
      <c r="P11232" s="1332"/>
      <c r="Q11232" s="3391"/>
      <c r="S11232" s="22"/>
    </row>
    <row r="11233" spans="1:19" ht="26">
      <c r="A11233" s="3995"/>
      <c r="B11233" s="1320"/>
      <c r="C11233" s="88"/>
      <c r="D11233" s="1359"/>
      <c r="E11233" s="1858"/>
      <c r="F11233" s="1360" t="s">
        <v>2</v>
      </c>
      <c r="G11233" s="1360"/>
      <c r="H11233" s="1362"/>
      <c r="I11233" s="1380"/>
      <c r="J11233" s="1381"/>
      <c r="K11233" s="1381"/>
      <c r="L11233" s="1458"/>
      <c r="M11233" s="1362"/>
      <c r="N11233" s="1362"/>
      <c r="O11233" s="1362"/>
      <c r="P11233" s="1359"/>
      <c r="Q11233" s="3403"/>
      <c r="R11233" s="2357"/>
      <c r="S11233" s="22"/>
    </row>
    <row r="11234" spans="1:19">
      <c r="A11234" s="22"/>
      <c r="B11234" s="1320"/>
      <c r="C11234" s="4039" t="s">
        <v>2649</v>
      </c>
      <c r="D11234" s="1311"/>
      <c r="E11234" s="2176" t="s">
        <v>1508</v>
      </c>
      <c r="F11234" s="1648" t="s">
        <v>2650</v>
      </c>
      <c r="G11234" s="1990"/>
      <c r="H11234" s="1954">
        <v>0.1</v>
      </c>
      <c r="I11234" s="1444"/>
      <c r="J11234" s="1388"/>
      <c r="K11234" s="1445"/>
      <c r="L11234" s="1457"/>
      <c r="M11234" s="1447"/>
      <c r="N11234" s="1447">
        <f>SUM(N11235:N11236)</f>
        <v>37.650000000000006</v>
      </c>
      <c r="O11234" s="1447">
        <f>SUM(O11235:O11236)</f>
        <v>3.7650000000000006</v>
      </c>
      <c r="P11234" s="1447">
        <f>SUM(P11235:P11236)</f>
        <v>15.060000000000002</v>
      </c>
      <c r="Q11234" s="3391"/>
      <c r="R11234" s="2337"/>
      <c r="S11234" s="22"/>
    </row>
    <row r="11235" spans="1:19">
      <c r="A11235" s="22"/>
      <c r="B11235" s="1599"/>
      <c r="C11235" s="3952"/>
      <c r="D11235" s="3860" t="s">
        <v>2691</v>
      </c>
      <c r="E11235" s="1857" t="s">
        <v>1508</v>
      </c>
      <c r="F11235" s="1403" t="s">
        <v>2692</v>
      </c>
      <c r="G11235" s="1991">
        <v>1</v>
      </c>
      <c r="H11235" s="1937">
        <f>G11235*H11234</f>
        <v>0.1</v>
      </c>
      <c r="I11235" s="1286"/>
      <c r="J11235" s="198"/>
      <c r="K11235" s="1307">
        <f>H11235*K11227</f>
        <v>0.4</v>
      </c>
      <c r="L11235" s="1335">
        <f>K11235*$K$10671</f>
        <v>0</v>
      </c>
      <c r="M11235" s="1302">
        <v>19.23</v>
      </c>
      <c r="N11235" s="1718">
        <f>G11235*M11235</f>
        <v>19.23</v>
      </c>
      <c r="O11235" s="1290">
        <f>H11235*M11235</f>
        <v>1.923</v>
      </c>
      <c r="P11235" s="1720">
        <f>M11235*K11235</f>
        <v>7.6920000000000002</v>
      </c>
      <c r="Q11235" s="3396"/>
      <c r="R11235" s="2337"/>
      <c r="S11235" s="22"/>
    </row>
    <row r="11236" spans="1:19">
      <c r="A11236" s="22"/>
      <c r="B11236" s="1599"/>
      <c r="C11236" s="1320"/>
      <c r="D11236" s="3860" t="s">
        <v>1110</v>
      </c>
      <c r="E11236" s="1857" t="s">
        <v>1508</v>
      </c>
      <c r="F11236" s="1403" t="s">
        <v>2281</v>
      </c>
      <c r="G11236" s="1991">
        <v>1</v>
      </c>
      <c r="H11236" s="1937">
        <f>G11236*H11234</f>
        <v>0.1</v>
      </c>
      <c r="I11236" s="197"/>
      <c r="J11236" s="198"/>
      <c r="K11236" s="1307">
        <f>H11236*K11227</f>
        <v>0.4</v>
      </c>
      <c r="L11236" s="1335">
        <f>K11236*$K$10671</f>
        <v>0</v>
      </c>
      <c r="M11236" s="1302">
        <v>18.420000000000002</v>
      </c>
      <c r="N11236" s="1718">
        <f>G11236*M11236</f>
        <v>18.420000000000002</v>
      </c>
      <c r="O11236" s="1290">
        <f>H11236*M11236</f>
        <v>1.8420000000000003</v>
      </c>
      <c r="P11236" s="1720">
        <f>M11236*K11236</f>
        <v>7.3680000000000012</v>
      </c>
      <c r="Q11236" s="3396"/>
      <c r="R11236" s="2337"/>
      <c r="S11236" s="22"/>
    </row>
    <row r="11237" spans="1:19">
      <c r="A11237" s="19"/>
      <c r="B11237" s="553"/>
      <c r="C11237" s="1042"/>
      <c r="D11237" s="3860"/>
      <c r="E11237" s="1857"/>
      <c r="F11237" s="1402"/>
      <c r="G11237" s="2105"/>
      <c r="H11237" s="1408"/>
      <c r="I11237" s="197"/>
      <c r="J11237" s="198"/>
      <c r="K11237" s="1307"/>
      <c r="L11237" s="1335"/>
      <c r="M11237" s="1302"/>
      <c r="N11237" s="1724"/>
      <c r="O11237" s="1719"/>
      <c r="P11237" s="1727"/>
      <c r="Q11237" s="3396"/>
      <c r="R11237" s="2338"/>
      <c r="S11237" s="22"/>
    </row>
    <row r="11238" spans="1:19">
      <c r="A11238" s="19"/>
      <c r="B11238" s="553"/>
      <c r="C11238" s="1042"/>
      <c r="D11238" s="3860"/>
      <c r="E11238" s="1857"/>
      <c r="F11238" s="1402"/>
      <c r="G11238" s="2105"/>
      <c r="H11238" s="1408"/>
      <c r="I11238" s="197"/>
      <c r="J11238" s="198"/>
      <c r="K11238" s="1307"/>
      <c r="L11238" s="1335"/>
      <c r="M11238" s="1302"/>
      <c r="N11238" s="1724"/>
      <c r="O11238" s="1719"/>
      <c r="P11238" s="1727"/>
      <c r="Q11238" s="3396"/>
      <c r="R11238" s="2338"/>
    </row>
    <row r="11239" spans="1:19">
      <c r="A11239" s="19"/>
      <c r="B11239" s="553"/>
      <c r="C11239" s="1042"/>
      <c r="D11239" s="3860"/>
      <c r="E11239" s="1857"/>
      <c r="F11239" s="1402"/>
      <c r="G11239" s="2105"/>
      <c r="H11239" s="1408"/>
      <c r="I11239" s="197"/>
      <c r="J11239" s="198"/>
      <c r="K11239" s="1307"/>
      <c r="L11239" s="1335"/>
      <c r="M11239" s="1302"/>
      <c r="N11239" s="1724"/>
      <c r="O11239" s="1719"/>
      <c r="P11239" s="1727"/>
      <c r="Q11239" s="3396"/>
      <c r="R11239" s="2338"/>
    </row>
    <row r="11240" spans="1:19">
      <c r="A11240" s="1599"/>
      <c r="B11240" s="1599"/>
      <c r="C11240" s="1320"/>
      <c r="D11240" s="4037"/>
      <c r="E11240" s="2123"/>
      <c r="F11240" s="1374" t="s">
        <v>3</v>
      </c>
      <c r="G11240" s="2199"/>
      <c r="H11240" s="1376"/>
      <c r="I11240" s="1382"/>
      <c r="J11240" s="1383"/>
      <c r="K11240" s="1383" t="str">
        <f>IF(COUNT(I11240)=0,"",(I11240*J11240))</f>
        <v/>
      </c>
      <c r="L11240" s="1413"/>
      <c r="M11240" s="1376"/>
      <c r="N11240" s="1376"/>
      <c r="O11240" s="1376"/>
      <c r="P11240" s="1373"/>
      <c r="Q11240" s="3403"/>
      <c r="R11240" s="2356"/>
    </row>
    <row r="11241" spans="1:19">
      <c r="A11241" s="2053"/>
      <c r="B11241" s="2053"/>
      <c r="C11241" s="1321"/>
      <c r="D11241" s="3997"/>
      <c r="E11241" s="2304"/>
      <c r="F11241" s="2202"/>
      <c r="G11241" s="2203"/>
      <c r="H11241" s="1379"/>
      <c r="I11241" s="1299"/>
      <c r="J11241" s="1300"/>
      <c r="K11241" s="1307"/>
      <c r="L11241" s="1335"/>
      <c r="M11241" s="1302"/>
      <c r="N11241" s="1700"/>
      <c r="O11241" s="1290"/>
      <c r="P11241" s="1332"/>
      <c r="Q11241" s="3402"/>
      <c r="R11241" s="2053"/>
    </row>
    <row r="11242" spans="1:19">
      <c r="A11242" s="2053"/>
      <c r="B11242" s="2053"/>
      <c r="C11242" s="1321"/>
      <c r="D11242" s="4038"/>
      <c r="E11242" s="2124"/>
      <c r="F11242" s="1378"/>
      <c r="G11242" s="2200"/>
      <c r="H11242" s="1379"/>
      <c r="I11242" s="1299"/>
      <c r="J11242" s="1300"/>
      <c r="K11242" s="1307"/>
      <c r="L11242" s="1335"/>
      <c r="M11242" s="1302"/>
      <c r="N11242" s="1700"/>
      <c r="O11242" s="1290"/>
      <c r="P11242" s="1332"/>
      <c r="Q11242" s="3402"/>
      <c r="R11242" s="2053"/>
    </row>
    <row r="11243" spans="1:19">
      <c r="A11243" s="1599"/>
      <c r="B11243" s="1599"/>
      <c r="C11243" s="1042"/>
      <c r="D11243" s="4037"/>
      <c r="E11243" s="2161"/>
      <c r="F11243" s="1678"/>
      <c r="G11243" s="2201"/>
      <c r="H11243" s="1376"/>
      <c r="I11243" s="1299"/>
      <c r="J11243" s="1300"/>
      <c r="K11243" s="1307"/>
      <c r="L11243" s="1335"/>
      <c r="M11243" s="1302"/>
      <c r="N11243" s="1700"/>
      <c r="O11243" s="1290"/>
      <c r="P11243" s="1332"/>
      <c r="Q11243" s="3402"/>
      <c r="R11243" s="2356"/>
    </row>
    <row r="11244" spans="1:19">
      <c r="A11244" s="1599"/>
      <c r="B11244" s="1765"/>
      <c r="C11244" s="223"/>
      <c r="D11244" s="3890"/>
      <c r="E11244" s="3891"/>
      <c r="F11244" s="3892"/>
      <c r="G11244" s="3993"/>
      <c r="H11244" s="3893"/>
      <c r="I11244" s="1299"/>
      <c r="J11244" s="3939"/>
      <c r="K11244" s="1307"/>
      <c r="L11244" s="1594"/>
      <c r="M11244" s="3895"/>
      <c r="N11244" s="2283"/>
      <c r="O11244" s="1290"/>
      <c r="P11244" s="3919"/>
      <c r="Q11244" s="3391"/>
      <c r="R11244" s="3889"/>
    </row>
    <row r="11245" spans="1:19">
      <c r="A11245" s="551" t="s">
        <v>3764</v>
      </c>
      <c r="B11245" s="4390" t="s">
        <v>2000</v>
      </c>
      <c r="C11245" s="3961"/>
      <c r="D11245" s="4327"/>
      <c r="E11245" s="4329" t="s">
        <v>1507</v>
      </c>
      <c r="F11245" s="4372" t="s">
        <v>2001</v>
      </c>
      <c r="G11245" s="4331" t="s">
        <v>1568</v>
      </c>
      <c r="H11245" s="4331" t="s">
        <v>1574</v>
      </c>
      <c r="I11245" s="1572" t="s">
        <v>1559</v>
      </c>
      <c r="J11245" s="1294" t="s">
        <v>1560</v>
      </c>
      <c r="K11245" s="1294" t="s">
        <v>1569</v>
      </c>
      <c r="L11245" s="4333" t="s">
        <v>3765</v>
      </c>
      <c r="M11245" s="4323" t="s">
        <v>1571</v>
      </c>
      <c r="N11245" s="4323" t="s">
        <v>1776</v>
      </c>
      <c r="O11245" s="3347" t="s">
        <v>1563</v>
      </c>
      <c r="P11245" s="1336" t="s">
        <v>1562</v>
      </c>
      <c r="Q11245" s="3389"/>
      <c r="R11245" s="1699" t="s">
        <v>1327</v>
      </c>
    </row>
    <row r="11246" spans="1:19">
      <c r="A11246" s="1599" t="s">
        <v>3761</v>
      </c>
      <c r="B11246" s="4326"/>
      <c r="C11246" s="3351"/>
      <c r="D11246" s="4328"/>
      <c r="E11246" s="4330"/>
      <c r="F11246" s="4363"/>
      <c r="G11246" s="4332"/>
      <c r="H11246" s="4332"/>
      <c r="I11246" s="1345">
        <v>4</v>
      </c>
      <c r="J11246" s="1307">
        <v>1</v>
      </c>
      <c r="K11246" s="1666">
        <f>I11246*J11246</f>
        <v>4</v>
      </c>
      <c r="L11246" s="4334"/>
      <c r="M11246" s="4324"/>
      <c r="N11246" s="4324"/>
      <c r="O11246" s="1298">
        <f>O11248+O11249+O11250+O11251+O11252+O11260+O11261+O11266</f>
        <v>34.853999709999997</v>
      </c>
      <c r="P11246" s="1337">
        <f>O11246*K11246</f>
        <v>139.41599883999999</v>
      </c>
      <c r="Q11246" s="3390"/>
      <c r="R11246" s="1721">
        <f>P11248+P11249+P11250+P11251+P11252+P11260+P11261+P11266</f>
        <v>139.41599883999999</v>
      </c>
    </row>
    <row r="11247" spans="1:19">
      <c r="A11247" s="1599"/>
      <c r="B11247" s="1949"/>
      <c r="C11247" s="1327"/>
      <c r="D11247" s="1367"/>
      <c r="E11247" s="2121"/>
      <c r="F11247" s="1389" t="s">
        <v>1</v>
      </c>
      <c r="G11247" s="1389"/>
      <c r="H11247" s="1369"/>
      <c r="I11247" s="2088"/>
      <c r="J11247" s="1369"/>
      <c r="K11247" s="1391"/>
      <c r="L11247" s="1559"/>
      <c r="M11247" s="1369"/>
      <c r="N11247" s="1369"/>
      <c r="O11247" s="1369"/>
      <c r="P11247" s="1392"/>
      <c r="Q11247" s="3395"/>
      <c r="R11247" s="2344"/>
    </row>
    <row r="11248" spans="1:19">
      <c r="B11248" s="553"/>
      <c r="C11248" s="1042"/>
      <c r="D11248" s="1367" t="s">
        <v>2006</v>
      </c>
      <c r="E11248" s="2121" t="s">
        <v>1507</v>
      </c>
      <c r="F11248" s="1367" t="s">
        <v>2007</v>
      </c>
      <c r="G11248" s="1367">
        <v>2.2000000000000002</v>
      </c>
      <c r="H11248" s="1369"/>
      <c r="I11248" s="1299"/>
      <c r="J11248" s="1300"/>
      <c r="K11248" s="1307">
        <f>G11248*K11246</f>
        <v>8.8000000000000007</v>
      </c>
      <c r="L11248" s="1335">
        <f>K11248*$K$10671</f>
        <v>0</v>
      </c>
      <c r="M11248" s="1499">
        <v>0.73</v>
      </c>
      <c r="N11248" s="1724"/>
      <c r="O11248" s="1290">
        <f>G11248*M11248</f>
        <v>1.6060000000000001</v>
      </c>
      <c r="P11248" s="1332">
        <f>M11248*K11248</f>
        <v>6.4240000000000004</v>
      </c>
      <c r="Q11248" s="3391"/>
    </row>
    <row r="11249" spans="1:18">
      <c r="A11249" s="16"/>
      <c r="B11249" s="1599"/>
      <c r="C11249" s="1320"/>
      <c r="D11249" s="1587" t="s">
        <v>2004</v>
      </c>
      <c r="E11249" s="2138" t="s">
        <v>1527</v>
      </c>
      <c r="F11249" s="1587" t="s">
        <v>2005</v>
      </c>
      <c r="G11249" s="2207">
        <v>1.111</v>
      </c>
      <c r="H11249" s="1369"/>
      <c r="I11249" s="1299"/>
      <c r="J11249" s="1300"/>
      <c r="K11249" s="1307">
        <f>G11249*K11246</f>
        <v>4.444</v>
      </c>
      <c r="L11249" s="1335">
        <f>K11249*$K$10671</f>
        <v>0</v>
      </c>
      <c r="M11249" s="1499">
        <v>9.27</v>
      </c>
      <c r="N11249" s="1724"/>
      <c r="O11249" s="1290">
        <f>G11249*M11249</f>
        <v>10.298969999999999</v>
      </c>
      <c r="P11249" s="1332">
        <f>M11249*K11249</f>
        <v>41.195879999999995</v>
      </c>
      <c r="Q11249" s="3391"/>
      <c r="R11249" s="3363"/>
    </row>
    <row r="11250" spans="1:18">
      <c r="A11250" s="16"/>
      <c r="B11250" s="1599"/>
      <c r="C11250" s="1320"/>
      <c r="D11250" s="1587" t="s">
        <v>2002</v>
      </c>
      <c r="E11250" s="2138" t="s">
        <v>1507</v>
      </c>
      <c r="F11250" s="1587" t="s">
        <v>2003</v>
      </c>
      <c r="G11250" s="2207">
        <v>1.111</v>
      </c>
      <c r="H11250" s="1369"/>
      <c r="I11250" s="1299"/>
      <c r="J11250" s="1300"/>
      <c r="K11250" s="1307">
        <f>G11250*K11246</f>
        <v>4.444</v>
      </c>
      <c r="L11250" s="1335">
        <f>K11250*$K$10671</f>
        <v>0</v>
      </c>
      <c r="M11250" s="1499">
        <v>8.4700000000000006</v>
      </c>
      <c r="N11250" s="1724"/>
      <c r="O11250" s="1290">
        <f>G11250*M11250</f>
        <v>9.4101700000000008</v>
      </c>
      <c r="P11250" s="1332">
        <f>M11250*K11250</f>
        <v>37.640680000000003</v>
      </c>
      <c r="Q11250" s="3391"/>
      <c r="R11250" s="3363"/>
    </row>
    <row r="11251" spans="1:18">
      <c r="A11251" s="1320"/>
      <c r="B11251" s="1599"/>
      <c r="C11251" s="1320"/>
      <c r="D11251" s="1654" t="s">
        <v>1082</v>
      </c>
      <c r="E11251" s="2300" t="s">
        <v>1504</v>
      </c>
      <c r="F11251" s="1654" t="s">
        <v>1541</v>
      </c>
      <c r="G11251" s="2204">
        <v>0.4</v>
      </c>
      <c r="H11251" s="1369"/>
      <c r="I11251" s="1299"/>
      <c r="J11251" s="1300"/>
      <c r="K11251" s="1307">
        <f>G11251*K11246</f>
        <v>1.6</v>
      </c>
      <c r="L11251" s="1335">
        <f>K11251*$K$10671</f>
        <v>0</v>
      </c>
      <c r="M11251" s="1302">
        <v>0.3</v>
      </c>
      <c r="N11251" s="1724"/>
      <c r="O11251" s="1290">
        <f>G11251*M11251</f>
        <v>0.12</v>
      </c>
      <c r="P11251" s="1332">
        <f>M11251*K11251</f>
        <v>0.48</v>
      </c>
      <c r="Q11251" s="3402"/>
      <c r="R11251" s="2356"/>
    </row>
    <row r="11252" spans="1:18">
      <c r="A11252" s="1042"/>
      <c r="B11252" s="22"/>
      <c r="C11252" s="1658" t="s">
        <v>1122</v>
      </c>
      <c r="D11252" s="1311"/>
      <c r="E11252" s="1855" t="s">
        <v>1517</v>
      </c>
      <c r="F11252" s="2208" t="s">
        <v>1681</v>
      </c>
      <c r="G11252" s="1338"/>
      <c r="H11252" s="1758">
        <v>4.1000000000000002E-2</v>
      </c>
      <c r="I11252" s="1444"/>
      <c r="J11252" s="1388"/>
      <c r="K11252" s="1510"/>
      <c r="L11252" s="1445"/>
      <c r="M11252" s="1500"/>
      <c r="N11252" s="1501">
        <f>SUM(N11253:N11257)</f>
        <v>51.667310000000001</v>
      </c>
      <c r="O11252" s="1501">
        <f>SUM(O11253:O11257)</f>
        <v>2.11835971</v>
      </c>
      <c r="P11252" s="1501">
        <f>SUM(P11253:P11257)</f>
        <v>8.47343884</v>
      </c>
      <c r="Q11252" s="3391"/>
      <c r="R11252" s="1296"/>
    </row>
    <row r="11253" spans="1:18">
      <c r="A11253" s="1042"/>
      <c r="B11253" s="22"/>
      <c r="C11253" s="1042"/>
      <c r="D11253" s="1451" t="s">
        <v>1069</v>
      </c>
      <c r="E11253" s="1856" t="s">
        <v>1517</v>
      </c>
      <c r="F11253" s="1421" t="s">
        <v>1578</v>
      </c>
      <c r="G11253" s="1452">
        <v>0.26300000000000001</v>
      </c>
      <c r="H11253" s="1453">
        <f>H11252*G11253</f>
        <v>1.0783000000000001E-2</v>
      </c>
      <c r="I11253" s="197"/>
      <c r="J11253" s="198"/>
      <c r="K11253" s="1307">
        <f>H11253*K11246</f>
        <v>4.3132000000000004E-2</v>
      </c>
      <c r="L11253" s="1335">
        <f>K11253*$K$10671</f>
        <v>0</v>
      </c>
      <c r="M11253" s="1723">
        <v>0.55000000000000004</v>
      </c>
      <c r="N11253" s="1724">
        <f>G11253*M11253</f>
        <v>0.14465000000000003</v>
      </c>
      <c r="O11253" s="1719">
        <f>H11253*M11253</f>
        <v>5.9306500000000009E-3</v>
      </c>
      <c r="P11253" s="1727">
        <f>K11253*M11253</f>
        <v>2.3722600000000003E-2</v>
      </c>
      <c r="Q11253" s="3396"/>
      <c r="R11253" s="1296"/>
    </row>
    <row r="11254" spans="1:18">
      <c r="A11254" s="1042"/>
      <c r="B11254" s="22"/>
      <c r="C11254" s="1320"/>
      <c r="D11254" s="1367" t="s">
        <v>1394</v>
      </c>
      <c r="E11254" s="1856" t="s">
        <v>1577</v>
      </c>
      <c r="F11254" s="1421" t="s">
        <v>1579</v>
      </c>
      <c r="G11254" s="1452">
        <v>0.25800000000000001</v>
      </c>
      <c r="H11254" s="1453">
        <f>H11252*G11254</f>
        <v>1.0578000000000001E-2</v>
      </c>
      <c r="I11254" s="197"/>
      <c r="J11254" s="198"/>
      <c r="K11254" s="1307">
        <f>H11254*K11246</f>
        <v>4.2312000000000002E-2</v>
      </c>
      <c r="L11254" s="1335">
        <f>K11254*$K$10671</f>
        <v>0</v>
      </c>
      <c r="M11254" s="1723">
        <v>92.54</v>
      </c>
      <c r="N11254" s="1724">
        <f>G11254*M11254</f>
        <v>23.875320000000002</v>
      </c>
      <c r="O11254" s="1719">
        <f>H11254*M11254</f>
        <v>0.97888812000000014</v>
      </c>
      <c r="P11254" s="1720">
        <f>K11254*M11254</f>
        <v>3.9155524800000006</v>
      </c>
      <c r="Q11254" s="3396"/>
      <c r="R11254" s="1296"/>
    </row>
    <row r="11255" spans="1:18" ht="15" customHeight="1">
      <c r="A11255" s="1042"/>
      <c r="B11255" s="22"/>
      <c r="C11255" s="1320"/>
      <c r="D11255" s="1603" t="s">
        <v>1682</v>
      </c>
      <c r="E11255" s="1856" t="s">
        <v>1683</v>
      </c>
      <c r="F11255" s="1421" t="s">
        <v>1684</v>
      </c>
      <c r="G11255" s="1452">
        <v>1.288</v>
      </c>
      <c r="H11255" s="1453">
        <f>H11252*G11255</f>
        <v>5.2808000000000001E-2</v>
      </c>
      <c r="I11255" s="197"/>
      <c r="J11255" s="198"/>
      <c r="K11255" s="1307">
        <f>H11255*K11246</f>
        <v>0.211232</v>
      </c>
      <c r="L11255" s="1335">
        <f>K11255*$K$10671</f>
        <v>0</v>
      </c>
      <c r="M11255" s="1723">
        <v>1.26</v>
      </c>
      <c r="N11255" s="1724">
        <f>G11255*M11255</f>
        <v>1.6228800000000001</v>
      </c>
      <c r="O11255" s="1719">
        <f>H11255*M11255</f>
        <v>6.6538079999999999E-2</v>
      </c>
      <c r="P11255" s="1720">
        <f>K11255*M11255</f>
        <v>0.26615232</v>
      </c>
      <c r="Q11255" s="3396"/>
      <c r="R11255" s="1296"/>
    </row>
    <row r="11256" spans="1:18">
      <c r="A11256" s="1042"/>
      <c r="B11256" s="22"/>
      <c r="C11256" s="1320"/>
      <c r="D11256" s="1603" t="s">
        <v>1576</v>
      </c>
      <c r="E11256" s="1856" t="s">
        <v>1517</v>
      </c>
      <c r="F11256" s="1421" t="s">
        <v>1580</v>
      </c>
      <c r="G11256" s="1452">
        <v>1.1020000000000001</v>
      </c>
      <c r="H11256" s="1453">
        <f>H11252*G11256</f>
        <v>4.5182000000000007E-2</v>
      </c>
      <c r="I11256" s="197"/>
      <c r="J11256" s="198"/>
      <c r="K11256" s="1307">
        <f>H11256*K11246</f>
        <v>0.18072800000000003</v>
      </c>
      <c r="L11256" s="1335">
        <f>K11256*$K$10671</f>
        <v>0</v>
      </c>
      <c r="M11256" s="1723">
        <v>6.53</v>
      </c>
      <c r="N11256" s="1724">
        <f>G11256*M11256</f>
        <v>7.196060000000001</v>
      </c>
      <c r="O11256" s="1719">
        <f>H11256*M11256</f>
        <v>0.29503846000000006</v>
      </c>
      <c r="P11256" s="1720">
        <f>K11256*M11256</f>
        <v>1.1801538400000002</v>
      </c>
      <c r="Q11256" s="3396"/>
      <c r="R11256" s="1296"/>
    </row>
    <row r="11257" spans="1:18">
      <c r="A11257" s="1042"/>
      <c r="B11257" s="22"/>
      <c r="C11257" s="1320"/>
      <c r="D11257" s="1359" t="s">
        <v>1067</v>
      </c>
      <c r="E11257" s="1857" t="s">
        <v>1508</v>
      </c>
      <c r="F11257" s="1430" t="s">
        <v>1512</v>
      </c>
      <c r="G11257" s="1431">
        <v>1.03</v>
      </c>
      <c r="H11257" s="1454">
        <f>H11252*G11257</f>
        <v>4.2230000000000004E-2</v>
      </c>
      <c r="I11257" s="197"/>
      <c r="J11257" s="198"/>
      <c r="K11257" s="1307">
        <f>H11257*K11246</f>
        <v>0.16892000000000001</v>
      </c>
      <c r="L11257" s="1335">
        <f>K11257*$K$10671</f>
        <v>0</v>
      </c>
      <c r="M11257" s="1723">
        <v>18.28</v>
      </c>
      <c r="N11257" s="1724">
        <f>G11257*M11257</f>
        <v>18.828400000000002</v>
      </c>
      <c r="O11257" s="1719">
        <f>H11257*M11257</f>
        <v>0.77196440000000011</v>
      </c>
      <c r="P11257" s="1720">
        <f>K11257*M11257</f>
        <v>3.0878576000000004</v>
      </c>
      <c r="Q11257" s="3396"/>
      <c r="R11257" s="1296"/>
    </row>
    <row r="11258" spans="1:18">
      <c r="A11258" s="16"/>
      <c r="B11258" s="1599"/>
      <c r="C11258" s="1320"/>
      <c r="D11258" s="2205"/>
      <c r="E11258" s="2130"/>
      <c r="F11258" s="2205"/>
      <c r="G11258" s="2206"/>
      <c r="H11258" s="1399"/>
      <c r="I11258" s="198"/>
      <c r="J11258" s="198"/>
      <c r="K11258" s="1307"/>
      <c r="L11258" s="1335"/>
      <c r="M11258" s="1499"/>
      <c r="N11258" s="1701"/>
      <c r="O11258" s="1291"/>
      <c r="P11258" s="1332"/>
      <c r="Q11258" s="3391"/>
      <c r="R11258" s="3363"/>
    </row>
    <row r="11259" spans="1:18" ht="26">
      <c r="A11259" s="2187"/>
      <c r="B11259" s="1599"/>
      <c r="C11259" s="1042"/>
      <c r="D11259" s="1359"/>
      <c r="E11259" s="1858"/>
      <c r="F11259" s="1360" t="s">
        <v>2</v>
      </c>
      <c r="G11259" s="1360"/>
      <c r="H11259" s="1362"/>
      <c r="I11259" s="1380"/>
      <c r="J11259" s="1381"/>
      <c r="K11259" s="1381"/>
      <c r="L11259" s="1458"/>
      <c r="M11259" s="1362"/>
      <c r="N11259" s="1362"/>
      <c r="O11259" s="1362"/>
      <c r="P11259" s="1359"/>
      <c r="Q11259" s="3403"/>
      <c r="R11259" s="2357"/>
    </row>
    <row r="11260" spans="1:18">
      <c r="A11260" s="19"/>
      <c r="B11260" s="1042"/>
      <c r="C11260" s="1042"/>
      <c r="D11260" s="1402" t="s">
        <v>1133</v>
      </c>
      <c r="E11260" s="1857" t="s">
        <v>1508</v>
      </c>
      <c r="F11260" s="1430" t="s">
        <v>1955</v>
      </c>
      <c r="G11260" s="1381">
        <v>0.1</v>
      </c>
      <c r="H11260" s="1408"/>
      <c r="I11260" s="1340"/>
      <c r="J11260" s="198"/>
      <c r="K11260" s="1307">
        <f>G11260*K11246</f>
        <v>0.4</v>
      </c>
      <c r="L11260" s="1335">
        <f>K11260*$K$10671</f>
        <v>0</v>
      </c>
      <c r="M11260" s="1302">
        <v>19.23</v>
      </c>
      <c r="N11260" s="1724"/>
      <c r="O11260" s="1290">
        <f>G11260*M11260</f>
        <v>1.923</v>
      </c>
      <c r="P11260" s="1332">
        <f>M11260*K11260</f>
        <v>7.6920000000000002</v>
      </c>
      <c r="Q11260" s="3391"/>
      <c r="R11260" s="2338"/>
    </row>
    <row r="11261" spans="1:18">
      <c r="A11261" s="19"/>
      <c r="B11261" s="1042"/>
      <c r="C11261" s="1358" t="s">
        <v>1523</v>
      </c>
      <c r="D11261" s="1329"/>
      <c r="E11261" s="2135" t="s">
        <v>1508</v>
      </c>
      <c r="F11261" s="1330" t="s">
        <v>1524</v>
      </c>
      <c r="G11261" s="1461"/>
      <c r="H11261" s="1776">
        <v>0.25</v>
      </c>
      <c r="I11261" s="1488"/>
      <c r="J11261" s="1388"/>
      <c r="K11261" s="1510"/>
      <c r="L11261" s="1445"/>
      <c r="M11261" s="1446"/>
      <c r="N11261" s="1447">
        <f>SUM(N11262:N11263)</f>
        <v>37.510000000000005</v>
      </c>
      <c r="O11261" s="1447">
        <f>SUM(O11262:O11263)</f>
        <v>9.3775000000000013</v>
      </c>
      <c r="P11261" s="1447">
        <f>SUM(P11262:P11263)</f>
        <v>37.510000000000005</v>
      </c>
      <c r="Q11261" s="3391"/>
      <c r="R11261" s="2338"/>
    </row>
    <row r="11262" spans="1:18">
      <c r="A11262" s="19"/>
      <c r="B11262" s="1042"/>
      <c r="C11262" s="1042"/>
      <c r="D11262" s="1402" t="s">
        <v>1067</v>
      </c>
      <c r="E11262" s="1857" t="s">
        <v>1508</v>
      </c>
      <c r="F11262" s="1430" t="s">
        <v>5</v>
      </c>
      <c r="G11262" s="1381">
        <v>1</v>
      </c>
      <c r="H11262" s="1408">
        <f>G11262*H11261</f>
        <v>0.25</v>
      </c>
      <c r="I11262" s="1340"/>
      <c r="J11262" s="198"/>
      <c r="K11262" s="1307">
        <f>H11262*K11246</f>
        <v>1</v>
      </c>
      <c r="L11262" s="1335">
        <f>K11262*$K$10671</f>
        <v>0</v>
      </c>
      <c r="M11262" s="1302">
        <v>18.28</v>
      </c>
      <c r="N11262" s="1724">
        <f>G11262*M11262</f>
        <v>18.28</v>
      </c>
      <c r="O11262" s="1726">
        <f>H11262*M11262</f>
        <v>4.57</v>
      </c>
      <c r="P11262" s="1727">
        <f>M11262*K11262</f>
        <v>18.28</v>
      </c>
      <c r="Q11262" s="3396"/>
      <c r="R11262" s="2338"/>
    </row>
    <row r="11263" spans="1:18">
      <c r="A11263" s="19"/>
      <c r="B11263" s="1042"/>
      <c r="C11263" s="1042"/>
      <c r="D11263" s="1402" t="s">
        <v>1077</v>
      </c>
      <c r="E11263" s="1857" t="s">
        <v>1508</v>
      </c>
      <c r="F11263" s="1430" t="s">
        <v>37</v>
      </c>
      <c r="G11263" s="1381">
        <v>1</v>
      </c>
      <c r="H11263" s="1408">
        <f>G11263*H11261</f>
        <v>0.25</v>
      </c>
      <c r="I11263" s="198"/>
      <c r="J11263" s="198"/>
      <c r="K11263" s="1307">
        <f>H11263*K11246</f>
        <v>1</v>
      </c>
      <c r="L11263" s="1335">
        <f>K11263*$K$10671</f>
        <v>0</v>
      </c>
      <c r="M11263" s="1302">
        <v>19.23</v>
      </c>
      <c r="N11263" s="1724">
        <f>G11263*M11263</f>
        <v>19.23</v>
      </c>
      <c r="O11263" s="1719">
        <f>(H11263*M11263)</f>
        <v>4.8075000000000001</v>
      </c>
      <c r="P11263" s="1727">
        <f>M11263*K11263</f>
        <v>19.23</v>
      </c>
      <c r="Q11263" s="3396"/>
      <c r="R11263" s="2338"/>
    </row>
    <row r="11264" spans="1:18">
      <c r="A11264" s="22"/>
      <c r="B11264" s="1320"/>
      <c r="C11264" s="16"/>
      <c r="D11264" s="1359"/>
      <c r="E11264" s="1858"/>
      <c r="F11264" s="1474"/>
      <c r="G11264" s="2198"/>
      <c r="H11264" s="1466"/>
      <c r="I11264" s="1289"/>
      <c r="J11264" s="8"/>
      <c r="K11264" s="1307" t="str">
        <f>IF(COUNT(I11264)=0,"",(I11264*J11264))</f>
        <v/>
      </c>
      <c r="L11264" s="1335"/>
      <c r="M11264" s="1302"/>
      <c r="N11264" s="1700"/>
      <c r="O11264" s="1290"/>
      <c r="P11264" s="1332"/>
      <c r="Q11264" s="3391"/>
      <c r="R11264" s="2344"/>
    </row>
    <row r="11265" spans="1:18">
      <c r="A11265" s="1320"/>
      <c r="B11265" s="1599"/>
      <c r="C11265" s="1320"/>
      <c r="D11265" s="1373"/>
      <c r="E11265" s="2123"/>
      <c r="F11265" s="1374" t="s">
        <v>3</v>
      </c>
      <c r="G11265" s="2199"/>
      <c r="H11265" s="1376"/>
      <c r="I11265" s="1382"/>
      <c r="J11265" s="1383"/>
      <c r="K11265" s="1383" t="str">
        <f>IF(COUNT(I11265)=0,"",(I11265*J11265))</f>
        <v/>
      </c>
      <c r="L11265" s="1413"/>
      <c r="M11265" s="1376"/>
      <c r="N11265" s="1376"/>
      <c r="O11265" s="1376"/>
      <c r="P11265" s="1373"/>
      <c r="Q11265" s="3403"/>
      <c r="R11265" s="2356"/>
    </row>
    <row r="11266" spans="1:18">
      <c r="A11266" s="1321"/>
      <c r="B11266" s="2053"/>
      <c r="C11266" s="1321"/>
      <c r="D11266" s="2202"/>
      <c r="E11266" s="2304"/>
      <c r="F11266" s="2202"/>
      <c r="G11266" s="2203"/>
      <c r="H11266" s="1379"/>
      <c r="I11266" s="1299"/>
      <c r="J11266" s="1300"/>
      <c r="K11266" s="1307"/>
      <c r="L11266" s="1335"/>
      <c r="M11266" s="1302"/>
      <c r="N11266" s="1700"/>
      <c r="O11266" s="1290"/>
      <c r="P11266" s="1332"/>
      <c r="Q11266" s="3402"/>
      <c r="R11266" s="2053"/>
    </row>
    <row r="11267" spans="1:18">
      <c r="A11267" s="1321"/>
      <c r="B11267" s="2053"/>
      <c r="C11267" s="1321"/>
      <c r="D11267" s="1377"/>
      <c r="E11267" s="2124"/>
      <c r="F11267" s="1378"/>
      <c r="G11267" s="2200"/>
      <c r="H11267" s="1379"/>
      <c r="I11267" s="1299"/>
      <c r="J11267" s="1300"/>
      <c r="K11267" s="1307"/>
      <c r="L11267" s="1335"/>
      <c r="M11267" s="1302"/>
      <c r="N11267" s="1700"/>
      <c r="O11267" s="1290"/>
      <c r="P11267" s="1332"/>
      <c r="Q11267" s="3402"/>
      <c r="R11267" s="2053"/>
    </row>
    <row r="11268" spans="1:18">
      <c r="A11268" s="1320"/>
      <c r="B11268" s="1765"/>
      <c r="C11268" s="223"/>
      <c r="D11268" s="1373"/>
      <c r="E11268" s="2161"/>
      <c r="F11268" s="1678"/>
      <c r="G11268" s="2201"/>
      <c r="H11268" s="1376"/>
      <c r="I11268" s="1299"/>
      <c r="J11268" s="1300"/>
      <c r="K11268" s="1307"/>
      <c r="L11268" s="1335"/>
      <c r="M11268" s="1302"/>
      <c r="N11268" s="1700"/>
      <c r="O11268" s="1290"/>
      <c r="P11268" s="1332"/>
      <c r="Q11268" s="3402"/>
      <c r="R11268" s="2356"/>
    </row>
    <row r="11269" spans="1:18">
      <c r="A11269" s="551" t="s">
        <v>3764</v>
      </c>
      <c r="B11269" s="4325" t="s">
        <v>1712</v>
      </c>
      <c r="C11269" s="3961"/>
      <c r="D11269" s="4327"/>
      <c r="E11269" s="4337" t="s">
        <v>1507</v>
      </c>
      <c r="F11269" s="4338" t="s">
        <v>1714</v>
      </c>
      <c r="G11269" s="4331" t="s">
        <v>1568</v>
      </c>
      <c r="H11269" s="4331" t="s">
        <v>1574</v>
      </c>
      <c r="I11269" s="1572" t="s">
        <v>1559</v>
      </c>
      <c r="J11269" s="1294" t="s">
        <v>1560</v>
      </c>
      <c r="K11269" s="1294" t="s">
        <v>1561</v>
      </c>
      <c r="L11269" s="4333" t="s">
        <v>3765</v>
      </c>
      <c r="M11269" s="4335" t="s">
        <v>1571</v>
      </c>
      <c r="N11269" s="4323" t="s">
        <v>1776</v>
      </c>
      <c r="O11269" s="3958" t="s">
        <v>1563</v>
      </c>
      <c r="P11269" s="1336" t="s">
        <v>1562</v>
      </c>
      <c r="Q11269" s="3389"/>
      <c r="R11269" s="1699" t="s">
        <v>1327</v>
      </c>
    </row>
    <row r="11270" spans="1:18">
      <c r="A11270" s="1599" t="s">
        <v>3761</v>
      </c>
      <c r="B11270" s="4326"/>
      <c r="C11270" s="3960"/>
      <c r="D11270" s="4328"/>
      <c r="E11270" s="4337"/>
      <c r="F11270" s="4338"/>
      <c r="G11270" s="4332"/>
      <c r="H11270" s="4332"/>
      <c r="I11270" s="1345">
        <v>4.2699999999999996</v>
      </c>
      <c r="J11270" s="1307">
        <v>1</v>
      </c>
      <c r="K11270" s="1297">
        <f>I11270*J11270</f>
        <v>4.2699999999999996</v>
      </c>
      <c r="L11270" s="4334"/>
      <c r="M11270" s="4335"/>
      <c r="N11270" s="4324"/>
      <c r="O11270" s="1298">
        <f>SUM(O11272:O11282)</f>
        <v>7.8699999999999992</v>
      </c>
      <c r="P11270" s="1337">
        <f>K11270*O11270</f>
        <v>33.604899999999994</v>
      </c>
      <c r="Q11270" s="3390"/>
      <c r="R11270" s="1721">
        <f>SUM(P11272:P11283)</f>
        <v>33.619631499999997</v>
      </c>
    </row>
    <row r="11271" spans="1:18">
      <c r="A11271" s="1599"/>
      <c r="B11271" s="551"/>
      <c r="C11271" s="18"/>
      <c r="D11271" s="1400"/>
      <c r="E11271" s="2121"/>
      <c r="F11271" s="1389" t="s">
        <v>1</v>
      </c>
      <c r="G11271" s="1369"/>
      <c r="H11271" s="1369"/>
      <c r="I11271" s="1391"/>
      <c r="J11271" s="1369"/>
      <c r="K11271" s="1369"/>
      <c r="L11271" s="1554"/>
      <c r="M11271" s="1487"/>
      <c r="N11271" s="1487"/>
      <c r="O11271" s="1487"/>
      <c r="P11271" s="1367"/>
      <c r="Q11271" s="3387"/>
      <c r="R11271" s="2338"/>
    </row>
    <row r="11272" spans="1:18">
      <c r="B11272" s="553"/>
      <c r="C11272" s="1042"/>
      <c r="D11272" s="1615" t="s">
        <v>1128</v>
      </c>
      <c r="E11272" s="1856" t="s">
        <v>1517</v>
      </c>
      <c r="F11272" s="1421" t="s">
        <v>1695</v>
      </c>
      <c r="G11272" s="1604">
        <v>1.4999999999999999E-2</v>
      </c>
      <c r="H11272" s="1604"/>
      <c r="I11272" s="1342"/>
      <c r="J11272" s="198"/>
      <c r="K11272" s="1732">
        <f>G11272*K11270</f>
        <v>6.4049999999999996E-2</v>
      </c>
      <c r="L11272" s="1335">
        <f t="shared" ref="L11272:L11273" si="1455">K11272*$K$10671</f>
        <v>0</v>
      </c>
      <c r="M11272" s="1302">
        <v>104.28</v>
      </c>
      <c r="N11272" s="1700"/>
      <c r="O11272" s="1290">
        <f>ROUND(G11272*M11272,2)</f>
        <v>1.56</v>
      </c>
      <c r="P11272" s="1332">
        <f>M11272*K11272</f>
        <v>6.6791339999999995</v>
      </c>
      <c r="Q11272" s="3391"/>
      <c r="R11272" s="2338"/>
    </row>
    <row r="11273" spans="1:18">
      <c r="A11273" s="16"/>
      <c r="B11273" s="553"/>
      <c r="C11273" s="1042"/>
      <c r="D11273" s="1428" t="s">
        <v>1152</v>
      </c>
      <c r="E11273" s="2122" t="s">
        <v>1517</v>
      </c>
      <c r="F11273" s="1370" t="s">
        <v>1696</v>
      </c>
      <c r="G11273" s="1452">
        <v>5.0000000000000001E-3</v>
      </c>
      <c r="H11273" s="1452"/>
      <c r="I11273" s="1286"/>
      <c r="J11273" s="198"/>
      <c r="K11273" s="1732">
        <f>G11273*K11270</f>
        <v>2.1349999999999997E-2</v>
      </c>
      <c r="L11273" s="1335">
        <f t="shared" si="1455"/>
        <v>0</v>
      </c>
      <c r="M11273" s="1302">
        <v>108.05</v>
      </c>
      <c r="N11273" s="1700"/>
      <c r="O11273" s="1290">
        <f>ROUND(G11273*M11273,2)</f>
        <v>0.54</v>
      </c>
      <c r="P11273" s="1332">
        <f>M11273*K11273</f>
        <v>2.3068674999999996</v>
      </c>
      <c r="Q11273" s="3391"/>
      <c r="R11273" s="2338"/>
    </row>
    <row r="11274" spans="1:18">
      <c r="A11274" s="16"/>
      <c r="B11274" s="553"/>
      <c r="C11274" s="1042"/>
      <c r="D11274" s="1400"/>
      <c r="E11274" s="1856"/>
      <c r="F11274" s="1397"/>
      <c r="G11274" s="1399"/>
      <c r="H11274" s="1399"/>
      <c r="I11274" s="197"/>
      <c r="J11274" s="198"/>
      <c r="K11274" s="1307" t="s">
        <v>506</v>
      </c>
      <c r="L11274" s="1335"/>
      <c r="M11274" s="1302"/>
      <c r="N11274" s="1700"/>
      <c r="O11274" s="1290"/>
      <c r="P11274" s="1332"/>
      <c r="Q11274" s="3391"/>
      <c r="R11274" s="2338"/>
    </row>
    <row r="11275" spans="1:18">
      <c r="A11275" s="1320"/>
      <c r="B11275" s="553"/>
      <c r="C11275" s="1042"/>
      <c r="D11275" s="1400"/>
      <c r="E11275" s="1856"/>
      <c r="F11275" s="1397"/>
      <c r="G11275" s="1399"/>
      <c r="H11275" s="1399"/>
      <c r="I11275" s="197"/>
      <c r="J11275" s="198"/>
      <c r="K11275" s="1307" t="s">
        <v>506</v>
      </c>
      <c r="L11275" s="1335"/>
      <c r="M11275" s="1302"/>
      <c r="N11275" s="1700"/>
      <c r="O11275" s="1290"/>
      <c r="P11275" s="1332"/>
      <c r="Q11275" s="3391"/>
      <c r="R11275" s="2338"/>
    </row>
    <row r="11276" spans="1:18">
      <c r="A11276" s="1042"/>
      <c r="B11276" s="553"/>
      <c r="C11276" s="1042"/>
      <c r="D11276" s="1404"/>
      <c r="E11276" s="1858"/>
      <c r="F11276" s="1465" t="s">
        <v>2</v>
      </c>
      <c r="G11276" s="1362"/>
      <c r="H11276" s="1362"/>
      <c r="I11276" s="1381"/>
      <c r="J11276" s="1381"/>
      <c r="K11276" s="1359"/>
      <c r="L11276" s="1458"/>
      <c r="M11276" s="1498"/>
      <c r="N11276" s="1498"/>
      <c r="O11276" s="1498"/>
      <c r="P11276" s="1359"/>
      <c r="Q11276" s="3387"/>
      <c r="R11276" s="2338"/>
    </row>
    <row r="11277" spans="1:18">
      <c r="A11277" s="1042"/>
      <c r="B11277" s="553"/>
      <c r="C11277" s="1042"/>
      <c r="D11277" s="1622" t="s">
        <v>1153</v>
      </c>
      <c r="E11277" s="2125" t="s">
        <v>1508</v>
      </c>
      <c r="F11277" s="1363" t="s">
        <v>1697</v>
      </c>
      <c r="G11277" s="1408">
        <v>0.3</v>
      </c>
      <c r="H11277" s="1408"/>
      <c r="I11277" s="1340"/>
      <c r="J11277" s="198"/>
      <c r="K11277" s="1307">
        <f>G11277*K11270</f>
        <v>1.2809999999999999</v>
      </c>
      <c r="L11277" s="1335">
        <f>K11277*$K$10671</f>
        <v>0</v>
      </c>
      <c r="M11277" s="1302">
        <v>19.23</v>
      </c>
      <c r="N11277" s="1700"/>
      <c r="O11277" s="1290">
        <f>ROUND(G11277*M11277,2)</f>
        <v>5.77</v>
      </c>
      <c r="P11277" s="1332">
        <f>M11277*K11277</f>
        <v>24.63363</v>
      </c>
      <c r="Q11277" s="3391"/>
      <c r="R11277" s="2338"/>
    </row>
    <row r="11278" spans="1:18">
      <c r="A11278" s="1042"/>
      <c r="B11278" s="553"/>
      <c r="C11278" s="1042"/>
      <c r="D11278" s="1622"/>
      <c r="E11278" s="2125"/>
      <c r="F11278" s="1363"/>
      <c r="G11278" s="1408"/>
      <c r="H11278" s="1408"/>
      <c r="I11278" s="1340"/>
      <c r="J11278" s="198"/>
      <c r="K11278" s="1307"/>
      <c r="L11278" s="1335"/>
      <c r="M11278" s="1302"/>
      <c r="N11278" s="1700"/>
      <c r="O11278" s="1290"/>
      <c r="P11278" s="1332"/>
      <c r="Q11278" s="3391"/>
      <c r="R11278" s="2338"/>
    </row>
    <row r="11279" spans="1:18">
      <c r="A11279" s="1042"/>
      <c r="B11279" s="553"/>
      <c r="C11279" s="1042"/>
      <c r="D11279" s="1622"/>
      <c r="E11279" s="2125"/>
      <c r="F11279" s="1363"/>
      <c r="G11279" s="1408"/>
      <c r="H11279" s="1408"/>
      <c r="I11279" s="1340"/>
      <c r="J11279" s="198"/>
      <c r="K11279" s="1307"/>
      <c r="L11279" s="1335"/>
      <c r="M11279" s="1302"/>
      <c r="N11279" s="1700"/>
      <c r="O11279" s="1290"/>
      <c r="P11279" s="1332"/>
      <c r="Q11279" s="3391"/>
      <c r="R11279" s="2338"/>
    </row>
    <row r="11280" spans="1:18">
      <c r="A11280" s="1042"/>
      <c r="B11280" s="553"/>
      <c r="C11280" s="1042"/>
      <c r="D11280" s="1411"/>
      <c r="E11280" s="2123"/>
      <c r="F11280" s="1475" t="s">
        <v>3</v>
      </c>
      <c r="G11280" s="1377"/>
      <c r="H11280" s="1377"/>
      <c r="I11280" s="1383" t="s">
        <v>506</v>
      </c>
      <c r="J11280" s="1383"/>
      <c r="K11280" s="1383"/>
      <c r="L11280" s="1413"/>
      <c r="M11280" s="1376"/>
      <c r="N11280" s="1376"/>
      <c r="O11280" s="1376"/>
      <c r="P11280" s="1373"/>
      <c r="Q11280" s="3387"/>
      <c r="R11280" s="2338"/>
    </row>
    <row r="11281" spans="1:18">
      <c r="A11281" s="1042"/>
      <c r="B11281" s="553"/>
      <c r="C11281" s="1042"/>
      <c r="D11281" s="1440"/>
      <c r="E11281" s="2132"/>
      <c r="F11281" s="1441"/>
      <c r="G11281" s="1441"/>
      <c r="H11281" s="1442"/>
      <c r="I11281" s="197" t="s">
        <v>506</v>
      </c>
      <c r="J11281" s="198"/>
      <c r="K11281" s="1307"/>
      <c r="L11281" s="1335" t="s">
        <v>506</v>
      </c>
      <c r="M11281" s="1499"/>
      <c r="N11281" s="1701"/>
      <c r="O11281" s="1290"/>
      <c r="P11281" s="1332"/>
      <c r="Q11281" s="3391"/>
      <c r="R11281" s="2338"/>
    </row>
    <row r="11282" spans="1:18">
      <c r="A11282" s="16"/>
      <c r="B11282" s="553"/>
      <c r="C11282" s="1042"/>
      <c r="D11282" s="1440"/>
      <c r="E11282" s="2132"/>
      <c r="F11282" s="1441"/>
      <c r="G11282" s="1441"/>
      <c r="H11282" s="1442"/>
      <c r="I11282" s="197" t="s">
        <v>506</v>
      </c>
      <c r="J11282" s="198"/>
      <c r="K11282" s="1307"/>
      <c r="L11282" s="1335" t="s">
        <v>506</v>
      </c>
      <c r="M11282" s="1499"/>
      <c r="N11282" s="1701"/>
      <c r="O11282" s="1290"/>
      <c r="P11282" s="1332"/>
      <c r="Q11282" s="3391"/>
      <c r="R11282" s="2338"/>
    </row>
    <row r="11283" spans="1:18" ht="26">
      <c r="A11283" s="2187"/>
      <c r="B11283" s="554"/>
      <c r="C11283" s="223"/>
      <c r="D11283" s="1440"/>
      <c r="E11283" s="2132"/>
      <c r="F11283" s="1441"/>
      <c r="G11283" s="1441"/>
      <c r="H11283" s="1442"/>
      <c r="I11283" s="197"/>
      <c r="J11283" s="198"/>
      <c r="K11283" s="1307"/>
      <c r="L11283" s="1335"/>
      <c r="M11283" s="1499"/>
      <c r="N11283" s="1701"/>
      <c r="O11283" s="1290"/>
      <c r="P11283" s="1332"/>
      <c r="Q11283" s="3391"/>
      <c r="R11283" s="2338"/>
    </row>
    <row r="11284" spans="1:18">
      <c r="A11284" s="551" t="s">
        <v>3764</v>
      </c>
      <c r="B11284" s="4325" t="s">
        <v>3814</v>
      </c>
      <c r="C11284" s="3961"/>
      <c r="D11284" s="4327"/>
      <c r="E11284" s="4337" t="s">
        <v>1507</v>
      </c>
      <c r="F11284" s="4338" t="s">
        <v>1906</v>
      </c>
      <c r="G11284" s="4331" t="s">
        <v>1568</v>
      </c>
      <c r="H11284" s="4331" t="s">
        <v>1574</v>
      </c>
      <c r="I11284" s="1572" t="s">
        <v>1559</v>
      </c>
      <c r="J11284" s="1294" t="s">
        <v>1560</v>
      </c>
      <c r="K11284" s="1294" t="s">
        <v>1561</v>
      </c>
      <c r="L11284" s="4333" t="s">
        <v>3765</v>
      </c>
      <c r="M11284" s="4335" t="s">
        <v>1571</v>
      </c>
      <c r="N11284" s="4323" t="s">
        <v>1776</v>
      </c>
      <c r="O11284" s="3958" t="s">
        <v>1563</v>
      </c>
      <c r="P11284" s="1336" t="s">
        <v>1562</v>
      </c>
      <c r="Q11284" s="3389"/>
      <c r="R11284" s="1699" t="s">
        <v>1327</v>
      </c>
    </row>
    <row r="11285" spans="1:18">
      <c r="A11285" s="1599" t="s">
        <v>3761</v>
      </c>
      <c r="B11285" s="4326"/>
      <c r="C11285" s="3960"/>
      <c r="D11285" s="4328"/>
      <c r="E11285" s="4337"/>
      <c r="F11285" s="4338"/>
      <c r="G11285" s="4332"/>
      <c r="H11285" s="4332"/>
      <c r="I11285" s="1345">
        <v>4.07</v>
      </c>
      <c r="J11285" s="1307">
        <v>1</v>
      </c>
      <c r="K11285" s="1297">
        <f>I11285*J11285</f>
        <v>4.07</v>
      </c>
      <c r="L11285" s="4334"/>
      <c r="M11285" s="4335"/>
      <c r="N11285" s="4324"/>
      <c r="O11285" s="1298">
        <f>SUM(O11287:O11297)</f>
        <v>32.07</v>
      </c>
      <c r="P11285" s="1337">
        <f>K11285*O11285</f>
        <v>130.5249</v>
      </c>
      <c r="Q11285" s="3390"/>
      <c r="R11285" s="1721">
        <f>SUM(P11287:P11298)</f>
        <v>130.52897000000002</v>
      </c>
    </row>
    <row r="11286" spans="1:18">
      <c r="A11286" s="1599"/>
      <c r="B11286" s="551"/>
      <c r="C11286" s="18"/>
      <c r="D11286" s="1400"/>
      <c r="E11286" s="2121"/>
      <c r="F11286" s="1389" t="s">
        <v>1</v>
      </c>
      <c r="G11286" s="1369"/>
      <c r="H11286" s="1369"/>
      <c r="I11286" s="1391"/>
      <c r="J11286" s="1369"/>
      <c r="K11286" s="1369"/>
      <c r="L11286" s="1554"/>
      <c r="M11286" s="1487"/>
      <c r="N11286" s="1487"/>
      <c r="O11286" s="1487"/>
      <c r="P11286" s="1367"/>
      <c r="Q11286" s="3387"/>
      <c r="R11286" s="2338"/>
    </row>
    <row r="11287" spans="1:18">
      <c r="B11287" s="553"/>
      <c r="C11287" s="1042"/>
      <c r="D11287" s="1615" t="s">
        <v>1909</v>
      </c>
      <c r="E11287" s="1856" t="s">
        <v>1357</v>
      </c>
      <c r="F11287" s="1421" t="s">
        <v>1910</v>
      </c>
      <c r="G11287" s="4040">
        <v>11</v>
      </c>
      <c r="H11287" s="1604"/>
      <c r="I11287" s="1342"/>
      <c r="J11287" s="198"/>
      <c r="K11287" s="1732">
        <f>G11287*K11285</f>
        <v>44.77</v>
      </c>
      <c r="L11287" s="1335">
        <f t="shared" ref="L11287:L11289" si="1456">K11287*$K$10671</f>
        <v>0</v>
      </c>
      <c r="M11287" s="1302">
        <v>0.4</v>
      </c>
      <c r="N11287" s="1700"/>
      <c r="O11287" s="1290">
        <f>ROUND(G11287*M11287,2)</f>
        <v>4.4000000000000004</v>
      </c>
      <c r="P11287" s="1332">
        <f>M11287*K11287</f>
        <v>17.908000000000001</v>
      </c>
      <c r="Q11287" s="3391"/>
      <c r="R11287" s="2338"/>
    </row>
    <row r="11288" spans="1:18">
      <c r="A11288" s="16"/>
      <c r="B11288" s="553"/>
      <c r="C11288" s="1042"/>
      <c r="D11288" s="1428" t="s">
        <v>1907</v>
      </c>
      <c r="E11288" s="2122" t="s">
        <v>1357</v>
      </c>
      <c r="F11288" s="1370" t="s">
        <v>1908</v>
      </c>
      <c r="G11288" s="4041">
        <v>16</v>
      </c>
      <c r="H11288" s="1452"/>
      <c r="I11288" s="1286"/>
      <c r="J11288" s="198"/>
      <c r="K11288" s="1732">
        <f>G11288*K11285</f>
        <v>65.12</v>
      </c>
      <c r="L11288" s="1335">
        <f t="shared" si="1456"/>
        <v>0</v>
      </c>
      <c r="M11288" s="1302">
        <v>0.41</v>
      </c>
      <c r="N11288" s="1700"/>
      <c r="O11288" s="1290">
        <f>ROUND(G11288*M11288,2)</f>
        <v>6.56</v>
      </c>
      <c r="P11288" s="1332">
        <f>M11288*K11288</f>
        <v>26.699200000000001</v>
      </c>
      <c r="Q11288" s="3391"/>
      <c r="R11288" s="2338"/>
    </row>
    <row r="11289" spans="1:18">
      <c r="A11289" s="16"/>
      <c r="B11289" s="553"/>
      <c r="C11289" s="1042"/>
      <c r="D11289" s="1400" t="s">
        <v>1082</v>
      </c>
      <c r="E11289" s="1856" t="s">
        <v>1504</v>
      </c>
      <c r="F11289" s="1397" t="s">
        <v>1541</v>
      </c>
      <c r="G11289" s="1651">
        <v>1</v>
      </c>
      <c r="H11289" s="1399"/>
      <c r="I11289" s="197"/>
      <c r="J11289" s="198"/>
      <c r="K11289" s="1732">
        <f>G11289*K11285</f>
        <v>4.07</v>
      </c>
      <c r="L11289" s="1335">
        <f t="shared" si="1456"/>
        <v>0</v>
      </c>
      <c r="M11289" s="1302">
        <v>0.3</v>
      </c>
      <c r="N11289" s="1700"/>
      <c r="O11289" s="1290">
        <f>ROUND(G11289*M11289,2)</f>
        <v>0.3</v>
      </c>
      <c r="P11289" s="1332">
        <f>M11289*K11289</f>
        <v>1.2210000000000001</v>
      </c>
      <c r="Q11289" s="3391"/>
      <c r="R11289" s="2338"/>
    </row>
    <row r="11290" spans="1:18">
      <c r="A11290" s="1320"/>
      <c r="B11290" s="553"/>
      <c r="C11290" s="1042"/>
      <c r="D11290" s="1400"/>
      <c r="E11290" s="1856"/>
      <c r="F11290" s="1397"/>
      <c r="G11290" s="1399"/>
      <c r="H11290" s="1399"/>
      <c r="I11290" s="197"/>
      <c r="J11290" s="198"/>
      <c r="K11290" s="1307" t="s">
        <v>506</v>
      </c>
      <c r="L11290" s="1335"/>
      <c r="M11290" s="1302"/>
      <c r="N11290" s="1700"/>
      <c r="O11290" s="1290"/>
      <c r="P11290" s="1332"/>
      <c r="Q11290" s="3391"/>
      <c r="R11290" s="2338"/>
    </row>
    <row r="11291" spans="1:18">
      <c r="A11291" s="1042"/>
      <c r="B11291" s="553"/>
      <c r="C11291" s="1042"/>
      <c r="D11291" s="1404"/>
      <c r="E11291" s="1858"/>
      <c r="F11291" s="1465" t="s">
        <v>2</v>
      </c>
      <c r="G11291" s="1362"/>
      <c r="H11291" s="1362"/>
      <c r="I11291" s="1381"/>
      <c r="J11291" s="1381"/>
      <c r="K11291" s="1359"/>
      <c r="L11291" s="1458"/>
      <c r="M11291" s="1498"/>
      <c r="N11291" s="1498"/>
      <c r="O11291" s="1498"/>
      <c r="P11291" s="1359"/>
      <c r="Q11291" s="3387"/>
      <c r="R11291" s="2338"/>
    </row>
    <row r="11292" spans="1:18">
      <c r="A11292" s="1042"/>
      <c r="B11292" s="553"/>
      <c r="C11292" s="1042"/>
      <c r="D11292" s="1622" t="s">
        <v>1077</v>
      </c>
      <c r="E11292" s="2125" t="s">
        <v>1508</v>
      </c>
      <c r="F11292" s="1363" t="s">
        <v>1539</v>
      </c>
      <c r="G11292" s="1408">
        <v>0.7</v>
      </c>
      <c r="H11292" s="1408"/>
      <c r="I11292" s="1340"/>
      <c r="J11292" s="198"/>
      <c r="K11292" s="1307">
        <f>G11292*K11285</f>
        <v>2.8490000000000002</v>
      </c>
      <c r="L11292" s="1335">
        <f>K11292*$K$10671</f>
        <v>0</v>
      </c>
      <c r="M11292" s="1302">
        <v>19.23</v>
      </c>
      <c r="N11292" s="1700"/>
      <c r="O11292" s="1290">
        <f>ROUND(G11292*M11292,2)</f>
        <v>13.46</v>
      </c>
      <c r="P11292" s="1332">
        <f>M11292*K11292</f>
        <v>54.786270000000002</v>
      </c>
      <c r="Q11292" s="3391"/>
      <c r="R11292" s="2338"/>
    </row>
    <row r="11293" spans="1:18">
      <c r="A11293" s="1042"/>
      <c r="B11293" s="553"/>
      <c r="C11293" s="1042"/>
      <c r="D11293" s="1622"/>
      <c r="E11293" s="2125"/>
      <c r="F11293" s="1363"/>
      <c r="G11293" s="1408"/>
      <c r="H11293" s="1408"/>
      <c r="I11293" s="1340"/>
      <c r="J11293" s="198"/>
      <c r="K11293" s="1307"/>
      <c r="L11293" s="1335"/>
      <c r="M11293" s="1302"/>
      <c r="N11293" s="1700"/>
      <c r="O11293" s="1290"/>
      <c r="P11293" s="1332"/>
      <c r="Q11293" s="3391"/>
      <c r="R11293" s="2338"/>
    </row>
    <row r="11294" spans="1:18">
      <c r="A11294" s="1042"/>
      <c r="B11294" s="553"/>
      <c r="C11294" s="1042"/>
      <c r="D11294" s="1622"/>
      <c r="E11294" s="2125"/>
      <c r="F11294" s="1363"/>
      <c r="G11294" s="1408"/>
      <c r="H11294" s="1408"/>
      <c r="I11294" s="1340"/>
      <c r="J11294" s="198"/>
      <c r="K11294" s="1307"/>
      <c r="L11294" s="1335"/>
      <c r="M11294" s="1302"/>
      <c r="N11294" s="1700"/>
      <c r="O11294" s="1290"/>
      <c r="P11294" s="1332"/>
      <c r="Q11294" s="3391"/>
      <c r="R11294" s="2338"/>
    </row>
    <row r="11295" spans="1:18">
      <c r="A11295" s="1042"/>
      <c r="B11295" s="553"/>
      <c r="C11295" s="1042"/>
      <c r="D11295" s="1411"/>
      <c r="E11295" s="2123"/>
      <c r="F11295" s="1475" t="s">
        <v>3</v>
      </c>
      <c r="G11295" s="1377"/>
      <c r="H11295" s="1377"/>
      <c r="I11295" s="1383" t="s">
        <v>506</v>
      </c>
      <c r="J11295" s="1383"/>
      <c r="K11295" s="1383"/>
      <c r="L11295" s="1413"/>
      <c r="M11295" s="1376"/>
      <c r="N11295" s="1376"/>
      <c r="O11295" s="1376"/>
      <c r="P11295" s="1373"/>
      <c r="Q11295" s="3387"/>
      <c r="R11295" s="2338"/>
    </row>
    <row r="11296" spans="1:18">
      <c r="A11296" s="1042"/>
      <c r="B11296" s="553"/>
      <c r="C11296" s="1042"/>
      <c r="D11296" s="1440" t="s">
        <v>1686</v>
      </c>
      <c r="E11296" s="2132" t="s">
        <v>1687</v>
      </c>
      <c r="F11296" s="1441" t="s">
        <v>1688</v>
      </c>
      <c r="G11296" s="1441">
        <v>0.98</v>
      </c>
      <c r="H11296" s="1442"/>
      <c r="I11296" s="197" t="s">
        <v>506</v>
      </c>
      <c r="J11296" s="198"/>
      <c r="K11296" s="1732">
        <f>G11296*K11285</f>
        <v>3.9886000000000004</v>
      </c>
      <c r="L11296" s="1335" t="s">
        <v>506</v>
      </c>
      <c r="M11296" s="1499">
        <v>7.5</v>
      </c>
      <c r="N11296" s="1701"/>
      <c r="O11296" s="1290">
        <f>ROUND(G11296*M11296,2)</f>
        <v>7.35</v>
      </c>
      <c r="P11296" s="1332">
        <f>M11296*K11296</f>
        <v>29.914500000000004</v>
      </c>
      <c r="Q11296" s="3391"/>
      <c r="R11296" s="2338"/>
    </row>
    <row r="11297" spans="1:18">
      <c r="A11297" s="16"/>
      <c r="B11297" s="553"/>
      <c r="C11297" s="1042"/>
      <c r="D11297" s="1440"/>
      <c r="E11297" s="2132"/>
      <c r="F11297" s="1441"/>
      <c r="G11297" s="1441"/>
      <c r="H11297" s="1442"/>
      <c r="I11297" s="197" t="s">
        <v>506</v>
      </c>
      <c r="J11297" s="198"/>
      <c r="K11297" s="1307"/>
      <c r="L11297" s="1335" t="s">
        <v>506</v>
      </c>
      <c r="M11297" s="1499"/>
      <c r="N11297" s="1701"/>
      <c r="O11297" s="1290"/>
      <c r="P11297" s="1332"/>
      <c r="Q11297" s="3391"/>
      <c r="R11297" s="2338"/>
    </row>
    <row r="11298" spans="1:18" ht="26">
      <c r="A11298" s="2187"/>
      <c r="B11298" s="554"/>
      <c r="C11298" s="223"/>
      <c r="D11298" s="1440"/>
      <c r="E11298" s="2132"/>
      <c r="F11298" s="1441"/>
      <c r="G11298" s="1441"/>
      <c r="H11298" s="1442"/>
      <c r="I11298" s="197"/>
      <c r="J11298" s="198"/>
      <c r="K11298" s="1307"/>
      <c r="L11298" s="1335"/>
      <c r="M11298" s="1499"/>
      <c r="N11298" s="1701"/>
      <c r="O11298" s="1290"/>
      <c r="P11298" s="1332"/>
      <c r="Q11298" s="3391"/>
      <c r="R11298" s="2338"/>
    </row>
    <row r="11299" spans="1:18">
      <c r="A11299" s="18" t="s">
        <v>3764</v>
      </c>
      <c r="B11299" s="4325" t="s">
        <v>2712</v>
      </c>
      <c r="C11299" s="3350"/>
      <c r="D11299" s="4327"/>
      <c r="E11299" s="4329" t="s">
        <v>1527</v>
      </c>
      <c r="F11299" s="4336" t="s">
        <v>2713</v>
      </c>
      <c r="G11299" s="4331" t="s">
        <v>1568</v>
      </c>
      <c r="H11299" s="4331" t="s">
        <v>1574</v>
      </c>
      <c r="I11299" s="1572" t="s">
        <v>1559</v>
      </c>
      <c r="J11299" s="1294" t="s">
        <v>1560</v>
      </c>
      <c r="K11299" s="1294" t="s">
        <v>1569</v>
      </c>
      <c r="L11299" s="4333" t="s">
        <v>3765</v>
      </c>
      <c r="M11299" s="4335" t="s">
        <v>1571</v>
      </c>
      <c r="N11299" s="4323" t="s">
        <v>1776</v>
      </c>
      <c r="O11299" s="3347" t="s">
        <v>1563</v>
      </c>
      <c r="P11299" s="1336" t="s">
        <v>1562</v>
      </c>
      <c r="Q11299" s="3389"/>
      <c r="R11299" s="1699" t="s">
        <v>1327</v>
      </c>
    </row>
    <row r="11300" spans="1:18">
      <c r="A11300" s="1599" t="s">
        <v>3761</v>
      </c>
      <c r="B11300" s="4326"/>
      <c r="C11300" s="3351"/>
      <c r="D11300" s="4328"/>
      <c r="E11300" s="4330"/>
      <c r="F11300" s="4336"/>
      <c r="G11300" s="4332"/>
      <c r="H11300" s="4332"/>
      <c r="I11300" s="1345">
        <v>13.95</v>
      </c>
      <c r="J11300" s="1307">
        <v>1</v>
      </c>
      <c r="K11300" s="1666">
        <f>I11300*J11300</f>
        <v>13.95</v>
      </c>
      <c r="L11300" s="4334"/>
      <c r="M11300" s="4335"/>
      <c r="N11300" s="4324"/>
      <c r="O11300" s="1298">
        <f>SUM(O11302:O11307)</f>
        <v>17.414999999999999</v>
      </c>
      <c r="P11300" s="1337">
        <f>O11300*K11300</f>
        <v>242.93924999999999</v>
      </c>
      <c r="Q11300" s="3390"/>
      <c r="R11300" s="1721">
        <f>SUM(P11302:P11307)</f>
        <v>242.93925000000002</v>
      </c>
    </row>
    <row r="11301" spans="1:18" ht="15" customHeight="1">
      <c r="A11301" s="1320"/>
      <c r="B11301" s="1949"/>
      <c r="C11301" s="1327"/>
      <c r="D11301" s="1367"/>
      <c r="E11301" s="2121"/>
      <c r="F11301" s="1389" t="s">
        <v>1</v>
      </c>
      <c r="G11301" s="1389"/>
      <c r="H11301" s="1369"/>
      <c r="I11301" s="2088"/>
      <c r="J11301" s="1369"/>
      <c r="K11301" s="1391"/>
      <c r="L11301" s="1559"/>
      <c r="M11301" s="1369"/>
      <c r="N11301" s="1369"/>
      <c r="O11301" s="1369"/>
      <c r="P11301" s="1392"/>
      <c r="Q11301" s="3395"/>
    </row>
    <row r="11302" spans="1:18">
      <c r="A11302" s="1320"/>
      <c r="B11302" s="1599"/>
      <c r="C11302" s="1320"/>
      <c r="D11302" s="1668" t="s">
        <v>1196</v>
      </c>
      <c r="E11302" s="2166" t="s">
        <v>1357</v>
      </c>
      <c r="F11302" s="1668" t="s">
        <v>2714</v>
      </c>
      <c r="G11302" s="2117">
        <v>3.2</v>
      </c>
      <c r="H11302" s="1369"/>
      <c r="I11302" s="1299"/>
      <c r="J11302" s="1300"/>
      <c r="K11302" s="1307">
        <f>K11300*G11302</f>
        <v>44.64</v>
      </c>
      <c r="L11302" s="1335">
        <f>K11302*$K$10671</f>
        <v>0</v>
      </c>
      <c r="M11302" s="1302">
        <v>1.66</v>
      </c>
      <c r="N11302" s="1700"/>
      <c r="O11302" s="1290">
        <f>G11302*M11302</f>
        <v>5.3120000000000003</v>
      </c>
      <c r="P11302" s="1332">
        <f>M11302*K11302</f>
        <v>74.102400000000003</v>
      </c>
      <c r="Q11302" s="3391"/>
    </row>
    <row r="11303" spans="1:18">
      <c r="A11303" s="1042"/>
      <c r="B11303" s="1599"/>
      <c r="C11303" s="1042"/>
      <c r="D11303" s="1598" t="s">
        <v>1097</v>
      </c>
      <c r="E11303" s="2154" t="s">
        <v>1504</v>
      </c>
      <c r="F11303" s="1598" t="s">
        <v>1632</v>
      </c>
      <c r="G11303" s="1995">
        <v>1</v>
      </c>
      <c r="H11303" s="1674"/>
      <c r="I11303" s="1299"/>
      <c r="J11303" s="1300"/>
      <c r="K11303" s="1307">
        <f>K11300*G11303</f>
        <v>13.95</v>
      </c>
      <c r="L11303" s="1335">
        <f>K11303*$K$10671</f>
        <v>0</v>
      </c>
      <c r="M11303" s="1302">
        <v>0.55000000000000004</v>
      </c>
      <c r="N11303" s="1700"/>
      <c r="O11303" s="1290">
        <f>G11303*M11303</f>
        <v>0.55000000000000004</v>
      </c>
      <c r="P11303" s="1332">
        <f>M11303*K11303</f>
        <v>7.6725000000000003</v>
      </c>
      <c r="Q11303" s="3391"/>
    </row>
    <row r="11304" spans="1:18">
      <c r="A11304" s="1042"/>
      <c r="B11304" s="1599"/>
      <c r="C11304" s="1042"/>
      <c r="D11304" s="1367" t="s">
        <v>1082</v>
      </c>
      <c r="E11304" s="2121" t="s">
        <v>1504</v>
      </c>
      <c r="F11304" s="1436" t="s">
        <v>1541</v>
      </c>
      <c r="G11304" s="2088">
        <v>1</v>
      </c>
      <c r="H11304" s="1369"/>
      <c r="I11304" s="1299"/>
      <c r="J11304" s="1300"/>
      <c r="K11304" s="1307">
        <f>K11300*G11304</f>
        <v>13.95</v>
      </c>
      <c r="L11304" s="1335">
        <f>K11304*$K$10671</f>
        <v>0</v>
      </c>
      <c r="M11304" s="1302">
        <v>0.3</v>
      </c>
      <c r="N11304" s="1700"/>
      <c r="O11304" s="1290">
        <f>G11304*M11304</f>
        <v>0.3</v>
      </c>
      <c r="P11304" s="1332">
        <f>M11304*K11304</f>
        <v>4.1849999999999996</v>
      </c>
      <c r="Q11304" s="3391"/>
    </row>
    <row r="11305" spans="1:18">
      <c r="A11305" s="1042"/>
      <c r="B11305" s="1599"/>
      <c r="C11305" s="1042"/>
      <c r="D11305" s="1367"/>
      <c r="E11305" s="2121"/>
      <c r="F11305" s="1436"/>
      <c r="G11305" s="1436"/>
      <c r="H11305" s="1369"/>
      <c r="I11305" s="1299"/>
      <c r="J11305" s="1300"/>
      <c r="K11305" s="1307"/>
      <c r="L11305" s="1335"/>
      <c r="M11305" s="1302"/>
      <c r="N11305" s="1700"/>
      <c r="O11305" s="1290"/>
      <c r="P11305" s="1332"/>
      <c r="Q11305" s="3391"/>
    </row>
    <row r="11306" spans="1:18">
      <c r="A11306" s="1042"/>
      <c r="B11306" s="1599"/>
      <c r="C11306" s="1042"/>
      <c r="D11306" s="1359"/>
      <c r="E11306" s="1858"/>
      <c r="F11306" s="1360" t="s">
        <v>2</v>
      </c>
      <c r="G11306" s="1360"/>
      <c r="H11306" s="1362"/>
      <c r="I11306" s="1380"/>
      <c r="J11306" s="1381"/>
      <c r="K11306" s="1381"/>
      <c r="L11306" s="1458"/>
      <c r="M11306" s="1362"/>
      <c r="N11306" s="1362"/>
      <c r="O11306" s="1362"/>
      <c r="P11306" s="1359"/>
      <c r="Q11306" s="3387"/>
    </row>
    <row r="11307" spans="1:18">
      <c r="A11307" s="19"/>
      <c r="B11307" s="1042"/>
      <c r="C11307" s="1358" t="s">
        <v>1523</v>
      </c>
      <c r="D11307" s="1329"/>
      <c r="E11307" s="2135" t="s">
        <v>1508</v>
      </c>
      <c r="F11307" s="1330" t="s">
        <v>1524</v>
      </c>
      <c r="G11307" s="1461"/>
      <c r="H11307" s="1776">
        <v>0.3</v>
      </c>
      <c r="I11307" s="1488"/>
      <c r="J11307" s="1388"/>
      <c r="K11307" s="1510"/>
      <c r="L11307" s="1445"/>
      <c r="M11307" s="1446"/>
      <c r="N11307" s="1447">
        <f>SUM(N11308:N11309)</f>
        <v>37.510000000000005</v>
      </c>
      <c r="O11307" s="1447">
        <f>SUM(O11308:O11309)</f>
        <v>11.253</v>
      </c>
      <c r="P11307" s="1447">
        <f>SUM(P11308:P11309)</f>
        <v>156.97935000000001</v>
      </c>
      <c r="Q11307" s="3391"/>
      <c r="R11307" s="2338"/>
    </row>
    <row r="11308" spans="1:18">
      <c r="A11308" s="19"/>
      <c r="B11308" s="1042"/>
      <c r="C11308" s="1042"/>
      <c r="D11308" s="1402" t="s">
        <v>1067</v>
      </c>
      <c r="E11308" s="1857" t="s">
        <v>1508</v>
      </c>
      <c r="F11308" s="1430" t="s">
        <v>5</v>
      </c>
      <c r="G11308" s="1381">
        <v>1</v>
      </c>
      <c r="H11308" s="1408">
        <f>G11308*H11307</f>
        <v>0.3</v>
      </c>
      <c r="I11308" s="1340"/>
      <c r="J11308" s="198"/>
      <c r="K11308" s="1307">
        <f>H11308*K11300</f>
        <v>4.1849999999999996</v>
      </c>
      <c r="L11308" s="1335">
        <f>K11308*$K$10671</f>
        <v>0</v>
      </c>
      <c r="M11308" s="1302">
        <v>18.28</v>
      </c>
      <c r="N11308" s="1724">
        <f>G11308*M11308</f>
        <v>18.28</v>
      </c>
      <c r="O11308" s="1726">
        <f>H11308*M11308</f>
        <v>5.484</v>
      </c>
      <c r="P11308" s="1727">
        <f>M11308*K11308</f>
        <v>76.501800000000003</v>
      </c>
      <c r="Q11308" s="3396"/>
      <c r="R11308" s="2338"/>
    </row>
    <row r="11309" spans="1:18">
      <c r="A11309" s="19"/>
      <c r="B11309" s="1042"/>
      <c r="C11309" s="1042"/>
      <c r="D11309" s="1402" t="s">
        <v>1077</v>
      </c>
      <c r="E11309" s="1857" t="s">
        <v>1508</v>
      </c>
      <c r="F11309" s="1430" t="s">
        <v>37</v>
      </c>
      <c r="G11309" s="1381">
        <v>1</v>
      </c>
      <c r="H11309" s="1408">
        <f>G11309*H11307</f>
        <v>0.3</v>
      </c>
      <c r="I11309" s="198"/>
      <c r="J11309" s="198"/>
      <c r="K11309" s="1307">
        <f>H11309*K11300</f>
        <v>4.1849999999999996</v>
      </c>
      <c r="L11309" s="1335">
        <f>K11309*$K$10671</f>
        <v>0</v>
      </c>
      <c r="M11309" s="1302">
        <v>19.23</v>
      </c>
      <c r="N11309" s="1724">
        <f>G11309*M11309</f>
        <v>19.23</v>
      </c>
      <c r="O11309" s="1719">
        <f>(H11309*M11309)</f>
        <v>5.7690000000000001</v>
      </c>
      <c r="P11309" s="1727">
        <f>M11309*K11309</f>
        <v>80.477549999999994</v>
      </c>
      <c r="Q11309" s="3396"/>
      <c r="R11309" s="2338"/>
    </row>
    <row r="11310" spans="1:18">
      <c r="B11310" s="1320"/>
      <c r="C11310" s="16"/>
      <c r="D11310" s="1359"/>
      <c r="E11310" s="1858"/>
      <c r="F11310" s="1361"/>
      <c r="G11310" s="1361"/>
      <c r="H11310" s="1466"/>
      <c r="I11310" s="1289"/>
      <c r="J11310" s="8"/>
      <c r="K11310" s="1307"/>
      <c r="L11310" s="1335"/>
      <c r="M11310" s="1302"/>
      <c r="N11310" s="1700"/>
      <c r="O11310" s="1290"/>
      <c r="P11310" s="1332"/>
      <c r="Q11310" s="3391"/>
      <c r="R11310" s="1296"/>
    </row>
    <row r="11311" spans="1:18">
      <c r="A11311" s="1320"/>
      <c r="B11311" s="1599"/>
      <c r="C11311" s="1320"/>
      <c r="D11311" s="1373"/>
      <c r="E11311" s="2123"/>
      <c r="F11311" s="1374" t="s">
        <v>3</v>
      </c>
      <c r="G11311" s="1375"/>
      <c r="H11311" s="1376"/>
      <c r="I11311" s="1382"/>
      <c r="J11311" s="1383"/>
      <c r="K11311" s="1383"/>
      <c r="L11311" s="1413"/>
      <c r="M11311" s="1376"/>
      <c r="N11311" s="1376"/>
      <c r="O11311" s="1376"/>
      <c r="P11311" s="1373"/>
      <c r="Q11311" s="3387"/>
    </row>
    <row r="11312" spans="1:18">
      <c r="A11312" s="1321"/>
      <c r="B11312" s="2053"/>
      <c r="C11312" s="1321"/>
      <c r="D11312" s="1827"/>
      <c r="E11312" s="2173"/>
      <c r="F11312" s="1827"/>
      <c r="G11312" s="1828"/>
      <c r="H11312" s="1379"/>
      <c r="I11312" s="1299"/>
      <c r="J11312" s="1300"/>
      <c r="K11312" s="1307"/>
      <c r="L11312" s="1335"/>
      <c r="M11312" s="1302"/>
      <c r="N11312" s="1700"/>
      <c r="O11312" s="1290"/>
      <c r="P11312" s="1332"/>
      <c r="Q11312" s="3391"/>
    </row>
    <row r="11313" spans="1:18">
      <c r="A11313" s="1321"/>
      <c r="B11313" s="2053"/>
      <c r="C11313" s="1321"/>
      <c r="D11313" s="1377"/>
      <c r="E11313" s="2124"/>
      <c r="F11313" s="1378"/>
      <c r="G11313" s="1378"/>
      <c r="H11313" s="1379"/>
      <c r="I11313" s="1299"/>
      <c r="J11313" s="1300"/>
      <c r="K11313" s="1307"/>
      <c r="L11313" s="1335"/>
      <c r="M11313" s="1302"/>
      <c r="N11313" s="1700"/>
      <c r="O11313" s="1290"/>
      <c r="P11313" s="1333"/>
      <c r="Q11313" s="3391"/>
    </row>
    <row r="11314" spans="1:18">
      <c r="A11314" s="1042"/>
      <c r="B11314" s="1765"/>
      <c r="C11314" s="223"/>
      <c r="D11314" s="1373"/>
      <c r="E11314" s="2161"/>
      <c r="F11314" s="1678"/>
      <c r="G11314" s="1678"/>
      <c r="H11314" s="1376"/>
      <c r="I11314" s="1299"/>
      <c r="J11314" s="1300"/>
      <c r="K11314" s="1307"/>
      <c r="L11314" s="1335"/>
      <c r="M11314" s="1302"/>
      <c r="N11314" s="1700"/>
      <c r="O11314" s="1290"/>
      <c r="P11314" s="1332"/>
      <c r="Q11314" s="3391"/>
    </row>
    <row r="11315" spans="1:18">
      <c r="A11315" s="18" t="s">
        <v>3764</v>
      </c>
      <c r="B11315" s="4325" t="s">
        <v>1810</v>
      </c>
      <c r="C11315" s="3959"/>
      <c r="D11315" s="4327"/>
      <c r="E11315" s="4329" t="s">
        <v>1507</v>
      </c>
      <c r="F11315" s="4336" t="s">
        <v>1811</v>
      </c>
      <c r="G11315" s="4331" t="s">
        <v>1568</v>
      </c>
      <c r="H11315" s="4331" t="s">
        <v>1574</v>
      </c>
      <c r="I11315" s="1572" t="s">
        <v>1559</v>
      </c>
      <c r="J11315" s="1294" t="s">
        <v>1560</v>
      </c>
      <c r="K11315" s="1294" t="s">
        <v>1561</v>
      </c>
      <c r="L11315" s="4333" t="s">
        <v>3765</v>
      </c>
      <c r="M11315" s="4335" t="s">
        <v>1571</v>
      </c>
      <c r="N11315" s="4323" t="s">
        <v>1776</v>
      </c>
      <c r="O11315" s="3958" t="s">
        <v>1563</v>
      </c>
      <c r="P11315" s="1336" t="s">
        <v>1562</v>
      </c>
      <c r="Q11315" s="3389"/>
      <c r="R11315" s="1699" t="s">
        <v>1327</v>
      </c>
    </row>
    <row r="11316" spans="1:18">
      <c r="A11316" s="1599" t="s">
        <v>3761</v>
      </c>
      <c r="B11316" s="4326"/>
      <c r="C11316" s="3960"/>
      <c r="D11316" s="4328"/>
      <c r="E11316" s="4389"/>
      <c r="F11316" s="4336"/>
      <c r="G11316" s="4332"/>
      <c r="H11316" s="4332"/>
      <c r="I11316" s="1345">
        <v>4.07</v>
      </c>
      <c r="J11316" s="1307">
        <v>1</v>
      </c>
      <c r="K11316" s="1307">
        <f>I11316*J11316</f>
        <v>4.07</v>
      </c>
      <c r="L11316" s="4334"/>
      <c r="M11316" s="4335"/>
      <c r="N11316" s="4324"/>
      <c r="O11316" s="1298">
        <f>SUM(O11318:O11328)</f>
        <v>24.729479999999999</v>
      </c>
      <c r="P11316" s="1337">
        <f>O11316*K11316</f>
        <v>100.64898360000001</v>
      </c>
      <c r="Q11316" s="3390"/>
      <c r="R11316" s="1721">
        <f>SUM(P11318:P11329)</f>
        <v>100.64898360000001</v>
      </c>
    </row>
    <row r="11317" spans="1:18">
      <c r="A11317" s="16"/>
      <c r="B11317" s="1327"/>
      <c r="C11317" s="1327"/>
      <c r="D11317" s="1400"/>
      <c r="E11317" s="2121"/>
      <c r="F11317" s="1368" t="s">
        <v>1</v>
      </c>
      <c r="G11317" s="1417"/>
      <c r="H11317" s="1390"/>
      <c r="I11317" s="1554"/>
      <c r="J11317" s="1367"/>
      <c r="K11317" s="1367"/>
      <c r="L11317" s="1554"/>
      <c r="M11317" s="1369"/>
      <c r="N11317" s="1369"/>
      <c r="O11317" s="1369"/>
      <c r="P11317" s="1367"/>
      <c r="Q11317" s="3387"/>
      <c r="R11317" s="2337"/>
    </row>
    <row r="11318" spans="1:18">
      <c r="B11318" s="1320"/>
      <c r="C11318" s="1042"/>
      <c r="D11318" s="1761" t="s">
        <v>1812</v>
      </c>
      <c r="E11318" s="2170" t="s">
        <v>1357</v>
      </c>
      <c r="F11318" s="1761" t="s">
        <v>1813</v>
      </c>
      <c r="G11318" s="1762">
        <v>0.9</v>
      </c>
      <c r="H11318" s="1762"/>
      <c r="I11318" s="27"/>
      <c r="J11318" s="10"/>
      <c r="K11318" s="1307">
        <f>G11318*K11316</f>
        <v>3.6630000000000003</v>
      </c>
      <c r="L11318" s="1335">
        <f t="shared" ref="L11318:L11319" si="1457">K11318*$K$10671</f>
        <v>0</v>
      </c>
      <c r="M11318" s="1499">
        <v>1.71</v>
      </c>
      <c r="N11318" s="1701"/>
      <c r="O11318" s="1290">
        <f>(G11318*M11318)</f>
        <v>1.5389999999999999</v>
      </c>
      <c r="P11318" s="1332">
        <f>M11318*K11318</f>
        <v>6.2637300000000007</v>
      </c>
      <c r="Q11318" s="3391"/>
      <c r="R11318" s="2337"/>
    </row>
    <row r="11319" spans="1:18">
      <c r="B11319" s="1320"/>
      <c r="C11319" s="1042"/>
      <c r="D11319" s="1761" t="s">
        <v>1701</v>
      </c>
      <c r="E11319" s="2170" t="s">
        <v>1504</v>
      </c>
      <c r="F11319" s="1761" t="s">
        <v>1541</v>
      </c>
      <c r="G11319" s="1762">
        <v>0.4</v>
      </c>
      <c r="H11319" s="1762"/>
      <c r="I11319" s="27"/>
      <c r="J11319" s="10"/>
      <c r="K11319" s="1307">
        <f>G11319*K11316</f>
        <v>1.6280000000000001</v>
      </c>
      <c r="L11319" s="1335">
        <f t="shared" si="1457"/>
        <v>0</v>
      </c>
      <c r="M11319" s="1499">
        <v>0.3</v>
      </c>
      <c r="N11319" s="1701"/>
      <c r="O11319" s="1290">
        <f>(G11319*M11319)</f>
        <v>0.12</v>
      </c>
      <c r="P11319" s="1332">
        <f>M11319*K11319</f>
        <v>0.4884</v>
      </c>
      <c r="Q11319" s="3391"/>
      <c r="R11319" s="2337"/>
    </row>
    <row r="11320" spans="1:18">
      <c r="B11320" s="1320"/>
      <c r="C11320" s="1042"/>
      <c r="D11320" s="1367"/>
      <c r="E11320" s="1856"/>
      <c r="F11320" s="1421"/>
      <c r="G11320" s="1399"/>
      <c r="H11320" s="1399"/>
      <c r="I11320" s="1760"/>
      <c r="J11320" s="198"/>
      <c r="K11320" s="1307"/>
      <c r="L11320" s="1335"/>
      <c r="M11320" s="1499"/>
      <c r="N11320" s="1701"/>
      <c r="O11320" s="1290"/>
      <c r="P11320" s="1332"/>
      <c r="Q11320" s="3391"/>
    </row>
    <row r="11321" spans="1:18">
      <c r="B11321" s="1320"/>
      <c r="C11321" s="1042"/>
      <c r="D11321" s="1367"/>
      <c r="E11321" s="1856"/>
      <c r="F11321" s="1421"/>
      <c r="G11321" s="1399"/>
      <c r="H11321" s="1399"/>
      <c r="I11321" s="1289"/>
      <c r="J11321" s="198"/>
      <c r="K11321" s="1307"/>
      <c r="L11321" s="1335"/>
      <c r="M11321" s="1499"/>
      <c r="N11321" s="1701"/>
      <c r="O11321" s="1290"/>
      <c r="P11321" s="1332"/>
      <c r="Q11321" s="3391"/>
      <c r="R11321" s="2337"/>
    </row>
    <row r="11322" spans="1:18">
      <c r="B11322" s="1320"/>
      <c r="C11322" s="1320"/>
      <c r="D11322" s="1410"/>
      <c r="E11322" s="1858"/>
      <c r="F11322" s="1360" t="s">
        <v>2</v>
      </c>
      <c r="G11322" s="1362"/>
      <c r="H11322" s="1362"/>
      <c r="I11322" s="1380"/>
      <c r="J11322" s="1381"/>
      <c r="K11322" s="1359"/>
      <c r="L11322" s="1458"/>
      <c r="M11322" s="1502"/>
      <c r="N11322" s="1502"/>
      <c r="O11322" s="1362"/>
      <c r="P11322" s="1359"/>
      <c r="Q11322" s="3387"/>
      <c r="R11322" s="2337"/>
    </row>
    <row r="11323" spans="1:18">
      <c r="B11323" s="1320"/>
      <c r="C11323" s="1042"/>
      <c r="D11323" s="1624" t="s">
        <v>1702</v>
      </c>
      <c r="E11323" s="2158" t="s">
        <v>1508</v>
      </c>
      <c r="F11323" s="1624" t="s">
        <v>1703</v>
      </c>
      <c r="G11323" s="1625">
        <v>0.77600000000000002</v>
      </c>
      <c r="H11323" s="1625"/>
      <c r="I11323" s="198"/>
      <c r="J11323" s="6"/>
      <c r="K11323" s="1307">
        <f>G11323*K11316</f>
        <v>3.1583200000000002</v>
      </c>
      <c r="L11323" s="1335">
        <f>K11323*$K$10671</f>
        <v>0</v>
      </c>
      <c r="M11323" s="1499">
        <v>19.23</v>
      </c>
      <c r="N11323" s="1701"/>
      <c r="O11323" s="1290">
        <f>(G11323*M11323)</f>
        <v>14.92248</v>
      </c>
      <c r="P11323" s="1332">
        <f>M11323*K11323</f>
        <v>60.734493600000008</v>
      </c>
      <c r="Q11323" s="3391"/>
      <c r="R11323" s="2337"/>
    </row>
    <row r="11324" spans="1:18">
      <c r="B11324" s="1320"/>
      <c r="C11324" s="1042"/>
      <c r="D11324" s="1402"/>
      <c r="E11324" s="1857"/>
      <c r="F11324" s="1645"/>
      <c r="G11324" s="1362"/>
      <c r="H11324" s="1359"/>
      <c r="I11324" s="198"/>
      <c r="J11324" s="6"/>
      <c r="K11324" s="1306"/>
      <c r="L11324" s="1646"/>
      <c r="M11324" s="1499"/>
      <c r="N11324" s="1499"/>
      <c r="O11324" s="1291"/>
      <c r="P11324" s="1332"/>
      <c r="Q11324" s="3391"/>
      <c r="R11324" s="2337"/>
    </row>
    <row r="11325" spans="1:18">
      <c r="B11325" s="1320"/>
      <c r="C11325" s="1042"/>
      <c r="D11325" s="1402"/>
      <c r="E11325" s="1857"/>
      <c r="F11325" s="1403"/>
      <c r="G11325" s="1362"/>
      <c r="H11325" s="1359"/>
      <c r="I11325" s="198"/>
      <c r="J11325" s="6"/>
      <c r="K11325" s="1307"/>
      <c r="L11325" s="1335"/>
      <c r="M11325" s="1499"/>
      <c r="N11325" s="1701"/>
      <c r="O11325" s="1290"/>
      <c r="P11325" s="1332"/>
      <c r="Q11325" s="3391"/>
      <c r="R11325" s="2337"/>
    </row>
    <row r="11326" spans="1:18">
      <c r="B11326" s="1320"/>
      <c r="C11326" s="1042"/>
      <c r="D11326" s="1411"/>
      <c r="E11326" s="2123"/>
      <c r="F11326" s="1374" t="s">
        <v>3</v>
      </c>
      <c r="G11326" s="1374"/>
      <c r="H11326" s="1376"/>
      <c r="I11326" s="1382"/>
      <c r="J11326" s="1383"/>
      <c r="K11326" s="1373"/>
      <c r="L11326" s="1413"/>
      <c r="M11326" s="1505"/>
      <c r="N11326" s="1505"/>
      <c r="O11326" s="1376"/>
      <c r="P11326" s="1413"/>
      <c r="Q11326" s="3387"/>
      <c r="R11326" s="1699"/>
    </row>
    <row r="11327" spans="1:18">
      <c r="B11327" s="1320"/>
      <c r="C11327" s="1042"/>
      <c r="D11327" s="1827" t="s">
        <v>1686</v>
      </c>
      <c r="E11327" s="2173" t="s">
        <v>1687</v>
      </c>
      <c r="F11327" s="1827" t="s">
        <v>1688</v>
      </c>
      <c r="G11327" s="1828">
        <v>1.0864</v>
      </c>
      <c r="H11327" s="1521"/>
      <c r="I11327" s="198"/>
      <c r="J11327" s="6"/>
      <c r="K11327" s="1307">
        <f>G11327*K11316</f>
        <v>4.4216480000000002</v>
      </c>
      <c r="L11327" s="1335">
        <f>K11327*$K$10671</f>
        <v>0</v>
      </c>
      <c r="M11327" s="1499">
        <v>7.5</v>
      </c>
      <c r="N11327" s="1701"/>
      <c r="O11327" s="1290">
        <f>(G11327*M11327)</f>
        <v>8.1479999999999997</v>
      </c>
      <c r="P11327" s="1332">
        <f>M11327*K11327</f>
        <v>33.16236</v>
      </c>
      <c r="Q11327" s="3391"/>
      <c r="R11327" s="2337"/>
    </row>
    <row r="11328" spans="1:18">
      <c r="B11328" s="1320"/>
      <c r="C11328" s="1042"/>
      <c r="D11328" s="1440"/>
      <c r="E11328" s="2132"/>
      <c r="F11328" s="1441"/>
      <c r="G11328" s="1441"/>
      <c r="H11328" s="1442"/>
      <c r="I11328" s="197"/>
      <c r="J11328" s="198"/>
      <c r="K11328" s="1307"/>
      <c r="L11328" s="1335"/>
      <c r="M11328" s="1499"/>
      <c r="N11328" s="1701"/>
      <c r="O11328" s="1290"/>
      <c r="P11328" s="1332"/>
      <c r="Q11328" s="3391"/>
      <c r="R11328" s="2337"/>
    </row>
    <row r="11329" spans="1:18">
      <c r="B11329" s="225"/>
      <c r="C11329" s="223"/>
      <c r="D11329" s="1440"/>
      <c r="E11329" s="2132"/>
      <c r="F11329" s="1441"/>
      <c r="G11329" s="1441"/>
      <c r="H11329" s="1442"/>
      <c r="I11329" s="197"/>
      <c r="J11329" s="198"/>
      <c r="K11329" s="1307"/>
      <c r="L11329" s="1335"/>
      <c r="M11329" s="1499"/>
      <c r="N11329" s="1701"/>
      <c r="O11329" s="1290"/>
      <c r="P11329" s="1332"/>
      <c r="Q11329" s="3391"/>
      <c r="R11329" s="2337"/>
    </row>
    <row r="11330" spans="1:18">
      <c r="A11330" s="18" t="s">
        <v>3764</v>
      </c>
      <c r="B11330" s="4325" t="s">
        <v>1661</v>
      </c>
      <c r="C11330" s="3959"/>
      <c r="D11330" s="4327"/>
      <c r="E11330" s="4337" t="s">
        <v>1507</v>
      </c>
      <c r="F11330" s="4338" t="s">
        <v>1706</v>
      </c>
      <c r="G11330" s="4331" t="s">
        <v>1568</v>
      </c>
      <c r="H11330" s="4331" t="s">
        <v>1574</v>
      </c>
      <c r="I11330" s="1572" t="s">
        <v>1559</v>
      </c>
      <c r="J11330" s="1294" t="s">
        <v>1560</v>
      </c>
      <c r="K11330" s="1294" t="s">
        <v>1561</v>
      </c>
      <c r="L11330" s="4333" t="s">
        <v>3765</v>
      </c>
      <c r="M11330" s="4335" t="s">
        <v>1571</v>
      </c>
      <c r="N11330" s="4323" t="s">
        <v>1776</v>
      </c>
      <c r="O11330" s="3958" t="s">
        <v>1563</v>
      </c>
      <c r="P11330" s="1336" t="s">
        <v>1562</v>
      </c>
      <c r="Q11330" s="3389"/>
      <c r="R11330" s="1699" t="s">
        <v>1327</v>
      </c>
    </row>
    <row r="11331" spans="1:18">
      <c r="A11331" s="1599" t="s">
        <v>3761</v>
      </c>
      <c r="B11331" s="4326"/>
      <c r="C11331" s="3961"/>
      <c r="D11331" s="4328"/>
      <c r="E11331" s="4337"/>
      <c r="F11331" s="4338"/>
      <c r="G11331" s="4332"/>
      <c r="H11331" s="4332"/>
      <c r="I11331" s="1345">
        <v>4.2699999999999996</v>
      </c>
      <c r="J11331" s="1307">
        <v>1</v>
      </c>
      <c r="K11331" s="1297">
        <f>I11331*J11331</f>
        <v>4.2699999999999996</v>
      </c>
      <c r="L11331" s="4334"/>
      <c r="M11331" s="4335"/>
      <c r="N11331" s="4324"/>
      <c r="O11331" s="1298">
        <f>SUM(O11333:O11345)</f>
        <v>8.99</v>
      </c>
      <c r="P11331" s="1337">
        <f>K11331*O11331</f>
        <v>38.387299999999996</v>
      </c>
      <c r="Q11331" s="3390"/>
      <c r="R11331" s="1721">
        <f>SUM(P11333:P11345)</f>
        <v>38.374660799999994</v>
      </c>
    </row>
    <row r="11332" spans="1:18">
      <c r="B11332" s="551"/>
      <c r="C11332" s="18"/>
      <c r="D11332" s="1400"/>
      <c r="E11332" s="2121"/>
      <c r="F11332" s="1389" t="s">
        <v>1</v>
      </c>
      <c r="G11332" s="1369"/>
      <c r="H11332" s="1369"/>
      <c r="I11332" s="1391"/>
      <c r="J11332" s="1369"/>
      <c r="K11332" s="1369"/>
      <c r="L11332" s="1554"/>
      <c r="M11332" s="1487"/>
      <c r="N11332" s="1487"/>
      <c r="O11332" s="1487"/>
      <c r="P11332" s="1367"/>
      <c r="Q11332" s="3387"/>
      <c r="R11332" s="2338"/>
    </row>
    <row r="11333" spans="1:18">
      <c r="B11333" s="553"/>
      <c r="C11333" s="1042"/>
      <c r="D11333" s="1615" t="s">
        <v>1698</v>
      </c>
      <c r="E11333" s="1856" t="s">
        <v>1357</v>
      </c>
      <c r="F11333" s="1421" t="s">
        <v>1699</v>
      </c>
      <c r="G11333" s="1605">
        <v>0.45</v>
      </c>
      <c r="H11333" s="1605"/>
      <c r="I11333" s="1342"/>
      <c r="J11333" s="198"/>
      <c r="K11333" s="1307">
        <f>G11333*K11331</f>
        <v>1.9214999999999998</v>
      </c>
      <c r="L11333" s="1335">
        <f t="shared" ref="L11333:L11335" si="1458">K11333*$K$10671</f>
        <v>0</v>
      </c>
      <c r="M11333" s="1302">
        <v>1.7</v>
      </c>
      <c r="N11333" s="1700"/>
      <c r="O11333" s="1290">
        <f>ROUND(G11333*M11333,2)</f>
        <v>0.77</v>
      </c>
      <c r="P11333" s="1332">
        <f>M11333*K11333</f>
        <v>3.2665499999999996</v>
      </c>
      <c r="Q11333" s="3391"/>
      <c r="R11333" s="2338"/>
    </row>
    <row r="11334" spans="1:18">
      <c r="B11334" s="553"/>
      <c r="C11334" s="1042"/>
      <c r="D11334" s="1615" t="s">
        <v>1214</v>
      </c>
      <c r="E11334" s="1856" t="s">
        <v>1357</v>
      </c>
      <c r="F11334" s="1421" t="s">
        <v>1700</v>
      </c>
      <c r="G11334" s="1452">
        <v>0.35</v>
      </c>
      <c r="H11334" s="1452"/>
      <c r="I11334" s="1286"/>
      <c r="J11334" s="198"/>
      <c r="K11334" s="1307">
        <f>G11334*K11331</f>
        <v>1.4944999999999997</v>
      </c>
      <c r="L11334" s="1335">
        <f t="shared" si="1458"/>
        <v>0</v>
      </c>
      <c r="M11334" s="1302">
        <v>4.2</v>
      </c>
      <c r="N11334" s="1700"/>
      <c r="O11334" s="1290">
        <f>ROUND(G11334*M11334,2)</f>
        <v>1.47</v>
      </c>
      <c r="P11334" s="1332">
        <f>M11334*K11334</f>
        <v>6.2768999999999995</v>
      </c>
      <c r="Q11334" s="3391"/>
      <c r="R11334" s="3962"/>
    </row>
    <row r="11335" spans="1:18">
      <c r="B11335" s="553"/>
      <c r="C11335" s="1320"/>
      <c r="D11335" s="1400" t="s">
        <v>1701</v>
      </c>
      <c r="E11335" s="1856" t="s">
        <v>1504</v>
      </c>
      <c r="F11335" s="1421" t="s">
        <v>1541</v>
      </c>
      <c r="G11335" s="1399">
        <v>0.2</v>
      </c>
      <c r="H11335" s="1399"/>
      <c r="I11335" s="1614"/>
      <c r="J11335" s="1341"/>
      <c r="K11335" s="1307">
        <f>G11335*K11331</f>
        <v>0.85399999999999998</v>
      </c>
      <c r="L11335" s="1335">
        <f t="shared" si="1458"/>
        <v>0</v>
      </c>
      <c r="M11335" s="1302">
        <v>0.3</v>
      </c>
      <c r="N11335" s="1700"/>
      <c r="O11335" s="1290">
        <f>ROUND(G11335*M11335,2)</f>
        <v>0.06</v>
      </c>
      <c r="P11335" s="1332">
        <f>M11335*K11335</f>
        <v>0.25619999999999998</v>
      </c>
      <c r="Q11335" s="3391"/>
      <c r="R11335" s="3962"/>
    </row>
    <row r="11336" spans="1:18">
      <c r="B11336" s="553"/>
      <c r="C11336" s="1042"/>
      <c r="D11336" s="1400"/>
      <c r="E11336" s="1856"/>
      <c r="F11336" s="1421"/>
      <c r="G11336" s="1399"/>
      <c r="H11336" s="1399"/>
      <c r="I11336" s="1614"/>
      <c r="J11336" s="1341"/>
      <c r="K11336" s="1307"/>
      <c r="L11336" s="1335"/>
      <c r="M11336" s="1302"/>
      <c r="N11336" s="1700"/>
      <c r="O11336" s="1290"/>
      <c r="P11336" s="1332"/>
      <c r="Q11336" s="3391"/>
      <c r="R11336" s="3962"/>
    </row>
    <row r="11337" spans="1:18">
      <c r="B11337" s="553"/>
      <c r="C11337" s="1042"/>
      <c r="D11337" s="1400"/>
      <c r="E11337" s="1856"/>
      <c r="F11337" s="1421"/>
      <c r="G11337" s="1399"/>
      <c r="H11337" s="1399"/>
      <c r="I11337" s="1614"/>
      <c r="J11337" s="1341"/>
      <c r="K11337" s="1307"/>
      <c r="L11337" s="1335"/>
      <c r="M11337" s="1302"/>
      <c r="N11337" s="1700"/>
      <c r="O11337" s="1290"/>
      <c r="P11337" s="1332"/>
      <c r="Q11337" s="3391"/>
      <c r="R11337" s="3962"/>
    </row>
    <row r="11338" spans="1:18">
      <c r="B11338" s="553"/>
      <c r="C11338" s="1042"/>
      <c r="D11338" s="1404"/>
      <c r="E11338" s="1858"/>
      <c r="F11338" s="1465" t="s">
        <v>2</v>
      </c>
      <c r="G11338" s="1362"/>
      <c r="H11338" s="1362"/>
      <c r="I11338" s="1381"/>
      <c r="J11338" s="1381"/>
      <c r="K11338" s="1359"/>
      <c r="L11338" s="1458"/>
      <c r="M11338" s="1498"/>
      <c r="N11338" s="1498"/>
      <c r="O11338" s="1498"/>
      <c r="P11338" s="1359"/>
      <c r="Q11338" s="3387"/>
      <c r="R11338" s="3962"/>
    </row>
    <row r="11339" spans="1:18">
      <c r="B11339" s="553"/>
      <c r="C11339" s="1042"/>
      <c r="D11339" s="1623" t="s">
        <v>1702</v>
      </c>
      <c r="E11339" s="2158" t="s">
        <v>1508</v>
      </c>
      <c r="F11339" s="1624" t="s">
        <v>1703</v>
      </c>
      <c r="G11339" s="1625">
        <v>0.34799999999999998</v>
      </c>
      <c r="H11339" s="1625"/>
      <c r="I11339" s="1340"/>
      <c r="J11339" s="198"/>
      <c r="K11339" s="1307">
        <f>G11339*K11331</f>
        <v>1.4859599999999997</v>
      </c>
      <c r="L11339" s="1335">
        <f>K11339*$K$10671</f>
        <v>0</v>
      </c>
      <c r="M11339" s="1302">
        <v>19.23</v>
      </c>
      <c r="N11339" s="1700"/>
      <c r="O11339" s="1290">
        <f>ROUND(G11339*M11339,2)</f>
        <v>6.69</v>
      </c>
      <c r="P11339" s="1332">
        <f>M11339*K11339</f>
        <v>28.575010799999994</v>
      </c>
      <c r="Q11339" s="3391"/>
      <c r="R11339" s="3962"/>
    </row>
    <row r="11340" spans="1:18">
      <c r="B11340" s="553"/>
      <c r="C11340" s="1042"/>
      <c r="D11340" s="1623"/>
      <c r="E11340" s="2158"/>
      <c r="F11340" s="1624"/>
      <c r="G11340" s="1625"/>
      <c r="H11340" s="1625"/>
      <c r="I11340" s="1340"/>
      <c r="J11340" s="198"/>
      <c r="K11340" s="1307"/>
      <c r="L11340" s="1335"/>
      <c r="M11340" s="1302"/>
      <c r="N11340" s="1700"/>
      <c r="O11340" s="1290"/>
      <c r="P11340" s="1332"/>
      <c r="Q11340" s="3391"/>
      <c r="R11340" s="3962"/>
    </row>
    <row r="11341" spans="1:18">
      <c r="B11341" s="553"/>
      <c r="C11341" s="1042"/>
      <c r="D11341" s="1623"/>
      <c r="E11341" s="2158"/>
      <c r="F11341" s="1624"/>
      <c r="G11341" s="1625"/>
      <c r="H11341" s="1625"/>
      <c r="I11341" s="1340"/>
      <c r="J11341" s="198"/>
      <c r="K11341" s="1307"/>
      <c r="L11341" s="1335"/>
      <c r="M11341" s="1302"/>
      <c r="N11341" s="1700"/>
      <c r="O11341" s="1290"/>
      <c r="P11341" s="1332"/>
      <c r="Q11341" s="3391"/>
      <c r="R11341" s="3962"/>
    </row>
    <row r="11342" spans="1:18">
      <c r="B11342" s="553"/>
      <c r="C11342" s="1042"/>
      <c r="D11342" s="1411"/>
      <c r="E11342" s="2123"/>
      <c r="F11342" s="1475" t="s">
        <v>3</v>
      </c>
      <c r="G11342" s="1377"/>
      <c r="H11342" s="1377"/>
      <c r="I11342" s="1383"/>
      <c r="J11342" s="1383"/>
      <c r="K11342" s="1383"/>
      <c r="L11342" s="1413"/>
      <c r="M11342" s="1376"/>
      <c r="N11342" s="1376"/>
      <c r="O11342" s="1376"/>
      <c r="P11342" s="1373"/>
      <c r="Q11342" s="3387"/>
      <c r="R11342" s="3962"/>
    </row>
    <row r="11343" spans="1:18">
      <c r="B11343" s="553"/>
      <c r="C11343" s="1042"/>
      <c r="D11343" s="1440"/>
      <c r="E11343" s="2132"/>
      <c r="F11343" s="1441"/>
      <c r="G11343" s="1441"/>
      <c r="H11343" s="1442"/>
      <c r="I11343" s="197"/>
      <c r="J11343" s="198"/>
      <c r="K11343" s="1307"/>
      <c r="L11343" s="1335"/>
      <c r="M11343" s="1499"/>
      <c r="N11343" s="1701"/>
      <c r="O11343" s="1290"/>
      <c r="P11343" s="1332"/>
      <c r="Q11343" s="3391"/>
      <c r="R11343" s="1173"/>
    </row>
    <row r="11344" spans="1:18">
      <c r="B11344" s="553"/>
      <c r="C11344" s="1042"/>
      <c r="D11344" s="1440"/>
      <c r="E11344" s="2132"/>
      <c r="F11344" s="1441"/>
      <c r="G11344" s="1441"/>
      <c r="H11344" s="1442"/>
      <c r="I11344" s="197"/>
      <c r="J11344" s="198"/>
      <c r="K11344" s="1307"/>
      <c r="L11344" s="1335"/>
      <c r="M11344" s="1499"/>
      <c r="N11344" s="1701"/>
      <c r="O11344" s="1290"/>
      <c r="P11344" s="1332"/>
      <c r="Q11344" s="3391"/>
      <c r="R11344" s="2338"/>
    </row>
    <row r="11345" spans="2:18">
      <c r="B11345" s="554"/>
      <c r="C11345" s="223"/>
      <c r="D11345" s="1440"/>
      <c r="E11345" s="2132"/>
      <c r="F11345" s="1441"/>
      <c r="G11345" s="1441"/>
      <c r="H11345" s="1442"/>
      <c r="I11345" s="197"/>
      <c r="J11345" s="198"/>
      <c r="K11345" s="1307"/>
      <c r="L11345" s="1335"/>
      <c r="M11345" s="1499"/>
      <c r="N11345" s="1701"/>
      <c r="O11345" s="1290"/>
      <c r="P11345" s="1332"/>
      <c r="Q11345" s="3391"/>
      <c r="R11345" s="2338"/>
    </row>
  </sheetData>
  <mergeCells count="6467">
    <mergeCell ref="F8176:F8177"/>
    <mergeCell ref="G8176:G8177"/>
    <mergeCell ref="H8176:H8177"/>
    <mergeCell ref="L8176:L8177"/>
    <mergeCell ref="M8176:M8177"/>
    <mergeCell ref="B5572:B5573"/>
    <mergeCell ref="D5572:D5573"/>
    <mergeCell ref="E5572:E5573"/>
    <mergeCell ref="F5572:F5573"/>
    <mergeCell ref="G5572:G5573"/>
    <mergeCell ref="H5572:H5573"/>
    <mergeCell ref="L5572:L5573"/>
    <mergeCell ref="M5572:M5573"/>
    <mergeCell ref="N5572:N5573"/>
    <mergeCell ref="N5610:N5611"/>
    <mergeCell ref="M5610:M5611"/>
    <mergeCell ref="L5610:L5611"/>
    <mergeCell ref="H5610:H5611"/>
    <mergeCell ref="G5610:G5611"/>
    <mergeCell ref="F5610:F5611"/>
    <mergeCell ref="E5610:E5611"/>
    <mergeCell ref="D5610:D5611"/>
    <mergeCell ref="B5610:B5611"/>
    <mergeCell ref="B5586:B5587"/>
    <mergeCell ref="D5586:D5587"/>
    <mergeCell ref="E5586:E5587"/>
    <mergeCell ref="F5586:F5587"/>
    <mergeCell ref="G5586:G5587"/>
    <mergeCell ref="H5586:H5587"/>
    <mergeCell ref="L5586:L5587"/>
    <mergeCell ref="M5586:M5587"/>
    <mergeCell ref="N5586:N5587"/>
    <mergeCell ref="F5387:F5388"/>
    <mergeCell ref="G5387:G5388"/>
    <mergeCell ref="H5387:H5388"/>
    <mergeCell ref="L5387:L5388"/>
    <mergeCell ref="M5387:M5388"/>
    <mergeCell ref="N5387:N5388"/>
    <mergeCell ref="B5402:B5403"/>
    <mergeCell ref="D5402:D5403"/>
    <mergeCell ref="E5402:E5403"/>
    <mergeCell ref="F5402:F5403"/>
    <mergeCell ref="G5402:G5403"/>
    <mergeCell ref="H5402:H5403"/>
    <mergeCell ref="L5402:L5403"/>
    <mergeCell ref="M5402:M5403"/>
    <mergeCell ref="N5402:N5403"/>
    <mergeCell ref="B5418:B5419"/>
    <mergeCell ref="D5418:D5419"/>
    <mergeCell ref="E5418:E5419"/>
    <mergeCell ref="F5418:F5419"/>
    <mergeCell ref="G5418:G5419"/>
    <mergeCell ref="H5418:H5419"/>
    <mergeCell ref="L5418:L5419"/>
    <mergeCell ref="M5418:M5419"/>
    <mergeCell ref="N5418:N5419"/>
    <mergeCell ref="B4359:B4360"/>
    <mergeCell ref="D4359:D4360"/>
    <mergeCell ref="E4359:E4360"/>
    <mergeCell ref="F4359:F4360"/>
    <mergeCell ref="G4359:G4360"/>
    <mergeCell ref="H4359:H4360"/>
    <mergeCell ref="L4359:L4360"/>
    <mergeCell ref="M4359:M4360"/>
    <mergeCell ref="N4359:N4360"/>
    <mergeCell ref="G4324:H4324"/>
    <mergeCell ref="K4324:L4324"/>
    <mergeCell ref="M4324:P4324"/>
    <mergeCell ref="G4325:H4325"/>
    <mergeCell ref="K4325:L4325"/>
    <mergeCell ref="M4325:P4325"/>
    <mergeCell ref="B4331:B4332"/>
    <mergeCell ref="D4331:D4332"/>
    <mergeCell ref="E4331:E4332"/>
    <mergeCell ref="F4331:F4332"/>
    <mergeCell ref="G4331:G4332"/>
    <mergeCell ref="H4331:H4332"/>
    <mergeCell ref="L4331:L4332"/>
    <mergeCell ref="M4331:M4332"/>
    <mergeCell ref="N4331:N4332"/>
    <mergeCell ref="B4345:B4346"/>
    <mergeCell ref="D4345:D4346"/>
    <mergeCell ref="E4345:E4346"/>
    <mergeCell ref="F4345:F4346"/>
    <mergeCell ref="G4345:G4346"/>
    <mergeCell ref="H4345:H4346"/>
    <mergeCell ref="L4345:L4346"/>
    <mergeCell ref="M4345:M4346"/>
    <mergeCell ref="N4345:N4346"/>
    <mergeCell ref="D11315:D11316"/>
    <mergeCell ref="E11315:E11316"/>
    <mergeCell ref="F11315:F11316"/>
    <mergeCell ref="G11315:G11316"/>
    <mergeCell ref="L11315:L11316"/>
    <mergeCell ref="M11315:M11316"/>
    <mergeCell ref="B11315:B11316"/>
    <mergeCell ref="H11315:H11316"/>
    <mergeCell ref="N11315:N11316"/>
    <mergeCell ref="B10452:B10453"/>
    <mergeCell ref="D10452:D10453"/>
    <mergeCell ref="E10452:E10453"/>
    <mergeCell ref="F10452:F10453"/>
    <mergeCell ref="G10452:G10453"/>
    <mergeCell ref="H10452:H10453"/>
    <mergeCell ref="L10452:L10453"/>
    <mergeCell ref="M10452:M10453"/>
    <mergeCell ref="N10452:N10453"/>
    <mergeCell ref="B10391:B10392"/>
    <mergeCell ref="D10391:D10392"/>
    <mergeCell ref="E10391:E10392"/>
    <mergeCell ref="F10391:F10392"/>
    <mergeCell ref="G10391:G10392"/>
    <mergeCell ref="H10391:H10392"/>
    <mergeCell ref="L10391:L10392"/>
    <mergeCell ref="M10391:M10392"/>
    <mergeCell ref="N10391:N10392"/>
    <mergeCell ref="B10410:B10411"/>
    <mergeCell ref="D10410:D10411"/>
    <mergeCell ref="E10410:E10411"/>
    <mergeCell ref="F10410:F10411"/>
    <mergeCell ref="B11330:B11331"/>
    <mergeCell ref="D11330:D11331"/>
    <mergeCell ref="E11330:E11331"/>
    <mergeCell ref="F11330:F11331"/>
    <mergeCell ref="G11330:G11331"/>
    <mergeCell ref="H11330:H11331"/>
    <mergeCell ref="L11330:L11331"/>
    <mergeCell ref="M11330:M11331"/>
    <mergeCell ref="N11330:N11331"/>
    <mergeCell ref="B11269:B11270"/>
    <mergeCell ref="D11269:D11270"/>
    <mergeCell ref="E11269:E11270"/>
    <mergeCell ref="F11269:F11270"/>
    <mergeCell ref="G11269:G11270"/>
    <mergeCell ref="H11269:H11270"/>
    <mergeCell ref="L11269:L11270"/>
    <mergeCell ref="M11269:M11270"/>
    <mergeCell ref="N11269:N11270"/>
    <mergeCell ref="B11284:B11285"/>
    <mergeCell ref="D11284:D11285"/>
    <mergeCell ref="E11284:E11285"/>
    <mergeCell ref="F11284:F11285"/>
    <mergeCell ref="G11284:G11285"/>
    <mergeCell ref="H11284:H11285"/>
    <mergeCell ref="L11284:L11285"/>
    <mergeCell ref="M11284:M11285"/>
    <mergeCell ref="N11284:N11285"/>
    <mergeCell ref="L11299:L11300"/>
    <mergeCell ref="M11299:M11300"/>
    <mergeCell ref="N11299:N11300"/>
    <mergeCell ref="G10410:G10411"/>
    <mergeCell ref="H10410:H10411"/>
    <mergeCell ref="L10410:L10411"/>
    <mergeCell ref="M10410:M10411"/>
    <mergeCell ref="N10410:N10411"/>
    <mergeCell ref="B10435:B10436"/>
    <mergeCell ref="D10435:D10436"/>
    <mergeCell ref="E10435:E10436"/>
    <mergeCell ref="F10435:F10436"/>
    <mergeCell ref="G10435:G10436"/>
    <mergeCell ref="H10435:H10436"/>
    <mergeCell ref="L10435:L10436"/>
    <mergeCell ref="M10435:M10436"/>
    <mergeCell ref="N10435:N10436"/>
    <mergeCell ref="B10346:B10347"/>
    <mergeCell ref="D10346:D10347"/>
    <mergeCell ref="E10346:E10347"/>
    <mergeCell ref="F10346:F10347"/>
    <mergeCell ref="G10346:G10347"/>
    <mergeCell ref="H10346:H10347"/>
    <mergeCell ref="L10346:L10347"/>
    <mergeCell ref="M10346:M10347"/>
    <mergeCell ref="N10346:N10347"/>
    <mergeCell ref="B10364:B10365"/>
    <mergeCell ref="D10364:D10365"/>
    <mergeCell ref="E10364:E10365"/>
    <mergeCell ref="F10364:F10365"/>
    <mergeCell ref="G10364:G10365"/>
    <mergeCell ref="H10364:H10365"/>
    <mergeCell ref="L10364:L10365"/>
    <mergeCell ref="M10364:M10365"/>
    <mergeCell ref="N10364:N10365"/>
    <mergeCell ref="B10305:B10306"/>
    <mergeCell ref="D10305:D10306"/>
    <mergeCell ref="E10305:E10306"/>
    <mergeCell ref="F10305:F10306"/>
    <mergeCell ref="G10305:G10306"/>
    <mergeCell ref="H10305:H10306"/>
    <mergeCell ref="L10305:L10306"/>
    <mergeCell ref="M10305:M10306"/>
    <mergeCell ref="N10305:N10306"/>
    <mergeCell ref="B10324:B10325"/>
    <mergeCell ref="D10324:D10325"/>
    <mergeCell ref="E10324:E10325"/>
    <mergeCell ref="F10324:F10325"/>
    <mergeCell ref="G10324:G10325"/>
    <mergeCell ref="H10324:H10325"/>
    <mergeCell ref="L10324:L10325"/>
    <mergeCell ref="M10324:M10325"/>
    <mergeCell ref="N10324:N10325"/>
    <mergeCell ref="B10272:B10273"/>
    <mergeCell ref="D10272:D10273"/>
    <mergeCell ref="E10272:E10273"/>
    <mergeCell ref="F10272:F10273"/>
    <mergeCell ref="G10272:G10273"/>
    <mergeCell ref="H10272:H10273"/>
    <mergeCell ref="L10272:L10273"/>
    <mergeCell ref="M10272:M10273"/>
    <mergeCell ref="N10272:N10273"/>
    <mergeCell ref="B10289:B10290"/>
    <mergeCell ref="D10289:D10290"/>
    <mergeCell ref="E10289:E10290"/>
    <mergeCell ref="F10289:F10290"/>
    <mergeCell ref="G10289:G10290"/>
    <mergeCell ref="H10289:H10290"/>
    <mergeCell ref="L10289:L10290"/>
    <mergeCell ref="M10289:M10290"/>
    <mergeCell ref="N10289:N10290"/>
    <mergeCell ref="A10255:D10256"/>
    <mergeCell ref="E10255:E10256"/>
    <mergeCell ref="F10255:F10256"/>
    <mergeCell ref="G10255:H10255"/>
    <mergeCell ref="K10255:L10255"/>
    <mergeCell ref="M10255:P10255"/>
    <mergeCell ref="G10256:H10256"/>
    <mergeCell ref="K10256:L10256"/>
    <mergeCell ref="M10256:P10256"/>
    <mergeCell ref="B10257:B10258"/>
    <mergeCell ref="D10257:D10258"/>
    <mergeCell ref="E10257:E10258"/>
    <mergeCell ref="F10257:F10258"/>
    <mergeCell ref="G10257:G10258"/>
    <mergeCell ref="H10257:H10258"/>
    <mergeCell ref="L10257:L10258"/>
    <mergeCell ref="M10257:M10258"/>
    <mergeCell ref="N10257:N10258"/>
    <mergeCell ref="H10199:H10200"/>
    <mergeCell ref="L10199:L10200"/>
    <mergeCell ref="M10199:M10200"/>
    <mergeCell ref="N10199:N10200"/>
    <mergeCell ref="B10218:B10219"/>
    <mergeCell ref="D10218:D10219"/>
    <mergeCell ref="E10218:E10219"/>
    <mergeCell ref="F10218:F10219"/>
    <mergeCell ref="G10218:G10219"/>
    <mergeCell ref="H10218:H10219"/>
    <mergeCell ref="L10218:L10219"/>
    <mergeCell ref="M10218:M10219"/>
    <mergeCell ref="N10218:N10219"/>
    <mergeCell ref="A10253:D10253"/>
    <mergeCell ref="E10253:E10254"/>
    <mergeCell ref="F10253:F10254"/>
    <mergeCell ref="G10253:L10254"/>
    <mergeCell ref="M10253:P10254"/>
    <mergeCell ref="B10235:B10236"/>
    <mergeCell ref="D10235:D10236"/>
    <mergeCell ref="E10235:E10236"/>
    <mergeCell ref="F10235:F10236"/>
    <mergeCell ref="G10235:G10236"/>
    <mergeCell ref="H10235:H10236"/>
    <mergeCell ref="L10235:L10236"/>
    <mergeCell ref="M10235:M10236"/>
    <mergeCell ref="N10235:N10236"/>
    <mergeCell ref="B10199:B10200"/>
    <mergeCell ref="D10199:D10200"/>
    <mergeCell ref="E10199:E10200"/>
    <mergeCell ref="F10199:F10200"/>
    <mergeCell ref="G10199:G10200"/>
    <mergeCell ref="B10155:B10156"/>
    <mergeCell ref="D10155:D10156"/>
    <mergeCell ref="E10155:E10156"/>
    <mergeCell ref="F10155:F10156"/>
    <mergeCell ref="G10155:G10156"/>
    <mergeCell ref="H10155:H10156"/>
    <mergeCell ref="L10155:L10156"/>
    <mergeCell ref="M10155:M10156"/>
    <mergeCell ref="N10155:N10156"/>
    <mergeCell ref="B10174:B10175"/>
    <mergeCell ref="D10174:D10175"/>
    <mergeCell ref="E10174:E10175"/>
    <mergeCell ref="F10174:F10175"/>
    <mergeCell ref="G10174:G10175"/>
    <mergeCell ref="H10174:H10175"/>
    <mergeCell ref="L10174:L10175"/>
    <mergeCell ref="M10174:M10175"/>
    <mergeCell ref="N10174:N10175"/>
    <mergeCell ref="B10108:B10109"/>
    <mergeCell ref="D10108:D10109"/>
    <mergeCell ref="E10108:E10109"/>
    <mergeCell ref="F10108:F10109"/>
    <mergeCell ref="G10108:G10109"/>
    <mergeCell ref="H10108:H10109"/>
    <mergeCell ref="L10108:L10109"/>
    <mergeCell ref="M10108:M10109"/>
    <mergeCell ref="N10108:N10109"/>
    <mergeCell ref="B10132:B10133"/>
    <mergeCell ref="D10132:D10133"/>
    <mergeCell ref="E10132:E10133"/>
    <mergeCell ref="F10132:F10133"/>
    <mergeCell ref="G10132:G10133"/>
    <mergeCell ref="H10132:H10133"/>
    <mergeCell ref="L10132:L10133"/>
    <mergeCell ref="M10132:M10133"/>
    <mergeCell ref="N10132:N10133"/>
    <mergeCell ref="B10092:B10093"/>
    <mergeCell ref="D10092:D10093"/>
    <mergeCell ref="E10092:E10093"/>
    <mergeCell ref="F10092:F10093"/>
    <mergeCell ref="G10092:G10093"/>
    <mergeCell ref="H10092:H10093"/>
    <mergeCell ref="L10092:L10093"/>
    <mergeCell ref="M10092:M10093"/>
    <mergeCell ref="N10092:N10093"/>
    <mergeCell ref="B10060:B10061"/>
    <mergeCell ref="D10060:D10061"/>
    <mergeCell ref="E10060:E10061"/>
    <mergeCell ref="F10060:F10061"/>
    <mergeCell ref="G10060:G10061"/>
    <mergeCell ref="H10060:H10061"/>
    <mergeCell ref="L10060:L10061"/>
    <mergeCell ref="M10060:M10061"/>
    <mergeCell ref="N10060:N10061"/>
    <mergeCell ref="B10075:B10076"/>
    <mergeCell ref="D10075:D10076"/>
    <mergeCell ref="E10075:E10076"/>
    <mergeCell ref="F10075:F10076"/>
    <mergeCell ref="G10075:G10076"/>
    <mergeCell ref="H10075:H10076"/>
    <mergeCell ref="L10075:L10076"/>
    <mergeCell ref="M10075:M10076"/>
    <mergeCell ref="N10075:N10076"/>
    <mergeCell ref="B10022:B10023"/>
    <mergeCell ref="D10022:D10023"/>
    <mergeCell ref="E10022:E10023"/>
    <mergeCell ref="F10022:F10023"/>
    <mergeCell ref="G10022:G10023"/>
    <mergeCell ref="H10022:H10023"/>
    <mergeCell ref="L10022:L10023"/>
    <mergeCell ref="M10022:M10023"/>
    <mergeCell ref="N10022:N10023"/>
    <mergeCell ref="A10056:D10056"/>
    <mergeCell ref="E10056:E10057"/>
    <mergeCell ref="F10056:F10057"/>
    <mergeCell ref="G10056:L10057"/>
    <mergeCell ref="M10056:P10057"/>
    <mergeCell ref="A10058:D10059"/>
    <mergeCell ref="E10058:E10059"/>
    <mergeCell ref="F10058:F10059"/>
    <mergeCell ref="G10058:H10058"/>
    <mergeCell ref="K10058:L10058"/>
    <mergeCell ref="M10058:P10058"/>
    <mergeCell ref="G10059:H10059"/>
    <mergeCell ref="K10059:L10059"/>
    <mergeCell ref="M10059:P10059"/>
    <mergeCell ref="D10039:D10040"/>
    <mergeCell ref="E10039:E10040"/>
    <mergeCell ref="F10039:F10040"/>
    <mergeCell ref="G10039:G10040"/>
    <mergeCell ref="L10039:L10040"/>
    <mergeCell ref="M10039:M10040"/>
    <mergeCell ref="B10039:B10040"/>
    <mergeCell ref="H10039:H10040"/>
    <mergeCell ref="N10039:N10040"/>
    <mergeCell ref="B9864:B9865"/>
    <mergeCell ref="D9864:D9865"/>
    <mergeCell ref="E9864:E9865"/>
    <mergeCell ref="F9864:F9865"/>
    <mergeCell ref="G9864:G9865"/>
    <mergeCell ref="H9864:H9865"/>
    <mergeCell ref="L9864:L9865"/>
    <mergeCell ref="M9864:M9865"/>
    <mergeCell ref="N9864:N9865"/>
    <mergeCell ref="B9997:B9998"/>
    <mergeCell ref="D9997:D9998"/>
    <mergeCell ref="E9997:E9998"/>
    <mergeCell ref="F9997:F9998"/>
    <mergeCell ref="G9997:G9998"/>
    <mergeCell ref="H9997:H9998"/>
    <mergeCell ref="L9997:L9998"/>
    <mergeCell ref="M9997:M9998"/>
    <mergeCell ref="N9997:N9998"/>
    <mergeCell ref="B9881:B9882"/>
    <mergeCell ref="D9881:D9882"/>
    <mergeCell ref="E9881:E9882"/>
    <mergeCell ref="F9881:F9882"/>
    <mergeCell ref="G9881:G9882"/>
    <mergeCell ref="H9881:H9882"/>
    <mergeCell ref="L9881:L9882"/>
    <mergeCell ref="M9881:M9882"/>
    <mergeCell ref="N9881:N9882"/>
    <mergeCell ref="B9897:B9898"/>
    <mergeCell ref="D9897:D9898"/>
    <mergeCell ref="E9897:E9898"/>
    <mergeCell ref="F9897:F9898"/>
    <mergeCell ref="G9897:G9898"/>
    <mergeCell ref="B9848:B9849"/>
    <mergeCell ref="D9848:D9849"/>
    <mergeCell ref="E9848:E9849"/>
    <mergeCell ref="F9848:F9849"/>
    <mergeCell ref="G9848:G9849"/>
    <mergeCell ref="H9848:H9849"/>
    <mergeCell ref="L9848:L9849"/>
    <mergeCell ref="M9848:M9849"/>
    <mergeCell ref="N9848:N9849"/>
    <mergeCell ref="A9345:D9346"/>
    <mergeCell ref="E9345:E9346"/>
    <mergeCell ref="F9345:F9346"/>
    <mergeCell ref="G9345:H9345"/>
    <mergeCell ref="K9345:L9345"/>
    <mergeCell ref="M9345:P9345"/>
    <mergeCell ref="G9346:H9346"/>
    <mergeCell ref="K9346:L9346"/>
    <mergeCell ref="M9346:P9346"/>
    <mergeCell ref="M9361:M9362"/>
    <mergeCell ref="N9361:N9362"/>
    <mergeCell ref="B9381:B9382"/>
    <mergeCell ref="D9381:D9382"/>
    <mergeCell ref="E9381:E9382"/>
    <mergeCell ref="F9381:F9382"/>
    <mergeCell ref="G9381:G9382"/>
    <mergeCell ref="H9381:H9382"/>
    <mergeCell ref="L9381:L9382"/>
    <mergeCell ref="M9381:M9382"/>
    <mergeCell ref="L9347:L9348"/>
    <mergeCell ref="M9347:M9348"/>
    <mergeCell ref="N9347:N9348"/>
    <mergeCell ref="B9361:B9362"/>
    <mergeCell ref="B9305:B9306"/>
    <mergeCell ref="D9305:D9306"/>
    <mergeCell ref="E9305:E9306"/>
    <mergeCell ref="F9305:F9306"/>
    <mergeCell ref="G9305:G9306"/>
    <mergeCell ref="H9305:H9306"/>
    <mergeCell ref="L9305:L9306"/>
    <mergeCell ref="M9305:M9306"/>
    <mergeCell ref="N9305:N9306"/>
    <mergeCell ref="B9325:B9326"/>
    <mergeCell ref="D9325:D9326"/>
    <mergeCell ref="E9325:E9326"/>
    <mergeCell ref="F9325:F9326"/>
    <mergeCell ref="G9325:G9326"/>
    <mergeCell ref="H9325:H9326"/>
    <mergeCell ref="L9325:L9326"/>
    <mergeCell ref="M9325:M9326"/>
    <mergeCell ref="N9325:N9326"/>
    <mergeCell ref="B9267:B9268"/>
    <mergeCell ref="D9267:D9268"/>
    <mergeCell ref="E9267:E9268"/>
    <mergeCell ref="F9267:F9268"/>
    <mergeCell ref="G9267:G9268"/>
    <mergeCell ref="H9267:H9268"/>
    <mergeCell ref="L9267:L9268"/>
    <mergeCell ref="M9267:M9268"/>
    <mergeCell ref="N9267:N9268"/>
    <mergeCell ref="B9287:B9288"/>
    <mergeCell ref="D9287:D9288"/>
    <mergeCell ref="E9287:E9288"/>
    <mergeCell ref="F9287:F9288"/>
    <mergeCell ref="G9287:G9288"/>
    <mergeCell ref="H9287:H9288"/>
    <mergeCell ref="L9287:L9288"/>
    <mergeCell ref="M9287:M9288"/>
    <mergeCell ref="N9287:N9288"/>
    <mergeCell ref="A9251:D9252"/>
    <mergeCell ref="E9251:E9252"/>
    <mergeCell ref="F9251:F9252"/>
    <mergeCell ref="G9251:H9251"/>
    <mergeCell ref="K9251:L9251"/>
    <mergeCell ref="M9251:P9251"/>
    <mergeCell ref="G9252:H9252"/>
    <mergeCell ref="K9252:L9252"/>
    <mergeCell ref="M9252:P9252"/>
    <mergeCell ref="B9253:B9254"/>
    <mergeCell ref="D9253:D9254"/>
    <mergeCell ref="E9253:E9254"/>
    <mergeCell ref="F9253:F9254"/>
    <mergeCell ref="G9253:G9254"/>
    <mergeCell ref="H9253:H9254"/>
    <mergeCell ref="L9253:L9254"/>
    <mergeCell ref="M9253:M9254"/>
    <mergeCell ref="N9253:N9254"/>
    <mergeCell ref="L9197:L9198"/>
    <mergeCell ref="M9197:M9198"/>
    <mergeCell ref="N9197:N9198"/>
    <mergeCell ref="B9215:B9216"/>
    <mergeCell ref="D9215:D9216"/>
    <mergeCell ref="E9215:E9216"/>
    <mergeCell ref="F9215:F9216"/>
    <mergeCell ref="G9215:G9216"/>
    <mergeCell ref="H9215:H9216"/>
    <mergeCell ref="L9215:L9216"/>
    <mergeCell ref="M9215:M9216"/>
    <mergeCell ref="N9215:N9216"/>
    <mergeCell ref="B9235:B9236"/>
    <mergeCell ref="D9235:D9236"/>
    <mergeCell ref="E9235:E9236"/>
    <mergeCell ref="F9235:F9236"/>
    <mergeCell ref="G9235:G9236"/>
    <mergeCell ref="H9235:H9236"/>
    <mergeCell ref="L9235:L9236"/>
    <mergeCell ref="M9235:M9236"/>
    <mergeCell ref="N9235:N9236"/>
    <mergeCell ref="B3712:B3713"/>
    <mergeCell ref="D3712:D3713"/>
    <mergeCell ref="E3712:E3713"/>
    <mergeCell ref="F3712:F3713"/>
    <mergeCell ref="G3712:G3713"/>
    <mergeCell ref="H3712:H3713"/>
    <mergeCell ref="L3712:L3713"/>
    <mergeCell ref="M3712:M3713"/>
    <mergeCell ref="N3712:N3713"/>
    <mergeCell ref="S2841:S2844"/>
    <mergeCell ref="A9161:D9162"/>
    <mergeCell ref="E9161:E9162"/>
    <mergeCell ref="F9161:F9162"/>
    <mergeCell ref="G9161:H9161"/>
    <mergeCell ref="K9161:L9161"/>
    <mergeCell ref="M9161:P9161"/>
    <mergeCell ref="G9162:H9162"/>
    <mergeCell ref="K9162:L9162"/>
    <mergeCell ref="M9162:P9162"/>
    <mergeCell ref="B3659:B3660"/>
    <mergeCell ref="D3659:D3660"/>
    <mergeCell ref="E3659:E3660"/>
    <mergeCell ref="F3659:F3660"/>
    <mergeCell ref="G3659:G3660"/>
    <mergeCell ref="H3659:H3660"/>
    <mergeCell ref="L3659:L3660"/>
    <mergeCell ref="M3659:M3660"/>
    <mergeCell ref="N3659:N3660"/>
    <mergeCell ref="B3686:B3687"/>
    <mergeCell ref="D3686:D3687"/>
    <mergeCell ref="E3686:E3687"/>
    <mergeCell ref="F3686:F3687"/>
    <mergeCell ref="B3600:B3601"/>
    <mergeCell ref="D3600:D3601"/>
    <mergeCell ref="E3600:E3601"/>
    <mergeCell ref="F3600:F3601"/>
    <mergeCell ref="G3600:G3601"/>
    <mergeCell ref="H3600:H3601"/>
    <mergeCell ref="L3600:L3601"/>
    <mergeCell ref="M3600:M3601"/>
    <mergeCell ref="N3600:N3601"/>
    <mergeCell ref="G3686:G3687"/>
    <mergeCell ref="H3686:H3687"/>
    <mergeCell ref="L3686:L3687"/>
    <mergeCell ref="M3686:M3687"/>
    <mergeCell ref="N3686:N3687"/>
    <mergeCell ref="B3617:B3618"/>
    <mergeCell ref="D3617:D3618"/>
    <mergeCell ref="E3617:E3618"/>
    <mergeCell ref="F3617:F3618"/>
    <mergeCell ref="G3617:G3618"/>
    <mergeCell ref="H3617:H3618"/>
    <mergeCell ref="L3617:L3618"/>
    <mergeCell ref="M3617:M3618"/>
    <mergeCell ref="N3617:N3618"/>
    <mergeCell ref="B3639:B3640"/>
    <mergeCell ref="D3639:D3640"/>
    <mergeCell ref="E3639:E3640"/>
    <mergeCell ref="F3639:F3640"/>
    <mergeCell ref="G3639:G3640"/>
    <mergeCell ref="H3639:H3640"/>
    <mergeCell ref="L3639:L3640"/>
    <mergeCell ref="M3639:M3640"/>
    <mergeCell ref="N3639:N3640"/>
    <mergeCell ref="B3563:B3564"/>
    <mergeCell ref="D3563:D3564"/>
    <mergeCell ref="E3563:E3564"/>
    <mergeCell ref="F3563:F3564"/>
    <mergeCell ref="G3563:G3564"/>
    <mergeCell ref="H3563:H3564"/>
    <mergeCell ref="L3563:L3564"/>
    <mergeCell ref="M3563:M3564"/>
    <mergeCell ref="N3563:N3564"/>
    <mergeCell ref="B3581:B3582"/>
    <mergeCell ref="D3581:D3582"/>
    <mergeCell ref="E3581:E3582"/>
    <mergeCell ref="F3581:F3582"/>
    <mergeCell ref="G3581:G3582"/>
    <mergeCell ref="H3581:H3582"/>
    <mergeCell ref="L3581:L3582"/>
    <mergeCell ref="M3581:M3582"/>
    <mergeCell ref="N3581:N3582"/>
    <mergeCell ref="B3519:B3520"/>
    <mergeCell ref="D3519:D3520"/>
    <mergeCell ref="E3519:E3520"/>
    <mergeCell ref="F3519:F3520"/>
    <mergeCell ref="G3519:G3520"/>
    <mergeCell ref="H3519:H3520"/>
    <mergeCell ref="L3519:L3520"/>
    <mergeCell ref="M3519:M3520"/>
    <mergeCell ref="N3519:N3520"/>
    <mergeCell ref="B3548:B3549"/>
    <mergeCell ref="D3548:D3549"/>
    <mergeCell ref="E3548:E3549"/>
    <mergeCell ref="F3548:F3549"/>
    <mergeCell ref="G3548:G3549"/>
    <mergeCell ref="H3548:H3549"/>
    <mergeCell ref="L3548:L3549"/>
    <mergeCell ref="M3548:M3549"/>
    <mergeCell ref="N3548:N3549"/>
    <mergeCell ref="B3460:B3461"/>
    <mergeCell ref="D3460:D3461"/>
    <mergeCell ref="E3460:E3461"/>
    <mergeCell ref="F3460:F3461"/>
    <mergeCell ref="G3460:G3461"/>
    <mergeCell ref="H3460:H3461"/>
    <mergeCell ref="L3460:L3461"/>
    <mergeCell ref="M3460:M3461"/>
    <mergeCell ref="N3460:N3461"/>
    <mergeCell ref="B3490:B3491"/>
    <mergeCell ref="D3490:D3491"/>
    <mergeCell ref="E3490:E3491"/>
    <mergeCell ref="F3490:F3491"/>
    <mergeCell ref="G3490:G3491"/>
    <mergeCell ref="H3490:H3491"/>
    <mergeCell ref="L3490:L3491"/>
    <mergeCell ref="M3490:M3491"/>
    <mergeCell ref="N3490:N3491"/>
    <mergeCell ref="B3411:B3412"/>
    <mergeCell ref="D3411:D3412"/>
    <mergeCell ref="E3411:E3412"/>
    <mergeCell ref="F3411:F3412"/>
    <mergeCell ref="G3411:G3412"/>
    <mergeCell ref="H3411:H3412"/>
    <mergeCell ref="L3411:L3412"/>
    <mergeCell ref="M3411:M3412"/>
    <mergeCell ref="N3411:N3412"/>
    <mergeCell ref="B3432:B3433"/>
    <mergeCell ref="D3432:D3433"/>
    <mergeCell ref="E3432:E3433"/>
    <mergeCell ref="F3432:F3433"/>
    <mergeCell ref="G3432:G3433"/>
    <mergeCell ref="H3432:H3433"/>
    <mergeCell ref="L3432:L3433"/>
    <mergeCell ref="M3432:M3433"/>
    <mergeCell ref="N3432:N3433"/>
    <mergeCell ref="B3372:B3373"/>
    <mergeCell ref="D3372:D3373"/>
    <mergeCell ref="E3372:E3373"/>
    <mergeCell ref="F3372:F3373"/>
    <mergeCell ref="G3372:G3373"/>
    <mergeCell ref="H3372:H3373"/>
    <mergeCell ref="L3372:L3373"/>
    <mergeCell ref="M3372:M3373"/>
    <mergeCell ref="N3372:N3373"/>
    <mergeCell ref="B3390:B3391"/>
    <mergeCell ref="D3390:D3391"/>
    <mergeCell ref="E3390:E3391"/>
    <mergeCell ref="F3390:F3391"/>
    <mergeCell ref="G3390:G3391"/>
    <mergeCell ref="H3390:H3391"/>
    <mergeCell ref="L3390:L3391"/>
    <mergeCell ref="M3390:M3391"/>
    <mergeCell ref="N3390:N3391"/>
    <mergeCell ref="B3344:B3345"/>
    <mergeCell ref="D3344:D3345"/>
    <mergeCell ref="E3344:E3345"/>
    <mergeCell ref="F3344:F3345"/>
    <mergeCell ref="G3344:G3345"/>
    <mergeCell ref="H3344:H3345"/>
    <mergeCell ref="L3344:L3345"/>
    <mergeCell ref="M3344:M3345"/>
    <mergeCell ref="N3344:N3345"/>
    <mergeCell ref="B3358:B3359"/>
    <mergeCell ref="D3358:D3359"/>
    <mergeCell ref="E3358:E3359"/>
    <mergeCell ref="F3358:F3359"/>
    <mergeCell ref="G3358:G3359"/>
    <mergeCell ref="H3358:H3359"/>
    <mergeCell ref="L3358:L3359"/>
    <mergeCell ref="M3358:M3359"/>
    <mergeCell ref="N3358:N3359"/>
    <mergeCell ref="B3316:B3317"/>
    <mergeCell ref="D3316:D3317"/>
    <mergeCell ref="E3316:E3317"/>
    <mergeCell ref="F3316:F3317"/>
    <mergeCell ref="G3316:G3317"/>
    <mergeCell ref="H3316:H3317"/>
    <mergeCell ref="L3316:L3317"/>
    <mergeCell ref="M3316:M3317"/>
    <mergeCell ref="N3316:N3317"/>
    <mergeCell ref="B3330:B3331"/>
    <mergeCell ref="D3330:D3331"/>
    <mergeCell ref="E3330:E3331"/>
    <mergeCell ref="F3330:F3331"/>
    <mergeCell ref="G3330:G3331"/>
    <mergeCell ref="H3330:H3331"/>
    <mergeCell ref="L3330:L3331"/>
    <mergeCell ref="M3330:M3331"/>
    <mergeCell ref="N3330:N3331"/>
    <mergeCell ref="L125:L126"/>
    <mergeCell ref="N194:N195"/>
    <mergeCell ref="B222:B223"/>
    <mergeCell ref="B3302:B3303"/>
    <mergeCell ref="D3302:D3303"/>
    <mergeCell ref="E3302:E3303"/>
    <mergeCell ref="F3302:F3303"/>
    <mergeCell ref="G3302:G3303"/>
    <mergeCell ref="H3302:H3303"/>
    <mergeCell ref="L3302:L3303"/>
    <mergeCell ref="M3302:M3303"/>
    <mergeCell ref="N3302:N3303"/>
    <mergeCell ref="A3284:D3284"/>
    <mergeCell ref="E3284:E3285"/>
    <mergeCell ref="F3284:F3285"/>
    <mergeCell ref="G3284:L3285"/>
    <mergeCell ref="M3284:P3285"/>
    <mergeCell ref="A3286:D3287"/>
    <mergeCell ref="E3286:E3287"/>
    <mergeCell ref="F3286:F3287"/>
    <mergeCell ref="G3286:H3286"/>
    <mergeCell ref="K3286:L3286"/>
    <mergeCell ref="M3286:P3286"/>
    <mergeCell ref="G3287:H3287"/>
    <mergeCell ref="K3287:L3287"/>
    <mergeCell ref="M3287:P3287"/>
    <mergeCell ref="B3288:B3289"/>
    <mergeCell ref="D3288:D3289"/>
    <mergeCell ref="E3288:E3289"/>
    <mergeCell ref="F3288:F3289"/>
    <mergeCell ref="G3288:G3289"/>
    <mergeCell ref="H3288:H3289"/>
    <mergeCell ref="L3288:L3289"/>
    <mergeCell ref="M3288:M3289"/>
    <mergeCell ref="N3288:N3289"/>
    <mergeCell ref="A1:Q1"/>
    <mergeCell ref="A6240:A6242"/>
    <mergeCell ref="B6494:B6495"/>
    <mergeCell ref="D6494:D6495"/>
    <mergeCell ref="E6494:E6495"/>
    <mergeCell ref="F6494:F6495"/>
    <mergeCell ref="G6494:G6495"/>
    <mergeCell ref="H6494:H6495"/>
    <mergeCell ref="L6494:L6495"/>
    <mergeCell ref="M6494:M6495"/>
    <mergeCell ref="N6494:N6495"/>
    <mergeCell ref="G64:H64"/>
    <mergeCell ref="K64:L64"/>
    <mergeCell ref="M64:P64"/>
    <mergeCell ref="B65:B66"/>
    <mergeCell ref="D65:D66"/>
    <mergeCell ref="E65:E66"/>
    <mergeCell ref="F65:F66"/>
    <mergeCell ref="G65:G66"/>
    <mergeCell ref="H65:H66"/>
    <mergeCell ref="L65:L66"/>
    <mergeCell ref="M125:M126"/>
    <mergeCell ref="N125:N126"/>
    <mergeCell ref="A147:D147"/>
    <mergeCell ref="L109:L110"/>
    <mergeCell ref="M109:M110"/>
    <mergeCell ref="N109:N110"/>
    <mergeCell ref="C21:E21"/>
    <mergeCell ref="A63:D64"/>
    <mergeCell ref="E63:E64"/>
    <mergeCell ref="F63:F64"/>
    <mergeCell ref="G63:H63"/>
    <mergeCell ref="K63:L63"/>
    <mergeCell ref="M63:P63"/>
    <mergeCell ref="N80:N81"/>
    <mergeCell ref="B95:B96"/>
    <mergeCell ref="D95:D96"/>
    <mergeCell ref="E95:E96"/>
    <mergeCell ref="F95:F96"/>
    <mergeCell ref="G95:G96"/>
    <mergeCell ref="H95:H96"/>
    <mergeCell ref="L95:L96"/>
    <mergeCell ref="M95:M96"/>
    <mergeCell ref="N95:N96"/>
    <mergeCell ref="M65:M66"/>
    <mergeCell ref="N65:N66"/>
    <mergeCell ref="B80:B81"/>
    <mergeCell ref="D80:D81"/>
    <mergeCell ref="E80:E81"/>
    <mergeCell ref="F80:F81"/>
    <mergeCell ref="G80:G81"/>
    <mergeCell ref="H80:H81"/>
    <mergeCell ref="L80:L81"/>
    <mergeCell ref="M80:M81"/>
    <mergeCell ref="B109:B110"/>
    <mergeCell ref="D109:D110"/>
    <mergeCell ref="E109:E110"/>
    <mergeCell ref="F109:F110"/>
    <mergeCell ref="G109:G110"/>
    <mergeCell ref="H109:H110"/>
    <mergeCell ref="L153:L154"/>
    <mergeCell ref="M153:M154"/>
    <mergeCell ref="N153:N154"/>
    <mergeCell ref="B168:B169"/>
    <mergeCell ref="D168:D169"/>
    <mergeCell ref="E168:E169"/>
    <mergeCell ref="F168:F169"/>
    <mergeCell ref="G168:G169"/>
    <mergeCell ref="H168:H169"/>
    <mergeCell ref="L168:L169"/>
    <mergeCell ref="B153:B154"/>
    <mergeCell ref="D153:D154"/>
    <mergeCell ref="E153:E154"/>
    <mergeCell ref="F153:F154"/>
    <mergeCell ref="G153:G154"/>
    <mergeCell ref="H153:H154"/>
    <mergeCell ref="A151:D152"/>
    <mergeCell ref="E151:E152"/>
    <mergeCell ref="F151:F152"/>
    <mergeCell ref="G151:H151"/>
    <mergeCell ref="K151:L151"/>
    <mergeCell ref="M151:P151"/>
    <mergeCell ref="G152:H152"/>
    <mergeCell ref="K152:L152"/>
    <mergeCell ref="M152:P152"/>
    <mergeCell ref="B125:B126"/>
    <mergeCell ref="D222:D223"/>
    <mergeCell ref="E222:E223"/>
    <mergeCell ref="F222:F223"/>
    <mergeCell ref="G222:G223"/>
    <mergeCell ref="H222:H223"/>
    <mergeCell ref="L222:L223"/>
    <mergeCell ref="M222:M223"/>
    <mergeCell ref="N222:N223"/>
    <mergeCell ref="M168:M169"/>
    <mergeCell ref="N168:N169"/>
    <mergeCell ref="B194:B195"/>
    <mergeCell ref="D194:D195"/>
    <mergeCell ref="E194:E195"/>
    <mergeCell ref="F194:F195"/>
    <mergeCell ref="G194:G195"/>
    <mergeCell ref="H194:H195"/>
    <mergeCell ref="L194:L195"/>
    <mergeCell ref="M194:M195"/>
    <mergeCell ref="A149:D149"/>
    <mergeCell ref="E149:E150"/>
    <mergeCell ref="F149:F150"/>
    <mergeCell ref="G149:L150"/>
    <mergeCell ref="M149:P150"/>
    <mergeCell ref="D125:D126"/>
    <mergeCell ref="E125:E126"/>
    <mergeCell ref="F125:F126"/>
    <mergeCell ref="G125:G126"/>
    <mergeCell ref="H125:H126"/>
    <mergeCell ref="M269:M270"/>
    <mergeCell ref="N269:N270"/>
    <mergeCell ref="A293:D293"/>
    <mergeCell ref="E293:E294"/>
    <mergeCell ref="F293:F294"/>
    <mergeCell ref="G293:L294"/>
    <mergeCell ref="M293:P294"/>
    <mergeCell ref="L249:L250"/>
    <mergeCell ref="M249:M250"/>
    <mergeCell ref="N249:N250"/>
    <mergeCell ref="B269:B270"/>
    <mergeCell ref="D269:D270"/>
    <mergeCell ref="E269:E270"/>
    <mergeCell ref="F269:F270"/>
    <mergeCell ref="G269:G270"/>
    <mergeCell ref="H269:H270"/>
    <mergeCell ref="L269:L270"/>
    <mergeCell ref="B249:B250"/>
    <mergeCell ref="D249:D250"/>
    <mergeCell ref="E249:E250"/>
    <mergeCell ref="F249:F250"/>
    <mergeCell ref="G249:G250"/>
    <mergeCell ref="H249:H250"/>
    <mergeCell ref="L297:L298"/>
    <mergeCell ref="M297:M298"/>
    <mergeCell ref="N297:N298"/>
    <mergeCell ref="B312:B313"/>
    <mergeCell ref="D312:D313"/>
    <mergeCell ref="E312:E313"/>
    <mergeCell ref="F312:F313"/>
    <mergeCell ref="G312:G313"/>
    <mergeCell ref="H312:H313"/>
    <mergeCell ref="L312:L313"/>
    <mergeCell ref="B297:B298"/>
    <mergeCell ref="D297:D298"/>
    <mergeCell ref="E297:E298"/>
    <mergeCell ref="F297:F298"/>
    <mergeCell ref="G297:G298"/>
    <mergeCell ref="H297:H298"/>
    <mergeCell ref="A295:D296"/>
    <mergeCell ref="E295:E296"/>
    <mergeCell ref="F295:F296"/>
    <mergeCell ref="G295:H295"/>
    <mergeCell ref="K295:L295"/>
    <mergeCell ref="M295:P295"/>
    <mergeCell ref="G296:H296"/>
    <mergeCell ref="K296:L296"/>
    <mergeCell ref="M296:P296"/>
    <mergeCell ref="N339:N340"/>
    <mergeCell ref="B358:B359"/>
    <mergeCell ref="D358:D359"/>
    <mergeCell ref="E358:E359"/>
    <mergeCell ref="F358:F359"/>
    <mergeCell ref="G358:G359"/>
    <mergeCell ref="H358:H359"/>
    <mergeCell ref="L358:L359"/>
    <mergeCell ref="M358:M359"/>
    <mergeCell ref="N358:N359"/>
    <mergeCell ref="M312:M313"/>
    <mergeCell ref="N312:N313"/>
    <mergeCell ref="B339:B340"/>
    <mergeCell ref="D339:D340"/>
    <mergeCell ref="E339:E340"/>
    <mergeCell ref="F339:F340"/>
    <mergeCell ref="G339:G340"/>
    <mergeCell ref="H339:H340"/>
    <mergeCell ref="L339:L340"/>
    <mergeCell ref="M339:M340"/>
    <mergeCell ref="A405:D406"/>
    <mergeCell ref="E405:E406"/>
    <mergeCell ref="F405:F406"/>
    <mergeCell ref="G405:H405"/>
    <mergeCell ref="K405:L405"/>
    <mergeCell ref="M405:P405"/>
    <mergeCell ref="G406:H406"/>
    <mergeCell ref="K406:L406"/>
    <mergeCell ref="M406:P406"/>
    <mergeCell ref="L378:L379"/>
    <mergeCell ref="M378:M379"/>
    <mergeCell ref="N378:N379"/>
    <mergeCell ref="A403:D403"/>
    <mergeCell ref="E403:E404"/>
    <mergeCell ref="F403:F404"/>
    <mergeCell ref="G403:L404"/>
    <mergeCell ref="M403:P404"/>
    <mergeCell ref="B378:B379"/>
    <mergeCell ref="D378:D379"/>
    <mergeCell ref="E378:E379"/>
    <mergeCell ref="F378:F379"/>
    <mergeCell ref="G378:G379"/>
    <mergeCell ref="H378:H379"/>
    <mergeCell ref="M422:M423"/>
    <mergeCell ref="N422:N423"/>
    <mergeCell ref="B447:B448"/>
    <mergeCell ref="D447:D448"/>
    <mergeCell ref="E447:E448"/>
    <mergeCell ref="F447:F448"/>
    <mergeCell ref="G447:G448"/>
    <mergeCell ref="H447:H448"/>
    <mergeCell ref="L447:L448"/>
    <mergeCell ref="M447:M448"/>
    <mergeCell ref="L407:L408"/>
    <mergeCell ref="M407:M408"/>
    <mergeCell ref="N407:N408"/>
    <mergeCell ref="B422:B423"/>
    <mergeCell ref="D422:D423"/>
    <mergeCell ref="E422:E423"/>
    <mergeCell ref="F422:F423"/>
    <mergeCell ref="G422:G423"/>
    <mergeCell ref="H422:H423"/>
    <mergeCell ref="L422:L423"/>
    <mergeCell ref="B407:B408"/>
    <mergeCell ref="D407:D408"/>
    <mergeCell ref="E407:E408"/>
    <mergeCell ref="F407:F408"/>
    <mergeCell ref="G407:G408"/>
    <mergeCell ref="H407:H408"/>
    <mergeCell ref="A498:D499"/>
    <mergeCell ref="E498:E499"/>
    <mergeCell ref="F498:F499"/>
    <mergeCell ref="G498:H498"/>
    <mergeCell ref="K498:L498"/>
    <mergeCell ref="M498:P498"/>
    <mergeCell ref="G499:H499"/>
    <mergeCell ref="K499:L499"/>
    <mergeCell ref="M499:P499"/>
    <mergeCell ref="A494:D494"/>
    <mergeCell ref="A496:D496"/>
    <mergeCell ref="E496:E497"/>
    <mergeCell ref="F496:F497"/>
    <mergeCell ref="G496:L497"/>
    <mergeCell ref="M496:P497"/>
    <mergeCell ref="N447:N448"/>
    <mergeCell ref="B468:B469"/>
    <mergeCell ref="D468:D469"/>
    <mergeCell ref="E468:E469"/>
    <mergeCell ref="F468:F469"/>
    <mergeCell ref="G468:G469"/>
    <mergeCell ref="H468:H469"/>
    <mergeCell ref="L468:L469"/>
    <mergeCell ref="M468:M469"/>
    <mergeCell ref="N468:N469"/>
    <mergeCell ref="M515:M516"/>
    <mergeCell ref="N515:N516"/>
    <mergeCell ref="B531:B532"/>
    <mergeCell ref="D531:D532"/>
    <mergeCell ref="E531:E532"/>
    <mergeCell ref="F531:F532"/>
    <mergeCell ref="G531:G532"/>
    <mergeCell ref="H531:H532"/>
    <mergeCell ref="L531:L532"/>
    <mergeCell ref="M531:M532"/>
    <mergeCell ref="L500:L501"/>
    <mergeCell ref="M500:M501"/>
    <mergeCell ref="N500:N501"/>
    <mergeCell ref="B515:B516"/>
    <mergeCell ref="D515:D516"/>
    <mergeCell ref="E515:E516"/>
    <mergeCell ref="F515:F516"/>
    <mergeCell ref="G515:G516"/>
    <mergeCell ref="H515:H516"/>
    <mergeCell ref="L515:L516"/>
    <mergeCell ref="B500:B501"/>
    <mergeCell ref="D500:D501"/>
    <mergeCell ref="E500:E501"/>
    <mergeCell ref="F500:F501"/>
    <mergeCell ref="G500:G501"/>
    <mergeCell ref="H500:H501"/>
    <mergeCell ref="L570:L571"/>
    <mergeCell ref="M570:M571"/>
    <mergeCell ref="N570:N571"/>
    <mergeCell ref="A595:D595"/>
    <mergeCell ref="E595:E596"/>
    <mergeCell ref="F595:F596"/>
    <mergeCell ref="G595:L596"/>
    <mergeCell ref="M595:P596"/>
    <mergeCell ref="B570:B571"/>
    <mergeCell ref="D570:D571"/>
    <mergeCell ref="E570:E571"/>
    <mergeCell ref="F570:F571"/>
    <mergeCell ref="G570:G571"/>
    <mergeCell ref="H570:H571"/>
    <mergeCell ref="N531:N532"/>
    <mergeCell ref="B550:B551"/>
    <mergeCell ref="D550:D551"/>
    <mergeCell ref="E550:E551"/>
    <mergeCell ref="F550:F551"/>
    <mergeCell ref="G550:G551"/>
    <mergeCell ref="H550:H551"/>
    <mergeCell ref="L550:L551"/>
    <mergeCell ref="M550:M551"/>
    <mergeCell ref="N550:N551"/>
    <mergeCell ref="L599:L600"/>
    <mergeCell ref="M599:M600"/>
    <mergeCell ref="N599:N600"/>
    <mergeCell ref="B614:B615"/>
    <mergeCell ref="D614:D615"/>
    <mergeCell ref="E614:E615"/>
    <mergeCell ref="F614:F615"/>
    <mergeCell ref="G614:G615"/>
    <mergeCell ref="H614:H615"/>
    <mergeCell ref="L614:L615"/>
    <mergeCell ref="B599:B600"/>
    <mergeCell ref="D599:D600"/>
    <mergeCell ref="E599:E600"/>
    <mergeCell ref="F599:F600"/>
    <mergeCell ref="G599:G600"/>
    <mergeCell ref="H599:H600"/>
    <mergeCell ref="A597:D598"/>
    <mergeCell ref="E597:E598"/>
    <mergeCell ref="F597:F598"/>
    <mergeCell ref="G597:H597"/>
    <mergeCell ref="K597:L597"/>
    <mergeCell ref="M597:P597"/>
    <mergeCell ref="G598:H598"/>
    <mergeCell ref="K598:L598"/>
    <mergeCell ref="M598:P598"/>
    <mergeCell ref="N629:N630"/>
    <mergeCell ref="B646:B647"/>
    <mergeCell ref="D646:D647"/>
    <mergeCell ref="E646:E647"/>
    <mergeCell ref="F646:F647"/>
    <mergeCell ref="G646:G647"/>
    <mergeCell ref="H646:H647"/>
    <mergeCell ref="L646:L647"/>
    <mergeCell ref="M646:M647"/>
    <mergeCell ref="N646:N647"/>
    <mergeCell ref="M614:M615"/>
    <mergeCell ref="N614:N615"/>
    <mergeCell ref="B629:B630"/>
    <mergeCell ref="D629:D630"/>
    <mergeCell ref="E629:E630"/>
    <mergeCell ref="F629:F630"/>
    <mergeCell ref="G629:G630"/>
    <mergeCell ref="H629:H630"/>
    <mergeCell ref="L629:L630"/>
    <mergeCell ref="M629:M630"/>
    <mergeCell ref="A694:D695"/>
    <mergeCell ref="E694:E695"/>
    <mergeCell ref="F694:F695"/>
    <mergeCell ref="G694:H694"/>
    <mergeCell ref="K694:L694"/>
    <mergeCell ref="M694:P694"/>
    <mergeCell ref="G695:H695"/>
    <mergeCell ref="K695:L695"/>
    <mergeCell ref="M695:P695"/>
    <mergeCell ref="L667:L668"/>
    <mergeCell ref="M667:M668"/>
    <mergeCell ref="N667:N668"/>
    <mergeCell ref="A692:D692"/>
    <mergeCell ref="E692:E693"/>
    <mergeCell ref="F692:F693"/>
    <mergeCell ref="G692:L693"/>
    <mergeCell ref="M692:P693"/>
    <mergeCell ref="B667:B668"/>
    <mergeCell ref="D667:D668"/>
    <mergeCell ref="E667:E668"/>
    <mergeCell ref="F667:F668"/>
    <mergeCell ref="G667:G668"/>
    <mergeCell ref="H667:H668"/>
    <mergeCell ref="M711:M712"/>
    <mergeCell ref="N711:N712"/>
    <mergeCell ref="B727:B728"/>
    <mergeCell ref="D727:D728"/>
    <mergeCell ref="E727:E728"/>
    <mergeCell ref="F727:F728"/>
    <mergeCell ref="G727:G728"/>
    <mergeCell ref="H727:H728"/>
    <mergeCell ref="L727:L728"/>
    <mergeCell ref="M727:M728"/>
    <mergeCell ref="L696:L697"/>
    <mergeCell ref="M696:M697"/>
    <mergeCell ref="N696:N697"/>
    <mergeCell ref="B711:B712"/>
    <mergeCell ref="D711:D712"/>
    <mergeCell ref="E711:E712"/>
    <mergeCell ref="F711:F712"/>
    <mergeCell ref="G711:G712"/>
    <mergeCell ref="H711:H712"/>
    <mergeCell ref="L711:L712"/>
    <mergeCell ref="B696:B697"/>
    <mergeCell ref="D696:D697"/>
    <mergeCell ref="E696:E697"/>
    <mergeCell ref="F696:F697"/>
    <mergeCell ref="G696:G697"/>
    <mergeCell ref="H696:H697"/>
    <mergeCell ref="L767:L768"/>
    <mergeCell ref="M767:M768"/>
    <mergeCell ref="N767:N768"/>
    <mergeCell ref="A792:D792"/>
    <mergeCell ref="E792:E793"/>
    <mergeCell ref="F792:F793"/>
    <mergeCell ref="G792:L793"/>
    <mergeCell ref="M792:P793"/>
    <mergeCell ref="B767:B768"/>
    <mergeCell ref="D767:D768"/>
    <mergeCell ref="E767:E768"/>
    <mergeCell ref="F767:F768"/>
    <mergeCell ref="G767:G768"/>
    <mergeCell ref="H767:H768"/>
    <mergeCell ref="N727:N728"/>
    <mergeCell ref="B746:B747"/>
    <mergeCell ref="D746:D747"/>
    <mergeCell ref="E746:E747"/>
    <mergeCell ref="F746:F747"/>
    <mergeCell ref="G746:G747"/>
    <mergeCell ref="H746:H747"/>
    <mergeCell ref="L746:L747"/>
    <mergeCell ref="M746:M747"/>
    <mergeCell ref="N746:N747"/>
    <mergeCell ref="L796:L797"/>
    <mergeCell ref="M796:M797"/>
    <mergeCell ref="N796:N797"/>
    <mergeCell ref="A799:A805"/>
    <mergeCell ref="B810:B811"/>
    <mergeCell ref="D810:D811"/>
    <mergeCell ref="E810:E811"/>
    <mergeCell ref="F810:F811"/>
    <mergeCell ref="G810:G811"/>
    <mergeCell ref="H810:H811"/>
    <mergeCell ref="B796:B797"/>
    <mergeCell ref="D796:D797"/>
    <mergeCell ref="E796:E797"/>
    <mergeCell ref="F796:F797"/>
    <mergeCell ref="G796:G797"/>
    <mergeCell ref="H796:H797"/>
    <mergeCell ref="A794:D795"/>
    <mergeCell ref="E794:E795"/>
    <mergeCell ref="F794:F795"/>
    <mergeCell ref="G794:H794"/>
    <mergeCell ref="K794:L794"/>
    <mergeCell ref="M794:P794"/>
    <mergeCell ref="G795:H795"/>
    <mergeCell ref="K795:L795"/>
    <mergeCell ref="M795:P795"/>
    <mergeCell ref="M823:M824"/>
    <mergeCell ref="N823:N824"/>
    <mergeCell ref="B837:B838"/>
    <mergeCell ref="D837:D838"/>
    <mergeCell ref="E837:E838"/>
    <mergeCell ref="F837:F838"/>
    <mergeCell ref="G837:G838"/>
    <mergeCell ref="H837:H838"/>
    <mergeCell ref="L837:L838"/>
    <mergeCell ref="M837:M838"/>
    <mergeCell ref="L810:L811"/>
    <mergeCell ref="M810:M811"/>
    <mergeCell ref="N810:N811"/>
    <mergeCell ref="B823:B824"/>
    <mergeCell ref="D823:D824"/>
    <mergeCell ref="E823:E824"/>
    <mergeCell ref="F823:F824"/>
    <mergeCell ref="G823:G824"/>
    <mergeCell ref="H823:H824"/>
    <mergeCell ref="L823:L824"/>
    <mergeCell ref="L867:L868"/>
    <mergeCell ref="M867:M868"/>
    <mergeCell ref="N867:N868"/>
    <mergeCell ref="B884:B885"/>
    <mergeCell ref="D884:D885"/>
    <mergeCell ref="E884:E885"/>
    <mergeCell ref="F884:F885"/>
    <mergeCell ref="G884:G885"/>
    <mergeCell ref="H884:H885"/>
    <mergeCell ref="L884:L885"/>
    <mergeCell ref="B867:B868"/>
    <mergeCell ref="D867:D868"/>
    <mergeCell ref="E867:E868"/>
    <mergeCell ref="F867:F868"/>
    <mergeCell ref="G867:G868"/>
    <mergeCell ref="H867:H868"/>
    <mergeCell ref="N837:N838"/>
    <mergeCell ref="B850:B851"/>
    <mergeCell ref="D850:D851"/>
    <mergeCell ref="E850:E851"/>
    <mergeCell ref="F850:F851"/>
    <mergeCell ref="G850:G851"/>
    <mergeCell ref="H850:H851"/>
    <mergeCell ref="L850:L851"/>
    <mergeCell ref="M850:M851"/>
    <mergeCell ref="N850:N851"/>
    <mergeCell ref="N904:N905"/>
    <mergeCell ref="B922:B923"/>
    <mergeCell ref="D922:D923"/>
    <mergeCell ref="E922:E923"/>
    <mergeCell ref="F922:F923"/>
    <mergeCell ref="G922:G923"/>
    <mergeCell ref="H922:H923"/>
    <mergeCell ref="L922:L923"/>
    <mergeCell ref="M922:M923"/>
    <mergeCell ref="N922:N923"/>
    <mergeCell ref="M884:M885"/>
    <mergeCell ref="N884:N885"/>
    <mergeCell ref="B904:B905"/>
    <mergeCell ref="D904:D905"/>
    <mergeCell ref="E904:E905"/>
    <mergeCell ref="F904:F905"/>
    <mergeCell ref="G904:G905"/>
    <mergeCell ref="H904:H905"/>
    <mergeCell ref="L904:L905"/>
    <mergeCell ref="M904:M905"/>
    <mergeCell ref="A973:D974"/>
    <mergeCell ref="E973:E974"/>
    <mergeCell ref="F973:F974"/>
    <mergeCell ref="G973:H973"/>
    <mergeCell ref="K973:L973"/>
    <mergeCell ref="M973:P973"/>
    <mergeCell ref="G974:H974"/>
    <mergeCell ref="K974:L974"/>
    <mergeCell ref="M974:P974"/>
    <mergeCell ref="M954:M955"/>
    <mergeCell ref="N954:N955"/>
    <mergeCell ref="A971:D971"/>
    <mergeCell ref="E971:E972"/>
    <mergeCell ref="F971:F972"/>
    <mergeCell ref="G971:L972"/>
    <mergeCell ref="M971:P972"/>
    <mergeCell ref="L939:L940"/>
    <mergeCell ref="M939:M940"/>
    <mergeCell ref="N939:N940"/>
    <mergeCell ref="B954:B955"/>
    <mergeCell ref="D954:D955"/>
    <mergeCell ref="E954:E955"/>
    <mergeCell ref="F954:F955"/>
    <mergeCell ref="G954:G955"/>
    <mergeCell ref="H954:H955"/>
    <mergeCell ref="L954:L955"/>
    <mergeCell ref="B939:B940"/>
    <mergeCell ref="D939:D940"/>
    <mergeCell ref="E939:E940"/>
    <mergeCell ref="F939:F940"/>
    <mergeCell ref="G939:G940"/>
    <mergeCell ref="H939:H940"/>
    <mergeCell ref="L989:L990"/>
    <mergeCell ref="M989:M990"/>
    <mergeCell ref="N989:N990"/>
    <mergeCell ref="B1002:B1003"/>
    <mergeCell ref="D1002:D1003"/>
    <mergeCell ref="E1002:E1003"/>
    <mergeCell ref="F1002:F1003"/>
    <mergeCell ref="G1002:G1003"/>
    <mergeCell ref="H1002:H1003"/>
    <mergeCell ref="L1002:L1003"/>
    <mergeCell ref="L975:L976"/>
    <mergeCell ref="M975:M976"/>
    <mergeCell ref="N975:N976"/>
    <mergeCell ref="A978:A984"/>
    <mergeCell ref="B989:B990"/>
    <mergeCell ref="D989:D990"/>
    <mergeCell ref="E989:E990"/>
    <mergeCell ref="F989:F990"/>
    <mergeCell ref="G989:G990"/>
    <mergeCell ref="H989:H990"/>
    <mergeCell ref="B975:B976"/>
    <mergeCell ref="D975:D976"/>
    <mergeCell ref="E975:E976"/>
    <mergeCell ref="F975:F976"/>
    <mergeCell ref="G975:G976"/>
    <mergeCell ref="H975:H976"/>
    <mergeCell ref="N1016:N1017"/>
    <mergeCell ref="B1029:B1030"/>
    <mergeCell ref="D1029:D1030"/>
    <mergeCell ref="E1029:E1030"/>
    <mergeCell ref="F1029:F1030"/>
    <mergeCell ref="G1029:G1030"/>
    <mergeCell ref="H1029:H1030"/>
    <mergeCell ref="L1029:L1030"/>
    <mergeCell ref="M1029:M1030"/>
    <mergeCell ref="N1029:N1030"/>
    <mergeCell ref="M1002:M1003"/>
    <mergeCell ref="N1002:N1003"/>
    <mergeCell ref="B1016:B1017"/>
    <mergeCell ref="D1016:D1017"/>
    <mergeCell ref="E1016:E1017"/>
    <mergeCell ref="F1016:F1017"/>
    <mergeCell ref="G1016:G1017"/>
    <mergeCell ref="H1016:H1017"/>
    <mergeCell ref="L1016:L1017"/>
    <mergeCell ref="M1016:M1017"/>
    <mergeCell ref="M1062:M1063"/>
    <mergeCell ref="N1062:N1063"/>
    <mergeCell ref="B1082:B1083"/>
    <mergeCell ref="D1082:D1083"/>
    <mergeCell ref="E1082:E1083"/>
    <mergeCell ref="F1082:F1083"/>
    <mergeCell ref="G1082:G1083"/>
    <mergeCell ref="H1082:H1083"/>
    <mergeCell ref="L1082:L1083"/>
    <mergeCell ref="M1082:M1083"/>
    <mergeCell ref="L1046:L1047"/>
    <mergeCell ref="M1046:M1047"/>
    <mergeCell ref="N1046:N1047"/>
    <mergeCell ref="B1062:B1063"/>
    <mergeCell ref="D1062:D1063"/>
    <mergeCell ref="E1062:E1063"/>
    <mergeCell ref="F1062:F1063"/>
    <mergeCell ref="G1062:G1063"/>
    <mergeCell ref="H1062:H1063"/>
    <mergeCell ref="L1062:L1063"/>
    <mergeCell ref="B1046:B1047"/>
    <mergeCell ref="D1046:D1047"/>
    <mergeCell ref="E1046:E1047"/>
    <mergeCell ref="F1046:F1047"/>
    <mergeCell ref="G1046:G1047"/>
    <mergeCell ref="H1046:H1047"/>
    <mergeCell ref="L1117:L1118"/>
    <mergeCell ref="M1117:M1118"/>
    <mergeCell ref="N1117:N1118"/>
    <mergeCell ref="B1132:B1133"/>
    <mergeCell ref="D1132:D1133"/>
    <mergeCell ref="E1132:E1133"/>
    <mergeCell ref="F1132:F1133"/>
    <mergeCell ref="G1132:G1133"/>
    <mergeCell ref="H1132:H1133"/>
    <mergeCell ref="L1132:L1133"/>
    <mergeCell ref="B1117:B1118"/>
    <mergeCell ref="D1117:D1118"/>
    <mergeCell ref="E1117:E1118"/>
    <mergeCell ref="F1117:F1118"/>
    <mergeCell ref="G1117:G1118"/>
    <mergeCell ref="H1117:H1118"/>
    <mergeCell ref="N1082:N1083"/>
    <mergeCell ref="B1100:B1101"/>
    <mergeCell ref="D1100:D1101"/>
    <mergeCell ref="E1100:E1101"/>
    <mergeCell ref="F1100:F1101"/>
    <mergeCell ref="G1100:G1101"/>
    <mergeCell ref="H1100:H1101"/>
    <mergeCell ref="L1100:L1101"/>
    <mergeCell ref="M1100:M1101"/>
    <mergeCell ref="N1100:N1101"/>
    <mergeCell ref="A1158:D1159"/>
    <mergeCell ref="E1158:E1159"/>
    <mergeCell ref="F1158:F1159"/>
    <mergeCell ref="G1158:H1158"/>
    <mergeCell ref="K1158:L1158"/>
    <mergeCell ref="M1158:P1158"/>
    <mergeCell ref="G1159:H1159"/>
    <mergeCell ref="K1159:L1159"/>
    <mergeCell ref="M1159:P1159"/>
    <mergeCell ref="M1132:M1133"/>
    <mergeCell ref="N1132:N1133"/>
    <mergeCell ref="A1154:D1154"/>
    <mergeCell ref="A1156:D1156"/>
    <mergeCell ref="E1156:E1157"/>
    <mergeCell ref="F1156:F1157"/>
    <mergeCell ref="G1156:L1157"/>
    <mergeCell ref="M1156:P1157"/>
    <mergeCell ref="M1174:M1175"/>
    <mergeCell ref="N1174:N1175"/>
    <mergeCell ref="B1189:B1190"/>
    <mergeCell ref="D1189:D1190"/>
    <mergeCell ref="E1189:E1190"/>
    <mergeCell ref="F1189:F1190"/>
    <mergeCell ref="G1189:G1190"/>
    <mergeCell ref="H1189:H1190"/>
    <mergeCell ref="L1189:L1190"/>
    <mergeCell ref="M1189:M1190"/>
    <mergeCell ref="L1160:L1161"/>
    <mergeCell ref="M1160:M1161"/>
    <mergeCell ref="N1160:N1161"/>
    <mergeCell ref="B1174:B1175"/>
    <mergeCell ref="D1174:D1175"/>
    <mergeCell ref="E1174:E1175"/>
    <mergeCell ref="F1174:F1175"/>
    <mergeCell ref="G1174:G1175"/>
    <mergeCell ref="H1174:H1175"/>
    <mergeCell ref="L1174:L1175"/>
    <mergeCell ref="B1160:B1161"/>
    <mergeCell ref="D1160:D1161"/>
    <mergeCell ref="E1160:E1161"/>
    <mergeCell ref="F1160:F1161"/>
    <mergeCell ref="G1160:G1161"/>
    <mergeCell ref="H1160:H1161"/>
    <mergeCell ref="L1227:L1228"/>
    <mergeCell ref="M1227:M1228"/>
    <mergeCell ref="N1227:N1228"/>
    <mergeCell ref="A1249:D1249"/>
    <mergeCell ref="A1252:D1252"/>
    <mergeCell ref="E1252:E1253"/>
    <mergeCell ref="F1252:F1253"/>
    <mergeCell ref="G1252:L1253"/>
    <mergeCell ref="M1252:P1253"/>
    <mergeCell ref="B1227:B1228"/>
    <mergeCell ref="D1227:D1228"/>
    <mergeCell ref="E1227:E1228"/>
    <mergeCell ref="F1227:F1228"/>
    <mergeCell ref="G1227:G1228"/>
    <mergeCell ref="H1227:H1228"/>
    <mergeCell ref="N1189:N1190"/>
    <mergeCell ref="B1203:B1204"/>
    <mergeCell ref="D1203:D1204"/>
    <mergeCell ref="E1203:E1204"/>
    <mergeCell ref="F1203:F1204"/>
    <mergeCell ref="G1203:G1204"/>
    <mergeCell ref="H1203:H1204"/>
    <mergeCell ref="L1203:L1204"/>
    <mergeCell ref="M1203:M1204"/>
    <mergeCell ref="N1203:N1204"/>
    <mergeCell ref="L1256:L1257"/>
    <mergeCell ref="M1256:M1257"/>
    <mergeCell ref="N1256:N1257"/>
    <mergeCell ref="B1270:B1271"/>
    <mergeCell ref="D1270:D1271"/>
    <mergeCell ref="E1270:E1271"/>
    <mergeCell ref="F1270:F1271"/>
    <mergeCell ref="G1270:G1271"/>
    <mergeCell ref="H1270:H1271"/>
    <mergeCell ref="L1270:L1271"/>
    <mergeCell ref="B1256:B1257"/>
    <mergeCell ref="D1256:D1257"/>
    <mergeCell ref="E1256:E1257"/>
    <mergeCell ref="F1256:F1257"/>
    <mergeCell ref="G1256:G1257"/>
    <mergeCell ref="H1256:H1257"/>
    <mergeCell ref="A1254:D1255"/>
    <mergeCell ref="E1254:E1255"/>
    <mergeCell ref="F1254:F1255"/>
    <mergeCell ref="G1254:H1254"/>
    <mergeCell ref="K1254:L1254"/>
    <mergeCell ref="M1254:P1254"/>
    <mergeCell ref="G1255:H1255"/>
    <mergeCell ref="K1255:L1255"/>
    <mergeCell ref="M1255:P1255"/>
    <mergeCell ref="N1284:N1285"/>
    <mergeCell ref="B1305:B1306"/>
    <mergeCell ref="D1305:D1306"/>
    <mergeCell ref="E1305:E1306"/>
    <mergeCell ref="F1305:F1306"/>
    <mergeCell ref="G1305:G1306"/>
    <mergeCell ref="H1305:H1306"/>
    <mergeCell ref="L1305:L1306"/>
    <mergeCell ref="M1305:M1306"/>
    <mergeCell ref="N1305:N1306"/>
    <mergeCell ref="M1270:M1271"/>
    <mergeCell ref="N1270:N1271"/>
    <mergeCell ref="B1284:B1285"/>
    <mergeCell ref="D1284:D1285"/>
    <mergeCell ref="E1284:E1285"/>
    <mergeCell ref="F1284:F1285"/>
    <mergeCell ref="G1284:G1285"/>
    <mergeCell ref="H1284:H1285"/>
    <mergeCell ref="L1284:L1285"/>
    <mergeCell ref="M1284:M1285"/>
    <mergeCell ref="N1361:N1362"/>
    <mergeCell ref="A1379:D1379"/>
    <mergeCell ref="E1379:E1380"/>
    <mergeCell ref="F1379:F1380"/>
    <mergeCell ref="G1379:L1380"/>
    <mergeCell ref="M1379:P1380"/>
    <mergeCell ref="M1341:M1342"/>
    <mergeCell ref="N1341:N1342"/>
    <mergeCell ref="B1361:B1362"/>
    <mergeCell ref="D1361:D1362"/>
    <mergeCell ref="E1361:E1362"/>
    <mergeCell ref="F1361:F1362"/>
    <mergeCell ref="G1361:G1362"/>
    <mergeCell ref="H1361:H1362"/>
    <mergeCell ref="L1361:L1362"/>
    <mergeCell ref="M1361:M1362"/>
    <mergeCell ref="L1324:L1325"/>
    <mergeCell ref="M1324:M1325"/>
    <mergeCell ref="N1324:N1325"/>
    <mergeCell ref="B1341:B1342"/>
    <mergeCell ref="D1341:D1342"/>
    <mergeCell ref="E1341:E1342"/>
    <mergeCell ref="F1341:F1342"/>
    <mergeCell ref="G1341:G1342"/>
    <mergeCell ref="H1341:H1342"/>
    <mergeCell ref="L1341:L1342"/>
    <mergeCell ref="B1324:B1325"/>
    <mergeCell ref="D1324:D1325"/>
    <mergeCell ref="E1324:E1325"/>
    <mergeCell ref="F1324:F1325"/>
    <mergeCell ref="G1324:G1325"/>
    <mergeCell ref="H1324:H1325"/>
    <mergeCell ref="L1383:L1384"/>
    <mergeCell ref="M1383:M1384"/>
    <mergeCell ref="N1383:N1384"/>
    <mergeCell ref="B1397:B1398"/>
    <mergeCell ref="D1397:D1398"/>
    <mergeCell ref="E1397:E1398"/>
    <mergeCell ref="F1397:F1398"/>
    <mergeCell ref="G1397:G1398"/>
    <mergeCell ref="H1397:H1398"/>
    <mergeCell ref="L1397:L1398"/>
    <mergeCell ref="B1383:B1384"/>
    <mergeCell ref="D1383:D1384"/>
    <mergeCell ref="E1383:E1384"/>
    <mergeCell ref="F1383:F1384"/>
    <mergeCell ref="G1383:G1384"/>
    <mergeCell ref="H1383:H1384"/>
    <mergeCell ref="A1381:D1382"/>
    <mergeCell ref="E1381:E1382"/>
    <mergeCell ref="F1381:F1382"/>
    <mergeCell ref="G1381:H1381"/>
    <mergeCell ref="K1381:L1381"/>
    <mergeCell ref="M1381:P1381"/>
    <mergeCell ref="G1382:H1382"/>
    <mergeCell ref="K1382:L1382"/>
    <mergeCell ref="M1382:P1382"/>
    <mergeCell ref="N1411:N1412"/>
    <mergeCell ref="B1439:B1440"/>
    <mergeCell ref="D1439:D1440"/>
    <mergeCell ref="E1439:E1440"/>
    <mergeCell ref="F1439:F1440"/>
    <mergeCell ref="G1439:G1440"/>
    <mergeCell ref="H1439:H1440"/>
    <mergeCell ref="L1439:L1440"/>
    <mergeCell ref="M1439:M1440"/>
    <mergeCell ref="N1439:N1440"/>
    <mergeCell ref="M1397:M1398"/>
    <mergeCell ref="N1397:N1398"/>
    <mergeCell ref="B1411:B1412"/>
    <mergeCell ref="D1411:D1412"/>
    <mergeCell ref="E1411:E1412"/>
    <mergeCell ref="F1411:F1412"/>
    <mergeCell ref="G1411:G1412"/>
    <mergeCell ref="H1411:H1412"/>
    <mergeCell ref="L1411:L1412"/>
    <mergeCell ref="M1411:M1412"/>
    <mergeCell ref="M1488:M1489"/>
    <mergeCell ref="N1488:N1489"/>
    <mergeCell ref="B1504:B1505"/>
    <mergeCell ref="D1504:D1505"/>
    <mergeCell ref="E1504:E1505"/>
    <mergeCell ref="F1504:F1505"/>
    <mergeCell ref="G1504:G1505"/>
    <mergeCell ref="H1504:H1505"/>
    <mergeCell ref="L1504:L1505"/>
    <mergeCell ref="M1504:M1505"/>
    <mergeCell ref="L1469:L1470"/>
    <mergeCell ref="M1469:M1470"/>
    <mergeCell ref="N1469:N1470"/>
    <mergeCell ref="B1488:B1489"/>
    <mergeCell ref="D1488:D1489"/>
    <mergeCell ref="E1488:E1489"/>
    <mergeCell ref="F1488:F1489"/>
    <mergeCell ref="G1488:G1489"/>
    <mergeCell ref="H1488:H1489"/>
    <mergeCell ref="L1488:L1489"/>
    <mergeCell ref="B1469:B1470"/>
    <mergeCell ref="D1469:D1470"/>
    <mergeCell ref="E1469:E1470"/>
    <mergeCell ref="F1469:F1470"/>
    <mergeCell ref="G1469:G1470"/>
    <mergeCell ref="H1469:H1470"/>
    <mergeCell ref="A1544:D1544"/>
    <mergeCell ref="E1544:E1545"/>
    <mergeCell ref="F1544:F1545"/>
    <mergeCell ref="G1544:L1545"/>
    <mergeCell ref="M1544:P1545"/>
    <mergeCell ref="A1546:D1547"/>
    <mergeCell ref="E1546:E1547"/>
    <mergeCell ref="F1546:F1547"/>
    <mergeCell ref="G1546:H1546"/>
    <mergeCell ref="K1546:L1546"/>
    <mergeCell ref="N1504:N1505"/>
    <mergeCell ref="B1524:B1525"/>
    <mergeCell ref="D1524:D1525"/>
    <mergeCell ref="E1524:E1525"/>
    <mergeCell ref="F1524:F1525"/>
    <mergeCell ref="G1524:G1525"/>
    <mergeCell ref="H1524:H1525"/>
    <mergeCell ref="L1524:L1525"/>
    <mergeCell ref="M1524:M1525"/>
    <mergeCell ref="N1524:N1525"/>
    <mergeCell ref="L1548:L1549"/>
    <mergeCell ref="M1548:M1549"/>
    <mergeCell ref="N1548:N1549"/>
    <mergeCell ref="B1563:B1564"/>
    <mergeCell ref="D1563:D1564"/>
    <mergeCell ref="E1563:E1564"/>
    <mergeCell ref="F1563:F1564"/>
    <mergeCell ref="G1563:G1564"/>
    <mergeCell ref="H1563:H1564"/>
    <mergeCell ref="L1563:L1564"/>
    <mergeCell ref="M1546:P1546"/>
    <mergeCell ref="G1547:H1547"/>
    <mergeCell ref="K1547:L1547"/>
    <mergeCell ref="M1547:P1547"/>
    <mergeCell ref="B1548:B1549"/>
    <mergeCell ref="D1548:D1549"/>
    <mergeCell ref="E1548:E1549"/>
    <mergeCell ref="F1548:F1549"/>
    <mergeCell ref="G1548:G1549"/>
    <mergeCell ref="H1548:H1549"/>
    <mergeCell ref="N1577:N1578"/>
    <mergeCell ref="B1591:B1592"/>
    <mergeCell ref="D1591:D1592"/>
    <mergeCell ref="E1591:E1592"/>
    <mergeCell ref="F1591:F1592"/>
    <mergeCell ref="G1591:G1592"/>
    <mergeCell ref="H1591:H1592"/>
    <mergeCell ref="L1591:L1592"/>
    <mergeCell ref="M1591:M1592"/>
    <mergeCell ref="N1591:N1592"/>
    <mergeCell ref="M1563:M1564"/>
    <mergeCell ref="N1563:N1564"/>
    <mergeCell ref="B1577:B1578"/>
    <mergeCell ref="D1577:D1578"/>
    <mergeCell ref="E1577:E1578"/>
    <mergeCell ref="F1577:F1578"/>
    <mergeCell ref="G1577:G1578"/>
    <mergeCell ref="H1577:H1578"/>
    <mergeCell ref="L1577:L1578"/>
    <mergeCell ref="M1577:M1578"/>
    <mergeCell ref="M1619:M1620"/>
    <mergeCell ref="N1619:N1620"/>
    <mergeCell ref="B1640:B1641"/>
    <mergeCell ref="D1640:D1641"/>
    <mergeCell ref="E1640:E1641"/>
    <mergeCell ref="F1640:F1641"/>
    <mergeCell ref="G1640:G1641"/>
    <mergeCell ref="H1640:H1641"/>
    <mergeCell ref="L1640:L1641"/>
    <mergeCell ref="M1640:M1641"/>
    <mergeCell ref="L1605:L1606"/>
    <mergeCell ref="M1605:M1606"/>
    <mergeCell ref="N1605:N1606"/>
    <mergeCell ref="B1619:B1620"/>
    <mergeCell ref="D1619:D1620"/>
    <mergeCell ref="E1619:E1620"/>
    <mergeCell ref="F1619:F1620"/>
    <mergeCell ref="G1619:G1620"/>
    <mergeCell ref="H1619:H1620"/>
    <mergeCell ref="L1619:L1620"/>
    <mergeCell ref="B1605:B1606"/>
    <mergeCell ref="D1605:D1606"/>
    <mergeCell ref="E1605:E1606"/>
    <mergeCell ref="F1605:F1606"/>
    <mergeCell ref="G1605:G1606"/>
    <mergeCell ref="H1605:H1606"/>
    <mergeCell ref="L1674:L1675"/>
    <mergeCell ref="M1674:M1675"/>
    <mergeCell ref="N1674:N1675"/>
    <mergeCell ref="B1692:B1693"/>
    <mergeCell ref="D1692:D1693"/>
    <mergeCell ref="E1692:E1693"/>
    <mergeCell ref="F1692:F1693"/>
    <mergeCell ref="G1692:G1693"/>
    <mergeCell ref="H1692:H1693"/>
    <mergeCell ref="L1692:L1693"/>
    <mergeCell ref="B1674:B1675"/>
    <mergeCell ref="D1674:D1675"/>
    <mergeCell ref="E1674:E1675"/>
    <mergeCell ref="F1674:F1675"/>
    <mergeCell ref="G1674:G1675"/>
    <mergeCell ref="H1674:H1675"/>
    <mergeCell ref="N1640:N1641"/>
    <mergeCell ref="B1659:B1660"/>
    <mergeCell ref="D1659:D1660"/>
    <mergeCell ref="E1659:E1660"/>
    <mergeCell ref="F1659:F1660"/>
    <mergeCell ref="G1659:G1660"/>
    <mergeCell ref="H1659:H1660"/>
    <mergeCell ref="L1659:L1660"/>
    <mergeCell ref="M1659:M1660"/>
    <mergeCell ref="N1659:N1660"/>
    <mergeCell ref="N1709:N1710"/>
    <mergeCell ref="B1724:B1725"/>
    <mergeCell ref="D1724:D1725"/>
    <mergeCell ref="E1724:E1725"/>
    <mergeCell ref="F1724:F1725"/>
    <mergeCell ref="G1724:G1725"/>
    <mergeCell ref="H1724:H1725"/>
    <mergeCell ref="L1724:L1725"/>
    <mergeCell ref="M1724:M1725"/>
    <mergeCell ref="N1724:N1725"/>
    <mergeCell ref="M1692:M1693"/>
    <mergeCell ref="N1692:N1693"/>
    <mergeCell ref="B1709:B1710"/>
    <mergeCell ref="D1709:D1710"/>
    <mergeCell ref="E1709:E1710"/>
    <mergeCell ref="F1709:F1710"/>
    <mergeCell ref="G1709:G1710"/>
    <mergeCell ref="H1709:H1710"/>
    <mergeCell ref="L1709:L1710"/>
    <mergeCell ref="M1709:M1710"/>
    <mergeCell ref="M1769:M1770"/>
    <mergeCell ref="N1769:N1770"/>
    <mergeCell ref="A1787:D1787"/>
    <mergeCell ref="A1790:D1790"/>
    <mergeCell ref="E1790:E1791"/>
    <mergeCell ref="F1790:F1791"/>
    <mergeCell ref="G1790:L1791"/>
    <mergeCell ref="M1790:P1791"/>
    <mergeCell ref="L1747:L1748"/>
    <mergeCell ref="M1747:M1748"/>
    <mergeCell ref="N1747:N1748"/>
    <mergeCell ref="B1769:B1770"/>
    <mergeCell ref="D1769:D1770"/>
    <mergeCell ref="E1769:E1770"/>
    <mergeCell ref="F1769:F1770"/>
    <mergeCell ref="G1769:G1770"/>
    <mergeCell ref="H1769:H1770"/>
    <mergeCell ref="L1769:L1770"/>
    <mergeCell ref="B1747:B1748"/>
    <mergeCell ref="D1747:D1748"/>
    <mergeCell ref="E1747:E1748"/>
    <mergeCell ref="F1747:F1748"/>
    <mergeCell ref="G1747:G1748"/>
    <mergeCell ref="H1747:H1748"/>
    <mergeCell ref="L1794:L1795"/>
    <mergeCell ref="M1794:M1795"/>
    <mergeCell ref="N1794:N1795"/>
    <mergeCell ref="B1807:B1808"/>
    <mergeCell ref="D1807:D1808"/>
    <mergeCell ref="E1807:E1808"/>
    <mergeCell ref="F1807:F1808"/>
    <mergeCell ref="G1807:G1808"/>
    <mergeCell ref="H1807:H1808"/>
    <mergeCell ref="L1807:L1808"/>
    <mergeCell ref="B1794:B1795"/>
    <mergeCell ref="D1794:D1795"/>
    <mergeCell ref="E1794:E1795"/>
    <mergeCell ref="F1794:F1795"/>
    <mergeCell ref="G1794:G1795"/>
    <mergeCell ref="H1794:H1795"/>
    <mergeCell ref="A1792:D1793"/>
    <mergeCell ref="E1792:E1793"/>
    <mergeCell ref="F1792:F1793"/>
    <mergeCell ref="G1792:H1792"/>
    <mergeCell ref="K1792:L1792"/>
    <mergeCell ref="M1792:P1792"/>
    <mergeCell ref="G1793:H1793"/>
    <mergeCell ref="K1793:L1793"/>
    <mergeCell ref="M1793:P1793"/>
    <mergeCell ref="N1821:N1822"/>
    <mergeCell ref="B1835:B1836"/>
    <mergeCell ref="D1835:D1836"/>
    <mergeCell ref="E1835:E1836"/>
    <mergeCell ref="F1835:F1836"/>
    <mergeCell ref="G1835:G1836"/>
    <mergeCell ref="H1835:H1836"/>
    <mergeCell ref="L1835:L1836"/>
    <mergeCell ref="M1835:M1836"/>
    <mergeCell ref="N1835:N1836"/>
    <mergeCell ref="M1807:M1808"/>
    <mergeCell ref="N1807:N1808"/>
    <mergeCell ref="B1821:B1822"/>
    <mergeCell ref="D1821:D1822"/>
    <mergeCell ref="E1821:E1822"/>
    <mergeCell ref="F1821:F1822"/>
    <mergeCell ref="G1821:G1822"/>
    <mergeCell ref="H1821:H1822"/>
    <mergeCell ref="L1821:L1822"/>
    <mergeCell ref="M1821:M1822"/>
    <mergeCell ref="M1876:M1877"/>
    <mergeCell ref="N1876:N1877"/>
    <mergeCell ref="B1894:B1895"/>
    <mergeCell ref="D1894:D1895"/>
    <mergeCell ref="E1894:E1895"/>
    <mergeCell ref="F1894:F1895"/>
    <mergeCell ref="G1894:G1895"/>
    <mergeCell ref="H1894:H1895"/>
    <mergeCell ref="L1894:L1895"/>
    <mergeCell ref="M1894:M1895"/>
    <mergeCell ref="L1855:L1856"/>
    <mergeCell ref="M1855:M1856"/>
    <mergeCell ref="N1855:N1856"/>
    <mergeCell ref="B1876:B1877"/>
    <mergeCell ref="D1876:D1877"/>
    <mergeCell ref="E1876:E1877"/>
    <mergeCell ref="F1876:F1877"/>
    <mergeCell ref="G1876:G1877"/>
    <mergeCell ref="H1876:H1877"/>
    <mergeCell ref="L1876:L1877"/>
    <mergeCell ref="B1855:B1856"/>
    <mergeCell ref="D1855:D1856"/>
    <mergeCell ref="E1855:E1856"/>
    <mergeCell ref="F1855:F1856"/>
    <mergeCell ref="G1855:G1856"/>
    <mergeCell ref="H1855:H1856"/>
    <mergeCell ref="L1930:L1931"/>
    <mergeCell ref="M1930:M1931"/>
    <mergeCell ref="N1930:N1931"/>
    <mergeCell ref="B1950:B1951"/>
    <mergeCell ref="D1950:D1951"/>
    <mergeCell ref="E1950:E1951"/>
    <mergeCell ref="F1950:F1951"/>
    <mergeCell ref="G1950:G1951"/>
    <mergeCell ref="H1950:H1951"/>
    <mergeCell ref="L1950:L1951"/>
    <mergeCell ref="B1930:B1931"/>
    <mergeCell ref="D1930:D1931"/>
    <mergeCell ref="E1930:E1931"/>
    <mergeCell ref="F1930:F1931"/>
    <mergeCell ref="G1930:G1931"/>
    <mergeCell ref="H1930:H1931"/>
    <mergeCell ref="N1894:N1895"/>
    <mergeCell ref="B1913:B1914"/>
    <mergeCell ref="D1913:D1914"/>
    <mergeCell ref="E1913:E1914"/>
    <mergeCell ref="F1913:F1914"/>
    <mergeCell ref="G1913:G1914"/>
    <mergeCell ref="H1913:H1914"/>
    <mergeCell ref="L1913:L1914"/>
    <mergeCell ref="M1913:M1914"/>
    <mergeCell ref="N1913:N1914"/>
    <mergeCell ref="A1986:D1987"/>
    <mergeCell ref="E1986:E1987"/>
    <mergeCell ref="F1986:F1987"/>
    <mergeCell ref="G1986:H1986"/>
    <mergeCell ref="K1986:L1986"/>
    <mergeCell ref="M1986:P1986"/>
    <mergeCell ref="G1987:H1987"/>
    <mergeCell ref="K1987:L1987"/>
    <mergeCell ref="M1987:P1987"/>
    <mergeCell ref="N1965:N1966"/>
    <mergeCell ref="A1984:D1984"/>
    <mergeCell ref="E1984:E1985"/>
    <mergeCell ref="F1984:F1985"/>
    <mergeCell ref="G1984:L1985"/>
    <mergeCell ref="M1984:P1985"/>
    <mergeCell ref="M1950:M1951"/>
    <mergeCell ref="N1950:N1951"/>
    <mergeCell ref="B1965:B1966"/>
    <mergeCell ref="D1965:D1966"/>
    <mergeCell ref="E1965:E1966"/>
    <mergeCell ref="F1965:F1966"/>
    <mergeCell ref="G1965:G1966"/>
    <mergeCell ref="H1965:H1966"/>
    <mergeCell ref="L1965:L1966"/>
    <mergeCell ref="M1965:M1966"/>
    <mergeCell ref="M2002:M2003"/>
    <mergeCell ref="N2002:N2003"/>
    <mergeCell ref="B2016:B2017"/>
    <mergeCell ref="D2016:D2017"/>
    <mergeCell ref="E2016:E2017"/>
    <mergeCell ref="F2016:F2017"/>
    <mergeCell ref="G2016:G2017"/>
    <mergeCell ref="H2016:H2017"/>
    <mergeCell ref="L2016:L2017"/>
    <mergeCell ref="M2016:M2017"/>
    <mergeCell ref="L1988:L1989"/>
    <mergeCell ref="M1988:M1989"/>
    <mergeCell ref="N1988:N1989"/>
    <mergeCell ref="B2002:B2003"/>
    <mergeCell ref="D2002:D2003"/>
    <mergeCell ref="E2002:E2003"/>
    <mergeCell ref="F2002:F2003"/>
    <mergeCell ref="G2002:G2003"/>
    <mergeCell ref="H2002:H2003"/>
    <mergeCell ref="L2002:L2003"/>
    <mergeCell ref="B1988:B1989"/>
    <mergeCell ref="D1988:D1989"/>
    <mergeCell ref="E1988:E1989"/>
    <mergeCell ref="F1988:F1989"/>
    <mergeCell ref="G1988:G1989"/>
    <mergeCell ref="H1988:H1989"/>
    <mergeCell ref="L2048:L2049"/>
    <mergeCell ref="M2048:M2049"/>
    <mergeCell ref="N2048:N2049"/>
    <mergeCell ref="B2069:B2070"/>
    <mergeCell ref="D2069:D2070"/>
    <mergeCell ref="E2069:E2070"/>
    <mergeCell ref="F2069:F2070"/>
    <mergeCell ref="G2069:G2070"/>
    <mergeCell ref="H2069:H2070"/>
    <mergeCell ref="L2069:L2070"/>
    <mergeCell ref="B2048:B2049"/>
    <mergeCell ref="D2048:D2049"/>
    <mergeCell ref="E2048:E2049"/>
    <mergeCell ref="F2048:F2049"/>
    <mergeCell ref="G2048:G2049"/>
    <mergeCell ref="H2048:H2049"/>
    <mergeCell ref="N2016:N2017"/>
    <mergeCell ref="B2030:B2031"/>
    <mergeCell ref="D2030:D2031"/>
    <mergeCell ref="E2030:E2031"/>
    <mergeCell ref="F2030:F2031"/>
    <mergeCell ref="G2030:G2031"/>
    <mergeCell ref="H2030:H2031"/>
    <mergeCell ref="L2030:L2031"/>
    <mergeCell ref="M2030:M2031"/>
    <mergeCell ref="N2030:N2031"/>
    <mergeCell ref="N2091:N2092"/>
    <mergeCell ref="B2119:B2120"/>
    <mergeCell ref="D2119:D2120"/>
    <mergeCell ref="E2119:E2120"/>
    <mergeCell ref="F2119:F2120"/>
    <mergeCell ref="G2119:G2120"/>
    <mergeCell ref="H2119:H2120"/>
    <mergeCell ref="L2119:L2120"/>
    <mergeCell ref="M2119:M2120"/>
    <mergeCell ref="N2119:N2120"/>
    <mergeCell ref="M2069:M2070"/>
    <mergeCell ref="N2069:N2070"/>
    <mergeCell ref="B2091:B2092"/>
    <mergeCell ref="D2091:D2092"/>
    <mergeCell ref="E2091:E2092"/>
    <mergeCell ref="F2091:F2092"/>
    <mergeCell ref="G2091:G2092"/>
    <mergeCell ref="H2091:H2092"/>
    <mergeCell ref="L2091:L2092"/>
    <mergeCell ref="M2091:M2092"/>
    <mergeCell ref="M2178:M2179"/>
    <mergeCell ref="N2178:N2179"/>
    <mergeCell ref="B2207:B2208"/>
    <mergeCell ref="D2207:D2208"/>
    <mergeCell ref="E2207:E2208"/>
    <mergeCell ref="F2207:F2208"/>
    <mergeCell ref="G2207:G2208"/>
    <mergeCell ref="H2207:H2208"/>
    <mergeCell ref="L2207:L2208"/>
    <mergeCell ref="M2207:M2208"/>
    <mergeCell ref="L2149:L2150"/>
    <mergeCell ref="M2149:M2150"/>
    <mergeCell ref="N2149:N2150"/>
    <mergeCell ref="B2178:B2179"/>
    <mergeCell ref="D2178:D2179"/>
    <mergeCell ref="E2178:E2179"/>
    <mergeCell ref="F2178:F2179"/>
    <mergeCell ref="G2178:G2179"/>
    <mergeCell ref="H2178:H2179"/>
    <mergeCell ref="L2178:L2179"/>
    <mergeCell ref="B2149:B2150"/>
    <mergeCell ref="D2149:D2150"/>
    <mergeCell ref="E2149:E2150"/>
    <mergeCell ref="F2149:F2150"/>
    <mergeCell ref="G2149:G2150"/>
    <mergeCell ref="H2149:H2150"/>
    <mergeCell ref="L2246:L2247"/>
    <mergeCell ref="M2246:M2247"/>
    <mergeCell ref="N2246:N2247"/>
    <mergeCell ref="B2265:B2266"/>
    <mergeCell ref="D2265:D2266"/>
    <mergeCell ref="E2265:E2266"/>
    <mergeCell ref="F2265:F2266"/>
    <mergeCell ref="G2265:G2266"/>
    <mergeCell ref="H2265:H2266"/>
    <mergeCell ref="L2265:L2266"/>
    <mergeCell ref="B2246:B2247"/>
    <mergeCell ref="D2246:D2247"/>
    <mergeCell ref="E2246:E2247"/>
    <mergeCell ref="F2246:F2247"/>
    <mergeCell ref="G2246:G2247"/>
    <mergeCell ref="H2246:H2247"/>
    <mergeCell ref="N2207:N2208"/>
    <mergeCell ref="B2226:B2227"/>
    <mergeCell ref="D2226:D2227"/>
    <mergeCell ref="E2226:E2227"/>
    <mergeCell ref="F2226:F2227"/>
    <mergeCell ref="G2226:G2227"/>
    <mergeCell ref="H2226:H2227"/>
    <mergeCell ref="L2226:L2227"/>
    <mergeCell ref="M2226:M2227"/>
    <mergeCell ref="N2226:N2227"/>
    <mergeCell ref="N2282:N2283"/>
    <mergeCell ref="B2302:B2303"/>
    <mergeCell ref="D2302:D2303"/>
    <mergeCell ref="E2302:E2303"/>
    <mergeCell ref="F2302:F2303"/>
    <mergeCell ref="G2302:G2303"/>
    <mergeCell ref="H2302:H2303"/>
    <mergeCell ref="L2302:L2303"/>
    <mergeCell ref="M2302:M2303"/>
    <mergeCell ref="N2302:N2303"/>
    <mergeCell ref="M2265:M2266"/>
    <mergeCell ref="N2265:N2266"/>
    <mergeCell ref="B2282:B2283"/>
    <mergeCell ref="D2282:D2283"/>
    <mergeCell ref="E2282:E2283"/>
    <mergeCell ref="F2282:F2283"/>
    <mergeCell ref="G2282:G2283"/>
    <mergeCell ref="H2282:H2283"/>
    <mergeCell ref="L2282:L2283"/>
    <mergeCell ref="M2282:M2283"/>
    <mergeCell ref="M2331:M2332"/>
    <mergeCell ref="N2331:N2332"/>
    <mergeCell ref="A2349:D2349"/>
    <mergeCell ref="E2349:E2350"/>
    <mergeCell ref="F2349:F2350"/>
    <mergeCell ref="G2349:L2350"/>
    <mergeCell ref="M2349:P2350"/>
    <mergeCell ref="L2317:L2318"/>
    <mergeCell ref="M2317:M2318"/>
    <mergeCell ref="N2317:N2318"/>
    <mergeCell ref="B2331:B2332"/>
    <mergeCell ref="D2331:D2332"/>
    <mergeCell ref="E2331:E2332"/>
    <mergeCell ref="F2331:F2332"/>
    <mergeCell ref="G2331:G2332"/>
    <mergeCell ref="H2331:H2332"/>
    <mergeCell ref="L2331:L2332"/>
    <mergeCell ref="B2317:B2318"/>
    <mergeCell ref="D2317:D2318"/>
    <mergeCell ref="E2317:E2318"/>
    <mergeCell ref="F2317:F2318"/>
    <mergeCell ref="G2317:G2318"/>
    <mergeCell ref="H2317:H2318"/>
    <mergeCell ref="L2353:L2354"/>
    <mergeCell ref="M2353:M2354"/>
    <mergeCell ref="N2353:N2354"/>
    <mergeCell ref="B2367:B2368"/>
    <mergeCell ref="D2367:D2368"/>
    <mergeCell ref="E2367:E2368"/>
    <mergeCell ref="F2367:F2368"/>
    <mergeCell ref="G2367:G2368"/>
    <mergeCell ref="H2367:H2368"/>
    <mergeCell ref="L2367:L2368"/>
    <mergeCell ref="B2353:B2354"/>
    <mergeCell ref="D2353:D2354"/>
    <mergeCell ref="E2353:E2354"/>
    <mergeCell ref="F2353:F2354"/>
    <mergeCell ref="G2353:G2354"/>
    <mergeCell ref="H2353:H2354"/>
    <mergeCell ref="A2351:D2352"/>
    <mergeCell ref="E2351:E2352"/>
    <mergeCell ref="F2351:F2352"/>
    <mergeCell ref="G2351:H2351"/>
    <mergeCell ref="K2351:L2351"/>
    <mergeCell ref="M2351:P2351"/>
    <mergeCell ref="G2352:H2352"/>
    <mergeCell ref="K2352:L2352"/>
    <mergeCell ref="M2352:P2352"/>
    <mergeCell ref="N2381:N2382"/>
    <mergeCell ref="B2395:B2396"/>
    <mergeCell ref="D2395:D2396"/>
    <mergeCell ref="E2395:E2396"/>
    <mergeCell ref="F2395:F2396"/>
    <mergeCell ref="G2395:G2396"/>
    <mergeCell ref="H2395:H2396"/>
    <mergeCell ref="L2395:L2396"/>
    <mergeCell ref="M2395:M2396"/>
    <mergeCell ref="N2395:N2396"/>
    <mergeCell ref="M2367:M2368"/>
    <mergeCell ref="N2367:N2368"/>
    <mergeCell ref="B2381:B2382"/>
    <mergeCell ref="D2381:D2382"/>
    <mergeCell ref="E2381:E2382"/>
    <mergeCell ref="F2381:F2382"/>
    <mergeCell ref="G2381:G2382"/>
    <mergeCell ref="H2381:H2382"/>
    <mergeCell ref="L2381:L2382"/>
    <mergeCell ref="M2381:M2382"/>
    <mergeCell ref="M2423:M2424"/>
    <mergeCell ref="N2423:N2424"/>
    <mergeCell ref="B2437:B2438"/>
    <mergeCell ref="D2437:D2438"/>
    <mergeCell ref="E2437:E2438"/>
    <mergeCell ref="F2437:F2438"/>
    <mergeCell ref="G2437:G2438"/>
    <mergeCell ref="H2437:H2438"/>
    <mergeCell ref="L2437:L2438"/>
    <mergeCell ref="M2437:M2438"/>
    <mergeCell ref="L2409:L2410"/>
    <mergeCell ref="M2409:M2410"/>
    <mergeCell ref="N2409:N2410"/>
    <mergeCell ref="B2423:B2424"/>
    <mergeCell ref="D2423:D2424"/>
    <mergeCell ref="E2423:E2424"/>
    <mergeCell ref="F2423:F2424"/>
    <mergeCell ref="G2423:G2424"/>
    <mergeCell ref="H2423:H2424"/>
    <mergeCell ref="L2423:L2424"/>
    <mergeCell ref="B2409:B2410"/>
    <mergeCell ref="D2409:D2410"/>
    <mergeCell ref="E2409:E2410"/>
    <mergeCell ref="F2409:F2410"/>
    <mergeCell ref="G2409:G2410"/>
    <mergeCell ref="H2409:H2410"/>
    <mergeCell ref="L2476:L2477"/>
    <mergeCell ref="M2476:M2477"/>
    <mergeCell ref="N2476:N2477"/>
    <mergeCell ref="B2498:B2499"/>
    <mergeCell ref="D2498:D2499"/>
    <mergeCell ref="E2498:E2499"/>
    <mergeCell ref="F2498:F2499"/>
    <mergeCell ref="G2498:G2499"/>
    <mergeCell ref="H2498:H2499"/>
    <mergeCell ref="L2498:L2499"/>
    <mergeCell ref="B2476:B2477"/>
    <mergeCell ref="D2476:D2477"/>
    <mergeCell ref="E2476:E2477"/>
    <mergeCell ref="F2476:F2477"/>
    <mergeCell ref="G2476:G2477"/>
    <mergeCell ref="H2476:H2477"/>
    <mergeCell ref="N2437:N2438"/>
    <mergeCell ref="B2455:B2456"/>
    <mergeCell ref="D2455:D2456"/>
    <mergeCell ref="E2455:E2456"/>
    <mergeCell ref="F2455:F2456"/>
    <mergeCell ref="G2455:G2456"/>
    <mergeCell ref="H2455:H2456"/>
    <mergeCell ref="L2455:L2456"/>
    <mergeCell ref="M2455:M2456"/>
    <mergeCell ref="N2455:N2456"/>
    <mergeCell ref="N2526:N2527"/>
    <mergeCell ref="B2556:B2557"/>
    <mergeCell ref="D2556:D2557"/>
    <mergeCell ref="E2556:E2557"/>
    <mergeCell ref="F2556:F2557"/>
    <mergeCell ref="G2556:G2557"/>
    <mergeCell ref="H2556:H2557"/>
    <mergeCell ref="L2556:L2557"/>
    <mergeCell ref="M2556:M2557"/>
    <mergeCell ref="N2556:N2557"/>
    <mergeCell ref="M2498:M2499"/>
    <mergeCell ref="N2498:N2499"/>
    <mergeCell ref="B2526:B2527"/>
    <mergeCell ref="D2526:D2527"/>
    <mergeCell ref="E2526:E2527"/>
    <mergeCell ref="F2526:F2527"/>
    <mergeCell ref="G2526:G2527"/>
    <mergeCell ref="H2526:H2527"/>
    <mergeCell ref="L2526:L2527"/>
    <mergeCell ref="M2526:M2527"/>
    <mergeCell ref="M2614:M2615"/>
    <mergeCell ref="N2614:N2615"/>
    <mergeCell ref="B2629:B2630"/>
    <mergeCell ref="D2629:D2630"/>
    <mergeCell ref="E2629:E2630"/>
    <mergeCell ref="F2629:F2630"/>
    <mergeCell ref="G2629:G2630"/>
    <mergeCell ref="H2629:H2630"/>
    <mergeCell ref="L2629:L2630"/>
    <mergeCell ref="M2629:M2630"/>
    <mergeCell ref="L2585:L2586"/>
    <mergeCell ref="M2585:M2586"/>
    <mergeCell ref="N2585:N2586"/>
    <mergeCell ref="B2614:B2615"/>
    <mergeCell ref="D2614:D2615"/>
    <mergeCell ref="E2614:E2615"/>
    <mergeCell ref="F2614:F2615"/>
    <mergeCell ref="G2614:G2615"/>
    <mergeCell ref="H2614:H2615"/>
    <mergeCell ref="L2614:L2615"/>
    <mergeCell ref="B2585:B2586"/>
    <mergeCell ref="D2585:D2586"/>
    <mergeCell ref="E2585:E2586"/>
    <mergeCell ref="F2585:F2586"/>
    <mergeCell ref="G2585:G2586"/>
    <mergeCell ref="H2585:H2586"/>
    <mergeCell ref="L2664:L2665"/>
    <mergeCell ref="M2664:M2665"/>
    <mergeCell ref="N2664:N2665"/>
    <mergeCell ref="B2679:B2680"/>
    <mergeCell ref="D2679:D2680"/>
    <mergeCell ref="E2679:E2680"/>
    <mergeCell ref="F2679:F2680"/>
    <mergeCell ref="G2679:G2680"/>
    <mergeCell ref="H2679:H2680"/>
    <mergeCell ref="L2679:L2680"/>
    <mergeCell ref="B2664:B2665"/>
    <mergeCell ref="D2664:D2665"/>
    <mergeCell ref="E2664:E2665"/>
    <mergeCell ref="F2664:F2665"/>
    <mergeCell ref="G2664:G2665"/>
    <mergeCell ref="H2664:H2665"/>
    <mergeCell ref="N2629:N2630"/>
    <mergeCell ref="B2646:B2647"/>
    <mergeCell ref="D2646:D2647"/>
    <mergeCell ref="E2646:E2647"/>
    <mergeCell ref="F2646:F2647"/>
    <mergeCell ref="G2646:G2647"/>
    <mergeCell ref="H2646:H2647"/>
    <mergeCell ref="L2646:L2647"/>
    <mergeCell ref="M2646:M2647"/>
    <mergeCell ref="N2646:N2647"/>
    <mergeCell ref="N2695:N2696"/>
    <mergeCell ref="B2713:B2714"/>
    <mergeCell ref="D2713:D2714"/>
    <mergeCell ref="E2713:E2714"/>
    <mergeCell ref="F2713:F2714"/>
    <mergeCell ref="G2713:G2714"/>
    <mergeCell ref="H2713:H2714"/>
    <mergeCell ref="L2713:L2714"/>
    <mergeCell ref="M2713:M2714"/>
    <mergeCell ref="N2713:N2714"/>
    <mergeCell ref="M2679:M2680"/>
    <mergeCell ref="N2679:N2680"/>
    <mergeCell ref="B2695:B2696"/>
    <mergeCell ref="D2695:D2696"/>
    <mergeCell ref="E2695:E2696"/>
    <mergeCell ref="F2695:F2696"/>
    <mergeCell ref="G2695:G2696"/>
    <mergeCell ref="H2695:H2696"/>
    <mergeCell ref="L2695:L2696"/>
    <mergeCell ref="M2695:M2696"/>
    <mergeCell ref="M2755:M2756"/>
    <mergeCell ref="N2755:N2756"/>
    <mergeCell ref="B2782:B2783"/>
    <mergeCell ref="D2782:D2783"/>
    <mergeCell ref="E2782:E2783"/>
    <mergeCell ref="F2782:F2783"/>
    <mergeCell ref="G2782:G2783"/>
    <mergeCell ref="H2782:H2783"/>
    <mergeCell ref="L2782:L2783"/>
    <mergeCell ref="M2782:M2783"/>
    <mergeCell ref="L2735:L2736"/>
    <mergeCell ref="M2735:M2736"/>
    <mergeCell ref="N2735:N2736"/>
    <mergeCell ref="B2755:B2756"/>
    <mergeCell ref="D2755:D2756"/>
    <mergeCell ref="E2755:E2756"/>
    <mergeCell ref="F2755:F2756"/>
    <mergeCell ref="G2755:G2756"/>
    <mergeCell ref="H2755:H2756"/>
    <mergeCell ref="L2755:L2756"/>
    <mergeCell ref="B2735:B2736"/>
    <mergeCell ref="D2735:D2736"/>
    <mergeCell ref="E2735:E2736"/>
    <mergeCell ref="F2735:F2736"/>
    <mergeCell ref="G2735:G2736"/>
    <mergeCell ref="H2735:H2736"/>
    <mergeCell ref="L2822:L2823"/>
    <mergeCell ref="M2822:M2823"/>
    <mergeCell ref="N2822:N2823"/>
    <mergeCell ref="A2839:D2839"/>
    <mergeCell ref="E2839:E2840"/>
    <mergeCell ref="F2839:F2840"/>
    <mergeCell ref="G2839:L2840"/>
    <mergeCell ref="M2839:P2840"/>
    <mergeCell ref="B2822:B2823"/>
    <mergeCell ref="D2822:D2823"/>
    <mergeCell ref="E2822:E2823"/>
    <mergeCell ref="F2822:F2823"/>
    <mergeCell ref="G2822:G2823"/>
    <mergeCell ref="H2822:H2823"/>
    <mergeCell ref="N2782:N2783"/>
    <mergeCell ref="B2808:B2809"/>
    <mergeCell ref="D2808:D2809"/>
    <mergeCell ref="E2808:E2809"/>
    <mergeCell ref="F2808:F2809"/>
    <mergeCell ref="G2808:G2809"/>
    <mergeCell ref="H2808:H2809"/>
    <mergeCell ref="L2808:L2809"/>
    <mergeCell ref="M2808:M2809"/>
    <mergeCell ref="N2808:N2809"/>
    <mergeCell ref="L2843:L2844"/>
    <mergeCell ref="M2843:M2844"/>
    <mergeCell ref="N2843:N2844"/>
    <mergeCell ref="B2857:B2858"/>
    <mergeCell ref="D2857:D2858"/>
    <mergeCell ref="E2857:E2858"/>
    <mergeCell ref="F2857:F2858"/>
    <mergeCell ref="G2857:G2858"/>
    <mergeCell ref="H2857:H2858"/>
    <mergeCell ref="L2857:L2858"/>
    <mergeCell ref="B2843:B2844"/>
    <mergeCell ref="D2843:D2844"/>
    <mergeCell ref="E2843:E2844"/>
    <mergeCell ref="F2843:F2844"/>
    <mergeCell ref="G2843:G2844"/>
    <mergeCell ref="H2843:H2844"/>
    <mergeCell ref="A2841:D2842"/>
    <mergeCell ref="E2841:E2842"/>
    <mergeCell ref="F2841:F2842"/>
    <mergeCell ref="G2841:H2841"/>
    <mergeCell ref="K2841:L2841"/>
    <mergeCell ref="M2841:P2841"/>
    <mergeCell ref="G2842:H2842"/>
    <mergeCell ref="K2842:L2842"/>
    <mergeCell ref="M2842:P2842"/>
    <mergeCell ref="N2871:N2872"/>
    <mergeCell ref="B2885:B2886"/>
    <mergeCell ref="D2885:D2886"/>
    <mergeCell ref="E2885:E2886"/>
    <mergeCell ref="F2885:F2886"/>
    <mergeCell ref="G2885:G2886"/>
    <mergeCell ref="H2885:H2886"/>
    <mergeCell ref="L2885:L2886"/>
    <mergeCell ref="M2885:M2886"/>
    <mergeCell ref="N2885:N2886"/>
    <mergeCell ref="M2857:M2858"/>
    <mergeCell ref="N2857:N2858"/>
    <mergeCell ref="B2871:B2872"/>
    <mergeCell ref="D2871:D2872"/>
    <mergeCell ref="E2871:E2872"/>
    <mergeCell ref="F2871:F2872"/>
    <mergeCell ref="G2871:G2872"/>
    <mergeCell ref="H2871:H2872"/>
    <mergeCell ref="L2871:L2872"/>
    <mergeCell ref="M2871:M2872"/>
    <mergeCell ref="M2913:M2914"/>
    <mergeCell ref="N2913:N2914"/>
    <mergeCell ref="B2927:B2928"/>
    <mergeCell ref="D2927:D2928"/>
    <mergeCell ref="E2927:E2928"/>
    <mergeCell ref="F2927:F2928"/>
    <mergeCell ref="G2927:G2928"/>
    <mergeCell ref="H2927:H2928"/>
    <mergeCell ref="L2927:L2928"/>
    <mergeCell ref="M2927:M2928"/>
    <mergeCell ref="L2899:L2900"/>
    <mergeCell ref="M2899:M2900"/>
    <mergeCell ref="N2899:N2900"/>
    <mergeCell ref="B2913:B2914"/>
    <mergeCell ref="D2913:D2914"/>
    <mergeCell ref="E2913:E2914"/>
    <mergeCell ref="F2913:F2914"/>
    <mergeCell ref="G2913:G2914"/>
    <mergeCell ref="H2913:H2914"/>
    <mergeCell ref="L2913:L2914"/>
    <mergeCell ref="B2899:B2900"/>
    <mergeCell ref="D2899:D2900"/>
    <mergeCell ref="E2899:E2900"/>
    <mergeCell ref="F2899:F2900"/>
    <mergeCell ref="G2899:G2900"/>
    <mergeCell ref="H2899:H2900"/>
    <mergeCell ref="L2966:L2967"/>
    <mergeCell ref="M2966:M2967"/>
    <mergeCell ref="N2966:N2967"/>
    <mergeCell ref="B2987:B2988"/>
    <mergeCell ref="D2987:D2988"/>
    <mergeCell ref="E2987:E2988"/>
    <mergeCell ref="F2987:F2988"/>
    <mergeCell ref="G2987:G2988"/>
    <mergeCell ref="H2987:H2988"/>
    <mergeCell ref="L2987:L2988"/>
    <mergeCell ref="B2966:B2967"/>
    <mergeCell ref="D2966:D2967"/>
    <mergeCell ref="E2966:E2967"/>
    <mergeCell ref="F2966:F2967"/>
    <mergeCell ref="G2966:G2967"/>
    <mergeCell ref="H2966:H2967"/>
    <mergeCell ref="N2927:N2928"/>
    <mergeCell ref="B2945:B2946"/>
    <mergeCell ref="D2945:D2946"/>
    <mergeCell ref="E2945:E2946"/>
    <mergeCell ref="F2945:F2946"/>
    <mergeCell ref="G2945:G2946"/>
    <mergeCell ref="H2945:H2946"/>
    <mergeCell ref="L2945:L2946"/>
    <mergeCell ref="M2945:M2946"/>
    <mergeCell ref="N2945:N2946"/>
    <mergeCell ref="N3015:N3016"/>
    <mergeCell ref="B3045:B3046"/>
    <mergeCell ref="D3045:D3046"/>
    <mergeCell ref="E3045:E3046"/>
    <mergeCell ref="F3045:F3046"/>
    <mergeCell ref="G3045:G3046"/>
    <mergeCell ref="H3045:H3046"/>
    <mergeCell ref="L3045:L3046"/>
    <mergeCell ref="M3045:M3046"/>
    <mergeCell ref="N3045:N3046"/>
    <mergeCell ref="M2987:M2988"/>
    <mergeCell ref="N2987:N2988"/>
    <mergeCell ref="B3015:B3016"/>
    <mergeCell ref="D3015:D3016"/>
    <mergeCell ref="E3015:E3016"/>
    <mergeCell ref="F3015:F3016"/>
    <mergeCell ref="G3015:G3016"/>
    <mergeCell ref="H3015:H3016"/>
    <mergeCell ref="L3015:L3016"/>
    <mergeCell ref="M3015:M3016"/>
    <mergeCell ref="M3103:M3104"/>
    <mergeCell ref="N3103:N3104"/>
    <mergeCell ref="B3118:B3119"/>
    <mergeCell ref="D3118:D3119"/>
    <mergeCell ref="E3118:E3119"/>
    <mergeCell ref="F3118:F3119"/>
    <mergeCell ref="G3118:G3119"/>
    <mergeCell ref="H3118:H3119"/>
    <mergeCell ref="L3118:L3119"/>
    <mergeCell ref="M3118:M3119"/>
    <mergeCell ref="L3074:L3075"/>
    <mergeCell ref="M3074:M3075"/>
    <mergeCell ref="N3074:N3075"/>
    <mergeCell ref="B3103:B3104"/>
    <mergeCell ref="D3103:D3104"/>
    <mergeCell ref="E3103:E3104"/>
    <mergeCell ref="F3103:F3104"/>
    <mergeCell ref="G3103:G3104"/>
    <mergeCell ref="H3103:H3104"/>
    <mergeCell ref="L3103:L3104"/>
    <mergeCell ref="B3074:B3075"/>
    <mergeCell ref="D3074:D3075"/>
    <mergeCell ref="E3074:E3075"/>
    <mergeCell ref="F3074:F3075"/>
    <mergeCell ref="G3074:G3075"/>
    <mergeCell ref="H3074:H3075"/>
    <mergeCell ref="L3155:L3156"/>
    <mergeCell ref="M3155:M3156"/>
    <mergeCell ref="N3155:N3156"/>
    <mergeCell ref="B3172:B3173"/>
    <mergeCell ref="D3172:D3173"/>
    <mergeCell ref="E3172:E3173"/>
    <mergeCell ref="F3172:F3173"/>
    <mergeCell ref="G3172:G3173"/>
    <mergeCell ref="H3172:H3173"/>
    <mergeCell ref="L3172:L3173"/>
    <mergeCell ref="B3155:B3156"/>
    <mergeCell ref="D3155:D3156"/>
    <mergeCell ref="E3155:E3156"/>
    <mergeCell ref="F3155:F3156"/>
    <mergeCell ref="G3155:G3156"/>
    <mergeCell ref="H3155:H3156"/>
    <mergeCell ref="N3118:N3119"/>
    <mergeCell ref="B3136:B3137"/>
    <mergeCell ref="D3136:D3137"/>
    <mergeCell ref="E3136:E3137"/>
    <mergeCell ref="F3136:F3137"/>
    <mergeCell ref="G3136:G3137"/>
    <mergeCell ref="H3136:H3137"/>
    <mergeCell ref="L3136:L3137"/>
    <mergeCell ref="M3136:M3137"/>
    <mergeCell ref="N3136:N3137"/>
    <mergeCell ref="N3194:N3195"/>
    <mergeCell ref="B3214:B3215"/>
    <mergeCell ref="D3214:D3215"/>
    <mergeCell ref="E3214:E3215"/>
    <mergeCell ref="F3214:F3215"/>
    <mergeCell ref="G3214:G3215"/>
    <mergeCell ref="H3214:H3215"/>
    <mergeCell ref="L3214:L3215"/>
    <mergeCell ref="M3214:M3215"/>
    <mergeCell ref="N3214:N3215"/>
    <mergeCell ref="M3172:M3173"/>
    <mergeCell ref="N3172:N3173"/>
    <mergeCell ref="B3194:B3195"/>
    <mergeCell ref="D3194:D3195"/>
    <mergeCell ref="E3194:E3195"/>
    <mergeCell ref="F3194:F3195"/>
    <mergeCell ref="G3194:G3195"/>
    <mergeCell ref="H3194:H3195"/>
    <mergeCell ref="L3194:L3195"/>
    <mergeCell ref="M3194:M3195"/>
    <mergeCell ref="A3733:D3734"/>
    <mergeCell ref="E3733:E3734"/>
    <mergeCell ref="F3733:F3734"/>
    <mergeCell ref="G3733:H3733"/>
    <mergeCell ref="K3733:L3733"/>
    <mergeCell ref="M3733:P3733"/>
    <mergeCell ref="G3734:H3734"/>
    <mergeCell ref="K3734:L3734"/>
    <mergeCell ref="M3734:P3734"/>
    <mergeCell ref="M3267:M3268"/>
    <mergeCell ref="N3267:N3268"/>
    <mergeCell ref="A3731:D3731"/>
    <mergeCell ref="E3731:E3732"/>
    <mergeCell ref="F3731:F3732"/>
    <mergeCell ref="G3731:L3732"/>
    <mergeCell ref="M3731:P3732"/>
    <mergeCell ref="L3241:L3242"/>
    <mergeCell ref="M3241:M3242"/>
    <mergeCell ref="N3241:N3242"/>
    <mergeCell ref="B3267:B3268"/>
    <mergeCell ref="D3267:D3268"/>
    <mergeCell ref="E3267:E3268"/>
    <mergeCell ref="F3267:F3268"/>
    <mergeCell ref="G3267:G3268"/>
    <mergeCell ref="H3267:H3268"/>
    <mergeCell ref="L3267:L3268"/>
    <mergeCell ref="B3241:B3242"/>
    <mergeCell ref="D3241:D3242"/>
    <mergeCell ref="E3241:E3242"/>
    <mergeCell ref="F3241:F3242"/>
    <mergeCell ref="G3241:G3242"/>
    <mergeCell ref="H3241:H3242"/>
    <mergeCell ref="M3749:M3750"/>
    <mergeCell ref="N3749:N3750"/>
    <mergeCell ref="B3763:B3764"/>
    <mergeCell ref="D3763:D3764"/>
    <mergeCell ref="E3763:E3764"/>
    <mergeCell ref="F3763:F3764"/>
    <mergeCell ref="G3763:G3764"/>
    <mergeCell ref="H3763:H3764"/>
    <mergeCell ref="L3763:L3764"/>
    <mergeCell ref="M3763:M3764"/>
    <mergeCell ref="L3735:L3736"/>
    <mergeCell ref="M3735:M3736"/>
    <mergeCell ref="N3735:N3736"/>
    <mergeCell ref="B3749:B3750"/>
    <mergeCell ref="D3749:D3750"/>
    <mergeCell ref="E3749:E3750"/>
    <mergeCell ref="F3749:F3750"/>
    <mergeCell ref="G3749:G3750"/>
    <mergeCell ref="H3749:H3750"/>
    <mergeCell ref="L3749:L3750"/>
    <mergeCell ref="B3735:B3736"/>
    <mergeCell ref="D3735:D3736"/>
    <mergeCell ref="E3735:E3736"/>
    <mergeCell ref="F3735:F3736"/>
    <mergeCell ref="G3735:G3736"/>
    <mergeCell ref="H3735:H3736"/>
    <mergeCell ref="L3796:L3797"/>
    <mergeCell ref="M3796:M3797"/>
    <mergeCell ref="N3796:N3797"/>
    <mergeCell ref="B3811:B3812"/>
    <mergeCell ref="D3811:D3812"/>
    <mergeCell ref="E3811:E3812"/>
    <mergeCell ref="F3811:F3812"/>
    <mergeCell ref="G3811:G3812"/>
    <mergeCell ref="H3811:H3812"/>
    <mergeCell ref="L3811:L3812"/>
    <mergeCell ref="B3796:B3797"/>
    <mergeCell ref="D3796:D3797"/>
    <mergeCell ref="E3796:E3797"/>
    <mergeCell ref="F3796:F3797"/>
    <mergeCell ref="G3796:G3797"/>
    <mergeCell ref="H3796:H3797"/>
    <mergeCell ref="N3763:N3764"/>
    <mergeCell ref="B3781:B3782"/>
    <mergeCell ref="D3781:D3782"/>
    <mergeCell ref="E3781:E3782"/>
    <mergeCell ref="F3781:F3782"/>
    <mergeCell ref="G3781:G3782"/>
    <mergeCell ref="H3781:H3782"/>
    <mergeCell ref="L3781:L3782"/>
    <mergeCell ref="M3781:M3782"/>
    <mergeCell ref="N3781:N3782"/>
    <mergeCell ref="N3827:N3828"/>
    <mergeCell ref="B3842:B3843"/>
    <mergeCell ref="D3842:D3843"/>
    <mergeCell ref="E3842:E3843"/>
    <mergeCell ref="F3842:F3843"/>
    <mergeCell ref="G3842:G3843"/>
    <mergeCell ref="H3842:H3843"/>
    <mergeCell ref="L3842:L3843"/>
    <mergeCell ref="M3842:M3843"/>
    <mergeCell ref="N3842:N3843"/>
    <mergeCell ref="M3811:M3812"/>
    <mergeCell ref="N3811:N3812"/>
    <mergeCell ref="B3827:B3828"/>
    <mergeCell ref="D3827:D3828"/>
    <mergeCell ref="E3827:E3828"/>
    <mergeCell ref="F3827:F3828"/>
    <mergeCell ref="G3827:G3828"/>
    <mergeCell ref="H3827:H3828"/>
    <mergeCell ref="L3827:L3828"/>
    <mergeCell ref="M3827:M3828"/>
    <mergeCell ref="M3862:P3862"/>
    <mergeCell ref="G3863:H3863"/>
    <mergeCell ref="K3863:L3863"/>
    <mergeCell ref="M3863:P3863"/>
    <mergeCell ref="B3864:B3865"/>
    <mergeCell ref="D3864:D3865"/>
    <mergeCell ref="E3864:E3865"/>
    <mergeCell ref="F3864:F3865"/>
    <mergeCell ref="G3864:G3865"/>
    <mergeCell ref="H3864:H3865"/>
    <mergeCell ref="A3860:D3860"/>
    <mergeCell ref="E3860:E3861"/>
    <mergeCell ref="F3860:F3861"/>
    <mergeCell ref="G3860:L3861"/>
    <mergeCell ref="M3860:P3861"/>
    <mergeCell ref="A3862:D3863"/>
    <mergeCell ref="E3862:E3863"/>
    <mergeCell ref="F3862:F3863"/>
    <mergeCell ref="G3862:H3862"/>
    <mergeCell ref="K3862:L3862"/>
    <mergeCell ref="M3878:M3879"/>
    <mergeCell ref="N3878:N3879"/>
    <mergeCell ref="B3892:B3893"/>
    <mergeCell ref="D3892:D3893"/>
    <mergeCell ref="E3892:E3893"/>
    <mergeCell ref="F3892:F3893"/>
    <mergeCell ref="G3892:G3893"/>
    <mergeCell ref="H3892:H3893"/>
    <mergeCell ref="L3892:L3893"/>
    <mergeCell ref="M3892:M3893"/>
    <mergeCell ref="L3864:L3865"/>
    <mergeCell ref="M3864:M3865"/>
    <mergeCell ref="N3864:N3865"/>
    <mergeCell ref="B3878:B3879"/>
    <mergeCell ref="D3878:D3879"/>
    <mergeCell ref="E3878:E3879"/>
    <mergeCell ref="F3878:F3879"/>
    <mergeCell ref="G3878:G3879"/>
    <mergeCell ref="H3878:H3879"/>
    <mergeCell ref="L3878:L3879"/>
    <mergeCell ref="L3924:L3925"/>
    <mergeCell ref="M3924:M3925"/>
    <mergeCell ref="N3924:N3925"/>
    <mergeCell ref="B3939:B3940"/>
    <mergeCell ref="D3939:D3940"/>
    <mergeCell ref="E3939:E3940"/>
    <mergeCell ref="F3939:F3940"/>
    <mergeCell ref="G3939:G3940"/>
    <mergeCell ref="H3939:H3940"/>
    <mergeCell ref="L3939:L3940"/>
    <mergeCell ref="B3924:B3925"/>
    <mergeCell ref="D3924:D3925"/>
    <mergeCell ref="E3924:E3925"/>
    <mergeCell ref="F3924:F3925"/>
    <mergeCell ref="G3924:G3925"/>
    <mergeCell ref="H3924:H3925"/>
    <mergeCell ref="N3892:N3893"/>
    <mergeCell ref="B3908:B3909"/>
    <mergeCell ref="D3908:D3909"/>
    <mergeCell ref="E3908:E3909"/>
    <mergeCell ref="F3908:F3909"/>
    <mergeCell ref="G3908:G3909"/>
    <mergeCell ref="H3908:H3909"/>
    <mergeCell ref="L3908:L3909"/>
    <mergeCell ref="M3908:M3909"/>
    <mergeCell ref="N3908:N3909"/>
    <mergeCell ref="N3955:N3956"/>
    <mergeCell ref="B3975:B3976"/>
    <mergeCell ref="D3975:D3976"/>
    <mergeCell ref="E3975:E3976"/>
    <mergeCell ref="F3975:F3976"/>
    <mergeCell ref="G3975:G3976"/>
    <mergeCell ref="H3975:H3976"/>
    <mergeCell ref="L3975:L3976"/>
    <mergeCell ref="M3975:M3976"/>
    <mergeCell ref="N3975:N3976"/>
    <mergeCell ref="M3939:M3940"/>
    <mergeCell ref="N3939:N3940"/>
    <mergeCell ref="B3955:B3956"/>
    <mergeCell ref="D3955:D3956"/>
    <mergeCell ref="E3955:E3956"/>
    <mergeCell ref="F3955:F3956"/>
    <mergeCell ref="G3955:G3956"/>
    <mergeCell ref="H3955:H3956"/>
    <mergeCell ref="L3955:L3956"/>
    <mergeCell ref="M3955:M3956"/>
    <mergeCell ref="A4013:D4014"/>
    <mergeCell ref="E4013:E4014"/>
    <mergeCell ref="F4013:F4014"/>
    <mergeCell ref="G4013:H4013"/>
    <mergeCell ref="K4013:L4013"/>
    <mergeCell ref="M4013:P4013"/>
    <mergeCell ref="G4014:H4014"/>
    <mergeCell ref="K4014:L4014"/>
    <mergeCell ref="M4014:P4014"/>
    <mergeCell ref="L3990:L3991"/>
    <mergeCell ref="M3990:M3991"/>
    <mergeCell ref="N3990:N3991"/>
    <mergeCell ref="A4007:D4007"/>
    <mergeCell ref="A4011:D4011"/>
    <mergeCell ref="E4011:E4012"/>
    <mergeCell ref="F4011:F4012"/>
    <mergeCell ref="G4011:L4012"/>
    <mergeCell ref="M4011:P4012"/>
    <mergeCell ref="B3990:B3991"/>
    <mergeCell ref="D3990:D3991"/>
    <mergeCell ref="E3990:E3991"/>
    <mergeCell ref="F3990:F3991"/>
    <mergeCell ref="G3990:G3991"/>
    <mergeCell ref="H3990:H3991"/>
    <mergeCell ref="M4029:M4030"/>
    <mergeCell ref="N4029:N4030"/>
    <mergeCell ref="B4043:B4044"/>
    <mergeCell ref="D4043:D4044"/>
    <mergeCell ref="E4043:E4044"/>
    <mergeCell ref="F4043:F4044"/>
    <mergeCell ref="G4043:G4044"/>
    <mergeCell ref="H4043:H4044"/>
    <mergeCell ref="L4043:L4044"/>
    <mergeCell ref="M4043:M4044"/>
    <mergeCell ref="L4015:L4016"/>
    <mergeCell ref="M4015:M4016"/>
    <mergeCell ref="N4015:N4016"/>
    <mergeCell ref="B4029:B4030"/>
    <mergeCell ref="D4029:D4030"/>
    <mergeCell ref="E4029:E4030"/>
    <mergeCell ref="F4029:F4030"/>
    <mergeCell ref="G4029:G4030"/>
    <mergeCell ref="H4029:H4030"/>
    <mergeCell ref="L4029:L4030"/>
    <mergeCell ref="B4015:B4016"/>
    <mergeCell ref="D4015:D4016"/>
    <mergeCell ref="E4015:E4016"/>
    <mergeCell ref="F4015:F4016"/>
    <mergeCell ref="G4015:G4016"/>
    <mergeCell ref="H4015:H4016"/>
    <mergeCell ref="L4083:L4084"/>
    <mergeCell ref="M4083:M4084"/>
    <mergeCell ref="N4083:N4084"/>
    <mergeCell ref="B4100:B4101"/>
    <mergeCell ref="D4100:D4101"/>
    <mergeCell ref="E4100:E4101"/>
    <mergeCell ref="F4100:F4101"/>
    <mergeCell ref="G4100:G4101"/>
    <mergeCell ref="H4100:H4101"/>
    <mergeCell ref="L4100:L4101"/>
    <mergeCell ref="B4083:B4084"/>
    <mergeCell ref="D4083:D4084"/>
    <mergeCell ref="E4083:E4084"/>
    <mergeCell ref="F4083:F4084"/>
    <mergeCell ref="G4083:G4084"/>
    <mergeCell ref="H4083:H4084"/>
    <mergeCell ref="N4043:N4044"/>
    <mergeCell ref="B4064:B4065"/>
    <mergeCell ref="D4064:D4065"/>
    <mergeCell ref="E4064:E4065"/>
    <mergeCell ref="F4064:F4065"/>
    <mergeCell ref="G4064:G4065"/>
    <mergeCell ref="H4064:H4065"/>
    <mergeCell ref="L4064:L4065"/>
    <mergeCell ref="M4064:M4065"/>
    <mergeCell ref="N4064:N4065"/>
    <mergeCell ref="A4142:D4143"/>
    <mergeCell ref="E4142:E4143"/>
    <mergeCell ref="F4142:F4143"/>
    <mergeCell ref="G4142:H4142"/>
    <mergeCell ref="K4142:L4142"/>
    <mergeCell ref="M4142:P4142"/>
    <mergeCell ref="G4143:H4143"/>
    <mergeCell ref="K4143:L4143"/>
    <mergeCell ref="M4143:P4143"/>
    <mergeCell ref="N4120:N4121"/>
    <mergeCell ref="A4140:D4140"/>
    <mergeCell ref="E4140:E4141"/>
    <mergeCell ref="F4140:F4141"/>
    <mergeCell ref="G4140:L4141"/>
    <mergeCell ref="M4140:P4141"/>
    <mergeCell ref="M4100:M4101"/>
    <mergeCell ref="N4100:N4101"/>
    <mergeCell ref="B4120:B4121"/>
    <mergeCell ref="D4120:D4121"/>
    <mergeCell ref="E4120:E4121"/>
    <mergeCell ref="F4120:F4121"/>
    <mergeCell ref="G4120:G4121"/>
    <mergeCell ref="H4120:H4121"/>
    <mergeCell ref="L4120:L4121"/>
    <mergeCell ref="M4120:M4121"/>
    <mergeCell ref="M4158:M4159"/>
    <mergeCell ref="N4158:N4159"/>
    <mergeCell ref="B4172:B4173"/>
    <mergeCell ref="D4172:D4173"/>
    <mergeCell ref="E4172:E4173"/>
    <mergeCell ref="F4172:F4173"/>
    <mergeCell ref="G4172:G4173"/>
    <mergeCell ref="H4172:H4173"/>
    <mergeCell ref="L4172:L4173"/>
    <mergeCell ref="M4172:M4173"/>
    <mergeCell ref="L4144:L4145"/>
    <mergeCell ref="M4144:M4145"/>
    <mergeCell ref="N4144:N4145"/>
    <mergeCell ref="B4158:B4159"/>
    <mergeCell ref="D4158:D4159"/>
    <mergeCell ref="E4158:E4159"/>
    <mergeCell ref="F4158:F4159"/>
    <mergeCell ref="G4158:G4159"/>
    <mergeCell ref="H4158:H4159"/>
    <mergeCell ref="L4158:L4159"/>
    <mergeCell ref="B4144:B4145"/>
    <mergeCell ref="D4144:D4145"/>
    <mergeCell ref="E4144:E4145"/>
    <mergeCell ref="F4144:F4145"/>
    <mergeCell ref="G4144:G4145"/>
    <mergeCell ref="H4144:H4145"/>
    <mergeCell ref="L4218:L4219"/>
    <mergeCell ref="M4218:M4219"/>
    <mergeCell ref="N4218:N4219"/>
    <mergeCell ref="B4248:B4249"/>
    <mergeCell ref="D4248:D4249"/>
    <mergeCell ref="E4248:E4249"/>
    <mergeCell ref="F4248:F4249"/>
    <mergeCell ref="G4248:G4249"/>
    <mergeCell ref="H4248:H4249"/>
    <mergeCell ref="L4248:L4249"/>
    <mergeCell ref="B4218:B4219"/>
    <mergeCell ref="D4218:D4219"/>
    <mergeCell ref="E4218:E4219"/>
    <mergeCell ref="F4218:F4219"/>
    <mergeCell ref="G4218:G4219"/>
    <mergeCell ref="H4218:H4219"/>
    <mergeCell ref="N4172:N4173"/>
    <mergeCell ref="B4190:B4191"/>
    <mergeCell ref="D4190:D4191"/>
    <mergeCell ref="E4190:E4191"/>
    <mergeCell ref="F4190:F4191"/>
    <mergeCell ref="G4190:G4191"/>
    <mergeCell ref="H4190:H4191"/>
    <mergeCell ref="L4190:L4191"/>
    <mergeCell ref="M4190:M4191"/>
    <mergeCell ref="N4190:N4191"/>
    <mergeCell ref="N4267:N4268"/>
    <mergeCell ref="B4284:B4285"/>
    <mergeCell ref="D4284:D4285"/>
    <mergeCell ref="E4284:E4285"/>
    <mergeCell ref="F4284:F4285"/>
    <mergeCell ref="G4284:G4285"/>
    <mergeCell ref="H4284:H4285"/>
    <mergeCell ref="L4284:L4285"/>
    <mergeCell ref="M4284:M4285"/>
    <mergeCell ref="N4284:N4285"/>
    <mergeCell ref="M4248:M4249"/>
    <mergeCell ref="N4248:N4249"/>
    <mergeCell ref="B4267:B4268"/>
    <mergeCell ref="D4267:D4268"/>
    <mergeCell ref="E4267:E4268"/>
    <mergeCell ref="F4267:F4268"/>
    <mergeCell ref="G4267:G4268"/>
    <mergeCell ref="H4267:H4268"/>
    <mergeCell ref="L4267:L4268"/>
    <mergeCell ref="M4267:M4268"/>
    <mergeCell ref="A4485:D4486"/>
    <mergeCell ref="E4485:E4486"/>
    <mergeCell ref="F4485:F4486"/>
    <mergeCell ref="G4485:H4485"/>
    <mergeCell ref="K4485:L4485"/>
    <mergeCell ref="M4485:P4485"/>
    <mergeCell ref="G4486:H4486"/>
    <mergeCell ref="K4486:L4486"/>
    <mergeCell ref="M4486:P4486"/>
    <mergeCell ref="L4304:L4305"/>
    <mergeCell ref="M4304:M4305"/>
    <mergeCell ref="N4304:N4305"/>
    <mergeCell ref="B4480:E4480"/>
    <mergeCell ref="A4483:D4483"/>
    <mergeCell ref="E4483:E4484"/>
    <mergeCell ref="F4483:F4484"/>
    <mergeCell ref="G4483:L4484"/>
    <mergeCell ref="M4483:P4484"/>
    <mergeCell ref="B4304:B4305"/>
    <mergeCell ref="D4304:D4305"/>
    <mergeCell ref="E4304:E4305"/>
    <mergeCell ref="F4304:F4305"/>
    <mergeCell ref="G4304:G4305"/>
    <mergeCell ref="H4304:H4305"/>
    <mergeCell ref="A4322:D4322"/>
    <mergeCell ref="E4322:E4323"/>
    <mergeCell ref="F4322:F4323"/>
    <mergeCell ref="G4322:L4323"/>
    <mergeCell ref="M4322:P4323"/>
    <mergeCell ref="A4324:D4325"/>
    <mergeCell ref="E4324:E4325"/>
    <mergeCell ref="F4324:F4325"/>
    <mergeCell ref="M4501:M4502"/>
    <mergeCell ref="N4501:N4502"/>
    <mergeCell ref="B4519:B4520"/>
    <mergeCell ref="D4519:D4520"/>
    <mergeCell ref="E4519:E4520"/>
    <mergeCell ref="F4519:F4520"/>
    <mergeCell ref="G4519:G4520"/>
    <mergeCell ref="H4519:H4520"/>
    <mergeCell ref="L4519:L4520"/>
    <mergeCell ref="M4519:M4520"/>
    <mergeCell ref="L4487:L4488"/>
    <mergeCell ref="M4487:M4488"/>
    <mergeCell ref="N4487:N4488"/>
    <mergeCell ref="B4501:B4502"/>
    <mergeCell ref="D4501:D4502"/>
    <mergeCell ref="E4501:E4502"/>
    <mergeCell ref="F4501:F4502"/>
    <mergeCell ref="G4501:G4502"/>
    <mergeCell ref="H4501:H4502"/>
    <mergeCell ref="L4501:L4502"/>
    <mergeCell ref="B4487:B4488"/>
    <mergeCell ref="D4487:D4488"/>
    <mergeCell ref="E4487:E4488"/>
    <mergeCell ref="F4487:F4488"/>
    <mergeCell ref="G4487:G4488"/>
    <mergeCell ref="H4487:H4488"/>
    <mergeCell ref="A4552:P4552"/>
    <mergeCell ref="A4556:D4556"/>
    <mergeCell ref="A4558:D4558"/>
    <mergeCell ref="E4558:E4559"/>
    <mergeCell ref="F4558:F4559"/>
    <mergeCell ref="G4558:L4559"/>
    <mergeCell ref="M4558:P4559"/>
    <mergeCell ref="N4519:N4520"/>
    <mergeCell ref="B4534:B4535"/>
    <mergeCell ref="D4534:D4535"/>
    <mergeCell ref="E4534:E4535"/>
    <mergeCell ref="F4534:F4535"/>
    <mergeCell ref="G4534:G4535"/>
    <mergeCell ref="H4534:H4535"/>
    <mergeCell ref="L4534:L4535"/>
    <mergeCell ref="M4534:M4535"/>
    <mergeCell ref="N4534:N4535"/>
    <mergeCell ref="L4562:L4563"/>
    <mergeCell ref="M4562:M4563"/>
    <mergeCell ref="N4562:N4563"/>
    <mergeCell ref="B4576:B4577"/>
    <mergeCell ref="D4576:D4577"/>
    <mergeCell ref="E4576:E4577"/>
    <mergeCell ref="F4576:F4577"/>
    <mergeCell ref="G4576:G4577"/>
    <mergeCell ref="H4576:H4577"/>
    <mergeCell ref="L4576:L4577"/>
    <mergeCell ref="B4562:B4563"/>
    <mergeCell ref="D4562:D4563"/>
    <mergeCell ref="E4562:E4563"/>
    <mergeCell ref="F4562:F4563"/>
    <mergeCell ref="G4562:G4563"/>
    <mergeCell ref="H4562:H4563"/>
    <mergeCell ref="A4560:D4561"/>
    <mergeCell ref="E4560:E4561"/>
    <mergeCell ref="F4560:F4561"/>
    <mergeCell ref="G4560:H4560"/>
    <mergeCell ref="K4560:L4560"/>
    <mergeCell ref="M4560:P4560"/>
    <mergeCell ref="G4561:H4561"/>
    <mergeCell ref="K4561:L4561"/>
    <mergeCell ref="M4561:P4561"/>
    <mergeCell ref="N4595:N4596"/>
    <mergeCell ref="B4621:B4622"/>
    <mergeCell ref="D4621:D4622"/>
    <mergeCell ref="E4621:E4622"/>
    <mergeCell ref="F4621:F4622"/>
    <mergeCell ref="G4621:G4622"/>
    <mergeCell ref="H4621:H4622"/>
    <mergeCell ref="L4621:L4622"/>
    <mergeCell ref="M4621:M4622"/>
    <mergeCell ref="N4621:N4622"/>
    <mergeCell ref="M4576:M4577"/>
    <mergeCell ref="N4576:N4577"/>
    <mergeCell ref="B4595:B4596"/>
    <mergeCell ref="D4595:D4596"/>
    <mergeCell ref="E4595:E4596"/>
    <mergeCell ref="F4595:F4596"/>
    <mergeCell ref="G4595:G4596"/>
    <mergeCell ref="H4595:H4596"/>
    <mergeCell ref="L4595:L4596"/>
    <mergeCell ref="M4595:M4596"/>
    <mergeCell ref="M4660:M4661"/>
    <mergeCell ref="N4660:N4661"/>
    <mergeCell ref="B4676:B4677"/>
    <mergeCell ref="D4676:D4677"/>
    <mergeCell ref="E4676:E4677"/>
    <mergeCell ref="F4676:F4677"/>
    <mergeCell ref="G4676:G4677"/>
    <mergeCell ref="H4676:H4677"/>
    <mergeCell ref="L4676:L4677"/>
    <mergeCell ref="M4676:M4677"/>
    <mergeCell ref="L4636:L4637"/>
    <mergeCell ref="M4636:M4637"/>
    <mergeCell ref="N4636:N4637"/>
    <mergeCell ref="B4660:B4661"/>
    <mergeCell ref="D4660:D4661"/>
    <mergeCell ref="E4660:E4661"/>
    <mergeCell ref="F4660:F4661"/>
    <mergeCell ref="G4660:G4661"/>
    <mergeCell ref="H4660:H4661"/>
    <mergeCell ref="L4660:L4661"/>
    <mergeCell ref="B4636:B4637"/>
    <mergeCell ref="D4636:D4637"/>
    <mergeCell ref="E4636:E4637"/>
    <mergeCell ref="F4636:F4637"/>
    <mergeCell ref="G4636:G4637"/>
    <mergeCell ref="H4636:H4637"/>
    <mergeCell ref="A4864:D4864"/>
    <mergeCell ref="E4864:E4865"/>
    <mergeCell ref="F4864:F4865"/>
    <mergeCell ref="G4864:L4865"/>
    <mergeCell ref="M4864:P4865"/>
    <mergeCell ref="A4866:D4867"/>
    <mergeCell ref="E4866:E4867"/>
    <mergeCell ref="F4866:F4867"/>
    <mergeCell ref="G4866:H4866"/>
    <mergeCell ref="K4866:L4866"/>
    <mergeCell ref="N4676:N4677"/>
    <mergeCell ref="B4700:B4701"/>
    <mergeCell ref="D4700:D4701"/>
    <mergeCell ref="E4700:E4701"/>
    <mergeCell ref="F4700:F4701"/>
    <mergeCell ref="G4700:G4701"/>
    <mergeCell ref="H4700:H4701"/>
    <mergeCell ref="L4700:L4701"/>
    <mergeCell ref="M4700:M4701"/>
    <mergeCell ref="N4700:N4701"/>
    <mergeCell ref="B4718:B4719"/>
    <mergeCell ref="D4718:D4719"/>
    <mergeCell ref="E4718:E4719"/>
    <mergeCell ref="F4718:F4719"/>
    <mergeCell ref="G4718:G4719"/>
    <mergeCell ref="H4718:H4719"/>
    <mergeCell ref="L4718:L4719"/>
    <mergeCell ref="M4718:M4719"/>
    <mergeCell ref="N4718:N4719"/>
    <mergeCell ref="B4732:B4733"/>
    <mergeCell ref="D4732:D4733"/>
    <mergeCell ref="E4732:E4733"/>
    <mergeCell ref="L4868:L4869"/>
    <mergeCell ref="M4868:M4869"/>
    <mergeCell ref="N4868:N4869"/>
    <mergeCell ref="B4882:B4883"/>
    <mergeCell ref="D4882:D4883"/>
    <mergeCell ref="E4882:E4883"/>
    <mergeCell ref="F4882:F4883"/>
    <mergeCell ref="G4882:G4883"/>
    <mergeCell ref="H4882:H4883"/>
    <mergeCell ref="L4882:L4883"/>
    <mergeCell ref="M4866:P4866"/>
    <mergeCell ref="G4867:H4867"/>
    <mergeCell ref="K4867:L4867"/>
    <mergeCell ref="M4867:P4867"/>
    <mergeCell ref="B4868:B4869"/>
    <mergeCell ref="D4868:D4869"/>
    <mergeCell ref="E4868:E4869"/>
    <mergeCell ref="F4868:F4869"/>
    <mergeCell ref="G4868:G4869"/>
    <mergeCell ref="H4868:H4869"/>
    <mergeCell ref="N4897:N4898"/>
    <mergeCell ref="B4921:B4922"/>
    <mergeCell ref="D4921:D4922"/>
    <mergeCell ref="E4921:E4922"/>
    <mergeCell ref="F4921:F4922"/>
    <mergeCell ref="G4921:G4922"/>
    <mergeCell ref="H4921:H4922"/>
    <mergeCell ref="L4921:L4922"/>
    <mergeCell ref="M4921:M4922"/>
    <mergeCell ref="N4921:N4922"/>
    <mergeCell ref="M4882:M4883"/>
    <mergeCell ref="N4882:N4883"/>
    <mergeCell ref="B4897:B4898"/>
    <mergeCell ref="D4897:D4898"/>
    <mergeCell ref="E4897:E4898"/>
    <mergeCell ref="F4897:F4898"/>
    <mergeCell ref="G4897:G4898"/>
    <mergeCell ref="H4897:H4898"/>
    <mergeCell ref="L4897:L4898"/>
    <mergeCell ref="M4897:M4898"/>
    <mergeCell ref="A4963:D4964"/>
    <mergeCell ref="E4963:E4964"/>
    <mergeCell ref="F4963:F4964"/>
    <mergeCell ref="G4963:H4963"/>
    <mergeCell ref="K4963:L4963"/>
    <mergeCell ref="M4963:P4963"/>
    <mergeCell ref="G4964:H4964"/>
    <mergeCell ref="K4964:L4964"/>
    <mergeCell ref="M4964:P4964"/>
    <mergeCell ref="L4945:L4946"/>
    <mergeCell ref="M4945:M4946"/>
    <mergeCell ref="N4945:N4946"/>
    <mergeCell ref="A4961:D4961"/>
    <mergeCell ref="E4961:E4962"/>
    <mergeCell ref="F4961:F4962"/>
    <mergeCell ref="G4961:L4962"/>
    <mergeCell ref="M4961:P4962"/>
    <mergeCell ref="B4945:B4946"/>
    <mergeCell ref="D4945:D4946"/>
    <mergeCell ref="E4945:E4946"/>
    <mergeCell ref="F4945:F4946"/>
    <mergeCell ref="G4945:G4946"/>
    <mergeCell ref="H4945:H4946"/>
    <mergeCell ref="M4979:M4980"/>
    <mergeCell ref="N4979:N4980"/>
    <mergeCell ref="B5005:B5006"/>
    <mergeCell ref="D5005:D5006"/>
    <mergeCell ref="E5005:E5006"/>
    <mergeCell ref="F5005:F5006"/>
    <mergeCell ref="G5005:G5006"/>
    <mergeCell ref="H5005:H5006"/>
    <mergeCell ref="L5005:L5006"/>
    <mergeCell ref="M5005:M5006"/>
    <mergeCell ref="L4965:L4966"/>
    <mergeCell ref="M4965:M4966"/>
    <mergeCell ref="N4965:N4966"/>
    <mergeCell ref="B4979:B4980"/>
    <mergeCell ref="D4979:D4980"/>
    <mergeCell ref="E4979:E4980"/>
    <mergeCell ref="F4979:F4980"/>
    <mergeCell ref="G4979:G4980"/>
    <mergeCell ref="H4979:H4980"/>
    <mergeCell ref="L4979:L4980"/>
    <mergeCell ref="B4965:B4966"/>
    <mergeCell ref="D4965:D4966"/>
    <mergeCell ref="E4965:E4966"/>
    <mergeCell ref="F4965:F4966"/>
    <mergeCell ref="G4965:G4966"/>
    <mergeCell ref="H4965:H4966"/>
    <mergeCell ref="L5044:L5045"/>
    <mergeCell ref="M5044:M5045"/>
    <mergeCell ref="N5044:N5045"/>
    <mergeCell ref="A5060:D5060"/>
    <mergeCell ref="E5060:E5061"/>
    <mergeCell ref="F5060:F5061"/>
    <mergeCell ref="G5060:L5061"/>
    <mergeCell ref="M5060:P5061"/>
    <mergeCell ref="B5044:B5045"/>
    <mergeCell ref="D5044:D5045"/>
    <mergeCell ref="E5044:E5045"/>
    <mergeCell ref="F5044:F5045"/>
    <mergeCell ref="G5044:G5045"/>
    <mergeCell ref="H5044:H5045"/>
    <mergeCell ref="N5005:N5006"/>
    <mergeCell ref="B5020:B5021"/>
    <mergeCell ref="D5020:D5021"/>
    <mergeCell ref="E5020:E5021"/>
    <mergeCell ref="F5020:F5021"/>
    <mergeCell ref="G5020:G5021"/>
    <mergeCell ref="H5020:H5021"/>
    <mergeCell ref="L5020:L5021"/>
    <mergeCell ref="M5020:M5021"/>
    <mergeCell ref="N5020:N5021"/>
    <mergeCell ref="L5064:L5065"/>
    <mergeCell ref="M5064:M5065"/>
    <mergeCell ref="N5064:N5065"/>
    <mergeCell ref="B5079:B5080"/>
    <mergeCell ref="D5079:D5080"/>
    <mergeCell ref="E5079:E5080"/>
    <mergeCell ref="F5079:F5080"/>
    <mergeCell ref="G5079:G5080"/>
    <mergeCell ref="H5079:H5080"/>
    <mergeCell ref="L5079:L5080"/>
    <mergeCell ref="B5064:B5065"/>
    <mergeCell ref="D5064:D5065"/>
    <mergeCell ref="E5064:E5065"/>
    <mergeCell ref="F5064:F5065"/>
    <mergeCell ref="G5064:G5065"/>
    <mergeCell ref="H5064:H5065"/>
    <mergeCell ref="A5062:D5063"/>
    <mergeCell ref="E5062:E5063"/>
    <mergeCell ref="F5062:F5063"/>
    <mergeCell ref="G5062:H5062"/>
    <mergeCell ref="K5062:L5062"/>
    <mergeCell ref="M5062:P5062"/>
    <mergeCell ref="G5063:H5063"/>
    <mergeCell ref="K5063:L5063"/>
    <mergeCell ref="M5063:P5063"/>
    <mergeCell ref="N5098:N5099"/>
    <mergeCell ref="B5113:B5114"/>
    <mergeCell ref="D5113:D5114"/>
    <mergeCell ref="E5113:E5114"/>
    <mergeCell ref="F5113:F5114"/>
    <mergeCell ref="G5113:G5114"/>
    <mergeCell ref="H5113:H5114"/>
    <mergeCell ref="L5113:L5114"/>
    <mergeCell ref="M5113:M5114"/>
    <mergeCell ref="N5113:N5114"/>
    <mergeCell ref="M5079:M5080"/>
    <mergeCell ref="N5079:N5080"/>
    <mergeCell ref="B5098:B5099"/>
    <mergeCell ref="D5098:D5099"/>
    <mergeCell ref="E5098:E5099"/>
    <mergeCell ref="F5098:F5099"/>
    <mergeCell ref="G5098:G5099"/>
    <mergeCell ref="H5098:H5099"/>
    <mergeCell ref="L5098:L5099"/>
    <mergeCell ref="M5098:M5099"/>
    <mergeCell ref="M5161:M5162"/>
    <mergeCell ref="N5161:N5162"/>
    <mergeCell ref="A5177:D5177"/>
    <mergeCell ref="A5179:D5179"/>
    <mergeCell ref="E5179:E5180"/>
    <mergeCell ref="F5179:F5180"/>
    <mergeCell ref="G5179:L5180"/>
    <mergeCell ref="M5179:P5180"/>
    <mergeCell ref="L5137:L5138"/>
    <mergeCell ref="M5137:M5138"/>
    <mergeCell ref="N5137:N5138"/>
    <mergeCell ref="B5161:B5162"/>
    <mergeCell ref="D5161:D5162"/>
    <mergeCell ref="E5161:E5162"/>
    <mergeCell ref="F5161:F5162"/>
    <mergeCell ref="G5161:G5162"/>
    <mergeCell ref="H5161:H5162"/>
    <mergeCell ref="L5161:L5162"/>
    <mergeCell ref="B5137:B5138"/>
    <mergeCell ref="D5137:D5138"/>
    <mergeCell ref="E5137:E5138"/>
    <mergeCell ref="F5137:F5138"/>
    <mergeCell ref="G5137:G5138"/>
    <mergeCell ref="H5137:H5138"/>
    <mergeCell ref="L5183:L5184"/>
    <mergeCell ref="M5183:M5184"/>
    <mergeCell ref="N5183:N5184"/>
    <mergeCell ref="B5198:B5199"/>
    <mergeCell ref="D5198:D5199"/>
    <mergeCell ref="E5198:E5199"/>
    <mergeCell ref="F5198:F5199"/>
    <mergeCell ref="G5198:G5199"/>
    <mergeCell ref="H5198:H5199"/>
    <mergeCell ref="L5198:L5199"/>
    <mergeCell ref="B5183:B5184"/>
    <mergeCell ref="D5183:D5184"/>
    <mergeCell ref="E5183:E5184"/>
    <mergeCell ref="F5183:F5184"/>
    <mergeCell ref="G5183:G5184"/>
    <mergeCell ref="H5183:H5184"/>
    <mergeCell ref="A5181:D5182"/>
    <mergeCell ref="E5181:E5182"/>
    <mergeCell ref="F5181:F5182"/>
    <mergeCell ref="G5181:H5181"/>
    <mergeCell ref="K5181:L5181"/>
    <mergeCell ref="M5181:P5181"/>
    <mergeCell ref="G5182:H5182"/>
    <mergeCell ref="K5182:L5182"/>
    <mergeCell ref="M5182:P5182"/>
    <mergeCell ref="N5215:N5216"/>
    <mergeCell ref="B5235:B5236"/>
    <mergeCell ref="D5235:D5236"/>
    <mergeCell ref="E5235:E5236"/>
    <mergeCell ref="F5235:F5236"/>
    <mergeCell ref="G5235:G5236"/>
    <mergeCell ref="H5235:H5236"/>
    <mergeCell ref="L5235:L5236"/>
    <mergeCell ref="M5235:M5236"/>
    <mergeCell ref="N5235:N5236"/>
    <mergeCell ref="M5198:M5199"/>
    <mergeCell ref="N5198:N5199"/>
    <mergeCell ref="B5215:B5216"/>
    <mergeCell ref="D5215:D5216"/>
    <mergeCell ref="E5215:E5216"/>
    <mergeCell ref="F5215:F5216"/>
    <mergeCell ref="G5215:G5216"/>
    <mergeCell ref="H5215:H5216"/>
    <mergeCell ref="L5215:L5216"/>
    <mergeCell ref="M5215:M5216"/>
    <mergeCell ref="M5276:M5277"/>
    <mergeCell ref="N5276:N5277"/>
    <mergeCell ref="B5297:B5298"/>
    <mergeCell ref="D5297:D5298"/>
    <mergeCell ref="E5297:E5298"/>
    <mergeCell ref="F5297:F5298"/>
    <mergeCell ref="G5297:G5298"/>
    <mergeCell ref="H5297:H5298"/>
    <mergeCell ref="L5297:L5298"/>
    <mergeCell ref="M5297:M5298"/>
    <mergeCell ref="L5255:L5256"/>
    <mergeCell ref="M5255:M5256"/>
    <mergeCell ref="N5255:N5256"/>
    <mergeCell ref="B5276:B5277"/>
    <mergeCell ref="D5276:D5277"/>
    <mergeCell ref="E5276:E5277"/>
    <mergeCell ref="F5276:F5277"/>
    <mergeCell ref="G5276:G5277"/>
    <mergeCell ref="H5276:H5277"/>
    <mergeCell ref="L5276:L5277"/>
    <mergeCell ref="B5255:B5256"/>
    <mergeCell ref="D5255:D5256"/>
    <mergeCell ref="E5255:E5256"/>
    <mergeCell ref="F5255:F5256"/>
    <mergeCell ref="G5255:G5256"/>
    <mergeCell ref="H5255:H5256"/>
    <mergeCell ref="L5330:L5331"/>
    <mergeCell ref="M5330:M5331"/>
    <mergeCell ref="N5330:N5331"/>
    <mergeCell ref="B5354:B5355"/>
    <mergeCell ref="D5354:D5355"/>
    <mergeCell ref="E5354:E5355"/>
    <mergeCell ref="F5354:F5355"/>
    <mergeCell ref="G5354:G5355"/>
    <mergeCell ref="H5354:H5355"/>
    <mergeCell ref="L5354:L5355"/>
    <mergeCell ref="B5330:B5331"/>
    <mergeCell ref="D5330:D5331"/>
    <mergeCell ref="E5330:E5331"/>
    <mergeCell ref="F5330:F5331"/>
    <mergeCell ref="G5330:G5331"/>
    <mergeCell ref="H5330:H5331"/>
    <mergeCell ref="N5297:N5298"/>
    <mergeCell ref="B5316:B5317"/>
    <mergeCell ref="D5316:D5317"/>
    <mergeCell ref="E5316:E5317"/>
    <mergeCell ref="F5316:F5317"/>
    <mergeCell ref="G5316:G5317"/>
    <mergeCell ref="H5316:H5317"/>
    <mergeCell ref="L5316:L5317"/>
    <mergeCell ref="M5316:M5317"/>
    <mergeCell ref="N5316:N5317"/>
    <mergeCell ref="N5369:N5370"/>
    <mergeCell ref="A5626:D5627"/>
    <mergeCell ref="E5626:E5627"/>
    <mergeCell ref="F5626:F5627"/>
    <mergeCell ref="G5626:H5626"/>
    <mergeCell ref="K5626:L5626"/>
    <mergeCell ref="M5626:P5626"/>
    <mergeCell ref="G5627:H5627"/>
    <mergeCell ref="K5627:L5627"/>
    <mergeCell ref="M5627:P5627"/>
    <mergeCell ref="M5354:M5355"/>
    <mergeCell ref="N5354:N5355"/>
    <mergeCell ref="B5369:B5370"/>
    <mergeCell ref="D5369:D5370"/>
    <mergeCell ref="E5369:E5370"/>
    <mergeCell ref="F5369:F5370"/>
    <mergeCell ref="G5369:G5370"/>
    <mergeCell ref="H5369:H5370"/>
    <mergeCell ref="L5369:L5370"/>
    <mergeCell ref="M5369:M5370"/>
    <mergeCell ref="A5385:D5386"/>
    <mergeCell ref="E5385:E5386"/>
    <mergeCell ref="F5385:F5386"/>
    <mergeCell ref="G5385:H5385"/>
    <mergeCell ref="K5385:L5385"/>
    <mergeCell ref="M5385:P5385"/>
    <mergeCell ref="G5386:H5386"/>
    <mergeCell ref="K5386:L5386"/>
    <mergeCell ref="M5386:P5386"/>
    <mergeCell ref="B5387:B5388"/>
    <mergeCell ref="D5387:D5388"/>
    <mergeCell ref="E5387:E5388"/>
    <mergeCell ref="M5643:M5644"/>
    <mergeCell ref="N5643:N5644"/>
    <mergeCell ref="B5664:B5665"/>
    <mergeCell ref="D5664:D5665"/>
    <mergeCell ref="E5664:E5665"/>
    <mergeCell ref="F5664:F5665"/>
    <mergeCell ref="G5664:G5665"/>
    <mergeCell ref="H5664:H5665"/>
    <mergeCell ref="L5664:L5665"/>
    <mergeCell ref="M5664:M5665"/>
    <mergeCell ref="L5628:L5629"/>
    <mergeCell ref="M5628:M5629"/>
    <mergeCell ref="N5628:N5629"/>
    <mergeCell ref="B5643:B5644"/>
    <mergeCell ref="D5643:D5644"/>
    <mergeCell ref="E5643:E5644"/>
    <mergeCell ref="F5643:F5644"/>
    <mergeCell ref="G5643:G5644"/>
    <mergeCell ref="H5643:H5644"/>
    <mergeCell ref="L5643:L5644"/>
    <mergeCell ref="B5628:B5629"/>
    <mergeCell ref="D5628:D5629"/>
    <mergeCell ref="E5628:E5629"/>
    <mergeCell ref="F5628:F5629"/>
    <mergeCell ref="G5628:G5629"/>
    <mergeCell ref="H5628:H5629"/>
    <mergeCell ref="L5702:L5703"/>
    <mergeCell ref="M5702:M5703"/>
    <mergeCell ref="N5702:N5703"/>
    <mergeCell ref="A5718:D5719"/>
    <mergeCell ref="E5718:E5719"/>
    <mergeCell ref="F5718:F5719"/>
    <mergeCell ref="G5718:H5718"/>
    <mergeCell ref="K5718:L5718"/>
    <mergeCell ref="M5718:P5718"/>
    <mergeCell ref="G5719:H5719"/>
    <mergeCell ref="B5702:B5703"/>
    <mergeCell ref="D5702:D5703"/>
    <mergeCell ref="E5702:E5703"/>
    <mergeCell ref="F5702:F5703"/>
    <mergeCell ref="G5702:G5703"/>
    <mergeCell ref="H5702:H5703"/>
    <mergeCell ref="N5664:N5665"/>
    <mergeCell ref="B5678:B5679"/>
    <mergeCell ref="D5678:D5679"/>
    <mergeCell ref="E5678:E5679"/>
    <mergeCell ref="F5678:F5679"/>
    <mergeCell ref="G5678:G5679"/>
    <mergeCell ref="H5678:H5679"/>
    <mergeCell ref="L5678:L5679"/>
    <mergeCell ref="M5678:M5679"/>
    <mergeCell ref="N5678:N5679"/>
    <mergeCell ref="E5735:E5736"/>
    <mergeCell ref="F5735:F5736"/>
    <mergeCell ref="G5735:G5736"/>
    <mergeCell ref="H5735:H5736"/>
    <mergeCell ref="L5735:L5736"/>
    <mergeCell ref="M5735:M5736"/>
    <mergeCell ref="N5735:N5736"/>
    <mergeCell ref="K5719:L5719"/>
    <mergeCell ref="M5719:P5719"/>
    <mergeCell ref="B5720:B5721"/>
    <mergeCell ref="D5720:D5721"/>
    <mergeCell ref="E5720:E5721"/>
    <mergeCell ref="F5720:F5721"/>
    <mergeCell ref="G5720:G5721"/>
    <mergeCell ref="H5720:H5721"/>
    <mergeCell ref="L5720:L5721"/>
    <mergeCell ref="M5720:M5721"/>
    <mergeCell ref="L5850:L5851"/>
    <mergeCell ref="M5850:M5851"/>
    <mergeCell ref="N5850:N5851"/>
    <mergeCell ref="B5752:B5753"/>
    <mergeCell ref="D5752:D5753"/>
    <mergeCell ref="E5752:E5753"/>
    <mergeCell ref="F5752:F5753"/>
    <mergeCell ref="G5752:G5753"/>
    <mergeCell ref="H5752:H5753"/>
    <mergeCell ref="L5752:L5753"/>
    <mergeCell ref="B5850:B5851"/>
    <mergeCell ref="D5850:D5851"/>
    <mergeCell ref="E5850:E5851"/>
    <mergeCell ref="F5850:F5851"/>
    <mergeCell ref="G5850:G5851"/>
    <mergeCell ref="H5850:H5851"/>
    <mergeCell ref="G5834:H5834"/>
    <mergeCell ref="K5834:L5834"/>
    <mergeCell ref="M5834:P5834"/>
    <mergeCell ref="B5835:B5836"/>
    <mergeCell ref="D5835:D5836"/>
    <mergeCell ref="E5835:E5836"/>
    <mergeCell ref="A5880:D5881"/>
    <mergeCell ref="E5880:E5881"/>
    <mergeCell ref="F5880:F5881"/>
    <mergeCell ref="G5880:H5880"/>
    <mergeCell ref="K5880:L5880"/>
    <mergeCell ref="M5880:P5880"/>
    <mergeCell ref="G5881:H5881"/>
    <mergeCell ref="K5881:L5881"/>
    <mergeCell ref="M5881:P5881"/>
    <mergeCell ref="A5872:P5872"/>
    <mergeCell ref="A5876:D5876"/>
    <mergeCell ref="A5878:D5878"/>
    <mergeCell ref="E5878:E5879"/>
    <mergeCell ref="F5878:F5879"/>
    <mergeCell ref="G5878:L5879"/>
    <mergeCell ref="M5878:P5879"/>
    <mergeCell ref="N5792:N5793"/>
    <mergeCell ref="B5813:B5814"/>
    <mergeCell ref="D5813:D5814"/>
    <mergeCell ref="E5813:E5814"/>
    <mergeCell ref="F5813:F5814"/>
    <mergeCell ref="G5813:G5814"/>
    <mergeCell ref="H5813:H5814"/>
    <mergeCell ref="L5813:L5814"/>
    <mergeCell ref="M5813:M5814"/>
    <mergeCell ref="N5813:N5814"/>
    <mergeCell ref="A5833:D5834"/>
    <mergeCell ref="E5833:E5834"/>
    <mergeCell ref="F5833:F5834"/>
    <mergeCell ref="G5833:H5833"/>
    <mergeCell ref="K5833:L5833"/>
    <mergeCell ref="M5833:P5833"/>
    <mergeCell ref="L5900:L5901"/>
    <mergeCell ref="M5900:M5901"/>
    <mergeCell ref="N5900:N5901"/>
    <mergeCell ref="B5918:B5919"/>
    <mergeCell ref="D5918:D5919"/>
    <mergeCell ref="E5918:E5919"/>
    <mergeCell ref="F5918:F5919"/>
    <mergeCell ref="G5918:G5919"/>
    <mergeCell ref="H5918:H5919"/>
    <mergeCell ref="L5918:L5919"/>
    <mergeCell ref="L5882:L5883"/>
    <mergeCell ref="M5882:M5883"/>
    <mergeCell ref="N5882:N5883"/>
    <mergeCell ref="A5885:A5892"/>
    <mergeCell ref="B5900:B5901"/>
    <mergeCell ref="D5900:D5901"/>
    <mergeCell ref="E5900:E5901"/>
    <mergeCell ref="F5900:F5901"/>
    <mergeCell ref="G5900:G5901"/>
    <mergeCell ref="H5900:H5901"/>
    <mergeCell ref="B5882:B5883"/>
    <mergeCell ref="D5882:D5883"/>
    <mergeCell ref="E5882:E5883"/>
    <mergeCell ref="F5882:F5883"/>
    <mergeCell ref="G5882:G5883"/>
    <mergeCell ref="H5882:H5883"/>
    <mergeCell ref="N5936:N5937"/>
    <mergeCell ref="B5957:B5958"/>
    <mergeCell ref="D5957:D5958"/>
    <mergeCell ref="E5957:E5958"/>
    <mergeCell ref="F5957:F5958"/>
    <mergeCell ref="G5957:G5958"/>
    <mergeCell ref="H5957:H5958"/>
    <mergeCell ref="L5957:L5958"/>
    <mergeCell ref="M5957:M5958"/>
    <mergeCell ref="N5957:N5958"/>
    <mergeCell ref="M5918:M5919"/>
    <mergeCell ref="N5918:N5919"/>
    <mergeCell ref="B5936:B5937"/>
    <mergeCell ref="D5936:D5937"/>
    <mergeCell ref="E5936:E5937"/>
    <mergeCell ref="F5936:F5937"/>
    <mergeCell ref="G5936:G5937"/>
    <mergeCell ref="H5936:H5937"/>
    <mergeCell ref="L5936:L5937"/>
    <mergeCell ref="M5936:M5937"/>
    <mergeCell ref="L5989:L5990"/>
    <mergeCell ref="M5989:M5990"/>
    <mergeCell ref="N5989:N5990"/>
    <mergeCell ref="B6004:B6005"/>
    <mergeCell ref="D6004:D6005"/>
    <mergeCell ref="E6004:E6005"/>
    <mergeCell ref="F6004:F6005"/>
    <mergeCell ref="G6004:G6005"/>
    <mergeCell ref="H6004:H6005"/>
    <mergeCell ref="L6004:L6005"/>
    <mergeCell ref="L5973:L5974"/>
    <mergeCell ref="M5973:M5974"/>
    <mergeCell ref="N5973:N5974"/>
    <mergeCell ref="A5977:A5979"/>
    <mergeCell ref="B5989:B5990"/>
    <mergeCell ref="D5989:D5990"/>
    <mergeCell ref="E5989:E5990"/>
    <mergeCell ref="F5989:F5990"/>
    <mergeCell ref="G5989:G5990"/>
    <mergeCell ref="H5989:H5990"/>
    <mergeCell ref="B5973:B5974"/>
    <mergeCell ref="D5973:D5974"/>
    <mergeCell ref="E5973:E5974"/>
    <mergeCell ref="F5973:F5974"/>
    <mergeCell ref="G5973:G5974"/>
    <mergeCell ref="H5973:H5974"/>
    <mergeCell ref="A6028:D6029"/>
    <mergeCell ref="E6028:E6029"/>
    <mergeCell ref="F6028:F6029"/>
    <mergeCell ref="G6028:H6028"/>
    <mergeCell ref="K6028:L6028"/>
    <mergeCell ref="M6028:P6028"/>
    <mergeCell ref="G6029:H6029"/>
    <mergeCell ref="K6029:L6029"/>
    <mergeCell ref="M6029:P6029"/>
    <mergeCell ref="A6072:A6074"/>
    <mergeCell ref="M6004:M6005"/>
    <mergeCell ref="N6004:N6005"/>
    <mergeCell ref="A6023:D6023"/>
    <mergeCell ref="A6026:D6026"/>
    <mergeCell ref="E6026:E6027"/>
    <mergeCell ref="F6026:F6027"/>
    <mergeCell ref="G6026:L6027"/>
    <mergeCell ref="M6026:P6027"/>
    <mergeCell ref="N6049:N6050"/>
    <mergeCell ref="B6068:B6069"/>
    <mergeCell ref="D6068:D6069"/>
    <mergeCell ref="E6068:E6069"/>
    <mergeCell ref="F6068:F6069"/>
    <mergeCell ref="G6068:G6069"/>
    <mergeCell ref="H6068:H6069"/>
    <mergeCell ref="L6068:L6069"/>
    <mergeCell ref="M6068:M6069"/>
    <mergeCell ref="N6068:N6069"/>
    <mergeCell ref="M6030:M6031"/>
    <mergeCell ref="N6030:N6031"/>
    <mergeCell ref="B6049:B6050"/>
    <mergeCell ref="D6049:D6050"/>
    <mergeCell ref="E6049:E6050"/>
    <mergeCell ref="F6049:F6050"/>
    <mergeCell ref="G6049:G6050"/>
    <mergeCell ref="H6049:H6050"/>
    <mergeCell ref="L6049:L6050"/>
    <mergeCell ref="M6049:M6050"/>
    <mergeCell ref="B6030:B6031"/>
    <mergeCell ref="D6030:D6031"/>
    <mergeCell ref="E6030:E6031"/>
    <mergeCell ref="F6030:F6031"/>
    <mergeCell ref="G6030:G6031"/>
    <mergeCell ref="H6030:H6031"/>
    <mergeCell ref="L6030:L6031"/>
    <mergeCell ref="H6097:H6098"/>
    <mergeCell ref="L6097:L6098"/>
    <mergeCell ref="M6097:M6098"/>
    <mergeCell ref="N6097:N6098"/>
    <mergeCell ref="A6101:A6108"/>
    <mergeCell ref="B6116:B6117"/>
    <mergeCell ref="D6116:D6117"/>
    <mergeCell ref="E6116:E6117"/>
    <mergeCell ref="F6116:F6117"/>
    <mergeCell ref="G6116:G6117"/>
    <mergeCell ref="H6082:H6083"/>
    <mergeCell ref="L6082:L6083"/>
    <mergeCell ref="M6082:M6083"/>
    <mergeCell ref="N6082:N6083"/>
    <mergeCell ref="A6086:A6089"/>
    <mergeCell ref="B6097:B6098"/>
    <mergeCell ref="D6097:D6098"/>
    <mergeCell ref="E6097:E6098"/>
    <mergeCell ref="F6097:F6098"/>
    <mergeCell ref="G6097:G6098"/>
    <mergeCell ref="B6082:B6083"/>
    <mergeCell ref="D6082:D6083"/>
    <mergeCell ref="E6082:E6083"/>
    <mergeCell ref="F6082:F6083"/>
    <mergeCell ref="G6082:G6083"/>
    <mergeCell ref="H6135:H6136"/>
    <mergeCell ref="L6135:L6136"/>
    <mergeCell ref="M6135:M6136"/>
    <mergeCell ref="N6135:N6136"/>
    <mergeCell ref="A6139:A6146"/>
    <mergeCell ref="B6154:B6155"/>
    <mergeCell ref="D6154:D6155"/>
    <mergeCell ref="E6154:E6155"/>
    <mergeCell ref="F6154:F6155"/>
    <mergeCell ref="G6154:G6155"/>
    <mergeCell ref="H6116:H6117"/>
    <mergeCell ref="L6116:L6117"/>
    <mergeCell ref="M6116:M6117"/>
    <mergeCell ref="N6116:N6117"/>
    <mergeCell ref="A6120:A6127"/>
    <mergeCell ref="B6135:B6136"/>
    <mergeCell ref="D6135:D6136"/>
    <mergeCell ref="E6135:E6136"/>
    <mergeCell ref="F6135:F6136"/>
    <mergeCell ref="G6135:G6136"/>
    <mergeCell ref="H6169:H6170"/>
    <mergeCell ref="L6169:L6170"/>
    <mergeCell ref="M6169:M6170"/>
    <mergeCell ref="N6169:N6170"/>
    <mergeCell ref="B6184:B6185"/>
    <mergeCell ref="D6184:D6185"/>
    <mergeCell ref="E6184:E6185"/>
    <mergeCell ref="F6184:F6185"/>
    <mergeCell ref="G6184:G6185"/>
    <mergeCell ref="H6184:H6185"/>
    <mergeCell ref="H6154:H6155"/>
    <mergeCell ref="L6154:L6155"/>
    <mergeCell ref="M6154:M6155"/>
    <mergeCell ref="N6154:N6155"/>
    <mergeCell ref="A6158:A6160"/>
    <mergeCell ref="B6169:B6170"/>
    <mergeCell ref="D6169:D6170"/>
    <mergeCell ref="E6169:E6170"/>
    <mergeCell ref="F6169:F6170"/>
    <mergeCell ref="G6169:G6170"/>
    <mergeCell ref="L6200:L6201"/>
    <mergeCell ref="M6200:M6201"/>
    <mergeCell ref="N6200:N6201"/>
    <mergeCell ref="B6215:B6216"/>
    <mergeCell ref="D6215:D6216"/>
    <mergeCell ref="E6215:E6216"/>
    <mergeCell ref="F6215:F6216"/>
    <mergeCell ref="G6215:G6216"/>
    <mergeCell ref="H6215:H6216"/>
    <mergeCell ref="L6215:L6216"/>
    <mergeCell ref="L6184:L6185"/>
    <mergeCell ref="M6184:M6185"/>
    <mergeCell ref="N6184:N6185"/>
    <mergeCell ref="A6188:A6190"/>
    <mergeCell ref="B6200:B6201"/>
    <mergeCell ref="D6200:D6201"/>
    <mergeCell ref="E6200:E6201"/>
    <mergeCell ref="F6200:F6201"/>
    <mergeCell ref="G6200:G6201"/>
    <mergeCell ref="H6200:H6201"/>
    <mergeCell ref="A6236:D6237"/>
    <mergeCell ref="E6236:E6237"/>
    <mergeCell ref="F6236:F6237"/>
    <mergeCell ref="G6236:H6236"/>
    <mergeCell ref="K6236:L6236"/>
    <mergeCell ref="M6236:P6236"/>
    <mergeCell ref="G6237:H6237"/>
    <mergeCell ref="K6237:L6237"/>
    <mergeCell ref="M6237:P6237"/>
    <mergeCell ref="M6215:M6216"/>
    <mergeCell ref="N6215:N6216"/>
    <mergeCell ref="A6232:D6232"/>
    <mergeCell ref="A6234:D6234"/>
    <mergeCell ref="E6234:E6235"/>
    <mergeCell ref="F6234:F6235"/>
    <mergeCell ref="G6234:L6235"/>
    <mergeCell ref="M6234:P6235"/>
    <mergeCell ref="N6246:N6247"/>
    <mergeCell ref="B6261:B6262"/>
    <mergeCell ref="D6261:D6262"/>
    <mergeCell ref="E6261:E6262"/>
    <mergeCell ref="F6261:F6262"/>
    <mergeCell ref="G6261:G6262"/>
    <mergeCell ref="H6261:H6262"/>
    <mergeCell ref="L6261:L6262"/>
    <mergeCell ref="M6261:M6262"/>
    <mergeCell ref="N6261:N6262"/>
    <mergeCell ref="O6238:O6239"/>
    <mergeCell ref="P6238:P6239"/>
    <mergeCell ref="B6246:B6247"/>
    <mergeCell ref="D6246:D6247"/>
    <mergeCell ref="E6246:E6247"/>
    <mergeCell ref="F6246:F6247"/>
    <mergeCell ref="G6246:G6247"/>
    <mergeCell ref="H6246:H6247"/>
    <mergeCell ref="L6246:L6247"/>
    <mergeCell ref="M6246:M6247"/>
    <mergeCell ref="I6238:I6239"/>
    <mergeCell ref="J6238:J6239"/>
    <mergeCell ref="K6238:K6239"/>
    <mergeCell ref="L6238:L6239"/>
    <mergeCell ref="M6238:M6239"/>
    <mergeCell ref="N6238:N6239"/>
    <mergeCell ref="B6238:B6239"/>
    <mergeCell ref="D6238:D6239"/>
    <mergeCell ref="E6238:E6239"/>
    <mergeCell ref="F6238:F6239"/>
    <mergeCell ref="G6238:G6239"/>
    <mergeCell ref="H6238:H6239"/>
    <mergeCell ref="M6290:M6291"/>
    <mergeCell ref="N6290:N6291"/>
    <mergeCell ref="B6304:B6305"/>
    <mergeCell ref="D6304:D6305"/>
    <mergeCell ref="E6304:E6305"/>
    <mergeCell ref="F6304:F6305"/>
    <mergeCell ref="G6304:G6305"/>
    <mergeCell ref="H6304:H6305"/>
    <mergeCell ref="L6304:L6305"/>
    <mergeCell ref="M6304:M6305"/>
    <mergeCell ref="L6276:L6277"/>
    <mergeCell ref="M6276:M6277"/>
    <mergeCell ref="N6276:N6277"/>
    <mergeCell ref="B6290:B6291"/>
    <mergeCell ref="D6290:D6291"/>
    <mergeCell ref="E6290:E6291"/>
    <mergeCell ref="F6290:F6291"/>
    <mergeCell ref="G6290:G6291"/>
    <mergeCell ref="H6290:H6291"/>
    <mergeCell ref="L6290:L6291"/>
    <mergeCell ref="B6276:B6277"/>
    <mergeCell ref="D6276:D6277"/>
    <mergeCell ref="E6276:E6277"/>
    <mergeCell ref="F6276:F6277"/>
    <mergeCell ref="G6276:G6277"/>
    <mergeCell ref="H6276:H6277"/>
    <mergeCell ref="L6332:L6333"/>
    <mergeCell ref="M6332:M6333"/>
    <mergeCell ref="N6332:N6333"/>
    <mergeCell ref="B6346:B6347"/>
    <mergeCell ref="D6346:D6347"/>
    <mergeCell ref="E6346:E6347"/>
    <mergeCell ref="F6346:F6347"/>
    <mergeCell ref="G6346:G6347"/>
    <mergeCell ref="H6346:H6347"/>
    <mergeCell ref="L6346:L6347"/>
    <mergeCell ref="B6332:B6333"/>
    <mergeCell ref="D6332:D6333"/>
    <mergeCell ref="E6332:E6333"/>
    <mergeCell ref="F6332:F6333"/>
    <mergeCell ref="G6332:G6333"/>
    <mergeCell ref="H6332:H6333"/>
    <mergeCell ref="N6304:N6305"/>
    <mergeCell ref="B6318:B6319"/>
    <mergeCell ref="D6318:D6319"/>
    <mergeCell ref="E6318:E6319"/>
    <mergeCell ref="F6318:F6319"/>
    <mergeCell ref="G6318:G6319"/>
    <mergeCell ref="H6318:H6319"/>
    <mergeCell ref="L6318:L6319"/>
    <mergeCell ref="M6318:M6319"/>
    <mergeCell ref="N6318:N6319"/>
    <mergeCell ref="N6360:N6361"/>
    <mergeCell ref="B6379:B6380"/>
    <mergeCell ref="D6379:D6380"/>
    <mergeCell ref="E6379:E6380"/>
    <mergeCell ref="F6379:F6380"/>
    <mergeCell ref="G6379:G6380"/>
    <mergeCell ref="H6379:H6380"/>
    <mergeCell ref="L6379:L6380"/>
    <mergeCell ref="M6379:M6380"/>
    <mergeCell ref="N6379:N6380"/>
    <mergeCell ref="M6346:M6347"/>
    <mergeCell ref="N6346:N6347"/>
    <mergeCell ref="B6360:B6361"/>
    <mergeCell ref="D6360:D6361"/>
    <mergeCell ref="E6360:E6361"/>
    <mergeCell ref="F6360:F6361"/>
    <mergeCell ref="G6360:G6361"/>
    <mergeCell ref="H6360:H6361"/>
    <mergeCell ref="L6360:L6361"/>
    <mergeCell ref="M6360:M6361"/>
    <mergeCell ref="M6417:M6418"/>
    <mergeCell ref="N6417:N6418"/>
    <mergeCell ref="B6436:B6437"/>
    <mergeCell ref="D6436:D6437"/>
    <mergeCell ref="E6436:E6437"/>
    <mergeCell ref="F6436:F6437"/>
    <mergeCell ref="G6436:G6437"/>
    <mergeCell ref="H6436:H6437"/>
    <mergeCell ref="L6436:L6437"/>
    <mergeCell ref="M6436:M6437"/>
    <mergeCell ref="L6398:L6399"/>
    <mergeCell ref="M6398:M6399"/>
    <mergeCell ref="N6398:N6399"/>
    <mergeCell ref="B6417:B6418"/>
    <mergeCell ref="D6417:D6418"/>
    <mergeCell ref="E6417:E6418"/>
    <mergeCell ref="F6417:F6418"/>
    <mergeCell ref="G6417:G6418"/>
    <mergeCell ref="H6417:H6418"/>
    <mergeCell ref="L6417:L6418"/>
    <mergeCell ref="B6398:B6399"/>
    <mergeCell ref="D6398:D6399"/>
    <mergeCell ref="E6398:E6399"/>
    <mergeCell ref="F6398:F6399"/>
    <mergeCell ref="G6398:G6399"/>
    <mergeCell ref="H6398:H6399"/>
    <mergeCell ref="L6476:L6477"/>
    <mergeCell ref="M6476:M6477"/>
    <mergeCell ref="N6476:N6477"/>
    <mergeCell ref="B6513:B6514"/>
    <mergeCell ref="D6513:D6514"/>
    <mergeCell ref="E6513:E6514"/>
    <mergeCell ref="F6513:F6514"/>
    <mergeCell ref="G6513:G6514"/>
    <mergeCell ref="H6513:H6514"/>
    <mergeCell ref="L6513:L6514"/>
    <mergeCell ref="B6476:B6477"/>
    <mergeCell ref="D6476:D6477"/>
    <mergeCell ref="E6476:E6477"/>
    <mergeCell ref="F6476:F6477"/>
    <mergeCell ref="G6476:G6477"/>
    <mergeCell ref="H6476:H6477"/>
    <mergeCell ref="N6436:N6437"/>
    <mergeCell ref="B6455:B6456"/>
    <mergeCell ref="D6455:D6456"/>
    <mergeCell ref="E6455:E6456"/>
    <mergeCell ref="F6455:F6456"/>
    <mergeCell ref="G6455:G6456"/>
    <mergeCell ref="H6455:H6456"/>
    <mergeCell ref="L6455:L6456"/>
    <mergeCell ref="M6455:M6456"/>
    <mergeCell ref="N6455:N6456"/>
    <mergeCell ref="N6529:N6530"/>
    <mergeCell ref="B6547:B6548"/>
    <mergeCell ref="D6547:D6548"/>
    <mergeCell ref="E6547:E6548"/>
    <mergeCell ref="F6547:F6548"/>
    <mergeCell ref="G6547:G6548"/>
    <mergeCell ref="H6547:H6548"/>
    <mergeCell ref="L6547:L6548"/>
    <mergeCell ref="M6547:M6548"/>
    <mergeCell ref="N6547:N6548"/>
    <mergeCell ref="M6513:M6514"/>
    <mergeCell ref="N6513:N6514"/>
    <mergeCell ref="B6529:B6530"/>
    <mergeCell ref="D6529:D6530"/>
    <mergeCell ref="E6529:E6530"/>
    <mergeCell ref="F6529:F6530"/>
    <mergeCell ref="G6529:G6530"/>
    <mergeCell ref="H6529:H6530"/>
    <mergeCell ref="L6529:L6530"/>
    <mergeCell ref="M6529:M6530"/>
    <mergeCell ref="A6584:D6585"/>
    <mergeCell ref="E6584:E6585"/>
    <mergeCell ref="F6584:F6585"/>
    <mergeCell ref="G6584:H6584"/>
    <mergeCell ref="K6584:L6584"/>
    <mergeCell ref="M6584:P6584"/>
    <mergeCell ref="G6585:H6585"/>
    <mergeCell ref="K6585:L6585"/>
    <mergeCell ref="M6585:P6585"/>
    <mergeCell ref="L6562:L6563"/>
    <mergeCell ref="M6562:M6563"/>
    <mergeCell ref="N6562:N6563"/>
    <mergeCell ref="A6580:D6580"/>
    <mergeCell ref="A6582:D6582"/>
    <mergeCell ref="E6582:E6583"/>
    <mergeCell ref="F6582:F6583"/>
    <mergeCell ref="G6582:L6583"/>
    <mergeCell ref="M6582:P6583"/>
    <mergeCell ref="B6562:B6563"/>
    <mergeCell ref="D6562:D6563"/>
    <mergeCell ref="E6562:E6563"/>
    <mergeCell ref="F6562:F6563"/>
    <mergeCell ref="G6562:G6563"/>
    <mergeCell ref="H6562:H6563"/>
    <mergeCell ref="N6594:N6595"/>
    <mergeCell ref="B6609:B6610"/>
    <mergeCell ref="D6609:D6610"/>
    <mergeCell ref="E6609:E6610"/>
    <mergeCell ref="F6609:F6610"/>
    <mergeCell ref="G6609:G6610"/>
    <mergeCell ref="H6609:H6610"/>
    <mergeCell ref="L6609:L6610"/>
    <mergeCell ref="M6609:M6610"/>
    <mergeCell ref="N6609:N6610"/>
    <mergeCell ref="O6586:O6587"/>
    <mergeCell ref="P6586:P6587"/>
    <mergeCell ref="B6594:B6595"/>
    <mergeCell ref="D6594:D6595"/>
    <mergeCell ref="E6594:E6595"/>
    <mergeCell ref="F6594:F6595"/>
    <mergeCell ref="G6594:G6595"/>
    <mergeCell ref="H6594:H6595"/>
    <mergeCell ref="L6594:L6595"/>
    <mergeCell ref="M6594:M6595"/>
    <mergeCell ref="I6586:I6587"/>
    <mergeCell ref="J6586:J6587"/>
    <mergeCell ref="K6586:K6587"/>
    <mergeCell ref="L6586:L6587"/>
    <mergeCell ref="M6586:M6587"/>
    <mergeCell ref="N6586:N6587"/>
    <mergeCell ref="B6586:B6587"/>
    <mergeCell ref="D6586:D6587"/>
    <mergeCell ref="E6586:E6587"/>
    <mergeCell ref="F6586:F6587"/>
    <mergeCell ref="G6586:G6587"/>
    <mergeCell ref="H6586:H6587"/>
    <mergeCell ref="M6639:M6640"/>
    <mergeCell ref="N6639:N6640"/>
    <mergeCell ref="B6654:B6655"/>
    <mergeCell ref="D6654:D6655"/>
    <mergeCell ref="E6654:E6655"/>
    <mergeCell ref="F6654:F6655"/>
    <mergeCell ref="G6654:G6655"/>
    <mergeCell ref="H6654:H6655"/>
    <mergeCell ref="L6654:L6655"/>
    <mergeCell ref="M6654:M6655"/>
    <mergeCell ref="L6624:L6625"/>
    <mergeCell ref="M6624:M6625"/>
    <mergeCell ref="N6624:N6625"/>
    <mergeCell ref="B6639:B6640"/>
    <mergeCell ref="D6639:D6640"/>
    <mergeCell ref="E6639:E6640"/>
    <mergeCell ref="F6639:F6640"/>
    <mergeCell ref="G6639:G6640"/>
    <mergeCell ref="H6639:H6640"/>
    <mergeCell ref="L6639:L6640"/>
    <mergeCell ref="B6624:B6625"/>
    <mergeCell ref="D6624:D6625"/>
    <mergeCell ref="E6624:E6625"/>
    <mergeCell ref="F6624:F6625"/>
    <mergeCell ref="G6624:G6625"/>
    <mergeCell ref="H6624:H6625"/>
    <mergeCell ref="L6688:L6689"/>
    <mergeCell ref="M6688:M6689"/>
    <mergeCell ref="N6688:N6689"/>
    <mergeCell ref="B6708:B6709"/>
    <mergeCell ref="D6708:D6709"/>
    <mergeCell ref="E6708:E6709"/>
    <mergeCell ref="F6708:F6709"/>
    <mergeCell ref="G6708:G6709"/>
    <mergeCell ref="H6708:H6709"/>
    <mergeCell ref="L6708:L6709"/>
    <mergeCell ref="B6688:B6689"/>
    <mergeCell ref="D6688:D6689"/>
    <mergeCell ref="E6688:E6689"/>
    <mergeCell ref="F6688:F6689"/>
    <mergeCell ref="G6688:G6689"/>
    <mergeCell ref="H6688:H6689"/>
    <mergeCell ref="N6654:N6655"/>
    <mergeCell ref="B6668:B6669"/>
    <mergeCell ref="D6668:D6669"/>
    <mergeCell ref="E6668:E6669"/>
    <mergeCell ref="F6668:F6669"/>
    <mergeCell ref="G6668:G6669"/>
    <mergeCell ref="H6668:H6669"/>
    <mergeCell ref="L6668:L6669"/>
    <mergeCell ref="M6668:M6669"/>
    <mergeCell ref="N6668:N6669"/>
    <mergeCell ref="N6727:N6728"/>
    <mergeCell ref="B6746:B6747"/>
    <mergeCell ref="D6746:D6747"/>
    <mergeCell ref="E6746:E6747"/>
    <mergeCell ref="F6746:F6747"/>
    <mergeCell ref="G6746:G6747"/>
    <mergeCell ref="H6746:H6747"/>
    <mergeCell ref="L6746:L6747"/>
    <mergeCell ref="M6746:M6747"/>
    <mergeCell ref="N6746:N6747"/>
    <mergeCell ref="M6708:M6709"/>
    <mergeCell ref="N6708:N6709"/>
    <mergeCell ref="B6727:B6728"/>
    <mergeCell ref="D6727:D6728"/>
    <mergeCell ref="E6727:E6728"/>
    <mergeCell ref="F6727:F6728"/>
    <mergeCell ref="G6727:G6728"/>
    <mergeCell ref="H6727:H6728"/>
    <mergeCell ref="L6727:L6728"/>
    <mergeCell ref="M6727:M6728"/>
    <mergeCell ref="A6784:D6785"/>
    <mergeCell ref="E6784:E6785"/>
    <mergeCell ref="F6784:F6785"/>
    <mergeCell ref="G6784:H6784"/>
    <mergeCell ref="K6784:L6784"/>
    <mergeCell ref="M6784:P6784"/>
    <mergeCell ref="G6785:H6785"/>
    <mergeCell ref="K6785:L6785"/>
    <mergeCell ref="M6785:P6785"/>
    <mergeCell ref="L6761:L6762"/>
    <mergeCell ref="M6761:M6762"/>
    <mergeCell ref="N6761:N6762"/>
    <mergeCell ref="A6779:D6779"/>
    <mergeCell ref="A6782:D6782"/>
    <mergeCell ref="E6782:E6783"/>
    <mergeCell ref="F6782:F6783"/>
    <mergeCell ref="G6782:L6783"/>
    <mergeCell ref="M6782:P6783"/>
    <mergeCell ref="B6761:B6762"/>
    <mergeCell ref="D6761:D6762"/>
    <mergeCell ref="E6761:E6762"/>
    <mergeCell ref="F6761:F6762"/>
    <mergeCell ref="G6761:G6762"/>
    <mergeCell ref="H6761:H6762"/>
    <mergeCell ref="O6786:O6787"/>
    <mergeCell ref="P6786:P6787"/>
    <mergeCell ref="B6794:B6795"/>
    <mergeCell ref="D6794:D6795"/>
    <mergeCell ref="E6794:E6795"/>
    <mergeCell ref="F6794:F6795"/>
    <mergeCell ref="G6794:G6795"/>
    <mergeCell ref="H6794:H6795"/>
    <mergeCell ref="L6794:L6795"/>
    <mergeCell ref="M6794:M6795"/>
    <mergeCell ref="I6786:I6787"/>
    <mergeCell ref="J6786:J6787"/>
    <mergeCell ref="K6786:K6787"/>
    <mergeCell ref="L6786:L6787"/>
    <mergeCell ref="M6786:M6787"/>
    <mergeCell ref="N6786:N6787"/>
    <mergeCell ref="B6786:B6787"/>
    <mergeCell ref="D6786:D6787"/>
    <mergeCell ref="E6786:E6787"/>
    <mergeCell ref="F6786:F6787"/>
    <mergeCell ref="G6786:G6787"/>
    <mergeCell ref="H6786:H6787"/>
    <mergeCell ref="L6829:L6830"/>
    <mergeCell ref="M6829:M6830"/>
    <mergeCell ref="N6829:N6830"/>
    <mergeCell ref="B6849:B6850"/>
    <mergeCell ref="D6849:D6850"/>
    <mergeCell ref="E6849:E6850"/>
    <mergeCell ref="F6849:F6850"/>
    <mergeCell ref="G6849:G6850"/>
    <mergeCell ref="H6849:H6850"/>
    <mergeCell ref="L6849:L6850"/>
    <mergeCell ref="B6829:B6830"/>
    <mergeCell ref="D6829:D6830"/>
    <mergeCell ref="E6829:E6830"/>
    <mergeCell ref="F6829:F6830"/>
    <mergeCell ref="G6829:G6830"/>
    <mergeCell ref="H6829:H6830"/>
    <mergeCell ref="N6794:N6795"/>
    <mergeCell ref="B6808:B6809"/>
    <mergeCell ref="D6808:D6809"/>
    <mergeCell ref="E6808:E6809"/>
    <mergeCell ref="F6808:F6809"/>
    <mergeCell ref="G6808:G6809"/>
    <mergeCell ref="H6808:H6809"/>
    <mergeCell ref="L6808:L6809"/>
    <mergeCell ref="M6808:M6809"/>
    <mergeCell ref="N6808:N6809"/>
    <mergeCell ref="A6898:D6899"/>
    <mergeCell ref="E6898:E6899"/>
    <mergeCell ref="F6898:F6899"/>
    <mergeCell ref="G6898:H6898"/>
    <mergeCell ref="K6898:L6898"/>
    <mergeCell ref="M6898:P6898"/>
    <mergeCell ref="G6899:H6899"/>
    <mergeCell ref="K6899:L6899"/>
    <mergeCell ref="M6899:P6899"/>
    <mergeCell ref="N6870:N6871"/>
    <mergeCell ref="A6893:D6893"/>
    <mergeCell ref="A6896:D6896"/>
    <mergeCell ref="E6896:E6897"/>
    <mergeCell ref="F6896:F6897"/>
    <mergeCell ref="G6896:L6897"/>
    <mergeCell ref="M6896:P6897"/>
    <mergeCell ref="M6849:M6850"/>
    <mergeCell ref="N6849:N6850"/>
    <mergeCell ref="B6870:B6871"/>
    <mergeCell ref="D6870:D6871"/>
    <mergeCell ref="E6870:E6871"/>
    <mergeCell ref="F6870:F6871"/>
    <mergeCell ref="G6870:G6871"/>
    <mergeCell ref="H6870:H6871"/>
    <mergeCell ref="L6870:L6871"/>
    <mergeCell ref="M6870:M6871"/>
    <mergeCell ref="N6908:N6909"/>
    <mergeCell ref="B6922:B6923"/>
    <mergeCell ref="D6922:D6923"/>
    <mergeCell ref="E6922:E6923"/>
    <mergeCell ref="F6922:F6923"/>
    <mergeCell ref="G6922:G6923"/>
    <mergeCell ref="H6922:H6923"/>
    <mergeCell ref="L6922:L6923"/>
    <mergeCell ref="M6922:M6923"/>
    <mergeCell ref="N6922:N6923"/>
    <mergeCell ref="O6900:O6901"/>
    <mergeCell ref="P6900:P6901"/>
    <mergeCell ref="B6908:B6909"/>
    <mergeCell ref="D6908:D6909"/>
    <mergeCell ref="E6908:E6909"/>
    <mergeCell ref="F6908:F6909"/>
    <mergeCell ref="G6908:G6909"/>
    <mergeCell ref="H6908:H6909"/>
    <mergeCell ref="L6908:L6909"/>
    <mergeCell ref="M6908:M6909"/>
    <mergeCell ref="I6900:I6901"/>
    <mergeCell ref="J6900:J6901"/>
    <mergeCell ref="K6900:K6901"/>
    <mergeCell ref="L6900:L6901"/>
    <mergeCell ref="M6900:M6901"/>
    <mergeCell ref="N6900:N6901"/>
    <mergeCell ref="B6900:B6901"/>
    <mergeCell ref="D6900:D6901"/>
    <mergeCell ref="E6900:E6901"/>
    <mergeCell ref="F6900:F6901"/>
    <mergeCell ref="G6900:G6901"/>
    <mergeCell ref="H6900:H6901"/>
    <mergeCell ref="M6964:M6965"/>
    <mergeCell ref="N6964:N6965"/>
    <mergeCell ref="B6985:B6986"/>
    <mergeCell ref="D6985:D6986"/>
    <mergeCell ref="E6985:E6986"/>
    <mergeCell ref="F6985:F6986"/>
    <mergeCell ref="G6985:G6986"/>
    <mergeCell ref="H6985:H6986"/>
    <mergeCell ref="L6985:L6986"/>
    <mergeCell ref="M6985:M6986"/>
    <mergeCell ref="L6943:L6944"/>
    <mergeCell ref="M6943:M6944"/>
    <mergeCell ref="N6943:N6944"/>
    <mergeCell ref="B6964:B6965"/>
    <mergeCell ref="D6964:D6965"/>
    <mergeCell ref="E6964:E6965"/>
    <mergeCell ref="F6964:F6965"/>
    <mergeCell ref="G6964:G6965"/>
    <mergeCell ref="H6964:H6965"/>
    <mergeCell ref="L6964:L6965"/>
    <mergeCell ref="B6943:B6944"/>
    <mergeCell ref="D6943:D6944"/>
    <mergeCell ref="E6943:E6944"/>
    <mergeCell ref="F6943:F6944"/>
    <mergeCell ref="G6943:G6944"/>
    <mergeCell ref="H6943:H6944"/>
    <mergeCell ref="A7034:D7035"/>
    <mergeCell ref="E7034:E7035"/>
    <mergeCell ref="F7034:F7035"/>
    <mergeCell ref="G7034:H7034"/>
    <mergeCell ref="K7034:L7034"/>
    <mergeCell ref="M7034:P7034"/>
    <mergeCell ref="G7035:H7035"/>
    <mergeCell ref="K7035:L7035"/>
    <mergeCell ref="M7035:P7035"/>
    <mergeCell ref="A7029:D7029"/>
    <mergeCell ref="A7032:D7032"/>
    <mergeCell ref="E7032:E7033"/>
    <mergeCell ref="F7032:F7033"/>
    <mergeCell ref="G7032:L7033"/>
    <mergeCell ref="M7032:P7033"/>
    <mergeCell ref="N6985:N6986"/>
    <mergeCell ref="B7006:B7007"/>
    <mergeCell ref="D7006:D7007"/>
    <mergeCell ref="E7006:E7007"/>
    <mergeCell ref="F7006:F7007"/>
    <mergeCell ref="G7006:G7007"/>
    <mergeCell ref="H7006:H7007"/>
    <mergeCell ref="L7006:L7007"/>
    <mergeCell ref="M7006:M7007"/>
    <mergeCell ref="N7006:N7007"/>
    <mergeCell ref="O7036:O7037"/>
    <mergeCell ref="P7036:P7037"/>
    <mergeCell ref="B7045:B7046"/>
    <mergeCell ref="D7045:D7046"/>
    <mergeCell ref="E7045:E7046"/>
    <mergeCell ref="F7045:F7046"/>
    <mergeCell ref="G7045:G7046"/>
    <mergeCell ref="H7045:H7046"/>
    <mergeCell ref="L7045:L7046"/>
    <mergeCell ref="M7045:M7046"/>
    <mergeCell ref="I7036:I7037"/>
    <mergeCell ref="J7036:J7037"/>
    <mergeCell ref="K7036:K7037"/>
    <mergeCell ref="L7036:L7037"/>
    <mergeCell ref="M7036:M7037"/>
    <mergeCell ref="N7036:N7037"/>
    <mergeCell ref="B7036:B7037"/>
    <mergeCell ref="D7036:D7037"/>
    <mergeCell ref="E7036:E7037"/>
    <mergeCell ref="F7036:F7037"/>
    <mergeCell ref="G7036:G7037"/>
    <mergeCell ref="H7036:H7037"/>
    <mergeCell ref="L7078:L7079"/>
    <mergeCell ref="M7078:M7079"/>
    <mergeCell ref="N7078:N7079"/>
    <mergeCell ref="B7097:B7098"/>
    <mergeCell ref="D7097:D7098"/>
    <mergeCell ref="E7097:E7098"/>
    <mergeCell ref="F7097:F7098"/>
    <mergeCell ref="G7097:G7098"/>
    <mergeCell ref="H7097:H7098"/>
    <mergeCell ref="L7097:L7098"/>
    <mergeCell ref="B7078:B7079"/>
    <mergeCell ref="D7078:D7079"/>
    <mergeCell ref="E7078:E7079"/>
    <mergeCell ref="F7078:F7079"/>
    <mergeCell ref="G7078:G7079"/>
    <mergeCell ref="H7078:H7079"/>
    <mergeCell ref="N7045:N7046"/>
    <mergeCell ref="B7062:B7063"/>
    <mergeCell ref="D7062:D7063"/>
    <mergeCell ref="E7062:E7063"/>
    <mergeCell ref="F7062:F7063"/>
    <mergeCell ref="G7062:G7063"/>
    <mergeCell ref="H7062:H7063"/>
    <mergeCell ref="L7062:L7063"/>
    <mergeCell ref="M7062:M7063"/>
    <mergeCell ref="N7062:N7063"/>
    <mergeCell ref="A7119:D7120"/>
    <mergeCell ref="E7119:E7120"/>
    <mergeCell ref="F7119:F7120"/>
    <mergeCell ref="G7119:H7119"/>
    <mergeCell ref="K7119:L7119"/>
    <mergeCell ref="M7119:P7119"/>
    <mergeCell ref="G7120:H7120"/>
    <mergeCell ref="K7120:L7120"/>
    <mergeCell ref="M7120:P7120"/>
    <mergeCell ref="M7097:M7098"/>
    <mergeCell ref="N7097:N7098"/>
    <mergeCell ref="A7114:D7114"/>
    <mergeCell ref="A7117:D7117"/>
    <mergeCell ref="E7117:E7118"/>
    <mergeCell ref="F7117:F7118"/>
    <mergeCell ref="G7117:L7118"/>
    <mergeCell ref="M7117:P7118"/>
    <mergeCell ref="N7129:N7130"/>
    <mergeCell ref="B7143:B7144"/>
    <mergeCell ref="D7143:D7144"/>
    <mergeCell ref="E7143:E7144"/>
    <mergeCell ref="F7143:F7144"/>
    <mergeCell ref="G7143:G7144"/>
    <mergeCell ref="H7143:H7144"/>
    <mergeCell ref="L7143:L7144"/>
    <mergeCell ref="M7143:M7144"/>
    <mergeCell ref="N7143:N7144"/>
    <mergeCell ref="O7121:O7122"/>
    <mergeCell ref="P7121:P7122"/>
    <mergeCell ref="B7129:B7130"/>
    <mergeCell ref="D7129:D7130"/>
    <mergeCell ref="E7129:E7130"/>
    <mergeCell ref="F7129:F7130"/>
    <mergeCell ref="G7129:G7130"/>
    <mergeCell ref="H7129:H7130"/>
    <mergeCell ref="L7129:L7130"/>
    <mergeCell ref="M7129:M7130"/>
    <mergeCell ref="I7121:I7122"/>
    <mergeCell ref="J7121:J7122"/>
    <mergeCell ref="K7121:K7122"/>
    <mergeCell ref="L7121:L7122"/>
    <mergeCell ref="M7121:M7122"/>
    <mergeCell ref="N7121:N7122"/>
    <mergeCell ref="B7121:B7122"/>
    <mergeCell ref="D7121:D7122"/>
    <mergeCell ref="E7121:E7122"/>
    <mergeCell ref="F7121:F7122"/>
    <mergeCell ref="G7121:G7122"/>
    <mergeCell ref="H7121:H7122"/>
    <mergeCell ref="M7181:M7182"/>
    <mergeCell ref="N7181:N7182"/>
    <mergeCell ref="B7200:B7201"/>
    <mergeCell ref="D7200:D7201"/>
    <mergeCell ref="E7200:E7201"/>
    <mergeCell ref="F7200:F7201"/>
    <mergeCell ref="G7200:G7201"/>
    <mergeCell ref="H7200:H7201"/>
    <mergeCell ref="L7200:L7201"/>
    <mergeCell ref="M7200:M7201"/>
    <mergeCell ref="L7162:L7163"/>
    <mergeCell ref="M7162:M7163"/>
    <mergeCell ref="N7162:N7163"/>
    <mergeCell ref="B7181:B7182"/>
    <mergeCell ref="D7181:D7182"/>
    <mergeCell ref="E7181:E7182"/>
    <mergeCell ref="F7181:F7182"/>
    <mergeCell ref="G7181:G7182"/>
    <mergeCell ref="H7181:H7182"/>
    <mergeCell ref="L7181:L7182"/>
    <mergeCell ref="B7162:B7163"/>
    <mergeCell ref="D7162:D7163"/>
    <mergeCell ref="E7162:E7163"/>
    <mergeCell ref="F7162:F7163"/>
    <mergeCell ref="G7162:G7163"/>
    <mergeCell ref="H7162:H7163"/>
    <mergeCell ref="L7230:L7231"/>
    <mergeCell ref="M7230:M7231"/>
    <mergeCell ref="N7230:N7231"/>
    <mergeCell ref="B7244:B7245"/>
    <mergeCell ref="D7244:D7245"/>
    <mergeCell ref="E7244:E7245"/>
    <mergeCell ref="F7244:F7245"/>
    <mergeCell ref="G7244:G7245"/>
    <mergeCell ref="H7244:H7245"/>
    <mergeCell ref="L7244:L7245"/>
    <mergeCell ref="B7230:B7231"/>
    <mergeCell ref="D7230:D7231"/>
    <mergeCell ref="E7230:E7231"/>
    <mergeCell ref="F7230:F7231"/>
    <mergeCell ref="G7230:G7231"/>
    <mergeCell ref="H7230:H7231"/>
    <mergeCell ref="N7200:N7201"/>
    <mergeCell ref="B7215:B7216"/>
    <mergeCell ref="D7215:D7216"/>
    <mergeCell ref="E7215:E7216"/>
    <mergeCell ref="F7215:F7216"/>
    <mergeCell ref="G7215:G7216"/>
    <mergeCell ref="H7215:H7216"/>
    <mergeCell ref="L7215:L7216"/>
    <mergeCell ref="M7215:M7216"/>
    <mergeCell ref="N7215:N7216"/>
    <mergeCell ref="A7277:D7278"/>
    <mergeCell ref="E7277:E7278"/>
    <mergeCell ref="F7277:F7278"/>
    <mergeCell ref="G7277:H7277"/>
    <mergeCell ref="K7277:L7277"/>
    <mergeCell ref="M7277:P7277"/>
    <mergeCell ref="G7278:H7278"/>
    <mergeCell ref="K7278:L7278"/>
    <mergeCell ref="M7278:P7278"/>
    <mergeCell ref="N7259:N7260"/>
    <mergeCell ref="A7275:D7275"/>
    <mergeCell ref="E7275:E7276"/>
    <mergeCell ref="F7275:F7276"/>
    <mergeCell ref="G7275:L7276"/>
    <mergeCell ref="M7275:P7276"/>
    <mergeCell ref="M7244:M7245"/>
    <mergeCell ref="N7244:N7245"/>
    <mergeCell ref="B7259:B7260"/>
    <mergeCell ref="D7259:D7260"/>
    <mergeCell ref="E7259:E7260"/>
    <mergeCell ref="F7259:F7260"/>
    <mergeCell ref="G7259:G7260"/>
    <mergeCell ref="H7259:H7260"/>
    <mergeCell ref="L7259:L7260"/>
    <mergeCell ref="M7259:M7260"/>
    <mergeCell ref="N7287:N7288"/>
    <mergeCell ref="B7301:B7302"/>
    <mergeCell ref="D7301:D7302"/>
    <mergeCell ref="E7301:E7302"/>
    <mergeCell ref="F7301:F7302"/>
    <mergeCell ref="G7301:G7302"/>
    <mergeCell ref="H7301:H7302"/>
    <mergeCell ref="L7301:L7302"/>
    <mergeCell ref="M7301:M7302"/>
    <mergeCell ref="N7301:N7302"/>
    <mergeCell ref="O7279:O7280"/>
    <mergeCell ref="P7279:P7280"/>
    <mergeCell ref="B7287:B7288"/>
    <mergeCell ref="D7287:D7288"/>
    <mergeCell ref="E7287:E7288"/>
    <mergeCell ref="F7287:F7288"/>
    <mergeCell ref="G7287:G7288"/>
    <mergeCell ref="H7287:H7288"/>
    <mergeCell ref="L7287:L7288"/>
    <mergeCell ref="M7287:M7288"/>
    <mergeCell ref="I7279:I7280"/>
    <mergeCell ref="J7279:J7280"/>
    <mergeCell ref="K7279:K7280"/>
    <mergeCell ref="L7279:L7280"/>
    <mergeCell ref="M7279:M7280"/>
    <mergeCell ref="N7279:N7280"/>
    <mergeCell ref="B7279:B7280"/>
    <mergeCell ref="D7279:D7280"/>
    <mergeCell ref="E7279:E7280"/>
    <mergeCell ref="F7279:F7280"/>
    <mergeCell ref="G7279:G7280"/>
    <mergeCell ref="H7279:H7280"/>
    <mergeCell ref="M7339:M7340"/>
    <mergeCell ref="N7339:N7340"/>
    <mergeCell ref="B7358:B7359"/>
    <mergeCell ref="D7358:D7359"/>
    <mergeCell ref="E7358:E7359"/>
    <mergeCell ref="F7358:F7359"/>
    <mergeCell ref="G7358:G7359"/>
    <mergeCell ref="H7358:H7359"/>
    <mergeCell ref="L7358:L7359"/>
    <mergeCell ref="M7358:M7359"/>
    <mergeCell ref="L7320:L7321"/>
    <mergeCell ref="M7320:M7321"/>
    <mergeCell ref="N7320:N7321"/>
    <mergeCell ref="B7339:B7340"/>
    <mergeCell ref="D7339:D7340"/>
    <mergeCell ref="E7339:E7340"/>
    <mergeCell ref="F7339:F7340"/>
    <mergeCell ref="G7339:G7340"/>
    <mergeCell ref="H7339:H7340"/>
    <mergeCell ref="L7339:L7340"/>
    <mergeCell ref="B7320:B7321"/>
    <mergeCell ref="D7320:D7321"/>
    <mergeCell ref="E7320:E7321"/>
    <mergeCell ref="F7320:F7321"/>
    <mergeCell ref="G7320:G7321"/>
    <mergeCell ref="H7320:H7321"/>
    <mergeCell ref="L7388:L7389"/>
    <mergeCell ref="M7388:M7389"/>
    <mergeCell ref="N7388:N7389"/>
    <mergeCell ref="B7403:B7404"/>
    <mergeCell ref="D7403:D7404"/>
    <mergeCell ref="E7403:E7404"/>
    <mergeCell ref="F7403:F7404"/>
    <mergeCell ref="G7403:G7404"/>
    <mergeCell ref="H7403:H7404"/>
    <mergeCell ref="L7403:L7404"/>
    <mergeCell ref="B7388:B7389"/>
    <mergeCell ref="D7388:D7389"/>
    <mergeCell ref="E7388:E7389"/>
    <mergeCell ref="F7388:F7389"/>
    <mergeCell ref="G7388:G7389"/>
    <mergeCell ref="H7388:H7389"/>
    <mergeCell ref="N7358:N7359"/>
    <mergeCell ref="B7373:B7374"/>
    <mergeCell ref="D7373:D7374"/>
    <mergeCell ref="E7373:E7374"/>
    <mergeCell ref="F7373:F7374"/>
    <mergeCell ref="G7373:G7374"/>
    <mergeCell ref="H7373:H7374"/>
    <mergeCell ref="L7373:L7374"/>
    <mergeCell ref="M7373:M7374"/>
    <mergeCell ref="N7373:N7374"/>
    <mergeCell ref="A7440:D7441"/>
    <mergeCell ref="E7440:E7441"/>
    <mergeCell ref="F7440:F7441"/>
    <mergeCell ref="G7440:H7440"/>
    <mergeCell ref="K7440:L7440"/>
    <mergeCell ref="M7440:P7440"/>
    <mergeCell ref="G7441:H7441"/>
    <mergeCell ref="K7441:L7441"/>
    <mergeCell ref="M7441:P7441"/>
    <mergeCell ref="N7418:N7419"/>
    <mergeCell ref="A7435:D7435"/>
    <mergeCell ref="A7438:D7438"/>
    <mergeCell ref="E7438:E7439"/>
    <mergeCell ref="F7438:F7439"/>
    <mergeCell ref="G7438:L7439"/>
    <mergeCell ref="M7438:P7439"/>
    <mergeCell ref="M7403:M7404"/>
    <mergeCell ref="N7403:N7404"/>
    <mergeCell ref="B7418:B7419"/>
    <mergeCell ref="D7418:D7419"/>
    <mergeCell ref="E7418:E7419"/>
    <mergeCell ref="F7418:F7419"/>
    <mergeCell ref="G7418:G7419"/>
    <mergeCell ref="H7418:H7419"/>
    <mergeCell ref="L7418:L7419"/>
    <mergeCell ref="M7418:M7419"/>
    <mergeCell ref="N7451:N7452"/>
    <mergeCell ref="B7464:B7465"/>
    <mergeCell ref="D7464:D7465"/>
    <mergeCell ref="E7464:E7465"/>
    <mergeCell ref="F7464:F7465"/>
    <mergeCell ref="G7464:G7465"/>
    <mergeCell ref="H7464:H7465"/>
    <mergeCell ref="L7464:L7465"/>
    <mergeCell ref="M7464:M7465"/>
    <mergeCell ref="N7464:N7465"/>
    <mergeCell ref="O7442:O7443"/>
    <mergeCell ref="P7442:P7443"/>
    <mergeCell ref="B7451:B7452"/>
    <mergeCell ref="D7451:D7452"/>
    <mergeCell ref="E7451:E7452"/>
    <mergeCell ref="F7451:F7452"/>
    <mergeCell ref="G7451:G7452"/>
    <mergeCell ref="H7451:H7452"/>
    <mergeCell ref="L7451:L7452"/>
    <mergeCell ref="M7451:M7452"/>
    <mergeCell ref="I7442:I7443"/>
    <mergeCell ref="J7442:J7443"/>
    <mergeCell ref="K7442:K7443"/>
    <mergeCell ref="L7442:L7443"/>
    <mergeCell ref="M7442:M7443"/>
    <mergeCell ref="N7442:N7443"/>
    <mergeCell ref="B7442:B7443"/>
    <mergeCell ref="D7442:D7443"/>
    <mergeCell ref="E7442:E7443"/>
    <mergeCell ref="F7442:F7443"/>
    <mergeCell ref="G7442:G7443"/>
    <mergeCell ref="H7442:H7443"/>
    <mergeCell ref="M7490:M7491"/>
    <mergeCell ref="N7490:N7491"/>
    <mergeCell ref="B7503:B7504"/>
    <mergeCell ref="D7503:D7504"/>
    <mergeCell ref="E7503:E7504"/>
    <mergeCell ref="F7503:F7504"/>
    <mergeCell ref="G7503:G7504"/>
    <mergeCell ref="H7503:H7504"/>
    <mergeCell ref="L7503:L7504"/>
    <mergeCell ref="M7503:M7504"/>
    <mergeCell ref="L7477:L7478"/>
    <mergeCell ref="M7477:M7478"/>
    <mergeCell ref="N7477:N7478"/>
    <mergeCell ref="B7490:B7491"/>
    <mergeCell ref="D7490:D7491"/>
    <mergeCell ref="E7490:E7491"/>
    <mergeCell ref="F7490:F7491"/>
    <mergeCell ref="G7490:G7491"/>
    <mergeCell ref="H7490:H7491"/>
    <mergeCell ref="L7490:L7491"/>
    <mergeCell ref="B7477:B7478"/>
    <mergeCell ref="D7477:D7478"/>
    <mergeCell ref="E7477:E7478"/>
    <mergeCell ref="F7477:F7478"/>
    <mergeCell ref="G7477:G7478"/>
    <mergeCell ref="H7477:H7478"/>
    <mergeCell ref="L7529:L7530"/>
    <mergeCell ref="M7529:M7530"/>
    <mergeCell ref="N7529:N7530"/>
    <mergeCell ref="B7542:B7543"/>
    <mergeCell ref="D7542:D7543"/>
    <mergeCell ref="E7542:E7543"/>
    <mergeCell ref="F7542:F7543"/>
    <mergeCell ref="G7542:G7543"/>
    <mergeCell ref="H7542:H7543"/>
    <mergeCell ref="L7542:L7543"/>
    <mergeCell ref="B7529:B7530"/>
    <mergeCell ref="D7529:D7530"/>
    <mergeCell ref="E7529:E7530"/>
    <mergeCell ref="F7529:F7530"/>
    <mergeCell ref="G7529:G7530"/>
    <mergeCell ref="H7529:H7530"/>
    <mergeCell ref="N7503:N7504"/>
    <mergeCell ref="B7516:B7517"/>
    <mergeCell ref="D7516:D7517"/>
    <mergeCell ref="E7516:E7517"/>
    <mergeCell ref="F7516:F7517"/>
    <mergeCell ref="G7516:G7517"/>
    <mergeCell ref="H7516:H7517"/>
    <mergeCell ref="L7516:L7517"/>
    <mergeCell ref="M7516:M7517"/>
    <mergeCell ref="N7516:N7517"/>
    <mergeCell ref="N7555:N7556"/>
    <mergeCell ref="B7568:B7569"/>
    <mergeCell ref="D7568:D7569"/>
    <mergeCell ref="E7568:E7569"/>
    <mergeCell ref="F7568:F7569"/>
    <mergeCell ref="G7568:G7569"/>
    <mergeCell ref="H7568:H7569"/>
    <mergeCell ref="L7568:L7569"/>
    <mergeCell ref="M7568:M7569"/>
    <mergeCell ref="N7568:N7569"/>
    <mergeCell ref="M7542:M7543"/>
    <mergeCell ref="N7542:N7543"/>
    <mergeCell ref="B7555:B7556"/>
    <mergeCell ref="D7555:D7556"/>
    <mergeCell ref="E7555:E7556"/>
    <mergeCell ref="F7555:F7556"/>
    <mergeCell ref="G7555:G7556"/>
    <mergeCell ref="H7555:H7556"/>
    <mergeCell ref="L7555:L7556"/>
    <mergeCell ref="M7555:M7556"/>
    <mergeCell ref="M7601:M7602"/>
    <mergeCell ref="N7601:N7602"/>
    <mergeCell ref="B7620:B7621"/>
    <mergeCell ref="D7620:D7621"/>
    <mergeCell ref="E7620:E7621"/>
    <mergeCell ref="F7620:F7621"/>
    <mergeCell ref="G7620:G7621"/>
    <mergeCell ref="H7620:H7621"/>
    <mergeCell ref="L7620:L7621"/>
    <mergeCell ref="M7620:M7621"/>
    <mergeCell ref="L7582:L7583"/>
    <mergeCell ref="M7582:M7583"/>
    <mergeCell ref="N7582:N7583"/>
    <mergeCell ref="B7601:B7602"/>
    <mergeCell ref="D7601:D7602"/>
    <mergeCell ref="E7601:E7602"/>
    <mergeCell ref="F7601:F7602"/>
    <mergeCell ref="G7601:G7602"/>
    <mergeCell ref="H7601:H7602"/>
    <mergeCell ref="L7601:L7602"/>
    <mergeCell ref="B7582:B7583"/>
    <mergeCell ref="D7582:D7583"/>
    <mergeCell ref="E7582:E7583"/>
    <mergeCell ref="F7582:F7583"/>
    <mergeCell ref="G7582:G7583"/>
    <mergeCell ref="H7582:H7583"/>
    <mergeCell ref="L7659:L7660"/>
    <mergeCell ref="M7659:M7660"/>
    <mergeCell ref="N7659:N7660"/>
    <mergeCell ref="B7678:B7679"/>
    <mergeCell ref="D7678:D7679"/>
    <mergeCell ref="E7678:E7679"/>
    <mergeCell ref="F7678:F7679"/>
    <mergeCell ref="G7678:G7679"/>
    <mergeCell ref="H7678:H7679"/>
    <mergeCell ref="L7678:L7679"/>
    <mergeCell ref="B7659:B7660"/>
    <mergeCell ref="D7659:D7660"/>
    <mergeCell ref="E7659:E7660"/>
    <mergeCell ref="F7659:F7660"/>
    <mergeCell ref="G7659:G7660"/>
    <mergeCell ref="H7659:H7660"/>
    <mergeCell ref="N7620:N7621"/>
    <mergeCell ref="B7639:B7640"/>
    <mergeCell ref="D7639:D7640"/>
    <mergeCell ref="E7639:E7640"/>
    <mergeCell ref="F7639:F7640"/>
    <mergeCell ref="G7639:G7640"/>
    <mergeCell ref="H7639:H7640"/>
    <mergeCell ref="L7639:L7640"/>
    <mergeCell ref="M7639:M7640"/>
    <mergeCell ref="N7639:N7640"/>
    <mergeCell ref="N7697:N7698"/>
    <mergeCell ref="B7717:B7718"/>
    <mergeCell ref="D7717:D7718"/>
    <mergeCell ref="E7717:E7718"/>
    <mergeCell ref="F7717:F7718"/>
    <mergeCell ref="G7717:G7718"/>
    <mergeCell ref="H7717:H7718"/>
    <mergeCell ref="L7717:L7718"/>
    <mergeCell ref="M7717:M7718"/>
    <mergeCell ref="N7717:N7718"/>
    <mergeCell ref="M7678:M7679"/>
    <mergeCell ref="N7678:N7679"/>
    <mergeCell ref="B7697:B7698"/>
    <mergeCell ref="D7697:D7698"/>
    <mergeCell ref="E7697:E7698"/>
    <mergeCell ref="F7697:F7698"/>
    <mergeCell ref="G7697:G7698"/>
    <mergeCell ref="H7697:H7698"/>
    <mergeCell ref="L7697:L7698"/>
    <mergeCell ref="M7697:M7698"/>
    <mergeCell ref="M7759:M7760"/>
    <mergeCell ref="N7759:N7760"/>
    <mergeCell ref="B7775:B7776"/>
    <mergeCell ref="D7775:D7776"/>
    <mergeCell ref="E7775:E7776"/>
    <mergeCell ref="F7775:F7776"/>
    <mergeCell ref="G7775:G7776"/>
    <mergeCell ref="H7775:H7776"/>
    <mergeCell ref="L7775:L7776"/>
    <mergeCell ref="M7775:M7776"/>
    <mergeCell ref="L7741:L7742"/>
    <mergeCell ref="M7741:M7742"/>
    <mergeCell ref="N7741:N7742"/>
    <mergeCell ref="B7759:B7760"/>
    <mergeCell ref="D7759:D7760"/>
    <mergeCell ref="E7759:E7760"/>
    <mergeCell ref="F7759:F7760"/>
    <mergeCell ref="G7759:G7760"/>
    <mergeCell ref="H7759:H7760"/>
    <mergeCell ref="L7759:L7760"/>
    <mergeCell ref="B7741:B7742"/>
    <mergeCell ref="D7741:D7742"/>
    <mergeCell ref="E7741:E7742"/>
    <mergeCell ref="F7741:F7742"/>
    <mergeCell ref="G7741:G7742"/>
    <mergeCell ref="H7741:H7742"/>
    <mergeCell ref="A7812:D7813"/>
    <mergeCell ref="E7812:E7813"/>
    <mergeCell ref="F7812:F7813"/>
    <mergeCell ref="G7812:H7812"/>
    <mergeCell ref="K7812:L7812"/>
    <mergeCell ref="M7812:P7812"/>
    <mergeCell ref="G7813:H7813"/>
    <mergeCell ref="K7813:L7813"/>
    <mergeCell ref="M7813:P7813"/>
    <mergeCell ref="A7808:D7808"/>
    <mergeCell ref="A7810:D7810"/>
    <mergeCell ref="E7810:E7811"/>
    <mergeCell ref="F7810:F7811"/>
    <mergeCell ref="G7810:L7811"/>
    <mergeCell ref="M7810:P7811"/>
    <mergeCell ref="N7775:N7776"/>
    <mergeCell ref="B7791:B7792"/>
    <mergeCell ref="D7791:D7792"/>
    <mergeCell ref="E7791:E7792"/>
    <mergeCell ref="F7791:F7792"/>
    <mergeCell ref="G7791:G7792"/>
    <mergeCell ref="H7791:H7792"/>
    <mergeCell ref="L7791:L7792"/>
    <mergeCell ref="M7791:M7792"/>
    <mergeCell ref="N7791:N7792"/>
    <mergeCell ref="N7822:N7823"/>
    <mergeCell ref="B7835:B7836"/>
    <mergeCell ref="D7835:D7836"/>
    <mergeCell ref="E7835:E7836"/>
    <mergeCell ref="F7835:F7836"/>
    <mergeCell ref="G7835:G7836"/>
    <mergeCell ref="H7835:H7836"/>
    <mergeCell ref="L7835:L7836"/>
    <mergeCell ref="M7835:M7836"/>
    <mergeCell ref="N7835:N7836"/>
    <mergeCell ref="O7814:O7815"/>
    <mergeCell ref="P7814:P7815"/>
    <mergeCell ref="B7822:B7823"/>
    <mergeCell ref="D7822:D7823"/>
    <mergeCell ref="E7822:E7823"/>
    <mergeCell ref="F7822:F7823"/>
    <mergeCell ref="G7822:G7823"/>
    <mergeCell ref="H7822:H7823"/>
    <mergeCell ref="L7822:L7823"/>
    <mergeCell ref="M7822:M7823"/>
    <mergeCell ref="I7814:I7815"/>
    <mergeCell ref="J7814:J7815"/>
    <mergeCell ref="K7814:K7815"/>
    <mergeCell ref="L7814:L7815"/>
    <mergeCell ref="M7814:M7815"/>
    <mergeCell ref="N7814:N7815"/>
    <mergeCell ref="B7814:B7815"/>
    <mergeCell ref="D7814:D7815"/>
    <mergeCell ref="E7814:E7815"/>
    <mergeCell ref="F7814:F7815"/>
    <mergeCell ref="G7814:G7815"/>
    <mergeCell ref="H7814:H7815"/>
    <mergeCell ref="H7862:H7863"/>
    <mergeCell ref="L7862:L7863"/>
    <mergeCell ref="M7862:M7863"/>
    <mergeCell ref="N7862:N7863"/>
    <mergeCell ref="B7883:B7884"/>
    <mergeCell ref="D7883:D7884"/>
    <mergeCell ref="E7883:E7884"/>
    <mergeCell ref="F7883:F7884"/>
    <mergeCell ref="G7883:G7884"/>
    <mergeCell ref="H7883:H7884"/>
    <mergeCell ref="L7848:L7849"/>
    <mergeCell ref="M7848:M7849"/>
    <mergeCell ref="N7848:N7849"/>
    <mergeCell ref="A7852:A7855"/>
    <mergeCell ref="R7852:R7855"/>
    <mergeCell ref="B7862:B7863"/>
    <mergeCell ref="D7862:D7863"/>
    <mergeCell ref="E7862:E7863"/>
    <mergeCell ref="F7862:F7863"/>
    <mergeCell ref="G7862:G7863"/>
    <mergeCell ref="B7848:B7849"/>
    <mergeCell ref="D7848:D7849"/>
    <mergeCell ref="E7848:E7849"/>
    <mergeCell ref="F7848:F7849"/>
    <mergeCell ref="G7848:G7849"/>
    <mergeCell ref="H7848:H7849"/>
    <mergeCell ref="M7902:M7903"/>
    <mergeCell ref="N7902:N7903"/>
    <mergeCell ref="B7921:B7922"/>
    <mergeCell ref="D7921:D7922"/>
    <mergeCell ref="E7921:E7922"/>
    <mergeCell ref="F7921:F7922"/>
    <mergeCell ref="G7921:G7922"/>
    <mergeCell ref="H7921:H7922"/>
    <mergeCell ref="L7921:L7922"/>
    <mergeCell ref="M7921:M7922"/>
    <mergeCell ref="L7883:L7884"/>
    <mergeCell ref="M7883:M7884"/>
    <mergeCell ref="N7883:N7884"/>
    <mergeCell ref="B7902:B7903"/>
    <mergeCell ref="D7902:D7903"/>
    <mergeCell ref="E7902:E7903"/>
    <mergeCell ref="F7902:F7903"/>
    <mergeCell ref="G7902:G7903"/>
    <mergeCell ref="H7902:H7903"/>
    <mergeCell ref="L7902:L7903"/>
    <mergeCell ref="L7959:L7960"/>
    <mergeCell ref="M7959:M7960"/>
    <mergeCell ref="N7959:N7960"/>
    <mergeCell ref="B7978:B7979"/>
    <mergeCell ref="D7978:D7979"/>
    <mergeCell ref="E7978:E7979"/>
    <mergeCell ref="F7978:F7979"/>
    <mergeCell ref="G7978:G7979"/>
    <mergeCell ref="H7978:H7979"/>
    <mergeCell ref="L7978:L7979"/>
    <mergeCell ref="B7959:B7960"/>
    <mergeCell ref="D7959:D7960"/>
    <mergeCell ref="E7959:E7960"/>
    <mergeCell ref="F7959:F7960"/>
    <mergeCell ref="G7959:G7960"/>
    <mergeCell ref="H7959:H7960"/>
    <mergeCell ref="N7921:N7922"/>
    <mergeCell ref="B7940:B7941"/>
    <mergeCell ref="D7940:D7941"/>
    <mergeCell ref="E7940:E7941"/>
    <mergeCell ref="F7940:F7941"/>
    <mergeCell ref="G7940:G7941"/>
    <mergeCell ref="H7940:H7941"/>
    <mergeCell ref="L7940:L7941"/>
    <mergeCell ref="M7940:M7941"/>
    <mergeCell ref="N7940:N7941"/>
    <mergeCell ref="N7992:N7993"/>
    <mergeCell ref="B8007:B8008"/>
    <mergeCell ref="D8007:D8008"/>
    <mergeCell ref="E8007:E8008"/>
    <mergeCell ref="F8007:F8008"/>
    <mergeCell ref="G8007:G8008"/>
    <mergeCell ref="H8007:H8008"/>
    <mergeCell ref="L8007:L8008"/>
    <mergeCell ref="M8007:M8008"/>
    <mergeCell ref="N8007:N8008"/>
    <mergeCell ref="M7978:M7979"/>
    <mergeCell ref="N7978:N7979"/>
    <mergeCell ref="B7992:B7993"/>
    <mergeCell ref="D7992:D7993"/>
    <mergeCell ref="E7992:E7993"/>
    <mergeCell ref="F7992:F7993"/>
    <mergeCell ref="G7992:G7993"/>
    <mergeCell ref="H7992:H7993"/>
    <mergeCell ref="L7992:L7993"/>
    <mergeCell ref="M7992:M7993"/>
    <mergeCell ref="A8329:D8330"/>
    <mergeCell ref="E8329:E8330"/>
    <mergeCell ref="F8329:F8330"/>
    <mergeCell ref="G8329:H8329"/>
    <mergeCell ref="K8329:L8329"/>
    <mergeCell ref="M8329:P8329"/>
    <mergeCell ref="G8330:H8330"/>
    <mergeCell ref="K8330:L8330"/>
    <mergeCell ref="M8330:P8330"/>
    <mergeCell ref="A8325:D8325"/>
    <mergeCell ref="A8327:D8327"/>
    <mergeCell ref="E8327:E8328"/>
    <mergeCell ref="F8327:F8328"/>
    <mergeCell ref="G8327:L8328"/>
    <mergeCell ref="M8327:P8328"/>
    <mergeCell ref="N8052:N8053"/>
    <mergeCell ref="B8067:B8068"/>
    <mergeCell ref="D8067:D8068"/>
    <mergeCell ref="E8067:E8068"/>
    <mergeCell ref="F8067:F8068"/>
    <mergeCell ref="G8067:G8068"/>
    <mergeCell ref="H8067:H8068"/>
    <mergeCell ref="L8067:L8068"/>
    <mergeCell ref="M8067:M8068"/>
    <mergeCell ref="N8067:N8068"/>
    <mergeCell ref="A8083:D8084"/>
    <mergeCell ref="E8083:E8084"/>
    <mergeCell ref="F8083:F8084"/>
    <mergeCell ref="G8083:H8083"/>
    <mergeCell ref="K8083:L8083"/>
    <mergeCell ref="M8083:P8083"/>
    <mergeCell ref="G8084:H8084"/>
    <mergeCell ref="O8331:O8332"/>
    <mergeCell ref="P8331:P8332"/>
    <mergeCell ref="B8339:B8340"/>
    <mergeCell ref="D8339:D8340"/>
    <mergeCell ref="E8339:E8340"/>
    <mergeCell ref="F8339:F8340"/>
    <mergeCell ref="G8339:G8340"/>
    <mergeCell ref="H8339:H8340"/>
    <mergeCell ref="L8339:L8340"/>
    <mergeCell ref="M8339:M8340"/>
    <mergeCell ref="I8331:I8332"/>
    <mergeCell ref="J8331:J8332"/>
    <mergeCell ref="K8331:K8332"/>
    <mergeCell ref="L8331:L8332"/>
    <mergeCell ref="M8331:M8332"/>
    <mergeCell ref="N8331:N8332"/>
    <mergeCell ref="B8331:B8332"/>
    <mergeCell ref="D8331:D8332"/>
    <mergeCell ref="E8331:E8332"/>
    <mergeCell ref="F8331:F8332"/>
    <mergeCell ref="G8331:G8332"/>
    <mergeCell ref="H8331:H8332"/>
    <mergeCell ref="L8365:L8366"/>
    <mergeCell ref="M8365:M8366"/>
    <mergeCell ref="N8365:N8366"/>
    <mergeCell ref="B8378:B8379"/>
    <mergeCell ref="D8378:D8379"/>
    <mergeCell ref="E8378:E8379"/>
    <mergeCell ref="F8378:F8379"/>
    <mergeCell ref="G8378:G8379"/>
    <mergeCell ref="H8378:H8379"/>
    <mergeCell ref="L8378:L8379"/>
    <mergeCell ref="B8365:B8366"/>
    <mergeCell ref="D8365:D8366"/>
    <mergeCell ref="E8365:E8366"/>
    <mergeCell ref="F8365:F8366"/>
    <mergeCell ref="G8365:G8366"/>
    <mergeCell ref="H8365:H8366"/>
    <mergeCell ref="N8339:N8340"/>
    <mergeCell ref="B8352:B8353"/>
    <mergeCell ref="D8352:D8353"/>
    <mergeCell ref="E8352:E8353"/>
    <mergeCell ref="F8352:F8353"/>
    <mergeCell ref="G8352:G8353"/>
    <mergeCell ref="H8352:H8353"/>
    <mergeCell ref="L8352:L8353"/>
    <mergeCell ref="M8352:M8353"/>
    <mergeCell ref="N8352:N8353"/>
    <mergeCell ref="N8391:N8392"/>
    <mergeCell ref="B8404:B8405"/>
    <mergeCell ref="D8404:D8405"/>
    <mergeCell ref="E8404:E8405"/>
    <mergeCell ref="F8404:F8405"/>
    <mergeCell ref="G8404:G8405"/>
    <mergeCell ref="H8404:H8405"/>
    <mergeCell ref="L8404:L8405"/>
    <mergeCell ref="M8404:M8405"/>
    <mergeCell ref="N8404:N8405"/>
    <mergeCell ref="M8378:M8379"/>
    <mergeCell ref="N8378:N8379"/>
    <mergeCell ref="B8391:B8392"/>
    <mergeCell ref="D8391:D8392"/>
    <mergeCell ref="E8391:E8392"/>
    <mergeCell ref="F8391:F8392"/>
    <mergeCell ref="G8391:G8392"/>
    <mergeCell ref="H8391:H8392"/>
    <mergeCell ref="L8391:L8392"/>
    <mergeCell ref="M8391:M8392"/>
    <mergeCell ref="M8443:M8444"/>
    <mergeCell ref="N8443:N8444"/>
    <mergeCell ref="B8465:B8466"/>
    <mergeCell ref="D8465:D8466"/>
    <mergeCell ref="E8465:E8466"/>
    <mergeCell ref="F8465:F8466"/>
    <mergeCell ref="G8465:G8466"/>
    <mergeCell ref="H8465:H8466"/>
    <mergeCell ref="L8465:L8466"/>
    <mergeCell ref="M8465:M8466"/>
    <mergeCell ref="L8424:L8425"/>
    <mergeCell ref="M8424:M8425"/>
    <mergeCell ref="N8424:N8425"/>
    <mergeCell ref="B8443:B8444"/>
    <mergeCell ref="D8443:D8444"/>
    <mergeCell ref="E8443:E8444"/>
    <mergeCell ref="F8443:F8444"/>
    <mergeCell ref="G8443:G8444"/>
    <mergeCell ref="H8443:H8444"/>
    <mergeCell ref="L8443:L8444"/>
    <mergeCell ref="B8424:B8425"/>
    <mergeCell ref="D8424:D8425"/>
    <mergeCell ref="E8424:E8425"/>
    <mergeCell ref="F8424:F8425"/>
    <mergeCell ref="G8424:G8425"/>
    <mergeCell ref="H8424:H8425"/>
    <mergeCell ref="L8506:L8507"/>
    <mergeCell ref="M8506:M8507"/>
    <mergeCell ref="N8506:N8507"/>
    <mergeCell ref="B8524:B8525"/>
    <mergeCell ref="D8524:D8525"/>
    <mergeCell ref="E8524:E8525"/>
    <mergeCell ref="F8524:F8525"/>
    <mergeCell ref="G8524:G8525"/>
    <mergeCell ref="H8524:H8525"/>
    <mergeCell ref="L8524:L8525"/>
    <mergeCell ref="B8506:B8507"/>
    <mergeCell ref="D8506:D8507"/>
    <mergeCell ref="E8506:E8507"/>
    <mergeCell ref="F8506:F8507"/>
    <mergeCell ref="G8506:G8507"/>
    <mergeCell ref="H8506:H8507"/>
    <mergeCell ref="N8465:N8466"/>
    <mergeCell ref="B8486:B8487"/>
    <mergeCell ref="D8486:D8487"/>
    <mergeCell ref="E8486:E8487"/>
    <mergeCell ref="F8486:F8487"/>
    <mergeCell ref="G8486:G8487"/>
    <mergeCell ref="H8486:H8487"/>
    <mergeCell ref="L8486:L8487"/>
    <mergeCell ref="M8486:M8487"/>
    <mergeCell ref="N8486:N8487"/>
    <mergeCell ref="A8579:D8579"/>
    <mergeCell ref="A8581:D8581"/>
    <mergeCell ref="E8581:E8582"/>
    <mergeCell ref="F8581:F8582"/>
    <mergeCell ref="G8581:L8582"/>
    <mergeCell ref="M8581:P8582"/>
    <mergeCell ref="N8543:N8544"/>
    <mergeCell ref="B8561:B8562"/>
    <mergeCell ref="D8561:D8562"/>
    <mergeCell ref="E8561:E8562"/>
    <mergeCell ref="F8561:F8562"/>
    <mergeCell ref="G8561:G8562"/>
    <mergeCell ref="H8561:H8562"/>
    <mergeCell ref="L8561:L8562"/>
    <mergeCell ref="M8561:M8562"/>
    <mergeCell ref="N8561:N8562"/>
    <mergeCell ref="M8524:M8525"/>
    <mergeCell ref="N8524:N8525"/>
    <mergeCell ref="B8543:B8544"/>
    <mergeCell ref="D8543:D8544"/>
    <mergeCell ref="E8543:E8544"/>
    <mergeCell ref="F8543:F8544"/>
    <mergeCell ref="G8543:G8544"/>
    <mergeCell ref="H8543:H8544"/>
    <mergeCell ref="L8543:L8544"/>
    <mergeCell ref="M8543:M8544"/>
    <mergeCell ref="L8585:L8586"/>
    <mergeCell ref="M8585:M8586"/>
    <mergeCell ref="N8585:N8586"/>
    <mergeCell ref="B8598:B8599"/>
    <mergeCell ref="D8598:D8599"/>
    <mergeCell ref="E8598:E8599"/>
    <mergeCell ref="F8598:F8599"/>
    <mergeCell ref="G8598:G8599"/>
    <mergeCell ref="H8598:H8599"/>
    <mergeCell ref="L8598:L8599"/>
    <mergeCell ref="B8585:B8586"/>
    <mergeCell ref="D8585:D8586"/>
    <mergeCell ref="E8585:E8586"/>
    <mergeCell ref="F8585:F8586"/>
    <mergeCell ref="G8585:G8586"/>
    <mergeCell ref="H8585:H8586"/>
    <mergeCell ref="A8583:D8584"/>
    <mergeCell ref="E8583:E8584"/>
    <mergeCell ref="F8583:F8584"/>
    <mergeCell ref="G8583:H8583"/>
    <mergeCell ref="K8583:L8583"/>
    <mergeCell ref="M8583:P8583"/>
    <mergeCell ref="G8584:H8584"/>
    <mergeCell ref="K8584:L8584"/>
    <mergeCell ref="M8584:P8584"/>
    <mergeCell ref="N8613:N8614"/>
    <mergeCell ref="B8629:B8630"/>
    <mergeCell ref="D8629:D8630"/>
    <mergeCell ref="E8629:E8630"/>
    <mergeCell ref="F8629:F8630"/>
    <mergeCell ref="G8629:G8630"/>
    <mergeCell ref="H8629:H8630"/>
    <mergeCell ref="L8629:L8630"/>
    <mergeCell ref="M8629:M8630"/>
    <mergeCell ref="N8629:N8630"/>
    <mergeCell ref="M8598:M8599"/>
    <mergeCell ref="N8598:N8599"/>
    <mergeCell ref="B8613:B8614"/>
    <mergeCell ref="D8613:D8614"/>
    <mergeCell ref="E8613:E8614"/>
    <mergeCell ref="F8613:F8614"/>
    <mergeCell ref="G8613:G8614"/>
    <mergeCell ref="H8613:H8614"/>
    <mergeCell ref="L8613:L8614"/>
    <mergeCell ref="M8613:M8614"/>
    <mergeCell ref="M8660:M8661"/>
    <mergeCell ref="N8660:N8661"/>
    <mergeCell ref="B8675:B8676"/>
    <mergeCell ref="D8675:D8676"/>
    <mergeCell ref="E8675:E8676"/>
    <mergeCell ref="F8675:F8676"/>
    <mergeCell ref="G8675:G8676"/>
    <mergeCell ref="H8675:H8676"/>
    <mergeCell ref="L8675:L8676"/>
    <mergeCell ref="M8675:M8676"/>
    <mergeCell ref="L8644:L8645"/>
    <mergeCell ref="M8644:M8645"/>
    <mergeCell ref="N8644:N8645"/>
    <mergeCell ref="B8660:B8661"/>
    <mergeCell ref="D8660:D8661"/>
    <mergeCell ref="E8660:E8661"/>
    <mergeCell ref="F8660:F8661"/>
    <mergeCell ref="G8660:G8661"/>
    <mergeCell ref="H8660:H8661"/>
    <mergeCell ref="L8660:L8661"/>
    <mergeCell ref="B8644:B8645"/>
    <mergeCell ref="D8644:D8645"/>
    <mergeCell ref="E8644:E8645"/>
    <mergeCell ref="F8644:F8645"/>
    <mergeCell ref="G8644:G8645"/>
    <mergeCell ref="H8644:H8645"/>
    <mergeCell ref="L8707:L8708"/>
    <mergeCell ref="M8707:M8708"/>
    <mergeCell ref="N8707:N8708"/>
    <mergeCell ref="B8722:B8723"/>
    <mergeCell ref="D8722:D8723"/>
    <mergeCell ref="E8722:E8723"/>
    <mergeCell ref="F8722:F8723"/>
    <mergeCell ref="G8722:G8723"/>
    <mergeCell ref="H8722:H8723"/>
    <mergeCell ref="L8722:L8723"/>
    <mergeCell ref="B8707:B8708"/>
    <mergeCell ref="D8707:D8708"/>
    <mergeCell ref="E8707:E8708"/>
    <mergeCell ref="F8707:F8708"/>
    <mergeCell ref="G8707:G8708"/>
    <mergeCell ref="H8707:H8708"/>
    <mergeCell ref="N8675:N8676"/>
    <mergeCell ref="B8692:B8693"/>
    <mergeCell ref="D8692:D8693"/>
    <mergeCell ref="E8692:E8693"/>
    <mergeCell ref="F8692:F8693"/>
    <mergeCell ref="G8692:G8693"/>
    <mergeCell ref="H8692:H8693"/>
    <mergeCell ref="L8692:L8693"/>
    <mergeCell ref="M8692:M8693"/>
    <mergeCell ref="N8692:N8693"/>
    <mergeCell ref="N8737:N8738"/>
    <mergeCell ref="B8752:B8753"/>
    <mergeCell ref="D8752:D8753"/>
    <mergeCell ref="E8752:E8753"/>
    <mergeCell ref="F8752:F8753"/>
    <mergeCell ref="G8752:G8753"/>
    <mergeCell ref="H8752:H8753"/>
    <mergeCell ref="L8752:L8753"/>
    <mergeCell ref="M8752:M8753"/>
    <mergeCell ref="N8752:N8753"/>
    <mergeCell ref="M8722:M8723"/>
    <mergeCell ref="N8722:N8723"/>
    <mergeCell ref="B8737:B8738"/>
    <mergeCell ref="D8737:D8738"/>
    <mergeCell ref="E8737:E8738"/>
    <mergeCell ref="F8737:F8738"/>
    <mergeCell ref="G8737:G8738"/>
    <mergeCell ref="H8737:H8738"/>
    <mergeCell ref="L8737:L8738"/>
    <mergeCell ref="M8737:M8738"/>
    <mergeCell ref="M8788:M8789"/>
    <mergeCell ref="N8788:N8789"/>
    <mergeCell ref="B8805:B8806"/>
    <mergeCell ref="D8805:D8806"/>
    <mergeCell ref="E8805:E8806"/>
    <mergeCell ref="F8805:F8806"/>
    <mergeCell ref="G8805:G8806"/>
    <mergeCell ref="H8805:H8806"/>
    <mergeCell ref="L8805:L8806"/>
    <mergeCell ref="M8805:M8806"/>
    <mergeCell ref="L8770:L8771"/>
    <mergeCell ref="M8770:M8771"/>
    <mergeCell ref="N8770:N8771"/>
    <mergeCell ref="B8788:B8789"/>
    <mergeCell ref="D8788:D8789"/>
    <mergeCell ref="E8788:E8789"/>
    <mergeCell ref="F8788:F8789"/>
    <mergeCell ref="G8788:G8789"/>
    <mergeCell ref="H8788:H8789"/>
    <mergeCell ref="L8788:L8789"/>
    <mergeCell ref="B8770:B8771"/>
    <mergeCell ref="D8770:D8771"/>
    <mergeCell ref="E8770:E8771"/>
    <mergeCell ref="F8770:F8771"/>
    <mergeCell ref="G8770:G8771"/>
    <mergeCell ref="H8770:H8771"/>
    <mergeCell ref="L8839:L8840"/>
    <mergeCell ref="M8839:M8840"/>
    <mergeCell ref="N8839:N8840"/>
    <mergeCell ref="B8853:B8854"/>
    <mergeCell ref="D8853:D8854"/>
    <mergeCell ref="E8853:E8854"/>
    <mergeCell ref="F8853:F8854"/>
    <mergeCell ref="G8853:G8854"/>
    <mergeCell ref="H8853:H8854"/>
    <mergeCell ref="L8853:L8854"/>
    <mergeCell ref="B8839:B8840"/>
    <mergeCell ref="D8839:D8840"/>
    <mergeCell ref="E8839:E8840"/>
    <mergeCell ref="F8839:F8840"/>
    <mergeCell ref="G8839:G8840"/>
    <mergeCell ref="H8839:H8840"/>
    <mergeCell ref="N8805:N8806"/>
    <mergeCell ref="B8822:B8823"/>
    <mergeCell ref="D8822:D8823"/>
    <mergeCell ref="E8822:E8823"/>
    <mergeCell ref="F8822:F8823"/>
    <mergeCell ref="G8822:G8823"/>
    <mergeCell ref="H8822:H8823"/>
    <mergeCell ref="L8822:L8823"/>
    <mergeCell ref="M8822:M8823"/>
    <mergeCell ref="N8822:N8823"/>
    <mergeCell ref="N8867:N8868"/>
    <mergeCell ref="B8882:B8883"/>
    <mergeCell ref="D8882:D8883"/>
    <mergeCell ref="E8882:E8883"/>
    <mergeCell ref="F8882:F8883"/>
    <mergeCell ref="G8882:G8883"/>
    <mergeCell ref="H8882:H8883"/>
    <mergeCell ref="L8882:L8883"/>
    <mergeCell ref="M8882:M8883"/>
    <mergeCell ref="N8882:N8883"/>
    <mergeCell ref="M8853:M8854"/>
    <mergeCell ref="N8853:N8854"/>
    <mergeCell ref="B8867:B8868"/>
    <mergeCell ref="D8867:D8868"/>
    <mergeCell ref="E8867:E8868"/>
    <mergeCell ref="F8867:F8868"/>
    <mergeCell ref="G8867:G8868"/>
    <mergeCell ref="H8867:H8868"/>
    <mergeCell ref="L8867:L8868"/>
    <mergeCell ref="M8867:M8868"/>
    <mergeCell ref="M8912:M8913"/>
    <mergeCell ref="N8912:N8913"/>
    <mergeCell ref="B8928:B8929"/>
    <mergeCell ref="D8928:D8929"/>
    <mergeCell ref="E8928:E8929"/>
    <mergeCell ref="F8928:F8929"/>
    <mergeCell ref="G8928:G8929"/>
    <mergeCell ref="H8928:H8929"/>
    <mergeCell ref="L8928:L8929"/>
    <mergeCell ref="M8928:M8929"/>
    <mergeCell ref="L8897:L8898"/>
    <mergeCell ref="M8897:M8898"/>
    <mergeCell ref="N8897:N8898"/>
    <mergeCell ref="B8912:B8913"/>
    <mergeCell ref="D8912:D8913"/>
    <mergeCell ref="E8912:E8913"/>
    <mergeCell ref="F8912:F8913"/>
    <mergeCell ref="G8912:G8913"/>
    <mergeCell ref="H8912:H8913"/>
    <mergeCell ref="L8912:L8913"/>
    <mergeCell ref="B8897:B8898"/>
    <mergeCell ref="D8897:D8898"/>
    <mergeCell ref="E8897:E8898"/>
    <mergeCell ref="F8897:F8898"/>
    <mergeCell ref="G8897:G8898"/>
    <mergeCell ref="H8897:H8898"/>
    <mergeCell ref="L8958:L8959"/>
    <mergeCell ref="M8958:M8959"/>
    <mergeCell ref="N8958:N8959"/>
    <mergeCell ref="B8973:B8974"/>
    <mergeCell ref="D8973:D8974"/>
    <mergeCell ref="E8973:E8974"/>
    <mergeCell ref="F8973:F8974"/>
    <mergeCell ref="G8973:G8974"/>
    <mergeCell ref="H8973:H8974"/>
    <mergeCell ref="L8973:L8974"/>
    <mergeCell ref="B8958:B8959"/>
    <mergeCell ref="D8958:D8959"/>
    <mergeCell ref="E8958:E8959"/>
    <mergeCell ref="F8958:F8959"/>
    <mergeCell ref="G8958:G8959"/>
    <mergeCell ref="H8958:H8959"/>
    <mergeCell ref="N8928:N8929"/>
    <mergeCell ref="B8943:B8944"/>
    <mergeCell ref="D8943:D8944"/>
    <mergeCell ref="E8943:E8944"/>
    <mergeCell ref="F8943:F8944"/>
    <mergeCell ref="G8943:G8944"/>
    <mergeCell ref="H8943:H8944"/>
    <mergeCell ref="L8943:L8944"/>
    <mergeCell ref="M8943:M8944"/>
    <mergeCell ref="N8943:N8944"/>
    <mergeCell ref="N8989:N8990"/>
    <mergeCell ref="B9004:B9005"/>
    <mergeCell ref="D9004:D9005"/>
    <mergeCell ref="E9004:E9005"/>
    <mergeCell ref="F9004:F9005"/>
    <mergeCell ref="G9004:G9005"/>
    <mergeCell ref="H9004:H9005"/>
    <mergeCell ref="L9004:L9005"/>
    <mergeCell ref="M9004:M9005"/>
    <mergeCell ref="N9004:N9005"/>
    <mergeCell ref="M8973:M8974"/>
    <mergeCell ref="N8973:N8974"/>
    <mergeCell ref="B8989:B8990"/>
    <mergeCell ref="D8989:D8990"/>
    <mergeCell ref="E8989:E8990"/>
    <mergeCell ref="F8989:F8990"/>
    <mergeCell ref="G8989:G8990"/>
    <mergeCell ref="H8989:H8990"/>
    <mergeCell ref="L8989:L8990"/>
    <mergeCell ref="M8989:M8990"/>
    <mergeCell ref="M10671:P10671"/>
    <mergeCell ref="M9024:P9024"/>
    <mergeCell ref="G9025:H9025"/>
    <mergeCell ref="K9025:L9025"/>
    <mergeCell ref="M9025:P9025"/>
    <mergeCell ref="B9026:B9027"/>
    <mergeCell ref="D9026:D9027"/>
    <mergeCell ref="E9026:E9027"/>
    <mergeCell ref="F9026:F9027"/>
    <mergeCell ref="G9026:G9027"/>
    <mergeCell ref="H9026:H9027"/>
    <mergeCell ref="A9022:D9022"/>
    <mergeCell ref="E9022:E9023"/>
    <mergeCell ref="F9022:F9023"/>
    <mergeCell ref="G9022:L9023"/>
    <mergeCell ref="M9022:P9023"/>
    <mergeCell ref="A9024:D9025"/>
    <mergeCell ref="E9024:E9025"/>
    <mergeCell ref="F9024:F9025"/>
    <mergeCell ref="G9024:H9024"/>
    <mergeCell ref="K9024:L9024"/>
    <mergeCell ref="L9026:L9027"/>
    <mergeCell ref="M9026:M9027"/>
    <mergeCell ref="N9026:N9027"/>
    <mergeCell ref="A9030:A9032"/>
    <mergeCell ref="N9163:N9164"/>
    <mergeCell ref="B9177:B9178"/>
    <mergeCell ref="D9177:D9178"/>
    <mergeCell ref="E9177:E9178"/>
    <mergeCell ref="F9177:F9178"/>
    <mergeCell ref="G9177:G9178"/>
    <mergeCell ref="H9177:H9178"/>
    <mergeCell ref="B10687:B10688"/>
    <mergeCell ref="D10687:D10688"/>
    <mergeCell ref="E10687:E10688"/>
    <mergeCell ref="F10687:F10688"/>
    <mergeCell ref="G10687:G10688"/>
    <mergeCell ref="H10687:H10688"/>
    <mergeCell ref="A10670:D10671"/>
    <mergeCell ref="E10670:E10671"/>
    <mergeCell ref="F10670:F10671"/>
    <mergeCell ref="G10670:H10670"/>
    <mergeCell ref="K10670:L10670"/>
    <mergeCell ref="G10671:H10671"/>
    <mergeCell ref="K10671:L10671"/>
    <mergeCell ref="L9041:L9042"/>
    <mergeCell ref="M9041:M9042"/>
    <mergeCell ref="N9041:N9042"/>
    <mergeCell ref="A10665:D10665"/>
    <mergeCell ref="A10668:D10668"/>
    <mergeCell ref="E10668:E10669"/>
    <mergeCell ref="F10668:F10669"/>
    <mergeCell ref="G10668:L10669"/>
    <mergeCell ref="M10668:P10669"/>
    <mergeCell ref="B9041:B9042"/>
    <mergeCell ref="D9041:D9042"/>
    <mergeCell ref="E9041:E9042"/>
    <mergeCell ref="F9041:F9042"/>
    <mergeCell ref="G9041:G9042"/>
    <mergeCell ref="H9041:H9042"/>
    <mergeCell ref="L10687:L10688"/>
    <mergeCell ref="M10687:M10688"/>
    <mergeCell ref="N10687:N10688"/>
    <mergeCell ref="M10670:P10670"/>
    <mergeCell ref="M10702:M10703"/>
    <mergeCell ref="N10702:N10703"/>
    <mergeCell ref="B10716:B10717"/>
    <mergeCell ref="D10716:D10717"/>
    <mergeCell ref="E10716:E10717"/>
    <mergeCell ref="F10716:F10717"/>
    <mergeCell ref="G10716:G10717"/>
    <mergeCell ref="H10716:H10717"/>
    <mergeCell ref="L10716:L10717"/>
    <mergeCell ref="M10716:M10717"/>
    <mergeCell ref="B10702:B10703"/>
    <mergeCell ref="D10702:D10703"/>
    <mergeCell ref="E10702:E10703"/>
    <mergeCell ref="F10702:F10703"/>
    <mergeCell ref="G10702:G10703"/>
    <mergeCell ref="H10702:H10703"/>
    <mergeCell ref="L10702:L10703"/>
    <mergeCell ref="L10744:L10745"/>
    <mergeCell ref="M10744:M10745"/>
    <mergeCell ref="N10744:N10745"/>
    <mergeCell ref="B10758:B10759"/>
    <mergeCell ref="D10758:D10759"/>
    <mergeCell ref="E10758:E10759"/>
    <mergeCell ref="F10758:F10759"/>
    <mergeCell ref="G10758:G10759"/>
    <mergeCell ref="H10758:H10759"/>
    <mergeCell ref="L10758:L10759"/>
    <mergeCell ref="B10744:B10745"/>
    <mergeCell ref="D10744:D10745"/>
    <mergeCell ref="E10744:E10745"/>
    <mergeCell ref="F10744:F10745"/>
    <mergeCell ref="G10744:G10745"/>
    <mergeCell ref="H10744:H10745"/>
    <mergeCell ref="N10716:N10717"/>
    <mergeCell ref="B10730:B10731"/>
    <mergeCell ref="D10730:D10731"/>
    <mergeCell ref="E10730:E10731"/>
    <mergeCell ref="F10730:F10731"/>
    <mergeCell ref="G10730:G10731"/>
    <mergeCell ref="H10730:H10731"/>
    <mergeCell ref="L10730:L10731"/>
    <mergeCell ref="M10730:M10731"/>
    <mergeCell ref="N10730:N10731"/>
    <mergeCell ref="H10836:H10837"/>
    <mergeCell ref="N10772:N10773"/>
    <mergeCell ref="B10789:B10790"/>
    <mergeCell ref="D10789:D10790"/>
    <mergeCell ref="E10789:E10790"/>
    <mergeCell ref="F10789:F10790"/>
    <mergeCell ref="G10789:G10790"/>
    <mergeCell ref="H10789:H10790"/>
    <mergeCell ref="L10789:L10790"/>
    <mergeCell ref="M10789:M10790"/>
    <mergeCell ref="N10789:N10790"/>
    <mergeCell ref="M10758:M10759"/>
    <mergeCell ref="N10758:N10759"/>
    <mergeCell ref="B10772:B10773"/>
    <mergeCell ref="D10772:D10773"/>
    <mergeCell ref="E10772:E10773"/>
    <mergeCell ref="F10772:F10773"/>
    <mergeCell ref="G10772:G10773"/>
    <mergeCell ref="H10772:H10773"/>
    <mergeCell ref="L10772:L10773"/>
    <mergeCell ref="M10772:M10773"/>
    <mergeCell ref="M10852:M10853"/>
    <mergeCell ref="N10852:N10853"/>
    <mergeCell ref="B10868:B10869"/>
    <mergeCell ref="D10868:D10869"/>
    <mergeCell ref="E10868:E10869"/>
    <mergeCell ref="F10868:F10869"/>
    <mergeCell ref="G10868:G10869"/>
    <mergeCell ref="H10868:H10869"/>
    <mergeCell ref="L10868:L10869"/>
    <mergeCell ref="M10868:M10869"/>
    <mergeCell ref="B10904:B10905"/>
    <mergeCell ref="D10904:D10905"/>
    <mergeCell ref="E10904:E10905"/>
    <mergeCell ref="F10904:F10905"/>
    <mergeCell ref="G10904:G10905"/>
    <mergeCell ref="H10904:H10905"/>
    <mergeCell ref="L10904:L10905"/>
    <mergeCell ref="M10904:M10905"/>
    <mergeCell ref="N10904:N10905"/>
    <mergeCell ref="B10852:B10853"/>
    <mergeCell ref="D10852:D10853"/>
    <mergeCell ref="E10852:E10853"/>
    <mergeCell ref="F10852:F10853"/>
    <mergeCell ref="L11019:L11020"/>
    <mergeCell ref="M11019:M11020"/>
    <mergeCell ref="N11019:N11020"/>
    <mergeCell ref="B11037:B11038"/>
    <mergeCell ref="D11037:D11038"/>
    <mergeCell ref="E11037:E11038"/>
    <mergeCell ref="F11037:F11038"/>
    <mergeCell ref="G11037:G11038"/>
    <mergeCell ref="H11037:H11038"/>
    <mergeCell ref="L11037:L11038"/>
    <mergeCell ref="B11019:B11020"/>
    <mergeCell ref="D11019:D11020"/>
    <mergeCell ref="E11019:E11020"/>
    <mergeCell ref="F11019:F11020"/>
    <mergeCell ref="G11019:G11020"/>
    <mergeCell ref="H11019:H11020"/>
    <mergeCell ref="B10926:B10927"/>
    <mergeCell ref="D10926:D10927"/>
    <mergeCell ref="E10926:E10927"/>
    <mergeCell ref="F10926:F10927"/>
    <mergeCell ref="G10926:G10927"/>
    <mergeCell ref="H10926:H10927"/>
    <mergeCell ref="L10926:L10927"/>
    <mergeCell ref="M10926:M10927"/>
    <mergeCell ref="N10926:N10927"/>
    <mergeCell ref="B10979:B10980"/>
    <mergeCell ref="D10979:D10980"/>
    <mergeCell ref="E10979:E10980"/>
    <mergeCell ref="F10979:F10980"/>
    <mergeCell ref="G10979:G10980"/>
    <mergeCell ref="H10979:H10980"/>
    <mergeCell ref="L10979:L10980"/>
    <mergeCell ref="N11087:N11088"/>
    <mergeCell ref="B11073:B11074"/>
    <mergeCell ref="D11073:D11074"/>
    <mergeCell ref="E11073:E11074"/>
    <mergeCell ref="F11073:F11074"/>
    <mergeCell ref="G11073:G11074"/>
    <mergeCell ref="H11073:H11074"/>
    <mergeCell ref="M11037:M11038"/>
    <mergeCell ref="N11037:N11038"/>
    <mergeCell ref="B11055:B11056"/>
    <mergeCell ref="D11055:D11056"/>
    <mergeCell ref="E11055:E11056"/>
    <mergeCell ref="F11055:F11056"/>
    <mergeCell ref="G11055:G11056"/>
    <mergeCell ref="H11055:H11056"/>
    <mergeCell ref="L11055:L11056"/>
    <mergeCell ref="M11055:M11056"/>
    <mergeCell ref="G11143:G11144"/>
    <mergeCell ref="H11143:H11144"/>
    <mergeCell ref="L11143:L11144"/>
    <mergeCell ref="M11143:M11144"/>
    <mergeCell ref="L11115:L11116"/>
    <mergeCell ref="M11115:M11116"/>
    <mergeCell ref="N11115:N11116"/>
    <mergeCell ref="B11129:B11130"/>
    <mergeCell ref="D11129:D11130"/>
    <mergeCell ref="E11129:E11130"/>
    <mergeCell ref="F11129:F11130"/>
    <mergeCell ref="G11129:G11130"/>
    <mergeCell ref="H11129:H11130"/>
    <mergeCell ref="L11129:L11130"/>
    <mergeCell ref="B11115:B11116"/>
    <mergeCell ref="D11115:D11116"/>
    <mergeCell ref="E11115:E11116"/>
    <mergeCell ref="F11115:F11116"/>
    <mergeCell ref="G11115:G11116"/>
    <mergeCell ref="H11115:H11116"/>
    <mergeCell ref="B10672:B10673"/>
    <mergeCell ref="D10672:D10673"/>
    <mergeCell ref="E10672:E10673"/>
    <mergeCell ref="F10672:F10673"/>
    <mergeCell ref="G10672:G10673"/>
    <mergeCell ref="H10672:H10673"/>
    <mergeCell ref="L10672:L10673"/>
    <mergeCell ref="L9073:L9074"/>
    <mergeCell ref="M9073:M9074"/>
    <mergeCell ref="N9073:N9074"/>
    <mergeCell ref="D11182:D11183"/>
    <mergeCell ref="E11182:E11183"/>
    <mergeCell ref="F11182:F11183"/>
    <mergeCell ref="G11182:G11183"/>
    <mergeCell ref="H11182:H11183"/>
    <mergeCell ref="L11182:L11183"/>
    <mergeCell ref="N11143:N11144"/>
    <mergeCell ref="B11164:B11165"/>
    <mergeCell ref="D11164:D11165"/>
    <mergeCell ref="E11164:E11165"/>
    <mergeCell ref="F11164:F11165"/>
    <mergeCell ref="G11164:G11165"/>
    <mergeCell ref="H11164:H11165"/>
    <mergeCell ref="L11164:L11165"/>
    <mergeCell ref="M11164:M11165"/>
    <mergeCell ref="N11164:N11165"/>
    <mergeCell ref="M11129:M11130"/>
    <mergeCell ref="N11129:N11130"/>
    <mergeCell ref="B11143:B11144"/>
    <mergeCell ref="D11143:D11144"/>
    <mergeCell ref="E11143:E11144"/>
    <mergeCell ref="F11143:F11144"/>
    <mergeCell ref="D9073:D9074"/>
    <mergeCell ref="E9073:E9074"/>
    <mergeCell ref="F9073:F9074"/>
    <mergeCell ref="G9073:G9074"/>
    <mergeCell ref="H9073:H9074"/>
    <mergeCell ref="A9071:D9072"/>
    <mergeCell ref="E9071:E9072"/>
    <mergeCell ref="F9071:F9072"/>
    <mergeCell ref="G9071:H9071"/>
    <mergeCell ref="K9071:L9071"/>
    <mergeCell ref="A9068:D9068"/>
    <mergeCell ref="A9069:D9069"/>
    <mergeCell ref="E9069:E9070"/>
    <mergeCell ref="F9069:F9070"/>
    <mergeCell ref="G9069:L9070"/>
    <mergeCell ref="M9069:P9070"/>
    <mergeCell ref="B11299:B11300"/>
    <mergeCell ref="D11299:D11300"/>
    <mergeCell ref="E11299:E11300"/>
    <mergeCell ref="F11299:F11300"/>
    <mergeCell ref="G11299:G11300"/>
    <mergeCell ref="H11299:H11300"/>
    <mergeCell ref="N11200:N11201"/>
    <mergeCell ref="B11245:B11246"/>
    <mergeCell ref="D11245:D11246"/>
    <mergeCell ref="E11245:E11246"/>
    <mergeCell ref="F11245:F11246"/>
    <mergeCell ref="G11245:G11246"/>
    <mergeCell ref="H11245:H11246"/>
    <mergeCell ref="L11245:L11246"/>
    <mergeCell ref="M11245:M11246"/>
    <mergeCell ref="N11245:N11246"/>
    <mergeCell ref="M9071:P9071"/>
    <mergeCell ref="G9072:H9072"/>
    <mergeCell ref="K9072:L9072"/>
    <mergeCell ref="M9072:P9072"/>
    <mergeCell ref="N9107:N9108"/>
    <mergeCell ref="B9125:B9126"/>
    <mergeCell ref="D9125:D9126"/>
    <mergeCell ref="E9125:E9126"/>
    <mergeCell ref="F9125:F9126"/>
    <mergeCell ref="G9125:G9126"/>
    <mergeCell ref="H9125:H9126"/>
    <mergeCell ref="L9125:L9126"/>
    <mergeCell ref="M9125:M9126"/>
    <mergeCell ref="N9125:N9126"/>
    <mergeCell ref="M9087:M9088"/>
    <mergeCell ref="N9087:N9088"/>
    <mergeCell ref="B9107:B9108"/>
    <mergeCell ref="D9107:D9108"/>
    <mergeCell ref="E9107:E9108"/>
    <mergeCell ref="F9107:F9108"/>
    <mergeCell ref="G9107:G9108"/>
    <mergeCell ref="H9107:H9108"/>
    <mergeCell ref="L9107:L9108"/>
    <mergeCell ref="M9107:M9108"/>
    <mergeCell ref="B9087:B9088"/>
    <mergeCell ref="D9087:D9088"/>
    <mergeCell ref="E9087:E9088"/>
    <mergeCell ref="F9087:F9088"/>
    <mergeCell ref="G9087:G9088"/>
    <mergeCell ref="H9087:H9088"/>
    <mergeCell ref="L9087:L9088"/>
    <mergeCell ref="B9073:B9074"/>
    <mergeCell ref="L9145:L9146"/>
    <mergeCell ref="M9145:M9146"/>
    <mergeCell ref="N9145:N9146"/>
    <mergeCell ref="A9341:D9341"/>
    <mergeCell ref="A9343:D9343"/>
    <mergeCell ref="E9343:E9344"/>
    <mergeCell ref="F9343:F9344"/>
    <mergeCell ref="G9343:L9344"/>
    <mergeCell ref="M9343:P9344"/>
    <mergeCell ref="B9145:B9146"/>
    <mergeCell ref="D9145:D9146"/>
    <mergeCell ref="E9145:E9146"/>
    <mergeCell ref="F9145:F9146"/>
    <mergeCell ref="G9145:G9146"/>
    <mergeCell ref="H9145:H9146"/>
    <mergeCell ref="B9163:B9164"/>
    <mergeCell ref="D9163:D9164"/>
    <mergeCell ref="E9163:E9164"/>
    <mergeCell ref="F9163:F9164"/>
    <mergeCell ref="G9163:G9164"/>
    <mergeCell ref="H9163:H9164"/>
    <mergeCell ref="L9163:L9164"/>
    <mergeCell ref="M9163:M9164"/>
    <mergeCell ref="L9177:L9178"/>
    <mergeCell ref="M9177:M9178"/>
    <mergeCell ref="N9177:N9178"/>
    <mergeCell ref="B9197:B9198"/>
    <mergeCell ref="D9197:D9198"/>
    <mergeCell ref="E9197:E9198"/>
    <mergeCell ref="F9197:F9198"/>
    <mergeCell ref="G9197:G9198"/>
    <mergeCell ref="H9197:H9198"/>
    <mergeCell ref="D9361:D9362"/>
    <mergeCell ref="E9361:E9362"/>
    <mergeCell ref="F9361:F9362"/>
    <mergeCell ref="G9361:G9362"/>
    <mergeCell ref="H9361:H9362"/>
    <mergeCell ref="L9361:L9362"/>
    <mergeCell ref="B9347:B9348"/>
    <mergeCell ref="D9347:D9348"/>
    <mergeCell ref="E9347:E9348"/>
    <mergeCell ref="F9347:F9348"/>
    <mergeCell ref="G9347:G9348"/>
    <mergeCell ref="H9347:H9348"/>
    <mergeCell ref="N9381:N9382"/>
    <mergeCell ref="B9399:B9400"/>
    <mergeCell ref="D9399:D9400"/>
    <mergeCell ref="E9399:E9400"/>
    <mergeCell ref="F9399:F9400"/>
    <mergeCell ref="G9399:G9400"/>
    <mergeCell ref="H9399:H9400"/>
    <mergeCell ref="L9399:L9400"/>
    <mergeCell ref="M9399:M9400"/>
    <mergeCell ref="N9399:N9400"/>
    <mergeCell ref="A9608:D9609"/>
    <mergeCell ref="E9608:E9609"/>
    <mergeCell ref="F9608:F9609"/>
    <mergeCell ref="G9608:H9608"/>
    <mergeCell ref="K9608:L9608"/>
    <mergeCell ref="M9608:P9608"/>
    <mergeCell ref="G9609:H9609"/>
    <mergeCell ref="K9609:L9609"/>
    <mergeCell ref="M9609:P9609"/>
    <mergeCell ref="L9415:L9416"/>
    <mergeCell ref="M9415:M9416"/>
    <mergeCell ref="N9415:N9416"/>
    <mergeCell ref="A9604:D9604"/>
    <mergeCell ref="A9606:D9606"/>
    <mergeCell ref="E9606:E9607"/>
    <mergeCell ref="F9606:F9607"/>
    <mergeCell ref="G9606:L9607"/>
    <mergeCell ref="M9606:P9607"/>
    <mergeCell ref="B9415:B9416"/>
    <mergeCell ref="D9415:D9416"/>
    <mergeCell ref="E9415:E9416"/>
    <mergeCell ref="F9415:F9416"/>
    <mergeCell ref="G9415:G9416"/>
    <mergeCell ref="H9415:H9416"/>
    <mergeCell ref="K9432:L9432"/>
    <mergeCell ref="M9432:P9432"/>
    <mergeCell ref="B9433:B9434"/>
    <mergeCell ref="D9433:D9434"/>
    <mergeCell ref="E9433:E9434"/>
    <mergeCell ref="F9433:F9434"/>
    <mergeCell ref="G9433:G9434"/>
    <mergeCell ref="H9433:H9434"/>
    <mergeCell ref="M9624:M9625"/>
    <mergeCell ref="N9624:N9625"/>
    <mergeCell ref="B9639:B9640"/>
    <mergeCell ref="D9639:D9640"/>
    <mergeCell ref="E9639:E9640"/>
    <mergeCell ref="F9639:F9640"/>
    <mergeCell ref="G9639:G9640"/>
    <mergeCell ref="H9639:H9640"/>
    <mergeCell ref="L9639:L9640"/>
    <mergeCell ref="M9639:M9640"/>
    <mergeCell ref="L9610:L9611"/>
    <mergeCell ref="M9610:M9611"/>
    <mergeCell ref="N9610:N9611"/>
    <mergeCell ref="B9624:B9625"/>
    <mergeCell ref="D9624:D9625"/>
    <mergeCell ref="E9624:E9625"/>
    <mergeCell ref="F9624:F9625"/>
    <mergeCell ref="G9624:G9625"/>
    <mergeCell ref="H9624:H9625"/>
    <mergeCell ref="L9624:L9625"/>
    <mergeCell ref="B9610:B9611"/>
    <mergeCell ref="D9610:D9611"/>
    <mergeCell ref="E9610:E9611"/>
    <mergeCell ref="F9610:F9611"/>
    <mergeCell ref="G9610:G9611"/>
    <mergeCell ref="H9610:H9611"/>
    <mergeCell ref="A9689:D9689"/>
    <mergeCell ref="E9689:E9690"/>
    <mergeCell ref="F9689:F9690"/>
    <mergeCell ref="G9689:L9690"/>
    <mergeCell ref="M9689:P9690"/>
    <mergeCell ref="B9672:B9673"/>
    <mergeCell ref="D9672:D9673"/>
    <mergeCell ref="E9672:E9673"/>
    <mergeCell ref="F9672:F9673"/>
    <mergeCell ref="G9672:G9673"/>
    <mergeCell ref="H9672:H9673"/>
    <mergeCell ref="N9639:N9640"/>
    <mergeCell ref="B9656:B9657"/>
    <mergeCell ref="D9656:D9657"/>
    <mergeCell ref="E9656:E9657"/>
    <mergeCell ref="F9656:F9657"/>
    <mergeCell ref="G9656:G9657"/>
    <mergeCell ref="H9656:H9657"/>
    <mergeCell ref="L9656:L9657"/>
    <mergeCell ref="M9656:M9657"/>
    <mergeCell ref="N9656:N9657"/>
    <mergeCell ref="A3:Q3"/>
    <mergeCell ref="N9725:N9726"/>
    <mergeCell ref="M9707:M9708"/>
    <mergeCell ref="N9707:N9708"/>
    <mergeCell ref="B9725:B9726"/>
    <mergeCell ref="D9725:D9726"/>
    <mergeCell ref="E9725:E9726"/>
    <mergeCell ref="F9725:F9726"/>
    <mergeCell ref="G9725:G9726"/>
    <mergeCell ref="H9725:H9726"/>
    <mergeCell ref="L9725:L9726"/>
    <mergeCell ref="M9725:M9726"/>
    <mergeCell ref="L9693:L9694"/>
    <mergeCell ref="M9693:M9694"/>
    <mergeCell ref="N9693:N9694"/>
    <mergeCell ref="B9707:B9708"/>
    <mergeCell ref="D9707:D9708"/>
    <mergeCell ref="E9707:E9708"/>
    <mergeCell ref="F9707:F9708"/>
    <mergeCell ref="G9707:G9708"/>
    <mergeCell ref="H9707:H9708"/>
    <mergeCell ref="L9707:L9708"/>
    <mergeCell ref="B9693:B9694"/>
    <mergeCell ref="D9693:D9694"/>
    <mergeCell ref="E9693:E9694"/>
    <mergeCell ref="F9693:F9694"/>
    <mergeCell ref="G9693:G9694"/>
    <mergeCell ref="H9693:H9694"/>
    <mergeCell ref="A9691:D9692"/>
    <mergeCell ref="E9691:E9692"/>
    <mergeCell ref="F9691:F9692"/>
    <mergeCell ref="G9691:H9691"/>
    <mergeCell ref="L9433:L9434"/>
    <mergeCell ref="M9433:M9434"/>
    <mergeCell ref="N9433:N9434"/>
    <mergeCell ref="B9447:B9448"/>
    <mergeCell ref="D9447:D9448"/>
    <mergeCell ref="E9447:E9448"/>
    <mergeCell ref="F9447:F9448"/>
    <mergeCell ref="G9447:G9448"/>
    <mergeCell ref="H9447:H9448"/>
    <mergeCell ref="L9447:L9448"/>
    <mergeCell ref="M9447:M9448"/>
    <mergeCell ref="N9447:N9448"/>
    <mergeCell ref="A9431:D9432"/>
    <mergeCell ref="E9431:E9432"/>
    <mergeCell ref="F9431:F9432"/>
    <mergeCell ref="G9431:H9431"/>
    <mergeCell ref="K9431:L9431"/>
    <mergeCell ref="M9431:P9431"/>
    <mergeCell ref="G9432:H9432"/>
    <mergeCell ref="B9467:B9468"/>
    <mergeCell ref="D9467:D9468"/>
    <mergeCell ref="E9467:E9468"/>
    <mergeCell ref="F9467:F9468"/>
    <mergeCell ref="G9467:G9468"/>
    <mergeCell ref="H9467:H9468"/>
    <mergeCell ref="L9467:L9468"/>
    <mergeCell ref="M9467:M9468"/>
    <mergeCell ref="N9467:N9468"/>
    <mergeCell ref="B9485:B9486"/>
    <mergeCell ref="D9485:D9486"/>
    <mergeCell ref="E9485:E9486"/>
    <mergeCell ref="F9485:F9486"/>
    <mergeCell ref="G9485:G9486"/>
    <mergeCell ref="H9485:H9486"/>
    <mergeCell ref="L9485:L9486"/>
    <mergeCell ref="M9485:M9486"/>
    <mergeCell ref="N9485:N9486"/>
    <mergeCell ref="B9501:B9502"/>
    <mergeCell ref="D9501:D9502"/>
    <mergeCell ref="E9501:E9502"/>
    <mergeCell ref="F9501:F9502"/>
    <mergeCell ref="G9501:G9502"/>
    <mergeCell ref="H9501:H9502"/>
    <mergeCell ref="L9501:L9502"/>
    <mergeCell ref="M9501:M9502"/>
    <mergeCell ref="N9501:N9502"/>
    <mergeCell ref="A9517:D9518"/>
    <mergeCell ref="E9517:E9518"/>
    <mergeCell ref="F9517:F9518"/>
    <mergeCell ref="G9517:H9517"/>
    <mergeCell ref="K9517:L9517"/>
    <mergeCell ref="M9517:P9517"/>
    <mergeCell ref="G9518:H9518"/>
    <mergeCell ref="K9518:L9518"/>
    <mergeCell ref="M9518:P9518"/>
    <mergeCell ref="B9519:B9520"/>
    <mergeCell ref="D9519:D9520"/>
    <mergeCell ref="E9519:E9520"/>
    <mergeCell ref="F9519:F9520"/>
    <mergeCell ref="G9519:G9520"/>
    <mergeCell ref="H9519:H9520"/>
    <mergeCell ref="L9519:L9520"/>
    <mergeCell ref="M9519:M9520"/>
    <mergeCell ref="N9519:N9520"/>
    <mergeCell ref="B9533:B9534"/>
    <mergeCell ref="D9533:D9534"/>
    <mergeCell ref="E9533:E9534"/>
    <mergeCell ref="F9533:F9534"/>
    <mergeCell ref="G9533:G9534"/>
    <mergeCell ref="H9533:H9534"/>
    <mergeCell ref="L9533:L9534"/>
    <mergeCell ref="M9533:M9534"/>
    <mergeCell ref="N9533:N9534"/>
    <mergeCell ref="B9553:B9554"/>
    <mergeCell ref="D9553:D9554"/>
    <mergeCell ref="E9553:E9554"/>
    <mergeCell ref="F9553:F9554"/>
    <mergeCell ref="G9553:G9554"/>
    <mergeCell ref="H9553:H9554"/>
    <mergeCell ref="L9553:L9554"/>
    <mergeCell ref="M9553:M9554"/>
    <mergeCell ref="N9553:N9554"/>
    <mergeCell ref="B9571:B9572"/>
    <mergeCell ref="D9571:D9572"/>
    <mergeCell ref="E9571:E9572"/>
    <mergeCell ref="F9571:F9572"/>
    <mergeCell ref="G9571:G9572"/>
    <mergeCell ref="H9571:H9572"/>
    <mergeCell ref="L9571:L9572"/>
    <mergeCell ref="M9571:M9572"/>
    <mergeCell ref="N9571:N9572"/>
    <mergeCell ref="B9587:B9588"/>
    <mergeCell ref="D9587:D9588"/>
    <mergeCell ref="E9587:E9588"/>
    <mergeCell ref="F9587:F9588"/>
    <mergeCell ref="G9587:G9588"/>
    <mergeCell ref="H9587:H9588"/>
    <mergeCell ref="L9587:L9588"/>
    <mergeCell ref="M9587:M9588"/>
    <mergeCell ref="N9587:N9588"/>
    <mergeCell ref="A9748:D9748"/>
    <mergeCell ref="A9750:D9750"/>
    <mergeCell ref="E9750:E9751"/>
    <mergeCell ref="F9750:F9751"/>
    <mergeCell ref="G9750:L9751"/>
    <mergeCell ref="M9750:P9751"/>
    <mergeCell ref="A9752:D9753"/>
    <mergeCell ref="E9752:E9753"/>
    <mergeCell ref="F9752:F9753"/>
    <mergeCell ref="G9752:H9752"/>
    <mergeCell ref="K9752:L9752"/>
    <mergeCell ref="M9752:P9752"/>
    <mergeCell ref="G9753:H9753"/>
    <mergeCell ref="K9753:L9753"/>
    <mergeCell ref="M9753:P9753"/>
    <mergeCell ref="K9691:L9691"/>
    <mergeCell ref="M9691:P9691"/>
    <mergeCell ref="G9692:H9692"/>
    <mergeCell ref="K9692:L9692"/>
    <mergeCell ref="M9692:P9692"/>
    <mergeCell ref="L9672:L9673"/>
    <mergeCell ref="M9672:M9673"/>
    <mergeCell ref="N9672:N9673"/>
    <mergeCell ref="B9754:B9755"/>
    <mergeCell ref="D9754:D9755"/>
    <mergeCell ref="E9754:E9755"/>
    <mergeCell ref="F9754:F9755"/>
    <mergeCell ref="G9754:G9755"/>
    <mergeCell ref="H9754:H9755"/>
    <mergeCell ref="L9754:L9755"/>
    <mergeCell ref="M9754:M9755"/>
    <mergeCell ref="N9754:N9755"/>
    <mergeCell ref="B9768:B9769"/>
    <mergeCell ref="D9768:D9769"/>
    <mergeCell ref="E9768:E9769"/>
    <mergeCell ref="F9768:F9769"/>
    <mergeCell ref="G9768:G9769"/>
    <mergeCell ref="H9768:H9769"/>
    <mergeCell ref="L9768:L9769"/>
    <mergeCell ref="M9768:M9769"/>
    <mergeCell ref="N9768:N9769"/>
    <mergeCell ref="B9783:B9784"/>
    <mergeCell ref="D9783:D9784"/>
    <mergeCell ref="E9783:E9784"/>
    <mergeCell ref="F9783:F9784"/>
    <mergeCell ref="G9783:G9784"/>
    <mergeCell ref="H9783:H9784"/>
    <mergeCell ref="L9783:L9784"/>
    <mergeCell ref="M9783:M9784"/>
    <mergeCell ref="N9783:N9784"/>
    <mergeCell ref="B9800:B9801"/>
    <mergeCell ref="D9800:D9801"/>
    <mergeCell ref="E9800:E9801"/>
    <mergeCell ref="F9800:F9801"/>
    <mergeCell ref="G9800:G9801"/>
    <mergeCell ref="H9800:H9801"/>
    <mergeCell ref="L9800:L9801"/>
    <mergeCell ref="M9800:M9801"/>
    <mergeCell ref="N9800:N9801"/>
    <mergeCell ref="B9816:B9817"/>
    <mergeCell ref="D9816:D9817"/>
    <mergeCell ref="E9816:E9817"/>
    <mergeCell ref="F9816:F9817"/>
    <mergeCell ref="G9816:G9817"/>
    <mergeCell ref="H9816:H9817"/>
    <mergeCell ref="L9816:L9817"/>
    <mergeCell ref="M9816:M9817"/>
    <mergeCell ref="N9816:N9817"/>
    <mergeCell ref="B9832:B9833"/>
    <mergeCell ref="D9832:D9833"/>
    <mergeCell ref="E9832:E9833"/>
    <mergeCell ref="F9832:F9833"/>
    <mergeCell ref="G9832:G9833"/>
    <mergeCell ref="H9832:H9833"/>
    <mergeCell ref="L9832:L9833"/>
    <mergeCell ref="M9832:M9833"/>
    <mergeCell ref="N9832:N9833"/>
    <mergeCell ref="H9897:H9898"/>
    <mergeCell ref="L9897:L9898"/>
    <mergeCell ref="M9897:M9898"/>
    <mergeCell ref="N9897:N9898"/>
    <mergeCell ref="B9914:B9915"/>
    <mergeCell ref="D9914:D9915"/>
    <mergeCell ref="E9914:E9915"/>
    <mergeCell ref="F9914:F9915"/>
    <mergeCell ref="G9914:G9915"/>
    <mergeCell ref="H9914:H9915"/>
    <mergeCell ref="L9914:L9915"/>
    <mergeCell ref="M9914:M9915"/>
    <mergeCell ref="N9914:N9915"/>
    <mergeCell ref="B9931:B9932"/>
    <mergeCell ref="D9931:D9932"/>
    <mergeCell ref="E9931:E9932"/>
    <mergeCell ref="F9931:F9932"/>
    <mergeCell ref="G9931:G9932"/>
    <mergeCell ref="H9931:H9932"/>
    <mergeCell ref="L9931:L9932"/>
    <mergeCell ref="M9931:M9932"/>
    <mergeCell ref="N9931:N9932"/>
    <mergeCell ref="B9955:B9956"/>
    <mergeCell ref="D9955:D9956"/>
    <mergeCell ref="E9955:E9956"/>
    <mergeCell ref="F9955:F9956"/>
    <mergeCell ref="G9955:G9956"/>
    <mergeCell ref="H9955:H9956"/>
    <mergeCell ref="L9955:L9956"/>
    <mergeCell ref="M9955:M9956"/>
    <mergeCell ref="N9955:N9956"/>
    <mergeCell ref="B9978:B9979"/>
    <mergeCell ref="D9978:D9979"/>
    <mergeCell ref="E9978:E9979"/>
    <mergeCell ref="F9978:F9979"/>
    <mergeCell ref="G9978:G9979"/>
    <mergeCell ref="H9978:H9979"/>
    <mergeCell ref="L9978:L9979"/>
    <mergeCell ref="M9978:M9979"/>
    <mergeCell ref="N9978:N9979"/>
    <mergeCell ref="A10468:D10468"/>
    <mergeCell ref="A10470:D10470"/>
    <mergeCell ref="E10470:E10471"/>
    <mergeCell ref="F10470:F10471"/>
    <mergeCell ref="G10470:L10471"/>
    <mergeCell ref="M10470:P10471"/>
    <mergeCell ref="A10472:D10473"/>
    <mergeCell ref="E10472:E10473"/>
    <mergeCell ref="F10472:F10473"/>
    <mergeCell ref="G10472:H10472"/>
    <mergeCell ref="K10472:L10472"/>
    <mergeCell ref="M10472:P10472"/>
    <mergeCell ref="G10473:H10473"/>
    <mergeCell ref="K10473:L10473"/>
    <mergeCell ref="M10473:P10473"/>
    <mergeCell ref="B10536:B10537"/>
    <mergeCell ref="D10536:D10537"/>
    <mergeCell ref="E10536:E10537"/>
    <mergeCell ref="F10536:F10537"/>
    <mergeCell ref="G10536:G10537"/>
    <mergeCell ref="H10536:H10537"/>
    <mergeCell ref="L10536:L10537"/>
    <mergeCell ref="M10536:M10537"/>
    <mergeCell ref="N10536:N10537"/>
    <mergeCell ref="B10474:B10475"/>
    <mergeCell ref="D10474:D10475"/>
    <mergeCell ref="E10474:E10475"/>
    <mergeCell ref="F10474:F10475"/>
    <mergeCell ref="G10474:G10475"/>
    <mergeCell ref="H10474:H10475"/>
    <mergeCell ref="L10474:L10475"/>
    <mergeCell ref="M10474:M10475"/>
    <mergeCell ref="F10611:F10612"/>
    <mergeCell ref="G10611:G10612"/>
    <mergeCell ref="H10611:H10612"/>
    <mergeCell ref="L10611:L10612"/>
    <mergeCell ref="M10611:M10612"/>
    <mergeCell ref="N10611:N10612"/>
    <mergeCell ref="B10555:B10556"/>
    <mergeCell ref="D10555:D10556"/>
    <mergeCell ref="E10555:E10556"/>
    <mergeCell ref="F10555:F10556"/>
    <mergeCell ref="G10555:G10556"/>
    <mergeCell ref="H10555:H10556"/>
    <mergeCell ref="L10555:L10556"/>
    <mergeCell ref="M10555:M10556"/>
    <mergeCell ref="N10555:N10556"/>
    <mergeCell ref="B10576:B10577"/>
    <mergeCell ref="D10576:D10577"/>
    <mergeCell ref="E10576:E10577"/>
    <mergeCell ref="F10576:F10577"/>
    <mergeCell ref="G10576:G10577"/>
    <mergeCell ref="H10576:H10577"/>
    <mergeCell ref="L10576:L10577"/>
    <mergeCell ref="M10576:M10577"/>
    <mergeCell ref="N10576:N10577"/>
    <mergeCell ref="M10672:M10673"/>
    <mergeCell ref="N10672:N10673"/>
    <mergeCell ref="B10810:B10811"/>
    <mergeCell ref="D10810:D10811"/>
    <mergeCell ref="E10810:E10811"/>
    <mergeCell ref="F10810:F10811"/>
    <mergeCell ref="G10810:G10811"/>
    <mergeCell ref="H10810:H10811"/>
    <mergeCell ref="L10810:L10811"/>
    <mergeCell ref="M10810:M10811"/>
    <mergeCell ref="N10810:N10811"/>
    <mergeCell ref="B10883:B10884"/>
    <mergeCell ref="D10883:D10884"/>
    <mergeCell ref="E10883:E10884"/>
    <mergeCell ref="F10883:F10884"/>
    <mergeCell ref="G10883:G10884"/>
    <mergeCell ref="H10883:H10884"/>
    <mergeCell ref="L10883:L10884"/>
    <mergeCell ref="M10883:M10884"/>
    <mergeCell ref="N10883:N10884"/>
    <mergeCell ref="N10868:N10869"/>
    <mergeCell ref="L10836:L10837"/>
    <mergeCell ref="M10836:M10837"/>
    <mergeCell ref="N10836:N10837"/>
    <mergeCell ref="G10852:G10853"/>
    <mergeCell ref="H10852:H10853"/>
    <mergeCell ref="L10852:L10853"/>
    <mergeCell ref="B10836:B10837"/>
    <mergeCell ref="D10836:D10837"/>
    <mergeCell ref="E10836:E10837"/>
    <mergeCell ref="F10836:F10837"/>
    <mergeCell ref="G10836:G10837"/>
    <mergeCell ref="M10979:M10980"/>
    <mergeCell ref="N10979:N10980"/>
    <mergeCell ref="B10947:B10948"/>
    <mergeCell ref="D10947:D10948"/>
    <mergeCell ref="E10947:E10948"/>
    <mergeCell ref="F10947:F10948"/>
    <mergeCell ref="G10947:G10948"/>
    <mergeCell ref="H10947:H10948"/>
    <mergeCell ref="L10947:L10948"/>
    <mergeCell ref="M10947:M10948"/>
    <mergeCell ref="N10947:N10948"/>
    <mergeCell ref="L11073:L11074"/>
    <mergeCell ref="M11073:M11074"/>
    <mergeCell ref="N11073:N11074"/>
    <mergeCell ref="B11101:B11102"/>
    <mergeCell ref="D11101:D11102"/>
    <mergeCell ref="E11101:E11102"/>
    <mergeCell ref="F11101:F11102"/>
    <mergeCell ref="G11101:G11102"/>
    <mergeCell ref="H11101:H11102"/>
    <mergeCell ref="L11101:L11102"/>
    <mergeCell ref="M11101:M11102"/>
    <mergeCell ref="N11101:N11102"/>
    <mergeCell ref="N11055:N11056"/>
    <mergeCell ref="B11087:B11088"/>
    <mergeCell ref="D11087:D11088"/>
    <mergeCell ref="E11087:E11088"/>
    <mergeCell ref="F11087:F11088"/>
    <mergeCell ref="G11087:G11088"/>
    <mergeCell ref="H11087:H11088"/>
    <mergeCell ref="L11087:L11088"/>
    <mergeCell ref="M11087:M11088"/>
    <mergeCell ref="B11226:B11227"/>
    <mergeCell ref="D11226:D11227"/>
    <mergeCell ref="E11226:E11227"/>
    <mergeCell ref="F11226:F11227"/>
    <mergeCell ref="G11226:G11227"/>
    <mergeCell ref="H11226:H11227"/>
    <mergeCell ref="L11226:L11227"/>
    <mergeCell ref="M11226:M11227"/>
    <mergeCell ref="N11226:N11227"/>
    <mergeCell ref="M11182:M11183"/>
    <mergeCell ref="N11182:N11183"/>
    <mergeCell ref="B11200:B11201"/>
    <mergeCell ref="D11200:D11201"/>
    <mergeCell ref="E11200:E11201"/>
    <mergeCell ref="F11200:F11201"/>
    <mergeCell ref="G11200:G11201"/>
    <mergeCell ref="H11200:H11201"/>
    <mergeCell ref="L11200:L11201"/>
    <mergeCell ref="M11200:M11201"/>
    <mergeCell ref="B11182:B11183"/>
    <mergeCell ref="M10632:M10633"/>
    <mergeCell ref="N10632:N10633"/>
    <mergeCell ref="B10647:B10648"/>
    <mergeCell ref="D10647:D10648"/>
    <mergeCell ref="E10647:E10648"/>
    <mergeCell ref="F10647:F10648"/>
    <mergeCell ref="G10647:G10648"/>
    <mergeCell ref="H10647:H10648"/>
    <mergeCell ref="L10647:L10648"/>
    <mergeCell ref="M10647:M10648"/>
    <mergeCell ref="N10647:N10648"/>
    <mergeCell ref="B10505:B10506"/>
    <mergeCell ref="D10505:D10506"/>
    <mergeCell ref="E10505:E10506"/>
    <mergeCell ref="F10505:F10506"/>
    <mergeCell ref="G10505:G10506"/>
    <mergeCell ref="H10505:H10506"/>
    <mergeCell ref="L10505:L10506"/>
    <mergeCell ref="M10505:M10506"/>
    <mergeCell ref="N10505:N10506"/>
    <mergeCell ref="B10591:B10592"/>
    <mergeCell ref="D10591:D10592"/>
    <mergeCell ref="E10591:E10592"/>
    <mergeCell ref="F10591:F10592"/>
    <mergeCell ref="G10591:G10592"/>
    <mergeCell ref="H10591:H10592"/>
    <mergeCell ref="L10591:L10592"/>
    <mergeCell ref="M10591:M10592"/>
    <mergeCell ref="N10591:N10592"/>
    <mergeCell ref="B10611:B10612"/>
    <mergeCell ref="D10611:D10612"/>
    <mergeCell ref="E10611:E10612"/>
    <mergeCell ref="N10474:N10475"/>
    <mergeCell ref="B10489:B10490"/>
    <mergeCell ref="D10489:D10490"/>
    <mergeCell ref="E10489:E10490"/>
    <mergeCell ref="F10489:F10490"/>
    <mergeCell ref="G10489:G10490"/>
    <mergeCell ref="H10489:H10490"/>
    <mergeCell ref="L10489:L10490"/>
    <mergeCell ref="M10489:M10490"/>
    <mergeCell ref="N10489:N10490"/>
    <mergeCell ref="B10520:B10521"/>
    <mergeCell ref="D10520:D10521"/>
    <mergeCell ref="E10520:E10521"/>
    <mergeCell ref="F10520:F10521"/>
    <mergeCell ref="G10520:G10521"/>
    <mergeCell ref="H10520:H10521"/>
    <mergeCell ref="L10520:L10521"/>
    <mergeCell ref="M10520:M10521"/>
    <mergeCell ref="N10520:N10521"/>
    <mergeCell ref="B4377:B4378"/>
    <mergeCell ref="D4377:D4378"/>
    <mergeCell ref="E4377:E4378"/>
    <mergeCell ref="F4377:F4378"/>
    <mergeCell ref="G4377:G4378"/>
    <mergeCell ref="H4377:H4378"/>
    <mergeCell ref="L4377:L4378"/>
    <mergeCell ref="M4377:M4378"/>
    <mergeCell ref="N4377:N4378"/>
    <mergeCell ref="B4394:B4395"/>
    <mergeCell ref="D4394:D4395"/>
    <mergeCell ref="E4394:E4395"/>
    <mergeCell ref="F4394:F4395"/>
    <mergeCell ref="G4394:G4395"/>
    <mergeCell ref="H4394:H4395"/>
    <mergeCell ref="L4394:L4395"/>
    <mergeCell ref="M4394:M4395"/>
    <mergeCell ref="N4394:N4395"/>
    <mergeCell ref="B4464:B4465"/>
    <mergeCell ref="D4464:D4465"/>
    <mergeCell ref="E4464:E4465"/>
    <mergeCell ref="F4464:F4465"/>
    <mergeCell ref="G4464:G4465"/>
    <mergeCell ref="H4464:H4465"/>
    <mergeCell ref="L4464:L4465"/>
    <mergeCell ref="M4464:M4465"/>
    <mergeCell ref="N4464:N4465"/>
    <mergeCell ref="B4415:B4416"/>
    <mergeCell ref="D4415:D4416"/>
    <mergeCell ref="E4415:E4416"/>
    <mergeCell ref="F4415:F4416"/>
    <mergeCell ref="G4415:G4416"/>
    <mergeCell ref="H4415:H4416"/>
    <mergeCell ref="L4415:L4416"/>
    <mergeCell ref="M4415:M4416"/>
    <mergeCell ref="N4415:N4416"/>
    <mergeCell ref="B4433:B4434"/>
    <mergeCell ref="D4433:D4434"/>
    <mergeCell ref="E4433:E4434"/>
    <mergeCell ref="F4433:F4434"/>
    <mergeCell ref="G4433:G4434"/>
    <mergeCell ref="H4433:H4434"/>
    <mergeCell ref="L4433:L4434"/>
    <mergeCell ref="M4433:M4434"/>
    <mergeCell ref="N4433:N4434"/>
    <mergeCell ref="D4326:D4327"/>
    <mergeCell ref="E4326:E4327"/>
    <mergeCell ref="F4326:F4327"/>
    <mergeCell ref="G4326:G4327"/>
    <mergeCell ref="H4326:H4327"/>
    <mergeCell ref="I4326:I4327"/>
    <mergeCell ref="J4326:J4327"/>
    <mergeCell ref="K4326:K4327"/>
    <mergeCell ref="L4326:L4327"/>
    <mergeCell ref="M4326:M4327"/>
    <mergeCell ref="N4326:N4327"/>
    <mergeCell ref="O4326:O4327"/>
    <mergeCell ref="P4326:P4327"/>
    <mergeCell ref="B4321:E4321"/>
    <mergeCell ref="A4716:D4717"/>
    <mergeCell ref="E4716:E4717"/>
    <mergeCell ref="F4716:F4717"/>
    <mergeCell ref="G4716:H4716"/>
    <mergeCell ref="K4716:L4716"/>
    <mergeCell ref="M4716:P4716"/>
    <mergeCell ref="G4717:H4717"/>
    <mergeCell ref="K4717:L4717"/>
    <mergeCell ref="M4717:P4717"/>
    <mergeCell ref="B4449:B4450"/>
    <mergeCell ref="D4449:D4450"/>
    <mergeCell ref="E4449:E4450"/>
    <mergeCell ref="F4449:F4450"/>
    <mergeCell ref="G4449:G4450"/>
    <mergeCell ref="H4449:H4450"/>
    <mergeCell ref="L4449:L4450"/>
    <mergeCell ref="M4449:M4450"/>
    <mergeCell ref="N4449:N4450"/>
    <mergeCell ref="F4732:F4733"/>
    <mergeCell ref="G4732:G4733"/>
    <mergeCell ref="H4732:H4733"/>
    <mergeCell ref="L4732:L4733"/>
    <mergeCell ref="M4732:M4733"/>
    <mergeCell ref="N4732:N4733"/>
    <mergeCell ref="B4770:B4771"/>
    <mergeCell ref="D4770:D4771"/>
    <mergeCell ref="E4770:E4771"/>
    <mergeCell ref="F4770:F4771"/>
    <mergeCell ref="G4770:G4771"/>
    <mergeCell ref="H4770:H4771"/>
    <mergeCell ref="L4770:L4771"/>
    <mergeCell ref="M4770:M4771"/>
    <mergeCell ref="N4770:N4771"/>
    <mergeCell ref="B4802:B4803"/>
    <mergeCell ref="D4802:D4803"/>
    <mergeCell ref="E4802:E4803"/>
    <mergeCell ref="F4802:F4803"/>
    <mergeCell ref="G4802:G4803"/>
    <mergeCell ref="H4802:H4803"/>
    <mergeCell ref="L4802:L4803"/>
    <mergeCell ref="M4802:M4803"/>
    <mergeCell ref="N4802:N4803"/>
    <mergeCell ref="B4848:B4849"/>
    <mergeCell ref="D4848:D4849"/>
    <mergeCell ref="E4848:E4849"/>
    <mergeCell ref="F4848:F4849"/>
    <mergeCell ref="G4848:G4849"/>
    <mergeCell ref="H4848:H4849"/>
    <mergeCell ref="L4848:L4849"/>
    <mergeCell ref="M4848:M4849"/>
    <mergeCell ref="N4848:N4849"/>
    <mergeCell ref="D4825:D4826"/>
    <mergeCell ref="E4825:E4826"/>
    <mergeCell ref="F4825:F4826"/>
    <mergeCell ref="G4825:G4826"/>
    <mergeCell ref="H4825:H4826"/>
    <mergeCell ref="L4825:L4826"/>
    <mergeCell ref="M4825:M4826"/>
    <mergeCell ref="N4825:N4826"/>
    <mergeCell ref="B4825:B4826"/>
    <mergeCell ref="M5438:M5439"/>
    <mergeCell ref="N5438:N5439"/>
    <mergeCell ref="B5457:B5458"/>
    <mergeCell ref="D5457:D5458"/>
    <mergeCell ref="E5457:E5458"/>
    <mergeCell ref="F5457:F5458"/>
    <mergeCell ref="G5457:G5458"/>
    <mergeCell ref="H5457:H5458"/>
    <mergeCell ref="L5457:L5458"/>
    <mergeCell ref="M5457:M5458"/>
    <mergeCell ref="N5457:N5458"/>
    <mergeCell ref="N5476:N5477"/>
    <mergeCell ref="M5476:M5477"/>
    <mergeCell ref="L5476:L5477"/>
    <mergeCell ref="H5476:H5477"/>
    <mergeCell ref="G5476:G5477"/>
    <mergeCell ref="F5476:F5477"/>
    <mergeCell ref="E5476:E5477"/>
    <mergeCell ref="D5476:D5477"/>
    <mergeCell ref="B5476:B5477"/>
    <mergeCell ref="B5438:B5439"/>
    <mergeCell ref="D5438:D5439"/>
    <mergeCell ref="E5438:E5439"/>
    <mergeCell ref="F5438:F5439"/>
    <mergeCell ref="G5438:G5439"/>
    <mergeCell ref="H5438:H5439"/>
    <mergeCell ref="L5438:L5439"/>
    <mergeCell ref="B5495:B5496"/>
    <mergeCell ref="D5495:D5496"/>
    <mergeCell ref="E5495:E5496"/>
    <mergeCell ref="F5495:F5496"/>
    <mergeCell ref="G5495:G5496"/>
    <mergeCell ref="H5495:H5496"/>
    <mergeCell ref="L5495:L5496"/>
    <mergeCell ref="M5495:M5496"/>
    <mergeCell ref="N5495:N5496"/>
    <mergeCell ref="B5553:B5554"/>
    <mergeCell ref="D5553:D5554"/>
    <mergeCell ref="E5553:E5554"/>
    <mergeCell ref="F5553:F5554"/>
    <mergeCell ref="G5553:G5554"/>
    <mergeCell ref="H5553:H5554"/>
    <mergeCell ref="L5553:L5554"/>
    <mergeCell ref="M5553:M5554"/>
    <mergeCell ref="N5553:N5554"/>
    <mergeCell ref="B5516:B5517"/>
    <mergeCell ref="D5516:D5517"/>
    <mergeCell ref="E5516:E5517"/>
    <mergeCell ref="F5516:F5517"/>
    <mergeCell ref="G5516:G5517"/>
    <mergeCell ref="H5516:H5517"/>
    <mergeCell ref="L5516:L5517"/>
    <mergeCell ref="M5516:M5517"/>
    <mergeCell ref="N5516:N5517"/>
    <mergeCell ref="B5533:B5534"/>
    <mergeCell ref="D5533:D5534"/>
    <mergeCell ref="E5533:E5534"/>
    <mergeCell ref="F5533:F5534"/>
    <mergeCell ref="G5533:G5534"/>
    <mergeCell ref="H5533:H5534"/>
    <mergeCell ref="L5533:L5534"/>
    <mergeCell ref="M5533:M5534"/>
    <mergeCell ref="N5533:N5534"/>
    <mergeCell ref="F5835:F5836"/>
    <mergeCell ref="G5835:G5836"/>
    <mergeCell ref="H5835:H5836"/>
    <mergeCell ref="L5835:L5836"/>
    <mergeCell ref="M5835:M5836"/>
    <mergeCell ref="N5835:N5836"/>
    <mergeCell ref="B5772:B5773"/>
    <mergeCell ref="D5772:D5773"/>
    <mergeCell ref="E5772:E5773"/>
    <mergeCell ref="F5772:F5773"/>
    <mergeCell ref="G5772:G5773"/>
    <mergeCell ref="H5772:H5773"/>
    <mergeCell ref="L5772:L5773"/>
    <mergeCell ref="M5772:M5773"/>
    <mergeCell ref="N5772:N5773"/>
    <mergeCell ref="M5752:M5753"/>
    <mergeCell ref="N5752:N5753"/>
    <mergeCell ref="B5792:B5793"/>
    <mergeCell ref="D5792:D5793"/>
    <mergeCell ref="E5792:E5793"/>
    <mergeCell ref="F5792:F5793"/>
    <mergeCell ref="G5792:G5793"/>
    <mergeCell ref="H5792:H5793"/>
    <mergeCell ref="L5792:L5793"/>
    <mergeCell ref="M5792:M5793"/>
    <mergeCell ref="N5720:N5721"/>
    <mergeCell ref="B5735:B5736"/>
    <mergeCell ref="D5735:D5736"/>
    <mergeCell ref="K8084:L8084"/>
    <mergeCell ref="M8084:P8084"/>
    <mergeCell ref="M8037:M8038"/>
    <mergeCell ref="N8037:N8038"/>
    <mergeCell ref="B8052:B8053"/>
    <mergeCell ref="D8052:D8053"/>
    <mergeCell ref="E8052:E8053"/>
    <mergeCell ref="F8052:F8053"/>
    <mergeCell ref="G8052:G8053"/>
    <mergeCell ref="H8052:H8053"/>
    <mergeCell ref="L8052:L8053"/>
    <mergeCell ref="M8052:M8053"/>
    <mergeCell ref="L8022:L8023"/>
    <mergeCell ref="M8022:M8023"/>
    <mergeCell ref="N8022:N8023"/>
    <mergeCell ref="B8037:B8038"/>
    <mergeCell ref="D8037:D8038"/>
    <mergeCell ref="E8037:E8038"/>
    <mergeCell ref="F8037:F8038"/>
    <mergeCell ref="G8037:G8038"/>
    <mergeCell ref="H8037:H8038"/>
    <mergeCell ref="L8037:L8038"/>
    <mergeCell ref="B8022:B8023"/>
    <mergeCell ref="D8022:D8023"/>
    <mergeCell ref="E8022:E8023"/>
    <mergeCell ref="F8022:F8023"/>
    <mergeCell ref="G8022:G8023"/>
    <mergeCell ref="H8022:H8023"/>
    <mergeCell ref="B8085:B8086"/>
    <mergeCell ref="D8085:D8086"/>
    <mergeCell ref="E8085:E8086"/>
    <mergeCell ref="F8085:F8086"/>
    <mergeCell ref="G8085:G8086"/>
    <mergeCell ref="H8085:H8086"/>
    <mergeCell ref="I8085:I8086"/>
    <mergeCell ref="J8085:J8086"/>
    <mergeCell ref="K8085:K8086"/>
    <mergeCell ref="L8085:L8086"/>
    <mergeCell ref="M8085:M8086"/>
    <mergeCell ref="N8085:N8086"/>
    <mergeCell ref="O8085:O8086"/>
    <mergeCell ref="P8085:P8086"/>
    <mergeCell ref="B8107:B8108"/>
    <mergeCell ref="D8107:D8108"/>
    <mergeCell ref="E8107:E8108"/>
    <mergeCell ref="F8107:F8108"/>
    <mergeCell ref="G8107:G8108"/>
    <mergeCell ref="H8107:H8108"/>
    <mergeCell ref="L8107:L8108"/>
    <mergeCell ref="M8107:M8108"/>
    <mergeCell ref="N8107:N8108"/>
    <mergeCell ref="B8093:B8094"/>
    <mergeCell ref="D8093:D8094"/>
    <mergeCell ref="E8093:E8094"/>
    <mergeCell ref="F8093:F8094"/>
    <mergeCell ref="G8093:G8094"/>
    <mergeCell ref="H8093:H8094"/>
    <mergeCell ref="L8093:L8094"/>
    <mergeCell ref="B8308:B8309"/>
    <mergeCell ref="D8308:D8309"/>
    <mergeCell ref="E8308:E8309"/>
    <mergeCell ref="F8308:F8309"/>
    <mergeCell ref="G8308:G8309"/>
    <mergeCell ref="H8308:H8309"/>
    <mergeCell ref="L8308:L8309"/>
    <mergeCell ref="M8308:M8309"/>
    <mergeCell ref="N8308:N8309"/>
    <mergeCell ref="B8248:B8249"/>
    <mergeCell ref="D8248:D8249"/>
    <mergeCell ref="E8248:E8249"/>
    <mergeCell ref="F8248:F8249"/>
    <mergeCell ref="G8248:G8249"/>
    <mergeCell ref="H8248:H8249"/>
    <mergeCell ref="L8248:L8249"/>
    <mergeCell ref="M8248:M8249"/>
    <mergeCell ref="N8248:N8249"/>
    <mergeCell ref="B8263:B8264"/>
    <mergeCell ref="D8263:D8264"/>
    <mergeCell ref="E8263:E8264"/>
    <mergeCell ref="F8263:F8264"/>
    <mergeCell ref="B8293:B8294"/>
    <mergeCell ref="D8293:D8294"/>
    <mergeCell ref="E8293:E8294"/>
    <mergeCell ref="F8293:F8294"/>
    <mergeCell ref="G8293:G8294"/>
    <mergeCell ref="H8293:H8294"/>
    <mergeCell ref="L8293:L8294"/>
    <mergeCell ref="M8293:M8294"/>
    <mergeCell ref="N8293:N8294"/>
    <mergeCell ref="B8278:B8279"/>
    <mergeCell ref="D8278:D8279"/>
    <mergeCell ref="E8278:E8279"/>
    <mergeCell ref="F8278:F8279"/>
    <mergeCell ref="G8278:G8279"/>
    <mergeCell ref="H8278:H8279"/>
    <mergeCell ref="L8278:L8279"/>
    <mergeCell ref="M8278:M8279"/>
    <mergeCell ref="N8278:N8279"/>
    <mergeCell ref="B8214:B8215"/>
    <mergeCell ref="D8214:D8215"/>
    <mergeCell ref="E8214:E8215"/>
    <mergeCell ref="F8214:F8215"/>
    <mergeCell ref="G8214:G8215"/>
    <mergeCell ref="H8214:H8215"/>
    <mergeCell ref="L8214:L8215"/>
    <mergeCell ref="N8176:N8177"/>
    <mergeCell ref="B8195:B8196"/>
    <mergeCell ref="D8195:D8196"/>
    <mergeCell ref="E8195:E8196"/>
    <mergeCell ref="F8195:F8196"/>
    <mergeCell ref="G8195:G8196"/>
    <mergeCell ref="H8195:H8196"/>
    <mergeCell ref="L8195:L8196"/>
    <mergeCell ref="M8195:M8196"/>
    <mergeCell ref="N8195:N8196"/>
    <mergeCell ref="F8233:F8234"/>
    <mergeCell ref="G8233:G8234"/>
    <mergeCell ref="H8233:H8234"/>
    <mergeCell ref="L8233:L8234"/>
    <mergeCell ref="M8233:M8234"/>
    <mergeCell ref="N8233:N8234"/>
    <mergeCell ref="M8214:M8215"/>
    <mergeCell ref="N8214:N8215"/>
    <mergeCell ref="B8233:B8234"/>
    <mergeCell ref="D8233:D8234"/>
    <mergeCell ref="E8233:E8234"/>
    <mergeCell ref="G8263:G8264"/>
    <mergeCell ref="H8263:H8264"/>
    <mergeCell ref="L8263:L8264"/>
    <mergeCell ref="M8263:M8264"/>
    <mergeCell ref="N8263:N8264"/>
    <mergeCell ref="M8093:M8094"/>
    <mergeCell ref="N8093:N8094"/>
    <mergeCell ref="B8121:B8122"/>
    <mergeCell ref="D8121:D8122"/>
    <mergeCell ref="E8121:E8122"/>
    <mergeCell ref="F8121:F8122"/>
    <mergeCell ref="G8121:G8122"/>
    <mergeCell ref="H8121:H8122"/>
    <mergeCell ref="L8121:L8122"/>
    <mergeCell ref="M8121:M8122"/>
    <mergeCell ref="N8121:N8122"/>
    <mergeCell ref="B8152:B8153"/>
    <mergeCell ref="D8152:D8153"/>
    <mergeCell ref="E8152:E8153"/>
    <mergeCell ref="F8152:F8153"/>
    <mergeCell ref="G8152:G8153"/>
    <mergeCell ref="H8152:H8153"/>
    <mergeCell ref="L8152:L8153"/>
    <mergeCell ref="M8152:M8153"/>
    <mergeCell ref="N8152:N8153"/>
    <mergeCell ref="B8176:B8177"/>
    <mergeCell ref="D8176:D8177"/>
    <mergeCell ref="E8176:E8177"/>
  </mergeCells>
  <pageMargins left="0.11811023622047245" right="0.11811023622047245" top="0.74803149606299213" bottom="0.74803149606299213" header="0.31496062992125984" footer="0.31496062992125984"/>
  <pageSetup paperSize="9" scale="50" orientation="landscape" r:id="rId1"/>
  <ignoredErrors>
    <ignoredError sqref="P11175 K8157"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topLeftCell="A46" zoomScale="64" zoomScaleNormal="64" workbookViewId="0">
      <selection activeCell="G91" sqref="G91"/>
    </sheetView>
  </sheetViews>
  <sheetFormatPr defaultColWidth="10.90625" defaultRowHeight="14.5"/>
  <cols>
    <col min="1" max="1" width="29" customWidth="1"/>
    <col min="2" max="2" width="16.81640625" customWidth="1"/>
    <col min="3" max="3" width="7" customWidth="1"/>
    <col min="4" max="4" width="11.7265625" customWidth="1"/>
    <col min="5" max="5" width="9.453125" style="3496" customWidth="1"/>
    <col min="6" max="6" width="126" customWidth="1"/>
    <col min="7" max="7" width="15" customWidth="1"/>
    <col min="8" max="8" width="13.81640625" customWidth="1"/>
    <col min="9" max="9" width="12.81640625" style="28" customWidth="1"/>
    <col min="10" max="10" width="11.81640625" customWidth="1"/>
    <col min="11" max="11" width="13.81640625" customWidth="1"/>
    <col min="12" max="12" width="15" style="28" customWidth="1"/>
    <col min="13" max="13" width="14.54296875" customWidth="1"/>
    <col min="14" max="14" width="14.26953125" customWidth="1"/>
    <col min="15" max="15" width="18.453125" customWidth="1"/>
    <col min="16" max="16" width="20.1796875" bestFit="1" customWidth="1"/>
    <col min="17" max="17" width="26.7265625" style="3383" customWidth="1"/>
    <col min="18" max="18" width="33.1796875" style="2339" customWidth="1"/>
    <col min="19" max="19" width="24" customWidth="1"/>
    <col min="20" max="20" width="21.7265625" customWidth="1"/>
    <col min="21" max="21" width="8.1796875" customWidth="1"/>
    <col min="22" max="22" width="28.54296875" customWidth="1"/>
    <col min="23" max="23" width="15" customWidth="1"/>
  </cols>
  <sheetData>
    <row r="1" spans="1:19" ht="24.5">
      <c r="A1" s="4264" t="s">
        <v>1598</v>
      </c>
      <c r="B1" s="4264"/>
      <c r="C1" s="4264"/>
      <c r="D1" s="4264"/>
      <c r="E1" s="4264"/>
      <c r="F1" s="4264"/>
      <c r="G1" s="4264"/>
      <c r="H1" s="4264"/>
      <c r="I1" s="4264"/>
      <c r="J1" s="4264"/>
      <c r="K1" s="4264"/>
      <c r="L1" s="4264"/>
      <c r="M1" s="4264"/>
      <c r="N1" s="4264"/>
      <c r="O1" s="4264"/>
      <c r="P1" s="4264"/>
      <c r="Q1" s="4264"/>
      <c r="R1" s="4264"/>
    </row>
    <row r="2" spans="1:19" s="22" customFormat="1" ht="24.5">
      <c r="A2" s="3342"/>
      <c r="B2" s="3342"/>
      <c r="C2" s="3342"/>
      <c r="D2" s="3342"/>
      <c r="E2" s="3342"/>
      <c r="F2" s="3342"/>
      <c r="G2" s="3342"/>
      <c r="H2" s="3342"/>
      <c r="I2" s="3342"/>
      <c r="J2" s="3342"/>
      <c r="K2" s="3342"/>
      <c r="L2" s="3342"/>
      <c r="M2" s="3342"/>
      <c r="N2" s="3342"/>
      <c r="O2" s="3342"/>
      <c r="P2" s="3342"/>
      <c r="Q2" s="3381"/>
      <c r="R2" s="3342"/>
    </row>
    <row r="3" spans="1:19" ht="24.75" customHeight="1">
      <c r="A3" s="4552" t="s">
        <v>3347</v>
      </c>
      <c r="B3" s="4553"/>
      <c r="C3" s="4553"/>
      <c r="D3" s="4553"/>
      <c r="E3" s="4553"/>
      <c r="F3" s="4553"/>
      <c r="G3" s="4553"/>
      <c r="H3" s="4553"/>
      <c r="I3" s="4553"/>
      <c r="J3" s="4553"/>
      <c r="K3" s="4553"/>
      <c r="L3" s="4553"/>
      <c r="M3" s="4553"/>
      <c r="N3" s="4553"/>
      <c r="O3" s="4553"/>
      <c r="P3" s="4553"/>
      <c r="Q3" s="4553"/>
      <c r="R3" s="4554"/>
      <c r="S3" s="202"/>
    </row>
    <row r="4" spans="1:19" ht="21" customHeight="1">
      <c r="F4" s="3495"/>
      <c r="G4" s="3495"/>
      <c r="H4" s="3496"/>
      <c r="I4" s="3496"/>
      <c r="J4" s="3496"/>
      <c r="K4" s="3496"/>
      <c r="L4" s="3496"/>
      <c r="M4" s="3496"/>
      <c r="N4" s="3496"/>
      <c r="O4" s="3496"/>
      <c r="P4" s="3496"/>
      <c r="Q4" s="3382"/>
      <c r="R4" s="3496"/>
      <c r="S4" s="3496"/>
    </row>
    <row r="5" spans="1:19" ht="23.25" customHeight="1">
      <c r="A5" s="3338"/>
      <c r="B5" s="3339"/>
      <c r="C5" s="3339"/>
      <c r="D5" s="3339"/>
      <c r="E5" s="3340"/>
      <c r="F5" s="3341" t="s">
        <v>671</v>
      </c>
      <c r="G5" s="3337"/>
      <c r="H5" s="3337" t="str">
        <f>'Seleccion proyecto HEREVEA02'!L6</f>
        <v>c107</v>
      </c>
      <c r="I5" s="199"/>
      <c r="J5" s="1"/>
      <c r="K5" s="1"/>
      <c r="L5" s="199"/>
      <c r="M5" s="1"/>
      <c r="N5" s="1"/>
    </row>
    <row r="6" spans="1:19" s="22" customFormat="1" ht="23.25" customHeight="1" thickBot="1">
      <c r="E6" s="2120"/>
      <c r="F6" s="3335"/>
      <c r="G6" s="3335"/>
      <c r="H6" s="3335"/>
      <c r="I6" s="3336"/>
      <c r="J6" s="117"/>
      <c r="K6" s="117"/>
      <c r="L6" s="3336"/>
      <c r="M6" s="117"/>
      <c r="N6" s="117"/>
      <c r="Q6" s="3383"/>
      <c r="R6" s="2344"/>
    </row>
    <row r="7" spans="1:19" ht="19" thickBot="1">
      <c r="A7" s="4475" t="s">
        <v>3378</v>
      </c>
      <c r="B7" s="4476"/>
      <c r="C7" s="4476"/>
      <c r="D7" s="4476"/>
      <c r="E7" s="4476"/>
      <c r="F7" s="4476"/>
      <c r="G7" s="4476"/>
      <c r="H7" s="4476"/>
      <c r="I7" s="4476"/>
      <c r="J7" s="4476"/>
      <c r="K7" s="4476"/>
      <c r="L7" s="4476"/>
      <c r="M7" s="4476"/>
      <c r="N7" s="4476"/>
      <c r="O7" s="4476"/>
      <c r="P7" s="4476"/>
      <c r="Q7" s="4476"/>
      <c r="R7" s="3566" t="s">
        <v>3412</v>
      </c>
      <c r="S7" s="1570"/>
    </row>
    <row r="8" spans="1:19" ht="23.25" customHeight="1">
      <c r="F8" s="203"/>
      <c r="G8" s="203"/>
      <c r="H8" s="160"/>
      <c r="I8" s="199"/>
      <c r="J8" s="1"/>
      <c r="K8" s="1"/>
      <c r="L8" s="199"/>
      <c r="M8" s="1"/>
      <c r="N8" s="1"/>
      <c r="Q8" s="2339"/>
      <c r="R8" s="3487">
        <f>SUM(Q11:Q44)</f>
        <v>1403903.7284200001</v>
      </c>
    </row>
    <row r="9" spans="1:19" s="2319" customFormat="1" ht="18.5">
      <c r="A9" s="3432" t="s">
        <v>3379</v>
      </c>
      <c r="B9" s="3433"/>
      <c r="C9" s="3433"/>
      <c r="D9" s="3434"/>
      <c r="E9" s="3435" t="s">
        <v>1617</v>
      </c>
      <c r="F9" s="3436" t="s">
        <v>3380</v>
      </c>
      <c r="G9" s="3437"/>
      <c r="H9" s="3438"/>
      <c r="I9" s="3439"/>
      <c r="J9" s="3438"/>
      <c r="K9" s="3438"/>
      <c r="L9" s="3439"/>
      <c r="M9" s="3438"/>
      <c r="N9" s="3438"/>
      <c r="O9" s="3438"/>
      <c r="P9" s="3440"/>
      <c r="Q9" s="3441"/>
    </row>
    <row r="10" spans="1:19" ht="23.25" customHeight="1">
      <c r="F10" s="203"/>
      <c r="G10" s="203"/>
      <c r="H10" s="160"/>
      <c r="I10" s="199"/>
      <c r="J10" s="1"/>
      <c r="K10" s="1"/>
      <c r="L10" s="199"/>
      <c r="M10" s="1"/>
      <c r="N10" s="1"/>
      <c r="Q10" s="2339"/>
      <c r="R10"/>
    </row>
    <row r="11" spans="1:19" ht="23.25" customHeight="1">
      <c r="A11" s="4555"/>
      <c r="B11" s="4556"/>
      <c r="C11" s="4556"/>
      <c r="D11" s="4557"/>
      <c r="E11" s="4558"/>
      <c r="F11" s="4559"/>
      <c r="G11" s="4493" t="s">
        <v>294</v>
      </c>
      <c r="H11" s="4488"/>
      <c r="I11" s="1664" t="s">
        <v>1565</v>
      </c>
      <c r="J11" s="3491" t="s">
        <v>1575</v>
      </c>
      <c r="K11" s="4493" t="s">
        <v>289</v>
      </c>
      <c r="L11" s="4493"/>
      <c r="M11" s="4408" t="s">
        <v>1564</v>
      </c>
      <c r="N11" s="4408"/>
      <c r="O11" s="4408"/>
      <c r="P11" s="4408"/>
      <c r="Q11" s="3394" t="s">
        <v>3350</v>
      </c>
      <c r="R11" s="3497"/>
    </row>
    <row r="12" spans="1:19" ht="23.25" customHeight="1">
      <c r="A12" s="4377"/>
      <c r="B12" s="4378"/>
      <c r="C12" s="4378"/>
      <c r="D12" s="4379"/>
      <c r="E12" s="4381"/>
      <c r="F12" s="4536"/>
      <c r="G12" s="4410">
        <f>IF('Seleccion proyecto HEREVEA02'!G8="Edificio exento estructura muros fábrica m.mecánicos",'Seleccion proyecto HEREVEA02'!E8,0)</f>
        <v>0</v>
      </c>
      <c r="H12" s="4411"/>
      <c r="I12" s="3494">
        <f>IF('Seleccion proyecto HEREVEA02'!H8=0,0,IF('Seleccion proyecto HEREVEA02'!H8=100,1))</f>
        <v>1</v>
      </c>
      <c r="J12" s="1351">
        <f>'[4]Seleccion proyecto HEREVEA02'!L8</f>
        <v>5550.5</v>
      </c>
      <c r="K12" s="4519">
        <f>J12*I12</f>
        <v>5550.5</v>
      </c>
      <c r="L12" s="4520"/>
      <c r="M12" s="4360"/>
      <c r="N12" s="4528"/>
      <c r="O12" s="4528"/>
      <c r="P12" s="4449"/>
      <c r="Q12" s="3388">
        <f>G12*I12*K12*P14</f>
        <v>0</v>
      </c>
      <c r="R12" s="2341" t="s">
        <v>2799</v>
      </c>
    </row>
    <row r="13" spans="1:19" ht="23.25" customHeight="1">
      <c r="A13" s="88"/>
      <c r="B13" s="4560" t="s">
        <v>3381</v>
      </c>
      <c r="C13" s="3442"/>
      <c r="D13" s="4561"/>
      <c r="E13" s="4562" t="s">
        <v>1605</v>
      </c>
      <c r="F13" s="4338" t="s">
        <v>3382</v>
      </c>
      <c r="G13" s="4564" t="s">
        <v>1568</v>
      </c>
      <c r="H13" s="4564" t="s">
        <v>1574</v>
      </c>
      <c r="I13" s="1572" t="s">
        <v>1559</v>
      </c>
      <c r="J13" s="1294" t="s">
        <v>1560</v>
      </c>
      <c r="K13" s="1294" t="s">
        <v>1569</v>
      </c>
      <c r="L13" s="4565" t="s">
        <v>1570</v>
      </c>
      <c r="M13" s="4551" t="s">
        <v>1571</v>
      </c>
      <c r="N13" s="4551" t="s">
        <v>1776</v>
      </c>
      <c r="O13" s="3490" t="s">
        <v>1563</v>
      </c>
      <c r="P13" s="1566" t="s">
        <v>1562</v>
      </c>
      <c r="Q13" s="1636"/>
      <c r="R13" s="1699" t="s">
        <v>1327</v>
      </c>
    </row>
    <row r="14" spans="1:19" ht="23.25" customHeight="1">
      <c r="A14" s="1320"/>
      <c r="B14" s="4326"/>
      <c r="C14" s="3493"/>
      <c r="D14" s="4328"/>
      <c r="E14" s="4563"/>
      <c r="F14" s="4338" t="s">
        <v>1</v>
      </c>
      <c r="G14" s="4332"/>
      <c r="H14" s="4332"/>
      <c r="I14" s="1345">
        <v>1</v>
      </c>
      <c r="J14" s="1350">
        <v>1</v>
      </c>
      <c r="K14" s="1350">
        <f>J14*I14</f>
        <v>1</v>
      </c>
      <c r="L14" s="4334"/>
      <c r="M14" s="4324"/>
      <c r="N14" s="4324"/>
      <c r="O14" s="1298">
        <f>SUM(O16:O27)</f>
        <v>6.5169499999999996</v>
      </c>
      <c r="P14" s="1698">
        <f>K14*O14</f>
        <v>6.5169499999999996</v>
      </c>
      <c r="Q14" s="3012"/>
      <c r="R14" s="1721">
        <f>SUM(P15:P27)</f>
        <v>6.5169499999999996</v>
      </c>
    </row>
    <row r="15" spans="1:19" ht="23.25" customHeight="1">
      <c r="D15" s="1367"/>
      <c r="E15" s="2121"/>
      <c r="F15" s="1568" t="s">
        <v>1</v>
      </c>
      <c r="G15" s="1389"/>
      <c r="H15" s="1389"/>
      <c r="I15" s="1554"/>
      <c r="J15" s="1367"/>
      <c r="K15" s="1389" t="str">
        <f>IF(COUNT(G15:J15)=0,"",(SUM(G15:J15)/COUNT(G15:J15)))</f>
        <v/>
      </c>
      <c r="L15" s="1367"/>
      <c r="M15" s="1367" t="str">
        <f t="shared" ref="M15:M18" si="0">IF(COUNT(K15)=0,"",(K15*L15))</f>
        <v/>
      </c>
      <c r="N15" s="1367"/>
      <c r="O15" s="1389" t="str">
        <f>IF(COUNT(M15)=0,"",IF(S14="","",(M15*S14)))</f>
        <v/>
      </c>
      <c r="P15" s="1367"/>
      <c r="Q15" s="16"/>
      <c r="R15" s="3497"/>
    </row>
    <row r="16" spans="1:19" ht="23.25" customHeight="1">
      <c r="D16" s="1370"/>
      <c r="E16" s="2122"/>
      <c r="F16" s="1384"/>
      <c r="G16" s="1567"/>
      <c r="H16" s="1567"/>
      <c r="I16" s="1299"/>
      <c r="J16" s="1300"/>
      <c r="K16" s="1307" t="str">
        <f>IF(COUNT(G16:J16)=0,"",(SUM(G16:J16)/COUNT(G16:J16)))</f>
        <v/>
      </c>
      <c r="L16" s="1335"/>
      <c r="M16" s="1302" t="str">
        <f t="shared" si="0"/>
        <v/>
      </c>
      <c r="N16" s="1700"/>
      <c r="O16" s="1290" t="str">
        <f>IF(COUNT(M16)=0,"",IF(S14="","",(M16*S14)))</f>
        <v/>
      </c>
      <c r="P16" s="1332"/>
      <c r="Q16" s="1292"/>
      <c r="R16" s="3443" t="s">
        <v>3383</v>
      </c>
    </row>
    <row r="17" spans="1:18" ht="23.25" customHeight="1">
      <c r="D17" s="1370"/>
      <c r="E17" s="2122"/>
      <c r="F17" s="1384"/>
      <c r="G17" s="1567"/>
      <c r="H17" s="1567"/>
      <c r="I17" s="1299"/>
      <c r="J17" s="1300"/>
      <c r="K17" s="1307" t="str">
        <f>IF(COUNT(G17:J17)=0,"",(SUM(G17:J17)/COUNT(G17:J17)))</f>
        <v/>
      </c>
      <c r="L17" s="1335"/>
      <c r="M17" s="1302" t="str">
        <f t="shared" si="0"/>
        <v/>
      </c>
      <c r="N17" s="1700"/>
      <c r="O17" s="1290" t="str">
        <f>IF(COUNT(M17)=0,"",IF(S14="","",(M17*S14)))</f>
        <v/>
      </c>
      <c r="P17" s="1332"/>
      <c r="Q17" s="1292"/>
      <c r="R17" s="3443" t="s">
        <v>3384</v>
      </c>
    </row>
    <row r="18" spans="1:18" ht="23.25" customHeight="1">
      <c r="D18" s="1370"/>
      <c r="E18" s="2122"/>
      <c r="F18" s="1384"/>
      <c r="G18" s="1567"/>
      <c r="H18" s="1567"/>
      <c r="I18" s="1299"/>
      <c r="J18" s="1300"/>
      <c r="K18" s="1307" t="str">
        <f>IF(COUNT(G18:J18)=0,"",(SUM(G18:J18)/COUNT(G18:J18)))</f>
        <v/>
      </c>
      <c r="L18" s="1335"/>
      <c r="M18" s="1302" t="str">
        <f t="shared" si="0"/>
        <v/>
      </c>
      <c r="N18" s="1700"/>
      <c r="O18" s="1290" t="str">
        <f>IF(COUNT(M18)=0,"",IF(S14="","",(M18*S14)))</f>
        <v/>
      </c>
      <c r="P18" s="1332"/>
      <c r="Q18" s="1292"/>
      <c r="R18" s="3497"/>
    </row>
    <row r="19" spans="1:18" ht="23.25" customHeight="1">
      <c r="D19" s="1359"/>
      <c r="E19" s="1858"/>
      <c r="F19" s="1360" t="s">
        <v>2</v>
      </c>
      <c r="G19" s="1362"/>
      <c r="H19" s="1362"/>
      <c r="I19" s="1381"/>
      <c r="J19" s="1362"/>
      <c r="K19" s="1380" t="str">
        <f>IF(COUNT(G19:J19)=0,"",(SUM(G19:J19)/COUNT(G19:J19)))</f>
        <v/>
      </c>
      <c r="L19" s="1381"/>
      <c r="M19" s="1381"/>
      <c r="N19" s="1381"/>
      <c r="O19" s="1359" t="str">
        <f>IF(COUNT(M19)=0,"",IF(S14="","",(M19*S14)))</f>
        <v/>
      </c>
      <c r="P19" s="1359"/>
      <c r="Q19" s="16"/>
      <c r="R19" s="3497"/>
    </row>
    <row r="20" spans="1:18" ht="23.25" customHeight="1">
      <c r="D20" s="3444" t="s">
        <v>1077</v>
      </c>
      <c r="E20" s="3444" t="s">
        <v>1508</v>
      </c>
      <c r="F20" s="3444" t="s">
        <v>1539</v>
      </c>
      <c r="G20" s="3445">
        <v>0.03</v>
      </c>
      <c r="H20" s="1362"/>
      <c r="I20" s="1289"/>
      <c r="J20" s="1341"/>
      <c r="K20" s="1350">
        <f>G20*K14</f>
        <v>0.03</v>
      </c>
      <c r="L20" s="1335">
        <f>K20*J12</f>
        <v>166.51499999999999</v>
      </c>
      <c r="M20" s="1302">
        <v>19.23</v>
      </c>
      <c r="N20" s="1700"/>
      <c r="O20" s="1290">
        <f>G20*M20</f>
        <v>0.57689999999999997</v>
      </c>
      <c r="P20" s="1332">
        <f>M20*K20</f>
        <v>0.57689999999999997</v>
      </c>
      <c r="Q20" s="1292"/>
      <c r="R20" s="3497"/>
    </row>
    <row r="21" spans="1:18" ht="23.25" customHeight="1">
      <c r="D21" s="3444" t="s">
        <v>1067</v>
      </c>
      <c r="E21" s="3444" t="s">
        <v>1508</v>
      </c>
      <c r="F21" s="3444" t="s">
        <v>1512</v>
      </c>
      <c r="G21" s="3445">
        <v>0.28499999999999998</v>
      </c>
      <c r="H21" s="1362"/>
      <c r="I21" s="1289"/>
      <c r="J21" s="1341"/>
      <c r="K21" s="1350">
        <f>G21*K14</f>
        <v>0.28499999999999998</v>
      </c>
      <c r="L21" s="1335">
        <f>K21*J12</f>
        <v>1581.8924999999999</v>
      </c>
      <c r="M21" s="1302">
        <v>18.28</v>
      </c>
      <c r="N21" s="1700"/>
      <c r="O21" s="1290">
        <f>G21*M21</f>
        <v>5.2097999999999995</v>
      </c>
      <c r="P21" s="1332">
        <f>M21*K21</f>
        <v>5.2097999999999995</v>
      </c>
      <c r="Q21" s="1292"/>
      <c r="R21" s="3497"/>
    </row>
    <row r="22" spans="1:18" ht="23.25" customHeight="1">
      <c r="D22" s="1359"/>
      <c r="E22" s="1858"/>
      <c r="F22" s="1571"/>
      <c r="G22" s="1362"/>
      <c r="H22" s="1362"/>
      <c r="I22" s="1289"/>
      <c r="J22" s="1341"/>
      <c r="K22" s="1307" t="str">
        <f>IF(COUNT(G22:J22)=0,"",(SUM(G22:J22)/COUNT(G22:J22)))</f>
        <v/>
      </c>
      <c r="L22" s="1335"/>
      <c r="M22" s="1302" t="str">
        <f>IF(COUNT(K22)=0,"",(K22*L22))</f>
        <v/>
      </c>
      <c r="N22" s="1700"/>
      <c r="O22" s="1290" t="str">
        <f>IF(COUNT(M22)=0,"",IF(S14="","",(M22*S14)))</f>
        <v/>
      </c>
      <c r="P22" s="1332"/>
      <c r="Q22" s="1292"/>
      <c r="R22" s="3497"/>
    </row>
    <row r="23" spans="1:18" ht="23.25" customHeight="1">
      <c r="D23" s="1373"/>
      <c r="E23" s="2123"/>
      <c r="F23" s="1374" t="s">
        <v>3</v>
      </c>
      <c r="G23" s="1376"/>
      <c r="H23" s="1376"/>
      <c r="I23" s="1382"/>
      <c r="J23" s="1383"/>
      <c r="K23" s="1383" t="str">
        <f>IF(COUNT(G23:J23)=0,"",(SUM(G23:J23)/COUNT(G23:J23)))</f>
        <v/>
      </c>
      <c r="L23" s="1413"/>
      <c r="M23" s="1376" t="str">
        <f>IF(COUNT(K23)=0,"",(K23*L23))</f>
        <v/>
      </c>
      <c r="N23" s="1376"/>
      <c r="O23" s="1376" t="str">
        <f>IF(COUNT(M23)=0,"",IF(S14="","",(M23*S14)))</f>
        <v/>
      </c>
      <c r="P23" s="1373"/>
      <c r="Q23" s="16"/>
      <c r="R23" s="3497"/>
    </row>
    <row r="24" spans="1:18" ht="23.25" customHeight="1">
      <c r="D24" s="1377" t="s">
        <v>1080</v>
      </c>
      <c r="E24" s="2124" t="s">
        <v>1508</v>
      </c>
      <c r="F24" s="1378" t="s">
        <v>1511</v>
      </c>
      <c r="G24" s="1379">
        <v>0.115</v>
      </c>
      <c r="H24" s="1379"/>
      <c r="I24" s="1299"/>
      <c r="J24" s="1300"/>
      <c r="K24" s="1350">
        <f>G24*K14</f>
        <v>0.115</v>
      </c>
      <c r="L24" s="1335">
        <f>K24*J12</f>
        <v>638.3075</v>
      </c>
      <c r="M24" s="1302">
        <v>6.35</v>
      </c>
      <c r="N24" s="1700"/>
      <c r="O24" s="1290">
        <f>G24*M24</f>
        <v>0.73024999999999995</v>
      </c>
      <c r="P24" s="1332">
        <f>M24*K24</f>
        <v>0.73024999999999995</v>
      </c>
      <c r="Q24" s="1292"/>
      <c r="R24" s="2337"/>
    </row>
    <row r="25" spans="1:18" ht="23.25" customHeight="1">
      <c r="D25" s="1377"/>
      <c r="E25" s="2124"/>
      <c r="F25" s="1378"/>
      <c r="G25" s="1379"/>
      <c r="H25" s="1379"/>
      <c r="I25" s="1299"/>
      <c r="J25" s="1300"/>
      <c r="K25" s="1350"/>
      <c r="L25" s="1335"/>
      <c r="M25" s="1302"/>
      <c r="N25" s="1700"/>
      <c r="O25" s="1290"/>
      <c r="P25" s="1332"/>
      <c r="Q25" s="1292"/>
      <c r="R25" s="3497"/>
    </row>
    <row r="26" spans="1:18" ht="23.25" customHeight="1">
      <c r="D26" s="1377"/>
      <c r="E26" s="2124"/>
      <c r="F26" s="1378"/>
      <c r="G26" s="1379"/>
      <c r="H26" s="1379"/>
      <c r="I26" s="1299"/>
      <c r="J26" s="1300"/>
      <c r="K26" s="1307"/>
      <c r="L26" s="1335"/>
      <c r="M26" s="1302"/>
      <c r="N26" s="1700"/>
      <c r="O26" s="1290"/>
      <c r="P26" s="1332"/>
      <c r="Q26" s="1292"/>
      <c r="R26" s="3497"/>
    </row>
    <row r="27" spans="1:18" ht="23.25" customHeight="1">
      <c r="D27" s="1377"/>
      <c r="E27" s="2124"/>
      <c r="F27" s="1378"/>
      <c r="G27" s="1379"/>
      <c r="H27" s="1379"/>
      <c r="I27" s="1299"/>
      <c r="J27" s="1300"/>
      <c r="K27" s="1307"/>
      <c r="L27" s="1335"/>
      <c r="M27" s="1302"/>
      <c r="N27" s="1700"/>
      <c r="O27" s="1290"/>
      <c r="P27" s="1332"/>
      <c r="Q27" s="1292"/>
      <c r="R27" s="3497"/>
    </row>
    <row r="28" spans="1:18" ht="23.25" customHeight="1">
      <c r="A28" s="4555"/>
      <c r="B28" s="4556"/>
      <c r="C28" s="4556"/>
      <c r="D28" s="4557"/>
      <c r="E28" s="4558"/>
      <c r="F28" s="4559"/>
      <c r="G28" s="4493" t="s">
        <v>294</v>
      </c>
      <c r="H28" s="4488"/>
      <c r="I28" s="1664" t="s">
        <v>1565</v>
      </c>
      <c r="J28" s="3491" t="s">
        <v>1575</v>
      </c>
      <c r="K28" s="4493" t="s">
        <v>289</v>
      </c>
      <c r="L28" s="4493"/>
      <c r="M28" s="4408" t="s">
        <v>1564</v>
      </c>
      <c r="N28" s="4408"/>
      <c r="O28" s="4408"/>
      <c r="P28" s="4408"/>
      <c r="Q28" s="3394" t="s">
        <v>3350</v>
      </c>
      <c r="R28" s="3497"/>
    </row>
    <row r="29" spans="1:18" ht="23.25" customHeight="1">
      <c r="A29" s="4377"/>
      <c r="B29" s="4378"/>
      <c r="C29" s="4378"/>
      <c r="D29" s="4379"/>
      <c r="E29" s="4381"/>
      <c r="F29" s="4536"/>
      <c r="G29" s="4410">
        <f>IF('Seleccion proyecto HEREVEA02'!G8="Edificio exento estructura hormigón m.mecánicos",'Seleccion proyecto HEREVEA02'!E8,0)</f>
        <v>30.5</v>
      </c>
      <c r="H29" s="4411"/>
      <c r="I29" s="3494">
        <f>IF('Seleccion proyecto HEREVEA02'!H8=0,0,IF('Seleccion proyecto HEREVEA02'!H8=100,1))</f>
        <v>1</v>
      </c>
      <c r="J29" s="1351">
        <f>'[4]Seleccion proyecto HEREVEA02'!L8</f>
        <v>5550.5</v>
      </c>
      <c r="K29" s="4519">
        <f>J29*I29</f>
        <v>5550.5</v>
      </c>
      <c r="L29" s="4520"/>
      <c r="M29" s="4360"/>
      <c r="N29" s="4528"/>
      <c r="O29" s="4528"/>
      <c r="P29" s="4449"/>
      <c r="Q29" s="3388">
        <f>G29*I29*K29*P31</f>
        <v>1403903.7284200001</v>
      </c>
      <c r="R29" s="2341" t="s">
        <v>2799</v>
      </c>
    </row>
    <row r="30" spans="1:18" ht="23.25" customHeight="1">
      <c r="A30" s="88"/>
      <c r="B30" s="4560" t="s">
        <v>3385</v>
      </c>
      <c r="C30" s="3442"/>
      <c r="D30" s="4561"/>
      <c r="E30" s="4562" t="s">
        <v>1605</v>
      </c>
      <c r="F30" s="4338" t="s">
        <v>3386</v>
      </c>
      <c r="G30" s="4564" t="s">
        <v>1568</v>
      </c>
      <c r="H30" s="4564" t="s">
        <v>1574</v>
      </c>
      <c r="I30" s="1572" t="s">
        <v>1559</v>
      </c>
      <c r="J30" s="1294" t="s">
        <v>1560</v>
      </c>
      <c r="K30" s="1294" t="s">
        <v>1569</v>
      </c>
      <c r="L30" s="4565" t="s">
        <v>1570</v>
      </c>
      <c r="M30" s="4551" t="s">
        <v>1571</v>
      </c>
      <c r="N30" s="4551" t="s">
        <v>1776</v>
      </c>
      <c r="O30" s="3490" t="s">
        <v>1563</v>
      </c>
      <c r="P30" s="1566" t="s">
        <v>1562</v>
      </c>
      <c r="Q30" s="1636"/>
      <c r="R30" s="1699" t="s">
        <v>1327</v>
      </c>
    </row>
    <row r="31" spans="1:18" ht="23.25" customHeight="1">
      <c r="A31" s="1320"/>
      <c r="B31" s="4326"/>
      <c r="C31" s="3493"/>
      <c r="D31" s="4328"/>
      <c r="E31" s="4563"/>
      <c r="F31" s="4338" t="s">
        <v>1</v>
      </c>
      <c r="G31" s="4332"/>
      <c r="H31" s="4332"/>
      <c r="I31" s="1345">
        <v>1</v>
      </c>
      <c r="J31" s="1350">
        <v>1</v>
      </c>
      <c r="K31" s="1350">
        <f>I31*J31</f>
        <v>1</v>
      </c>
      <c r="L31" s="4334"/>
      <c r="M31" s="4324"/>
      <c r="N31" s="4324"/>
      <c r="O31" s="1298">
        <f>SUM(O33:O44)</f>
        <v>8.2928800000000003</v>
      </c>
      <c r="P31" s="1698">
        <f>K31*O31</f>
        <v>8.2928800000000003</v>
      </c>
      <c r="Q31" s="3012"/>
      <c r="R31" s="1721">
        <f>SUM(P32:P44)</f>
        <v>8.2928800000000003</v>
      </c>
    </row>
    <row r="32" spans="1:18" ht="23.25" customHeight="1">
      <c r="D32" s="1367"/>
      <c r="E32" s="2121"/>
      <c r="F32" s="1568" t="s">
        <v>1</v>
      </c>
      <c r="G32" s="1389"/>
      <c r="H32" s="1389"/>
      <c r="I32" s="1554"/>
      <c r="J32" s="1367"/>
      <c r="K32" s="1389" t="str">
        <f>IF(COUNT(G32:J32)=0,"",(SUM(G32:J32)/COUNT(G32:J32)))</f>
        <v/>
      </c>
      <c r="L32" s="1367"/>
      <c r="M32" s="1367" t="str">
        <f t="shared" ref="M32:M35" si="1">IF(COUNT(K32)=0,"",(K32*L32))</f>
        <v/>
      </c>
      <c r="N32" s="1367"/>
      <c r="O32" s="1389" t="str">
        <f>IF(COUNT(M32)=0,"",IF(S31="","",(M32*S31)))</f>
        <v/>
      </c>
      <c r="P32" s="1367"/>
      <c r="Q32" s="16"/>
      <c r="R32" s="3497"/>
    </row>
    <row r="33" spans="1:18" ht="23.25" customHeight="1">
      <c r="D33" s="1370"/>
      <c r="E33" s="2122"/>
      <c r="F33" s="1384"/>
      <c r="G33" s="1567"/>
      <c r="H33" s="1567"/>
      <c r="I33" s="1299"/>
      <c r="J33" s="1300"/>
      <c r="K33" s="1307" t="str">
        <f>IF(COUNT(G33:J33)=0,"",(SUM(G33:J33)/COUNT(G33:J33)))</f>
        <v/>
      </c>
      <c r="L33" s="1335"/>
      <c r="M33" s="1302" t="str">
        <f t="shared" si="1"/>
        <v/>
      </c>
      <c r="N33" s="1700"/>
      <c r="O33" s="1290" t="str">
        <f>IF(COUNT(M33)=0,"",IF(S31="","",(M33*S31)))</f>
        <v/>
      </c>
      <c r="P33" s="1332"/>
      <c r="Q33" s="1292"/>
      <c r="R33" s="3443" t="s">
        <v>3383</v>
      </c>
    </row>
    <row r="34" spans="1:18" ht="23.25" customHeight="1">
      <c r="D34" s="1370"/>
      <c r="E34" s="2122"/>
      <c r="F34" s="1384"/>
      <c r="G34" s="1567"/>
      <c r="H34" s="1567"/>
      <c r="I34" s="1299"/>
      <c r="J34" s="1300"/>
      <c r="K34" s="1307" t="str">
        <f>IF(COUNT(G34:J34)=0,"",(SUM(G34:J34)/COUNT(G34:J34)))</f>
        <v/>
      </c>
      <c r="L34" s="1335"/>
      <c r="M34" s="1302" t="str">
        <f t="shared" si="1"/>
        <v/>
      </c>
      <c r="N34" s="1700"/>
      <c r="O34" s="1290" t="str">
        <f>IF(COUNT(M34)=0,"",IF(S31="","",(M34*S31)))</f>
        <v/>
      </c>
      <c r="P34" s="1332"/>
      <c r="Q34" s="1292"/>
      <c r="R34" s="3443" t="s">
        <v>3384</v>
      </c>
    </row>
    <row r="35" spans="1:18" ht="23.25" customHeight="1">
      <c r="D35" s="1370"/>
      <c r="E35" s="2122"/>
      <c r="F35" s="1384"/>
      <c r="G35" s="1567"/>
      <c r="H35" s="1567"/>
      <c r="I35" s="1299"/>
      <c r="J35" s="1300"/>
      <c r="K35" s="1307" t="str">
        <f>IF(COUNT(G35:J35)=0,"",(SUM(G35:J35)/COUNT(G35:J35)))</f>
        <v/>
      </c>
      <c r="L35" s="1335"/>
      <c r="M35" s="1302" t="str">
        <f t="shared" si="1"/>
        <v/>
      </c>
      <c r="N35" s="1700"/>
      <c r="O35" s="1290" t="str">
        <f>IF(COUNT(M35)=0,"",IF(S31="","",(M35*S31)))</f>
        <v/>
      </c>
      <c r="P35" s="1332"/>
      <c r="Q35" s="1292"/>
      <c r="R35" s="3497"/>
    </row>
    <row r="36" spans="1:18" ht="23.25" customHeight="1">
      <c r="D36" s="1359"/>
      <c r="E36" s="1858"/>
      <c r="F36" s="1360" t="s">
        <v>2</v>
      </c>
      <c r="G36" s="1362"/>
      <c r="H36" s="1362"/>
      <c r="I36" s="1381"/>
      <c r="J36" s="1362"/>
      <c r="K36" s="1380" t="str">
        <f>IF(COUNT(G36:J36)=0,"",(SUM(G36:J36)/COUNT(G36:J36)))</f>
        <v/>
      </c>
      <c r="L36" s="1381"/>
      <c r="M36" s="1381"/>
      <c r="N36" s="1381"/>
      <c r="O36" s="1359" t="str">
        <f>IF(COUNT(M36)=0,"",IF(S31="","",(M36*S31)))</f>
        <v/>
      </c>
      <c r="P36" s="1359"/>
      <c r="Q36" s="16"/>
      <c r="R36" s="3497"/>
    </row>
    <row r="37" spans="1:18" ht="23.25" customHeight="1">
      <c r="D37" s="3444" t="s">
        <v>1077</v>
      </c>
      <c r="E37" s="3444" t="s">
        <v>1508</v>
      </c>
      <c r="F37" s="3444" t="s">
        <v>1539</v>
      </c>
      <c r="G37" s="3445">
        <v>0.04</v>
      </c>
      <c r="H37" s="1362"/>
      <c r="I37" s="1289"/>
      <c r="J37" s="1341"/>
      <c r="K37" s="1350">
        <f>G37*K31</f>
        <v>0.04</v>
      </c>
      <c r="L37" s="1335">
        <f>K37*J12</f>
        <v>222.02</v>
      </c>
      <c r="M37" s="1302">
        <v>19.23</v>
      </c>
      <c r="N37" s="1700"/>
      <c r="O37" s="1290">
        <f>G37*M37</f>
        <v>0.76919999999999999</v>
      </c>
      <c r="P37" s="1332">
        <f>M37*K37</f>
        <v>0.76919999999999999</v>
      </c>
      <c r="Q37" s="1292"/>
      <c r="R37" s="3497"/>
    </row>
    <row r="38" spans="1:18" ht="23.25" customHeight="1">
      <c r="D38" s="3444" t="s">
        <v>1067</v>
      </c>
      <c r="E38" s="3444" t="s">
        <v>1508</v>
      </c>
      <c r="F38" s="3444" t="s">
        <v>1512</v>
      </c>
      <c r="G38" s="3445">
        <v>0.35599999999999998</v>
      </c>
      <c r="H38" s="1362"/>
      <c r="I38" s="1289"/>
      <c r="J38" s="1341"/>
      <c r="K38" s="1350">
        <f>G38*K31</f>
        <v>0.35599999999999998</v>
      </c>
      <c r="L38" s="1335">
        <f>K38*J12</f>
        <v>1975.9779999999998</v>
      </c>
      <c r="M38" s="1302">
        <v>18.28</v>
      </c>
      <c r="N38" s="1700"/>
      <c r="O38" s="1290">
        <f>G38*M38</f>
        <v>6.5076799999999997</v>
      </c>
      <c r="P38" s="1332">
        <f>M38*K38</f>
        <v>6.5076799999999997</v>
      </c>
      <c r="Q38" s="1292"/>
      <c r="R38" s="3497"/>
    </row>
    <row r="39" spans="1:18" ht="23.25" customHeight="1">
      <c r="D39" s="1359"/>
      <c r="E39" s="1858"/>
      <c r="F39" s="1571"/>
      <c r="G39" s="1362"/>
      <c r="H39" s="1362"/>
      <c r="I39" s="1289"/>
      <c r="J39" s="1341"/>
      <c r="K39" s="1307" t="str">
        <f>IF(COUNT(G39:J39)=0,"",(SUM(G39:J39)/COUNT(G39:J39)))</f>
        <v/>
      </c>
      <c r="L39" s="1335"/>
      <c r="M39" s="1302" t="str">
        <f>IF(COUNT(K39)=0,"",(K39*L39))</f>
        <v/>
      </c>
      <c r="N39" s="1700"/>
      <c r="O39" s="1290" t="str">
        <f>IF(COUNT(M39)=0,"",IF(S31="","",(M39*S31)))</f>
        <v/>
      </c>
      <c r="P39" s="1332"/>
      <c r="Q39" s="1292"/>
      <c r="R39" s="3497"/>
    </row>
    <row r="40" spans="1:18" ht="23.25" customHeight="1">
      <c r="D40" s="1373"/>
      <c r="E40" s="2123"/>
      <c r="F40" s="1374" t="s">
        <v>3</v>
      </c>
      <c r="G40" s="1376"/>
      <c r="H40" s="1376"/>
      <c r="I40" s="1382"/>
      <c r="J40" s="1383"/>
      <c r="K40" s="1383" t="str">
        <f>IF(COUNT(G40:J40)=0,"",(SUM(G40:J40)/COUNT(G40:J40)))</f>
        <v/>
      </c>
      <c r="L40" s="1413"/>
      <c r="M40" s="1376" t="str">
        <f>IF(COUNT(K40)=0,"",(K40*L40))</f>
        <v/>
      </c>
      <c r="N40" s="1376"/>
      <c r="O40" s="1376" t="str">
        <f>IF(COUNT(M40)=0,"",IF(S31="","",(M40*S31)))</f>
        <v/>
      </c>
      <c r="P40" s="1373"/>
      <c r="Q40" s="16"/>
      <c r="R40" s="3497"/>
    </row>
    <row r="41" spans="1:18" ht="23.25" customHeight="1">
      <c r="D41" s="1377" t="s">
        <v>1080</v>
      </c>
      <c r="E41" s="2124" t="s">
        <v>1508</v>
      </c>
      <c r="F41" s="1378" t="s">
        <v>1511</v>
      </c>
      <c r="G41" s="1379">
        <v>0.16</v>
      </c>
      <c r="H41" s="1379"/>
      <c r="I41" s="1299"/>
      <c r="J41" s="1300"/>
      <c r="K41" s="1350">
        <f>G41*K31</f>
        <v>0.16</v>
      </c>
      <c r="L41" s="1335">
        <f>K41*J12</f>
        <v>888.08</v>
      </c>
      <c r="M41" s="1302">
        <v>6.35</v>
      </c>
      <c r="N41" s="1700"/>
      <c r="O41" s="1290">
        <f>G41*M41</f>
        <v>1.016</v>
      </c>
      <c r="P41" s="1332">
        <f>M41*K41</f>
        <v>1.016</v>
      </c>
      <c r="Q41" s="1292"/>
      <c r="R41" s="2337"/>
    </row>
    <row r="42" spans="1:18" ht="23.25" customHeight="1">
      <c r="D42" s="1377"/>
      <c r="E42" s="2124"/>
      <c r="F42" s="1378"/>
      <c r="G42" s="1379"/>
      <c r="H42" s="1379"/>
      <c r="I42" s="1299"/>
      <c r="J42" s="1300"/>
      <c r="K42" s="1350"/>
      <c r="L42" s="1335"/>
      <c r="M42" s="1302"/>
      <c r="N42" s="1700"/>
      <c r="O42" s="1290"/>
      <c r="P42" s="1332"/>
      <c r="Q42" s="1292"/>
      <c r="R42" s="3497"/>
    </row>
    <row r="43" spans="1:18" ht="23.25" customHeight="1">
      <c r="D43" s="1377"/>
      <c r="E43" s="2124"/>
      <c r="F43" s="1378"/>
      <c r="G43" s="1379"/>
      <c r="H43" s="1379"/>
      <c r="I43" s="1299"/>
      <c r="J43" s="1300"/>
      <c r="K43" s="1307"/>
      <c r="L43" s="1335"/>
      <c r="M43" s="1302"/>
      <c r="N43" s="1700"/>
      <c r="O43" s="1290"/>
      <c r="P43" s="1332"/>
      <c r="Q43" s="1292"/>
      <c r="R43" s="3497"/>
    </row>
    <row r="44" spans="1:18" ht="23.25" customHeight="1">
      <c r="D44" s="1377"/>
      <c r="E44" s="2124"/>
      <c r="F44" s="1378"/>
      <c r="G44" s="1379"/>
      <c r="H44" s="1379"/>
      <c r="I44" s="1299"/>
      <c r="J44" s="1300"/>
      <c r="K44" s="1307"/>
      <c r="L44" s="1335"/>
      <c r="M44" s="1302"/>
      <c r="N44" s="1700"/>
      <c r="O44" s="1290"/>
      <c r="P44" s="1332"/>
      <c r="Q44" s="1292"/>
      <c r="R44" s="3497"/>
    </row>
    <row r="45" spans="1:18" s="22" customFormat="1" ht="23.25" customHeight="1">
      <c r="E45" s="2120"/>
      <c r="F45" s="3335"/>
      <c r="G45" s="3335"/>
      <c r="H45" s="3335"/>
      <c r="I45" s="3336"/>
      <c r="J45" s="117"/>
      <c r="K45" s="117"/>
      <c r="L45" s="3336"/>
      <c r="M45" s="117"/>
      <c r="N45" s="117"/>
      <c r="Q45" s="3383"/>
      <c r="R45" s="2344"/>
    </row>
    <row r="46" spans="1:18" s="22" customFormat="1" ht="23.25" customHeight="1">
      <c r="E46" s="2120"/>
      <c r="F46" s="3335"/>
      <c r="G46" s="3335"/>
      <c r="H46" s="3335"/>
      <c r="I46" s="3336"/>
      <c r="J46" s="117"/>
      <c r="K46" s="117"/>
      <c r="L46" s="3336"/>
      <c r="M46" s="117"/>
      <c r="N46" s="117"/>
      <c r="Q46" s="3383"/>
      <c r="R46" s="2344"/>
    </row>
    <row r="47" spans="1:18" ht="15" thickBot="1"/>
    <row r="48" spans="1:18" ht="16" thickBot="1">
      <c r="A48" s="3375"/>
      <c r="B48" s="3376"/>
      <c r="C48" s="3376"/>
      <c r="D48" s="3376"/>
      <c r="E48" s="3376"/>
      <c r="F48" s="3492" t="s">
        <v>3387</v>
      </c>
      <c r="G48" s="3376"/>
      <c r="H48" s="3376"/>
      <c r="I48" s="3376"/>
      <c r="J48" s="3376"/>
      <c r="K48" s="3376"/>
      <c r="L48" s="3376"/>
      <c r="M48" s="3376"/>
      <c r="N48" s="3376"/>
      <c r="O48" s="3376"/>
      <c r="P48" s="3377"/>
      <c r="Q48" s="3394" t="s">
        <v>3350</v>
      </c>
      <c r="R48"/>
    </row>
    <row r="49" spans="1:20" ht="15.5">
      <c r="F49" s="203"/>
      <c r="G49" s="203"/>
      <c r="H49" s="160"/>
      <c r="I49" s="199"/>
      <c r="J49" s="1"/>
      <c r="K49" s="1"/>
      <c r="L49" s="199"/>
      <c r="M49" s="1"/>
      <c r="N49" s="1"/>
      <c r="Q49" s="3388">
        <f>SUM(Q52:Q85)</f>
        <v>764925.29785624996</v>
      </c>
      <c r="R49"/>
    </row>
    <row r="50" spans="1:20" ht="18.5">
      <c r="A50" s="3432" t="s">
        <v>3388</v>
      </c>
      <c r="B50" s="3433"/>
      <c r="C50" s="3433"/>
      <c r="D50" s="3434"/>
      <c r="E50" s="3435" t="s">
        <v>1605</v>
      </c>
      <c r="F50" s="3436" t="s">
        <v>3389</v>
      </c>
      <c r="G50" s="3437"/>
      <c r="H50" s="3438"/>
      <c r="I50" s="3439"/>
      <c r="J50" s="3438"/>
      <c r="K50" s="3438"/>
      <c r="L50" s="3439"/>
      <c r="M50" s="3438"/>
      <c r="N50" s="3438"/>
      <c r="O50" s="3438"/>
      <c r="P50" s="3440"/>
      <c r="Q50" s="3441"/>
      <c r="R50"/>
    </row>
    <row r="51" spans="1:20" ht="15.5">
      <c r="F51" s="203"/>
      <c r="G51" s="203"/>
      <c r="H51" s="160"/>
      <c r="I51" s="199"/>
      <c r="J51" s="1"/>
      <c r="K51" s="1"/>
      <c r="L51" s="199"/>
      <c r="M51" s="1"/>
      <c r="N51" s="1"/>
      <c r="Q51" s="2339"/>
      <c r="R51"/>
    </row>
    <row r="52" spans="1:20">
      <c r="A52" s="4555"/>
      <c r="B52" s="4556"/>
      <c r="C52" s="4556"/>
      <c r="D52" s="4557"/>
      <c r="E52" s="4558"/>
      <c r="F52" s="4559"/>
      <c r="G52" s="4493" t="s">
        <v>294</v>
      </c>
      <c r="H52" s="4488"/>
      <c r="I52" s="1664" t="s">
        <v>1565</v>
      </c>
      <c r="J52" s="3491" t="s">
        <v>1575</v>
      </c>
      <c r="K52" s="4493" t="s">
        <v>289</v>
      </c>
      <c r="L52" s="4493"/>
      <c r="M52" s="4408" t="s">
        <v>1564</v>
      </c>
      <c r="N52" s="4408"/>
      <c r="O52" s="4408"/>
      <c r="P52" s="4445"/>
      <c r="Q52" s="3394" t="s">
        <v>3350</v>
      </c>
    </row>
    <row r="53" spans="1:20" ht="15.5">
      <c r="A53" s="4377"/>
      <c r="B53" s="4378"/>
      <c r="C53" s="4378"/>
      <c r="D53" s="4379"/>
      <c r="E53" s="4381"/>
      <c r="F53" s="4536"/>
      <c r="G53" s="4410">
        <f>IF('Seleccion proyecto HEREVEA02'!G8="Edificio exento estructura muros fábrica m.mecánicos",'Seleccion proyecto HEREVEA02'!E8,0)</f>
        <v>0</v>
      </c>
      <c r="H53" s="4411"/>
      <c r="I53" s="3494">
        <f>IF('Seleccion proyecto HEREVEA02'!H8=0,0,IF('Seleccion proyecto HEREVEA02'!H8=100,1))</f>
        <v>1</v>
      </c>
      <c r="J53" s="1351">
        <f>'[4]Seleccion proyecto HEREVEA02'!L8</f>
        <v>5550.5</v>
      </c>
      <c r="K53" s="4519">
        <f>J53*I53</f>
        <v>5550.5</v>
      </c>
      <c r="L53" s="4520"/>
      <c r="M53" s="4360"/>
      <c r="N53" s="4528"/>
      <c r="O53" s="4528"/>
      <c r="P53" s="4528"/>
      <c r="Q53" s="3388">
        <f>G53*I53*K53*P55</f>
        <v>0</v>
      </c>
      <c r="R53" s="2358" t="s">
        <v>2124</v>
      </c>
    </row>
    <row r="54" spans="1:20">
      <c r="A54" s="88"/>
      <c r="B54" s="4560" t="s">
        <v>3390</v>
      </c>
      <c r="C54" s="3442"/>
      <c r="D54" s="4561"/>
      <c r="E54" s="4562" t="s">
        <v>1617</v>
      </c>
      <c r="F54" s="4338" t="s">
        <v>3391</v>
      </c>
      <c r="G54" s="4564" t="s">
        <v>1568</v>
      </c>
      <c r="H54" s="4564" t="s">
        <v>1574</v>
      </c>
      <c r="I54" s="1572" t="s">
        <v>1559</v>
      </c>
      <c r="J54" s="1294" t="s">
        <v>1560</v>
      </c>
      <c r="K54" s="1294" t="s">
        <v>1569</v>
      </c>
      <c r="L54" s="4565" t="s">
        <v>3392</v>
      </c>
      <c r="M54" s="4551" t="s">
        <v>1571</v>
      </c>
      <c r="N54" s="4551" t="s">
        <v>1776</v>
      </c>
      <c r="O54" s="3490" t="s">
        <v>1563</v>
      </c>
      <c r="P54" s="1566" t="s">
        <v>1562</v>
      </c>
      <c r="Q54" s="3449"/>
      <c r="R54" s="1699" t="s">
        <v>1327</v>
      </c>
    </row>
    <row r="55" spans="1:20">
      <c r="A55" s="1320"/>
      <c r="B55" s="4326"/>
      <c r="C55" s="3493"/>
      <c r="D55" s="4328"/>
      <c r="E55" s="4563"/>
      <c r="F55" s="4338" t="s">
        <v>1</v>
      </c>
      <c r="G55" s="4332"/>
      <c r="H55" s="4332"/>
      <c r="I55" s="1345">
        <v>1</v>
      </c>
      <c r="J55" s="1350">
        <v>1</v>
      </c>
      <c r="K55" s="1350">
        <f>J55*I55</f>
        <v>1</v>
      </c>
      <c r="L55" s="4334"/>
      <c r="M55" s="4324"/>
      <c r="N55" s="4324"/>
      <c r="O55" s="1298">
        <f>SUM(O57:O68)</f>
        <v>4.5184249999999997</v>
      </c>
      <c r="P55" s="3446">
        <f>K55*O55</f>
        <v>4.5184249999999997</v>
      </c>
      <c r="Q55" s="3450"/>
      <c r="R55" s="1721">
        <f>SUM(P56:P68)</f>
        <v>4.5184249999999997</v>
      </c>
    </row>
    <row r="56" spans="1:20">
      <c r="D56" s="1367"/>
      <c r="E56" s="2121"/>
      <c r="F56" s="1568" t="s">
        <v>1</v>
      </c>
      <c r="G56" s="1389"/>
      <c r="H56" s="1389"/>
      <c r="I56" s="1554"/>
      <c r="J56" s="1367"/>
      <c r="K56" s="1389" t="str">
        <f>IF(COUNT(G56:J56)=0,"",(SUM(G56:J56)/COUNT(G56:J56)))</f>
        <v/>
      </c>
      <c r="L56" s="1367"/>
      <c r="M56" s="1367" t="str">
        <f t="shared" ref="M56:M59" si="2">IF(COUNT(K56)=0,"",(K56*L56))</f>
        <v/>
      </c>
      <c r="N56" s="1367"/>
      <c r="O56" s="1389" t="str">
        <f>IF(COUNT(M56)=0,"",IF(S55="","",(M56*S55)))</f>
        <v/>
      </c>
      <c r="P56" s="1450"/>
      <c r="Q56" s="1599"/>
      <c r="R56" s="3497"/>
    </row>
    <row r="57" spans="1:20">
      <c r="D57" s="1370"/>
      <c r="E57" s="2122"/>
      <c r="F57" s="1384"/>
      <c r="G57" s="1567"/>
      <c r="H57" s="1567"/>
      <c r="I57" s="1299"/>
      <c r="J57" s="1300"/>
      <c r="K57" s="1307" t="str">
        <f>IF(COUNT(G57:J57)=0,"",(SUM(G57:J57)/COUNT(G57:J57)))</f>
        <v/>
      </c>
      <c r="L57" s="1335"/>
      <c r="M57" s="1302" t="str">
        <f t="shared" si="2"/>
        <v/>
      </c>
      <c r="N57" s="1700"/>
      <c r="O57" s="1290" t="str">
        <f>IF(COUNT(M57)=0,"",IF(S55="","",(M57*S55)))</f>
        <v/>
      </c>
      <c r="P57" s="1569"/>
      <c r="Q57" s="3451"/>
      <c r="R57" s="3497"/>
      <c r="T57" t="s">
        <v>2136</v>
      </c>
    </row>
    <row r="58" spans="1:20">
      <c r="D58" s="1370"/>
      <c r="E58" s="2122"/>
      <c r="F58" s="1384"/>
      <c r="G58" s="1567"/>
      <c r="H58" s="1567"/>
      <c r="I58" s="1299"/>
      <c r="J58" s="1300"/>
      <c r="K58" s="1307" t="str">
        <f>IF(COUNT(G58:J58)=0,"",(SUM(G58:J58)/COUNT(G58:J58)))</f>
        <v/>
      </c>
      <c r="L58" s="1335"/>
      <c r="M58" s="1302" t="str">
        <f t="shared" si="2"/>
        <v/>
      </c>
      <c r="N58" s="1700"/>
      <c r="O58" s="1290" t="str">
        <f>IF(COUNT(M58)=0,"",IF(S55="","",(M58*S55)))</f>
        <v/>
      </c>
      <c r="P58" s="1569"/>
      <c r="Q58" s="3451"/>
      <c r="R58" s="3497"/>
    </row>
    <row r="59" spans="1:20">
      <c r="D59" s="1370"/>
      <c r="E59" s="2122"/>
      <c r="F59" s="1384"/>
      <c r="G59" s="1567"/>
      <c r="H59" s="1567"/>
      <c r="I59" s="1299"/>
      <c r="J59" s="1300"/>
      <c r="K59" s="1307" t="str">
        <f>IF(COUNT(G59:J59)=0,"",(SUM(G59:J59)/COUNT(G59:J59)))</f>
        <v/>
      </c>
      <c r="L59" s="1335"/>
      <c r="M59" s="1302" t="str">
        <f t="shared" si="2"/>
        <v/>
      </c>
      <c r="N59" s="1700"/>
      <c r="O59" s="1290" t="str">
        <f>IF(COUNT(M59)=0,"",IF(S55="","",(M59*S55)))</f>
        <v/>
      </c>
      <c r="P59" s="1569"/>
      <c r="Q59" s="3451"/>
      <c r="R59" s="3497"/>
    </row>
    <row r="60" spans="1:20">
      <c r="D60" s="1359"/>
      <c r="E60" s="1858"/>
      <c r="F60" s="1360" t="s">
        <v>2</v>
      </c>
      <c r="G60" s="1362"/>
      <c r="H60" s="1362"/>
      <c r="I60" s="1381"/>
      <c r="J60" s="1362"/>
      <c r="K60" s="1380" t="str">
        <f>IF(COUNT(G60:J60)=0,"",(SUM(G60:J60)/COUNT(G60:J60)))</f>
        <v/>
      </c>
      <c r="L60" s="1381"/>
      <c r="M60" s="1381"/>
      <c r="N60" s="1381"/>
      <c r="O60" s="1359" t="str">
        <f>IF(COUNT(M60)=0,"",IF(S55="","",(M60*S55)))</f>
        <v/>
      </c>
      <c r="P60" s="3447"/>
      <c r="Q60" s="1599"/>
      <c r="R60" s="3497"/>
    </row>
    <row r="61" spans="1:20">
      <c r="D61" s="3444" t="s">
        <v>1067</v>
      </c>
      <c r="E61" s="3444" t="s">
        <v>1508</v>
      </c>
      <c r="F61" s="3444" t="s">
        <v>1512</v>
      </c>
      <c r="G61" s="3445">
        <v>5.0000000000000001E-3</v>
      </c>
      <c r="H61" s="1362"/>
      <c r="I61" s="1289"/>
      <c r="J61" s="1341"/>
      <c r="K61" s="1350">
        <f>G61*K55</f>
        <v>5.0000000000000001E-3</v>
      </c>
      <c r="L61" s="1335">
        <f>K61*J53</f>
        <v>27.752500000000001</v>
      </c>
      <c r="M61" s="1302">
        <v>18.28</v>
      </c>
      <c r="N61" s="1700"/>
      <c r="O61" s="1290">
        <f>G61*M61</f>
        <v>9.1400000000000009E-2</v>
      </c>
      <c r="P61" s="1569">
        <f>M61*K61</f>
        <v>9.1400000000000009E-2</v>
      </c>
      <c r="Q61" s="3451"/>
      <c r="R61" s="3497"/>
    </row>
    <row r="62" spans="1:20">
      <c r="D62" s="3444"/>
      <c r="E62" s="3444"/>
      <c r="F62" s="3444"/>
      <c r="G62" s="3445"/>
      <c r="H62" s="1362"/>
      <c r="I62" s="1289"/>
      <c r="J62" s="1341"/>
      <c r="K62" s="1350"/>
      <c r="L62" s="1335"/>
      <c r="M62" s="1302"/>
      <c r="N62" s="1700"/>
      <c r="O62" s="1290"/>
      <c r="P62" s="1569"/>
      <c r="Q62" s="3451"/>
      <c r="R62" s="3497"/>
    </row>
    <row r="63" spans="1:20">
      <c r="D63" s="1359"/>
      <c r="E63" s="1858"/>
      <c r="F63" s="1571"/>
      <c r="G63" s="1362"/>
      <c r="H63" s="1362"/>
      <c r="I63" s="1289"/>
      <c r="J63" s="1341"/>
      <c r="K63" s="1307" t="str">
        <f>IF(COUNT(G63:J63)=0,"",(SUM(G63:J63)/COUNT(G63:J63)))</f>
        <v/>
      </c>
      <c r="L63" s="1335"/>
      <c r="M63" s="1302" t="str">
        <f>IF(COUNT(K63)=0,"",(K63*L63))</f>
        <v/>
      </c>
      <c r="N63" s="1700"/>
      <c r="O63" s="1290" t="str">
        <f>IF(COUNT(M63)=0,"",IF(S55="","",(M63*S55)))</f>
        <v/>
      </c>
      <c r="P63" s="1569"/>
      <c r="Q63" s="3451"/>
      <c r="R63" s="3497"/>
    </row>
    <row r="64" spans="1:20">
      <c r="D64" s="1373"/>
      <c r="E64" s="2123"/>
      <c r="F64" s="1374" t="s">
        <v>3</v>
      </c>
      <c r="G64" s="1376"/>
      <c r="H64" s="1376"/>
      <c r="I64" s="1382"/>
      <c r="J64" s="1383"/>
      <c r="K64" s="1383" t="str">
        <f>IF(COUNT(G64:J64)=0,"",(SUM(G64:J64)/COUNT(G64:J64)))</f>
        <v/>
      </c>
      <c r="L64" s="1413"/>
      <c r="M64" s="1376" t="str">
        <f>IF(COUNT(K64)=0,"",(K64*L64))</f>
        <v/>
      </c>
      <c r="N64" s="1376"/>
      <c r="O64" s="1376" t="str">
        <f>IF(COUNT(M64)=0,"",IF(S55="","",(M64*S55)))</f>
        <v/>
      </c>
      <c r="P64" s="3448"/>
      <c r="Q64" s="1599"/>
      <c r="R64" s="3497"/>
    </row>
    <row r="65" spans="1:18">
      <c r="D65" s="1377" t="s">
        <v>1073</v>
      </c>
      <c r="E65" s="2124" t="s">
        <v>1508</v>
      </c>
      <c r="F65" s="1378" t="s">
        <v>1509</v>
      </c>
      <c r="G65" s="1379">
        <v>5.0249999999999996E-2</v>
      </c>
      <c r="H65" s="1379"/>
      <c r="I65" s="1299"/>
      <c r="J65" s="1300"/>
      <c r="K65" s="1350">
        <f>G65*K55</f>
        <v>5.0249999999999996E-2</v>
      </c>
      <c r="L65" s="1335">
        <f>K65*J53</f>
        <v>278.91262499999999</v>
      </c>
      <c r="M65" s="1302">
        <v>25.6</v>
      </c>
      <c r="N65" s="1700"/>
      <c r="O65" s="1290">
        <f>G65*M65</f>
        <v>1.2864</v>
      </c>
      <c r="P65" s="1569">
        <f>M65*K65</f>
        <v>1.2864</v>
      </c>
      <c r="Q65" s="3451"/>
      <c r="R65" s="2337"/>
    </row>
    <row r="66" spans="1:18">
      <c r="D66" s="1377" t="s">
        <v>3393</v>
      </c>
      <c r="E66" s="2124" t="s">
        <v>1517</v>
      </c>
      <c r="F66" s="1378" t="s">
        <v>3394</v>
      </c>
      <c r="G66" s="1379">
        <v>0.25124999999999997</v>
      </c>
      <c r="H66" s="1379"/>
      <c r="I66" s="1299"/>
      <c r="J66" s="1300"/>
      <c r="K66" s="1350">
        <f>G66*K55</f>
        <v>0.25124999999999997</v>
      </c>
      <c r="L66" s="1335">
        <f>K66*J53</f>
        <v>1394.5631249999999</v>
      </c>
      <c r="M66" s="1302">
        <v>12.5</v>
      </c>
      <c r="N66" s="1700"/>
      <c r="O66" s="1290">
        <f>G66*M66</f>
        <v>3.1406249999999996</v>
      </c>
      <c r="P66" s="1569">
        <f>M66*K66</f>
        <v>3.1406249999999996</v>
      </c>
      <c r="Q66" s="3451"/>
      <c r="R66" s="3497"/>
    </row>
    <row r="67" spans="1:18">
      <c r="D67" s="1377"/>
      <c r="E67" s="2124"/>
      <c r="F67" s="1378"/>
      <c r="G67" s="1379"/>
      <c r="H67" s="1379"/>
      <c r="I67" s="1299"/>
      <c r="J67" s="1300"/>
      <c r="K67" s="1307"/>
      <c r="L67" s="1335"/>
      <c r="M67" s="1302"/>
      <c r="N67" s="1700"/>
      <c r="O67" s="1290"/>
      <c r="P67" s="1569"/>
      <c r="Q67" s="3451"/>
      <c r="R67" s="3497"/>
    </row>
    <row r="68" spans="1:18">
      <c r="D68" s="1377"/>
      <c r="E68" s="2124"/>
      <c r="F68" s="1378"/>
      <c r="G68" s="1379"/>
      <c r="H68" s="1379"/>
      <c r="I68" s="1299"/>
      <c r="J68" s="1300"/>
      <c r="K68" s="1307"/>
      <c r="L68" s="1335"/>
      <c r="M68" s="1302"/>
      <c r="N68" s="1700"/>
      <c r="O68" s="1290"/>
      <c r="P68" s="1569"/>
      <c r="Q68" s="3451"/>
      <c r="R68" s="3497"/>
    </row>
    <row r="69" spans="1:18">
      <c r="A69" s="4555"/>
      <c r="B69" s="4556"/>
      <c r="C69" s="4556"/>
      <c r="D69" s="4557"/>
      <c r="E69" s="4558"/>
      <c r="F69" s="4559"/>
      <c r="G69" s="4493" t="s">
        <v>294</v>
      </c>
      <c r="H69" s="4488"/>
      <c r="I69" s="1664" t="s">
        <v>1565</v>
      </c>
      <c r="J69" s="3491" t="s">
        <v>1575</v>
      </c>
      <c r="K69" s="4493" t="s">
        <v>289</v>
      </c>
      <c r="L69" s="4493"/>
      <c r="M69" s="4408" t="s">
        <v>1564</v>
      </c>
      <c r="N69" s="4408"/>
      <c r="O69" s="4408"/>
      <c r="P69" s="4445"/>
      <c r="Q69" s="3394" t="s">
        <v>3350</v>
      </c>
      <c r="R69" s="2358" t="s">
        <v>2124</v>
      </c>
    </row>
    <row r="70" spans="1:18" ht="21">
      <c r="A70" s="4377"/>
      <c r="B70" s="4378"/>
      <c r="C70" s="4378"/>
      <c r="D70" s="4379"/>
      <c r="E70" s="4381"/>
      <c r="F70" s="4536"/>
      <c r="G70" s="4451">
        <f>IF('Seleccion proyecto HEREVEA02'!G8="Edificio exento estructura hormigón m.mecánicos",'Seleccion proyecto HEREVEA02'!E8,0)</f>
        <v>30.5</v>
      </c>
      <c r="H70" s="4452"/>
      <c r="I70" s="3494">
        <f>IF('Seleccion proyecto HEREVEA02'!H8=0,0,IF('Seleccion proyecto HEREVEA02'!H8=100,1))</f>
        <v>1</v>
      </c>
      <c r="J70" s="1351">
        <f>'[4]Seleccion proyecto HEREVEA02'!L8</f>
        <v>5550.5</v>
      </c>
      <c r="K70" s="4519">
        <f>J70*I70</f>
        <v>5550.5</v>
      </c>
      <c r="L70" s="4520"/>
      <c r="M70" s="4360"/>
      <c r="N70" s="4528"/>
      <c r="O70" s="4528"/>
      <c r="P70" s="4528"/>
      <c r="Q70" s="3388">
        <f>G70*I70*K70*P72</f>
        <v>764925.29785624996</v>
      </c>
      <c r="R70" s="3452" t="s">
        <v>2799</v>
      </c>
    </row>
    <row r="71" spans="1:18">
      <c r="A71" s="88"/>
      <c r="B71" s="4560" t="s">
        <v>3395</v>
      </c>
      <c r="C71" s="3442"/>
      <c r="D71" s="4561"/>
      <c r="E71" s="4562" t="s">
        <v>1617</v>
      </c>
      <c r="F71" s="4338" t="s">
        <v>3396</v>
      </c>
      <c r="G71" s="4564" t="s">
        <v>1568</v>
      </c>
      <c r="H71" s="4564" t="s">
        <v>1574</v>
      </c>
      <c r="I71" s="1572" t="s">
        <v>1559</v>
      </c>
      <c r="J71" s="1294" t="s">
        <v>1560</v>
      </c>
      <c r="K71" s="1294" t="s">
        <v>1569</v>
      </c>
      <c r="L71" s="4565" t="s">
        <v>3392</v>
      </c>
      <c r="M71" s="4551" t="s">
        <v>1571</v>
      </c>
      <c r="N71" s="4551" t="s">
        <v>1776</v>
      </c>
      <c r="O71" s="3490" t="s">
        <v>1563</v>
      </c>
      <c r="P71" s="1566" t="s">
        <v>1562</v>
      </c>
      <c r="Q71" s="3449"/>
      <c r="R71" s="3453" t="s">
        <v>1327</v>
      </c>
    </row>
    <row r="72" spans="1:18">
      <c r="A72" s="1320"/>
      <c r="B72" s="4326"/>
      <c r="C72" s="3493"/>
      <c r="D72" s="4328"/>
      <c r="E72" s="4563"/>
      <c r="F72" s="4338" t="s">
        <v>1</v>
      </c>
      <c r="G72" s="4332"/>
      <c r="H72" s="4332"/>
      <c r="I72" s="1345">
        <v>1</v>
      </c>
      <c r="J72" s="1350">
        <v>1</v>
      </c>
      <c r="K72" s="1350">
        <f>I72*J72</f>
        <v>1</v>
      </c>
      <c r="L72" s="4334"/>
      <c r="M72" s="4324"/>
      <c r="N72" s="4324"/>
      <c r="O72" s="1298">
        <f>SUM(O74:O85)</f>
        <v>4.5184249999999997</v>
      </c>
      <c r="P72" s="3446">
        <f>K72*O72</f>
        <v>4.5184249999999997</v>
      </c>
      <c r="Q72" s="3450"/>
      <c r="R72" s="3454">
        <f>SUM(P73:P85)</f>
        <v>4.5184249999999997</v>
      </c>
    </row>
    <row r="73" spans="1:18">
      <c r="D73" s="1367"/>
      <c r="E73" s="2121"/>
      <c r="F73" s="1568" t="s">
        <v>1</v>
      </c>
      <c r="G73" s="1389"/>
      <c r="H73" s="1389"/>
      <c r="I73" s="1554"/>
      <c r="J73" s="1367"/>
      <c r="K73" s="1389" t="str">
        <f>IF(COUNT(G73:J73)=0,"",(SUM(G73:J73)/COUNT(G73:J73)))</f>
        <v/>
      </c>
      <c r="L73" s="1367"/>
      <c r="M73" s="1367" t="str">
        <f t="shared" ref="M73:M76" si="3">IF(COUNT(K73)=0,"",(K73*L73))</f>
        <v/>
      </c>
      <c r="N73" s="1367"/>
      <c r="O73" s="1389" t="str">
        <f>IF(COUNT(M73)=0,"",IF(S72="","",(M73*S72)))</f>
        <v/>
      </c>
      <c r="P73" s="1450"/>
      <c r="Q73" s="1599"/>
      <c r="R73" s="3497"/>
    </row>
    <row r="74" spans="1:18">
      <c r="D74" s="1370"/>
      <c r="E74" s="2122"/>
      <c r="F74" s="1384"/>
      <c r="G74" s="1567"/>
      <c r="H74" s="1567"/>
      <c r="I74" s="1299"/>
      <c r="J74" s="1300"/>
      <c r="K74" s="1307" t="str">
        <f>IF(COUNT(G74:J74)=0,"",(SUM(G74:J74)/COUNT(G74:J74)))</f>
        <v/>
      </c>
      <c r="L74" s="1335"/>
      <c r="M74" s="1302" t="str">
        <f t="shared" si="3"/>
        <v/>
      </c>
      <c r="N74" s="1700"/>
      <c r="O74" s="1290" t="str">
        <f>IF(COUNT(M74)=0,"",IF(S72="","",(M74*S72)))</f>
        <v/>
      </c>
      <c r="P74" s="1569"/>
      <c r="Q74" s="3451"/>
      <c r="R74" s="3497"/>
    </row>
    <row r="75" spans="1:18">
      <c r="D75" s="1370"/>
      <c r="E75" s="2122"/>
      <c r="F75" s="1384"/>
      <c r="G75" s="1567"/>
      <c r="H75" s="1567"/>
      <c r="I75" s="1299"/>
      <c r="J75" s="1300"/>
      <c r="K75" s="1307" t="str">
        <f>IF(COUNT(G75:J75)=0,"",(SUM(G75:J75)/COUNT(G75:J75)))</f>
        <v/>
      </c>
      <c r="L75" s="1335"/>
      <c r="M75" s="1302" t="str">
        <f t="shared" si="3"/>
        <v/>
      </c>
      <c r="N75" s="1700"/>
      <c r="O75" s="1290" t="str">
        <f>IF(COUNT(M75)=0,"",IF(S72="","",(M75*S72)))</f>
        <v/>
      </c>
      <c r="P75" s="1569"/>
      <c r="Q75" s="3451"/>
      <c r="R75" s="3497"/>
    </row>
    <row r="76" spans="1:18">
      <c r="D76" s="1370"/>
      <c r="E76" s="2122"/>
      <c r="F76" s="1384"/>
      <c r="G76" s="1567"/>
      <c r="H76" s="1567"/>
      <c r="I76" s="1299"/>
      <c r="J76" s="1300"/>
      <c r="K76" s="1307" t="str">
        <f>IF(COUNT(G76:J76)=0,"",(SUM(G76:J76)/COUNT(G76:J76)))</f>
        <v/>
      </c>
      <c r="L76" s="1335"/>
      <c r="M76" s="1302" t="str">
        <f t="shared" si="3"/>
        <v/>
      </c>
      <c r="N76" s="1700"/>
      <c r="O76" s="1290" t="str">
        <f>IF(COUNT(M76)=0,"",IF(S72="","",(M76*S72)))</f>
        <v/>
      </c>
      <c r="P76" s="1569"/>
      <c r="Q76" s="3451"/>
      <c r="R76" s="3497"/>
    </row>
    <row r="77" spans="1:18">
      <c r="D77" s="1359"/>
      <c r="E77" s="1858"/>
      <c r="F77" s="1360" t="s">
        <v>2</v>
      </c>
      <c r="G77" s="1362"/>
      <c r="H77" s="1362"/>
      <c r="I77" s="1381"/>
      <c r="J77" s="1362"/>
      <c r="K77" s="1380" t="str">
        <f>IF(COUNT(G77:J77)=0,"",(SUM(G77:J77)/COUNT(G77:J77)))</f>
        <v/>
      </c>
      <c r="L77" s="1381"/>
      <c r="M77" s="1381"/>
      <c r="N77" s="1381"/>
      <c r="O77" s="1359" t="str">
        <f>IF(COUNT(M77)=0,"",IF(S72="","",(M77*S72)))</f>
        <v/>
      </c>
      <c r="P77" s="3447"/>
      <c r="Q77" s="1599"/>
      <c r="R77" s="3497"/>
    </row>
    <row r="78" spans="1:18">
      <c r="D78" s="3444" t="s">
        <v>1067</v>
      </c>
      <c r="E78" s="3444" t="s">
        <v>1508</v>
      </c>
      <c r="F78" s="3444" t="s">
        <v>1512</v>
      </c>
      <c r="G78" s="3445">
        <v>5.0000000000000001E-3</v>
      </c>
      <c r="H78" s="1362"/>
      <c r="I78" s="1289"/>
      <c r="J78" s="1341"/>
      <c r="K78" s="1350">
        <f>G78*K72</f>
        <v>5.0000000000000001E-3</v>
      </c>
      <c r="L78" s="1335">
        <f>K78*J70</f>
        <v>27.752500000000001</v>
      </c>
      <c r="M78" s="1302">
        <v>18.28</v>
      </c>
      <c r="N78" s="1700"/>
      <c r="O78" s="1290">
        <f>G78*M78</f>
        <v>9.1400000000000009E-2</v>
      </c>
      <c r="P78" s="1569">
        <f>M78*K78</f>
        <v>9.1400000000000009E-2</v>
      </c>
      <c r="Q78" s="3451"/>
      <c r="R78" s="3497"/>
    </row>
    <row r="79" spans="1:18">
      <c r="D79" s="3444"/>
      <c r="E79" s="3444"/>
      <c r="F79" s="3444"/>
      <c r="G79" s="3445"/>
      <c r="H79" s="1362"/>
      <c r="I79" s="1289"/>
      <c r="J79" s="1341"/>
      <c r="K79" s="1350"/>
      <c r="L79" s="1335"/>
      <c r="M79" s="1302"/>
      <c r="N79" s="1700"/>
      <c r="O79" s="1290"/>
      <c r="P79" s="1569"/>
      <c r="Q79" s="3451"/>
      <c r="R79" s="3497"/>
    </row>
    <row r="80" spans="1:18">
      <c r="D80" s="1359"/>
      <c r="E80" s="1858"/>
      <c r="F80" s="1571"/>
      <c r="G80" s="1362"/>
      <c r="H80" s="1362"/>
      <c r="I80" s="1289"/>
      <c r="J80" s="1341"/>
      <c r="K80" s="1307" t="str">
        <f>IF(COUNT(G80:J80)=0,"",(SUM(G80:J80)/COUNT(G80:J80)))</f>
        <v/>
      </c>
      <c r="L80" s="1335"/>
      <c r="M80" s="1302" t="str">
        <f>IF(COUNT(K80)=0,"",(K80*L80))</f>
        <v/>
      </c>
      <c r="N80" s="1700"/>
      <c r="O80" s="1290" t="str">
        <f>IF(COUNT(M80)=0,"",IF(S72="","",(M80*S72)))</f>
        <v/>
      </c>
      <c r="P80" s="1569"/>
      <c r="Q80" s="3451"/>
      <c r="R80" s="3497"/>
    </row>
    <row r="81" spans="1:20">
      <c r="D81" s="1373"/>
      <c r="E81" s="2123"/>
      <c r="F81" s="1374" t="s">
        <v>3</v>
      </c>
      <c r="G81" s="1376"/>
      <c r="H81" s="1376"/>
      <c r="I81" s="1382"/>
      <c r="J81" s="1383"/>
      <c r="K81" s="1383" t="str">
        <f>IF(COUNT(G81:J81)=0,"",(SUM(G81:J81)/COUNT(G81:J81)))</f>
        <v/>
      </c>
      <c r="L81" s="1413"/>
      <c r="M81" s="1376" t="str">
        <f>IF(COUNT(K81)=0,"",(K81*L81))</f>
        <v/>
      </c>
      <c r="N81" s="1376"/>
      <c r="O81" s="1376" t="str">
        <f>IF(COUNT(M81)=0,"",IF(S72="","",(M81*S72)))</f>
        <v/>
      </c>
      <c r="P81" s="3448"/>
      <c r="Q81" s="1599"/>
      <c r="R81" s="3497"/>
    </row>
    <row r="82" spans="1:20">
      <c r="D82" s="1377" t="s">
        <v>1073</v>
      </c>
      <c r="E82" s="2124" t="s">
        <v>1508</v>
      </c>
      <c r="F82" s="1378" t="s">
        <v>1509</v>
      </c>
      <c r="G82" s="1379">
        <v>5.0249999999999996E-2</v>
      </c>
      <c r="H82" s="1379"/>
      <c r="I82" s="1299"/>
      <c r="J82" s="1300"/>
      <c r="K82" s="1350">
        <f>G82*K72</f>
        <v>5.0249999999999996E-2</v>
      </c>
      <c r="L82" s="1335">
        <f>K82*J70</f>
        <v>278.91262499999999</v>
      </c>
      <c r="M82" s="1302">
        <v>25.6</v>
      </c>
      <c r="N82" s="1700"/>
      <c r="O82" s="1290">
        <f>G82*M82</f>
        <v>1.2864</v>
      </c>
      <c r="P82" s="1569">
        <f>M82*K82</f>
        <v>1.2864</v>
      </c>
      <c r="Q82" s="3451"/>
      <c r="R82" s="2337"/>
    </row>
    <row r="83" spans="1:20">
      <c r="D83" s="1377" t="s">
        <v>3393</v>
      </c>
      <c r="E83" s="2124" t="s">
        <v>1517</v>
      </c>
      <c r="F83" s="1378" t="s">
        <v>3394</v>
      </c>
      <c r="G83" s="1379">
        <v>0.25124999999999997</v>
      </c>
      <c r="H83" s="1379"/>
      <c r="I83" s="1299"/>
      <c r="J83" s="1300"/>
      <c r="K83" s="1350">
        <f>G83*K72</f>
        <v>0.25124999999999997</v>
      </c>
      <c r="L83" s="1335">
        <f>K83*J70</f>
        <v>1394.5631249999999</v>
      </c>
      <c r="M83" s="1302">
        <v>12.5</v>
      </c>
      <c r="N83" s="1700"/>
      <c r="O83" s="1290">
        <f>G83*M83</f>
        <v>3.1406249999999996</v>
      </c>
      <c r="P83" s="1569">
        <f>M83*K83</f>
        <v>3.1406249999999996</v>
      </c>
      <c r="Q83" s="3451"/>
      <c r="R83" s="3497"/>
    </row>
    <row r="84" spans="1:20">
      <c r="D84" s="1377"/>
      <c r="E84" s="2124"/>
      <c r="F84" s="1378"/>
      <c r="G84" s="1379"/>
      <c r="H84" s="1379"/>
      <c r="I84" s="1299"/>
      <c r="J84" s="1300"/>
      <c r="K84" s="1307"/>
      <c r="L84" s="1335"/>
      <c r="M84" s="1302"/>
      <c r="N84" s="1700"/>
      <c r="O84" s="1290"/>
      <c r="P84" s="1569"/>
      <c r="Q84" s="3451"/>
      <c r="R84" s="3497"/>
    </row>
    <row r="85" spans="1:20">
      <c r="D85" s="1377"/>
      <c r="E85" s="2124"/>
      <c r="F85" s="1378"/>
      <c r="G85" s="1379"/>
      <c r="H85" s="1379"/>
      <c r="I85" s="1299"/>
      <c r="J85" s="1300"/>
      <c r="K85" s="1307"/>
      <c r="L85" s="1335"/>
      <c r="M85" s="1302"/>
      <c r="N85" s="1700"/>
      <c r="O85" s="1290"/>
      <c r="P85" s="1569"/>
      <c r="Q85" s="3451"/>
      <c r="R85" s="3497"/>
    </row>
    <row r="89" spans="1:20" ht="15" thickBot="1"/>
    <row r="90" spans="1:20" ht="19" thickBot="1">
      <c r="A90" s="3371"/>
      <c r="B90" s="3372"/>
      <c r="C90" s="3372"/>
      <c r="D90" s="3372"/>
      <c r="E90" s="3373"/>
      <c r="F90" s="3372"/>
      <c r="G90" s="3372"/>
      <c r="H90" s="3372"/>
      <c r="I90" s="3374"/>
      <c r="J90" s="3372"/>
      <c r="K90" s="3372"/>
      <c r="L90" s="3374"/>
      <c r="M90" s="3372"/>
      <c r="N90" s="3372"/>
      <c r="O90" s="3378" t="s">
        <v>3350</v>
      </c>
      <c r="P90" s="3379"/>
      <c r="Q90" s="3380">
        <f>SUM(Q2:Q46)</f>
        <v>1403903.7284200001</v>
      </c>
    </row>
    <row r="93" spans="1:20">
      <c r="T93" t="s">
        <v>2136</v>
      </c>
    </row>
  </sheetData>
  <mergeCells count="75">
    <mergeCell ref="N71:N72"/>
    <mergeCell ref="K70:L70"/>
    <mergeCell ref="M70:P70"/>
    <mergeCell ref="B71:B72"/>
    <mergeCell ref="D71:D72"/>
    <mergeCell ref="E71:E72"/>
    <mergeCell ref="F71:F72"/>
    <mergeCell ref="G71:G72"/>
    <mergeCell ref="H71:H72"/>
    <mergeCell ref="L71:L72"/>
    <mergeCell ref="M71:M72"/>
    <mergeCell ref="L54:L55"/>
    <mergeCell ref="M54:M55"/>
    <mergeCell ref="N54:N55"/>
    <mergeCell ref="A69:D70"/>
    <mergeCell ref="E69:E70"/>
    <mergeCell ref="F69:F70"/>
    <mergeCell ref="G69:H69"/>
    <mergeCell ref="K69:L69"/>
    <mergeCell ref="M69:P69"/>
    <mergeCell ref="G70:H70"/>
    <mergeCell ref="B54:B55"/>
    <mergeCell ref="D54:D55"/>
    <mergeCell ref="E54:E55"/>
    <mergeCell ref="F54:F55"/>
    <mergeCell ref="G54:G55"/>
    <mergeCell ref="H54:H55"/>
    <mergeCell ref="A52:D53"/>
    <mergeCell ref="E52:E53"/>
    <mergeCell ref="F52:F53"/>
    <mergeCell ref="G52:H52"/>
    <mergeCell ref="K52:L52"/>
    <mergeCell ref="M52:P52"/>
    <mergeCell ref="G53:H53"/>
    <mergeCell ref="K53:L53"/>
    <mergeCell ref="M53:P53"/>
    <mergeCell ref="L30:L31"/>
    <mergeCell ref="M30:M31"/>
    <mergeCell ref="N30:N31"/>
    <mergeCell ref="H30:H31"/>
    <mergeCell ref="B30:B31"/>
    <mergeCell ref="D30:D31"/>
    <mergeCell ref="E30:E31"/>
    <mergeCell ref="F30:F31"/>
    <mergeCell ref="G30:G31"/>
    <mergeCell ref="M28:P28"/>
    <mergeCell ref="G29:H29"/>
    <mergeCell ref="K29:L29"/>
    <mergeCell ref="M29:P29"/>
    <mergeCell ref="B13:B14"/>
    <mergeCell ref="D13:D14"/>
    <mergeCell ref="E13:E14"/>
    <mergeCell ref="F13:F14"/>
    <mergeCell ref="G13:G14"/>
    <mergeCell ref="A28:D29"/>
    <mergeCell ref="E28:E29"/>
    <mergeCell ref="F28:F29"/>
    <mergeCell ref="G28:H28"/>
    <mergeCell ref="K28:L28"/>
    <mergeCell ref="H13:H14"/>
    <mergeCell ref="L13:L14"/>
    <mergeCell ref="M13:M14"/>
    <mergeCell ref="N13:N14"/>
    <mergeCell ref="A1:R1"/>
    <mergeCell ref="A3:R3"/>
    <mergeCell ref="A7:Q7"/>
    <mergeCell ref="A11:D12"/>
    <mergeCell ref="E11:E12"/>
    <mergeCell ref="F11:F12"/>
    <mergeCell ref="G11:H11"/>
    <mergeCell ref="K11:L11"/>
    <mergeCell ref="M11:P11"/>
    <mergeCell ref="G12:H12"/>
    <mergeCell ref="K12:L12"/>
    <mergeCell ref="M12:P12"/>
  </mergeCells>
  <pageMargins left="0.11811023622047245" right="0.11811023622047245" top="0.74803149606299213" bottom="0.74803149606299213" header="0.31496062992125984" footer="0.31496062992125984"/>
  <pageSetup paperSize="9" scale="4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topLeftCell="A67" workbookViewId="0">
      <selection activeCell="C90" sqref="C90"/>
    </sheetView>
  </sheetViews>
  <sheetFormatPr defaultColWidth="10.90625" defaultRowHeight="14.5"/>
  <cols>
    <col min="1" max="1" width="9.453125" customWidth="1"/>
    <col min="2" max="2" width="22.453125" style="1100" customWidth="1"/>
    <col min="3" max="3" width="22.453125" customWidth="1"/>
    <col min="4" max="4" width="14.26953125" customWidth="1"/>
    <col min="5" max="5" width="16" style="1105" customWidth="1"/>
    <col min="6" max="7" width="14.81640625" style="1100" customWidth="1"/>
    <col min="8" max="8" width="16.54296875" style="1100" customWidth="1"/>
    <col min="9" max="9" width="20.81640625" style="1100" customWidth="1"/>
    <col min="10" max="10" width="12.7265625" style="1100" customWidth="1"/>
  </cols>
  <sheetData>
    <row r="1" spans="1:10" ht="42" customHeight="1">
      <c r="A1" s="4566" t="s">
        <v>1356</v>
      </c>
      <c r="B1" s="4566"/>
      <c r="C1" s="4566"/>
      <c r="D1" s="4566"/>
      <c r="E1" s="4566"/>
      <c r="F1" s="4566"/>
      <c r="G1" s="4566"/>
      <c r="H1" s="4566"/>
      <c r="I1" s="4566"/>
      <c r="J1" s="4566"/>
    </row>
    <row r="2" spans="1:10" ht="51">
      <c r="A2" s="1107" t="s">
        <v>1328</v>
      </c>
      <c r="B2" s="1102" t="s">
        <v>1346</v>
      </c>
      <c r="C2" s="1106" t="s">
        <v>1347</v>
      </c>
      <c r="D2" s="1102" t="s">
        <v>291</v>
      </c>
      <c r="E2" s="1106" t="s">
        <v>1355</v>
      </c>
      <c r="F2" s="1102" t="s">
        <v>1348</v>
      </c>
      <c r="G2" s="1106" t="s">
        <v>1350</v>
      </c>
      <c r="H2" s="1101" t="s">
        <v>1329</v>
      </c>
      <c r="I2" s="1107" t="s">
        <v>1330</v>
      </c>
      <c r="J2" s="1101" t="s">
        <v>1331</v>
      </c>
    </row>
    <row r="3" spans="1:10" ht="15.5">
      <c r="A3" s="1108">
        <v>84</v>
      </c>
      <c r="B3" s="1099" t="s">
        <v>1332</v>
      </c>
      <c r="C3" s="1103">
        <v>0</v>
      </c>
      <c r="D3" s="10">
        <v>2696.57</v>
      </c>
      <c r="E3" s="1104">
        <v>33</v>
      </c>
      <c r="F3" s="1103"/>
      <c r="G3" s="1099" t="s">
        <v>1349</v>
      </c>
      <c r="H3" s="1099" t="s">
        <v>1333</v>
      </c>
      <c r="I3" s="1099" t="s">
        <v>1334</v>
      </c>
      <c r="J3" s="1099" t="s">
        <v>1335</v>
      </c>
    </row>
    <row r="4" spans="1:10" ht="15.5">
      <c r="A4" s="1109">
        <v>85</v>
      </c>
      <c r="B4" s="1099" t="s">
        <v>1332</v>
      </c>
      <c r="C4" s="1103">
        <v>0</v>
      </c>
      <c r="D4" s="10">
        <v>2696.57</v>
      </c>
      <c r="E4" s="1104">
        <v>30</v>
      </c>
      <c r="F4" s="1103"/>
      <c r="G4" s="1099" t="s">
        <v>1349</v>
      </c>
      <c r="H4" s="1099" t="s">
        <v>1333</v>
      </c>
      <c r="I4" s="1099" t="s">
        <v>1334</v>
      </c>
      <c r="J4" s="1099" t="s">
        <v>1336</v>
      </c>
    </row>
    <row r="5" spans="1:10" ht="15.5">
      <c r="A5" s="1108">
        <v>86</v>
      </c>
      <c r="B5" s="1099" t="s">
        <v>1332</v>
      </c>
      <c r="C5" s="1103">
        <v>0</v>
      </c>
      <c r="D5" s="10">
        <v>3836.17</v>
      </c>
      <c r="E5" s="1104">
        <v>43</v>
      </c>
      <c r="F5" s="1103"/>
      <c r="G5" s="1099" t="s">
        <v>1349</v>
      </c>
      <c r="H5" s="1099" t="s">
        <v>1337</v>
      </c>
      <c r="I5" s="1099" t="s">
        <v>1338</v>
      </c>
      <c r="J5" s="1099" t="s">
        <v>1335</v>
      </c>
    </row>
    <row r="6" spans="1:10" ht="15.5">
      <c r="A6" s="1108">
        <v>87</v>
      </c>
      <c r="B6" s="1099" t="s">
        <v>1332</v>
      </c>
      <c r="C6" s="1103">
        <v>0</v>
      </c>
      <c r="D6" s="10">
        <v>3836.17</v>
      </c>
      <c r="E6" s="1104">
        <v>39</v>
      </c>
      <c r="F6" s="1103"/>
      <c r="G6" s="1099" t="s">
        <v>1349</v>
      </c>
      <c r="H6" s="1099" t="s">
        <v>1337</v>
      </c>
      <c r="I6" s="1099" t="s">
        <v>1338</v>
      </c>
      <c r="J6" s="1099" t="s">
        <v>1336</v>
      </c>
    </row>
    <row r="7" spans="1:10" ht="15.5">
      <c r="A7" s="1108">
        <v>2</v>
      </c>
      <c r="B7" s="1099" t="s">
        <v>1339</v>
      </c>
      <c r="C7" s="1103">
        <v>0</v>
      </c>
      <c r="D7" s="10">
        <v>3836.17</v>
      </c>
      <c r="E7" s="1104">
        <v>36</v>
      </c>
      <c r="F7" s="1103"/>
      <c r="G7" s="1099" t="s">
        <v>1349</v>
      </c>
      <c r="H7" s="1099" t="s">
        <v>1337</v>
      </c>
      <c r="I7" s="1099" t="s">
        <v>1338</v>
      </c>
      <c r="J7" s="1099" t="s">
        <v>1336</v>
      </c>
    </row>
    <row r="8" spans="1:10" ht="15.5">
      <c r="A8" s="1110">
        <v>8</v>
      </c>
      <c r="B8" s="1099" t="s">
        <v>1339</v>
      </c>
      <c r="C8" s="1103">
        <v>0</v>
      </c>
      <c r="D8" s="10">
        <v>3836.17</v>
      </c>
      <c r="E8" s="1104">
        <v>38</v>
      </c>
      <c r="F8" s="1103"/>
      <c r="G8" s="1099" t="s">
        <v>1349</v>
      </c>
      <c r="H8" s="1099" t="s">
        <v>1337</v>
      </c>
      <c r="I8" s="1099" t="s">
        <v>1338</v>
      </c>
      <c r="J8" s="1099" t="s">
        <v>1335</v>
      </c>
    </row>
    <row r="9" spans="1:10" ht="15.5">
      <c r="A9" s="1110" t="s">
        <v>1341</v>
      </c>
      <c r="B9" s="1099" t="s">
        <v>1339</v>
      </c>
      <c r="C9" s="3823" t="s">
        <v>1332</v>
      </c>
      <c r="D9" s="10">
        <v>5754.25</v>
      </c>
      <c r="E9" s="1104">
        <v>38</v>
      </c>
      <c r="F9" s="1103"/>
      <c r="G9" s="1099" t="s">
        <v>1349</v>
      </c>
      <c r="H9" s="1099" t="s">
        <v>1337</v>
      </c>
      <c r="I9" s="1099" t="s">
        <v>1338</v>
      </c>
      <c r="J9" s="1099" t="s">
        <v>1335</v>
      </c>
    </row>
    <row r="10" spans="1:10" ht="15.5">
      <c r="A10" s="1111">
        <v>88</v>
      </c>
      <c r="B10" s="1099" t="s">
        <v>1351</v>
      </c>
      <c r="C10" s="1099" t="s">
        <v>1332</v>
      </c>
      <c r="D10" s="10">
        <v>4440.34</v>
      </c>
      <c r="E10" s="1104">
        <v>36</v>
      </c>
      <c r="F10" s="1103"/>
      <c r="G10" s="1099" t="s">
        <v>1349</v>
      </c>
      <c r="H10" s="1099" t="s">
        <v>1342</v>
      </c>
      <c r="I10" s="1099" t="s">
        <v>1338</v>
      </c>
      <c r="J10" s="1099" t="s">
        <v>1335</v>
      </c>
    </row>
    <row r="11" spans="1:10" ht="15.5">
      <c r="A11" s="1111">
        <v>92</v>
      </c>
      <c r="B11" s="1099" t="s">
        <v>1351</v>
      </c>
      <c r="C11" s="1099" t="s">
        <v>1332</v>
      </c>
      <c r="D11" s="10">
        <v>4440.34</v>
      </c>
      <c r="E11" s="1104">
        <v>29</v>
      </c>
      <c r="F11" s="1099" t="s">
        <v>1349</v>
      </c>
      <c r="G11" s="1103"/>
      <c r="H11" s="1099" t="s">
        <v>1342</v>
      </c>
      <c r="I11" s="1099" t="s">
        <v>1338</v>
      </c>
      <c r="J11" s="1099" t="s">
        <v>1335</v>
      </c>
    </row>
    <row r="12" spans="1:10" ht="15.5">
      <c r="A12" s="1112">
        <v>96</v>
      </c>
      <c r="B12" s="1099" t="s">
        <v>1351</v>
      </c>
      <c r="C12" s="1099" t="s">
        <v>1332</v>
      </c>
      <c r="D12" s="10">
        <v>4440.34</v>
      </c>
      <c r="E12" s="1104">
        <v>36</v>
      </c>
      <c r="F12" s="1103"/>
      <c r="G12" s="1099" t="s">
        <v>1349</v>
      </c>
      <c r="H12" s="1099" t="s">
        <v>1342</v>
      </c>
      <c r="I12" s="1099" t="s">
        <v>1338</v>
      </c>
      <c r="J12" s="1099" t="s">
        <v>1336</v>
      </c>
    </row>
    <row r="13" spans="1:10" ht="15.5">
      <c r="A13" s="1112">
        <v>100</v>
      </c>
      <c r="B13" s="1099" t="s">
        <v>1351</v>
      </c>
      <c r="C13" s="1099" t="s">
        <v>1332</v>
      </c>
      <c r="D13" s="10">
        <v>4440.34</v>
      </c>
      <c r="E13" s="1104">
        <v>28</v>
      </c>
      <c r="F13" s="1099" t="s">
        <v>1349</v>
      </c>
      <c r="G13" s="1103"/>
      <c r="H13" s="1099" t="s">
        <v>1342</v>
      </c>
      <c r="I13" s="1099" t="s">
        <v>1338</v>
      </c>
      <c r="J13" s="1099" t="s">
        <v>1336</v>
      </c>
    </row>
    <row r="14" spans="1:10" ht="15.5">
      <c r="A14" s="1111">
        <v>27</v>
      </c>
      <c r="B14" s="1099" t="s">
        <v>1351</v>
      </c>
      <c r="C14" s="1099" t="s">
        <v>1332</v>
      </c>
      <c r="D14" s="10">
        <v>4440.34</v>
      </c>
      <c r="E14" s="1104">
        <v>29</v>
      </c>
      <c r="F14" s="1099" t="s">
        <v>1349</v>
      </c>
      <c r="G14" s="1103"/>
      <c r="H14" s="1099" t="s">
        <v>1337</v>
      </c>
      <c r="I14" s="1099" t="s">
        <v>1338</v>
      </c>
      <c r="J14" s="1099" t="s">
        <v>1335</v>
      </c>
    </row>
    <row r="15" spans="1:10" ht="15.5">
      <c r="A15" s="1111">
        <v>38</v>
      </c>
      <c r="B15" s="1099" t="s">
        <v>1351</v>
      </c>
      <c r="C15" s="1099" t="s">
        <v>1332</v>
      </c>
      <c r="D15" s="10">
        <v>4440.34</v>
      </c>
      <c r="E15" s="1104">
        <v>36</v>
      </c>
      <c r="F15" s="1103"/>
      <c r="G15" s="1099" t="s">
        <v>1349</v>
      </c>
      <c r="H15" s="1099" t="s">
        <v>1337</v>
      </c>
      <c r="I15" s="1099" t="s">
        <v>1338</v>
      </c>
      <c r="J15" s="1099" t="s">
        <v>1335</v>
      </c>
    </row>
    <row r="16" spans="1:10" ht="15.5">
      <c r="A16" s="1112">
        <v>45</v>
      </c>
      <c r="B16" s="1099" t="s">
        <v>1351</v>
      </c>
      <c r="C16" s="1099" t="s">
        <v>1332</v>
      </c>
      <c r="D16" s="10">
        <v>4440.34</v>
      </c>
      <c r="E16" s="1104">
        <v>28</v>
      </c>
      <c r="F16" s="1099" t="s">
        <v>1349</v>
      </c>
      <c r="G16" s="1103"/>
      <c r="H16" s="1099" t="s">
        <v>1337</v>
      </c>
      <c r="I16" s="1099" t="s">
        <v>1338</v>
      </c>
      <c r="J16" s="1099" t="s">
        <v>1336</v>
      </c>
    </row>
    <row r="17" spans="1:10" ht="15.5">
      <c r="A17" s="1112">
        <v>46</v>
      </c>
      <c r="B17" s="1099" t="s">
        <v>1351</v>
      </c>
      <c r="C17" s="1099" t="s">
        <v>1332</v>
      </c>
      <c r="D17" s="10">
        <v>4440.34</v>
      </c>
      <c r="E17" s="1104">
        <v>34</v>
      </c>
      <c r="F17" s="1103"/>
      <c r="G17" s="1099" t="s">
        <v>1349</v>
      </c>
      <c r="H17" s="1099" t="s">
        <v>1337</v>
      </c>
      <c r="I17" s="1099" t="s">
        <v>1338</v>
      </c>
      <c r="J17" s="1099" t="s">
        <v>1336</v>
      </c>
    </row>
    <row r="18" spans="1:10" ht="15.5">
      <c r="A18" s="1111">
        <v>76</v>
      </c>
      <c r="B18" s="1099" t="s">
        <v>1351</v>
      </c>
      <c r="C18" s="1099" t="s">
        <v>1332</v>
      </c>
      <c r="D18" s="10">
        <v>4440.34</v>
      </c>
      <c r="E18" s="1104">
        <v>30</v>
      </c>
      <c r="F18" s="1099" t="s">
        <v>1349</v>
      </c>
      <c r="G18" s="1103"/>
      <c r="H18" s="1099" t="s">
        <v>1340</v>
      </c>
      <c r="I18" s="1099" t="s">
        <v>1338</v>
      </c>
      <c r="J18" s="1099" t="s">
        <v>1335</v>
      </c>
    </row>
    <row r="19" spans="1:10" ht="15.5">
      <c r="A19" s="1111">
        <v>77</v>
      </c>
      <c r="B19" s="1099" t="s">
        <v>1351</v>
      </c>
      <c r="C19" s="1099" t="s">
        <v>1332</v>
      </c>
      <c r="D19" s="10">
        <v>4440.34</v>
      </c>
      <c r="E19" s="1104">
        <v>37</v>
      </c>
      <c r="F19" s="1103"/>
      <c r="G19" s="1099" t="s">
        <v>1349</v>
      </c>
      <c r="H19" s="1099" t="s">
        <v>1340</v>
      </c>
      <c r="I19" s="1099" t="s">
        <v>1338</v>
      </c>
      <c r="J19" s="1099" t="s">
        <v>1335</v>
      </c>
    </row>
    <row r="20" spans="1:10" ht="15.5">
      <c r="A20" s="1112">
        <v>78</v>
      </c>
      <c r="B20" s="1099" t="s">
        <v>1351</v>
      </c>
      <c r="C20" s="1099" t="s">
        <v>1332</v>
      </c>
      <c r="D20" s="10">
        <v>4440.34</v>
      </c>
      <c r="E20" s="1104">
        <v>37</v>
      </c>
      <c r="F20" s="1103"/>
      <c r="G20" s="1099" t="s">
        <v>1349</v>
      </c>
      <c r="H20" s="1099" t="s">
        <v>1340</v>
      </c>
      <c r="I20" s="1099" t="s">
        <v>1338</v>
      </c>
      <c r="J20" s="1099" t="s">
        <v>1336</v>
      </c>
    </row>
    <row r="21" spans="1:10" ht="15.5">
      <c r="A21" s="1112">
        <v>79</v>
      </c>
      <c r="B21" s="1099" t="s">
        <v>1351</v>
      </c>
      <c r="C21" s="1099" t="s">
        <v>1332</v>
      </c>
      <c r="D21" s="10">
        <v>4440.34</v>
      </c>
      <c r="E21" s="1104">
        <v>29</v>
      </c>
      <c r="F21" s="1099" t="s">
        <v>1349</v>
      </c>
      <c r="G21" s="1103"/>
      <c r="H21" s="1099" t="s">
        <v>1340</v>
      </c>
      <c r="I21" s="1099" t="s">
        <v>1338</v>
      </c>
      <c r="J21" s="1099" t="s">
        <v>1336</v>
      </c>
    </row>
    <row r="22" spans="1:10" ht="15.5">
      <c r="A22" s="1108">
        <v>104</v>
      </c>
      <c r="B22" s="1099" t="s">
        <v>1351</v>
      </c>
      <c r="C22" s="1103">
        <v>0</v>
      </c>
      <c r="D22" s="10">
        <v>3330.34</v>
      </c>
      <c r="E22" s="1104">
        <v>25</v>
      </c>
      <c r="F22" s="1099" t="s">
        <v>1349</v>
      </c>
      <c r="G22" s="1103"/>
      <c r="H22" s="1099" t="s">
        <v>1342</v>
      </c>
      <c r="I22" s="1099" t="s">
        <v>1338</v>
      </c>
      <c r="J22" s="1099" t="s">
        <v>1335</v>
      </c>
    </row>
    <row r="23" spans="1:10" ht="15.5">
      <c r="A23" s="1108">
        <v>108</v>
      </c>
      <c r="B23" s="1099" t="s">
        <v>1351</v>
      </c>
      <c r="C23" s="1103">
        <v>0</v>
      </c>
      <c r="D23" s="10">
        <v>3330.34</v>
      </c>
      <c r="E23" s="1104">
        <v>24</v>
      </c>
      <c r="F23" s="1099" t="s">
        <v>1349</v>
      </c>
      <c r="G23" s="1103"/>
      <c r="H23" s="1099" t="s">
        <v>1342</v>
      </c>
      <c r="I23" s="1099" t="s">
        <v>1338</v>
      </c>
      <c r="J23" s="1099" t="s">
        <v>1336</v>
      </c>
    </row>
    <row r="24" spans="1:10" ht="15.5">
      <c r="A24" s="1108">
        <v>16</v>
      </c>
      <c r="B24" s="1099" t="s">
        <v>1351</v>
      </c>
      <c r="C24" s="1103">
        <v>0</v>
      </c>
      <c r="D24" s="10">
        <v>3330.34</v>
      </c>
      <c r="E24" s="1104">
        <v>25</v>
      </c>
      <c r="F24" s="1099" t="s">
        <v>1349</v>
      </c>
      <c r="G24" s="1103"/>
      <c r="H24" s="1099" t="s">
        <v>1337</v>
      </c>
      <c r="I24" s="1099" t="s">
        <v>1338</v>
      </c>
      <c r="J24" s="1099" t="s">
        <v>1335</v>
      </c>
    </row>
    <row r="25" spans="1:10" ht="15.5">
      <c r="A25" s="1108">
        <v>17</v>
      </c>
      <c r="B25" s="1099" t="s">
        <v>1351</v>
      </c>
      <c r="C25" s="1103">
        <v>0</v>
      </c>
      <c r="D25" s="10">
        <v>3330.34</v>
      </c>
      <c r="E25" s="1104">
        <v>24</v>
      </c>
      <c r="F25" s="1099" t="s">
        <v>1349</v>
      </c>
      <c r="G25" s="1103"/>
      <c r="H25" s="1099" t="s">
        <v>1337</v>
      </c>
      <c r="I25" s="1099" t="s">
        <v>1338</v>
      </c>
      <c r="J25" s="1170" t="s">
        <v>1336</v>
      </c>
    </row>
    <row r="26" spans="1:10" ht="15.5">
      <c r="A26" s="1108">
        <v>56</v>
      </c>
      <c r="B26" s="1099" t="s">
        <v>1351</v>
      </c>
      <c r="C26" s="1103">
        <v>0</v>
      </c>
      <c r="D26" s="10">
        <v>3330.34</v>
      </c>
      <c r="E26" s="1104">
        <v>26</v>
      </c>
      <c r="F26" s="1099" t="s">
        <v>1349</v>
      </c>
      <c r="G26" s="1103"/>
      <c r="H26" s="1099" t="s">
        <v>1340</v>
      </c>
      <c r="I26" s="1099" t="s">
        <v>1338</v>
      </c>
      <c r="J26" s="1099" t="s">
        <v>1336</v>
      </c>
    </row>
    <row r="27" spans="1:10" ht="15.5">
      <c r="A27" s="1108">
        <v>64</v>
      </c>
      <c r="B27" s="1099" t="s">
        <v>1351</v>
      </c>
      <c r="C27" s="1103">
        <v>0</v>
      </c>
      <c r="D27" s="10">
        <v>3330.34</v>
      </c>
      <c r="E27" s="1104">
        <v>27</v>
      </c>
      <c r="F27" s="1099" t="s">
        <v>1349</v>
      </c>
      <c r="G27" s="1103"/>
      <c r="H27" s="1099" t="s">
        <v>1340</v>
      </c>
      <c r="I27" s="1099" t="s">
        <v>1338</v>
      </c>
      <c r="J27" s="1099" t="s">
        <v>1335</v>
      </c>
    </row>
    <row r="28" spans="1:10" ht="15.5">
      <c r="A28" s="1108">
        <v>10</v>
      </c>
      <c r="B28" s="1099" t="s">
        <v>1351</v>
      </c>
      <c r="C28" s="1103">
        <v>0</v>
      </c>
      <c r="D28" s="10">
        <v>3330.34</v>
      </c>
      <c r="E28" s="1104">
        <v>32</v>
      </c>
      <c r="F28" s="1103"/>
      <c r="G28" s="1099" t="s">
        <v>1349</v>
      </c>
      <c r="H28" s="1099" t="s">
        <v>1337</v>
      </c>
      <c r="I28" s="1099" t="s">
        <v>1338</v>
      </c>
      <c r="J28" s="1099" t="s">
        <v>1335</v>
      </c>
    </row>
    <row r="29" spans="1:10" ht="15.5">
      <c r="A29" s="1108">
        <v>11</v>
      </c>
      <c r="B29" s="1099" t="s">
        <v>1351</v>
      </c>
      <c r="C29" s="1103">
        <v>0</v>
      </c>
      <c r="D29" s="10">
        <v>3330.34</v>
      </c>
      <c r="E29" s="1104">
        <v>31</v>
      </c>
      <c r="F29" s="1103"/>
      <c r="G29" s="1099" t="s">
        <v>1349</v>
      </c>
      <c r="H29" s="1099" t="s">
        <v>1337</v>
      </c>
      <c r="I29" s="1099" t="s">
        <v>1338</v>
      </c>
      <c r="J29" s="1099" t="s">
        <v>1336</v>
      </c>
    </row>
    <row r="30" spans="1:10" ht="15.5">
      <c r="A30" s="1108">
        <v>53</v>
      </c>
      <c r="B30" s="1099" t="s">
        <v>1351</v>
      </c>
      <c r="C30" s="1103">
        <v>0</v>
      </c>
      <c r="D30" s="10">
        <v>3330.34</v>
      </c>
      <c r="E30" s="1104">
        <v>32</v>
      </c>
      <c r="F30" s="1103"/>
      <c r="G30" s="1099" t="s">
        <v>1349</v>
      </c>
      <c r="H30" s="1099" t="s">
        <v>1340</v>
      </c>
      <c r="I30" s="1099" t="s">
        <v>1338</v>
      </c>
      <c r="J30" s="1099" t="s">
        <v>1336</v>
      </c>
    </row>
    <row r="31" spans="1:10" ht="15.5">
      <c r="A31" s="1108">
        <v>61</v>
      </c>
      <c r="B31" s="1099" t="s">
        <v>1351</v>
      </c>
      <c r="C31" s="1103">
        <v>0</v>
      </c>
      <c r="D31" s="10">
        <v>3330.34</v>
      </c>
      <c r="E31" s="1104">
        <v>33</v>
      </c>
      <c r="F31" s="1103"/>
      <c r="G31" s="1099" t="s">
        <v>1349</v>
      </c>
      <c r="H31" s="1099" t="s">
        <v>1340</v>
      </c>
      <c r="I31" s="1099" t="s">
        <v>1338</v>
      </c>
      <c r="J31" s="1099" t="s">
        <v>1335</v>
      </c>
    </row>
    <row r="32" spans="1:10" ht="15.5">
      <c r="A32" s="1108">
        <v>89</v>
      </c>
      <c r="B32" s="1099" t="s">
        <v>1352</v>
      </c>
      <c r="C32" s="1099" t="s">
        <v>1332</v>
      </c>
      <c r="D32" s="10">
        <v>5550.5</v>
      </c>
      <c r="E32" s="1104">
        <v>45</v>
      </c>
      <c r="F32" s="1103"/>
      <c r="G32" s="1099" t="s">
        <v>1349</v>
      </c>
      <c r="H32" s="1099" t="s">
        <v>1342</v>
      </c>
      <c r="I32" s="1099" t="s">
        <v>1338</v>
      </c>
      <c r="J32" s="1099" t="s">
        <v>1335</v>
      </c>
    </row>
    <row r="33" spans="1:10" ht="15.5">
      <c r="A33" s="1108">
        <v>93</v>
      </c>
      <c r="B33" s="1099" t="s">
        <v>1352</v>
      </c>
      <c r="C33" s="1099" t="s">
        <v>1332</v>
      </c>
      <c r="D33" s="10">
        <v>5550.5</v>
      </c>
      <c r="E33" s="1104">
        <v>39</v>
      </c>
      <c r="F33" s="1099" t="s">
        <v>1349</v>
      </c>
      <c r="G33" s="1103"/>
      <c r="H33" s="1099" t="s">
        <v>1342</v>
      </c>
      <c r="I33" s="1099" t="s">
        <v>1338</v>
      </c>
      <c r="J33" s="1099" t="s">
        <v>1335</v>
      </c>
    </row>
    <row r="34" spans="1:10" ht="15.5">
      <c r="A34" s="1108">
        <v>97</v>
      </c>
      <c r="B34" s="1099" t="s">
        <v>1352</v>
      </c>
      <c r="C34" s="1099" t="s">
        <v>1332</v>
      </c>
      <c r="D34" s="10">
        <v>5550.5</v>
      </c>
      <c r="E34" s="1104">
        <v>44</v>
      </c>
      <c r="F34" s="1103"/>
      <c r="G34" s="1099" t="s">
        <v>1349</v>
      </c>
      <c r="H34" s="1099" t="s">
        <v>1342</v>
      </c>
      <c r="I34" s="1099" t="s">
        <v>1338</v>
      </c>
      <c r="J34" s="1099" t="s">
        <v>1336</v>
      </c>
    </row>
    <row r="35" spans="1:10" ht="16" thickBot="1">
      <c r="A35" s="1108">
        <v>101</v>
      </c>
      <c r="B35" s="3777" t="s">
        <v>1352</v>
      </c>
      <c r="C35" s="3777" t="s">
        <v>1332</v>
      </c>
      <c r="D35" s="3778">
        <v>5550.5</v>
      </c>
      <c r="E35" s="3779">
        <v>38</v>
      </c>
      <c r="F35" s="3777" t="s">
        <v>1349</v>
      </c>
      <c r="G35" s="3780"/>
      <c r="H35" s="3777" t="s">
        <v>1342</v>
      </c>
      <c r="I35" s="3777" t="s">
        <v>1338</v>
      </c>
      <c r="J35" s="3777" t="s">
        <v>1336</v>
      </c>
    </row>
    <row r="36" spans="1:10" ht="16" thickBot="1">
      <c r="A36" s="3776" t="s">
        <v>1343</v>
      </c>
      <c r="B36" s="3783" t="s">
        <v>1352</v>
      </c>
      <c r="C36" s="3824" t="s">
        <v>1339</v>
      </c>
      <c r="D36" s="3785">
        <v>6660.6</v>
      </c>
      <c r="E36" s="3786">
        <v>40</v>
      </c>
      <c r="F36" s="3784" t="s">
        <v>1349</v>
      </c>
      <c r="G36" s="3787"/>
      <c r="H36" s="3784" t="s">
        <v>1342</v>
      </c>
      <c r="I36" s="3784" t="s">
        <v>1338</v>
      </c>
      <c r="J36" s="3788" t="s">
        <v>1335</v>
      </c>
    </row>
    <row r="37" spans="1:10" ht="15.5">
      <c r="A37" s="1108">
        <v>26</v>
      </c>
      <c r="B37" s="3781" t="s">
        <v>1352</v>
      </c>
      <c r="C37" s="3781" t="s">
        <v>1332</v>
      </c>
      <c r="D37" s="223">
        <v>5550.5</v>
      </c>
      <c r="E37" s="3775">
        <v>44</v>
      </c>
      <c r="F37" s="3782"/>
      <c r="G37" s="3781" t="s">
        <v>1349</v>
      </c>
      <c r="H37" s="3781" t="s">
        <v>1337</v>
      </c>
      <c r="I37" s="3781" t="s">
        <v>1338</v>
      </c>
      <c r="J37" s="3781" t="s">
        <v>1335</v>
      </c>
    </row>
    <row r="38" spans="1:10" ht="15.5">
      <c r="A38" s="1108">
        <v>41</v>
      </c>
      <c r="B38" s="1099" t="s">
        <v>1352</v>
      </c>
      <c r="C38" s="1099" t="s">
        <v>1332</v>
      </c>
      <c r="D38" s="10">
        <v>5550.5</v>
      </c>
      <c r="E38" s="1104">
        <v>38</v>
      </c>
      <c r="F38" s="1099" t="s">
        <v>1349</v>
      </c>
      <c r="G38" s="1103"/>
      <c r="H38" s="1099" t="s">
        <v>1337</v>
      </c>
      <c r="I38" s="1099" t="s">
        <v>1338</v>
      </c>
      <c r="J38" s="1099" t="s">
        <v>1335</v>
      </c>
    </row>
    <row r="39" spans="1:10" ht="15.5">
      <c r="A39" s="1108">
        <v>44</v>
      </c>
      <c r="B39" s="1099" t="s">
        <v>1352</v>
      </c>
      <c r="C39" s="1099" t="s">
        <v>1332</v>
      </c>
      <c r="D39" s="10">
        <v>5550.5</v>
      </c>
      <c r="E39" s="1104">
        <v>43</v>
      </c>
      <c r="F39" s="1103"/>
      <c r="G39" s="1099" t="s">
        <v>1349</v>
      </c>
      <c r="H39" s="1099" t="s">
        <v>1337</v>
      </c>
      <c r="I39" s="1099" t="s">
        <v>1338</v>
      </c>
      <c r="J39" s="1099" t="s">
        <v>1336</v>
      </c>
    </row>
    <row r="40" spans="1:10" ht="15.5">
      <c r="A40" s="1108">
        <v>49</v>
      </c>
      <c r="B40" s="1099" t="s">
        <v>1352</v>
      </c>
      <c r="C40" s="1099" t="s">
        <v>1332</v>
      </c>
      <c r="D40" s="10">
        <v>5550.5</v>
      </c>
      <c r="E40" s="1104">
        <v>37</v>
      </c>
      <c r="F40" s="1099" t="s">
        <v>1349</v>
      </c>
      <c r="G40" s="1103"/>
      <c r="H40" s="1099" t="s">
        <v>1337</v>
      </c>
      <c r="I40" s="1099" t="s">
        <v>1338</v>
      </c>
      <c r="J40" s="1099" t="s">
        <v>1336</v>
      </c>
    </row>
    <row r="41" spans="1:10" ht="15.5">
      <c r="A41" s="1108">
        <v>72</v>
      </c>
      <c r="B41" s="1099" t="s">
        <v>1352</v>
      </c>
      <c r="C41" s="1099" t="s">
        <v>1332</v>
      </c>
      <c r="D41" s="10">
        <v>5550.5</v>
      </c>
      <c r="E41" s="1104">
        <v>39</v>
      </c>
      <c r="F41" s="1099" t="s">
        <v>1349</v>
      </c>
      <c r="G41" s="1103"/>
      <c r="H41" s="1099" t="s">
        <v>1340</v>
      </c>
      <c r="I41" s="1099" t="s">
        <v>1338</v>
      </c>
      <c r="J41" s="1099" t="s">
        <v>1335</v>
      </c>
    </row>
    <row r="42" spans="1:10" ht="15.5">
      <c r="A42" s="1108">
        <v>73</v>
      </c>
      <c r="B42" s="1099" t="s">
        <v>1352</v>
      </c>
      <c r="C42" s="1099" t="s">
        <v>1332</v>
      </c>
      <c r="D42" s="10">
        <v>5550.5</v>
      </c>
      <c r="E42" s="1104">
        <v>46</v>
      </c>
      <c r="F42" s="1103"/>
      <c r="G42" s="1099" t="s">
        <v>1349</v>
      </c>
      <c r="H42" s="1099" t="s">
        <v>1340</v>
      </c>
      <c r="I42" s="1099" t="s">
        <v>1338</v>
      </c>
      <c r="J42" s="1099" t="s">
        <v>1335</v>
      </c>
    </row>
    <row r="43" spans="1:10" ht="15.5">
      <c r="A43" s="1108">
        <v>74</v>
      </c>
      <c r="B43" s="1099" t="s">
        <v>1352</v>
      </c>
      <c r="C43" s="1099" t="s">
        <v>1332</v>
      </c>
      <c r="D43" s="10">
        <v>5550.5</v>
      </c>
      <c r="E43" s="1104">
        <v>45</v>
      </c>
      <c r="F43" s="1103"/>
      <c r="G43" s="1099" t="s">
        <v>1349</v>
      </c>
      <c r="H43" s="1099" t="s">
        <v>1340</v>
      </c>
      <c r="I43" s="1099" t="s">
        <v>1338</v>
      </c>
      <c r="J43" s="1099" t="s">
        <v>1336</v>
      </c>
    </row>
    <row r="44" spans="1:10" ht="15.5">
      <c r="A44" s="1108">
        <v>75</v>
      </c>
      <c r="B44" s="1099" t="s">
        <v>1352</v>
      </c>
      <c r="C44" s="1099" t="s">
        <v>1332</v>
      </c>
      <c r="D44" s="10">
        <v>5550.5</v>
      </c>
      <c r="E44" s="1104">
        <v>38</v>
      </c>
      <c r="F44" s="1099" t="s">
        <v>1349</v>
      </c>
      <c r="G44" s="1103"/>
      <c r="H44" s="1099" t="s">
        <v>1340</v>
      </c>
      <c r="I44" s="1099" t="s">
        <v>1338</v>
      </c>
      <c r="J44" s="1099" t="s">
        <v>1336</v>
      </c>
    </row>
    <row r="45" spans="1:10" ht="15.5">
      <c r="A45" s="1108">
        <v>105</v>
      </c>
      <c r="B45" s="1099" t="s">
        <v>1352</v>
      </c>
      <c r="C45" s="1103">
        <v>0</v>
      </c>
      <c r="D45" s="10">
        <v>4440.5</v>
      </c>
      <c r="E45" s="1104">
        <v>34</v>
      </c>
      <c r="F45" s="1099" t="s">
        <v>1349</v>
      </c>
      <c r="G45" s="1103"/>
      <c r="H45" s="1099" t="s">
        <v>1342</v>
      </c>
      <c r="I45" s="1099" t="s">
        <v>1338</v>
      </c>
      <c r="J45" s="1099" t="s">
        <v>1335</v>
      </c>
    </row>
    <row r="46" spans="1:10" ht="15.5">
      <c r="A46" s="1108">
        <v>109</v>
      </c>
      <c r="B46" s="1099" t="s">
        <v>1352</v>
      </c>
      <c r="C46" s="1103">
        <v>0</v>
      </c>
      <c r="D46" s="10">
        <v>4440.5</v>
      </c>
      <c r="E46" s="1104">
        <v>33</v>
      </c>
      <c r="F46" s="1099" t="s">
        <v>1349</v>
      </c>
      <c r="G46" s="1103"/>
      <c r="H46" s="1099" t="s">
        <v>1342</v>
      </c>
      <c r="I46" s="1099" t="s">
        <v>1338</v>
      </c>
      <c r="J46" s="1099" t="s">
        <v>1336</v>
      </c>
    </row>
    <row r="47" spans="1:10" ht="15.5">
      <c r="A47" s="1108">
        <v>20</v>
      </c>
      <c r="B47" s="1099" t="s">
        <v>1352</v>
      </c>
      <c r="C47" s="1103">
        <v>0</v>
      </c>
      <c r="D47" s="10">
        <v>4440.5</v>
      </c>
      <c r="E47" s="1104">
        <v>34</v>
      </c>
      <c r="F47" s="1099" t="s">
        <v>1349</v>
      </c>
      <c r="G47" s="1103"/>
      <c r="H47" s="1099" t="s">
        <v>1337</v>
      </c>
      <c r="I47" s="1099" t="s">
        <v>1338</v>
      </c>
      <c r="J47" s="1099" t="s">
        <v>1335</v>
      </c>
    </row>
    <row r="48" spans="1:10" ht="15.5">
      <c r="A48" s="1108">
        <v>23</v>
      </c>
      <c r="B48" s="1099" t="s">
        <v>1352</v>
      </c>
      <c r="C48" s="1103">
        <v>0</v>
      </c>
      <c r="D48" s="10">
        <v>4440.5</v>
      </c>
      <c r="E48" s="1104">
        <v>33</v>
      </c>
      <c r="F48" s="1099" t="s">
        <v>1349</v>
      </c>
      <c r="G48" s="1103"/>
      <c r="H48" s="1099" t="s">
        <v>1337</v>
      </c>
      <c r="I48" s="1099" t="s">
        <v>1338</v>
      </c>
      <c r="J48" s="1099" t="s">
        <v>1336</v>
      </c>
    </row>
    <row r="49" spans="1:10" ht="15.5">
      <c r="A49" s="1108">
        <v>52</v>
      </c>
      <c r="B49" s="1099" t="s">
        <v>1352</v>
      </c>
      <c r="C49" s="1103">
        <v>0</v>
      </c>
      <c r="D49" s="10">
        <v>4440.5</v>
      </c>
      <c r="E49" s="1104">
        <v>41</v>
      </c>
      <c r="F49" s="1103"/>
      <c r="G49" s="1099" t="s">
        <v>1349</v>
      </c>
      <c r="H49" s="1099" t="s">
        <v>1340</v>
      </c>
      <c r="I49" s="1099" t="s">
        <v>1338</v>
      </c>
      <c r="J49" s="1099" t="s">
        <v>1336</v>
      </c>
    </row>
    <row r="50" spans="1:10" ht="15.5">
      <c r="A50" s="1108">
        <v>60</v>
      </c>
      <c r="B50" s="1099" t="s">
        <v>1352</v>
      </c>
      <c r="C50" s="1103">
        <v>0</v>
      </c>
      <c r="D50" s="10">
        <v>4440.5</v>
      </c>
      <c r="E50" s="1104">
        <v>42</v>
      </c>
      <c r="F50" s="1103"/>
      <c r="G50" s="1099" t="s">
        <v>1349</v>
      </c>
      <c r="H50" s="1099" t="s">
        <v>1340</v>
      </c>
      <c r="I50" s="1099" t="s">
        <v>1338</v>
      </c>
      <c r="J50" s="1099" t="s">
        <v>1335</v>
      </c>
    </row>
    <row r="51" spans="1:10" ht="15.5">
      <c r="A51" s="1108">
        <v>57</v>
      </c>
      <c r="B51" s="1099" t="s">
        <v>1352</v>
      </c>
      <c r="C51" s="1103">
        <v>0</v>
      </c>
      <c r="D51" s="10">
        <v>4440.5</v>
      </c>
      <c r="E51" s="1104">
        <v>35</v>
      </c>
      <c r="F51" s="1099" t="s">
        <v>1349</v>
      </c>
      <c r="G51" s="1103"/>
      <c r="H51" s="1099" t="s">
        <v>1340</v>
      </c>
      <c r="I51" s="1099" t="s">
        <v>1338</v>
      </c>
      <c r="J51" s="1099" t="s">
        <v>1336</v>
      </c>
    </row>
    <row r="52" spans="1:10" ht="15.5">
      <c r="A52" s="1108">
        <v>65</v>
      </c>
      <c r="B52" s="1099" t="s">
        <v>1352</v>
      </c>
      <c r="C52" s="1103">
        <v>0</v>
      </c>
      <c r="D52" s="10">
        <v>4440.5</v>
      </c>
      <c r="E52" s="1104">
        <v>36</v>
      </c>
      <c r="F52" s="1099" t="s">
        <v>1349</v>
      </c>
      <c r="G52" s="1103"/>
      <c r="H52" s="1099" t="s">
        <v>1340</v>
      </c>
      <c r="I52" s="1099" t="s">
        <v>1338</v>
      </c>
      <c r="J52" s="1099" t="s">
        <v>1335</v>
      </c>
    </row>
    <row r="53" spans="1:10" ht="15.5">
      <c r="A53" s="1108">
        <v>4</v>
      </c>
      <c r="B53" s="1099" t="s">
        <v>1352</v>
      </c>
      <c r="C53" s="1103">
        <v>0</v>
      </c>
      <c r="D53" s="10">
        <v>4440.5</v>
      </c>
      <c r="E53" s="1104">
        <v>41</v>
      </c>
      <c r="F53" s="1099" t="s">
        <v>1349</v>
      </c>
      <c r="G53" s="1103"/>
      <c r="H53" s="1099" t="s">
        <v>1342</v>
      </c>
      <c r="I53" s="1099" t="s">
        <v>1334</v>
      </c>
      <c r="J53" s="1099" t="s">
        <v>1336</v>
      </c>
    </row>
    <row r="54" spans="1:10" ht="15.5">
      <c r="A54" s="1108">
        <v>9</v>
      </c>
      <c r="B54" s="1099" t="s">
        <v>1352</v>
      </c>
      <c r="C54" s="1103">
        <v>0</v>
      </c>
      <c r="D54" s="10">
        <v>4440.5</v>
      </c>
      <c r="E54" s="1104">
        <v>40</v>
      </c>
      <c r="F54" s="1103"/>
      <c r="G54" s="1099" t="s">
        <v>1349</v>
      </c>
      <c r="H54" s="1099" t="s">
        <v>1337</v>
      </c>
      <c r="I54" s="1099" t="s">
        <v>1338</v>
      </c>
      <c r="J54" s="1099" t="s">
        <v>1336</v>
      </c>
    </row>
    <row r="55" spans="1:10" ht="15.5">
      <c r="A55" s="1113">
        <v>90</v>
      </c>
      <c r="B55" s="1099" t="s">
        <v>1353</v>
      </c>
      <c r="C55" s="1099" t="s">
        <v>1332</v>
      </c>
      <c r="D55" s="10">
        <v>6661.78</v>
      </c>
      <c r="E55" s="1104">
        <v>54</v>
      </c>
      <c r="F55" s="1103"/>
      <c r="G55" s="1099" t="s">
        <v>1349</v>
      </c>
      <c r="H55" s="1099" t="s">
        <v>1342</v>
      </c>
      <c r="I55" s="1099" t="s">
        <v>1338</v>
      </c>
      <c r="J55" s="1099" t="s">
        <v>1335</v>
      </c>
    </row>
    <row r="56" spans="1:10" ht="15.5">
      <c r="A56" s="1113">
        <v>94</v>
      </c>
      <c r="B56" s="1099" t="s">
        <v>1353</v>
      </c>
      <c r="C56" s="1099" t="s">
        <v>1332</v>
      </c>
      <c r="D56" s="10">
        <v>6661.78</v>
      </c>
      <c r="E56" s="1104">
        <v>47</v>
      </c>
      <c r="F56" s="1099" t="s">
        <v>1349</v>
      </c>
      <c r="G56" s="1103"/>
      <c r="H56" s="1099" t="s">
        <v>1342</v>
      </c>
      <c r="I56" s="1099" t="s">
        <v>1338</v>
      </c>
      <c r="J56" s="1099" t="s">
        <v>1335</v>
      </c>
    </row>
    <row r="57" spans="1:10" ht="15.5">
      <c r="A57" s="1108">
        <v>98</v>
      </c>
      <c r="B57" s="1099" t="s">
        <v>1353</v>
      </c>
      <c r="C57" s="1099" t="s">
        <v>1332</v>
      </c>
      <c r="D57" s="10">
        <v>6661.78</v>
      </c>
      <c r="E57" s="1104">
        <v>53</v>
      </c>
      <c r="F57" s="1103"/>
      <c r="G57" s="1099" t="s">
        <v>1349</v>
      </c>
      <c r="H57" s="1099" t="s">
        <v>1342</v>
      </c>
      <c r="I57" s="1099" t="s">
        <v>1338</v>
      </c>
      <c r="J57" s="1099" t="s">
        <v>1336</v>
      </c>
    </row>
    <row r="58" spans="1:10" ht="15.5">
      <c r="A58" s="1108">
        <v>102</v>
      </c>
      <c r="B58" s="1099" t="s">
        <v>1353</v>
      </c>
      <c r="C58" s="1099" t="s">
        <v>1332</v>
      </c>
      <c r="D58" s="10">
        <v>6661.78</v>
      </c>
      <c r="E58" s="1104">
        <v>46</v>
      </c>
      <c r="F58" s="1099" t="s">
        <v>1349</v>
      </c>
      <c r="G58" s="1103"/>
      <c r="H58" s="1099" t="s">
        <v>1342</v>
      </c>
      <c r="I58" s="1099" t="s">
        <v>1338</v>
      </c>
      <c r="J58" s="1099" t="s">
        <v>1336</v>
      </c>
    </row>
    <row r="59" spans="1:10" ht="15.5">
      <c r="A59" s="1114" t="s">
        <v>1344</v>
      </c>
      <c r="B59" s="1099" t="s">
        <v>1353</v>
      </c>
      <c r="C59" s="3823" t="s">
        <v>1339</v>
      </c>
      <c r="D59" s="10">
        <v>7772.08</v>
      </c>
      <c r="E59" s="1104">
        <v>46</v>
      </c>
      <c r="F59" s="1103"/>
      <c r="G59" s="1099" t="s">
        <v>1349</v>
      </c>
      <c r="H59" s="1099" t="s">
        <v>1342</v>
      </c>
      <c r="I59" s="1099" t="s">
        <v>1338</v>
      </c>
      <c r="J59" s="1099" t="s">
        <v>1336</v>
      </c>
    </row>
    <row r="60" spans="1:10" ht="15.5">
      <c r="A60" s="1108">
        <v>80</v>
      </c>
      <c r="B60" s="1099" t="s">
        <v>1353</v>
      </c>
      <c r="C60" s="1099" t="s">
        <v>1332</v>
      </c>
      <c r="D60" s="10">
        <v>6661.78</v>
      </c>
      <c r="E60" s="1104">
        <v>47</v>
      </c>
      <c r="F60" s="1099" t="s">
        <v>1349</v>
      </c>
      <c r="G60" s="1103"/>
      <c r="H60" s="1099" t="s">
        <v>1340</v>
      </c>
      <c r="I60" s="1099" t="s">
        <v>1338</v>
      </c>
      <c r="J60" s="1099" t="s">
        <v>1336</v>
      </c>
    </row>
    <row r="61" spans="1:10" ht="15.5">
      <c r="A61" s="1113">
        <v>81</v>
      </c>
      <c r="B61" s="1099" t="s">
        <v>1353</v>
      </c>
      <c r="C61" s="1099" t="s">
        <v>1332</v>
      </c>
      <c r="D61" s="10">
        <v>6661.78</v>
      </c>
      <c r="E61" s="1104">
        <v>49</v>
      </c>
      <c r="F61" s="1099" t="s">
        <v>1349</v>
      </c>
      <c r="G61" s="1103"/>
      <c r="H61" s="1099" t="s">
        <v>1340</v>
      </c>
      <c r="I61" s="1099" t="s">
        <v>1338</v>
      </c>
      <c r="J61" s="1099" t="s">
        <v>1335</v>
      </c>
    </row>
    <row r="62" spans="1:10" ht="15.5">
      <c r="A62" s="1108">
        <v>82</v>
      </c>
      <c r="B62" s="1099" t="s">
        <v>1353</v>
      </c>
      <c r="C62" s="1099" t="s">
        <v>1332</v>
      </c>
      <c r="D62" s="10">
        <v>6661.78</v>
      </c>
      <c r="E62" s="1104">
        <v>54</v>
      </c>
      <c r="F62" s="1103"/>
      <c r="G62" s="1099" t="s">
        <v>1349</v>
      </c>
      <c r="H62" s="1099" t="s">
        <v>1340</v>
      </c>
      <c r="I62" s="1099" t="s">
        <v>1338</v>
      </c>
      <c r="J62" s="1099" t="s">
        <v>1336</v>
      </c>
    </row>
    <row r="63" spans="1:10" ht="15.5">
      <c r="A63" s="1113">
        <v>83</v>
      </c>
      <c r="B63" s="1099" t="s">
        <v>1353</v>
      </c>
      <c r="C63" s="1099" t="s">
        <v>1332</v>
      </c>
      <c r="D63" s="10">
        <v>6661.78</v>
      </c>
      <c r="E63" s="1104">
        <v>55</v>
      </c>
      <c r="F63" s="1103"/>
      <c r="G63" s="1099" t="s">
        <v>1349</v>
      </c>
      <c r="H63" s="1099" t="s">
        <v>1340</v>
      </c>
      <c r="I63" s="1099" t="s">
        <v>1338</v>
      </c>
      <c r="J63" s="1099" t="s">
        <v>1335</v>
      </c>
    </row>
    <row r="64" spans="1:10" ht="15.5">
      <c r="A64" s="1108">
        <v>40</v>
      </c>
      <c r="B64" s="1099" t="s">
        <v>1353</v>
      </c>
      <c r="C64" s="1099" t="s">
        <v>1332</v>
      </c>
      <c r="D64" s="10">
        <v>6661.78</v>
      </c>
      <c r="E64" s="1104">
        <v>47</v>
      </c>
      <c r="F64" s="1099" t="s">
        <v>1349</v>
      </c>
      <c r="G64" s="1103"/>
      <c r="H64" s="1099" t="s">
        <v>1337</v>
      </c>
      <c r="I64" s="1099" t="s">
        <v>1338</v>
      </c>
      <c r="J64" s="1099" t="s">
        <v>1335</v>
      </c>
    </row>
    <row r="65" spans="1:10" ht="15.5">
      <c r="A65" s="1113">
        <v>43</v>
      </c>
      <c r="B65" s="1099" t="s">
        <v>1353</v>
      </c>
      <c r="C65" s="1099" t="s">
        <v>1332</v>
      </c>
      <c r="D65" s="10">
        <v>6661.78</v>
      </c>
      <c r="E65" s="1104">
        <v>53</v>
      </c>
      <c r="F65" s="1103"/>
      <c r="G65" s="1099" t="s">
        <v>1349</v>
      </c>
      <c r="H65" s="1099" t="s">
        <v>1337</v>
      </c>
      <c r="I65" s="1099" t="s">
        <v>1338</v>
      </c>
      <c r="J65" s="1099" t="s">
        <v>1335</v>
      </c>
    </row>
    <row r="66" spans="1:10" ht="15.5">
      <c r="A66" s="1108">
        <v>48</v>
      </c>
      <c r="B66" s="1099" t="s">
        <v>1353</v>
      </c>
      <c r="C66" s="1099" t="s">
        <v>1332</v>
      </c>
      <c r="D66" s="10">
        <v>6661.78</v>
      </c>
      <c r="E66" s="1104">
        <v>46</v>
      </c>
      <c r="F66" s="1099" t="s">
        <v>1349</v>
      </c>
      <c r="G66" s="1103"/>
      <c r="H66" s="1099" t="s">
        <v>1337</v>
      </c>
      <c r="I66" s="1099" t="s">
        <v>1338</v>
      </c>
      <c r="J66" s="1099" t="s">
        <v>1336</v>
      </c>
    </row>
    <row r="67" spans="1:10" ht="15.5">
      <c r="A67" s="1108">
        <v>51</v>
      </c>
      <c r="B67" s="1099" t="s">
        <v>1353</v>
      </c>
      <c r="C67" s="1099" t="s">
        <v>1332</v>
      </c>
      <c r="D67" s="10">
        <v>6661.78</v>
      </c>
      <c r="E67" s="1104">
        <v>52</v>
      </c>
      <c r="F67" s="1103"/>
      <c r="G67" s="1099" t="s">
        <v>1349</v>
      </c>
      <c r="H67" s="1099" t="s">
        <v>1337</v>
      </c>
      <c r="I67" s="1099" t="s">
        <v>1338</v>
      </c>
      <c r="J67" s="1099" t="s">
        <v>1336</v>
      </c>
    </row>
    <row r="68" spans="1:10" ht="15.5">
      <c r="A68" s="1108">
        <v>54</v>
      </c>
      <c r="B68" s="1099" t="s">
        <v>1353</v>
      </c>
      <c r="C68" s="1103">
        <v>0</v>
      </c>
      <c r="D68" s="10">
        <v>5571.78</v>
      </c>
      <c r="E68" s="1104">
        <v>51</v>
      </c>
      <c r="F68" s="1103"/>
      <c r="G68" s="1099" t="s">
        <v>1349</v>
      </c>
      <c r="H68" s="1099" t="s">
        <v>1340</v>
      </c>
      <c r="I68" s="1099" t="s">
        <v>1338</v>
      </c>
      <c r="J68" s="1099" t="s">
        <v>1336</v>
      </c>
    </row>
    <row r="69" spans="1:10" ht="15.5">
      <c r="A69" s="1108">
        <v>59</v>
      </c>
      <c r="B69" s="1099" t="s">
        <v>1353</v>
      </c>
      <c r="C69" s="1103">
        <v>0</v>
      </c>
      <c r="D69" s="10">
        <v>5571.78</v>
      </c>
      <c r="E69" s="1104">
        <v>44</v>
      </c>
      <c r="F69" s="1099" t="s">
        <v>1349</v>
      </c>
      <c r="G69" s="1103"/>
      <c r="H69" s="1099" t="s">
        <v>1340</v>
      </c>
      <c r="I69" s="1099" t="s">
        <v>1338</v>
      </c>
      <c r="J69" s="1099" t="s">
        <v>1336</v>
      </c>
    </row>
    <row r="70" spans="1:10" ht="15.5">
      <c r="A70" s="1108">
        <v>62</v>
      </c>
      <c r="B70" s="1099" t="s">
        <v>1353</v>
      </c>
      <c r="C70" s="1103">
        <v>0</v>
      </c>
      <c r="D70" s="10">
        <v>5571.78</v>
      </c>
      <c r="E70" s="1104">
        <v>52</v>
      </c>
      <c r="F70" s="1103"/>
      <c r="G70" s="1099" t="s">
        <v>1349</v>
      </c>
      <c r="H70" s="1099" t="s">
        <v>1340</v>
      </c>
      <c r="I70" s="1099" t="s">
        <v>1338</v>
      </c>
      <c r="J70" s="1099" t="s">
        <v>1335</v>
      </c>
    </row>
    <row r="71" spans="1:10" ht="15.5">
      <c r="A71" s="1108">
        <v>66</v>
      </c>
      <c r="B71" s="1099" t="s">
        <v>1353</v>
      </c>
      <c r="C71" s="1103">
        <v>0</v>
      </c>
      <c r="D71" s="10">
        <v>5571.78</v>
      </c>
      <c r="E71" s="1104">
        <v>45</v>
      </c>
      <c r="F71" s="1099" t="s">
        <v>1349</v>
      </c>
      <c r="G71" s="1103"/>
      <c r="H71" s="1099" t="s">
        <v>1340</v>
      </c>
      <c r="I71" s="1099" t="s">
        <v>1338</v>
      </c>
      <c r="J71" s="1099" t="s">
        <v>1335</v>
      </c>
    </row>
    <row r="72" spans="1:10" ht="15.5">
      <c r="A72" s="1108">
        <v>21</v>
      </c>
      <c r="B72" s="1099" t="s">
        <v>1353</v>
      </c>
      <c r="C72" s="1103">
        <v>0</v>
      </c>
      <c r="D72" s="10">
        <v>5571.78</v>
      </c>
      <c r="E72" s="1104">
        <v>43</v>
      </c>
      <c r="F72" s="1099" t="s">
        <v>1349</v>
      </c>
      <c r="G72" s="1103"/>
      <c r="H72" s="1099" t="s">
        <v>1337</v>
      </c>
      <c r="I72" s="1099" t="s">
        <v>1338</v>
      </c>
      <c r="J72" s="1099" t="s">
        <v>1335</v>
      </c>
    </row>
    <row r="73" spans="1:10" ht="15.5">
      <c r="A73" s="1108">
        <v>25</v>
      </c>
      <c r="B73" s="1099" t="s">
        <v>1353</v>
      </c>
      <c r="C73" s="1103">
        <v>0</v>
      </c>
      <c r="D73" s="10">
        <v>5571.78</v>
      </c>
      <c r="E73" s="1104">
        <v>42</v>
      </c>
      <c r="F73" s="1099" t="s">
        <v>1349</v>
      </c>
      <c r="G73" s="1103"/>
      <c r="H73" s="1099" t="s">
        <v>1337</v>
      </c>
      <c r="I73" s="1099" t="s">
        <v>1338</v>
      </c>
      <c r="J73" s="1099" t="s">
        <v>1336</v>
      </c>
    </row>
    <row r="74" spans="1:10" ht="15.5">
      <c r="A74" s="1108">
        <v>12</v>
      </c>
      <c r="B74" s="1099" t="s">
        <v>1353</v>
      </c>
      <c r="C74" s="1103">
        <v>0</v>
      </c>
      <c r="D74" s="10">
        <v>5571.78</v>
      </c>
      <c r="E74" s="1104">
        <v>50</v>
      </c>
      <c r="F74" s="1103"/>
      <c r="G74" s="1099" t="s">
        <v>1349</v>
      </c>
      <c r="H74" s="1099" t="s">
        <v>1337</v>
      </c>
      <c r="I74" s="1099" t="s">
        <v>1338</v>
      </c>
      <c r="J74" s="1099" t="s">
        <v>1335</v>
      </c>
    </row>
    <row r="75" spans="1:10" ht="15.5">
      <c r="A75" s="1108">
        <v>13</v>
      </c>
      <c r="B75" s="1099" t="s">
        <v>1353</v>
      </c>
      <c r="C75" s="1103">
        <v>0</v>
      </c>
      <c r="D75" s="10">
        <v>5571.78</v>
      </c>
      <c r="E75" s="1104">
        <v>49</v>
      </c>
      <c r="F75" s="1103"/>
      <c r="G75" s="1099" t="s">
        <v>1349</v>
      </c>
      <c r="H75" s="1099" t="s">
        <v>1337</v>
      </c>
      <c r="I75" s="1099" t="s">
        <v>1338</v>
      </c>
      <c r="J75" s="1099" t="s">
        <v>1336</v>
      </c>
    </row>
    <row r="76" spans="1:10" ht="15.5">
      <c r="A76" s="1115">
        <v>91</v>
      </c>
      <c r="B76" s="1099" t="s">
        <v>1354</v>
      </c>
      <c r="C76" s="1099" t="s">
        <v>1332</v>
      </c>
      <c r="D76" s="10">
        <v>12210.97</v>
      </c>
      <c r="E76" s="1104">
        <v>101</v>
      </c>
      <c r="F76" s="1103"/>
      <c r="G76" s="1099" t="s">
        <v>1349</v>
      </c>
      <c r="H76" s="1099" t="s">
        <v>1342</v>
      </c>
      <c r="I76" s="1099" t="s">
        <v>1338</v>
      </c>
      <c r="J76" s="1099" t="s">
        <v>1335</v>
      </c>
    </row>
    <row r="77" spans="1:10" ht="15.5">
      <c r="A77" s="1115">
        <v>95</v>
      </c>
      <c r="B77" s="1099" t="s">
        <v>1354</v>
      </c>
      <c r="C77" s="1099" t="s">
        <v>1332</v>
      </c>
      <c r="D77" s="10">
        <v>12210.97</v>
      </c>
      <c r="E77" s="1104">
        <v>95</v>
      </c>
      <c r="F77" s="1099" t="s">
        <v>1349</v>
      </c>
      <c r="G77" s="1103"/>
      <c r="H77" s="1099" t="s">
        <v>1342</v>
      </c>
      <c r="I77" s="1099" t="s">
        <v>1338</v>
      </c>
      <c r="J77" s="1099" t="s">
        <v>1335</v>
      </c>
    </row>
    <row r="78" spans="1:10" ht="15.5">
      <c r="A78" s="1108">
        <v>99</v>
      </c>
      <c r="B78" s="1099" t="s">
        <v>1354</v>
      </c>
      <c r="C78" s="1099" t="s">
        <v>1332</v>
      </c>
      <c r="D78" s="10">
        <v>12210.97</v>
      </c>
      <c r="E78" s="1104">
        <v>100</v>
      </c>
      <c r="F78" s="1103"/>
      <c r="G78" s="1099" t="s">
        <v>1349</v>
      </c>
      <c r="H78" s="1099" t="s">
        <v>1342</v>
      </c>
      <c r="I78" s="1099" t="s">
        <v>1338</v>
      </c>
      <c r="J78" s="1099" t="s">
        <v>1336</v>
      </c>
    </row>
    <row r="79" spans="1:10" ht="15.5">
      <c r="A79" s="1108">
        <v>103</v>
      </c>
      <c r="B79" s="1099" t="s">
        <v>1354</v>
      </c>
      <c r="C79" s="1099" t="s">
        <v>1332</v>
      </c>
      <c r="D79" s="10">
        <v>12210.97</v>
      </c>
      <c r="E79" s="1104">
        <v>94</v>
      </c>
      <c r="F79" s="1099" t="s">
        <v>1349</v>
      </c>
      <c r="G79" s="1103"/>
      <c r="H79" s="1099" t="s">
        <v>1342</v>
      </c>
      <c r="I79" s="1099" t="s">
        <v>1338</v>
      </c>
      <c r="J79" s="1099" t="s">
        <v>1336</v>
      </c>
    </row>
    <row r="80" spans="1:10" ht="15.5">
      <c r="A80" s="1108">
        <v>68</v>
      </c>
      <c r="B80" s="1099" t="s">
        <v>1354</v>
      </c>
      <c r="C80" s="1099" t="s">
        <v>1332</v>
      </c>
      <c r="D80" s="10">
        <v>12210.97</v>
      </c>
      <c r="E80" s="1104">
        <v>95</v>
      </c>
      <c r="F80" s="1099" t="s">
        <v>1349</v>
      </c>
      <c r="G80" s="1103"/>
      <c r="H80" s="1099" t="s">
        <v>1340</v>
      </c>
      <c r="I80" s="1099" t="s">
        <v>1338</v>
      </c>
      <c r="J80" s="1099" t="s">
        <v>1336</v>
      </c>
    </row>
    <row r="81" spans="1:10" ht="15.5">
      <c r="A81" s="1108">
        <v>69</v>
      </c>
      <c r="B81" s="1099" t="s">
        <v>1354</v>
      </c>
      <c r="C81" s="1099" t="s">
        <v>1332</v>
      </c>
      <c r="D81" s="10">
        <v>12210.97</v>
      </c>
      <c r="E81" s="1104">
        <v>101</v>
      </c>
      <c r="F81" s="1103"/>
      <c r="G81" s="1099" t="s">
        <v>1349</v>
      </c>
      <c r="H81" s="1099" t="s">
        <v>1340</v>
      </c>
      <c r="I81" s="1099" t="s">
        <v>1338</v>
      </c>
      <c r="J81" s="1099" t="s">
        <v>1336</v>
      </c>
    </row>
    <row r="82" spans="1:10" ht="15.5">
      <c r="A82" s="1115">
        <v>70</v>
      </c>
      <c r="B82" s="1099" t="s">
        <v>1354</v>
      </c>
      <c r="C82" s="1099" t="s">
        <v>1332</v>
      </c>
      <c r="D82" s="10">
        <v>12210.97</v>
      </c>
      <c r="E82" s="1104">
        <v>102</v>
      </c>
      <c r="F82" s="1103"/>
      <c r="G82" s="1099" t="s">
        <v>1349</v>
      </c>
      <c r="H82" s="1099" t="s">
        <v>1340</v>
      </c>
      <c r="I82" s="1099" t="s">
        <v>1338</v>
      </c>
      <c r="J82" s="1099" t="s">
        <v>1335</v>
      </c>
    </row>
    <row r="83" spans="1:10" ht="15.5">
      <c r="A83" s="1115">
        <v>71</v>
      </c>
      <c r="B83" s="1099" t="s">
        <v>1354</v>
      </c>
      <c r="C83" s="1099" t="s">
        <v>1332</v>
      </c>
      <c r="D83" s="10">
        <v>12210.97</v>
      </c>
      <c r="E83" s="1104">
        <v>96</v>
      </c>
      <c r="F83" s="1099" t="s">
        <v>1349</v>
      </c>
      <c r="G83" s="1103"/>
      <c r="H83" s="1099" t="s">
        <v>1340</v>
      </c>
      <c r="I83" s="1099" t="s">
        <v>1338</v>
      </c>
      <c r="J83" s="1099" t="s">
        <v>1335</v>
      </c>
    </row>
    <row r="84" spans="1:10" ht="15.5">
      <c r="A84" s="1115">
        <v>39</v>
      </c>
      <c r="B84" s="1099" t="s">
        <v>1354</v>
      </c>
      <c r="C84" s="1099" t="s">
        <v>1332</v>
      </c>
      <c r="D84" s="10">
        <v>12210.97</v>
      </c>
      <c r="E84" s="1104">
        <v>94</v>
      </c>
      <c r="F84" s="1099" t="s">
        <v>1349</v>
      </c>
      <c r="G84" s="1103"/>
      <c r="H84" s="1099" t="s">
        <v>1337</v>
      </c>
      <c r="I84" s="1099" t="s">
        <v>1338</v>
      </c>
      <c r="J84" s="1099" t="s">
        <v>1335</v>
      </c>
    </row>
    <row r="85" spans="1:10" ht="15.5">
      <c r="A85" s="1115">
        <v>42</v>
      </c>
      <c r="B85" s="1099" t="s">
        <v>1354</v>
      </c>
      <c r="C85" s="1099" t="s">
        <v>1332</v>
      </c>
      <c r="D85" s="10">
        <v>12210.97</v>
      </c>
      <c r="E85" s="1104">
        <v>101</v>
      </c>
      <c r="F85" s="1103"/>
      <c r="G85" s="1099" t="s">
        <v>1349</v>
      </c>
      <c r="H85" s="1099" t="s">
        <v>1337</v>
      </c>
      <c r="I85" s="1099" t="s">
        <v>1338</v>
      </c>
      <c r="J85" s="1099" t="s">
        <v>1335</v>
      </c>
    </row>
    <row r="86" spans="1:10" ht="15.5">
      <c r="A86" s="1108">
        <v>47</v>
      </c>
      <c r="B86" s="1099" t="s">
        <v>1354</v>
      </c>
      <c r="C86" s="1099" t="s">
        <v>1332</v>
      </c>
      <c r="D86" s="10">
        <v>12210.97</v>
      </c>
      <c r="E86" s="1104">
        <v>93</v>
      </c>
      <c r="F86" s="1099" t="s">
        <v>1349</v>
      </c>
      <c r="G86" s="1103"/>
      <c r="H86" s="1099" t="s">
        <v>1337</v>
      </c>
      <c r="I86" s="1099" t="s">
        <v>1338</v>
      </c>
      <c r="J86" s="1099" t="s">
        <v>1336</v>
      </c>
    </row>
    <row r="87" spans="1:10" ht="15.5">
      <c r="A87" s="1108">
        <v>50</v>
      </c>
      <c r="B87" s="1099" t="s">
        <v>1354</v>
      </c>
      <c r="C87" s="1099" t="s">
        <v>1332</v>
      </c>
      <c r="D87" s="10">
        <v>12210.97</v>
      </c>
      <c r="E87" s="1104">
        <v>100</v>
      </c>
      <c r="F87" s="1103"/>
      <c r="G87" s="1099" t="s">
        <v>1349</v>
      </c>
      <c r="H87" s="1099" t="s">
        <v>1337</v>
      </c>
      <c r="I87" s="1099" t="s">
        <v>1338</v>
      </c>
      <c r="J87" s="1099" t="s">
        <v>1336</v>
      </c>
    </row>
    <row r="88" spans="1:10" ht="15.5">
      <c r="A88" s="1108">
        <v>107</v>
      </c>
      <c r="B88" s="1099" t="s">
        <v>1354</v>
      </c>
      <c r="C88" s="1103">
        <v>0</v>
      </c>
      <c r="D88" s="10">
        <v>11100.97</v>
      </c>
      <c r="E88" s="1104">
        <v>90</v>
      </c>
      <c r="F88" s="1099" t="s">
        <v>1349</v>
      </c>
      <c r="G88" s="1103"/>
      <c r="H88" s="1099" t="s">
        <v>1342</v>
      </c>
      <c r="I88" s="1099" t="s">
        <v>1338</v>
      </c>
      <c r="J88" s="1099" t="s">
        <v>1335</v>
      </c>
    </row>
    <row r="89" spans="1:10" ht="15.5">
      <c r="A89" s="1108">
        <v>111</v>
      </c>
      <c r="B89" s="1099" t="s">
        <v>1354</v>
      </c>
      <c r="C89" s="1103">
        <v>0</v>
      </c>
      <c r="D89" s="10">
        <v>11100.97</v>
      </c>
      <c r="E89" s="1104">
        <v>89</v>
      </c>
      <c r="F89" s="1099" t="s">
        <v>1349</v>
      </c>
      <c r="G89" s="1103"/>
      <c r="H89" s="1099" t="s">
        <v>1342</v>
      </c>
      <c r="I89" s="1099" t="s">
        <v>1338</v>
      </c>
      <c r="J89" s="1099" t="s">
        <v>1336</v>
      </c>
    </row>
    <row r="90" spans="1:10" ht="15.5">
      <c r="A90" s="1116" t="s">
        <v>1345</v>
      </c>
      <c r="B90" s="1099" t="s">
        <v>1354</v>
      </c>
      <c r="C90" s="1103" t="s">
        <v>1339</v>
      </c>
      <c r="D90" s="27">
        <v>13320</v>
      </c>
      <c r="E90" s="1104">
        <v>78</v>
      </c>
      <c r="F90" s="1099" t="s">
        <v>1349</v>
      </c>
      <c r="G90" s="1103"/>
      <c r="H90" s="1099" t="s">
        <v>1342</v>
      </c>
      <c r="I90" s="1099" t="s">
        <v>1338</v>
      </c>
      <c r="J90" s="1099" t="s">
        <v>1336</v>
      </c>
    </row>
    <row r="91" spans="1:10" ht="15.5">
      <c r="A91" s="1108">
        <v>55</v>
      </c>
      <c r="B91" s="1099" t="s">
        <v>1354</v>
      </c>
      <c r="C91" s="1103">
        <v>0</v>
      </c>
      <c r="D91" s="10">
        <v>11100.97</v>
      </c>
      <c r="E91" s="1104">
        <v>97</v>
      </c>
      <c r="F91" s="1103"/>
      <c r="G91" s="1099" t="s">
        <v>1349</v>
      </c>
      <c r="H91" s="1099" t="s">
        <v>1340</v>
      </c>
      <c r="I91" s="1099" t="s">
        <v>1338</v>
      </c>
      <c r="J91" s="1099" t="s">
        <v>1336</v>
      </c>
    </row>
    <row r="92" spans="1:10" ht="15.5">
      <c r="A92" s="1108">
        <v>58</v>
      </c>
      <c r="B92" s="1099" t="s">
        <v>1354</v>
      </c>
      <c r="C92" s="1103">
        <v>0</v>
      </c>
      <c r="D92" s="10">
        <v>11100.97</v>
      </c>
      <c r="E92" s="1104">
        <v>91</v>
      </c>
      <c r="F92" s="1099" t="s">
        <v>1349</v>
      </c>
      <c r="G92" s="1103"/>
      <c r="H92" s="1099" t="s">
        <v>1340</v>
      </c>
      <c r="I92" s="1099" t="s">
        <v>1338</v>
      </c>
      <c r="J92" s="1099" t="s">
        <v>1336</v>
      </c>
    </row>
    <row r="93" spans="1:10" ht="15.5">
      <c r="A93" s="1108">
        <v>63</v>
      </c>
      <c r="B93" s="1099" t="s">
        <v>1354</v>
      </c>
      <c r="C93" s="1103">
        <v>0</v>
      </c>
      <c r="D93" s="10">
        <v>11100.97</v>
      </c>
      <c r="E93" s="1104">
        <v>98</v>
      </c>
      <c r="F93" s="1103"/>
      <c r="G93" s="1099" t="s">
        <v>1349</v>
      </c>
      <c r="H93" s="1099" t="s">
        <v>1340</v>
      </c>
      <c r="I93" s="1099" t="s">
        <v>1338</v>
      </c>
      <c r="J93" s="1099" t="s">
        <v>1335</v>
      </c>
    </row>
    <row r="94" spans="1:10" ht="15.5">
      <c r="A94" s="1108">
        <v>67</v>
      </c>
      <c r="B94" s="1099" t="s">
        <v>1354</v>
      </c>
      <c r="C94" s="1103">
        <v>0</v>
      </c>
      <c r="D94" s="10">
        <v>11100.97</v>
      </c>
      <c r="E94" s="1104">
        <v>92</v>
      </c>
      <c r="F94" s="1099" t="s">
        <v>1349</v>
      </c>
      <c r="G94" s="1103"/>
      <c r="H94" s="1099" t="s">
        <v>1340</v>
      </c>
      <c r="I94" s="1099" t="s">
        <v>1338</v>
      </c>
      <c r="J94" s="1099" t="s">
        <v>1335</v>
      </c>
    </row>
    <row r="95" spans="1:10" ht="15.5">
      <c r="A95" s="1108">
        <v>22</v>
      </c>
      <c r="B95" s="1099" t="s">
        <v>1354</v>
      </c>
      <c r="C95" s="1103">
        <v>0</v>
      </c>
      <c r="D95" s="10">
        <v>11100.97</v>
      </c>
      <c r="E95" s="1104">
        <v>90</v>
      </c>
      <c r="F95" s="1099" t="s">
        <v>1349</v>
      </c>
      <c r="G95" s="1103"/>
      <c r="H95" s="1099" t="s">
        <v>1337</v>
      </c>
      <c r="I95" s="1099" t="s">
        <v>1338</v>
      </c>
      <c r="J95" s="1099" t="s">
        <v>1335</v>
      </c>
    </row>
    <row r="96" spans="1:10" ht="15.5">
      <c r="A96" s="1108">
        <v>24</v>
      </c>
      <c r="B96" s="1099" t="s">
        <v>1354</v>
      </c>
      <c r="C96" s="1103">
        <v>0</v>
      </c>
      <c r="D96" s="10">
        <v>11100.97</v>
      </c>
      <c r="E96" s="1104">
        <v>89</v>
      </c>
      <c r="F96" s="1099" t="s">
        <v>1349</v>
      </c>
      <c r="G96" s="1103"/>
      <c r="H96" s="1099" t="s">
        <v>1337</v>
      </c>
      <c r="I96" s="1099" t="s">
        <v>1338</v>
      </c>
      <c r="J96" s="1099" t="s">
        <v>1336</v>
      </c>
    </row>
    <row r="97" spans="1:10" ht="15.5">
      <c r="A97" s="1108">
        <v>14</v>
      </c>
      <c r="B97" s="1099" t="s">
        <v>1354</v>
      </c>
      <c r="C97" s="1103">
        <v>0</v>
      </c>
      <c r="D97" s="10">
        <v>11100.97</v>
      </c>
      <c r="E97" s="1104">
        <v>97</v>
      </c>
      <c r="F97" s="1103"/>
      <c r="G97" s="1099" t="s">
        <v>1349</v>
      </c>
      <c r="H97" s="1099" t="s">
        <v>1337</v>
      </c>
      <c r="I97" s="1099" t="s">
        <v>1338</v>
      </c>
      <c r="J97" s="1099" t="s">
        <v>1335</v>
      </c>
    </row>
    <row r="98" spans="1:10" ht="15.5">
      <c r="A98" s="1108">
        <v>15</v>
      </c>
      <c r="B98" s="1099" t="s">
        <v>1354</v>
      </c>
      <c r="C98" s="1103">
        <v>0</v>
      </c>
      <c r="D98" s="10">
        <v>11100.97</v>
      </c>
      <c r="E98" s="1104">
        <v>96</v>
      </c>
      <c r="F98" s="1103"/>
      <c r="G98" s="1099" t="s">
        <v>1349</v>
      </c>
      <c r="H98" s="1099" t="s">
        <v>1337</v>
      </c>
      <c r="I98" s="1099" t="s">
        <v>1338</v>
      </c>
      <c r="J98" s="1099" t="s">
        <v>1336</v>
      </c>
    </row>
  </sheetData>
  <mergeCells count="1">
    <mergeCell ref="A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4"/>
  <sheetViews>
    <sheetView topLeftCell="A76" zoomScaleNormal="100" workbookViewId="0">
      <selection activeCell="D97" sqref="D97"/>
    </sheetView>
  </sheetViews>
  <sheetFormatPr defaultColWidth="10.90625" defaultRowHeight="14.5"/>
  <cols>
    <col min="1" max="1" width="23.1796875" style="26" customWidth="1"/>
    <col min="2" max="2" width="8.453125" style="3303" customWidth="1"/>
    <col min="3" max="3" width="32.7265625" style="3303" customWidth="1"/>
    <col min="4" max="4" width="91.7265625" style="1256" bestFit="1" customWidth="1"/>
    <col min="5" max="5" width="11.81640625" style="3307" customWidth="1"/>
    <col min="6" max="6" width="20.54296875" customWidth="1"/>
    <col min="7" max="7" width="36.81640625" customWidth="1"/>
  </cols>
  <sheetData>
    <row r="1" spans="1:13" ht="19.5" customHeight="1">
      <c r="A1" s="9" t="s">
        <v>1601</v>
      </c>
      <c r="B1" s="3308" t="s">
        <v>1549</v>
      </c>
      <c r="C1" s="3460" t="s">
        <v>1602</v>
      </c>
      <c r="D1" s="3458" t="s">
        <v>1600</v>
      </c>
      <c r="E1" s="3304"/>
      <c r="F1" s="3310" t="s">
        <v>3331</v>
      </c>
      <c r="G1" s="3309" t="s">
        <v>1603</v>
      </c>
    </row>
    <row r="2" spans="1:13">
      <c r="A2" s="3459" t="s">
        <v>3405</v>
      </c>
      <c r="B2" s="3460" t="s">
        <v>1517</v>
      </c>
      <c r="C2" s="3460"/>
      <c r="D2" s="1564" t="s">
        <v>3404</v>
      </c>
      <c r="E2" s="3304"/>
      <c r="F2" s="4569" t="s">
        <v>3328</v>
      </c>
      <c r="G2" s="3463">
        <v>0</v>
      </c>
      <c r="I2" s="36" t="s">
        <v>871</v>
      </c>
    </row>
    <row r="3" spans="1:13">
      <c r="B3" s="3460"/>
      <c r="C3" s="3460"/>
      <c r="D3" s="1564" t="s">
        <v>3403</v>
      </c>
      <c r="E3" s="961"/>
      <c r="F3" s="4570"/>
      <c r="G3" s="3464" t="s">
        <v>1581</v>
      </c>
      <c r="I3" s="36" t="s">
        <v>865</v>
      </c>
      <c r="K3" s="1149"/>
      <c r="L3" s="1149"/>
      <c r="M3" s="1149"/>
    </row>
    <row r="4" spans="1:13">
      <c r="A4" s="3302" t="s">
        <v>1307</v>
      </c>
      <c r="B4" s="3460" t="s">
        <v>1527</v>
      </c>
      <c r="C4" s="3460"/>
      <c r="D4" s="1247" t="s">
        <v>1478</v>
      </c>
      <c r="E4" s="3304"/>
      <c r="F4" s="4570"/>
      <c r="G4" s="3465" t="s">
        <v>1582</v>
      </c>
      <c r="I4" s="36" t="s">
        <v>866</v>
      </c>
      <c r="K4" s="1149"/>
      <c r="L4" s="1149"/>
      <c r="M4" s="1149"/>
    </row>
    <row r="5" spans="1:13">
      <c r="B5" s="3796" t="s">
        <v>2802</v>
      </c>
      <c r="C5" s="3796" t="s">
        <v>3497</v>
      </c>
      <c r="D5" s="1249" t="s">
        <v>3426</v>
      </c>
      <c r="E5" s="961"/>
      <c r="F5" s="4571"/>
      <c r="G5" s="3466" t="s">
        <v>1583</v>
      </c>
      <c r="I5" s="36" t="s">
        <v>867</v>
      </c>
      <c r="K5" s="1149"/>
      <c r="L5" s="1149"/>
      <c r="M5" s="1149"/>
    </row>
    <row r="6" spans="1:13">
      <c r="A6" s="3302" t="s">
        <v>1309</v>
      </c>
      <c r="B6" s="3460" t="s">
        <v>1504</v>
      </c>
      <c r="C6" s="3798" t="s">
        <v>1479</v>
      </c>
      <c r="D6" s="1251" t="s">
        <v>1478</v>
      </c>
      <c r="E6" s="961"/>
      <c r="F6" s="4569" t="s">
        <v>3329</v>
      </c>
      <c r="G6" s="3461">
        <v>0</v>
      </c>
      <c r="I6" s="36" t="s">
        <v>868</v>
      </c>
      <c r="K6" s="1799"/>
      <c r="L6" s="1799"/>
      <c r="M6" s="1799"/>
    </row>
    <row r="7" spans="1:13">
      <c r="B7" s="3796" t="s">
        <v>3501</v>
      </c>
      <c r="C7" s="3796" t="s">
        <v>3498</v>
      </c>
      <c r="D7" s="1253" t="s">
        <v>1400</v>
      </c>
      <c r="E7" s="961"/>
      <c r="F7" s="4571"/>
      <c r="G7" s="3462">
        <v>100</v>
      </c>
      <c r="I7" s="36" t="s">
        <v>869</v>
      </c>
      <c r="K7" s="19"/>
      <c r="L7" s="19"/>
      <c r="M7" s="19"/>
    </row>
    <row r="8" spans="1:13">
      <c r="B8" s="3796" t="s">
        <v>3502</v>
      </c>
      <c r="C8" s="3796" t="s">
        <v>3499</v>
      </c>
      <c r="D8" s="1254" t="s">
        <v>2863</v>
      </c>
      <c r="E8" s="3304"/>
      <c r="F8" s="4569" t="s">
        <v>3330</v>
      </c>
      <c r="G8" s="3467">
        <v>0</v>
      </c>
      <c r="I8" s="36" t="s">
        <v>861</v>
      </c>
      <c r="K8" s="19"/>
      <c r="L8" s="19"/>
      <c r="M8" s="19"/>
    </row>
    <row r="9" spans="1:13">
      <c r="B9" s="3796" t="s">
        <v>3500</v>
      </c>
      <c r="C9" s="3796" t="s">
        <v>1552</v>
      </c>
      <c r="D9" s="1250" t="s">
        <v>1480</v>
      </c>
      <c r="E9" s="3304"/>
      <c r="F9" s="4570"/>
      <c r="G9" s="4093" t="s">
        <v>3833</v>
      </c>
      <c r="I9" s="36" t="s">
        <v>863</v>
      </c>
    </row>
    <row r="10" spans="1:13">
      <c r="B10" s="3460" t="s">
        <v>1527</v>
      </c>
      <c r="C10" s="3798" t="s">
        <v>1481</v>
      </c>
      <c r="D10" s="1251" t="s">
        <v>1478</v>
      </c>
      <c r="E10" s="961"/>
      <c r="F10" s="4571"/>
      <c r="G10" s="4094" t="s">
        <v>1583</v>
      </c>
      <c r="I10" s="36" t="s">
        <v>864</v>
      </c>
    </row>
    <row r="11" spans="1:13">
      <c r="B11" s="3796" t="s">
        <v>3506</v>
      </c>
      <c r="C11" s="3796" t="s">
        <v>3503</v>
      </c>
      <c r="D11" s="1250" t="s">
        <v>1642</v>
      </c>
      <c r="E11" s="961"/>
      <c r="F11" s="4569" t="s">
        <v>3337</v>
      </c>
      <c r="G11" s="3468">
        <v>0</v>
      </c>
      <c r="I11" s="36" t="s">
        <v>383</v>
      </c>
    </row>
    <row r="12" spans="1:13">
      <c r="B12" s="3796" t="s">
        <v>3507</v>
      </c>
      <c r="C12" s="3796" t="s">
        <v>3504</v>
      </c>
      <c r="D12" s="1253" t="s">
        <v>1482</v>
      </c>
      <c r="E12" s="961"/>
      <c r="F12" s="4571"/>
      <c r="G12" s="4095" t="s">
        <v>1584</v>
      </c>
      <c r="I12" s="36" t="s">
        <v>384</v>
      </c>
    </row>
    <row r="13" spans="1:13">
      <c r="B13" s="3796" t="s">
        <v>3508</v>
      </c>
      <c r="C13" s="3796" t="s">
        <v>3505</v>
      </c>
      <c r="D13" s="1253" t="s">
        <v>1644</v>
      </c>
      <c r="E13" s="3304"/>
      <c r="F13" s="4572" t="s">
        <v>3338</v>
      </c>
      <c r="G13" s="3498">
        <v>0</v>
      </c>
      <c r="I13" s="36" t="s">
        <v>385</v>
      </c>
    </row>
    <row r="14" spans="1:13">
      <c r="B14" s="3460" t="s">
        <v>1527</v>
      </c>
      <c r="C14" s="3798" t="s">
        <v>1483</v>
      </c>
      <c r="D14" s="1251" t="s">
        <v>1478</v>
      </c>
      <c r="E14" s="961"/>
      <c r="F14" s="4572"/>
      <c r="G14" s="4096" t="s">
        <v>1583</v>
      </c>
      <c r="I14" s="36" t="s">
        <v>386</v>
      </c>
    </row>
    <row r="15" spans="1:13">
      <c r="B15" s="3796" t="s">
        <v>3511</v>
      </c>
      <c r="C15" s="3796" t="s">
        <v>3509</v>
      </c>
      <c r="D15" s="1250" t="s">
        <v>1643</v>
      </c>
      <c r="E15" s="961"/>
      <c r="F15" s="1246"/>
      <c r="I15" s="36" t="s">
        <v>387</v>
      </c>
    </row>
    <row r="16" spans="1:13">
      <c r="B16" s="3796" t="s">
        <v>3512</v>
      </c>
      <c r="C16" s="3796" t="s">
        <v>3510</v>
      </c>
      <c r="D16" s="1250" t="s">
        <v>1644</v>
      </c>
      <c r="E16" s="3304"/>
      <c r="F16" s="1246"/>
      <c r="G16" s="1246"/>
      <c r="I16" s="36" t="s">
        <v>388</v>
      </c>
    </row>
    <row r="17" spans="1:9">
      <c r="A17" s="3302" t="s">
        <v>1330</v>
      </c>
      <c r="B17" s="3460" t="s">
        <v>1507</v>
      </c>
      <c r="C17" s="3798" t="s">
        <v>1720</v>
      </c>
      <c r="D17" s="1251" t="s">
        <v>1478</v>
      </c>
      <c r="E17" s="961"/>
      <c r="F17" s="1246"/>
      <c r="G17" s="1246"/>
      <c r="I17" s="36" t="s">
        <v>389</v>
      </c>
    </row>
    <row r="18" spans="1:9">
      <c r="B18" s="3796" t="s">
        <v>2817</v>
      </c>
      <c r="C18" s="3796" t="s">
        <v>3513</v>
      </c>
      <c r="D18" s="1250" t="s">
        <v>1731</v>
      </c>
      <c r="E18" s="3304"/>
      <c r="F18" s="1246"/>
      <c r="G18" s="1246"/>
      <c r="I18" s="36" t="s">
        <v>390</v>
      </c>
    </row>
    <row r="19" spans="1:9">
      <c r="A19" s="3302" t="s">
        <v>1311</v>
      </c>
      <c r="B19" s="3460" t="s">
        <v>1507</v>
      </c>
      <c r="C19" s="3798" t="s">
        <v>1484</v>
      </c>
      <c r="D19" s="1255" t="s">
        <v>1478</v>
      </c>
      <c r="E19" s="3305"/>
      <c r="F19" s="1246"/>
      <c r="G19" s="1246"/>
      <c r="I19" s="36" t="s">
        <v>391</v>
      </c>
    </row>
    <row r="20" spans="1:9">
      <c r="B20" s="3796" t="s">
        <v>3340</v>
      </c>
      <c r="C20" s="3796" t="s">
        <v>3514</v>
      </c>
      <c r="D20" s="1257" t="s">
        <v>1439</v>
      </c>
      <c r="E20" s="3304"/>
      <c r="F20" s="1246"/>
      <c r="G20" s="1246"/>
      <c r="I20" s="36" t="s">
        <v>392</v>
      </c>
    </row>
    <row r="21" spans="1:9">
      <c r="B21" s="3796"/>
      <c r="C21" s="3796"/>
      <c r="D21" s="1255" t="s">
        <v>1478</v>
      </c>
      <c r="E21" s="3305"/>
      <c r="F21" s="1246"/>
      <c r="G21" s="1246"/>
      <c r="I21" s="36" t="s">
        <v>393</v>
      </c>
    </row>
    <row r="22" spans="1:9">
      <c r="B22" s="3796" t="s">
        <v>3515</v>
      </c>
      <c r="C22" s="3796" t="s">
        <v>3516</v>
      </c>
      <c r="D22" s="1258" t="s">
        <v>1487</v>
      </c>
      <c r="E22" s="3305"/>
      <c r="F22" s="1246"/>
      <c r="G22" s="1246"/>
      <c r="I22" s="36" t="s">
        <v>394</v>
      </c>
    </row>
    <row r="23" spans="1:9">
      <c r="B23" s="3796" t="s">
        <v>3517</v>
      </c>
      <c r="C23" s="3796" t="s">
        <v>3518</v>
      </c>
      <c r="D23" s="1259" t="s">
        <v>1488</v>
      </c>
      <c r="E23" s="3304"/>
      <c r="F23" s="1246"/>
      <c r="G23" s="1246"/>
      <c r="I23" s="36" t="s">
        <v>395</v>
      </c>
    </row>
    <row r="24" spans="1:9">
      <c r="B24" s="3460" t="s">
        <v>1507</v>
      </c>
      <c r="C24" s="3798" t="s">
        <v>1044</v>
      </c>
      <c r="D24" s="1255" t="s">
        <v>1478</v>
      </c>
      <c r="E24" s="3305"/>
      <c r="F24" s="1246"/>
      <c r="G24" s="1246"/>
      <c r="I24" s="36" t="s">
        <v>396</v>
      </c>
    </row>
    <row r="25" spans="1:9">
      <c r="B25" s="3796" t="s">
        <v>1795</v>
      </c>
      <c r="C25" s="3796" t="s">
        <v>3519</v>
      </c>
      <c r="D25" s="1257" t="s">
        <v>1439</v>
      </c>
      <c r="E25" s="3304"/>
      <c r="F25" s="1246"/>
      <c r="G25" s="1246"/>
      <c r="I25" s="36" t="s">
        <v>397</v>
      </c>
    </row>
    <row r="26" spans="1:9">
      <c r="B26" s="3796"/>
      <c r="C26" s="3796"/>
      <c r="D26" s="1255" t="s">
        <v>1478</v>
      </c>
      <c r="E26" s="3305"/>
      <c r="F26" s="1246"/>
      <c r="G26" s="1246"/>
      <c r="I26" s="36" t="s">
        <v>398</v>
      </c>
    </row>
    <row r="27" spans="1:9">
      <c r="B27" s="3796" t="s">
        <v>3520</v>
      </c>
      <c r="C27" s="3796" t="s">
        <v>3521</v>
      </c>
      <c r="D27" s="1258" t="s">
        <v>1487</v>
      </c>
      <c r="E27" s="3305"/>
      <c r="F27" s="1246"/>
      <c r="G27" s="1246"/>
      <c r="I27" s="36" t="s">
        <v>399</v>
      </c>
    </row>
    <row r="28" spans="1:9">
      <c r="B28" s="3817" t="s">
        <v>3583</v>
      </c>
      <c r="C28" s="3796" t="s">
        <v>3692</v>
      </c>
      <c r="D28" s="1259" t="s">
        <v>3611</v>
      </c>
      <c r="E28" s="3304"/>
      <c r="F28" s="1246"/>
      <c r="G28" s="1246"/>
      <c r="I28" s="36" t="s">
        <v>400</v>
      </c>
    </row>
    <row r="29" spans="1:9">
      <c r="B29" s="3796" t="s">
        <v>3522</v>
      </c>
      <c r="C29" s="3796" t="s">
        <v>3523</v>
      </c>
      <c r="D29" s="1259" t="s">
        <v>3612</v>
      </c>
      <c r="E29" s="3304"/>
      <c r="F29" s="1246"/>
      <c r="G29" s="1246"/>
      <c r="I29" s="36" t="s">
        <v>401</v>
      </c>
    </row>
    <row r="30" spans="1:9">
      <c r="A30" s="4237"/>
      <c r="B30" s="3796" t="s">
        <v>3584</v>
      </c>
      <c r="C30" s="3796" t="s">
        <v>3585</v>
      </c>
      <c r="D30" s="1259" t="s">
        <v>3613</v>
      </c>
      <c r="E30" s="3305"/>
      <c r="F30" s="1246"/>
      <c r="G30" s="1246"/>
      <c r="I30" s="36" t="s">
        <v>403</v>
      </c>
    </row>
    <row r="31" spans="1:9">
      <c r="B31" s="3796"/>
      <c r="C31" s="3796"/>
      <c r="D31" s="1255" t="s">
        <v>1478</v>
      </c>
      <c r="E31" s="3304"/>
      <c r="F31" s="1246"/>
      <c r="G31" s="1246"/>
      <c r="I31" s="36" t="s">
        <v>404</v>
      </c>
    </row>
    <row r="32" spans="1:9">
      <c r="B32" s="3796" t="s">
        <v>1924</v>
      </c>
      <c r="C32" s="3796" t="s">
        <v>3524</v>
      </c>
      <c r="D32" s="1260" t="s">
        <v>1442</v>
      </c>
      <c r="E32" s="3305"/>
      <c r="F32" s="1246"/>
      <c r="G32" s="1246"/>
      <c r="I32" s="36" t="s">
        <v>405</v>
      </c>
    </row>
    <row r="33" spans="1:9">
      <c r="B33" s="3796"/>
      <c r="C33" s="3796"/>
      <c r="D33" s="1255" t="s">
        <v>1478</v>
      </c>
      <c r="E33" s="3304"/>
      <c r="F33" s="1246"/>
      <c r="G33" s="1246"/>
      <c r="I33" s="36" t="s">
        <v>407</v>
      </c>
    </row>
    <row r="34" spans="1:9">
      <c r="B34" s="3796" t="s">
        <v>1925</v>
      </c>
      <c r="C34" s="3796" t="s">
        <v>3525</v>
      </c>
      <c r="D34" s="1261" t="s">
        <v>1485</v>
      </c>
      <c r="E34" s="3305"/>
      <c r="F34" s="1246"/>
      <c r="G34" s="1246"/>
      <c r="I34" s="36" t="s">
        <v>408</v>
      </c>
    </row>
    <row r="35" spans="1:9">
      <c r="B35" s="3460" t="s">
        <v>1507</v>
      </c>
      <c r="C35" s="3798" t="s">
        <v>1486</v>
      </c>
      <c r="D35" s="1255" t="s">
        <v>1478</v>
      </c>
      <c r="E35" s="3304"/>
      <c r="F35" s="1246"/>
      <c r="G35" s="1246"/>
      <c r="I35" s="36" t="s">
        <v>409</v>
      </c>
    </row>
    <row r="36" spans="1:9">
      <c r="B36" s="3796" t="s">
        <v>1951</v>
      </c>
      <c r="C36" s="3796" t="s">
        <v>3526</v>
      </c>
      <c r="D36" s="1257" t="s">
        <v>1439</v>
      </c>
      <c r="E36" s="3305"/>
      <c r="F36" s="1246"/>
      <c r="G36" s="1246"/>
      <c r="I36" s="36" t="s">
        <v>410</v>
      </c>
    </row>
    <row r="37" spans="1:9">
      <c r="B37" s="3796"/>
      <c r="C37" s="3796"/>
      <c r="D37" s="1255" t="s">
        <v>1478</v>
      </c>
      <c r="E37" s="3305"/>
      <c r="F37" s="1246"/>
      <c r="G37" s="1246"/>
      <c r="I37" s="36" t="s">
        <v>411</v>
      </c>
    </row>
    <row r="38" spans="1:9">
      <c r="B38" s="3796" t="s">
        <v>1977</v>
      </c>
      <c r="C38" s="3796" t="s">
        <v>3527</v>
      </c>
      <c r="D38" s="1258" t="s">
        <v>1487</v>
      </c>
      <c r="E38" s="3304"/>
      <c r="F38" s="1246"/>
      <c r="G38" s="1246"/>
      <c r="I38" s="36" t="s">
        <v>412</v>
      </c>
    </row>
    <row r="39" spans="1:9">
      <c r="B39" s="3796" t="s">
        <v>3528</v>
      </c>
      <c r="C39" s="3796" t="s">
        <v>3529</v>
      </c>
      <c r="D39" s="1259" t="s">
        <v>1488</v>
      </c>
      <c r="E39" s="3305"/>
      <c r="F39" s="1246"/>
      <c r="G39" s="1246"/>
      <c r="I39" s="36" t="s">
        <v>413</v>
      </c>
    </row>
    <row r="40" spans="1:9">
      <c r="B40" s="3796"/>
      <c r="C40" s="3796"/>
      <c r="D40" s="1255" t="s">
        <v>1478</v>
      </c>
      <c r="E40" s="3304"/>
      <c r="F40" s="1246"/>
      <c r="G40" s="1246"/>
      <c r="I40" s="36" t="s">
        <v>414</v>
      </c>
    </row>
    <row r="41" spans="1:9">
      <c r="B41" s="3796" t="s">
        <v>1978</v>
      </c>
      <c r="C41" s="3796" t="s">
        <v>3530</v>
      </c>
      <c r="D41" s="1260" t="s">
        <v>1442</v>
      </c>
      <c r="E41" s="3306"/>
      <c r="F41" s="1246"/>
      <c r="G41" s="1246"/>
      <c r="I41" s="36" t="s">
        <v>415</v>
      </c>
    </row>
    <row r="42" spans="1:9">
      <c r="A42" s="3302" t="s">
        <v>1312</v>
      </c>
      <c r="B42" s="3460" t="s">
        <v>1507</v>
      </c>
      <c r="C42" s="3798" t="s">
        <v>1335</v>
      </c>
      <c r="D42" s="1252" t="s">
        <v>1478</v>
      </c>
      <c r="E42" s="3304"/>
      <c r="F42" s="1246"/>
      <c r="G42" s="1246"/>
      <c r="I42" s="36" t="s">
        <v>416</v>
      </c>
    </row>
    <row r="43" spans="1:9">
      <c r="B43" s="3796" t="s">
        <v>1992</v>
      </c>
      <c r="C43" s="3796" t="s">
        <v>3531</v>
      </c>
      <c r="D43" s="3822" t="s">
        <v>3614</v>
      </c>
      <c r="E43" s="3305"/>
      <c r="F43" s="1246"/>
      <c r="G43" s="1246"/>
      <c r="I43" s="36" t="s">
        <v>417</v>
      </c>
    </row>
    <row r="44" spans="1:9">
      <c r="A44" s="4237"/>
      <c r="B44" s="3796" t="s">
        <v>3615</v>
      </c>
      <c r="C44" s="3796" t="s">
        <v>3616</v>
      </c>
      <c r="D44" s="1265" t="s">
        <v>3617</v>
      </c>
      <c r="E44" s="3304"/>
      <c r="F44" s="1246"/>
      <c r="G44" s="1246"/>
      <c r="I44" s="36" t="s">
        <v>418</v>
      </c>
    </row>
    <row r="45" spans="1:9">
      <c r="B45" s="3796"/>
      <c r="C45" s="3796"/>
      <c r="D45" s="1252" t="s">
        <v>1478</v>
      </c>
      <c r="E45" s="961"/>
      <c r="F45" s="1246"/>
      <c r="G45" s="1246"/>
      <c r="I45" s="36" t="s">
        <v>419</v>
      </c>
    </row>
    <row r="46" spans="1:9">
      <c r="B46" s="3796" t="s">
        <v>1993</v>
      </c>
      <c r="C46" s="3796" t="s">
        <v>3532</v>
      </c>
      <c r="D46" s="1264" t="s">
        <v>3416</v>
      </c>
      <c r="E46" s="3304"/>
      <c r="F46" s="1246"/>
      <c r="G46" s="1246"/>
      <c r="I46" s="36" t="s">
        <v>420</v>
      </c>
    </row>
    <row r="47" spans="1:9">
      <c r="B47" s="3796"/>
      <c r="C47" s="3796"/>
      <c r="D47" s="1252" t="s">
        <v>1478</v>
      </c>
      <c r="E47" s="961"/>
      <c r="F47" s="1246"/>
      <c r="G47" s="1246"/>
      <c r="I47" s="36" t="s">
        <v>421</v>
      </c>
    </row>
    <row r="48" spans="1:9">
      <c r="B48" s="3796" t="s">
        <v>1995</v>
      </c>
      <c r="C48" s="3796" t="s">
        <v>3533</v>
      </c>
      <c r="D48" s="1248" t="s">
        <v>1464</v>
      </c>
      <c r="E48" s="3304"/>
      <c r="F48" s="1246"/>
      <c r="G48" s="1246"/>
      <c r="I48" s="36" t="s">
        <v>422</v>
      </c>
    </row>
    <row r="49" spans="1:9">
      <c r="B49" s="3796"/>
      <c r="C49" s="3796"/>
      <c r="D49" s="1252" t="s">
        <v>1478</v>
      </c>
      <c r="E49" s="3306"/>
      <c r="F49" s="1246"/>
      <c r="G49" s="1246"/>
      <c r="I49" s="36" t="s">
        <v>423</v>
      </c>
    </row>
    <row r="50" spans="1:9">
      <c r="B50" s="3796" t="s">
        <v>1994</v>
      </c>
      <c r="C50" s="3796" t="s">
        <v>3534</v>
      </c>
      <c r="D50" s="1248" t="s">
        <v>1489</v>
      </c>
      <c r="E50" s="3304"/>
      <c r="F50" s="1246"/>
      <c r="G50" s="1246"/>
      <c r="I50" s="36" t="s">
        <v>424</v>
      </c>
    </row>
    <row r="51" spans="1:9">
      <c r="A51" s="3797"/>
      <c r="B51" s="3460" t="s">
        <v>1507</v>
      </c>
      <c r="C51" s="3798" t="s">
        <v>1336</v>
      </c>
      <c r="D51" s="1252" t="s">
        <v>1478</v>
      </c>
      <c r="E51" s="3305"/>
      <c r="F51" s="1246"/>
      <c r="G51" s="1246"/>
      <c r="I51" s="36" t="s">
        <v>425</v>
      </c>
    </row>
    <row r="52" spans="1:9">
      <c r="B52" s="3796" t="s">
        <v>2017</v>
      </c>
      <c r="C52" s="3796" t="s">
        <v>3535</v>
      </c>
      <c r="D52" s="3822" t="s">
        <v>3614</v>
      </c>
      <c r="E52" s="3304"/>
      <c r="F52" s="1246"/>
      <c r="G52" s="1246"/>
      <c r="I52" s="36" t="s">
        <v>426</v>
      </c>
    </row>
    <row r="53" spans="1:9">
      <c r="A53" s="4237"/>
      <c r="B53" s="3796" t="s">
        <v>3618</v>
      </c>
      <c r="C53" s="3796" t="s">
        <v>3619</v>
      </c>
      <c r="D53" s="1265" t="s">
        <v>3617</v>
      </c>
      <c r="E53" s="961"/>
      <c r="F53" s="1246"/>
      <c r="G53" s="1246"/>
      <c r="I53" s="36" t="s">
        <v>427</v>
      </c>
    </row>
    <row r="54" spans="1:9">
      <c r="A54" s="4237"/>
      <c r="B54" s="3796"/>
      <c r="C54" s="3796"/>
      <c r="D54" s="1252" t="s">
        <v>1478</v>
      </c>
      <c r="E54" s="3304"/>
      <c r="F54" s="1246"/>
      <c r="G54" s="1246"/>
      <c r="I54" s="36" t="s">
        <v>428</v>
      </c>
    </row>
    <row r="55" spans="1:9">
      <c r="A55" s="4237"/>
      <c r="B55" s="3796" t="s">
        <v>2018</v>
      </c>
      <c r="C55" s="3796" t="s">
        <v>3536</v>
      </c>
      <c r="D55" s="1264" t="s">
        <v>3416</v>
      </c>
      <c r="E55" s="961"/>
      <c r="F55" s="1246"/>
      <c r="G55" s="1246"/>
      <c r="I55" s="36" t="s">
        <v>429</v>
      </c>
    </row>
    <row r="56" spans="1:9">
      <c r="A56" s="4237"/>
      <c r="B56" s="3796"/>
      <c r="C56" s="3796"/>
      <c r="D56" s="1252" t="s">
        <v>1478</v>
      </c>
      <c r="E56" s="3304"/>
      <c r="F56" s="1246"/>
      <c r="G56" s="1246"/>
      <c r="I56" s="36" t="s">
        <v>430</v>
      </c>
    </row>
    <row r="57" spans="1:9">
      <c r="A57" s="4237"/>
      <c r="B57" s="3796" t="s">
        <v>2019</v>
      </c>
      <c r="C57" s="3796" t="s">
        <v>3537</v>
      </c>
      <c r="D57" s="1248" t="s">
        <v>3908</v>
      </c>
      <c r="E57" s="3304"/>
      <c r="F57" s="3825" t="s">
        <v>3621</v>
      </c>
      <c r="G57" s="4228" t="s">
        <v>3910</v>
      </c>
      <c r="I57" s="36" t="s">
        <v>431</v>
      </c>
    </row>
    <row r="58" spans="1:9">
      <c r="B58" s="3796"/>
      <c r="C58" s="3796"/>
      <c r="D58" s="1252" t="s">
        <v>1478</v>
      </c>
      <c r="E58" s="961"/>
      <c r="F58" s="1246"/>
      <c r="G58" s="2296" t="s">
        <v>2753</v>
      </c>
      <c r="I58" s="36" t="s">
        <v>432</v>
      </c>
    </row>
    <row r="59" spans="1:9">
      <c r="B59" s="3796" t="s">
        <v>3903</v>
      </c>
      <c r="C59" s="3796" t="s">
        <v>3911</v>
      </c>
      <c r="D59" s="1248" t="s">
        <v>3912</v>
      </c>
      <c r="E59" s="3304"/>
      <c r="F59" s="1246"/>
      <c r="I59" s="36" t="s">
        <v>433</v>
      </c>
    </row>
    <row r="60" spans="1:9">
      <c r="A60" s="3302" t="s">
        <v>1313</v>
      </c>
      <c r="B60" s="3796"/>
      <c r="C60" s="3796"/>
      <c r="D60" s="1263"/>
      <c r="E60" s="3826" t="s">
        <v>3620</v>
      </c>
      <c r="F60" s="1246"/>
      <c r="G60" s="2296" t="s">
        <v>2753</v>
      </c>
      <c r="I60" s="36" t="s">
        <v>434</v>
      </c>
    </row>
    <row r="61" spans="1:9">
      <c r="A61" s="3799" t="s">
        <v>1492</v>
      </c>
      <c r="B61" s="3509" t="s">
        <v>1504</v>
      </c>
      <c r="C61" s="3799" t="s">
        <v>3322</v>
      </c>
      <c r="D61" s="1275" t="s">
        <v>1478</v>
      </c>
      <c r="E61" s="961"/>
      <c r="F61" s="961"/>
      <c r="G61" s="1246"/>
      <c r="I61" s="36" t="s">
        <v>435</v>
      </c>
    </row>
    <row r="62" spans="1:9">
      <c r="A62" s="2295"/>
      <c r="B62" s="3796" t="s">
        <v>2131</v>
      </c>
      <c r="C62" s="3796" t="s">
        <v>3538</v>
      </c>
      <c r="D62" s="3644" t="s">
        <v>3411</v>
      </c>
      <c r="E62" s="3304"/>
      <c r="F62" s="961"/>
      <c r="G62" s="1246"/>
      <c r="I62" s="36" t="s">
        <v>436</v>
      </c>
    </row>
    <row r="63" spans="1:9">
      <c r="A63" s="1562"/>
      <c r="B63" s="3509" t="s">
        <v>1507</v>
      </c>
      <c r="C63" s="3799" t="s">
        <v>2137</v>
      </c>
      <c r="D63" s="1275" t="s">
        <v>1478</v>
      </c>
      <c r="E63" s="961"/>
      <c r="F63" s="961"/>
      <c r="G63" s="1246"/>
      <c r="I63" s="36" t="s">
        <v>437</v>
      </c>
    </row>
    <row r="64" spans="1:9">
      <c r="A64" s="1562"/>
      <c r="B64" s="3796" t="s">
        <v>2132</v>
      </c>
      <c r="C64" s="3796" t="s">
        <v>3539</v>
      </c>
      <c r="D64" s="3644" t="s">
        <v>3411</v>
      </c>
      <c r="E64" s="961"/>
      <c r="F64" s="961"/>
      <c r="G64" s="1246"/>
      <c r="I64" s="36" t="s">
        <v>438</v>
      </c>
    </row>
    <row r="65" spans="1:9">
      <c r="A65" s="3799" t="s">
        <v>366</v>
      </c>
      <c r="B65" s="3509" t="s">
        <v>1527</v>
      </c>
      <c r="C65" s="3799" t="s">
        <v>2139</v>
      </c>
      <c r="D65" s="1275" t="s">
        <v>1478</v>
      </c>
      <c r="E65" s="961"/>
      <c r="F65" s="961"/>
      <c r="G65" s="961"/>
      <c r="I65" s="36" t="s">
        <v>439</v>
      </c>
    </row>
    <row r="66" spans="1:9">
      <c r="A66" s="2295"/>
      <c r="B66" s="3796" t="s">
        <v>3540</v>
      </c>
      <c r="C66" s="3796" t="s">
        <v>3541</v>
      </c>
      <c r="D66" s="1276" t="s">
        <v>1400</v>
      </c>
      <c r="E66" s="961"/>
      <c r="F66" s="961"/>
      <c r="G66" s="961"/>
      <c r="I66" s="36" t="s">
        <v>440</v>
      </c>
    </row>
    <row r="67" spans="1:9">
      <c r="A67" s="1562"/>
      <c r="B67" s="3509" t="s">
        <v>1527</v>
      </c>
      <c r="C67" s="3799" t="s">
        <v>3323</v>
      </c>
      <c r="D67" s="1275" t="s">
        <v>1478</v>
      </c>
      <c r="E67" s="3304"/>
      <c r="F67" s="961"/>
      <c r="G67" s="961"/>
      <c r="I67" s="36" t="s">
        <v>441</v>
      </c>
    </row>
    <row r="68" spans="1:9">
      <c r="A68" s="1562"/>
      <c r="B68" s="3796" t="s">
        <v>3542</v>
      </c>
      <c r="C68" s="3796" t="s">
        <v>3543</v>
      </c>
      <c r="D68" s="1276" t="s">
        <v>1400</v>
      </c>
      <c r="E68" s="961"/>
      <c r="F68" s="961"/>
      <c r="G68" s="961"/>
      <c r="I68" s="36" t="s">
        <v>442</v>
      </c>
    </row>
    <row r="69" spans="1:9">
      <c r="A69" s="1562"/>
      <c r="B69" s="3509" t="s">
        <v>1504</v>
      </c>
      <c r="C69" s="3799" t="s">
        <v>2142</v>
      </c>
      <c r="D69" s="1275" t="s">
        <v>1478</v>
      </c>
      <c r="E69" s="3304"/>
      <c r="F69" s="961"/>
      <c r="G69" s="961"/>
      <c r="I69" s="36" t="s">
        <v>444</v>
      </c>
    </row>
    <row r="70" spans="1:9">
      <c r="A70" s="1562"/>
      <c r="B70" s="3796" t="s">
        <v>3544</v>
      </c>
      <c r="C70" s="3796" t="s">
        <v>3545</v>
      </c>
      <c r="D70" s="1276" t="s">
        <v>1400</v>
      </c>
      <c r="E70" s="3304"/>
      <c r="F70" s="961"/>
      <c r="G70" s="961"/>
      <c r="I70" s="36" t="s">
        <v>445</v>
      </c>
    </row>
    <row r="71" spans="1:9">
      <c r="A71" s="1562"/>
      <c r="B71" s="3509" t="s">
        <v>1504</v>
      </c>
      <c r="C71" s="3799" t="s">
        <v>3324</v>
      </c>
      <c r="D71" s="1275" t="s">
        <v>1478</v>
      </c>
      <c r="E71" s="961"/>
      <c r="F71" s="961"/>
      <c r="G71" s="961"/>
      <c r="I71" s="36" t="s">
        <v>446</v>
      </c>
    </row>
    <row r="72" spans="1:9">
      <c r="A72" s="1562"/>
      <c r="B72" s="3796" t="s">
        <v>3546</v>
      </c>
      <c r="C72" s="3796" t="s">
        <v>3547</v>
      </c>
      <c r="D72" s="1276" t="s">
        <v>1400</v>
      </c>
      <c r="E72" s="3304"/>
      <c r="F72" s="961"/>
      <c r="G72" s="961"/>
      <c r="I72" s="36" t="s">
        <v>447</v>
      </c>
    </row>
    <row r="73" spans="1:9">
      <c r="A73" s="1562"/>
      <c r="B73" s="3509" t="s">
        <v>1527</v>
      </c>
      <c r="C73" s="3799" t="s">
        <v>3325</v>
      </c>
      <c r="D73" s="1275" t="s">
        <v>1478</v>
      </c>
      <c r="E73" s="961"/>
      <c r="F73" s="961"/>
      <c r="G73" s="961"/>
      <c r="I73" s="36"/>
    </row>
    <row r="74" spans="1:9">
      <c r="A74" s="1562"/>
      <c r="B74" s="3796" t="s">
        <v>3548</v>
      </c>
      <c r="C74" s="3796" t="s">
        <v>3549</v>
      </c>
      <c r="D74" s="1276" t="s">
        <v>3411</v>
      </c>
      <c r="E74" s="3304"/>
      <c r="F74" s="961"/>
      <c r="G74" s="961"/>
      <c r="I74" s="36" t="s">
        <v>448</v>
      </c>
    </row>
    <row r="75" spans="1:9">
      <c r="A75" s="3799" t="s">
        <v>1495</v>
      </c>
      <c r="B75" s="3509" t="s">
        <v>1527</v>
      </c>
      <c r="C75" s="3799" t="s">
        <v>2296</v>
      </c>
      <c r="D75" s="1275" t="s">
        <v>1478</v>
      </c>
      <c r="E75" s="961"/>
      <c r="F75" s="961"/>
      <c r="G75" s="961"/>
      <c r="I75" s="36" t="s">
        <v>449</v>
      </c>
    </row>
    <row r="76" spans="1:9">
      <c r="A76" s="1563"/>
      <c r="B76" s="3796" t="s">
        <v>3552</v>
      </c>
      <c r="C76" s="3796" t="s">
        <v>3553</v>
      </c>
      <c r="D76" s="1277" t="s">
        <v>1642</v>
      </c>
      <c r="E76" s="3304"/>
      <c r="F76" s="961"/>
      <c r="G76" s="961"/>
      <c r="I76" s="36" t="s">
        <v>452</v>
      </c>
    </row>
    <row r="77" spans="1:9">
      <c r="A77" s="1563"/>
      <c r="B77" s="3796" t="s">
        <v>3550</v>
      </c>
      <c r="C77" s="3796" t="s">
        <v>3551</v>
      </c>
      <c r="D77" s="1276" t="s">
        <v>3560</v>
      </c>
      <c r="E77" s="961"/>
      <c r="F77" s="961"/>
      <c r="G77" s="961"/>
      <c r="I77" s="36" t="s">
        <v>451</v>
      </c>
    </row>
    <row r="78" spans="1:9">
      <c r="A78" s="1563"/>
      <c r="B78" s="3509" t="s">
        <v>1504</v>
      </c>
      <c r="C78" s="3799" t="s">
        <v>2348</v>
      </c>
      <c r="D78" s="1275" t="s">
        <v>1478</v>
      </c>
    </row>
    <row r="79" spans="1:9">
      <c r="A79" s="1563"/>
      <c r="B79" s="3796" t="s">
        <v>3554</v>
      </c>
      <c r="C79" s="3796" t="s">
        <v>3555</v>
      </c>
      <c r="D79" s="1276" t="s">
        <v>1400</v>
      </c>
      <c r="E79" s="961"/>
      <c r="F79" s="961"/>
      <c r="G79" s="961"/>
      <c r="I79" s="36" t="s">
        <v>453</v>
      </c>
    </row>
    <row r="80" spans="1:9">
      <c r="A80" s="1563"/>
      <c r="B80" s="3509" t="s">
        <v>1527</v>
      </c>
      <c r="C80" s="3799" t="s">
        <v>3326</v>
      </c>
      <c r="D80" s="1275" t="s">
        <v>1478</v>
      </c>
      <c r="E80" s="3304"/>
      <c r="F80" s="961" t="s">
        <v>2087</v>
      </c>
      <c r="G80" s="961"/>
      <c r="I80" s="36" t="s">
        <v>454</v>
      </c>
    </row>
    <row r="81" spans="1:9">
      <c r="B81" s="3796" t="s">
        <v>3558</v>
      </c>
      <c r="C81" s="3796" t="s">
        <v>3559</v>
      </c>
      <c r="D81" s="1277" t="s">
        <v>1642</v>
      </c>
      <c r="E81" s="3306"/>
      <c r="F81" s="961"/>
      <c r="G81" s="961"/>
      <c r="I81" s="36" t="s">
        <v>455</v>
      </c>
    </row>
    <row r="82" spans="1:9">
      <c r="B82" s="3796" t="s">
        <v>3556</v>
      </c>
      <c r="C82" s="3796" t="s">
        <v>3557</v>
      </c>
      <c r="D82" s="1276" t="s">
        <v>3560</v>
      </c>
      <c r="E82" s="3306"/>
      <c r="F82" s="961"/>
      <c r="G82" s="961"/>
      <c r="I82" s="36" t="s">
        <v>456</v>
      </c>
    </row>
    <row r="83" spans="1:9">
      <c r="A83" s="3799"/>
      <c r="B83" s="3800" t="s">
        <v>1504</v>
      </c>
      <c r="C83" s="3799" t="s">
        <v>3327</v>
      </c>
      <c r="D83" s="1275" t="s">
        <v>1478</v>
      </c>
      <c r="E83" s="3306"/>
      <c r="F83" s="961"/>
      <c r="G83" s="961"/>
      <c r="I83" s="36" t="s">
        <v>457</v>
      </c>
    </row>
    <row r="84" spans="1:9">
      <c r="B84" s="3796" t="s">
        <v>3561</v>
      </c>
      <c r="C84" s="3796" t="s">
        <v>3562</v>
      </c>
      <c r="D84" s="1276" t="s">
        <v>1400</v>
      </c>
      <c r="E84" s="3306"/>
      <c r="F84" s="961"/>
      <c r="G84" s="961"/>
      <c r="I84" s="36" t="s">
        <v>458</v>
      </c>
    </row>
    <row r="85" spans="1:9">
      <c r="B85" s="3800" t="s">
        <v>1504</v>
      </c>
      <c r="C85" s="3799" t="s">
        <v>2756</v>
      </c>
      <c r="D85" s="1275" t="s">
        <v>1478</v>
      </c>
      <c r="E85" s="3306"/>
      <c r="F85" s="961"/>
      <c r="G85" s="961"/>
      <c r="I85" s="36" t="s">
        <v>459</v>
      </c>
    </row>
    <row r="86" spans="1:9">
      <c r="B86" s="3796" t="s">
        <v>3563</v>
      </c>
      <c r="C86" s="3796" t="s">
        <v>3564</v>
      </c>
      <c r="D86" s="1276" t="s">
        <v>3915</v>
      </c>
      <c r="E86" s="3306"/>
      <c r="F86" s="961"/>
      <c r="G86" s="961"/>
      <c r="I86" s="36" t="s">
        <v>460</v>
      </c>
    </row>
    <row r="87" spans="1:9" ht="24">
      <c r="A87" s="3827"/>
      <c r="B87" s="3796" t="s">
        <v>3624</v>
      </c>
      <c r="C87" s="3796" t="s">
        <v>3625</v>
      </c>
      <c r="D87" s="1277" t="s">
        <v>3916</v>
      </c>
      <c r="F87" s="4236" t="s">
        <v>3917</v>
      </c>
      <c r="G87" s="961"/>
      <c r="I87" s="36" t="s">
        <v>461</v>
      </c>
    </row>
    <row r="88" spans="1:9">
      <c r="A88" s="4567" t="s">
        <v>1494</v>
      </c>
      <c r="B88" s="3800" t="s">
        <v>1507</v>
      </c>
      <c r="C88" s="3799" t="s">
        <v>1493</v>
      </c>
      <c r="D88" s="1272" t="s">
        <v>1478</v>
      </c>
      <c r="E88" s="3306"/>
      <c r="F88" s="961"/>
      <c r="G88" s="961"/>
      <c r="I88" s="36" t="s">
        <v>462</v>
      </c>
    </row>
    <row r="89" spans="1:9">
      <c r="A89" s="4568"/>
      <c r="B89" s="3796" t="s">
        <v>2055</v>
      </c>
      <c r="C89" s="3796" t="s">
        <v>3566</v>
      </c>
      <c r="D89" s="1273" t="s">
        <v>1413</v>
      </c>
      <c r="E89" s="3306"/>
      <c r="F89" s="961"/>
      <c r="G89" s="961"/>
      <c r="I89" s="36" t="s">
        <v>463</v>
      </c>
    </row>
    <row r="90" spans="1:9">
      <c r="A90" s="3827"/>
      <c r="B90" s="3796" t="s">
        <v>3595</v>
      </c>
      <c r="C90" s="3796" t="s">
        <v>3598</v>
      </c>
      <c r="D90" s="1273" t="s">
        <v>3596</v>
      </c>
      <c r="E90" s="3306"/>
      <c r="G90" s="961"/>
      <c r="I90" s="36" t="s">
        <v>464</v>
      </c>
    </row>
    <row r="91" spans="1:9">
      <c r="A91" s="3827"/>
      <c r="B91" s="3817" t="s">
        <v>3597</v>
      </c>
      <c r="C91" s="3796" t="s">
        <v>3599</v>
      </c>
      <c r="D91" s="1273" t="s">
        <v>1416</v>
      </c>
      <c r="E91" s="3306"/>
      <c r="G91" s="961"/>
      <c r="I91" s="36" t="s">
        <v>465</v>
      </c>
    </row>
    <row r="92" spans="1:9">
      <c r="B92" s="3800" t="s">
        <v>1507</v>
      </c>
      <c r="C92" s="3799" t="s">
        <v>3348</v>
      </c>
      <c r="D92" s="1272" t="s">
        <v>1478</v>
      </c>
      <c r="E92" s="961"/>
      <c r="G92" s="961"/>
      <c r="I92" s="36" t="s">
        <v>466</v>
      </c>
    </row>
    <row r="93" spans="1:9">
      <c r="B93" s="3796" t="s">
        <v>2085</v>
      </c>
      <c r="C93" s="3796" t="s">
        <v>3567</v>
      </c>
      <c r="D93" s="1273" t="s">
        <v>2086</v>
      </c>
      <c r="E93" s="961"/>
      <c r="G93" s="961"/>
      <c r="I93" s="36" t="s">
        <v>467</v>
      </c>
    </row>
    <row r="94" spans="1:9">
      <c r="A94" s="3827"/>
      <c r="B94" s="3796" t="s">
        <v>3600</v>
      </c>
      <c r="C94" s="3796" t="s">
        <v>3604</v>
      </c>
      <c r="D94" s="1273" t="s">
        <v>3602</v>
      </c>
      <c r="E94" s="961"/>
      <c r="I94" s="36" t="s">
        <v>468</v>
      </c>
    </row>
    <row r="95" spans="1:9">
      <c r="A95" s="3827"/>
      <c r="B95" s="3796" t="s">
        <v>3601</v>
      </c>
      <c r="C95" s="3796" t="s">
        <v>3605</v>
      </c>
      <c r="D95" s="1273" t="s">
        <v>3603</v>
      </c>
      <c r="I95" s="36" t="s">
        <v>469</v>
      </c>
    </row>
    <row r="96" spans="1:9">
      <c r="B96" s="3800" t="s">
        <v>1507</v>
      </c>
      <c r="C96" s="3799" t="s">
        <v>1039</v>
      </c>
      <c r="D96" s="1272" t="s">
        <v>1478</v>
      </c>
      <c r="I96" s="36" t="s">
        <v>470</v>
      </c>
    </row>
    <row r="97" spans="1:9">
      <c r="B97" s="3796" t="s">
        <v>2126</v>
      </c>
      <c r="C97" s="3796" t="s">
        <v>3569</v>
      </c>
      <c r="D97" s="1274" t="s">
        <v>1424</v>
      </c>
      <c r="I97" s="36" t="s">
        <v>471</v>
      </c>
    </row>
    <row r="98" spans="1:9">
      <c r="B98" s="3796" t="s">
        <v>2125</v>
      </c>
      <c r="C98" s="3796" t="s">
        <v>3568</v>
      </c>
      <c r="D98" s="1273" t="s">
        <v>1400</v>
      </c>
      <c r="I98" s="36" t="s">
        <v>472</v>
      </c>
    </row>
    <row r="99" spans="1:9">
      <c r="D99" s="961"/>
      <c r="I99" s="36" t="s">
        <v>473</v>
      </c>
    </row>
    <row r="100" spans="1:9">
      <c r="B100" s="3800" t="s">
        <v>1504</v>
      </c>
      <c r="C100" s="3799" t="s">
        <v>3410</v>
      </c>
      <c r="D100" s="3484" t="s">
        <v>1478</v>
      </c>
      <c r="I100" s="36" t="s">
        <v>474</v>
      </c>
    </row>
    <row r="101" spans="1:9">
      <c r="B101" s="3796" t="s">
        <v>2621</v>
      </c>
      <c r="C101" s="3796" t="s">
        <v>3697</v>
      </c>
      <c r="D101" s="3485" t="s">
        <v>3411</v>
      </c>
      <c r="I101" s="36" t="s">
        <v>475</v>
      </c>
    </row>
    <row r="102" spans="1:9">
      <c r="A102" s="3799" t="s">
        <v>3565</v>
      </c>
      <c r="B102" s="3800" t="s">
        <v>1504</v>
      </c>
      <c r="C102" s="3799" t="s">
        <v>3570</v>
      </c>
      <c r="D102" s="3818" t="s">
        <v>1478</v>
      </c>
      <c r="I102" s="36" t="s">
        <v>476</v>
      </c>
    </row>
    <row r="103" spans="1:9">
      <c r="A103" s="4237"/>
      <c r="B103" s="3796" t="s">
        <v>3589</v>
      </c>
      <c r="C103" s="3796" t="s">
        <v>3693</v>
      </c>
      <c r="D103" s="3820" t="s">
        <v>3733</v>
      </c>
      <c r="I103" s="36" t="s">
        <v>477</v>
      </c>
    </row>
    <row r="104" spans="1:9">
      <c r="A104" s="4237"/>
      <c r="B104" s="3796" t="s">
        <v>3590</v>
      </c>
      <c r="C104" s="3796" t="s">
        <v>3694</v>
      </c>
      <c r="D104" s="3819" t="s">
        <v>3732</v>
      </c>
      <c r="I104" s="36" t="s">
        <v>478</v>
      </c>
    </row>
    <row r="105" spans="1:9">
      <c r="A105" s="4237"/>
      <c r="B105" s="3800" t="s">
        <v>1507</v>
      </c>
      <c r="C105" s="3799" t="s">
        <v>3571</v>
      </c>
      <c r="D105" s="3818" t="s">
        <v>1478</v>
      </c>
      <c r="I105" s="36" t="s">
        <v>479</v>
      </c>
    </row>
    <row r="106" spans="1:9">
      <c r="A106" s="4237"/>
      <c r="B106" s="3796" t="s">
        <v>3609</v>
      </c>
      <c r="C106" s="3796" t="s">
        <v>3695</v>
      </c>
      <c r="D106" s="3820" t="s">
        <v>3588</v>
      </c>
      <c r="I106" s="36" t="s">
        <v>480</v>
      </c>
    </row>
    <row r="107" spans="1:9">
      <c r="A107" s="4237"/>
      <c r="B107" s="3800" t="s">
        <v>1504</v>
      </c>
      <c r="C107" s="3799" t="s">
        <v>3572</v>
      </c>
      <c r="D107" s="3818" t="s">
        <v>1478</v>
      </c>
      <c r="I107" s="36" t="s">
        <v>481</v>
      </c>
    </row>
    <row r="108" spans="1:9">
      <c r="A108" s="4237"/>
      <c r="B108" s="3796" t="s">
        <v>3593</v>
      </c>
      <c r="C108" s="3796" t="s">
        <v>3696</v>
      </c>
      <c r="D108" s="3820" t="s">
        <v>3411</v>
      </c>
      <c r="I108" s="36" t="s">
        <v>482</v>
      </c>
    </row>
    <row r="109" spans="1:9">
      <c r="A109" s="4237"/>
      <c r="I109" s="36" t="s">
        <v>483</v>
      </c>
    </row>
    <row r="110" spans="1:9" ht="15" thickBot="1">
      <c r="A110" s="4237"/>
      <c r="I110" s="37" t="s">
        <v>484</v>
      </c>
    </row>
    <row r="111" spans="1:9">
      <c r="I111" s="594" t="s">
        <v>861</v>
      </c>
    </row>
    <row r="112" spans="1:9">
      <c r="I112" s="594" t="s">
        <v>860</v>
      </c>
    </row>
    <row r="113" spans="9:9">
      <c r="I113" s="594" t="s">
        <v>859</v>
      </c>
    </row>
    <row r="114" spans="9:9">
      <c r="I114" s="594" t="s">
        <v>858</v>
      </c>
    </row>
  </sheetData>
  <mergeCells count="6">
    <mergeCell ref="A88:A89"/>
    <mergeCell ref="F2:F5"/>
    <mergeCell ref="F6:F7"/>
    <mergeCell ref="F8:F10"/>
    <mergeCell ref="F11:F12"/>
    <mergeCell ref="F13:F14"/>
  </mergeCells>
  <dataValidations disablePrompts="1" count="1">
    <dataValidation type="list" allowBlank="1" showInputMessage="1" showErrorMessage="1" sqref="C56">
      <formula1>$I$2:$I$114</formula1>
    </dataValidation>
  </dataValidations>
  <pageMargins left="0.70866141732283472" right="0.70866141732283472" top="0.74803149606299213" bottom="0.74803149606299213" header="0.31496062992125984" footer="0.31496062992125984"/>
  <pageSetup paperSize="9" scale="8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DS189"/>
  <sheetViews>
    <sheetView topLeftCell="A106" zoomScale="71" zoomScaleNormal="71" workbookViewId="0">
      <selection activeCell="I6" sqref="I6"/>
    </sheetView>
  </sheetViews>
  <sheetFormatPr defaultColWidth="10.90625" defaultRowHeight="14.5"/>
  <cols>
    <col min="2" max="2" width="33.26953125" customWidth="1"/>
    <col min="3" max="3" width="15" customWidth="1"/>
    <col min="6" max="6" width="12.81640625" customWidth="1"/>
    <col min="7" max="7" width="17.26953125" customWidth="1"/>
    <col min="8" max="8" width="15.7265625" customWidth="1"/>
    <col min="9" max="9" width="19.81640625" customWidth="1"/>
    <col min="11" max="11" width="14.7265625" customWidth="1"/>
    <col min="34" max="34" width="12" customWidth="1"/>
  </cols>
  <sheetData>
    <row r="1" spans="2:47" ht="15" thickBot="1">
      <c r="C1" s="4582" t="s">
        <v>491</v>
      </c>
      <c r="D1" s="4583"/>
      <c r="E1" s="4583"/>
      <c r="F1" s="4583"/>
      <c r="G1" s="4583"/>
      <c r="H1" s="4583"/>
      <c r="I1" s="4584" t="s">
        <v>3447</v>
      </c>
    </row>
    <row r="2" spans="2:47" ht="49.5" customHeight="1" thickBot="1">
      <c r="C2" s="66" t="s">
        <v>485</v>
      </c>
      <c r="D2" s="67" t="s">
        <v>486</v>
      </c>
      <c r="E2" s="67" t="s">
        <v>487</v>
      </c>
      <c r="F2" s="67" t="s">
        <v>637</v>
      </c>
      <c r="G2" s="68" t="s">
        <v>488</v>
      </c>
      <c r="H2" s="3543" t="s">
        <v>505</v>
      </c>
      <c r="I2" s="4585"/>
      <c r="M2" s="16"/>
      <c r="N2" s="16"/>
    </row>
    <row r="3" spans="2:47" ht="15" thickBot="1">
      <c r="C3" s="36" t="s">
        <v>871</v>
      </c>
      <c r="D3" s="63"/>
      <c r="E3" s="64"/>
      <c r="F3" s="65">
        <v>0</v>
      </c>
      <c r="G3" s="77">
        <f t="shared" ref="G3:G34" si="0">M7</f>
        <v>0</v>
      </c>
      <c r="H3" s="78">
        <v>2</v>
      </c>
      <c r="I3" s="3545"/>
      <c r="J3" s="42"/>
      <c r="K3" s="4573" t="s">
        <v>490</v>
      </c>
      <c r="L3" s="4574"/>
      <c r="M3" s="4575"/>
      <c r="N3" s="16"/>
      <c r="O3" s="16"/>
    </row>
    <row r="4" spans="2:47">
      <c r="B4">
        <v>1</v>
      </c>
      <c r="C4" s="36" t="s">
        <v>865</v>
      </c>
      <c r="D4" s="63">
        <f>46034/12</f>
        <v>3836.1666666666665</v>
      </c>
      <c r="E4" s="64">
        <v>1985</v>
      </c>
      <c r="F4" s="65">
        <v>885698.54798480636</v>
      </c>
      <c r="G4" s="77">
        <f t="shared" si="0"/>
        <v>2417409.8609482078</v>
      </c>
      <c r="H4" s="78">
        <v>2</v>
      </c>
      <c r="I4" s="3547">
        <f>$B$185/D4</f>
        <v>0.29103910105152769</v>
      </c>
      <c r="J4" s="42"/>
      <c r="K4" s="74"/>
      <c r="L4" s="59" t="s">
        <v>492</v>
      </c>
      <c r="M4" s="50">
        <v>2011</v>
      </c>
      <c r="N4" s="59">
        <v>2010</v>
      </c>
      <c r="O4" s="49">
        <v>2009</v>
      </c>
      <c r="P4" s="49">
        <v>2008</v>
      </c>
      <c r="Q4" s="49">
        <v>2007</v>
      </c>
      <c r="R4" s="49">
        <v>2006</v>
      </c>
      <c r="S4" s="49">
        <v>2005</v>
      </c>
      <c r="T4" s="49">
        <v>2004</v>
      </c>
      <c r="U4" s="49">
        <v>2003</v>
      </c>
      <c r="V4" s="49">
        <v>2002</v>
      </c>
      <c r="W4" s="49">
        <v>2001</v>
      </c>
      <c r="X4" s="49">
        <v>2000</v>
      </c>
      <c r="Y4" s="49">
        <v>1999</v>
      </c>
      <c r="Z4" s="49">
        <v>1998</v>
      </c>
      <c r="AA4" s="49">
        <v>1997</v>
      </c>
      <c r="AB4" s="49">
        <v>1996</v>
      </c>
      <c r="AC4" s="49">
        <v>1995</v>
      </c>
      <c r="AD4" s="49">
        <v>1994</v>
      </c>
      <c r="AE4" s="49">
        <v>1993</v>
      </c>
      <c r="AF4" s="49">
        <v>1992</v>
      </c>
      <c r="AG4" s="49">
        <v>1991</v>
      </c>
      <c r="AH4" s="49">
        <v>1990</v>
      </c>
      <c r="AI4" s="49">
        <v>1989</v>
      </c>
      <c r="AJ4" s="49">
        <v>1988</v>
      </c>
      <c r="AK4" s="49">
        <v>1987</v>
      </c>
      <c r="AL4" s="49">
        <v>1986</v>
      </c>
      <c r="AM4" s="50">
        <v>1985</v>
      </c>
      <c r="AN4" s="16"/>
      <c r="AO4" s="16"/>
      <c r="AP4" s="16"/>
      <c r="AQ4" s="16"/>
      <c r="AR4" s="16"/>
      <c r="AS4" s="16"/>
      <c r="AT4" s="16"/>
      <c r="AU4" s="16"/>
    </row>
    <row r="5" spans="2:47" ht="15" thickBot="1">
      <c r="C5" s="3548" t="s">
        <v>866</v>
      </c>
      <c r="D5" s="3549"/>
      <c r="E5" s="3550"/>
      <c r="F5" s="3551">
        <v>0</v>
      </c>
      <c r="G5" s="3552">
        <f t="shared" si="0"/>
        <v>0</v>
      </c>
      <c r="H5" s="3553"/>
      <c r="I5" s="3546"/>
      <c r="J5" s="42"/>
      <c r="K5" s="75"/>
      <c r="L5" s="69" t="s">
        <v>314</v>
      </c>
      <c r="M5" s="70">
        <v>3.2</v>
      </c>
      <c r="N5" s="60">
        <v>1.8</v>
      </c>
      <c r="O5" s="46">
        <v>-0.3</v>
      </c>
      <c r="P5" s="46">
        <v>4.0999999999999996</v>
      </c>
      <c r="Q5" s="46">
        <v>2.8</v>
      </c>
      <c r="R5" s="46">
        <v>3.5</v>
      </c>
      <c r="S5" s="46">
        <v>3.4</v>
      </c>
      <c r="T5" s="46">
        <v>3</v>
      </c>
      <c r="U5" s="46">
        <v>3</v>
      </c>
      <c r="V5" s="46">
        <v>3.5</v>
      </c>
      <c r="W5" s="46">
        <v>3.6</v>
      </c>
      <c r="X5" s="46">
        <v>3.4</v>
      </c>
      <c r="Y5" s="46">
        <v>2.2999999999999998</v>
      </c>
      <c r="Z5" s="46">
        <v>1.8</v>
      </c>
      <c r="AA5" s="46">
        <v>2</v>
      </c>
      <c r="AB5" s="46">
        <v>3.6</v>
      </c>
      <c r="AC5" s="46">
        <v>4.7</v>
      </c>
      <c r="AD5" s="46">
        <v>4.7</v>
      </c>
      <c r="AE5" s="46">
        <v>4.5999999999999996</v>
      </c>
      <c r="AF5" s="46">
        <v>5.9</v>
      </c>
      <c r="AG5" s="46">
        <v>5.9</v>
      </c>
      <c r="AH5" s="46">
        <v>6.7</v>
      </c>
      <c r="AI5" s="46">
        <v>6.8</v>
      </c>
      <c r="AJ5" s="46">
        <v>4.8</v>
      </c>
      <c r="AK5" s="46">
        <v>5.2</v>
      </c>
      <c r="AL5" s="46">
        <v>8.8000000000000007</v>
      </c>
      <c r="AM5" s="51">
        <v>8.8000000000000007</v>
      </c>
      <c r="AN5" s="16"/>
      <c r="AO5" s="16"/>
      <c r="AP5" s="16"/>
      <c r="AQ5" s="16"/>
      <c r="AR5" s="16"/>
      <c r="AS5" s="16"/>
      <c r="AT5" s="16"/>
      <c r="AU5" s="16"/>
    </row>
    <row r="6" spans="2:47" ht="15" thickBot="1">
      <c r="B6" s="2055">
        <v>2</v>
      </c>
      <c r="C6" s="608" t="s">
        <v>867</v>
      </c>
      <c r="D6" s="617">
        <v>4440.5</v>
      </c>
      <c r="E6" s="618">
        <v>1988</v>
      </c>
      <c r="F6" s="619">
        <v>1040781.185255971</v>
      </c>
      <c r="G6" s="620">
        <f t="shared" si="0"/>
        <v>2368197.2444854756</v>
      </c>
      <c r="H6" s="621">
        <v>4</v>
      </c>
      <c r="I6" s="3547">
        <f>$B$187/D6</f>
        <v>0.26560734979221823</v>
      </c>
      <c r="J6" s="42"/>
      <c r="K6" s="61" t="s">
        <v>485</v>
      </c>
      <c r="L6" s="61" t="s">
        <v>315</v>
      </c>
      <c r="M6" s="61" t="s">
        <v>489</v>
      </c>
      <c r="N6" s="10"/>
      <c r="O6" s="10"/>
      <c r="P6" s="10"/>
      <c r="Q6" s="10"/>
      <c r="R6" s="10"/>
      <c r="S6" s="10"/>
      <c r="T6" s="10"/>
      <c r="U6" s="10"/>
      <c r="V6" s="10"/>
      <c r="W6" s="10"/>
      <c r="X6" s="10"/>
      <c r="Y6" s="10"/>
      <c r="Z6" s="10"/>
      <c r="AA6" s="10"/>
      <c r="AB6" s="10"/>
      <c r="AC6" s="10"/>
      <c r="AD6" s="10"/>
      <c r="AE6" s="10"/>
      <c r="AF6" s="10"/>
      <c r="AG6" s="10"/>
      <c r="AH6" s="10"/>
      <c r="AI6" s="10"/>
      <c r="AJ6" s="10"/>
      <c r="AK6" s="10"/>
      <c r="AL6" s="10"/>
      <c r="AM6" s="52"/>
    </row>
    <row r="7" spans="2:47">
      <c r="C7" s="3554" t="s">
        <v>868</v>
      </c>
      <c r="D7" s="3555"/>
      <c r="E7" s="3556"/>
      <c r="F7" s="3557">
        <v>0</v>
      </c>
      <c r="G7" s="3558">
        <f t="shared" si="0"/>
        <v>0</v>
      </c>
      <c r="H7" s="3559"/>
      <c r="I7" s="3546"/>
      <c r="J7" s="42"/>
      <c r="K7" s="36" t="s">
        <v>871</v>
      </c>
      <c r="L7" s="47">
        <f t="shared" ref="L7:L38" si="1">F3</f>
        <v>0</v>
      </c>
      <c r="M7" s="62"/>
      <c r="N7" s="10"/>
      <c r="O7" s="10"/>
      <c r="P7" s="10"/>
      <c r="Q7" s="10"/>
      <c r="R7" s="10"/>
      <c r="S7" s="10"/>
      <c r="T7" s="10"/>
      <c r="U7" s="10"/>
      <c r="V7" s="10"/>
      <c r="W7" s="10"/>
      <c r="X7" s="10"/>
      <c r="Y7" s="10"/>
      <c r="Z7" s="10"/>
      <c r="AA7" s="10"/>
      <c r="AB7" s="10"/>
      <c r="AC7" s="10"/>
      <c r="AD7" s="10"/>
      <c r="AE7" s="10"/>
      <c r="AF7" s="10"/>
      <c r="AG7" s="10"/>
      <c r="AH7" s="10"/>
      <c r="AI7" s="10"/>
      <c r="AJ7" s="10"/>
      <c r="AK7" s="10"/>
      <c r="AL7" s="10"/>
      <c r="AM7" s="52"/>
    </row>
    <row r="8" spans="2:47">
      <c r="C8" s="3560" t="s">
        <v>869</v>
      </c>
      <c r="D8" s="3561"/>
      <c r="E8" s="2153"/>
      <c r="F8" s="3562">
        <v>0</v>
      </c>
      <c r="G8" s="3563">
        <f t="shared" si="0"/>
        <v>0</v>
      </c>
      <c r="H8" s="3564">
        <v>2</v>
      </c>
      <c r="I8" s="3547"/>
      <c r="J8" s="490">
        <v>1</v>
      </c>
      <c r="K8" s="36" t="s">
        <v>865</v>
      </c>
      <c r="L8" s="47">
        <f t="shared" si="1"/>
        <v>885698.54798480636</v>
      </c>
      <c r="M8" s="62">
        <f t="shared" ref="M8:AJ8" si="2">N8*(1+M$5/100)</f>
        <v>2417409.8609482078</v>
      </c>
      <c r="N8" s="48">
        <f t="shared" si="2"/>
        <v>2342451.4156474881</v>
      </c>
      <c r="O8" s="48">
        <f t="shared" si="2"/>
        <v>2301032.8248010688</v>
      </c>
      <c r="P8" s="48">
        <f t="shared" si="2"/>
        <v>2307956.6948857261</v>
      </c>
      <c r="Q8" s="48">
        <f t="shared" si="2"/>
        <v>2217057.343790323</v>
      </c>
      <c r="R8" s="48">
        <f t="shared" si="2"/>
        <v>2156670.5678894194</v>
      </c>
      <c r="S8" s="48">
        <f t="shared" si="2"/>
        <v>2083739.6791202123</v>
      </c>
      <c r="T8" s="48">
        <f t="shared" si="2"/>
        <v>2015222.126808716</v>
      </c>
      <c r="U8" s="48">
        <f t="shared" si="2"/>
        <v>1956526.3367074912</v>
      </c>
      <c r="V8" s="48">
        <f t="shared" si="2"/>
        <v>1899540.1327257196</v>
      </c>
      <c r="W8" s="48">
        <f t="shared" si="2"/>
        <v>1835304.4760634974</v>
      </c>
      <c r="X8" s="48">
        <f t="shared" si="2"/>
        <v>1771529.4170497078</v>
      </c>
      <c r="Y8" s="48">
        <f t="shared" si="2"/>
        <v>1713277.9661989438</v>
      </c>
      <c r="Z8" s="48">
        <f t="shared" si="2"/>
        <v>1674758.5202335718</v>
      </c>
      <c r="AA8" s="48">
        <f t="shared" si="2"/>
        <v>1645145.8941390684</v>
      </c>
      <c r="AB8" s="48">
        <f t="shared" si="2"/>
        <v>1612888.1315088905</v>
      </c>
      <c r="AC8" s="48">
        <f t="shared" si="2"/>
        <v>1556841.8257807824</v>
      </c>
      <c r="AD8" s="48">
        <f t="shared" si="2"/>
        <v>1486954.9434391428</v>
      </c>
      <c r="AE8" s="48">
        <f t="shared" si="2"/>
        <v>1420205.2945932597</v>
      </c>
      <c r="AF8" s="48">
        <f t="shared" si="2"/>
        <v>1357748.8476034987</v>
      </c>
      <c r="AG8" s="48">
        <f t="shared" si="2"/>
        <v>1282104.671957978</v>
      </c>
      <c r="AH8" s="48">
        <f t="shared" si="2"/>
        <v>1210674.8554843985</v>
      </c>
      <c r="AI8" s="48">
        <f t="shared" si="2"/>
        <v>1134653.0979235226</v>
      </c>
      <c r="AJ8" s="48">
        <f t="shared" si="2"/>
        <v>1062409.2677186541</v>
      </c>
      <c r="AK8" s="48">
        <f>AL8*(1+AK$5/100)</f>
        <v>1013749.3012582578</v>
      </c>
      <c r="AL8" s="48">
        <f>AM8*(1+AL$5/100)</f>
        <v>963640.02020746935</v>
      </c>
      <c r="AM8" s="53">
        <f>$L8</f>
        <v>885698.54798480636</v>
      </c>
      <c r="AN8" s="42"/>
      <c r="AO8" s="42"/>
      <c r="AP8" s="42"/>
      <c r="AQ8" s="42"/>
      <c r="AR8" s="42"/>
      <c r="AS8" s="42"/>
      <c r="AT8" s="42"/>
      <c r="AU8" s="42"/>
    </row>
    <row r="9" spans="2:47">
      <c r="C9" s="3548" t="s">
        <v>380</v>
      </c>
      <c r="D9" s="3549"/>
      <c r="E9" s="3550"/>
      <c r="F9" s="3551">
        <v>0</v>
      </c>
      <c r="G9" s="3552">
        <f t="shared" si="0"/>
        <v>0</v>
      </c>
      <c r="H9" s="3553"/>
      <c r="I9" s="3546"/>
      <c r="J9" s="42"/>
      <c r="K9" s="36" t="s">
        <v>866</v>
      </c>
      <c r="L9" s="47">
        <f t="shared" si="1"/>
        <v>0</v>
      </c>
      <c r="M9" s="62"/>
      <c r="N9" s="12"/>
      <c r="O9" s="12"/>
      <c r="P9" s="10"/>
      <c r="Q9" s="10"/>
      <c r="R9" s="10"/>
      <c r="S9" s="10"/>
      <c r="T9" s="10"/>
      <c r="U9" s="10"/>
      <c r="V9" s="10"/>
      <c r="W9" s="10"/>
      <c r="X9" s="10"/>
      <c r="Y9" s="10"/>
      <c r="Z9" s="10"/>
      <c r="AA9" s="10"/>
      <c r="AB9" s="10"/>
      <c r="AC9" s="10"/>
      <c r="AD9" s="10"/>
      <c r="AE9" s="10"/>
      <c r="AF9" s="10"/>
      <c r="AG9" s="10"/>
      <c r="AH9" s="48" t="e">
        <f>AI9*(1+#REF!/100)</f>
        <v>#REF!</v>
      </c>
      <c r="AI9" s="48" t="e">
        <f>AJ9*(1+#REF!/100)</f>
        <v>#REF!</v>
      </c>
      <c r="AJ9" s="48">
        <f>F1012</f>
        <v>0</v>
      </c>
      <c r="AK9" s="10"/>
      <c r="AL9" s="10"/>
      <c r="AM9" s="52"/>
    </row>
    <row r="10" spans="2:47" ht="15" thickBot="1">
      <c r="B10">
        <v>3</v>
      </c>
      <c r="C10" s="18" t="s">
        <v>863</v>
      </c>
      <c r="D10" s="451">
        <f>46034/12</f>
        <v>3836.1666666666665</v>
      </c>
      <c r="E10" s="452">
        <v>1985</v>
      </c>
      <c r="F10" s="453">
        <v>845842.63323436666</v>
      </c>
      <c r="G10" s="454">
        <f t="shared" si="0"/>
        <v>2308627.8362355786</v>
      </c>
      <c r="H10" s="455">
        <v>2</v>
      </c>
      <c r="I10" s="3547">
        <f>$B$185/D10</f>
        <v>0.29103910105152769</v>
      </c>
      <c r="J10" s="490">
        <v>2</v>
      </c>
      <c r="K10" s="36" t="s">
        <v>867</v>
      </c>
      <c r="L10" s="47">
        <f t="shared" si="1"/>
        <v>1040781.185255971</v>
      </c>
      <c r="M10" s="62">
        <f t="shared" ref="M10:AG10" si="3">N10*(1+M$5/100)</f>
        <v>2368197.2444854756</v>
      </c>
      <c r="N10" s="48">
        <f t="shared" si="3"/>
        <v>2294764.7717882516</v>
      </c>
      <c r="O10" s="48">
        <f t="shared" si="3"/>
        <v>2254189.3632497559</v>
      </c>
      <c r="P10" s="48">
        <f t="shared" si="3"/>
        <v>2260972.2800900261</v>
      </c>
      <c r="Q10" s="48">
        <f t="shared" si="3"/>
        <v>2171923.4198751454</v>
      </c>
      <c r="R10" s="48">
        <f t="shared" si="3"/>
        <v>2112765.9726411919</v>
      </c>
      <c r="S10" s="48">
        <f t="shared" si="3"/>
        <v>2041319.780329654</v>
      </c>
      <c r="T10" s="48">
        <f t="shared" si="3"/>
        <v>1974197.0796224894</v>
      </c>
      <c r="U10" s="48">
        <f t="shared" si="3"/>
        <v>1916696.193808242</v>
      </c>
      <c r="V10" s="48">
        <f t="shared" si="3"/>
        <v>1860870.0910759631</v>
      </c>
      <c r="W10" s="48">
        <f t="shared" si="3"/>
        <v>1797942.1169816069</v>
      </c>
      <c r="X10" s="48">
        <f t="shared" si="3"/>
        <v>1735465.3638818599</v>
      </c>
      <c r="Y10" s="48">
        <f t="shared" si="3"/>
        <v>1678399.7716458994</v>
      </c>
      <c r="Z10" s="48">
        <f t="shared" si="3"/>
        <v>1640664.488412414</v>
      </c>
      <c r="AA10" s="48">
        <f t="shared" si="3"/>
        <v>1611654.7037450038</v>
      </c>
      <c r="AB10" s="48">
        <f t="shared" si="3"/>
        <v>1580053.6311225528</v>
      </c>
      <c r="AC10" s="48">
        <f t="shared" si="3"/>
        <v>1525148.2925893366</v>
      </c>
      <c r="AD10" s="48">
        <f t="shared" si="3"/>
        <v>1456684.1380986979</v>
      </c>
      <c r="AE10" s="48">
        <f t="shared" si="3"/>
        <v>1391293.3506195778</v>
      </c>
      <c r="AF10" s="48">
        <f t="shared" si="3"/>
        <v>1330108.3657930954</v>
      </c>
      <c r="AG10" s="48">
        <f t="shared" si="3"/>
        <v>1256004.1225619409</v>
      </c>
      <c r="AH10" s="48">
        <f>AI10*(1+AH$5/100)</f>
        <v>1186028.4443455534</v>
      </c>
      <c r="AI10" s="48">
        <f>AJ10*(1+AI$5/100)</f>
        <v>1111554.3058533771</v>
      </c>
      <c r="AJ10" s="48">
        <f>$L10</f>
        <v>1040781.185255971</v>
      </c>
      <c r="AK10" s="10"/>
      <c r="AL10" s="10"/>
      <c r="AM10" s="52"/>
    </row>
    <row r="11" spans="2:47" ht="15" thickBot="1">
      <c r="B11" s="2055">
        <v>4</v>
      </c>
      <c r="C11" s="608" t="s">
        <v>864</v>
      </c>
      <c r="D11" s="617">
        <v>4440.5</v>
      </c>
      <c r="E11" s="618">
        <v>1988</v>
      </c>
      <c r="F11" s="619">
        <v>1059310.356850937</v>
      </c>
      <c r="G11" s="620">
        <f t="shared" si="0"/>
        <v>2410358.5880372473</v>
      </c>
      <c r="H11" s="621">
        <v>4</v>
      </c>
      <c r="I11" s="3546">
        <f>$B$187/D11</f>
        <v>0.26560734979221823</v>
      </c>
      <c r="J11" s="42"/>
      <c r="K11" s="36" t="s">
        <v>868</v>
      </c>
      <c r="L11" s="47">
        <f t="shared" si="1"/>
        <v>0</v>
      </c>
      <c r="M11" s="62"/>
      <c r="N11" s="12"/>
      <c r="O11" s="12"/>
      <c r="P11" s="10"/>
      <c r="Q11" s="10"/>
      <c r="R11" s="10"/>
      <c r="S11" s="10"/>
      <c r="T11" s="10"/>
      <c r="U11" s="10"/>
      <c r="V11" s="10"/>
      <c r="W11" s="10"/>
      <c r="X11" s="10"/>
      <c r="Y11" s="10"/>
      <c r="Z11" s="10"/>
      <c r="AA11" s="10"/>
      <c r="AB11" s="10"/>
      <c r="AC11" s="10"/>
      <c r="AD11" s="10"/>
      <c r="AE11" s="10"/>
      <c r="AF11" s="10"/>
      <c r="AG11" s="10"/>
      <c r="AH11" s="10"/>
      <c r="AI11" s="10"/>
      <c r="AJ11" s="10"/>
      <c r="AK11" s="10"/>
      <c r="AL11" s="10"/>
      <c r="AM11" s="52"/>
    </row>
    <row r="12" spans="2:47">
      <c r="B12">
        <v>5</v>
      </c>
      <c r="C12" s="605" t="s">
        <v>383</v>
      </c>
      <c r="D12" s="613">
        <v>3330.34</v>
      </c>
      <c r="E12" s="2050">
        <v>1988</v>
      </c>
      <c r="F12" s="614">
        <v>822139.78268003324</v>
      </c>
      <c r="G12" s="615">
        <f t="shared" si="0"/>
        <v>1870699.8123202026</v>
      </c>
      <c r="H12" s="616">
        <v>3</v>
      </c>
      <c r="I12" s="3547">
        <f>$B$186/D12</f>
        <v>0.27715495345897873</v>
      </c>
      <c r="J12" s="42"/>
      <c r="K12" s="36" t="s">
        <v>869</v>
      </c>
      <c r="L12" s="47">
        <f t="shared" si="1"/>
        <v>0</v>
      </c>
      <c r="M12" s="62"/>
      <c r="N12" s="12"/>
      <c r="O12" s="12"/>
      <c r="P12" s="10"/>
      <c r="Q12" s="10"/>
      <c r="R12" s="10"/>
      <c r="S12" s="10"/>
      <c r="T12" s="10"/>
      <c r="U12" s="10"/>
      <c r="V12" s="10"/>
      <c r="W12" s="10"/>
      <c r="X12" s="10"/>
      <c r="Y12" s="10"/>
      <c r="Z12" s="10"/>
      <c r="AA12" s="10"/>
      <c r="AB12" s="10"/>
      <c r="AC12" s="10"/>
      <c r="AD12" s="10"/>
      <c r="AE12" s="10"/>
      <c r="AF12" s="10"/>
      <c r="AG12" s="10"/>
      <c r="AH12" s="10"/>
      <c r="AI12" s="10"/>
      <c r="AJ12" s="10"/>
      <c r="AK12" s="10"/>
      <c r="AL12" s="10"/>
      <c r="AM12" s="52"/>
    </row>
    <row r="13" spans="2:47">
      <c r="B13">
        <v>6</v>
      </c>
      <c r="C13" s="36" t="s">
        <v>384</v>
      </c>
      <c r="D13" s="63">
        <v>3330.34</v>
      </c>
      <c r="E13" s="64">
        <v>1988</v>
      </c>
      <c r="F13" s="65">
        <v>847952.28954599553</v>
      </c>
      <c r="G13" s="77">
        <f t="shared" si="0"/>
        <v>1929433.6830888214</v>
      </c>
      <c r="H13" s="78">
        <v>3</v>
      </c>
      <c r="I13" s="3546">
        <f>$B$186/D13</f>
        <v>0.27715495345897873</v>
      </c>
      <c r="J13" s="42"/>
      <c r="K13" s="36" t="s">
        <v>380</v>
      </c>
      <c r="L13" s="47">
        <f t="shared" si="1"/>
        <v>0</v>
      </c>
      <c r="M13" s="62"/>
      <c r="N13" s="12"/>
      <c r="O13" s="12"/>
      <c r="P13" s="10"/>
      <c r="Q13" s="10"/>
      <c r="R13" s="10"/>
      <c r="S13" s="10"/>
      <c r="T13" s="10"/>
      <c r="U13" s="10"/>
      <c r="V13" s="10"/>
      <c r="W13" s="10"/>
      <c r="X13" s="10"/>
      <c r="Y13" s="10"/>
      <c r="Z13" s="10"/>
      <c r="AA13" s="10"/>
      <c r="AB13" s="10"/>
      <c r="AC13" s="10"/>
      <c r="AD13" s="10"/>
      <c r="AE13" s="10"/>
      <c r="AF13" s="10"/>
      <c r="AG13" s="10"/>
      <c r="AH13" s="10"/>
      <c r="AI13" s="10"/>
      <c r="AJ13" s="10"/>
      <c r="AK13" s="10"/>
      <c r="AL13" s="10"/>
      <c r="AM13" s="52"/>
    </row>
    <row r="14" spans="2:47">
      <c r="B14">
        <v>7</v>
      </c>
      <c r="C14" s="36" t="s">
        <v>385</v>
      </c>
      <c r="D14" s="63">
        <v>5551.78</v>
      </c>
      <c r="E14" s="64">
        <v>1988</v>
      </c>
      <c r="F14" s="65">
        <v>1293088.9951702666</v>
      </c>
      <c r="G14" s="77">
        <f t="shared" si="0"/>
        <v>2942299.3407433429</v>
      </c>
      <c r="H14" s="78">
        <v>5</v>
      </c>
      <c r="I14" s="3547"/>
      <c r="J14" s="490">
        <v>3</v>
      </c>
      <c r="K14" s="36" t="s">
        <v>863</v>
      </c>
      <c r="L14" s="47">
        <f t="shared" si="1"/>
        <v>845842.63323436666</v>
      </c>
      <c r="M14" s="62">
        <f t="shared" ref="M14:AB15" si="4">N14*(1+M$5/100)</f>
        <v>2308627.8362355786</v>
      </c>
      <c r="N14" s="48">
        <f t="shared" ref="N14:AB14" si="5">O14*(1+N$5/100)</f>
        <v>2237042.4769724598</v>
      </c>
      <c r="O14" s="48">
        <f t="shared" si="5"/>
        <v>2197487.6984012374</v>
      </c>
      <c r="P14" s="48">
        <f t="shared" si="5"/>
        <v>2204099.9983964264</v>
      </c>
      <c r="Q14" s="48">
        <f t="shared" si="5"/>
        <v>2117291.0647420045</v>
      </c>
      <c r="R14" s="48">
        <f t="shared" si="5"/>
        <v>2059621.6583093428</v>
      </c>
      <c r="S14" s="48">
        <f t="shared" si="5"/>
        <v>1989972.6167240029</v>
      </c>
      <c r="T14" s="48">
        <f t="shared" si="5"/>
        <v>1924538.3140464243</v>
      </c>
      <c r="U14" s="48">
        <f t="shared" si="5"/>
        <v>1868483.8000450721</v>
      </c>
      <c r="V14" s="48">
        <f t="shared" si="5"/>
        <v>1814061.9417913321</v>
      </c>
      <c r="W14" s="48">
        <f t="shared" si="5"/>
        <v>1752716.8519723017</v>
      </c>
      <c r="X14" s="48">
        <f t="shared" si="5"/>
        <v>1691811.6331778974</v>
      </c>
      <c r="Y14" s="48">
        <f t="shared" si="5"/>
        <v>1636181.4634215641</v>
      </c>
      <c r="Z14" s="48">
        <f t="shared" si="5"/>
        <v>1599395.3699135524</v>
      </c>
      <c r="AA14" s="48">
        <f t="shared" si="5"/>
        <v>1571115.2946105623</v>
      </c>
      <c r="AB14" s="48">
        <f t="shared" si="5"/>
        <v>1540309.1123632963</v>
      </c>
      <c r="AC14" s="48">
        <f t="shared" ref="AC14:AG15" si="6">AD14*(1+AC$5/100)</f>
        <v>1486784.8574935293</v>
      </c>
      <c r="AD14" s="48">
        <f t="shared" ref="AD14:AL14" si="7">AE14*(1+AD$5/100)</f>
        <v>1420042.8438333615</v>
      </c>
      <c r="AE14" s="48">
        <f t="shared" si="7"/>
        <v>1356296.8900032106</v>
      </c>
      <c r="AF14" s="48">
        <f t="shared" si="7"/>
        <v>1296650.9464657845</v>
      </c>
      <c r="AG14" s="48">
        <f t="shared" si="7"/>
        <v>1224410.7143208541</v>
      </c>
      <c r="AH14" s="48">
        <f t="shared" si="7"/>
        <v>1156195.1976589747</v>
      </c>
      <c r="AI14" s="48">
        <f t="shared" si="7"/>
        <v>1083594.3745632379</v>
      </c>
      <c r="AJ14" s="48">
        <f t="shared" si="7"/>
        <v>1014601.4743101478</v>
      </c>
      <c r="AK14" s="48">
        <f t="shared" si="7"/>
        <v>968131.17777685856</v>
      </c>
      <c r="AL14" s="48">
        <f t="shared" si="7"/>
        <v>920276.78495899099</v>
      </c>
      <c r="AM14" s="53">
        <f>$L14</f>
        <v>845842.63323436666</v>
      </c>
    </row>
    <row r="15" spans="2:47">
      <c r="B15">
        <v>8</v>
      </c>
      <c r="C15" s="36" t="s">
        <v>386</v>
      </c>
      <c r="D15" s="63">
        <v>5551.78</v>
      </c>
      <c r="E15" s="64">
        <v>1988</v>
      </c>
      <c r="F15" s="65">
        <v>1307550.5302140804</v>
      </c>
      <c r="G15" s="77">
        <f t="shared" si="0"/>
        <v>2975205.1694871308</v>
      </c>
      <c r="H15" s="78">
        <v>5</v>
      </c>
      <c r="I15" s="3546">
        <f>$B$188/D15</f>
        <v>0.26106626937112781</v>
      </c>
      <c r="J15" s="490">
        <v>4</v>
      </c>
      <c r="K15" s="36" t="s">
        <v>864</v>
      </c>
      <c r="L15" s="47">
        <f t="shared" si="1"/>
        <v>1059310.356850937</v>
      </c>
      <c r="M15" s="62">
        <f t="shared" si="4"/>
        <v>2410358.5880372473</v>
      </c>
      <c r="N15" s="48">
        <f t="shared" si="4"/>
        <v>2335618.7868577978</v>
      </c>
      <c r="O15" s="48">
        <f t="shared" si="4"/>
        <v>2294321.0087011764</v>
      </c>
      <c r="P15" s="48">
        <f t="shared" si="4"/>
        <v>2301224.6827494246</v>
      </c>
      <c r="Q15" s="48">
        <f t="shared" si="4"/>
        <v>2210590.473342387</v>
      </c>
      <c r="R15" s="48">
        <f t="shared" si="4"/>
        <v>2150379.8378816992</v>
      </c>
      <c r="S15" s="48">
        <f t="shared" si="4"/>
        <v>2077661.6791127529</v>
      </c>
      <c r="T15" s="48">
        <f t="shared" si="4"/>
        <v>2009343.9836680396</v>
      </c>
      <c r="U15" s="48">
        <f t="shared" si="4"/>
        <v>1950819.4016194558</v>
      </c>
      <c r="V15" s="48">
        <f t="shared" si="4"/>
        <v>1893999.4190480153</v>
      </c>
      <c r="W15" s="48">
        <f t="shared" si="4"/>
        <v>1829951.1295149908</v>
      </c>
      <c r="X15" s="48">
        <f t="shared" si="4"/>
        <v>1766362.094126439</v>
      </c>
      <c r="Y15" s="48">
        <f t="shared" si="4"/>
        <v>1708280.5552480067</v>
      </c>
      <c r="Z15" s="48">
        <f t="shared" si="4"/>
        <v>1669873.4655405737</v>
      </c>
      <c r="AA15" s="48">
        <f t="shared" si="4"/>
        <v>1640347.2156587169</v>
      </c>
      <c r="AB15" s="48">
        <f t="shared" si="4"/>
        <v>1608183.5447634479</v>
      </c>
      <c r="AC15" s="48">
        <f t="shared" si="6"/>
        <v>1552300.7188836369</v>
      </c>
      <c r="AD15" s="48">
        <f t="shared" si="6"/>
        <v>1482617.6875679437</v>
      </c>
      <c r="AE15" s="48">
        <f t="shared" si="6"/>
        <v>1416062.7388423532</v>
      </c>
      <c r="AF15" s="48">
        <f t="shared" si="6"/>
        <v>1353788.4692565517</v>
      </c>
      <c r="AG15" s="48">
        <f t="shared" si="6"/>
        <v>1278364.9379193124</v>
      </c>
      <c r="AH15" s="48">
        <f t="shared" ref="AH15:AI34" si="8">AI15*(1+AH$5/100)</f>
        <v>1207143.4730116264</v>
      </c>
      <c r="AI15" s="48">
        <f t="shared" si="8"/>
        <v>1131343.4611168008</v>
      </c>
      <c r="AJ15" s="48">
        <f t="shared" ref="AJ15:AJ46" si="9">$L15</f>
        <v>1059310.356850937</v>
      </c>
      <c r="AK15" s="10"/>
      <c r="AL15" s="10"/>
      <c r="AM15" s="52"/>
    </row>
    <row r="16" spans="2:47">
      <c r="B16">
        <v>9</v>
      </c>
      <c r="C16" s="36" t="s">
        <v>387</v>
      </c>
      <c r="D16" s="63">
        <v>11100.968999999999</v>
      </c>
      <c r="E16" s="64">
        <v>1988</v>
      </c>
      <c r="F16" s="65">
        <v>2532873.8289448628</v>
      </c>
      <c r="G16" s="77">
        <f t="shared" si="0"/>
        <v>5763310.2013285933</v>
      </c>
      <c r="H16" s="78">
        <v>10</v>
      </c>
      <c r="I16" s="3547">
        <f t="shared" ref="I16:I17" si="10">$B$189/D16</f>
        <v>0.24875371002384031</v>
      </c>
      <c r="J16" s="490">
        <v>5</v>
      </c>
      <c r="K16" s="36" t="s">
        <v>383</v>
      </c>
      <c r="L16" s="47">
        <f t="shared" si="1"/>
        <v>822139.78268003324</v>
      </c>
      <c r="M16" s="62">
        <f t="shared" ref="M16:M79" si="11">N16*(1+M$5/100)</f>
        <v>1870699.8123202026</v>
      </c>
      <c r="N16" s="48">
        <f t="shared" ref="N16:N79" si="12">O16*(1+N$5/100)</f>
        <v>1812693.6165893436</v>
      </c>
      <c r="O16" s="48">
        <f t="shared" ref="O16:O79" si="13">P16*(1+O$5/100)</f>
        <v>1780642.0595180192</v>
      </c>
      <c r="P16" s="48">
        <f t="shared" ref="P16:P79" si="14">Q16*(1+P$5/100)</f>
        <v>1786000.0596971104</v>
      </c>
      <c r="Q16" s="48">
        <f t="shared" ref="Q16:Q79" si="15">R16*(1+Q$5/100)</f>
        <v>1715658.078479453</v>
      </c>
      <c r="R16" s="48">
        <f t="shared" ref="R16:R79" si="16">S16*(1+R$5/100)</f>
        <v>1668928.0919060826</v>
      </c>
      <c r="S16" s="48">
        <f t="shared" ref="S16:S79" si="17">T16*(1+S$5/100)</f>
        <v>1612490.9100541861</v>
      </c>
      <c r="T16" s="48">
        <f t="shared" ref="T16:T79" si="18">U16*(1+T$5/100)</f>
        <v>1559468.9652361567</v>
      </c>
      <c r="U16" s="48">
        <f t="shared" ref="U16:U79" si="19">V16*(1+U$5/100)</f>
        <v>1514047.5390642297</v>
      </c>
      <c r="V16" s="48">
        <f t="shared" ref="V16:V79" si="20">W16*(1+V$5/100)</f>
        <v>1469949.0670526503</v>
      </c>
      <c r="W16" s="48">
        <f t="shared" ref="W16:W79" si="21">X16*(1+W$5/100)</f>
        <v>1420240.6444953145</v>
      </c>
      <c r="X16" s="48">
        <f t="shared" ref="X16:X79" si="22">Y16*(1+X$5/100)</f>
        <v>1370888.6529877551</v>
      </c>
      <c r="Y16" s="48">
        <f t="shared" ref="Y16:Y79" si="23">Z16*(1+Y$5/100)</f>
        <v>1325811.0763904788</v>
      </c>
      <c r="Z16" s="48">
        <f t="shared" ref="Z16:Z79" si="24">AA16*(1+Z$5/100)</f>
        <v>1296003.0072243195</v>
      </c>
      <c r="AA16" s="48">
        <f t="shared" ref="AA16:AA79" si="25">AB16*(1+AA$5/100)</f>
        <v>1273087.4334227107</v>
      </c>
      <c r="AB16" s="48">
        <f t="shared" ref="AB16:AB79" si="26">AC16*(1+AB$5/100)</f>
        <v>1248124.9347281477</v>
      </c>
      <c r="AC16" s="48">
        <f t="shared" ref="AC16:AC79" si="27">AD16*(1+AC$5/100)</f>
        <v>1204753.7980001424</v>
      </c>
      <c r="AD16" s="48">
        <f t="shared" ref="AD16:AD79" si="28">AE16*(1+AD$5/100)</f>
        <v>1150672.2043936413</v>
      </c>
      <c r="AE16" s="48">
        <f t="shared" ref="AE16:AE79" si="29">AF16*(1+AE$5/100)</f>
        <v>1099018.3423052926</v>
      </c>
      <c r="AF16" s="48">
        <f t="shared" ref="AF16:AF79" si="30">AG16*(1+AF$5/100)</f>
        <v>1050686.7517259012</v>
      </c>
      <c r="AG16" s="48">
        <f t="shared" ref="AG16:AG79" si="31">AH16*(1+AG$5/100)</f>
        <v>992149.90720103984</v>
      </c>
      <c r="AH16" s="48">
        <f t="shared" si="8"/>
        <v>936874.32219172793</v>
      </c>
      <c r="AI16" s="48">
        <f t="shared" si="8"/>
        <v>878045.28790227557</v>
      </c>
      <c r="AJ16" s="48">
        <f t="shared" si="9"/>
        <v>822139.78268003324</v>
      </c>
      <c r="AK16" s="10"/>
      <c r="AL16" s="10"/>
      <c r="AM16" s="52"/>
    </row>
    <row r="17" spans="2:39">
      <c r="B17">
        <v>10</v>
      </c>
      <c r="C17" s="36" t="s">
        <v>388</v>
      </c>
      <c r="D17" s="63">
        <v>11100.968999999999</v>
      </c>
      <c r="E17" s="64">
        <v>1988</v>
      </c>
      <c r="F17" s="65">
        <v>2520558.3224256248</v>
      </c>
      <c r="G17" s="77">
        <f t="shared" si="0"/>
        <v>5735287.4535921123</v>
      </c>
      <c r="H17" s="78">
        <v>10</v>
      </c>
      <c r="I17" s="3546">
        <f t="shared" si="10"/>
        <v>0.24875371002384031</v>
      </c>
      <c r="J17" s="490">
        <v>6</v>
      </c>
      <c r="K17" s="36" t="s">
        <v>384</v>
      </c>
      <c r="L17" s="47">
        <f t="shared" si="1"/>
        <v>847952.28954599553</v>
      </c>
      <c r="M17" s="62">
        <f t="shared" si="11"/>
        <v>1929433.6830888214</v>
      </c>
      <c r="N17" s="48">
        <f t="shared" si="12"/>
        <v>1869606.2820628113</v>
      </c>
      <c r="O17" s="48">
        <f t="shared" si="13"/>
        <v>1836548.410670738</v>
      </c>
      <c r="P17" s="48">
        <f t="shared" si="14"/>
        <v>1842074.6345744613</v>
      </c>
      <c r="Q17" s="48">
        <f t="shared" si="15"/>
        <v>1769524.144644055</v>
      </c>
      <c r="R17" s="48">
        <f t="shared" si="16"/>
        <v>1721326.9889533608</v>
      </c>
      <c r="S17" s="48">
        <f t="shared" si="17"/>
        <v>1663117.8637230541</v>
      </c>
      <c r="T17" s="48">
        <f t="shared" si="18"/>
        <v>1608431.2028269381</v>
      </c>
      <c r="U17" s="48">
        <f t="shared" si="19"/>
        <v>1561583.6920649884</v>
      </c>
      <c r="V17" s="48">
        <f t="shared" si="20"/>
        <v>1516100.6719077558</v>
      </c>
      <c r="W17" s="48">
        <f t="shared" si="21"/>
        <v>1464831.5670606338</v>
      </c>
      <c r="X17" s="48">
        <f t="shared" si="22"/>
        <v>1413930.0840353607</v>
      </c>
      <c r="Y17" s="48">
        <f t="shared" si="23"/>
        <v>1367437.2186028634</v>
      </c>
      <c r="Z17" s="48">
        <f t="shared" si="24"/>
        <v>1336693.2733165822</v>
      </c>
      <c r="AA17" s="48">
        <f t="shared" si="25"/>
        <v>1313058.2252618684</v>
      </c>
      <c r="AB17" s="48">
        <f t="shared" si="26"/>
        <v>1287311.9855508513</v>
      </c>
      <c r="AC17" s="48">
        <f t="shared" si="27"/>
        <v>1242579.1366320958</v>
      </c>
      <c r="AD17" s="48">
        <f t="shared" si="28"/>
        <v>1186799.5574327563</v>
      </c>
      <c r="AE17" s="48">
        <f t="shared" si="29"/>
        <v>1133523.9326005315</v>
      </c>
      <c r="AF17" s="48">
        <f t="shared" si="30"/>
        <v>1083674.8877634143</v>
      </c>
      <c r="AG17" s="48">
        <f t="shared" si="31"/>
        <v>1023300.1773025631</v>
      </c>
      <c r="AH17" s="48">
        <f t="shared" si="8"/>
        <v>966289.11926587648</v>
      </c>
      <c r="AI17" s="48">
        <f t="shared" si="8"/>
        <v>905613.04523512325</v>
      </c>
      <c r="AJ17" s="48">
        <f t="shared" si="9"/>
        <v>847952.28954599553</v>
      </c>
      <c r="AK17" s="10"/>
      <c r="AL17" s="10"/>
      <c r="AM17" s="52"/>
    </row>
    <row r="18" spans="2:39">
      <c r="B18">
        <v>11</v>
      </c>
      <c r="C18" s="36" t="s">
        <v>389</v>
      </c>
      <c r="D18" s="63">
        <v>3330.34</v>
      </c>
      <c r="E18" s="64">
        <v>1988</v>
      </c>
      <c r="F18" s="65">
        <v>653861.19682906021</v>
      </c>
      <c r="G18" s="77">
        <f t="shared" si="0"/>
        <v>1487798.1140922741</v>
      </c>
      <c r="H18" s="78">
        <v>3</v>
      </c>
      <c r="I18" s="3547">
        <f t="shared" ref="I18:I19" si="32">$B$186/D18</f>
        <v>0.27715495345897873</v>
      </c>
      <c r="J18" s="490">
        <v>7</v>
      </c>
      <c r="K18" s="36" t="s">
        <v>385</v>
      </c>
      <c r="L18" s="47">
        <f t="shared" si="1"/>
        <v>1293088.9951702666</v>
      </c>
      <c r="M18" s="62">
        <f t="shared" si="11"/>
        <v>2942299.3407433429</v>
      </c>
      <c r="N18" s="48">
        <f t="shared" si="12"/>
        <v>2851065.2526582778</v>
      </c>
      <c r="O18" s="48">
        <f t="shared" si="13"/>
        <v>2800653.4898411371</v>
      </c>
      <c r="P18" s="48">
        <f t="shared" si="14"/>
        <v>2809080.732037249</v>
      </c>
      <c r="Q18" s="48">
        <f t="shared" si="15"/>
        <v>2698444.5072403932</v>
      </c>
      <c r="R18" s="48">
        <f t="shared" si="16"/>
        <v>2624946.0187163358</v>
      </c>
      <c r="S18" s="48">
        <f t="shared" si="17"/>
        <v>2536179.7282283441</v>
      </c>
      <c r="T18" s="48">
        <f t="shared" si="18"/>
        <v>2452785.036971319</v>
      </c>
      <c r="U18" s="48">
        <f t="shared" si="19"/>
        <v>2381344.6960886591</v>
      </c>
      <c r="V18" s="48">
        <f t="shared" si="20"/>
        <v>2311985.1418336495</v>
      </c>
      <c r="W18" s="48">
        <f t="shared" si="21"/>
        <v>2233802.0694044926</v>
      </c>
      <c r="X18" s="48">
        <f t="shared" si="22"/>
        <v>2156179.6036722902</v>
      </c>
      <c r="Y18" s="48">
        <f t="shared" si="23"/>
        <v>2085280.0809209768</v>
      </c>
      <c r="Z18" s="48">
        <f t="shared" si="24"/>
        <v>2038396.9510468983</v>
      </c>
      <c r="AA18" s="48">
        <f t="shared" si="25"/>
        <v>2002354.5688083479</v>
      </c>
      <c r="AB18" s="48">
        <f t="shared" si="26"/>
        <v>1963092.714517988</v>
      </c>
      <c r="AC18" s="48">
        <f t="shared" si="27"/>
        <v>1894877.1375656254</v>
      </c>
      <c r="AD18" s="48">
        <f t="shared" si="28"/>
        <v>1809815.7951916193</v>
      </c>
      <c r="AE18" s="48">
        <f t="shared" si="29"/>
        <v>1728572.8702880796</v>
      </c>
      <c r="AF18" s="48">
        <f t="shared" si="30"/>
        <v>1652555.3253232117</v>
      </c>
      <c r="AG18" s="48">
        <f t="shared" si="31"/>
        <v>1560486.6150360829</v>
      </c>
      <c r="AH18" s="48">
        <f t="shared" si="8"/>
        <v>1473547.3229802484</v>
      </c>
      <c r="AI18" s="48">
        <f t="shared" si="8"/>
        <v>1381019.0468418449</v>
      </c>
      <c r="AJ18" s="48">
        <f t="shared" si="9"/>
        <v>1293088.9951702666</v>
      </c>
      <c r="AK18" s="10"/>
      <c r="AL18" s="10"/>
      <c r="AM18" s="52"/>
    </row>
    <row r="19" spans="2:39">
      <c r="B19">
        <v>12</v>
      </c>
      <c r="C19" s="36" t="s">
        <v>390</v>
      </c>
      <c r="D19" s="63">
        <v>3330.34</v>
      </c>
      <c r="E19" s="64">
        <v>1988</v>
      </c>
      <c r="F19" s="65">
        <v>683080.38375223882</v>
      </c>
      <c r="G19" s="77">
        <f t="shared" si="0"/>
        <v>1554283.5568902807</v>
      </c>
      <c r="H19" s="78">
        <v>3</v>
      </c>
      <c r="I19" s="3546">
        <f t="shared" si="32"/>
        <v>0.27715495345897873</v>
      </c>
      <c r="J19" s="490">
        <v>8</v>
      </c>
      <c r="K19" s="36" t="s">
        <v>386</v>
      </c>
      <c r="L19" s="47">
        <f t="shared" si="1"/>
        <v>1307550.5302140804</v>
      </c>
      <c r="M19" s="62">
        <f t="shared" si="11"/>
        <v>2975205.1694871308</v>
      </c>
      <c r="N19" s="48">
        <f t="shared" si="12"/>
        <v>2882950.7456270647</v>
      </c>
      <c r="O19" s="48">
        <f t="shared" si="13"/>
        <v>2831975.1921680397</v>
      </c>
      <c r="P19" s="48">
        <f t="shared" si="14"/>
        <v>2840496.6822146839</v>
      </c>
      <c r="Q19" s="48">
        <f t="shared" si="15"/>
        <v>2728623.1337316851</v>
      </c>
      <c r="R19" s="48">
        <f t="shared" si="16"/>
        <v>2654302.6592720672</v>
      </c>
      <c r="S19" s="48">
        <f t="shared" si="17"/>
        <v>2564543.6321469252</v>
      </c>
      <c r="T19" s="48">
        <f t="shared" si="18"/>
        <v>2480216.2786720744</v>
      </c>
      <c r="U19" s="48">
        <f t="shared" si="19"/>
        <v>2407976.9695845381</v>
      </c>
      <c r="V19" s="48">
        <f t="shared" si="20"/>
        <v>2337841.7180432407</v>
      </c>
      <c r="W19" s="48">
        <f t="shared" si="21"/>
        <v>2258784.2686408125</v>
      </c>
      <c r="X19" s="48">
        <f t="shared" si="22"/>
        <v>2180293.6955992398</v>
      </c>
      <c r="Y19" s="48">
        <f t="shared" si="23"/>
        <v>2108601.2529973304</v>
      </c>
      <c r="Z19" s="48">
        <f t="shared" si="24"/>
        <v>2061193.7956963151</v>
      </c>
      <c r="AA19" s="48">
        <f t="shared" si="25"/>
        <v>2024748.3258313509</v>
      </c>
      <c r="AB19" s="48">
        <f t="shared" si="26"/>
        <v>1985047.3782660302</v>
      </c>
      <c r="AC19" s="48">
        <f t="shared" si="27"/>
        <v>1916068.8979401835</v>
      </c>
      <c r="AD19" s="48">
        <f t="shared" si="28"/>
        <v>1830056.2540020857</v>
      </c>
      <c r="AE19" s="48">
        <f t="shared" si="29"/>
        <v>1747904.7316161278</v>
      </c>
      <c r="AF19" s="48">
        <f t="shared" si="30"/>
        <v>1671037.0283136975</v>
      </c>
      <c r="AG19" s="48">
        <f t="shared" si="31"/>
        <v>1577938.6480771459</v>
      </c>
      <c r="AH19" s="48">
        <f t="shared" si="8"/>
        <v>1490027.0520086365</v>
      </c>
      <c r="AI19" s="48">
        <f t="shared" si="8"/>
        <v>1396463.9662686379</v>
      </c>
      <c r="AJ19" s="48">
        <f t="shared" si="9"/>
        <v>1307550.5302140804</v>
      </c>
      <c r="AK19" s="10"/>
      <c r="AL19" s="10"/>
      <c r="AM19" s="52"/>
    </row>
    <row r="20" spans="2:39">
      <c r="C20" s="3560" t="s">
        <v>391</v>
      </c>
      <c r="D20" s="3561"/>
      <c r="E20" s="2153"/>
      <c r="F20" s="3562">
        <v>0</v>
      </c>
      <c r="G20" s="3563">
        <f t="shared" si="0"/>
        <v>0</v>
      </c>
      <c r="H20" s="3564"/>
      <c r="I20" s="3547"/>
      <c r="J20" s="490">
        <v>9</v>
      </c>
      <c r="K20" s="36" t="s">
        <v>387</v>
      </c>
      <c r="L20" s="47">
        <f t="shared" si="1"/>
        <v>2532873.8289448628</v>
      </c>
      <c r="M20" s="62">
        <f t="shared" si="11"/>
        <v>5763310.2013285933</v>
      </c>
      <c r="N20" s="48">
        <f t="shared" si="12"/>
        <v>5584602.9082641406</v>
      </c>
      <c r="O20" s="48">
        <f t="shared" si="13"/>
        <v>5485857.4737368766</v>
      </c>
      <c r="P20" s="48">
        <f t="shared" si="14"/>
        <v>5502364.5674391938</v>
      </c>
      <c r="Q20" s="48">
        <f t="shared" si="15"/>
        <v>5285652.8025352489</v>
      </c>
      <c r="R20" s="48">
        <f t="shared" si="16"/>
        <v>5141685.6055790354</v>
      </c>
      <c r="S20" s="48">
        <f t="shared" si="17"/>
        <v>4967812.1793034161</v>
      </c>
      <c r="T20" s="48">
        <f t="shared" si="18"/>
        <v>4804460.5215700343</v>
      </c>
      <c r="U20" s="48">
        <f t="shared" si="19"/>
        <v>4664524.7782233339</v>
      </c>
      <c r="V20" s="48">
        <f t="shared" si="20"/>
        <v>4528664.8332265373</v>
      </c>
      <c r="W20" s="48">
        <f t="shared" si="21"/>
        <v>4375521.5779966544</v>
      </c>
      <c r="X20" s="48">
        <f t="shared" si="22"/>
        <v>4223476.426637697</v>
      </c>
      <c r="Y20" s="48">
        <f t="shared" si="23"/>
        <v>4084600.0257617962</v>
      </c>
      <c r="Z20" s="48">
        <f t="shared" si="24"/>
        <v>3992766.3985941317</v>
      </c>
      <c r="AA20" s="48">
        <f t="shared" si="25"/>
        <v>3922167.3856523884</v>
      </c>
      <c r="AB20" s="48">
        <f t="shared" si="26"/>
        <v>3845262.1427964591</v>
      </c>
      <c r="AC20" s="48">
        <f t="shared" si="27"/>
        <v>3711642.9949772772</v>
      </c>
      <c r="AD20" s="48">
        <f t="shared" si="28"/>
        <v>3545026.7382782018</v>
      </c>
      <c r="AE20" s="48">
        <f t="shared" si="29"/>
        <v>3385889.9123956086</v>
      </c>
      <c r="AF20" s="48">
        <f t="shared" si="30"/>
        <v>3236988.4439728572</v>
      </c>
      <c r="AG20" s="48">
        <f t="shared" si="31"/>
        <v>3056646.3115891004</v>
      </c>
      <c r="AH20" s="48">
        <f t="shared" si="8"/>
        <v>2886351.5690170922</v>
      </c>
      <c r="AI20" s="48">
        <f t="shared" si="8"/>
        <v>2705109.2493131137</v>
      </c>
      <c r="AJ20" s="48">
        <f t="shared" si="9"/>
        <v>2532873.8289448628</v>
      </c>
      <c r="AK20" s="10"/>
      <c r="AL20" s="10"/>
      <c r="AM20" s="52"/>
    </row>
    <row r="21" spans="2:39" ht="15" thickBot="1">
      <c r="C21" s="3548" t="s">
        <v>392</v>
      </c>
      <c r="D21" s="3549"/>
      <c r="E21" s="3550"/>
      <c r="F21" s="3551">
        <v>0</v>
      </c>
      <c r="G21" s="3552">
        <f t="shared" si="0"/>
        <v>0</v>
      </c>
      <c r="H21" s="3553"/>
      <c r="I21" s="3546"/>
      <c r="J21" s="490">
        <v>10</v>
      </c>
      <c r="K21" s="36" t="s">
        <v>388</v>
      </c>
      <c r="L21" s="47">
        <f t="shared" si="1"/>
        <v>2520558.3224256248</v>
      </c>
      <c r="M21" s="62">
        <f t="shared" si="11"/>
        <v>5735287.4535921123</v>
      </c>
      <c r="N21" s="48">
        <f t="shared" si="12"/>
        <v>5557449.0829380928</v>
      </c>
      <c r="O21" s="48">
        <f t="shared" si="13"/>
        <v>5459183.774988303</v>
      </c>
      <c r="P21" s="48">
        <f t="shared" si="14"/>
        <v>5475610.6068087295</v>
      </c>
      <c r="Q21" s="48">
        <f t="shared" si="15"/>
        <v>5259952.5521697691</v>
      </c>
      <c r="R21" s="48">
        <f t="shared" si="16"/>
        <v>5116685.3620328493</v>
      </c>
      <c r="S21" s="48">
        <f t="shared" si="17"/>
        <v>4943657.3546211105</v>
      </c>
      <c r="T21" s="48">
        <f t="shared" si="18"/>
        <v>4781099.9561132593</v>
      </c>
      <c r="U21" s="48">
        <f t="shared" si="19"/>
        <v>4641844.6175856888</v>
      </c>
      <c r="V21" s="48">
        <f t="shared" si="20"/>
        <v>4506645.2597919311</v>
      </c>
      <c r="W21" s="48">
        <f t="shared" si="21"/>
        <v>4354246.6278182911</v>
      </c>
      <c r="X21" s="48">
        <f t="shared" si="22"/>
        <v>4202940.7604423659</v>
      </c>
      <c r="Y21" s="48">
        <f t="shared" si="23"/>
        <v>4064739.6135806246</v>
      </c>
      <c r="Z21" s="48">
        <f t="shared" si="24"/>
        <v>3973352.5059439149</v>
      </c>
      <c r="AA21" s="48">
        <f t="shared" si="25"/>
        <v>3903096.7641885215</v>
      </c>
      <c r="AB21" s="48">
        <f t="shared" si="26"/>
        <v>3826565.4550867858</v>
      </c>
      <c r="AC21" s="48">
        <f t="shared" si="27"/>
        <v>3693595.999118519</v>
      </c>
      <c r="AD21" s="48">
        <f t="shared" si="28"/>
        <v>3527789.87499381</v>
      </c>
      <c r="AE21" s="48">
        <f t="shared" si="29"/>
        <v>3369426.8147027795</v>
      </c>
      <c r="AF21" s="48">
        <f t="shared" si="30"/>
        <v>3221249.3448401331</v>
      </c>
      <c r="AG21" s="48">
        <f t="shared" si="31"/>
        <v>3041784.0838905885</v>
      </c>
      <c r="AH21" s="48">
        <f t="shared" si="8"/>
        <v>2872317.3596700556</v>
      </c>
      <c r="AI21" s="48">
        <f t="shared" si="8"/>
        <v>2691956.2883505677</v>
      </c>
      <c r="AJ21" s="48">
        <f t="shared" si="9"/>
        <v>2520558.3224256248</v>
      </c>
      <c r="AK21" s="10"/>
      <c r="AL21" s="10"/>
      <c r="AM21" s="52"/>
    </row>
    <row r="22" spans="2:39" ht="15" thickBot="1">
      <c r="B22" s="2055">
        <v>13</v>
      </c>
      <c r="C22" s="608" t="s">
        <v>393</v>
      </c>
      <c r="D22" s="617">
        <v>4440.5</v>
      </c>
      <c r="E22" s="618">
        <v>1988</v>
      </c>
      <c r="F22" s="619">
        <v>875117.91725265351</v>
      </c>
      <c r="G22" s="620">
        <f t="shared" si="0"/>
        <v>1991246.4498749573</v>
      </c>
      <c r="H22" s="621">
        <v>4</v>
      </c>
      <c r="I22" s="3547">
        <f>$B$187/D22</f>
        <v>0.26560734979221823</v>
      </c>
      <c r="J22" s="490">
        <v>11</v>
      </c>
      <c r="K22" s="36" t="s">
        <v>389</v>
      </c>
      <c r="L22" s="47">
        <f t="shared" si="1"/>
        <v>653861.19682906021</v>
      </c>
      <c r="M22" s="62">
        <f t="shared" si="11"/>
        <v>1487798.1140922741</v>
      </c>
      <c r="N22" s="48">
        <f t="shared" si="12"/>
        <v>1441664.8392366997</v>
      </c>
      <c r="O22" s="48">
        <f t="shared" si="13"/>
        <v>1416173.7124132609</v>
      </c>
      <c r="P22" s="48">
        <f t="shared" si="14"/>
        <v>1420435.017465658</v>
      </c>
      <c r="Q22" s="48">
        <f t="shared" si="15"/>
        <v>1364490.8909372317</v>
      </c>
      <c r="R22" s="48">
        <f t="shared" si="16"/>
        <v>1327325.7693941942</v>
      </c>
      <c r="S22" s="48">
        <f t="shared" si="17"/>
        <v>1282440.3569026033</v>
      </c>
      <c r="T22" s="48">
        <f t="shared" si="18"/>
        <v>1240271.1382036782</v>
      </c>
      <c r="U22" s="48">
        <f t="shared" si="19"/>
        <v>1204146.7361200759</v>
      </c>
      <c r="V22" s="48">
        <f t="shared" si="20"/>
        <v>1169074.5010874523</v>
      </c>
      <c r="W22" s="48">
        <f t="shared" si="21"/>
        <v>1129540.5807608236</v>
      </c>
      <c r="X22" s="48">
        <f t="shared" si="22"/>
        <v>1090290.1358695207</v>
      </c>
      <c r="Y22" s="48">
        <f t="shared" si="23"/>
        <v>1054439.2029685886</v>
      </c>
      <c r="Z22" s="48">
        <f t="shared" si="24"/>
        <v>1030732.358718073</v>
      </c>
      <c r="AA22" s="48">
        <f t="shared" si="25"/>
        <v>1012507.2286032151</v>
      </c>
      <c r="AB22" s="48">
        <f t="shared" si="26"/>
        <v>992654.14568942657</v>
      </c>
      <c r="AC22" s="48">
        <f t="shared" si="27"/>
        <v>958160.37228709122</v>
      </c>
      <c r="AD22" s="48">
        <f t="shared" si="28"/>
        <v>915148.39759989618</v>
      </c>
      <c r="AE22" s="48">
        <f t="shared" si="29"/>
        <v>874067.23744020658</v>
      </c>
      <c r="AF22" s="48">
        <f t="shared" si="30"/>
        <v>835628.33407285518</v>
      </c>
      <c r="AG22" s="48">
        <f t="shared" si="31"/>
        <v>789073.02556454693</v>
      </c>
      <c r="AH22" s="48">
        <f t="shared" si="8"/>
        <v>745111.4500137365</v>
      </c>
      <c r="AI22" s="48">
        <f t="shared" si="8"/>
        <v>698323.75821343635</v>
      </c>
      <c r="AJ22" s="48">
        <f t="shared" si="9"/>
        <v>653861.19682906021</v>
      </c>
      <c r="AK22" s="10"/>
      <c r="AL22" s="10"/>
      <c r="AM22" s="52"/>
    </row>
    <row r="23" spans="2:39">
      <c r="B23">
        <v>14</v>
      </c>
      <c r="C23" s="605" t="s">
        <v>394</v>
      </c>
      <c r="D23" s="613">
        <v>5551.78</v>
      </c>
      <c r="E23" s="2050">
        <v>1988</v>
      </c>
      <c r="F23" s="614">
        <v>1132924.6834012477</v>
      </c>
      <c r="G23" s="615">
        <f t="shared" si="0"/>
        <v>2577860.8908851058</v>
      </c>
      <c r="H23" s="616">
        <v>5</v>
      </c>
      <c r="I23" s="3546">
        <f>$B$188/D23</f>
        <v>0.26106626937112781</v>
      </c>
      <c r="J23" s="490">
        <v>12</v>
      </c>
      <c r="K23" s="36" t="s">
        <v>390</v>
      </c>
      <c r="L23" s="47">
        <f t="shared" si="1"/>
        <v>683080.38375223882</v>
      </c>
      <c r="M23" s="62">
        <f t="shared" si="11"/>
        <v>1554283.5568902807</v>
      </c>
      <c r="N23" s="48">
        <f t="shared" si="12"/>
        <v>1506088.7179169387</v>
      </c>
      <c r="O23" s="48">
        <f t="shared" si="13"/>
        <v>1479458.465537268</v>
      </c>
      <c r="P23" s="48">
        <f t="shared" si="14"/>
        <v>1483910.196125645</v>
      </c>
      <c r="Q23" s="48">
        <f t="shared" si="15"/>
        <v>1425466.086576028</v>
      </c>
      <c r="R23" s="48">
        <f t="shared" si="16"/>
        <v>1386640.1620389377</v>
      </c>
      <c r="S23" s="48">
        <f t="shared" si="17"/>
        <v>1339748.9488298916</v>
      </c>
      <c r="T23" s="48">
        <f t="shared" si="18"/>
        <v>1295695.3083461234</v>
      </c>
      <c r="U23" s="48">
        <f t="shared" si="19"/>
        <v>1257956.61004478</v>
      </c>
      <c r="V23" s="48">
        <f t="shared" si="20"/>
        <v>1221317.0971308544</v>
      </c>
      <c r="W23" s="48">
        <f t="shared" si="21"/>
        <v>1180016.5189670091</v>
      </c>
      <c r="X23" s="48">
        <f t="shared" si="22"/>
        <v>1139012.0839449896</v>
      </c>
      <c r="Y23" s="48">
        <f t="shared" si="23"/>
        <v>1101559.0753820015</v>
      </c>
      <c r="Z23" s="48">
        <f t="shared" si="24"/>
        <v>1076792.8400606075</v>
      </c>
      <c r="AA23" s="48">
        <f t="shared" si="25"/>
        <v>1057753.2810025613</v>
      </c>
      <c r="AB23" s="48">
        <f t="shared" si="26"/>
        <v>1037013.0205907464</v>
      </c>
      <c r="AC23" s="48">
        <f t="shared" si="27"/>
        <v>1000977.819103037</v>
      </c>
      <c r="AD23" s="48">
        <f t="shared" si="28"/>
        <v>956043.76227606216</v>
      </c>
      <c r="AE23" s="48">
        <f t="shared" si="29"/>
        <v>913126.80255593336</v>
      </c>
      <c r="AF23" s="48">
        <f t="shared" si="30"/>
        <v>872970.17452766094</v>
      </c>
      <c r="AG23" s="48">
        <f t="shared" si="31"/>
        <v>824334.44242460909</v>
      </c>
      <c r="AH23" s="48">
        <f t="shared" si="8"/>
        <v>778408.34978716634</v>
      </c>
      <c r="AI23" s="48">
        <f t="shared" si="8"/>
        <v>729529.84984739113</v>
      </c>
      <c r="AJ23" s="48">
        <f t="shared" si="9"/>
        <v>683080.38375223882</v>
      </c>
      <c r="AK23" s="10"/>
      <c r="AL23" s="10"/>
      <c r="AM23" s="52"/>
    </row>
    <row r="24" spans="2:39" ht="15" thickBot="1">
      <c r="B24">
        <v>15</v>
      </c>
      <c r="C24" s="450" t="s">
        <v>395</v>
      </c>
      <c r="D24" s="451">
        <v>11100.968999999999</v>
      </c>
      <c r="E24" s="452">
        <v>1988</v>
      </c>
      <c r="F24" s="453">
        <v>2355682.3856168184</v>
      </c>
      <c r="G24" s="454">
        <f t="shared" si="0"/>
        <v>5360128.1552074589</v>
      </c>
      <c r="H24" s="455">
        <v>10</v>
      </c>
      <c r="I24" s="3547">
        <f>$B$189/D24</f>
        <v>0.24875371002384031</v>
      </c>
      <c r="J24" s="42"/>
      <c r="K24" s="36" t="s">
        <v>391</v>
      </c>
      <c r="L24" s="47">
        <f t="shared" si="1"/>
        <v>0</v>
      </c>
      <c r="M24" s="62">
        <f t="shared" si="11"/>
        <v>0</v>
      </c>
      <c r="N24" s="48">
        <f t="shared" si="12"/>
        <v>0</v>
      </c>
      <c r="O24" s="48">
        <f t="shared" si="13"/>
        <v>0</v>
      </c>
      <c r="P24" s="48">
        <f t="shared" si="14"/>
        <v>0</v>
      </c>
      <c r="Q24" s="48">
        <f t="shared" si="15"/>
        <v>0</v>
      </c>
      <c r="R24" s="48">
        <f t="shared" si="16"/>
        <v>0</v>
      </c>
      <c r="S24" s="48">
        <f t="shared" si="17"/>
        <v>0</v>
      </c>
      <c r="T24" s="48">
        <f t="shared" si="18"/>
        <v>0</v>
      </c>
      <c r="U24" s="48">
        <f t="shared" si="19"/>
        <v>0</v>
      </c>
      <c r="V24" s="48">
        <f t="shared" si="20"/>
        <v>0</v>
      </c>
      <c r="W24" s="48">
        <f t="shared" si="21"/>
        <v>0</v>
      </c>
      <c r="X24" s="48">
        <f t="shared" si="22"/>
        <v>0</v>
      </c>
      <c r="Y24" s="48">
        <f t="shared" si="23"/>
        <v>0</v>
      </c>
      <c r="Z24" s="48">
        <f t="shared" si="24"/>
        <v>0</v>
      </c>
      <c r="AA24" s="48">
        <f t="shared" si="25"/>
        <v>0</v>
      </c>
      <c r="AB24" s="48">
        <f t="shared" si="26"/>
        <v>0</v>
      </c>
      <c r="AC24" s="48">
        <f t="shared" si="27"/>
        <v>0</v>
      </c>
      <c r="AD24" s="48">
        <f t="shared" si="28"/>
        <v>0</v>
      </c>
      <c r="AE24" s="48">
        <f t="shared" si="29"/>
        <v>0</v>
      </c>
      <c r="AF24" s="48">
        <f t="shared" si="30"/>
        <v>0</v>
      </c>
      <c r="AG24" s="48">
        <f t="shared" si="31"/>
        <v>0</v>
      </c>
      <c r="AH24" s="48">
        <f t="shared" si="8"/>
        <v>0</v>
      </c>
      <c r="AI24" s="48">
        <f t="shared" si="8"/>
        <v>0</v>
      </c>
      <c r="AJ24" s="48">
        <f t="shared" si="9"/>
        <v>0</v>
      </c>
      <c r="AK24" s="10"/>
      <c r="AL24" s="10"/>
      <c r="AM24" s="52"/>
    </row>
    <row r="25" spans="2:39" ht="15" thickBot="1">
      <c r="B25" s="2055">
        <v>16</v>
      </c>
      <c r="C25" s="608" t="s">
        <v>396</v>
      </c>
      <c r="D25" s="617">
        <v>4440.5</v>
      </c>
      <c r="E25" s="618">
        <v>1988</v>
      </c>
      <c r="F25" s="619">
        <v>897740.21858810238</v>
      </c>
      <c r="G25" s="620">
        <f t="shared" si="0"/>
        <v>2042721.3155292151</v>
      </c>
      <c r="H25" s="621">
        <v>4</v>
      </c>
      <c r="I25" s="3546">
        <f>$B$187/D25</f>
        <v>0.26560734979221823</v>
      </c>
      <c r="J25" s="42"/>
      <c r="K25" s="36" t="s">
        <v>392</v>
      </c>
      <c r="L25" s="47">
        <f t="shared" si="1"/>
        <v>0</v>
      </c>
      <c r="M25" s="62">
        <f t="shared" si="11"/>
        <v>0</v>
      </c>
      <c r="N25" s="48">
        <f t="shared" si="12"/>
        <v>0</v>
      </c>
      <c r="O25" s="48">
        <f t="shared" si="13"/>
        <v>0</v>
      </c>
      <c r="P25" s="48">
        <f t="shared" si="14"/>
        <v>0</v>
      </c>
      <c r="Q25" s="48">
        <f t="shared" si="15"/>
        <v>0</v>
      </c>
      <c r="R25" s="48">
        <f t="shared" si="16"/>
        <v>0</v>
      </c>
      <c r="S25" s="48">
        <f t="shared" si="17"/>
        <v>0</v>
      </c>
      <c r="T25" s="48">
        <f t="shared" si="18"/>
        <v>0</v>
      </c>
      <c r="U25" s="48">
        <f t="shared" si="19"/>
        <v>0</v>
      </c>
      <c r="V25" s="48">
        <f t="shared" si="20"/>
        <v>0</v>
      </c>
      <c r="W25" s="48">
        <f t="shared" si="21"/>
        <v>0</v>
      </c>
      <c r="X25" s="48">
        <f t="shared" si="22"/>
        <v>0</v>
      </c>
      <c r="Y25" s="48">
        <f t="shared" si="23"/>
        <v>0</v>
      </c>
      <c r="Z25" s="48">
        <f t="shared" si="24"/>
        <v>0</v>
      </c>
      <c r="AA25" s="48">
        <f t="shared" si="25"/>
        <v>0</v>
      </c>
      <c r="AB25" s="48">
        <f t="shared" si="26"/>
        <v>0</v>
      </c>
      <c r="AC25" s="48">
        <f t="shared" si="27"/>
        <v>0</v>
      </c>
      <c r="AD25" s="48">
        <f t="shared" si="28"/>
        <v>0</v>
      </c>
      <c r="AE25" s="48">
        <f t="shared" si="29"/>
        <v>0</v>
      </c>
      <c r="AF25" s="48">
        <f t="shared" si="30"/>
        <v>0</v>
      </c>
      <c r="AG25" s="48">
        <f t="shared" si="31"/>
        <v>0</v>
      </c>
      <c r="AH25" s="48">
        <f t="shared" si="8"/>
        <v>0</v>
      </c>
      <c r="AI25" s="48">
        <f t="shared" si="8"/>
        <v>0</v>
      </c>
      <c r="AJ25" s="48">
        <f t="shared" si="9"/>
        <v>0</v>
      </c>
      <c r="AK25" s="10"/>
      <c r="AL25" s="10"/>
      <c r="AM25" s="52"/>
    </row>
    <row r="26" spans="2:39">
      <c r="B26">
        <v>17</v>
      </c>
      <c r="C26" s="605" t="s">
        <v>397</v>
      </c>
      <c r="D26" s="613">
        <v>11100.968999999999</v>
      </c>
      <c r="E26" s="2050">
        <v>1988</v>
      </c>
      <c r="F26" s="614">
        <v>2348050.4944486315</v>
      </c>
      <c r="G26" s="615">
        <f t="shared" si="0"/>
        <v>5342762.5226511145</v>
      </c>
      <c r="H26" s="616">
        <v>10</v>
      </c>
      <c r="I26" s="3547">
        <f>$B$189/D26</f>
        <v>0.24875371002384031</v>
      </c>
      <c r="J26" s="490">
        <v>13</v>
      </c>
      <c r="K26" s="36" t="s">
        <v>393</v>
      </c>
      <c r="L26" s="47">
        <f t="shared" si="1"/>
        <v>875117.91725265351</v>
      </c>
      <c r="M26" s="62">
        <f t="shared" si="11"/>
        <v>1991246.4498749573</v>
      </c>
      <c r="N26" s="48">
        <f t="shared" si="12"/>
        <v>1929502.3739098422</v>
      </c>
      <c r="O26" s="48">
        <f t="shared" si="13"/>
        <v>1895385.4360607488</v>
      </c>
      <c r="P26" s="48">
        <f t="shared" si="14"/>
        <v>1901088.7021672504</v>
      </c>
      <c r="Q26" s="48">
        <f t="shared" si="15"/>
        <v>1826213.9309963982</v>
      </c>
      <c r="R26" s="48">
        <f t="shared" si="16"/>
        <v>1776472.6955217882</v>
      </c>
      <c r="S26" s="48">
        <f t="shared" si="17"/>
        <v>1716398.7396345781</v>
      </c>
      <c r="T26" s="48">
        <f t="shared" si="18"/>
        <v>1659960.0963583926</v>
      </c>
      <c r="U26" s="48">
        <f t="shared" si="19"/>
        <v>1611611.7440372743</v>
      </c>
      <c r="V26" s="48">
        <f t="shared" si="20"/>
        <v>1564671.5961526935</v>
      </c>
      <c r="W26" s="48">
        <f t="shared" si="21"/>
        <v>1511759.9962827957</v>
      </c>
      <c r="X26" s="48">
        <f t="shared" si="22"/>
        <v>1459227.7956397641</v>
      </c>
      <c r="Y26" s="48">
        <f t="shared" si="23"/>
        <v>1411245.450328592</v>
      </c>
      <c r="Z26" s="48">
        <f t="shared" si="24"/>
        <v>1379516.5692361605</v>
      </c>
      <c r="AA26" s="48">
        <f t="shared" si="25"/>
        <v>1355124.3312732421</v>
      </c>
      <c r="AB26" s="48">
        <f t="shared" si="26"/>
        <v>1328553.265954159</v>
      </c>
      <c r="AC26" s="48">
        <f t="shared" si="27"/>
        <v>1282387.3223495742</v>
      </c>
      <c r="AD26" s="48">
        <f t="shared" si="28"/>
        <v>1224820.7472297749</v>
      </c>
      <c r="AE26" s="48">
        <f t="shared" si="29"/>
        <v>1169838.3450141118</v>
      </c>
      <c r="AF26" s="48">
        <f t="shared" si="30"/>
        <v>1118392.2992486728</v>
      </c>
      <c r="AG26" s="48">
        <f t="shared" si="31"/>
        <v>1056083.379838218</v>
      </c>
      <c r="AH26" s="48">
        <f t="shared" si="8"/>
        <v>997245.87331276492</v>
      </c>
      <c r="AI26" s="48">
        <f t="shared" si="8"/>
        <v>934625.93562583404</v>
      </c>
      <c r="AJ26" s="48">
        <f t="shared" si="9"/>
        <v>875117.91725265351</v>
      </c>
      <c r="AK26" s="10"/>
      <c r="AL26" s="10"/>
      <c r="AM26" s="52"/>
    </row>
    <row r="27" spans="2:39" ht="15" thickBot="1">
      <c r="B27">
        <v>18</v>
      </c>
      <c r="C27" s="450" t="s">
        <v>398</v>
      </c>
      <c r="D27" s="451">
        <v>5551.78</v>
      </c>
      <c r="E27" s="452">
        <v>1988</v>
      </c>
      <c r="F27" s="453">
        <v>1150946.129784958</v>
      </c>
      <c r="G27" s="454">
        <f t="shared" si="0"/>
        <v>2618866.9546688688</v>
      </c>
      <c r="H27" s="455">
        <v>5</v>
      </c>
      <c r="I27" s="3546">
        <f>$B$188/D27</f>
        <v>0.26106626937112781</v>
      </c>
      <c r="J27" s="490">
        <v>14</v>
      </c>
      <c r="K27" s="36" t="s">
        <v>394</v>
      </c>
      <c r="L27" s="47">
        <f t="shared" si="1"/>
        <v>1132924.6834012477</v>
      </c>
      <c r="M27" s="62">
        <f t="shared" si="11"/>
        <v>2577860.8908851058</v>
      </c>
      <c r="N27" s="48">
        <f t="shared" si="12"/>
        <v>2497927.2198499087</v>
      </c>
      <c r="O27" s="48">
        <f t="shared" si="13"/>
        <v>2453759.5479861577</v>
      </c>
      <c r="P27" s="48">
        <f t="shared" si="14"/>
        <v>2461142.9769169083</v>
      </c>
      <c r="Q27" s="48">
        <f t="shared" si="15"/>
        <v>2364210.3524658103</v>
      </c>
      <c r="R27" s="48">
        <f t="shared" si="16"/>
        <v>2299815.5179628502</v>
      </c>
      <c r="S27" s="48">
        <f t="shared" si="17"/>
        <v>2222043.9787080679</v>
      </c>
      <c r="T27" s="48">
        <f t="shared" si="18"/>
        <v>2148978.7028124449</v>
      </c>
      <c r="U27" s="48">
        <f t="shared" si="19"/>
        <v>2086387.0901091699</v>
      </c>
      <c r="V27" s="48">
        <f t="shared" si="20"/>
        <v>2025618.5340865727</v>
      </c>
      <c r="W27" s="48">
        <f t="shared" si="21"/>
        <v>1957119.3566053845</v>
      </c>
      <c r="X27" s="48">
        <f t="shared" si="22"/>
        <v>1889111.3480746953</v>
      </c>
      <c r="Y27" s="48">
        <f t="shared" si="23"/>
        <v>1826993.5668033804</v>
      </c>
      <c r="Z27" s="48">
        <f t="shared" si="24"/>
        <v>1785917.4651059438</v>
      </c>
      <c r="AA27" s="48">
        <f t="shared" si="25"/>
        <v>1754339.356685603</v>
      </c>
      <c r="AB27" s="48">
        <f t="shared" si="26"/>
        <v>1719940.545770199</v>
      </c>
      <c r="AC27" s="48">
        <f t="shared" si="27"/>
        <v>1660174.2719789566</v>
      </c>
      <c r="AD27" s="48">
        <f t="shared" si="28"/>
        <v>1585648.779349529</v>
      </c>
      <c r="AE27" s="48">
        <f t="shared" si="29"/>
        <v>1514468.7481848416</v>
      </c>
      <c r="AF27" s="48">
        <f t="shared" si="30"/>
        <v>1447866.8720696382</v>
      </c>
      <c r="AG27" s="48">
        <f t="shared" si="31"/>
        <v>1367201.9566285536</v>
      </c>
      <c r="AH27" s="48">
        <f t="shared" si="8"/>
        <v>1291031.1205179922</v>
      </c>
      <c r="AI27" s="48">
        <f t="shared" si="8"/>
        <v>1209963.5618725326</v>
      </c>
      <c r="AJ27" s="48">
        <f t="shared" si="9"/>
        <v>1132924.6834012477</v>
      </c>
      <c r="AK27" s="10"/>
      <c r="AL27" s="10"/>
      <c r="AM27" s="52"/>
    </row>
    <row r="28" spans="2:39" ht="15" thickBot="1">
      <c r="B28" s="2055">
        <v>19</v>
      </c>
      <c r="C28" s="608" t="s">
        <v>399</v>
      </c>
      <c r="D28" s="617">
        <v>5550.5</v>
      </c>
      <c r="E28" s="618">
        <v>1988</v>
      </c>
      <c r="F28" s="619">
        <v>1142477.7498707823</v>
      </c>
      <c r="G28" s="620">
        <f t="shared" si="0"/>
        <v>2599597.9726175889</v>
      </c>
      <c r="H28" s="621">
        <v>4</v>
      </c>
      <c r="I28" s="3547">
        <f>$B$187/D28</f>
        <v>0.21249066512068193</v>
      </c>
      <c r="J28" s="490">
        <v>15</v>
      </c>
      <c r="K28" s="36" t="s">
        <v>395</v>
      </c>
      <c r="L28" s="47">
        <f t="shared" si="1"/>
        <v>2355682.3856168184</v>
      </c>
      <c r="M28" s="62">
        <f t="shared" si="11"/>
        <v>5360128.1552074589</v>
      </c>
      <c r="N28" s="48">
        <f t="shared" si="12"/>
        <v>5193922.6310149794</v>
      </c>
      <c r="O28" s="48">
        <f t="shared" si="13"/>
        <v>5102085.0992288599</v>
      </c>
      <c r="P28" s="48">
        <f t="shared" si="14"/>
        <v>5117437.4114632495</v>
      </c>
      <c r="Q28" s="48">
        <f t="shared" si="15"/>
        <v>4915886.0820972621</v>
      </c>
      <c r="R28" s="48">
        <f t="shared" si="16"/>
        <v>4781990.3522346905</v>
      </c>
      <c r="S28" s="48">
        <f t="shared" si="17"/>
        <v>4620280.5335600879</v>
      </c>
      <c r="T28" s="48">
        <f t="shared" si="18"/>
        <v>4468356.4154352881</v>
      </c>
      <c r="U28" s="48">
        <f t="shared" si="19"/>
        <v>4338210.1120730955</v>
      </c>
      <c r="V28" s="48">
        <f t="shared" si="20"/>
        <v>4211854.4777408689</v>
      </c>
      <c r="W28" s="48">
        <f t="shared" si="21"/>
        <v>4069424.6161747528</v>
      </c>
      <c r="X28" s="48">
        <f t="shared" si="22"/>
        <v>3928016.038778719</v>
      </c>
      <c r="Y28" s="48">
        <f t="shared" si="23"/>
        <v>3798854.9698053375</v>
      </c>
      <c r="Z28" s="48">
        <f t="shared" si="24"/>
        <v>3713445.7182847876</v>
      </c>
      <c r="AA28" s="48">
        <f t="shared" si="25"/>
        <v>3647785.5778828952</v>
      </c>
      <c r="AB28" s="48">
        <f t="shared" si="26"/>
        <v>3576260.3704734268</v>
      </c>
      <c r="AC28" s="48">
        <f t="shared" si="27"/>
        <v>3451988.7745882496</v>
      </c>
      <c r="AD28" s="48">
        <f t="shared" si="28"/>
        <v>3297028.4380021486</v>
      </c>
      <c r="AE28" s="48">
        <f t="shared" si="29"/>
        <v>3149024.2960861023</v>
      </c>
      <c r="AF28" s="48">
        <f t="shared" si="30"/>
        <v>3010539.4800058338</v>
      </c>
      <c r="AG28" s="48">
        <f t="shared" si="31"/>
        <v>2842813.4844247722</v>
      </c>
      <c r="AH28" s="48">
        <f t="shared" si="8"/>
        <v>2684431.9966239589</v>
      </c>
      <c r="AI28" s="48">
        <f t="shared" si="8"/>
        <v>2515868.7878387622</v>
      </c>
      <c r="AJ28" s="48">
        <f t="shared" si="9"/>
        <v>2355682.3856168184</v>
      </c>
      <c r="AK28" s="10"/>
      <c r="AL28" s="10"/>
      <c r="AM28" s="52"/>
    </row>
    <row r="29" spans="2:39">
      <c r="B29">
        <v>20</v>
      </c>
      <c r="C29" s="605" t="s">
        <v>400</v>
      </c>
      <c r="D29" s="613">
        <v>4440.34</v>
      </c>
      <c r="E29" s="2050">
        <v>1988</v>
      </c>
      <c r="F29" s="614">
        <v>755182.04681764101</v>
      </c>
      <c r="G29" s="615">
        <f t="shared" si="0"/>
        <v>1718343.9398153529</v>
      </c>
      <c r="H29" s="616">
        <v>3</v>
      </c>
      <c r="I29" s="3546">
        <f>$B$186/D29</f>
        <v>0.20787152058233724</v>
      </c>
      <c r="J29" s="490">
        <v>16</v>
      </c>
      <c r="K29" s="36" t="s">
        <v>396</v>
      </c>
      <c r="L29" s="47">
        <f t="shared" si="1"/>
        <v>897740.21858810238</v>
      </c>
      <c r="M29" s="62">
        <f t="shared" si="11"/>
        <v>2042721.3155292151</v>
      </c>
      <c r="N29" s="48">
        <f t="shared" si="12"/>
        <v>1979381.1196988518</v>
      </c>
      <c r="O29" s="48">
        <f t="shared" si="13"/>
        <v>1944382.2393898347</v>
      </c>
      <c r="P29" s="48">
        <f t="shared" si="14"/>
        <v>1950232.938204448</v>
      </c>
      <c r="Q29" s="48">
        <f t="shared" si="15"/>
        <v>1873422.6111474044</v>
      </c>
      <c r="R29" s="48">
        <f t="shared" si="16"/>
        <v>1822395.5361356074</v>
      </c>
      <c r="S29" s="48">
        <f t="shared" si="17"/>
        <v>1760768.6339474469</v>
      </c>
      <c r="T29" s="48">
        <f t="shared" si="18"/>
        <v>1702871.0192915348</v>
      </c>
      <c r="U29" s="48">
        <f t="shared" si="19"/>
        <v>1653272.834263626</v>
      </c>
      <c r="V29" s="48">
        <f t="shared" si="20"/>
        <v>1605119.2565666272</v>
      </c>
      <c r="W29" s="48">
        <f t="shared" si="21"/>
        <v>1550839.8614170311</v>
      </c>
      <c r="X29" s="48">
        <f t="shared" si="22"/>
        <v>1496949.6731824623</v>
      </c>
      <c r="Y29" s="48">
        <f t="shared" si="23"/>
        <v>1447726.9566561531</v>
      </c>
      <c r="Z29" s="48">
        <f t="shared" si="24"/>
        <v>1415177.8657440403</v>
      </c>
      <c r="AA29" s="48">
        <f t="shared" si="25"/>
        <v>1390155.0744047547</v>
      </c>
      <c r="AB29" s="48">
        <f t="shared" si="26"/>
        <v>1362897.1317693673</v>
      </c>
      <c r="AC29" s="48">
        <f t="shared" si="27"/>
        <v>1315537.7719781536</v>
      </c>
      <c r="AD29" s="48">
        <f t="shared" si="28"/>
        <v>1256483.067791933</v>
      </c>
      <c r="AE29" s="48">
        <f t="shared" si="29"/>
        <v>1200079.3388652655</v>
      </c>
      <c r="AF29" s="48">
        <f t="shared" si="30"/>
        <v>1147303.3832363915</v>
      </c>
      <c r="AG29" s="48">
        <f t="shared" si="31"/>
        <v>1083383.7424328532</v>
      </c>
      <c r="AH29" s="48">
        <f t="shared" si="8"/>
        <v>1023025.2525333836</v>
      </c>
      <c r="AI29" s="48">
        <f t="shared" si="8"/>
        <v>958786.55345209339</v>
      </c>
      <c r="AJ29" s="48">
        <f t="shared" si="9"/>
        <v>897740.21858810238</v>
      </c>
      <c r="AK29" s="10"/>
      <c r="AL29" s="10"/>
      <c r="AM29" s="52"/>
    </row>
    <row r="30" spans="2:39">
      <c r="C30" s="3560" t="s">
        <v>401</v>
      </c>
      <c r="D30" s="3561"/>
      <c r="E30" s="2153"/>
      <c r="F30" s="3562">
        <v>0</v>
      </c>
      <c r="G30" s="3563">
        <f t="shared" si="0"/>
        <v>0</v>
      </c>
      <c r="H30" s="3564"/>
      <c r="I30" s="3547"/>
      <c r="J30" s="490">
        <v>17</v>
      </c>
      <c r="K30" s="36" t="s">
        <v>397</v>
      </c>
      <c r="L30" s="47">
        <f t="shared" si="1"/>
        <v>2348050.4944486315</v>
      </c>
      <c r="M30" s="62">
        <f t="shared" si="11"/>
        <v>5342762.5226511145</v>
      </c>
      <c r="N30" s="48">
        <f t="shared" si="12"/>
        <v>5177095.4676851882</v>
      </c>
      <c r="O30" s="48">
        <f t="shared" si="13"/>
        <v>5085555.4692388885</v>
      </c>
      <c r="P30" s="48">
        <f t="shared" si="14"/>
        <v>5100858.0433689952</v>
      </c>
      <c r="Q30" s="48">
        <f t="shared" si="15"/>
        <v>4899959.6958395727</v>
      </c>
      <c r="R30" s="48">
        <f t="shared" si="16"/>
        <v>4766497.7585988063</v>
      </c>
      <c r="S30" s="48">
        <f t="shared" si="17"/>
        <v>4605311.8440568177</v>
      </c>
      <c r="T30" s="48">
        <f t="shared" si="18"/>
        <v>4453879.9265539823</v>
      </c>
      <c r="U30" s="48">
        <f t="shared" si="19"/>
        <v>4324155.2684990121</v>
      </c>
      <c r="V30" s="48">
        <f t="shared" si="20"/>
        <v>4198208.9985427298</v>
      </c>
      <c r="W30" s="48">
        <f t="shared" si="21"/>
        <v>4056240.5783021543</v>
      </c>
      <c r="X30" s="48">
        <f t="shared" si="22"/>
        <v>3915290.1334962877</v>
      </c>
      <c r="Y30" s="48">
        <f t="shared" si="23"/>
        <v>3786547.5178880924</v>
      </c>
      <c r="Z30" s="48">
        <f t="shared" si="24"/>
        <v>3701414.9734976469</v>
      </c>
      <c r="AA30" s="48">
        <f t="shared" si="25"/>
        <v>3635967.5574633074</v>
      </c>
      <c r="AB30" s="48">
        <f t="shared" si="26"/>
        <v>3564674.075944419</v>
      </c>
      <c r="AC30" s="48">
        <f t="shared" si="27"/>
        <v>3440805.092610443</v>
      </c>
      <c r="AD30" s="48">
        <f t="shared" si="28"/>
        <v>3286346.7933242056</v>
      </c>
      <c r="AE30" s="48">
        <f t="shared" si="29"/>
        <v>3138822.1521721161</v>
      </c>
      <c r="AF30" s="48">
        <f t="shared" si="30"/>
        <v>3000785.996340455</v>
      </c>
      <c r="AG30" s="48">
        <f t="shared" si="31"/>
        <v>2833603.3959777667</v>
      </c>
      <c r="AH30" s="48">
        <f t="shared" si="8"/>
        <v>2675735.0292519047</v>
      </c>
      <c r="AI30" s="48">
        <f t="shared" si="8"/>
        <v>2507717.9280711384</v>
      </c>
      <c r="AJ30" s="48">
        <f t="shared" si="9"/>
        <v>2348050.4944486315</v>
      </c>
      <c r="AK30" s="10"/>
      <c r="AL30" s="10"/>
      <c r="AM30" s="52"/>
    </row>
    <row r="31" spans="2:39">
      <c r="C31" s="3560" t="s">
        <v>402</v>
      </c>
      <c r="D31" s="3561"/>
      <c r="E31" s="2153"/>
      <c r="F31" s="3562">
        <v>0</v>
      </c>
      <c r="G31" s="3563">
        <f t="shared" si="0"/>
        <v>0</v>
      </c>
      <c r="H31" s="3564"/>
      <c r="I31" s="3546"/>
      <c r="J31" s="490">
        <v>18</v>
      </c>
      <c r="K31" s="36" t="s">
        <v>398</v>
      </c>
      <c r="L31" s="47">
        <f t="shared" si="1"/>
        <v>1150946.129784958</v>
      </c>
      <c r="M31" s="62">
        <f t="shared" si="11"/>
        <v>2618866.9546688688</v>
      </c>
      <c r="N31" s="48">
        <f t="shared" si="12"/>
        <v>2537661.7777799116</v>
      </c>
      <c r="O31" s="48">
        <f t="shared" si="13"/>
        <v>2492791.5302356696</v>
      </c>
      <c r="P31" s="48">
        <f t="shared" si="14"/>
        <v>2500292.4074580437</v>
      </c>
      <c r="Q31" s="48">
        <f t="shared" si="15"/>
        <v>2401817.8745994656</v>
      </c>
      <c r="R31" s="48">
        <f t="shared" si="16"/>
        <v>2336398.7106998693</v>
      </c>
      <c r="S31" s="48">
        <f t="shared" si="17"/>
        <v>2257390.0586472168</v>
      </c>
      <c r="T31" s="48">
        <f t="shared" si="18"/>
        <v>2183162.5325408285</v>
      </c>
      <c r="U31" s="48">
        <f t="shared" si="19"/>
        <v>2119575.2743114838</v>
      </c>
      <c r="V31" s="48">
        <f t="shared" si="20"/>
        <v>2057840.0721470716</v>
      </c>
      <c r="W31" s="48">
        <f t="shared" si="21"/>
        <v>1988251.2774367842</v>
      </c>
      <c r="X31" s="48">
        <f t="shared" si="22"/>
        <v>1919161.4647073206</v>
      </c>
      <c r="Y31" s="48">
        <f t="shared" si="23"/>
        <v>1856055.5751521476</v>
      </c>
      <c r="Z31" s="48">
        <f t="shared" si="24"/>
        <v>1814326.0754175442</v>
      </c>
      <c r="AA31" s="48">
        <f t="shared" si="25"/>
        <v>1782245.6536518116</v>
      </c>
      <c r="AB31" s="48">
        <f t="shared" si="26"/>
        <v>1747299.6604429525</v>
      </c>
      <c r="AC31" s="48">
        <f t="shared" si="27"/>
        <v>1686582.6838252437</v>
      </c>
      <c r="AD31" s="48">
        <f t="shared" si="28"/>
        <v>1610871.7133001373</v>
      </c>
      <c r="AE31" s="48">
        <f t="shared" si="29"/>
        <v>1538559.4205349928</v>
      </c>
      <c r="AF31" s="48">
        <f t="shared" si="30"/>
        <v>1470898.107586035</v>
      </c>
      <c r="AG31" s="48">
        <f t="shared" si="31"/>
        <v>1388950.0543777479</v>
      </c>
      <c r="AH31" s="48">
        <f t="shared" si="8"/>
        <v>1311567.5678732276</v>
      </c>
      <c r="AI31" s="48">
        <f t="shared" si="8"/>
        <v>1229210.4666103353</v>
      </c>
      <c r="AJ31" s="48">
        <f t="shared" si="9"/>
        <v>1150946.129784958</v>
      </c>
      <c r="AK31" s="10"/>
      <c r="AL31" s="10"/>
      <c r="AM31" s="52"/>
    </row>
    <row r="32" spans="2:39">
      <c r="C32" s="3560" t="s">
        <v>403</v>
      </c>
      <c r="D32" s="3561"/>
      <c r="E32" s="2153"/>
      <c r="F32" s="3562">
        <v>0</v>
      </c>
      <c r="G32" s="3563">
        <f t="shared" si="0"/>
        <v>0</v>
      </c>
      <c r="H32" s="3564"/>
      <c r="I32" s="3547"/>
      <c r="J32" s="490">
        <v>19</v>
      </c>
      <c r="K32" s="36" t="s">
        <v>399</v>
      </c>
      <c r="L32" s="47">
        <f t="shared" si="1"/>
        <v>1142477.7498707823</v>
      </c>
      <c r="M32" s="62">
        <f t="shared" si="11"/>
        <v>2599597.9726175889</v>
      </c>
      <c r="N32" s="48">
        <f t="shared" si="12"/>
        <v>2518990.2835441753</v>
      </c>
      <c r="O32" s="48">
        <f t="shared" si="13"/>
        <v>2474450.1802987969</v>
      </c>
      <c r="P32" s="48">
        <f t="shared" si="14"/>
        <v>2481895.8679025043</v>
      </c>
      <c r="Q32" s="48">
        <f t="shared" si="15"/>
        <v>2384145.8865537988</v>
      </c>
      <c r="R32" s="48">
        <f t="shared" si="16"/>
        <v>2319208.0608499986</v>
      </c>
      <c r="S32" s="48">
        <f t="shared" si="17"/>
        <v>2240780.7351207719</v>
      </c>
      <c r="T32" s="48">
        <f t="shared" si="18"/>
        <v>2167099.3569833385</v>
      </c>
      <c r="U32" s="48">
        <f t="shared" si="19"/>
        <v>2103979.958236251</v>
      </c>
      <c r="V32" s="48">
        <f t="shared" si="20"/>
        <v>2042698.9885788844</v>
      </c>
      <c r="W32" s="48">
        <f t="shared" si="21"/>
        <v>1973622.211187328</v>
      </c>
      <c r="X32" s="48">
        <f t="shared" si="22"/>
        <v>1905040.7443893126</v>
      </c>
      <c r="Y32" s="48">
        <f t="shared" si="23"/>
        <v>1842399.172523513</v>
      </c>
      <c r="Z32" s="48">
        <f t="shared" si="24"/>
        <v>1800976.7082341281</v>
      </c>
      <c r="AA32" s="48">
        <f t="shared" si="25"/>
        <v>1769132.3263596543</v>
      </c>
      <c r="AB32" s="48">
        <f t="shared" si="26"/>
        <v>1734443.4572153473</v>
      </c>
      <c r="AC32" s="48">
        <f t="shared" si="27"/>
        <v>1674173.2212503352</v>
      </c>
      <c r="AD32" s="48">
        <f t="shared" si="28"/>
        <v>1599019.3135151244</v>
      </c>
      <c r="AE32" s="48">
        <f t="shared" si="29"/>
        <v>1527239.0769007874</v>
      </c>
      <c r="AF32" s="48">
        <f t="shared" si="30"/>
        <v>1460075.5993315366</v>
      </c>
      <c r="AG32" s="48">
        <f t="shared" si="31"/>
        <v>1378730.4998409222</v>
      </c>
      <c r="AH32" s="48">
        <f t="shared" si="8"/>
        <v>1301917.3747317491</v>
      </c>
      <c r="AI32" s="48">
        <f t="shared" si="8"/>
        <v>1220166.2368619954</v>
      </c>
      <c r="AJ32" s="48">
        <f t="shared" si="9"/>
        <v>1142477.7498707823</v>
      </c>
      <c r="AK32" s="10"/>
      <c r="AL32" s="10"/>
      <c r="AM32" s="52"/>
    </row>
    <row r="33" spans="2:39">
      <c r="C33" s="3560" t="s">
        <v>404</v>
      </c>
      <c r="D33" s="3561"/>
      <c r="E33" s="2153"/>
      <c r="F33" s="3562">
        <v>0</v>
      </c>
      <c r="G33" s="3563">
        <f t="shared" si="0"/>
        <v>0</v>
      </c>
      <c r="H33" s="3564"/>
      <c r="I33" s="3546"/>
      <c r="J33" s="490">
        <v>20</v>
      </c>
      <c r="K33" s="36" t="s">
        <v>400</v>
      </c>
      <c r="L33" s="47">
        <f t="shared" si="1"/>
        <v>755182.04681764101</v>
      </c>
      <c r="M33" s="62">
        <f t="shared" si="11"/>
        <v>1718343.9398153529</v>
      </c>
      <c r="N33" s="48">
        <f t="shared" si="12"/>
        <v>1665061.9571854195</v>
      </c>
      <c r="O33" s="48">
        <f t="shared" si="13"/>
        <v>1635620.7830898031</v>
      </c>
      <c r="P33" s="48">
        <f t="shared" si="14"/>
        <v>1640542.4103207653</v>
      </c>
      <c r="Q33" s="48">
        <f t="shared" si="15"/>
        <v>1575929.3086654807</v>
      </c>
      <c r="R33" s="48">
        <f t="shared" si="16"/>
        <v>1533005.1640714793</v>
      </c>
      <c r="S33" s="48">
        <f t="shared" si="17"/>
        <v>1481164.409730898</v>
      </c>
      <c r="T33" s="48">
        <f t="shared" si="18"/>
        <v>1432460.7444205976</v>
      </c>
      <c r="U33" s="48">
        <f t="shared" si="19"/>
        <v>1390738.5868161141</v>
      </c>
      <c r="V33" s="48">
        <f t="shared" si="20"/>
        <v>1350231.6376855476</v>
      </c>
      <c r="W33" s="48">
        <f t="shared" si="21"/>
        <v>1304571.6306140558</v>
      </c>
      <c r="X33" s="48">
        <f t="shared" si="22"/>
        <v>1259239.0256892431</v>
      </c>
      <c r="Y33" s="48">
        <f t="shared" si="23"/>
        <v>1217832.7134325369</v>
      </c>
      <c r="Z33" s="48">
        <f t="shared" si="24"/>
        <v>1190452.310295735</v>
      </c>
      <c r="AA33" s="48">
        <f t="shared" si="25"/>
        <v>1169403.0553003291</v>
      </c>
      <c r="AB33" s="48">
        <f t="shared" si="26"/>
        <v>1146473.5836277737</v>
      </c>
      <c r="AC33" s="48">
        <f t="shared" si="27"/>
        <v>1106634.7332314418</v>
      </c>
      <c r="AD33" s="48">
        <f t="shared" si="28"/>
        <v>1056957.7203738701</v>
      </c>
      <c r="AE33" s="48">
        <f t="shared" si="29"/>
        <v>1009510.7166894653</v>
      </c>
      <c r="AF33" s="48">
        <f t="shared" si="30"/>
        <v>965115.40792491904</v>
      </c>
      <c r="AG33" s="48">
        <f t="shared" si="31"/>
        <v>911345.99426337972</v>
      </c>
      <c r="AH33" s="48">
        <f t="shared" si="8"/>
        <v>860572.23254332365</v>
      </c>
      <c r="AI33" s="48">
        <f t="shared" si="8"/>
        <v>806534.42600124062</v>
      </c>
      <c r="AJ33" s="48">
        <f t="shared" si="9"/>
        <v>755182.04681764101</v>
      </c>
      <c r="AK33" s="10"/>
      <c r="AL33" s="10"/>
      <c r="AM33" s="52"/>
    </row>
    <row r="34" spans="2:39">
      <c r="C34" s="3560" t="s">
        <v>405</v>
      </c>
      <c r="D34" s="3561"/>
      <c r="E34" s="2153"/>
      <c r="F34" s="3562">
        <v>0</v>
      </c>
      <c r="G34" s="3563">
        <f t="shared" si="0"/>
        <v>0</v>
      </c>
      <c r="H34" s="3564"/>
      <c r="I34" s="3547"/>
      <c r="J34" s="42"/>
      <c r="K34" s="36" t="s">
        <v>401</v>
      </c>
      <c r="L34" s="47">
        <f t="shared" si="1"/>
        <v>0</v>
      </c>
      <c r="M34" s="62">
        <f t="shared" si="11"/>
        <v>0</v>
      </c>
      <c r="N34" s="48">
        <f t="shared" si="12"/>
        <v>0</v>
      </c>
      <c r="O34" s="48">
        <f t="shared" si="13"/>
        <v>0</v>
      </c>
      <c r="P34" s="48">
        <f t="shared" si="14"/>
        <v>0</v>
      </c>
      <c r="Q34" s="48">
        <f t="shared" si="15"/>
        <v>0</v>
      </c>
      <c r="R34" s="48">
        <f t="shared" si="16"/>
        <v>0</v>
      </c>
      <c r="S34" s="48">
        <f t="shared" si="17"/>
        <v>0</v>
      </c>
      <c r="T34" s="48">
        <f t="shared" si="18"/>
        <v>0</v>
      </c>
      <c r="U34" s="48">
        <f t="shared" si="19"/>
        <v>0</v>
      </c>
      <c r="V34" s="48">
        <f t="shared" si="20"/>
        <v>0</v>
      </c>
      <c r="W34" s="48">
        <f t="shared" si="21"/>
        <v>0</v>
      </c>
      <c r="X34" s="48">
        <f t="shared" si="22"/>
        <v>0</v>
      </c>
      <c r="Y34" s="48">
        <f t="shared" si="23"/>
        <v>0</v>
      </c>
      <c r="Z34" s="48">
        <f t="shared" si="24"/>
        <v>0</v>
      </c>
      <c r="AA34" s="48">
        <f t="shared" si="25"/>
        <v>0</v>
      </c>
      <c r="AB34" s="48">
        <f t="shared" si="26"/>
        <v>0</v>
      </c>
      <c r="AC34" s="48">
        <f t="shared" si="27"/>
        <v>0</v>
      </c>
      <c r="AD34" s="48">
        <f t="shared" si="28"/>
        <v>0</v>
      </c>
      <c r="AE34" s="48">
        <f t="shared" si="29"/>
        <v>0</v>
      </c>
      <c r="AF34" s="48">
        <f t="shared" si="30"/>
        <v>0</v>
      </c>
      <c r="AG34" s="48">
        <f t="shared" si="31"/>
        <v>0</v>
      </c>
      <c r="AH34" s="48">
        <f t="shared" si="8"/>
        <v>0</v>
      </c>
      <c r="AI34" s="48">
        <f t="shared" si="8"/>
        <v>0</v>
      </c>
      <c r="AJ34" s="48">
        <f t="shared" si="9"/>
        <v>0</v>
      </c>
      <c r="AK34" s="10"/>
      <c r="AL34" s="10"/>
      <c r="AM34" s="52"/>
    </row>
    <row r="35" spans="2:39">
      <c r="C35" s="3560" t="s">
        <v>406</v>
      </c>
      <c r="D35" s="3561"/>
      <c r="E35" s="2153"/>
      <c r="F35" s="3562">
        <v>0</v>
      </c>
      <c r="G35" s="3563">
        <f t="shared" ref="G35:G66" si="33">M39</f>
        <v>0</v>
      </c>
      <c r="H35" s="3564"/>
      <c r="I35" s="3546"/>
      <c r="J35" s="42"/>
      <c r="K35" s="36" t="s">
        <v>402</v>
      </c>
      <c r="L35" s="47">
        <f t="shared" si="1"/>
        <v>0</v>
      </c>
      <c r="M35" s="62">
        <f t="shared" si="11"/>
        <v>0</v>
      </c>
      <c r="N35" s="48">
        <f t="shared" si="12"/>
        <v>0</v>
      </c>
      <c r="O35" s="48">
        <f t="shared" si="13"/>
        <v>0</v>
      </c>
      <c r="P35" s="48">
        <f t="shared" si="14"/>
        <v>0</v>
      </c>
      <c r="Q35" s="48">
        <f t="shared" si="15"/>
        <v>0</v>
      </c>
      <c r="R35" s="48">
        <f t="shared" si="16"/>
        <v>0</v>
      </c>
      <c r="S35" s="48">
        <f t="shared" si="17"/>
        <v>0</v>
      </c>
      <c r="T35" s="48">
        <f t="shared" si="18"/>
        <v>0</v>
      </c>
      <c r="U35" s="48">
        <f t="shared" si="19"/>
        <v>0</v>
      </c>
      <c r="V35" s="48">
        <f t="shared" si="20"/>
        <v>0</v>
      </c>
      <c r="W35" s="48">
        <f t="shared" si="21"/>
        <v>0</v>
      </c>
      <c r="X35" s="48">
        <f t="shared" si="22"/>
        <v>0</v>
      </c>
      <c r="Y35" s="48">
        <f t="shared" si="23"/>
        <v>0</v>
      </c>
      <c r="Z35" s="48">
        <f t="shared" si="24"/>
        <v>0</v>
      </c>
      <c r="AA35" s="48">
        <f t="shared" si="25"/>
        <v>0</v>
      </c>
      <c r="AB35" s="48">
        <f t="shared" si="26"/>
        <v>0</v>
      </c>
      <c r="AC35" s="48">
        <f t="shared" si="27"/>
        <v>0</v>
      </c>
      <c r="AD35" s="48">
        <f t="shared" si="28"/>
        <v>0</v>
      </c>
      <c r="AE35" s="48">
        <f t="shared" si="29"/>
        <v>0</v>
      </c>
      <c r="AF35" s="48">
        <f t="shared" si="30"/>
        <v>0</v>
      </c>
      <c r="AG35" s="48">
        <f t="shared" si="31"/>
        <v>0</v>
      </c>
      <c r="AH35" s="48">
        <f t="shared" ref="AH35:AI54" si="34">AI35*(1+AH$5/100)</f>
        <v>0</v>
      </c>
      <c r="AI35" s="48">
        <f t="shared" si="34"/>
        <v>0</v>
      </c>
      <c r="AJ35" s="48">
        <f t="shared" si="9"/>
        <v>0</v>
      </c>
      <c r="AK35" s="10"/>
      <c r="AL35" s="10"/>
      <c r="AM35" s="52"/>
    </row>
    <row r="36" spans="2:39">
      <c r="C36" s="3560" t="s">
        <v>407</v>
      </c>
      <c r="D36" s="3561"/>
      <c r="E36" s="2153"/>
      <c r="F36" s="3562">
        <v>0</v>
      </c>
      <c r="G36" s="3563">
        <f t="shared" si="33"/>
        <v>0</v>
      </c>
      <c r="H36" s="3564"/>
      <c r="I36" s="3547"/>
      <c r="J36" s="42"/>
      <c r="K36" s="36" t="s">
        <v>403</v>
      </c>
      <c r="L36" s="47">
        <f t="shared" si="1"/>
        <v>0</v>
      </c>
      <c r="M36" s="62">
        <f t="shared" si="11"/>
        <v>0</v>
      </c>
      <c r="N36" s="48">
        <f t="shared" si="12"/>
        <v>0</v>
      </c>
      <c r="O36" s="48">
        <f t="shared" si="13"/>
        <v>0</v>
      </c>
      <c r="P36" s="48">
        <f t="shared" si="14"/>
        <v>0</v>
      </c>
      <c r="Q36" s="48">
        <f t="shared" si="15"/>
        <v>0</v>
      </c>
      <c r="R36" s="48">
        <f t="shared" si="16"/>
        <v>0</v>
      </c>
      <c r="S36" s="48">
        <f t="shared" si="17"/>
        <v>0</v>
      </c>
      <c r="T36" s="48">
        <f t="shared" si="18"/>
        <v>0</v>
      </c>
      <c r="U36" s="48">
        <f t="shared" si="19"/>
        <v>0</v>
      </c>
      <c r="V36" s="48">
        <f t="shared" si="20"/>
        <v>0</v>
      </c>
      <c r="W36" s="48">
        <f t="shared" si="21"/>
        <v>0</v>
      </c>
      <c r="X36" s="48">
        <f t="shared" si="22"/>
        <v>0</v>
      </c>
      <c r="Y36" s="48">
        <f t="shared" si="23"/>
        <v>0</v>
      </c>
      <c r="Z36" s="48">
        <f t="shared" si="24"/>
        <v>0</v>
      </c>
      <c r="AA36" s="48">
        <f t="shared" si="25"/>
        <v>0</v>
      </c>
      <c r="AB36" s="48">
        <f t="shared" si="26"/>
        <v>0</v>
      </c>
      <c r="AC36" s="48">
        <f t="shared" si="27"/>
        <v>0</v>
      </c>
      <c r="AD36" s="48">
        <f t="shared" si="28"/>
        <v>0</v>
      </c>
      <c r="AE36" s="48">
        <f t="shared" si="29"/>
        <v>0</v>
      </c>
      <c r="AF36" s="48">
        <f t="shared" si="30"/>
        <v>0</v>
      </c>
      <c r="AG36" s="48">
        <f t="shared" si="31"/>
        <v>0</v>
      </c>
      <c r="AH36" s="48">
        <f t="shared" si="34"/>
        <v>0</v>
      </c>
      <c r="AI36" s="48">
        <f t="shared" si="34"/>
        <v>0</v>
      </c>
      <c r="AJ36" s="48">
        <f t="shared" si="9"/>
        <v>0</v>
      </c>
      <c r="AK36" s="10"/>
      <c r="AL36" s="10"/>
      <c r="AM36" s="52"/>
    </row>
    <row r="37" spans="2:39">
      <c r="C37" s="3560" t="s">
        <v>408</v>
      </c>
      <c r="D37" s="3561"/>
      <c r="E37" s="2153"/>
      <c r="F37" s="3562">
        <v>0</v>
      </c>
      <c r="G37" s="3563">
        <f t="shared" si="33"/>
        <v>0</v>
      </c>
      <c r="H37" s="3564"/>
      <c r="I37" s="3546"/>
      <c r="J37" s="42"/>
      <c r="K37" s="36" t="s">
        <v>404</v>
      </c>
      <c r="L37" s="47">
        <f t="shared" si="1"/>
        <v>0</v>
      </c>
      <c r="M37" s="62">
        <f t="shared" si="11"/>
        <v>0</v>
      </c>
      <c r="N37" s="48">
        <f t="shared" si="12"/>
        <v>0</v>
      </c>
      <c r="O37" s="48">
        <f t="shared" si="13"/>
        <v>0</v>
      </c>
      <c r="P37" s="48">
        <f t="shared" si="14"/>
        <v>0</v>
      </c>
      <c r="Q37" s="48">
        <f t="shared" si="15"/>
        <v>0</v>
      </c>
      <c r="R37" s="48">
        <f t="shared" si="16"/>
        <v>0</v>
      </c>
      <c r="S37" s="48">
        <f t="shared" si="17"/>
        <v>0</v>
      </c>
      <c r="T37" s="48">
        <f t="shared" si="18"/>
        <v>0</v>
      </c>
      <c r="U37" s="48">
        <f t="shared" si="19"/>
        <v>0</v>
      </c>
      <c r="V37" s="48">
        <f t="shared" si="20"/>
        <v>0</v>
      </c>
      <c r="W37" s="48">
        <f t="shared" si="21"/>
        <v>0</v>
      </c>
      <c r="X37" s="48">
        <f t="shared" si="22"/>
        <v>0</v>
      </c>
      <c r="Y37" s="48">
        <f t="shared" si="23"/>
        <v>0</v>
      </c>
      <c r="Z37" s="48">
        <f t="shared" si="24"/>
        <v>0</v>
      </c>
      <c r="AA37" s="48">
        <f t="shared" si="25"/>
        <v>0</v>
      </c>
      <c r="AB37" s="48">
        <f t="shared" si="26"/>
        <v>0</v>
      </c>
      <c r="AC37" s="48">
        <f t="shared" si="27"/>
        <v>0</v>
      </c>
      <c r="AD37" s="48">
        <f t="shared" si="28"/>
        <v>0</v>
      </c>
      <c r="AE37" s="48">
        <f t="shared" si="29"/>
        <v>0</v>
      </c>
      <c r="AF37" s="48">
        <f t="shared" si="30"/>
        <v>0</v>
      </c>
      <c r="AG37" s="48">
        <f t="shared" si="31"/>
        <v>0</v>
      </c>
      <c r="AH37" s="48">
        <f t="shared" si="34"/>
        <v>0</v>
      </c>
      <c r="AI37" s="48">
        <f t="shared" si="34"/>
        <v>0</v>
      </c>
      <c r="AJ37" s="48">
        <f t="shared" si="9"/>
        <v>0</v>
      </c>
      <c r="AK37" s="10"/>
      <c r="AL37" s="10"/>
      <c r="AM37" s="52"/>
    </row>
    <row r="38" spans="2:39">
      <c r="C38" s="3560" t="s">
        <v>409</v>
      </c>
      <c r="D38" s="3561"/>
      <c r="E38" s="2153"/>
      <c r="F38" s="3562">
        <v>0</v>
      </c>
      <c r="G38" s="3563">
        <f t="shared" si="33"/>
        <v>0</v>
      </c>
      <c r="H38" s="3564"/>
      <c r="I38" s="3547"/>
      <c r="J38" s="42"/>
      <c r="K38" s="36" t="s">
        <v>405</v>
      </c>
      <c r="L38" s="47">
        <f t="shared" si="1"/>
        <v>0</v>
      </c>
      <c r="M38" s="62">
        <f t="shared" si="11"/>
        <v>0</v>
      </c>
      <c r="N38" s="48">
        <f t="shared" si="12"/>
        <v>0</v>
      </c>
      <c r="O38" s="48">
        <f t="shared" si="13"/>
        <v>0</v>
      </c>
      <c r="P38" s="48">
        <f t="shared" si="14"/>
        <v>0</v>
      </c>
      <c r="Q38" s="48">
        <f t="shared" si="15"/>
        <v>0</v>
      </c>
      <c r="R38" s="48">
        <f t="shared" si="16"/>
        <v>0</v>
      </c>
      <c r="S38" s="48">
        <f t="shared" si="17"/>
        <v>0</v>
      </c>
      <c r="T38" s="48">
        <f t="shared" si="18"/>
        <v>0</v>
      </c>
      <c r="U38" s="48">
        <f t="shared" si="19"/>
        <v>0</v>
      </c>
      <c r="V38" s="48">
        <f t="shared" si="20"/>
        <v>0</v>
      </c>
      <c r="W38" s="48">
        <f t="shared" si="21"/>
        <v>0</v>
      </c>
      <c r="X38" s="48">
        <f t="shared" si="22"/>
        <v>0</v>
      </c>
      <c r="Y38" s="48">
        <f t="shared" si="23"/>
        <v>0</v>
      </c>
      <c r="Z38" s="48">
        <f t="shared" si="24"/>
        <v>0</v>
      </c>
      <c r="AA38" s="48">
        <f t="shared" si="25"/>
        <v>0</v>
      </c>
      <c r="AB38" s="48">
        <f t="shared" si="26"/>
        <v>0</v>
      </c>
      <c r="AC38" s="48">
        <f t="shared" si="27"/>
        <v>0</v>
      </c>
      <c r="AD38" s="48">
        <f t="shared" si="28"/>
        <v>0</v>
      </c>
      <c r="AE38" s="48">
        <f t="shared" si="29"/>
        <v>0</v>
      </c>
      <c r="AF38" s="48">
        <f t="shared" si="30"/>
        <v>0</v>
      </c>
      <c r="AG38" s="48">
        <f t="shared" si="31"/>
        <v>0</v>
      </c>
      <c r="AH38" s="48">
        <f t="shared" si="34"/>
        <v>0</v>
      </c>
      <c r="AI38" s="48">
        <f t="shared" si="34"/>
        <v>0</v>
      </c>
      <c r="AJ38" s="48">
        <f t="shared" si="9"/>
        <v>0</v>
      </c>
      <c r="AK38" s="10"/>
      <c r="AL38" s="10"/>
      <c r="AM38" s="52"/>
    </row>
    <row r="39" spans="2:39">
      <c r="C39" s="3560" t="s">
        <v>410</v>
      </c>
      <c r="D39" s="3561"/>
      <c r="E39" s="2153"/>
      <c r="F39" s="3562">
        <v>0</v>
      </c>
      <c r="G39" s="3563">
        <f t="shared" si="33"/>
        <v>0</v>
      </c>
      <c r="H39" s="3564"/>
      <c r="I39" s="3546"/>
      <c r="J39" s="42"/>
      <c r="K39" s="36" t="s">
        <v>406</v>
      </c>
      <c r="L39" s="47">
        <f t="shared" ref="L39:L70" si="35">F35</f>
        <v>0</v>
      </c>
      <c r="M39" s="62">
        <f t="shared" si="11"/>
        <v>0</v>
      </c>
      <c r="N39" s="48">
        <f t="shared" si="12"/>
        <v>0</v>
      </c>
      <c r="O39" s="48">
        <f t="shared" si="13"/>
        <v>0</v>
      </c>
      <c r="P39" s="48">
        <f t="shared" si="14"/>
        <v>0</v>
      </c>
      <c r="Q39" s="48">
        <f t="shared" si="15"/>
        <v>0</v>
      </c>
      <c r="R39" s="48">
        <f t="shared" si="16"/>
        <v>0</v>
      </c>
      <c r="S39" s="48">
        <f t="shared" si="17"/>
        <v>0</v>
      </c>
      <c r="T39" s="48">
        <f t="shared" si="18"/>
        <v>0</v>
      </c>
      <c r="U39" s="48">
        <f t="shared" si="19"/>
        <v>0</v>
      </c>
      <c r="V39" s="48">
        <f t="shared" si="20"/>
        <v>0</v>
      </c>
      <c r="W39" s="48">
        <f t="shared" si="21"/>
        <v>0</v>
      </c>
      <c r="X39" s="48">
        <f t="shared" si="22"/>
        <v>0</v>
      </c>
      <c r="Y39" s="48">
        <f t="shared" si="23"/>
        <v>0</v>
      </c>
      <c r="Z39" s="48">
        <f t="shared" si="24"/>
        <v>0</v>
      </c>
      <c r="AA39" s="48">
        <f t="shared" si="25"/>
        <v>0</v>
      </c>
      <c r="AB39" s="48">
        <f t="shared" si="26"/>
        <v>0</v>
      </c>
      <c r="AC39" s="48">
        <f t="shared" si="27"/>
        <v>0</v>
      </c>
      <c r="AD39" s="48">
        <f t="shared" si="28"/>
        <v>0</v>
      </c>
      <c r="AE39" s="48">
        <f t="shared" si="29"/>
        <v>0</v>
      </c>
      <c r="AF39" s="48">
        <f t="shared" si="30"/>
        <v>0</v>
      </c>
      <c r="AG39" s="48">
        <f t="shared" si="31"/>
        <v>0</v>
      </c>
      <c r="AH39" s="48">
        <f t="shared" si="34"/>
        <v>0</v>
      </c>
      <c r="AI39" s="48">
        <f t="shared" si="34"/>
        <v>0</v>
      </c>
      <c r="AJ39" s="48">
        <f t="shared" si="9"/>
        <v>0</v>
      </c>
      <c r="AK39" s="10"/>
      <c r="AL39" s="10"/>
      <c r="AM39" s="52"/>
    </row>
    <row r="40" spans="2:39">
      <c r="B40">
        <v>21</v>
      </c>
      <c r="C40" s="36" t="s">
        <v>411</v>
      </c>
      <c r="D40" s="63">
        <v>4440.34</v>
      </c>
      <c r="E40" s="64">
        <v>1988</v>
      </c>
      <c r="F40" s="65">
        <v>925158.366630606</v>
      </c>
      <c r="G40" s="77">
        <f t="shared" si="33"/>
        <v>2105108.6679938757</v>
      </c>
      <c r="H40" s="78">
        <v>3</v>
      </c>
      <c r="I40" s="3547">
        <f>$B$186/D40</f>
        <v>0.20787152058233724</v>
      </c>
      <c r="J40" s="42"/>
      <c r="K40" s="36" t="s">
        <v>407</v>
      </c>
      <c r="L40" s="47">
        <f t="shared" si="35"/>
        <v>0</v>
      </c>
      <c r="M40" s="62">
        <f t="shared" si="11"/>
        <v>0</v>
      </c>
      <c r="N40" s="48">
        <f t="shared" si="12"/>
        <v>0</v>
      </c>
      <c r="O40" s="48">
        <f t="shared" si="13"/>
        <v>0</v>
      </c>
      <c r="P40" s="48">
        <f t="shared" si="14"/>
        <v>0</v>
      </c>
      <c r="Q40" s="48">
        <f t="shared" si="15"/>
        <v>0</v>
      </c>
      <c r="R40" s="48">
        <f t="shared" si="16"/>
        <v>0</v>
      </c>
      <c r="S40" s="48">
        <f t="shared" si="17"/>
        <v>0</v>
      </c>
      <c r="T40" s="48">
        <f t="shared" si="18"/>
        <v>0</v>
      </c>
      <c r="U40" s="48">
        <f t="shared" si="19"/>
        <v>0</v>
      </c>
      <c r="V40" s="48">
        <f t="shared" si="20"/>
        <v>0</v>
      </c>
      <c r="W40" s="48">
        <f t="shared" si="21"/>
        <v>0</v>
      </c>
      <c r="X40" s="48">
        <f t="shared" si="22"/>
        <v>0</v>
      </c>
      <c r="Y40" s="48">
        <f t="shared" si="23"/>
        <v>0</v>
      </c>
      <c r="Z40" s="48">
        <f t="shared" si="24"/>
        <v>0</v>
      </c>
      <c r="AA40" s="48">
        <f t="shared" si="25"/>
        <v>0</v>
      </c>
      <c r="AB40" s="48">
        <f t="shared" si="26"/>
        <v>0</v>
      </c>
      <c r="AC40" s="48">
        <f t="shared" si="27"/>
        <v>0</v>
      </c>
      <c r="AD40" s="48">
        <f t="shared" si="28"/>
        <v>0</v>
      </c>
      <c r="AE40" s="48">
        <f t="shared" si="29"/>
        <v>0</v>
      </c>
      <c r="AF40" s="48">
        <f t="shared" si="30"/>
        <v>0</v>
      </c>
      <c r="AG40" s="48">
        <f t="shared" si="31"/>
        <v>0</v>
      </c>
      <c r="AH40" s="48">
        <f t="shared" si="34"/>
        <v>0</v>
      </c>
      <c r="AI40" s="48">
        <f t="shared" si="34"/>
        <v>0</v>
      </c>
      <c r="AJ40" s="48">
        <f t="shared" si="9"/>
        <v>0</v>
      </c>
      <c r="AK40" s="10"/>
      <c r="AL40" s="10"/>
      <c r="AM40" s="52"/>
    </row>
    <row r="41" spans="2:39">
      <c r="B41">
        <v>22</v>
      </c>
      <c r="C41" s="36" t="s">
        <v>412</v>
      </c>
      <c r="D41" s="63">
        <v>12210.968999999999</v>
      </c>
      <c r="E41" s="64">
        <v>1988</v>
      </c>
      <c r="F41" s="65">
        <v>2457789.0478724167</v>
      </c>
      <c r="G41" s="77">
        <f t="shared" si="33"/>
        <v>5592462.0209833365</v>
      </c>
      <c r="H41" s="78">
        <v>10</v>
      </c>
      <c r="I41" s="3546">
        <f>$B$189/D41</f>
        <v>0.22614153091451142</v>
      </c>
      <c r="J41" s="42"/>
      <c r="K41" s="36" t="s">
        <v>408</v>
      </c>
      <c r="L41" s="47">
        <f t="shared" si="35"/>
        <v>0</v>
      </c>
      <c r="M41" s="62">
        <f t="shared" si="11"/>
        <v>0</v>
      </c>
      <c r="N41" s="48">
        <f t="shared" si="12"/>
        <v>0</v>
      </c>
      <c r="O41" s="48">
        <f t="shared" si="13"/>
        <v>0</v>
      </c>
      <c r="P41" s="48">
        <f t="shared" si="14"/>
        <v>0</v>
      </c>
      <c r="Q41" s="48">
        <f t="shared" si="15"/>
        <v>0</v>
      </c>
      <c r="R41" s="48">
        <f t="shared" si="16"/>
        <v>0</v>
      </c>
      <c r="S41" s="48">
        <f t="shared" si="17"/>
        <v>0</v>
      </c>
      <c r="T41" s="48">
        <f t="shared" si="18"/>
        <v>0</v>
      </c>
      <c r="U41" s="48">
        <f t="shared" si="19"/>
        <v>0</v>
      </c>
      <c r="V41" s="48">
        <f t="shared" si="20"/>
        <v>0</v>
      </c>
      <c r="W41" s="48">
        <f t="shared" si="21"/>
        <v>0</v>
      </c>
      <c r="X41" s="48">
        <f t="shared" si="22"/>
        <v>0</v>
      </c>
      <c r="Y41" s="48">
        <f t="shared" si="23"/>
        <v>0</v>
      </c>
      <c r="Z41" s="48">
        <f t="shared" si="24"/>
        <v>0</v>
      </c>
      <c r="AA41" s="48">
        <f t="shared" si="25"/>
        <v>0</v>
      </c>
      <c r="AB41" s="48">
        <f t="shared" si="26"/>
        <v>0</v>
      </c>
      <c r="AC41" s="48">
        <f t="shared" si="27"/>
        <v>0</v>
      </c>
      <c r="AD41" s="48">
        <f t="shared" si="28"/>
        <v>0</v>
      </c>
      <c r="AE41" s="48">
        <f t="shared" si="29"/>
        <v>0</v>
      </c>
      <c r="AF41" s="48">
        <f t="shared" si="30"/>
        <v>0</v>
      </c>
      <c r="AG41" s="48">
        <f t="shared" si="31"/>
        <v>0</v>
      </c>
      <c r="AH41" s="48">
        <f t="shared" si="34"/>
        <v>0</v>
      </c>
      <c r="AI41" s="48">
        <f t="shared" si="34"/>
        <v>0</v>
      </c>
      <c r="AJ41" s="48">
        <f t="shared" si="9"/>
        <v>0</v>
      </c>
      <c r="AK41" s="10"/>
      <c r="AL41" s="10"/>
      <c r="AM41" s="52"/>
    </row>
    <row r="42" spans="2:39" ht="15" thickBot="1">
      <c r="B42">
        <v>23</v>
      </c>
      <c r="C42" s="450" t="s">
        <v>413</v>
      </c>
      <c r="D42" s="451">
        <v>6661.78</v>
      </c>
      <c r="E42" s="452">
        <v>1988</v>
      </c>
      <c r="F42" s="453">
        <v>1238646.8171961585</v>
      </c>
      <c r="G42" s="454">
        <f t="shared" si="33"/>
        <v>2818421.4135781219</v>
      </c>
      <c r="H42" s="455">
        <v>5</v>
      </c>
      <c r="I42" s="3547">
        <f>$B$188/D42</f>
        <v>0.21756685044676347</v>
      </c>
      <c r="J42" s="42"/>
      <c r="K42" s="36" t="s">
        <v>409</v>
      </c>
      <c r="L42" s="47">
        <f t="shared" si="35"/>
        <v>0</v>
      </c>
      <c r="M42" s="62">
        <f t="shared" si="11"/>
        <v>0</v>
      </c>
      <c r="N42" s="48">
        <f t="shared" si="12"/>
        <v>0</v>
      </c>
      <c r="O42" s="48">
        <f t="shared" si="13"/>
        <v>0</v>
      </c>
      <c r="P42" s="48">
        <f t="shared" si="14"/>
        <v>0</v>
      </c>
      <c r="Q42" s="48">
        <f t="shared" si="15"/>
        <v>0</v>
      </c>
      <c r="R42" s="48">
        <f t="shared" si="16"/>
        <v>0</v>
      </c>
      <c r="S42" s="48">
        <f t="shared" si="17"/>
        <v>0</v>
      </c>
      <c r="T42" s="48">
        <f t="shared" si="18"/>
        <v>0</v>
      </c>
      <c r="U42" s="48">
        <f t="shared" si="19"/>
        <v>0</v>
      </c>
      <c r="V42" s="48">
        <f t="shared" si="20"/>
        <v>0</v>
      </c>
      <c r="W42" s="48">
        <f t="shared" si="21"/>
        <v>0</v>
      </c>
      <c r="X42" s="48">
        <f t="shared" si="22"/>
        <v>0</v>
      </c>
      <c r="Y42" s="48">
        <f t="shared" si="23"/>
        <v>0</v>
      </c>
      <c r="Z42" s="48">
        <f t="shared" si="24"/>
        <v>0</v>
      </c>
      <c r="AA42" s="48">
        <f t="shared" si="25"/>
        <v>0</v>
      </c>
      <c r="AB42" s="48">
        <f t="shared" si="26"/>
        <v>0</v>
      </c>
      <c r="AC42" s="48">
        <f t="shared" si="27"/>
        <v>0</v>
      </c>
      <c r="AD42" s="48">
        <f t="shared" si="28"/>
        <v>0</v>
      </c>
      <c r="AE42" s="48">
        <f t="shared" si="29"/>
        <v>0</v>
      </c>
      <c r="AF42" s="48">
        <f t="shared" si="30"/>
        <v>0</v>
      </c>
      <c r="AG42" s="48">
        <f t="shared" si="31"/>
        <v>0</v>
      </c>
      <c r="AH42" s="48">
        <f t="shared" si="34"/>
        <v>0</v>
      </c>
      <c r="AI42" s="48">
        <f t="shared" si="34"/>
        <v>0</v>
      </c>
      <c r="AJ42" s="48">
        <f t="shared" si="9"/>
        <v>0</v>
      </c>
      <c r="AK42" s="10"/>
      <c r="AL42" s="10"/>
      <c r="AM42" s="52"/>
    </row>
    <row r="43" spans="2:39" ht="15" thickBot="1">
      <c r="B43" s="2055">
        <v>24</v>
      </c>
      <c r="C43" s="608" t="s">
        <v>414</v>
      </c>
      <c r="D43" s="617">
        <v>5550.5</v>
      </c>
      <c r="E43" s="618">
        <v>1988</v>
      </c>
      <c r="F43" s="619">
        <v>977226.39549000538</v>
      </c>
      <c r="G43" s="620">
        <f t="shared" si="33"/>
        <v>2223584.4477422331</v>
      </c>
      <c r="H43" s="621">
        <v>4</v>
      </c>
      <c r="I43" s="3546">
        <f>$B$187/D43</f>
        <v>0.21249066512068193</v>
      </c>
      <c r="J43" s="42"/>
      <c r="K43" s="36" t="s">
        <v>410</v>
      </c>
      <c r="L43" s="47">
        <f t="shared" si="35"/>
        <v>0</v>
      </c>
      <c r="M43" s="62">
        <f t="shared" si="11"/>
        <v>0</v>
      </c>
      <c r="N43" s="48">
        <f t="shared" si="1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c r="X43" s="48">
        <f t="shared" si="22"/>
        <v>0</v>
      </c>
      <c r="Y43" s="48">
        <f t="shared" si="23"/>
        <v>0</v>
      </c>
      <c r="Z43" s="48">
        <f t="shared" si="24"/>
        <v>0</v>
      </c>
      <c r="AA43" s="48">
        <f t="shared" si="25"/>
        <v>0</v>
      </c>
      <c r="AB43" s="48">
        <f t="shared" si="26"/>
        <v>0</v>
      </c>
      <c r="AC43" s="48">
        <f t="shared" si="27"/>
        <v>0</v>
      </c>
      <c r="AD43" s="48">
        <f t="shared" si="28"/>
        <v>0</v>
      </c>
      <c r="AE43" s="48">
        <f t="shared" si="29"/>
        <v>0</v>
      </c>
      <c r="AF43" s="48">
        <f t="shared" si="30"/>
        <v>0</v>
      </c>
      <c r="AG43" s="48">
        <f t="shared" si="31"/>
        <v>0</v>
      </c>
      <c r="AH43" s="48">
        <f t="shared" si="34"/>
        <v>0</v>
      </c>
      <c r="AI43" s="48">
        <f t="shared" si="34"/>
        <v>0</v>
      </c>
      <c r="AJ43" s="48">
        <f t="shared" si="9"/>
        <v>0</v>
      </c>
      <c r="AK43" s="10"/>
      <c r="AL43" s="10"/>
      <c r="AM43" s="52"/>
    </row>
    <row r="44" spans="2:39">
      <c r="B44">
        <v>25</v>
      </c>
      <c r="C44" s="605" t="s">
        <v>415</v>
      </c>
      <c r="D44" s="613">
        <v>12210.968999999999</v>
      </c>
      <c r="E44" s="2050">
        <v>1988</v>
      </c>
      <c r="F44" s="614">
        <v>2634979.685569759</v>
      </c>
      <c r="G44" s="615">
        <f t="shared" si="33"/>
        <v>5995642.2339694733</v>
      </c>
      <c r="H44" s="616">
        <v>10</v>
      </c>
      <c r="I44" s="3547">
        <f>$B$189/D44</f>
        <v>0.22614153091451142</v>
      </c>
      <c r="J44" s="490">
        <v>21</v>
      </c>
      <c r="K44" s="36" t="s">
        <v>411</v>
      </c>
      <c r="L44" s="47">
        <f t="shared" si="35"/>
        <v>925158.366630606</v>
      </c>
      <c r="M44" s="62">
        <f t="shared" si="11"/>
        <v>2105108.6679938757</v>
      </c>
      <c r="N44" s="48">
        <f t="shared" si="12"/>
        <v>2039833.9806142207</v>
      </c>
      <c r="O44" s="48">
        <f t="shared" si="13"/>
        <v>2003766.1892084682</v>
      </c>
      <c r="P44" s="48">
        <f t="shared" si="14"/>
        <v>2009795.5759362769</v>
      </c>
      <c r="Q44" s="48">
        <f t="shared" si="15"/>
        <v>1930639.3620905639</v>
      </c>
      <c r="R44" s="48">
        <f t="shared" si="16"/>
        <v>1878053.8541737003</v>
      </c>
      <c r="S44" s="48">
        <f t="shared" si="17"/>
        <v>1814544.7866412564</v>
      </c>
      <c r="T44" s="48">
        <f t="shared" si="18"/>
        <v>1754878.9039083717</v>
      </c>
      <c r="U44" s="48">
        <f t="shared" si="19"/>
        <v>1703765.9261246326</v>
      </c>
      <c r="V44" s="48">
        <f t="shared" si="20"/>
        <v>1654141.6758491579</v>
      </c>
      <c r="W44" s="48">
        <f t="shared" si="21"/>
        <v>1598204.5177286551</v>
      </c>
      <c r="X44" s="48">
        <f t="shared" si="22"/>
        <v>1542668.4534060378</v>
      </c>
      <c r="Y44" s="48">
        <f t="shared" si="23"/>
        <v>1491942.4114178314</v>
      </c>
      <c r="Z44" s="48">
        <f t="shared" si="24"/>
        <v>1458399.2291474405</v>
      </c>
      <c r="AA44" s="48">
        <f t="shared" si="25"/>
        <v>1432612.2093786253</v>
      </c>
      <c r="AB44" s="48">
        <f t="shared" si="26"/>
        <v>1404521.773900613</v>
      </c>
      <c r="AC44" s="48">
        <f t="shared" si="27"/>
        <v>1355715.9979735645</v>
      </c>
      <c r="AD44" s="48">
        <f t="shared" si="28"/>
        <v>1294857.6866987245</v>
      </c>
      <c r="AE44" s="48">
        <f t="shared" si="29"/>
        <v>1236731.3148984953</v>
      </c>
      <c r="AF44" s="48">
        <f t="shared" si="30"/>
        <v>1182343.5132872805</v>
      </c>
      <c r="AG44" s="48">
        <f t="shared" si="31"/>
        <v>1116471.6839351091</v>
      </c>
      <c r="AH44" s="48">
        <f t="shared" si="34"/>
        <v>1054269.7676441069</v>
      </c>
      <c r="AI44" s="48">
        <f t="shared" si="34"/>
        <v>988069.13556148729</v>
      </c>
      <c r="AJ44" s="48">
        <f t="shared" si="9"/>
        <v>925158.366630606</v>
      </c>
      <c r="AK44" s="10"/>
      <c r="AL44" s="10"/>
      <c r="AM44" s="52"/>
    </row>
    <row r="45" spans="2:39" ht="15" thickBot="1">
      <c r="B45">
        <v>26</v>
      </c>
      <c r="C45" s="450" t="s">
        <v>416</v>
      </c>
      <c r="D45" s="451">
        <v>6661.78</v>
      </c>
      <c r="E45" s="452">
        <v>1988</v>
      </c>
      <c r="F45" s="453">
        <v>1395302.7062288895</v>
      </c>
      <c r="G45" s="454">
        <f t="shared" si="33"/>
        <v>3174876.7857498373</v>
      </c>
      <c r="H45" s="455">
        <v>5</v>
      </c>
      <c r="I45" s="3546">
        <f>$B$188/D45</f>
        <v>0.21756685044676347</v>
      </c>
      <c r="J45" s="490">
        <v>22</v>
      </c>
      <c r="K45" s="36" t="s">
        <v>412</v>
      </c>
      <c r="L45" s="47">
        <f t="shared" si="35"/>
        <v>2457789.0478724167</v>
      </c>
      <c r="M45" s="62">
        <f t="shared" si="11"/>
        <v>5592462.0209833365</v>
      </c>
      <c r="N45" s="48">
        <f t="shared" si="12"/>
        <v>5419052.3459140854</v>
      </c>
      <c r="O45" s="48">
        <f t="shared" si="13"/>
        <v>5323234.1315462524</v>
      </c>
      <c r="P45" s="48">
        <f t="shared" si="14"/>
        <v>5339251.887207876</v>
      </c>
      <c r="Q45" s="48">
        <f t="shared" si="15"/>
        <v>5128964.3489028588</v>
      </c>
      <c r="R45" s="48">
        <f t="shared" si="16"/>
        <v>4989264.930839357</v>
      </c>
      <c r="S45" s="48">
        <f t="shared" si="17"/>
        <v>4820545.8268979294</v>
      </c>
      <c r="T45" s="48">
        <f t="shared" si="18"/>
        <v>4662036.5830734326</v>
      </c>
      <c r="U45" s="48">
        <f t="shared" si="19"/>
        <v>4526249.1097800313</v>
      </c>
      <c r="V45" s="48">
        <f t="shared" si="20"/>
        <v>4394416.611436923</v>
      </c>
      <c r="W45" s="48">
        <f t="shared" si="21"/>
        <v>4245813.1511467863</v>
      </c>
      <c r="X45" s="48">
        <f t="shared" si="22"/>
        <v>4098275.2424196778</v>
      </c>
      <c r="Y45" s="48">
        <f t="shared" si="23"/>
        <v>3963515.7083362453</v>
      </c>
      <c r="Z45" s="48">
        <f t="shared" si="24"/>
        <v>3874404.406975802</v>
      </c>
      <c r="AA45" s="48">
        <f t="shared" si="25"/>
        <v>3805898.2386795697</v>
      </c>
      <c r="AB45" s="48">
        <f t="shared" si="26"/>
        <v>3731272.783019186</v>
      </c>
      <c r="AC45" s="48">
        <f t="shared" si="27"/>
        <v>3601614.6554239248</v>
      </c>
      <c r="AD45" s="48">
        <f t="shared" si="28"/>
        <v>3439937.5887525547</v>
      </c>
      <c r="AE45" s="48">
        <f t="shared" si="29"/>
        <v>3285518.2318553533</v>
      </c>
      <c r="AF45" s="48">
        <f t="shared" si="30"/>
        <v>3141030.8143932633</v>
      </c>
      <c r="AG45" s="48">
        <f t="shared" si="31"/>
        <v>2966034.7633553008</v>
      </c>
      <c r="AH45" s="48">
        <f t="shared" si="34"/>
        <v>2800788.2562373001</v>
      </c>
      <c r="AI45" s="48">
        <f t="shared" si="34"/>
        <v>2624918.7031277413</v>
      </c>
      <c r="AJ45" s="48">
        <f t="shared" si="9"/>
        <v>2457789.0478724167</v>
      </c>
      <c r="AK45" s="10"/>
      <c r="AL45" s="10"/>
      <c r="AM45" s="52"/>
    </row>
    <row r="46" spans="2:39" ht="15" thickBot="1">
      <c r="B46" s="2055">
        <v>27</v>
      </c>
      <c r="C46" s="608" t="s">
        <v>417</v>
      </c>
      <c r="D46" s="617">
        <v>5550.5</v>
      </c>
      <c r="E46" s="618">
        <v>1988</v>
      </c>
      <c r="F46" s="619">
        <v>1159676.4070895386</v>
      </c>
      <c r="G46" s="620">
        <f t="shared" si="33"/>
        <v>2638731.8589822729</v>
      </c>
      <c r="H46" s="621">
        <v>4</v>
      </c>
      <c r="I46" s="3547">
        <f>$B$187/D46</f>
        <v>0.21249066512068193</v>
      </c>
      <c r="J46" s="490">
        <v>23</v>
      </c>
      <c r="K46" s="36" t="s">
        <v>413</v>
      </c>
      <c r="L46" s="47">
        <f t="shared" si="35"/>
        <v>1238646.8171961585</v>
      </c>
      <c r="M46" s="62">
        <f t="shared" si="11"/>
        <v>2818421.4135781219</v>
      </c>
      <c r="N46" s="48">
        <f t="shared" si="12"/>
        <v>2731028.5015291879</v>
      </c>
      <c r="O46" s="48">
        <f t="shared" si="13"/>
        <v>2682739.1960011669</v>
      </c>
      <c r="P46" s="48">
        <f t="shared" si="14"/>
        <v>2690811.6308938484</v>
      </c>
      <c r="Q46" s="48">
        <f t="shared" si="15"/>
        <v>2584833.4590719007</v>
      </c>
      <c r="R46" s="48">
        <f t="shared" si="16"/>
        <v>2514429.4348948449</v>
      </c>
      <c r="S46" s="48">
        <f t="shared" si="17"/>
        <v>2429400.4201882561</v>
      </c>
      <c r="T46" s="48">
        <f t="shared" si="18"/>
        <v>2349516.8473774237</v>
      </c>
      <c r="U46" s="48">
        <f t="shared" si="19"/>
        <v>2281084.317842159</v>
      </c>
      <c r="V46" s="48">
        <f t="shared" si="20"/>
        <v>2214644.9687787951</v>
      </c>
      <c r="W46" s="48">
        <f t="shared" si="21"/>
        <v>2139753.5930229905</v>
      </c>
      <c r="X46" s="48">
        <f t="shared" si="22"/>
        <v>2065399.2210646628</v>
      </c>
      <c r="Y46" s="48">
        <f t="shared" si="23"/>
        <v>1997484.7399077977</v>
      </c>
      <c r="Z46" s="48">
        <f t="shared" si="24"/>
        <v>1952575.5033311807</v>
      </c>
      <c r="AA46" s="48">
        <f t="shared" si="25"/>
        <v>1918050.5926632422</v>
      </c>
      <c r="AB46" s="48">
        <f t="shared" si="26"/>
        <v>1880441.7575129825</v>
      </c>
      <c r="AC46" s="48">
        <f t="shared" si="27"/>
        <v>1815098.2215376277</v>
      </c>
      <c r="AD46" s="48">
        <f t="shared" si="28"/>
        <v>1733618.1676577153</v>
      </c>
      <c r="AE46" s="48">
        <f t="shared" si="29"/>
        <v>1655795.7666262803</v>
      </c>
      <c r="AF46" s="48">
        <f t="shared" si="30"/>
        <v>1582978.7443845891</v>
      </c>
      <c r="AG46" s="48">
        <f t="shared" si="31"/>
        <v>1494786.3497493761</v>
      </c>
      <c r="AH46" s="48">
        <f t="shared" si="34"/>
        <v>1411507.4124167857</v>
      </c>
      <c r="AI46" s="48">
        <f t="shared" si="34"/>
        <v>1322874.8007654974</v>
      </c>
      <c r="AJ46" s="48">
        <f t="shared" si="9"/>
        <v>1238646.8171961585</v>
      </c>
      <c r="AK46" s="10"/>
      <c r="AL46" s="10"/>
      <c r="AM46" s="52"/>
    </row>
    <row r="47" spans="2:39">
      <c r="B47">
        <v>28</v>
      </c>
      <c r="C47" s="605" t="s">
        <v>418</v>
      </c>
      <c r="D47" s="613">
        <v>4440.34</v>
      </c>
      <c r="E47" s="2050">
        <v>1988</v>
      </c>
      <c r="F47" s="614">
        <v>782969.06504513614</v>
      </c>
      <c r="G47" s="615">
        <f t="shared" si="33"/>
        <v>1781570.6208228874</v>
      </c>
      <c r="H47" s="616">
        <v>3</v>
      </c>
      <c r="I47" s="3546">
        <f t="shared" ref="I47:I48" si="36">$B$186/D47</f>
        <v>0.20787152058233724</v>
      </c>
      <c r="J47" s="490">
        <v>24</v>
      </c>
      <c r="K47" s="36" t="s">
        <v>414</v>
      </c>
      <c r="L47" s="47">
        <f t="shared" si="35"/>
        <v>977226.39549000538</v>
      </c>
      <c r="M47" s="62">
        <f t="shared" si="11"/>
        <v>2223584.4477422331</v>
      </c>
      <c r="N47" s="48">
        <f t="shared" si="12"/>
        <v>2154636.0927734817</v>
      </c>
      <c r="O47" s="48">
        <f t="shared" si="13"/>
        <v>2116538.4015456596</v>
      </c>
      <c r="P47" s="48">
        <f t="shared" si="14"/>
        <v>2122907.1229144027</v>
      </c>
      <c r="Q47" s="48">
        <f t="shared" si="15"/>
        <v>2039295.9874297818</v>
      </c>
      <c r="R47" s="48">
        <f t="shared" si="16"/>
        <v>1983750.9605348071</v>
      </c>
      <c r="S47" s="48">
        <f t="shared" si="17"/>
        <v>1916667.5947196204</v>
      </c>
      <c r="T47" s="48">
        <f t="shared" si="18"/>
        <v>1853643.7086263252</v>
      </c>
      <c r="U47" s="48">
        <f t="shared" si="19"/>
        <v>1799654.086044976</v>
      </c>
      <c r="V47" s="48">
        <f t="shared" si="20"/>
        <v>1747236.9767426951</v>
      </c>
      <c r="W47" s="48">
        <f t="shared" si="21"/>
        <v>1688151.6683504302</v>
      </c>
      <c r="X47" s="48">
        <f t="shared" si="22"/>
        <v>1629490.0273652801</v>
      </c>
      <c r="Y47" s="48">
        <f t="shared" si="23"/>
        <v>1575909.1173745454</v>
      </c>
      <c r="Z47" s="48">
        <f t="shared" si="24"/>
        <v>1540478.1206007288</v>
      </c>
      <c r="AA47" s="48">
        <f t="shared" si="25"/>
        <v>1513239.8041264527</v>
      </c>
      <c r="AB47" s="48">
        <f t="shared" si="26"/>
        <v>1483568.4354180908</v>
      </c>
      <c r="AC47" s="48">
        <f t="shared" si="27"/>
        <v>1432015.8643031763</v>
      </c>
      <c r="AD47" s="48">
        <f t="shared" si="28"/>
        <v>1367732.439640092</v>
      </c>
      <c r="AE47" s="48">
        <f t="shared" si="29"/>
        <v>1306334.7083477478</v>
      </c>
      <c r="AF47" s="48">
        <f t="shared" si="30"/>
        <v>1248885.9544433535</v>
      </c>
      <c r="AG47" s="48">
        <f t="shared" si="31"/>
        <v>1179306.8502770099</v>
      </c>
      <c r="AH47" s="48">
        <f t="shared" si="34"/>
        <v>1113604.2023390085</v>
      </c>
      <c r="AI47" s="48">
        <f t="shared" si="34"/>
        <v>1043677.7903833258</v>
      </c>
      <c r="AJ47" s="48">
        <f t="shared" ref="AJ47:AJ78" si="37">$L47</f>
        <v>977226.39549000538</v>
      </c>
      <c r="AK47" s="10"/>
      <c r="AL47" s="10"/>
      <c r="AM47" s="52"/>
    </row>
    <row r="48" spans="2:39">
      <c r="B48">
        <v>29</v>
      </c>
      <c r="C48" s="36" t="s">
        <v>419</v>
      </c>
      <c r="D48" s="63">
        <v>4440.34</v>
      </c>
      <c r="E48" s="64">
        <v>1988</v>
      </c>
      <c r="F48" s="65">
        <v>946291.78678614798</v>
      </c>
      <c r="G48" s="77">
        <f t="shared" si="33"/>
        <v>2153195.7280675061</v>
      </c>
      <c r="H48" s="78">
        <v>3</v>
      </c>
      <c r="I48" s="3547">
        <f t="shared" si="36"/>
        <v>0.20787152058233724</v>
      </c>
      <c r="J48" s="490">
        <v>25</v>
      </c>
      <c r="K48" s="36" t="s">
        <v>415</v>
      </c>
      <c r="L48" s="47">
        <f t="shared" si="35"/>
        <v>2634979.685569759</v>
      </c>
      <c r="M48" s="62">
        <f t="shared" si="11"/>
        <v>5995642.2339694733</v>
      </c>
      <c r="N48" s="48">
        <f t="shared" si="12"/>
        <v>5809730.8468696447</v>
      </c>
      <c r="O48" s="48">
        <f t="shared" si="13"/>
        <v>5707004.7611686094</v>
      </c>
      <c r="P48" s="48">
        <f t="shared" si="14"/>
        <v>5724177.2930477522</v>
      </c>
      <c r="Q48" s="48">
        <f t="shared" si="15"/>
        <v>5498729.3881342486</v>
      </c>
      <c r="R48" s="48">
        <f t="shared" si="16"/>
        <v>5348958.5487687243</v>
      </c>
      <c r="S48" s="48">
        <f t="shared" si="17"/>
        <v>5168075.8925301684</v>
      </c>
      <c r="T48" s="48">
        <f t="shared" si="18"/>
        <v>4998139.1610543216</v>
      </c>
      <c r="U48" s="48">
        <f t="shared" si="19"/>
        <v>4852562.2922857488</v>
      </c>
      <c r="V48" s="48">
        <f t="shared" si="20"/>
        <v>4711225.526491018</v>
      </c>
      <c r="W48" s="48">
        <f t="shared" si="21"/>
        <v>4551908.721247361</v>
      </c>
      <c r="X48" s="48">
        <f t="shared" si="22"/>
        <v>4393734.2869183021</v>
      </c>
      <c r="Y48" s="48">
        <f t="shared" si="23"/>
        <v>4249259.465104741</v>
      </c>
      <c r="Z48" s="48">
        <f t="shared" si="24"/>
        <v>4153723.8173066881</v>
      </c>
      <c r="AA48" s="48">
        <f t="shared" si="25"/>
        <v>4080278.7989260196</v>
      </c>
      <c r="AB48" s="48">
        <f t="shared" si="26"/>
        <v>4000273.3322804114</v>
      </c>
      <c r="AC48" s="48">
        <f t="shared" si="27"/>
        <v>3861267.6952513624</v>
      </c>
      <c r="AD48" s="48">
        <f t="shared" si="28"/>
        <v>3687934.7614626195</v>
      </c>
      <c r="AE48" s="48">
        <f t="shared" si="29"/>
        <v>3522382.7712154915</v>
      </c>
      <c r="AF48" s="48">
        <f t="shared" si="30"/>
        <v>3367478.7487719804</v>
      </c>
      <c r="AG48" s="48">
        <f t="shared" si="31"/>
        <v>3179866.6182927107</v>
      </c>
      <c r="AH48" s="48">
        <f t="shared" si="34"/>
        <v>3002706.9105691323</v>
      </c>
      <c r="AI48" s="48">
        <f t="shared" si="34"/>
        <v>2814158.304188503</v>
      </c>
      <c r="AJ48" s="48">
        <f t="shared" si="37"/>
        <v>2634979.685569759</v>
      </c>
      <c r="AK48" s="10"/>
      <c r="AL48" s="10"/>
      <c r="AM48" s="52"/>
    </row>
    <row r="49" spans="2:39">
      <c r="B49">
        <v>30</v>
      </c>
      <c r="C49" s="36" t="s">
        <v>420</v>
      </c>
      <c r="D49" s="63">
        <v>12210.968999999999</v>
      </c>
      <c r="E49" s="64">
        <v>1988</v>
      </c>
      <c r="F49" s="65">
        <v>2450066.2811259963</v>
      </c>
      <c r="G49" s="77">
        <f t="shared" si="33"/>
        <v>5574889.6098101074</v>
      </c>
      <c r="H49" s="78">
        <v>10</v>
      </c>
      <c r="I49" s="3546">
        <f>$B$189/D49</f>
        <v>0.22614153091451142</v>
      </c>
      <c r="J49" s="490">
        <v>26</v>
      </c>
      <c r="K49" s="36" t="s">
        <v>416</v>
      </c>
      <c r="L49" s="47">
        <f t="shared" si="35"/>
        <v>1395302.7062288895</v>
      </c>
      <c r="M49" s="62">
        <f t="shared" si="11"/>
        <v>3174876.7857498373</v>
      </c>
      <c r="N49" s="48">
        <f t="shared" si="12"/>
        <v>3076430.9939436405</v>
      </c>
      <c r="O49" s="48">
        <f t="shared" si="13"/>
        <v>3022034.3751902166</v>
      </c>
      <c r="P49" s="48">
        <f t="shared" si="14"/>
        <v>3031127.7584656132</v>
      </c>
      <c r="Q49" s="48">
        <f t="shared" si="15"/>
        <v>2911746.1656730198</v>
      </c>
      <c r="R49" s="48">
        <f t="shared" si="16"/>
        <v>2832437.9043511865</v>
      </c>
      <c r="S49" s="48">
        <f t="shared" si="17"/>
        <v>2736654.9800494555</v>
      </c>
      <c r="T49" s="48">
        <f t="shared" si="18"/>
        <v>2646668.2592354501</v>
      </c>
      <c r="U49" s="48">
        <f t="shared" si="19"/>
        <v>2569580.8342091748</v>
      </c>
      <c r="V49" s="48">
        <f t="shared" si="20"/>
        <v>2494738.6739894901</v>
      </c>
      <c r="W49" s="48">
        <f t="shared" si="21"/>
        <v>2410375.5304246284</v>
      </c>
      <c r="X49" s="48">
        <f t="shared" si="22"/>
        <v>2326617.3073596801</v>
      </c>
      <c r="Y49" s="48">
        <f t="shared" si="23"/>
        <v>2250113.4500577175</v>
      </c>
      <c r="Z49" s="48">
        <f t="shared" si="24"/>
        <v>2199524.3891082285</v>
      </c>
      <c r="AA49" s="48">
        <f t="shared" si="25"/>
        <v>2160632.9951947234</v>
      </c>
      <c r="AB49" s="48">
        <f t="shared" si="26"/>
        <v>2118267.6423477679</v>
      </c>
      <c r="AC49" s="48">
        <f t="shared" si="27"/>
        <v>2044659.8864360694</v>
      </c>
      <c r="AD49" s="48">
        <f t="shared" si="28"/>
        <v>1952874.7721452431</v>
      </c>
      <c r="AE49" s="48">
        <f t="shared" si="29"/>
        <v>1865209.9065379591</v>
      </c>
      <c r="AF49" s="48">
        <f t="shared" si="30"/>
        <v>1783183.4670534981</v>
      </c>
      <c r="AG49" s="48">
        <f t="shared" si="31"/>
        <v>1683837.0793706309</v>
      </c>
      <c r="AH49" s="48">
        <f t="shared" si="34"/>
        <v>1590025.5706993684</v>
      </c>
      <c r="AI49" s="48">
        <f t="shared" si="34"/>
        <v>1490183.2902524541</v>
      </c>
      <c r="AJ49" s="48">
        <f t="shared" si="37"/>
        <v>1395302.7062288895</v>
      </c>
      <c r="AK49" s="10"/>
      <c r="AL49" s="10"/>
      <c r="AM49" s="52"/>
    </row>
    <row r="50" spans="2:39" ht="15" thickBot="1">
      <c r="B50">
        <v>31</v>
      </c>
      <c r="C50" s="450" t="s">
        <v>421</v>
      </c>
      <c r="D50" s="451">
        <v>6661.78</v>
      </c>
      <c r="E50" s="452">
        <v>1988</v>
      </c>
      <c r="F50" s="453">
        <v>1256654.755307538</v>
      </c>
      <c r="G50" s="454">
        <f t="shared" si="33"/>
        <v>2859396.7405905388</v>
      </c>
      <c r="H50" s="455">
        <v>5</v>
      </c>
      <c r="I50" s="3547"/>
      <c r="J50" s="490">
        <v>27</v>
      </c>
      <c r="K50" s="36" t="s">
        <v>417</v>
      </c>
      <c r="L50" s="47">
        <f t="shared" si="35"/>
        <v>1159676.4070895386</v>
      </c>
      <c r="M50" s="62">
        <f t="shared" si="11"/>
        <v>2638731.8589822729</v>
      </c>
      <c r="N50" s="48">
        <f t="shared" si="12"/>
        <v>2556910.7160680937</v>
      </c>
      <c r="O50" s="48">
        <f t="shared" si="13"/>
        <v>2511700.1140158093</v>
      </c>
      <c r="P50" s="48">
        <f t="shared" si="14"/>
        <v>2519257.8876788458</v>
      </c>
      <c r="Q50" s="48">
        <f t="shared" si="15"/>
        <v>2420036.3954647896</v>
      </c>
      <c r="R50" s="48">
        <f t="shared" si="16"/>
        <v>2354121.0072614686</v>
      </c>
      <c r="S50" s="48">
        <f t="shared" si="17"/>
        <v>2274513.0504941726</v>
      </c>
      <c r="T50" s="48">
        <f t="shared" si="18"/>
        <v>2199722.4859711532</v>
      </c>
      <c r="U50" s="48">
        <f t="shared" si="19"/>
        <v>2135652.8990011197</v>
      </c>
      <c r="V50" s="48">
        <f t="shared" si="20"/>
        <v>2073449.4165059414</v>
      </c>
      <c r="W50" s="48">
        <f t="shared" si="21"/>
        <v>2003332.7695709581</v>
      </c>
      <c r="X50" s="48">
        <f t="shared" si="22"/>
        <v>1933718.8895472568</v>
      </c>
      <c r="Y50" s="48">
        <f t="shared" si="23"/>
        <v>1870134.322579552</v>
      </c>
      <c r="Z50" s="48">
        <f t="shared" si="24"/>
        <v>1828088.2918666198</v>
      </c>
      <c r="AA50" s="48">
        <f t="shared" si="25"/>
        <v>1795764.5303208446</v>
      </c>
      <c r="AB50" s="48">
        <f t="shared" si="26"/>
        <v>1760553.4610988672</v>
      </c>
      <c r="AC50" s="48">
        <f t="shared" si="27"/>
        <v>1699375.9277016092</v>
      </c>
      <c r="AD50" s="48">
        <f t="shared" si="28"/>
        <v>1623090.6663816709</v>
      </c>
      <c r="AE50" s="48">
        <f t="shared" si="29"/>
        <v>1550229.8628287211</v>
      </c>
      <c r="AF50" s="48">
        <f t="shared" si="30"/>
        <v>1482055.3181918939</v>
      </c>
      <c r="AG50" s="48">
        <f t="shared" si="31"/>
        <v>1399485.6640150084</v>
      </c>
      <c r="AH50" s="48">
        <f t="shared" si="34"/>
        <v>1321516.2077573263</v>
      </c>
      <c r="AI50" s="48">
        <f t="shared" si="34"/>
        <v>1238534.4027716273</v>
      </c>
      <c r="AJ50" s="48">
        <f t="shared" si="37"/>
        <v>1159676.4070895386</v>
      </c>
      <c r="AK50" s="10"/>
      <c r="AL50" s="10"/>
      <c r="AM50" s="52"/>
    </row>
    <row r="51" spans="2:39" ht="15" thickBot="1">
      <c r="B51" s="2055">
        <v>32</v>
      </c>
      <c r="C51" s="608" t="s">
        <v>422</v>
      </c>
      <c r="D51" s="617">
        <v>5550.5</v>
      </c>
      <c r="E51" s="618">
        <v>1988</v>
      </c>
      <c r="F51" s="619">
        <v>998756.7418232304</v>
      </c>
      <c r="G51" s="620">
        <f t="shared" si="33"/>
        <v>2272574.6750652026</v>
      </c>
      <c r="H51" s="621">
        <v>4</v>
      </c>
      <c r="I51" s="3546">
        <f>$B$187/D51</f>
        <v>0.21249066512068193</v>
      </c>
      <c r="J51" s="490">
        <v>28</v>
      </c>
      <c r="K51" s="36" t="s">
        <v>418</v>
      </c>
      <c r="L51" s="47">
        <f t="shared" si="35"/>
        <v>782969.06504513614</v>
      </c>
      <c r="M51" s="62">
        <f t="shared" si="11"/>
        <v>1781570.6208228874</v>
      </c>
      <c r="N51" s="48">
        <f t="shared" si="12"/>
        <v>1726328.1209524102</v>
      </c>
      <c r="O51" s="48">
        <f t="shared" si="13"/>
        <v>1695803.6551595384</v>
      </c>
      <c r="P51" s="48">
        <f t="shared" si="14"/>
        <v>1700906.3742823855</v>
      </c>
      <c r="Q51" s="48">
        <f t="shared" si="15"/>
        <v>1633915.8254393714</v>
      </c>
      <c r="R51" s="48">
        <f t="shared" si="16"/>
        <v>1589412.2815558086</v>
      </c>
      <c r="S51" s="48">
        <f t="shared" si="17"/>
        <v>1535664.0401505399</v>
      </c>
      <c r="T51" s="48">
        <f t="shared" si="18"/>
        <v>1485168.3173602901</v>
      </c>
      <c r="U51" s="48">
        <f t="shared" si="19"/>
        <v>1441910.9877284369</v>
      </c>
      <c r="V51" s="48">
        <f t="shared" si="20"/>
        <v>1399913.5803188707</v>
      </c>
      <c r="W51" s="48">
        <f t="shared" si="21"/>
        <v>1352573.5075544645</v>
      </c>
      <c r="X51" s="48">
        <f t="shared" si="22"/>
        <v>1305572.8837398305</v>
      </c>
      <c r="Y51" s="48">
        <f t="shared" si="23"/>
        <v>1262643.021024981</v>
      </c>
      <c r="Z51" s="48">
        <f t="shared" si="24"/>
        <v>1234255.1525170882</v>
      </c>
      <c r="AA51" s="48">
        <f t="shared" si="25"/>
        <v>1212431.3875413439</v>
      </c>
      <c r="AB51" s="48">
        <f t="shared" si="26"/>
        <v>1188658.2230797489</v>
      </c>
      <c r="AC51" s="48">
        <f t="shared" si="27"/>
        <v>1147353.4971812249</v>
      </c>
      <c r="AD51" s="48">
        <f t="shared" si="28"/>
        <v>1095848.6123984957</v>
      </c>
      <c r="AE51" s="48">
        <f t="shared" si="29"/>
        <v>1046655.7902564429</v>
      </c>
      <c r="AF51" s="48">
        <f t="shared" si="30"/>
        <v>1000626.9505319721</v>
      </c>
      <c r="AG51" s="48">
        <f t="shared" si="31"/>
        <v>944879.0845438831</v>
      </c>
      <c r="AH51" s="48">
        <f t="shared" si="34"/>
        <v>892237.09588657517</v>
      </c>
      <c r="AI51" s="48">
        <f t="shared" si="34"/>
        <v>836210.96146820544</v>
      </c>
      <c r="AJ51" s="48">
        <f t="shared" si="37"/>
        <v>782969.06504513614</v>
      </c>
      <c r="AK51" s="10"/>
      <c r="AL51" s="10"/>
      <c r="AM51" s="52"/>
    </row>
    <row r="52" spans="2:39">
      <c r="B52">
        <v>33</v>
      </c>
      <c r="C52" s="605" t="s">
        <v>423</v>
      </c>
      <c r="D52" s="613">
        <v>12210.968999999999</v>
      </c>
      <c r="E52" s="2050">
        <v>1988</v>
      </c>
      <c r="F52" s="614">
        <v>2623591.8520998158</v>
      </c>
      <c r="G52" s="615">
        <f t="shared" si="33"/>
        <v>5969730.3168189498</v>
      </c>
      <c r="H52" s="616">
        <v>10</v>
      </c>
      <c r="I52" s="3547">
        <f>$B$189/D52</f>
        <v>0.22614153091451142</v>
      </c>
      <c r="J52" s="490">
        <v>29</v>
      </c>
      <c r="K52" s="36" t="s">
        <v>419</v>
      </c>
      <c r="L52" s="47">
        <f t="shared" si="35"/>
        <v>946291.78678614798</v>
      </c>
      <c r="M52" s="62">
        <f t="shared" si="11"/>
        <v>2153195.7280675061</v>
      </c>
      <c r="N52" s="48">
        <f t="shared" si="12"/>
        <v>2086429.969057661</v>
      </c>
      <c r="O52" s="48">
        <f t="shared" si="13"/>
        <v>2049538.2800173487</v>
      </c>
      <c r="P52" s="48">
        <f t="shared" si="14"/>
        <v>2055705.3962059666</v>
      </c>
      <c r="Q52" s="48">
        <f t="shared" si="15"/>
        <v>1974741.0146070765</v>
      </c>
      <c r="R52" s="48">
        <f t="shared" si="16"/>
        <v>1920954.2943648603</v>
      </c>
      <c r="S52" s="48">
        <f t="shared" si="17"/>
        <v>1855994.487309044</v>
      </c>
      <c r="T52" s="48">
        <f t="shared" si="18"/>
        <v>1794965.65503776</v>
      </c>
      <c r="U52" s="48">
        <f t="shared" si="19"/>
        <v>1742685.1019784077</v>
      </c>
      <c r="V52" s="48">
        <f t="shared" si="20"/>
        <v>1691927.2834741822</v>
      </c>
      <c r="W52" s="48">
        <f t="shared" si="21"/>
        <v>1634712.3511827849</v>
      </c>
      <c r="X52" s="48">
        <f t="shared" si="22"/>
        <v>1577907.6748868579</v>
      </c>
      <c r="Y52" s="48">
        <f t="shared" si="23"/>
        <v>1526022.8964089535</v>
      </c>
      <c r="Z52" s="48">
        <f t="shared" si="24"/>
        <v>1491713.486225761</v>
      </c>
      <c r="AA52" s="48">
        <f t="shared" si="25"/>
        <v>1465337.4127954431</v>
      </c>
      <c r="AB52" s="48">
        <f t="shared" si="26"/>
        <v>1436605.3066621991</v>
      </c>
      <c r="AC52" s="48">
        <f t="shared" si="27"/>
        <v>1386684.6589403467</v>
      </c>
      <c r="AD52" s="48">
        <f t="shared" si="28"/>
        <v>1324436.1594463675</v>
      </c>
      <c r="AE52" s="48">
        <f t="shared" si="29"/>
        <v>1264982.0052018792</v>
      </c>
      <c r="AF52" s="48">
        <f t="shared" si="30"/>
        <v>1209351.8214167105</v>
      </c>
      <c r="AG52" s="48">
        <f t="shared" si="31"/>
        <v>1141975.2799024652</v>
      </c>
      <c r="AH52" s="48">
        <f t="shared" si="34"/>
        <v>1078352.4833828756</v>
      </c>
      <c r="AI52" s="48">
        <f t="shared" si="34"/>
        <v>1010639.6282876061</v>
      </c>
      <c r="AJ52" s="48">
        <f t="shared" si="37"/>
        <v>946291.78678614798</v>
      </c>
      <c r="AK52" s="10"/>
      <c r="AL52" s="10"/>
      <c r="AM52" s="52"/>
    </row>
    <row r="53" spans="2:39" ht="15" thickBot="1">
      <c r="B53">
        <v>34</v>
      </c>
      <c r="C53" s="450" t="s">
        <v>424</v>
      </c>
      <c r="D53" s="451">
        <v>6661.78</v>
      </c>
      <c r="E53" s="452">
        <v>1988</v>
      </c>
      <c r="F53" s="453">
        <v>1410268.5491856288</v>
      </c>
      <c r="G53" s="454">
        <f t="shared" si="33"/>
        <v>3208930.1185287503</v>
      </c>
      <c r="H53" s="455">
        <v>5</v>
      </c>
      <c r="I53" s="3546">
        <f>$B$188/D53</f>
        <v>0.21756685044676347</v>
      </c>
      <c r="J53" s="490">
        <v>30</v>
      </c>
      <c r="K53" s="36" t="s">
        <v>420</v>
      </c>
      <c r="L53" s="47">
        <f t="shared" si="35"/>
        <v>2450066.2811259963</v>
      </c>
      <c r="M53" s="62">
        <f t="shared" si="11"/>
        <v>5574889.6098101074</v>
      </c>
      <c r="N53" s="48">
        <f t="shared" si="12"/>
        <v>5402024.8157074684</v>
      </c>
      <c r="O53" s="48">
        <f t="shared" si="13"/>
        <v>5306507.677512248</v>
      </c>
      <c r="P53" s="48">
        <f t="shared" si="14"/>
        <v>5322475.1028207103</v>
      </c>
      <c r="Q53" s="48">
        <f t="shared" si="15"/>
        <v>5112848.3216337282</v>
      </c>
      <c r="R53" s="48">
        <f t="shared" si="16"/>
        <v>4973587.8615114084</v>
      </c>
      <c r="S53" s="48">
        <f t="shared" si="17"/>
        <v>4805398.9000110226</v>
      </c>
      <c r="T53" s="48">
        <f t="shared" si="18"/>
        <v>4647387.7176122069</v>
      </c>
      <c r="U53" s="48">
        <f t="shared" si="19"/>
        <v>4512026.9103031131</v>
      </c>
      <c r="V53" s="48">
        <f t="shared" si="20"/>
        <v>4380608.6507797213</v>
      </c>
      <c r="W53" s="48">
        <f t="shared" si="21"/>
        <v>4232472.1263572192</v>
      </c>
      <c r="X53" s="48">
        <f t="shared" si="22"/>
        <v>4085397.8053641114</v>
      </c>
      <c r="Y53" s="48">
        <f t="shared" si="23"/>
        <v>3951061.7073153881</v>
      </c>
      <c r="Z53" s="48">
        <f t="shared" si="24"/>
        <v>3862230.4079329311</v>
      </c>
      <c r="AA53" s="48">
        <f t="shared" si="25"/>
        <v>3793939.4969871622</v>
      </c>
      <c r="AB53" s="48">
        <f t="shared" si="26"/>
        <v>3719548.5264580022</v>
      </c>
      <c r="AC53" s="48">
        <f t="shared" si="27"/>
        <v>3590297.8054613918</v>
      </c>
      <c r="AD53" s="48">
        <f t="shared" si="28"/>
        <v>3429128.7540223422</v>
      </c>
      <c r="AE53" s="48">
        <f t="shared" si="29"/>
        <v>3275194.607471196</v>
      </c>
      <c r="AF53" s="48">
        <f t="shared" si="30"/>
        <v>3131161.1926110857</v>
      </c>
      <c r="AG53" s="48">
        <f t="shared" si="31"/>
        <v>2956715.0071870498</v>
      </c>
      <c r="AH53" s="48">
        <f t="shared" si="34"/>
        <v>2791987.7310548159</v>
      </c>
      <c r="AI53" s="48">
        <f t="shared" si="34"/>
        <v>2616670.7882425641</v>
      </c>
      <c r="AJ53" s="48">
        <f t="shared" si="37"/>
        <v>2450066.2811259963</v>
      </c>
      <c r="AK53" s="10"/>
      <c r="AL53" s="10"/>
      <c r="AM53" s="52"/>
    </row>
    <row r="54" spans="2:39" ht="15" thickBot="1">
      <c r="B54" s="2055">
        <v>35</v>
      </c>
      <c r="C54" s="608" t="s">
        <v>425</v>
      </c>
      <c r="D54" s="617">
        <v>4440.5</v>
      </c>
      <c r="E54" s="618">
        <v>1988</v>
      </c>
      <c r="F54" s="619">
        <v>1104285.9450614837</v>
      </c>
      <c r="G54" s="620">
        <f t="shared" si="33"/>
        <v>2512696.2028771364</v>
      </c>
      <c r="H54" s="621">
        <v>4</v>
      </c>
      <c r="I54" s="3547">
        <f>$B$187/D54</f>
        <v>0.26560734979221823</v>
      </c>
      <c r="J54" s="490">
        <v>31</v>
      </c>
      <c r="K54" s="36" t="s">
        <v>421</v>
      </c>
      <c r="L54" s="47">
        <f t="shared" si="35"/>
        <v>1256654.755307538</v>
      </c>
      <c r="M54" s="62">
        <f t="shared" si="11"/>
        <v>2859396.7405905388</v>
      </c>
      <c r="N54" s="48">
        <f t="shared" si="12"/>
        <v>2770733.2757660258</v>
      </c>
      <c r="O54" s="48">
        <f t="shared" si="13"/>
        <v>2721741.9211847009</v>
      </c>
      <c r="P54" s="48">
        <f t="shared" si="14"/>
        <v>2729931.7163337022</v>
      </c>
      <c r="Q54" s="48">
        <f t="shared" si="15"/>
        <v>2622412.7918671491</v>
      </c>
      <c r="R54" s="48">
        <f t="shared" si="16"/>
        <v>2550985.2060964485</v>
      </c>
      <c r="S54" s="48">
        <f t="shared" si="17"/>
        <v>2464720.0058902884</v>
      </c>
      <c r="T54" s="48">
        <f t="shared" si="18"/>
        <v>2383675.0540525033</v>
      </c>
      <c r="U54" s="48">
        <f t="shared" si="19"/>
        <v>2314247.6252936926</v>
      </c>
      <c r="V54" s="48">
        <f t="shared" si="20"/>
        <v>2246842.3546540705</v>
      </c>
      <c r="W54" s="48">
        <f t="shared" si="21"/>
        <v>2170862.1784097301</v>
      </c>
      <c r="X54" s="48">
        <f t="shared" si="22"/>
        <v>2095426.8131368048</v>
      </c>
      <c r="Y54" s="48">
        <f t="shared" si="23"/>
        <v>2026524.9643489409</v>
      </c>
      <c r="Z54" s="48">
        <f t="shared" si="24"/>
        <v>1980962.8195004312</v>
      </c>
      <c r="AA54" s="48">
        <f t="shared" si="25"/>
        <v>1945935.9720043528</v>
      </c>
      <c r="AB54" s="48">
        <f t="shared" si="26"/>
        <v>1907780.3647101498</v>
      </c>
      <c r="AC54" s="48">
        <f t="shared" si="27"/>
        <v>1841486.8385233106</v>
      </c>
      <c r="AD54" s="48">
        <f t="shared" si="28"/>
        <v>1758822.1953422262</v>
      </c>
      <c r="AE54" s="48">
        <f t="shared" si="29"/>
        <v>1679868.3814156889</v>
      </c>
      <c r="AF54" s="48">
        <f t="shared" si="30"/>
        <v>1605992.7164585935</v>
      </c>
      <c r="AG54" s="48">
        <f t="shared" si="31"/>
        <v>1516518.1458532517</v>
      </c>
      <c r="AH54" s="48">
        <f t="shared" si="34"/>
        <v>1432028.4663392368</v>
      </c>
      <c r="AI54" s="48">
        <f t="shared" si="34"/>
        <v>1342107.2786684507</v>
      </c>
      <c r="AJ54" s="48">
        <f t="shared" si="37"/>
        <v>1256654.755307538</v>
      </c>
      <c r="AK54" s="10"/>
      <c r="AL54" s="10"/>
      <c r="AM54" s="52"/>
    </row>
    <row r="55" spans="2:39">
      <c r="B55">
        <v>36</v>
      </c>
      <c r="C55" s="605" t="s">
        <v>426</v>
      </c>
      <c r="D55" s="613">
        <v>3330.34</v>
      </c>
      <c r="E55" s="2050">
        <v>1988</v>
      </c>
      <c r="F55" s="614">
        <v>886520.43135239743</v>
      </c>
      <c r="G55" s="615">
        <f t="shared" si="33"/>
        <v>2017191.7713832231</v>
      </c>
      <c r="H55" s="616">
        <v>3</v>
      </c>
      <c r="I55" s="3546">
        <f>$B$186/D55</f>
        <v>0.27715495345897873</v>
      </c>
      <c r="J55" s="490">
        <v>32</v>
      </c>
      <c r="K55" s="36" t="s">
        <v>422</v>
      </c>
      <c r="L55" s="47">
        <f t="shared" si="35"/>
        <v>998756.7418232304</v>
      </c>
      <c r="M55" s="62">
        <f t="shared" si="11"/>
        <v>2272574.6750652026</v>
      </c>
      <c r="N55" s="48">
        <f t="shared" si="12"/>
        <v>2202107.2432802352</v>
      </c>
      <c r="O55" s="48">
        <f t="shared" si="13"/>
        <v>2163170.1800395236</v>
      </c>
      <c r="P55" s="48">
        <f t="shared" si="14"/>
        <v>2169679.2176926015</v>
      </c>
      <c r="Q55" s="48">
        <f t="shared" si="15"/>
        <v>2084225.9535951987</v>
      </c>
      <c r="R55" s="48">
        <f t="shared" si="16"/>
        <v>2027457.1533027224</v>
      </c>
      <c r="S55" s="48">
        <f t="shared" si="17"/>
        <v>1958895.8002924856</v>
      </c>
      <c r="T55" s="48">
        <f t="shared" si="18"/>
        <v>1894483.3658534677</v>
      </c>
      <c r="U55" s="48">
        <f t="shared" si="19"/>
        <v>1839304.2386926871</v>
      </c>
      <c r="V55" s="48">
        <f t="shared" si="20"/>
        <v>1785732.2705754244</v>
      </c>
      <c r="W55" s="48">
        <f t="shared" si="21"/>
        <v>1725345.1889617629</v>
      </c>
      <c r="X55" s="48">
        <f t="shared" si="22"/>
        <v>1665391.1090364507</v>
      </c>
      <c r="Y55" s="48">
        <f t="shared" si="23"/>
        <v>1610629.6992615578</v>
      </c>
      <c r="Z55" s="48">
        <f t="shared" si="24"/>
        <v>1574418.0833446314</v>
      </c>
      <c r="AA55" s="48">
        <f t="shared" si="25"/>
        <v>1546579.6496509148</v>
      </c>
      <c r="AB55" s="48">
        <f t="shared" si="26"/>
        <v>1516254.5584812891</v>
      </c>
      <c r="AC55" s="48">
        <f t="shared" si="27"/>
        <v>1463566.1761402404</v>
      </c>
      <c r="AD55" s="48">
        <f t="shared" si="28"/>
        <v>1397866.4528560082</v>
      </c>
      <c r="AE55" s="48">
        <f t="shared" si="29"/>
        <v>1335116.000817582</v>
      </c>
      <c r="AF55" s="48">
        <f t="shared" si="30"/>
        <v>1276401.5304183385</v>
      </c>
      <c r="AG55" s="48">
        <f t="shared" si="31"/>
        <v>1205289.4527085349</v>
      </c>
      <c r="AH55" s="48">
        <f t="shared" ref="AH55:AI74" si="38">AI55*(1+AH$5/100)</f>
        <v>1138139.2376851132</v>
      </c>
      <c r="AI55" s="48">
        <f t="shared" si="38"/>
        <v>1066672.2002672101</v>
      </c>
      <c r="AJ55" s="48">
        <f t="shared" si="37"/>
        <v>998756.7418232304</v>
      </c>
      <c r="AK55" s="10"/>
      <c r="AL55" s="10"/>
      <c r="AM55" s="52"/>
    </row>
    <row r="56" spans="2:39">
      <c r="B56">
        <v>37</v>
      </c>
      <c r="C56" s="36" t="s">
        <v>427</v>
      </c>
      <c r="D56" s="63">
        <v>5551.78</v>
      </c>
      <c r="E56" s="64">
        <v>1988</v>
      </c>
      <c r="F56" s="65">
        <v>1356716.2792085872</v>
      </c>
      <c r="G56" s="77">
        <f t="shared" si="33"/>
        <v>3087077.0912140957</v>
      </c>
      <c r="H56" s="78">
        <v>5</v>
      </c>
      <c r="I56" s="3547"/>
      <c r="J56" s="490">
        <v>33</v>
      </c>
      <c r="K56" s="36" t="s">
        <v>423</v>
      </c>
      <c r="L56" s="47">
        <f t="shared" si="35"/>
        <v>2623591.8520998158</v>
      </c>
      <c r="M56" s="62">
        <f t="shared" si="11"/>
        <v>5969730.3168189498</v>
      </c>
      <c r="N56" s="48">
        <f t="shared" si="12"/>
        <v>5784622.4000183623</v>
      </c>
      <c r="O56" s="48">
        <f t="shared" si="13"/>
        <v>5682340.2750671534</v>
      </c>
      <c r="P56" s="48">
        <f t="shared" si="14"/>
        <v>5699438.5908396728</v>
      </c>
      <c r="Q56" s="48">
        <f t="shared" si="15"/>
        <v>5474965.0248219725</v>
      </c>
      <c r="R56" s="48">
        <f t="shared" si="16"/>
        <v>5325841.4638346033</v>
      </c>
      <c r="S56" s="48">
        <f t="shared" si="17"/>
        <v>5145740.5447677327</v>
      </c>
      <c r="T56" s="48">
        <f t="shared" si="18"/>
        <v>4976538.2444562213</v>
      </c>
      <c r="U56" s="48">
        <f t="shared" si="19"/>
        <v>4831590.5285982732</v>
      </c>
      <c r="V56" s="48">
        <f t="shared" si="20"/>
        <v>4690864.5908721099</v>
      </c>
      <c r="W56" s="48">
        <f t="shared" si="21"/>
        <v>4532236.3196831979</v>
      </c>
      <c r="X56" s="48">
        <f t="shared" si="22"/>
        <v>4374745.4823196894</v>
      </c>
      <c r="Y56" s="48">
        <f t="shared" si="23"/>
        <v>4230895.0505993124</v>
      </c>
      <c r="Z56" s="48">
        <f t="shared" si="24"/>
        <v>4135772.2879758677</v>
      </c>
      <c r="AA56" s="48">
        <f t="shared" si="25"/>
        <v>4062644.6836698111</v>
      </c>
      <c r="AB56" s="48">
        <f t="shared" si="26"/>
        <v>3982984.9839900108</v>
      </c>
      <c r="AC56" s="48">
        <f t="shared" si="27"/>
        <v>3844580.1003764584</v>
      </c>
      <c r="AD56" s="48">
        <f t="shared" si="28"/>
        <v>3671996.2754311925</v>
      </c>
      <c r="AE56" s="48">
        <f t="shared" si="29"/>
        <v>3507159.7664099261</v>
      </c>
      <c r="AF56" s="48">
        <f t="shared" si="30"/>
        <v>3352925.2068928545</v>
      </c>
      <c r="AG56" s="48">
        <f t="shared" si="31"/>
        <v>3166123.896971534</v>
      </c>
      <c r="AH56" s="48">
        <f t="shared" si="38"/>
        <v>2989729.8366114581</v>
      </c>
      <c r="AI56" s="48">
        <f t="shared" si="38"/>
        <v>2801996.0980426036</v>
      </c>
      <c r="AJ56" s="48">
        <f t="shared" si="37"/>
        <v>2623591.8520998158</v>
      </c>
      <c r="AK56" s="10"/>
      <c r="AL56" s="10"/>
      <c r="AM56" s="52"/>
    </row>
    <row r="57" spans="2:39">
      <c r="B57">
        <v>38</v>
      </c>
      <c r="C57" s="36" t="s">
        <v>428</v>
      </c>
      <c r="D57" s="63">
        <v>11100.968999999999</v>
      </c>
      <c r="E57" s="64">
        <v>1988</v>
      </c>
      <c r="F57" s="65">
        <v>2583470.8855513688</v>
      </c>
      <c r="G57" s="77">
        <f t="shared" si="33"/>
        <v>5878438.9255331261</v>
      </c>
      <c r="H57" s="78">
        <v>10</v>
      </c>
      <c r="I57" s="3546">
        <f>$B$189/D57</f>
        <v>0.24875371002384031</v>
      </c>
      <c r="J57" s="490">
        <v>34</v>
      </c>
      <c r="K57" s="36" t="s">
        <v>424</v>
      </c>
      <c r="L57" s="47">
        <f t="shared" si="35"/>
        <v>1410268.5491856288</v>
      </c>
      <c r="M57" s="62">
        <f t="shared" si="11"/>
        <v>3208930.1185287503</v>
      </c>
      <c r="N57" s="48">
        <f t="shared" si="12"/>
        <v>3109428.4094270836</v>
      </c>
      <c r="O57" s="48">
        <f t="shared" si="13"/>
        <v>3054448.3393193353</v>
      </c>
      <c r="P57" s="48">
        <f t="shared" si="14"/>
        <v>3063639.2570906072</v>
      </c>
      <c r="Q57" s="48">
        <f t="shared" si="15"/>
        <v>2942977.1922099977</v>
      </c>
      <c r="R57" s="48">
        <f t="shared" si="16"/>
        <v>2862818.2803599196</v>
      </c>
      <c r="S57" s="48">
        <f t="shared" si="17"/>
        <v>2766008.0003477489</v>
      </c>
      <c r="T57" s="48">
        <f t="shared" si="18"/>
        <v>2675056.0931796408</v>
      </c>
      <c r="U57" s="48">
        <f t="shared" si="19"/>
        <v>2597141.838038486</v>
      </c>
      <c r="V57" s="48">
        <f t="shared" si="20"/>
        <v>2521496.9301344524</v>
      </c>
      <c r="W57" s="48">
        <f t="shared" si="21"/>
        <v>2436228.9180043018</v>
      </c>
      <c r="X57" s="48">
        <f t="shared" si="22"/>
        <v>2351572.3146759667</v>
      </c>
      <c r="Y57" s="48">
        <f t="shared" si="23"/>
        <v>2274247.8865338168</v>
      </c>
      <c r="Z57" s="48">
        <f t="shared" si="24"/>
        <v>2223116.2136205444</v>
      </c>
      <c r="AA57" s="48">
        <f t="shared" si="25"/>
        <v>2183807.6754622245</v>
      </c>
      <c r="AB57" s="48">
        <f t="shared" si="26"/>
        <v>2140987.9171198281</v>
      </c>
      <c r="AC57" s="48">
        <f t="shared" si="27"/>
        <v>2066590.6535905674</v>
      </c>
      <c r="AD57" s="48">
        <f t="shared" si="28"/>
        <v>1973821.0636013062</v>
      </c>
      <c r="AE57" s="48">
        <f t="shared" si="29"/>
        <v>1885215.915569538</v>
      </c>
      <c r="AF57" s="48">
        <f t="shared" si="30"/>
        <v>1802309.6707165756</v>
      </c>
      <c r="AG57" s="48">
        <f t="shared" si="31"/>
        <v>1701897.7060590894</v>
      </c>
      <c r="AH57" s="48">
        <f t="shared" si="38"/>
        <v>1607079.9868357785</v>
      </c>
      <c r="AI57" s="48">
        <f t="shared" si="38"/>
        <v>1506166.8105302516</v>
      </c>
      <c r="AJ57" s="48">
        <f t="shared" si="37"/>
        <v>1410268.5491856288</v>
      </c>
      <c r="AK57" s="10"/>
      <c r="AL57" s="10"/>
      <c r="AM57" s="52"/>
    </row>
    <row r="58" spans="2:39" ht="15" thickBot="1">
      <c r="B58">
        <v>39</v>
      </c>
      <c r="C58" s="450" t="s">
        <v>429</v>
      </c>
      <c r="D58" s="451">
        <v>3330.34</v>
      </c>
      <c r="E58" s="452">
        <v>1988</v>
      </c>
      <c r="F58" s="453">
        <v>722321.65511401207</v>
      </c>
      <c r="G58" s="454">
        <f t="shared" si="33"/>
        <v>1643573.2865909608</v>
      </c>
      <c r="H58" s="455">
        <v>3</v>
      </c>
      <c r="I58" s="3547">
        <f>$B$186/D58</f>
        <v>0.27715495345897873</v>
      </c>
      <c r="J58" s="490">
        <v>35</v>
      </c>
      <c r="K58" s="36" t="s">
        <v>425</v>
      </c>
      <c r="L58" s="47">
        <f t="shared" si="35"/>
        <v>1104285.9450614837</v>
      </c>
      <c r="M58" s="62">
        <f t="shared" si="11"/>
        <v>2512696.2028771364</v>
      </c>
      <c r="N58" s="48">
        <f t="shared" si="12"/>
        <v>2434783.1423228066</v>
      </c>
      <c r="O58" s="48">
        <f t="shared" si="13"/>
        <v>2391731.9669182776</v>
      </c>
      <c r="P58" s="48">
        <f t="shared" si="14"/>
        <v>2398928.7531778109</v>
      </c>
      <c r="Q58" s="48">
        <f t="shared" si="15"/>
        <v>2304446.4487779164</v>
      </c>
      <c r="R58" s="48">
        <f t="shared" si="16"/>
        <v>2241679.4248812417</v>
      </c>
      <c r="S58" s="48">
        <f t="shared" si="17"/>
        <v>2165873.8404649682</v>
      </c>
      <c r="T58" s="48">
        <f t="shared" si="18"/>
        <v>2094655.5517069325</v>
      </c>
      <c r="U58" s="48">
        <f t="shared" si="19"/>
        <v>2033646.1667057597</v>
      </c>
      <c r="V58" s="48">
        <f t="shared" si="20"/>
        <v>1974413.7540832618</v>
      </c>
      <c r="W58" s="48">
        <f t="shared" si="21"/>
        <v>1907646.1392108812</v>
      </c>
      <c r="X58" s="48">
        <f t="shared" si="22"/>
        <v>1841357.2772305803</v>
      </c>
      <c r="Y58" s="48">
        <f t="shared" si="23"/>
        <v>1780809.7458709674</v>
      </c>
      <c r="Z58" s="48">
        <f t="shared" si="24"/>
        <v>1740771.9900986976</v>
      </c>
      <c r="AA58" s="48">
        <f t="shared" si="25"/>
        <v>1709992.1317276007</v>
      </c>
      <c r="AB58" s="48">
        <f t="shared" si="26"/>
        <v>1676462.8742427458</v>
      </c>
      <c r="AC58" s="48">
        <f t="shared" si="27"/>
        <v>1618207.407570218</v>
      </c>
      <c r="AD58" s="48">
        <f t="shared" si="28"/>
        <v>1545565.8142982025</v>
      </c>
      <c r="AE58" s="48">
        <f t="shared" si="29"/>
        <v>1476185.1139428869</v>
      </c>
      <c r="AF58" s="48">
        <f t="shared" si="30"/>
        <v>1411266.8393335438</v>
      </c>
      <c r="AG58" s="48">
        <f t="shared" si="31"/>
        <v>1332641.0192007024</v>
      </c>
      <c r="AH58" s="48">
        <f t="shared" si="38"/>
        <v>1258395.674410484</v>
      </c>
      <c r="AI58" s="48">
        <f t="shared" si="38"/>
        <v>1179377.3893256646</v>
      </c>
      <c r="AJ58" s="48">
        <f t="shared" si="37"/>
        <v>1104285.9450614837</v>
      </c>
      <c r="AK58" s="10"/>
      <c r="AL58" s="10"/>
      <c r="AM58" s="52"/>
    </row>
    <row r="59" spans="2:39" ht="15" thickBot="1">
      <c r="B59" s="2055">
        <v>40</v>
      </c>
      <c r="C59" s="608" t="s">
        <v>430</v>
      </c>
      <c r="D59" s="617">
        <v>4440.5</v>
      </c>
      <c r="E59" s="618">
        <v>1988</v>
      </c>
      <c r="F59" s="619">
        <v>945390.20551608922</v>
      </c>
      <c r="G59" s="620">
        <f t="shared" si="33"/>
        <v>2151144.2668096744</v>
      </c>
      <c r="H59" s="621">
        <v>4</v>
      </c>
      <c r="I59" s="3546">
        <f>$B$187/D59</f>
        <v>0.26560734979221823</v>
      </c>
      <c r="J59" s="490">
        <v>36</v>
      </c>
      <c r="K59" s="36" t="s">
        <v>426</v>
      </c>
      <c r="L59" s="47">
        <f t="shared" si="35"/>
        <v>886520.43135239743</v>
      </c>
      <c r="M59" s="62">
        <f t="shared" si="11"/>
        <v>2017191.7713832231</v>
      </c>
      <c r="N59" s="48">
        <f t="shared" si="12"/>
        <v>1954643.1893248286</v>
      </c>
      <c r="O59" s="48">
        <f t="shared" si="13"/>
        <v>1920081.7183937412</v>
      </c>
      <c r="P59" s="48">
        <f t="shared" si="14"/>
        <v>1925859.296282589</v>
      </c>
      <c r="Q59" s="48">
        <f t="shared" si="15"/>
        <v>1850008.9301465794</v>
      </c>
      <c r="R59" s="48">
        <f t="shared" si="16"/>
        <v>1799619.5818546491</v>
      </c>
      <c r="S59" s="48">
        <f t="shared" si="17"/>
        <v>1738762.8810189848</v>
      </c>
      <c r="T59" s="48">
        <f t="shared" si="18"/>
        <v>1681588.8597862523</v>
      </c>
      <c r="U59" s="48">
        <f t="shared" si="19"/>
        <v>1632610.5434817984</v>
      </c>
      <c r="V59" s="48">
        <f t="shared" si="20"/>
        <v>1585058.7800794158</v>
      </c>
      <c r="W59" s="48">
        <f t="shared" si="21"/>
        <v>1531457.7585308366</v>
      </c>
      <c r="X59" s="48">
        <f t="shared" si="22"/>
        <v>1478241.0796629696</v>
      </c>
      <c r="Y59" s="48">
        <f t="shared" si="23"/>
        <v>1429633.5393258892</v>
      </c>
      <c r="Z59" s="48">
        <f t="shared" si="24"/>
        <v>1397491.2407877706</v>
      </c>
      <c r="AA59" s="48">
        <f t="shared" si="25"/>
        <v>1372781.1795557668</v>
      </c>
      <c r="AB59" s="48">
        <f t="shared" si="26"/>
        <v>1345863.9015252616</v>
      </c>
      <c r="AC59" s="48">
        <f t="shared" si="27"/>
        <v>1299096.4300436887</v>
      </c>
      <c r="AD59" s="48">
        <f t="shared" si="28"/>
        <v>1240779.780366465</v>
      </c>
      <c r="AE59" s="48">
        <f t="shared" si="29"/>
        <v>1185080.9745620487</v>
      </c>
      <c r="AF59" s="48">
        <f t="shared" si="30"/>
        <v>1132964.6028317865</v>
      </c>
      <c r="AG59" s="48">
        <f t="shared" si="31"/>
        <v>1069843.817593755</v>
      </c>
      <c r="AH59" s="48">
        <f t="shared" si="38"/>
        <v>1010239.6766702125</v>
      </c>
      <c r="AI59" s="48">
        <f t="shared" si="38"/>
        <v>946803.82068436046</v>
      </c>
      <c r="AJ59" s="48">
        <f t="shared" si="37"/>
        <v>886520.43135239743</v>
      </c>
      <c r="AK59" s="10"/>
      <c r="AL59" s="10"/>
      <c r="AM59" s="52"/>
    </row>
    <row r="60" spans="2:39">
      <c r="B60">
        <v>41</v>
      </c>
      <c r="C60" s="605" t="s">
        <v>431</v>
      </c>
      <c r="D60" s="613">
        <v>11100.968999999999</v>
      </c>
      <c r="E60" s="2050">
        <v>1988</v>
      </c>
      <c r="F60" s="614">
        <v>2407542.4171320903</v>
      </c>
      <c r="G60" s="615">
        <f t="shared" si="33"/>
        <v>5478130.6570524462</v>
      </c>
      <c r="H60" s="616">
        <v>10</v>
      </c>
      <c r="I60" s="3547">
        <f>$B$189/D60</f>
        <v>0.24875371002384031</v>
      </c>
      <c r="J60" s="490">
        <v>37</v>
      </c>
      <c r="K60" s="36" t="s">
        <v>427</v>
      </c>
      <c r="L60" s="47">
        <f t="shared" si="35"/>
        <v>1356716.2792085872</v>
      </c>
      <c r="M60" s="62">
        <f t="shared" si="11"/>
        <v>3087077.0912140957</v>
      </c>
      <c r="N60" s="48">
        <f t="shared" si="12"/>
        <v>2991353.7705562944</v>
      </c>
      <c r="O60" s="48">
        <f t="shared" si="13"/>
        <v>2938461.464200682</v>
      </c>
      <c r="P60" s="48">
        <f t="shared" si="14"/>
        <v>2947303.3743236531</v>
      </c>
      <c r="Q60" s="48">
        <f t="shared" si="15"/>
        <v>2831223.2222129232</v>
      </c>
      <c r="R60" s="48">
        <f t="shared" si="16"/>
        <v>2754108.1928141275</v>
      </c>
      <c r="S60" s="48">
        <f t="shared" si="17"/>
        <v>2660974.0993373217</v>
      </c>
      <c r="T60" s="48">
        <f t="shared" si="18"/>
        <v>2573475.918121201</v>
      </c>
      <c r="U60" s="48">
        <f t="shared" si="19"/>
        <v>2498520.308855535</v>
      </c>
      <c r="V60" s="48">
        <f t="shared" si="20"/>
        <v>2425747.8726752768</v>
      </c>
      <c r="W60" s="48">
        <f t="shared" si="21"/>
        <v>2343717.7513770792</v>
      </c>
      <c r="X60" s="48">
        <f t="shared" si="22"/>
        <v>2262275.8217925476</v>
      </c>
      <c r="Y60" s="48">
        <f t="shared" si="23"/>
        <v>2187887.6419657134</v>
      </c>
      <c r="Z60" s="48">
        <f t="shared" si="24"/>
        <v>2138697.5972294365</v>
      </c>
      <c r="AA60" s="48">
        <f t="shared" si="25"/>
        <v>2100881.7261585821</v>
      </c>
      <c r="AB60" s="48">
        <f t="shared" si="26"/>
        <v>2059687.9668221395</v>
      </c>
      <c r="AC60" s="48">
        <f t="shared" si="27"/>
        <v>1988115.7980908682</v>
      </c>
      <c r="AD60" s="48">
        <f t="shared" si="28"/>
        <v>1898868.9571068466</v>
      </c>
      <c r="AE60" s="48">
        <f t="shared" si="29"/>
        <v>1813628.4213054888</v>
      </c>
      <c r="AF60" s="48">
        <f t="shared" si="30"/>
        <v>1733870.383657255</v>
      </c>
      <c r="AG60" s="48">
        <f t="shared" si="31"/>
        <v>1637271.3726697403</v>
      </c>
      <c r="AH60" s="48">
        <f t="shared" si="38"/>
        <v>1546054.1762698209</v>
      </c>
      <c r="AI60" s="48">
        <f t="shared" si="38"/>
        <v>1448972.9861947712</v>
      </c>
      <c r="AJ60" s="48">
        <f t="shared" si="37"/>
        <v>1356716.2792085872</v>
      </c>
      <c r="AK60" s="10"/>
      <c r="AL60" s="10"/>
      <c r="AM60" s="52"/>
    </row>
    <row r="61" spans="2:39" ht="15" thickBot="1">
      <c r="B61">
        <v>42</v>
      </c>
      <c r="C61" s="450" t="s">
        <v>432</v>
      </c>
      <c r="D61" s="451">
        <v>5551.78</v>
      </c>
      <c r="E61" s="452">
        <v>1988</v>
      </c>
      <c r="F61" s="453">
        <v>1200187.9552426285</v>
      </c>
      <c r="G61" s="454">
        <f t="shared" si="33"/>
        <v>2730911.9810531698</v>
      </c>
      <c r="H61" s="2056">
        <v>5</v>
      </c>
      <c r="I61" s="3546">
        <f>$B$188/D61</f>
        <v>0.26106626937112781</v>
      </c>
      <c r="J61" s="490">
        <v>38</v>
      </c>
      <c r="K61" s="36" t="s">
        <v>428</v>
      </c>
      <c r="L61" s="47">
        <f t="shared" si="35"/>
        <v>2583470.8855513688</v>
      </c>
      <c r="M61" s="62">
        <f t="shared" si="11"/>
        <v>5878438.9255331261</v>
      </c>
      <c r="N61" s="48">
        <f t="shared" si="12"/>
        <v>5696161.7495476026</v>
      </c>
      <c r="O61" s="48">
        <f t="shared" si="13"/>
        <v>5595443.7618345805</v>
      </c>
      <c r="P61" s="48">
        <f t="shared" si="14"/>
        <v>5612280.6036455166</v>
      </c>
      <c r="Q61" s="48">
        <f t="shared" si="15"/>
        <v>5391239.7729543867</v>
      </c>
      <c r="R61" s="48">
        <f t="shared" si="16"/>
        <v>5244396.6662980411</v>
      </c>
      <c r="S61" s="48">
        <f t="shared" si="17"/>
        <v>5067049.9191285428</v>
      </c>
      <c r="T61" s="48">
        <f t="shared" si="18"/>
        <v>4900435.124882536</v>
      </c>
      <c r="U61" s="48">
        <f t="shared" si="19"/>
        <v>4757704.0047403257</v>
      </c>
      <c r="V61" s="48">
        <f t="shared" si="20"/>
        <v>4619130.1016896367</v>
      </c>
      <c r="W61" s="48">
        <f t="shared" si="21"/>
        <v>4462927.6344827414</v>
      </c>
      <c r="X61" s="48">
        <f t="shared" si="22"/>
        <v>4307845.2070296733</v>
      </c>
      <c r="Y61" s="48">
        <f t="shared" si="23"/>
        <v>4166194.5909377881</v>
      </c>
      <c r="Z61" s="48">
        <f t="shared" si="24"/>
        <v>4072526.4818551205</v>
      </c>
      <c r="AA61" s="48">
        <f t="shared" si="25"/>
        <v>4000517.1727456977</v>
      </c>
      <c r="AB61" s="48">
        <f t="shared" si="26"/>
        <v>3922075.6595546054</v>
      </c>
      <c r="AC61" s="48">
        <f t="shared" si="27"/>
        <v>3785787.3161723991</v>
      </c>
      <c r="AD61" s="48">
        <f t="shared" si="28"/>
        <v>3615842.7088561598</v>
      </c>
      <c r="AE61" s="48">
        <f t="shared" si="29"/>
        <v>3453526.9425560269</v>
      </c>
      <c r="AF61" s="48">
        <f t="shared" si="30"/>
        <v>3301650.9967074827</v>
      </c>
      <c r="AG61" s="48">
        <f t="shared" si="31"/>
        <v>3117706.3236142425</v>
      </c>
      <c r="AH61" s="48">
        <f t="shared" si="38"/>
        <v>2944009.7484553754</v>
      </c>
      <c r="AI61" s="48">
        <f t="shared" si="38"/>
        <v>2759146.905768862</v>
      </c>
      <c r="AJ61" s="48">
        <f t="shared" si="37"/>
        <v>2583470.8855513688</v>
      </c>
      <c r="AK61" s="10"/>
      <c r="AL61" s="10"/>
      <c r="AM61" s="52"/>
    </row>
    <row r="62" spans="2:39" ht="15" thickBot="1">
      <c r="B62" s="2055">
        <v>43</v>
      </c>
      <c r="C62" s="608" t="s">
        <v>433</v>
      </c>
      <c r="D62" s="617">
        <v>4440.5</v>
      </c>
      <c r="E62" s="618">
        <v>1988</v>
      </c>
      <c r="F62" s="619">
        <v>1084883.5439880758</v>
      </c>
      <c r="G62" s="620">
        <f t="shared" si="33"/>
        <v>2468547.9098359393</v>
      </c>
      <c r="H62" s="621">
        <v>4</v>
      </c>
      <c r="I62" s="3547">
        <f>$B$187/D62</f>
        <v>0.26560734979221823</v>
      </c>
      <c r="J62" s="490">
        <v>39</v>
      </c>
      <c r="K62" s="36" t="s">
        <v>429</v>
      </c>
      <c r="L62" s="47">
        <f t="shared" si="35"/>
        <v>722321.65511401207</v>
      </c>
      <c r="M62" s="62">
        <f t="shared" si="11"/>
        <v>1643573.2865909608</v>
      </c>
      <c r="N62" s="48">
        <f t="shared" si="12"/>
        <v>1592609.7738284504</v>
      </c>
      <c r="O62" s="48">
        <f t="shared" si="13"/>
        <v>1564449.6795957272</v>
      </c>
      <c r="P62" s="48">
        <f t="shared" si="14"/>
        <v>1569157.1510488738</v>
      </c>
      <c r="Q62" s="48">
        <f t="shared" si="15"/>
        <v>1507355.5725733659</v>
      </c>
      <c r="R62" s="48">
        <f t="shared" si="16"/>
        <v>1466299.195110278</v>
      </c>
      <c r="S62" s="48">
        <f t="shared" si="17"/>
        <v>1416714.1981741816</v>
      </c>
      <c r="T62" s="48">
        <f t="shared" si="18"/>
        <v>1370129.7854682608</v>
      </c>
      <c r="U62" s="48">
        <f t="shared" si="19"/>
        <v>1330223.0926876317</v>
      </c>
      <c r="V62" s="48">
        <f t="shared" si="20"/>
        <v>1291478.730764691</v>
      </c>
      <c r="W62" s="48">
        <f t="shared" si="21"/>
        <v>1247805.536970716</v>
      </c>
      <c r="X62" s="48">
        <f t="shared" si="22"/>
        <v>1204445.4990064825</v>
      </c>
      <c r="Y62" s="48">
        <f t="shared" si="23"/>
        <v>1164840.9081300604</v>
      </c>
      <c r="Z62" s="48">
        <f t="shared" si="24"/>
        <v>1138651.9141056309</v>
      </c>
      <c r="AA62" s="48">
        <f t="shared" si="25"/>
        <v>1118518.5796715431</v>
      </c>
      <c r="AB62" s="48">
        <f t="shared" si="26"/>
        <v>1096586.8428152383</v>
      </c>
      <c r="AC62" s="48">
        <f t="shared" si="27"/>
        <v>1058481.5085089172</v>
      </c>
      <c r="AD62" s="48">
        <f t="shared" si="28"/>
        <v>1010966.1017277148</v>
      </c>
      <c r="AE62" s="48">
        <f t="shared" si="29"/>
        <v>965583.66927193396</v>
      </c>
      <c r="AF62" s="48">
        <f t="shared" si="30"/>
        <v>923120.14270739385</v>
      </c>
      <c r="AG62" s="48">
        <f t="shared" si="31"/>
        <v>871690.40859999426</v>
      </c>
      <c r="AH62" s="48">
        <f t="shared" si="38"/>
        <v>823125.97601510317</v>
      </c>
      <c r="AI62" s="48">
        <f t="shared" si="38"/>
        <v>771439.52766176499</v>
      </c>
      <c r="AJ62" s="48">
        <f t="shared" si="37"/>
        <v>722321.65511401207</v>
      </c>
      <c r="AK62" s="10"/>
      <c r="AL62" s="10"/>
      <c r="AM62" s="52"/>
    </row>
    <row r="63" spans="2:39">
      <c r="B63">
        <v>44</v>
      </c>
      <c r="C63" s="605" t="s">
        <v>434</v>
      </c>
      <c r="D63" s="613">
        <v>3330.34</v>
      </c>
      <c r="E63" s="2050">
        <v>1988</v>
      </c>
      <c r="F63" s="614">
        <v>860389.87427427806</v>
      </c>
      <c r="G63" s="615">
        <f t="shared" si="33"/>
        <v>1957734.2080203225</v>
      </c>
      <c r="H63" s="616">
        <v>3</v>
      </c>
      <c r="I63" s="3546">
        <f>$B$186/D63</f>
        <v>0.27715495345897873</v>
      </c>
      <c r="J63" s="490">
        <v>40</v>
      </c>
      <c r="K63" s="36" t="s">
        <v>430</v>
      </c>
      <c r="L63" s="47">
        <f t="shared" si="35"/>
        <v>945390.20551608922</v>
      </c>
      <c r="M63" s="62">
        <f t="shared" si="11"/>
        <v>2151144.2668096744</v>
      </c>
      <c r="N63" s="48">
        <f t="shared" si="12"/>
        <v>2084442.1190016225</v>
      </c>
      <c r="O63" s="48">
        <f t="shared" si="13"/>
        <v>2047585.5785870554</v>
      </c>
      <c r="P63" s="48">
        <f t="shared" si="14"/>
        <v>2053746.8190441879</v>
      </c>
      <c r="Q63" s="48">
        <f t="shared" si="15"/>
        <v>1972859.5764113239</v>
      </c>
      <c r="R63" s="48">
        <f t="shared" si="16"/>
        <v>1919124.1015674355</v>
      </c>
      <c r="S63" s="48">
        <f t="shared" si="17"/>
        <v>1854226.1850893099</v>
      </c>
      <c r="T63" s="48">
        <f t="shared" si="18"/>
        <v>1793255.4981521373</v>
      </c>
      <c r="U63" s="48">
        <f t="shared" si="19"/>
        <v>1741024.7554875119</v>
      </c>
      <c r="V63" s="48">
        <f t="shared" si="20"/>
        <v>1690315.2965898174</v>
      </c>
      <c r="W63" s="48">
        <f t="shared" si="21"/>
        <v>1633154.8759321908</v>
      </c>
      <c r="X63" s="48">
        <f t="shared" si="22"/>
        <v>1576404.3203978676</v>
      </c>
      <c r="Y63" s="48">
        <f t="shared" si="23"/>
        <v>1524568.9752397172</v>
      </c>
      <c r="Z63" s="48">
        <f t="shared" si="24"/>
        <v>1490292.2534112583</v>
      </c>
      <c r="AA63" s="48">
        <f t="shared" si="25"/>
        <v>1463941.3098342419</v>
      </c>
      <c r="AB63" s="48">
        <f t="shared" si="26"/>
        <v>1435236.5782688647</v>
      </c>
      <c r="AC63" s="48">
        <f t="shared" si="27"/>
        <v>1385363.4925375141</v>
      </c>
      <c r="AD63" s="48">
        <f t="shared" si="28"/>
        <v>1323174.300417874</v>
      </c>
      <c r="AE63" s="48">
        <f t="shared" si="29"/>
        <v>1263776.7912300613</v>
      </c>
      <c r="AF63" s="48">
        <f t="shared" si="30"/>
        <v>1208199.6092065596</v>
      </c>
      <c r="AG63" s="48">
        <f t="shared" si="31"/>
        <v>1140887.260818281</v>
      </c>
      <c r="AH63" s="48">
        <f t="shared" si="38"/>
        <v>1077325.0810370925</v>
      </c>
      <c r="AI63" s="48">
        <f t="shared" si="38"/>
        <v>1009676.7394911833</v>
      </c>
      <c r="AJ63" s="48">
        <f t="shared" si="37"/>
        <v>945390.20551608922</v>
      </c>
      <c r="AK63" s="10"/>
      <c r="AL63" s="10"/>
      <c r="AM63" s="52"/>
    </row>
    <row r="64" spans="2:39">
      <c r="B64">
        <v>45</v>
      </c>
      <c r="C64" s="36" t="s">
        <v>435</v>
      </c>
      <c r="D64" s="63">
        <v>5551.78</v>
      </c>
      <c r="E64" s="64">
        <v>1988</v>
      </c>
      <c r="F64" s="65">
        <v>1339819.6300061303</v>
      </c>
      <c r="G64" s="77">
        <f t="shared" si="33"/>
        <v>3048630.3949736618</v>
      </c>
      <c r="H64" s="78">
        <v>5</v>
      </c>
      <c r="I64" s="3547"/>
      <c r="J64" s="490">
        <v>41</v>
      </c>
      <c r="K64" s="36" t="s">
        <v>431</v>
      </c>
      <c r="L64" s="47">
        <f t="shared" si="35"/>
        <v>2407542.4171320903</v>
      </c>
      <c r="M64" s="62">
        <f t="shared" si="11"/>
        <v>5478130.6570524462</v>
      </c>
      <c r="N64" s="48">
        <f t="shared" si="12"/>
        <v>5308266.1405546954</v>
      </c>
      <c r="O64" s="48">
        <f t="shared" si="13"/>
        <v>5214406.817833689</v>
      </c>
      <c r="P64" s="48">
        <f t="shared" si="14"/>
        <v>5230097.109161173</v>
      </c>
      <c r="Q64" s="48">
        <f t="shared" si="15"/>
        <v>5024108.6543335002</v>
      </c>
      <c r="R64" s="48">
        <f t="shared" si="16"/>
        <v>4887265.2279508756</v>
      </c>
      <c r="S64" s="48">
        <f t="shared" si="17"/>
        <v>4721995.3893245179</v>
      </c>
      <c r="T64" s="48">
        <f t="shared" si="18"/>
        <v>4566726.682132029</v>
      </c>
      <c r="U64" s="48">
        <f t="shared" si="19"/>
        <v>4433715.2253709016</v>
      </c>
      <c r="V64" s="48">
        <f t="shared" si="20"/>
        <v>4304577.8887096131</v>
      </c>
      <c r="W64" s="48">
        <f t="shared" si="21"/>
        <v>4159012.4528595298</v>
      </c>
      <c r="X64" s="48">
        <f t="shared" si="22"/>
        <v>4014490.7846134454</v>
      </c>
      <c r="Y64" s="48">
        <f t="shared" si="23"/>
        <v>3882486.2520439508</v>
      </c>
      <c r="Z64" s="48">
        <f t="shared" si="24"/>
        <v>3795196.7273156904</v>
      </c>
      <c r="AA64" s="48">
        <f t="shared" si="25"/>
        <v>3728091.0877364343</v>
      </c>
      <c r="AB64" s="48">
        <f t="shared" si="26"/>
        <v>3654991.2624867004</v>
      </c>
      <c r="AC64" s="48">
        <f t="shared" si="27"/>
        <v>3527983.8440991314</v>
      </c>
      <c r="AD64" s="48">
        <f t="shared" si="28"/>
        <v>3369612.0765034687</v>
      </c>
      <c r="AE64" s="48">
        <f t="shared" si="29"/>
        <v>3218349.6432697889</v>
      </c>
      <c r="AF64" s="48">
        <f t="shared" si="30"/>
        <v>3076816.1025523795</v>
      </c>
      <c r="AG64" s="48">
        <f t="shared" si="31"/>
        <v>2905397.6416925211</v>
      </c>
      <c r="AH64" s="48">
        <f t="shared" si="38"/>
        <v>2743529.4066973762</v>
      </c>
      <c r="AI64" s="48">
        <f t="shared" si="38"/>
        <v>2571255.3014970724</v>
      </c>
      <c r="AJ64" s="48">
        <f t="shared" si="37"/>
        <v>2407542.4171320903</v>
      </c>
      <c r="AK64" s="10"/>
      <c r="AL64" s="10"/>
      <c r="AM64" s="52"/>
    </row>
    <row r="65" spans="2:39">
      <c r="B65">
        <v>46</v>
      </c>
      <c r="C65" s="36" t="s">
        <v>436</v>
      </c>
      <c r="D65" s="63">
        <v>11100.968999999999</v>
      </c>
      <c r="E65" s="64">
        <v>1988</v>
      </c>
      <c r="F65" s="65">
        <v>2591511.0919040064</v>
      </c>
      <c r="G65" s="77">
        <f t="shared" si="33"/>
        <v>5896733.6399256904</v>
      </c>
      <c r="H65" s="78">
        <v>10</v>
      </c>
      <c r="I65" s="3546">
        <f>$B$189/D65</f>
        <v>0.24875371002384031</v>
      </c>
      <c r="J65" s="490">
        <v>42</v>
      </c>
      <c r="K65" s="36" t="s">
        <v>432</v>
      </c>
      <c r="L65" s="47">
        <f t="shared" si="35"/>
        <v>1200187.9552426285</v>
      </c>
      <c r="M65" s="62">
        <f t="shared" si="11"/>
        <v>2730911.9810531698</v>
      </c>
      <c r="N65" s="48">
        <f t="shared" si="12"/>
        <v>2646232.5397802033</v>
      </c>
      <c r="O65" s="48">
        <f t="shared" si="13"/>
        <v>2599442.57345796</v>
      </c>
      <c r="P65" s="48">
        <f t="shared" si="14"/>
        <v>2607264.366557633</v>
      </c>
      <c r="Q65" s="48">
        <f t="shared" si="15"/>
        <v>2504576.7209967659</v>
      </c>
      <c r="R65" s="48">
        <f t="shared" si="16"/>
        <v>2436358.6780124181</v>
      </c>
      <c r="S65" s="48">
        <f t="shared" si="17"/>
        <v>2353969.7372100661</v>
      </c>
      <c r="T65" s="48">
        <f t="shared" si="18"/>
        <v>2276566.4769923268</v>
      </c>
      <c r="U65" s="48">
        <f t="shared" si="19"/>
        <v>2210258.715526531</v>
      </c>
      <c r="V65" s="48">
        <f t="shared" si="20"/>
        <v>2145882.2480840106</v>
      </c>
      <c r="W65" s="48">
        <f t="shared" si="21"/>
        <v>2073316.1817236817</v>
      </c>
      <c r="X65" s="48">
        <f t="shared" si="22"/>
        <v>2001270.4456792295</v>
      </c>
      <c r="Y65" s="48">
        <f t="shared" si="23"/>
        <v>1935464.6476588291</v>
      </c>
      <c r="Z65" s="48">
        <f t="shared" si="24"/>
        <v>1891949.8022080443</v>
      </c>
      <c r="AA65" s="48">
        <f t="shared" si="25"/>
        <v>1858496.8587505347</v>
      </c>
      <c r="AB65" s="48">
        <f t="shared" si="26"/>
        <v>1822055.7438730733</v>
      </c>
      <c r="AC65" s="48">
        <f t="shared" si="27"/>
        <v>1758741.0655145494</v>
      </c>
      <c r="AD65" s="48">
        <f t="shared" si="28"/>
        <v>1679790.8935191494</v>
      </c>
      <c r="AE65" s="48">
        <f t="shared" si="29"/>
        <v>1604384.8075636576</v>
      </c>
      <c r="AF65" s="48">
        <f t="shared" si="30"/>
        <v>1533828.6879193666</v>
      </c>
      <c r="AG65" s="48">
        <f t="shared" si="31"/>
        <v>1448374.5872704124</v>
      </c>
      <c r="AH65" s="48">
        <f t="shared" si="38"/>
        <v>1367681.3855244687</v>
      </c>
      <c r="AI65" s="48">
        <f t="shared" si="38"/>
        <v>1281800.7361991273</v>
      </c>
      <c r="AJ65" s="48">
        <f t="shared" si="37"/>
        <v>1200187.9552426285</v>
      </c>
      <c r="AK65" s="10"/>
      <c r="AL65" s="10"/>
      <c r="AM65" s="52"/>
    </row>
    <row r="66" spans="2:39" ht="15" thickBot="1">
      <c r="B66">
        <v>47</v>
      </c>
      <c r="C66" s="450" t="s">
        <v>437</v>
      </c>
      <c r="D66" s="451">
        <v>3330.34</v>
      </c>
      <c r="E66" s="452">
        <v>1988</v>
      </c>
      <c r="F66" s="453">
        <v>693359.67053357861</v>
      </c>
      <c r="G66" s="454">
        <f t="shared" si="33"/>
        <v>1577673.0829267818</v>
      </c>
      <c r="H66" s="455">
        <v>3</v>
      </c>
      <c r="I66" s="3547"/>
      <c r="J66" s="490">
        <v>43</v>
      </c>
      <c r="K66" s="36" t="s">
        <v>433</v>
      </c>
      <c r="L66" s="47">
        <f t="shared" si="35"/>
        <v>1084883.5439880758</v>
      </c>
      <c r="M66" s="62">
        <f t="shared" si="11"/>
        <v>2468547.9098359393</v>
      </c>
      <c r="N66" s="48">
        <f t="shared" si="12"/>
        <v>2392003.7886007163</v>
      </c>
      <c r="O66" s="48">
        <f t="shared" si="13"/>
        <v>2349709.0261303694</v>
      </c>
      <c r="P66" s="48">
        <f t="shared" si="14"/>
        <v>2356779.3642230383</v>
      </c>
      <c r="Q66" s="48">
        <f t="shared" si="15"/>
        <v>2263957.1222123327</v>
      </c>
      <c r="R66" s="48">
        <f t="shared" si="16"/>
        <v>2202292.9204400121</v>
      </c>
      <c r="S66" s="48">
        <f t="shared" si="17"/>
        <v>2127819.2468019444</v>
      </c>
      <c r="T66" s="48">
        <f t="shared" si="18"/>
        <v>2057852.2696343758</v>
      </c>
      <c r="U66" s="48">
        <f t="shared" si="19"/>
        <v>1997914.8248877435</v>
      </c>
      <c r="V66" s="48">
        <f t="shared" si="20"/>
        <v>1939723.1309589741</v>
      </c>
      <c r="W66" s="48">
        <f t="shared" si="21"/>
        <v>1874128.6289458689</v>
      </c>
      <c r="X66" s="48">
        <f t="shared" si="22"/>
        <v>1809004.4680944681</v>
      </c>
      <c r="Y66" s="48">
        <f t="shared" si="23"/>
        <v>1749520.7621803365</v>
      </c>
      <c r="Z66" s="48">
        <f t="shared" si="24"/>
        <v>1710186.4732945617</v>
      </c>
      <c r="AA66" s="48">
        <f t="shared" si="25"/>
        <v>1679947.4197392552</v>
      </c>
      <c r="AB66" s="48">
        <f t="shared" si="26"/>
        <v>1647007.2742541716</v>
      </c>
      <c r="AC66" s="48">
        <f t="shared" si="27"/>
        <v>1589775.3612492003</v>
      </c>
      <c r="AD66" s="48">
        <f t="shared" si="28"/>
        <v>1518410.0871530089</v>
      </c>
      <c r="AE66" s="48">
        <f t="shared" si="29"/>
        <v>1450248.4117984804</v>
      </c>
      <c r="AF66" s="48">
        <f t="shared" si="30"/>
        <v>1386470.7569775146</v>
      </c>
      <c r="AG66" s="48">
        <f t="shared" si="31"/>
        <v>1309226.3994121952</v>
      </c>
      <c r="AH66" s="48">
        <f t="shared" si="38"/>
        <v>1236285.5518528756</v>
      </c>
      <c r="AI66" s="48">
        <f t="shared" si="38"/>
        <v>1158655.624979265</v>
      </c>
      <c r="AJ66" s="48">
        <f t="shared" si="37"/>
        <v>1084883.5439880758</v>
      </c>
      <c r="AK66" s="10"/>
      <c r="AL66" s="10"/>
      <c r="AM66" s="52"/>
    </row>
    <row r="67" spans="2:39" ht="15" thickBot="1">
      <c r="B67" s="2055">
        <v>48</v>
      </c>
      <c r="C67" s="608" t="s">
        <v>438</v>
      </c>
      <c r="D67" s="617">
        <v>4440.5</v>
      </c>
      <c r="E67" s="618">
        <v>1988</v>
      </c>
      <c r="F67" s="619">
        <v>920793.53019484831</v>
      </c>
      <c r="G67" s="620">
        <f t="shared" ref="G67:G98" si="39">M71</f>
        <v>2095176.9035017565</v>
      </c>
      <c r="H67" s="621">
        <v>4</v>
      </c>
      <c r="I67" s="3546">
        <f>$B$187/D67</f>
        <v>0.26560734979221823</v>
      </c>
      <c r="J67" s="490">
        <v>44</v>
      </c>
      <c r="K67" s="36" t="s">
        <v>434</v>
      </c>
      <c r="L67" s="47">
        <f t="shared" si="35"/>
        <v>860389.87427427806</v>
      </c>
      <c r="M67" s="62">
        <f t="shared" si="11"/>
        <v>1957734.2080203225</v>
      </c>
      <c r="N67" s="48">
        <f t="shared" si="12"/>
        <v>1897029.2713375217</v>
      </c>
      <c r="O67" s="48">
        <f t="shared" si="13"/>
        <v>1863486.5140840095</v>
      </c>
      <c r="P67" s="48">
        <f t="shared" si="14"/>
        <v>1869093.7954704207</v>
      </c>
      <c r="Q67" s="48">
        <f t="shared" si="15"/>
        <v>1795479.1503078011</v>
      </c>
      <c r="R67" s="48">
        <f t="shared" si="16"/>
        <v>1746575.0489375496</v>
      </c>
      <c r="S67" s="48">
        <f t="shared" si="17"/>
        <v>1687512.1245773428</v>
      </c>
      <c r="T67" s="48">
        <f t="shared" si="18"/>
        <v>1632023.3313127107</v>
      </c>
      <c r="U67" s="48">
        <f t="shared" si="19"/>
        <v>1584488.6711773889</v>
      </c>
      <c r="V67" s="48">
        <f t="shared" si="20"/>
        <v>1538338.5157062027</v>
      </c>
      <c r="W67" s="48">
        <f t="shared" si="21"/>
        <v>1486317.4064794229</v>
      </c>
      <c r="X67" s="48">
        <f t="shared" si="22"/>
        <v>1434669.3112735741</v>
      </c>
      <c r="Y67" s="48">
        <f t="shared" si="23"/>
        <v>1387494.4983303424</v>
      </c>
      <c r="Z67" s="48">
        <f t="shared" si="24"/>
        <v>1356299.6073610387</v>
      </c>
      <c r="AA67" s="48">
        <f t="shared" si="25"/>
        <v>1332317.8854234172</v>
      </c>
      <c r="AB67" s="48">
        <f t="shared" si="26"/>
        <v>1306194.0053170756</v>
      </c>
      <c r="AC67" s="48">
        <f t="shared" si="27"/>
        <v>1260805.0244373316</v>
      </c>
      <c r="AD67" s="48">
        <f t="shared" si="28"/>
        <v>1204207.2821751018</v>
      </c>
      <c r="AE67" s="48">
        <f t="shared" si="29"/>
        <v>1150150.2217527239</v>
      </c>
      <c r="AF67" s="48">
        <f t="shared" si="30"/>
        <v>1099570.0016756442</v>
      </c>
      <c r="AG67" s="48">
        <f t="shared" si="31"/>
        <v>1038309.7277390407</v>
      </c>
      <c r="AH67" s="48">
        <f t="shared" si="38"/>
        <v>980462.44356849929</v>
      </c>
      <c r="AI67" s="48">
        <f t="shared" si="38"/>
        <v>918896.38572492904</v>
      </c>
      <c r="AJ67" s="48">
        <f t="shared" si="37"/>
        <v>860389.87427427806</v>
      </c>
      <c r="AK67" s="10"/>
      <c r="AL67" s="10"/>
      <c r="AM67" s="52"/>
    </row>
    <row r="68" spans="2:39">
      <c r="B68">
        <v>49</v>
      </c>
      <c r="C68" s="605" t="s">
        <v>439</v>
      </c>
      <c r="D68" s="613">
        <v>5551.78</v>
      </c>
      <c r="E68" s="2050">
        <v>1988</v>
      </c>
      <c r="F68" s="614">
        <v>1179782.4460110827</v>
      </c>
      <c r="G68" s="615">
        <f t="shared" si="39"/>
        <v>2684481.2121086055</v>
      </c>
      <c r="H68" s="616">
        <v>5</v>
      </c>
      <c r="I68" s="3547">
        <f>$B$188/D68</f>
        <v>0.26106626937112781</v>
      </c>
      <c r="J68" s="490">
        <v>45</v>
      </c>
      <c r="K68" s="36" t="s">
        <v>435</v>
      </c>
      <c r="L68" s="47">
        <f t="shared" si="35"/>
        <v>1339819.6300061303</v>
      </c>
      <c r="M68" s="62">
        <f t="shared" si="11"/>
        <v>3048630.3949736618</v>
      </c>
      <c r="N68" s="48">
        <f t="shared" si="12"/>
        <v>2954099.2199357185</v>
      </c>
      <c r="O68" s="48">
        <f t="shared" si="13"/>
        <v>2901865.6384437312</v>
      </c>
      <c r="P68" s="48">
        <f t="shared" si="14"/>
        <v>2910597.4307359392</v>
      </c>
      <c r="Q68" s="48">
        <f t="shared" si="15"/>
        <v>2795962.9497943702</v>
      </c>
      <c r="R68" s="48">
        <f t="shared" si="16"/>
        <v>2719808.3169205934</v>
      </c>
      <c r="S68" s="48">
        <f t="shared" si="17"/>
        <v>2627834.1226285929</v>
      </c>
      <c r="T68" s="48">
        <f t="shared" si="18"/>
        <v>2541425.6505112117</v>
      </c>
      <c r="U68" s="48">
        <f t="shared" si="19"/>
        <v>2467403.5441856422</v>
      </c>
      <c r="V68" s="48">
        <f t="shared" si="20"/>
        <v>2395537.4215394584</v>
      </c>
      <c r="W68" s="48">
        <f t="shared" si="21"/>
        <v>2314528.9096999601</v>
      </c>
      <c r="X68" s="48">
        <f t="shared" si="22"/>
        <v>2234101.2641891507</v>
      </c>
      <c r="Y68" s="48">
        <f t="shared" si="23"/>
        <v>2160639.5204924089</v>
      </c>
      <c r="Z68" s="48">
        <f t="shared" si="24"/>
        <v>2112062.0923679462</v>
      </c>
      <c r="AA68" s="48">
        <f t="shared" si="25"/>
        <v>2074717.1830726387</v>
      </c>
      <c r="AB68" s="48">
        <f t="shared" si="26"/>
        <v>2034036.4539927831</v>
      </c>
      <c r="AC68" s="48">
        <f t="shared" si="27"/>
        <v>1963355.6505721845</v>
      </c>
      <c r="AD68" s="48">
        <f t="shared" si="28"/>
        <v>1875220.2966305488</v>
      </c>
      <c r="AE68" s="48">
        <f t="shared" si="29"/>
        <v>1791041.3530377736</v>
      </c>
      <c r="AF68" s="48">
        <f t="shared" si="30"/>
        <v>1712276.6281431869</v>
      </c>
      <c r="AG68" s="48">
        <f t="shared" si="31"/>
        <v>1616880.6686904505</v>
      </c>
      <c r="AH68" s="48">
        <f t="shared" si="38"/>
        <v>1526799.4982912659</v>
      </c>
      <c r="AI68" s="48">
        <f t="shared" si="38"/>
        <v>1430927.3648465474</v>
      </c>
      <c r="AJ68" s="48">
        <f t="shared" si="37"/>
        <v>1339819.6300061303</v>
      </c>
      <c r="AK68" s="10"/>
      <c r="AL68" s="10"/>
      <c r="AM68" s="52"/>
    </row>
    <row r="69" spans="2:39">
      <c r="B69">
        <v>50</v>
      </c>
      <c r="C69" s="36" t="s">
        <v>440</v>
      </c>
      <c r="D69" s="63">
        <v>11100.968999999999</v>
      </c>
      <c r="E69" s="64">
        <v>1988</v>
      </c>
      <c r="F69" s="65">
        <v>2414553.8293435145</v>
      </c>
      <c r="G69" s="77">
        <f t="shared" si="39"/>
        <v>5494084.4495635638</v>
      </c>
      <c r="H69" s="78">
        <v>10</v>
      </c>
      <c r="I69" s="3546">
        <f t="shared" ref="I69:I73" si="40">$B$189/D69</f>
        <v>0.24875371002384031</v>
      </c>
      <c r="J69" s="490">
        <v>46</v>
      </c>
      <c r="K69" s="36" t="s">
        <v>436</v>
      </c>
      <c r="L69" s="47">
        <f t="shared" si="35"/>
        <v>2591511.0919040064</v>
      </c>
      <c r="M69" s="62">
        <f t="shared" si="11"/>
        <v>5896733.6399256904</v>
      </c>
      <c r="N69" s="48">
        <f t="shared" si="12"/>
        <v>5713889.1859745057</v>
      </c>
      <c r="O69" s="48">
        <f t="shared" si="13"/>
        <v>5612857.7465368425</v>
      </c>
      <c r="P69" s="48">
        <f t="shared" si="14"/>
        <v>5629746.9874993404</v>
      </c>
      <c r="Q69" s="48">
        <f t="shared" si="15"/>
        <v>5408018.2396727577</v>
      </c>
      <c r="R69" s="48">
        <f t="shared" si="16"/>
        <v>5260718.1319773905</v>
      </c>
      <c r="S69" s="48">
        <f t="shared" si="17"/>
        <v>5082819.4511858849</v>
      </c>
      <c r="T69" s="48">
        <f t="shared" si="18"/>
        <v>4915686.1230037566</v>
      </c>
      <c r="U69" s="48">
        <f t="shared" si="19"/>
        <v>4772510.7990327729</v>
      </c>
      <c r="V69" s="48">
        <f t="shared" si="20"/>
        <v>4633505.6301289052</v>
      </c>
      <c r="W69" s="48">
        <f t="shared" si="21"/>
        <v>4476817.0339409718</v>
      </c>
      <c r="X69" s="48">
        <f t="shared" si="22"/>
        <v>4321251.9632634865</v>
      </c>
      <c r="Y69" s="48">
        <f t="shared" si="23"/>
        <v>4179160.5060575302</v>
      </c>
      <c r="Z69" s="48">
        <f t="shared" si="24"/>
        <v>4085200.8856867356</v>
      </c>
      <c r="AA69" s="48">
        <f t="shared" si="25"/>
        <v>4012967.4712050445</v>
      </c>
      <c r="AB69" s="48">
        <f t="shared" si="26"/>
        <v>3934281.8345147497</v>
      </c>
      <c r="AC69" s="48">
        <f t="shared" si="27"/>
        <v>3797569.3383347006</v>
      </c>
      <c r="AD69" s="48">
        <f t="shared" si="28"/>
        <v>3627095.8341305642</v>
      </c>
      <c r="AE69" s="48">
        <f t="shared" si="29"/>
        <v>3464274.9132097084</v>
      </c>
      <c r="AF69" s="48">
        <f t="shared" si="30"/>
        <v>3311926.3032597592</v>
      </c>
      <c r="AG69" s="48">
        <f t="shared" si="31"/>
        <v>3127409.1626626621</v>
      </c>
      <c r="AH69" s="48">
        <f t="shared" si="38"/>
        <v>2953172.0138457622</v>
      </c>
      <c r="AI69" s="48">
        <f t="shared" si="38"/>
        <v>2767733.8461534791</v>
      </c>
      <c r="AJ69" s="48">
        <f t="shared" si="37"/>
        <v>2591511.0919040064</v>
      </c>
      <c r="AK69" s="10"/>
      <c r="AL69" s="10"/>
      <c r="AM69" s="52"/>
    </row>
    <row r="70" spans="2:39">
      <c r="B70">
        <v>51</v>
      </c>
      <c r="C70" s="36" t="s">
        <v>441</v>
      </c>
      <c r="D70" s="63">
        <v>12210.968999999999</v>
      </c>
      <c r="E70" s="64">
        <v>1988</v>
      </c>
      <c r="F70" s="65">
        <v>2509043.4721623808</v>
      </c>
      <c r="G70" s="77">
        <f t="shared" si="39"/>
        <v>5709086.5219742227</v>
      </c>
      <c r="H70" s="78">
        <v>10</v>
      </c>
      <c r="I70" s="3547">
        <f t="shared" si="40"/>
        <v>0.22614153091451142</v>
      </c>
      <c r="J70" s="490">
        <v>47</v>
      </c>
      <c r="K70" s="36" t="s">
        <v>437</v>
      </c>
      <c r="L70" s="47">
        <f t="shared" si="35"/>
        <v>693359.67053357861</v>
      </c>
      <c r="M70" s="62">
        <f t="shared" si="11"/>
        <v>1577673.0829267818</v>
      </c>
      <c r="N70" s="48">
        <f t="shared" si="12"/>
        <v>1528752.9873321529</v>
      </c>
      <c r="O70" s="48">
        <f t="shared" si="13"/>
        <v>1501721.9914854155</v>
      </c>
      <c r="P70" s="48">
        <f t="shared" si="14"/>
        <v>1506240.7136262944</v>
      </c>
      <c r="Q70" s="48">
        <f t="shared" si="15"/>
        <v>1446917.1120329439</v>
      </c>
      <c r="R70" s="48">
        <f t="shared" si="16"/>
        <v>1407506.9183199843</v>
      </c>
      <c r="S70" s="48">
        <f t="shared" si="17"/>
        <v>1359910.0660096467</v>
      </c>
      <c r="T70" s="48">
        <f t="shared" si="18"/>
        <v>1315193.4874367956</v>
      </c>
      <c r="U70" s="48">
        <f t="shared" si="19"/>
        <v>1276886.8810065975</v>
      </c>
      <c r="V70" s="48">
        <f t="shared" si="20"/>
        <v>1239696.0009772792</v>
      </c>
      <c r="W70" s="48">
        <f t="shared" si="21"/>
        <v>1197773.9139877094</v>
      </c>
      <c r="X70" s="48">
        <f t="shared" si="22"/>
        <v>1156152.4266290632</v>
      </c>
      <c r="Y70" s="48">
        <f t="shared" si="23"/>
        <v>1118135.8091190166</v>
      </c>
      <c r="Z70" s="48">
        <f t="shared" si="24"/>
        <v>1092996.8808592539</v>
      </c>
      <c r="AA70" s="48">
        <f t="shared" si="25"/>
        <v>1073670.8063450432</v>
      </c>
      <c r="AB70" s="48">
        <f t="shared" si="26"/>
        <v>1052618.4375931795</v>
      </c>
      <c r="AC70" s="48">
        <f t="shared" si="27"/>
        <v>1016040.9629277795</v>
      </c>
      <c r="AD70" s="48">
        <f t="shared" si="28"/>
        <v>970430.71912872931</v>
      </c>
      <c r="AE70" s="48">
        <f t="shared" si="29"/>
        <v>926867.92657949321</v>
      </c>
      <c r="AF70" s="48">
        <f t="shared" si="30"/>
        <v>886107.00437810051</v>
      </c>
      <c r="AG70" s="48">
        <f t="shared" si="31"/>
        <v>836739.38090472191</v>
      </c>
      <c r="AH70" s="48">
        <f t="shared" si="38"/>
        <v>790122.17271456274</v>
      </c>
      <c r="AI70" s="48">
        <f t="shared" si="38"/>
        <v>740508.12812986202</v>
      </c>
      <c r="AJ70" s="48">
        <f t="shared" si="37"/>
        <v>693359.67053357861</v>
      </c>
      <c r="AK70" s="10"/>
      <c r="AL70" s="10"/>
      <c r="AM70" s="52"/>
    </row>
    <row r="71" spans="2:39">
      <c r="B71">
        <v>52</v>
      </c>
      <c r="C71" s="36" t="s">
        <v>442</v>
      </c>
      <c r="D71" s="63">
        <v>12210.968999999999</v>
      </c>
      <c r="E71" s="64">
        <v>1988</v>
      </c>
      <c r="F71" s="65">
        <v>2686047.7007792722</v>
      </c>
      <c r="G71" s="77">
        <f t="shared" si="39"/>
        <v>6111842.579069647</v>
      </c>
      <c r="H71" s="78">
        <v>10</v>
      </c>
      <c r="I71" s="3546">
        <f t="shared" si="40"/>
        <v>0.22614153091451142</v>
      </c>
      <c r="J71" s="490">
        <v>48</v>
      </c>
      <c r="K71" s="36" t="s">
        <v>438</v>
      </c>
      <c r="L71" s="47">
        <f t="shared" ref="L71:L102" si="41">F67</f>
        <v>920793.53019484831</v>
      </c>
      <c r="M71" s="62">
        <f t="shared" si="11"/>
        <v>2095176.9035017565</v>
      </c>
      <c r="N71" s="48">
        <f t="shared" si="12"/>
        <v>2030210.1778117795</v>
      </c>
      <c r="O71" s="48">
        <f t="shared" si="13"/>
        <v>1994312.5518779759</v>
      </c>
      <c r="P71" s="48">
        <f t="shared" si="14"/>
        <v>2000313.492355041</v>
      </c>
      <c r="Q71" s="48">
        <f t="shared" si="15"/>
        <v>1921530.7323295304</v>
      </c>
      <c r="R71" s="48">
        <f t="shared" si="16"/>
        <v>1869193.3193867027</v>
      </c>
      <c r="S71" s="48">
        <f t="shared" si="17"/>
        <v>1805983.8834654135</v>
      </c>
      <c r="T71" s="48">
        <f t="shared" si="18"/>
        <v>1746599.5004501096</v>
      </c>
      <c r="U71" s="48">
        <f t="shared" si="19"/>
        <v>1695727.6703399122</v>
      </c>
      <c r="V71" s="48">
        <f t="shared" si="20"/>
        <v>1646337.5440193322</v>
      </c>
      <c r="W71" s="48">
        <f t="shared" si="21"/>
        <v>1590664.2937384853</v>
      </c>
      <c r="X71" s="48">
        <f t="shared" si="22"/>
        <v>1535390.2449213178</v>
      </c>
      <c r="Y71" s="48">
        <f t="shared" si="23"/>
        <v>1484903.5250689727</v>
      </c>
      <c r="Z71" s="48">
        <f t="shared" si="24"/>
        <v>1451518.5973303742</v>
      </c>
      <c r="AA71" s="48">
        <f t="shared" si="25"/>
        <v>1425853.2390278724</v>
      </c>
      <c r="AB71" s="48">
        <f t="shared" si="26"/>
        <v>1397895.3323802671</v>
      </c>
      <c r="AC71" s="48">
        <f t="shared" si="27"/>
        <v>1349319.8188998718</v>
      </c>
      <c r="AD71" s="48">
        <f t="shared" si="28"/>
        <v>1288748.6331421889</v>
      </c>
      <c r="AE71" s="48">
        <f t="shared" si="29"/>
        <v>1230896.4977480315</v>
      </c>
      <c r="AF71" s="48">
        <f t="shared" si="30"/>
        <v>1176765.2942141793</v>
      </c>
      <c r="AG71" s="48">
        <f t="shared" si="31"/>
        <v>1111204.243828309</v>
      </c>
      <c r="AH71" s="48">
        <f t="shared" si="38"/>
        <v>1049295.7920947205</v>
      </c>
      <c r="AI71" s="48">
        <f t="shared" si="38"/>
        <v>983407.49024809804</v>
      </c>
      <c r="AJ71" s="48">
        <f t="shared" si="37"/>
        <v>920793.53019484831</v>
      </c>
      <c r="AK71" s="10"/>
      <c r="AL71" s="10"/>
      <c r="AM71" s="52"/>
    </row>
    <row r="72" spans="2:39">
      <c r="B72">
        <v>53</v>
      </c>
      <c r="C72" s="36" t="s">
        <v>443</v>
      </c>
      <c r="D72" s="63">
        <v>12210.968999999999</v>
      </c>
      <c r="E72" s="64">
        <v>1988</v>
      </c>
      <c r="F72" s="65">
        <v>2693011.6211115718</v>
      </c>
      <c r="G72" s="77">
        <f t="shared" si="39"/>
        <v>6127688.3083885461</v>
      </c>
      <c r="H72" s="78">
        <v>10</v>
      </c>
      <c r="I72" s="3547">
        <f t="shared" si="40"/>
        <v>0.22614153091451142</v>
      </c>
      <c r="J72" s="490">
        <v>49</v>
      </c>
      <c r="K72" s="36" t="s">
        <v>439</v>
      </c>
      <c r="L72" s="47">
        <f t="shared" si="41"/>
        <v>1179782.4460110827</v>
      </c>
      <c r="M72" s="62">
        <f t="shared" si="11"/>
        <v>2684481.2121086055</v>
      </c>
      <c r="N72" s="48">
        <f t="shared" si="12"/>
        <v>2601241.4846013617</v>
      </c>
      <c r="O72" s="48">
        <f t="shared" si="13"/>
        <v>2555247.0379188228</v>
      </c>
      <c r="P72" s="48">
        <f t="shared" si="14"/>
        <v>2562935.8454551883</v>
      </c>
      <c r="Q72" s="48">
        <f t="shared" si="15"/>
        <v>2461994.0878532068</v>
      </c>
      <c r="R72" s="48">
        <f t="shared" si="16"/>
        <v>2394935.8831256875</v>
      </c>
      <c r="S72" s="48">
        <f t="shared" si="17"/>
        <v>2313947.7131649158</v>
      </c>
      <c r="T72" s="48">
        <f t="shared" si="18"/>
        <v>2237860.4576063016</v>
      </c>
      <c r="U72" s="48">
        <f t="shared" si="19"/>
        <v>2172680.0559284482</v>
      </c>
      <c r="V72" s="48">
        <f t="shared" si="20"/>
        <v>2109398.1125518912</v>
      </c>
      <c r="W72" s="48">
        <f t="shared" si="21"/>
        <v>2038065.8092288806</v>
      </c>
      <c r="X72" s="48">
        <f t="shared" si="22"/>
        <v>1967244.9896031665</v>
      </c>
      <c r="Y72" s="48">
        <f t="shared" si="23"/>
        <v>1902558.0170243389</v>
      </c>
      <c r="Z72" s="48">
        <f t="shared" si="24"/>
        <v>1859783.0078439286</v>
      </c>
      <c r="AA72" s="48">
        <f t="shared" si="25"/>
        <v>1826898.828923309</v>
      </c>
      <c r="AB72" s="48">
        <f t="shared" si="26"/>
        <v>1791077.2832581461</v>
      </c>
      <c r="AC72" s="48">
        <f t="shared" si="27"/>
        <v>1728839.0765040021</v>
      </c>
      <c r="AD72" s="48">
        <f t="shared" si="28"/>
        <v>1651231.209650432</v>
      </c>
      <c r="AE72" s="48">
        <f t="shared" si="29"/>
        <v>1577107.1725410048</v>
      </c>
      <c r="AF72" s="48">
        <f t="shared" si="30"/>
        <v>1507750.6429646318</v>
      </c>
      <c r="AG72" s="48">
        <f t="shared" si="31"/>
        <v>1423749.426784355</v>
      </c>
      <c r="AH72" s="48">
        <f t="shared" si="38"/>
        <v>1344428.1650466053</v>
      </c>
      <c r="AI72" s="48">
        <f t="shared" si="38"/>
        <v>1260007.6523398363</v>
      </c>
      <c r="AJ72" s="48">
        <f t="shared" si="37"/>
        <v>1179782.4460110827</v>
      </c>
      <c r="AK72" s="10"/>
      <c r="AL72" s="10"/>
      <c r="AM72" s="52"/>
    </row>
    <row r="73" spans="2:39" ht="15" thickBot="1">
      <c r="B73">
        <v>54</v>
      </c>
      <c r="C73" s="450" t="s">
        <v>444</v>
      </c>
      <c r="D73" s="451">
        <v>12210.968999999999</v>
      </c>
      <c r="E73" s="452">
        <v>1988</v>
      </c>
      <c r="F73" s="453">
        <v>2516054.3617118029</v>
      </c>
      <c r="G73" s="454">
        <f t="shared" si="39"/>
        <v>5725039.1252183421</v>
      </c>
      <c r="H73" s="455">
        <v>10</v>
      </c>
      <c r="I73" s="3546">
        <f t="shared" si="40"/>
        <v>0.22614153091451142</v>
      </c>
      <c r="J73" s="490">
        <v>50</v>
      </c>
      <c r="K73" s="36" t="s">
        <v>440</v>
      </c>
      <c r="L73" s="47">
        <f t="shared" si="41"/>
        <v>2414553.8293435145</v>
      </c>
      <c r="M73" s="62">
        <f t="shared" si="11"/>
        <v>5494084.4495635638</v>
      </c>
      <c r="N73" s="48">
        <f t="shared" si="12"/>
        <v>5323725.2418251587</v>
      </c>
      <c r="O73" s="48">
        <f t="shared" si="13"/>
        <v>5229592.5754667567</v>
      </c>
      <c r="P73" s="48">
        <f t="shared" si="14"/>
        <v>5245328.5611502072</v>
      </c>
      <c r="Q73" s="48">
        <f t="shared" si="15"/>
        <v>5038740.212440161</v>
      </c>
      <c r="R73" s="48">
        <f t="shared" si="16"/>
        <v>4901498.2611285616</v>
      </c>
      <c r="S73" s="48">
        <f t="shared" si="17"/>
        <v>4735747.1122015091</v>
      </c>
      <c r="T73" s="48">
        <f t="shared" si="18"/>
        <v>4580026.2206977839</v>
      </c>
      <c r="U73" s="48">
        <f t="shared" si="19"/>
        <v>4446627.3987357123</v>
      </c>
      <c r="V73" s="48">
        <f t="shared" si="20"/>
        <v>4317113.9793550605</v>
      </c>
      <c r="W73" s="48">
        <f t="shared" si="21"/>
        <v>4171124.6177343586</v>
      </c>
      <c r="X73" s="48">
        <f t="shared" si="22"/>
        <v>4026182.063450153</v>
      </c>
      <c r="Y73" s="48">
        <f t="shared" si="23"/>
        <v>3893793.0981142679</v>
      </c>
      <c r="Z73" s="48">
        <f t="shared" si="24"/>
        <v>3806249.3627705458</v>
      </c>
      <c r="AA73" s="48">
        <f t="shared" si="25"/>
        <v>3738948.2934877658</v>
      </c>
      <c r="AB73" s="48">
        <f t="shared" si="26"/>
        <v>3665635.5818507508</v>
      </c>
      <c r="AC73" s="48">
        <f t="shared" si="27"/>
        <v>3538258.2836397206</v>
      </c>
      <c r="AD73" s="48">
        <f t="shared" si="28"/>
        <v>3379425.2947848337</v>
      </c>
      <c r="AE73" s="48">
        <f t="shared" si="29"/>
        <v>3227722.344589144</v>
      </c>
      <c r="AF73" s="48">
        <f t="shared" si="30"/>
        <v>3085776.6200661031</v>
      </c>
      <c r="AG73" s="48">
        <f t="shared" si="31"/>
        <v>2913858.9424609095</v>
      </c>
      <c r="AH73" s="48">
        <f t="shared" si="38"/>
        <v>2751519.3035513782</v>
      </c>
      <c r="AI73" s="48">
        <f t="shared" si="38"/>
        <v>2578743.4897388737</v>
      </c>
      <c r="AJ73" s="48">
        <f t="shared" si="37"/>
        <v>2414553.8293435145</v>
      </c>
      <c r="AK73" s="10"/>
      <c r="AL73" s="10"/>
      <c r="AM73" s="52"/>
    </row>
    <row r="74" spans="2:39">
      <c r="B74" s="564">
        <v>55</v>
      </c>
      <c r="C74" s="2057" t="s">
        <v>445</v>
      </c>
      <c r="D74" s="2058">
        <v>5550.5</v>
      </c>
      <c r="E74" s="2059">
        <v>1988</v>
      </c>
      <c r="F74" s="2060">
        <v>1023147.6375716708</v>
      </c>
      <c r="G74" s="2061">
        <f t="shared" si="39"/>
        <v>2328073.8067945899</v>
      </c>
      <c r="H74" s="2062">
        <v>4</v>
      </c>
      <c r="I74" s="3547">
        <f t="shared" ref="I74:I77" si="42">$B$187/D74</f>
        <v>0.21249066512068193</v>
      </c>
      <c r="J74" s="490">
        <v>51</v>
      </c>
      <c r="K74" s="36" t="s">
        <v>441</v>
      </c>
      <c r="L74" s="47">
        <f t="shared" si="41"/>
        <v>2509043.4721623808</v>
      </c>
      <c r="M74" s="62">
        <f t="shared" si="11"/>
        <v>5709086.5219742227</v>
      </c>
      <c r="N74" s="48">
        <f t="shared" si="12"/>
        <v>5532060.583308355</v>
      </c>
      <c r="O74" s="48">
        <f t="shared" si="13"/>
        <v>5434244.1879256926</v>
      </c>
      <c r="P74" s="48">
        <f t="shared" si="14"/>
        <v>5450595.9758532522</v>
      </c>
      <c r="Q74" s="48">
        <f t="shared" si="15"/>
        <v>5235923.1276207995</v>
      </c>
      <c r="R74" s="48">
        <f t="shared" si="16"/>
        <v>5093310.4354287935</v>
      </c>
      <c r="S74" s="48">
        <f t="shared" si="17"/>
        <v>4921072.8844722649</v>
      </c>
      <c r="T74" s="48">
        <f t="shared" si="18"/>
        <v>4759258.1087739505</v>
      </c>
      <c r="U74" s="48">
        <f t="shared" si="19"/>
        <v>4620638.9405572331</v>
      </c>
      <c r="V74" s="48">
        <f t="shared" si="20"/>
        <v>4486057.2238419736</v>
      </c>
      <c r="W74" s="48">
        <f t="shared" si="21"/>
        <v>4334354.805644419</v>
      </c>
      <c r="X74" s="48">
        <f t="shared" si="22"/>
        <v>4183740.1598884352</v>
      </c>
      <c r="Y74" s="48">
        <f t="shared" si="23"/>
        <v>4046170.3673969391</v>
      </c>
      <c r="Z74" s="48">
        <f t="shared" si="24"/>
        <v>3955200.750143636</v>
      </c>
      <c r="AA74" s="48">
        <f t="shared" si="25"/>
        <v>3885265.9628130021</v>
      </c>
      <c r="AB74" s="48">
        <f t="shared" si="26"/>
        <v>3809084.2772676488</v>
      </c>
      <c r="AC74" s="48">
        <f t="shared" si="27"/>
        <v>3676722.2753548734</v>
      </c>
      <c r="AD74" s="48">
        <f t="shared" si="28"/>
        <v>3511673.6154296789</v>
      </c>
      <c r="AE74" s="48">
        <f t="shared" si="29"/>
        <v>3354034.0166472578</v>
      </c>
      <c r="AF74" s="48">
        <f t="shared" si="30"/>
        <v>3206533.4767182195</v>
      </c>
      <c r="AG74" s="48">
        <f t="shared" si="31"/>
        <v>3027888.079998319</v>
      </c>
      <c r="AH74" s="48">
        <f t="shared" si="38"/>
        <v>2859195.5429634741</v>
      </c>
      <c r="AI74" s="48">
        <f t="shared" si="38"/>
        <v>2679658.4282694231</v>
      </c>
      <c r="AJ74" s="48">
        <f t="shared" si="37"/>
        <v>2509043.4721623808</v>
      </c>
      <c r="AK74" s="10"/>
      <c r="AL74" s="10"/>
      <c r="AM74" s="52"/>
    </row>
    <row r="75" spans="2:39">
      <c r="B75" s="570">
        <v>56</v>
      </c>
      <c r="C75" s="36" t="s">
        <v>446</v>
      </c>
      <c r="D75" s="63">
        <v>5550.5</v>
      </c>
      <c r="E75" s="2049">
        <v>1988</v>
      </c>
      <c r="F75" s="73">
        <v>1186388.1007716996</v>
      </c>
      <c r="G75" s="77">
        <f t="shared" si="39"/>
        <v>2699511.7426598165</v>
      </c>
      <c r="H75" s="2063">
        <v>4</v>
      </c>
      <c r="I75" s="3546">
        <f t="shared" si="42"/>
        <v>0.21249066512068193</v>
      </c>
      <c r="J75" s="490">
        <v>52</v>
      </c>
      <c r="K75" s="36" t="s">
        <v>442</v>
      </c>
      <c r="L75" s="47">
        <f t="shared" si="41"/>
        <v>2686047.7007792722</v>
      </c>
      <c r="M75" s="62">
        <f t="shared" si="11"/>
        <v>6111842.579069647</v>
      </c>
      <c r="N75" s="48">
        <f t="shared" si="12"/>
        <v>5922328.0804938441</v>
      </c>
      <c r="O75" s="48">
        <f t="shared" si="13"/>
        <v>5817611.0810352098</v>
      </c>
      <c r="P75" s="48">
        <f t="shared" si="14"/>
        <v>5835116.430326188</v>
      </c>
      <c r="Q75" s="48">
        <f t="shared" si="15"/>
        <v>5605299.1645784713</v>
      </c>
      <c r="R75" s="48">
        <f t="shared" si="16"/>
        <v>5452625.6464771116</v>
      </c>
      <c r="S75" s="48">
        <f t="shared" si="17"/>
        <v>5268237.3395914128</v>
      </c>
      <c r="T75" s="48">
        <f t="shared" si="18"/>
        <v>5095007.0982508827</v>
      </c>
      <c r="U75" s="48">
        <f t="shared" si="19"/>
        <v>4946608.833253284</v>
      </c>
      <c r="V75" s="48">
        <f t="shared" si="20"/>
        <v>4802532.847818722</v>
      </c>
      <c r="W75" s="48">
        <f t="shared" si="21"/>
        <v>4640128.3553804085</v>
      </c>
      <c r="X75" s="48">
        <f t="shared" si="22"/>
        <v>4478888.3739193128</v>
      </c>
      <c r="Y75" s="48">
        <f t="shared" si="23"/>
        <v>4331613.5144287357</v>
      </c>
      <c r="Z75" s="48">
        <f t="shared" si="24"/>
        <v>4234226.3093145024</v>
      </c>
      <c r="AA75" s="48">
        <f t="shared" si="25"/>
        <v>4159357.8676959747</v>
      </c>
      <c r="AB75" s="48">
        <f t="shared" si="26"/>
        <v>4077801.8310744851</v>
      </c>
      <c r="AC75" s="48">
        <f t="shared" si="27"/>
        <v>3936102.1535468004</v>
      </c>
      <c r="AD75" s="48">
        <f t="shared" si="28"/>
        <v>3759409.8887744038</v>
      </c>
      <c r="AE75" s="48">
        <f t="shared" si="29"/>
        <v>3590649.3684569285</v>
      </c>
      <c r="AF75" s="48">
        <f t="shared" si="30"/>
        <v>3432743.1820811937</v>
      </c>
      <c r="AG75" s="48">
        <f t="shared" si="31"/>
        <v>3241494.978358068</v>
      </c>
      <c r="AH75" s="48">
        <f t="shared" ref="AH75:AI88" si="43">AI75*(1+AH$5/100)</f>
        <v>3060901.7737092241</v>
      </c>
      <c r="AI75" s="48">
        <f t="shared" si="43"/>
        <v>2868698.9444322628</v>
      </c>
      <c r="AJ75" s="48">
        <f t="shared" si="37"/>
        <v>2686047.7007792722</v>
      </c>
      <c r="AK75" s="10"/>
      <c r="AL75" s="10"/>
      <c r="AM75" s="52"/>
    </row>
    <row r="76" spans="2:39">
      <c r="B76" s="570">
        <v>57</v>
      </c>
      <c r="C76" s="36" t="s">
        <v>447</v>
      </c>
      <c r="D76" s="63">
        <v>5550.5</v>
      </c>
      <c r="E76" s="2049">
        <v>1988</v>
      </c>
      <c r="F76" s="65">
        <v>1206638.7890808121</v>
      </c>
      <c r="G76" s="77">
        <f t="shared" si="39"/>
        <v>2745590.2315217955</v>
      </c>
      <c r="H76" s="2063">
        <v>4</v>
      </c>
      <c r="I76" s="3547">
        <f t="shared" si="42"/>
        <v>0.21249066512068193</v>
      </c>
      <c r="J76" s="490">
        <v>53</v>
      </c>
      <c r="K76" s="36" t="s">
        <v>443</v>
      </c>
      <c r="L76" s="47">
        <f t="shared" si="41"/>
        <v>2693011.6211115718</v>
      </c>
      <c r="M76" s="62">
        <f t="shared" si="11"/>
        <v>6127688.3083885461</v>
      </c>
      <c r="N76" s="48">
        <f t="shared" si="12"/>
        <v>5937682.4693687465</v>
      </c>
      <c r="O76" s="48">
        <f t="shared" si="13"/>
        <v>5832693.9777689064</v>
      </c>
      <c r="P76" s="48">
        <f t="shared" si="14"/>
        <v>5850244.7119046198</v>
      </c>
      <c r="Q76" s="48">
        <f t="shared" si="15"/>
        <v>5619831.6156624593</v>
      </c>
      <c r="R76" s="48">
        <f t="shared" si="16"/>
        <v>5466762.2720451942</v>
      </c>
      <c r="S76" s="48">
        <f t="shared" si="17"/>
        <v>5281895.9150195112</v>
      </c>
      <c r="T76" s="48">
        <f t="shared" si="18"/>
        <v>5108216.5522432411</v>
      </c>
      <c r="U76" s="48">
        <f t="shared" si="19"/>
        <v>4959433.5458672242</v>
      </c>
      <c r="V76" s="48">
        <f t="shared" si="20"/>
        <v>4814984.0251138099</v>
      </c>
      <c r="W76" s="48">
        <f t="shared" si="21"/>
        <v>4652158.4783708313</v>
      </c>
      <c r="X76" s="48">
        <f t="shared" si="22"/>
        <v>4490500.4617479062</v>
      </c>
      <c r="Y76" s="48">
        <f t="shared" si="23"/>
        <v>4342843.773450586</v>
      </c>
      <c r="Z76" s="48">
        <f t="shared" si="24"/>
        <v>4245204.0796193415</v>
      </c>
      <c r="AA76" s="48">
        <f t="shared" si="25"/>
        <v>4170141.5320425751</v>
      </c>
      <c r="AB76" s="48">
        <f t="shared" si="26"/>
        <v>4088374.0510221324</v>
      </c>
      <c r="AC76" s="48">
        <f t="shared" si="27"/>
        <v>3946306.999056112</v>
      </c>
      <c r="AD76" s="48">
        <f t="shared" si="28"/>
        <v>3769156.6371118552</v>
      </c>
      <c r="AE76" s="48">
        <f t="shared" si="29"/>
        <v>3599958.583678945</v>
      </c>
      <c r="AF76" s="48">
        <f t="shared" si="30"/>
        <v>3441643.0054292018</v>
      </c>
      <c r="AG76" s="48">
        <f t="shared" si="31"/>
        <v>3249898.9664109554</v>
      </c>
      <c r="AH76" s="48">
        <f t="shared" si="43"/>
        <v>3068837.5509074181</v>
      </c>
      <c r="AI76" s="48">
        <f t="shared" si="43"/>
        <v>2876136.4113471587</v>
      </c>
      <c r="AJ76" s="48">
        <f t="shared" si="37"/>
        <v>2693011.6211115718</v>
      </c>
      <c r="AK76" s="10"/>
      <c r="AL76" s="10"/>
      <c r="AM76" s="52"/>
    </row>
    <row r="77" spans="2:39" ht="15" thickBot="1">
      <c r="B77" s="567">
        <v>58</v>
      </c>
      <c r="C77" s="37" t="s">
        <v>448</v>
      </c>
      <c r="D77" s="2064">
        <v>5550.5</v>
      </c>
      <c r="E77" s="2065">
        <v>1988</v>
      </c>
      <c r="F77" s="2066">
        <v>1046421.0008955081</v>
      </c>
      <c r="G77" s="2067">
        <f t="shared" si="39"/>
        <v>2381030.1012340086</v>
      </c>
      <c r="H77" s="2068">
        <v>4</v>
      </c>
      <c r="I77" s="3546">
        <f t="shared" si="42"/>
        <v>0.21249066512068193</v>
      </c>
      <c r="J77" s="490">
        <v>54</v>
      </c>
      <c r="K77" s="36" t="s">
        <v>444</v>
      </c>
      <c r="L77" s="47">
        <f t="shared" si="41"/>
        <v>2516054.3617118029</v>
      </c>
      <c r="M77" s="62">
        <f t="shared" si="11"/>
        <v>5725039.1252183421</v>
      </c>
      <c r="N77" s="48">
        <f t="shared" si="12"/>
        <v>5547518.5321883159</v>
      </c>
      <c r="O77" s="48">
        <f t="shared" si="13"/>
        <v>5449428.8135445146</v>
      </c>
      <c r="P77" s="48">
        <f t="shared" si="14"/>
        <v>5465826.2924217796</v>
      </c>
      <c r="Q77" s="48">
        <f t="shared" si="15"/>
        <v>5250553.5950257257</v>
      </c>
      <c r="R77" s="48">
        <f t="shared" si="16"/>
        <v>5107542.4076125734</v>
      </c>
      <c r="S77" s="48">
        <f t="shared" si="17"/>
        <v>4934823.5822343705</v>
      </c>
      <c r="T77" s="48">
        <f t="shared" si="18"/>
        <v>4772556.6559326602</v>
      </c>
      <c r="U77" s="48">
        <f t="shared" si="19"/>
        <v>4633550.1513909325</v>
      </c>
      <c r="V77" s="48">
        <f t="shared" si="20"/>
        <v>4498592.3799911961</v>
      </c>
      <c r="W77" s="48">
        <f t="shared" si="21"/>
        <v>4346466.0676243445</v>
      </c>
      <c r="X77" s="48">
        <f t="shared" si="22"/>
        <v>4195430.5672049653</v>
      </c>
      <c r="Y77" s="48">
        <f t="shared" si="23"/>
        <v>4057476.3706044154</v>
      </c>
      <c r="Z77" s="48">
        <f t="shared" si="24"/>
        <v>3966252.561685646</v>
      </c>
      <c r="AA77" s="48">
        <f t="shared" si="25"/>
        <v>3896122.3592196913</v>
      </c>
      <c r="AB77" s="48">
        <f t="shared" si="26"/>
        <v>3819727.8031565598</v>
      </c>
      <c r="AC77" s="48">
        <f t="shared" si="27"/>
        <v>3686995.9489928181</v>
      </c>
      <c r="AD77" s="48">
        <f t="shared" si="28"/>
        <v>3521486.1021898934</v>
      </c>
      <c r="AE77" s="48">
        <f t="shared" si="29"/>
        <v>3363406.0192835662</v>
      </c>
      <c r="AF77" s="48">
        <f t="shared" si="30"/>
        <v>3215493.3262749198</v>
      </c>
      <c r="AG77" s="48">
        <f t="shared" si="31"/>
        <v>3036348.7500235317</v>
      </c>
      <c r="AH77" s="48">
        <f t="shared" si="43"/>
        <v>2867184.8442148552</v>
      </c>
      <c r="AI77" s="48">
        <f t="shared" si="43"/>
        <v>2687146.0583082056</v>
      </c>
      <c r="AJ77" s="48">
        <f t="shared" si="37"/>
        <v>2516054.3617118029</v>
      </c>
      <c r="AK77" s="10"/>
      <c r="AL77" s="10"/>
      <c r="AM77" s="52"/>
    </row>
    <row r="78" spans="2:39">
      <c r="B78">
        <v>59</v>
      </c>
      <c r="C78" s="605" t="s">
        <v>449</v>
      </c>
      <c r="D78" s="613">
        <v>4440.34</v>
      </c>
      <c r="E78" s="2050">
        <v>1988</v>
      </c>
      <c r="F78" s="614">
        <v>794606.72366545268</v>
      </c>
      <c r="G78" s="615">
        <f t="shared" si="39"/>
        <v>1808050.9910172399</v>
      </c>
      <c r="H78" s="616">
        <v>3</v>
      </c>
      <c r="I78" s="3547">
        <f t="shared" ref="I78:I81" si="44">$B$186/D78</f>
        <v>0.20787152058233724</v>
      </c>
      <c r="J78" s="490">
        <v>55</v>
      </c>
      <c r="K78" s="36" t="s">
        <v>445</v>
      </c>
      <c r="L78" s="47">
        <f t="shared" si="41"/>
        <v>1023147.6375716708</v>
      </c>
      <c r="M78" s="62">
        <f t="shared" si="11"/>
        <v>2328073.8067945899</v>
      </c>
      <c r="N78" s="48">
        <f t="shared" si="12"/>
        <v>2255885.471700184</v>
      </c>
      <c r="O78" s="48">
        <f t="shared" si="13"/>
        <v>2215997.516404896</v>
      </c>
      <c r="P78" s="48">
        <f t="shared" si="14"/>
        <v>2222665.5129437274</v>
      </c>
      <c r="Q78" s="48">
        <f t="shared" si="15"/>
        <v>2135125.3726644837</v>
      </c>
      <c r="R78" s="48">
        <f t="shared" si="16"/>
        <v>2076970.2068720658</v>
      </c>
      <c r="S78" s="48">
        <f t="shared" si="17"/>
        <v>2006734.4993933004</v>
      </c>
      <c r="T78" s="48">
        <f t="shared" si="18"/>
        <v>1940749.0322952615</v>
      </c>
      <c r="U78" s="48">
        <f t="shared" si="19"/>
        <v>1884222.3614517101</v>
      </c>
      <c r="V78" s="48">
        <f t="shared" si="20"/>
        <v>1829342.0984968059</v>
      </c>
      <c r="W78" s="48">
        <f t="shared" si="21"/>
        <v>1767480.288402711</v>
      </c>
      <c r="X78" s="48">
        <f t="shared" si="22"/>
        <v>1706062.0544427712</v>
      </c>
      <c r="Y78" s="48">
        <f t="shared" si="23"/>
        <v>1649963.3021690245</v>
      </c>
      <c r="Z78" s="48">
        <f t="shared" si="24"/>
        <v>1612867.3530488999</v>
      </c>
      <c r="AA78" s="48">
        <f t="shared" si="25"/>
        <v>1584349.0697926325</v>
      </c>
      <c r="AB78" s="48">
        <f t="shared" si="26"/>
        <v>1553283.4017574829</v>
      </c>
      <c r="AC78" s="48">
        <f t="shared" si="27"/>
        <v>1499308.3028547133</v>
      </c>
      <c r="AD78" s="48">
        <f t="shared" si="28"/>
        <v>1432004.1096988667</v>
      </c>
      <c r="AE78" s="48">
        <f t="shared" si="29"/>
        <v>1367721.2127018785</v>
      </c>
      <c r="AF78" s="48">
        <f t="shared" si="30"/>
        <v>1307572.861091662</v>
      </c>
      <c r="AG78" s="48">
        <f t="shared" si="31"/>
        <v>1234724.1370081794</v>
      </c>
      <c r="AH78" s="48">
        <f t="shared" si="43"/>
        <v>1165934.0292806227</v>
      </c>
      <c r="AI78" s="48">
        <f t="shared" si="43"/>
        <v>1092721.6769265444</v>
      </c>
      <c r="AJ78" s="48">
        <f t="shared" si="37"/>
        <v>1023147.6375716708</v>
      </c>
      <c r="AK78" s="10"/>
      <c r="AL78" s="10"/>
      <c r="AM78" s="52"/>
    </row>
    <row r="79" spans="2:39">
      <c r="B79">
        <v>60</v>
      </c>
      <c r="C79" s="36" t="s">
        <v>450</v>
      </c>
      <c r="D79" s="63">
        <v>4440.34</v>
      </c>
      <c r="E79" s="64">
        <v>1988</v>
      </c>
      <c r="F79" s="65">
        <v>961891.12771747634</v>
      </c>
      <c r="G79" s="77">
        <f t="shared" si="39"/>
        <v>2188690.5244115382</v>
      </c>
      <c r="H79" s="78">
        <v>3</v>
      </c>
      <c r="I79" s="3546">
        <f t="shared" si="44"/>
        <v>0.20787152058233724</v>
      </c>
      <c r="J79" s="490">
        <v>56</v>
      </c>
      <c r="K79" s="36" t="s">
        <v>446</v>
      </c>
      <c r="L79" s="47">
        <f t="shared" si="41"/>
        <v>1186388.1007716996</v>
      </c>
      <c r="M79" s="62">
        <f t="shared" si="11"/>
        <v>2699511.7426598165</v>
      </c>
      <c r="N79" s="48">
        <f t="shared" si="12"/>
        <v>2615805.9521897445</v>
      </c>
      <c r="O79" s="48">
        <f t="shared" si="13"/>
        <v>2569553.9805400241</v>
      </c>
      <c r="P79" s="48">
        <f t="shared" si="14"/>
        <v>2577285.8380541867</v>
      </c>
      <c r="Q79" s="48">
        <f t="shared" si="15"/>
        <v>2475778.9030299587</v>
      </c>
      <c r="R79" s="48">
        <f t="shared" si="16"/>
        <v>2408345.2364104656</v>
      </c>
      <c r="S79" s="48">
        <f t="shared" si="17"/>
        <v>2326903.6100584208</v>
      </c>
      <c r="T79" s="48">
        <f t="shared" si="18"/>
        <v>2250390.3385477955</v>
      </c>
      <c r="U79" s="48">
        <f t="shared" si="19"/>
        <v>2184844.9888813547</v>
      </c>
      <c r="V79" s="48">
        <f t="shared" si="20"/>
        <v>2121208.7270692764</v>
      </c>
      <c r="W79" s="48">
        <f t="shared" si="21"/>
        <v>2049477.0309848085</v>
      </c>
      <c r="X79" s="48">
        <f t="shared" si="22"/>
        <v>1978259.6824177688</v>
      </c>
      <c r="Y79" s="48">
        <f t="shared" si="23"/>
        <v>1913210.5245819814</v>
      </c>
      <c r="Z79" s="48">
        <f t="shared" si="24"/>
        <v>1870196.0162091707</v>
      </c>
      <c r="AA79" s="48">
        <f t="shared" si="25"/>
        <v>1837127.7172978101</v>
      </c>
      <c r="AB79" s="48">
        <f t="shared" si="26"/>
        <v>1801105.6051939314</v>
      </c>
      <c r="AC79" s="48">
        <f t="shared" si="27"/>
        <v>1738518.9239323661</v>
      </c>
      <c r="AD79" s="48">
        <f t="shared" si="28"/>
        <v>1660476.5271560326</v>
      </c>
      <c r="AE79" s="48">
        <f t="shared" si="29"/>
        <v>1585937.4662426291</v>
      </c>
      <c r="AF79" s="48">
        <f t="shared" si="30"/>
        <v>1516192.6063505057</v>
      </c>
      <c r="AG79" s="48">
        <f t="shared" si="31"/>
        <v>1431721.0635982114</v>
      </c>
      <c r="AH79" s="48">
        <f t="shared" si="43"/>
        <v>1351955.6785629948</v>
      </c>
      <c r="AI79" s="48">
        <f t="shared" si="43"/>
        <v>1267062.4916241751</v>
      </c>
      <c r="AJ79" s="48">
        <f t="shared" ref="AJ79:AJ89" si="45">$L79</f>
        <v>1186388.1007716996</v>
      </c>
      <c r="AK79" s="10"/>
      <c r="AL79" s="10"/>
      <c r="AM79" s="52"/>
    </row>
    <row r="80" spans="2:39">
      <c r="B80">
        <v>61</v>
      </c>
      <c r="C80" s="36" t="s">
        <v>451</v>
      </c>
      <c r="D80" s="63">
        <v>4440.34</v>
      </c>
      <c r="E80" s="64">
        <v>1988</v>
      </c>
      <c r="F80" s="73">
        <v>987585.61977450014</v>
      </c>
      <c r="G80" s="77">
        <f t="shared" si="39"/>
        <v>2247155.8638603222</v>
      </c>
      <c r="H80" s="78">
        <v>3</v>
      </c>
      <c r="I80" s="3547">
        <f t="shared" si="44"/>
        <v>0.20787152058233724</v>
      </c>
      <c r="J80" s="490">
        <v>57</v>
      </c>
      <c r="K80" s="36" t="s">
        <v>447</v>
      </c>
      <c r="L80" s="47">
        <f t="shared" si="41"/>
        <v>1206638.7890808121</v>
      </c>
      <c r="M80" s="62">
        <f t="shared" ref="M80:M113" si="46">N80*(1+M$5/100)</f>
        <v>2745590.2315217955</v>
      </c>
      <c r="N80" s="48">
        <f t="shared" ref="N80:N113" si="47">O80*(1+N$5/100)</f>
        <v>2660455.6506994143</v>
      </c>
      <c r="O80" s="48">
        <f t="shared" ref="O80:O113" si="48">P80*(1+O$5/100)</f>
        <v>2613414.195186065</v>
      </c>
      <c r="P80" s="48">
        <f t="shared" ref="P80:P113" si="49">Q80*(1+P$5/100)</f>
        <v>2621278.0292738867</v>
      </c>
      <c r="Q80" s="48">
        <f t="shared" ref="Q80:Q113" si="50">R80*(1+Q$5/100)</f>
        <v>2518038.4527126676</v>
      </c>
      <c r="R80" s="48">
        <f t="shared" ref="R80:R113" si="51">S80*(1+R$5/100)</f>
        <v>2449453.7477749684</v>
      </c>
      <c r="S80" s="48">
        <f t="shared" ref="S80:S113" si="52">T80*(1+S$5/100)</f>
        <v>2366621.9785265396</v>
      </c>
      <c r="T80" s="48">
        <f t="shared" ref="T80:T113" si="53">U80*(1+T$5/100)</f>
        <v>2288802.6871629977</v>
      </c>
      <c r="U80" s="48">
        <f t="shared" ref="U80:U113" si="54">V80*(1+U$5/100)</f>
        <v>2222138.5312262112</v>
      </c>
      <c r="V80" s="48">
        <f t="shared" ref="V80:V113" si="55">W80*(1+V$5/100)</f>
        <v>2157416.0497341854</v>
      </c>
      <c r="W80" s="48">
        <f t="shared" ref="W80:W113" si="56">X80*(1+W$5/100)</f>
        <v>2084459.951433996</v>
      </c>
      <c r="X80" s="48">
        <f t="shared" ref="X80:X113" si="57">Y80*(1+X$5/100)</f>
        <v>2012026.9801486447</v>
      </c>
      <c r="Y80" s="48">
        <f t="shared" ref="Y80:Y113" si="58">Z80*(1+Y$5/100)</f>
        <v>1945867.485636987</v>
      </c>
      <c r="Z80" s="48">
        <f t="shared" ref="Z80:Z113" si="59">AA80*(1+Z$5/100)</f>
        <v>1902118.7542883551</v>
      </c>
      <c r="AA80" s="48">
        <f t="shared" ref="AA80:AA113" si="60">AB80*(1+AA$5/100)</f>
        <v>1868486.006177166</v>
      </c>
      <c r="AB80" s="48">
        <f t="shared" ref="AB80:AB113" si="61">AC80*(1+AB$5/100)</f>
        <v>1831849.0256638883</v>
      </c>
      <c r="AC80" s="48">
        <f t="shared" ref="AC80:AC113" si="62">AD80*(1+AC$5/100)</f>
        <v>1768194.0402161083</v>
      </c>
      <c r="AD80" s="48">
        <f t="shared" ref="AD80:AD113" si="63">AE80*(1+AD$5/100)</f>
        <v>1688819.5226514884</v>
      </c>
      <c r="AE80" s="48">
        <f t="shared" ref="AE80:AE113" si="64">AF80*(1+AE$5/100)</f>
        <v>1613008.1400682793</v>
      </c>
      <c r="AF80" s="48">
        <f t="shared" ref="AF80:AF113" si="65">AG80*(1+AF$5/100)</f>
        <v>1542072.7916522746</v>
      </c>
      <c r="AG80" s="48">
        <f t="shared" ref="AG80:AG113" si="66">AH80*(1+AG$5/100)</f>
        <v>1456159.3877736304</v>
      </c>
      <c r="AH80" s="48">
        <f t="shared" si="43"/>
        <v>1375032.4719297739</v>
      </c>
      <c r="AI80" s="48">
        <f t="shared" si="43"/>
        <v>1288690.2267383074</v>
      </c>
      <c r="AJ80" s="48">
        <f t="shared" si="45"/>
        <v>1206638.7890808121</v>
      </c>
      <c r="AK80" s="10"/>
      <c r="AL80" s="10"/>
      <c r="AM80" s="52"/>
    </row>
    <row r="81" spans="2:39">
      <c r="B81">
        <v>62</v>
      </c>
      <c r="C81" s="36" t="s">
        <v>452</v>
      </c>
      <c r="D81" s="63">
        <v>4440.34</v>
      </c>
      <c r="E81" s="64">
        <v>1988</v>
      </c>
      <c r="F81" s="65">
        <v>823380.0927061172</v>
      </c>
      <c r="G81" s="77">
        <f t="shared" si="39"/>
        <v>1873522.0182052529</v>
      </c>
      <c r="H81" s="78">
        <v>3</v>
      </c>
      <c r="I81" s="3546">
        <f t="shared" si="44"/>
        <v>0.20787152058233724</v>
      </c>
      <c r="J81" s="490">
        <v>58</v>
      </c>
      <c r="K81" s="36" t="s">
        <v>448</v>
      </c>
      <c r="L81" s="47">
        <f t="shared" si="41"/>
        <v>1046421.0008955081</v>
      </c>
      <c r="M81" s="62">
        <f t="shared" si="46"/>
        <v>2381030.1012340086</v>
      </c>
      <c r="N81" s="48">
        <f t="shared" si="47"/>
        <v>2307199.7104980703</v>
      </c>
      <c r="O81" s="48">
        <f t="shared" si="48"/>
        <v>2266404.4307446661</v>
      </c>
      <c r="P81" s="48">
        <f t="shared" si="49"/>
        <v>2273224.1030538278</v>
      </c>
      <c r="Q81" s="48">
        <f t="shared" si="50"/>
        <v>2183692.7022611219</v>
      </c>
      <c r="R81" s="48">
        <f t="shared" si="51"/>
        <v>2124214.6909154882</v>
      </c>
      <c r="S81" s="48">
        <f t="shared" si="52"/>
        <v>2052381.3438796988</v>
      </c>
      <c r="T81" s="48">
        <f t="shared" si="53"/>
        <v>1984894.9167115074</v>
      </c>
      <c r="U81" s="48">
        <f t="shared" si="54"/>
        <v>1927082.4434092303</v>
      </c>
      <c r="V81" s="48">
        <f t="shared" si="55"/>
        <v>1870953.8285526508</v>
      </c>
      <c r="W81" s="48">
        <f t="shared" si="56"/>
        <v>1807684.8585049766</v>
      </c>
      <c r="X81" s="48">
        <f t="shared" si="57"/>
        <v>1744869.5545414831</v>
      </c>
      <c r="Y81" s="48">
        <f t="shared" si="58"/>
        <v>1687494.7335991131</v>
      </c>
      <c r="Z81" s="48">
        <f t="shared" si="59"/>
        <v>1649554.969305096</v>
      </c>
      <c r="AA81" s="48">
        <f t="shared" si="60"/>
        <v>1620387.9855649273</v>
      </c>
      <c r="AB81" s="48">
        <f t="shared" si="61"/>
        <v>1588615.6721224778</v>
      </c>
      <c r="AC81" s="48">
        <f t="shared" si="62"/>
        <v>1533412.8109290325</v>
      </c>
      <c r="AD81" s="48">
        <f t="shared" si="63"/>
        <v>1464577.6608682261</v>
      </c>
      <c r="AE81" s="48">
        <f t="shared" si="64"/>
        <v>1398832.5318703211</v>
      </c>
      <c r="AF81" s="48">
        <f t="shared" si="65"/>
        <v>1337315.9960519322</v>
      </c>
      <c r="AG81" s="48">
        <f t="shared" si="66"/>
        <v>1262810.194572174</v>
      </c>
      <c r="AH81" s="48">
        <f t="shared" si="43"/>
        <v>1192455.3300964816</v>
      </c>
      <c r="AI81" s="48">
        <f t="shared" si="43"/>
        <v>1117577.6289564027</v>
      </c>
      <c r="AJ81" s="48">
        <f t="shared" si="45"/>
        <v>1046421.0008955081</v>
      </c>
      <c r="AK81" s="10"/>
      <c r="AL81" s="10"/>
      <c r="AM81" s="52"/>
    </row>
    <row r="82" spans="2:39">
      <c r="B82">
        <v>63</v>
      </c>
      <c r="C82" s="36" t="s">
        <v>453</v>
      </c>
      <c r="D82" s="63">
        <v>6661.78</v>
      </c>
      <c r="E82" s="64">
        <v>1988</v>
      </c>
      <c r="F82" s="65">
        <v>1303073.7321361171</v>
      </c>
      <c r="G82" s="77">
        <f t="shared" si="39"/>
        <v>2965018.6470724852</v>
      </c>
      <c r="H82" s="78">
        <v>5</v>
      </c>
      <c r="I82" s="3547">
        <f t="shared" ref="I82:I85" si="67">$B$188/D82</f>
        <v>0.21756685044676347</v>
      </c>
      <c r="J82" s="490">
        <v>59</v>
      </c>
      <c r="K82" s="36" t="s">
        <v>449</v>
      </c>
      <c r="L82" s="47">
        <f t="shared" si="41"/>
        <v>794606.72366545268</v>
      </c>
      <c r="M82" s="62">
        <f t="shared" si="46"/>
        <v>1808050.9910172399</v>
      </c>
      <c r="N82" s="48">
        <f t="shared" si="47"/>
        <v>1751987.3943965503</v>
      </c>
      <c r="O82" s="48">
        <f t="shared" si="48"/>
        <v>1721009.2282873774</v>
      </c>
      <c r="P82" s="48">
        <f t="shared" si="49"/>
        <v>1726187.7916623645</v>
      </c>
      <c r="Q82" s="48">
        <f t="shared" si="50"/>
        <v>1658201.5289744136</v>
      </c>
      <c r="R82" s="48">
        <f t="shared" si="51"/>
        <v>1613036.5067844491</v>
      </c>
      <c r="S82" s="48">
        <f t="shared" si="52"/>
        <v>1558489.3785356998</v>
      </c>
      <c r="T82" s="48">
        <f t="shared" si="53"/>
        <v>1507243.1127037716</v>
      </c>
      <c r="U82" s="48">
        <f t="shared" si="54"/>
        <v>1463342.8278677394</v>
      </c>
      <c r="V82" s="48">
        <f t="shared" si="55"/>
        <v>1420721.1921046013</v>
      </c>
      <c r="W82" s="48">
        <f t="shared" si="56"/>
        <v>1372677.4802943009</v>
      </c>
      <c r="X82" s="48">
        <f t="shared" si="57"/>
        <v>1324978.2628323368</v>
      </c>
      <c r="Y82" s="48">
        <f t="shared" si="58"/>
        <v>1281410.3122169601</v>
      </c>
      <c r="Z82" s="48">
        <f t="shared" si="59"/>
        <v>1252600.500700841</v>
      </c>
      <c r="AA82" s="48">
        <f t="shared" si="60"/>
        <v>1230452.3582522995</v>
      </c>
      <c r="AB82" s="48">
        <f t="shared" si="61"/>
        <v>1206325.841423823</v>
      </c>
      <c r="AC82" s="48">
        <f t="shared" si="62"/>
        <v>1164407.182841528</v>
      </c>
      <c r="AD82" s="48">
        <f t="shared" si="63"/>
        <v>1112136.7553405236</v>
      </c>
      <c r="AE82" s="48">
        <f t="shared" si="64"/>
        <v>1062212.755817119</v>
      </c>
      <c r="AF82" s="48">
        <f t="shared" si="65"/>
        <v>1015499.7665555632</v>
      </c>
      <c r="AG82" s="48">
        <f t="shared" si="66"/>
        <v>958923.29230931378</v>
      </c>
      <c r="AH82" s="48">
        <f t="shared" si="43"/>
        <v>905498.85959330865</v>
      </c>
      <c r="AI82" s="48">
        <f t="shared" si="43"/>
        <v>848639.9808747035</v>
      </c>
      <c r="AJ82" s="48">
        <f t="shared" si="45"/>
        <v>794606.72366545268</v>
      </c>
      <c r="AK82" s="10"/>
      <c r="AL82" s="10"/>
      <c r="AM82" s="52"/>
    </row>
    <row r="83" spans="2:39">
      <c r="B83">
        <v>64</v>
      </c>
      <c r="C83" s="36" t="s">
        <v>454</v>
      </c>
      <c r="D83" s="63">
        <v>6661.78</v>
      </c>
      <c r="E83" s="64">
        <v>1988</v>
      </c>
      <c r="F83" s="65">
        <v>1282029.3042046807</v>
      </c>
      <c r="G83" s="77">
        <f t="shared" si="39"/>
        <v>2917134.080224995</v>
      </c>
      <c r="H83" s="78">
        <v>5</v>
      </c>
      <c r="I83" s="3546">
        <f t="shared" si="67"/>
        <v>0.21756685044676347</v>
      </c>
      <c r="J83" s="490">
        <v>60</v>
      </c>
      <c r="K83" s="36" t="s">
        <v>450</v>
      </c>
      <c r="L83" s="47">
        <f t="shared" si="41"/>
        <v>961891.12771747634</v>
      </c>
      <c r="M83" s="62">
        <f t="shared" si="46"/>
        <v>2188690.5244115382</v>
      </c>
      <c r="N83" s="48">
        <f t="shared" si="47"/>
        <v>2120824.151561568</v>
      </c>
      <c r="O83" s="48">
        <f t="shared" si="48"/>
        <v>2083324.3139111672</v>
      </c>
      <c r="P83" s="48">
        <f t="shared" si="49"/>
        <v>2089593.0931907394</v>
      </c>
      <c r="Q83" s="48">
        <f t="shared" si="50"/>
        <v>2007294.0376472042</v>
      </c>
      <c r="R83" s="48">
        <f t="shared" si="51"/>
        <v>1952620.6591898873</v>
      </c>
      <c r="S83" s="48">
        <f t="shared" si="52"/>
        <v>1886590.0088791184</v>
      </c>
      <c r="T83" s="48">
        <f t="shared" si="53"/>
        <v>1824555.1343124935</v>
      </c>
      <c r="U83" s="48">
        <f t="shared" si="54"/>
        <v>1771412.7517597023</v>
      </c>
      <c r="V83" s="48">
        <f t="shared" si="55"/>
        <v>1719818.205591944</v>
      </c>
      <c r="W83" s="48">
        <f t="shared" si="56"/>
        <v>1661660.1020212022</v>
      </c>
      <c r="X83" s="48">
        <f t="shared" si="57"/>
        <v>1603919.0173949827</v>
      </c>
      <c r="Y83" s="48">
        <f t="shared" si="58"/>
        <v>1551178.9336508536</v>
      </c>
      <c r="Z83" s="48">
        <f t="shared" si="59"/>
        <v>1516303.9429627114</v>
      </c>
      <c r="AA83" s="48">
        <f t="shared" si="60"/>
        <v>1489493.0677433314</v>
      </c>
      <c r="AB83" s="48">
        <f t="shared" si="61"/>
        <v>1460287.3213169915</v>
      </c>
      <c r="AC83" s="48">
        <f t="shared" si="62"/>
        <v>1409543.7464449725</v>
      </c>
      <c r="AD83" s="48">
        <f t="shared" si="63"/>
        <v>1346269.0988013109</v>
      </c>
      <c r="AE83" s="48">
        <f t="shared" si="64"/>
        <v>1285834.8603641938</v>
      </c>
      <c r="AF83" s="48">
        <f t="shared" si="65"/>
        <v>1229287.629411275</v>
      </c>
      <c r="AG83" s="48">
        <f t="shared" si="66"/>
        <v>1160800.405487512</v>
      </c>
      <c r="AH83" s="48">
        <f t="shared" si="43"/>
        <v>1096128.8059372164</v>
      </c>
      <c r="AI83" s="48">
        <f t="shared" si="43"/>
        <v>1027299.7244022648</v>
      </c>
      <c r="AJ83" s="48">
        <f t="shared" si="45"/>
        <v>961891.12771747634</v>
      </c>
      <c r="AK83" s="10"/>
      <c r="AL83" s="10"/>
      <c r="AM83" s="52"/>
    </row>
    <row r="84" spans="2:39">
      <c r="B84">
        <v>65</v>
      </c>
      <c r="C84" s="36" t="s">
        <v>455</v>
      </c>
      <c r="D84" s="63">
        <v>6661.78</v>
      </c>
      <c r="E84" s="64">
        <v>1988</v>
      </c>
      <c r="F84" s="65">
        <v>1460487.5424807377</v>
      </c>
      <c r="G84" s="77">
        <f t="shared" si="39"/>
        <v>3323198.5961175924</v>
      </c>
      <c r="H84" s="78">
        <v>5</v>
      </c>
      <c r="I84" s="3547">
        <f t="shared" si="67"/>
        <v>0.21756685044676347</v>
      </c>
      <c r="J84" s="490">
        <v>61</v>
      </c>
      <c r="K84" s="36" t="s">
        <v>451</v>
      </c>
      <c r="L84" s="47">
        <f t="shared" si="41"/>
        <v>987585.61977450014</v>
      </c>
      <c r="M84" s="62">
        <f t="shared" si="46"/>
        <v>2247155.8638603222</v>
      </c>
      <c r="N84" s="48">
        <f t="shared" si="47"/>
        <v>2177476.612267754</v>
      </c>
      <c r="O84" s="48">
        <f t="shared" si="48"/>
        <v>2138975.0611667526</v>
      </c>
      <c r="P84" s="48">
        <f t="shared" si="49"/>
        <v>2145411.2950519081</v>
      </c>
      <c r="Q84" s="48">
        <f t="shared" si="50"/>
        <v>2060913.8280998159</v>
      </c>
      <c r="R84" s="48">
        <f t="shared" si="51"/>
        <v>2004779.9884239454</v>
      </c>
      <c r="S84" s="48">
        <f t="shared" si="52"/>
        <v>1936985.4960617831</v>
      </c>
      <c r="T84" s="48">
        <f t="shared" si="53"/>
        <v>1873293.5165007573</v>
      </c>
      <c r="U84" s="48">
        <f t="shared" si="54"/>
        <v>1818731.569418211</v>
      </c>
      <c r="V84" s="48">
        <f t="shared" si="55"/>
        <v>1765758.8052603989</v>
      </c>
      <c r="W84" s="48">
        <f t="shared" si="56"/>
        <v>1706047.1548409653</v>
      </c>
      <c r="X84" s="48">
        <f t="shared" si="57"/>
        <v>1646763.6629739047</v>
      </c>
      <c r="Y84" s="48">
        <f t="shared" si="58"/>
        <v>1592614.7610966195</v>
      </c>
      <c r="Z84" s="48">
        <f t="shared" si="59"/>
        <v>1556808.1731149752</v>
      </c>
      <c r="AA84" s="48">
        <f t="shared" si="60"/>
        <v>1529281.1130795435</v>
      </c>
      <c r="AB84" s="48">
        <f t="shared" si="61"/>
        <v>1499295.2089015131</v>
      </c>
      <c r="AC84" s="48">
        <f t="shared" si="62"/>
        <v>1447196.1475883331</v>
      </c>
      <c r="AD84" s="48">
        <f t="shared" si="63"/>
        <v>1382231.2775437757</v>
      </c>
      <c r="AE84" s="48">
        <f t="shared" si="64"/>
        <v>1320182.6910637782</v>
      </c>
      <c r="AF84" s="48">
        <f t="shared" si="65"/>
        <v>1262124.9436556196</v>
      </c>
      <c r="AG84" s="48">
        <f t="shared" si="66"/>
        <v>1191808.2565208874</v>
      </c>
      <c r="AH84" s="48">
        <f t="shared" si="43"/>
        <v>1125409.1185277503</v>
      </c>
      <c r="AI84" s="48">
        <f t="shared" si="43"/>
        <v>1054741.4419191661</v>
      </c>
      <c r="AJ84" s="48">
        <f t="shared" si="45"/>
        <v>987585.61977450014</v>
      </c>
      <c r="AK84" s="10"/>
      <c r="AL84" s="10"/>
      <c r="AM84" s="52"/>
    </row>
    <row r="85" spans="2:39">
      <c r="B85">
        <v>66</v>
      </c>
      <c r="C85" s="36" t="s">
        <v>456</v>
      </c>
      <c r="D85" s="63">
        <v>6661.78</v>
      </c>
      <c r="E85" s="64">
        <v>1988</v>
      </c>
      <c r="F85" s="65">
        <v>1442384.7140624814</v>
      </c>
      <c r="G85" s="77">
        <f t="shared" si="39"/>
        <v>3282007.3553603292</v>
      </c>
      <c r="H85" s="78">
        <v>5</v>
      </c>
      <c r="I85" s="3546">
        <f t="shared" si="67"/>
        <v>0.21756685044676347</v>
      </c>
      <c r="J85" s="490">
        <v>62</v>
      </c>
      <c r="K85" s="36" t="s">
        <v>452</v>
      </c>
      <c r="L85" s="47">
        <f t="shared" si="41"/>
        <v>823380.0927061172</v>
      </c>
      <c r="M85" s="62">
        <f t="shared" si="46"/>
        <v>1873522.0182052529</v>
      </c>
      <c r="N85" s="48">
        <f t="shared" si="47"/>
        <v>1815428.3122143922</v>
      </c>
      <c r="O85" s="48">
        <f t="shared" si="48"/>
        <v>1783328.4009964559</v>
      </c>
      <c r="P85" s="48">
        <f t="shared" si="49"/>
        <v>1788694.4844498055</v>
      </c>
      <c r="Q85" s="48">
        <f t="shared" si="50"/>
        <v>1718246.3827567778</v>
      </c>
      <c r="R85" s="48">
        <f t="shared" si="51"/>
        <v>1671445.8976233248</v>
      </c>
      <c r="S85" s="48">
        <f t="shared" si="52"/>
        <v>1614923.5725829226</v>
      </c>
      <c r="T85" s="48">
        <f t="shared" si="53"/>
        <v>1561821.6369273914</v>
      </c>
      <c r="U85" s="48">
        <f t="shared" si="54"/>
        <v>1516331.6863372731</v>
      </c>
      <c r="V85" s="48">
        <f t="shared" si="55"/>
        <v>1472166.6857643428</v>
      </c>
      <c r="W85" s="48">
        <f t="shared" si="56"/>
        <v>1422383.2712698965</v>
      </c>
      <c r="X85" s="48">
        <f t="shared" si="57"/>
        <v>1372956.8255500931</v>
      </c>
      <c r="Y85" s="48">
        <f t="shared" si="58"/>
        <v>1327811.2432786201</v>
      </c>
      <c r="Z85" s="48">
        <f t="shared" si="59"/>
        <v>1297958.2045734313</v>
      </c>
      <c r="AA85" s="48">
        <f t="shared" si="60"/>
        <v>1275008.0595023884</v>
      </c>
      <c r="AB85" s="48">
        <f t="shared" si="61"/>
        <v>1250007.9014729296</v>
      </c>
      <c r="AC85" s="48">
        <f t="shared" si="62"/>
        <v>1206571.3334680789</v>
      </c>
      <c r="AD85" s="48">
        <f t="shared" si="63"/>
        <v>1152408.1503993112</v>
      </c>
      <c r="AE85" s="48">
        <f t="shared" si="64"/>
        <v>1100676.3614129047</v>
      </c>
      <c r="AF85" s="48">
        <f t="shared" si="65"/>
        <v>1052271.8560352817</v>
      </c>
      <c r="AG85" s="48">
        <f t="shared" si="66"/>
        <v>993646.70069431711</v>
      </c>
      <c r="AH85" s="48">
        <f t="shared" si="43"/>
        <v>938287.7249238122</v>
      </c>
      <c r="AI85" s="48">
        <f t="shared" si="43"/>
        <v>879369.93901013327</v>
      </c>
      <c r="AJ85" s="48">
        <f t="shared" si="45"/>
        <v>823380.0927061172</v>
      </c>
      <c r="AK85" s="10"/>
      <c r="AL85" s="10"/>
      <c r="AM85" s="52"/>
    </row>
    <row r="86" spans="2:39">
      <c r="B86">
        <v>67</v>
      </c>
      <c r="C86" s="36" t="s">
        <v>457</v>
      </c>
      <c r="D86" s="63">
        <f>80897/30</f>
        <v>2696.5666666666666</v>
      </c>
      <c r="E86" s="64">
        <v>1985</v>
      </c>
      <c r="F86" s="65">
        <v>806537.05138653493</v>
      </c>
      <c r="G86" s="77">
        <f t="shared" si="39"/>
        <v>2201347.8803573111</v>
      </c>
      <c r="H86" s="78">
        <v>1</v>
      </c>
      <c r="I86" s="3547">
        <f>$B$184/D86</f>
        <v>0.4341227614662862</v>
      </c>
      <c r="J86" s="490">
        <v>63</v>
      </c>
      <c r="K86" s="36" t="s">
        <v>453</v>
      </c>
      <c r="L86" s="47">
        <f t="shared" si="41"/>
        <v>1303073.7321361171</v>
      </c>
      <c r="M86" s="62">
        <f t="shared" si="46"/>
        <v>2965018.6470724852</v>
      </c>
      <c r="N86" s="48">
        <f t="shared" si="47"/>
        <v>2873080.0843725633</v>
      </c>
      <c r="O86" s="48">
        <f t="shared" si="48"/>
        <v>2822279.0612697084</v>
      </c>
      <c r="P86" s="48">
        <f t="shared" si="49"/>
        <v>2830771.3753958959</v>
      </c>
      <c r="Q86" s="48">
        <f t="shared" si="50"/>
        <v>2719280.8601305438</v>
      </c>
      <c r="R86" s="48">
        <f t="shared" si="51"/>
        <v>2645214.8444849649</v>
      </c>
      <c r="S86" s="48">
        <f t="shared" si="52"/>
        <v>2555763.1347680823</v>
      </c>
      <c r="T86" s="48">
        <f t="shared" si="53"/>
        <v>2471724.5017099441</v>
      </c>
      <c r="U86" s="48">
        <f t="shared" si="54"/>
        <v>2399732.5259319847</v>
      </c>
      <c r="V86" s="48">
        <f t="shared" si="55"/>
        <v>2329837.4038174609</v>
      </c>
      <c r="W86" s="48">
        <f t="shared" si="56"/>
        <v>2251050.6317076921</v>
      </c>
      <c r="X86" s="48">
        <f t="shared" si="57"/>
        <v>2172828.7950846446</v>
      </c>
      <c r="Y86" s="48">
        <f t="shared" si="58"/>
        <v>2101381.8134280895</v>
      </c>
      <c r="Z86" s="48">
        <f t="shared" si="59"/>
        <v>2054136.6700176832</v>
      </c>
      <c r="AA86" s="48">
        <f t="shared" si="60"/>
        <v>2017815.9823356415</v>
      </c>
      <c r="AB86" s="48">
        <f t="shared" si="61"/>
        <v>1978250.9630741584</v>
      </c>
      <c r="AC86" s="48">
        <f t="shared" si="62"/>
        <v>1909508.6516159829</v>
      </c>
      <c r="AD86" s="48">
        <f t="shared" si="63"/>
        <v>1823790.4982005567</v>
      </c>
      <c r="AE86" s="48">
        <f t="shared" si="64"/>
        <v>1741920.246609892</v>
      </c>
      <c r="AF86" s="48">
        <f t="shared" si="65"/>
        <v>1665315.7233364168</v>
      </c>
      <c r="AG86" s="48">
        <f t="shared" si="66"/>
        <v>1572536.0938020933</v>
      </c>
      <c r="AH86" s="48">
        <f t="shared" si="43"/>
        <v>1484925.4898981052</v>
      </c>
      <c r="AI86" s="48">
        <f t="shared" si="43"/>
        <v>1391682.7459213731</v>
      </c>
      <c r="AJ86" s="48">
        <f t="shared" si="45"/>
        <v>1303073.7321361171</v>
      </c>
      <c r="AK86" s="10"/>
      <c r="AL86" s="10"/>
      <c r="AM86" s="52"/>
    </row>
    <row r="87" spans="2:39">
      <c r="B87">
        <v>68</v>
      </c>
      <c r="C87" s="36" t="s">
        <v>458</v>
      </c>
      <c r="D87" s="63">
        <f>80897/30</f>
        <v>2696.5666666666666</v>
      </c>
      <c r="E87" s="64">
        <v>1985</v>
      </c>
      <c r="F87" s="65">
        <v>847301.2577480477</v>
      </c>
      <c r="G87" s="77">
        <f t="shared" si="39"/>
        <v>2312608.9800353693</v>
      </c>
      <c r="H87" s="78">
        <v>1</v>
      </c>
      <c r="I87" s="3546">
        <f t="shared" ref="I87:I89" si="68">$B$184/D87</f>
        <v>0.4341227614662862</v>
      </c>
      <c r="J87" s="490">
        <v>64</v>
      </c>
      <c r="K87" s="36" t="s">
        <v>454</v>
      </c>
      <c r="L87" s="47">
        <f t="shared" si="41"/>
        <v>1282029.3042046807</v>
      </c>
      <c r="M87" s="62">
        <f t="shared" si="46"/>
        <v>2917134.080224995</v>
      </c>
      <c r="N87" s="48">
        <f t="shared" si="47"/>
        <v>2826680.3102955376</v>
      </c>
      <c r="O87" s="48">
        <f t="shared" si="48"/>
        <v>2776699.7154180133</v>
      </c>
      <c r="P87" s="48">
        <f t="shared" si="49"/>
        <v>2785054.880058188</v>
      </c>
      <c r="Q87" s="48">
        <f t="shared" si="50"/>
        <v>2675364.918403639</v>
      </c>
      <c r="R87" s="48">
        <f t="shared" si="51"/>
        <v>2602495.0568128782</v>
      </c>
      <c r="S87" s="48">
        <f t="shared" si="52"/>
        <v>2514487.9775969838</v>
      </c>
      <c r="T87" s="48">
        <f t="shared" si="53"/>
        <v>2431806.5547359609</v>
      </c>
      <c r="U87" s="48">
        <f t="shared" si="54"/>
        <v>2360977.2376077292</v>
      </c>
      <c r="V87" s="48">
        <f t="shared" si="55"/>
        <v>2292210.9102987661</v>
      </c>
      <c r="W87" s="48">
        <f t="shared" si="56"/>
        <v>2214696.5316896294</v>
      </c>
      <c r="X87" s="48">
        <f t="shared" si="57"/>
        <v>2137737.9649513797</v>
      </c>
      <c r="Y87" s="48">
        <f t="shared" si="58"/>
        <v>2067444.8403785101</v>
      </c>
      <c r="Z87" s="48">
        <f t="shared" si="59"/>
        <v>2020962.6983172144</v>
      </c>
      <c r="AA87" s="48">
        <f t="shared" si="60"/>
        <v>1985228.5838086584</v>
      </c>
      <c r="AB87" s="48">
        <f t="shared" si="61"/>
        <v>1946302.5331457434</v>
      </c>
      <c r="AC87" s="48">
        <f t="shared" si="62"/>
        <v>1878670.3987893276</v>
      </c>
      <c r="AD87" s="48">
        <f t="shared" si="63"/>
        <v>1794336.5795504563</v>
      </c>
      <c r="AE87" s="48">
        <f t="shared" si="64"/>
        <v>1713788.5191503882</v>
      </c>
      <c r="AF87" s="48">
        <f t="shared" si="65"/>
        <v>1638421.1464152851</v>
      </c>
      <c r="AG87" s="48">
        <f t="shared" si="66"/>
        <v>1547139.8927434231</v>
      </c>
      <c r="AH87" s="48">
        <f t="shared" si="43"/>
        <v>1460944.1857822693</v>
      </c>
      <c r="AI87" s="48">
        <f t="shared" si="43"/>
        <v>1369207.2968905992</v>
      </c>
      <c r="AJ87" s="48">
        <f t="shared" si="45"/>
        <v>1282029.3042046807</v>
      </c>
      <c r="AK87" s="10"/>
      <c r="AL87" s="10"/>
      <c r="AM87" s="52"/>
    </row>
    <row r="88" spans="2:39">
      <c r="B88">
        <v>69</v>
      </c>
      <c r="C88" s="36" t="s">
        <v>459</v>
      </c>
      <c r="D88" s="63">
        <f>46034/12</f>
        <v>3836.1666666666665</v>
      </c>
      <c r="E88" s="64">
        <v>1985</v>
      </c>
      <c r="F88" s="65">
        <v>930457.28413648577</v>
      </c>
      <c r="G88" s="77">
        <f t="shared" si="39"/>
        <v>2539573.5591758187</v>
      </c>
      <c r="H88" s="78">
        <v>1</v>
      </c>
      <c r="I88" s="3547">
        <f t="shared" si="68"/>
        <v>0.305159047958797</v>
      </c>
      <c r="J88" s="490">
        <v>65</v>
      </c>
      <c r="K88" s="36" t="s">
        <v>455</v>
      </c>
      <c r="L88" s="47">
        <f t="shared" si="41"/>
        <v>1460487.5424807377</v>
      </c>
      <c r="M88" s="62">
        <f t="shared" si="46"/>
        <v>3323198.5961175924</v>
      </c>
      <c r="N88" s="48">
        <f t="shared" si="47"/>
        <v>3220153.6784085198</v>
      </c>
      <c r="O88" s="48">
        <f t="shared" si="48"/>
        <v>3163215.7941144593</v>
      </c>
      <c r="P88" s="48">
        <f t="shared" si="49"/>
        <v>3172733.9961027675</v>
      </c>
      <c r="Q88" s="48">
        <f t="shared" si="50"/>
        <v>3047775.2123945896</v>
      </c>
      <c r="R88" s="48">
        <f t="shared" si="51"/>
        <v>2964761.879761274</v>
      </c>
      <c r="S88" s="48">
        <f t="shared" si="52"/>
        <v>2864504.2316534049</v>
      </c>
      <c r="T88" s="48">
        <f t="shared" si="53"/>
        <v>2770313.5702644149</v>
      </c>
      <c r="U88" s="48">
        <f t="shared" si="54"/>
        <v>2689624.8254994317</v>
      </c>
      <c r="V88" s="48">
        <f t="shared" si="55"/>
        <v>2611286.2383489627</v>
      </c>
      <c r="W88" s="48">
        <f t="shared" si="56"/>
        <v>2522981.8728009304</v>
      </c>
      <c r="X88" s="48">
        <f t="shared" si="57"/>
        <v>2435310.6880317861</v>
      </c>
      <c r="Y88" s="48">
        <f t="shared" si="58"/>
        <v>2355232.7737251315</v>
      </c>
      <c r="Z88" s="48">
        <f t="shared" si="59"/>
        <v>2302280.3262220253</v>
      </c>
      <c r="AA88" s="48">
        <f t="shared" si="60"/>
        <v>2261572.0296876477</v>
      </c>
      <c r="AB88" s="48">
        <f t="shared" si="61"/>
        <v>2217227.4800859289</v>
      </c>
      <c r="AC88" s="48">
        <f t="shared" si="62"/>
        <v>2140180.9653339083</v>
      </c>
      <c r="AD88" s="48">
        <f t="shared" si="63"/>
        <v>2044107.8943017272</v>
      </c>
      <c r="AE88" s="48">
        <f t="shared" si="64"/>
        <v>1952347.5590274378</v>
      </c>
      <c r="AF88" s="48">
        <f t="shared" si="65"/>
        <v>1866489.0621677225</v>
      </c>
      <c r="AG88" s="48">
        <f t="shared" si="66"/>
        <v>1762501.4751347711</v>
      </c>
      <c r="AH88" s="48">
        <f t="shared" si="43"/>
        <v>1664307.3419591796</v>
      </c>
      <c r="AI88" s="48">
        <f t="shared" si="43"/>
        <v>1559800.695369428</v>
      </c>
      <c r="AJ88" s="48">
        <f t="shared" si="45"/>
        <v>1460487.5424807377</v>
      </c>
      <c r="AK88" s="10"/>
      <c r="AL88" s="10"/>
      <c r="AM88" s="52"/>
    </row>
    <row r="89" spans="2:39">
      <c r="B89">
        <v>70</v>
      </c>
      <c r="C89" s="36" t="s">
        <v>460</v>
      </c>
      <c r="D89" s="63">
        <f>46034/12</f>
        <v>3836.1666666666665</v>
      </c>
      <c r="E89" s="64">
        <v>1985</v>
      </c>
      <c r="F89" s="65">
        <v>1011672.3534932826</v>
      </c>
      <c r="G89" s="77">
        <f t="shared" si="39"/>
        <v>2761240.5247222967</v>
      </c>
      <c r="H89" s="78">
        <v>1</v>
      </c>
      <c r="I89" s="3546">
        <f t="shared" si="68"/>
        <v>0.305159047958797</v>
      </c>
      <c r="J89" s="490">
        <v>66</v>
      </c>
      <c r="K89" s="36" t="s">
        <v>456</v>
      </c>
      <c r="L89" s="47">
        <f t="shared" si="41"/>
        <v>1442384.7140624814</v>
      </c>
      <c r="M89" s="62">
        <f t="shared" si="46"/>
        <v>3282007.3553603292</v>
      </c>
      <c r="N89" s="48">
        <f t="shared" si="47"/>
        <v>3180239.6854266752</v>
      </c>
      <c r="O89" s="48">
        <f t="shared" si="48"/>
        <v>3124007.5495350445</v>
      </c>
      <c r="P89" s="48">
        <f t="shared" si="49"/>
        <v>3133407.7728536054</v>
      </c>
      <c r="Q89" s="48">
        <f t="shared" si="50"/>
        <v>3009997.8605702263</v>
      </c>
      <c r="R89" s="48">
        <f t="shared" si="51"/>
        <v>2928013.4830449671</v>
      </c>
      <c r="S89" s="48">
        <f t="shared" si="52"/>
        <v>2828998.5343429637</v>
      </c>
      <c r="T89" s="48">
        <f t="shared" si="53"/>
        <v>2735975.3717049938</v>
      </c>
      <c r="U89" s="48">
        <f t="shared" si="54"/>
        <v>2656286.7686456251</v>
      </c>
      <c r="V89" s="48">
        <f t="shared" si="55"/>
        <v>2578919.1928598303</v>
      </c>
      <c r="W89" s="48">
        <f t="shared" si="56"/>
        <v>2491709.3650819617</v>
      </c>
      <c r="X89" s="48">
        <f t="shared" si="57"/>
        <v>2405124.8697702331</v>
      </c>
      <c r="Y89" s="48">
        <f t="shared" si="58"/>
        <v>2326039.5258899741</v>
      </c>
      <c r="Z89" s="48">
        <f t="shared" si="59"/>
        <v>2273743.4270674237</v>
      </c>
      <c r="AA89" s="48">
        <f t="shared" si="60"/>
        <v>2233539.7122469782</v>
      </c>
      <c r="AB89" s="48">
        <f t="shared" si="61"/>
        <v>2189744.8159284098</v>
      </c>
      <c r="AC89" s="48">
        <f t="shared" si="62"/>
        <v>2113653.2972281948</v>
      </c>
      <c r="AD89" s="48">
        <f t="shared" si="63"/>
        <v>2018771.0575245416</v>
      </c>
      <c r="AE89" s="48">
        <f t="shared" si="64"/>
        <v>1928148.0969670885</v>
      </c>
      <c r="AF89" s="48">
        <f t="shared" si="65"/>
        <v>1843353.8211922452</v>
      </c>
      <c r="AG89" s="48">
        <f t="shared" si="66"/>
        <v>1740655.166376058</v>
      </c>
      <c r="AH89" s="48">
        <f t="shared" ref="AH89:AI93" si="69">AI89*(1+AH$5/100)</f>
        <v>1643678.1552181852</v>
      </c>
      <c r="AI89" s="48">
        <f t="shared" si="69"/>
        <v>1540466.8746187303</v>
      </c>
      <c r="AJ89" s="48">
        <f t="shared" si="45"/>
        <v>1442384.7140624814</v>
      </c>
      <c r="AK89" s="10"/>
      <c r="AL89" s="10"/>
      <c r="AM89" s="52"/>
    </row>
    <row r="90" spans="2:39" ht="15" thickBot="1">
      <c r="B90">
        <v>71</v>
      </c>
      <c r="C90" s="450" t="s">
        <v>461</v>
      </c>
      <c r="D90" s="451">
        <v>4440.3440000000001</v>
      </c>
      <c r="E90" s="452">
        <v>1988</v>
      </c>
      <c r="F90" s="453">
        <v>935230.60882814648</v>
      </c>
      <c r="G90" s="454">
        <f t="shared" si="39"/>
        <v>2128027.0840412788</v>
      </c>
      <c r="H90" s="455">
        <v>3</v>
      </c>
      <c r="I90" s="3547">
        <f t="shared" ref="I90" si="70">$B$186/D90</f>
        <v>0.20787133332520527</v>
      </c>
      <c r="J90" s="490">
        <v>67</v>
      </c>
      <c r="K90" s="36" t="s">
        <v>457</v>
      </c>
      <c r="L90" s="47">
        <f t="shared" si="41"/>
        <v>806537.05138653493</v>
      </c>
      <c r="M90" s="62">
        <f t="shared" si="46"/>
        <v>2201347.8803573111</v>
      </c>
      <c r="N90" s="48">
        <f t="shared" si="47"/>
        <v>2133089.0313539836</v>
      </c>
      <c r="O90" s="48">
        <f t="shared" si="48"/>
        <v>2095372.3294243452</v>
      </c>
      <c r="P90" s="48">
        <f t="shared" si="49"/>
        <v>2101677.3615088719</v>
      </c>
      <c r="Q90" s="48">
        <f t="shared" si="50"/>
        <v>2018902.3645618369</v>
      </c>
      <c r="R90" s="48">
        <f t="shared" si="51"/>
        <v>1963912.8059940047</v>
      </c>
      <c r="S90" s="48">
        <f t="shared" si="52"/>
        <v>1897500.2956463816</v>
      </c>
      <c r="T90" s="48">
        <f t="shared" si="53"/>
        <v>1835106.6689036572</v>
      </c>
      <c r="U90" s="48">
        <f t="shared" si="54"/>
        <v>1781656.960100638</v>
      </c>
      <c r="V90" s="48">
        <f t="shared" si="55"/>
        <v>1729764.0389326583</v>
      </c>
      <c r="W90" s="48">
        <f t="shared" si="56"/>
        <v>1671269.6028334864</v>
      </c>
      <c r="X90" s="48">
        <f t="shared" si="57"/>
        <v>1613194.59732962</v>
      </c>
      <c r="Y90" s="48">
        <f t="shared" si="58"/>
        <v>1560149.5138584333</v>
      </c>
      <c r="Z90" s="48">
        <f t="shared" si="59"/>
        <v>1525072.8385712937</v>
      </c>
      <c r="AA90" s="48">
        <f t="shared" si="60"/>
        <v>1498106.9141171845</v>
      </c>
      <c r="AB90" s="48">
        <f t="shared" si="61"/>
        <v>1468732.2687423376</v>
      </c>
      <c r="AC90" s="48">
        <f t="shared" si="62"/>
        <v>1417695.2400987814</v>
      </c>
      <c r="AD90" s="48">
        <f t="shared" si="63"/>
        <v>1354054.6705814532</v>
      </c>
      <c r="AE90" s="48">
        <f t="shared" si="64"/>
        <v>1293270.9365629926</v>
      </c>
      <c r="AF90" s="48">
        <f t="shared" si="65"/>
        <v>1236396.6888747539</v>
      </c>
      <c r="AG90" s="48">
        <f t="shared" si="66"/>
        <v>1167513.3983708725</v>
      </c>
      <c r="AH90" s="48">
        <f t="shared" si="69"/>
        <v>1102467.7982727785</v>
      </c>
      <c r="AI90" s="48">
        <f t="shared" si="69"/>
        <v>1033240.6731703641</v>
      </c>
      <c r="AJ90" s="48">
        <f>AK90*(1+AJ$5/100)</f>
        <v>967453.81382992887</v>
      </c>
      <c r="AK90" s="48">
        <f t="shared" ref="AK90:AL93" si="71">AL90*(1+AK$5/100)</f>
        <v>923142.95212779474</v>
      </c>
      <c r="AL90" s="48">
        <f t="shared" si="71"/>
        <v>877512.31190855009</v>
      </c>
      <c r="AM90" s="53">
        <f>$L90</f>
        <v>806537.05138653493</v>
      </c>
    </row>
    <row r="91" spans="2:39" ht="15" thickBot="1">
      <c r="B91" s="2055">
        <v>72</v>
      </c>
      <c r="C91" s="608" t="s">
        <v>462</v>
      </c>
      <c r="D91" s="617">
        <v>5550.5</v>
      </c>
      <c r="E91" s="618">
        <v>1988</v>
      </c>
      <c r="F91" s="619">
        <v>1152334.0522640124</v>
      </c>
      <c r="G91" s="620">
        <f t="shared" si="39"/>
        <v>2622025.0384592162</v>
      </c>
      <c r="H91" s="621">
        <v>4</v>
      </c>
      <c r="I91" s="3546">
        <f>$B$187/D91</f>
        <v>0.21249066512068193</v>
      </c>
      <c r="J91" s="490">
        <v>68</v>
      </c>
      <c r="K91" s="36" t="s">
        <v>458</v>
      </c>
      <c r="L91" s="47">
        <f t="shared" si="41"/>
        <v>847301.2577480477</v>
      </c>
      <c r="M91" s="62">
        <f t="shared" si="46"/>
        <v>2312608.9800353693</v>
      </c>
      <c r="N91" s="48">
        <f t="shared" si="47"/>
        <v>2240900.1744528771</v>
      </c>
      <c r="O91" s="48">
        <f t="shared" si="48"/>
        <v>2201277.1851207046</v>
      </c>
      <c r="P91" s="48">
        <f t="shared" si="49"/>
        <v>2207900.8877840568</v>
      </c>
      <c r="Q91" s="48">
        <f t="shared" si="50"/>
        <v>2120942.2553160968</v>
      </c>
      <c r="R91" s="48">
        <f t="shared" si="51"/>
        <v>2063173.4001129344</v>
      </c>
      <c r="S91" s="48">
        <f t="shared" si="52"/>
        <v>1993404.251316845</v>
      </c>
      <c r="T91" s="48">
        <f t="shared" si="53"/>
        <v>1927857.109590759</v>
      </c>
      <c r="U91" s="48">
        <f t="shared" si="54"/>
        <v>1871705.9316415135</v>
      </c>
      <c r="V91" s="48">
        <f t="shared" si="55"/>
        <v>1817190.2248946733</v>
      </c>
      <c r="W91" s="48">
        <f t="shared" si="56"/>
        <v>1755739.3477243222</v>
      </c>
      <c r="X91" s="48">
        <f t="shared" si="57"/>
        <v>1694729.1001200022</v>
      </c>
      <c r="Y91" s="48">
        <f t="shared" si="58"/>
        <v>1639002.9981818201</v>
      </c>
      <c r="Z91" s="48">
        <f t="shared" si="59"/>
        <v>1602153.4684084265</v>
      </c>
      <c r="AA91" s="48">
        <f t="shared" si="60"/>
        <v>1573824.6251556252</v>
      </c>
      <c r="AB91" s="48">
        <f t="shared" si="61"/>
        <v>1542965.3187800245</v>
      </c>
      <c r="AC91" s="48">
        <f t="shared" si="62"/>
        <v>1489348.7633011818</v>
      </c>
      <c r="AD91" s="48">
        <f t="shared" si="63"/>
        <v>1422491.6554930105</v>
      </c>
      <c r="AE91" s="48">
        <f t="shared" si="64"/>
        <v>1358635.7741098478</v>
      </c>
      <c r="AF91" s="48">
        <f t="shared" si="65"/>
        <v>1298886.9733363746</v>
      </c>
      <c r="AG91" s="48">
        <f t="shared" si="66"/>
        <v>1226522.1655678703</v>
      </c>
      <c r="AH91" s="48">
        <f t="shared" si="69"/>
        <v>1158189.0137562514</v>
      </c>
      <c r="AI91" s="48">
        <f t="shared" si="69"/>
        <v>1085462.9932111073</v>
      </c>
      <c r="AJ91" s="48">
        <f>AK91*(1+AJ$5/100)</f>
        <v>1016351.1172388645</v>
      </c>
      <c r="AK91" s="48">
        <f t="shared" si="71"/>
        <v>969800.68438822951</v>
      </c>
      <c r="AL91" s="48">
        <f t="shared" si="71"/>
        <v>921863.76842987596</v>
      </c>
      <c r="AM91" s="53">
        <f>$L91</f>
        <v>847301.2577480477</v>
      </c>
    </row>
    <row r="92" spans="2:39">
      <c r="B92">
        <v>73</v>
      </c>
      <c r="C92" s="605" t="s">
        <v>463</v>
      </c>
      <c r="D92" s="613">
        <v>6661.78</v>
      </c>
      <c r="E92" s="593">
        <v>1988</v>
      </c>
      <c r="F92" s="614">
        <v>1402178.0494765183</v>
      </c>
      <c r="G92" s="615">
        <f t="shared" si="39"/>
        <v>3190520.9664523555</v>
      </c>
      <c r="H92" s="616">
        <v>5</v>
      </c>
      <c r="I92" s="3547">
        <f>$B$188/D92</f>
        <v>0.21756685044676347</v>
      </c>
      <c r="J92" s="490">
        <v>69</v>
      </c>
      <c r="K92" s="36" t="s">
        <v>459</v>
      </c>
      <c r="L92" s="47">
        <f t="shared" si="41"/>
        <v>930457.28413648577</v>
      </c>
      <c r="M92" s="62">
        <f t="shared" si="46"/>
        <v>2539573.5591758187</v>
      </c>
      <c r="N92" s="48">
        <f t="shared" si="47"/>
        <v>2460827.0922246305</v>
      </c>
      <c r="O92" s="48">
        <f t="shared" si="48"/>
        <v>2417315.4147589691</v>
      </c>
      <c r="P92" s="48">
        <f t="shared" si="49"/>
        <v>2424589.1823058869</v>
      </c>
      <c r="Q92" s="48">
        <f t="shared" si="50"/>
        <v>2329096.2366050789</v>
      </c>
      <c r="R92" s="48">
        <f t="shared" si="51"/>
        <v>2265657.8177092206</v>
      </c>
      <c r="S92" s="48">
        <f t="shared" si="52"/>
        <v>2189041.3697673632</v>
      </c>
      <c r="T92" s="48">
        <f t="shared" si="53"/>
        <v>2117061.2860419373</v>
      </c>
      <c r="U92" s="48">
        <f t="shared" si="54"/>
        <v>2055399.3068368321</v>
      </c>
      <c r="V92" s="48">
        <f t="shared" si="55"/>
        <v>1995533.3076085749</v>
      </c>
      <c r="W92" s="48">
        <f t="shared" si="56"/>
        <v>1928051.5049358213</v>
      </c>
      <c r="X92" s="48">
        <f t="shared" si="57"/>
        <v>1861053.5761928777</v>
      </c>
      <c r="Y92" s="48">
        <f t="shared" si="58"/>
        <v>1799858.3909022028</v>
      </c>
      <c r="Z92" s="48">
        <f t="shared" si="59"/>
        <v>1759392.3664733167</v>
      </c>
      <c r="AA92" s="48">
        <f t="shared" si="60"/>
        <v>1728283.2676555174</v>
      </c>
      <c r="AB92" s="48">
        <f t="shared" si="61"/>
        <v>1694395.3604465858</v>
      </c>
      <c r="AC92" s="48">
        <f t="shared" si="62"/>
        <v>1635516.757187824</v>
      </c>
      <c r="AD92" s="48">
        <f t="shared" si="63"/>
        <v>1562098.1444009782</v>
      </c>
      <c r="AE92" s="48">
        <f t="shared" si="64"/>
        <v>1491975.3050630165</v>
      </c>
      <c r="AF92" s="48">
        <f t="shared" si="65"/>
        <v>1426362.6243432278</v>
      </c>
      <c r="AG92" s="48">
        <f t="shared" si="66"/>
        <v>1346895.7736952105</v>
      </c>
      <c r="AH92" s="48">
        <f t="shared" si="69"/>
        <v>1271856.2546696984</v>
      </c>
      <c r="AI92" s="48">
        <f t="shared" si="69"/>
        <v>1191992.7410212732</v>
      </c>
      <c r="AJ92" s="48">
        <f>AK92*(1+AJ$5/100)</f>
        <v>1116098.072117297</v>
      </c>
      <c r="AK92" s="48">
        <f t="shared" si="71"/>
        <v>1064979.0764478024</v>
      </c>
      <c r="AL92" s="48">
        <f t="shared" si="71"/>
        <v>1012337.5251404966</v>
      </c>
      <c r="AM92" s="53">
        <f>$L92</f>
        <v>930457.28413648577</v>
      </c>
    </row>
    <row r="93" spans="2:39">
      <c r="B93">
        <v>74</v>
      </c>
      <c r="C93" s="36" t="s">
        <v>464</v>
      </c>
      <c r="D93" s="63">
        <v>12210.968999999999</v>
      </c>
      <c r="E93" s="64">
        <v>1988</v>
      </c>
      <c r="F93" s="65">
        <v>2614048.294295914</v>
      </c>
      <c r="G93" s="77">
        <f t="shared" si="39"/>
        <v>5948014.8711383762</v>
      </c>
      <c r="H93" s="78">
        <v>10</v>
      </c>
      <c r="I93" s="3546">
        <f>$B$189/D93</f>
        <v>0.22614153091451142</v>
      </c>
      <c r="J93" s="490">
        <v>70</v>
      </c>
      <c r="K93" s="36" t="s">
        <v>460</v>
      </c>
      <c r="L93" s="47">
        <f t="shared" si="41"/>
        <v>1011672.3534932826</v>
      </c>
      <c r="M93" s="62">
        <f t="shared" si="46"/>
        <v>2761240.5247222967</v>
      </c>
      <c r="N93" s="48">
        <f t="shared" si="47"/>
        <v>2675620.6634905976</v>
      </c>
      <c r="O93" s="48">
        <f t="shared" si="48"/>
        <v>2628311.0643326105</v>
      </c>
      <c r="P93" s="48">
        <f t="shared" si="49"/>
        <v>2636219.7235031198</v>
      </c>
      <c r="Q93" s="48">
        <f t="shared" si="50"/>
        <v>2532391.6652287417</v>
      </c>
      <c r="R93" s="48">
        <f t="shared" si="51"/>
        <v>2463416.0167594762</v>
      </c>
      <c r="S93" s="48">
        <f t="shared" si="52"/>
        <v>2380112.0934874169</v>
      </c>
      <c r="T93" s="48">
        <f t="shared" si="53"/>
        <v>2301849.2200071728</v>
      </c>
      <c r="U93" s="48">
        <f t="shared" si="54"/>
        <v>2234805.0679681287</v>
      </c>
      <c r="V93" s="48">
        <f t="shared" si="55"/>
        <v>2169713.6582214842</v>
      </c>
      <c r="W93" s="48">
        <f t="shared" si="56"/>
        <v>2096341.6987647191</v>
      </c>
      <c r="X93" s="48">
        <f t="shared" si="57"/>
        <v>2023495.8482284932</v>
      </c>
      <c r="Y93" s="48">
        <f t="shared" si="58"/>
        <v>1956959.234263533</v>
      </c>
      <c r="Z93" s="48">
        <f t="shared" si="59"/>
        <v>1912961.1283123491</v>
      </c>
      <c r="AA93" s="48">
        <f t="shared" si="60"/>
        <v>1879136.6682832506</v>
      </c>
      <c r="AB93" s="48">
        <f t="shared" si="61"/>
        <v>1842290.8512580888</v>
      </c>
      <c r="AC93" s="48">
        <f t="shared" si="62"/>
        <v>1778273.0224498927</v>
      </c>
      <c r="AD93" s="48">
        <f t="shared" si="63"/>
        <v>1698446.0577362874</v>
      </c>
      <c r="AE93" s="48">
        <f t="shared" si="64"/>
        <v>1622202.538430074</v>
      </c>
      <c r="AF93" s="48">
        <f t="shared" si="65"/>
        <v>1550862.8474474894</v>
      </c>
      <c r="AG93" s="48">
        <f t="shared" si="66"/>
        <v>1464459.723746449</v>
      </c>
      <c r="AH93" s="48">
        <f t="shared" si="69"/>
        <v>1382870.3718096782</v>
      </c>
      <c r="AI93" s="48">
        <f t="shared" si="69"/>
        <v>1296035.9623333442</v>
      </c>
      <c r="AJ93" s="48">
        <f>AK93*(1+AJ$5/100)</f>
        <v>1213516.8186641799</v>
      </c>
      <c r="AK93" s="48">
        <f t="shared" si="71"/>
        <v>1157935.8956719274</v>
      </c>
      <c r="AL93" s="48">
        <f t="shared" si="71"/>
        <v>1100699.5206006914</v>
      </c>
      <c r="AM93" s="53">
        <f>$L93</f>
        <v>1011672.3534932826</v>
      </c>
    </row>
    <row r="94" spans="2:39" ht="15" thickBot="1">
      <c r="B94">
        <v>75</v>
      </c>
      <c r="C94" s="36" t="s">
        <v>465</v>
      </c>
      <c r="D94" s="63">
        <v>4440.3440000000001</v>
      </c>
      <c r="E94" s="64">
        <v>1988</v>
      </c>
      <c r="F94" s="65">
        <v>768440.03054199275</v>
      </c>
      <c r="G94" s="77">
        <f t="shared" si="39"/>
        <v>1748511.2035670718</v>
      </c>
      <c r="H94" s="78">
        <v>3</v>
      </c>
      <c r="I94" s="3547">
        <f>$B$186/D94</f>
        <v>0.20787133332520527</v>
      </c>
      <c r="J94" s="490">
        <v>71</v>
      </c>
      <c r="K94" s="450" t="s">
        <v>461</v>
      </c>
      <c r="L94" s="603">
        <f t="shared" si="41"/>
        <v>935230.60882814648</v>
      </c>
      <c r="M94" s="604">
        <f t="shared" si="46"/>
        <v>2128027.0840412788</v>
      </c>
      <c r="N94" s="48">
        <f t="shared" si="47"/>
        <v>2062041.7481020142</v>
      </c>
      <c r="O94" s="48">
        <f t="shared" si="48"/>
        <v>2025581.2849725089</v>
      </c>
      <c r="P94" s="48">
        <f t="shared" si="49"/>
        <v>2031676.3139142517</v>
      </c>
      <c r="Q94" s="48">
        <f t="shared" si="50"/>
        <v>1951658.3226841998</v>
      </c>
      <c r="R94" s="48">
        <f t="shared" si="51"/>
        <v>1898500.3138951359</v>
      </c>
      <c r="S94" s="48">
        <f t="shared" si="52"/>
        <v>1834299.8201885372</v>
      </c>
      <c r="T94" s="48">
        <f t="shared" si="53"/>
        <v>1773984.3522132854</v>
      </c>
      <c r="U94" s="48">
        <f t="shared" si="54"/>
        <v>1722314.9050614422</v>
      </c>
      <c r="V94" s="48">
        <f t="shared" si="55"/>
        <v>1672150.393263536</v>
      </c>
      <c r="W94" s="48">
        <f t="shared" si="56"/>
        <v>1615604.2446990688</v>
      </c>
      <c r="X94" s="48">
        <f t="shared" si="57"/>
        <v>1559463.5566593327</v>
      </c>
      <c r="Y94" s="48">
        <f t="shared" si="58"/>
        <v>1508185.2578910375</v>
      </c>
      <c r="Z94" s="48">
        <f t="shared" si="59"/>
        <v>1474276.8894340545</v>
      </c>
      <c r="AA94" s="48">
        <f t="shared" si="60"/>
        <v>1448209.1251808</v>
      </c>
      <c r="AB94" s="48">
        <f t="shared" si="61"/>
        <v>1419812.8678243137</v>
      </c>
      <c r="AC94" s="48">
        <f t="shared" si="62"/>
        <v>1370475.7411431598</v>
      </c>
      <c r="AD94" s="48">
        <f t="shared" si="63"/>
        <v>1308954.8626009168</v>
      </c>
      <c r="AE94" s="48">
        <f t="shared" si="64"/>
        <v>1250195.6662854985</v>
      </c>
      <c r="AF94" s="48">
        <f t="shared" si="65"/>
        <v>1195215.7421467481</v>
      </c>
      <c r="AG94" s="48">
        <f t="shared" si="66"/>
        <v>1128626.7631225195</v>
      </c>
      <c r="AH94" s="48">
        <f t="shared" ref="AH94:AI113" si="72">AI94*(1+AH$5/100)</f>
        <v>1065747.6516737673</v>
      </c>
      <c r="AI94" s="48">
        <f t="shared" si="72"/>
        <v>998826.29022846045</v>
      </c>
      <c r="AJ94" s="48">
        <f t="shared" ref="AJ94:AJ117" si="73">$L94</f>
        <v>935230.60882814648</v>
      </c>
      <c r="AK94" s="10"/>
      <c r="AL94" s="10"/>
      <c r="AM94" s="52"/>
    </row>
    <row r="95" spans="2:39" ht="15" thickBot="1">
      <c r="B95">
        <v>76</v>
      </c>
      <c r="C95" s="36" t="s">
        <v>466</v>
      </c>
      <c r="D95" s="63">
        <v>5550.5</v>
      </c>
      <c r="E95" s="64">
        <v>1988</v>
      </c>
      <c r="F95" s="65">
        <v>988918.78697726992</v>
      </c>
      <c r="G95" s="77">
        <f t="shared" si="39"/>
        <v>2250189.3572984855</v>
      </c>
      <c r="H95" s="78">
        <v>4</v>
      </c>
      <c r="I95" s="3546"/>
      <c r="J95" s="490">
        <v>72</v>
      </c>
      <c r="K95" s="608" t="s">
        <v>462</v>
      </c>
      <c r="L95" s="609">
        <f t="shared" si="41"/>
        <v>1152334.0522640124</v>
      </c>
      <c r="M95" s="610">
        <f t="shared" si="46"/>
        <v>2622025.0384592162</v>
      </c>
      <c r="N95" s="602">
        <f t="shared" si="47"/>
        <v>2540721.9364914885</v>
      </c>
      <c r="O95" s="48">
        <f t="shared" si="48"/>
        <v>2495797.5800505779</v>
      </c>
      <c r="P95" s="48">
        <f t="shared" si="49"/>
        <v>2503307.5025582528</v>
      </c>
      <c r="Q95" s="48">
        <f t="shared" si="50"/>
        <v>2404714.2195564387</v>
      </c>
      <c r="R95" s="48">
        <f t="shared" si="51"/>
        <v>2339216.1668836954</v>
      </c>
      <c r="S95" s="48">
        <f t="shared" si="52"/>
        <v>2260112.2385349716</v>
      </c>
      <c r="T95" s="48">
        <f t="shared" si="53"/>
        <v>2185795.2016779222</v>
      </c>
      <c r="U95" s="48">
        <f t="shared" si="54"/>
        <v>2122131.2637649728</v>
      </c>
      <c r="V95" s="48">
        <f t="shared" si="55"/>
        <v>2060321.6153057988</v>
      </c>
      <c r="W95" s="48">
        <f t="shared" si="56"/>
        <v>1990648.9036771005</v>
      </c>
      <c r="X95" s="48">
        <f t="shared" si="57"/>
        <v>1921475.7757500969</v>
      </c>
      <c r="Y95" s="48">
        <f t="shared" si="58"/>
        <v>1858293.7869923566</v>
      </c>
      <c r="Z95" s="48">
        <f t="shared" si="59"/>
        <v>1816513.96577943</v>
      </c>
      <c r="AA95" s="48">
        <f t="shared" si="60"/>
        <v>1784394.8583294989</v>
      </c>
      <c r="AB95" s="48">
        <f t="shared" si="61"/>
        <v>1749406.7238524498</v>
      </c>
      <c r="AC95" s="48">
        <f t="shared" si="62"/>
        <v>1688616.528815106</v>
      </c>
      <c r="AD95" s="48">
        <f t="shared" si="63"/>
        <v>1612814.2586581721</v>
      </c>
      <c r="AE95" s="48">
        <f t="shared" si="64"/>
        <v>1540414.7647164969</v>
      </c>
      <c r="AF95" s="48">
        <f t="shared" si="65"/>
        <v>1472671.8591935916</v>
      </c>
      <c r="AG95" s="48">
        <f t="shared" si="66"/>
        <v>1390624.9850742132</v>
      </c>
      <c r="AH95" s="48">
        <f t="shared" si="72"/>
        <v>1313149.1832617689</v>
      </c>
      <c r="AI95" s="48">
        <f t="shared" si="72"/>
        <v>1230692.7678179652</v>
      </c>
      <c r="AJ95" s="48">
        <f t="shared" si="73"/>
        <v>1152334.0522640124</v>
      </c>
      <c r="AK95" s="10"/>
      <c r="AL95" s="10"/>
      <c r="AM95" s="52"/>
    </row>
    <row r="96" spans="2:39">
      <c r="B96">
        <v>77</v>
      </c>
      <c r="C96" s="36" t="s">
        <v>467</v>
      </c>
      <c r="D96" s="63">
        <v>6661.78</v>
      </c>
      <c r="E96" s="64">
        <v>1988</v>
      </c>
      <c r="F96" s="65">
        <v>1245536.5741612876</v>
      </c>
      <c r="G96" s="77">
        <f t="shared" si="39"/>
        <v>2834098.3913051756</v>
      </c>
      <c r="H96" s="78">
        <v>5</v>
      </c>
      <c r="I96" s="3547">
        <f>$B$188/D96</f>
        <v>0.21756685044676347</v>
      </c>
      <c r="J96" s="490">
        <v>73</v>
      </c>
      <c r="K96" s="605" t="s">
        <v>463</v>
      </c>
      <c r="L96" s="606">
        <f t="shared" si="41"/>
        <v>1402178.0494765183</v>
      </c>
      <c r="M96" s="607">
        <f t="shared" si="46"/>
        <v>3190520.9664523555</v>
      </c>
      <c r="N96" s="48">
        <f t="shared" si="47"/>
        <v>3091590.0837716623</v>
      </c>
      <c r="O96" s="48">
        <f t="shared" si="48"/>
        <v>3036925.4261018294</v>
      </c>
      <c r="P96" s="48">
        <f t="shared" si="49"/>
        <v>3046063.6169526875</v>
      </c>
      <c r="Q96" s="48">
        <f t="shared" si="50"/>
        <v>2926093.7722888449</v>
      </c>
      <c r="R96" s="48">
        <f t="shared" si="51"/>
        <v>2846394.7201253353</v>
      </c>
      <c r="S96" s="48">
        <f t="shared" si="52"/>
        <v>2750139.8262080536</v>
      </c>
      <c r="T96" s="48">
        <f t="shared" si="53"/>
        <v>2659709.6965261642</v>
      </c>
      <c r="U96" s="48">
        <f t="shared" si="54"/>
        <v>2582242.4238118096</v>
      </c>
      <c r="V96" s="48">
        <f t="shared" si="55"/>
        <v>2507031.4794289414</v>
      </c>
      <c r="W96" s="48">
        <f t="shared" si="56"/>
        <v>2422252.637129412</v>
      </c>
      <c r="X96" s="48">
        <f t="shared" si="57"/>
        <v>2338081.6960708611</v>
      </c>
      <c r="Y96" s="48">
        <f t="shared" si="58"/>
        <v>2261200.8666062485</v>
      </c>
      <c r="Z96" s="48">
        <f t="shared" si="59"/>
        <v>2210362.5284518562</v>
      </c>
      <c r="AA96" s="48">
        <f t="shared" si="60"/>
        <v>2171279.4974969118</v>
      </c>
      <c r="AB96" s="48">
        <f t="shared" si="61"/>
        <v>2128705.3897028547</v>
      </c>
      <c r="AC96" s="48">
        <f t="shared" si="62"/>
        <v>2054734.9321456128</v>
      </c>
      <c r="AD96" s="48">
        <f t="shared" si="63"/>
        <v>1962497.5474170132</v>
      </c>
      <c r="AE96" s="48">
        <f t="shared" si="64"/>
        <v>1874400.7138653423</v>
      </c>
      <c r="AF96" s="48">
        <f t="shared" si="65"/>
        <v>1791970.0897374209</v>
      </c>
      <c r="AG96" s="48">
        <f t="shared" si="66"/>
        <v>1692134.1735008697</v>
      </c>
      <c r="AH96" s="48">
        <f t="shared" si="72"/>
        <v>1597860.4093492632</v>
      </c>
      <c r="AI96" s="48">
        <f t="shared" si="72"/>
        <v>1497526.1568409216</v>
      </c>
      <c r="AJ96" s="48">
        <f t="shared" si="73"/>
        <v>1402178.0494765183</v>
      </c>
      <c r="AK96" s="10"/>
      <c r="AL96" s="10"/>
      <c r="AM96" s="52"/>
    </row>
    <row r="97" spans="2:39">
      <c r="B97">
        <v>78</v>
      </c>
      <c r="C97" s="36" t="s">
        <v>468</v>
      </c>
      <c r="D97" s="63">
        <v>12210.968999999999</v>
      </c>
      <c r="E97" s="64">
        <v>1988</v>
      </c>
      <c r="F97" s="65">
        <v>2437091.0348961446</v>
      </c>
      <c r="G97" s="77">
        <f t="shared" si="39"/>
        <v>5545365.6879681703</v>
      </c>
      <c r="H97" s="78">
        <v>10</v>
      </c>
      <c r="I97" s="3546">
        <f>$B$189/D97</f>
        <v>0.22614153091451142</v>
      </c>
      <c r="J97" s="490">
        <v>74</v>
      </c>
      <c r="K97" s="36" t="s">
        <v>464</v>
      </c>
      <c r="L97" s="47">
        <f t="shared" si="41"/>
        <v>2614048.294295914</v>
      </c>
      <c r="M97" s="62">
        <f t="shared" si="46"/>
        <v>5948014.8711383762</v>
      </c>
      <c r="N97" s="48">
        <f t="shared" si="47"/>
        <v>5763580.3014906747</v>
      </c>
      <c r="O97" s="48">
        <f t="shared" si="48"/>
        <v>5661670.2372207018</v>
      </c>
      <c r="P97" s="48">
        <f t="shared" si="49"/>
        <v>5678706.3562895702</v>
      </c>
      <c r="Q97" s="48">
        <f t="shared" si="50"/>
        <v>5455049.3336114995</v>
      </c>
      <c r="R97" s="48">
        <f t="shared" si="51"/>
        <v>5306468.2233574893</v>
      </c>
      <c r="S97" s="48">
        <f t="shared" si="52"/>
        <v>5127022.4380265605</v>
      </c>
      <c r="T97" s="48">
        <f t="shared" si="53"/>
        <v>4958435.626718143</v>
      </c>
      <c r="U97" s="48">
        <f t="shared" si="54"/>
        <v>4814015.1715710126</v>
      </c>
      <c r="V97" s="48">
        <f t="shared" si="55"/>
        <v>4673801.1374475854</v>
      </c>
      <c r="W97" s="48">
        <f t="shared" si="56"/>
        <v>4515749.8912537061</v>
      </c>
      <c r="X97" s="48">
        <f t="shared" si="57"/>
        <v>4358831.9413645808</v>
      </c>
      <c r="Y97" s="48">
        <f t="shared" si="58"/>
        <v>4215504.7788825734</v>
      </c>
      <c r="Z97" s="48">
        <f t="shared" si="59"/>
        <v>4120728.0340983123</v>
      </c>
      <c r="AA97" s="48">
        <f t="shared" si="60"/>
        <v>4047866.4382105228</v>
      </c>
      <c r="AB97" s="48">
        <f t="shared" si="61"/>
        <v>3968496.5080495318</v>
      </c>
      <c r="AC97" s="48">
        <f t="shared" si="62"/>
        <v>3830595.0849898956</v>
      </c>
      <c r="AD97" s="48">
        <f t="shared" si="63"/>
        <v>3658639.049656061</v>
      </c>
      <c r="AE97" s="48">
        <f t="shared" si="64"/>
        <v>3494402.1486686352</v>
      </c>
      <c r="AF97" s="48">
        <f t="shared" si="65"/>
        <v>3340728.631614374</v>
      </c>
      <c r="AG97" s="48">
        <f t="shared" si="66"/>
        <v>3154606.8287199</v>
      </c>
      <c r="AH97" s="48">
        <f t="shared" si="72"/>
        <v>2978854.4180546743</v>
      </c>
      <c r="AI97" s="48">
        <f t="shared" si="72"/>
        <v>2791803.5783080361</v>
      </c>
      <c r="AJ97" s="48">
        <f t="shared" si="73"/>
        <v>2614048.294295914</v>
      </c>
      <c r="AK97" s="10"/>
      <c r="AL97" s="10"/>
      <c r="AM97" s="52"/>
    </row>
    <row r="98" spans="2:39" ht="15" thickBot="1">
      <c r="B98">
        <v>79</v>
      </c>
      <c r="C98" s="450" t="s">
        <v>469</v>
      </c>
      <c r="D98" s="451">
        <v>4440.3440000000001</v>
      </c>
      <c r="E98" s="452">
        <v>1988</v>
      </c>
      <c r="F98" s="453">
        <v>958803.50714074518</v>
      </c>
      <c r="G98" s="454">
        <f t="shared" si="39"/>
        <v>2181664.9414692097</v>
      </c>
      <c r="H98" s="455">
        <v>3</v>
      </c>
      <c r="I98" s="3547">
        <f>$B$186/D98</f>
        <v>0.20787133332520527</v>
      </c>
      <c r="J98" s="490">
        <v>75</v>
      </c>
      <c r="K98" s="36" t="s">
        <v>465</v>
      </c>
      <c r="L98" s="47">
        <f t="shared" si="41"/>
        <v>768440.03054199275</v>
      </c>
      <c r="M98" s="62">
        <f t="shared" si="46"/>
        <v>1748511.2035670718</v>
      </c>
      <c r="N98" s="48">
        <f t="shared" si="47"/>
        <v>1694293.8019060772</v>
      </c>
      <c r="O98" s="48">
        <f t="shared" si="48"/>
        <v>1664335.7582574431</v>
      </c>
      <c r="P98" s="48">
        <f t="shared" si="49"/>
        <v>1669343.789626322</v>
      </c>
      <c r="Q98" s="48">
        <f t="shared" si="50"/>
        <v>1603596.3396986765</v>
      </c>
      <c r="R98" s="48">
        <f t="shared" si="51"/>
        <v>1559918.6183839266</v>
      </c>
      <c r="S98" s="48">
        <f t="shared" si="52"/>
        <v>1507167.7472308471</v>
      </c>
      <c r="T98" s="48">
        <f t="shared" si="53"/>
        <v>1457609.0398750938</v>
      </c>
      <c r="U98" s="48">
        <f t="shared" si="54"/>
        <v>1415154.4076457222</v>
      </c>
      <c r="V98" s="48">
        <f t="shared" si="55"/>
        <v>1373936.3181026429</v>
      </c>
      <c r="W98" s="48">
        <f t="shared" si="56"/>
        <v>1327474.7034808146</v>
      </c>
      <c r="X98" s="48">
        <f t="shared" si="57"/>
        <v>1281346.2388810951</v>
      </c>
      <c r="Y98" s="48">
        <f t="shared" si="58"/>
        <v>1239212.9969836508</v>
      </c>
      <c r="Z98" s="48">
        <f t="shared" si="59"/>
        <v>1211351.903209825</v>
      </c>
      <c r="AA98" s="48">
        <f t="shared" si="60"/>
        <v>1189933.1072788066</v>
      </c>
      <c r="AB98" s="48">
        <f t="shared" si="61"/>
        <v>1166601.0855674574</v>
      </c>
      <c r="AC98" s="48">
        <f t="shared" si="62"/>
        <v>1126062.8239068121</v>
      </c>
      <c r="AD98" s="48">
        <f t="shared" si="63"/>
        <v>1075513.6809043097</v>
      </c>
      <c r="AE98" s="48">
        <f t="shared" si="64"/>
        <v>1027233.6971387869</v>
      </c>
      <c r="AF98" s="48">
        <f t="shared" si="65"/>
        <v>982058.98388029332</v>
      </c>
      <c r="AG98" s="48">
        <f t="shared" si="66"/>
        <v>927345.59384352539</v>
      </c>
      <c r="AH98" s="48">
        <f t="shared" si="72"/>
        <v>875680.44744431111</v>
      </c>
      <c r="AI98" s="48">
        <f t="shared" si="72"/>
        <v>820693.9526188483</v>
      </c>
      <c r="AJ98" s="48">
        <f t="shared" si="73"/>
        <v>768440.03054199275</v>
      </c>
      <c r="AK98" s="10"/>
      <c r="AL98" s="10"/>
      <c r="AM98" s="52"/>
    </row>
    <row r="99" spans="2:39" ht="15" thickBot="1">
      <c r="B99" s="2055">
        <v>80</v>
      </c>
      <c r="C99" s="608" t="s">
        <v>470</v>
      </c>
      <c r="D99" s="617">
        <v>5550.5</v>
      </c>
      <c r="E99" s="618">
        <v>1988</v>
      </c>
      <c r="F99" s="619">
        <v>1171723.0730349908</v>
      </c>
      <c r="G99" s="620">
        <f t="shared" ref="G99:G113" si="74">M103</f>
        <v>2666142.8859122433</v>
      </c>
      <c r="H99" s="621">
        <v>4</v>
      </c>
      <c r="I99" s="3546">
        <f>$B$187/D99</f>
        <v>0.21249066512068193</v>
      </c>
      <c r="J99" s="490">
        <v>76</v>
      </c>
      <c r="K99" s="36" t="s">
        <v>466</v>
      </c>
      <c r="L99" s="47">
        <f t="shared" si="41"/>
        <v>988918.78697726992</v>
      </c>
      <c r="M99" s="62">
        <f t="shared" si="46"/>
        <v>2250189.3572984855</v>
      </c>
      <c r="N99" s="48">
        <f t="shared" si="47"/>
        <v>2180416.0438938811</v>
      </c>
      <c r="O99" s="48">
        <f t="shared" si="48"/>
        <v>2141862.5185598047</v>
      </c>
      <c r="P99" s="48">
        <f t="shared" si="49"/>
        <v>2148307.4408824518</v>
      </c>
      <c r="Q99" s="48">
        <f t="shared" si="50"/>
        <v>2063695.9086286763</v>
      </c>
      <c r="R99" s="48">
        <f t="shared" si="51"/>
        <v>2007486.2924403467</v>
      </c>
      <c r="S99" s="48">
        <f t="shared" si="52"/>
        <v>1939600.2825510597</v>
      </c>
      <c r="T99" s="48">
        <f t="shared" si="53"/>
        <v>1875822.3235503479</v>
      </c>
      <c r="U99" s="48">
        <f t="shared" si="54"/>
        <v>1821186.7218935417</v>
      </c>
      <c r="V99" s="48">
        <f t="shared" si="55"/>
        <v>1768142.4484403317</v>
      </c>
      <c r="W99" s="48">
        <f t="shared" si="56"/>
        <v>1708350.1917297891</v>
      </c>
      <c r="X99" s="48">
        <f t="shared" si="57"/>
        <v>1648986.6715538504</v>
      </c>
      <c r="Y99" s="48">
        <f t="shared" si="58"/>
        <v>1594764.6726826406</v>
      </c>
      <c r="Z99" s="48">
        <f t="shared" si="59"/>
        <v>1558909.7484678796</v>
      </c>
      <c r="AA99" s="48">
        <f t="shared" si="60"/>
        <v>1531345.5289468365</v>
      </c>
      <c r="AB99" s="48">
        <f t="shared" si="61"/>
        <v>1501319.1460263103</v>
      </c>
      <c r="AC99" s="48">
        <f t="shared" si="62"/>
        <v>1449149.7548516509</v>
      </c>
      <c r="AD99" s="48">
        <f t="shared" si="63"/>
        <v>1384097.1870598386</v>
      </c>
      <c r="AE99" s="48">
        <f t="shared" si="64"/>
        <v>1321964.8395986997</v>
      </c>
      <c r="AF99" s="48">
        <f t="shared" si="65"/>
        <v>1263828.7185456019</v>
      </c>
      <c r="AG99" s="48">
        <f t="shared" si="66"/>
        <v>1193417.1091082173</v>
      </c>
      <c r="AH99" s="48">
        <f t="shared" si="72"/>
        <v>1126928.3372126699</v>
      </c>
      <c r="AI99" s="48">
        <f t="shared" si="72"/>
        <v>1056165.2644917243</v>
      </c>
      <c r="AJ99" s="48">
        <f t="shared" si="73"/>
        <v>988918.78697726992</v>
      </c>
      <c r="AK99" s="10"/>
      <c r="AL99" s="10"/>
      <c r="AM99" s="52"/>
    </row>
    <row r="100" spans="2:39">
      <c r="B100">
        <v>81</v>
      </c>
      <c r="C100" s="223" t="s">
        <v>471</v>
      </c>
      <c r="D100" s="613">
        <v>6661.78</v>
      </c>
      <c r="E100" s="2050">
        <v>1988</v>
      </c>
      <c r="F100" s="614">
        <v>1420029.4386006033</v>
      </c>
      <c r="G100" s="607">
        <f t="shared" si="74"/>
        <v>3231140.0813372009</v>
      </c>
      <c r="H100" s="616">
        <v>5</v>
      </c>
      <c r="I100" s="3547">
        <f>$B$188/D100</f>
        <v>0.21756685044676347</v>
      </c>
      <c r="J100" s="490">
        <v>77</v>
      </c>
      <c r="K100" s="36" t="s">
        <v>467</v>
      </c>
      <c r="L100" s="47">
        <f t="shared" si="41"/>
        <v>1245536.5741612876</v>
      </c>
      <c r="M100" s="62">
        <f t="shared" si="46"/>
        <v>2834098.3913051756</v>
      </c>
      <c r="N100" s="48">
        <f t="shared" si="47"/>
        <v>2746219.3714197436</v>
      </c>
      <c r="O100" s="48">
        <f t="shared" si="48"/>
        <v>2697661.465048864</v>
      </c>
      <c r="P100" s="48">
        <f t="shared" si="49"/>
        <v>2705778.8014532239</v>
      </c>
      <c r="Q100" s="48">
        <f t="shared" si="50"/>
        <v>2599211.1445275927</v>
      </c>
      <c r="R100" s="48">
        <f t="shared" si="51"/>
        <v>2528415.5102408486</v>
      </c>
      <c r="S100" s="48">
        <f t="shared" si="52"/>
        <v>2442913.5364645883</v>
      </c>
      <c r="T100" s="48">
        <f t="shared" si="53"/>
        <v>2362585.6252075322</v>
      </c>
      <c r="U100" s="48">
        <f t="shared" si="54"/>
        <v>2293772.4516577981</v>
      </c>
      <c r="V100" s="48">
        <f t="shared" si="55"/>
        <v>2226963.5452988329</v>
      </c>
      <c r="W100" s="48">
        <f t="shared" si="56"/>
        <v>2151655.5993225439</v>
      </c>
      <c r="X100" s="48">
        <f t="shared" si="57"/>
        <v>2076887.6441337294</v>
      </c>
      <c r="Y100" s="48">
        <f t="shared" si="58"/>
        <v>2008595.4005161792</v>
      </c>
      <c r="Z100" s="48">
        <f t="shared" si="59"/>
        <v>1963436.3641409378</v>
      </c>
      <c r="AA100" s="48">
        <f t="shared" si="60"/>
        <v>1928719.4146767561</v>
      </c>
      <c r="AB100" s="48">
        <f t="shared" si="61"/>
        <v>1890901.3869379961</v>
      </c>
      <c r="AC100" s="48">
        <f t="shared" si="62"/>
        <v>1825194.3889362896</v>
      </c>
      <c r="AD100" s="48">
        <f t="shared" si="63"/>
        <v>1743261.1164625499</v>
      </c>
      <c r="AE100" s="48">
        <f t="shared" si="64"/>
        <v>1665005.841893553</v>
      </c>
      <c r="AF100" s="48">
        <f t="shared" si="65"/>
        <v>1591783.7876611406</v>
      </c>
      <c r="AG100" s="48">
        <f t="shared" si="66"/>
        <v>1503100.8382069317</v>
      </c>
      <c r="AH100" s="48">
        <f t="shared" si="72"/>
        <v>1419358.6763049404</v>
      </c>
      <c r="AI100" s="48">
        <f t="shared" si="72"/>
        <v>1330233.0612042553</v>
      </c>
      <c r="AJ100" s="48">
        <f t="shared" si="73"/>
        <v>1245536.5741612876</v>
      </c>
      <c r="AK100" s="10"/>
      <c r="AL100" s="10"/>
      <c r="AM100" s="52"/>
    </row>
    <row r="101" spans="2:39">
      <c r="B101">
        <v>82</v>
      </c>
      <c r="C101" s="10" t="s">
        <v>472</v>
      </c>
      <c r="D101" s="63">
        <v>12210.968999999999</v>
      </c>
      <c r="E101" s="2049">
        <v>1988</v>
      </c>
      <c r="F101" s="65">
        <v>2606835.5838916735</v>
      </c>
      <c r="G101" s="62">
        <f t="shared" si="74"/>
        <v>5931603.0439968286</v>
      </c>
      <c r="H101" s="78">
        <v>10</v>
      </c>
      <c r="I101" s="3546">
        <f>$B$189/D101</f>
        <v>0.22614153091451142</v>
      </c>
      <c r="J101" s="490">
        <v>78</v>
      </c>
      <c r="K101" s="36" t="s">
        <v>468</v>
      </c>
      <c r="L101" s="47">
        <f t="shared" si="41"/>
        <v>2437091.0348961446</v>
      </c>
      <c r="M101" s="62">
        <f t="shared" si="46"/>
        <v>5545365.6879681703</v>
      </c>
      <c r="N101" s="48">
        <f t="shared" si="47"/>
        <v>5373416.3643102422</v>
      </c>
      <c r="O101" s="48">
        <f t="shared" si="48"/>
        <v>5278405.072996309</v>
      </c>
      <c r="P101" s="48">
        <f t="shared" si="49"/>
        <v>5294287.9368067291</v>
      </c>
      <c r="Q101" s="48">
        <f t="shared" si="50"/>
        <v>5085771.312974764</v>
      </c>
      <c r="R101" s="48">
        <f t="shared" si="51"/>
        <v>4947248.3589248676</v>
      </c>
      <c r="S101" s="48">
        <f t="shared" si="52"/>
        <v>4779950.1052414179</v>
      </c>
      <c r="T101" s="48">
        <f t="shared" si="53"/>
        <v>4622775.7304075602</v>
      </c>
      <c r="U101" s="48">
        <f t="shared" si="54"/>
        <v>4488131.777094719</v>
      </c>
      <c r="V101" s="48">
        <f t="shared" si="55"/>
        <v>4357409.4923249697</v>
      </c>
      <c r="W101" s="48">
        <f t="shared" si="56"/>
        <v>4210057.4805072173</v>
      </c>
      <c r="X101" s="48">
        <f t="shared" si="57"/>
        <v>4063762.0468216385</v>
      </c>
      <c r="Y101" s="48">
        <f t="shared" si="58"/>
        <v>3930137.3760364009</v>
      </c>
      <c r="Z101" s="48">
        <f t="shared" si="59"/>
        <v>3841776.5161646153</v>
      </c>
      <c r="AA101" s="48">
        <f t="shared" si="60"/>
        <v>3773847.2653876375</v>
      </c>
      <c r="AB101" s="48">
        <f t="shared" si="61"/>
        <v>3699850.2601839583</v>
      </c>
      <c r="AC101" s="48">
        <f t="shared" si="62"/>
        <v>3571284.0349266008</v>
      </c>
      <c r="AD101" s="48">
        <f t="shared" si="63"/>
        <v>3410968.5147340982</v>
      </c>
      <c r="AE101" s="48">
        <f t="shared" si="64"/>
        <v>3257849.5842732554</v>
      </c>
      <c r="AF101" s="48">
        <f t="shared" si="65"/>
        <v>3114578.9524600911</v>
      </c>
      <c r="AG101" s="48">
        <f t="shared" si="66"/>
        <v>2941056.6123324754</v>
      </c>
      <c r="AH101" s="48">
        <f t="shared" si="72"/>
        <v>2777201.7113621109</v>
      </c>
      <c r="AI101" s="48">
        <f t="shared" si="72"/>
        <v>2602813.2252690825</v>
      </c>
      <c r="AJ101" s="48">
        <f t="shared" si="73"/>
        <v>2437091.0348961446</v>
      </c>
      <c r="AK101" s="10"/>
      <c r="AL101" s="10"/>
      <c r="AM101" s="52"/>
    </row>
    <row r="102" spans="2:39" ht="15" thickBot="1">
      <c r="B102">
        <v>83</v>
      </c>
      <c r="C102" s="2069" t="s">
        <v>473</v>
      </c>
      <c r="D102" s="2070">
        <v>4440.3440000000001</v>
      </c>
      <c r="E102" s="583">
        <v>1988</v>
      </c>
      <c r="F102" s="2071">
        <v>797216.3610731673</v>
      </c>
      <c r="G102" s="2072">
        <f t="shared" si="74"/>
        <v>1813988.9693412203</v>
      </c>
      <c r="H102" s="2073">
        <v>3</v>
      </c>
      <c r="I102" s="3547">
        <f>$B$186/D102</f>
        <v>0.20787133332520527</v>
      </c>
      <c r="J102" s="490">
        <v>79</v>
      </c>
      <c r="K102" s="36" t="s">
        <v>469</v>
      </c>
      <c r="L102" s="47">
        <f t="shared" si="41"/>
        <v>958803.50714074518</v>
      </c>
      <c r="M102" s="62">
        <f t="shared" si="46"/>
        <v>2181664.9414692097</v>
      </c>
      <c r="N102" s="48">
        <f t="shared" si="47"/>
        <v>2114016.4161523348</v>
      </c>
      <c r="O102" s="48">
        <f t="shared" si="48"/>
        <v>2076636.9510337277</v>
      </c>
      <c r="P102" s="48">
        <f t="shared" si="49"/>
        <v>2082885.6078572997</v>
      </c>
      <c r="Q102" s="48">
        <f t="shared" si="50"/>
        <v>2000850.7280089336</v>
      </c>
      <c r="R102" s="48">
        <f t="shared" si="51"/>
        <v>1946352.8482577174</v>
      </c>
      <c r="S102" s="48">
        <f t="shared" si="52"/>
        <v>1880534.1529060074</v>
      </c>
      <c r="T102" s="48">
        <f t="shared" si="53"/>
        <v>1818698.4070657711</v>
      </c>
      <c r="U102" s="48">
        <f t="shared" si="54"/>
        <v>1765726.6088017195</v>
      </c>
      <c r="V102" s="48">
        <f t="shared" si="55"/>
        <v>1714297.6784482712</v>
      </c>
      <c r="W102" s="48">
        <f t="shared" si="56"/>
        <v>1656326.2593703105</v>
      </c>
      <c r="X102" s="48">
        <f t="shared" si="57"/>
        <v>1598770.5206277128</v>
      </c>
      <c r="Y102" s="48">
        <f t="shared" si="58"/>
        <v>1546199.7298140356</v>
      </c>
      <c r="Z102" s="48">
        <f t="shared" si="59"/>
        <v>1511436.6860352256</v>
      </c>
      <c r="AA102" s="48">
        <f t="shared" si="60"/>
        <v>1484711.8723332274</v>
      </c>
      <c r="AB102" s="48">
        <f t="shared" si="61"/>
        <v>1455599.8748364975</v>
      </c>
      <c r="AC102" s="48">
        <f t="shared" si="62"/>
        <v>1405019.1842051134</v>
      </c>
      <c r="AD102" s="48">
        <f t="shared" si="63"/>
        <v>1341947.6448950463</v>
      </c>
      <c r="AE102" s="48">
        <f t="shared" si="64"/>
        <v>1281707.3972254503</v>
      </c>
      <c r="AF102" s="48">
        <f t="shared" si="65"/>
        <v>1225341.6799478491</v>
      </c>
      <c r="AG102" s="48">
        <f t="shared" si="66"/>
        <v>1157074.2964568925</v>
      </c>
      <c r="AH102" s="48">
        <f t="shared" si="72"/>
        <v>1092610.2893832792</v>
      </c>
      <c r="AI102" s="48">
        <f t="shared" si="72"/>
        <v>1024002.145626316</v>
      </c>
      <c r="AJ102" s="48">
        <f t="shared" si="73"/>
        <v>958803.50714074518</v>
      </c>
      <c r="AK102" s="10"/>
      <c r="AL102" s="10"/>
      <c r="AM102" s="52"/>
    </row>
    <row r="103" spans="2:39" ht="15" thickBot="1">
      <c r="B103" s="2055">
        <v>84</v>
      </c>
      <c r="C103" s="608" t="s">
        <v>474</v>
      </c>
      <c r="D103" s="617">
        <v>5550.5</v>
      </c>
      <c r="E103" s="618">
        <v>1988</v>
      </c>
      <c r="F103" s="619">
        <v>1011771.8246727489</v>
      </c>
      <c r="G103" s="620">
        <f t="shared" si="74"/>
        <v>2302189.2412945102</v>
      </c>
      <c r="H103" s="621">
        <v>4</v>
      </c>
      <c r="I103" s="3546">
        <f>$B$187/D103</f>
        <v>0.21249066512068193</v>
      </c>
      <c r="J103" s="490">
        <v>80</v>
      </c>
      <c r="K103" s="450" t="s">
        <v>470</v>
      </c>
      <c r="L103" s="603">
        <f t="shared" ref="L103:L117" si="75">F99</f>
        <v>1171723.0730349908</v>
      </c>
      <c r="M103" s="604">
        <f t="shared" si="46"/>
        <v>2666142.8859122433</v>
      </c>
      <c r="N103" s="48">
        <f t="shared" si="47"/>
        <v>2583471.7886746544</v>
      </c>
      <c r="O103" s="48">
        <f t="shared" si="48"/>
        <v>2537791.5409377743</v>
      </c>
      <c r="P103" s="48">
        <f t="shared" si="49"/>
        <v>2545427.8244110076</v>
      </c>
      <c r="Q103" s="48">
        <f t="shared" si="50"/>
        <v>2445175.6238338212</v>
      </c>
      <c r="R103" s="48">
        <f t="shared" si="51"/>
        <v>2378575.5095659737</v>
      </c>
      <c r="S103" s="48">
        <f t="shared" si="52"/>
        <v>2298140.5889526317</v>
      </c>
      <c r="T103" s="48">
        <f t="shared" si="53"/>
        <v>2222573.1034358139</v>
      </c>
      <c r="U103" s="48">
        <f t="shared" si="54"/>
        <v>2157837.96450079</v>
      </c>
      <c r="V103" s="48">
        <f t="shared" si="55"/>
        <v>2094988.3150493107</v>
      </c>
      <c r="W103" s="48">
        <f t="shared" si="56"/>
        <v>2024143.2995645516</v>
      </c>
      <c r="X103" s="48">
        <f t="shared" si="57"/>
        <v>1953806.273710957</v>
      </c>
      <c r="Y103" s="48">
        <f t="shared" si="58"/>
        <v>1889561.193144059</v>
      </c>
      <c r="Z103" s="48">
        <f t="shared" si="59"/>
        <v>1847078.3901701458</v>
      </c>
      <c r="AA103" s="48">
        <f t="shared" si="60"/>
        <v>1814418.85085476</v>
      </c>
      <c r="AB103" s="48">
        <f t="shared" si="61"/>
        <v>1778842.0106419215</v>
      </c>
      <c r="AC103" s="48">
        <f t="shared" si="62"/>
        <v>1717028.9678010824</v>
      </c>
      <c r="AD103" s="48">
        <f t="shared" si="63"/>
        <v>1639951.258644778</v>
      </c>
      <c r="AE103" s="48">
        <f t="shared" si="64"/>
        <v>1566333.5803675053</v>
      </c>
      <c r="AF103" s="48">
        <f t="shared" si="65"/>
        <v>1497450.8416515347</v>
      </c>
      <c r="AG103" s="48">
        <f t="shared" si="66"/>
        <v>1414023.4576501744</v>
      </c>
      <c r="AH103" s="48">
        <f t="shared" si="72"/>
        <v>1335244.0582154621</v>
      </c>
      <c r="AI103" s="48">
        <f t="shared" si="72"/>
        <v>1251400.2420013703</v>
      </c>
      <c r="AJ103" s="48">
        <f t="shared" si="73"/>
        <v>1171723.0730349908</v>
      </c>
      <c r="AK103" s="10"/>
      <c r="AL103" s="10"/>
      <c r="AM103" s="52"/>
    </row>
    <row r="104" spans="2:39" ht="15" thickBot="1">
      <c r="B104">
        <v>85</v>
      </c>
      <c r="C104" s="605" t="s">
        <v>475</v>
      </c>
      <c r="D104" s="613">
        <v>6661.78</v>
      </c>
      <c r="E104" s="2050">
        <v>1988</v>
      </c>
      <c r="F104" s="614">
        <v>1266153.7955212579</v>
      </c>
      <c r="G104" s="615">
        <f t="shared" si="74"/>
        <v>2881010.8907866292</v>
      </c>
      <c r="H104" s="616">
        <v>5</v>
      </c>
      <c r="I104" s="3547">
        <f>$B$188/D104</f>
        <v>0.21756685044676347</v>
      </c>
      <c r="J104" s="490">
        <v>81</v>
      </c>
      <c r="K104" s="608" t="s">
        <v>471</v>
      </c>
      <c r="L104" s="609">
        <f t="shared" si="75"/>
        <v>1420029.4386006033</v>
      </c>
      <c r="M104" s="610">
        <f t="shared" si="46"/>
        <v>3231140.0813372009</v>
      </c>
      <c r="N104" s="602">
        <f t="shared" si="47"/>
        <v>3130949.6912182178</v>
      </c>
      <c r="O104" s="48">
        <f t="shared" si="48"/>
        <v>3075589.0876406855</v>
      </c>
      <c r="P104" s="48">
        <f t="shared" si="49"/>
        <v>3084843.618496174</v>
      </c>
      <c r="Q104" s="48">
        <f t="shared" si="50"/>
        <v>2963346.4154622229</v>
      </c>
      <c r="R104" s="48">
        <f t="shared" si="51"/>
        <v>2882632.6998659754</v>
      </c>
      <c r="S104" s="48">
        <f t="shared" si="52"/>
        <v>2785152.3670202661</v>
      </c>
      <c r="T104" s="48">
        <f t="shared" si="53"/>
        <v>2693570.9545650543</v>
      </c>
      <c r="U104" s="48">
        <f t="shared" si="54"/>
        <v>2615117.4316165573</v>
      </c>
      <c r="V104" s="48">
        <f t="shared" si="55"/>
        <v>2538948.9627345214</v>
      </c>
      <c r="W104" s="48">
        <f t="shared" si="56"/>
        <v>2453090.7852507452</v>
      </c>
      <c r="X104" s="48">
        <f t="shared" si="57"/>
        <v>2367848.2483115299</v>
      </c>
      <c r="Y104" s="48">
        <f t="shared" si="58"/>
        <v>2289988.6347306864</v>
      </c>
      <c r="Z104" s="48">
        <f t="shared" si="59"/>
        <v>2238503.0642528706</v>
      </c>
      <c r="AA104" s="48">
        <f t="shared" si="60"/>
        <v>2198922.4599733502</v>
      </c>
      <c r="AB104" s="48">
        <f t="shared" si="61"/>
        <v>2155806.3333072062</v>
      </c>
      <c r="AC104" s="48">
        <f t="shared" si="62"/>
        <v>2080894.1441189249</v>
      </c>
      <c r="AD104" s="48">
        <f t="shared" si="63"/>
        <v>1987482.4681174068</v>
      </c>
      <c r="AE104" s="48">
        <f t="shared" si="64"/>
        <v>1898264.0574187269</v>
      </c>
      <c r="AF104" s="48">
        <f t="shared" si="65"/>
        <v>1814783.9937081519</v>
      </c>
      <c r="AG104" s="48">
        <f t="shared" si="66"/>
        <v>1713677.0478830519</v>
      </c>
      <c r="AH104" s="48">
        <f t="shared" si="72"/>
        <v>1618203.066933949</v>
      </c>
      <c r="AI104" s="48">
        <f t="shared" si="72"/>
        <v>1516591.4404254444</v>
      </c>
      <c r="AJ104" s="48">
        <f t="shared" si="73"/>
        <v>1420029.4386006033</v>
      </c>
      <c r="AK104" s="10"/>
      <c r="AL104" s="10"/>
      <c r="AM104" s="52"/>
    </row>
    <row r="105" spans="2:39" ht="15" thickBot="1">
      <c r="B105">
        <v>86</v>
      </c>
      <c r="C105" s="36" t="s">
        <v>476</v>
      </c>
      <c r="D105" s="63">
        <v>12210.968999999999</v>
      </c>
      <c r="E105" s="64">
        <v>1988</v>
      </c>
      <c r="F105" s="65">
        <v>2430752.3922667773</v>
      </c>
      <c r="G105" s="77">
        <f t="shared" si="74"/>
        <v>5530942.71777876</v>
      </c>
      <c r="H105" s="78">
        <v>10</v>
      </c>
      <c r="I105" s="3546">
        <f>$B$189/D105</f>
        <v>0.22614153091451142</v>
      </c>
      <c r="J105" s="490">
        <v>82</v>
      </c>
      <c r="K105" s="608" t="s">
        <v>472</v>
      </c>
      <c r="L105" s="611">
        <f t="shared" si="75"/>
        <v>2606835.5838916735</v>
      </c>
      <c r="M105" s="612">
        <f t="shared" si="46"/>
        <v>5931603.0439968286</v>
      </c>
      <c r="N105" s="602">
        <f t="shared" si="47"/>
        <v>5747677.3682139814</v>
      </c>
      <c r="O105" s="48">
        <f t="shared" si="48"/>
        <v>5646048.4952986063</v>
      </c>
      <c r="P105" s="48">
        <f t="shared" si="49"/>
        <v>5663037.6081229756</v>
      </c>
      <c r="Q105" s="48">
        <f t="shared" si="50"/>
        <v>5439997.7023275467</v>
      </c>
      <c r="R105" s="48">
        <f t="shared" si="51"/>
        <v>5291826.5586843835</v>
      </c>
      <c r="S105" s="48">
        <f t="shared" si="52"/>
        <v>5112875.9021105161</v>
      </c>
      <c r="T105" s="48">
        <f t="shared" si="53"/>
        <v>4944754.2573602665</v>
      </c>
      <c r="U105" s="48">
        <f t="shared" si="54"/>
        <v>4800732.2886992879</v>
      </c>
      <c r="V105" s="48">
        <f t="shared" si="55"/>
        <v>4660905.1346595027</v>
      </c>
      <c r="W105" s="48">
        <f t="shared" si="56"/>
        <v>4503289.9851782639</v>
      </c>
      <c r="X105" s="48">
        <f t="shared" si="57"/>
        <v>4346805.0049983244</v>
      </c>
      <c r="Y105" s="48">
        <f t="shared" si="58"/>
        <v>4203873.3123774901</v>
      </c>
      <c r="Z105" s="48">
        <f t="shared" si="59"/>
        <v>4109358.0766153377</v>
      </c>
      <c r="AA105" s="48">
        <f t="shared" si="60"/>
        <v>4036697.521233141</v>
      </c>
      <c r="AB105" s="48">
        <f t="shared" si="61"/>
        <v>3957546.5894442559</v>
      </c>
      <c r="AC105" s="48">
        <f t="shared" si="62"/>
        <v>3820025.6654867334</v>
      </c>
      <c r="AD105" s="48">
        <f t="shared" si="63"/>
        <v>3648544.0931105386</v>
      </c>
      <c r="AE105" s="48">
        <f t="shared" si="64"/>
        <v>3484760.3563615461</v>
      </c>
      <c r="AF105" s="48">
        <f t="shared" si="65"/>
        <v>3331510.8569422048</v>
      </c>
      <c r="AG105" s="48">
        <f t="shared" si="66"/>
        <v>3145902.6033448582</v>
      </c>
      <c r="AH105" s="48">
        <f t="shared" si="72"/>
        <v>2970635.1306372602</v>
      </c>
      <c r="AI105" s="48">
        <f t="shared" si="72"/>
        <v>2784100.4035963076</v>
      </c>
      <c r="AJ105" s="48">
        <f t="shared" si="73"/>
        <v>2606835.5838916735</v>
      </c>
      <c r="AK105" s="10"/>
      <c r="AL105" s="10"/>
      <c r="AM105" s="52"/>
    </row>
    <row r="106" spans="2:39" ht="15" thickBot="1">
      <c r="B106">
        <v>87</v>
      </c>
      <c r="C106" s="450" t="s">
        <v>477</v>
      </c>
      <c r="D106" s="451">
        <v>3330.34</v>
      </c>
      <c r="E106" s="452">
        <v>1988</v>
      </c>
      <c r="F106" s="453">
        <v>643592.71855083969</v>
      </c>
      <c r="G106" s="454">
        <f t="shared" si="74"/>
        <v>1464433.1817625645</v>
      </c>
      <c r="H106" s="455">
        <v>3</v>
      </c>
      <c r="I106" s="3547">
        <f>$B$186/D106</f>
        <v>0.27715495345897873</v>
      </c>
      <c r="J106" s="490">
        <v>83</v>
      </c>
      <c r="K106" s="605" t="s">
        <v>473</v>
      </c>
      <c r="L106" s="606">
        <f t="shared" si="75"/>
        <v>797216.3610731673</v>
      </c>
      <c r="M106" s="607">
        <f t="shared" si="46"/>
        <v>1813988.9693412203</v>
      </c>
      <c r="N106" s="48">
        <f t="shared" si="47"/>
        <v>1757741.2493616475</v>
      </c>
      <c r="O106" s="48">
        <f t="shared" si="48"/>
        <v>1726661.3451489662</v>
      </c>
      <c r="P106" s="48">
        <f t="shared" si="49"/>
        <v>1731856.9158966562</v>
      </c>
      <c r="Q106" s="48">
        <f t="shared" si="50"/>
        <v>1663647.3735798812</v>
      </c>
      <c r="R106" s="48">
        <f t="shared" si="51"/>
        <v>1618334.0209921023</v>
      </c>
      <c r="S106" s="48">
        <f t="shared" si="52"/>
        <v>1563607.7497508237</v>
      </c>
      <c r="T106" s="48">
        <f t="shared" si="53"/>
        <v>1512193.1815771989</v>
      </c>
      <c r="U106" s="48">
        <f t="shared" si="54"/>
        <v>1468148.7199778629</v>
      </c>
      <c r="V106" s="48">
        <f t="shared" si="55"/>
        <v>1425387.1067746242</v>
      </c>
      <c r="W106" s="48">
        <f t="shared" si="56"/>
        <v>1377185.6104102649</v>
      </c>
      <c r="X106" s="48">
        <f t="shared" si="57"/>
        <v>1329329.7397782479</v>
      </c>
      <c r="Y106" s="48">
        <f t="shared" si="58"/>
        <v>1285618.7038474351</v>
      </c>
      <c r="Z106" s="48">
        <f t="shared" si="59"/>
        <v>1256714.2755106892</v>
      </c>
      <c r="AA106" s="48">
        <f t="shared" si="60"/>
        <v>1234493.3944112861</v>
      </c>
      <c r="AB106" s="48">
        <f t="shared" si="61"/>
        <v>1210287.6415796923</v>
      </c>
      <c r="AC106" s="48">
        <f t="shared" si="62"/>
        <v>1168231.3142661122</v>
      </c>
      <c r="AD106" s="48">
        <f t="shared" si="63"/>
        <v>1115789.220884539</v>
      </c>
      <c r="AE106" s="48">
        <f t="shared" si="64"/>
        <v>1065701.2615898177</v>
      </c>
      <c r="AF106" s="48">
        <f t="shared" si="65"/>
        <v>1018834.8581164604</v>
      </c>
      <c r="AG106" s="48">
        <f t="shared" si="66"/>
        <v>962072.5761250807</v>
      </c>
      <c r="AH106" s="48">
        <f t="shared" si="72"/>
        <v>908472.68755909416</v>
      </c>
      <c r="AI106" s="48">
        <f t="shared" si="72"/>
        <v>851427.07362614269</v>
      </c>
      <c r="AJ106" s="48">
        <f t="shared" si="73"/>
        <v>797216.3610731673</v>
      </c>
      <c r="AK106" s="10"/>
      <c r="AL106" s="10"/>
      <c r="AM106" s="52"/>
    </row>
    <row r="107" spans="2:39" ht="15" thickBot="1">
      <c r="B107" s="2055">
        <v>88</v>
      </c>
      <c r="C107" s="608" t="s">
        <v>478</v>
      </c>
      <c r="D107" s="617">
        <v>4440.5</v>
      </c>
      <c r="E107" s="618">
        <v>1988</v>
      </c>
      <c r="F107" s="619">
        <v>876665.01727909816</v>
      </c>
      <c r="G107" s="620">
        <f t="shared" si="74"/>
        <v>1994766.7268279551</v>
      </c>
      <c r="H107" s="621">
        <v>4</v>
      </c>
      <c r="I107" s="3546">
        <f>$B$187/D107</f>
        <v>0.26560734979221823</v>
      </c>
      <c r="J107" s="490">
        <v>84</v>
      </c>
      <c r="K107" s="36" t="s">
        <v>474</v>
      </c>
      <c r="L107" s="47">
        <f t="shared" si="75"/>
        <v>1011771.8246727489</v>
      </c>
      <c r="M107" s="62">
        <f t="shared" si="46"/>
        <v>2302189.2412945102</v>
      </c>
      <c r="N107" s="48">
        <f t="shared" si="47"/>
        <v>2230803.5283861533</v>
      </c>
      <c r="O107" s="48">
        <f t="shared" si="48"/>
        <v>2191359.0652123312</v>
      </c>
      <c r="P107" s="48">
        <f t="shared" si="49"/>
        <v>2197952.923984284</v>
      </c>
      <c r="Q107" s="48">
        <f t="shared" si="50"/>
        <v>2111386.094125153</v>
      </c>
      <c r="R107" s="48">
        <f t="shared" si="51"/>
        <v>2053877.5234680478</v>
      </c>
      <c r="S107" s="48">
        <f t="shared" si="52"/>
        <v>1984422.7279884522</v>
      </c>
      <c r="T107" s="48">
        <f t="shared" si="53"/>
        <v>1919170.9168166849</v>
      </c>
      <c r="U107" s="48">
        <f t="shared" si="54"/>
        <v>1863272.7347734803</v>
      </c>
      <c r="V107" s="48">
        <f t="shared" si="55"/>
        <v>1809002.6551198838</v>
      </c>
      <c r="W107" s="48">
        <f t="shared" si="56"/>
        <v>1747828.6522897431</v>
      </c>
      <c r="X107" s="48">
        <f t="shared" si="57"/>
        <v>1687093.2937159683</v>
      </c>
      <c r="Y107" s="48">
        <f t="shared" si="58"/>
        <v>1631618.2724525805</v>
      </c>
      <c r="Z107" s="48">
        <f t="shared" si="59"/>
        <v>1594934.7726809196</v>
      </c>
      <c r="AA107" s="48">
        <f t="shared" si="60"/>
        <v>1566733.5684488404</v>
      </c>
      <c r="AB107" s="48">
        <f t="shared" si="61"/>
        <v>1536013.3024008239</v>
      </c>
      <c r="AC107" s="48">
        <f t="shared" si="62"/>
        <v>1482638.3227807181</v>
      </c>
      <c r="AD107" s="48">
        <f t="shared" si="63"/>
        <v>1416082.4477370756</v>
      </c>
      <c r="AE107" s="48">
        <f t="shared" si="64"/>
        <v>1352514.2767307314</v>
      </c>
      <c r="AF107" s="48">
        <f t="shared" si="65"/>
        <v>1293034.6813869325</v>
      </c>
      <c r="AG107" s="48">
        <f t="shared" si="66"/>
        <v>1220995.9219895492</v>
      </c>
      <c r="AH107" s="48">
        <f t="shared" si="72"/>
        <v>1152970.6534367793</v>
      </c>
      <c r="AI107" s="48">
        <f t="shared" si="72"/>
        <v>1080572.308750496</v>
      </c>
      <c r="AJ107" s="48">
        <f t="shared" si="73"/>
        <v>1011771.8246727489</v>
      </c>
      <c r="AK107" s="10"/>
      <c r="AL107" s="10"/>
      <c r="AM107" s="52"/>
    </row>
    <row r="108" spans="2:39">
      <c r="C108" s="3554" t="s">
        <v>479</v>
      </c>
      <c r="D108" s="3555"/>
      <c r="E108" s="3556"/>
      <c r="F108" s="3557">
        <v>0</v>
      </c>
      <c r="G108" s="3558">
        <f t="shared" si="74"/>
        <v>0</v>
      </c>
      <c r="H108" s="3559">
        <v>5</v>
      </c>
      <c r="I108" s="3547"/>
      <c r="J108" s="490">
        <v>85</v>
      </c>
      <c r="K108" s="36" t="s">
        <v>475</v>
      </c>
      <c r="L108" s="47">
        <f t="shared" si="75"/>
        <v>1266153.7955212579</v>
      </c>
      <c r="M108" s="62">
        <f t="shared" si="46"/>
        <v>2881010.8907866292</v>
      </c>
      <c r="N108" s="48">
        <f t="shared" si="47"/>
        <v>2791677.2197544854</v>
      </c>
      <c r="O108" s="48">
        <f t="shared" si="48"/>
        <v>2742315.5400338755</v>
      </c>
      <c r="P108" s="48">
        <f t="shared" si="49"/>
        <v>2750567.2417591531</v>
      </c>
      <c r="Q108" s="48">
        <f t="shared" si="50"/>
        <v>2642235.5828618188</v>
      </c>
      <c r="R108" s="48">
        <f t="shared" si="51"/>
        <v>2570268.0767138316</v>
      </c>
      <c r="S108" s="48">
        <f t="shared" si="52"/>
        <v>2483350.7987573254</v>
      </c>
      <c r="T108" s="48">
        <f t="shared" si="53"/>
        <v>2401693.2289722683</v>
      </c>
      <c r="U108" s="48">
        <f t="shared" si="54"/>
        <v>2331740.9990022019</v>
      </c>
      <c r="V108" s="48">
        <f t="shared" si="55"/>
        <v>2263826.212623497</v>
      </c>
      <c r="W108" s="48">
        <f t="shared" si="56"/>
        <v>2187271.7030178718</v>
      </c>
      <c r="X108" s="48">
        <f t="shared" si="57"/>
        <v>2111266.1226041233</v>
      </c>
      <c r="Y108" s="48">
        <f t="shared" si="58"/>
        <v>2041843.445458533</v>
      </c>
      <c r="Z108" s="48">
        <f t="shared" si="59"/>
        <v>1995936.8968314107</v>
      </c>
      <c r="AA108" s="48">
        <f t="shared" si="60"/>
        <v>1960645.2817597354</v>
      </c>
      <c r="AB108" s="48">
        <f t="shared" si="61"/>
        <v>1922201.2566271916</v>
      </c>
      <c r="AC108" s="48">
        <f t="shared" si="62"/>
        <v>1855406.6183660149</v>
      </c>
      <c r="AD108" s="48">
        <f t="shared" si="63"/>
        <v>1772117.1140076553</v>
      </c>
      <c r="AE108" s="48">
        <f t="shared" si="64"/>
        <v>1692566.4890235486</v>
      </c>
      <c r="AF108" s="48">
        <f t="shared" si="65"/>
        <v>1618132.3986840807</v>
      </c>
      <c r="AG108" s="48">
        <f t="shared" si="66"/>
        <v>1527981.4907309546</v>
      </c>
      <c r="AH108" s="48">
        <f t="shared" si="72"/>
        <v>1442853.1546090224</v>
      </c>
      <c r="AI108" s="48">
        <f t="shared" si="72"/>
        <v>1352252.2536167034</v>
      </c>
      <c r="AJ108" s="48">
        <f t="shared" si="73"/>
        <v>1266153.7955212579</v>
      </c>
      <c r="AK108" s="10"/>
      <c r="AL108" s="10"/>
      <c r="AM108" s="52"/>
    </row>
    <row r="109" spans="2:39">
      <c r="B109">
        <v>89</v>
      </c>
      <c r="C109" s="36" t="s">
        <v>480</v>
      </c>
      <c r="D109" s="63">
        <v>11100.968999999999</v>
      </c>
      <c r="E109" s="64">
        <v>1988</v>
      </c>
      <c r="F109" s="65">
        <v>2314303.111017453</v>
      </c>
      <c r="G109" s="77">
        <f t="shared" si="74"/>
        <v>5265973.6052662777</v>
      </c>
      <c r="H109" s="78">
        <v>10</v>
      </c>
      <c r="I109" s="3546">
        <f>$B$189/D109</f>
        <v>0.24875371002384031</v>
      </c>
      <c r="J109" s="490">
        <v>86</v>
      </c>
      <c r="K109" s="36" t="s">
        <v>476</v>
      </c>
      <c r="L109" s="47">
        <f t="shared" si="75"/>
        <v>2430752.3922667773</v>
      </c>
      <c r="M109" s="62">
        <f t="shared" si="46"/>
        <v>5530942.71777876</v>
      </c>
      <c r="N109" s="48">
        <f t="shared" si="47"/>
        <v>5359440.6180026745</v>
      </c>
      <c r="O109" s="48">
        <f t="shared" si="48"/>
        <v>5264676.4420458488</v>
      </c>
      <c r="P109" s="48">
        <f t="shared" si="49"/>
        <v>5280517.9960339507</v>
      </c>
      <c r="Q109" s="48">
        <f t="shared" si="50"/>
        <v>5072543.704163258</v>
      </c>
      <c r="R109" s="48">
        <f t="shared" si="51"/>
        <v>4934381.0351782665</v>
      </c>
      <c r="S109" s="48">
        <f t="shared" si="52"/>
        <v>4767517.908384799</v>
      </c>
      <c r="T109" s="48">
        <f t="shared" si="53"/>
        <v>4610752.3291922621</v>
      </c>
      <c r="U109" s="48">
        <f t="shared" si="54"/>
        <v>4476458.5720313219</v>
      </c>
      <c r="V109" s="48">
        <f t="shared" si="55"/>
        <v>4346076.2835255554</v>
      </c>
      <c r="W109" s="48">
        <f t="shared" si="56"/>
        <v>4199107.5203145463</v>
      </c>
      <c r="X109" s="48">
        <f t="shared" si="57"/>
        <v>4053192.5871762033</v>
      </c>
      <c r="Y109" s="48">
        <f t="shared" si="58"/>
        <v>3919915.4614856895</v>
      </c>
      <c r="Z109" s="48">
        <f t="shared" si="59"/>
        <v>3831784.4198296089</v>
      </c>
      <c r="AA109" s="48">
        <f t="shared" si="60"/>
        <v>3764031.8465909711</v>
      </c>
      <c r="AB109" s="48">
        <f t="shared" si="61"/>
        <v>3690227.3005793835</v>
      </c>
      <c r="AC109" s="48">
        <f t="shared" si="62"/>
        <v>3561995.4638797138</v>
      </c>
      <c r="AD109" s="48">
        <f t="shared" si="63"/>
        <v>3402096.9091496789</v>
      </c>
      <c r="AE109" s="48">
        <f t="shared" si="64"/>
        <v>3249376.2265039915</v>
      </c>
      <c r="AF109" s="48">
        <f t="shared" si="65"/>
        <v>3106478.2280152882</v>
      </c>
      <c r="AG109" s="48">
        <f t="shared" si="66"/>
        <v>2933407.2030361551</v>
      </c>
      <c r="AH109" s="48">
        <f t="shared" si="72"/>
        <v>2769978.4731219597</v>
      </c>
      <c r="AI109" s="48">
        <f t="shared" si="72"/>
        <v>2596043.5549409185</v>
      </c>
      <c r="AJ109" s="48">
        <f t="shared" si="73"/>
        <v>2430752.3922667773</v>
      </c>
      <c r="AK109" s="10"/>
      <c r="AL109" s="10"/>
      <c r="AM109" s="52"/>
    </row>
    <row r="110" spans="2:39" ht="15" thickBot="1">
      <c r="B110">
        <v>90</v>
      </c>
      <c r="C110" s="450" t="s">
        <v>481</v>
      </c>
      <c r="D110" s="451">
        <v>3330.34</v>
      </c>
      <c r="E110" s="452">
        <v>1988</v>
      </c>
      <c r="F110" s="453">
        <v>673240.84292188042</v>
      </c>
      <c r="G110" s="454">
        <f t="shared" si="74"/>
        <v>1531894.6303689722</v>
      </c>
      <c r="H110" s="455">
        <v>3</v>
      </c>
      <c r="I110" s="3547">
        <f>$B$186/D110</f>
        <v>0.27715495345897873</v>
      </c>
      <c r="J110" s="490">
        <v>87</v>
      </c>
      <c r="K110" s="36" t="s">
        <v>477</v>
      </c>
      <c r="L110" s="47">
        <f t="shared" si="75"/>
        <v>643592.71855083969</v>
      </c>
      <c r="M110" s="62">
        <f t="shared" si="46"/>
        <v>1464433.1817625645</v>
      </c>
      <c r="N110" s="48">
        <f t="shared" si="47"/>
        <v>1419024.4009327174</v>
      </c>
      <c r="O110" s="48">
        <f t="shared" si="48"/>
        <v>1393933.5962010976</v>
      </c>
      <c r="P110" s="48">
        <f t="shared" si="49"/>
        <v>1398127.9801415221</v>
      </c>
      <c r="Q110" s="48">
        <f t="shared" si="50"/>
        <v>1343062.4208852279</v>
      </c>
      <c r="R110" s="48">
        <f t="shared" si="51"/>
        <v>1306480.9541685095</v>
      </c>
      <c r="S110" s="48">
        <f t="shared" si="52"/>
        <v>1262300.4388101541</v>
      </c>
      <c r="T110" s="48">
        <f t="shared" si="53"/>
        <v>1220793.461131677</v>
      </c>
      <c r="U110" s="48">
        <f t="shared" si="54"/>
        <v>1185236.3700307545</v>
      </c>
      <c r="V110" s="48">
        <f t="shared" si="55"/>
        <v>1150714.9223599557</v>
      </c>
      <c r="W110" s="48">
        <f t="shared" si="56"/>
        <v>1111801.8573526144</v>
      </c>
      <c r="X110" s="48">
        <f t="shared" si="57"/>
        <v>1073167.8159774269</v>
      </c>
      <c r="Y110" s="48">
        <f t="shared" si="58"/>
        <v>1037879.8993978985</v>
      </c>
      <c r="Z110" s="48">
        <f t="shared" si="59"/>
        <v>1014545.3562051795</v>
      </c>
      <c r="AA110" s="48">
        <f t="shared" si="60"/>
        <v>996606.440280137</v>
      </c>
      <c r="AB110" s="48">
        <f t="shared" si="61"/>
        <v>977065.13752954605</v>
      </c>
      <c r="AC110" s="48">
        <f t="shared" si="62"/>
        <v>943113.06711346144</v>
      </c>
      <c r="AD110" s="48">
        <f t="shared" si="63"/>
        <v>900776.56839872163</v>
      </c>
      <c r="AE110" s="48">
        <f t="shared" si="64"/>
        <v>860340.56198540749</v>
      </c>
      <c r="AF110" s="48">
        <f t="shared" si="65"/>
        <v>822505.31738566677</v>
      </c>
      <c r="AG110" s="48">
        <f t="shared" si="66"/>
        <v>776681.13067579491</v>
      </c>
      <c r="AH110" s="48">
        <f t="shared" si="72"/>
        <v>733409.94398092059</v>
      </c>
      <c r="AI110" s="48">
        <f t="shared" si="72"/>
        <v>687357.02341229678</v>
      </c>
      <c r="AJ110" s="48">
        <f t="shared" si="73"/>
        <v>643592.71855083969</v>
      </c>
      <c r="AK110" s="10"/>
      <c r="AL110" s="10"/>
      <c r="AM110" s="52"/>
    </row>
    <row r="111" spans="2:39" ht="15" thickBot="1">
      <c r="B111" s="2055">
        <v>91</v>
      </c>
      <c r="C111" s="608" t="s">
        <v>482</v>
      </c>
      <c r="D111" s="617">
        <v>4440.5</v>
      </c>
      <c r="E111" s="618">
        <v>1988</v>
      </c>
      <c r="F111" s="619">
        <v>900977.99977161537</v>
      </c>
      <c r="G111" s="620">
        <f t="shared" si="74"/>
        <v>2050088.5744551697</v>
      </c>
      <c r="H111" s="621">
        <v>4</v>
      </c>
      <c r="I111" s="3546">
        <f>$B$187/D111</f>
        <v>0.26560734979221823</v>
      </c>
      <c r="J111" s="490">
        <v>88</v>
      </c>
      <c r="K111" s="36" t="s">
        <v>478</v>
      </c>
      <c r="L111" s="47">
        <f t="shared" si="75"/>
        <v>876665.01727909816</v>
      </c>
      <c r="M111" s="62">
        <f t="shared" si="46"/>
        <v>1994766.7268279551</v>
      </c>
      <c r="N111" s="48">
        <f t="shared" si="47"/>
        <v>1932913.4949883285</v>
      </c>
      <c r="O111" s="48">
        <f t="shared" si="48"/>
        <v>1898736.2426211478</v>
      </c>
      <c r="P111" s="48">
        <f t="shared" si="49"/>
        <v>1904449.5913953339</v>
      </c>
      <c r="Q111" s="48">
        <f t="shared" si="50"/>
        <v>1829442.4509081019</v>
      </c>
      <c r="R111" s="48">
        <f t="shared" si="51"/>
        <v>1779613.2790934842</v>
      </c>
      <c r="S111" s="48">
        <f t="shared" si="52"/>
        <v>1719433.1198970862</v>
      </c>
      <c r="T111" s="48">
        <f t="shared" si="53"/>
        <v>1662894.7000938938</v>
      </c>
      <c r="U111" s="48">
        <f t="shared" si="54"/>
        <v>1614460.8738775668</v>
      </c>
      <c r="V111" s="48">
        <f t="shared" si="55"/>
        <v>1567437.7416287055</v>
      </c>
      <c r="W111" s="48">
        <f t="shared" si="56"/>
        <v>1514432.600607445</v>
      </c>
      <c r="X111" s="48">
        <f t="shared" si="57"/>
        <v>1461807.5295438657</v>
      </c>
      <c r="Y111" s="48">
        <f t="shared" si="58"/>
        <v>1413740.3573925199</v>
      </c>
      <c r="Z111" s="48">
        <f t="shared" si="59"/>
        <v>1381955.3835704008</v>
      </c>
      <c r="AA111" s="48">
        <f t="shared" si="60"/>
        <v>1357520.0231536352</v>
      </c>
      <c r="AB111" s="48">
        <f t="shared" si="61"/>
        <v>1330901.983483956</v>
      </c>
      <c r="AC111" s="48">
        <f t="shared" si="62"/>
        <v>1284654.4242123126</v>
      </c>
      <c r="AD111" s="48">
        <f t="shared" si="63"/>
        <v>1226986.0785217886</v>
      </c>
      <c r="AE111" s="48">
        <f t="shared" si="64"/>
        <v>1171906.474232845</v>
      </c>
      <c r="AF111" s="48">
        <f t="shared" si="65"/>
        <v>1120369.4782340773</v>
      </c>
      <c r="AG111" s="48">
        <f t="shared" si="66"/>
        <v>1057950.4043758994</v>
      </c>
      <c r="AH111" s="48">
        <f t="shared" si="72"/>
        <v>999008.88043050002</v>
      </c>
      <c r="AI111" s="48">
        <f t="shared" si="72"/>
        <v>936278.23845407693</v>
      </c>
      <c r="AJ111" s="48">
        <f t="shared" si="73"/>
        <v>876665.01727909816</v>
      </c>
      <c r="AK111" s="10"/>
      <c r="AL111" s="10"/>
      <c r="AM111" s="52"/>
    </row>
    <row r="112" spans="2:39">
      <c r="C112" s="3554" t="s">
        <v>483</v>
      </c>
      <c r="D112" s="3555"/>
      <c r="E112" s="3556"/>
      <c r="F112" s="3557">
        <v>0</v>
      </c>
      <c r="G112" s="3558">
        <f t="shared" si="74"/>
        <v>0</v>
      </c>
      <c r="H112" s="3559">
        <v>5</v>
      </c>
      <c r="I112" s="3547"/>
      <c r="J112" s="42"/>
      <c r="K112" s="36" t="s">
        <v>479</v>
      </c>
      <c r="L112" s="47">
        <f t="shared" si="75"/>
        <v>0</v>
      </c>
      <c r="M112" s="62">
        <f t="shared" si="46"/>
        <v>0</v>
      </c>
      <c r="N112" s="48">
        <f t="shared" si="47"/>
        <v>0</v>
      </c>
      <c r="O112" s="48">
        <f t="shared" si="48"/>
        <v>0</v>
      </c>
      <c r="P112" s="48">
        <f t="shared" si="49"/>
        <v>0</v>
      </c>
      <c r="Q112" s="48">
        <f t="shared" si="50"/>
        <v>0</v>
      </c>
      <c r="R112" s="48">
        <f t="shared" si="51"/>
        <v>0</v>
      </c>
      <c r="S112" s="48">
        <f t="shared" si="52"/>
        <v>0</v>
      </c>
      <c r="T112" s="48">
        <f t="shared" si="53"/>
        <v>0</v>
      </c>
      <c r="U112" s="48">
        <f t="shared" si="54"/>
        <v>0</v>
      </c>
      <c r="V112" s="48">
        <f t="shared" si="55"/>
        <v>0</v>
      </c>
      <c r="W112" s="48">
        <f t="shared" si="56"/>
        <v>0</v>
      </c>
      <c r="X112" s="48">
        <f t="shared" si="57"/>
        <v>0</v>
      </c>
      <c r="Y112" s="48">
        <f t="shared" si="58"/>
        <v>0</v>
      </c>
      <c r="Z112" s="48">
        <f t="shared" si="59"/>
        <v>0</v>
      </c>
      <c r="AA112" s="48">
        <f t="shared" si="60"/>
        <v>0</v>
      </c>
      <c r="AB112" s="48">
        <f t="shared" si="61"/>
        <v>0</v>
      </c>
      <c r="AC112" s="48">
        <f t="shared" si="62"/>
        <v>0</v>
      </c>
      <c r="AD112" s="48">
        <f t="shared" si="63"/>
        <v>0</v>
      </c>
      <c r="AE112" s="48">
        <f t="shared" si="64"/>
        <v>0</v>
      </c>
      <c r="AF112" s="48">
        <f t="shared" si="65"/>
        <v>0</v>
      </c>
      <c r="AG112" s="48">
        <f t="shared" si="66"/>
        <v>0</v>
      </c>
      <c r="AH112" s="48">
        <f t="shared" si="72"/>
        <v>0</v>
      </c>
      <c r="AI112" s="48">
        <f t="shared" si="72"/>
        <v>0</v>
      </c>
      <c r="AJ112" s="48">
        <f t="shared" si="73"/>
        <v>0</v>
      </c>
      <c r="AK112" s="10"/>
      <c r="AL112" s="10"/>
      <c r="AM112" s="52"/>
    </row>
    <row r="113" spans="1:119">
      <c r="B113">
        <v>92</v>
      </c>
      <c r="C113" s="450" t="s">
        <v>484</v>
      </c>
      <c r="D113" s="451">
        <v>11100.968999999999</v>
      </c>
      <c r="E113" s="452">
        <v>1988</v>
      </c>
      <c r="F113" s="453">
        <v>2308175.0473423246</v>
      </c>
      <c r="G113" s="454">
        <f t="shared" si="74"/>
        <v>5252029.7871851502</v>
      </c>
      <c r="H113" s="455">
        <v>10</v>
      </c>
      <c r="I113" s="3546">
        <f>$B$189/D113</f>
        <v>0.24875371002384031</v>
      </c>
      <c r="J113" s="491">
        <v>89</v>
      </c>
      <c r="K113" s="36" t="s">
        <v>480</v>
      </c>
      <c r="L113" s="47">
        <f t="shared" si="75"/>
        <v>2314303.111017453</v>
      </c>
      <c r="M113" s="62">
        <f t="shared" si="46"/>
        <v>5265973.6052662777</v>
      </c>
      <c r="N113" s="48">
        <f t="shared" si="47"/>
        <v>5102687.6020022072</v>
      </c>
      <c r="O113" s="48">
        <f t="shared" si="48"/>
        <v>5012463.2632634649</v>
      </c>
      <c r="P113" s="48">
        <f t="shared" si="49"/>
        <v>5027545.900966364</v>
      </c>
      <c r="Q113" s="48">
        <f t="shared" si="50"/>
        <v>4829534.9673067862</v>
      </c>
      <c r="R113" s="48">
        <f t="shared" si="51"/>
        <v>4697991.2133334493</v>
      </c>
      <c r="S113" s="48">
        <f t="shared" si="52"/>
        <v>4539121.9452497102</v>
      </c>
      <c r="T113" s="48">
        <f t="shared" si="53"/>
        <v>4389866.4847676111</v>
      </c>
      <c r="U113" s="48">
        <f t="shared" si="54"/>
        <v>4262006.2958908845</v>
      </c>
      <c r="V113" s="48">
        <f t="shared" si="55"/>
        <v>4137870.1901853243</v>
      </c>
      <c r="W113" s="48">
        <f t="shared" si="56"/>
        <v>3997942.2127394439</v>
      </c>
      <c r="X113" s="48">
        <f t="shared" si="57"/>
        <v>3859017.5798643278</v>
      </c>
      <c r="Y113" s="48">
        <f t="shared" si="58"/>
        <v>3732125.3190177251</v>
      </c>
      <c r="Z113" s="48">
        <f t="shared" si="59"/>
        <v>3648216.3431258313</v>
      </c>
      <c r="AA113" s="48">
        <f t="shared" si="60"/>
        <v>3583709.5708505218</v>
      </c>
      <c r="AB113" s="48">
        <f t="shared" si="61"/>
        <v>3513440.7557358057</v>
      </c>
      <c r="AC113" s="48">
        <f t="shared" si="62"/>
        <v>3391352.0808260674</v>
      </c>
      <c r="AD113" s="48">
        <f t="shared" si="63"/>
        <v>3239113.7352684503</v>
      </c>
      <c r="AE113" s="48">
        <f t="shared" si="64"/>
        <v>3093709.393761653</v>
      </c>
      <c r="AF113" s="48">
        <f t="shared" si="65"/>
        <v>2957657.1642080811</v>
      </c>
      <c r="AG113" s="48">
        <f t="shared" si="66"/>
        <v>2792877.397741342</v>
      </c>
      <c r="AH113" s="48">
        <f t="shared" si="72"/>
        <v>2637277.9959786045</v>
      </c>
      <c r="AI113" s="48">
        <f t="shared" si="72"/>
        <v>2471675.72256664</v>
      </c>
      <c r="AJ113" s="48">
        <f t="shared" si="73"/>
        <v>2314303.111017453</v>
      </c>
      <c r="AK113" s="10"/>
      <c r="AL113" s="10"/>
      <c r="AM113" s="52"/>
    </row>
    <row r="114" spans="1:119" ht="15" thickBot="1">
      <c r="B114" s="97">
        <v>93</v>
      </c>
      <c r="C114" s="601" t="s">
        <v>861</v>
      </c>
      <c r="D114" s="451">
        <v>5754.25</v>
      </c>
      <c r="E114" s="452">
        <v>1985</v>
      </c>
      <c r="F114" s="453"/>
      <c r="G114" s="453">
        <v>4616641.6399999997</v>
      </c>
      <c r="H114" s="455">
        <v>2</v>
      </c>
      <c r="I114" s="3547">
        <f>$B$185/D114</f>
        <v>0.19402606736768513</v>
      </c>
      <c r="J114" s="492">
        <v>90</v>
      </c>
      <c r="K114" s="36" t="s">
        <v>481</v>
      </c>
      <c r="L114" s="47">
        <f t="shared" si="75"/>
        <v>673240.84292188042</v>
      </c>
      <c r="M114" s="62">
        <f t="shared" ref="M114:AI114" si="76">N114*(1+M$5/100)</f>
        <v>1531894.6303689722</v>
      </c>
      <c r="N114" s="48">
        <f t="shared" si="76"/>
        <v>1484394.0216753606</v>
      </c>
      <c r="O114" s="48">
        <f t="shared" si="76"/>
        <v>1458147.3690327706</v>
      </c>
      <c r="P114" s="48">
        <f t="shared" si="76"/>
        <v>1462534.9739546345</v>
      </c>
      <c r="Q114" s="48">
        <f t="shared" si="76"/>
        <v>1404932.731944894</v>
      </c>
      <c r="R114" s="48">
        <f t="shared" si="76"/>
        <v>1366666.0816584572</v>
      </c>
      <c r="S114" s="48">
        <f t="shared" si="76"/>
        <v>1320450.3204429538</v>
      </c>
      <c r="T114" s="48">
        <f t="shared" si="76"/>
        <v>1277031.2576817735</v>
      </c>
      <c r="U114" s="48">
        <f t="shared" si="76"/>
        <v>1239836.1725065762</v>
      </c>
      <c r="V114" s="48">
        <f t="shared" si="76"/>
        <v>1203724.4393267729</v>
      </c>
      <c r="W114" s="48">
        <f t="shared" si="76"/>
        <v>1163018.7819582347</v>
      </c>
      <c r="X114" s="48">
        <f t="shared" si="76"/>
        <v>1122605.0018901879</v>
      </c>
      <c r="Y114" s="48">
        <f t="shared" si="76"/>
        <v>1085691.4911897369</v>
      </c>
      <c r="Z114" s="48">
        <f t="shared" si="76"/>
        <v>1061282.0050730566</v>
      </c>
      <c r="AA114" s="48">
        <f t="shared" si="76"/>
        <v>1042516.7043939651</v>
      </c>
      <c r="AB114" s="48">
        <f t="shared" si="76"/>
        <v>1022075.2003862403</v>
      </c>
      <c r="AC114" s="48">
        <f t="shared" si="76"/>
        <v>986559.07373189216</v>
      </c>
      <c r="AD114" s="48">
        <f t="shared" si="76"/>
        <v>942272.27672578057</v>
      </c>
      <c r="AE114" s="48">
        <f t="shared" si="76"/>
        <v>899973.52122806176</v>
      </c>
      <c r="AF114" s="48">
        <f t="shared" si="76"/>
        <v>860395.33578208578</v>
      </c>
      <c r="AG114" s="48">
        <f t="shared" si="76"/>
        <v>812460.18487449083</v>
      </c>
      <c r="AH114" s="48">
        <f t="shared" si="76"/>
        <v>767195.64199668635</v>
      </c>
      <c r="AI114" s="48">
        <f t="shared" si="76"/>
        <v>719021.22024056828</v>
      </c>
      <c r="AJ114" s="48">
        <f t="shared" si="73"/>
        <v>673240.84292188042</v>
      </c>
      <c r="AK114" s="10"/>
      <c r="AL114" s="10"/>
      <c r="AM114" s="52"/>
    </row>
    <row r="115" spans="1:119" ht="15" thickBot="1">
      <c r="B115" s="2075">
        <v>94</v>
      </c>
      <c r="C115" s="2076" t="s">
        <v>859</v>
      </c>
      <c r="D115" s="617">
        <v>6660.6</v>
      </c>
      <c r="E115" s="618">
        <v>1988</v>
      </c>
      <c r="F115" s="619"/>
      <c r="G115" s="619">
        <v>3146430.05</v>
      </c>
      <c r="H115" s="621">
        <v>4</v>
      </c>
      <c r="I115" s="3546">
        <f>$B$187/D115</f>
        <v>0.17707555426723492</v>
      </c>
      <c r="J115" s="493">
        <v>91</v>
      </c>
      <c r="K115" s="36" t="s">
        <v>482</v>
      </c>
      <c r="L115" s="47">
        <f t="shared" si="75"/>
        <v>900977.99977161537</v>
      </c>
      <c r="M115" s="62">
        <f t="shared" ref="M115:AI115" si="77">N115*(1+M$5/100)</f>
        <v>2050088.5744551697</v>
      </c>
      <c r="N115" s="48">
        <f t="shared" si="77"/>
        <v>1986519.9364875676</v>
      </c>
      <c r="O115" s="48">
        <f t="shared" si="77"/>
        <v>1951394.8295555674</v>
      </c>
      <c r="P115" s="48">
        <f t="shared" si="77"/>
        <v>1957266.629443899</v>
      </c>
      <c r="Q115" s="48">
        <f t="shared" si="77"/>
        <v>1880179.2790047063</v>
      </c>
      <c r="R115" s="48">
        <f t="shared" si="77"/>
        <v>1828968.1702380411</v>
      </c>
      <c r="S115" s="48">
        <f t="shared" si="77"/>
        <v>1767119.0050609093</v>
      </c>
      <c r="T115" s="48">
        <f t="shared" si="77"/>
        <v>1709012.5774283456</v>
      </c>
      <c r="U115" s="48">
        <f t="shared" si="77"/>
        <v>1659235.512066355</v>
      </c>
      <c r="V115" s="48">
        <f t="shared" si="77"/>
        <v>1610908.2641420921</v>
      </c>
      <c r="W115" s="48">
        <f t="shared" si="77"/>
        <v>1556433.1054512968</v>
      </c>
      <c r="X115" s="48">
        <f t="shared" si="77"/>
        <v>1502348.5573854216</v>
      </c>
      <c r="Y115" s="48">
        <f t="shared" si="77"/>
        <v>1452948.3146860944</v>
      </c>
      <c r="Z115" s="48">
        <f t="shared" si="77"/>
        <v>1420281.8325377267</v>
      </c>
      <c r="AA115" s="48">
        <f t="shared" si="77"/>
        <v>1395168.7942413818</v>
      </c>
      <c r="AB115" s="48">
        <f t="shared" si="77"/>
        <v>1367812.5433739037</v>
      </c>
      <c r="AC115" s="48">
        <f t="shared" si="77"/>
        <v>1320282.3777740384</v>
      </c>
      <c r="AD115" s="48">
        <f t="shared" si="77"/>
        <v>1261014.6874632649</v>
      </c>
      <c r="AE115" s="48">
        <f t="shared" si="77"/>
        <v>1204407.5333937583</v>
      </c>
      <c r="AF115" s="48">
        <f t="shared" si="77"/>
        <v>1151441.2365141092</v>
      </c>
      <c r="AG115" s="48">
        <f t="shared" si="77"/>
        <v>1087291.0637526999</v>
      </c>
      <c r="AH115" s="48">
        <f t="shared" si="77"/>
        <v>1026714.885507743</v>
      </c>
      <c r="AI115" s="48">
        <f t="shared" si="77"/>
        <v>962244.50375608529</v>
      </c>
      <c r="AJ115" s="48">
        <f t="shared" si="73"/>
        <v>900977.99977161537</v>
      </c>
      <c r="AK115" s="10"/>
      <c r="AL115" s="10"/>
      <c r="AM115" s="52"/>
    </row>
    <row r="116" spans="1:119">
      <c r="B116" s="97">
        <v>95</v>
      </c>
      <c r="C116" s="2074" t="s">
        <v>860</v>
      </c>
      <c r="D116" s="2070">
        <v>13320</v>
      </c>
      <c r="E116" s="583">
        <v>1988</v>
      </c>
      <c r="F116" s="2071"/>
      <c r="G116" s="2071">
        <v>6470325.6600000001</v>
      </c>
      <c r="H116" s="2073">
        <v>10</v>
      </c>
      <c r="I116" s="3547">
        <f>$B$189/D116</f>
        <v>0.20731285462534838</v>
      </c>
      <c r="J116" s="493"/>
      <c r="K116" s="36" t="s">
        <v>483</v>
      </c>
      <c r="L116" s="47">
        <f t="shared" si="75"/>
        <v>0</v>
      </c>
      <c r="M116" s="62">
        <f t="shared" ref="M116:AI116" si="78">N116*(1+M$5/100)</f>
        <v>0</v>
      </c>
      <c r="N116" s="48">
        <f t="shared" si="78"/>
        <v>0</v>
      </c>
      <c r="O116" s="48">
        <f t="shared" si="78"/>
        <v>0</v>
      </c>
      <c r="P116" s="48">
        <f t="shared" si="78"/>
        <v>0</v>
      </c>
      <c r="Q116" s="48">
        <f t="shared" si="78"/>
        <v>0</v>
      </c>
      <c r="R116" s="48">
        <f t="shared" si="78"/>
        <v>0</v>
      </c>
      <c r="S116" s="48">
        <f t="shared" si="78"/>
        <v>0</v>
      </c>
      <c r="T116" s="48">
        <f t="shared" si="78"/>
        <v>0</v>
      </c>
      <c r="U116" s="48">
        <f t="shared" si="78"/>
        <v>0</v>
      </c>
      <c r="V116" s="48">
        <f t="shared" si="78"/>
        <v>0</v>
      </c>
      <c r="W116" s="48">
        <f t="shared" si="78"/>
        <v>0</v>
      </c>
      <c r="X116" s="48">
        <f t="shared" si="78"/>
        <v>0</v>
      </c>
      <c r="Y116" s="48">
        <f t="shared" si="78"/>
        <v>0</v>
      </c>
      <c r="Z116" s="48">
        <f t="shared" si="78"/>
        <v>0</v>
      </c>
      <c r="AA116" s="48">
        <f t="shared" si="78"/>
        <v>0</v>
      </c>
      <c r="AB116" s="48">
        <f t="shared" si="78"/>
        <v>0</v>
      </c>
      <c r="AC116" s="48">
        <f t="shared" si="78"/>
        <v>0</v>
      </c>
      <c r="AD116" s="48">
        <f t="shared" si="78"/>
        <v>0</v>
      </c>
      <c r="AE116" s="48">
        <f t="shared" si="78"/>
        <v>0</v>
      </c>
      <c r="AF116" s="48">
        <f t="shared" si="78"/>
        <v>0</v>
      </c>
      <c r="AG116" s="48">
        <f t="shared" si="78"/>
        <v>0</v>
      </c>
      <c r="AH116" s="48">
        <f t="shared" si="78"/>
        <v>0</v>
      </c>
      <c r="AI116" s="48">
        <f t="shared" si="78"/>
        <v>0</v>
      </c>
      <c r="AJ116" s="48">
        <f t="shared" si="73"/>
        <v>0</v>
      </c>
      <c r="AK116" s="10"/>
      <c r="AL116" s="10"/>
      <c r="AM116" s="52"/>
    </row>
    <row r="117" spans="1:119" ht="15" thickBot="1">
      <c r="B117" s="97">
        <v>96</v>
      </c>
      <c r="C117" s="601" t="s">
        <v>858</v>
      </c>
      <c r="D117" s="451">
        <v>7772.08</v>
      </c>
      <c r="E117" s="452">
        <v>1988</v>
      </c>
      <c r="F117" s="453"/>
      <c r="G117" s="453">
        <v>3769665.04</v>
      </c>
      <c r="H117" s="455">
        <v>5</v>
      </c>
      <c r="I117" s="3546">
        <f>$B$188/D117</f>
        <v>0.18648579183040317</v>
      </c>
      <c r="J117" s="493">
        <v>92</v>
      </c>
      <c r="K117" s="37" t="s">
        <v>484</v>
      </c>
      <c r="L117" s="54">
        <f t="shared" si="75"/>
        <v>2308175.0473423246</v>
      </c>
      <c r="M117" s="62">
        <f t="shared" ref="M117:AI117" si="79">N117*(1+M$5/100)</f>
        <v>5252029.7871851502</v>
      </c>
      <c r="N117" s="55">
        <f t="shared" si="79"/>
        <v>5089176.1503732074</v>
      </c>
      <c r="O117" s="55">
        <f t="shared" si="79"/>
        <v>4999190.7174589466</v>
      </c>
      <c r="P117" s="55">
        <f t="shared" si="79"/>
        <v>5014233.4177120831</v>
      </c>
      <c r="Q117" s="55">
        <f t="shared" si="79"/>
        <v>4816746.7989549311</v>
      </c>
      <c r="R117" s="55">
        <f t="shared" si="79"/>
        <v>4685551.3608510997</v>
      </c>
      <c r="S117" s="55">
        <f t="shared" si="79"/>
        <v>4527102.7641073428</v>
      </c>
      <c r="T117" s="55">
        <f t="shared" si="79"/>
        <v>4378242.5184790548</v>
      </c>
      <c r="U117" s="55">
        <f t="shared" si="79"/>
        <v>4250720.891727238</v>
      </c>
      <c r="V117" s="55">
        <f t="shared" si="79"/>
        <v>4126913.4871138232</v>
      </c>
      <c r="W117" s="55">
        <f t="shared" si="79"/>
        <v>3987356.026196931</v>
      </c>
      <c r="X117" s="55">
        <f t="shared" si="79"/>
        <v>3848799.2530858405</v>
      </c>
      <c r="Y117" s="55">
        <f t="shared" si="79"/>
        <v>3722242.991378956</v>
      </c>
      <c r="Z117" s="55">
        <f t="shared" si="79"/>
        <v>3638556.1988064088</v>
      </c>
      <c r="AA117" s="55">
        <f t="shared" si="79"/>
        <v>3574220.2345838984</v>
      </c>
      <c r="AB117" s="55">
        <f t="shared" si="79"/>
        <v>3504137.484886175</v>
      </c>
      <c r="AC117" s="55">
        <f t="shared" si="79"/>
        <v>3382372.0896584699</v>
      </c>
      <c r="AD117" s="55">
        <f t="shared" si="79"/>
        <v>3230536.8573624357</v>
      </c>
      <c r="AE117" s="55">
        <f t="shared" si="79"/>
        <v>3085517.5332974554</v>
      </c>
      <c r="AF117" s="55">
        <f t="shared" si="79"/>
        <v>2949825.5576457507</v>
      </c>
      <c r="AG117" s="55">
        <f t="shared" si="79"/>
        <v>2785482.1129799346</v>
      </c>
      <c r="AH117" s="55">
        <f t="shared" si="79"/>
        <v>2630294.7242492302</v>
      </c>
      <c r="AI117" s="55">
        <f t="shared" si="79"/>
        <v>2465130.9505616031</v>
      </c>
      <c r="AJ117" s="55">
        <f t="shared" si="73"/>
        <v>2308175.0473423246</v>
      </c>
      <c r="AK117" s="56"/>
      <c r="AL117" s="56"/>
      <c r="AM117" s="57"/>
    </row>
    <row r="118" spans="1:119">
      <c r="I118" s="3544"/>
      <c r="J118" s="19"/>
      <c r="K118" s="58"/>
      <c r="L118" s="76"/>
      <c r="M118" s="600"/>
      <c r="N118" s="600"/>
      <c r="O118" s="600"/>
      <c r="P118" s="600"/>
      <c r="Q118" s="600"/>
      <c r="R118" s="600"/>
      <c r="S118" s="600"/>
      <c r="T118" s="600"/>
      <c r="U118" s="600"/>
      <c r="V118" s="600"/>
      <c r="W118" s="600"/>
      <c r="X118" s="600"/>
      <c r="Y118" s="600"/>
      <c r="Z118" s="600"/>
      <c r="AA118" s="600"/>
      <c r="AB118" s="600"/>
      <c r="AC118" s="600"/>
      <c r="AD118" s="600"/>
      <c r="AE118" s="600"/>
      <c r="AF118" s="600"/>
      <c r="AG118" s="600"/>
      <c r="AH118" s="600"/>
      <c r="AI118" s="600"/>
      <c r="AJ118" s="19"/>
      <c r="AK118" s="19"/>
      <c r="AL118" s="19"/>
    </row>
    <row r="119" spans="1:119">
      <c r="C119" s="12" t="s">
        <v>786</v>
      </c>
      <c r="D119" s="65">
        <f>(D86+D87+D88+D89)/4</f>
        <v>3266.3666666666663</v>
      </c>
      <c r="E119" s="10"/>
      <c r="F119" s="27">
        <f>(F86+F87+F88+F89)/4</f>
        <v>898991.98669108772</v>
      </c>
      <c r="G119" s="27">
        <f>(G86+G87+G88+G89)/4</f>
        <v>2453692.7360726991</v>
      </c>
      <c r="H119" s="78">
        <v>1</v>
      </c>
      <c r="I119" s="493"/>
      <c r="J119" s="19"/>
      <c r="K119" s="58"/>
      <c r="L119" s="76"/>
      <c r="M119" s="600"/>
      <c r="N119" s="600"/>
      <c r="O119" s="600"/>
      <c r="P119" s="600"/>
      <c r="Q119" s="600"/>
      <c r="R119" s="600"/>
      <c r="S119" s="600"/>
      <c r="T119" s="600"/>
      <c r="U119" s="600"/>
      <c r="V119" s="600"/>
      <c r="W119" s="600"/>
      <c r="X119" s="600"/>
      <c r="Y119" s="600"/>
      <c r="Z119" s="600"/>
      <c r="AA119" s="600"/>
      <c r="AB119" s="600"/>
      <c r="AC119" s="600"/>
      <c r="AD119" s="600"/>
      <c r="AE119" s="600"/>
      <c r="AF119" s="600"/>
      <c r="AG119" s="600"/>
      <c r="AH119" s="600"/>
      <c r="AI119" s="600"/>
      <c r="AJ119" s="19"/>
      <c r="AK119" s="19"/>
      <c r="AL119" s="19"/>
    </row>
    <row r="120" spans="1:119" ht="15" thickBot="1">
      <c r="H120" s="76"/>
      <c r="I120" s="19"/>
      <c r="J120" s="58"/>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row>
    <row r="121" spans="1:119" ht="15" thickBot="1">
      <c r="C121" s="4576" t="s">
        <v>525</v>
      </c>
      <c r="D121" s="4577"/>
      <c r="E121" s="4577"/>
      <c r="F121" s="4578"/>
      <c r="G121" s="4578"/>
      <c r="H121" s="90"/>
      <c r="I121" s="89"/>
      <c r="J121" s="89"/>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92"/>
      <c r="DJ121" s="4579" t="s">
        <v>862</v>
      </c>
      <c r="DK121" s="4580"/>
      <c r="DL121" s="4580"/>
      <c r="DM121" s="4581"/>
      <c r="DN121" s="447" t="s">
        <v>784</v>
      </c>
    </row>
    <row r="122" spans="1:119">
      <c r="A122" s="87" t="s">
        <v>162</v>
      </c>
      <c r="B122" s="86" t="s">
        <v>163</v>
      </c>
      <c r="C122" s="595" t="s">
        <v>870</v>
      </c>
      <c r="D122" s="594" t="s">
        <v>865</v>
      </c>
      <c r="E122" s="594" t="s">
        <v>866</v>
      </c>
      <c r="F122" s="594" t="s">
        <v>867</v>
      </c>
      <c r="G122" s="594" t="s">
        <v>3415</v>
      </c>
      <c r="H122" s="594" t="s">
        <v>868</v>
      </c>
      <c r="I122" s="594" t="s">
        <v>869</v>
      </c>
      <c r="J122" s="594" t="s">
        <v>380</v>
      </c>
      <c r="K122" s="594" t="s">
        <v>863</v>
      </c>
      <c r="L122" s="594" t="s">
        <v>864</v>
      </c>
      <c r="M122" s="594" t="s">
        <v>383</v>
      </c>
      <c r="N122" s="594" t="s">
        <v>384</v>
      </c>
      <c r="O122" s="594" t="s">
        <v>385</v>
      </c>
      <c r="P122" s="594" t="s">
        <v>386</v>
      </c>
      <c r="Q122" s="594" t="s">
        <v>387</v>
      </c>
      <c r="R122" s="594" t="s">
        <v>388</v>
      </c>
      <c r="S122" s="594" t="s">
        <v>389</v>
      </c>
      <c r="T122" s="594" t="s">
        <v>390</v>
      </c>
      <c r="U122" s="594" t="s">
        <v>391</v>
      </c>
      <c r="V122" s="594" t="s">
        <v>392</v>
      </c>
      <c r="W122" s="594" t="s">
        <v>393</v>
      </c>
      <c r="X122" s="594" t="s">
        <v>394</v>
      </c>
      <c r="Y122" s="594" t="s">
        <v>395</v>
      </c>
      <c r="Z122" s="594" t="s">
        <v>396</v>
      </c>
      <c r="AA122" s="594" t="s">
        <v>397</v>
      </c>
      <c r="AB122" s="594" t="s">
        <v>398</v>
      </c>
      <c r="AC122" s="594" t="s">
        <v>399</v>
      </c>
      <c r="AD122" s="594" t="s">
        <v>400</v>
      </c>
      <c r="AE122" s="594" t="s">
        <v>401</v>
      </c>
      <c r="AF122" s="594" t="s">
        <v>402</v>
      </c>
      <c r="AG122" s="594" t="s">
        <v>403</v>
      </c>
      <c r="AH122" s="594" t="s">
        <v>404</v>
      </c>
      <c r="AI122" s="594" t="s">
        <v>405</v>
      </c>
      <c r="AJ122" s="594" t="s">
        <v>406</v>
      </c>
      <c r="AK122" s="594" t="s">
        <v>407</v>
      </c>
      <c r="AL122" s="594" t="s">
        <v>408</v>
      </c>
      <c r="AM122" s="594" t="s">
        <v>409</v>
      </c>
      <c r="AN122" s="594" t="s">
        <v>410</v>
      </c>
      <c r="AO122" s="594" t="s">
        <v>411</v>
      </c>
      <c r="AP122" s="594" t="s">
        <v>412</v>
      </c>
      <c r="AQ122" s="594" t="s">
        <v>413</v>
      </c>
      <c r="AR122" s="594" t="s">
        <v>414</v>
      </c>
      <c r="AS122" s="594" t="s">
        <v>415</v>
      </c>
      <c r="AT122" s="594" t="s">
        <v>416</v>
      </c>
      <c r="AU122" s="594" t="s">
        <v>417</v>
      </c>
      <c r="AV122" s="594" t="s">
        <v>418</v>
      </c>
      <c r="AW122" s="594" t="s">
        <v>419</v>
      </c>
      <c r="AX122" s="594" t="s">
        <v>420</v>
      </c>
      <c r="AY122" s="594" t="s">
        <v>421</v>
      </c>
      <c r="AZ122" s="594" t="s">
        <v>422</v>
      </c>
      <c r="BA122" s="594" t="s">
        <v>423</v>
      </c>
      <c r="BB122" s="594" t="s">
        <v>424</v>
      </c>
      <c r="BC122" s="594" t="s">
        <v>425</v>
      </c>
      <c r="BD122" s="594" t="s">
        <v>426</v>
      </c>
      <c r="BE122" s="594" t="s">
        <v>427</v>
      </c>
      <c r="BF122" s="594" t="s">
        <v>428</v>
      </c>
      <c r="BG122" s="594" t="s">
        <v>429</v>
      </c>
      <c r="BH122" s="594" t="s">
        <v>430</v>
      </c>
      <c r="BI122" s="594" t="s">
        <v>431</v>
      </c>
      <c r="BJ122" s="594" t="s">
        <v>432</v>
      </c>
      <c r="BK122" s="594" t="s">
        <v>433</v>
      </c>
      <c r="BL122" s="594" t="s">
        <v>434</v>
      </c>
      <c r="BM122" s="594" t="s">
        <v>435</v>
      </c>
      <c r="BN122" s="594" t="s">
        <v>436</v>
      </c>
      <c r="BO122" s="594" t="s">
        <v>437</v>
      </c>
      <c r="BP122" s="594" t="s">
        <v>438</v>
      </c>
      <c r="BQ122" s="594" t="s">
        <v>439</v>
      </c>
      <c r="BR122" s="594" t="s">
        <v>440</v>
      </c>
      <c r="BS122" s="594" t="s">
        <v>441</v>
      </c>
      <c r="BT122" s="594" t="s">
        <v>442</v>
      </c>
      <c r="BU122" s="594" t="s">
        <v>443</v>
      </c>
      <c r="BV122" s="594" t="s">
        <v>444</v>
      </c>
      <c r="BW122" s="594" t="s">
        <v>445</v>
      </c>
      <c r="BX122" s="594" t="s">
        <v>446</v>
      </c>
      <c r="BY122" s="594" t="s">
        <v>447</v>
      </c>
      <c r="BZ122" s="594" t="s">
        <v>448</v>
      </c>
      <c r="CA122" s="594" t="s">
        <v>449</v>
      </c>
      <c r="CB122" s="594" t="s">
        <v>450</v>
      </c>
      <c r="CC122" s="594" t="s">
        <v>451</v>
      </c>
      <c r="CD122" s="594" t="s">
        <v>452</v>
      </c>
      <c r="CE122" s="594" t="s">
        <v>453</v>
      </c>
      <c r="CF122" s="594" t="s">
        <v>454</v>
      </c>
      <c r="CG122" s="594" t="s">
        <v>455</v>
      </c>
      <c r="CH122" s="594" t="s">
        <v>456</v>
      </c>
      <c r="CI122" s="594" t="s">
        <v>457</v>
      </c>
      <c r="CJ122" s="594" t="s">
        <v>458</v>
      </c>
      <c r="CK122" s="594" t="s">
        <v>459</v>
      </c>
      <c r="CL122" s="594" t="s">
        <v>460</v>
      </c>
      <c r="CM122" s="594" t="s">
        <v>461</v>
      </c>
      <c r="CN122" s="594" t="s">
        <v>462</v>
      </c>
      <c r="CO122" s="594" t="s">
        <v>463</v>
      </c>
      <c r="CP122" s="594" t="s">
        <v>464</v>
      </c>
      <c r="CQ122" s="594" t="s">
        <v>465</v>
      </c>
      <c r="CR122" s="594" t="s">
        <v>466</v>
      </c>
      <c r="CS122" s="594" t="s">
        <v>467</v>
      </c>
      <c r="CT122" s="594" t="s">
        <v>468</v>
      </c>
      <c r="CU122" s="594" t="s">
        <v>469</v>
      </c>
      <c r="CV122" s="594" t="s">
        <v>470</v>
      </c>
      <c r="CW122" s="594" t="s">
        <v>471</v>
      </c>
      <c r="CX122" s="594" t="s">
        <v>472</v>
      </c>
      <c r="CY122" s="594" t="s">
        <v>473</v>
      </c>
      <c r="CZ122" s="594" t="s">
        <v>474</v>
      </c>
      <c r="DA122" s="594" t="s">
        <v>475</v>
      </c>
      <c r="DB122" s="594" t="s">
        <v>476</v>
      </c>
      <c r="DC122" s="594" t="s">
        <v>477</v>
      </c>
      <c r="DD122" s="594" t="s">
        <v>478</v>
      </c>
      <c r="DE122" s="594" t="s">
        <v>479</v>
      </c>
      <c r="DF122" s="594" t="s">
        <v>480</v>
      </c>
      <c r="DG122" s="594" t="s">
        <v>481</v>
      </c>
      <c r="DH122" s="594" t="s">
        <v>482</v>
      </c>
      <c r="DI122" s="594" t="s">
        <v>483</v>
      </c>
      <c r="DJ122" s="594" t="s">
        <v>484</v>
      </c>
      <c r="DK122" s="599" t="s">
        <v>861</v>
      </c>
      <c r="DL122" s="599" t="s">
        <v>860</v>
      </c>
      <c r="DM122" s="599" t="s">
        <v>859</v>
      </c>
      <c r="DN122" s="599" t="s">
        <v>858</v>
      </c>
      <c r="DO122" s="449" t="s">
        <v>785</v>
      </c>
    </row>
    <row r="123" spans="1:119">
      <c r="A123" s="24" t="s">
        <v>164</v>
      </c>
      <c r="B123" s="25" t="s">
        <v>165</v>
      </c>
      <c r="C123" s="72">
        <v>0.33</v>
      </c>
      <c r="D123" s="72">
        <v>0.32</v>
      </c>
      <c r="E123" s="10"/>
      <c r="F123" s="72">
        <v>0.26</v>
      </c>
      <c r="G123" s="72">
        <v>0.26</v>
      </c>
      <c r="H123" s="10"/>
      <c r="I123" s="72">
        <v>0.33</v>
      </c>
      <c r="J123" s="10"/>
      <c r="K123" s="72">
        <v>0.32</v>
      </c>
      <c r="L123" s="72">
        <v>0.26</v>
      </c>
      <c r="M123" s="72">
        <v>0.27</v>
      </c>
      <c r="N123" s="72">
        <v>0.27</v>
      </c>
      <c r="O123" s="72">
        <v>0.26</v>
      </c>
      <c r="P123" s="72">
        <v>0.26</v>
      </c>
      <c r="Q123" s="72">
        <v>0.23</v>
      </c>
      <c r="R123" s="72">
        <v>0.23</v>
      </c>
      <c r="S123" s="72">
        <v>0.27</v>
      </c>
      <c r="T123" s="72">
        <v>0.27</v>
      </c>
      <c r="U123" s="48"/>
      <c r="V123" s="48"/>
      <c r="W123" s="72">
        <v>0.26</v>
      </c>
      <c r="X123" s="72">
        <v>0.26</v>
      </c>
      <c r="Y123" s="72">
        <v>0.23</v>
      </c>
      <c r="Z123" s="72">
        <v>0.26</v>
      </c>
      <c r="AA123" s="72">
        <v>0.23</v>
      </c>
      <c r="AB123" s="72">
        <v>0.26</v>
      </c>
      <c r="AC123" s="72">
        <v>0.63500000000000001</v>
      </c>
      <c r="AD123" s="72">
        <v>0.79379999999999995</v>
      </c>
      <c r="AE123" s="48"/>
      <c r="AF123" s="48"/>
      <c r="AG123" s="48"/>
      <c r="AH123" s="48"/>
      <c r="AI123" s="48"/>
      <c r="AJ123" s="10"/>
      <c r="AK123" s="10"/>
      <c r="AL123" s="10"/>
      <c r="AM123" s="10"/>
      <c r="AN123" s="10"/>
      <c r="AO123" s="72">
        <v>0.79</v>
      </c>
      <c r="AP123" s="72">
        <v>0.37180000000000002</v>
      </c>
      <c r="AQ123" s="72">
        <v>0.55779999999999996</v>
      </c>
      <c r="AR123" s="72">
        <v>0.63500000000000001</v>
      </c>
      <c r="AS123" s="72">
        <v>0.37180000000000002</v>
      </c>
      <c r="AT123" s="72">
        <v>0.55779999999999996</v>
      </c>
      <c r="AU123" s="72">
        <v>0.63500000000000001</v>
      </c>
      <c r="AV123" s="72">
        <v>0.79379999999999995</v>
      </c>
      <c r="AW123" s="72">
        <v>0.79379999999999995</v>
      </c>
      <c r="AX123" s="72">
        <v>0.37180000000000002</v>
      </c>
      <c r="AY123" s="72">
        <v>0.55779999999999996</v>
      </c>
      <c r="AZ123" s="72">
        <v>0.63500000000000001</v>
      </c>
      <c r="BA123" s="72">
        <v>0.37180000000000002</v>
      </c>
      <c r="BB123" s="72">
        <v>0.55779999999999996</v>
      </c>
      <c r="BC123" s="72">
        <v>0.15</v>
      </c>
      <c r="BD123" s="72">
        <v>0.15</v>
      </c>
      <c r="BE123" s="72">
        <v>0.15</v>
      </c>
      <c r="BF123" s="72">
        <v>0.13</v>
      </c>
      <c r="BG123" s="72">
        <v>0.15</v>
      </c>
      <c r="BH123" s="72">
        <v>0.15</v>
      </c>
      <c r="BI123" s="72">
        <v>0.13</v>
      </c>
      <c r="BJ123" s="99">
        <v>0.15</v>
      </c>
      <c r="BK123" s="72">
        <v>0.15</v>
      </c>
      <c r="BL123" s="72">
        <v>0.15</v>
      </c>
      <c r="BM123" s="72">
        <v>0.15</v>
      </c>
      <c r="BN123" s="72">
        <v>0.13</v>
      </c>
      <c r="BO123" s="72">
        <v>0.15</v>
      </c>
      <c r="BP123" s="72">
        <v>0.15</v>
      </c>
      <c r="BQ123" s="72">
        <v>0.15</v>
      </c>
      <c r="BR123" s="72">
        <v>0.13</v>
      </c>
      <c r="BS123" s="72">
        <v>0.376</v>
      </c>
      <c r="BT123" s="72">
        <v>0.376</v>
      </c>
      <c r="BU123" s="72">
        <v>0.376</v>
      </c>
      <c r="BV123" s="72">
        <v>0.376</v>
      </c>
      <c r="BW123" s="72">
        <v>0.64200000000000002</v>
      </c>
      <c r="BX123" s="72">
        <v>0.64200000000000002</v>
      </c>
      <c r="BY123" s="72">
        <v>0.64200000000000002</v>
      </c>
      <c r="BZ123" s="72">
        <v>0.64200000000000002</v>
      </c>
      <c r="CA123" s="72">
        <v>0.80259999999999998</v>
      </c>
      <c r="CB123" s="72">
        <v>0.80259999999999998</v>
      </c>
      <c r="CC123" s="72">
        <v>0.80259999999999998</v>
      </c>
      <c r="CD123" s="72">
        <v>0.80259999999999998</v>
      </c>
      <c r="CE123" s="72">
        <v>0.56389999999999996</v>
      </c>
      <c r="CF123" s="72">
        <v>0.56389999999999996</v>
      </c>
      <c r="CG123" s="72">
        <v>0.56389999999999996</v>
      </c>
      <c r="CH123" s="72">
        <v>0.56389999999999996</v>
      </c>
      <c r="CI123" s="72">
        <v>0.59</v>
      </c>
      <c r="CJ123" s="72">
        <v>0.59</v>
      </c>
      <c r="CK123" s="72">
        <v>0.57999999999999996</v>
      </c>
      <c r="CL123" s="72">
        <v>0.57999999999999996</v>
      </c>
      <c r="CM123" s="72">
        <v>0.92500000000000004</v>
      </c>
      <c r="CN123" s="72">
        <v>0.74</v>
      </c>
      <c r="CO123" s="72">
        <v>0.65</v>
      </c>
      <c r="CP123" s="72">
        <v>0.43330000000000002</v>
      </c>
      <c r="CQ123" s="72">
        <v>0.92500000000000004</v>
      </c>
      <c r="CR123" s="72">
        <v>0.74</v>
      </c>
      <c r="CS123" s="72">
        <v>0.65</v>
      </c>
      <c r="CT123" s="72">
        <v>0.43330000000000002</v>
      </c>
      <c r="CU123" s="72">
        <v>0.92500000000000004</v>
      </c>
      <c r="CV123" s="72">
        <v>0.74</v>
      </c>
      <c r="CW123" s="72">
        <v>0.65</v>
      </c>
      <c r="CX123" s="72">
        <v>0.43330000000000002</v>
      </c>
      <c r="CY123" s="72">
        <v>0.92500000000000004</v>
      </c>
      <c r="CZ123" s="72">
        <v>1.0900000000000001</v>
      </c>
      <c r="DA123" s="72">
        <v>0.65</v>
      </c>
      <c r="DB123" s="72">
        <v>0.43330000000000002</v>
      </c>
      <c r="DC123" s="72">
        <v>0.23</v>
      </c>
      <c r="DD123" s="72">
        <v>0.17499999999999999</v>
      </c>
      <c r="DE123" s="10"/>
      <c r="DF123" s="72">
        <v>0.12859999999999999</v>
      </c>
      <c r="DG123" s="72">
        <v>0.23</v>
      </c>
      <c r="DH123" s="72">
        <v>0.17499999999999999</v>
      </c>
      <c r="DI123" s="10"/>
      <c r="DJ123" s="72">
        <v>0.12859999999999999</v>
      </c>
      <c r="DK123" s="72">
        <v>1.05</v>
      </c>
      <c r="DL123" s="72">
        <v>0.83750000000000002</v>
      </c>
      <c r="DM123" s="72">
        <v>1.1166666666666667</v>
      </c>
      <c r="DN123" s="72">
        <v>0.95714285714285718</v>
      </c>
      <c r="DO123" s="448">
        <f>(CI123+CJ123+CK123+CL123)/4</f>
        <v>0.58499999999999996</v>
      </c>
    </row>
    <row r="124" spans="1:119">
      <c r="A124" s="24" t="s">
        <v>166</v>
      </c>
      <c r="B124" s="25" t="s">
        <v>167</v>
      </c>
      <c r="C124" s="72">
        <v>0.13</v>
      </c>
      <c r="D124" s="72">
        <v>0.09</v>
      </c>
      <c r="E124" s="10"/>
      <c r="F124" s="72">
        <v>0.09</v>
      </c>
      <c r="G124" s="72">
        <v>0.09</v>
      </c>
      <c r="H124" s="10"/>
      <c r="I124" s="72">
        <v>0.13</v>
      </c>
      <c r="J124" s="10"/>
      <c r="K124" s="72">
        <v>0.09</v>
      </c>
      <c r="L124" s="72">
        <v>0.09</v>
      </c>
      <c r="M124" s="72">
        <v>0.13</v>
      </c>
      <c r="N124" s="72">
        <v>0.13</v>
      </c>
      <c r="O124" s="72">
        <v>0.08</v>
      </c>
      <c r="P124" s="72">
        <v>0.08</v>
      </c>
      <c r="Q124" s="72">
        <v>0.04</v>
      </c>
      <c r="R124" s="72">
        <v>0.04</v>
      </c>
      <c r="S124" s="72">
        <v>0.13</v>
      </c>
      <c r="T124" s="72">
        <v>0.13</v>
      </c>
      <c r="U124" s="48"/>
      <c r="V124" s="48"/>
      <c r="W124" s="72">
        <v>0.09</v>
      </c>
      <c r="X124" s="72">
        <v>0.08</v>
      </c>
      <c r="Y124" s="72">
        <v>0.04</v>
      </c>
      <c r="Z124" s="72">
        <v>0.09</v>
      </c>
      <c r="AA124" s="72">
        <v>0.04</v>
      </c>
      <c r="AB124" s="72">
        <v>0.08</v>
      </c>
      <c r="AC124" s="72">
        <v>0.08</v>
      </c>
      <c r="AD124" s="72">
        <v>0</v>
      </c>
      <c r="AE124" s="48"/>
      <c r="AF124" s="48"/>
      <c r="AG124" s="48"/>
      <c r="AH124" s="48"/>
      <c r="AI124" s="48"/>
      <c r="AJ124" s="10"/>
      <c r="AK124" s="10"/>
      <c r="AL124" s="10"/>
      <c r="AM124" s="10"/>
      <c r="AN124" s="10"/>
      <c r="AO124" s="72">
        <v>0.09</v>
      </c>
      <c r="AP124" s="72">
        <v>0.03</v>
      </c>
      <c r="AQ124" s="72">
        <v>0.06</v>
      </c>
      <c r="AR124" s="72">
        <v>0.08</v>
      </c>
      <c r="AS124" s="72">
        <v>0.03</v>
      </c>
      <c r="AT124" s="72">
        <v>0.06</v>
      </c>
      <c r="AU124" s="72">
        <v>0.08</v>
      </c>
      <c r="AV124" s="72">
        <v>0</v>
      </c>
      <c r="AW124" s="72">
        <v>0</v>
      </c>
      <c r="AX124" s="72">
        <v>0.03</v>
      </c>
      <c r="AY124" s="72">
        <v>0.06</v>
      </c>
      <c r="AZ124" s="72">
        <v>0.08</v>
      </c>
      <c r="BA124" s="72">
        <v>0.03</v>
      </c>
      <c r="BB124" s="72">
        <v>0.06</v>
      </c>
      <c r="BC124" s="72">
        <v>0.09</v>
      </c>
      <c r="BD124" s="72">
        <v>0.12</v>
      </c>
      <c r="BE124" s="72">
        <v>7.0000000000000007E-2</v>
      </c>
      <c r="BF124" s="72">
        <v>0.04</v>
      </c>
      <c r="BG124" s="72">
        <v>0.12</v>
      </c>
      <c r="BH124" s="72">
        <v>0.09</v>
      </c>
      <c r="BI124" s="72">
        <v>0.04</v>
      </c>
      <c r="BJ124" s="99">
        <v>7.0000000000000007E-2</v>
      </c>
      <c r="BK124" s="72">
        <v>0.09</v>
      </c>
      <c r="BL124" s="72">
        <v>0.12</v>
      </c>
      <c r="BM124" s="72">
        <v>7.0000000000000007E-2</v>
      </c>
      <c r="BN124" s="72">
        <v>0.04</v>
      </c>
      <c r="BO124" s="72">
        <v>0.12</v>
      </c>
      <c r="BP124" s="72">
        <v>0.09</v>
      </c>
      <c r="BQ124" s="72">
        <v>7.0000000000000007E-2</v>
      </c>
      <c r="BR124" s="72">
        <v>0.04</v>
      </c>
      <c r="BS124" s="72">
        <v>0.04</v>
      </c>
      <c r="BT124" s="72">
        <v>0.04</v>
      </c>
      <c r="BU124" s="72">
        <v>0.04</v>
      </c>
      <c r="BV124" s="72">
        <v>0.04</v>
      </c>
      <c r="BW124" s="72">
        <v>7.0000000000000007E-2</v>
      </c>
      <c r="BX124" s="72">
        <v>7.0000000000000007E-2</v>
      </c>
      <c r="BY124" s="72">
        <v>7.0000000000000007E-2</v>
      </c>
      <c r="BZ124" s="72">
        <v>7.0000000000000007E-2</v>
      </c>
      <c r="CA124" s="72">
        <v>0.09</v>
      </c>
      <c r="CB124" s="72">
        <v>0.09</v>
      </c>
      <c r="CC124" s="72">
        <v>7.0000000000000007E-2</v>
      </c>
      <c r="CD124" s="72">
        <v>0.09</v>
      </c>
      <c r="CE124" s="72">
        <v>0.06</v>
      </c>
      <c r="CF124" s="72">
        <v>0.06</v>
      </c>
      <c r="CG124" s="72">
        <v>0.06</v>
      </c>
      <c r="CH124" s="72">
        <v>0.06</v>
      </c>
      <c r="CI124" s="72">
        <v>0.23</v>
      </c>
      <c r="CJ124" s="72">
        <v>0.23</v>
      </c>
      <c r="CK124" s="72">
        <v>0.15</v>
      </c>
      <c r="CL124" s="72">
        <v>0.15</v>
      </c>
      <c r="CM124" s="72">
        <v>0.04</v>
      </c>
      <c r="CN124" s="72">
        <v>0.03</v>
      </c>
      <c r="CO124" s="72">
        <v>0.03</v>
      </c>
      <c r="CP124" s="72">
        <v>0.01</v>
      </c>
      <c r="CQ124" s="72">
        <v>0.04</v>
      </c>
      <c r="CR124" s="72">
        <v>0.03</v>
      </c>
      <c r="CS124" s="72">
        <v>0.03</v>
      </c>
      <c r="CT124" s="72">
        <v>0.01</v>
      </c>
      <c r="CU124" s="72">
        <v>0.04</v>
      </c>
      <c r="CV124" s="72">
        <v>0.03</v>
      </c>
      <c r="CW124" s="72">
        <v>0.03</v>
      </c>
      <c r="CX124" s="72">
        <v>0.01</v>
      </c>
      <c r="CY124" s="72">
        <v>0.04</v>
      </c>
      <c r="CZ124" s="72">
        <v>0.03</v>
      </c>
      <c r="DA124" s="72">
        <v>0.03</v>
      </c>
      <c r="DB124" s="72">
        <v>0.01</v>
      </c>
      <c r="DC124" s="72">
        <v>0.17</v>
      </c>
      <c r="DD124" s="72">
        <v>0.13</v>
      </c>
      <c r="DE124" s="10"/>
      <c r="DF124" s="72">
        <v>0.05</v>
      </c>
      <c r="DG124" s="72">
        <v>0.17</v>
      </c>
      <c r="DH124" s="72">
        <v>0.13</v>
      </c>
      <c r="DI124" s="10"/>
      <c r="DJ124" s="72">
        <v>0.05</v>
      </c>
      <c r="DK124" s="72">
        <v>0.05</v>
      </c>
      <c r="DL124" s="72">
        <v>2.5000000000000001E-2</v>
      </c>
      <c r="DM124" s="72">
        <v>0</v>
      </c>
      <c r="DN124" s="72">
        <v>0</v>
      </c>
      <c r="DO124" s="448">
        <f t="shared" ref="DO124:DO181" si="80">(CI124+CJ124+CK124+CL124)/4</f>
        <v>0.19</v>
      </c>
    </row>
    <row r="125" spans="1:119">
      <c r="A125" s="24" t="s">
        <v>168</v>
      </c>
      <c r="B125" s="24" t="s">
        <v>169</v>
      </c>
      <c r="C125" s="72">
        <v>0.28000000000000003</v>
      </c>
      <c r="D125" s="72">
        <v>0.33</v>
      </c>
      <c r="E125" s="10"/>
      <c r="F125" s="72">
        <v>0.33</v>
      </c>
      <c r="G125" s="72">
        <v>0.33</v>
      </c>
      <c r="H125" s="10"/>
      <c r="I125" s="72">
        <v>0.28000000000000003</v>
      </c>
      <c r="J125" s="10"/>
      <c r="K125" s="72">
        <v>0.33</v>
      </c>
      <c r="L125" s="72">
        <v>0.33</v>
      </c>
      <c r="M125" s="72">
        <v>0.33</v>
      </c>
      <c r="N125" s="72">
        <v>0.33</v>
      </c>
      <c r="O125" s="72">
        <v>0.32</v>
      </c>
      <c r="P125" s="72">
        <v>0.32</v>
      </c>
      <c r="Q125" s="72">
        <v>0.28999999999999998</v>
      </c>
      <c r="R125" s="72">
        <v>0.28999999999999998</v>
      </c>
      <c r="S125" s="72">
        <v>0.33</v>
      </c>
      <c r="T125" s="72">
        <v>0.33</v>
      </c>
      <c r="U125" s="48"/>
      <c r="V125" s="48"/>
      <c r="W125" s="72">
        <v>0.33</v>
      </c>
      <c r="X125" s="72">
        <v>0.32</v>
      </c>
      <c r="Y125" s="72">
        <v>0.28999999999999998</v>
      </c>
      <c r="Z125" s="72">
        <v>0.33</v>
      </c>
      <c r="AA125" s="72">
        <v>0.28999999999999998</v>
      </c>
      <c r="AB125" s="72">
        <v>0.32</v>
      </c>
      <c r="AC125" s="72">
        <v>0.79369999999999996</v>
      </c>
      <c r="AD125" s="72">
        <v>0.99219999999999997</v>
      </c>
      <c r="AE125" s="48"/>
      <c r="AF125" s="48"/>
      <c r="AG125" s="48"/>
      <c r="AH125" s="48"/>
      <c r="AI125" s="48"/>
      <c r="AJ125" s="10"/>
      <c r="AK125" s="10"/>
      <c r="AL125" s="10"/>
      <c r="AM125" s="10"/>
      <c r="AN125" s="10"/>
      <c r="AO125" s="72">
        <v>0.99219999999999997</v>
      </c>
      <c r="AP125" s="72">
        <v>0.46479999999999999</v>
      </c>
      <c r="AQ125" s="72">
        <v>0.69720000000000004</v>
      </c>
      <c r="AR125" s="72">
        <v>0.79369999999999996</v>
      </c>
      <c r="AS125" s="72">
        <v>0.46479999999999999</v>
      </c>
      <c r="AT125" s="72">
        <v>0.69720000000000004</v>
      </c>
      <c r="AU125" s="72">
        <v>0.79369999999999996</v>
      </c>
      <c r="AV125" s="72">
        <v>0.99219999999999997</v>
      </c>
      <c r="AW125" s="72">
        <v>0.99219999999999997</v>
      </c>
      <c r="AX125" s="72">
        <v>0.46479999999999999</v>
      </c>
      <c r="AY125" s="72">
        <v>0.69720000000000004</v>
      </c>
      <c r="AZ125" s="72">
        <v>0.79369999999999996</v>
      </c>
      <c r="BA125" s="72">
        <v>0.46479999999999999</v>
      </c>
      <c r="BB125" s="72">
        <v>0.69720000000000004</v>
      </c>
      <c r="BC125" s="72">
        <v>0.2</v>
      </c>
      <c r="BD125" s="72">
        <v>0.21</v>
      </c>
      <c r="BE125" s="72">
        <v>0.2</v>
      </c>
      <c r="BF125" s="72">
        <v>0.18</v>
      </c>
      <c r="BG125" s="72">
        <v>0.21</v>
      </c>
      <c r="BH125" s="72">
        <v>0.2</v>
      </c>
      <c r="BI125" s="72">
        <v>0.18</v>
      </c>
      <c r="BJ125" s="99">
        <v>0.2</v>
      </c>
      <c r="BK125" s="72">
        <v>0.2</v>
      </c>
      <c r="BL125" s="72">
        <v>0.21</v>
      </c>
      <c r="BM125" s="72">
        <v>0.2</v>
      </c>
      <c r="BN125" s="72">
        <v>0.18</v>
      </c>
      <c r="BO125" s="72">
        <v>0.21</v>
      </c>
      <c r="BP125" s="72">
        <v>0.2</v>
      </c>
      <c r="BQ125" s="72">
        <v>0.2</v>
      </c>
      <c r="BR125" s="72">
        <v>0.18</v>
      </c>
      <c r="BS125" s="72">
        <v>0.47</v>
      </c>
      <c r="BT125" s="72">
        <v>0.47</v>
      </c>
      <c r="BU125" s="72">
        <v>0.47</v>
      </c>
      <c r="BV125" s="72">
        <v>0.47</v>
      </c>
      <c r="BW125" s="72">
        <v>0.80249999999999999</v>
      </c>
      <c r="BX125" s="72">
        <v>0.80249999999999999</v>
      </c>
      <c r="BY125" s="72">
        <v>0.80249999999999999</v>
      </c>
      <c r="BZ125" s="72">
        <v>0.80249999999999999</v>
      </c>
      <c r="CA125" s="72">
        <v>1.0032000000000001</v>
      </c>
      <c r="CB125" s="72">
        <v>1.0032000000000001</v>
      </c>
      <c r="CC125" s="72">
        <v>1.0032000000000001</v>
      </c>
      <c r="CD125" s="72">
        <v>1.0032000000000001</v>
      </c>
      <c r="CE125" s="72">
        <v>0.70489999999999997</v>
      </c>
      <c r="CF125" s="72">
        <v>0.70489999999999997</v>
      </c>
      <c r="CG125" s="72">
        <v>0.70489999999999997</v>
      </c>
      <c r="CH125" s="72">
        <v>0.70489999999999997</v>
      </c>
      <c r="CI125" s="72">
        <v>0.47</v>
      </c>
      <c r="CJ125" s="72">
        <v>0.47</v>
      </c>
      <c r="CK125" s="72">
        <v>0.56000000000000005</v>
      </c>
      <c r="CL125" s="72">
        <v>0.56000000000000005</v>
      </c>
      <c r="CM125" s="72">
        <v>1.1563000000000001</v>
      </c>
      <c r="CN125" s="72">
        <v>0.92500000000000004</v>
      </c>
      <c r="CO125" s="72">
        <v>0.8125</v>
      </c>
      <c r="CP125" s="72">
        <v>0.54169999999999996</v>
      </c>
      <c r="CQ125" s="72">
        <v>1.1563000000000001</v>
      </c>
      <c r="CR125" s="72">
        <v>0.92500000000000004</v>
      </c>
      <c r="CS125" s="72">
        <v>0.8125</v>
      </c>
      <c r="CT125" s="72">
        <v>0.54169999999999996</v>
      </c>
      <c r="CU125" s="72">
        <v>1.1563000000000001</v>
      </c>
      <c r="CV125" s="72">
        <v>0.92500000000000004</v>
      </c>
      <c r="CW125" s="72">
        <v>0.8125</v>
      </c>
      <c r="CX125" s="72">
        <v>0.54169999999999996</v>
      </c>
      <c r="CY125" s="72">
        <v>1.1563000000000001</v>
      </c>
      <c r="CZ125" s="72">
        <v>1.35</v>
      </c>
      <c r="DA125" s="72">
        <v>0.8125</v>
      </c>
      <c r="DB125" s="72">
        <v>0.54169999999999996</v>
      </c>
      <c r="DC125" s="72">
        <v>0.29170000000000001</v>
      </c>
      <c r="DD125" s="72">
        <v>0.21879999999999999</v>
      </c>
      <c r="DE125" s="10"/>
      <c r="DF125" s="72">
        <v>0.16070000000000001</v>
      </c>
      <c r="DG125" s="72">
        <v>0.29170000000000001</v>
      </c>
      <c r="DH125" s="72">
        <v>0.21879999999999999</v>
      </c>
      <c r="DI125" s="10"/>
      <c r="DJ125" s="72">
        <v>0.16070000000000001</v>
      </c>
      <c r="DK125" s="72">
        <v>1.3125</v>
      </c>
      <c r="DL125" s="72">
        <v>1.04375</v>
      </c>
      <c r="DM125" s="72">
        <v>1.3958333333333333</v>
      </c>
      <c r="DN125" s="72">
        <v>1.1963999999999999</v>
      </c>
      <c r="DO125" s="448">
        <f t="shared" si="80"/>
        <v>0.51500000000000001</v>
      </c>
    </row>
    <row r="126" spans="1:119" s="97" customFormat="1">
      <c r="A126" s="93" t="s">
        <v>11</v>
      </c>
      <c r="B126" s="93" t="s">
        <v>170</v>
      </c>
      <c r="C126" s="94">
        <v>3.18</v>
      </c>
      <c r="D126" s="94">
        <v>4.3</v>
      </c>
      <c r="E126" s="95"/>
      <c r="F126" s="94">
        <v>3.57</v>
      </c>
      <c r="G126" s="94">
        <v>3.57</v>
      </c>
      <c r="H126" s="95"/>
      <c r="I126" s="94">
        <v>3.18</v>
      </c>
      <c r="J126" s="95"/>
      <c r="K126" s="94">
        <v>4.3</v>
      </c>
      <c r="L126" s="94">
        <v>3.57</v>
      </c>
      <c r="M126" s="94">
        <v>4.05</v>
      </c>
      <c r="N126" s="94">
        <v>4.05</v>
      </c>
      <c r="O126" s="94">
        <v>3.28</v>
      </c>
      <c r="P126" s="94">
        <v>3.28</v>
      </c>
      <c r="Q126" s="94">
        <v>3</v>
      </c>
      <c r="R126" s="94">
        <v>3</v>
      </c>
      <c r="S126" s="94">
        <v>4.05</v>
      </c>
      <c r="T126" s="94">
        <v>4.05</v>
      </c>
      <c r="U126" s="96"/>
      <c r="V126" s="96"/>
      <c r="W126" s="94">
        <v>3.57</v>
      </c>
      <c r="X126" s="94">
        <v>3.28</v>
      </c>
      <c r="Y126" s="94">
        <v>3</v>
      </c>
      <c r="Z126" s="94">
        <v>3.57</v>
      </c>
      <c r="AA126" s="94">
        <v>3</v>
      </c>
      <c r="AB126" s="94">
        <v>3.28</v>
      </c>
      <c r="AC126" s="94">
        <v>4.97</v>
      </c>
      <c r="AD126" s="94">
        <v>5.67</v>
      </c>
      <c r="AE126" s="96"/>
      <c r="AF126" s="96"/>
      <c r="AG126" s="96"/>
      <c r="AH126" s="96"/>
      <c r="AI126" s="96"/>
      <c r="AJ126" s="95"/>
      <c r="AK126" s="95"/>
      <c r="AL126" s="95"/>
      <c r="AM126" s="95"/>
      <c r="AN126" s="95"/>
      <c r="AO126" s="94">
        <v>5.67</v>
      </c>
      <c r="AP126" s="94">
        <v>3.69</v>
      </c>
      <c r="AQ126" s="94">
        <v>4.49</v>
      </c>
      <c r="AR126" s="94">
        <v>4.97</v>
      </c>
      <c r="AS126" s="94">
        <v>3.69</v>
      </c>
      <c r="AT126" s="94">
        <v>4.49</v>
      </c>
      <c r="AU126" s="94">
        <v>4.97</v>
      </c>
      <c r="AV126" s="94">
        <v>5.67</v>
      </c>
      <c r="AW126" s="94">
        <v>5.67</v>
      </c>
      <c r="AX126" s="94">
        <v>3.69</v>
      </c>
      <c r="AY126" s="94">
        <v>4.49</v>
      </c>
      <c r="AZ126" s="94">
        <v>4.97</v>
      </c>
      <c r="BA126" s="94">
        <v>3.69</v>
      </c>
      <c r="BB126" s="94">
        <v>4.49</v>
      </c>
      <c r="BC126" s="94">
        <v>5.19</v>
      </c>
      <c r="BD126" s="94">
        <v>5.89</v>
      </c>
      <c r="BE126" s="94">
        <v>4.78</v>
      </c>
      <c r="BF126" s="94">
        <v>4.3600000000000003</v>
      </c>
      <c r="BG126" s="94">
        <v>5.89</v>
      </c>
      <c r="BH126" s="94">
        <v>5.19</v>
      </c>
      <c r="BI126" s="94">
        <v>4.3600000000000003</v>
      </c>
      <c r="BJ126" s="100">
        <v>4.78</v>
      </c>
      <c r="BK126" s="94">
        <v>5.19</v>
      </c>
      <c r="BL126" s="94">
        <v>5.89</v>
      </c>
      <c r="BM126" s="94">
        <v>4.78</v>
      </c>
      <c r="BN126" s="94">
        <v>4.3600000000000003</v>
      </c>
      <c r="BO126" s="94">
        <v>5.89</v>
      </c>
      <c r="BP126" s="94">
        <v>5.19</v>
      </c>
      <c r="BQ126" s="94">
        <v>4.78</v>
      </c>
      <c r="BR126" s="94">
        <v>4.3600000000000003</v>
      </c>
      <c r="BS126" s="94">
        <v>4.9000000000000004</v>
      </c>
      <c r="BT126" s="94">
        <v>4.9000000000000004</v>
      </c>
      <c r="BU126" s="94">
        <v>4.9000000000000004</v>
      </c>
      <c r="BV126" s="94">
        <v>4.9000000000000004</v>
      </c>
      <c r="BW126" s="94">
        <v>6.2</v>
      </c>
      <c r="BX126" s="94">
        <v>6.2</v>
      </c>
      <c r="BY126" s="94">
        <v>6.21</v>
      </c>
      <c r="BZ126" s="94">
        <v>6.2</v>
      </c>
      <c r="CA126" s="94">
        <v>6.97</v>
      </c>
      <c r="CB126" s="94">
        <v>6.97</v>
      </c>
      <c r="CC126" s="94">
        <v>6.2</v>
      </c>
      <c r="CD126" s="94">
        <v>6.97</v>
      </c>
      <c r="CE126" s="94">
        <v>5.69</v>
      </c>
      <c r="CF126" s="94">
        <v>5.69</v>
      </c>
      <c r="CG126" s="94">
        <v>5.69</v>
      </c>
      <c r="CH126" s="94">
        <v>5.69</v>
      </c>
      <c r="CI126" s="94">
        <v>5.4</v>
      </c>
      <c r="CJ126" s="94">
        <v>5.4</v>
      </c>
      <c r="CK126" s="94">
        <v>7.31</v>
      </c>
      <c r="CL126" s="94">
        <v>7.31</v>
      </c>
      <c r="CM126" s="94">
        <v>11.5</v>
      </c>
      <c r="CN126" s="94">
        <v>10.45</v>
      </c>
      <c r="CO126" s="94">
        <v>9.2899999999999991</v>
      </c>
      <c r="CP126" s="94">
        <v>6.66</v>
      </c>
      <c r="CQ126" s="94">
        <v>11.5</v>
      </c>
      <c r="CR126" s="94">
        <v>10.45</v>
      </c>
      <c r="CS126" s="94">
        <v>9.2899999999999991</v>
      </c>
      <c r="CT126" s="94">
        <v>6.66</v>
      </c>
      <c r="CU126" s="94">
        <v>11.5</v>
      </c>
      <c r="CV126" s="94">
        <v>10.45</v>
      </c>
      <c r="CW126" s="94">
        <v>9.2899999999999991</v>
      </c>
      <c r="CX126" s="94">
        <v>6.66</v>
      </c>
      <c r="CY126" s="94">
        <v>11.5</v>
      </c>
      <c r="CZ126" s="94">
        <v>10.45</v>
      </c>
      <c r="DA126" s="94">
        <v>9.2899999999999991</v>
      </c>
      <c r="DB126" s="94">
        <v>6.66</v>
      </c>
      <c r="DC126" s="94">
        <v>10.01</v>
      </c>
      <c r="DD126" s="94">
        <v>8.9499999999999993</v>
      </c>
      <c r="DE126" s="95"/>
      <c r="DF126" s="94">
        <v>5.95</v>
      </c>
      <c r="DG126" s="94">
        <v>10.01</v>
      </c>
      <c r="DH126" s="94">
        <v>8.9499999999999993</v>
      </c>
      <c r="DI126" s="95"/>
      <c r="DJ126" s="94">
        <v>5.95</v>
      </c>
      <c r="DK126" s="72">
        <v>5.92</v>
      </c>
      <c r="DL126" s="72">
        <v>15</v>
      </c>
      <c r="DM126" s="72">
        <v>20</v>
      </c>
      <c r="DN126" s="72">
        <v>17.142857142857142</v>
      </c>
      <c r="DO126" s="448">
        <f t="shared" si="80"/>
        <v>6.3549999999999995</v>
      </c>
    </row>
    <row r="127" spans="1:119">
      <c r="A127" s="24" t="s">
        <v>14</v>
      </c>
      <c r="B127" s="24" t="s">
        <v>15</v>
      </c>
      <c r="C127" s="72">
        <v>0</v>
      </c>
      <c r="D127" s="72">
        <v>0</v>
      </c>
      <c r="E127" s="10"/>
      <c r="F127" s="72">
        <v>0</v>
      </c>
      <c r="G127" s="72">
        <v>0</v>
      </c>
      <c r="H127" s="10"/>
      <c r="I127" s="72">
        <v>0</v>
      </c>
      <c r="J127" s="10"/>
      <c r="K127" s="72">
        <v>0</v>
      </c>
      <c r="L127" s="72">
        <v>0</v>
      </c>
      <c r="M127" s="72">
        <v>0</v>
      </c>
      <c r="N127" s="72">
        <v>0</v>
      </c>
      <c r="O127" s="72">
        <v>0</v>
      </c>
      <c r="P127" s="72">
        <v>0</v>
      </c>
      <c r="Q127" s="72">
        <v>0</v>
      </c>
      <c r="R127" s="72">
        <v>0</v>
      </c>
      <c r="S127" s="72">
        <v>0</v>
      </c>
      <c r="T127" s="72">
        <v>0</v>
      </c>
      <c r="U127" s="48"/>
      <c r="V127" s="48"/>
      <c r="W127" s="72">
        <v>0</v>
      </c>
      <c r="X127" s="72">
        <v>0</v>
      </c>
      <c r="Y127" s="72">
        <v>0</v>
      </c>
      <c r="Z127" s="72">
        <v>0</v>
      </c>
      <c r="AA127" s="72">
        <v>0</v>
      </c>
      <c r="AB127" s="72">
        <v>0</v>
      </c>
      <c r="AC127" s="72">
        <v>0</v>
      </c>
      <c r="AD127" s="72">
        <v>0</v>
      </c>
      <c r="AE127" s="48"/>
      <c r="AF127" s="48"/>
      <c r="AG127" s="48"/>
      <c r="AH127" s="48"/>
      <c r="AI127" s="48"/>
      <c r="AJ127" s="10"/>
      <c r="AK127" s="10"/>
      <c r="AL127" s="10"/>
      <c r="AM127" s="10"/>
      <c r="AN127" s="10"/>
      <c r="AO127" s="72">
        <v>0</v>
      </c>
      <c r="AP127" s="72">
        <v>0</v>
      </c>
      <c r="AQ127" s="72">
        <v>0</v>
      </c>
      <c r="AR127" s="72">
        <v>0</v>
      </c>
      <c r="AS127" s="72">
        <v>0</v>
      </c>
      <c r="AT127" s="72">
        <v>0</v>
      </c>
      <c r="AU127" s="72">
        <v>0</v>
      </c>
      <c r="AV127" s="72">
        <v>0</v>
      </c>
      <c r="AW127" s="72">
        <v>0</v>
      </c>
      <c r="AX127" s="72">
        <v>0</v>
      </c>
      <c r="AY127" s="72">
        <v>0</v>
      </c>
      <c r="AZ127" s="72">
        <v>0</v>
      </c>
      <c r="BA127" s="72">
        <v>0</v>
      </c>
      <c r="BB127" s="72">
        <v>0</v>
      </c>
      <c r="BC127" s="72">
        <v>0.36</v>
      </c>
      <c r="BD127" s="72">
        <v>0.4</v>
      </c>
      <c r="BE127" s="72">
        <v>0.32</v>
      </c>
      <c r="BF127" s="72">
        <v>0.14000000000000001</v>
      </c>
      <c r="BG127" s="72">
        <v>0.4</v>
      </c>
      <c r="BH127" s="72">
        <v>0.36</v>
      </c>
      <c r="BI127" s="72">
        <v>0.14000000000000001</v>
      </c>
      <c r="BJ127" s="99">
        <v>0.32</v>
      </c>
      <c r="BK127" s="72">
        <v>0.36</v>
      </c>
      <c r="BL127" s="72">
        <v>0.4</v>
      </c>
      <c r="BM127" s="72">
        <v>0.32</v>
      </c>
      <c r="BN127" s="72">
        <v>0.14000000000000001</v>
      </c>
      <c r="BO127" s="72">
        <v>0.4</v>
      </c>
      <c r="BP127" s="72">
        <v>0.36</v>
      </c>
      <c r="BQ127" s="72">
        <v>0.32</v>
      </c>
      <c r="BR127" s="72">
        <v>0.14000000000000001</v>
      </c>
      <c r="BS127" s="72">
        <v>0.13</v>
      </c>
      <c r="BT127" s="72">
        <v>0.13</v>
      </c>
      <c r="BU127" s="72">
        <v>0.13</v>
      </c>
      <c r="BV127" s="72">
        <v>0.13</v>
      </c>
      <c r="BW127" s="72">
        <v>0.28999999999999998</v>
      </c>
      <c r="BX127" s="72">
        <v>0.28999999999999998</v>
      </c>
      <c r="BY127" s="72">
        <v>0.28999999999999998</v>
      </c>
      <c r="BZ127" s="72">
        <v>0.28999999999999998</v>
      </c>
      <c r="CA127" s="72">
        <v>0.3</v>
      </c>
      <c r="CB127" s="72">
        <v>0.3</v>
      </c>
      <c r="CC127" s="72">
        <v>0.28999999999999998</v>
      </c>
      <c r="CD127" s="72">
        <v>0.3</v>
      </c>
      <c r="CE127" s="72">
        <v>0.27</v>
      </c>
      <c r="CF127" s="72">
        <v>0.27</v>
      </c>
      <c r="CG127" s="72">
        <v>0.27</v>
      </c>
      <c r="CH127" s="72">
        <v>0.27</v>
      </c>
      <c r="CI127" s="72">
        <v>0</v>
      </c>
      <c r="CJ127" s="72">
        <v>0</v>
      </c>
      <c r="CK127" s="72">
        <v>0</v>
      </c>
      <c r="CL127" s="72">
        <v>0</v>
      </c>
      <c r="CM127" s="72">
        <v>0</v>
      </c>
      <c r="CN127" s="72">
        <v>0</v>
      </c>
      <c r="CO127" s="72">
        <v>0</v>
      </c>
      <c r="CP127" s="72">
        <v>0</v>
      </c>
      <c r="CQ127" s="72">
        <v>0</v>
      </c>
      <c r="CR127" s="72">
        <v>0</v>
      </c>
      <c r="CS127" s="72">
        <v>0</v>
      </c>
      <c r="CT127" s="72">
        <v>0</v>
      </c>
      <c r="CU127" s="72">
        <v>0</v>
      </c>
      <c r="CV127" s="72">
        <v>0</v>
      </c>
      <c r="CW127" s="72">
        <v>0</v>
      </c>
      <c r="CX127" s="72">
        <v>0</v>
      </c>
      <c r="CY127" s="72">
        <v>0</v>
      </c>
      <c r="CZ127" s="72">
        <v>0</v>
      </c>
      <c r="DA127" s="72">
        <v>0</v>
      </c>
      <c r="DB127" s="72">
        <v>0</v>
      </c>
      <c r="DC127" s="72">
        <v>0</v>
      </c>
      <c r="DD127" s="72">
        <v>0</v>
      </c>
      <c r="DE127" s="10"/>
      <c r="DF127" s="72">
        <v>0</v>
      </c>
      <c r="DG127" s="72">
        <v>0</v>
      </c>
      <c r="DH127" s="72">
        <v>0</v>
      </c>
      <c r="DI127" s="10"/>
      <c r="DJ127" s="72">
        <v>0</v>
      </c>
      <c r="DK127" s="72">
        <v>0</v>
      </c>
      <c r="DL127" s="72">
        <v>0</v>
      </c>
      <c r="DM127" s="72">
        <v>0</v>
      </c>
      <c r="DN127" s="72">
        <v>0</v>
      </c>
      <c r="DO127" s="448">
        <f t="shared" si="80"/>
        <v>0</v>
      </c>
    </row>
    <row r="128" spans="1:119">
      <c r="A128" s="24" t="s">
        <v>171</v>
      </c>
      <c r="B128" s="24" t="s">
        <v>172</v>
      </c>
      <c r="C128" s="72">
        <v>0.28999999999999998</v>
      </c>
      <c r="D128" s="72">
        <v>0.24</v>
      </c>
      <c r="E128" s="10"/>
      <c r="F128" s="72">
        <v>0.17</v>
      </c>
      <c r="G128" s="72">
        <v>0.17</v>
      </c>
      <c r="H128" s="10"/>
      <c r="I128" s="72">
        <v>0.28999999999999998</v>
      </c>
      <c r="J128" s="10"/>
      <c r="K128" s="72">
        <v>0.24</v>
      </c>
      <c r="L128" s="72">
        <v>0.17</v>
      </c>
      <c r="M128" s="72">
        <v>0.22</v>
      </c>
      <c r="N128" s="72">
        <v>0.22</v>
      </c>
      <c r="O128" s="72">
        <v>0.13</v>
      </c>
      <c r="P128" s="72">
        <v>0.13</v>
      </c>
      <c r="Q128" s="72">
        <v>7.0000000000000007E-2</v>
      </c>
      <c r="R128" s="72">
        <v>7.0000000000000007E-2</v>
      </c>
      <c r="S128" s="72">
        <v>0.22</v>
      </c>
      <c r="T128" s="72">
        <v>0.22</v>
      </c>
      <c r="U128" s="48"/>
      <c r="V128" s="48"/>
      <c r="W128" s="72">
        <v>0.17</v>
      </c>
      <c r="X128" s="72">
        <v>0.13</v>
      </c>
      <c r="Y128" s="72">
        <v>7.0000000000000007E-2</v>
      </c>
      <c r="Z128" s="72">
        <v>0.17</v>
      </c>
      <c r="AA128" s="72">
        <v>7.0000000000000007E-2</v>
      </c>
      <c r="AB128" s="72">
        <v>0.13</v>
      </c>
      <c r="AC128" s="72">
        <v>0.38</v>
      </c>
      <c r="AD128" s="72">
        <v>0.47</v>
      </c>
      <c r="AE128" s="48"/>
      <c r="AF128" s="48"/>
      <c r="AG128" s="48"/>
      <c r="AH128" s="48"/>
      <c r="AI128" s="48"/>
      <c r="AJ128" s="10"/>
      <c r="AK128" s="10"/>
      <c r="AL128" s="10"/>
      <c r="AM128" s="10"/>
      <c r="AN128" s="10"/>
      <c r="AO128" s="72">
        <v>0.47</v>
      </c>
      <c r="AP128" s="72">
        <v>0.17</v>
      </c>
      <c r="AQ128" s="72">
        <v>0.31</v>
      </c>
      <c r="AR128" s="72">
        <v>0.38</v>
      </c>
      <c r="AS128" s="72">
        <v>0.17</v>
      </c>
      <c r="AT128" s="72">
        <v>0.31</v>
      </c>
      <c r="AU128" s="72">
        <v>0.38</v>
      </c>
      <c r="AV128" s="72">
        <v>0.47</v>
      </c>
      <c r="AW128" s="72">
        <v>0.47</v>
      </c>
      <c r="AX128" s="72">
        <v>0.17</v>
      </c>
      <c r="AY128" s="72">
        <v>0.31</v>
      </c>
      <c r="AZ128" s="72">
        <v>0.38</v>
      </c>
      <c r="BA128" s="72">
        <v>0.17</v>
      </c>
      <c r="BB128" s="72">
        <v>0.31</v>
      </c>
      <c r="BC128" s="72">
        <v>0.2</v>
      </c>
      <c r="BD128" s="72">
        <v>0.27</v>
      </c>
      <c r="BE128" s="72">
        <v>0.16</v>
      </c>
      <c r="BF128" s="72">
        <v>0.08</v>
      </c>
      <c r="BG128" s="72">
        <v>0.27</v>
      </c>
      <c r="BH128" s="72">
        <v>0.2</v>
      </c>
      <c r="BI128" s="72">
        <v>0.08</v>
      </c>
      <c r="BJ128" s="99">
        <v>0.16</v>
      </c>
      <c r="BK128" s="72">
        <v>0.2</v>
      </c>
      <c r="BL128" s="72">
        <v>0.27</v>
      </c>
      <c r="BM128" s="72">
        <v>0.16</v>
      </c>
      <c r="BN128" s="72">
        <v>0.08</v>
      </c>
      <c r="BO128" s="72">
        <v>0.27</v>
      </c>
      <c r="BP128" s="72">
        <v>0.2</v>
      </c>
      <c r="BQ128" s="72">
        <v>0.16</v>
      </c>
      <c r="BR128" s="72">
        <v>0.08</v>
      </c>
      <c r="BS128" s="72">
        <v>0.18</v>
      </c>
      <c r="BT128" s="72">
        <v>0.18</v>
      </c>
      <c r="BU128" s="72">
        <v>0.18</v>
      </c>
      <c r="BV128" s="72">
        <v>0.18</v>
      </c>
      <c r="BW128" s="72">
        <v>0.39</v>
      </c>
      <c r="BX128" s="72">
        <v>0.39</v>
      </c>
      <c r="BY128" s="72">
        <v>0.4</v>
      </c>
      <c r="BZ128" s="72">
        <v>0.39</v>
      </c>
      <c r="CA128" s="72">
        <v>0.5</v>
      </c>
      <c r="CB128" s="72">
        <v>0.5</v>
      </c>
      <c r="CC128" s="72">
        <v>0.39</v>
      </c>
      <c r="CD128" s="72">
        <v>0.5</v>
      </c>
      <c r="CE128" s="72">
        <v>0.33</v>
      </c>
      <c r="CF128" s="72">
        <v>0.33</v>
      </c>
      <c r="CG128" s="72">
        <v>0.33</v>
      </c>
      <c r="CH128" s="72">
        <v>0.33</v>
      </c>
      <c r="CI128" s="72">
        <v>0.5</v>
      </c>
      <c r="CJ128" s="72">
        <v>0.5</v>
      </c>
      <c r="CK128" s="72">
        <v>0.41</v>
      </c>
      <c r="CL128" s="72">
        <v>0.41</v>
      </c>
      <c r="CM128" s="72">
        <v>0.34</v>
      </c>
      <c r="CN128" s="72">
        <v>0.28000000000000003</v>
      </c>
      <c r="CO128" s="72">
        <v>0.23</v>
      </c>
      <c r="CP128" s="72">
        <v>0.13</v>
      </c>
      <c r="CQ128" s="72">
        <v>0.34</v>
      </c>
      <c r="CR128" s="72">
        <v>0.28000000000000003</v>
      </c>
      <c r="CS128" s="72">
        <v>0.23</v>
      </c>
      <c r="CT128" s="72">
        <v>0.13</v>
      </c>
      <c r="CU128" s="72">
        <v>0.34</v>
      </c>
      <c r="CV128" s="72">
        <v>0.28000000000000003</v>
      </c>
      <c r="CW128" s="72">
        <v>0.23</v>
      </c>
      <c r="CX128" s="72">
        <v>0.13</v>
      </c>
      <c r="CY128" s="72">
        <v>0.34</v>
      </c>
      <c r="CZ128" s="72">
        <v>0.28000000000000003</v>
      </c>
      <c r="DA128" s="72">
        <v>0.23</v>
      </c>
      <c r="DB128" s="72">
        <v>0.13</v>
      </c>
      <c r="DC128" s="72">
        <v>0.04</v>
      </c>
      <c r="DD128" s="72">
        <v>0.03</v>
      </c>
      <c r="DE128" s="10"/>
      <c r="DF128" s="72">
        <v>0.02</v>
      </c>
      <c r="DG128" s="72">
        <v>0.04</v>
      </c>
      <c r="DH128" s="72">
        <v>0.03</v>
      </c>
      <c r="DI128" s="10"/>
      <c r="DJ128" s="72">
        <v>0.02</v>
      </c>
      <c r="DK128" s="72">
        <v>0.49</v>
      </c>
      <c r="DL128" s="72">
        <v>0.15</v>
      </c>
      <c r="DM128" s="72">
        <v>0.19999999999999998</v>
      </c>
      <c r="DN128" s="72">
        <v>0.17142857142857143</v>
      </c>
      <c r="DO128" s="448">
        <f t="shared" si="80"/>
        <v>0.45499999999999996</v>
      </c>
    </row>
    <row r="129" spans="1:119">
      <c r="A129" s="24" t="s">
        <v>173</v>
      </c>
      <c r="B129" s="24" t="s">
        <v>174</v>
      </c>
      <c r="C129" s="72">
        <v>0.08</v>
      </c>
      <c r="D129" s="72">
        <v>7.0000000000000007E-2</v>
      </c>
      <c r="E129" s="10"/>
      <c r="F129" s="72">
        <v>0.05</v>
      </c>
      <c r="G129" s="72">
        <v>0.05</v>
      </c>
      <c r="H129" s="10"/>
      <c r="I129" s="72">
        <v>0.08</v>
      </c>
      <c r="J129" s="10"/>
      <c r="K129" s="72">
        <v>7.0000000000000007E-2</v>
      </c>
      <c r="L129" s="72">
        <v>0.05</v>
      </c>
      <c r="M129" s="72">
        <v>7.0000000000000007E-2</v>
      </c>
      <c r="N129" s="72">
        <v>7.0000000000000007E-2</v>
      </c>
      <c r="O129" s="72">
        <v>0.04</v>
      </c>
      <c r="P129" s="72">
        <v>0.04</v>
      </c>
      <c r="Q129" s="72">
        <v>0.04</v>
      </c>
      <c r="R129" s="72">
        <v>0.04</v>
      </c>
      <c r="S129" s="72">
        <v>7.0000000000000007E-2</v>
      </c>
      <c r="T129" s="72">
        <v>7.0000000000000007E-2</v>
      </c>
      <c r="U129" s="10"/>
      <c r="V129" s="10"/>
      <c r="W129" s="72">
        <v>0.05</v>
      </c>
      <c r="X129" s="72">
        <v>0.04</v>
      </c>
      <c r="Y129" s="72">
        <v>0.04</v>
      </c>
      <c r="Z129" s="72">
        <v>0.05</v>
      </c>
      <c r="AA129" s="72">
        <v>0.04</v>
      </c>
      <c r="AB129" s="72">
        <v>0.04</v>
      </c>
      <c r="AC129" s="72">
        <v>0.06</v>
      </c>
      <c r="AD129" s="72">
        <v>0.08</v>
      </c>
      <c r="AE129" s="10"/>
      <c r="AF129" s="10"/>
      <c r="AG129" s="10"/>
      <c r="AH129" s="10"/>
      <c r="AI129" s="10"/>
      <c r="AJ129" s="10"/>
      <c r="AK129" s="10"/>
      <c r="AL129" s="10"/>
      <c r="AM129" s="10"/>
      <c r="AN129" s="10"/>
      <c r="AO129" s="72">
        <v>0.08</v>
      </c>
      <c r="AP129" s="72">
        <v>0.05</v>
      </c>
      <c r="AQ129" s="72">
        <v>0.05</v>
      </c>
      <c r="AR129" s="72">
        <v>0.06</v>
      </c>
      <c r="AS129" s="72">
        <v>0.05</v>
      </c>
      <c r="AT129" s="72">
        <v>0.05</v>
      </c>
      <c r="AU129" s="72">
        <v>0.06</v>
      </c>
      <c r="AV129" s="72">
        <v>0.08</v>
      </c>
      <c r="AW129" s="72">
        <v>0.08</v>
      </c>
      <c r="AX129" s="72">
        <v>0.05</v>
      </c>
      <c r="AY129" s="72">
        <v>0.05</v>
      </c>
      <c r="AZ129" s="72">
        <v>0.06</v>
      </c>
      <c r="BA129" s="72">
        <v>0.05</v>
      </c>
      <c r="BB129" s="72">
        <v>0.05</v>
      </c>
      <c r="BC129" s="72">
        <v>7.0000000000000007E-2</v>
      </c>
      <c r="BD129" s="72">
        <v>0.09</v>
      </c>
      <c r="BE129" s="72">
        <v>0.06</v>
      </c>
      <c r="BF129" s="72">
        <v>0.06</v>
      </c>
      <c r="BG129" s="72">
        <v>0.09</v>
      </c>
      <c r="BH129" s="72">
        <v>7.0000000000000007E-2</v>
      </c>
      <c r="BI129" s="72">
        <v>0.06</v>
      </c>
      <c r="BJ129" s="99">
        <v>0.06</v>
      </c>
      <c r="BK129" s="72">
        <v>7.0000000000000007E-2</v>
      </c>
      <c r="BL129" s="72">
        <v>0.09</v>
      </c>
      <c r="BM129" s="72">
        <v>0.06</v>
      </c>
      <c r="BN129" s="72">
        <v>0.06</v>
      </c>
      <c r="BO129" s="72">
        <v>0.09</v>
      </c>
      <c r="BP129" s="72">
        <v>7.0000000000000007E-2</v>
      </c>
      <c r="BQ129" s="72">
        <v>0.06</v>
      </c>
      <c r="BR129" s="72">
        <v>0.06</v>
      </c>
      <c r="BS129" s="72">
        <v>0.06</v>
      </c>
      <c r="BT129" s="72">
        <v>0.06</v>
      </c>
      <c r="BU129" s="72">
        <v>0.06</v>
      </c>
      <c r="BV129" s="72">
        <v>0.06</v>
      </c>
      <c r="BW129" s="72">
        <v>7.0000000000000007E-2</v>
      </c>
      <c r="BX129" s="72">
        <v>7.0000000000000007E-2</v>
      </c>
      <c r="BY129" s="72">
        <v>7.0000000000000007E-2</v>
      </c>
      <c r="BZ129" s="72">
        <v>7.0000000000000007E-2</v>
      </c>
      <c r="CA129" s="72">
        <v>0.09</v>
      </c>
      <c r="CB129" s="72">
        <v>0.09</v>
      </c>
      <c r="CC129" s="72">
        <v>7.0000000000000007E-2</v>
      </c>
      <c r="CD129" s="72">
        <v>0.09</v>
      </c>
      <c r="CE129" s="72">
        <v>7.0000000000000007E-2</v>
      </c>
      <c r="CF129" s="72">
        <v>7.0000000000000007E-2</v>
      </c>
      <c r="CG129" s="72">
        <v>7.0000000000000007E-2</v>
      </c>
      <c r="CH129" s="72">
        <v>7.0000000000000007E-2</v>
      </c>
      <c r="CI129" s="72">
        <v>0.13</v>
      </c>
      <c r="CJ129" s="72">
        <v>0.13</v>
      </c>
      <c r="CK129" s="72">
        <v>0.11</v>
      </c>
      <c r="CL129" s="72">
        <v>0.11</v>
      </c>
      <c r="CM129" s="72">
        <v>0.16</v>
      </c>
      <c r="CN129" s="72">
        <v>0.14000000000000001</v>
      </c>
      <c r="CO129" s="72">
        <v>0.13</v>
      </c>
      <c r="CP129" s="72">
        <v>0.09</v>
      </c>
      <c r="CQ129" s="72">
        <v>0.16</v>
      </c>
      <c r="CR129" s="72">
        <v>0.14000000000000001</v>
      </c>
      <c r="CS129" s="72">
        <v>0.13</v>
      </c>
      <c r="CT129" s="72">
        <v>0.09</v>
      </c>
      <c r="CU129" s="72">
        <v>0.16</v>
      </c>
      <c r="CV129" s="72">
        <v>0.14000000000000001</v>
      </c>
      <c r="CW129" s="72">
        <v>0.13</v>
      </c>
      <c r="CX129" s="72">
        <v>0.09</v>
      </c>
      <c r="CY129" s="72">
        <v>0.16</v>
      </c>
      <c r="CZ129" s="72">
        <v>0.14000000000000001</v>
      </c>
      <c r="DA129" s="72">
        <v>0.13</v>
      </c>
      <c r="DB129" s="72">
        <v>0.09</v>
      </c>
      <c r="DC129" s="72">
        <v>0.17</v>
      </c>
      <c r="DD129" s="72">
        <v>0.14000000000000001</v>
      </c>
      <c r="DE129" s="10"/>
      <c r="DF129" s="72">
        <v>0.09</v>
      </c>
      <c r="DG129" s="72">
        <v>0.17</v>
      </c>
      <c r="DH129" s="72">
        <v>0.14000000000000001</v>
      </c>
      <c r="DI129" s="10"/>
      <c r="DJ129" s="72">
        <v>0.09</v>
      </c>
      <c r="DK129" s="72">
        <v>0.08</v>
      </c>
      <c r="DL129" s="72">
        <v>9.2499999999999999E-2</v>
      </c>
      <c r="DM129" s="72">
        <v>0.12333333333333334</v>
      </c>
      <c r="DN129" s="72">
        <v>0.1057</v>
      </c>
      <c r="DO129" s="448">
        <f t="shared" si="80"/>
        <v>0.12</v>
      </c>
    </row>
    <row r="130" spans="1:119">
      <c r="A130" s="24" t="s">
        <v>31</v>
      </c>
      <c r="B130" s="24" t="s">
        <v>32</v>
      </c>
      <c r="C130" s="72">
        <v>0.17</v>
      </c>
      <c r="D130" s="72">
        <v>0.11</v>
      </c>
      <c r="E130" s="10"/>
      <c r="F130" s="72">
        <v>0.13</v>
      </c>
      <c r="G130" s="72">
        <v>0.13</v>
      </c>
      <c r="H130" s="10"/>
      <c r="I130" s="72">
        <v>0.17</v>
      </c>
      <c r="J130" s="10"/>
      <c r="K130" s="72">
        <v>0.11</v>
      </c>
      <c r="L130" s="72">
        <v>0.13</v>
      </c>
      <c r="M130" s="72">
        <v>0.13</v>
      </c>
      <c r="N130" s="72">
        <v>0.13</v>
      </c>
      <c r="O130" s="72">
        <v>0.13</v>
      </c>
      <c r="P130" s="72">
        <v>0.13</v>
      </c>
      <c r="Q130" s="72">
        <v>0.13</v>
      </c>
      <c r="R130" s="72">
        <v>0.13</v>
      </c>
      <c r="S130" s="72">
        <v>0.13</v>
      </c>
      <c r="T130" s="72">
        <v>0.13</v>
      </c>
      <c r="U130" s="10"/>
      <c r="V130" s="10"/>
      <c r="W130" s="72">
        <v>0.13</v>
      </c>
      <c r="X130" s="72">
        <v>0.13</v>
      </c>
      <c r="Y130" s="72">
        <v>0.13</v>
      </c>
      <c r="Z130" s="72">
        <v>0.13</v>
      </c>
      <c r="AA130" s="72">
        <v>0.13</v>
      </c>
      <c r="AB130" s="72">
        <v>0.13</v>
      </c>
      <c r="AC130" s="72">
        <v>0.09</v>
      </c>
      <c r="AD130" s="72">
        <v>0.09</v>
      </c>
      <c r="AE130" s="10"/>
      <c r="AF130" s="10"/>
      <c r="AG130" s="10"/>
      <c r="AH130" s="10"/>
      <c r="AI130" s="10"/>
      <c r="AJ130" s="10"/>
      <c r="AK130" s="10"/>
      <c r="AL130" s="10"/>
      <c r="AM130" s="10"/>
      <c r="AN130" s="10"/>
      <c r="AO130" s="72">
        <v>0.09</v>
      </c>
      <c r="AP130" s="72">
        <v>0.1</v>
      </c>
      <c r="AQ130" s="72">
        <v>0.09</v>
      </c>
      <c r="AR130" s="72">
        <v>0.09</v>
      </c>
      <c r="AS130" s="72">
        <v>0.1</v>
      </c>
      <c r="AT130" s="72">
        <v>0.09</v>
      </c>
      <c r="AU130" s="72">
        <v>0.09</v>
      </c>
      <c r="AV130" s="72">
        <v>0.09</v>
      </c>
      <c r="AW130" s="72">
        <v>0.09</v>
      </c>
      <c r="AX130" s="72">
        <v>0.1</v>
      </c>
      <c r="AY130" s="72">
        <v>0.09</v>
      </c>
      <c r="AZ130" s="72">
        <v>0.09</v>
      </c>
      <c r="BA130" s="72">
        <v>0.1</v>
      </c>
      <c r="BB130" s="72">
        <v>0.09</v>
      </c>
      <c r="BC130" s="72">
        <v>0.01</v>
      </c>
      <c r="BD130" s="72">
        <v>0.01</v>
      </c>
      <c r="BE130" s="72">
        <v>0.01</v>
      </c>
      <c r="BF130" s="72">
        <v>0.01</v>
      </c>
      <c r="BG130" s="72">
        <v>0.01</v>
      </c>
      <c r="BH130" s="72">
        <v>0.01</v>
      </c>
      <c r="BI130" s="72">
        <v>0.01</v>
      </c>
      <c r="BJ130" s="99">
        <v>0.01</v>
      </c>
      <c r="BK130" s="72">
        <v>0.01</v>
      </c>
      <c r="BL130" s="72">
        <v>0.01</v>
      </c>
      <c r="BM130" s="72">
        <v>0.01</v>
      </c>
      <c r="BN130" s="72">
        <v>0.01</v>
      </c>
      <c r="BO130" s="72">
        <v>0.01</v>
      </c>
      <c r="BP130" s="72">
        <v>0.01</v>
      </c>
      <c r="BQ130" s="72">
        <v>0.01</v>
      </c>
      <c r="BR130" s="72">
        <v>0.01</v>
      </c>
      <c r="BS130" s="72">
        <v>0.01</v>
      </c>
      <c r="BT130" s="72">
        <v>0.01</v>
      </c>
      <c r="BU130" s="72">
        <v>0.01</v>
      </c>
      <c r="BV130" s="72">
        <v>0.01</v>
      </c>
      <c r="BW130" s="72">
        <v>0.01</v>
      </c>
      <c r="BX130" s="72">
        <v>0.01</v>
      </c>
      <c r="BY130" s="72">
        <v>0.01</v>
      </c>
      <c r="BZ130" s="72">
        <v>0.01</v>
      </c>
      <c r="CA130" s="72">
        <v>0.01</v>
      </c>
      <c r="CB130" s="72">
        <v>0.01</v>
      </c>
      <c r="CC130" s="72">
        <v>0.01</v>
      </c>
      <c r="CD130" s="72">
        <v>0.01</v>
      </c>
      <c r="CE130" s="72">
        <v>0.01</v>
      </c>
      <c r="CF130" s="72">
        <v>0.01</v>
      </c>
      <c r="CG130" s="72">
        <v>0.01</v>
      </c>
      <c r="CH130" s="72">
        <v>0.01</v>
      </c>
      <c r="CI130" s="72">
        <v>0.28000000000000003</v>
      </c>
      <c r="CJ130" s="72">
        <v>0.28000000000000003</v>
      </c>
      <c r="CK130" s="72">
        <v>0.19</v>
      </c>
      <c r="CL130" s="72">
        <v>0.19</v>
      </c>
      <c r="CM130" s="72">
        <v>0.02</v>
      </c>
      <c r="CN130" s="72">
        <v>0.02</v>
      </c>
      <c r="CO130" s="72">
        <v>0.01</v>
      </c>
      <c r="CP130" s="72">
        <v>0.01</v>
      </c>
      <c r="CQ130" s="72">
        <v>0.02</v>
      </c>
      <c r="CR130" s="72">
        <v>0.02</v>
      </c>
      <c r="CS130" s="72">
        <v>0.01</v>
      </c>
      <c r="CT130" s="72">
        <v>0.01</v>
      </c>
      <c r="CU130" s="72">
        <v>0.02</v>
      </c>
      <c r="CV130" s="72">
        <v>0.02</v>
      </c>
      <c r="CW130" s="72">
        <v>0.01</v>
      </c>
      <c r="CX130" s="72">
        <v>0.01</v>
      </c>
      <c r="CY130" s="72">
        <v>0.02</v>
      </c>
      <c r="CZ130" s="72">
        <v>0.02</v>
      </c>
      <c r="DA130" s="72">
        <v>0.01</v>
      </c>
      <c r="DB130" s="72">
        <v>0.01</v>
      </c>
      <c r="DC130" s="72">
        <v>0.02</v>
      </c>
      <c r="DD130" s="72">
        <v>0.01</v>
      </c>
      <c r="DE130" s="10"/>
      <c r="DF130" s="72">
        <v>0</v>
      </c>
      <c r="DG130" s="72">
        <v>0.02</v>
      </c>
      <c r="DH130" s="72">
        <v>0.01</v>
      </c>
      <c r="DI130" s="10"/>
      <c r="DJ130" s="72">
        <v>0</v>
      </c>
      <c r="DK130" s="72">
        <v>7.0000000000000007E-2</v>
      </c>
      <c r="DL130" s="72">
        <v>2.5000000000000001E-2</v>
      </c>
      <c r="DM130" s="72">
        <v>3.3333333333333333E-2</v>
      </c>
      <c r="DN130" s="72">
        <v>2.86E-2</v>
      </c>
      <c r="DO130" s="448">
        <f t="shared" si="80"/>
        <v>0.23499999999999999</v>
      </c>
    </row>
    <row r="131" spans="1:119" s="22" customFormat="1">
      <c r="A131" s="596" t="s">
        <v>175</v>
      </c>
      <c r="B131" s="596" t="s">
        <v>176</v>
      </c>
      <c r="C131" s="597">
        <v>0.04</v>
      </c>
      <c r="D131" s="597">
        <v>0.03</v>
      </c>
      <c r="E131" s="12"/>
      <c r="F131" s="597">
        <v>0.02</v>
      </c>
      <c r="G131" s="597">
        <v>0.02</v>
      </c>
      <c r="H131" s="12"/>
      <c r="I131" s="597">
        <v>0.04</v>
      </c>
      <c r="J131" s="12"/>
      <c r="K131" s="597">
        <v>0.03</v>
      </c>
      <c r="L131" s="597">
        <v>0.02</v>
      </c>
      <c r="M131" s="597">
        <v>0.03</v>
      </c>
      <c r="N131" s="597">
        <v>0.03</v>
      </c>
      <c r="O131" s="597">
        <v>0.02</v>
      </c>
      <c r="P131" s="597">
        <v>0.02</v>
      </c>
      <c r="Q131" s="597">
        <v>0.02</v>
      </c>
      <c r="R131" s="597">
        <v>0.02</v>
      </c>
      <c r="S131" s="597">
        <v>0.03</v>
      </c>
      <c r="T131" s="597">
        <v>0.03</v>
      </c>
      <c r="U131" s="12"/>
      <c r="V131" s="12"/>
      <c r="W131" s="597">
        <v>0.02</v>
      </c>
      <c r="X131" s="597">
        <v>0.02</v>
      </c>
      <c r="Y131" s="597">
        <v>0.02</v>
      </c>
      <c r="Z131" s="597">
        <v>0.02</v>
      </c>
      <c r="AA131" s="597">
        <v>0.02</v>
      </c>
      <c r="AB131" s="597">
        <v>0.02</v>
      </c>
      <c r="AC131" s="597">
        <v>0.05</v>
      </c>
      <c r="AD131" s="597">
        <v>0.06</v>
      </c>
      <c r="AE131" s="12"/>
      <c r="AF131" s="12"/>
      <c r="AG131" s="12"/>
      <c r="AH131" s="12"/>
      <c r="AI131" s="12"/>
      <c r="AJ131" s="12"/>
      <c r="AK131" s="12"/>
      <c r="AL131" s="12"/>
      <c r="AM131" s="12"/>
      <c r="AN131" s="12"/>
      <c r="AO131" s="597">
        <v>0.06</v>
      </c>
      <c r="AP131" s="597">
        <v>0.03</v>
      </c>
      <c r="AQ131" s="597">
        <v>0.04</v>
      </c>
      <c r="AR131" s="597">
        <v>0.05</v>
      </c>
      <c r="AS131" s="597">
        <v>0.03</v>
      </c>
      <c r="AT131" s="597">
        <v>0.04</v>
      </c>
      <c r="AU131" s="597">
        <v>0.05</v>
      </c>
      <c r="AV131" s="597">
        <v>0.06</v>
      </c>
      <c r="AW131" s="597">
        <v>0.06</v>
      </c>
      <c r="AX131" s="597">
        <v>0.03</v>
      </c>
      <c r="AY131" s="597">
        <v>0.04</v>
      </c>
      <c r="AZ131" s="597">
        <v>0.05</v>
      </c>
      <c r="BA131" s="597">
        <v>0.03</v>
      </c>
      <c r="BB131" s="597">
        <v>0.04</v>
      </c>
      <c r="BC131" s="597">
        <v>0.02</v>
      </c>
      <c r="BD131" s="597">
        <v>0.03</v>
      </c>
      <c r="BE131" s="597">
        <v>0.02</v>
      </c>
      <c r="BF131" s="597">
        <v>0.02</v>
      </c>
      <c r="BG131" s="597">
        <v>0.03</v>
      </c>
      <c r="BH131" s="597">
        <v>0.02</v>
      </c>
      <c r="BI131" s="597">
        <v>0.02</v>
      </c>
      <c r="BJ131" s="597">
        <v>0.02</v>
      </c>
      <c r="BK131" s="597">
        <v>0.02</v>
      </c>
      <c r="BL131" s="597">
        <v>0.03</v>
      </c>
      <c r="BM131" s="597">
        <v>0.02</v>
      </c>
      <c r="BN131" s="597">
        <v>0.02</v>
      </c>
      <c r="BO131" s="597">
        <v>0.03</v>
      </c>
      <c r="BP131" s="597">
        <v>0.02</v>
      </c>
      <c r="BQ131" s="597">
        <v>0.02</v>
      </c>
      <c r="BR131" s="597">
        <v>0.02</v>
      </c>
      <c r="BS131" s="597">
        <v>0.03</v>
      </c>
      <c r="BT131" s="597">
        <v>0.03</v>
      </c>
      <c r="BU131" s="597">
        <v>0.03</v>
      </c>
      <c r="BV131" s="597">
        <v>0.03</v>
      </c>
      <c r="BW131" s="597">
        <v>0.05</v>
      </c>
      <c r="BX131" s="597">
        <v>0.05</v>
      </c>
      <c r="BY131" s="597">
        <v>0.05</v>
      </c>
      <c r="BZ131" s="597">
        <v>0.05</v>
      </c>
      <c r="CA131" s="597">
        <v>7.0000000000000007E-2</v>
      </c>
      <c r="CB131" s="597">
        <v>7.0000000000000007E-2</v>
      </c>
      <c r="CC131" s="597">
        <v>0.05</v>
      </c>
      <c r="CD131" s="597">
        <v>7.0000000000000007E-2</v>
      </c>
      <c r="CE131" s="597">
        <v>0.05</v>
      </c>
      <c r="CF131" s="597">
        <v>0.05</v>
      </c>
      <c r="CG131" s="597">
        <v>0.05</v>
      </c>
      <c r="CH131" s="597">
        <v>0.05</v>
      </c>
      <c r="CI131" s="597">
        <v>7.0000000000000007E-2</v>
      </c>
      <c r="CJ131" s="597">
        <v>7.0000000000000007E-2</v>
      </c>
      <c r="CK131" s="597">
        <v>0.06</v>
      </c>
      <c r="CL131" s="597">
        <v>0.06</v>
      </c>
      <c r="CM131" s="597">
        <v>0</v>
      </c>
      <c r="CN131" s="597">
        <v>0</v>
      </c>
      <c r="CO131" s="597">
        <v>0</v>
      </c>
      <c r="CP131" s="597">
        <v>0</v>
      </c>
      <c r="CQ131" s="597">
        <v>0</v>
      </c>
      <c r="CR131" s="597">
        <v>0</v>
      </c>
      <c r="CS131" s="597">
        <v>0</v>
      </c>
      <c r="CT131" s="597">
        <v>0</v>
      </c>
      <c r="CU131" s="597">
        <v>0</v>
      </c>
      <c r="CV131" s="597">
        <v>0</v>
      </c>
      <c r="CW131" s="597">
        <v>0</v>
      </c>
      <c r="CX131" s="597">
        <v>0</v>
      </c>
      <c r="CY131" s="597">
        <v>0</v>
      </c>
      <c r="CZ131" s="597">
        <v>0</v>
      </c>
      <c r="DA131" s="597">
        <v>0</v>
      </c>
      <c r="DB131" s="597">
        <v>0</v>
      </c>
      <c r="DC131" s="597">
        <v>0</v>
      </c>
      <c r="DD131" s="597">
        <v>0</v>
      </c>
      <c r="DE131" s="12"/>
      <c r="DF131" s="597">
        <v>0</v>
      </c>
      <c r="DG131" s="597">
        <v>0</v>
      </c>
      <c r="DH131" s="597">
        <v>0</v>
      </c>
      <c r="DI131" s="12"/>
      <c r="DJ131" s="597">
        <v>0</v>
      </c>
      <c r="DK131" s="597">
        <v>0.06</v>
      </c>
      <c r="DL131" s="597">
        <v>0</v>
      </c>
      <c r="DM131" s="597">
        <v>0</v>
      </c>
      <c r="DN131" s="597">
        <v>0</v>
      </c>
      <c r="DO131" s="598">
        <f t="shared" si="80"/>
        <v>6.5000000000000002E-2</v>
      </c>
    </row>
    <row r="132" spans="1:119">
      <c r="A132" s="24" t="s">
        <v>177</v>
      </c>
      <c r="B132" s="24" t="s">
        <v>178</v>
      </c>
      <c r="C132" s="72">
        <v>0.04</v>
      </c>
      <c r="D132" s="72">
        <v>0.03</v>
      </c>
      <c r="E132" s="10"/>
      <c r="F132" s="72">
        <v>0.01</v>
      </c>
      <c r="G132" s="72">
        <v>0.01</v>
      </c>
      <c r="H132" s="10"/>
      <c r="I132" s="72">
        <v>0.04</v>
      </c>
      <c r="J132" s="10"/>
      <c r="K132" s="72">
        <v>0.03</v>
      </c>
      <c r="L132" s="72">
        <v>0.01</v>
      </c>
      <c r="M132" s="72">
        <v>0.02</v>
      </c>
      <c r="N132" s="72">
        <v>0.02</v>
      </c>
      <c r="O132" s="72">
        <v>0.01</v>
      </c>
      <c r="P132" s="72">
        <v>0.01</v>
      </c>
      <c r="Q132" s="72">
        <v>0</v>
      </c>
      <c r="R132" s="72">
        <v>0</v>
      </c>
      <c r="S132" s="72">
        <v>0.02</v>
      </c>
      <c r="T132" s="72">
        <v>0.02</v>
      </c>
      <c r="U132" s="10"/>
      <c r="V132" s="10"/>
      <c r="W132" s="72">
        <v>0.01</v>
      </c>
      <c r="X132" s="72">
        <v>0.01</v>
      </c>
      <c r="Y132" s="72">
        <v>0</v>
      </c>
      <c r="Z132" s="72">
        <v>0.01</v>
      </c>
      <c r="AA132" s="72">
        <v>0</v>
      </c>
      <c r="AB132" s="72">
        <v>0.01</v>
      </c>
      <c r="AC132" s="72">
        <v>0.01</v>
      </c>
      <c r="AD132" s="72">
        <v>0.01</v>
      </c>
      <c r="AE132" s="10"/>
      <c r="AF132" s="10"/>
      <c r="AG132" s="10"/>
      <c r="AH132" s="10"/>
      <c r="AI132" s="10"/>
      <c r="AJ132" s="10"/>
      <c r="AK132" s="10"/>
      <c r="AL132" s="10"/>
      <c r="AM132" s="10"/>
      <c r="AN132" s="10"/>
      <c r="AO132" s="72">
        <v>0.01</v>
      </c>
      <c r="AP132" s="72">
        <v>0.01</v>
      </c>
      <c r="AQ132" s="72">
        <v>0.01</v>
      </c>
      <c r="AR132" s="72">
        <v>0.01</v>
      </c>
      <c r="AS132" s="72">
        <v>0.01</v>
      </c>
      <c r="AT132" s="72">
        <v>0.01</v>
      </c>
      <c r="AU132" s="72">
        <v>0.01</v>
      </c>
      <c r="AV132" s="72">
        <v>0.01</v>
      </c>
      <c r="AW132" s="72">
        <v>0.01</v>
      </c>
      <c r="AX132" s="72">
        <v>0.01</v>
      </c>
      <c r="AY132" s="72">
        <v>0.01</v>
      </c>
      <c r="AZ132" s="72">
        <v>0.01</v>
      </c>
      <c r="BA132" s="72">
        <v>0.01</v>
      </c>
      <c r="BB132" s="72">
        <v>0.01</v>
      </c>
      <c r="BC132" s="72">
        <v>0.01</v>
      </c>
      <c r="BD132" s="72">
        <v>0.02</v>
      </c>
      <c r="BE132" s="72">
        <v>0.01</v>
      </c>
      <c r="BF132" s="72">
        <v>0</v>
      </c>
      <c r="BG132" s="72">
        <v>0.02</v>
      </c>
      <c r="BH132" s="72">
        <v>0.01</v>
      </c>
      <c r="BI132" s="72">
        <v>0</v>
      </c>
      <c r="BJ132" s="99">
        <v>0.01</v>
      </c>
      <c r="BK132" s="72">
        <v>0.01</v>
      </c>
      <c r="BL132" s="72">
        <v>0.02</v>
      </c>
      <c r="BM132" s="72">
        <v>0.01</v>
      </c>
      <c r="BN132" s="72">
        <v>0</v>
      </c>
      <c r="BO132" s="72">
        <v>0.02</v>
      </c>
      <c r="BP132" s="72">
        <v>0.01</v>
      </c>
      <c r="BQ132" s="72">
        <v>0.01</v>
      </c>
      <c r="BR132" s="72">
        <v>0</v>
      </c>
      <c r="BS132" s="72">
        <v>0.01</v>
      </c>
      <c r="BT132" s="72">
        <v>0.01</v>
      </c>
      <c r="BU132" s="72">
        <v>0.01</v>
      </c>
      <c r="BV132" s="72">
        <v>0.01</v>
      </c>
      <c r="BW132" s="72">
        <v>0.01</v>
      </c>
      <c r="BX132" s="72">
        <v>0.01</v>
      </c>
      <c r="BY132" s="72">
        <v>0.01</v>
      </c>
      <c r="BZ132" s="72">
        <v>0.01</v>
      </c>
      <c r="CA132" s="72">
        <v>0.01</v>
      </c>
      <c r="CB132" s="72">
        <v>0.01</v>
      </c>
      <c r="CC132" s="72">
        <v>0.01</v>
      </c>
      <c r="CD132" s="72">
        <v>0.01</v>
      </c>
      <c r="CE132" s="72">
        <v>0.01</v>
      </c>
      <c r="CF132" s="72">
        <v>0.01</v>
      </c>
      <c r="CG132" s="72">
        <v>0.01</v>
      </c>
      <c r="CH132" s="72">
        <v>0.01</v>
      </c>
      <c r="CI132" s="72">
        <v>0.05</v>
      </c>
      <c r="CJ132" s="72">
        <v>0.05</v>
      </c>
      <c r="CK132" s="72">
        <v>0.04</v>
      </c>
      <c r="CL132" s="72">
        <v>0.04</v>
      </c>
      <c r="CM132" s="72">
        <v>0.01</v>
      </c>
      <c r="CN132" s="72">
        <v>0.01</v>
      </c>
      <c r="CO132" s="72">
        <v>0.01</v>
      </c>
      <c r="CP132" s="72">
        <v>0.01</v>
      </c>
      <c r="CQ132" s="72">
        <v>0.01</v>
      </c>
      <c r="CR132" s="72">
        <v>0.01</v>
      </c>
      <c r="CS132" s="72">
        <v>0.01</v>
      </c>
      <c r="CT132" s="72">
        <v>0.01</v>
      </c>
      <c r="CU132" s="72">
        <v>0.01</v>
      </c>
      <c r="CV132" s="72">
        <v>0.01</v>
      </c>
      <c r="CW132" s="72">
        <v>0.01</v>
      </c>
      <c r="CX132" s="72">
        <v>0.01</v>
      </c>
      <c r="CY132" s="72">
        <v>0.01</v>
      </c>
      <c r="CZ132" s="72">
        <v>0.01</v>
      </c>
      <c r="DA132" s="72">
        <v>0.01</v>
      </c>
      <c r="DB132" s="72">
        <v>0.01</v>
      </c>
      <c r="DC132" s="72">
        <v>0.02</v>
      </c>
      <c r="DD132" s="72">
        <v>0.01</v>
      </c>
      <c r="DE132" s="10"/>
      <c r="DF132" s="72">
        <v>0</v>
      </c>
      <c r="DG132" s="72">
        <v>0.02</v>
      </c>
      <c r="DH132" s="72">
        <v>0.01</v>
      </c>
      <c r="DI132" s="10"/>
      <c r="DJ132" s="72">
        <v>0</v>
      </c>
      <c r="DK132" s="72">
        <v>0.02</v>
      </c>
      <c r="DL132" s="72">
        <v>0.01</v>
      </c>
      <c r="DM132" s="72">
        <v>0.01</v>
      </c>
      <c r="DN132" s="72">
        <v>0.01</v>
      </c>
      <c r="DO132" s="448">
        <f t="shared" si="80"/>
        <v>4.5000000000000005E-2</v>
      </c>
    </row>
    <row r="133" spans="1:119">
      <c r="A133" s="24" t="s">
        <v>179</v>
      </c>
      <c r="B133" s="24" t="s">
        <v>180</v>
      </c>
      <c r="C133" s="72">
        <v>0.13</v>
      </c>
      <c r="D133" s="72">
        <v>0.09</v>
      </c>
      <c r="E133" s="10"/>
      <c r="F133" s="72">
        <v>0.05</v>
      </c>
      <c r="G133" s="72">
        <v>0.05</v>
      </c>
      <c r="H133" s="10"/>
      <c r="I133" s="72">
        <v>0.13</v>
      </c>
      <c r="J133" s="10"/>
      <c r="K133" s="72">
        <v>0.09</v>
      </c>
      <c r="L133" s="72">
        <v>0.05</v>
      </c>
      <c r="M133" s="72">
        <v>7.0000000000000007E-2</v>
      </c>
      <c r="N133" s="72">
        <v>7.0000000000000007E-2</v>
      </c>
      <c r="O133" s="72">
        <v>0.04</v>
      </c>
      <c r="P133" s="72">
        <v>0.04</v>
      </c>
      <c r="Q133" s="72">
        <v>0.02</v>
      </c>
      <c r="R133" s="72">
        <v>0.02</v>
      </c>
      <c r="S133" s="72">
        <v>7.0000000000000007E-2</v>
      </c>
      <c r="T133" s="72">
        <v>7.0000000000000007E-2</v>
      </c>
      <c r="U133" s="10"/>
      <c r="V133" s="10"/>
      <c r="W133" s="72">
        <v>0.05</v>
      </c>
      <c r="X133" s="72">
        <v>0.04</v>
      </c>
      <c r="Y133" s="72">
        <v>0.02</v>
      </c>
      <c r="Z133" s="72">
        <v>0.05</v>
      </c>
      <c r="AA133" s="72">
        <v>0.02</v>
      </c>
      <c r="AB133" s="72">
        <v>0.04</v>
      </c>
      <c r="AC133" s="72">
        <v>0.05</v>
      </c>
      <c r="AD133" s="72">
        <v>0.06</v>
      </c>
      <c r="AE133" s="10"/>
      <c r="AF133" s="10"/>
      <c r="AG133" s="10"/>
      <c r="AH133" s="10"/>
      <c r="AI133" s="10"/>
      <c r="AJ133" s="10"/>
      <c r="AK133" s="10"/>
      <c r="AL133" s="10"/>
      <c r="AM133" s="10"/>
      <c r="AN133" s="10"/>
      <c r="AO133" s="72">
        <v>0.06</v>
      </c>
      <c r="AP133" s="72">
        <v>0.02</v>
      </c>
      <c r="AQ133" s="72">
        <v>0.04</v>
      </c>
      <c r="AR133" s="72">
        <v>0.05</v>
      </c>
      <c r="AS133" s="72">
        <v>0.02</v>
      </c>
      <c r="AT133" s="72">
        <v>0.04</v>
      </c>
      <c r="AU133" s="72">
        <v>0.05</v>
      </c>
      <c r="AV133" s="72">
        <v>0.06</v>
      </c>
      <c r="AW133" s="72">
        <v>0.06</v>
      </c>
      <c r="AX133" s="72">
        <v>0.02</v>
      </c>
      <c r="AY133" s="72">
        <v>0.04</v>
      </c>
      <c r="AZ133" s="72">
        <v>0.05</v>
      </c>
      <c r="BA133" s="72">
        <v>0.02</v>
      </c>
      <c r="BB133" s="72">
        <v>0.04</v>
      </c>
      <c r="BC133" s="72">
        <v>0.05</v>
      </c>
      <c r="BD133" s="72">
        <v>7.0000000000000007E-2</v>
      </c>
      <c r="BE133" s="72">
        <v>0.04</v>
      </c>
      <c r="BF133" s="72">
        <v>0.02</v>
      </c>
      <c r="BG133" s="72">
        <v>7.0000000000000007E-2</v>
      </c>
      <c r="BH133" s="72">
        <v>0.05</v>
      </c>
      <c r="BI133" s="72">
        <v>0.02</v>
      </c>
      <c r="BJ133" s="99">
        <v>0.04</v>
      </c>
      <c r="BK133" s="72">
        <v>0.05</v>
      </c>
      <c r="BL133" s="72">
        <v>7.0000000000000007E-2</v>
      </c>
      <c r="BM133" s="72">
        <v>0.04</v>
      </c>
      <c r="BN133" s="72">
        <v>0.02</v>
      </c>
      <c r="BO133" s="72">
        <v>7.0000000000000007E-2</v>
      </c>
      <c r="BP133" s="72">
        <v>0.05</v>
      </c>
      <c r="BQ133" s="72">
        <v>0.04</v>
      </c>
      <c r="BR133" s="72">
        <v>0.02</v>
      </c>
      <c r="BS133" s="72">
        <v>0.02</v>
      </c>
      <c r="BT133" s="72">
        <v>0.02</v>
      </c>
      <c r="BU133" s="72">
        <v>0.02</v>
      </c>
      <c r="BV133" s="72">
        <v>0.02</v>
      </c>
      <c r="BW133" s="72">
        <v>0.05</v>
      </c>
      <c r="BX133" s="72">
        <v>0.05</v>
      </c>
      <c r="BY133" s="72">
        <v>0.05</v>
      </c>
      <c r="BZ133" s="72">
        <v>0.05</v>
      </c>
      <c r="CA133" s="72">
        <v>0.06</v>
      </c>
      <c r="CB133" s="72">
        <v>0.06</v>
      </c>
      <c r="CC133" s="72">
        <v>0.05</v>
      </c>
      <c r="CD133" s="72">
        <v>0.06</v>
      </c>
      <c r="CE133" s="72">
        <v>0.04</v>
      </c>
      <c r="CF133" s="72">
        <v>0.04</v>
      </c>
      <c r="CG133" s="72">
        <v>0.04</v>
      </c>
      <c r="CH133" s="72">
        <v>0.04</v>
      </c>
      <c r="CI133" s="72">
        <v>0.15</v>
      </c>
      <c r="CJ133" s="72">
        <v>0.15</v>
      </c>
      <c r="CK133" s="72">
        <v>0.11</v>
      </c>
      <c r="CL133" s="72">
        <v>0.11</v>
      </c>
      <c r="CM133" s="72">
        <v>0.06</v>
      </c>
      <c r="CN133" s="72">
        <v>0.05</v>
      </c>
      <c r="CO133" s="72">
        <v>0.04</v>
      </c>
      <c r="CP133" s="72">
        <v>0.02</v>
      </c>
      <c r="CQ133" s="72">
        <v>0.06</v>
      </c>
      <c r="CR133" s="72">
        <v>0.05</v>
      </c>
      <c r="CS133" s="72">
        <v>0.04</v>
      </c>
      <c r="CT133" s="72">
        <v>0.02</v>
      </c>
      <c r="CU133" s="72">
        <v>0.06</v>
      </c>
      <c r="CV133" s="72">
        <v>0.05</v>
      </c>
      <c r="CW133" s="72">
        <v>0.04</v>
      </c>
      <c r="CX133" s="72">
        <v>0.02</v>
      </c>
      <c r="CY133" s="72">
        <v>0.06</v>
      </c>
      <c r="CZ133" s="72">
        <v>0.05</v>
      </c>
      <c r="DA133" s="72">
        <v>0.04</v>
      </c>
      <c r="DB133" s="72">
        <v>0.02</v>
      </c>
      <c r="DC133" s="72">
        <v>7.0000000000000007E-2</v>
      </c>
      <c r="DD133" s="72">
        <v>0.05</v>
      </c>
      <c r="DE133" s="10"/>
      <c r="DF133" s="72">
        <v>0.02</v>
      </c>
      <c r="DG133" s="72">
        <v>7.0000000000000007E-2</v>
      </c>
      <c r="DH133" s="72">
        <v>0.05</v>
      </c>
      <c r="DI133" s="10"/>
      <c r="DJ133" s="72">
        <v>0.02</v>
      </c>
      <c r="DK133" s="72">
        <v>0.08</v>
      </c>
      <c r="DL133" s="72">
        <v>0.06</v>
      </c>
      <c r="DM133" s="72">
        <v>0.06</v>
      </c>
      <c r="DN133" s="72">
        <v>0.06</v>
      </c>
      <c r="DO133" s="448">
        <f t="shared" si="80"/>
        <v>0.13</v>
      </c>
    </row>
    <row r="134" spans="1:119">
      <c r="A134" s="24" t="s">
        <v>181</v>
      </c>
      <c r="B134" s="24" t="s">
        <v>182</v>
      </c>
      <c r="C134" s="72">
        <v>0.09</v>
      </c>
      <c r="D134" s="72">
        <v>0.14000000000000001</v>
      </c>
      <c r="E134" s="10"/>
      <c r="F134" s="72">
        <v>0.11</v>
      </c>
      <c r="G134" s="72">
        <v>0.11</v>
      </c>
      <c r="H134" s="10"/>
      <c r="I134" s="72">
        <v>0.09</v>
      </c>
      <c r="J134" s="10"/>
      <c r="K134" s="72">
        <v>0.14000000000000001</v>
      </c>
      <c r="L134" s="72">
        <v>0.11</v>
      </c>
      <c r="M134" s="72">
        <v>0.11</v>
      </c>
      <c r="N134" s="72">
        <v>0.11</v>
      </c>
      <c r="O134" s="72">
        <v>0.11</v>
      </c>
      <c r="P134" s="72">
        <v>0.11</v>
      </c>
      <c r="Q134" s="72">
        <v>0.11</v>
      </c>
      <c r="R134" s="72">
        <v>0.11</v>
      </c>
      <c r="S134" s="72">
        <v>0.11</v>
      </c>
      <c r="T134" s="72">
        <v>0.11</v>
      </c>
      <c r="U134" s="10"/>
      <c r="V134" s="10"/>
      <c r="W134" s="72">
        <v>0.11</v>
      </c>
      <c r="X134" s="72">
        <v>0.11</v>
      </c>
      <c r="Y134" s="72">
        <v>0.11</v>
      </c>
      <c r="Z134" s="72">
        <v>0.11</v>
      </c>
      <c r="AA134" s="72">
        <v>0.11</v>
      </c>
      <c r="AB134" s="72">
        <v>0.11</v>
      </c>
      <c r="AC134" s="72">
        <v>0.09</v>
      </c>
      <c r="AD134" s="72">
        <v>0.08</v>
      </c>
      <c r="AE134" s="10"/>
      <c r="AF134" s="10"/>
      <c r="AG134" s="10"/>
      <c r="AH134" s="10"/>
      <c r="AI134" s="10"/>
      <c r="AJ134" s="10"/>
      <c r="AK134" s="10"/>
      <c r="AL134" s="10"/>
      <c r="AM134" s="10"/>
      <c r="AN134" s="10"/>
      <c r="AO134" s="72">
        <v>0.08</v>
      </c>
      <c r="AP134" s="72">
        <v>0.1</v>
      </c>
      <c r="AQ134" s="72">
        <v>0.09</v>
      </c>
      <c r="AR134" s="72">
        <v>0.09</v>
      </c>
      <c r="AS134" s="72">
        <v>0.1</v>
      </c>
      <c r="AT134" s="72">
        <v>0.09</v>
      </c>
      <c r="AU134" s="72">
        <v>0.09</v>
      </c>
      <c r="AV134" s="72">
        <v>0.08</v>
      </c>
      <c r="AW134" s="72">
        <v>0.08</v>
      </c>
      <c r="AX134" s="72">
        <v>0.1</v>
      </c>
      <c r="AY134" s="72">
        <v>0.09</v>
      </c>
      <c r="AZ134" s="72">
        <v>0.09</v>
      </c>
      <c r="BA134" s="72">
        <v>0.1</v>
      </c>
      <c r="BB134" s="72">
        <v>0.09</v>
      </c>
      <c r="BC134" s="72">
        <v>0.11</v>
      </c>
      <c r="BD134" s="72">
        <v>0.11</v>
      </c>
      <c r="BE134" s="72">
        <v>0.11</v>
      </c>
      <c r="BF134" s="72">
        <v>0.11</v>
      </c>
      <c r="BG134" s="72">
        <v>0.11</v>
      </c>
      <c r="BH134" s="72">
        <v>0.11</v>
      </c>
      <c r="BI134" s="72">
        <v>0.11</v>
      </c>
      <c r="BJ134" s="99">
        <v>0.11</v>
      </c>
      <c r="BK134" s="72">
        <v>0.11</v>
      </c>
      <c r="BL134" s="72">
        <v>0.11</v>
      </c>
      <c r="BM134" s="72">
        <v>0.11</v>
      </c>
      <c r="BN134" s="72">
        <v>0.11</v>
      </c>
      <c r="BO134" s="72">
        <v>0.11</v>
      </c>
      <c r="BP134" s="72">
        <v>0.11</v>
      </c>
      <c r="BQ134" s="72">
        <v>0.11</v>
      </c>
      <c r="BR134" s="72">
        <v>0.11</v>
      </c>
      <c r="BS134" s="72">
        <v>0.1</v>
      </c>
      <c r="BT134" s="72">
        <v>0.1</v>
      </c>
      <c r="BU134" s="72">
        <v>0.1</v>
      </c>
      <c r="BV134" s="72">
        <v>0.1</v>
      </c>
      <c r="BW134" s="72">
        <v>0.09</v>
      </c>
      <c r="BX134" s="72">
        <v>0.09</v>
      </c>
      <c r="BY134" s="72">
        <v>0.09</v>
      </c>
      <c r="BZ134" s="72">
        <v>0.09</v>
      </c>
      <c r="CA134" s="72">
        <v>0.08</v>
      </c>
      <c r="CB134" s="72">
        <v>0.08</v>
      </c>
      <c r="CC134" s="72">
        <v>0.09</v>
      </c>
      <c r="CD134" s="72">
        <v>0.08</v>
      </c>
      <c r="CE134" s="72">
        <v>0.09</v>
      </c>
      <c r="CF134" s="72">
        <v>0.09</v>
      </c>
      <c r="CG134" s="72">
        <v>0.09</v>
      </c>
      <c r="CH134" s="72">
        <v>0.09</v>
      </c>
      <c r="CI134" s="72">
        <v>0.09</v>
      </c>
      <c r="CJ134" s="72">
        <v>0.09</v>
      </c>
      <c r="CK134" s="72">
        <v>0.14000000000000001</v>
      </c>
      <c r="CL134" s="72">
        <v>0.14000000000000001</v>
      </c>
      <c r="CM134" s="72">
        <v>0.08</v>
      </c>
      <c r="CN134" s="72">
        <v>0.09</v>
      </c>
      <c r="CO134" s="72">
        <v>0.09</v>
      </c>
      <c r="CP134" s="72">
        <v>0.1</v>
      </c>
      <c r="CQ134" s="72">
        <v>0.08</v>
      </c>
      <c r="CR134" s="72">
        <v>0.09</v>
      </c>
      <c r="CS134" s="72">
        <v>0.09</v>
      </c>
      <c r="CT134" s="72">
        <v>0.1</v>
      </c>
      <c r="CU134" s="72">
        <v>0.08</v>
      </c>
      <c r="CV134" s="72">
        <v>0.09</v>
      </c>
      <c r="CW134" s="72">
        <v>0.09</v>
      </c>
      <c r="CX134" s="72">
        <v>0.1</v>
      </c>
      <c r="CY134" s="72">
        <v>0.08</v>
      </c>
      <c r="CZ134" s="72">
        <v>0.09</v>
      </c>
      <c r="DA134" s="72">
        <v>0.09</v>
      </c>
      <c r="DB134" s="72">
        <v>0.1</v>
      </c>
      <c r="DC134" s="72">
        <v>0.11</v>
      </c>
      <c r="DD134" s="72">
        <v>0.11</v>
      </c>
      <c r="DE134" s="10"/>
      <c r="DF134" s="72">
        <v>0.11</v>
      </c>
      <c r="DG134" s="72">
        <v>0.11</v>
      </c>
      <c r="DH134" s="72">
        <v>0.11</v>
      </c>
      <c r="DI134" s="10"/>
      <c r="DJ134" s="72">
        <v>0.11</v>
      </c>
      <c r="DK134" s="72">
        <v>0.11</v>
      </c>
      <c r="DL134" s="72">
        <v>0.08</v>
      </c>
      <c r="DM134" s="72">
        <v>0.08</v>
      </c>
      <c r="DN134" s="72">
        <v>0.08</v>
      </c>
      <c r="DO134" s="448">
        <f t="shared" si="80"/>
        <v>0.115</v>
      </c>
    </row>
    <row r="135" spans="1:119">
      <c r="A135" s="24" t="s">
        <v>40</v>
      </c>
      <c r="B135" s="24" t="s">
        <v>41</v>
      </c>
      <c r="C135" s="72">
        <v>0</v>
      </c>
      <c r="D135" s="72">
        <v>0</v>
      </c>
      <c r="E135" s="10"/>
      <c r="F135" s="72">
        <v>0</v>
      </c>
      <c r="G135" s="72">
        <v>0</v>
      </c>
      <c r="H135" s="10"/>
      <c r="I135" s="72">
        <v>0</v>
      </c>
      <c r="J135" s="10"/>
      <c r="K135" s="72">
        <v>0</v>
      </c>
      <c r="L135" s="72">
        <v>0</v>
      </c>
      <c r="M135" s="72">
        <v>0</v>
      </c>
      <c r="N135" s="72">
        <v>0</v>
      </c>
      <c r="O135" s="72">
        <v>0</v>
      </c>
      <c r="P135" s="72">
        <v>0</v>
      </c>
      <c r="Q135" s="72">
        <v>0</v>
      </c>
      <c r="R135" s="72">
        <v>0</v>
      </c>
      <c r="S135" s="72">
        <v>0</v>
      </c>
      <c r="T135" s="72">
        <v>0</v>
      </c>
      <c r="U135" s="10"/>
      <c r="V135" s="10"/>
      <c r="W135" s="72">
        <v>0</v>
      </c>
      <c r="X135" s="72">
        <v>0</v>
      </c>
      <c r="Y135" s="72">
        <v>0</v>
      </c>
      <c r="Z135" s="72">
        <v>0</v>
      </c>
      <c r="AA135" s="72">
        <v>0</v>
      </c>
      <c r="AB135" s="72">
        <v>0</v>
      </c>
      <c r="AC135" s="72">
        <v>0</v>
      </c>
      <c r="AD135" s="72">
        <v>0</v>
      </c>
      <c r="AE135" s="10"/>
      <c r="AF135" s="10"/>
      <c r="AG135" s="10"/>
      <c r="AH135" s="10"/>
      <c r="AI135" s="10"/>
      <c r="AJ135" s="10"/>
      <c r="AK135" s="10"/>
      <c r="AL135" s="10"/>
      <c r="AM135" s="10"/>
      <c r="AN135" s="10"/>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0</v>
      </c>
      <c r="BE135" s="72">
        <v>0</v>
      </c>
      <c r="BF135" s="72">
        <v>0</v>
      </c>
      <c r="BG135" s="72">
        <v>0</v>
      </c>
      <c r="BH135" s="72">
        <v>0</v>
      </c>
      <c r="BI135" s="72">
        <v>0</v>
      </c>
      <c r="BJ135" s="99">
        <v>0</v>
      </c>
      <c r="BK135" s="72">
        <v>0</v>
      </c>
      <c r="BL135" s="72">
        <v>0</v>
      </c>
      <c r="BM135" s="72">
        <v>0</v>
      </c>
      <c r="BN135" s="72">
        <v>0</v>
      </c>
      <c r="BO135" s="72">
        <v>0</v>
      </c>
      <c r="BP135" s="72">
        <v>0</v>
      </c>
      <c r="BQ135" s="72">
        <v>0</v>
      </c>
      <c r="BR135" s="72">
        <v>0</v>
      </c>
      <c r="BS135" s="72">
        <v>0</v>
      </c>
      <c r="BT135" s="72">
        <v>0</v>
      </c>
      <c r="BU135" s="72">
        <v>0</v>
      </c>
      <c r="BV135" s="72">
        <v>0</v>
      </c>
      <c r="BW135" s="72">
        <v>0</v>
      </c>
      <c r="BX135" s="72">
        <v>0</v>
      </c>
      <c r="BY135" s="72">
        <v>0</v>
      </c>
      <c r="BZ135" s="72">
        <v>0</v>
      </c>
      <c r="CA135" s="72">
        <v>0</v>
      </c>
      <c r="CB135" s="72">
        <v>0</v>
      </c>
      <c r="CC135" s="72">
        <v>0</v>
      </c>
      <c r="CD135" s="72">
        <v>0</v>
      </c>
      <c r="CE135" s="72">
        <v>0</v>
      </c>
      <c r="CF135" s="72">
        <v>0</v>
      </c>
      <c r="CG135" s="72">
        <v>0</v>
      </c>
      <c r="CH135" s="72">
        <v>0</v>
      </c>
      <c r="CI135" s="72">
        <v>0</v>
      </c>
      <c r="CJ135" s="72">
        <v>0</v>
      </c>
      <c r="CK135" s="72">
        <v>0</v>
      </c>
      <c r="CL135" s="72">
        <v>0</v>
      </c>
      <c r="CM135" s="72">
        <v>0</v>
      </c>
      <c r="CN135" s="72">
        <v>0</v>
      </c>
      <c r="CO135" s="72">
        <v>0</v>
      </c>
      <c r="CP135" s="72">
        <v>0</v>
      </c>
      <c r="CQ135" s="72">
        <v>0</v>
      </c>
      <c r="CR135" s="72">
        <v>0</v>
      </c>
      <c r="CS135" s="72">
        <v>0</v>
      </c>
      <c r="CT135" s="72">
        <v>0</v>
      </c>
      <c r="CU135" s="72">
        <v>0</v>
      </c>
      <c r="CV135" s="72">
        <v>0</v>
      </c>
      <c r="CW135" s="72">
        <v>0</v>
      </c>
      <c r="CX135" s="72">
        <v>0</v>
      </c>
      <c r="CY135" s="72">
        <v>0</v>
      </c>
      <c r="CZ135" s="72">
        <v>0</v>
      </c>
      <c r="DA135" s="72">
        <v>0</v>
      </c>
      <c r="DB135" s="72">
        <v>0</v>
      </c>
      <c r="DC135" s="72">
        <v>0</v>
      </c>
      <c r="DD135" s="72">
        <v>0</v>
      </c>
      <c r="DE135" s="10"/>
      <c r="DF135" s="72">
        <v>0</v>
      </c>
      <c r="DG135" s="72">
        <v>0</v>
      </c>
      <c r="DH135" s="72">
        <v>0</v>
      </c>
      <c r="DI135" s="10"/>
      <c r="DJ135" s="72">
        <v>0</v>
      </c>
      <c r="DK135" s="72">
        <v>0</v>
      </c>
      <c r="DL135" s="72">
        <v>0</v>
      </c>
      <c r="DM135" s="72">
        <v>0</v>
      </c>
      <c r="DN135" s="72">
        <v>0</v>
      </c>
      <c r="DO135" s="448">
        <f t="shared" si="80"/>
        <v>0</v>
      </c>
    </row>
    <row r="136" spans="1:119">
      <c r="A136" s="24" t="s">
        <v>183</v>
      </c>
      <c r="B136" s="24" t="s">
        <v>184</v>
      </c>
      <c r="C136" s="72">
        <v>1.42</v>
      </c>
      <c r="D136" s="72">
        <v>1.46</v>
      </c>
      <c r="E136" s="10"/>
      <c r="F136" s="72">
        <v>1.24</v>
      </c>
      <c r="G136" s="3489">
        <v>1.89</v>
      </c>
      <c r="H136" s="10"/>
      <c r="I136" s="72">
        <v>1.42</v>
      </c>
      <c r="J136" s="10"/>
      <c r="K136" s="72">
        <v>1.46</v>
      </c>
      <c r="L136" s="72">
        <v>1.24</v>
      </c>
      <c r="M136" s="72">
        <v>1.32</v>
      </c>
      <c r="N136" s="72">
        <v>1.32</v>
      </c>
      <c r="O136" s="72">
        <v>1.18</v>
      </c>
      <c r="P136" s="72">
        <v>1.18</v>
      </c>
      <c r="Q136" s="72">
        <v>1.0900000000000001</v>
      </c>
      <c r="R136" s="72">
        <v>1.0900000000000001</v>
      </c>
      <c r="S136" s="72">
        <v>1.32</v>
      </c>
      <c r="T136" s="72">
        <v>1.32</v>
      </c>
      <c r="U136" s="10"/>
      <c r="V136" s="10"/>
      <c r="W136" s="72">
        <v>1.24</v>
      </c>
      <c r="X136" s="72">
        <v>1.18</v>
      </c>
      <c r="Y136" s="72">
        <v>1.0900000000000001</v>
      </c>
      <c r="Z136" s="72">
        <v>1.24</v>
      </c>
      <c r="AA136" s="72">
        <v>1.0900000000000001</v>
      </c>
      <c r="AB136" s="72">
        <v>1.18</v>
      </c>
      <c r="AC136" s="72">
        <v>0.99</v>
      </c>
      <c r="AD136" s="72">
        <v>0.99</v>
      </c>
      <c r="AE136" s="10"/>
      <c r="AF136" s="10"/>
      <c r="AG136" s="10"/>
      <c r="AH136" s="10"/>
      <c r="AI136" s="10"/>
      <c r="AJ136" s="10"/>
      <c r="AK136" s="10"/>
      <c r="AL136" s="10"/>
      <c r="AM136" s="10"/>
      <c r="AN136" s="10"/>
      <c r="AO136" s="72">
        <v>0.99</v>
      </c>
      <c r="AP136" s="72">
        <v>0.99</v>
      </c>
      <c r="AQ136" s="72">
        <v>0.98</v>
      </c>
      <c r="AR136" s="72">
        <v>0.99</v>
      </c>
      <c r="AS136" s="72">
        <v>0.99</v>
      </c>
      <c r="AT136" s="72">
        <v>0.98</v>
      </c>
      <c r="AU136" s="72">
        <v>0.99</v>
      </c>
      <c r="AV136" s="72">
        <v>0.99</v>
      </c>
      <c r="AW136" s="72">
        <v>0.99</v>
      </c>
      <c r="AX136" s="72">
        <v>0.99</v>
      </c>
      <c r="AY136" s="72">
        <v>0.98</v>
      </c>
      <c r="AZ136" s="72">
        <v>0.99</v>
      </c>
      <c r="BA136" s="72">
        <v>0.99</v>
      </c>
      <c r="BB136" s="72">
        <v>0.98</v>
      </c>
      <c r="BC136" s="72">
        <v>1.24</v>
      </c>
      <c r="BD136" s="72">
        <v>1.32</v>
      </c>
      <c r="BE136" s="72">
        <v>1.18</v>
      </c>
      <c r="BF136" s="72">
        <v>1.0900000000000001</v>
      </c>
      <c r="BG136" s="72">
        <v>1.32</v>
      </c>
      <c r="BH136" s="72">
        <v>1.24</v>
      </c>
      <c r="BI136" s="72">
        <v>1.0900000000000001</v>
      </c>
      <c r="BJ136" s="99">
        <v>1.18</v>
      </c>
      <c r="BK136" s="72">
        <v>1.24</v>
      </c>
      <c r="BL136" s="72">
        <v>1.32</v>
      </c>
      <c r="BM136" s="72">
        <v>1.18</v>
      </c>
      <c r="BN136" s="72">
        <v>1.0900000000000001</v>
      </c>
      <c r="BO136" s="72">
        <v>1.32</v>
      </c>
      <c r="BP136" s="72">
        <v>1.24</v>
      </c>
      <c r="BQ136" s="72">
        <v>1.18</v>
      </c>
      <c r="BR136" s="72">
        <v>1.0900000000000001</v>
      </c>
      <c r="BS136" s="72">
        <v>0.99</v>
      </c>
      <c r="BT136" s="72">
        <v>0.99</v>
      </c>
      <c r="BU136" s="72">
        <v>0.99</v>
      </c>
      <c r="BV136" s="72">
        <v>0.99</v>
      </c>
      <c r="BW136" s="72">
        <v>0.99</v>
      </c>
      <c r="BX136" s="72">
        <v>0.99</v>
      </c>
      <c r="BY136" s="72">
        <v>0.99</v>
      </c>
      <c r="BZ136" s="72">
        <v>0.99</v>
      </c>
      <c r="CA136" s="72">
        <v>0.99</v>
      </c>
      <c r="CB136" s="72">
        <v>0.99</v>
      </c>
      <c r="CC136" s="72">
        <v>0.99</v>
      </c>
      <c r="CD136" s="72">
        <v>0.99</v>
      </c>
      <c r="CE136" s="72">
        <v>0.98</v>
      </c>
      <c r="CF136" s="72">
        <v>0.98</v>
      </c>
      <c r="CG136" s="72">
        <v>0.98</v>
      </c>
      <c r="CH136" s="72">
        <v>0.98</v>
      </c>
      <c r="CI136" s="72">
        <v>1.89</v>
      </c>
      <c r="CJ136" s="72">
        <v>1.89</v>
      </c>
      <c r="CK136" s="72">
        <v>1.94</v>
      </c>
      <c r="CL136" s="72">
        <v>1.94</v>
      </c>
      <c r="CM136" s="72">
        <v>0.99</v>
      </c>
      <c r="CN136" s="72">
        <v>0.99</v>
      </c>
      <c r="CO136" s="72">
        <v>0.98</v>
      </c>
      <c r="CP136" s="72">
        <v>0.99</v>
      </c>
      <c r="CQ136" s="72">
        <v>0.99</v>
      </c>
      <c r="CR136" s="72">
        <v>0.99</v>
      </c>
      <c r="CS136" s="72">
        <v>0.98</v>
      </c>
      <c r="CT136" s="72">
        <v>0.99</v>
      </c>
      <c r="CU136" s="72">
        <v>0.99</v>
      </c>
      <c r="CV136" s="72">
        <v>0.99</v>
      </c>
      <c r="CW136" s="72">
        <v>0.98</v>
      </c>
      <c r="CX136" s="72">
        <v>0.99</v>
      </c>
      <c r="CY136" s="72">
        <v>0.99</v>
      </c>
      <c r="CZ136" s="72">
        <v>0.99</v>
      </c>
      <c r="DA136" s="72">
        <v>0.98</v>
      </c>
      <c r="DB136" s="72">
        <v>0.99</v>
      </c>
      <c r="DC136" s="72">
        <v>0.99</v>
      </c>
      <c r="DD136" s="72">
        <v>0.99</v>
      </c>
      <c r="DE136" s="10"/>
      <c r="DF136" s="72">
        <v>0.99</v>
      </c>
      <c r="DG136" s="72">
        <v>0.99</v>
      </c>
      <c r="DH136" s="72">
        <v>0.99</v>
      </c>
      <c r="DI136" s="10"/>
      <c r="DJ136" s="72">
        <v>0.99</v>
      </c>
      <c r="DK136" s="72">
        <v>1.1299999999999999</v>
      </c>
      <c r="DL136" s="72">
        <v>0.99</v>
      </c>
      <c r="DM136" s="72">
        <v>0.99</v>
      </c>
      <c r="DN136" s="72">
        <v>0.99</v>
      </c>
      <c r="DO136" s="448">
        <f t="shared" si="80"/>
        <v>1.915</v>
      </c>
    </row>
    <row r="137" spans="1:119">
      <c r="A137" s="24" t="s">
        <v>48</v>
      </c>
      <c r="B137" s="24" t="s">
        <v>49</v>
      </c>
      <c r="C137" s="72">
        <v>6.03</v>
      </c>
      <c r="D137" s="72">
        <v>11.75</v>
      </c>
      <c r="E137" s="10"/>
      <c r="F137" s="72">
        <v>12.67</v>
      </c>
      <c r="G137" s="3489">
        <v>5.13</v>
      </c>
      <c r="H137" s="10"/>
      <c r="I137" s="72">
        <v>6.03</v>
      </c>
      <c r="J137" s="10"/>
      <c r="K137" s="72">
        <v>11.75</v>
      </c>
      <c r="L137" s="72">
        <v>12.67</v>
      </c>
      <c r="M137" s="72">
        <v>13.52</v>
      </c>
      <c r="N137" s="72">
        <v>13.52</v>
      </c>
      <c r="O137" s="72">
        <v>12.15</v>
      </c>
      <c r="P137" s="72">
        <v>12.15</v>
      </c>
      <c r="Q137" s="72">
        <v>13.03</v>
      </c>
      <c r="R137" s="72">
        <v>13.03</v>
      </c>
      <c r="S137" s="72">
        <v>13.52</v>
      </c>
      <c r="T137" s="72">
        <v>13.52</v>
      </c>
      <c r="U137" s="10"/>
      <c r="V137" s="10"/>
      <c r="W137" s="72">
        <v>12.67</v>
      </c>
      <c r="X137" s="72">
        <v>12.15</v>
      </c>
      <c r="Y137" s="72">
        <v>13.03</v>
      </c>
      <c r="Z137" s="72">
        <v>12.67</v>
      </c>
      <c r="AA137" s="72">
        <v>13.03</v>
      </c>
      <c r="AB137" s="72">
        <v>12.15</v>
      </c>
      <c r="AC137" s="72">
        <v>10.57</v>
      </c>
      <c r="AD137" s="72">
        <v>10.88</v>
      </c>
      <c r="AE137" s="10"/>
      <c r="AF137" s="10"/>
      <c r="AG137" s="10"/>
      <c r="AH137" s="10"/>
      <c r="AI137" s="10"/>
      <c r="AJ137" s="10"/>
      <c r="AK137" s="10"/>
      <c r="AL137" s="10"/>
      <c r="AM137" s="10"/>
      <c r="AN137" s="10"/>
      <c r="AO137" s="72">
        <v>10.88</v>
      </c>
      <c r="AP137" s="72">
        <v>12.11</v>
      </c>
      <c r="AQ137" s="72">
        <v>10.62</v>
      </c>
      <c r="AR137" s="72">
        <v>10.73</v>
      </c>
      <c r="AS137" s="72">
        <v>12.11</v>
      </c>
      <c r="AT137" s="72">
        <v>10.62</v>
      </c>
      <c r="AU137" s="72">
        <v>10.57</v>
      </c>
      <c r="AV137" s="72">
        <v>10.88</v>
      </c>
      <c r="AW137" s="72">
        <v>10.88</v>
      </c>
      <c r="AX137" s="72">
        <v>12.11</v>
      </c>
      <c r="AY137" s="72">
        <v>10.62</v>
      </c>
      <c r="AZ137" s="72">
        <v>10.73</v>
      </c>
      <c r="BA137" s="72">
        <v>12.11</v>
      </c>
      <c r="BB137" s="72">
        <v>10.62</v>
      </c>
      <c r="BC137" s="72">
        <v>12.67</v>
      </c>
      <c r="BD137" s="72">
        <v>13.52</v>
      </c>
      <c r="BE137" s="72">
        <v>12.15</v>
      </c>
      <c r="BF137" s="72">
        <v>13.03</v>
      </c>
      <c r="BG137" s="72">
        <v>13.52</v>
      </c>
      <c r="BH137" s="72">
        <v>12.67</v>
      </c>
      <c r="BI137" s="72">
        <v>13.03</v>
      </c>
      <c r="BJ137" s="99">
        <v>12.15</v>
      </c>
      <c r="BK137" s="72">
        <v>12.67</v>
      </c>
      <c r="BL137" s="72">
        <v>13.52</v>
      </c>
      <c r="BM137" s="72">
        <v>12.15</v>
      </c>
      <c r="BN137" s="72">
        <v>13.03</v>
      </c>
      <c r="BO137" s="72">
        <v>13.52</v>
      </c>
      <c r="BP137" s="72">
        <v>12.67</v>
      </c>
      <c r="BQ137" s="72">
        <v>12.15</v>
      </c>
      <c r="BR137" s="72">
        <v>13.03</v>
      </c>
      <c r="BS137" s="72">
        <v>12.11</v>
      </c>
      <c r="BT137" s="72">
        <v>12.11</v>
      </c>
      <c r="BU137" s="72">
        <v>12.11</v>
      </c>
      <c r="BV137" s="72">
        <v>12.11</v>
      </c>
      <c r="BW137" s="72">
        <v>10.73</v>
      </c>
      <c r="BX137" s="72">
        <v>10.73</v>
      </c>
      <c r="BY137" s="72">
        <v>10.74</v>
      </c>
      <c r="BZ137" s="72">
        <v>10.73</v>
      </c>
      <c r="CA137" s="72">
        <v>10.85</v>
      </c>
      <c r="CB137" s="72">
        <v>10.88</v>
      </c>
      <c r="CC137" s="72">
        <v>10.73</v>
      </c>
      <c r="CD137" s="72">
        <v>10.88</v>
      </c>
      <c r="CE137" s="72">
        <v>10.62</v>
      </c>
      <c r="CF137" s="72">
        <v>10.62</v>
      </c>
      <c r="CG137" s="72">
        <v>10.62</v>
      </c>
      <c r="CH137" s="72">
        <v>10.62</v>
      </c>
      <c r="CI137" s="72">
        <v>5.13</v>
      </c>
      <c r="CJ137" s="72">
        <v>5.13</v>
      </c>
      <c r="CK137" s="72">
        <v>9.98</v>
      </c>
      <c r="CL137" s="72">
        <v>9.98</v>
      </c>
      <c r="CM137" s="72">
        <v>10.88</v>
      </c>
      <c r="CN137" s="72">
        <v>10.57</v>
      </c>
      <c r="CO137" s="72">
        <v>10.62</v>
      </c>
      <c r="CP137" s="72">
        <v>12.11</v>
      </c>
      <c r="CQ137" s="72">
        <v>10.88</v>
      </c>
      <c r="CR137" s="72">
        <v>10.73</v>
      </c>
      <c r="CS137" s="72">
        <v>10.62</v>
      </c>
      <c r="CT137" s="72">
        <v>12.11</v>
      </c>
      <c r="CU137" s="72">
        <v>10.88</v>
      </c>
      <c r="CV137" s="72">
        <v>10.57</v>
      </c>
      <c r="CW137" s="72">
        <v>10.62</v>
      </c>
      <c r="CX137" s="72">
        <v>12.11</v>
      </c>
      <c r="CY137" s="72">
        <v>10.88</v>
      </c>
      <c r="CZ137" s="72">
        <v>10.73</v>
      </c>
      <c r="DA137" s="72">
        <v>10.62</v>
      </c>
      <c r="DB137" s="72">
        <v>12.11</v>
      </c>
      <c r="DC137" s="72">
        <v>13.52</v>
      </c>
      <c r="DD137" s="72">
        <v>12.67</v>
      </c>
      <c r="DE137" s="10"/>
      <c r="DF137" s="72">
        <v>13.03</v>
      </c>
      <c r="DG137" s="72">
        <v>13.52</v>
      </c>
      <c r="DH137" s="72">
        <v>12.67</v>
      </c>
      <c r="DI137" s="10"/>
      <c r="DJ137" s="72">
        <v>13.03</v>
      </c>
      <c r="DK137" s="72">
        <v>9.11</v>
      </c>
      <c r="DL137" s="72">
        <v>10.88</v>
      </c>
      <c r="DM137" s="72">
        <v>10.88</v>
      </c>
      <c r="DN137" s="72">
        <v>10.88</v>
      </c>
      <c r="DO137" s="448">
        <f t="shared" si="80"/>
        <v>7.5550000000000006</v>
      </c>
    </row>
    <row r="138" spans="1:119">
      <c r="A138" s="24" t="s">
        <v>185</v>
      </c>
      <c r="B138" s="24" t="s">
        <v>186</v>
      </c>
      <c r="C138" s="72">
        <v>0.37</v>
      </c>
      <c r="D138" s="72">
        <v>0.91</v>
      </c>
      <c r="E138" s="10"/>
      <c r="F138" s="72">
        <v>0.81</v>
      </c>
      <c r="G138" s="3489">
        <v>0.82</v>
      </c>
      <c r="H138" s="10"/>
      <c r="I138" s="72">
        <v>0.37</v>
      </c>
      <c r="J138" s="10"/>
      <c r="K138" s="72">
        <v>0.91</v>
      </c>
      <c r="L138" s="72">
        <v>0.81</v>
      </c>
      <c r="M138" s="72">
        <v>0.87</v>
      </c>
      <c r="N138" s="72">
        <v>0.87</v>
      </c>
      <c r="O138" s="72">
        <v>0.78</v>
      </c>
      <c r="P138" s="72">
        <v>0.78</v>
      </c>
      <c r="Q138" s="72">
        <v>0.81</v>
      </c>
      <c r="R138" s="72">
        <v>0.81</v>
      </c>
      <c r="S138" s="72">
        <v>0.87</v>
      </c>
      <c r="T138" s="72">
        <v>0.87</v>
      </c>
      <c r="U138" s="10"/>
      <c r="V138" s="10"/>
      <c r="W138" s="72">
        <v>0.81</v>
      </c>
      <c r="X138" s="72">
        <v>0.78</v>
      </c>
      <c r="Y138" s="72">
        <v>0.81</v>
      </c>
      <c r="Z138" s="72">
        <v>0.81</v>
      </c>
      <c r="AA138" s="72">
        <v>0.81</v>
      </c>
      <c r="AB138" s="72">
        <v>0.78</v>
      </c>
      <c r="AC138" s="72">
        <v>0.7</v>
      </c>
      <c r="AD138" s="72">
        <v>0.72</v>
      </c>
      <c r="AE138" s="10"/>
      <c r="AF138" s="10"/>
      <c r="AG138" s="10"/>
      <c r="AH138" s="10"/>
      <c r="AI138" s="10"/>
      <c r="AJ138" s="10"/>
      <c r="AK138" s="10"/>
      <c r="AL138" s="10"/>
      <c r="AM138" s="10"/>
      <c r="AN138" s="10"/>
      <c r="AO138" s="72">
        <v>0.72</v>
      </c>
      <c r="AP138" s="72">
        <v>0.76</v>
      </c>
      <c r="AQ138" s="72">
        <v>0.69</v>
      </c>
      <c r="AR138" s="72">
        <v>0.7</v>
      </c>
      <c r="AS138" s="72">
        <v>0.76</v>
      </c>
      <c r="AT138" s="72">
        <v>0.69</v>
      </c>
      <c r="AU138" s="72">
        <v>0.7</v>
      </c>
      <c r="AV138" s="72">
        <v>0.72</v>
      </c>
      <c r="AW138" s="72">
        <v>0.72</v>
      </c>
      <c r="AX138" s="72">
        <v>0.76</v>
      </c>
      <c r="AY138" s="72">
        <v>0.69</v>
      </c>
      <c r="AZ138" s="72">
        <v>0.7</v>
      </c>
      <c r="BA138" s="72">
        <v>0.76</v>
      </c>
      <c r="BB138" s="72">
        <v>0.69</v>
      </c>
      <c r="BC138" s="72">
        <v>0.81</v>
      </c>
      <c r="BD138" s="72">
        <v>0.87</v>
      </c>
      <c r="BE138" s="72">
        <v>0.78</v>
      </c>
      <c r="BF138" s="72">
        <v>0.81</v>
      </c>
      <c r="BG138" s="72">
        <v>0.87</v>
      </c>
      <c r="BH138" s="72">
        <v>0.81</v>
      </c>
      <c r="BI138" s="72">
        <v>0.81</v>
      </c>
      <c r="BJ138" s="99">
        <v>0.78</v>
      </c>
      <c r="BK138" s="72">
        <v>0.81</v>
      </c>
      <c r="BL138" s="72">
        <v>0.87</v>
      </c>
      <c r="BM138" s="72">
        <v>0.78</v>
      </c>
      <c r="BN138" s="72">
        <v>0.81</v>
      </c>
      <c r="BO138" s="72">
        <v>0.87</v>
      </c>
      <c r="BP138" s="72">
        <v>0.81</v>
      </c>
      <c r="BQ138" s="72">
        <v>0.78</v>
      </c>
      <c r="BR138" s="72">
        <v>0.81</v>
      </c>
      <c r="BS138" s="72">
        <v>0.76</v>
      </c>
      <c r="BT138" s="72">
        <v>0.76</v>
      </c>
      <c r="BU138" s="72">
        <v>0.76</v>
      </c>
      <c r="BV138" s="72">
        <v>0.76</v>
      </c>
      <c r="BW138" s="72">
        <v>0.7</v>
      </c>
      <c r="BX138" s="72">
        <v>0.7</v>
      </c>
      <c r="BY138" s="72">
        <v>0.7</v>
      </c>
      <c r="BZ138" s="72">
        <v>0.7</v>
      </c>
      <c r="CA138" s="72">
        <v>0.72</v>
      </c>
      <c r="CB138" s="72">
        <v>0.72</v>
      </c>
      <c r="CC138" s="72">
        <v>0.7</v>
      </c>
      <c r="CD138" s="72">
        <v>0.72</v>
      </c>
      <c r="CE138" s="72">
        <v>0.69</v>
      </c>
      <c r="CF138" s="72">
        <v>0.69</v>
      </c>
      <c r="CG138" s="72">
        <v>0.69</v>
      </c>
      <c r="CH138" s="72">
        <v>0.69</v>
      </c>
      <c r="CI138" s="72">
        <v>0.32</v>
      </c>
      <c r="CJ138" s="72">
        <v>0.32</v>
      </c>
      <c r="CK138" s="72">
        <v>0.77</v>
      </c>
      <c r="CL138" s="72">
        <v>0.77</v>
      </c>
      <c r="CM138" s="72">
        <v>0.72</v>
      </c>
      <c r="CN138" s="72">
        <v>0.7</v>
      </c>
      <c r="CO138" s="72">
        <v>0.69</v>
      </c>
      <c r="CP138" s="72">
        <v>0.76</v>
      </c>
      <c r="CQ138" s="72">
        <v>0.72</v>
      </c>
      <c r="CR138" s="72">
        <v>0.7</v>
      </c>
      <c r="CS138" s="72">
        <v>0.69</v>
      </c>
      <c r="CT138" s="72">
        <v>0.76</v>
      </c>
      <c r="CU138" s="72">
        <v>0.72</v>
      </c>
      <c r="CV138" s="72">
        <v>0.7</v>
      </c>
      <c r="CW138" s="72">
        <v>0.69</v>
      </c>
      <c r="CX138" s="72">
        <v>0.76</v>
      </c>
      <c r="CY138" s="72">
        <v>0.72</v>
      </c>
      <c r="CZ138" s="72">
        <v>0.7</v>
      </c>
      <c r="DA138" s="72">
        <v>0.69</v>
      </c>
      <c r="DB138" s="72">
        <v>0.76</v>
      </c>
      <c r="DC138" s="72">
        <v>0.87</v>
      </c>
      <c r="DD138" s="72">
        <v>0.81</v>
      </c>
      <c r="DE138" s="10"/>
      <c r="DF138" s="72">
        <v>0.81</v>
      </c>
      <c r="DG138" s="72">
        <v>0.87</v>
      </c>
      <c r="DH138" s="72">
        <v>0.81</v>
      </c>
      <c r="DI138" s="10"/>
      <c r="DJ138" s="72">
        <v>0.81</v>
      </c>
      <c r="DK138" s="72">
        <v>0.76</v>
      </c>
      <c r="DL138" s="72">
        <v>0.72</v>
      </c>
      <c r="DM138" s="72">
        <v>0.72</v>
      </c>
      <c r="DN138" s="72">
        <v>0.72</v>
      </c>
      <c r="DO138" s="448">
        <f t="shared" si="80"/>
        <v>0.54500000000000004</v>
      </c>
    </row>
    <row r="139" spans="1:119">
      <c r="A139" s="24" t="s">
        <v>50</v>
      </c>
      <c r="B139" s="24" t="s">
        <v>51</v>
      </c>
      <c r="C139" s="72">
        <v>0.06</v>
      </c>
      <c r="D139" s="72">
        <v>0.1</v>
      </c>
      <c r="E139" s="10"/>
      <c r="F139" s="72">
        <v>0.1</v>
      </c>
      <c r="G139" s="3489">
        <v>0.05</v>
      </c>
      <c r="H139" s="10"/>
      <c r="I139" s="72">
        <v>0.06</v>
      </c>
      <c r="J139" s="10"/>
      <c r="K139" s="72">
        <v>0.1</v>
      </c>
      <c r="L139" s="72">
        <v>0.1</v>
      </c>
      <c r="M139" s="72">
        <v>0.11</v>
      </c>
      <c r="N139" s="72">
        <v>0.11</v>
      </c>
      <c r="O139" s="72">
        <v>0.09</v>
      </c>
      <c r="P139" s="72">
        <v>0.09</v>
      </c>
      <c r="Q139" s="72">
        <v>0.11</v>
      </c>
      <c r="R139" s="72">
        <v>0.11</v>
      </c>
      <c r="S139" s="72">
        <v>0.11</v>
      </c>
      <c r="T139" s="72">
        <v>0.11</v>
      </c>
      <c r="U139" s="10"/>
      <c r="V139" s="10"/>
      <c r="W139" s="72">
        <v>0.1</v>
      </c>
      <c r="X139" s="72">
        <v>0.09</v>
      </c>
      <c r="Y139" s="72">
        <v>0.11</v>
      </c>
      <c r="Z139" s="72">
        <v>0.1</v>
      </c>
      <c r="AA139" s="72">
        <v>0.11</v>
      </c>
      <c r="AB139" s="72">
        <v>0.09</v>
      </c>
      <c r="AC139" s="72">
        <v>0.08</v>
      </c>
      <c r="AD139" s="72">
        <v>0.09</v>
      </c>
      <c r="AE139" s="10"/>
      <c r="AF139" s="10"/>
      <c r="AG139" s="10"/>
      <c r="AH139" s="10"/>
      <c r="AI139" s="10"/>
      <c r="AJ139" s="10"/>
      <c r="AK139" s="10"/>
      <c r="AL139" s="10"/>
      <c r="AM139" s="10"/>
      <c r="AN139" s="10"/>
      <c r="AO139" s="72">
        <v>0.09</v>
      </c>
      <c r="AP139" s="72">
        <v>0.1</v>
      </c>
      <c r="AQ139" s="72">
        <v>0.08</v>
      </c>
      <c r="AR139" s="72">
        <v>0.08</v>
      </c>
      <c r="AS139" s="72">
        <v>0.1</v>
      </c>
      <c r="AT139" s="72">
        <v>0.08</v>
      </c>
      <c r="AU139" s="72">
        <v>0.08</v>
      </c>
      <c r="AV139" s="72">
        <v>0.09</v>
      </c>
      <c r="AW139" s="72">
        <v>0.09</v>
      </c>
      <c r="AX139" s="72">
        <v>0.1</v>
      </c>
      <c r="AY139" s="72">
        <v>0.08</v>
      </c>
      <c r="AZ139" s="72">
        <v>0.08</v>
      </c>
      <c r="BA139" s="72">
        <v>0.1</v>
      </c>
      <c r="BB139" s="72">
        <v>0.08</v>
      </c>
      <c r="BC139" s="72">
        <v>0.1</v>
      </c>
      <c r="BD139" s="72">
        <v>0.11</v>
      </c>
      <c r="BE139" s="72">
        <v>0.09</v>
      </c>
      <c r="BF139" s="72">
        <v>0.11</v>
      </c>
      <c r="BG139" s="72">
        <v>0.11</v>
      </c>
      <c r="BH139" s="72">
        <v>0.1</v>
      </c>
      <c r="BI139" s="72">
        <v>0.11</v>
      </c>
      <c r="BJ139" s="99">
        <v>0.09</v>
      </c>
      <c r="BK139" s="72">
        <v>0.1</v>
      </c>
      <c r="BL139" s="72">
        <v>0.11</v>
      </c>
      <c r="BM139" s="72">
        <v>0.09</v>
      </c>
      <c r="BN139" s="72">
        <v>0.11</v>
      </c>
      <c r="BO139" s="72">
        <v>0.11</v>
      </c>
      <c r="BP139" s="72">
        <v>0.1</v>
      </c>
      <c r="BQ139" s="72">
        <v>0.09</v>
      </c>
      <c r="BR139" s="72">
        <v>0.11</v>
      </c>
      <c r="BS139" s="72">
        <v>0.1</v>
      </c>
      <c r="BT139" s="72">
        <v>0.1</v>
      </c>
      <c r="BU139" s="72">
        <v>0.1</v>
      </c>
      <c r="BV139" s="72">
        <v>0.1</v>
      </c>
      <c r="BW139" s="72">
        <v>0.08</v>
      </c>
      <c r="BX139" s="72">
        <v>0.08</v>
      </c>
      <c r="BY139" s="72">
        <v>0.08</v>
      </c>
      <c r="BZ139" s="72">
        <v>0.08</v>
      </c>
      <c r="CA139" s="72">
        <v>0.09</v>
      </c>
      <c r="CB139" s="72">
        <v>0.09</v>
      </c>
      <c r="CC139" s="72">
        <v>0.08</v>
      </c>
      <c r="CD139" s="72">
        <v>0.09</v>
      </c>
      <c r="CE139" s="72">
        <v>0.08</v>
      </c>
      <c r="CF139" s="72">
        <v>0.08</v>
      </c>
      <c r="CG139" s="72">
        <v>0.08</v>
      </c>
      <c r="CH139" s="72">
        <v>0.08</v>
      </c>
      <c r="CI139" s="72">
        <v>0.05</v>
      </c>
      <c r="CJ139" s="72">
        <v>0.05</v>
      </c>
      <c r="CK139" s="72">
        <v>0.09</v>
      </c>
      <c r="CL139" s="72">
        <v>0.09</v>
      </c>
      <c r="CM139" s="72">
        <v>0.09</v>
      </c>
      <c r="CN139" s="72">
        <v>0.08</v>
      </c>
      <c r="CO139" s="72">
        <v>0.08</v>
      </c>
      <c r="CP139" s="72">
        <v>0.1</v>
      </c>
      <c r="CQ139" s="72">
        <v>0.09</v>
      </c>
      <c r="CR139" s="72">
        <v>0.08</v>
      </c>
      <c r="CS139" s="72">
        <v>0.08</v>
      </c>
      <c r="CT139" s="72">
        <v>0.1</v>
      </c>
      <c r="CU139" s="72">
        <v>0.09</v>
      </c>
      <c r="CV139" s="72">
        <v>0.08</v>
      </c>
      <c r="CW139" s="72">
        <v>0.08</v>
      </c>
      <c r="CX139" s="72">
        <v>0.1</v>
      </c>
      <c r="CY139" s="72">
        <v>0.09</v>
      </c>
      <c r="CZ139" s="72">
        <v>0.08</v>
      </c>
      <c r="DA139" s="72">
        <v>0.08</v>
      </c>
      <c r="DB139" s="72">
        <v>0.1</v>
      </c>
      <c r="DC139" s="72">
        <v>0.11</v>
      </c>
      <c r="DD139" s="72">
        <v>0.1</v>
      </c>
      <c r="DE139" s="10"/>
      <c r="DF139" s="72">
        <v>0.11</v>
      </c>
      <c r="DG139" s="72">
        <v>0.11</v>
      </c>
      <c r="DH139" s="72">
        <v>0.1</v>
      </c>
      <c r="DI139" s="10"/>
      <c r="DJ139" s="72">
        <v>0.11</v>
      </c>
      <c r="DK139" s="72">
        <v>0.08</v>
      </c>
      <c r="DL139" s="72">
        <v>0.09</v>
      </c>
      <c r="DM139" s="72">
        <v>0.09</v>
      </c>
      <c r="DN139" s="72">
        <v>0.09</v>
      </c>
      <c r="DO139" s="448">
        <f t="shared" si="80"/>
        <v>7.0000000000000007E-2</v>
      </c>
    </row>
    <row r="140" spans="1:119">
      <c r="A140" s="24" t="s">
        <v>52</v>
      </c>
      <c r="B140" s="24" t="s">
        <v>53</v>
      </c>
      <c r="C140" s="72">
        <v>0</v>
      </c>
      <c r="D140" s="72">
        <v>0</v>
      </c>
      <c r="E140" s="10"/>
      <c r="F140" s="72">
        <v>0</v>
      </c>
      <c r="G140" s="72">
        <v>0</v>
      </c>
      <c r="H140" s="10"/>
      <c r="I140" s="72">
        <v>0</v>
      </c>
      <c r="J140" s="10"/>
      <c r="K140" s="72">
        <v>0</v>
      </c>
      <c r="L140" s="72">
        <v>0</v>
      </c>
      <c r="M140" s="72">
        <v>0</v>
      </c>
      <c r="N140" s="72">
        <v>0</v>
      </c>
      <c r="O140" s="72">
        <v>0</v>
      </c>
      <c r="P140" s="72">
        <v>0</v>
      </c>
      <c r="Q140" s="72">
        <v>0</v>
      </c>
      <c r="R140" s="72">
        <v>0</v>
      </c>
      <c r="S140" s="72">
        <v>0</v>
      </c>
      <c r="T140" s="72">
        <v>0</v>
      </c>
      <c r="U140" s="10"/>
      <c r="V140" s="10"/>
      <c r="W140" s="72">
        <v>0</v>
      </c>
      <c r="X140" s="72">
        <v>0</v>
      </c>
      <c r="Y140" s="72">
        <v>0</v>
      </c>
      <c r="Z140" s="72">
        <v>0</v>
      </c>
      <c r="AA140" s="72">
        <v>0</v>
      </c>
      <c r="AB140" s="72">
        <v>0</v>
      </c>
      <c r="AC140" s="72">
        <v>0</v>
      </c>
      <c r="AD140" s="72">
        <v>0</v>
      </c>
      <c r="AE140" s="10"/>
      <c r="AF140" s="10"/>
      <c r="AG140" s="10"/>
      <c r="AH140" s="10"/>
      <c r="AI140" s="10"/>
      <c r="AJ140" s="10"/>
      <c r="AK140" s="10"/>
      <c r="AL140" s="10"/>
      <c r="AM140" s="10"/>
      <c r="AN140" s="10"/>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0</v>
      </c>
      <c r="BE140" s="72">
        <v>0</v>
      </c>
      <c r="BF140" s="72">
        <v>0</v>
      </c>
      <c r="BG140" s="72">
        <v>0</v>
      </c>
      <c r="BH140" s="72">
        <v>0</v>
      </c>
      <c r="BI140" s="72">
        <v>0</v>
      </c>
      <c r="BJ140" s="99">
        <v>0</v>
      </c>
      <c r="BK140" s="72">
        <v>0</v>
      </c>
      <c r="BL140" s="72">
        <v>0</v>
      </c>
      <c r="BM140" s="72">
        <v>0</v>
      </c>
      <c r="BN140" s="72">
        <v>0</v>
      </c>
      <c r="BO140" s="72">
        <v>0</v>
      </c>
      <c r="BP140" s="72">
        <v>0</v>
      </c>
      <c r="BQ140" s="72">
        <v>0</v>
      </c>
      <c r="BR140" s="72">
        <v>0</v>
      </c>
      <c r="BS140" s="72">
        <v>0</v>
      </c>
      <c r="BT140" s="72">
        <v>0</v>
      </c>
      <c r="BU140" s="72">
        <v>0</v>
      </c>
      <c r="BV140" s="72">
        <v>0</v>
      </c>
      <c r="BW140" s="72">
        <v>0</v>
      </c>
      <c r="BX140" s="72">
        <v>0</v>
      </c>
      <c r="BY140" s="72">
        <v>0</v>
      </c>
      <c r="BZ140" s="72">
        <v>0</v>
      </c>
      <c r="CA140" s="72">
        <v>0</v>
      </c>
      <c r="CB140" s="72">
        <v>0</v>
      </c>
      <c r="CC140" s="72">
        <v>0</v>
      </c>
      <c r="CD140" s="72">
        <v>0</v>
      </c>
      <c r="CE140" s="72">
        <v>0</v>
      </c>
      <c r="CF140" s="72">
        <v>0</v>
      </c>
      <c r="CG140" s="72">
        <v>0</v>
      </c>
      <c r="CH140" s="72">
        <v>0</v>
      </c>
      <c r="CI140" s="72">
        <v>0</v>
      </c>
      <c r="CJ140" s="72">
        <v>0</v>
      </c>
      <c r="CK140" s="72">
        <v>0</v>
      </c>
      <c r="CL140" s="72">
        <v>0</v>
      </c>
      <c r="CM140" s="72">
        <v>0</v>
      </c>
      <c r="CN140" s="72">
        <v>0</v>
      </c>
      <c r="CO140" s="72">
        <v>0</v>
      </c>
      <c r="CP140" s="72">
        <v>0</v>
      </c>
      <c r="CQ140" s="72">
        <v>0</v>
      </c>
      <c r="CR140" s="72">
        <v>0</v>
      </c>
      <c r="CS140" s="72">
        <v>0</v>
      </c>
      <c r="CT140" s="72">
        <v>0</v>
      </c>
      <c r="CU140" s="72">
        <v>0</v>
      </c>
      <c r="CV140" s="72">
        <v>0</v>
      </c>
      <c r="CW140" s="72">
        <v>0</v>
      </c>
      <c r="CX140" s="72">
        <v>0</v>
      </c>
      <c r="CY140" s="72">
        <v>0</v>
      </c>
      <c r="CZ140" s="72">
        <v>0</v>
      </c>
      <c r="DA140" s="72">
        <v>0</v>
      </c>
      <c r="DB140" s="72">
        <v>0</v>
      </c>
      <c r="DC140" s="72">
        <v>0</v>
      </c>
      <c r="DD140" s="72">
        <v>0</v>
      </c>
      <c r="DE140" s="10"/>
      <c r="DF140" s="72">
        <v>0</v>
      </c>
      <c r="DG140" s="72">
        <v>0</v>
      </c>
      <c r="DH140" s="72">
        <v>0</v>
      </c>
      <c r="DI140" s="10"/>
      <c r="DJ140" s="72">
        <v>0</v>
      </c>
      <c r="DK140" s="72">
        <v>0</v>
      </c>
      <c r="DL140" s="72">
        <v>0</v>
      </c>
      <c r="DM140" s="72">
        <v>0</v>
      </c>
      <c r="DN140" s="72">
        <v>0</v>
      </c>
      <c r="DO140" s="448">
        <f t="shared" si="80"/>
        <v>0</v>
      </c>
    </row>
    <row r="141" spans="1:119">
      <c r="A141" s="24" t="s">
        <v>55</v>
      </c>
      <c r="B141" s="24" t="s">
        <v>56</v>
      </c>
      <c r="C141" s="72">
        <v>0.79</v>
      </c>
      <c r="D141" s="72">
        <v>1</v>
      </c>
      <c r="E141" s="10"/>
      <c r="F141" s="72">
        <v>0.81</v>
      </c>
      <c r="G141" s="72">
        <v>0.81</v>
      </c>
      <c r="H141" s="10"/>
      <c r="I141" s="72">
        <v>0.79</v>
      </c>
      <c r="J141" s="10"/>
      <c r="K141" s="72">
        <v>1</v>
      </c>
      <c r="L141" s="72">
        <v>0.81</v>
      </c>
      <c r="M141" s="72">
        <v>0.8</v>
      </c>
      <c r="N141" s="72">
        <v>0.8</v>
      </c>
      <c r="O141" s="72">
        <v>0.81</v>
      </c>
      <c r="P141" s="72">
        <v>0.81</v>
      </c>
      <c r="Q141" s="72">
        <v>0.81</v>
      </c>
      <c r="R141" s="72">
        <v>0.81</v>
      </c>
      <c r="S141" s="72">
        <v>0.59</v>
      </c>
      <c r="T141" s="72">
        <v>0.59</v>
      </c>
      <c r="U141" s="10"/>
      <c r="V141" s="10"/>
      <c r="W141" s="72">
        <v>0.64</v>
      </c>
      <c r="X141" s="72">
        <v>0.68</v>
      </c>
      <c r="Y141" s="72">
        <v>0.74</v>
      </c>
      <c r="Z141" s="72">
        <v>0.64</v>
      </c>
      <c r="AA141" s="72">
        <v>0.74</v>
      </c>
      <c r="AB141" s="72">
        <v>0.68</v>
      </c>
      <c r="AC141" s="72">
        <v>0.65</v>
      </c>
      <c r="AD141" s="72">
        <v>0.44</v>
      </c>
      <c r="AE141" s="10"/>
      <c r="AF141" s="10"/>
      <c r="AG141" s="10"/>
      <c r="AH141" s="10"/>
      <c r="AI141" s="10"/>
      <c r="AJ141" s="10"/>
      <c r="AK141" s="10"/>
      <c r="AL141" s="10"/>
      <c r="AM141" s="10"/>
      <c r="AN141" s="10"/>
      <c r="AO141" s="72">
        <v>0.6</v>
      </c>
      <c r="AP141" s="72">
        <v>0.67</v>
      </c>
      <c r="AQ141" s="72">
        <v>0.56000000000000005</v>
      </c>
      <c r="AR141" s="72">
        <v>0.51</v>
      </c>
      <c r="AS141" s="72">
        <v>0.73</v>
      </c>
      <c r="AT141" s="72">
        <v>0.67</v>
      </c>
      <c r="AU141" s="72">
        <v>0.65</v>
      </c>
      <c r="AV141" s="72">
        <v>0.44</v>
      </c>
      <c r="AW141" s="72">
        <v>0.6</v>
      </c>
      <c r="AX141" s="72">
        <v>0.67</v>
      </c>
      <c r="AY141" s="72">
        <v>0.56000000000000005</v>
      </c>
      <c r="AZ141" s="72">
        <v>0.51</v>
      </c>
      <c r="BA141" s="72">
        <v>0.73</v>
      </c>
      <c r="BB141" s="72">
        <v>0.67</v>
      </c>
      <c r="BC141" s="72">
        <v>0.81</v>
      </c>
      <c r="BD141" s="72">
        <v>0.8</v>
      </c>
      <c r="BE141" s="72">
        <v>0.81</v>
      </c>
      <c r="BF141" s="72">
        <v>0.81</v>
      </c>
      <c r="BG141" s="72">
        <v>0.59</v>
      </c>
      <c r="BH141" s="72">
        <v>0.64</v>
      </c>
      <c r="BI141" s="72">
        <v>0.74</v>
      </c>
      <c r="BJ141" s="99">
        <v>0.68</v>
      </c>
      <c r="BK141" s="72">
        <v>0.81</v>
      </c>
      <c r="BL141" s="72">
        <v>0.8</v>
      </c>
      <c r="BM141" s="72">
        <v>0.81</v>
      </c>
      <c r="BN141" s="72">
        <v>0.81</v>
      </c>
      <c r="BO141" s="72">
        <v>0.59</v>
      </c>
      <c r="BP141" s="72">
        <v>0.64</v>
      </c>
      <c r="BQ141" s="72">
        <v>0.68</v>
      </c>
      <c r="BR141" s="72">
        <v>0.74</v>
      </c>
      <c r="BS141" s="72">
        <v>0.67</v>
      </c>
      <c r="BT141" s="72">
        <v>0.73</v>
      </c>
      <c r="BU141" s="72">
        <v>0.73</v>
      </c>
      <c r="BV141" s="72">
        <v>0.67</v>
      </c>
      <c r="BW141" s="72">
        <v>0.51</v>
      </c>
      <c r="BX141" s="72">
        <v>0.65</v>
      </c>
      <c r="BY141" s="72">
        <v>0.65</v>
      </c>
      <c r="BZ141" s="72">
        <v>0.51</v>
      </c>
      <c r="CA141" s="72">
        <v>0.44</v>
      </c>
      <c r="CB141" s="72">
        <v>0.6</v>
      </c>
      <c r="CC141" s="72">
        <v>0.65</v>
      </c>
      <c r="CD141" s="72">
        <v>0.44</v>
      </c>
      <c r="CE141" s="72">
        <v>0.56000000000000005</v>
      </c>
      <c r="CF141" s="72">
        <v>0.56000000000000005</v>
      </c>
      <c r="CG141" s="72">
        <v>0.67</v>
      </c>
      <c r="CH141" s="72">
        <v>0.67</v>
      </c>
      <c r="CI141" s="72">
        <v>0.68</v>
      </c>
      <c r="CJ141" s="72">
        <v>0.68</v>
      </c>
      <c r="CK141" s="72">
        <v>0.85</v>
      </c>
      <c r="CL141" s="72">
        <v>0.85</v>
      </c>
      <c r="CM141" s="72">
        <v>0.6</v>
      </c>
      <c r="CN141" s="72">
        <v>0.65</v>
      </c>
      <c r="CO141" s="72">
        <v>0.67</v>
      </c>
      <c r="CP141" s="72">
        <v>0.73</v>
      </c>
      <c r="CQ141" s="72">
        <v>0.44</v>
      </c>
      <c r="CR141" s="72">
        <v>0.51</v>
      </c>
      <c r="CS141" s="72">
        <v>0.56000000000000005</v>
      </c>
      <c r="CT141" s="72">
        <v>0.67</v>
      </c>
      <c r="CU141" s="72">
        <v>0.6</v>
      </c>
      <c r="CV141" s="72">
        <v>0.65</v>
      </c>
      <c r="CW141" s="72">
        <v>0.67</v>
      </c>
      <c r="CX141" s="72">
        <v>0.73</v>
      </c>
      <c r="CY141" s="72">
        <v>0.44</v>
      </c>
      <c r="CZ141" s="72">
        <v>0.51</v>
      </c>
      <c r="DA141" s="72">
        <v>0.56000000000000005</v>
      </c>
      <c r="DB141" s="72">
        <v>0.67</v>
      </c>
      <c r="DC141" s="72">
        <v>0.59</v>
      </c>
      <c r="DD141" s="72">
        <v>0.64</v>
      </c>
      <c r="DE141" s="10"/>
      <c r="DF141" s="72">
        <v>0.74</v>
      </c>
      <c r="DG141" s="72">
        <v>0.59</v>
      </c>
      <c r="DH141" s="72">
        <v>0.64</v>
      </c>
      <c r="DI141" s="10"/>
      <c r="DJ141" s="72">
        <v>0.74</v>
      </c>
      <c r="DK141" s="72">
        <v>0.8</v>
      </c>
      <c r="DL141" s="72">
        <v>0.6</v>
      </c>
      <c r="DM141" s="72">
        <v>0.53333333333333333</v>
      </c>
      <c r="DN141" s="72">
        <v>0.5714285714285714</v>
      </c>
      <c r="DO141" s="448">
        <f t="shared" si="80"/>
        <v>0.76500000000000001</v>
      </c>
    </row>
    <row r="142" spans="1:119">
      <c r="A142" s="24" t="s">
        <v>187</v>
      </c>
      <c r="B142" s="24" t="s">
        <v>188</v>
      </c>
      <c r="C142" s="72">
        <v>0.67</v>
      </c>
      <c r="D142" s="72">
        <v>0.88</v>
      </c>
      <c r="E142" s="10"/>
      <c r="F142" s="72">
        <v>0.89</v>
      </c>
      <c r="G142" s="72">
        <v>0.89</v>
      </c>
      <c r="H142" s="10"/>
      <c r="I142" s="72">
        <v>0.67</v>
      </c>
      <c r="J142" s="10"/>
      <c r="K142" s="72">
        <v>0.88</v>
      </c>
      <c r="L142" s="72">
        <v>0.89</v>
      </c>
      <c r="M142" s="72">
        <v>0.89</v>
      </c>
      <c r="N142" s="72">
        <v>0.89</v>
      </c>
      <c r="O142" s="72">
        <v>0.89</v>
      </c>
      <c r="P142" s="72">
        <v>0.89</v>
      </c>
      <c r="Q142" s="72">
        <v>0.89</v>
      </c>
      <c r="R142" s="72">
        <v>0.89</v>
      </c>
      <c r="S142" s="72">
        <v>0.59</v>
      </c>
      <c r="T142" s="72">
        <v>0.59</v>
      </c>
      <c r="U142" s="10"/>
      <c r="V142" s="10"/>
      <c r="W142" s="72">
        <v>0.66</v>
      </c>
      <c r="X142" s="72">
        <v>0.71</v>
      </c>
      <c r="Y142" s="72">
        <v>0.8</v>
      </c>
      <c r="Z142" s="72">
        <v>0.66</v>
      </c>
      <c r="AA142" s="72">
        <v>0.8</v>
      </c>
      <c r="AB142" s="72">
        <v>0.71</v>
      </c>
      <c r="AC142" s="72">
        <v>0.71</v>
      </c>
      <c r="AD142" s="72">
        <v>0.44</v>
      </c>
      <c r="AE142" s="10"/>
      <c r="AF142" s="10"/>
      <c r="AG142" s="10"/>
      <c r="AH142" s="10"/>
      <c r="AI142" s="10"/>
      <c r="AJ142" s="10"/>
      <c r="AK142" s="10"/>
      <c r="AL142" s="10"/>
      <c r="AM142" s="10"/>
      <c r="AN142" s="10"/>
      <c r="AO142" s="72">
        <v>0.67</v>
      </c>
      <c r="AP142" s="72">
        <v>0.73</v>
      </c>
      <c r="AQ142" s="72">
        <v>0.59</v>
      </c>
      <c r="AR142" s="72">
        <v>0.53</v>
      </c>
      <c r="AS142" s="72">
        <v>0.81</v>
      </c>
      <c r="AT142" s="72">
        <v>0.74</v>
      </c>
      <c r="AU142" s="72">
        <v>0.71</v>
      </c>
      <c r="AV142" s="72">
        <v>0.44</v>
      </c>
      <c r="AW142" s="72">
        <v>0.67</v>
      </c>
      <c r="AX142" s="72">
        <v>0.73</v>
      </c>
      <c r="AY142" s="72">
        <v>0.59</v>
      </c>
      <c r="AZ142" s="72">
        <v>0.53</v>
      </c>
      <c r="BA142" s="72">
        <v>0.81</v>
      </c>
      <c r="BB142" s="72">
        <v>0.74</v>
      </c>
      <c r="BC142" s="72">
        <v>0.89</v>
      </c>
      <c r="BD142" s="72">
        <v>0.89</v>
      </c>
      <c r="BE142" s="72">
        <v>0.89</v>
      </c>
      <c r="BF142" s="72">
        <v>0.89</v>
      </c>
      <c r="BG142" s="72">
        <v>0.59</v>
      </c>
      <c r="BH142" s="72">
        <v>0.66</v>
      </c>
      <c r="BI142" s="72">
        <v>0.8</v>
      </c>
      <c r="BJ142" s="99">
        <v>0.71</v>
      </c>
      <c r="BK142" s="72">
        <v>0.89</v>
      </c>
      <c r="BL142" s="72">
        <v>0.89</v>
      </c>
      <c r="BM142" s="72">
        <v>0.89</v>
      </c>
      <c r="BN142" s="72">
        <v>0.89</v>
      </c>
      <c r="BO142" s="72">
        <v>0.59</v>
      </c>
      <c r="BP142" s="72">
        <v>0.66</v>
      </c>
      <c r="BQ142" s="72">
        <v>0.71</v>
      </c>
      <c r="BR142" s="72">
        <v>0.8</v>
      </c>
      <c r="BS142" s="72">
        <v>0.73</v>
      </c>
      <c r="BT142" s="72">
        <v>0.81</v>
      </c>
      <c r="BU142" s="72">
        <v>0.81</v>
      </c>
      <c r="BV142" s="72">
        <v>0.73</v>
      </c>
      <c r="BW142" s="72">
        <v>0.53</v>
      </c>
      <c r="BX142" s="72">
        <v>0.71</v>
      </c>
      <c r="BY142" s="72">
        <v>0.71</v>
      </c>
      <c r="BZ142" s="72">
        <v>0.53</v>
      </c>
      <c r="CA142" s="72">
        <v>0.44</v>
      </c>
      <c r="CB142" s="72">
        <v>0.67</v>
      </c>
      <c r="CC142" s="72">
        <v>0.71</v>
      </c>
      <c r="CD142" s="72">
        <v>0.44</v>
      </c>
      <c r="CE142" s="72">
        <v>0.59</v>
      </c>
      <c r="CF142" s="72">
        <v>0.59</v>
      </c>
      <c r="CG142" s="72">
        <v>0.74</v>
      </c>
      <c r="CH142" s="72">
        <v>0.74</v>
      </c>
      <c r="CI142" s="72">
        <v>0.77</v>
      </c>
      <c r="CJ142" s="72">
        <v>0.77</v>
      </c>
      <c r="CK142" s="72">
        <v>1.02</v>
      </c>
      <c r="CL142" s="72">
        <v>1.02</v>
      </c>
      <c r="CM142" s="72">
        <v>0.67</v>
      </c>
      <c r="CN142" s="72">
        <v>0.71</v>
      </c>
      <c r="CO142" s="72">
        <v>0.74</v>
      </c>
      <c r="CP142" s="72">
        <v>0.81</v>
      </c>
      <c r="CQ142" s="72">
        <v>0.44</v>
      </c>
      <c r="CR142" s="72">
        <v>0.53</v>
      </c>
      <c r="CS142" s="72">
        <v>0.59</v>
      </c>
      <c r="CT142" s="72">
        <v>0.73</v>
      </c>
      <c r="CU142" s="72">
        <v>0.67</v>
      </c>
      <c r="CV142" s="72">
        <v>0.71</v>
      </c>
      <c r="CW142" s="72">
        <v>0.74</v>
      </c>
      <c r="CX142" s="72">
        <v>0.81</v>
      </c>
      <c r="CY142" s="72">
        <v>0.44</v>
      </c>
      <c r="CZ142" s="72">
        <v>0.53</v>
      </c>
      <c r="DA142" s="72">
        <v>0.59</v>
      </c>
      <c r="DB142" s="72">
        <v>0.73</v>
      </c>
      <c r="DC142" s="72">
        <v>0.59</v>
      </c>
      <c r="DD142" s="72">
        <v>0.66</v>
      </c>
      <c r="DE142" s="10"/>
      <c r="DF142" s="72">
        <v>0.8</v>
      </c>
      <c r="DG142" s="72">
        <v>0.59</v>
      </c>
      <c r="DH142" s="72">
        <v>0.66</v>
      </c>
      <c r="DI142" s="10"/>
      <c r="DJ142" s="72">
        <v>0.8</v>
      </c>
      <c r="DK142" s="72">
        <v>0.66</v>
      </c>
      <c r="DL142" s="72">
        <v>0.67</v>
      </c>
      <c r="DM142" s="72">
        <v>0.5955555555555555</v>
      </c>
      <c r="DN142" s="72">
        <v>0.63809523809523805</v>
      </c>
      <c r="DO142" s="448">
        <f t="shared" si="80"/>
        <v>0.89500000000000002</v>
      </c>
    </row>
    <row r="143" spans="1:119">
      <c r="A143" s="24" t="s">
        <v>58</v>
      </c>
      <c r="B143" s="24" t="s">
        <v>59</v>
      </c>
      <c r="C143" s="72">
        <v>1</v>
      </c>
      <c r="D143" s="72">
        <v>1.08</v>
      </c>
      <c r="E143" s="10"/>
      <c r="F143" s="72">
        <v>0.95</v>
      </c>
      <c r="G143" s="72">
        <v>0.95</v>
      </c>
      <c r="H143" s="10"/>
      <c r="I143" s="72">
        <v>1</v>
      </c>
      <c r="J143" s="10"/>
      <c r="K143" s="72">
        <v>1.08</v>
      </c>
      <c r="L143" s="72">
        <v>0.95</v>
      </c>
      <c r="M143" s="72">
        <v>0.97</v>
      </c>
      <c r="N143" s="72">
        <v>0.97</v>
      </c>
      <c r="O143" s="72">
        <v>0.95</v>
      </c>
      <c r="P143" s="72">
        <v>0.95</v>
      </c>
      <c r="Q143" s="72">
        <v>0.95</v>
      </c>
      <c r="R143" s="72">
        <v>0.95</v>
      </c>
      <c r="S143" s="72">
        <v>0.97</v>
      </c>
      <c r="T143" s="72">
        <v>0.97</v>
      </c>
      <c r="U143" s="10"/>
      <c r="V143" s="10"/>
      <c r="W143" s="72">
        <v>0.95</v>
      </c>
      <c r="X143" s="72">
        <v>0.95</v>
      </c>
      <c r="Y143" s="72">
        <v>0.95</v>
      </c>
      <c r="Z143" s="72">
        <v>0.95</v>
      </c>
      <c r="AA143" s="72">
        <v>0.95</v>
      </c>
      <c r="AB143" s="72">
        <v>0.95</v>
      </c>
      <c r="AC143" s="72">
        <v>0.76</v>
      </c>
      <c r="AD143" s="72">
        <v>0.73</v>
      </c>
      <c r="AE143" s="10"/>
      <c r="AF143" s="10"/>
      <c r="AG143" s="10"/>
      <c r="AH143" s="10"/>
      <c r="AI143" s="10"/>
      <c r="AJ143" s="10"/>
      <c r="AK143" s="10"/>
      <c r="AL143" s="10"/>
      <c r="AM143" s="10"/>
      <c r="AN143" s="10"/>
      <c r="AO143" s="72">
        <v>0.73</v>
      </c>
      <c r="AP143" s="72">
        <v>0.87</v>
      </c>
      <c r="AQ143" s="72">
        <v>0.8</v>
      </c>
      <c r="AR143" s="72">
        <v>0.76</v>
      </c>
      <c r="AS143" s="72">
        <v>0.87</v>
      </c>
      <c r="AT143" s="72">
        <v>0.8</v>
      </c>
      <c r="AU143" s="72">
        <v>0.76</v>
      </c>
      <c r="AV143" s="72">
        <v>0.73</v>
      </c>
      <c r="AW143" s="72">
        <v>0.73</v>
      </c>
      <c r="AX143" s="72">
        <v>0.87</v>
      </c>
      <c r="AY143" s="72">
        <v>0.8</v>
      </c>
      <c r="AZ143" s="72">
        <v>0.76</v>
      </c>
      <c r="BA143" s="72">
        <v>0.87</v>
      </c>
      <c r="BB143" s="72">
        <v>0.8</v>
      </c>
      <c r="BC143" s="72">
        <v>0.95</v>
      </c>
      <c r="BD143" s="72">
        <v>0.97</v>
      </c>
      <c r="BE143" s="72">
        <v>0.95</v>
      </c>
      <c r="BF143" s="72">
        <v>0.95</v>
      </c>
      <c r="BG143" s="72">
        <v>0.97</v>
      </c>
      <c r="BH143" s="72">
        <v>0.95</v>
      </c>
      <c r="BI143" s="72">
        <v>0.95</v>
      </c>
      <c r="BJ143" s="99">
        <v>0.95</v>
      </c>
      <c r="BK143" s="72">
        <v>0.95</v>
      </c>
      <c r="BL143" s="72">
        <v>0.97</v>
      </c>
      <c r="BM143" s="72">
        <v>0.95</v>
      </c>
      <c r="BN143" s="72">
        <v>0.95</v>
      </c>
      <c r="BO143" s="72">
        <v>0.97</v>
      </c>
      <c r="BP143" s="72">
        <v>0.95</v>
      </c>
      <c r="BQ143" s="72">
        <v>0.95</v>
      </c>
      <c r="BR143" s="72">
        <v>0.95</v>
      </c>
      <c r="BS143" s="72">
        <v>0.87</v>
      </c>
      <c r="BT143" s="72">
        <v>0.87</v>
      </c>
      <c r="BU143" s="72">
        <v>0.87</v>
      </c>
      <c r="BV143" s="72">
        <v>0.87</v>
      </c>
      <c r="BW143" s="72">
        <v>0.76</v>
      </c>
      <c r="BX143" s="72">
        <v>0.76</v>
      </c>
      <c r="BY143" s="72">
        <v>0.76</v>
      </c>
      <c r="BZ143" s="72">
        <v>0.76</v>
      </c>
      <c r="CA143" s="72">
        <v>0.73</v>
      </c>
      <c r="CB143" s="72">
        <v>0.73</v>
      </c>
      <c r="CC143" s="72">
        <v>0.76</v>
      </c>
      <c r="CD143" s="72">
        <v>0.73</v>
      </c>
      <c r="CE143" s="72">
        <v>0.8</v>
      </c>
      <c r="CF143" s="72">
        <v>0.8</v>
      </c>
      <c r="CG143" s="72">
        <v>0.8</v>
      </c>
      <c r="CH143" s="72">
        <v>0.8</v>
      </c>
      <c r="CI143" s="72">
        <v>0.85</v>
      </c>
      <c r="CJ143" s="72">
        <v>0.85</v>
      </c>
      <c r="CK143" s="72">
        <v>0.91</v>
      </c>
      <c r="CL143" s="72">
        <v>0.91</v>
      </c>
      <c r="CM143" s="72">
        <v>0.73</v>
      </c>
      <c r="CN143" s="72">
        <v>0.76</v>
      </c>
      <c r="CO143" s="72">
        <v>0.8</v>
      </c>
      <c r="CP143" s="72">
        <v>0.87</v>
      </c>
      <c r="CQ143" s="72">
        <v>0.73</v>
      </c>
      <c r="CR143" s="72">
        <v>0.76</v>
      </c>
      <c r="CS143" s="72">
        <v>0.8</v>
      </c>
      <c r="CT143" s="72">
        <v>0.87</v>
      </c>
      <c r="CU143" s="72">
        <v>0.73</v>
      </c>
      <c r="CV143" s="72">
        <v>0.76</v>
      </c>
      <c r="CW143" s="72">
        <v>0.8</v>
      </c>
      <c r="CX143" s="72">
        <v>0.87</v>
      </c>
      <c r="CY143" s="72">
        <v>0.73</v>
      </c>
      <c r="CZ143" s="72">
        <v>0.76</v>
      </c>
      <c r="DA143" s="72">
        <v>0.8</v>
      </c>
      <c r="DB143" s="72">
        <v>0.87</v>
      </c>
      <c r="DC143" s="72">
        <v>0.97</v>
      </c>
      <c r="DD143" s="72">
        <v>0.95</v>
      </c>
      <c r="DE143" s="10"/>
      <c r="DF143" s="72">
        <v>0.95</v>
      </c>
      <c r="DG143" s="72">
        <v>0.97</v>
      </c>
      <c r="DH143" s="72">
        <v>0.95</v>
      </c>
      <c r="DI143" s="10"/>
      <c r="DJ143" s="72">
        <v>0.95</v>
      </c>
      <c r="DK143" s="72">
        <v>0.84</v>
      </c>
      <c r="DL143" s="72">
        <v>0.73</v>
      </c>
      <c r="DM143" s="72">
        <v>0.64888888888888885</v>
      </c>
      <c r="DN143" s="72">
        <v>0.69523809523809521</v>
      </c>
      <c r="DO143" s="448">
        <f t="shared" si="80"/>
        <v>0.88</v>
      </c>
    </row>
    <row r="144" spans="1:119">
      <c r="A144" s="24" t="s">
        <v>60</v>
      </c>
      <c r="B144" s="24" t="s">
        <v>189</v>
      </c>
      <c r="C144" s="72">
        <v>0.72</v>
      </c>
      <c r="D144" s="72">
        <v>0.34</v>
      </c>
      <c r="E144" s="10"/>
      <c r="F144" s="72">
        <v>0.35</v>
      </c>
      <c r="G144" s="3489">
        <v>0.85</v>
      </c>
      <c r="H144" s="10"/>
      <c r="I144" s="72">
        <v>0.74</v>
      </c>
      <c r="J144" s="10"/>
      <c r="K144" s="72">
        <v>0.34</v>
      </c>
      <c r="L144" s="72">
        <v>0.35</v>
      </c>
      <c r="M144" s="72">
        <v>0.35</v>
      </c>
      <c r="N144" s="72">
        <v>0.35</v>
      </c>
      <c r="O144" s="72">
        <v>0.36</v>
      </c>
      <c r="P144" s="72">
        <v>0.36</v>
      </c>
      <c r="Q144" s="72">
        <v>0.36</v>
      </c>
      <c r="R144" s="72">
        <v>0.36</v>
      </c>
      <c r="S144" s="72">
        <v>0.28999999999999998</v>
      </c>
      <c r="T144" s="72">
        <v>0.28999999999999998</v>
      </c>
      <c r="U144" s="10"/>
      <c r="V144" s="10"/>
      <c r="W144" s="72">
        <v>0.3</v>
      </c>
      <c r="X144" s="72">
        <v>0.32</v>
      </c>
      <c r="Y144" s="72">
        <v>0.33</v>
      </c>
      <c r="Z144" s="72">
        <v>0.3</v>
      </c>
      <c r="AA144" s="72">
        <v>0.33</v>
      </c>
      <c r="AB144" s="72">
        <v>0.32</v>
      </c>
      <c r="AC144" s="72">
        <v>0.28999999999999998</v>
      </c>
      <c r="AD144" s="72">
        <v>0.24</v>
      </c>
      <c r="AE144" s="10"/>
      <c r="AF144" s="10"/>
      <c r="AG144" s="10"/>
      <c r="AH144" s="10"/>
      <c r="AI144" s="10"/>
      <c r="AJ144" s="10"/>
      <c r="AK144" s="10"/>
      <c r="AL144" s="10"/>
      <c r="AM144" s="10"/>
      <c r="AN144" s="10"/>
      <c r="AO144" s="72">
        <v>0.28000000000000003</v>
      </c>
      <c r="AP144" s="72">
        <v>0.3</v>
      </c>
      <c r="AQ144" s="72">
        <v>0.28000000000000003</v>
      </c>
      <c r="AR144" s="72">
        <v>0.26</v>
      </c>
      <c r="AS144" s="72">
        <v>0.33</v>
      </c>
      <c r="AT144" s="72">
        <v>0.31</v>
      </c>
      <c r="AU144" s="72">
        <v>0.28999999999999998</v>
      </c>
      <c r="AV144" s="72">
        <v>0.24</v>
      </c>
      <c r="AW144" s="72">
        <v>0.28000000000000003</v>
      </c>
      <c r="AX144" s="72">
        <v>0.3</v>
      </c>
      <c r="AY144" s="72">
        <v>0.28000000000000003</v>
      </c>
      <c r="AZ144" s="72">
        <v>0.26</v>
      </c>
      <c r="BA144" s="72">
        <v>0.33</v>
      </c>
      <c r="BB144" s="72">
        <v>0.31</v>
      </c>
      <c r="BC144" s="72">
        <v>0.35</v>
      </c>
      <c r="BD144" s="72">
        <v>0.35</v>
      </c>
      <c r="BE144" s="72">
        <v>0.36</v>
      </c>
      <c r="BF144" s="72">
        <v>0.36</v>
      </c>
      <c r="BG144" s="72">
        <v>0.28999999999999998</v>
      </c>
      <c r="BH144" s="72">
        <v>0.3</v>
      </c>
      <c r="BI144" s="72">
        <v>0.33</v>
      </c>
      <c r="BJ144" s="99">
        <v>0.32</v>
      </c>
      <c r="BK144" s="72">
        <v>0.35</v>
      </c>
      <c r="BL144" s="72">
        <v>0.35</v>
      </c>
      <c r="BM144" s="72">
        <v>0.36</v>
      </c>
      <c r="BN144" s="72">
        <v>0.36</v>
      </c>
      <c r="BO144" s="72">
        <v>0.28999999999999998</v>
      </c>
      <c r="BP144" s="72">
        <v>0.3</v>
      </c>
      <c r="BQ144" s="72">
        <v>0.32</v>
      </c>
      <c r="BR144" s="72">
        <v>0.33</v>
      </c>
      <c r="BS144" s="72">
        <v>0.3</v>
      </c>
      <c r="BT144" s="72">
        <v>0.33</v>
      </c>
      <c r="BU144" s="72">
        <v>0.33</v>
      </c>
      <c r="BV144" s="72">
        <v>0.3</v>
      </c>
      <c r="BW144" s="72">
        <v>0.26</v>
      </c>
      <c r="BX144" s="72">
        <v>0.28999999999999998</v>
      </c>
      <c r="BY144" s="72">
        <v>0.28999999999999998</v>
      </c>
      <c r="BZ144" s="72">
        <v>0.26</v>
      </c>
      <c r="CA144" s="72">
        <v>0.24</v>
      </c>
      <c r="CB144" s="72">
        <v>0.28000000000000003</v>
      </c>
      <c r="CC144" s="72">
        <v>0.28999999999999998</v>
      </c>
      <c r="CD144" s="72">
        <v>0.24</v>
      </c>
      <c r="CE144" s="72">
        <v>0.28000000000000003</v>
      </c>
      <c r="CF144" s="72">
        <v>0.28000000000000003</v>
      </c>
      <c r="CG144" s="72">
        <v>0.31</v>
      </c>
      <c r="CH144" s="72">
        <v>0.31</v>
      </c>
      <c r="CI144" s="72">
        <v>0.83</v>
      </c>
      <c r="CJ144" s="72">
        <v>0.85</v>
      </c>
      <c r="CK144" s="72">
        <v>0.39</v>
      </c>
      <c r="CL144" s="72">
        <v>0.39</v>
      </c>
      <c r="CM144" s="72">
        <v>0.28000000000000003</v>
      </c>
      <c r="CN144" s="72">
        <v>0.28999999999999998</v>
      </c>
      <c r="CO144" s="72">
        <v>0.31</v>
      </c>
      <c r="CP144" s="72">
        <v>0.33</v>
      </c>
      <c r="CQ144" s="72">
        <v>0.24</v>
      </c>
      <c r="CR144" s="72">
        <v>0.26</v>
      </c>
      <c r="CS144" s="72">
        <v>0.28000000000000003</v>
      </c>
      <c r="CT144" s="72">
        <v>0.3</v>
      </c>
      <c r="CU144" s="72">
        <v>0.28000000000000003</v>
      </c>
      <c r="CV144" s="72">
        <v>0.28999999999999998</v>
      </c>
      <c r="CW144" s="72">
        <v>0.31</v>
      </c>
      <c r="CX144" s="72">
        <v>0.33</v>
      </c>
      <c r="CY144" s="72">
        <v>0.24</v>
      </c>
      <c r="CZ144" s="72">
        <v>0.26</v>
      </c>
      <c r="DA144" s="72">
        <v>0.28000000000000003</v>
      </c>
      <c r="DB144" s="72">
        <v>0.3</v>
      </c>
      <c r="DC144" s="72">
        <v>0.28999999999999998</v>
      </c>
      <c r="DD144" s="72">
        <v>0.3</v>
      </c>
      <c r="DE144" s="10"/>
      <c r="DF144" s="72">
        <v>0.33</v>
      </c>
      <c r="DG144" s="72">
        <v>0.28999999999999998</v>
      </c>
      <c r="DH144" s="72">
        <v>0.3</v>
      </c>
      <c r="DI144" s="10"/>
      <c r="DJ144" s="72">
        <v>0.33</v>
      </c>
      <c r="DK144" s="72">
        <v>0.27</v>
      </c>
      <c r="DL144" s="72">
        <v>0.28000000000000003</v>
      </c>
      <c r="DM144" s="72">
        <v>0.24888888888888891</v>
      </c>
      <c r="DN144" s="72">
        <v>0.26666666666666666</v>
      </c>
      <c r="DO144" s="448">
        <f t="shared" si="80"/>
        <v>0.61499999999999999</v>
      </c>
    </row>
    <row r="145" spans="1:123">
      <c r="A145" s="24" t="s">
        <v>190</v>
      </c>
      <c r="B145" s="24" t="s">
        <v>191</v>
      </c>
      <c r="C145" s="72">
        <v>0.55000000000000004</v>
      </c>
      <c r="D145" s="72">
        <v>0</v>
      </c>
      <c r="E145" s="10"/>
      <c r="F145" s="72">
        <v>0.28999999999999998</v>
      </c>
      <c r="G145" s="72">
        <v>0.28999999999999998</v>
      </c>
      <c r="H145" s="10"/>
      <c r="I145" s="72">
        <v>0</v>
      </c>
      <c r="J145" s="10"/>
      <c r="K145" s="72">
        <v>0.55000000000000004</v>
      </c>
      <c r="L145" s="72">
        <v>0</v>
      </c>
      <c r="M145" s="72">
        <v>0.39</v>
      </c>
      <c r="N145" s="72">
        <v>0</v>
      </c>
      <c r="O145" s="72">
        <v>0.23</v>
      </c>
      <c r="P145" s="72">
        <v>0</v>
      </c>
      <c r="Q145" s="72">
        <v>0.12</v>
      </c>
      <c r="R145" s="72">
        <v>0</v>
      </c>
      <c r="S145" s="72">
        <v>0.39</v>
      </c>
      <c r="T145" s="72">
        <v>0</v>
      </c>
      <c r="U145" s="10"/>
      <c r="V145" s="10"/>
      <c r="W145" s="72">
        <v>0.28999999999999998</v>
      </c>
      <c r="X145" s="72">
        <v>0.23</v>
      </c>
      <c r="Y145" s="72">
        <v>0.12</v>
      </c>
      <c r="Z145" s="72">
        <v>0</v>
      </c>
      <c r="AA145" s="72">
        <v>0</v>
      </c>
      <c r="AB145" s="72">
        <v>0</v>
      </c>
      <c r="AC145" s="72">
        <v>0.23</v>
      </c>
      <c r="AD145" s="72">
        <v>0.28999999999999998</v>
      </c>
      <c r="AE145" s="10"/>
      <c r="AF145" s="10"/>
      <c r="AG145" s="10"/>
      <c r="AH145" s="10"/>
      <c r="AI145" s="10"/>
      <c r="AJ145" s="10"/>
      <c r="AK145" s="10"/>
      <c r="AL145" s="10"/>
      <c r="AM145" s="10"/>
      <c r="AN145" s="10"/>
      <c r="AO145" s="72">
        <v>0.28999999999999998</v>
      </c>
      <c r="AP145" s="72">
        <v>0.11</v>
      </c>
      <c r="AQ145" s="72">
        <v>0.19</v>
      </c>
      <c r="AR145" s="72">
        <v>0.23</v>
      </c>
      <c r="AS145" s="72">
        <v>0.11</v>
      </c>
      <c r="AT145" s="72">
        <v>0.19</v>
      </c>
      <c r="AU145" s="72">
        <v>0</v>
      </c>
      <c r="AV145" s="72">
        <v>0</v>
      </c>
      <c r="AW145" s="72">
        <v>0</v>
      </c>
      <c r="AX145" s="72">
        <v>0</v>
      </c>
      <c r="AY145" s="72">
        <v>0</v>
      </c>
      <c r="AZ145" s="72">
        <v>0</v>
      </c>
      <c r="BA145" s="72">
        <v>0</v>
      </c>
      <c r="BB145" s="72">
        <v>0</v>
      </c>
      <c r="BC145" s="72">
        <v>0</v>
      </c>
      <c r="BD145" s="72">
        <v>0</v>
      </c>
      <c r="BE145" s="72">
        <v>0</v>
      </c>
      <c r="BF145" s="72">
        <v>0</v>
      </c>
      <c r="BG145" s="72">
        <v>0</v>
      </c>
      <c r="BH145" s="72">
        <v>0</v>
      </c>
      <c r="BI145" s="72">
        <v>0</v>
      </c>
      <c r="BJ145" s="99">
        <v>0</v>
      </c>
      <c r="BK145" s="72">
        <v>0.28999999999999998</v>
      </c>
      <c r="BL145" s="72">
        <v>0.39</v>
      </c>
      <c r="BM145" s="72">
        <v>0.23</v>
      </c>
      <c r="BN145" s="72">
        <v>0.12</v>
      </c>
      <c r="BO145" s="72">
        <v>0.39</v>
      </c>
      <c r="BP145" s="72">
        <v>0.28999999999999998</v>
      </c>
      <c r="BQ145" s="72">
        <v>0.23</v>
      </c>
      <c r="BR145" s="72">
        <v>0.12</v>
      </c>
      <c r="BS145" s="72">
        <v>0</v>
      </c>
      <c r="BT145" s="72">
        <v>0</v>
      </c>
      <c r="BU145" s="72">
        <v>0.11</v>
      </c>
      <c r="BV145" s="72">
        <v>0.11</v>
      </c>
      <c r="BW145" s="72">
        <v>0.23</v>
      </c>
      <c r="BX145" s="72">
        <v>0.23</v>
      </c>
      <c r="BY145" s="72">
        <v>0</v>
      </c>
      <c r="BZ145" s="72">
        <v>0</v>
      </c>
      <c r="CA145" s="72">
        <v>0.28999999999999998</v>
      </c>
      <c r="CB145" s="72">
        <v>0.28999999999999998</v>
      </c>
      <c r="CC145" s="72">
        <v>0.23</v>
      </c>
      <c r="CD145" s="72">
        <v>0</v>
      </c>
      <c r="CE145" s="72">
        <v>0</v>
      </c>
      <c r="CF145" s="72">
        <v>0.19</v>
      </c>
      <c r="CG145" s="72">
        <v>0</v>
      </c>
      <c r="CH145" s="72">
        <v>0.19</v>
      </c>
      <c r="CI145" s="72">
        <v>1.1000000000000001</v>
      </c>
      <c r="CJ145" s="72">
        <v>0</v>
      </c>
      <c r="CK145" s="72">
        <v>1.1100000000000001</v>
      </c>
      <c r="CL145" s="72">
        <v>0</v>
      </c>
      <c r="CM145" s="72">
        <v>0.28999999999999998</v>
      </c>
      <c r="CN145" s="72">
        <v>0.23</v>
      </c>
      <c r="CO145" s="72">
        <v>0.19</v>
      </c>
      <c r="CP145" s="72">
        <v>0.11</v>
      </c>
      <c r="CQ145" s="72">
        <v>0.28999999999999998</v>
      </c>
      <c r="CR145" s="72">
        <v>0.23</v>
      </c>
      <c r="CS145" s="72">
        <v>0.19</v>
      </c>
      <c r="CT145" s="72">
        <v>0.11</v>
      </c>
      <c r="CU145" s="72">
        <v>0.2</v>
      </c>
      <c r="CV145" s="72">
        <v>0</v>
      </c>
      <c r="CW145" s="72">
        <v>0</v>
      </c>
      <c r="CX145" s="72">
        <v>0</v>
      </c>
      <c r="CY145" s="72">
        <v>0</v>
      </c>
      <c r="CZ145" s="72">
        <v>0</v>
      </c>
      <c r="DA145" s="72">
        <v>0</v>
      </c>
      <c r="DB145" s="72">
        <v>0</v>
      </c>
      <c r="DC145" s="72">
        <v>0.39</v>
      </c>
      <c r="DD145" s="72">
        <v>0.28999999999999998</v>
      </c>
      <c r="DE145" s="10"/>
      <c r="DF145" s="72">
        <v>0.12</v>
      </c>
      <c r="DG145" s="72">
        <v>0</v>
      </c>
      <c r="DH145" s="72">
        <v>0</v>
      </c>
      <c r="DI145" s="10"/>
      <c r="DJ145" s="72">
        <v>0</v>
      </c>
      <c r="DK145" s="72">
        <v>0.45</v>
      </c>
      <c r="DL145" s="72">
        <v>0.1</v>
      </c>
      <c r="DM145" s="72">
        <v>0.1933333333333333</v>
      </c>
      <c r="DN145" s="72">
        <v>0.11428571428571428</v>
      </c>
      <c r="DO145" s="448">
        <f t="shared" si="80"/>
        <v>0.55249999999999999</v>
      </c>
    </row>
    <row r="146" spans="1:123">
      <c r="A146" s="24" t="s">
        <v>192</v>
      </c>
      <c r="B146" s="24" t="s">
        <v>193</v>
      </c>
      <c r="C146" s="72">
        <v>0</v>
      </c>
      <c r="D146" s="72">
        <v>0.55000000000000004</v>
      </c>
      <c r="E146" s="10"/>
      <c r="F146" s="72">
        <v>0</v>
      </c>
      <c r="G146" s="72">
        <v>0</v>
      </c>
      <c r="H146" s="10"/>
      <c r="I146" s="72">
        <v>0.55000000000000004</v>
      </c>
      <c r="J146" s="10"/>
      <c r="K146" s="72">
        <v>0</v>
      </c>
      <c r="L146" s="72">
        <v>0.32</v>
      </c>
      <c r="M146" s="72">
        <v>0</v>
      </c>
      <c r="N146" s="72">
        <v>0.43</v>
      </c>
      <c r="O146" s="72">
        <v>0</v>
      </c>
      <c r="P146" s="72">
        <v>0.26</v>
      </c>
      <c r="Q146" s="72">
        <v>0</v>
      </c>
      <c r="R146" s="72">
        <v>0.13</v>
      </c>
      <c r="S146" s="72">
        <v>0</v>
      </c>
      <c r="T146" s="72">
        <v>0.43</v>
      </c>
      <c r="U146" s="10"/>
      <c r="V146" s="10"/>
      <c r="W146" s="72">
        <v>0</v>
      </c>
      <c r="X146" s="72">
        <v>0</v>
      </c>
      <c r="Y146" s="72">
        <v>0</v>
      </c>
      <c r="Z146" s="72">
        <v>0.32</v>
      </c>
      <c r="AA146" s="72">
        <v>0.13</v>
      </c>
      <c r="AB146" s="72">
        <v>0.26</v>
      </c>
      <c r="AC146" s="72">
        <v>0</v>
      </c>
      <c r="AD146" s="72">
        <v>0</v>
      </c>
      <c r="AE146" s="10"/>
      <c r="AF146" s="10"/>
      <c r="AG146" s="10"/>
      <c r="AH146" s="10"/>
      <c r="AI146" s="10"/>
      <c r="AJ146" s="10"/>
      <c r="AK146" s="10"/>
      <c r="AL146" s="10"/>
      <c r="AM146" s="10"/>
      <c r="AN146" s="10"/>
      <c r="AO146" s="72">
        <v>0</v>
      </c>
      <c r="AP146" s="72">
        <v>0</v>
      </c>
      <c r="AQ146" s="72">
        <v>0</v>
      </c>
      <c r="AR146" s="72">
        <v>0</v>
      </c>
      <c r="AS146" s="72">
        <v>0</v>
      </c>
      <c r="AT146" s="72">
        <v>0</v>
      </c>
      <c r="AU146" s="72">
        <v>0.26</v>
      </c>
      <c r="AV146" s="72">
        <v>0.32</v>
      </c>
      <c r="AW146" s="72">
        <v>0.32</v>
      </c>
      <c r="AX146" s="72">
        <v>0.12</v>
      </c>
      <c r="AY146" s="72">
        <v>0.21</v>
      </c>
      <c r="AZ146" s="72">
        <v>0.26</v>
      </c>
      <c r="BA146" s="72">
        <v>0.12</v>
      </c>
      <c r="BB146" s="72">
        <v>0.21</v>
      </c>
      <c r="BC146" s="72">
        <v>0.32</v>
      </c>
      <c r="BD146" s="72">
        <v>0.43</v>
      </c>
      <c r="BE146" s="72">
        <v>0.26</v>
      </c>
      <c r="BF146" s="72">
        <v>0.13</v>
      </c>
      <c r="BG146" s="72">
        <v>0.43</v>
      </c>
      <c r="BH146" s="72">
        <v>0.32</v>
      </c>
      <c r="BI146" s="72">
        <v>0.13</v>
      </c>
      <c r="BJ146" s="99">
        <v>0.26</v>
      </c>
      <c r="BK146" s="72">
        <v>0</v>
      </c>
      <c r="BL146" s="72">
        <v>0</v>
      </c>
      <c r="BM146" s="72">
        <v>0</v>
      </c>
      <c r="BN146" s="72">
        <v>0</v>
      </c>
      <c r="BO146" s="72">
        <v>0</v>
      </c>
      <c r="BP146" s="72">
        <v>0</v>
      </c>
      <c r="BQ146" s="72">
        <v>0</v>
      </c>
      <c r="BR146" s="72">
        <v>0</v>
      </c>
      <c r="BS146" s="72">
        <v>0.12</v>
      </c>
      <c r="BT146" s="72">
        <v>0.12</v>
      </c>
      <c r="BU146" s="72">
        <v>0</v>
      </c>
      <c r="BV146" s="72">
        <v>0</v>
      </c>
      <c r="BW146" s="72">
        <v>0</v>
      </c>
      <c r="BX146" s="72">
        <v>0</v>
      </c>
      <c r="BY146" s="72">
        <v>0.26</v>
      </c>
      <c r="BZ146" s="72">
        <v>0.26</v>
      </c>
      <c r="CA146" s="72">
        <v>0</v>
      </c>
      <c r="CB146" s="72">
        <v>0</v>
      </c>
      <c r="CC146" s="72">
        <v>0</v>
      </c>
      <c r="CD146" s="72">
        <v>0.32</v>
      </c>
      <c r="CE146" s="72">
        <v>0.21</v>
      </c>
      <c r="CF146" s="72">
        <v>0</v>
      </c>
      <c r="CG146" s="72">
        <v>0.21</v>
      </c>
      <c r="CH146" s="72">
        <v>0</v>
      </c>
      <c r="CI146" s="72">
        <v>0</v>
      </c>
      <c r="CJ146" s="72">
        <v>1.1000000000000001</v>
      </c>
      <c r="CK146" s="72">
        <v>0</v>
      </c>
      <c r="CL146" s="72">
        <v>1.1000000000000001</v>
      </c>
      <c r="CM146" s="72">
        <v>0</v>
      </c>
      <c r="CN146" s="72">
        <v>0</v>
      </c>
      <c r="CO146" s="72">
        <v>0</v>
      </c>
      <c r="CP146" s="72">
        <v>0</v>
      </c>
      <c r="CQ146" s="72">
        <v>0</v>
      </c>
      <c r="CR146" s="72">
        <v>0</v>
      </c>
      <c r="CS146" s="72">
        <v>0</v>
      </c>
      <c r="CT146" s="72">
        <v>0</v>
      </c>
      <c r="CU146" s="72">
        <v>0.32</v>
      </c>
      <c r="CV146" s="72">
        <v>0.26</v>
      </c>
      <c r="CW146" s="72">
        <v>0.21</v>
      </c>
      <c r="CX146" s="72">
        <v>0.12</v>
      </c>
      <c r="CY146" s="72">
        <v>0.32</v>
      </c>
      <c r="CZ146" s="72">
        <v>0.26</v>
      </c>
      <c r="DA146" s="72">
        <v>0.21</v>
      </c>
      <c r="DB146" s="72">
        <v>0.12</v>
      </c>
      <c r="DC146" s="72">
        <v>0</v>
      </c>
      <c r="DD146" s="72">
        <v>0</v>
      </c>
      <c r="DE146" s="10"/>
      <c r="DF146" s="72">
        <v>0</v>
      </c>
      <c r="DG146" s="72">
        <v>0.43</v>
      </c>
      <c r="DH146" s="72">
        <v>0.32</v>
      </c>
      <c r="DI146" s="10"/>
      <c r="DJ146" s="72">
        <v>0.13</v>
      </c>
      <c r="DK146" s="72">
        <v>0</v>
      </c>
      <c r="DL146" s="72">
        <v>0.16</v>
      </c>
      <c r="DM146" s="72">
        <v>0</v>
      </c>
      <c r="DN146" s="72">
        <v>0.18285714285714286</v>
      </c>
      <c r="DO146" s="448">
        <f t="shared" si="80"/>
        <v>0.55000000000000004</v>
      </c>
    </row>
    <row r="147" spans="1:123" ht="21">
      <c r="A147" s="2079" t="s">
        <v>69</v>
      </c>
      <c r="B147" s="2079" t="s">
        <v>70</v>
      </c>
      <c r="C147" s="2077">
        <v>0.01</v>
      </c>
      <c r="D147" s="2077">
        <v>0.01</v>
      </c>
      <c r="E147" s="10"/>
      <c r="F147" s="2077">
        <v>0.01</v>
      </c>
      <c r="G147" s="2077">
        <v>0.01</v>
      </c>
      <c r="H147" s="10"/>
      <c r="I147" s="2077">
        <v>0.01</v>
      </c>
      <c r="J147" s="10"/>
      <c r="K147" s="2077">
        <v>0.01</v>
      </c>
      <c r="L147" s="2077">
        <v>0.01</v>
      </c>
      <c r="M147" s="2077">
        <v>0.01</v>
      </c>
      <c r="N147" s="2077">
        <v>0.01</v>
      </c>
      <c r="O147" s="2077">
        <v>0.01</v>
      </c>
      <c r="P147" s="2077">
        <v>0.01</v>
      </c>
      <c r="Q147" s="2077">
        <v>0.01</v>
      </c>
      <c r="R147" s="2077">
        <v>0.01</v>
      </c>
      <c r="S147" s="2077">
        <v>0.01</v>
      </c>
      <c r="T147" s="2077">
        <v>0.01</v>
      </c>
      <c r="U147" s="10"/>
      <c r="V147" s="10"/>
      <c r="W147" s="2077">
        <v>0.01</v>
      </c>
      <c r="X147" s="2077">
        <v>0.01</v>
      </c>
      <c r="Y147" s="2077">
        <v>0.01</v>
      </c>
      <c r="Z147" s="2077">
        <v>0.01</v>
      </c>
      <c r="AA147" s="2077">
        <v>0.01</v>
      </c>
      <c r="AB147" s="2077">
        <v>0.01</v>
      </c>
      <c r="AC147" s="2077">
        <v>0.01</v>
      </c>
      <c r="AD147" s="2077">
        <v>0.01</v>
      </c>
      <c r="AE147" s="10"/>
      <c r="AF147" s="10"/>
      <c r="AG147" s="10"/>
      <c r="AH147" s="10"/>
      <c r="AI147" s="10"/>
      <c r="AJ147" s="10"/>
      <c r="AK147" s="10"/>
      <c r="AL147" s="10"/>
      <c r="AM147" s="10"/>
      <c r="AN147" s="10"/>
      <c r="AO147" s="2077">
        <v>0.01</v>
      </c>
      <c r="AP147" s="2077">
        <v>0.01</v>
      </c>
      <c r="AQ147" s="2077">
        <v>0.01</v>
      </c>
      <c r="AR147" s="2077">
        <v>0.01</v>
      </c>
      <c r="AS147" s="2077">
        <v>0.01</v>
      </c>
      <c r="AT147" s="2077">
        <v>0.01</v>
      </c>
      <c r="AU147" s="2077">
        <v>0.01</v>
      </c>
      <c r="AV147" s="2077">
        <v>0.01</v>
      </c>
      <c r="AW147" s="2077">
        <v>0.01</v>
      </c>
      <c r="AX147" s="2077">
        <v>0.01</v>
      </c>
      <c r="AY147" s="2077">
        <v>0.01</v>
      </c>
      <c r="AZ147" s="2077">
        <v>0.01</v>
      </c>
      <c r="BA147" s="2077">
        <v>0.01</v>
      </c>
      <c r="BB147" s="2077">
        <v>0.01</v>
      </c>
      <c r="BC147" s="2077">
        <v>0.01</v>
      </c>
      <c r="BD147" s="2077">
        <v>0.01</v>
      </c>
      <c r="BE147" s="2077">
        <v>0.01</v>
      </c>
      <c r="BF147" s="2077">
        <v>0.01</v>
      </c>
      <c r="BG147" s="2077">
        <v>0.01</v>
      </c>
      <c r="BH147" s="2077">
        <v>0.01</v>
      </c>
      <c r="BI147" s="2077">
        <v>0.01</v>
      </c>
      <c r="BJ147" s="2077">
        <v>0.01</v>
      </c>
      <c r="BK147" s="2077">
        <v>0.01</v>
      </c>
      <c r="BL147" s="2077">
        <v>0.01</v>
      </c>
      <c r="BM147" s="2077">
        <v>0.01</v>
      </c>
      <c r="BN147" s="2077">
        <v>0.01</v>
      </c>
      <c r="BO147" s="2077">
        <v>0.01</v>
      </c>
      <c r="BP147" s="2077">
        <v>0.01</v>
      </c>
      <c r="BQ147" s="2077">
        <v>0.01</v>
      </c>
      <c r="BR147" s="2077">
        <v>0.01</v>
      </c>
      <c r="BS147" s="2077">
        <v>0.01</v>
      </c>
      <c r="BT147" s="2077">
        <v>0.01</v>
      </c>
      <c r="BU147" s="2077">
        <v>0.01</v>
      </c>
      <c r="BV147" s="2077">
        <v>0.01</v>
      </c>
      <c r="BW147" s="2077">
        <v>0.01</v>
      </c>
      <c r="BX147" s="2077">
        <v>0.01</v>
      </c>
      <c r="BY147" s="2077">
        <v>0.01</v>
      </c>
      <c r="BZ147" s="2077">
        <v>0.01</v>
      </c>
      <c r="CA147" s="2077">
        <v>0.01</v>
      </c>
      <c r="CB147" s="2077">
        <v>0.01</v>
      </c>
      <c r="CC147" s="2077">
        <v>0.01</v>
      </c>
      <c r="CD147" s="2077">
        <v>0.01</v>
      </c>
      <c r="CE147" s="2077">
        <v>0.01</v>
      </c>
      <c r="CF147" s="2077">
        <v>0.01</v>
      </c>
      <c r="CG147" s="2077">
        <v>0.01</v>
      </c>
      <c r="CH147" s="2077">
        <v>0.01</v>
      </c>
      <c r="CI147" s="2077">
        <v>0.01</v>
      </c>
      <c r="CJ147" s="2077">
        <v>0.01</v>
      </c>
      <c r="CK147" s="2077">
        <v>0.01</v>
      </c>
      <c r="CL147" s="2077">
        <v>0.01</v>
      </c>
      <c r="CM147" s="2077">
        <v>0.01</v>
      </c>
      <c r="CN147" s="2077">
        <v>0.01</v>
      </c>
      <c r="CO147" s="2077">
        <v>0.01</v>
      </c>
      <c r="CP147" s="2077">
        <v>0.01</v>
      </c>
      <c r="CQ147" s="2077">
        <v>0.01</v>
      </c>
      <c r="CR147" s="2077">
        <v>0.01</v>
      </c>
      <c r="CS147" s="2077">
        <v>0.01</v>
      </c>
      <c r="CT147" s="2077">
        <v>0.01</v>
      </c>
      <c r="CU147" s="2077">
        <v>0.01</v>
      </c>
      <c r="CV147" s="2077">
        <v>0.01</v>
      </c>
      <c r="CW147" s="2077">
        <v>0.01</v>
      </c>
      <c r="CX147" s="2077">
        <v>0.01</v>
      </c>
      <c r="CY147" s="2077">
        <v>0.01</v>
      </c>
      <c r="CZ147" s="2077">
        <v>0.01</v>
      </c>
      <c r="DA147" s="2077">
        <v>0.01</v>
      </c>
      <c r="DB147" s="2077">
        <v>0.01</v>
      </c>
      <c r="DC147" s="2077">
        <v>0.01</v>
      </c>
      <c r="DD147" s="2077">
        <v>0.01</v>
      </c>
      <c r="DE147" s="10"/>
      <c r="DF147" s="2077">
        <v>0.01</v>
      </c>
      <c r="DG147" s="2077">
        <v>0.01</v>
      </c>
      <c r="DH147" s="2077">
        <v>0.01</v>
      </c>
      <c r="DI147" s="10"/>
      <c r="DJ147" s="2077">
        <v>0.01</v>
      </c>
      <c r="DK147" s="2077">
        <v>0.01</v>
      </c>
      <c r="DL147" s="2077">
        <v>0.01</v>
      </c>
      <c r="DM147" s="2077">
        <v>0.01</v>
      </c>
      <c r="DN147" s="2077">
        <v>0.01</v>
      </c>
      <c r="DO147" s="448">
        <f t="shared" si="80"/>
        <v>0.01</v>
      </c>
      <c r="DP147" s="2078" t="s">
        <v>2129</v>
      </c>
      <c r="DQ147" s="2078"/>
      <c r="DR147" s="2078"/>
      <c r="DS147" s="2078"/>
    </row>
    <row r="148" spans="1:123">
      <c r="A148" s="24" t="s">
        <v>194</v>
      </c>
      <c r="B148" s="24" t="s">
        <v>195</v>
      </c>
      <c r="C148" s="72">
        <v>0</v>
      </c>
      <c r="D148" s="72">
        <v>0</v>
      </c>
      <c r="E148" s="10"/>
      <c r="F148" s="72">
        <v>0</v>
      </c>
      <c r="G148" s="72">
        <v>0</v>
      </c>
      <c r="H148" s="10"/>
      <c r="I148" s="72">
        <v>0</v>
      </c>
      <c r="J148" s="10"/>
      <c r="K148" s="72">
        <v>0</v>
      </c>
      <c r="L148" s="72">
        <v>0</v>
      </c>
      <c r="M148" s="72">
        <v>0</v>
      </c>
      <c r="N148" s="72">
        <v>0</v>
      </c>
      <c r="O148" s="72">
        <v>0</v>
      </c>
      <c r="P148" s="72">
        <v>0</v>
      </c>
      <c r="Q148" s="72">
        <v>0</v>
      </c>
      <c r="R148" s="72">
        <v>0</v>
      </c>
      <c r="S148" s="72">
        <v>0</v>
      </c>
      <c r="T148" s="72">
        <v>0</v>
      </c>
      <c r="U148" s="10"/>
      <c r="V148" s="10"/>
      <c r="W148" s="72">
        <v>0</v>
      </c>
      <c r="X148" s="72">
        <v>0</v>
      </c>
      <c r="Y148" s="72">
        <v>0</v>
      </c>
      <c r="Z148" s="72">
        <v>0</v>
      </c>
      <c r="AA148" s="72">
        <v>0</v>
      </c>
      <c r="AB148" s="72">
        <v>0</v>
      </c>
      <c r="AC148" s="72">
        <v>0</v>
      </c>
      <c r="AD148" s="72">
        <v>0</v>
      </c>
      <c r="AE148" s="10"/>
      <c r="AF148" s="10"/>
      <c r="AG148" s="10"/>
      <c r="AH148" s="10"/>
      <c r="AI148" s="10"/>
      <c r="AJ148" s="10"/>
      <c r="AK148" s="10"/>
      <c r="AL148" s="10"/>
      <c r="AM148" s="10"/>
      <c r="AN148" s="10"/>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0</v>
      </c>
      <c r="BE148" s="72">
        <v>0</v>
      </c>
      <c r="BF148" s="72">
        <v>0</v>
      </c>
      <c r="BG148" s="72">
        <v>0</v>
      </c>
      <c r="BH148" s="72">
        <v>0</v>
      </c>
      <c r="BI148" s="72">
        <v>0</v>
      </c>
      <c r="BJ148" s="99">
        <v>0</v>
      </c>
      <c r="BK148" s="72">
        <v>0</v>
      </c>
      <c r="BL148" s="72">
        <v>0</v>
      </c>
      <c r="BM148" s="72">
        <v>0</v>
      </c>
      <c r="BN148" s="72">
        <v>0</v>
      </c>
      <c r="BO148" s="72">
        <v>0</v>
      </c>
      <c r="BP148" s="72">
        <v>0</v>
      </c>
      <c r="BQ148" s="72">
        <v>0</v>
      </c>
      <c r="BR148" s="72">
        <v>0</v>
      </c>
      <c r="BS148" s="72">
        <v>0</v>
      </c>
      <c r="BT148" s="72">
        <v>0</v>
      </c>
      <c r="BU148" s="72">
        <v>0</v>
      </c>
      <c r="BV148" s="72">
        <v>0</v>
      </c>
      <c r="BW148" s="72">
        <v>0</v>
      </c>
      <c r="BX148" s="72">
        <v>0</v>
      </c>
      <c r="BY148" s="72">
        <v>0</v>
      </c>
      <c r="BZ148" s="72">
        <v>0</v>
      </c>
      <c r="CA148" s="72">
        <v>0</v>
      </c>
      <c r="CB148" s="72">
        <v>0</v>
      </c>
      <c r="CC148" s="72">
        <v>0</v>
      </c>
      <c r="CD148" s="72">
        <v>0</v>
      </c>
      <c r="CE148" s="72">
        <v>0</v>
      </c>
      <c r="CF148" s="72">
        <v>0</v>
      </c>
      <c r="CG148" s="72">
        <v>0</v>
      </c>
      <c r="CH148" s="72">
        <v>0</v>
      </c>
      <c r="CI148" s="72">
        <v>0</v>
      </c>
      <c r="CJ148" s="72">
        <v>0</v>
      </c>
      <c r="CK148" s="72">
        <v>0</v>
      </c>
      <c r="CL148" s="72">
        <v>0</v>
      </c>
      <c r="CM148" s="72">
        <v>0</v>
      </c>
      <c r="CN148" s="72">
        <v>0</v>
      </c>
      <c r="CO148" s="72">
        <v>0</v>
      </c>
      <c r="CP148" s="72">
        <v>0</v>
      </c>
      <c r="CQ148" s="72">
        <v>0</v>
      </c>
      <c r="CR148" s="72">
        <v>0</v>
      </c>
      <c r="CS148" s="72">
        <v>0</v>
      </c>
      <c r="CT148" s="72">
        <v>0</v>
      </c>
      <c r="CU148" s="72">
        <v>0</v>
      </c>
      <c r="CV148" s="72">
        <v>0</v>
      </c>
      <c r="CW148" s="72">
        <v>0</v>
      </c>
      <c r="CX148" s="72">
        <v>0</v>
      </c>
      <c r="CY148" s="72">
        <v>0</v>
      </c>
      <c r="CZ148" s="72">
        <v>0</v>
      </c>
      <c r="DA148" s="72">
        <v>0</v>
      </c>
      <c r="DB148" s="72">
        <v>0</v>
      </c>
      <c r="DC148" s="72">
        <v>0</v>
      </c>
      <c r="DD148" s="72">
        <v>0</v>
      </c>
      <c r="DE148" s="10"/>
      <c r="DF148" s="72">
        <v>0</v>
      </c>
      <c r="DG148" s="72">
        <v>0</v>
      </c>
      <c r="DH148" s="72">
        <v>0</v>
      </c>
      <c r="DI148" s="10"/>
      <c r="DJ148" s="72">
        <v>0</v>
      </c>
      <c r="DK148" s="72">
        <v>0</v>
      </c>
      <c r="DL148" s="72">
        <v>0</v>
      </c>
      <c r="DM148" s="72">
        <v>0</v>
      </c>
      <c r="DN148" s="72">
        <v>0</v>
      </c>
      <c r="DO148" s="448">
        <f t="shared" si="80"/>
        <v>0</v>
      </c>
      <c r="DP148" t="s">
        <v>2130</v>
      </c>
    </row>
    <row r="149" spans="1:123" ht="21">
      <c r="A149" s="2079" t="s">
        <v>71</v>
      </c>
      <c r="B149" s="2079" t="s">
        <v>72</v>
      </c>
      <c r="C149" s="2077">
        <v>0.02</v>
      </c>
      <c r="D149" s="2077">
        <v>0.02</v>
      </c>
      <c r="E149" s="10"/>
      <c r="F149" s="2077">
        <v>0.02</v>
      </c>
      <c r="G149" s="2077">
        <v>0.02</v>
      </c>
      <c r="H149" s="10"/>
      <c r="I149" s="2077">
        <v>0.02</v>
      </c>
      <c r="J149" s="10"/>
      <c r="K149" s="2077">
        <v>0.02</v>
      </c>
      <c r="L149" s="2077">
        <v>0.02</v>
      </c>
      <c r="M149" s="2077">
        <v>0.02</v>
      </c>
      <c r="N149" s="2077">
        <v>0.02</v>
      </c>
      <c r="O149" s="2077">
        <v>0.02</v>
      </c>
      <c r="P149" s="2077">
        <v>0.02</v>
      </c>
      <c r="Q149" s="2077">
        <v>0.02</v>
      </c>
      <c r="R149" s="2077">
        <v>0.02</v>
      </c>
      <c r="S149" s="2077">
        <v>0.02</v>
      </c>
      <c r="T149" s="2077">
        <v>0.02</v>
      </c>
      <c r="U149" s="10"/>
      <c r="V149" s="10"/>
      <c r="W149" s="2077">
        <v>0.02</v>
      </c>
      <c r="X149" s="2077">
        <v>0.02</v>
      </c>
      <c r="Y149" s="2077">
        <v>0.02</v>
      </c>
      <c r="Z149" s="2077">
        <v>0.02</v>
      </c>
      <c r="AA149" s="2077">
        <v>0.02</v>
      </c>
      <c r="AB149" s="2077">
        <v>0.02</v>
      </c>
      <c r="AC149" s="2077">
        <v>0.02</v>
      </c>
      <c r="AD149" s="2077">
        <v>0.02</v>
      </c>
      <c r="AE149" s="10"/>
      <c r="AF149" s="10"/>
      <c r="AG149" s="10"/>
      <c r="AH149" s="10"/>
      <c r="AI149" s="10"/>
      <c r="AJ149" s="10"/>
      <c r="AK149" s="10"/>
      <c r="AL149" s="10"/>
      <c r="AM149" s="10"/>
      <c r="AN149" s="10"/>
      <c r="AO149" s="2077">
        <v>0.02</v>
      </c>
      <c r="AP149" s="2077">
        <v>0.02</v>
      </c>
      <c r="AQ149" s="2077">
        <v>0.02</v>
      </c>
      <c r="AR149" s="2077">
        <v>0.02</v>
      </c>
      <c r="AS149" s="2077">
        <v>0.02</v>
      </c>
      <c r="AT149" s="2077">
        <v>0.02</v>
      </c>
      <c r="AU149" s="2077">
        <v>0.02</v>
      </c>
      <c r="AV149" s="2077">
        <v>0.02</v>
      </c>
      <c r="AW149" s="2077">
        <v>0.02</v>
      </c>
      <c r="AX149" s="2077">
        <v>0.02</v>
      </c>
      <c r="AY149" s="2077">
        <v>0.02</v>
      </c>
      <c r="AZ149" s="2077">
        <v>0.02</v>
      </c>
      <c r="BA149" s="2077">
        <v>0.02</v>
      </c>
      <c r="BB149" s="2077">
        <v>0.02</v>
      </c>
      <c r="BC149" s="2077">
        <v>0.02</v>
      </c>
      <c r="BD149" s="2077">
        <v>0.02</v>
      </c>
      <c r="BE149" s="2077">
        <v>0.02</v>
      </c>
      <c r="BF149" s="2077">
        <v>0.02</v>
      </c>
      <c r="BG149" s="2077">
        <v>0.02</v>
      </c>
      <c r="BH149" s="2077">
        <v>0.02</v>
      </c>
      <c r="BI149" s="2077">
        <v>0.02</v>
      </c>
      <c r="BJ149" s="2077">
        <v>0.02</v>
      </c>
      <c r="BK149" s="2077">
        <v>0.02</v>
      </c>
      <c r="BL149" s="2077">
        <v>0.02</v>
      </c>
      <c r="BM149" s="2077">
        <v>0.02</v>
      </c>
      <c r="BN149" s="2077">
        <v>0.02</v>
      </c>
      <c r="BO149" s="2077">
        <v>0.02</v>
      </c>
      <c r="BP149" s="2077">
        <v>0.02</v>
      </c>
      <c r="BQ149" s="2077">
        <v>0.02</v>
      </c>
      <c r="BR149" s="2077">
        <v>0.02</v>
      </c>
      <c r="BS149" s="2077">
        <v>0.02</v>
      </c>
      <c r="BT149" s="2077">
        <v>0.02</v>
      </c>
      <c r="BU149" s="2077">
        <v>0.02</v>
      </c>
      <c r="BV149" s="2077">
        <v>0.02</v>
      </c>
      <c r="BW149" s="2077">
        <v>0.02</v>
      </c>
      <c r="BX149" s="2077">
        <v>0.02</v>
      </c>
      <c r="BY149" s="2077">
        <v>0.02</v>
      </c>
      <c r="BZ149" s="2077">
        <v>0.02</v>
      </c>
      <c r="CA149" s="2077">
        <v>0.02</v>
      </c>
      <c r="CB149" s="2077">
        <v>0.02</v>
      </c>
      <c r="CC149" s="2077">
        <v>0.02</v>
      </c>
      <c r="CD149" s="2077">
        <v>0.02</v>
      </c>
      <c r="CE149" s="2077">
        <v>0.02</v>
      </c>
      <c r="CF149" s="2077">
        <v>0.02</v>
      </c>
      <c r="CG149" s="2077">
        <v>0.02</v>
      </c>
      <c r="CH149" s="2077">
        <v>0.02</v>
      </c>
      <c r="CI149" s="2077">
        <v>0.02</v>
      </c>
      <c r="CJ149" s="2077">
        <v>0.02</v>
      </c>
      <c r="CK149" s="2077">
        <v>0.02</v>
      </c>
      <c r="CL149" s="2077">
        <v>0.02</v>
      </c>
      <c r="CM149" s="2077">
        <v>0.02</v>
      </c>
      <c r="CN149" s="2077">
        <v>0.02</v>
      </c>
      <c r="CO149" s="2077">
        <v>0.02</v>
      </c>
      <c r="CP149" s="2077">
        <v>0.02</v>
      </c>
      <c r="CQ149" s="2077">
        <v>0.02</v>
      </c>
      <c r="CR149" s="2077">
        <v>0.02</v>
      </c>
      <c r="CS149" s="2077">
        <v>0.02</v>
      </c>
      <c r="CT149" s="2077">
        <v>0.02</v>
      </c>
      <c r="CU149" s="2077">
        <v>0.02</v>
      </c>
      <c r="CV149" s="2077">
        <v>0.02</v>
      </c>
      <c r="CW149" s="2077">
        <v>0.02</v>
      </c>
      <c r="CX149" s="2077">
        <v>0.02</v>
      </c>
      <c r="CY149" s="2077">
        <v>0.02</v>
      </c>
      <c r="CZ149" s="2077">
        <v>0.02</v>
      </c>
      <c r="DA149" s="2077">
        <v>0.02</v>
      </c>
      <c r="DB149" s="2077">
        <v>0.02</v>
      </c>
      <c r="DC149" s="2077">
        <v>0.02</v>
      </c>
      <c r="DD149" s="2077">
        <v>0.02</v>
      </c>
      <c r="DE149" s="10"/>
      <c r="DF149" s="2077">
        <v>0.02</v>
      </c>
      <c r="DG149" s="2077">
        <v>0.02</v>
      </c>
      <c r="DH149" s="2077">
        <v>0.02</v>
      </c>
      <c r="DI149" s="10"/>
      <c r="DJ149" s="2077">
        <v>0.02</v>
      </c>
      <c r="DK149" s="2077">
        <v>0.02</v>
      </c>
      <c r="DL149" s="2077">
        <v>0.02</v>
      </c>
      <c r="DM149" s="2077">
        <v>0.02</v>
      </c>
      <c r="DN149" s="2077">
        <v>0.02</v>
      </c>
      <c r="DO149" s="448">
        <f t="shared" si="80"/>
        <v>0.02</v>
      </c>
      <c r="DP149" s="2078" t="s">
        <v>2133</v>
      </c>
    </row>
    <row r="150" spans="1:123">
      <c r="A150" s="24" t="s">
        <v>74</v>
      </c>
      <c r="B150" s="24" t="s">
        <v>75</v>
      </c>
      <c r="C150" s="72">
        <v>0.81</v>
      </c>
      <c r="D150" s="72">
        <v>0.61</v>
      </c>
      <c r="E150" s="10"/>
      <c r="F150" s="72">
        <v>0.71</v>
      </c>
      <c r="G150" s="72">
        <v>0.71</v>
      </c>
      <c r="H150" s="10"/>
      <c r="I150" s="72">
        <v>0.81</v>
      </c>
      <c r="J150" s="10"/>
      <c r="K150" s="72">
        <v>0.61</v>
      </c>
      <c r="L150" s="72">
        <v>0.71</v>
      </c>
      <c r="M150" s="72">
        <v>0.71</v>
      </c>
      <c r="N150" s="72">
        <v>0.71</v>
      </c>
      <c r="O150" s="72">
        <v>0.71</v>
      </c>
      <c r="P150" s="72">
        <v>0.71</v>
      </c>
      <c r="Q150" s="72">
        <v>0.71</v>
      </c>
      <c r="R150" s="72">
        <v>0.71</v>
      </c>
      <c r="S150" s="72">
        <v>0.47</v>
      </c>
      <c r="T150" s="72">
        <v>0.47</v>
      </c>
      <c r="U150" s="10"/>
      <c r="V150" s="10"/>
      <c r="W150" s="72">
        <v>0.53</v>
      </c>
      <c r="X150" s="72">
        <v>0.56999999999999995</v>
      </c>
      <c r="Y150" s="72">
        <v>0.64</v>
      </c>
      <c r="Z150" s="72">
        <v>0.53</v>
      </c>
      <c r="AA150" s="72">
        <v>0.64</v>
      </c>
      <c r="AB150" s="72">
        <v>0.56999999999999995</v>
      </c>
      <c r="AC150" s="72">
        <v>0.64</v>
      </c>
      <c r="AD150" s="72">
        <v>0.44</v>
      </c>
      <c r="AE150" s="10"/>
      <c r="AF150" s="10"/>
      <c r="AG150" s="10"/>
      <c r="AH150" s="10"/>
      <c r="AI150" s="10"/>
      <c r="AJ150" s="10"/>
      <c r="AK150" s="10"/>
      <c r="AL150" s="10"/>
      <c r="AM150" s="10"/>
      <c r="AN150" s="10"/>
      <c r="AO150" s="72">
        <v>0.62</v>
      </c>
      <c r="AP150" s="72">
        <v>0.61</v>
      </c>
      <c r="AQ150" s="72">
        <v>0.53</v>
      </c>
      <c r="AR150" s="72">
        <v>0.5</v>
      </c>
      <c r="AS150" s="72">
        <v>0.68</v>
      </c>
      <c r="AT150" s="72">
        <v>0.65</v>
      </c>
      <c r="AU150" s="72">
        <v>0.64</v>
      </c>
      <c r="AV150" s="72">
        <v>0.44</v>
      </c>
      <c r="AW150" s="72">
        <v>0.62</v>
      </c>
      <c r="AX150" s="72">
        <v>0.61</v>
      </c>
      <c r="AY150" s="72">
        <v>0.53</v>
      </c>
      <c r="AZ150" s="72">
        <v>0.5</v>
      </c>
      <c r="BA150" s="72">
        <v>0.68</v>
      </c>
      <c r="BB150" s="72">
        <v>0.65</v>
      </c>
      <c r="BC150" s="72">
        <v>0.71</v>
      </c>
      <c r="BD150" s="72">
        <v>0.71</v>
      </c>
      <c r="BE150" s="72">
        <v>0.71</v>
      </c>
      <c r="BF150" s="72">
        <v>0.71</v>
      </c>
      <c r="BG150" s="72">
        <v>0.47</v>
      </c>
      <c r="BH150" s="72">
        <v>0.53</v>
      </c>
      <c r="BI150" s="72">
        <v>0.64</v>
      </c>
      <c r="BJ150" s="99">
        <v>0.56999999999999995</v>
      </c>
      <c r="BK150" s="72">
        <v>0.71</v>
      </c>
      <c r="BL150" s="72">
        <v>0.71</v>
      </c>
      <c r="BM150" s="72">
        <v>0.71</v>
      </c>
      <c r="BN150" s="72">
        <v>0.71</v>
      </c>
      <c r="BO150" s="72">
        <v>0.47</v>
      </c>
      <c r="BP150" s="72">
        <v>0.53</v>
      </c>
      <c r="BQ150" s="72">
        <v>0.56999999999999995</v>
      </c>
      <c r="BR150" s="72">
        <v>0.64</v>
      </c>
      <c r="BS150" s="72">
        <v>0.61</v>
      </c>
      <c r="BT150" s="72">
        <v>0.68</v>
      </c>
      <c r="BU150" s="72">
        <v>0.68</v>
      </c>
      <c r="BV150" s="72">
        <v>0.61</v>
      </c>
      <c r="BW150" s="72">
        <v>0.5</v>
      </c>
      <c r="BX150" s="72">
        <v>0.64</v>
      </c>
      <c r="BY150" s="72">
        <v>0.64</v>
      </c>
      <c r="BZ150" s="72">
        <v>0.5</v>
      </c>
      <c r="CA150" s="72">
        <v>0.44</v>
      </c>
      <c r="CB150" s="72">
        <v>0.62</v>
      </c>
      <c r="CC150" s="72">
        <v>0.64</v>
      </c>
      <c r="CD150" s="72">
        <v>0.44</v>
      </c>
      <c r="CE150" s="72">
        <v>0.53</v>
      </c>
      <c r="CF150" s="72">
        <v>0.53</v>
      </c>
      <c r="CG150" s="72">
        <v>0.65</v>
      </c>
      <c r="CH150" s="72">
        <v>0.65</v>
      </c>
      <c r="CI150" s="72">
        <v>0.81</v>
      </c>
      <c r="CJ150" s="72">
        <v>0.81</v>
      </c>
      <c r="CK150" s="72">
        <v>0.61</v>
      </c>
      <c r="CL150" s="72">
        <v>0.61</v>
      </c>
      <c r="CM150" s="72">
        <v>0.62</v>
      </c>
      <c r="CN150" s="72">
        <v>0.64</v>
      </c>
      <c r="CO150" s="72">
        <v>0.65</v>
      </c>
      <c r="CP150" s="72">
        <v>0.68</v>
      </c>
      <c r="CQ150" s="72">
        <v>0.44</v>
      </c>
      <c r="CR150" s="72">
        <v>0.5</v>
      </c>
      <c r="CS150" s="72">
        <v>0.53</v>
      </c>
      <c r="CT150" s="72">
        <v>0.61</v>
      </c>
      <c r="CU150" s="72">
        <v>0.62</v>
      </c>
      <c r="CV150" s="72">
        <v>0.64</v>
      </c>
      <c r="CW150" s="72">
        <v>0.65</v>
      </c>
      <c r="CX150" s="72">
        <v>0.68</v>
      </c>
      <c r="CY150" s="72">
        <v>0.44</v>
      </c>
      <c r="CZ150" s="72">
        <v>0.5</v>
      </c>
      <c r="DA150" s="72">
        <v>0.53</v>
      </c>
      <c r="DB150" s="72">
        <v>0.61</v>
      </c>
      <c r="DC150" s="72">
        <v>0.47</v>
      </c>
      <c r="DD150" s="72">
        <v>0.53</v>
      </c>
      <c r="DE150" s="10"/>
      <c r="DF150" s="72">
        <v>0.64</v>
      </c>
      <c r="DG150" s="72">
        <v>0.47</v>
      </c>
      <c r="DH150" s="72">
        <v>0.53</v>
      </c>
      <c r="DI150" s="10"/>
      <c r="DJ150" s="72">
        <v>0.64</v>
      </c>
      <c r="DK150" s="72">
        <v>0.52</v>
      </c>
      <c r="DL150" s="72">
        <v>0.62</v>
      </c>
      <c r="DM150" s="72">
        <v>0.62</v>
      </c>
      <c r="DN150" s="72">
        <v>0.62</v>
      </c>
      <c r="DO150" s="448">
        <f t="shared" si="80"/>
        <v>0.71</v>
      </c>
    </row>
    <row r="151" spans="1:123">
      <c r="A151" s="24" t="s">
        <v>196</v>
      </c>
      <c r="B151" s="24" t="s">
        <v>197</v>
      </c>
      <c r="C151" s="72">
        <v>0.03</v>
      </c>
      <c r="D151" s="72">
        <v>0.02</v>
      </c>
      <c r="E151" s="10"/>
      <c r="F151" s="72">
        <v>0.14000000000000001</v>
      </c>
      <c r="G151" s="72">
        <v>0.14000000000000001</v>
      </c>
      <c r="H151" s="10"/>
      <c r="I151" s="72">
        <v>0.03</v>
      </c>
      <c r="J151" s="10"/>
      <c r="K151" s="72">
        <v>0.02</v>
      </c>
      <c r="L151" s="72">
        <v>0.14000000000000001</v>
      </c>
      <c r="M151" s="72">
        <v>0.14000000000000001</v>
      </c>
      <c r="N151" s="72">
        <v>0.14000000000000001</v>
      </c>
      <c r="O151" s="72">
        <v>0.14000000000000001</v>
      </c>
      <c r="P151" s="72">
        <v>0.14000000000000001</v>
      </c>
      <c r="Q151" s="72">
        <v>0.23</v>
      </c>
      <c r="R151" s="72">
        <v>0.23</v>
      </c>
      <c r="S151" s="72">
        <v>0.09</v>
      </c>
      <c r="T151" s="72">
        <v>0.09</v>
      </c>
      <c r="U151" s="10"/>
      <c r="V151" s="10"/>
      <c r="W151" s="72">
        <v>0.11</v>
      </c>
      <c r="X151" s="72">
        <v>0.11</v>
      </c>
      <c r="Y151" s="72">
        <v>0.2</v>
      </c>
      <c r="Z151" s="72">
        <v>0.11</v>
      </c>
      <c r="AA151" s="72">
        <v>0.2</v>
      </c>
      <c r="AB151" s="72">
        <v>0.11</v>
      </c>
      <c r="AC151" s="72">
        <v>0.12</v>
      </c>
      <c r="AD151" s="72">
        <v>7.0000000000000007E-2</v>
      </c>
      <c r="AE151" s="10"/>
      <c r="AF151" s="10"/>
      <c r="AG151" s="10"/>
      <c r="AH151" s="10"/>
      <c r="AI151" s="10"/>
      <c r="AJ151" s="10"/>
      <c r="AK151" s="10"/>
      <c r="AL151" s="10"/>
      <c r="AM151" s="10"/>
      <c r="AN151" s="10"/>
      <c r="AO151" s="72">
        <v>0.11</v>
      </c>
      <c r="AP151" s="72">
        <v>0.19</v>
      </c>
      <c r="AQ151" s="72">
        <v>0.1</v>
      </c>
      <c r="AR151" s="72">
        <v>0.09</v>
      </c>
      <c r="AS151" s="72">
        <v>0.21</v>
      </c>
      <c r="AT151" s="72">
        <v>0.12</v>
      </c>
      <c r="AU151" s="72">
        <v>0.12</v>
      </c>
      <c r="AV151" s="72">
        <v>7.0000000000000007E-2</v>
      </c>
      <c r="AW151" s="72">
        <v>0.11</v>
      </c>
      <c r="AX151" s="72">
        <v>0.19</v>
      </c>
      <c r="AY151" s="72">
        <v>0.1</v>
      </c>
      <c r="AZ151" s="72">
        <v>0.09</v>
      </c>
      <c r="BA151" s="72">
        <v>0.21</v>
      </c>
      <c r="BB151" s="72">
        <v>0.12</v>
      </c>
      <c r="BC151" s="72">
        <v>0.14000000000000001</v>
      </c>
      <c r="BD151" s="72">
        <v>0.14000000000000001</v>
      </c>
      <c r="BE151" s="72">
        <v>0.14000000000000001</v>
      </c>
      <c r="BF151" s="72">
        <v>0.23</v>
      </c>
      <c r="BG151" s="72">
        <v>0.09</v>
      </c>
      <c r="BH151" s="72">
        <v>0.11</v>
      </c>
      <c r="BI151" s="72">
        <v>0.2</v>
      </c>
      <c r="BJ151" s="99">
        <v>0.11</v>
      </c>
      <c r="BK151" s="72">
        <v>0.14000000000000001</v>
      </c>
      <c r="BL151" s="72">
        <v>0.14000000000000001</v>
      </c>
      <c r="BM151" s="72">
        <v>0.14000000000000001</v>
      </c>
      <c r="BN151" s="72">
        <v>0.23</v>
      </c>
      <c r="BO151" s="72">
        <v>0.09</v>
      </c>
      <c r="BP151" s="72">
        <v>0.11</v>
      </c>
      <c r="BQ151" s="72">
        <v>0.11</v>
      </c>
      <c r="BR151" s="72">
        <v>0.2</v>
      </c>
      <c r="BS151" s="72">
        <v>0.19</v>
      </c>
      <c r="BT151" s="72">
        <v>0.21</v>
      </c>
      <c r="BU151" s="72">
        <v>0.21</v>
      </c>
      <c r="BV151" s="72">
        <v>0.19</v>
      </c>
      <c r="BW151" s="72">
        <v>0.09</v>
      </c>
      <c r="BX151" s="72">
        <v>0.12</v>
      </c>
      <c r="BY151" s="72">
        <v>0.12</v>
      </c>
      <c r="BZ151" s="72">
        <v>0.09</v>
      </c>
      <c r="CA151" s="72">
        <v>7.0000000000000007E-2</v>
      </c>
      <c r="CB151" s="72">
        <v>0.11</v>
      </c>
      <c r="CC151" s="72">
        <v>0.12</v>
      </c>
      <c r="CD151" s="72">
        <v>7.0000000000000007E-2</v>
      </c>
      <c r="CE151" s="72">
        <v>0.1</v>
      </c>
      <c r="CF151" s="72">
        <v>0.1</v>
      </c>
      <c r="CG151" s="72">
        <v>0.12</v>
      </c>
      <c r="CH151" s="72">
        <v>0.12</v>
      </c>
      <c r="CI151" s="72">
        <v>0.03</v>
      </c>
      <c r="CJ151" s="72">
        <v>0.03</v>
      </c>
      <c r="CK151" s="72">
        <v>0.02</v>
      </c>
      <c r="CL151" s="72">
        <v>0.02</v>
      </c>
      <c r="CM151" s="72">
        <v>0.11</v>
      </c>
      <c r="CN151" s="72">
        <v>0.12</v>
      </c>
      <c r="CO151" s="72">
        <v>0.12</v>
      </c>
      <c r="CP151" s="72">
        <v>0.21</v>
      </c>
      <c r="CQ151" s="72">
        <v>7.0000000000000007E-2</v>
      </c>
      <c r="CR151" s="72">
        <v>0.09</v>
      </c>
      <c r="CS151" s="72">
        <v>0.1</v>
      </c>
      <c r="CT151" s="72">
        <v>0.19</v>
      </c>
      <c r="CU151" s="72">
        <v>0.11</v>
      </c>
      <c r="CV151" s="72">
        <v>0.12</v>
      </c>
      <c r="CW151" s="72">
        <v>0.12</v>
      </c>
      <c r="CX151" s="72">
        <v>0.21</v>
      </c>
      <c r="CY151" s="72">
        <v>7.0000000000000007E-2</v>
      </c>
      <c r="CZ151" s="72">
        <v>0.09</v>
      </c>
      <c r="DA151" s="72">
        <v>0.1</v>
      </c>
      <c r="DB151" s="72">
        <v>0.19</v>
      </c>
      <c r="DC151" s="72">
        <v>0.09</v>
      </c>
      <c r="DD151" s="72">
        <v>0.11</v>
      </c>
      <c r="DE151" s="10"/>
      <c r="DF151" s="72">
        <v>0.2</v>
      </c>
      <c r="DG151" s="72">
        <v>0.09</v>
      </c>
      <c r="DH151" s="72">
        <v>0.11</v>
      </c>
      <c r="DI151" s="10"/>
      <c r="DJ151" s="72">
        <v>0.2</v>
      </c>
      <c r="DK151" s="72">
        <v>0.01</v>
      </c>
      <c r="DL151" s="72">
        <v>0.11</v>
      </c>
      <c r="DM151" s="72">
        <v>0.11</v>
      </c>
      <c r="DN151" s="72">
        <v>0.11</v>
      </c>
      <c r="DO151" s="448">
        <f t="shared" si="80"/>
        <v>2.5000000000000001E-2</v>
      </c>
    </row>
    <row r="152" spans="1:123">
      <c r="A152" s="24" t="s">
        <v>78</v>
      </c>
      <c r="B152" s="24" t="s">
        <v>79</v>
      </c>
      <c r="C152" s="72">
        <v>0.14000000000000001</v>
      </c>
      <c r="D152" s="72">
        <v>0.12</v>
      </c>
      <c r="E152" s="10"/>
      <c r="F152" s="72">
        <v>0.13</v>
      </c>
      <c r="G152" s="72">
        <v>0.13</v>
      </c>
      <c r="H152" s="10"/>
      <c r="I152" s="72">
        <v>0.14000000000000001</v>
      </c>
      <c r="J152" s="10"/>
      <c r="K152" s="72">
        <v>0.12</v>
      </c>
      <c r="L152" s="72">
        <v>0.13</v>
      </c>
      <c r="M152" s="72">
        <v>0.13</v>
      </c>
      <c r="N152" s="72">
        <v>0.13</v>
      </c>
      <c r="O152" s="72">
        <v>0.13</v>
      </c>
      <c r="P152" s="72">
        <v>0.13</v>
      </c>
      <c r="Q152" s="72">
        <v>0.13</v>
      </c>
      <c r="R152" s="72">
        <v>0.13</v>
      </c>
      <c r="S152" s="72">
        <v>0.09</v>
      </c>
      <c r="T152" s="72">
        <v>0.09</v>
      </c>
      <c r="U152" s="10"/>
      <c r="V152" s="10"/>
      <c r="W152" s="72">
        <v>0.1</v>
      </c>
      <c r="X152" s="72">
        <v>0.11</v>
      </c>
      <c r="Y152" s="72">
        <v>0.12</v>
      </c>
      <c r="Z152" s="72">
        <v>0.1</v>
      </c>
      <c r="AA152" s="72">
        <v>0.12</v>
      </c>
      <c r="AB152" s="72">
        <v>0.11</v>
      </c>
      <c r="AC152" s="72">
        <v>0.12</v>
      </c>
      <c r="AD152" s="72">
        <v>0.09</v>
      </c>
      <c r="AE152" s="10"/>
      <c r="AF152" s="10"/>
      <c r="AG152" s="10"/>
      <c r="AH152" s="10"/>
      <c r="AI152" s="10"/>
      <c r="AJ152" s="10"/>
      <c r="AK152" s="10"/>
      <c r="AL152" s="10"/>
      <c r="AM152" s="10"/>
      <c r="AN152" s="10"/>
      <c r="AO152" s="72">
        <v>0.12</v>
      </c>
      <c r="AP152" s="72">
        <v>0.12</v>
      </c>
      <c r="AQ152" s="72">
        <v>0.1</v>
      </c>
      <c r="AR152" s="72">
        <v>0.1</v>
      </c>
      <c r="AS152" s="72">
        <v>0.13</v>
      </c>
      <c r="AT152" s="72">
        <v>0.12</v>
      </c>
      <c r="AU152" s="72">
        <v>0.12</v>
      </c>
      <c r="AV152" s="72">
        <v>0.09</v>
      </c>
      <c r="AW152" s="72">
        <v>0.12</v>
      </c>
      <c r="AX152" s="72">
        <v>0.12</v>
      </c>
      <c r="AY152" s="72">
        <v>0.1</v>
      </c>
      <c r="AZ152" s="72">
        <v>0.1</v>
      </c>
      <c r="BA152" s="72">
        <v>0.13</v>
      </c>
      <c r="BB152" s="72">
        <v>0.12</v>
      </c>
      <c r="BC152" s="72">
        <v>0.13</v>
      </c>
      <c r="BD152" s="72">
        <v>0.13</v>
      </c>
      <c r="BE152" s="72">
        <v>0.13</v>
      </c>
      <c r="BF152" s="72">
        <v>0.13</v>
      </c>
      <c r="BG152" s="72">
        <v>0.09</v>
      </c>
      <c r="BH152" s="72">
        <v>0.1</v>
      </c>
      <c r="BI152" s="72">
        <v>0.12</v>
      </c>
      <c r="BJ152" s="99">
        <v>0.11</v>
      </c>
      <c r="BK152" s="72">
        <v>0.13</v>
      </c>
      <c r="BL152" s="72">
        <v>0.13</v>
      </c>
      <c r="BM152" s="72">
        <v>0.13</v>
      </c>
      <c r="BN152" s="72">
        <v>0.13</v>
      </c>
      <c r="BO152" s="72">
        <v>0.09</v>
      </c>
      <c r="BP152" s="72">
        <v>0.1</v>
      </c>
      <c r="BQ152" s="72">
        <v>0.11</v>
      </c>
      <c r="BR152" s="72">
        <v>0.12</v>
      </c>
      <c r="BS152" s="72">
        <v>0.12</v>
      </c>
      <c r="BT152" s="72">
        <v>0.13</v>
      </c>
      <c r="BU152" s="72">
        <v>0.13</v>
      </c>
      <c r="BV152" s="72">
        <v>0.12</v>
      </c>
      <c r="BW152" s="72">
        <v>0.1</v>
      </c>
      <c r="BX152" s="72">
        <v>0.12</v>
      </c>
      <c r="BY152" s="72">
        <v>0.12</v>
      </c>
      <c r="BZ152" s="72">
        <v>0.1</v>
      </c>
      <c r="CA152" s="72">
        <v>0.09</v>
      </c>
      <c r="CB152" s="72">
        <v>0.12</v>
      </c>
      <c r="CC152" s="72">
        <v>0.12</v>
      </c>
      <c r="CD152" s="72">
        <v>0.09</v>
      </c>
      <c r="CE152" s="72">
        <v>0.1</v>
      </c>
      <c r="CF152" s="72">
        <v>0.1</v>
      </c>
      <c r="CG152" s="72">
        <v>0.12</v>
      </c>
      <c r="CH152" s="72">
        <v>0.12</v>
      </c>
      <c r="CI152" s="72">
        <v>0.14000000000000001</v>
      </c>
      <c r="CJ152" s="72">
        <v>0.14000000000000001</v>
      </c>
      <c r="CK152" s="72">
        <v>0.12</v>
      </c>
      <c r="CL152" s="72">
        <v>0.12</v>
      </c>
      <c r="CM152" s="72">
        <v>0.12</v>
      </c>
      <c r="CN152" s="72">
        <v>0.12</v>
      </c>
      <c r="CO152" s="72">
        <v>0.12</v>
      </c>
      <c r="CP152" s="72">
        <v>0.13</v>
      </c>
      <c r="CQ152" s="72">
        <v>0.09</v>
      </c>
      <c r="CR152" s="72">
        <v>0.1</v>
      </c>
      <c r="CS152" s="72">
        <v>0.1</v>
      </c>
      <c r="CT152" s="72">
        <v>0.12</v>
      </c>
      <c r="CU152" s="72">
        <v>0.12</v>
      </c>
      <c r="CV152" s="72">
        <v>0.12</v>
      </c>
      <c r="CW152" s="72">
        <v>0.12</v>
      </c>
      <c r="CX152" s="72">
        <v>0.13</v>
      </c>
      <c r="CY152" s="72">
        <v>0.09</v>
      </c>
      <c r="CZ152" s="72">
        <v>0.1</v>
      </c>
      <c r="DA152" s="72">
        <v>0.1</v>
      </c>
      <c r="DB152" s="72">
        <v>0.12</v>
      </c>
      <c r="DC152" s="72">
        <v>0.09</v>
      </c>
      <c r="DD152" s="72">
        <v>0.1</v>
      </c>
      <c r="DE152" s="10"/>
      <c r="DF152" s="72">
        <v>0.12</v>
      </c>
      <c r="DG152" s="72">
        <v>0.09</v>
      </c>
      <c r="DH152" s="72">
        <v>0.1</v>
      </c>
      <c r="DI152" s="10"/>
      <c r="DJ152" s="72">
        <v>0.12</v>
      </c>
      <c r="DK152" s="72">
        <v>0.11</v>
      </c>
      <c r="DL152" s="72">
        <v>0.12</v>
      </c>
      <c r="DM152" s="72">
        <v>0.12</v>
      </c>
      <c r="DN152" s="72">
        <v>0.12</v>
      </c>
      <c r="DO152" s="448">
        <f t="shared" si="80"/>
        <v>0.13</v>
      </c>
    </row>
    <row r="153" spans="1:123">
      <c r="A153" s="24" t="s">
        <v>82</v>
      </c>
      <c r="B153" s="24" t="s">
        <v>83</v>
      </c>
      <c r="C153" s="72">
        <v>0.23</v>
      </c>
      <c r="D153" s="72">
        <v>0.22</v>
      </c>
      <c r="E153" s="10"/>
      <c r="F153" s="72">
        <v>0.25</v>
      </c>
      <c r="G153" s="72">
        <v>0.25</v>
      </c>
      <c r="H153" s="10"/>
      <c r="I153" s="72">
        <v>0.23</v>
      </c>
      <c r="J153" s="10"/>
      <c r="K153" s="72">
        <v>0.22</v>
      </c>
      <c r="L153" s="72">
        <v>0.25</v>
      </c>
      <c r="M153" s="72">
        <v>0.25</v>
      </c>
      <c r="N153" s="72">
        <v>0.25</v>
      </c>
      <c r="O153" s="72">
        <v>0.25</v>
      </c>
      <c r="P153" s="72">
        <v>0.25</v>
      </c>
      <c r="Q153" s="72">
        <v>0.25</v>
      </c>
      <c r="R153" s="72">
        <v>0.25</v>
      </c>
      <c r="S153" s="72">
        <v>0.16</v>
      </c>
      <c r="T153" s="72">
        <v>0.16</v>
      </c>
      <c r="U153" s="10"/>
      <c r="V153" s="10"/>
      <c r="W153" s="72">
        <v>0.19</v>
      </c>
      <c r="X153" s="72">
        <v>0.2</v>
      </c>
      <c r="Y153" s="72">
        <v>0.22</v>
      </c>
      <c r="Z153" s="72">
        <v>0.19</v>
      </c>
      <c r="AA153" s="72">
        <v>0.22</v>
      </c>
      <c r="AB153" s="72">
        <v>0.2</v>
      </c>
      <c r="AC153" s="72">
        <v>0.2</v>
      </c>
      <c r="AD153" s="72">
        <v>0.13</v>
      </c>
      <c r="AE153" s="10"/>
      <c r="AF153" s="10"/>
      <c r="AG153" s="10"/>
      <c r="AH153" s="10"/>
      <c r="AI153" s="10"/>
      <c r="AJ153" s="10"/>
      <c r="AK153" s="10"/>
      <c r="AL153" s="10"/>
      <c r="AM153" s="10"/>
      <c r="AN153" s="10"/>
      <c r="AO153" s="72">
        <v>0.19</v>
      </c>
      <c r="AP153" s="72">
        <v>0.2</v>
      </c>
      <c r="AQ153" s="72">
        <v>0.17</v>
      </c>
      <c r="AR153" s="72">
        <v>0.15</v>
      </c>
      <c r="AS153" s="72">
        <v>0.22</v>
      </c>
      <c r="AT153" s="72">
        <v>0.21</v>
      </c>
      <c r="AU153" s="72">
        <v>0.2</v>
      </c>
      <c r="AV153" s="72">
        <v>0.13</v>
      </c>
      <c r="AW153" s="72">
        <v>0.19</v>
      </c>
      <c r="AX153" s="72">
        <v>0.2</v>
      </c>
      <c r="AY153" s="72">
        <v>0.17</v>
      </c>
      <c r="AZ153" s="72">
        <v>0.15</v>
      </c>
      <c r="BA153" s="72">
        <v>0.22</v>
      </c>
      <c r="BB153" s="72">
        <v>0.21</v>
      </c>
      <c r="BC153" s="72">
        <v>0.25</v>
      </c>
      <c r="BD153" s="72">
        <v>0.25</v>
      </c>
      <c r="BE153" s="72">
        <v>0.25</v>
      </c>
      <c r="BF153" s="72">
        <v>0.25</v>
      </c>
      <c r="BG153" s="72">
        <v>0.16</v>
      </c>
      <c r="BH153" s="72">
        <v>0.19</v>
      </c>
      <c r="BI153" s="72">
        <v>0.22</v>
      </c>
      <c r="BJ153" s="99">
        <v>0.2</v>
      </c>
      <c r="BK153" s="72">
        <v>0.25</v>
      </c>
      <c r="BL153" s="72">
        <v>0.25</v>
      </c>
      <c r="BM153" s="72">
        <v>0.25</v>
      </c>
      <c r="BN153" s="72">
        <v>0.25</v>
      </c>
      <c r="BO153" s="72">
        <v>0.16</v>
      </c>
      <c r="BP153" s="72">
        <v>0.19</v>
      </c>
      <c r="BQ153" s="72">
        <v>0.2</v>
      </c>
      <c r="BR153" s="72">
        <v>0.22</v>
      </c>
      <c r="BS153" s="72">
        <v>0.2</v>
      </c>
      <c r="BT153" s="72">
        <v>0.22</v>
      </c>
      <c r="BU153" s="72">
        <v>0.22</v>
      </c>
      <c r="BV153" s="72">
        <v>0.2</v>
      </c>
      <c r="BW153" s="72">
        <v>0.15</v>
      </c>
      <c r="BX153" s="72">
        <v>0.2</v>
      </c>
      <c r="BY153" s="72">
        <v>0.2</v>
      </c>
      <c r="BZ153" s="72">
        <v>0.15</v>
      </c>
      <c r="CA153" s="72">
        <v>0.13</v>
      </c>
      <c r="CB153" s="72">
        <v>0.19</v>
      </c>
      <c r="CC153" s="72">
        <v>0.2</v>
      </c>
      <c r="CD153" s="72">
        <v>0.13</v>
      </c>
      <c r="CE153" s="72">
        <v>0.17</v>
      </c>
      <c r="CF153" s="72">
        <v>0.17</v>
      </c>
      <c r="CG153" s="72">
        <v>0.21</v>
      </c>
      <c r="CH153" s="72">
        <v>0.21</v>
      </c>
      <c r="CI153" s="72">
        <v>0.23</v>
      </c>
      <c r="CJ153" s="72">
        <v>0.23</v>
      </c>
      <c r="CK153" s="72">
        <v>0.22</v>
      </c>
      <c r="CL153" s="72">
        <v>0.22</v>
      </c>
      <c r="CM153" s="72">
        <v>0.19</v>
      </c>
      <c r="CN153" s="72">
        <v>0.2</v>
      </c>
      <c r="CO153" s="72">
        <v>0.21</v>
      </c>
      <c r="CP153" s="72">
        <v>0.22</v>
      </c>
      <c r="CQ153" s="72">
        <v>0.13</v>
      </c>
      <c r="CR153" s="72">
        <v>0.15</v>
      </c>
      <c r="CS153" s="72">
        <v>0.17</v>
      </c>
      <c r="CT153" s="72">
        <v>0.2</v>
      </c>
      <c r="CU153" s="72">
        <v>0.19</v>
      </c>
      <c r="CV153" s="72">
        <v>0.2</v>
      </c>
      <c r="CW153" s="72">
        <v>0.21</v>
      </c>
      <c r="CX153" s="72">
        <v>0.22</v>
      </c>
      <c r="CY153" s="72">
        <v>0.13</v>
      </c>
      <c r="CZ153" s="72">
        <v>0.15</v>
      </c>
      <c r="DA153" s="72">
        <v>0.17</v>
      </c>
      <c r="DB153" s="72">
        <v>0.2</v>
      </c>
      <c r="DC153" s="72">
        <v>0.16</v>
      </c>
      <c r="DD153" s="72">
        <v>0.19</v>
      </c>
      <c r="DE153" s="10"/>
      <c r="DF153" s="72">
        <v>0.22</v>
      </c>
      <c r="DG153" s="72">
        <v>0.16</v>
      </c>
      <c r="DH153" s="72">
        <v>0.19</v>
      </c>
      <c r="DI153" s="10"/>
      <c r="DJ153" s="72">
        <v>0.22</v>
      </c>
      <c r="DK153" s="72">
        <v>0.16</v>
      </c>
      <c r="DL153" s="72">
        <v>0.19</v>
      </c>
      <c r="DM153" s="72">
        <v>0.19</v>
      </c>
      <c r="DN153" s="72">
        <v>0.19</v>
      </c>
      <c r="DO153" s="448">
        <f t="shared" si="80"/>
        <v>0.22500000000000001</v>
      </c>
    </row>
    <row r="154" spans="1:123">
      <c r="A154" s="24" t="s">
        <v>85</v>
      </c>
      <c r="B154" s="24" t="s">
        <v>86</v>
      </c>
      <c r="C154" s="72">
        <v>0.2</v>
      </c>
      <c r="D154" s="72">
        <v>0.14000000000000001</v>
      </c>
      <c r="E154" s="10"/>
      <c r="F154" s="72">
        <v>0.12</v>
      </c>
      <c r="G154" s="72">
        <v>0.12</v>
      </c>
      <c r="H154" s="10"/>
      <c r="I154" s="72">
        <v>0.2</v>
      </c>
      <c r="J154" s="10"/>
      <c r="K154" s="72">
        <v>0.14000000000000001</v>
      </c>
      <c r="L154" s="72">
        <v>0.12</v>
      </c>
      <c r="M154" s="72">
        <v>0.12</v>
      </c>
      <c r="N154" s="72">
        <v>0.12</v>
      </c>
      <c r="O154" s="72">
        <v>0.12</v>
      </c>
      <c r="P154" s="72">
        <v>0.12</v>
      </c>
      <c r="Q154" s="72">
        <v>0.19</v>
      </c>
      <c r="R154" s="72">
        <v>0.19</v>
      </c>
      <c r="S154" s="72">
        <v>0.08</v>
      </c>
      <c r="T154" s="72">
        <v>0.08</v>
      </c>
      <c r="U154" s="10"/>
      <c r="V154" s="10"/>
      <c r="W154" s="72">
        <v>0.09</v>
      </c>
      <c r="X154" s="72">
        <v>0.1</v>
      </c>
      <c r="Y154" s="72">
        <v>0.17</v>
      </c>
      <c r="Z154" s="72">
        <v>0.09</v>
      </c>
      <c r="AA154" s="72">
        <v>0.17</v>
      </c>
      <c r="AB154" s="72">
        <v>0.1</v>
      </c>
      <c r="AC154" s="72">
        <v>0.1</v>
      </c>
      <c r="AD154" s="72">
        <v>0.06</v>
      </c>
      <c r="AE154" s="10"/>
      <c r="AF154" s="10"/>
      <c r="AG154" s="10"/>
      <c r="AH154" s="10"/>
      <c r="AI154" s="10"/>
      <c r="AJ154" s="10"/>
      <c r="AK154" s="10"/>
      <c r="AL154" s="10"/>
      <c r="AM154" s="10"/>
      <c r="AN154" s="10"/>
      <c r="AO154" s="72">
        <v>0.09</v>
      </c>
      <c r="AP154" s="72">
        <v>0.16</v>
      </c>
      <c r="AQ154" s="72">
        <v>0.08</v>
      </c>
      <c r="AR154" s="72">
        <v>7.0000000000000007E-2</v>
      </c>
      <c r="AS154" s="72">
        <v>0.18</v>
      </c>
      <c r="AT154" s="72">
        <v>0.1</v>
      </c>
      <c r="AU154" s="72">
        <v>0.1</v>
      </c>
      <c r="AV154" s="72">
        <v>0.06</v>
      </c>
      <c r="AW154" s="72">
        <v>0.09</v>
      </c>
      <c r="AX154" s="72">
        <v>0.16</v>
      </c>
      <c r="AY154" s="72">
        <v>0.08</v>
      </c>
      <c r="AZ154" s="72">
        <v>7.0000000000000007E-2</v>
      </c>
      <c r="BA154" s="72">
        <v>0.18</v>
      </c>
      <c r="BB154" s="72">
        <v>0.1</v>
      </c>
      <c r="BC154" s="72">
        <v>0.12</v>
      </c>
      <c r="BD154" s="72">
        <v>0.12</v>
      </c>
      <c r="BE154" s="72">
        <v>0.12</v>
      </c>
      <c r="BF154" s="72">
        <v>0.19</v>
      </c>
      <c r="BG154" s="72">
        <v>0.08</v>
      </c>
      <c r="BH154" s="72">
        <v>0.09</v>
      </c>
      <c r="BI154" s="72">
        <v>0.17</v>
      </c>
      <c r="BJ154" s="99">
        <v>0.1</v>
      </c>
      <c r="BK154" s="72">
        <v>0.12</v>
      </c>
      <c r="BL154" s="72">
        <v>0.12</v>
      </c>
      <c r="BM154" s="72">
        <v>0.12</v>
      </c>
      <c r="BN154" s="72">
        <v>0.19</v>
      </c>
      <c r="BO154" s="72">
        <v>0.08</v>
      </c>
      <c r="BP154" s="72">
        <v>0.09</v>
      </c>
      <c r="BQ154" s="72">
        <v>0.1</v>
      </c>
      <c r="BR154" s="72">
        <v>0.17</v>
      </c>
      <c r="BS154" s="72">
        <v>0.16</v>
      </c>
      <c r="BT154" s="72">
        <v>0.18</v>
      </c>
      <c r="BU154" s="72">
        <v>0.18</v>
      </c>
      <c r="BV154" s="72">
        <v>0.16</v>
      </c>
      <c r="BW154" s="72">
        <v>7.0000000000000007E-2</v>
      </c>
      <c r="BX154" s="72">
        <v>0.1</v>
      </c>
      <c r="BY154" s="72">
        <v>0.1</v>
      </c>
      <c r="BZ154" s="72">
        <v>7.0000000000000007E-2</v>
      </c>
      <c r="CA154" s="72">
        <v>0.06</v>
      </c>
      <c r="CB154" s="72">
        <v>0.09</v>
      </c>
      <c r="CC154" s="72">
        <v>0.1</v>
      </c>
      <c r="CD154" s="72">
        <v>0.06</v>
      </c>
      <c r="CE154" s="72">
        <v>0.08</v>
      </c>
      <c r="CF154" s="72">
        <v>0.08</v>
      </c>
      <c r="CG154" s="72">
        <v>0.1</v>
      </c>
      <c r="CH154" s="72">
        <v>0.1</v>
      </c>
      <c r="CI154" s="72">
        <v>0.2</v>
      </c>
      <c r="CJ154" s="72">
        <v>0.2</v>
      </c>
      <c r="CK154" s="72">
        <v>0.14000000000000001</v>
      </c>
      <c r="CL154" s="72">
        <v>0.14000000000000001</v>
      </c>
      <c r="CM154" s="72">
        <v>0.09</v>
      </c>
      <c r="CN154" s="72">
        <v>0.1</v>
      </c>
      <c r="CO154" s="72">
        <v>0.1</v>
      </c>
      <c r="CP154" s="72">
        <v>0.18</v>
      </c>
      <c r="CQ154" s="72">
        <v>0.06</v>
      </c>
      <c r="CR154" s="72">
        <v>7.0000000000000007E-2</v>
      </c>
      <c r="CS154" s="72">
        <v>0.08</v>
      </c>
      <c r="CT154" s="72">
        <v>0.16</v>
      </c>
      <c r="CU154" s="72">
        <v>0.09</v>
      </c>
      <c r="CV154" s="72">
        <v>0.1</v>
      </c>
      <c r="CW154" s="72">
        <v>0.1</v>
      </c>
      <c r="CX154" s="72">
        <v>0.18</v>
      </c>
      <c r="CY154" s="72">
        <v>0.06</v>
      </c>
      <c r="CZ154" s="72">
        <v>7.0000000000000007E-2</v>
      </c>
      <c r="DA154" s="72">
        <v>0.08</v>
      </c>
      <c r="DB154" s="72">
        <v>0.16</v>
      </c>
      <c r="DC154" s="72">
        <v>0.08</v>
      </c>
      <c r="DD154" s="72">
        <v>0.09</v>
      </c>
      <c r="DE154" s="10"/>
      <c r="DF154" s="72">
        <v>0.17</v>
      </c>
      <c r="DG154" s="72">
        <v>0.08</v>
      </c>
      <c r="DH154" s="72">
        <v>0.09</v>
      </c>
      <c r="DI154" s="10"/>
      <c r="DJ154" s="72">
        <v>0.17</v>
      </c>
      <c r="DK154" s="72">
        <v>0.11</v>
      </c>
      <c r="DL154" s="72">
        <v>0.09</v>
      </c>
      <c r="DM154" s="72">
        <v>0.09</v>
      </c>
      <c r="DN154" s="72">
        <v>0.09</v>
      </c>
      <c r="DO154" s="448">
        <f t="shared" si="80"/>
        <v>0.17</v>
      </c>
    </row>
    <row r="155" spans="1:123">
      <c r="A155" s="24" t="s">
        <v>198</v>
      </c>
      <c r="B155" s="24" t="s">
        <v>199</v>
      </c>
      <c r="C155" s="72">
        <v>0.24</v>
      </c>
      <c r="D155" s="72">
        <v>0.23</v>
      </c>
      <c r="E155" s="10"/>
      <c r="F155" s="72">
        <v>0.21</v>
      </c>
      <c r="G155" s="72">
        <v>0.21</v>
      </c>
      <c r="H155" s="10"/>
      <c r="I155" s="72">
        <v>0.24</v>
      </c>
      <c r="J155" s="10"/>
      <c r="K155" s="72">
        <v>0.23</v>
      </c>
      <c r="L155" s="72">
        <v>0.21</v>
      </c>
      <c r="M155" s="72">
        <v>0.21</v>
      </c>
      <c r="N155" s="72">
        <v>0.21</v>
      </c>
      <c r="O155" s="72">
        <v>0.21</v>
      </c>
      <c r="P155" s="72">
        <v>0.21</v>
      </c>
      <c r="Q155" s="72">
        <v>0.21</v>
      </c>
      <c r="R155" s="72">
        <v>0.21</v>
      </c>
      <c r="S155" s="72">
        <v>0.14000000000000001</v>
      </c>
      <c r="T155" s="72">
        <v>0.14000000000000001</v>
      </c>
      <c r="U155" s="10"/>
      <c r="V155" s="10"/>
      <c r="W155" s="72">
        <v>0.16</v>
      </c>
      <c r="X155" s="72">
        <v>0.17</v>
      </c>
      <c r="Y155" s="72">
        <v>0.19</v>
      </c>
      <c r="Z155" s="72">
        <v>0.16</v>
      </c>
      <c r="AA155" s="72">
        <v>0.19</v>
      </c>
      <c r="AB155" s="72">
        <v>0.17</v>
      </c>
      <c r="AC155" s="72">
        <v>0.17</v>
      </c>
      <c r="AD155" s="72">
        <v>0.11</v>
      </c>
      <c r="AE155" s="10"/>
      <c r="AF155" s="10"/>
      <c r="AG155" s="10"/>
      <c r="AH155" s="10"/>
      <c r="AI155" s="10"/>
      <c r="AJ155" s="10"/>
      <c r="AK155" s="10"/>
      <c r="AL155" s="10"/>
      <c r="AM155" s="10"/>
      <c r="AN155" s="10"/>
      <c r="AO155" s="72">
        <v>0.16</v>
      </c>
      <c r="AP155" s="72">
        <v>0.17</v>
      </c>
      <c r="AQ155" s="72">
        <v>0.14000000000000001</v>
      </c>
      <c r="AR155" s="72">
        <v>0.13</v>
      </c>
      <c r="AS155" s="72">
        <v>0.19</v>
      </c>
      <c r="AT155" s="72">
        <v>0.18</v>
      </c>
      <c r="AU155" s="72">
        <v>0.17</v>
      </c>
      <c r="AV155" s="72">
        <v>0.11</v>
      </c>
      <c r="AW155" s="72">
        <v>0.16</v>
      </c>
      <c r="AX155" s="72">
        <v>0.17</v>
      </c>
      <c r="AY155" s="72">
        <v>0.14000000000000001</v>
      </c>
      <c r="AZ155" s="72">
        <v>0.13</v>
      </c>
      <c r="BA155" s="72">
        <v>0.19</v>
      </c>
      <c r="BB155" s="72">
        <v>0.18</v>
      </c>
      <c r="BC155" s="72">
        <v>0.21</v>
      </c>
      <c r="BD155" s="72">
        <v>0.21</v>
      </c>
      <c r="BE155" s="72">
        <v>0.21</v>
      </c>
      <c r="BF155" s="72">
        <v>0.21</v>
      </c>
      <c r="BG155" s="72">
        <v>0.14000000000000001</v>
      </c>
      <c r="BH155" s="72">
        <v>0.16</v>
      </c>
      <c r="BI155" s="72">
        <v>0.19</v>
      </c>
      <c r="BJ155" s="99">
        <v>0.17</v>
      </c>
      <c r="BK155" s="72">
        <v>0.21</v>
      </c>
      <c r="BL155" s="72">
        <v>0.21</v>
      </c>
      <c r="BM155" s="72">
        <v>0.21</v>
      </c>
      <c r="BN155" s="72">
        <v>0.21</v>
      </c>
      <c r="BO155" s="72">
        <v>0.14000000000000001</v>
      </c>
      <c r="BP155" s="72">
        <v>0.16</v>
      </c>
      <c r="BQ155" s="72">
        <v>0.17</v>
      </c>
      <c r="BR155" s="72">
        <v>0.19</v>
      </c>
      <c r="BS155" s="72">
        <v>0.17</v>
      </c>
      <c r="BT155" s="72">
        <v>0.19</v>
      </c>
      <c r="BU155" s="72">
        <v>0.19</v>
      </c>
      <c r="BV155" s="72">
        <v>0.17</v>
      </c>
      <c r="BW155" s="72">
        <v>0.13</v>
      </c>
      <c r="BX155" s="72">
        <v>0.17</v>
      </c>
      <c r="BY155" s="72">
        <v>0.17</v>
      </c>
      <c r="BZ155" s="72">
        <v>0.13</v>
      </c>
      <c r="CA155" s="72">
        <v>0.11</v>
      </c>
      <c r="CB155" s="72">
        <v>0.16</v>
      </c>
      <c r="CC155" s="72">
        <v>0.17</v>
      </c>
      <c r="CD155" s="72">
        <v>0.11</v>
      </c>
      <c r="CE155" s="72">
        <v>0.14000000000000001</v>
      </c>
      <c r="CF155" s="72">
        <v>0.14000000000000001</v>
      </c>
      <c r="CG155" s="72">
        <v>0.18</v>
      </c>
      <c r="CH155" s="72">
        <v>0.18</v>
      </c>
      <c r="CI155" s="72">
        <v>0.26</v>
      </c>
      <c r="CJ155" s="72">
        <v>0.26</v>
      </c>
      <c r="CK155" s="72">
        <v>0.25</v>
      </c>
      <c r="CL155" s="72">
        <v>0.25</v>
      </c>
      <c r="CM155" s="72">
        <v>0.16</v>
      </c>
      <c r="CN155" s="72">
        <v>0.17</v>
      </c>
      <c r="CO155" s="72">
        <v>0.18</v>
      </c>
      <c r="CP155" s="72">
        <v>0.19</v>
      </c>
      <c r="CQ155" s="72">
        <v>0.11</v>
      </c>
      <c r="CR155" s="72">
        <v>0.13</v>
      </c>
      <c r="CS155" s="72">
        <v>0.14000000000000001</v>
      </c>
      <c r="CT155" s="72">
        <v>0.17</v>
      </c>
      <c r="CU155" s="72">
        <v>0.16</v>
      </c>
      <c r="CV155" s="72">
        <v>0.17</v>
      </c>
      <c r="CW155" s="72">
        <v>0.18</v>
      </c>
      <c r="CX155" s="72">
        <v>0.19</v>
      </c>
      <c r="CY155" s="72">
        <v>0.11</v>
      </c>
      <c r="CZ155" s="72">
        <v>0.13</v>
      </c>
      <c r="DA155" s="72">
        <v>0.14000000000000001</v>
      </c>
      <c r="DB155" s="72">
        <v>0.17</v>
      </c>
      <c r="DC155" s="72">
        <v>0.14000000000000001</v>
      </c>
      <c r="DD155" s="72">
        <v>0.16</v>
      </c>
      <c r="DE155" s="10"/>
      <c r="DF155" s="72">
        <v>0.19</v>
      </c>
      <c r="DG155" s="72">
        <v>0.14000000000000001</v>
      </c>
      <c r="DH155" s="72">
        <v>0.16</v>
      </c>
      <c r="DI155" s="10"/>
      <c r="DJ155" s="72">
        <v>0.19</v>
      </c>
      <c r="DK155" s="72">
        <v>0.18</v>
      </c>
      <c r="DL155" s="72">
        <v>0.16</v>
      </c>
      <c r="DM155" s="72">
        <v>0.16</v>
      </c>
      <c r="DN155" s="72">
        <v>0.16</v>
      </c>
      <c r="DO155" s="448">
        <f t="shared" si="80"/>
        <v>0.255</v>
      </c>
    </row>
    <row r="156" spans="1:123">
      <c r="A156" s="24" t="s">
        <v>200</v>
      </c>
      <c r="B156" s="24" t="s">
        <v>201</v>
      </c>
      <c r="C156" s="72">
        <v>0.08</v>
      </c>
      <c r="D156" s="72">
        <v>0.08</v>
      </c>
      <c r="E156" s="10"/>
      <c r="F156" s="72">
        <v>0.09</v>
      </c>
      <c r="G156" s="72">
        <v>0.09</v>
      </c>
      <c r="H156" s="10"/>
      <c r="I156" s="72">
        <v>0.08</v>
      </c>
      <c r="J156" s="10"/>
      <c r="K156" s="72">
        <v>0.08</v>
      </c>
      <c r="L156" s="72">
        <v>0.09</v>
      </c>
      <c r="M156" s="72">
        <v>0.09</v>
      </c>
      <c r="N156" s="72">
        <v>0.09</v>
      </c>
      <c r="O156" s="72">
        <v>0.09</v>
      </c>
      <c r="P156" s="72">
        <v>0.09</v>
      </c>
      <c r="Q156" s="72">
        <v>0.09</v>
      </c>
      <c r="R156" s="72">
        <v>0.09</v>
      </c>
      <c r="S156" s="72">
        <v>0.06</v>
      </c>
      <c r="T156" s="72">
        <v>0.06</v>
      </c>
      <c r="U156" s="10"/>
      <c r="V156" s="10"/>
      <c r="W156" s="72">
        <v>7.0000000000000007E-2</v>
      </c>
      <c r="X156" s="72">
        <v>7.0000000000000007E-2</v>
      </c>
      <c r="Y156" s="72">
        <v>0.08</v>
      </c>
      <c r="Z156" s="72">
        <v>7.0000000000000007E-2</v>
      </c>
      <c r="AA156" s="72">
        <v>0.08</v>
      </c>
      <c r="AB156" s="72">
        <v>7.0000000000000007E-2</v>
      </c>
      <c r="AC156" s="72">
        <v>7.0000000000000007E-2</v>
      </c>
      <c r="AD156" s="72">
        <v>0.04</v>
      </c>
      <c r="AE156" s="10"/>
      <c r="AF156" s="10"/>
      <c r="AG156" s="10"/>
      <c r="AH156" s="10"/>
      <c r="AI156" s="10"/>
      <c r="AJ156" s="10"/>
      <c r="AK156" s="10"/>
      <c r="AL156" s="10"/>
      <c r="AM156" s="10"/>
      <c r="AN156" s="10"/>
      <c r="AO156" s="72">
        <v>7.0000000000000007E-2</v>
      </c>
      <c r="AP156" s="72">
        <v>7.0000000000000007E-2</v>
      </c>
      <c r="AQ156" s="72">
        <v>0.06</v>
      </c>
      <c r="AR156" s="72">
        <v>0.05</v>
      </c>
      <c r="AS156" s="72">
        <v>0.08</v>
      </c>
      <c r="AT156" s="72">
        <v>7.0000000000000007E-2</v>
      </c>
      <c r="AU156" s="72">
        <v>7.0000000000000007E-2</v>
      </c>
      <c r="AV156" s="72">
        <v>0.04</v>
      </c>
      <c r="AW156" s="72">
        <v>7.0000000000000007E-2</v>
      </c>
      <c r="AX156" s="72">
        <v>7.0000000000000007E-2</v>
      </c>
      <c r="AY156" s="72">
        <v>0.06</v>
      </c>
      <c r="AZ156" s="72">
        <v>0.05</v>
      </c>
      <c r="BA156" s="72">
        <v>0.08</v>
      </c>
      <c r="BB156" s="72">
        <v>7.0000000000000007E-2</v>
      </c>
      <c r="BC156" s="72">
        <v>0.09</v>
      </c>
      <c r="BD156" s="72">
        <v>0.09</v>
      </c>
      <c r="BE156" s="72">
        <v>0.09</v>
      </c>
      <c r="BF156" s="72">
        <v>0.09</v>
      </c>
      <c r="BG156" s="72">
        <v>0.06</v>
      </c>
      <c r="BH156" s="72">
        <v>7.0000000000000007E-2</v>
      </c>
      <c r="BI156" s="72">
        <v>0.08</v>
      </c>
      <c r="BJ156" s="99">
        <v>7.0000000000000007E-2</v>
      </c>
      <c r="BK156" s="72">
        <v>0.09</v>
      </c>
      <c r="BL156" s="72">
        <v>0.09</v>
      </c>
      <c r="BM156" s="72">
        <v>0.09</v>
      </c>
      <c r="BN156" s="72">
        <v>0.09</v>
      </c>
      <c r="BO156" s="72">
        <v>0.06</v>
      </c>
      <c r="BP156" s="72">
        <v>7.0000000000000007E-2</v>
      </c>
      <c r="BQ156" s="72">
        <v>7.0000000000000007E-2</v>
      </c>
      <c r="BR156" s="72">
        <v>0.08</v>
      </c>
      <c r="BS156" s="72">
        <v>7.0000000000000007E-2</v>
      </c>
      <c r="BT156" s="72">
        <v>0.08</v>
      </c>
      <c r="BU156" s="72">
        <v>0.08</v>
      </c>
      <c r="BV156" s="72">
        <v>7.0000000000000007E-2</v>
      </c>
      <c r="BW156" s="72">
        <v>0.05</v>
      </c>
      <c r="BX156" s="72">
        <v>7.0000000000000007E-2</v>
      </c>
      <c r="BY156" s="72">
        <v>7.0000000000000007E-2</v>
      </c>
      <c r="BZ156" s="72">
        <v>0.05</v>
      </c>
      <c r="CA156" s="72">
        <v>0.04</v>
      </c>
      <c r="CB156" s="72">
        <v>7.0000000000000007E-2</v>
      </c>
      <c r="CC156" s="72">
        <v>7.0000000000000007E-2</v>
      </c>
      <c r="CD156" s="72">
        <v>0.04</v>
      </c>
      <c r="CE156" s="72">
        <v>0.06</v>
      </c>
      <c r="CF156" s="72">
        <v>0.06</v>
      </c>
      <c r="CG156" s="72">
        <v>7.0000000000000007E-2</v>
      </c>
      <c r="CH156" s="72">
        <v>7.0000000000000007E-2</v>
      </c>
      <c r="CI156" s="72">
        <v>0.09</v>
      </c>
      <c r="CJ156" s="72">
        <v>0.09</v>
      </c>
      <c r="CK156" s="72">
        <v>0.09</v>
      </c>
      <c r="CL156" s="72">
        <v>0.09</v>
      </c>
      <c r="CM156" s="72">
        <v>7.0000000000000007E-2</v>
      </c>
      <c r="CN156" s="72">
        <v>7.0000000000000007E-2</v>
      </c>
      <c r="CO156" s="72">
        <v>7.0000000000000007E-2</v>
      </c>
      <c r="CP156" s="72">
        <v>0.08</v>
      </c>
      <c r="CQ156" s="72">
        <v>0.04</v>
      </c>
      <c r="CR156" s="72">
        <v>0.05</v>
      </c>
      <c r="CS156" s="72">
        <v>0.06</v>
      </c>
      <c r="CT156" s="72">
        <v>7.0000000000000007E-2</v>
      </c>
      <c r="CU156" s="72">
        <v>7.0000000000000007E-2</v>
      </c>
      <c r="CV156" s="72">
        <v>7.0000000000000007E-2</v>
      </c>
      <c r="CW156" s="72">
        <v>7.0000000000000007E-2</v>
      </c>
      <c r="CX156" s="72">
        <v>0.08</v>
      </c>
      <c r="CY156" s="72">
        <v>0.04</v>
      </c>
      <c r="CZ156" s="72">
        <v>0.05</v>
      </c>
      <c r="DA156" s="72">
        <v>0.06</v>
      </c>
      <c r="DB156" s="72">
        <v>7.0000000000000007E-2</v>
      </c>
      <c r="DC156" s="72">
        <v>0.06</v>
      </c>
      <c r="DD156" s="72">
        <v>7.0000000000000007E-2</v>
      </c>
      <c r="DE156" s="10"/>
      <c r="DF156" s="72">
        <v>0.08</v>
      </c>
      <c r="DG156" s="72">
        <v>0.06</v>
      </c>
      <c r="DH156" s="72">
        <v>7.0000000000000007E-2</v>
      </c>
      <c r="DI156" s="10"/>
      <c r="DJ156" s="72">
        <v>0.08</v>
      </c>
      <c r="DK156" s="72">
        <v>0.06</v>
      </c>
      <c r="DL156" s="72">
        <v>7.0000000000000007E-2</v>
      </c>
      <c r="DM156" s="72">
        <v>7.0000000000000007E-2</v>
      </c>
      <c r="DN156" s="72">
        <v>7.0000000000000007E-2</v>
      </c>
      <c r="DO156" s="448">
        <f t="shared" si="80"/>
        <v>0.09</v>
      </c>
    </row>
    <row r="157" spans="1:123">
      <c r="A157" s="24" t="s">
        <v>202</v>
      </c>
      <c r="B157" s="24" t="s">
        <v>203</v>
      </c>
      <c r="C157" s="72">
        <v>0.37</v>
      </c>
      <c r="D157" s="72">
        <v>0.34</v>
      </c>
      <c r="E157" s="10"/>
      <c r="F157" s="72">
        <v>0.41</v>
      </c>
      <c r="G157" s="72">
        <v>0.41</v>
      </c>
      <c r="H157" s="10"/>
      <c r="I157" s="72">
        <v>0.37</v>
      </c>
      <c r="J157" s="10"/>
      <c r="K157" s="72">
        <v>0.34</v>
      </c>
      <c r="L157" s="72">
        <v>0.41</v>
      </c>
      <c r="M157" s="72">
        <v>0.41</v>
      </c>
      <c r="N157" s="72">
        <v>0.41</v>
      </c>
      <c r="O157" s="72">
        <v>0.41</v>
      </c>
      <c r="P157" s="72">
        <v>0.41</v>
      </c>
      <c r="Q157" s="72">
        <v>0.5</v>
      </c>
      <c r="R157" s="72">
        <v>0.5</v>
      </c>
      <c r="S157" s="72">
        <v>0.27</v>
      </c>
      <c r="T157" s="72">
        <v>0.27</v>
      </c>
      <c r="U157" s="10"/>
      <c r="V157" s="10"/>
      <c r="W157" s="72">
        <v>0.31</v>
      </c>
      <c r="X157" s="72">
        <v>0.33</v>
      </c>
      <c r="Y157" s="72">
        <v>0.45</v>
      </c>
      <c r="Z157" s="72">
        <v>0.31</v>
      </c>
      <c r="AA157" s="72">
        <v>0.45</v>
      </c>
      <c r="AB157" s="72">
        <v>0.33</v>
      </c>
      <c r="AC157" s="72">
        <v>0.35</v>
      </c>
      <c r="AD157" s="72">
        <v>0.22</v>
      </c>
      <c r="AE157" s="10"/>
      <c r="AF157" s="10"/>
      <c r="AG157" s="10"/>
      <c r="AH157" s="10"/>
      <c r="AI157" s="10"/>
      <c r="AJ157" s="10"/>
      <c r="AK157" s="10"/>
      <c r="AL157" s="10"/>
      <c r="AM157" s="10"/>
      <c r="AN157" s="10"/>
      <c r="AO157" s="72">
        <v>0.32</v>
      </c>
      <c r="AP157" s="72">
        <v>0.41</v>
      </c>
      <c r="AQ157" s="72">
        <v>0.28000000000000003</v>
      </c>
      <c r="AR157" s="72">
        <v>0.26</v>
      </c>
      <c r="AS157" s="72">
        <v>0.46</v>
      </c>
      <c r="AT157" s="72">
        <v>0.35</v>
      </c>
      <c r="AU157" s="72">
        <v>0.35</v>
      </c>
      <c r="AV157" s="72">
        <v>0.22</v>
      </c>
      <c r="AW157" s="72">
        <v>0.32</v>
      </c>
      <c r="AX157" s="72">
        <v>0.41</v>
      </c>
      <c r="AY157" s="72">
        <v>0.28000000000000003</v>
      </c>
      <c r="AZ157" s="72">
        <v>0.26</v>
      </c>
      <c r="BA157" s="72">
        <v>0.46</v>
      </c>
      <c r="BB157" s="72">
        <v>0.35</v>
      </c>
      <c r="BC157" s="72">
        <v>0.41</v>
      </c>
      <c r="BD157" s="72">
        <v>0.41</v>
      </c>
      <c r="BE157" s="72">
        <v>0.41</v>
      </c>
      <c r="BF157" s="72">
        <v>0.5</v>
      </c>
      <c r="BG157" s="72">
        <v>0.27</v>
      </c>
      <c r="BH157" s="72">
        <v>0.31</v>
      </c>
      <c r="BI157" s="72">
        <v>0.45</v>
      </c>
      <c r="BJ157" s="99">
        <v>0.33</v>
      </c>
      <c r="BK157" s="72">
        <v>0.41</v>
      </c>
      <c r="BL157" s="72">
        <v>0.41</v>
      </c>
      <c r="BM157" s="72">
        <v>0.41</v>
      </c>
      <c r="BN157" s="72">
        <v>0.5</v>
      </c>
      <c r="BO157" s="72">
        <v>0.27</v>
      </c>
      <c r="BP157" s="72">
        <v>0.31</v>
      </c>
      <c r="BQ157" s="72">
        <v>0.33</v>
      </c>
      <c r="BR157" s="72">
        <v>0.45</v>
      </c>
      <c r="BS157" s="72">
        <v>0.41</v>
      </c>
      <c r="BT157" s="72">
        <v>0.46</v>
      </c>
      <c r="BU157" s="72">
        <v>0.46</v>
      </c>
      <c r="BV157" s="72">
        <v>0.41</v>
      </c>
      <c r="BW157" s="72">
        <v>0.26</v>
      </c>
      <c r="BX157" s="72">
        <v>0.34</v>
      </c>
      <c r="BY157" s="72">
        <v>0.34</v>
      </c>
      <c r="BZ157" s="72">
        <v>0.26</v>
      </c>
      <c r="CA157" s="72">
        <v>0.22</v>
      </c>
      <c r="CB157" s="72">
        <v>0.32</v>
      </c>
      <c r="CC157" s="72">
        <v>0.34</v>
      </c>
      <c r="CD157" s="72">
        <v>0.22</v>
      </c>
      <c r="CE157" s="72">
        <v>0.28000000000000003</v>
      </c>
      <c r="CF157" s="72">
        <v>0.28000000000000003</v>
      </c>
      <c r="CG157" s="72">
        <v>0.35</v>
      </c>
      <c r="CH157" s="72">
        <v>0.35</v>
      </c>
      <c r="CI157" s="72">
        <v>0.4</v>
      </c>
      <c r="CJ157" s="72">
        <v>0.4</v>
      </c>
      <c r="CK157" s="72">
        <v>0.38</v>
      </c>
      <c r="CL157" s="72">
        <v>0.38</v>
      </c>
      <c r="CM157" s="72">
        <v>0.32</v>
      </c>
      <c r="CN157" s="72">
        <v>0.35</v>
      </c>
      <c r="CO157" s="72">
        <v>0.35</v>
      </c>
      <c r="CP157" s="72">
        <v>0.46</v>
      </c>
      <c r="CQ157" s="72">
        <v>0.22</v>
      </c>
      <c r="CR157" s="72">
        <v>0.26</v>
      </c>
      <c r="CS157" s="72">
        <v>0.28000000000000003</v>
      </c>
      <c r="CT157" s="72">
        <v>0.41</v>
      </c>
      <c r="CU157" s="72">
        <v>0.32</v>
      </c>
      <c r="CV157" s="72">
        <v>0.35</v>
      </c>
      <c r="CW157" s="72">
        <v>0.35</v>
      </c>
      <c r="CX157" s="72">
        <v>0.46</v>
      </c>
      <c r="CY157" s="72">
        <v>0.22</v>
      </c>
      <c r="CZ157" s="72">
        <v>0.26</v>
      </c>
      <c r="DA157" s="72">
        <v>0.28000000000000003</v>
      </c>
      <c r="DB157" s="72">
        <v>0.41</v>
      </c>
      <c r="DC157" s="72">
        <v>0.27</v>
      </c>
      <c r="DD157" s="72">
        <v>0.31</v>
      </c>
      <c r="DE157" s="10"/>
      <c r="DF157" s="72">
        <v>0.45</v>
      </c>
      <c r="DG157" s="72">
        <v>0.27</v>
      </c>
      <c r="DH157" s="72">
        <v>0.31</v>
      </c>
      <c r="DI157" s="10"/>
      <c r="DJ157" s="72">
        <v>0.45</v>
      </c>
      <c r="DK157" s="72">
        <v>0.25</v>
      </c>
      <c r="DL157" s="72">
        <v>0.32</v>
      </c>
      <c r="DM157" s="72">
        <v>0.32</v>
      </c>
      <c r="DN157" s="72">
        <v>0.32</v>
      </c>
      <c r="DO157" s="448">
        <f t="shared" si="80"/>
        <v>0.39</v>
      </c>
    </row>
    <row r="158" spans="1:123">
      <c r="A158" s="24" t="s">
        <v>91</v>
      </c>
      <c r="B158" s="24" t="s">
        <v>92</v>
      </c>
      <c r="C158" s="72">
        <v>0.06</v>
      </c>
      <c r="D158" s="72">
        <v>7.0000000000000007E-2</v>
      </c>
      <c r="E158" s="10"/>
      <c r="F158" s="72">
        <v>7.0000000000000007E-2</v>
      </c>
      <c r="G158" s="72">
        <v>7.0000000000000007E-2</v>
      </c>
      <c r="H158" s="10"/>
      <c r="I158" s="72">
        <v>0.06</v>
      </c>
      <c r="J158" s="10"/>
      <c r="K158" s="72">
        <v>7.0000000000000007E-2</v>
      </c>
      <c r="L158" s="72">
        <v>7.0000000000000007E-2</v>
      </c>
      <c r="M158" s="72">
        <v>7.0000000000000007E-2</v>
      </c>
      <c r="N158" s="72">
        <v>7.0000000000000007E-2</v>
      </c>
      <c r="O158" s="72">
        <v>7.0000000000000007E-2</v>
      </c>
      <c r="P158" s="72">
        <v>7.0000000000000007E-2</v>
      </c>
      <c r="Q158" s="72">
        <v>7.0000000000000007E-2</v>
      </c>
      <c r="R158" s="72">
        <v>7.0000000000000007E-2</v>
      </c>
      <c r="S158" s="72">
        <v>0.04</v>
      </c>
      <c r="T158" s="72">
        <v>0.04</v>
      </c>
      <c r="U158" s="10"/>
      <c r="V158" s="10"/>
      <c r="W158" s="72">
        <v>0.05</v>
      </c>
      <c r="X158" s="72">
        <v>0.05</v>
      </c>
      <c r="Y158" s="72">
        <v>0.06</v>
      </c>
      <c r="Z158" s="72">
        <v>0.05</v>
      </c>
      <c r="AA158" s="72">
        <v>0.06</v>
      </c>
      <c r="AB158" s="72">
        <v>0.05</v>
      </c>
      <c r="AC158" s="72">
        <v>0.06</v>
      </c>
      <c r="AD158" s="72">
        <v>0.04</v>
      </c>
      <c r="AE158" s="10"/>
      <c r="AF158" s="10"/>
      <c r="AG158" s="10"/>
      <c r="AH158" s="10"/>
      <c r="AI158" s="10"/>
      <c r="AJ158" s="10"/>
      <c r="AK158" s="10"/>
      <c r="AL158" s="10"/>
      <c r="AM158" s="10"/>
      <c r="AN158" s="10"/>
      <c r="AO158" s="72">
        <v>0.05</v>
      </c>
      <c r="AP158" s="72">
        <v>0.06</v>
      </c>
      <c r="AQ158" s="72">
        <v>0.05</v>
      </c>
      <c r="AR158" s="72">
        <v>0.04</v>
      </c>
      <c r="AS158" s="72">
        <v>0.06</v>
      </c>
      <c r="AT158" s="72">
        <v>0.06</v>
      </c>
      <c r="AU158" s="72">
        <v>0.06</v>
      </c>
      <c r="AV158" s="72">
        <v>0.04</v>
      </c>
      <c r="AW158" s="72">
        <v>0.05</v>
      </c>
      <c r="AX158" s="72">
        <v>0.06</v>
      </c>
      <c r="AY158" s="72">
        <v>0.05</v>
      </c>
      <c r="AZ158" s="72">
        <v>0.04</v>
      </c>
      <c r="BA158" s="72">
        <v>0.06</v>
      </c>
      <c r="BB158" s="72">
        <v>0.06</v>
      </c>
      <c r="BC158" s="72">
        <v>7.0000000000000007E-2</v>
      </c>
      <c r="BD158" s="72">
        <v>7.0000000000000007E-2</v>
      </c>
      <c r="BE158" s="72">
        <v>7.0000000000000007E-2</v>
      </c>
      <c r="BF158" s="72">
        <v>7.0000000000000007E-2</v>
      </c>
      <c r="BG158" s="72">
        <v>0.04</v>
      </c>
      <c r="BH158" s="72">
        <v>0.05</v>
      </c>
      <c r="BI158" s="72">
        <v>0.06</v>
      </c>
      <c r="BJ158" s="99">
        <v>0.05</v>
      </c>
      <c r="BK158" s="72">
        <v>7.0000000000000007E-2</v>
      </c>
      <c r="BL158" s="72">
        <v>7.0000000000000007E-2</v>
      </c>
      <c r="BM158" s="72">
        <v>7.0000000000000007E-2</v>
      </c>
      <c r="BN158" s="72">
        <v>7.0000000000000007E-2</v>
      </c>
      <c r="BO158" s="72">
        <v>0.04</v>
      </c>
      <c r="BP158" s="72">
        <v>0.05</v>
      </c>
      <c r="BQ158" s="72">
        <v>0.05</v>
      </c>
      <c r="BR158" s="72">
        <v>0.06</v>
      </c>
      <c r="BS158" s="72">
        <v>0.06</v>
      </c>
      <c r="BT158" s="72">
        <v>0.06</v>
      </c>
      <c r="BU158" s="72">
        <v>0.06</v>
      </c>
      <c r="BV158" s="72">
        <v>0.06</v>
      </c>
      <c r="BW158" s="72">
        <v>0.04</v>
      </c>
      <c r="BX158" s="72">
        <v>0.06</v>
      </c>
      <c r="BY158" s="72">
        <v>0.06</v>
      </c>
      <c r="BZ158" s="72">
        <v>0.04</v>
      </c>
      <c r="CA158" s="72">
        <v>0.04</v>
      </c>
      <c r="CB158" s="72">
        <v>0.05</v>
      </c>
      <c r="CC158" s="72">
        <v>0.06</v>
      </c>
      <c r="CD158" s="72">
        <v>0.04</v>
      </c>
      <c r="CE158" s="72">
        <v>0.05</v>
      </c>
      <c r="CF158" s="72">
        <v>0.05</v>
      </c>
      <c r="CG158" s="72">
        <v>0.06</v>
      </c>
      <c r="CH158" s="72">
        <v>0.06</v>
      </c>
      <c r="CI158" s="72">
        <v>7.0000000000000007E-2</v>
      </c>
      <c r="CJ158" s="72">
        <v>7.0000000000000007E-2</v>
      </c>
      <c r="CK158" s="72">
        <v>7.0000000000000007E-2</v>
      </c>
      <c r="CL158" s="72">
        <v>7.0000000000000007E-2</v>
      </c>
      <c r="CM158" s="72">
        <v>0.05</v>
      </c>
      <c r="CN158" s="72">
        <v>0.06</v>
      </c>
      <c r="CO158" s="72">
        <v>0.06</v>
      </c>
      <c r="CP158" s="72">
        <v>0.06</v>
      </c>
      <c r="CQ158" s="72">
        <v>0.04</v>
      </c>
      <c r="CR158" s="72">
        <v>0.04</v>
      </c>
      <c r="CS158" s="72">
        <v>0.05</v>
      </c>
      <c r="CT158" s="72">
        <v>0.06</v>
      </c>
      <c r="CU158" s="72">
        <v>0.05</v>
      </c>
      <c r="CV158" s="72">
        <v>0.06</v>
      </c>
      <c r="CW158" s="72">
        <v>0.06</v>
      </c>
      <c r="CX158" s="72">
        <v>0.06</v>
      </c>
      <c r="CY158" s="72">
        <v>0.04</v>
      </c>
      <c r="CZ158" s="72">
        <v>0.04</v>
      </c>
      <c r="DA158" s="72">
        <v>0.05</v>
      </c>
      <c r="DB158" s="72">
        <v>0.06</v>
      </c>
      <c r="DC158" s="72">
        <v>0.04</v>
      </c>
      <c r="DD158" s="72">
        <v>0.05</v>
      </c>
      <c r="DE158" s="10"/>
      <c r="DF158" s="72">
        <v>0.06</v>
      </c>
      <c r="DG158" s="72">
        <v>0.04</v>
      </c>
      <c r="DH158" s="72">
        <v>0.05</v>
      </c>
      <c r="DI158" s="10"/>
      <c r="DJ158" s="72">
        <v>0.06</v>
      </c>
      <c r="DK158" s="72">
        <v>0.05</v>
      </c>
      <c r="DL158" s="72">
        <v>0.05</v>
      </c>
      <c r="DM158" s="72">
        <v>0.05</v>
      </c>
      <c r="DN158" s="72">
        <v>0.05</v>
      </c>
      <c r="DO158" s="448">
        <f t="shared" si="80"/>
        <v>7.0000000000000007E-2</v>
      </c>
    </row>
    <row r="159" spans="1:123">
      <c r="A159" s="24" t="s">
        <v>204</v>
      </c>
      <c r="B159" s="24" t="s">
        <v>205</v>
      </c>
      <c r="C159" s="72">
        <v>0.06</v>
      </c>
      <c r="D159" s="72">
        <v>0.06</v>
      </c>
      <c r="E159" s="10"/>
      <c r="F159" s="72">
        <v>0.06</v>
      </c>
      <c r="G159" s="72">
        <v>0.06</v>
      </c>
      <c r="H159" s="10"/>
      <c r="I159" s="72">
        <v>0.06</v>
      </c>
      <c r="J159" s="10"/>
      <c r="K159" s="72">
        <v>0.06</v>
      </c>
      <c r="L159" s="72">
        <v>0.06</v>
      </c>
      <c r="M159" s="72">
        <v>0.06</v>
      </c>
      <c r="N159" s="72">
        <v>0.06</v>
      </c>
      <c r="O159" s="72">
        <v>0.06</v>
      </c>
      <c r="P159" s="72">
        <v>0.06</v>
      </c>
      <c r="Q159" s="72">
        <v>0.06</v>
      </c>
      <c r="R159" s="72">
        <v>0.06</v>
      </c>
      <c r="S159" s="72">
        <v>0.04</v>
      </c>
      <c r="T159" s="72">
        <v>0.04</v>
      </c>
      <c r="U159" s="10"/>
      <c r="V159" s="10"/>
      <c r="W159" s="72">
        <v>0.04</v>
      </c>
      <c r="X159" s="72">
        <v>0.05</v>
      </c>
      <c r="Y159" s="72">
        <v>0.05</v>
      </c>
      <c r="Z159" s="72">
        <v>0.04</v>
      </c>
      <c r="AA159" s="72">
        <v>0.05</v>
      </c>
      <c r="AB159" s="72">
        <v>0.05</v>
      </c>
      <c r="AC159" s="72">
        <v>0.05</v>
      </c>
      <c r="AD159" s="72">
        <v>0.03</v>
      </c>
      <c r="AE159" s="10"/>
      <c r="AF159" s="10"/>
      <c r="AG159" s="10"/>
      <c r="AH159" s="10"/>
      <c r="AI159" s="10"/>
      <c r="AJ159" s="10"/>
      <c r="AK159" s="10"/>
      <c r="AL159" s="10"/>
      <c r="AM159" s="10"/>
      <c r="AN159" s="10"/>
      <c r="AO159" s="72">
        <v>0.05</v>
      </c>
      <c r="AP159" s="72">
        <v>0.05</v>
      </c>
      <c r="AQ159" s="72">
        <v>0.04</v>
      </c>
      <c r="AR159" s="72">
        <v>0.04</v>
      </c>
      <c r="AS159" s="72">
        <v>0.05</v>
      </c>
      <c r="AT159" s="72">
        <v>0.05</v>
      </c>
      <c r="AU159" s="72">
        <v>0.05</v>
      </c>
      <c r="AV159" s="72">
        <v>0.03</v>
      </c>
      <c r="AW159" s="72">
        <v>0.05</v>
      </c>
      <c r="AX159" s="72">
        <v>0.05</v>
      </c>
      <c r="AY159" s="72">
        <v>0.04</v>
      </c>
      <c r="AZ159" s="72">
        <v>0.04</v>
      </c>
      <c r="BA159" s="72">
        <v>0.05</v>
      </c>
      <c r="BB159" s="72">
        <v>0.05</v>
      </c>
      <c r="BC159" s="72">
        <v>0.06</v>
      </c>
      <c r="BD159" s="72">
        <v>0.06</v>
      </c>
      <c r="BE159" s="72">
        <v>0.06</v>
      </c>
      <c r="BF159" s="72">
        <v>0.06</v>
      </c>
      <c r="BG159" s="72">
        <v>0.04</v>
      </c>
      <c r="BH159" s="72">
        <v>0.04</v>
      </c>
      <c r="BI159" s="72">
        <v>0.05</v>
      </c>
      <c r="BJ159" s="99">
        <v>0.05</v>
      </c>
      <c r="BK159" s="72">
        <v>0.06</v>
      </c>
      <c r="BL159" s="72">
        <v>0.06</v>
      </c>
      <c r="BM159" s="72">
        <v>0.06</v>
      </c>
      <c r="BN159" s="72">
        <v>0.06</v>
      </c>
      <c r="BO159" s="72">
        <v>0.04</v>
      </c>
      <c r="BP159" s="72">
        <v>0.04</v>
      </c>
      <c r="BQ159" s="72">
        <v>0.05</v>
      </c>
      <c r="BR159" s="72">
        <v>0.05</v>
      </c>
      <c r="BS159" s="72">
        <v>0.05</v>
      </c>
      <c r="BT159" s="72">
        <v>0.05</v>
      </c>
      <c r="BU159" s="72">
        <v>0.05</v>
      </c>
      <c r="BV159" s="72">
        <v>0.05</v>
      </c>
      <c r="BW159" s="72">
        <v>0.04</v>
      </c>
      <c r="BX159" s="72">
        <v>0.05</v>
      </c>
      <c r="BY159" s="72">
        <v>0.05</v>
      </c>
      <c r="BZ159" s="72">
        <v>0.04</v>
      </c>
      <c r="CA159" s="72">
        <v>0.03</v>
      </c>
      <c r="CB159" s="72">
        <v>0.05</v>
      </c>
      <c r="CC159" s="72">
        <v>0.05</v>
      </c>
      <c r="CD159" s="72">
        <v>0.03</v>
      </c>
      <c r="CE159" s="72">
        <v>0.04</v>
      </c>
      <c r="CF159" s="72">
        <v>0.04</v>
      </c>
      <c r="CG159" s="72">
        <v>0.05</v>
      </c>
      <c r="CH159" s="72">
        <v>0.05</v>
      </c>
      <c r="CI159" s="72">
        <v>7.0000000000000007E-2</v>
      </c>
      <c r="CJ159" s="72">
        <v>7.0000000000000007E-2</v>
      </c>
      <c r="CK159" s="72">
        <v>7.0000000000000007E-2</v>
      </c>
      <c r="CL159" s="72">
        <v>7.0000000000000007E-2</v>
      </c>
      <c r="CM159" s="72">
        <v>0.04</v>
      </c>
      <c r="CN159" s="72">
        <v>0.05</v>
      </c>
      <c r="CO159" s="72">
        <v>0.05</v>
      </c>
      <c r="CP159" s="72">
        <v>0.05</v>
      </c>
      <c r="CQ159" s="72">
        <v>0.03</v>
      </c>
      <c r="CR159" s="72">
        <v>0.04</v>
      </c>
      <c r="CS159" s="72">
        <v>0.04</v>
      </c>
      <c r="CT159" s="72">
        <v>0.05</v>
      </c>
      <c r="CU159" s="72">
        <v>0.04</v>
      </c>
      <c r="CV159" s="72">
        <v>0.05</v>
      </c>
      <c r="CW159" s="72">
        <v>0.05</v>
      </c>
      <c r="CX159" s="72">
        <v>0.05</v>
      </c>
      <c r="CY159" s="72">
        <v>0.03</v>
      </c>
      <c r="CZ159" s="72">
        <v>0.04</v>
      </c>
      <c r="DA159" s="72">
        <v>0.04</v>
      </c>
      <c r="DB159" s="72">
        <v>0.05</v>
      </c>
      <c r="DC159" s="72">
        <v>0.04</v>
      </c>
      <c r="DD159" s="72">
        <v>0.04</v>
      </c>
      <c r="DE159" s="10"/>
      <c r="DF159" s="72">
        <v>0.05</v>
      </c>
      <c r="DG159" s="72">
        <v>0.04</v>
      </c>
      <c r="DH159" s="72">
        <v>0.04</v>
      </c>
      <c r="DI159" s="10"/>
      <c r="DJ159" s="72">
        <v>0.05</v>
      </c>
      <c r="DK159" s="72">
        <v>0.05</v>
      </c>
      <c r="DL159" s="72">
        <v>0.04</v>
      </c>
      <c r="DM159" s="72">
        <v>0.04</v>
      </c>
      <c r="DN159" s="72">
        <v>0.04</v>
      </c>
      <c r="DO159" s="448">
        <f t="shared" si="80"/>
        <v>7.0000000000000007E-2</v>
      </c>
    </row>
    <row r="160" spans="1:123">
      <c r="A160" s="24" t="s">
        <v>97</v>
      </c>
      <c r="B160" s="24" t="s">
        <v>206</v>
      </c>
      <c r="C160" s="72">
        <v>0.01</v>
      </c>
      <c r="D160" s="72">
        <v>0.01</v>
      </c>
      <c r="E160" s="10"/>
      <c r="F160" s="72">
        <v>0.01</v>
      </c>
      <c r="G160" s="72">
        <v>0.01</v>
      </c>
      <c r="H160" s="10"/>
      <c r="I160" s="72">
        <v>0.01</v>
      </c>
      <c r="J160" s="10"/>
      <c r="K160" s="72">
        <v>0.01</v>
      </c>
      <c r="L160" s="72">
        <v>0.01</v>
      </c>
      <c r="M160" s="72">
        <v>0.01</v>
      </c>
      <c r="N160" s="72">
        <v>0.01</v>
      </c>
      <c r="O160" s="72">
        <v>0.01</v>
      </c>
      <c r="P160" s="72">
        <v>0.01</v>
      </c>
      <c r="Q160" s="72">
        <v>0.01</v>
      </c>
      <c r="R160" s="72">
        <v>0.01</v>
      </c>
      <c r="S160" s="72">
        <v>0.01</v>
      </c>
      <c r="T160" s="72">
        <v>0.01</v>
      </c>
      <c r="U160" s="10"/>
      <c r="V160" s="10"/>
      <c r="W160" s="72">
        <v>0.01</v>
      </c>
      <c r="X160" s="72">
        <v>0.01</v>
      </c>
      <c r="Y160" s="72">
        <v>0.01</v>
      </c>
      <c r="Z160" s="72">
        <v>0.01</v>
      </c>
      <c r="AA160" s="72">
        <v>0.01</v>
      </c>
      <c r="AB160" s="72">
        <v>0.01</v>
      </c>
      <c r="AC160" s="72">
        <v>0.01</v>
      </c>
      <c r="AD160" s="72">
        <v>0.01</v>
      </c>
      <c r="AE160" s="10"/>
      <c r="AF160" s="10"/>
      <c r="AG160" s="10"/>
      <c r="AH160" s="10"/>
      <c r="AI160" s="10"/>
      <c r="AJ160" s="10"/>
      <c r="AK160" s="10"/>
      <c r="AL160" s="10"/>
      <c r="AM160" s="10"/>
      <c r="AN160" s="10"/>
      <c r="AO160" s="72">
        <v>0.01</v>
      </c>
      <c r="AP160" s="72">
        <v>0.01</v>
      </c>
      <c r="AQ160" s="72">
        <v>0.01</v>
      </c>
      <c r="AR160" s="72">
        <v>0.01</v>
      </c>
      <c r="AS160" s="72">
        <v>0.01</v>
      </c>
      <c r="AT160" s="72">
        <v>0.01</v>
      </c>
      <c r="AU160" s="72">
        <v>0.01</v>
      </c>
      <c r="AV160" s="72">
        <v>0.01</v>
      </c>
      <c r="AW160" s="72">
        <v>0.01</v>
      </c>
      <c r="AX160" s="72">
        <v>0.01</v>
      </c>
      <c r="AY160" s="72">
        <v>0.01</v>
      </c>
      <c r="AZ160" s="72">
        <v>0.01</v>
      </c>
      <c r="BA160" s="72">
        <v>0.01</v>
      </c>
      <c r="BB160" s="72">
        <v>0.01</v>
      </c>
      <c r="BC160" s="72">
        <v>0.01</v>
      </c>
      <c r="BD160" s="72">
        <v>0.01</v>
      </c>
      <c r="BE160" s="72">
        <v>0.01</v>
      </c>
      <c r="BF160" s="72">
        <v>0.01</v>
      </c>
      <c r="BG160" s="72">
        <v>0.01</v>
      </c>
      <c r="BH160" s="72">
        <v>0.01</v>
      </c>
      <c r="BI160" s="72">
        <v>0.01</v>
      </c>
      <c r="BJ160" s="99">
        <v>0.01</v>
      </c>
      <c r="BK160" s="72">
        <v>0.01</v>
      </c>
      <c r="BL160" s="72">
        <v>0.01</v>
      </c>
      <c r="BM160" s="72">
        <v>0.01</v>
      </c>
      <c r="BN160" s="72">
        <v>0.01</v>
      </c>
      <c r="BO160" s="72">
        <v>0.01</v>
      </c>
      <c r="BP160" s="72">
        <v>0.01</v>
      </c>
      <c r="BQ160" s="72">
        <v>0.01</v>
      </c>
      <c r="BR160" s="72">
        <v>0.01</v>
      </c>
      <c r="BS160" s="72">
        <v>0.01</v>
      </c>
      <c r="BT160" s="72">
        <v>0.01</v>
      </c>
      <c r="BU160" s="72">
        <v>0.01</v>
      </c>
      <c r="BV160" s="72">
        <v>0.01</v>
      </c>
      <c r="BW160" s="72">
        <v>0.01</v>
      </c>
      <c r="BX160" s="72">
        <v>0.01</v>
      </c>
      <c r="BY160" s="72">
        <v>0.01</v>
      </c>
      <c r="BZ160" s="72">
        <v>0.01</v>
      </c>
      <c r="CA160" s="72">
        <v>0.01</v>
      </c>
      <c r="CB160" s="72">
        <v>0.01</v>
      </c>
      <c r="CC160" s="72">
        <v>0.01</v>
      </c>
      <c r="CD160" s="72">
        <v>0.01</v>
      </c>
      <c r="CE160" s="72">
        <v>0.01</v>
      </c>
      <c r="CF160" s="72">
        <v>0.01</v>
      </c>
      <c r="CG160" s="72">
        <v>0.01</v>
      </c>
      <c r="CH160" s="72">
        <v>0.01</v>
      </c>
      <c r="CI160" s="72">
        <v>0.01</v>
      </c>
      <c r="CJ160" s="72">
        <v>0.01</v>
      </c>
      <c r="CK160" s="72">
        <v>0.01</v>
      </c>
      <c r="CL160" s="72">
        <v>0.01</v>
      </c>
      <c r="CM160" s="72">
        <v>0.01</v>
      </c>
      <c r="CN160" s="72">
        <v>0.01</v>
      </c>
      <c r="CO160" s="72">
        <v>0.01</v>
      </c>
      <c r="CP160" s="72">
        <v>0.01</v>
      </c>
      <c r="CQ160" s="72">
        <v>0.01</v>
      </c>
      <c r="CR160" s="72">
        <v>0.01</v>
      </c>
      <c r="CS160" s="72">
        <v>0.01</v>
      </c>
      <c r="CT160" s="72">
        <v>0.01</v>
      </c>
      <c r="CU160" s="72">
        <v>0.01</v>
      </c>
      <c r="CV160" s="72">
        <v>0.01</v>
      </c>
      <c r="CW160" s="72">
        <v>0.01</v>
      </c>
      <c r="CX160" s="72">
        <v>0.01</v>
      </c>
      <c r="CY160" s="72">
        <v>0.01</v>
      </c>
      <c r="CZ160" s="72">
        <v>0.01</v>
      </c>
      <c r="DA160" s="72">
        <v>0.01</v>
      </c>
      <c r="DB160" s="72">
        <v>0.01</v>
      </c>
      <c r="DC160" s="72">
        <v>0.01</v>
      </c>
      <c r="DD160" s="72">
        <v>0.01</v>
      </c>
      <c r="DE160" s="10"/>
      <c r="DF160" s="72">
        <v>0.01</v>
      </c>
      <c r="DG160" s="72">
        <v>0.01</v>
      </c>
      <c r="DH160" s="72">
        <v>0.01</v>
      </c>
      <c r="DI160" s="10"/>
      <c r="DJ160" s="72">
        <v>0.01</v>
      </c>
      <c r="DK160" s="72">
        <v>0.01</v>
      </c>
      <c r="DL160" s="72">
        <v>0.01</v>
      </c>
      <c r="DM160" s="72">
        <v>0.01</v>
      </c>
      <c r="DN160" s="72">
        <v>0.01</v>
      </c>
      <c r="DO160" s="448">
        <f t="shared" si="80"/>
        <v>0.01</v>
      </c>
    </row>
    <row r="161" spans="1:119">
      <c r="A161" s="24" t="s">
        <v>207</v>
      </c>
      <c r="B161" s="24" t="s">
        <v>208</v>
      </c>
      <c r="C161" s="72">
        <v>0</v>
      </c>
      <c r="D161" s="72">
        <v>0</v>
      </c>
      <c r="E161" s="10"/>
      <c r="F161" s="72">
        <v>0</v>
      </c>
      <c r="G161" s="72">
        <v>0</v>
      </c>
      <c r="H161" s="10"/>
      <c r="I161" s="72">
        <v>0</v>
      </c>
      <c r="J161" s="10"/>
      <c r="K161" s="72">
        <v>0</v>
      </c>
      <c r="L161" s="72">
        <v>0</v>
      </c>
      <c r="M161" s="72">
        <v>0</v>
      </c>
      <c r="N161" s="72">
        <v>0</v>
      </c>
      <c r="O161" s="72">
        <v>0</v>
      </c>
      <c r="P161" s="72">
        <v>0</v>
      </c>
      <c r="Q161" s="72">
        <v>0</v>
      </c>
      <c r="R161" s="72">
        <v>0</v>
      </c>
      <c r="S161" s="72">
        <v>0</v>
      </c>
      <c r="T161" s="72">
        <v>0</v>
      </c>
      <c r="U161" s="10"/>
      <c r="V161" s="10"/>
      <c r="W161" s="72">
        <v>0</v>
      </c>
      <c r="X161" s="72">
        <v>0</v>
      </c>
      <c r="Y161" s="72">
        <v>0</v>
      </c>
      <c r="Z161" s="72">
        <v>0</v>
      </c>
      <c r="AA161" s="72">
        <v>0</v>
      </c>
      <c r="AB161" s="72">
        <v>0</v>
      </c>
      <c r="AC161" s="72">
        <v>0</v>
      </c>
      <c r="AD161" s="72">
        <v>0</v>
      </c>
      <c r="AE161" s="10"/>
      <c r="AF161" s="10"/>
      <c r="AG161" s="10"/>
      <c r="AH161" s="10"/>
      <c r="AI161" s="10"/>
      <c r="AJ161" s="10"/>
      <c r="AK161" s="10"/>
      <c r="AL161" s="10"/>
      <c r="AM161" s="10"/>
      <c r="AN161" s="10"/>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99">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2">
        <v>0</v>
      </c>
      <c r="DA161" s="72">
        <v>0</v>
      </c>
      <c r="DB161" s="72">
        <v>0</v>
      </c>
      <c r="DC161" s="72">
        <v>0</v>
      </c>
      <c r="DD161" s="72">
        <v>0</v>
      </c>
      <c r="DE161" s="10"/>
      <c r="DF161" s="72">
        <v>0</v>
      </c>
      <c r="DG161" s="72">
        <v>0</v>
      </c>
      <c r="DH161" s="72">
        <v>0</v>
      </c>
      <c r="DI161" s="10"/>
      <c r="DJ161" s="72">
        <v>0</v>
      </c>
      <c r="DK161" s="72">
        <v>0</v>
      </c>
      <c r="DL161" s="72">
        <v>0</v>
      </c>
      <c r="DM161" s="72">
        <v>0</v>
      </c>
      <c r="DN161" s="72">
        <v>0</v>
      </c>
      <c r="DO161" s="448">
        <f t="shared" si="80"/>
        <v>0</v>
      </c>
    </row>
    <row r="162" spans="1:119">
      <c r="A162" s="24" t="s">
        <v>209</v>
      </c>
      <c r="B162" s="24" t="s">
        <v>210</v>
      </c>
      <c r="C162" s="72">
        <v>1.0900000000000001</v>
      </c>
      <c r="D162" s="72">
        <v>1.36</v>
      </c>
      <c r="E162" s="10"/>
      <c r="F162" s="72">
        <v>0.8</v>
      </c>
      <c r="G162" s="72">
        <v>0.8</v>
      </c>
      <c r="H162" s="10"/>
      <c r="I162" s="72">
        <v>1.0900000000000001</v>
      </c>
      <c r="J162" s="10"/>
      <c r="K162" s="72">
        <v>1.36</v>
      </c>
      <c r="L162" s="72">
        <v>0.8</v>
      </c>
      <c r="M162" s="72">
        <v>0.8</v>
      </c>
      <c r="N162" s="72">
        <v>0.8</v>
      </c>
      <c r="O162" s="72">
        <v>0.8</v>
      </c>
      <c r="P162" s="72">
        <v>0.8</v>
      </c>
      <c r="Q162" s="72">
        <v>0.8</v>
      </c>
      <c r="R162" s="72">
        <v>0.8</v>
      </c>
      <c r="S162" s="72">
        <v>0.6</v>
      </c>
      <c r="T162" s="72">
        <v>0.6</v>
      </c>
      <c r="U162" s="10"/>
      <c r="V162" s="10"/>
      <c r="W162" s="72">
        <v>0.64</v>
      </c>
      <c r="X162" s="72">
        <v>0.67</v>
      </c>
      <c r="Y162" s="72">
        <v>0.75</v>
      </c>
      <c r="Z162" s="72">
        <v>0.64</v>
      </c>
      <c r="AA162" s="72">
        <v>0.75</v>
      </c>
      <c r="AB162" s="72">
        <v>0.67</v>
      </c>
      <c r="AC162" s="72">
        <v>0.64</v>
      </c>
      <c r="AD162" s="72">
        <v>0.45</v>
      </c>
      <c r="AE162" s="10"/>
      <c r="AF162" s="10"/>
      <c r="AG162" s="10"/>
      <c r="AH162" s="10"/>
      <c r="AI162" s="10"/>
      <c r="AJ162" s="10"/>
      <c r="AK162" s="10"/>
      <c r="AL162" s="10"/>
      <c r="AM162" s="10"/>
      <c r="AN162" s="10"/>
      <c r="AO162" s="72">
        <v>0.62</v>
      </c>
      <c r="AP162" s="72">
        <v>0.68</v>
      </c>
      <c r="AQ162" s="72">
        <v>0.56000000000000005</v>
      </c>
      <c r="AR162" s="72">
        <v>0.51</v>
      </c>
      <c r="AS162" s="72">
        <v>0.73</v>
      </c>
      <c r="AT162" s="72">
        <v>0.67</v>
      </c>
      <c r="AU162" s="72">
        <v>0.64</v>
      </c>
      <c r="AV162" s="72">
        <v>0.45</v>
      </c>
      <c r="AW162" s="72">
        <v>0.62</v>
      </c>
      <c r="AX162" s="72">
        <v>0.68</v>
      </c>
      <c r="AY162" s="72">
        <v>0.56000000000000005</v>
      </c>
      <c r="AZ162" s="72">
        <v>0.51</v>
      </c>
      <c r="BA162" s="72">
        <v>0.73</v>
      </c>
      <c r="BB162" s="72">
        <v>0.67</v>
      </c>
      <c r="BC162" s="72">
        <v>0.8</v>
      </c>
      <c r="BD162" s="72">
        <v>0.8</v>
      </c>
      <c r="BE162" s="72">
        <v>0.8</v>
      </c>
      <c r="BF162" s="72">
        <v>0.8</v>
      </c>
      <c r="BG162" s="72">
        <v>0.6</v>
      </c>
      <c r="BH162" s="72">
        <v>0.64</v>
      </c>
      <c r="BI162" s="72">
        <v>0.75</v>
      </c>
      <c r="BJ162" s="99">
        <v>0.67</v>
      </c>
      <c r="BK162" s="72">
        <v>0.8</v>
      </c>
      <c r="BL162" s="72">
        <v>0.8</v>
      </c>
      <c r="BM162" s="72">
        <v>0.8</v>
      </c>
      <c r="BN162" s="72">
        <v>0.8</v>
      </c>
      <c r="BO162" s="72">
        <v>0.6</v>
      </c>
      <c r="BP162" s="72">
        <v>0.64</v>
      </c>
      <c r="BQ162" s="72">
        <v>0.67</v>
      </c>
      <c r="BR162" s="72">
        <v>0.75</v>
      </c>
      <c r="BS162" s="72">
        <v>0.68</v>
      </c>
      <c r="BT162" s="72">
        <v>0.73</v>
      </c>
      <c r="BU162" s="72">
        <v>0.73</v>
      </c>
      <c r="BV162" s="72">
        <v>0.68</v>
      </c>
      <c r="BW162" s="72">
        <v>0.51</v>
      </c>
      <c r="BX162" s="72">
        <v>0.64</v>
      </c>
      <c r="BY162" s="72">
        <v>0.64</v>
      </c>
      <c r="BZ162" s="72">
        <v>0.51</v>
      </c>
      <c r="CA162" s="72">
        <v>0.45</v>
      </c>
      <c r="CB162" s="72">
        <v>0.6</v>
      </c>
      <c r="CC162" s="72">
        <v>0.64</v>
      </c>
      <c r="CD162" s="72">
        <v>0.45</v>
      </c>
      <c r="CE162" s="72">
        <v>0.56000000000000005</v>
      </c>
      <c r="CF162" s="72">
        <v>0.56000000000000005</v>
      </c>
      <c r="CG162" s="72">
        <v>0.67</v>
      </c>
      <c r="CH162" s="72">
        <v>0.67</v>
      </c>
      <c r="CI162" s="72">
        <v>2.12</v>
      </c>
      <c r="CJ162" s="72">
        <v>2.12</v>
      </c>
      <c r="CK162" s="72">
        <v>2.65</v>
      </c>
      <c r="CL162" s="72">
        <v>2.65</v>
      </c>
      <c r="CM162" s="72">
        <v>0.61</v>
      </c>
      <c r="CN162" s="72">
        <v>0.64</v>
      </c>
      <c r="CO162" s="72">
        <v>0.67</v>
      </c>
      <c r="CP162" s="72">
        <v>0.73</v>
      </c>
      <c r="CQ162" s="72">
        <v>0.45</v>
      </c>
      <c r="CR162" s="72">
        <v>0.51</v>
      </c>
      <c r="CS162" s="72">
        <v>0.56000000000000005</v>
      </c>
      <c r="CT162" s="72">
        <v>0.68</v>
      </c>
      <c r="CU162" s="72">
        <v>0.61</v>
      </c>
      <c r="CV162" s="72">
        <v>0.64</v>
      </c>
      <c r="CW162" s="72">
        <v>0.67</v>
      </c>
      <c r="CX162" s="72">
        <v>0.73</v>
      </c>
      <c r="CY162" s="72">
        <v>0.45</v>
      </c>
      <c r="CZ162" s="72">
        <v>0.51</v>
      </c>
      <c r="DA162" s="72">
        <v>0.56000000000000005</v>
      </c>
      <c r="DB162" s="72">
        <v>0.68</v>
      </c>
      <c r="DC162" s="72">
        <v>0.6</v>
      </c>
      <c r="DD162" s="72">
        <v>0.64</v>
      </c>
      <c r="DE162" s="10"/>
      <c r="DF162" s="72">
        <v>0.75</v>
      </c>
      <c r="DG162" s="72">
        <v>0.6</v>
      </c>
      <c r="DH162" s="72">
        <v>0.64</v>
      </c>
      <c r="DI162" s="10"/>
      <c r="DJ162" s="72">
        <v>0.75</v>
      </c>
      <c r="DK162" s="72">
        <v>1.18</v>
      </c>
      <c r="DL162" s="72">
        <v>0.61</v>
      </c>
      <c r="DM162" s="72">
        <v>0.54222222222222216</v>
      </c>
      <c r="DN162" s="72">
        <v>0.58095238095238089</v>
      </c>
      <c r="DO162" s="448">
        <f t="shared" si="80"/>
        <v>2.3850000000000002</v>
      </c>
    </row>
    <row r="163" spans="1:119">
      <c r="A163" s="24" t="s">
        <v>211</v>
      </c>
      <c r="B163" s="24" t="s">
        <v>212</v>
      </c>
      <c r="C163" s="72">
        <v>0.48</v>
      </c>
      <c r="D163" s="72">
        <v>0.44</v>
      </c>
      <c r="E163" s="10"/>
      <c r="F163" s="72">
        <v>0.48</v>
      </c>
      <c r="G163" s="72">
        <v>0.48</v>
      </c>
      <c r="H163" s="10"/>
      <c r="I163" s="72">
        <v>0.48</v>
      </c>
      <c r="J163" s="10"/>
      <c r="K163" s="72">
        <v>0.44</v>
      </c>
      <c r="L163" s="72">
        <v>0.48</v>
      </c>
      <c r="M163" s="72">
        <v>0.48</v>
      </c>
      <c r="N163" s="72">
        <v>0.48</v>
      </c>
      <c r="O163" s="72">
        <v>0.48</v>
      </c>
      <c r="P163" s="72">
        <v>0.48</v>
      </c>
      <c r="Q163" s="72">
        <v>0.48</v>
      </c>
      <c r="R163" s="72">
        <v>0.48</v>
      </c>
      <c r="S163" s="72">
        <v>0.31</v>
      </c>
      <c r="T163" s="72">
        <v>0.31</v>
      </c>
      <c r="U163" s="10"/>
      <c r="V163" s="10"/>
      <c r="W163" s="72">
        <v>0.35</v>
      </c>
      <c r="X163" s="72">
        <v>0.38</v>
      </c>
      <c r="Y163" s="72">
        <v>0.43</v>
      </c>
      <c r="Z163" s="72">
        <v>0.35</v>
      </c>
      <c r="AA163" s="72">
        <v>0.43</v>
      </c>
      <c r="AB163" s="72">
        <v>0.38</v>
      </c>
      <c r="AC163" s="72">
        <v>0.38</v>
      </c>
      <c r="AD163" s="72">
        <v>0.24</v>
      </c>
      <c r="AE163" s="10"/>
      <c r="AF163" s="10"/>
      <c r="AG163" s="10"/>
      <c r="AH163" s="10"/>
      <c r="AI163" s="10"/>
      <c r="AJ163" s="10"/>
      <c r="AK163" s="10"/>
      <c r="AL163" s="10"/>
      <c r="AM163" s="10"/>
      <c r="AN163" s="10"/>
      <c r="AO163" s="72">
        <v>0.36</v>
      </c>
      <c r="AP163" s="72">
        <v>0.39</v>
      </c>
      <c r="AQ163" s="72">
        <v>0.32</v>
      </c>
      <c r="AR163" s="72">
        <v>0.28000000000000003</v>
      </c>
      <c r="AS163" s="72">
        <v>0.43</v>
      </c>
      <c r="AT163" s="72">
        <v>0.4</v>
      </c>
      <c r="AU163" s="72">
        <v>0.38</v>
      </c>
      <c r="AV163" s="72">
        <v>0.24</v>
      </c>
      <c r="AW163" s="72">
        <v>0.36</v>
      </c>
      <c r="AX163" s="72">
        <v>0.39</v>
      </c>
      <c r="AY163" s="72">
        <v>0.32</v>
      </c>
      <c r="AZ163" s="72">
        <v>0.28000000000000003</v>
      </c>
      <c r="BA163" s="72">
        <v>0.43</v>
      </c>
      <c r="BB163" s="72">
        <v>0.4</v>
      </c>
      <c r="BC163" s="72">
        <v>0.48</v>
      </c>
      <c r="BD163" s="72">
        <v>0.48</v>
      </c>
      <c r="BE163" s="72">
        <v>0.48</v>
      </c>
      <c r="BF163" s="72">
        <v>0.48</v>
      </c>
      <c r="BG163" s="72">
        <v>0.31</v>
      </c>
      <c r="BH163" s="72">
        <v>0.35</v>
      </c>
      <c r="BI163" s="72">
        <v>0.43</v>
      </c>
      <c r="BJ163" s="99">
        <v>0.38</v>
      </c>
      <c r="BK163" s="72">
        <v>0.48</v>
      </c>
      <c r="BL163" s="72">
        <v>0.48</v>
      </c>
      <c r="BM163" s="72">
        <v>0.48</v>
      </c>
      <c r="BN163" s="72">
        <v>0.48</v>
      </c>
      <c r="BO163" s="72">
        <v>0.31</v>
      </c>
      <c r="BP163" s="72">
        <v>0.35</v>
      </c>
      <c r="BQ163" s="72">
        <v>0.38</v>
      </c>
      <c r="BR163" s="72">
        <v>0.43</v>
      </c>
      <c r="BS163" s="72">
        <v>0.39</v>
      </c>
      <c r="BT163" s="72">
        <v>0.43</v>
      </c>
      <c r="BU163" s="72">
        <v>0.43</v>
      </c>
      <c r="BV163" s="72">
        <v>0.39</v>
      </c>
      <c r="BW163" s="72">
        <v>0.28000000000000003</v>
      </c>
      <c r="BX163" s="72">
        <v>0.38</v>
      </c>
      <c r="BY163" s="72">
        <v>0.38</v>
      </c>
      <c r="BZ163" s="72">
        <v>0.28000000000000003</v>
      </c>
      <c r="CA163" s="72">
        <v>0.24</v>
      </c>
      <c r="CB163" s="72">
        <v>0.36</v>
      </c>
      <c r="CC163" s="72">
        <v>0.38</v>
      </c>
      <c r="CD163" s="72">
        <v>0.24</v>
      </c>
      <c r="CE163" s="72">
        <v>0.32</v>
      </c>
      <c r="CF163" s="72">
        <v>0.32</v>
      </c>
      <c r="CG163" s="72">
        <v>0.4</v>
      </c>
      <c r="CH163" s="72">
        <v>0.4</v>
      </c>
      <c r="CI163" s="72">
        <v>0.53</v>
      </c>
      <c r="CJ163" s="72">
        <v>0.53</v>
      </c>
      <c r="CK163" s="72">
        <v>0.48</v>
      </c>
      <c r="CL163" s="72">
        <v>0.48</v>
      </c>
      <c r="CM163" s="72">
        <v>0.35</v>
      </c>
      <c r="CN163" s="72">
        <v>0.38</v>
      </c>
      <c r="CO163" s="72">
        <v>0.4</v>
      </c>
      <c r="CP163" s="72">
        <v>0.43</v>
      </c>
      <c r="CQ163" s="72">
        <v>0.24</v>
      </c>
      <c r="CR163" s="72">
        <v>0.28000000000000003</v>
      </c>
      <c r="CS163" s="72">
        <v>0.32</v>
      </c>
      <c r="CT163" s="72">
        <v>0.39</v>
      </c>
      <c r="CU163" s="72">
        <v>0.35</v>
      </c>
      <c r="CV163" s="72">
        <v>0.38</v>
      </c>
      <c r="CW163" s="72">
        <v>0.4</v>
      </c>
      <c r="CX163" s="72">
        <v>0.43</v>
      </c>
      <c r="CY163" s="72">
        <v>0.24</v>
      </c>
      <c r="CZ163" s="72">
        <v>0.28000000000000003</v>
      </c>
      <c r="DA163" s="72">
        <v>0.32</v>
      </c>
      <c r="DB163" s="72">
        <v>0.39</v>
      </c>
      <c r="DC163" s="72">
        <v>0.31</v>
      </c>
      <c r="DD163" s="72">
        <v>0.35</v>
      </c>
      <c r="DE163" s="10"/>
      <c r="DF163" s="72">
        <v>0.43</v>
      </c>
      <c r="DG163" s="72">
        <v>0.31</v>
      </c>
      <c r="DH163" s="72">
        <v>0.35</v>
      </c>
      <c r="DI163" s="10"/>
      <c r="DJ163" s="72">
        <v>0.43</v>
      </c>
      <c r="DK163" s="72">
        <v>0.32</v>
      </c>
      <c r="DL163" s="72">
        <v>0.35</v>
      </c>
      <c r="DM163" s="72">
        <v>0.35</v>
      </c>
      <c r="DN163" s="72">
        <v>0.35</v>
      </c>
      <c r="DO163" s="448">
        <f t="shared" si="80"/>
        <v>0.505</v>
      </c>
    </row>
    <row r="164" spans="1:119">
      <c r="A164" s="24" t="s">
        <v>213</v>
      </c>
      <c r="B164" s="24" t="s">
        <v>214</v>
      </c>
      <c r="C164" s="72">
        <v>0</v>
      </c>
      <c r="D164" s="72">
        <v>0</v>
      </c>
      <c r="E164" s="10"/>
      <c r="F164" s="72">
        <v>0</v>
      </c>
      <c r="G164" s="72">
        <v>0</v>
      </c>
      <c r="H164" s="10"/>
      <c r="I164" s="72">
        <v>0</v>
      </c>
      <c r="J164" s="10"/>
      <c r="K164" s="72">
        <v>0</v>
      </c>
      <c r="L164" s="72">
        <v>0</v>
      </c>
      <c r="M164" s="72">
        <v>0</v>
      </c>
      <c r="N164" s="72">
        <v>0</v>
      </c>
      <c r="O164" s="72">
        <v>0</v>
      </c>
      <c r="P164" s="72">
        <v>0</v>
      </c>
      <c r="Q164" s="72">
        <v>0</v>
      </c>
      <c r="R164" s="72">
        <v>0</v>
      </c>
      <c r="S164" s="72">
        <v>0</v>
      </c>
      <c r="T164" s="72">
        <v>0</v>
      </c>
      <c r="U164" s="10"/>
      <c r="V164" s="10"/>
      <c r="W164" s="72">
        <v>0</v>
      </c>
      <c r="X164" s="72">
        <v>0</v>
      </c>
      <c r="Y164" s="72">
        <v>0</v>
      </c>
      <c r="Z164" s="72">
        <v>0</v>
      </c>
      <c r="AA164" s="72">
        <v>0</v>
      </c>
      <c r="AB164" s="72">
        <v>0</v>
      </c>
      <c r="AC164" s="72">
        <v>0</v>
      </c>
      <c r="AD164" s="72">
        <v>0</v>
      </c>
      <c r="AE164" s="10"/>
      <c r="AF164" s="10"/>
      <c r="AG164" s="10"/>
      <c r="AH164" s="10"/>
      <c r="AI164" s="10"/>
      <c r="AJ164" s="10"/>
      <c r="AK164" s="10"/>
      <c r="AL164" s="10"/>
      <c r="AM164" s="10"/>
      <c r="AN164" s="10"/>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99">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2">
        <v>0</v>
      </c>
      <c r="DA164" s="72">
        <v>0</v>
      </c>
      <c r="DB164" s="72">
        <v>0</v>
      </c>
      <c r="DC164" s="72">
        <v>0</v>
      </c>
      <c r="DD164" s="72">
        <v>0</v>
      </c>
      <c r="DE164" s="10"/>
      <c r="DF164" s="72">
        <v>0</v>
      </c>
      <c r="DG164" s="72">
        <v>0</v>
      </c>
      <c r="DH164" s="72">
        <v>0</v>
      </c>
      <c r="DI164" s="10"/>
      <c r="DJ164" s="72">
        <v>0</v>
      </c>
      <c r="DK164" s="72">
        <v>0</v>
      </c>
      <c r="DL164" s="72">
        <v>0</v>
      </c>
      <c r="DM164" s="72">
        <v>0</v>
      </c>
      <c r="DN164" s="72">
        <v>0</v>
      </c>
      <c r="DO164" s="448">
        <f t="shared" si="80"/>
        <v>0</v>
      </c>
    </row>
    <row r="165" spans="1:119">
      <c r="A165" s="24" t="s">
        <v>103</v>
      </c>
      <c r="B165" s="24" t="s">
        <v>104</v>
      </c>
      <c r="C165" s="72">
        <v>2.19</v>
      </c>
      <c r="D165" s="72">
        <v>1.81</v>
      </c>
      <c r="E165" s="10"/>
      <c r="F165" s="72">
        <v>1.69</v>
      </c>
      <c r="G165" s="72">
        <v>1.69</v>
      </c>
      <c r="H165" s="10"/>
      <c r="I165" s="72">
        <v>2.19</v>
      </c>
      <c r="J165" s="10"/>
      <c r="K165" s="72">
        <v>1.81</v>
      </c>
      <c r="L165" s="72">
        <v>1.69</v>
      </c>
      <c r="M165" s="72">
        <v>1.69</v>
      </c>
      <c r="N165" s="72">
        <v>1.69</v>
      </c>
      <c r="O165" s="72">
        <v>1.73</v>
      </c>
      <c r="P165" s="72">
        <v>1.73</v>
      </c>
      <c r="Q165" s="72">
        <v>1.76</v>
      </c>
      <c r="R165" s="72">
        <v>1.76</v>
      </c>
      <c r="S165" s="72">
        <v>1.25</v>
      </c>
      <c r="T165" s="72">
        <v>1.25</v>
      </c>
      <c r="U165" s="10"/>
      <c r="V165" s="10"/>
      <c r="W165" s="72">
        <v>1.35</v>
      </c>
      <c r="X165" s="72">
        <v>1.45</v>
      </c>
      <c r="Y165" s="72">
        <v>1.61</v>
      </c>
      <c r="Z165" s="72">
        <v>1.35</v>
      </c>
      <c r="AA165" s="72">
        <v>1.61</v>
      </c>
      <c r="AB165" s="72">
        <v>1.45</v>
      </c>
      <c r="AC165" s="72">
        <v>1.62</v>
      </c>
      <c r="AD165" s="72">
        <v>1.28</v>
      </c>
      <c r="AE165" s="10"/>
      <c r="AF165" s="10"/>
      <c r="AG165" s="10"/>
      <c r="AH165" s="10"/>
      <c r="AI165" s="10"/>
      <c r="AJ165" s="10"/>
      <c r="AK165" s="10"/>
      <c r="AL165" s="10"/>
      <c r="AM165" s="10"/>
      <c r="AN165" s="10"/>
      <c r="AO165" s="72">
        <v>1.66</v>
      </c>
      <c r="AP165" s="72">
        <v>1.59</v>
      </c>
      <c r="AQ165" s="72">
        <v>1.43</v>
      </c>
      <c r="AR165" s="72">
        <v>1.35</v>
      </c>
      <c r="AS165" s="72">
        <v>1.72</v>
      </c>
      <c r="AT165" s="72">
        <v>1.67</v>
      </c>
      <c r="AU165" s="72">
        <v>1.62</v>
      </c>
      <c r="AV165" s="72">
        <v>1.28</v>
      </c>
      <c r="AW165" s="72">
        <v>1.66</v>
      </c>
      <c r="AX165" s="72">
        <v>1.59</v>
      </c>
      <c r="AY165" s="72">
        <v>1.43</v>
      </c>
      <c r="AZ165" s="72">
        <v>1.35</v>
      </c>
      <c r="BA165" s="72">
        <v>1.72</v>
      </c>
      <c r="BB165" s="72">
        <v>1.67</v>
      </c>
      <c r="BC165" s="72">
        <v>1.69</v>
      </c>
      <c r="BD165" s="72">
        <v>1.69</v>
      </c>
      <c r="BE165" s="72">
        <v>1.73</v>
      </c>
      <c r="BF165" s="72">
        <v>1.76</v>
      </c>
      <c r="BG165" s="72">
        <v>1.25</v>
      </c>
      <c r="BH165" s="72">
        <v>1.35</v>
      </c>
      <c r="BI165" s="72">
        <v>1.61</v>
      </c>
      <c r="BJ165" s="99">
        <v>1.45</v>
      </c>
      <c r="BK165" s="72">
        <v>1.69</v>
      </c>
      <c r="BL165" s="72">
        <v>1.69</v>
      </c>
      <c r="BM165" s="72">
        <v>1.73</v>
      </c>
      <c r="BN165" s="72">
        <v>1.76</v>
      </c>
      <c r="BO165" s="72">
        <v>1.25</v>
      </c>
      <c r="BP165" s="72">
        <v>1.35</v>
      </c>
      <c r="BQ165" s="72">
        <v>1.45</v>
      </c>
      <c r="BR165" s="72">
        <v>1.61</v>
      </c>
      <c r="BS165" s="72">
        <v>1.59</v>
      </c>
      <c r="BT165" s="72">
        <v>1.72</v>
      </c>
      <c r="BU165" s="72">
        <v>1.72</v>
      </c>
      <c r="BV165" s="72">
        <v>1.59</v>
      </c>
      <c r="BW165" s="72">
        <v>1.35</v>
      </c>
      <c r="BX165" s="72">
        <v>1.62</v>
      </c>
      <c r="BY165" s="72">
        <v>1.62</v>
      </c>
      <c r="BZ165" s="72">
        <v>1.35</v>
      </c>
      <c r="CA165" s="72">
        <v>1.28</v>
      </c>
      <c r="CB165" s="72">
        <v>1.61</v>
      </c>
      <c r="CC165" s="72">
        <v>1.62</v>
      </c>
      <c r="CD165" s="72">
        <v>1.28</v>
      </c>
      <c r="CE165" s="72">
        <v>1.43</v>
      </c>
      <c r="CF165" s="72">
        <v>1.43</v>
      </c>
      <c r="CG165" s="72">
        <v>1.67</v>
      </c>
      <c r="CH165" s="72">
        <v>1.67</v>
      </c>
      <c r="CI165" s="72">
        <v>1.86</v>
      </c>
      <c r="CJ165" s="72">
        <v>1.86</v>
      </c>
      <c r="CK165" s="72">
        <v>1.54</v>
      </c>
      <c r="CL165" s="72">
        <v>1.54</v>
      </c>
      <c r="CM165" s="72">
        <v>1.63</v>
      </c>
      <c r="CN165" s="72">
        <v>1.62</v>
      </c>
      <c r="CO165" s="72">
        <v>1.67</v>
      </c>
      <c r="CP165" s="72">
        <v>1.72</v>
      </c>
      <c r="CQ165" s="72">
        <v>1.28</v>
      </c>
      <c r="CR165" s="72">
        <v>1.35</v>
      </c>
      <c r="CS165" s="72">
        <v>1.43</v>
      </c>
      <c r="CT165" s="72">
        <v>1.59</v>
      </c>
      <c r="CU165" s="72">
        <v>1.63</v>
      </c>
      <c r="CV165" s="72">
        <v>1.62</v>
      </c>
      <c r="CW165" s="72">
        <v>1.67</v>
      </c>
      <c r="CX165" s="72">
        <v>1.72</v>
      </c>
      <c r="CY165" s="72">
        <v>1.28</v>
      </c>
      <c r="CZ165" s="72">
        <v>1.35</v>
      </c>
      <c r="DA165" s="72">
        <v>1.43</v>
      </c>
      <c r="DB165" s="72">
        <v>1.59</v>
      </c>
      <c r="DC165" s="72">
        <v>1.25</v>
      </c>
      <c r="DD165" s="72">
        <v>1.35</v>
      </c>
      <c r="DE165" s="10"/>
      <c r="DF165" s="72">
        <v>1.61</v>
      </c>
      <c r="DG165" s="72">
        <v>1.25</v>
      </c>
      <c r="DH165" s="72">
        <v>1.35</v>
      </c>
      <c r="DI165" s="10"/>
      <c r="DJ165" s="72">
        <v>1.61</v>
      </c>
      <c r="DK165" s="72">
        <v>1.78</v>
      </c>
      <c r="DL165" s="72">
        <v>1.63</v>
      </c>
      <c r="DM165" s="72">
        <v>1.63</v>
      </c>
      <c r="DN165" s="72">
        <v>1.63</v>
      </c>
      <c r="DO165" s="448">
        <f t="shared" si="80"/>
        <v>1.7</v>
      </c>
    </row>
    <row r="166" spans="1:119">
      <c r="A166" s="24" t="s">
        <v>105</v>
      </c>
      <c r="B166" s="24" t="s">
        <v>215</v>
      </c>
      <c r="C166" s="72">
        <v>3.15</v>
      </c>
      <c r="D166" s="72">
        <v>2.93</v>
      </c>
      <c r="E166" s="10"/>
      <c r="F166" s="72">
        <v>3.01</v>
      </c>
      <c r="G166" s="72">
        <v>3.01</v>
      </c>
      <c r="H166" s="10"/>
      <c r="I166" s="72">
        <v>3.15</v>
      </c>
      <c r="J166" s="10"/>
      <c r="K166" s="72">
        <v>2.93</v>
      </c>
      <c r="L166" s="72">
        <v>3.01</v>
      </c>
      <c r="M166" s="72">
        <v>3.01</v>
      </c>
      <c r="N166" s="72">
        <v>3.01</v>
      </c>
      <c r="O166" s="72">
        <v>3.01</v>
      </c>
      <c r="P166" s="72">
        <v>3.01</v>
      </c>
      <c r="Q166" s="72">
        <v>3.01</v>
      </c>
      <c r="R166" s="72">
        <v>3.01</v>
      </c>
      <c r="S166" s="72">
        <v>1.99</v>
      </c>
      <c r="T166" s="72">
        <v>1.99</v>
      </c>
      <c r="U166" s="10"/>
      <c r="V166" s="10"/>
      <c r="W166" s="72">
        <v>2.2599999999999998</v>
      </c>
      <c r="X166" s="72">
        <v>2.4</v>
      </c>
      <c r="Y166" s="72">
        <v>2.71</v>
      </c>
      <c r="Z166" s="72">
        <v>2.2599999999999998</v>
      </c>
      <c r="AA166" s="72">
        <v>2.71</v>
      </c>
      <c r="AB166" s="72">
        <v>2.4</v>
      </c>
      <c r="AC166" s="72">
        <v>2.41</v>
      </c>
      <c r="AD166" s="72">
        <v>1.49</v>
      </c>
      <c r="AE166" s="10"/>
      <c r="AF166" s="10"/>
      <c r="AG166" s="10"/>
      <c r="AH166" s="10"/>
      <c r="AI166" s="10"/>
      <c r="AJ166" s="10"/>
      <c r="AK166" s="10"/>
      <c r="AL166" s="10"/>
      <c r="AM166" s="10"/>
      <c r="AN166" s="10"/>
      <c r="AO166" s="72">
        <v>2.2400000000000002</v>
      </c>
      <c r="AP166" s="72">
        <v>2.46</v>
      </c>
      <c r="AQ166" s="72">
        <v>2</v>
      </c>
      <c r="AR166" s="72">
        <v>1.81</v>
      </c>
      <c r="AS166" s="72">
        <v>2.74</v>
      </c>
      <c r="AT166" s="72">
        <v>2.5</v>
      </c>
      <c r="AU166" s="72">
        <v>2.41</v>
      </c>
      <c r="AV166" s="72">
        <v>1.49</v>
      </c>
      <c r="AW166" s="72">
        <v>2.2400000000000002</v>
      </c>
      <c r="AX166" s="72">
        <v>2.46</v>
      </c>
      <c r="AY166" s="72">
        <v>2</v>
      </c>
      <c r="AZ166" s="72">
        <v>1.81</v>
      </c>
      <c r="BA166" s="72">
        <v>2.74</v>
      </c>
      <c r="BB166" s="72">
        <v>2.5</v>
      </c>
      <c r="BC166" s="72">
        <v>3.01</v>
      </c>
      <c r="BD166" s="72">
        <v>3.01</v>
      </c>
      <c r="BE166" s="72">
        <v>3.01</v>
      </c>
      <c r="BF166" s="72">
        <v>3.01</v>
      </c>
      <c r="BG166" s="72">
        <v>1.99</v>
      </c>
      <c r="BH166" s="72">
        <v>2.2599999999999998</v>
      </c>
      <c r="BI166" s="72">
        <v>2.71</v>
      </c>
      <c r="BJ166" s="99">
        <v>2.4</v>
      </c>
      <c r="BK166" s="72">
        <v>3.01</v>
      </c>
      <c r="BL166" s="72">
        <v>3.01</v>
      </c>
      <c r="BM166" s="72">
        <v>3.01</v>
      </c>
      <c r="BN166" s="72">
        <v>3.01</v>
      </c>
      <c r="BO166" s="72">
        <v>1.99</v>
      </c>
      <c r="BP166" s="72">
        <v>2.2599999999999998</v>
      </c>
      <c r="BQ166" s="72">
        <v>2.4</v>
      </c>
      <c r="BR166" s="72">
        <v>2.71</v>
      </c>
      <c r="BS166" s="72">
        <v>2.46</v>
      </c>
      <c r="BT166" s="72">
        <v>2.74</v>
      </c>
      <c r="BU166" s="72">
        <v>2.74</v>
      </c>
      <c r="BV166" s="72">
        <v>2.46</v>
      </c>
      <c r="BW166" s="72">
        <v>1.81</v>
      </c>
      <c r="BX166" s="72">
        <v>2.41</v>
      </c>
      <c r="BY166" s="72">
        <v>2.41</v>
      </c>
      <c r="BZ166" s="72">
        <v>1.81</v>
      </c>
      <c r="CA166" s="72">
        <v>1.49</v>
      </c>
      <c r="CB166" s="72">
        <v>2.2599999999999998</v>
      </c>
      <c r="CC166" s="72">
        <v>2.41</v>
      </c>
      <c r="CD166" s="72">
        <v>1.49</v>
      </c>
      <c r="CE166" s="72">
        <v>2</v>
      </c>
      <c r="CF166" s="72">
        <v>2</v>
      </c>
      <c r="CG166" s="72">
        <v>2.5099999999999998</v>
      </c>
      <c r="CH166" s="72">
        <v>2.5</v>
      </c>
      <c r="CI166" s="72">
        <v>3.47</v>
      </c>
      <c r="CJ166" s="72">
        <v>3.47</v>
      </c>
      <c r="CK166" s="72">
        <v>3.22</v>
      </c>
      <c r="CL166" s="72">
        <v>3.22</v>
      </c>
      <c r="CM166" s="72">
        <v>2.2400000000000002</v>
      </c>
      <c r="CN166" s="72">
        <v>2.41</v>
      </c>
      <c r="CO166" s="72">
        <v>2.5</v>
      </c>
      <c r="CP166" s="72">
        <v>2.74</v>
      </c>
      <c r="CQ166" s="72">
        <v>1.49</v>
      </c>
      <c r="CR166" s="72">
        <v>1.81</v>
      </c>
      <c r="CS166" s="72">
        <v>2</v>
      </c>
      <c r="CT166" s="72">
        <v>2.46</v>
      </c>
      <c r="CU166" s="72">
        <v>2.2400000000000002</v>
      </c>
      <c r="CV166" s="72">
        <v>2.41</v>
      </c>
      <c r="CW166" s="72">
        <v>2.5</v>
      </c>
      <c r="CX166" s="72">
        <v>2.74</v>
      </c>
      <c r="CY166" s="72">
        <v>1.49</v>
      </c>
      <c r="CZ166" s="72">
        <v>1.81</v>
      </c>
      <c r="DA166" s="72">
        <v>2</v>
      </c>
      <c r="DB166" s="72">
        <v>2.46</v>
      </c>
      <c r="DC166" s="72">
        <v>1.99</v>
      </c>
      <c r="DD166" s="72">
        <v>2.2599999999999998</v>
      </c>
      <c r="DE166" s="10"/>
      <c r="DF166" s="72">
        <v>2.71</v>
      </c>
      <c r="DG166" s="72">
        <v>1.99</v>
      </c>
      <c r="DH166" s="72">
        <v>2.2599999999999998</v>
      </c>
      <c r="DI166" s="10"/>
      <c r="DJ166" s="72">
        <v>2.71</v>
      </c>
      <c r="DK166" s="72">
        <v>2.16</v>
      </c>
      <c r="DL166" s="72">
        <v>2.2400000000000002</v>
      </c>
      <c r="DM166" s="72">
        <v>2.2400000000000002</v>
      </c>
      <c r="DN166" s="72">
        <v>2.2400000000000002</v>
      </c>
      <c r="DO166" s="448">
        <f t="shared" si="80"/>
        <v>3.3450000000000002</v>
      </c>
    </row>
    <row r="167" spans="1:119">
      <c r="A167" s="24" t="s">
        <v>216</v>
      </c>
      <c r="B167" s="24" t="s">
        <v>217</v>
      </c>
      <c r="C167" s="72">
        <v>0.83</v>
      </c>
      <c r="D167" s="72">
        <v>0.75</v>
      </c>
      <c r="E167" s="10"/>
      <c r="F167" s="72">
        <v>0.88</v>
      </c>
      <c r="G167" s="72">
        <v>0.88</v>
      </c>
      <c r="H167" s="10"/>
      <c r="I167" s="72">
        <v>0.83</v>
      </c>
      <c r="J167" s="10"/>
      <c r="K167" s="72">
        <v>0.75</v>
      </c>
      <c r="L167" s="72">
        <v>0.88</v>
      </c>
      <c r="M167" s="72">
        <v>0.88</v>
      </c>
      <c r="N167" s="72">
        <v>0.88</v>
      </c>
      <c r="O167" s="72">
        <v>0.88</v>
      </c>
      <c r="P167" s="72">
        <v>0.88</v>
      </c>
      <c r="Q167" s="72">
        <v>0.88</v>
      </c>
      <c r="R167" s="72">
        <v>0.88</v>
      </c>
      <c r="S167" s="72">
        <v>0.88</v>
      </c>
      <c r="T167" s="72">
        <v>0.88</v>
      </c>
      <c r="U167" s="10"/>
      <c r="V167" s="10"/>
      <c r="W167" s="72">
        <v>0.88</v>
      </c>
      <c r="X167" s="72">
        <v>0.88</v>
      </c>
      <c r="Y167" s="72">
        <v>0.88</v>
      </c>
      <c r="Z167" s="72">
        <v>0.88</v>
      </c>
      <c r="AA167" s="72">
        <v>0.88</v>
      </c>
      <c r="AB167" s="72">
        <v>0.88</v>
      </c>
      <c r="AC167" s="72">
        <v>0.7</v>
      </c>
      <c r="AD167" s="72">
        <v>0.66</v>
      </c>
      <c r="AE167" s="10"/>
      <c r="AF167" s="10"/>
      <c r="AG167" s="10"/>
      <c r="AH167" s="10"/>
      <c r="AI167" s="10"/>
      <c r="AJ167" s="10"/>
      <c r="AK167" s="10"/>
      <c r="AL167" s="10"/>
      <c r="AM167" s="10"/>
      <c r="AN167" s="10"/>
      <c r="AO167" s="72">
        <v>0.66</v>
      </c>
      <c r="AP167" s="72">
        <v>0.8</v>
      </c>
      <c r="AQ167" s="72">
        <v>0.73</v>
      </c>
      <c r="AR167" s="72">
        <v>0.7</v>
      </c>
      <c r="AS167" s="72">
        <v>0.8</v>
      </c>
      <c r="AT167" s="72">
        <v>0.73</v>
      </c>
      <c r="AU167" s="72">
        <v>0.7</v>
      </c>
      <c r="AV167" s="72">
        <v>0.66</v>
      </c>
      <c r="AW167" s="72">
        <v>0.66</v>
      </c>
      <c r="AX167" s="72">
        <v>0.8</v>
      </c>
      <c r="AY167" s="72">
        <v>0.73</v>
      </c>
      <c r="AZ167" s="72">
        <v>0.7</v>
      </c>
      <c r="BA167" s="72">
        <v>0.8</v>
      </c>
      <c r="BB167" s="72">
        <v>0.73</v>
      </c>
      <c r="BC167" s="72">
        <v>0.88</v>
      </c>
      <c r="BD167" s="72">
        <v>0.88</v>
      </c>
      <c r="BE167" s="72">
        <v>0.88</v>
      </c>
      <c r="BF167" s="72">
        <v>0.88</v>
      </c>
      <c r="BG167" s="72">
        <v>0.88</v>
      </c>
      <c r="BH167" s="72">
        <v>0.88</v>
      </c>
      <c r="BI167" s="72">
        <v>0.88</v>
      </c>
      <c r="BJ167" s="99">
        <v>0.88</v>
      </c>
      <c r="BK167" s="72">
        <v>0.88</v>
      </c>
      <c r="BL167" s="72">
        <v>0.88</v>
      </c>
      <c r="BM167" s="72">
        <v>0.88</v>
      </c>
      <c r="BN167" s="72">
        <v>0.88</v>
      </c>
      <c r="BO167" s="72">
        <v>0.88</v>
      </c>
      <c r="BP167" s="72">
        <v>0.88</v>
      </c>
      <c r="BQ167" s="72">
        <v>0.88</v>
      </c>
      <c r="BR167" s="72">
        <v>0.88</v>
      </c>
      <c r="BS167" s="72">
        <v>0.8</v>
      </c>
      <c r="BT167" s="72">
        <v>0.8</v>
      </c>
      <c r="BU167" s="72">
        <v>0.8</v>
      </c>
      <c r="BV167" s="72">
        <v>0.8</v>
      </c>
      <c r="BW167" s="72">
        <v>0.7</v>
      </c>
      <c r="BX167" s="72">
        <v>0.7</v>
      </c>
      <c r="BY167" s="72">
        <v>0.7</v>
      </c>
      <c r="BZ167" s="72">
        <v>0.7</v>
      </c>
      <c r="CA167" s="72">
        <v>0.66</v>
      </c>
      <c r="CB167" s="72">
        <v>0.66</v>
      </c>
      <c r="CC167" s="72">
        <v>0.7</v>
      </c>
      <c r="CD167" s="72">
        <v>0.66</v>
      </c>
      <c r="CE167" s="72">
        <v>0.73</v>
      </c>
      <c r="CF167" s="72">
        <v>0.73</v>
      </c>
      <c r="CG167" s="72">
        <v>0.73</v>
      </c>
      <c r="CH167" s="72">
        <v>0.73</v>
      </c>
      <c r="CI167" s="72">
        <v>0.83</v>
      </c>
      <c r="CJ167" s="72">
        <v>0.83</v>
      </c>
      <c r="CK167" s="72">
        <v>0.75</v>
      </c>
      <c r="CL167" s="72">
        <v>0.75</v>
      </c>
      <c r="CM167" s="72">
        <v>0.66</v>
      </c>
      <c r="CN167" s="72">
        <v>0.7</v>
      </c>
      <c r="CO167" s="72">
        <v>0.73</v>
      </c>
      <c r="CP167" s="72">
        <v>0.8</v>
      </c>
      <c r="CQ167" s="72">
        <v>0.66</v>
      </c>
      <c r="CR167" s="72">
        <v>0.7</v>
      </c>
      <c r="CS167" s="72">
        <v>0.73</v>
      </c>
      <c r="CT167" s="72">
        <v>0.8</v>
      </c>
      <c r="CU167" s="72">
        <v>0.66</v>
      </c>
      <c r="CV167" s="72">
        <v>0.7</v>
      </c>
      <c r="CW167" s="72">
        <v>0.73</v>
      </c>
      <c r="CX167" s="72">
        <v>0.8</v>
      </c>
      <c r="CY167" s="72">
        <v>0.66</v>
      </c>
      <c r="CZ167" s="72">
        <v>0.7</v>
      </c>
      <c r="DA167" s="72">
        <v>0.73</v>
      </c>
      <c r="DB167" s="72">
        <v>0.8</v>
      </c>
      <c r="DC167" s="72">
        <v>0.88</v>
      </c>
      <c r="DD167" s="72">
        <v>0.88</v>
      </c>
      <c r="DE167" s="10"/>
      <c r="DF167" s="72">
        <v>0.88</v>
      </c>
      <c r="DG167" s="72">
        <v>0.88</v>
      </c>
      <c r="DH167" s="72">
        <v>0.88</v>
      </c>
      <c r="DI167" s="10"/>
      <c r="DJ167" s="72">
        <v>0.88</v>
      </c>
      <c r="DK167" s="72">
        <v>0.53</v>
      </c>
      <c r="DL167" s="72">
        <v>0.66</v>
      </c>
      <c r="DM167" s="72">
        <v>0.66</v>
      </c>
      <c r="DN167" s="72">
        <v>0.66</v>
      </c>
      <c r="DO167" s="448">
        <f t="shared" si="80"/>
        <v>0.79</v>
      </c>
    </row>
    <row r="168" spans="1:119">
      <c r="A168" s="24" t="s">
        <v>112</v>
      </c>
      <c r="B168" s="24" t="s">
        <v>113</v>
      </c>
      <c r="C168" s="72">
        <v>0.12</v>
      </c>
      <c r="D168" s="72">
        <v>0</v>
      </c>
      <c r="E168" s="10"/>
      <c r="F168" s="72">
        <v>0.03</v>
      </c>
      <c r="G168" s="72">
        <v>0.03</v>
      </c>
      <c r="H168" s="10"/>
      <c r="I168" s="72">
        <v>0.12</v>
      </c>
      <c r="J168" s="10"/>
      <c r="K168" s="72">
        <v>0</v>
      </c>
      <c r="L168" s="72">
        <v>0.03</v>
      </c>
      <c r="M168" s="72">
        <v>0.04</v>
      </c>
      <c r="N168" s="72">
        <v>0.04</v>
      </c>
      <c r="O168" s="72">
        <v>0.02</v>
      </c>
      <c r="P168" s="72">
        <v>0.02</v>
      </c>
      <c r="Q168" s="72">
        <v>0.01</v>
      </c>
      <c r="R168" s="72">
        <v>0.01</v>
      </c>
      <c r="S168" s="72">
        <v>0.04</v>
      </c>
      <c r="T168" s="72">
        <v>0.04</v>
      </c>
      <c r="U168" s="10"/>
      <c r="V168" s="10"/>
      <c r="W168" s="72">
        <v>0.03</v>
      </c>
      <c r="X168" s="72">
        <v>0.02</v>
      </c>
      <c r="Y168" s="72">
        <v>0.01</v>
      </c>
      <c r="Z168" s="72">
        <v>0.03</v>
      </c>
      <c r="AA168" s="72">
        <v>0.01</v>
      </c>
      <c r="AB168" s="72">
        <v>0.02</v>
      </c>
      <c r="AC168" s="72">
        <v>0.22</v>
      </c>
      <c r="AD168" s="72">
        <v>0.28000000000000003</v>
      </c>
      <c r="AE168" s="10"/>
      <c r="AF168" s="10"/>
      <c r="AG168" s="10"/>
      <c r="AH168" s="10"/>
      <c r="AI168" s="10"/>
      <c r="AJ168" s="10"/>
      <c r="AK168" s="10"/>
      <c r="AL168" s="10"/>
      <c r="AM168" s="10"/>
      <c r="AN168" s="10"/>
      <c r="AO168" s="72">
        <v>0.28000000000000003</v>
      </c>
      <c r="AP168" s="72">
        <v>0.1</v>
      </c>
      <c r="AQ168" s="72">
        <v>0.18</v>
      </c>
      <c r="AR168" s="72">
        <v>0.22</v>
      </c>
      <c r="AS168" s="72">
        <v>0.1</v>
      </c>
      <c r="AT168" s="72">
        <v>0.18</v>
      </c>
      <c r="AU168" s="72">
        <v>0.22</v>
      </c>
      <c r="AV168" s="72">
        <v>0.28000000000000003</v>
      </c>
      <c r="AW168" s="72">
        <v>0.28000000000000003</v>
      </c>
      <c r="AX168" s="72">
        <v>0.1</v>
      </c>
      <c r="AY168" s="72">
        <v>0.18</v>
      </c>
      <c r="AZ168" s="72">
        <v>0.22</v>
      </c>
      <c r="BA168" s="72">
        <v>0.1</v>
      </c>
      <c r="BB168" s="72">
        <v>0.18</v>
      </c>
      <c r="BC168" s="72">
        <v>0.03</v>
      </c>
      <c r="BD168" s="72">
        <v>0.04</v>
      </c>
      <c r="BE168" s="72">
        <v>0.02</v>
      </c>
      <c r="BF168" s="72">
        <v>0.01</v>
      </c>
      <c r="BG168" s="72">
        <v>0.04</v>
      </c>
      <c r="BH168" s="72">
        <v>0.03</v>
      </c>
      <c r="BI168" s="72">
        <v>0.01</v>
      </c>
      <c r="BJ168" s="99">
        <v>0.02</v>
      </c>
      <c r="BK168" s="72">
        <v>0.03</v>
      </c>
      <c r="BL168" s="72">
        <v>0.04</v>
      </c>
      <c r="BM168" s="72">
        <v>0.02</v>
      </c>
      <c r="BN168" s="72">
        <v>0.01</v>
      </c>
      <c r="BO168" s="72">
        <v>0.04</v>
      </c>
      <c r="BP168" s="72">
        <v>0.03</v>
      </c>
      <c r="BQ168" s="72">
        <v>0.02</v>
      </c>
      <c r="BR168" s="72">
        <v>0.01</v>
      </c>
      <c r="BS168" s="72">
        <v>0.1</v>
      </c>
      <c r="BT168" s="72">
        <v>0.1</v>
      </c>
      <c r="BU168" s="72">
        <v>0.1</v>
      </c>
      <c r="BV168" s="72">
        <v>0.1</v>
      </c>
      <c r="BW168" s="72">
        <v>0.22</v>
      </c>
      <c r="BX168" s="72">
        <v>0.22</v>
      </c>
      <c r="BY168" s="72">
        <v>0.22</v>
      </c>
      <c r="BZ168" s="72">
        <v>0.22</v>
      </c>
      <c r="CA168" s="72">
        <v>0.27</v>
      </c>
      <c r="CB168" s="72">
        <v>0.28000000000000003</v>
      </c>
      <c r="CC168" s="72">
        <v>0.22</v>
      </c>
      <c r="CD168" s="72">
        <v>0.28000000000000003</v>
      </c>
      <c r="CE168" s="72">
        <v>0.18</v>
      </c>
      <c r="CF168" s="72">
        <v>0.18</v>
      </c>
      <c r="CG168" s="72">
        <v>0.18</v>
      </c>
      <c r="CH168" s="72">
        <v>0.18</v>
      </c>
      <c r="CI168" s="72">
        <v>0.23</v>
      </c>
      <c r="CJ168" s="72">
        <v>0.23</v>
      </c>
      <c r="CK168" s="72">
        <v>0</v>
      </c>
      <c r="CL168" s="72">
        <v>0</v>
      </c>
      <c r="CM168" s="72">
        <v>0.28000000000000003</v>
      </c>
      <c r="CN168" s="72">
        <v>0.22</v>
      </c>
      <c r="CO168" s="72">
        <v>0.18</v>
      </c>
      <c r="CP168" s="72">
        <v>0.1</v>
      </c>
      <c r="CQ168" s="72">
        <v>0.28000000000000003</v>
      </c>
      <c r="CR168" s="72">
        <v>0.22</v>
      </c>
      <c r="CS168" s="72">
        <v>0.18</v>
      </c>
      <c r="CT168" s="72">
        <v>0.1</v>
      </c>
      <c r="CU168" s="72">
        <v>0.28000000000000003</v>
      </c>
      <c r="CV168" s="72">
        <v>0.22</v>
      </c>
      <c r="CW168" s="72">
        <v>0.18</v>
      </c>
      <c r="CX168" s="72">
        <v>0.1</v>
      </c>
      <c r="CY168" s="72">
        <v>0.28000000000000003</v>
      </c>
      <c r="CZ168" s="72">
        <v>0.22</v>
      </c>
      <c r="DA168" s="72">
        <v>0.18</v>
      </c>
      <c r="DB168" s="72">
        <v>0.1</v>
      </c>
      <c r="DC168" s="72">
        <v>0.04</v>
      </c>
      <c r="DD168" s="72">
        <v>0.03</v>
      </c>
      <c r="DE168" s="10"/>
      <c r="DF168" s="72">
        <v>0.01</v>
      </c>
      <c r="DG168" s="72">
        <v>0.04</v>
      </c>
      <c r="DH168" s="72">
        <v>0.03</v>
      </c>
      <c r="DI168" s="10"/>
      <c r="DJ168" s="72">
        <v>0.01</v>
      </c>
      <c r="DK168" s="72">
        <v>0.24</v>
      </c>
      <c r="DL168" s="72">
        <v>0.28000000000000003</v>
      </c>
      <c r="DM168" s="72">
        <v>0.28000000000000003</v>
      </c>
      <c r="DN168" s="72">
        <v>0.28000000000000003</v>
      </c>
      <c r="DO168" s="448">
        <f t="shared" si="80"/>
        <v>0.115</v>
      </c>
    </row>
    <row r="169" spans="1:119">
      <c r="A169" s="24" t="s">
        <v>218</v>
      </c>
      <c r="B169" s="24" t="s">
        <v>219</v>
      </c>
      <c r="C169" s="72">
        <v>0.04</v>
      </c>
      <c r="D169" s="72">
        <v>0.05</v>
      </c>
      <c r="E169" s="10"/>
      <c r="F169" s="72">
        <v>0.09</v>
      </c>
      <c r="G169" s="72">
        <v>0.09</v>
      </c>
      <c r="H169" s="10"/>
      <c r="I169" s="72">
        <v>0.04</v>
      </c>
      <c r="J169" s="10"/>
      <c r="K169" s="72">
        <v>0.05</v>
      </c>
      <c r="L169" s="72">
        <v>0.09</v>
      </c>
      <c r="M169" s="72">
        <v>0.09</v>
      </c>
      <c r="N169" s="72">
        <v>0.09</v>
      </c>
      <c r="O169" s="72">
        <v>0.09</v>
      </c>
      <c r="P169" s="72">
        <v>0.09</v>
      </c>
      <c r="Q169" s="72">
        <v>0.09</v>
      </c>
      <c r="R169" s="72">
        <v>0.09</v>
      </c>
      <c r="S169" s="72">
        <v>0.06</v>
      </c>
      <c r="T169" s="72">
        <v>0.06</v>
      </c>
      <c r="U169" s="10"/>
      <c r="V169" s="10"/>
      <c r="W169" s="72">
        <v>7.0000000000000007E-2</v>
      </c>
      <c r="X169" s="72">
        <v>7.0000000000000007E-2</v>
      </c>
      <c r="Y169" s="72">
        <v>0.08</v>
      </c>
      <c r="Z169" s="72">
        <v>7.0000000000000007E-2</v>
      </c>
      <c r="AA169" s="72">
        <v>0.08</v>
      </c>
      <c r="AB169" s="72">
        <v>7.0000000000000007E-2</v>
      </c>
      <c r="AC169" s="72">
        <v>7.0000000000000007E-2</v>
      </c>
      <c r="AD169" s="72">
        <v>0.04</v>
      </c>
      <c r="AE169" s="10"/>
      <c r="AF169" s="10"/>
      <c r="AG169" s="10"/>
      <c r="AH169" s="10"/>
      <c r="AI169" s="10"/>
      <c r="AJ169" s="10"/>
      <c r="AK169" s="10"/>
      <c r="AL169" s="10"/>
      <c r="AM169" s="10"/>
      <c r="AN169" s="10"/>
      <c r="AO169" s="72">
        <v>7.0000000000000007E-2</v>
      </c>
      <c r="AP169" s="72">
        <v>7.0000000000000007E-2</v>
      </c>
      <c r="AQ169" s="72">
        <v>0.06</v>
      </c>
      <c r="AR169" s="72">
        <v>0.05</v>
      </c>
      <c r="AS169" s="72">
        <v>0.08</v>
      </c>
      <c r="AT169" s="72">
        <v>7.0000000000000007E-2</v>
      </c>
      <c r="AU169" s="72">
        <v>7.0000000000000007E-2</v>
      </c>
      <c r="AV169" s="72">
        <v>0.04</v>
      </c>
      <c r="AW169" s="72">
        <v>7.0000000000000007E-2</v>
      </c>
      <c r="AX169" s="72">
        <v>7.0000000000000007E-2</v>
      </c>
      <c r="AY169" s="72">
        <v>0.06</v>
      </c>
      <c r="AZ169" s="72">
        <v>0.05</v>
      </c>
      <c r="BA169" s="72">
        <v>0.08</v>
      </c>
      <c r="BB169" s="72">
        <v>7.0000000000000007E-2</v>
      </c>
      <c r="BC169" s="72">
        <v>0.09</v>
      </c>
      <c r="BD169" s="72">
        <v>0.09</v>
      </c>
      <c r="BE169" s="72">
        <v>0.09</v>
      </c>
      <c r="BF169" s="72">
        <v>0.09</v>
      </c>
      <c r="BG169" s="72">
        <v>0.06</v>
      </c>
      <c r="BH169" s="72">
        <v>7.0000000000000007E-2</v>
      </c>
      <c r="BI169" s="72">
        <v>0.08</v>
      </c>
      <c r="BJ169" s="99">
        <v>7.0000000000000007E-2</v>
      </c>
      <c r="BK169" s="72">
        <v>0.09</v>
      </c>
      <c r="BL169" s="72">
        <v>0.09</v>
      </c>
      <c r="BM169" s="72">
        <v>0.09</v>
      </c>
      <c r="BN169" s="72">
        <v>0.09</v>
      </c>
      <c r="BO169" s="72">
        <v>0.06</v>
      </c>
      <c r="BP169" s="72">
        <v>7.0000000000000007E-2</v>
      </c>
      <c r="BQ169" s="72">
        <v>7.0000000000000007E-2</v>
      </c>
      <c r="BR169" s="72">
        <v>0.08</v>
      </c>
      <c r="BS169" s="72">
        <v>7.0000000000000007E-2</v>
      </c>
      <c r="BT169" s="72">
        <v>0.08</v>
      </c>
      <c r="BU169" s="72">
        <v>0.08</v>
      </c>
      <c r="BV169" s="72">
        <v>7.0000000000000007E-2</v>
      </c>
      <c r="BW169" s="72">
        <v>0.05</v>
      </c>
      <c r="BX169" s="72">
        <v>7.0000000000000007E-2</v>
      </c>
      <c r="BY169" s="72">
        <v>7.0000000000000007E-2</v>
      </c>
      <c r="BZ169" s="72">
        <v>0.05</v>
      </c>
      <c r="CA169" s="72">
        <v>0.04</v>
      </c>
      <c r="CB169" s="72">
        <v>7.0000000000000007E-2</v>
      </c>
      <c r="CC169" s="72">
        <v>7.0000000000000007E-2</v>
      </c>
      <c r="CD169" s="72">
        <v>0.04</v>
      </c>
      <c r="CE169" s="72">
        <v>0.06</v>
      </c>
      <c r="CF169" s="72">
        <v>0.06</v>
      </c>
      <c r="CG169" s="72">
        <v>7.0000000000000007E-2</v>
      </c>
      <c r="CH169" s="72">
        <v>7.0000000000000007E-2</v>
      </c>
      <c r="CI169" s="72">
        <v>0.04</v>
      </c>
      <c r="CJ169" s="72">
        <v>0.04</v>
      </c>
      <c r="CK169" s="72">
        <v>0.05</v>
      </c>
      <c r="CL169" s="72">
        <v>0.05</v>
      </c>
      <c r="CM169" s="72">
        <v>7.0000000000000007E-2</v>
      </c>
      <c r="CN169" s="72">
        <v>7.0000000000000007E-2</v>
      </c>
      <c r="CO169" s="72">
        <v>7.0000000000000007E-2</v>
      </c>
      <c r="CP169" s="72">
        <v>0.08</v>
      </c>
      <c r="CQ169" s="72">
        <v>0.04</v>
      </c>
      <c r="CR169" s="72">
        <v>0.05</v>
      </c>
      <c r="CS169" s="72">
        <v>0.06</v>
      </c>
      <c r="CT169" s="72">
        <v>7.0000000000000007E-2</v>
      </c>
      <c r="CU169" s="72">
        <v>7.0000000000000007E-2</v>
      </c>
      <c r="CV169" s="72">
        <v>7.0000000000000007E-2</v>
      </c>
      <c r="CW169" s="72">
        <v>7.0000000000000007E-2</v>
      </c>
      <c r="CX169" s="72">
        <v>0.08</v>
      </c>
      <c r="CY169" s="72">
        <v>0.04</v>
      </c>
      <c r="CZ169" s="72">
        <v>0.05</v>
      </c>
      <c r="DA169" s="72">
        <v>0.06</v>
      </c>
      <c r="DB169" s="72">
        <v>7.0000000000000007E-2</v>
      </c>
      <c r="DC169" s="72">
        <v>0.06</v>
      </c>
      <c r="DD169" s="72">
        <v>7.0000000000000007E-2</v>
      </c>
      <c r="DE169" s="10"/>
      <c r="DF169" s="72">
        <v>0.08</v>
      </c>
      <c r="DG169" s="72">
        <v>0.06</v>
      </c>
      <c r="DH169" s="72">
        <v>7.0000000000000007E-2</v>
      </c>
      <c r="DI169" s="10"/>
      <c r="DJ169" s="72">
        <v>0.08</v>
      </c>
      <c r="DK169" s="72">
        <v>0.03</v>
      </c>
      <c r="DL169" s="72">
        <v>7.0000000000000007E-2</v>
      </c>
      <c r="DM169" s="72">
        <v>7.0000000000000007E-2</v>
      </c>
      <c r="DN169" s="72">
        <v>7.0000000000000007E-2</v>
      </c>
      <c r="DO169" s="448">
        <f t="shared" si="80"/>
        <v>4.4999999999999998E-2</v>
      </c>
    </row>
    <row r="170" spans="1:119">
      <c r="A170" s="24" t="s">
        <v>220</v>
      </c>
      <c r="B170" s="24" t="s">
        <v>221</v>
      </c>
      <c r="C170" s="72">
        <v>0.17</v>
      </c>
      <c r="D170" s="72">
        <v>0.15</v>
      </c>
      <c r="E170" s="10"/>
      <c r="F170" s="72">
        <v>0.1</v>
      </c>
      <c r="G170" s="72">
        <v>0.1</v>
      </c>
      <c r="H170" s="10"/>
      <c r="I170" s="72">
        <v>0.17</v>
      </c>
      <c r="J170" s="10"/>
      <c r="K170" s="72">
        <v>0.15</v>
      </c>
      <c r="L170" s="72">
        <v>0.1</v>
      </c>
      <c r="M170" s="72">
        <v>0.1</v>
      </c>
      <c r="N170" s="72">
        <v>0.1</v>
      </c>
      <c r="O170" s="72">
        <v>0.1</v>
      </c>
      <c r="P170" s="72">
        <v>0.1</v>
      </c>
      <c r="Q170" s="72">
        <v>0.1</v>
      </c>
      <c r="R170" s="72">
        <v>0.1</v>
      </c>
      <c r="S170" s="72">
        <v>7.0000000000000007E-2</v>
      </c>
      <c r="T170" s="72">
        <v>7.0000000000000007E-2</v>
      </c>
      <c r="U170" s="10"/>
      <c r="V170" s="10"/>
      <c r="W170" s="72">
        <v>0.08</v>
      </c>
      <c r="X170" s="72">
        <v>0.09</v>
      </c>
      <c r="Y170" s="72">
        <v>0.1</v>
      </c>
      <c r="Z170" s="72">
        <v>0.08</v>
      </c>
      <c r="AA170" s="72">
        <v>0.1</v>
      </c>
      <c r="AB170" s="72">
        <v>0.09</v>
      </c>
      <c r="AC170" s="72">
        <v>0.08</v>
      </c>
      <c r="AD170" s="72">
        <v>0.06</v>
      </c>
      <c r="AE170" s="10"/>
      <c r="AF170" s="10"/>
      <c r="AG170" s="10"/>
      <c r="AH170" s="10"/>
      <c r="AI170" s="10"/>
      <c r="AJ170" s="10"/>
      <c r="AK170" s="10"/>
      <c r="AL170" s="10"/>
      <c r="AM170" s="10"/>
      <c r="AN170" s="10"/>
      <c r="AO170" s="72">
        <v>0.08</v>
      </c>
      <c r="AP170" s="72">
        <v>0.09</v>
      </c>
      <c r="AQ170" s="72">
        <v>0.08</v>
      </c>
      <c r="AR170" s="72">
        <v>0.06</v>
      </c>
      <c r="AS170" s="72">
        <v>0.09</v>
      </c>
      <c r="AT170" s="72">
        <v>0.09</v>
      </c>
      <c r="AU170" s="72">
        <v>0.08</v>
      </c>
      <c r="AV170" s="72">
        <v>0.06</v>
      </c>
      <c r="AW170" s="72">
        <v>0.08</v>
      </c>
      <c r="AX170" s="72">
        <v>0.09</v>
      </c>
      <c r="AY170" s="72">
        <v>0.08</v>
      </c>
      <c r="AZ170" s="72">
        <v>0.06</v>
      </c>
      <c r="BA170" s="72">
        <v>0.09</v>
      </c>
      <c r="BB170" s="72">
        <v>0.09</v>
      </c>
      <c r="BC170" s="72">
        <v>0.1</v>
      </c>
      <c r="BD170" s="72">
        <v>0.1</v>
      </c>
      <c r="BE170" s="72">
        <v>0.1</v>
      </c>
      <c r="BF170" s="72">
        <v>0.1</v>
      </c>
      <c r="BG170" s="72">
        <v>7.0000000000000007E-2</v>
      </c>
      <c r="BH170" s="72">
        <v>0.08</v>
      </c>
      <c r="BI170" s="72">
        <v>0.1</v>
      </c>
      <c r="BJ170" s="99">
        <v>0.09</v>
      </c>
      <c r="BK170" s="72">
        <v>0.1</v>
      </c>
      <c r="BL170" s="72">
        <v>0.1</v>
      </c>
      <c r="BM170" s="72">
        <v>0.1</v>
      </c>
      <c r="BN170" s="72">
        <v>0.1</v>
      </c>
      <c r="BO170" s="72">
        <v>7.0000000000000007E-2</v>
      </c>
      <c r="BP170" s="72">
        <v>0.08</v>
      </c>
      <c r="BQ170" s="72">
        <v>0.09</v>
      </c>
      <c r="BR170" s="72">
        <v>0.1</v>
      </c>
      <c r="BS170" s="72">
        <v>0.09</v>
      </c>
      <c r="BT170" s="72">
        <v>0.09</v>
      </c>
      <c r="BU170" s="72">
        <v>0.09</v>
      </c>
      <c r="BV170" s="72">
        <v>0.09</v>
      </c>
      <c r="BW170" s="72">
        <v>0.06</v>
      </c>
      <c r="BX170" s="72">
        <v>0.08</v>
      </c>
      <c r="BY170" s="72">
        <v>0.08</v>
      </c>
      <c r="BZ170" s="72">
        <v>0.06</v>
      </c>
      <c r="CA170" s="72">
        <v>0.06</v>
      </c>
      <c r="CB170" s="72">
        <v>0.08</v>
      </c>
      <c r="CC170" s="72">
        <v>0.08</v>
      </c>
      <c r="CD170" s="72">
        <v>0.06</v>
      </c>
      <c r="CE170" s="72">
        <v>0.08</v>
      </c>
      <c r="CF170" s="72">
        <v>0.08</v>
      </c>
      <c r="CG170" s="72">
        <v>0.09</v>
      </c>
      <c r="CH170" s="72">
        <v>0.09</v>
      </c>
      <c r="CI170" s="72">
        <v>0.17</v>
      </c>
      <c r="CJ170" s="72">
        <v>0.17</v>
      </c>
      <c r="CK170" s="72">
        <v>0.15</v>
      </c>
      <c r="CL170" s="72">
        <v>0.15</v>
      </c>
      <c r="CM170" s="72">
        <v>0.08</v>
      </c>
      <c r="CN170" s="72">
        <v>0.08</v>
      </c>
      <c r="CO170" s="72">
        <v>0.09</v>
      </c>
      <c r="CP170" s="72">
        <v>0.09</v>
      </c>
      <c r="CQ170" s="72">
        <v>0.06</v>
      </c>
      <c r="CR170" s="72">
        <v>0.06</v>
      </c>
      <c r="CS170" s="72">
        <v>0.08</v>
      </c>
      <c r="CT170" s="72">
        <v>0.09</v>
      </c>
      <c r="CU170" s="72">
        <v>0.08</v>
      </c>
      <c r="CV170" s="72">
        <v>0.08</v>
      </c>
      <c r="CW170" s="72">
        <v>0.09</v>
      </c>
      <c r="CX170" s="72">
        <v>0.09</v>
      </c>
      <c r="CY170" s="72">
        <v>0.06</v>
      </c>
      <c r="CZ170" s="72">
        <v>0.06</v>
      </c>
      <c r="DA170" s="72">
        <v>0.08</v>
      </c>
      <c r="DB170" s="72">
        <v>0.09</v>
      </c>
      <c r="DC170" s="72">
        <v>7.0000000000000007E-2</v>
      </c>
      <c r="DD170" s="72">
        <v>0.08</v>
      </c>
      <c r="DE170" s="10"/>
      <c r="DF170" s="72">
        <v>0.1</v>
      </c>
      <c r="DG170" s="72">
        <v>7.0000000000000007E-2</v>
      </c>
      <c r="DH170" s="72">
        <v>0.08</v>
      </c>
      <c r="DI170" s="10"/>
      <c r="DJ170" s="72">
        <v>0.1</v>
      </c>
      <c r="DK170" s="72">
        <v>0.13</v>
      </c>
      <c r="DL170" s="72">
        <v>0.08</v>
      </c>
      <c r="DM170" s="72">
        <v>0.08</v>
      </c>
      <c r="DN170" s="72">
        <v>0.08</v>
      </c>
      <c r="DO170" s="448">
        <f t="shared" si="80"/>
        <v>0.16</v>
      </c>
    </row>
    <row r="171" spans="1:119">
      <c r="A171" s="24" t="s">
        <v>121</v>
      </c>
      <c r="B171" s="24" t="s">
        <v>122</v>
      </c>
      <c r="C171" s="72">
        <v>0</v>
      </c>
      <c r="D171" s="72">
        <v>0</v>
      </c>
      <c r="E171" s="10"/>
      <c r="F171" s="72">
        <v>0</v>
      </c>
      <c r="G171" s="72">
        <v>0</v>
      </c>
      <c r="H171" s="10"/>
      <c r="I171" s="72">
        <v>0</v>
      </c>
      <c r="J171" s="10"/>
      <c r="K171" s="72">
        <v>0</v>
      </c>
      <c r="L171" s="72">
        <v>0</v>
      </c>
      <c r="M171" s="72">
        <v>0</v>
      </c>
      <c r="N171" s="72">
        <v>0</v>
      </c>
      <c r="O171" s="72">
        <v>0</v>
      </c>
      <c r="P171" s="72">
        <v>0</v>
      </c>
      <c r="Q171" s="72">
        <v>0</v>
      </c>
      <c r="R171" s="72">
        <v>0</v>
      </c>
      <c r="S171" s="72">
        <v>0</v>
      </c>
      <c r="T171" s="72">
        <v>0</v>
      </c>
      <c r="U171" s="10"/>
      <c r="V171" s="10"/>
      <c r="W171" s="72">
        <v>0</v>
      </c>
      <c r="X171" s="72">
        <v>0</v>
      </c>
      <c r="Y171" s="72">
        <v>0</v>
      </c>
      <c r="Z171" s="72">
        <v>0</v>
      </c>
      <c r="AA171" s="72">
        <v>0</v>
      </c>
      <c r="AB171" s="72">
        <v>0</v>
      </c>
      <c r="AC171" s="72">
        <v>0</v>
      </c>
      <c r="AD171" s="72">
        <v>0</v>
      </c>
      <c r="AE171" s="10"/>
      <c r="AF171" s="10"/>
      <c r="AG171" s="10"/>
      <c r="AH171" s="10"/>
      <c r="AI171" s="10"/>
      <c r="AJ171" s="10"/>
      <c r="AK171" s="10"/>
      <c r="AL171" s="10"/>
      <c r="AM171" s="10"/>
      <c r="AN171" s="10"/>
      <c r="AO171" s="72">
        <v>0</v>
      </c>
      <c r="AP171" s="72">
        <v>0</v>
      </c>
      <c r="AQ171" s="72">
        <v>0</v>
      </c>
      <c r="AR171" s="72">
        <v>0</v>
      </c>
      <c r="AS171" s="72">
        <v>0</v>
      </c>
      <c r="AT171" s="72">
        <v>0</v>
      </c>
      <c r="AU171" s="72">
        <v>0</v>
      </c>
      <c r="AV171" s="72">
        <v>0</v>
      </c>
      <c r="AW171" s="72">
        <v>0</v>
      </c>
      <c r="AX171" s="72">
        <v>0</v>
      </c>
      <c r="AY171" s="72">
        <v>0</v>
      </c>
      <c r="AZ171" s="72">
        <v>0</v>
      </c>
      <c r="BA171" s="72">
        <v>0</v>
      </c>
      <c r="BB171" s="72">
        <v>0</v>
      </c>
      <c r="BC171" s="72">
        <v>0</v>
      </c>
      <c r="BD171" s="72">
        <v>0</v>
      </c>
      <c r="BE171" s="72">
        <v>0</v>
      </c>
      <c r="BF171" s="72">
        <v>0</v>
      </c>
      <c r="BG171" s="72">
        <v>0</v>
      </c>
      <c r="BH171" s="72">
        <v>0</v>
      </c>
      <c r="BI171" s="72">
        <v>0</v>
      </c>
      <c r="BJ171" s="99">
        <v>0</v>
      </c>
      <c r="BK171" s="72">
        <v>0</v>
      </c>
      <c r="BL171" s="72">
        <v>0</v>
      </c>
      <c r="BM171" s="72">
        <v>0</v>
      </c>
      <c r="BN171" s="72">
        <v>0</v>
      </c>
      <c r="BO171" s="72">
        <v>0</v>
      </c>
      <c r="BP171" s="72">
        <v>0</v>
      </c>
      <c r="BQ171" s="72">
        <v>0</v>
      </c>
      <c r="BR171" s="72">
        <v>0</v>
      </c>
      <c r="BS171" s="72">
        <v>0</v>
      </c>
      <c r="BT171" s="72">
        <v>0</v>
      </c>
      <c r="BU171" s="72">
        <v>0</v>
      </c>
      <c r="BV171" s="72">
        <v>0</v>
      </c>
      <c r="BW171" s="72">
        <v>0</v>
      </c>
      <c r="BX171" s="72">
        <v>0</v>
      </c>
      <c r="BY171" s="72">
        <v>0</v>
      </c>
      <c r="BZ171" s="72">
        <v>0</v>
      </c>
      <c r="CA171" s="72">
        <v>0</v>
      </c>
      <c r="CB171" s="72">
        <v>0</v>
      </c>
      <c r="CC171" s="72">
        <v>0</v>
      </c>
      <c r="CD171" s="72">
        <v>0</v>
      </c>
      <c r="CE171" s="72">
        <v>0</v>
      </c>
      <c r="CF171" s="72">
        <v>0</v>
      </c>
      <c r="CG171" s="72">
        <v>0</v>
      </c>
      <c r="CH171" s="72">
        <v>0</v>
      </c>
      <c r="CI171" s="72">
        <v>0</v>
      </c>
      <c r="CJ171" s="72">
        <v>0</v>
      </c>
      <c r="CK171" s="72">
        <v>0</v>
      </c>
      <c r="CL171" s="72">
        <v>0</v>
      </c>
      <c r="CM171" s="72">
        <v>0</v>
      </c>
      <c r="CN171" s="72">
        <v>0</v>
      </c>
      <c r="CO171" s="72">
        <v>0</v>
      </c>
      <c r="CP171" s="72">
        <v>0</v>
      </c>
      <c r="CQ171" s="72">
        <v>0</v>
      </c>
      <c r="CR171" s="72">
        <v>0</v>
      </c>
      <c r="CS171" s="72">
        <v>0</v>
      </c>
      <c r="CT171" s="72">
        <v>0</v>
      </c>
      <c r="CU171" s="72">
        <v>0</v>
      </c>
      <c r="CV171" s="72">
        <v>0</v>
      </c>
      <c r="CW171" s="72">
        <v>0</v>
      </c>
      <c r="CX171" s="72">
        <v>0</v>
      </c>
      <c r="CY171" s="72">
        <v>0</v>
      </c>
      <c r="CZ171" s="72">
        <v>0</v>
      </c>
      <c r="DA171" s="72">
        <v>0</v>
      </c>
      <c r="DB171" s="72">
        <v>0</v>
      </c>
      <c r="DC171" s="72">
        <v>0</v>
      </c>
      <c r="DD171" s="72">
        <v>0</v>
      </c>
      <c r="DE171" s="10"/>
      <c r="DF171" s="72">
        <v>0</v>
      </c>
      <c r="DG171" s="72">
        <v>0</v>
      </c>
      <c r="DH171" s="72">
        <v>0</v>
      </c>
      <c r="DI171" s="10"/>
      <c r="DJ171" s="72">
        <v>0</v>
      </c>
      <c r="DK171" s="72">
        <v>0</v>
      </c>
      <c r="DL171" s="72">
        <v>0</v>
      </c>
      <c r="DM171" s="72">
        <v>0</v>
      </c>
      <c r="DN171" s="72">
        <v>0</v>
      </c>
      <c r="DO171" s="448">
        <f>(CI171+CJ171+CK171+CL171)/4</f>
        <v>0</v>
      </c>
    </row>
    <row r="172" spans="1:119">
      <c r="A172" s="24" t="s">
        <v>125</v>
      </c>
      <c r="B172" s="24" t="s">
        <v>126</v>
      </c>
      <c r="C172" s="72">
        <v>0.15</v>
      </c>
      <c r="D172" s="72">
        <v>0.14000000000000001</v>
      </c>
      <c r="E172" s="10"/>
      <c r="F172" s="72">
        <v>0.13</v>
      </c>
      <c r="G172" s="72">
        <v>0.13</v>
      </c>
      <c r="H172" s="10"/>
      <c r="I172" s="72">
        <v>0.15</v>
      </c>
      <c r="J172" s="10"/>
      <c r="K172" s="72">
        <v>0.14000000000000001</v>
      </c>
      <c r="L172" s="72">
        <v>0.13</v>
      </c>
      <c r="M172" s="72">
        <v>0.14000000000000001</v>
      </c>
      <c r="N172" s="72">
        <v>0.14000000000000001</v>
      </c>
      <c r="O172" s="72">
        <v>0.13</v>
      </c>
      <c r="P172" s="72">
        <v>0.13</v>
      </c>
      <c r="Q172" s="72">
        <v>0.13</v>
      </c>
      <c r="R172" s="72">
        <v>0.13</v>
      </c>
      <c r="S172" s="72">
        <v>0.1</v>
      </c>
      <c r="T172" s="72">
        <v>0.1</v>
      </c>
      <c r="U172" s="10"/>
      <c r="V172" s="10"/>
      <c r="W172" s="72">
        <v>0.11</v>
      </c>
      <c r="X172" s="72">
        <v>0.11</v>
      </c>
      <c r="Y172" s="72">
        <v>0.12</v>
      </c>
      <c r="Z172" s="72">
        <v>0.11</v>
      </c>
      <c r="AA172" s="72">
        <v>0.12</v>
      </c>
      <c r="AB172" s="72">
        <v>0.11</v>
      </c>
      <c r="AC172" s="72">
        <v>0.11</v>
      </c>
      <c r="AD172" s="72">
        <v>0.08</v>
      </c>
      <c r="AE172" s="10"/>
      <c r="AF172" s="10"/>
      <c r="AG172" s="10"/>
      <c r="AH172" s="10"/>
      <c r="AI172" s="10"/>
      <c r="AJ172" s="10"/>
      <c r="AK172" s="10"/>
      <c r="AL172" s="10"/>
      <c r="AM172" s="10"/>
      <c r="AN172" s="10"/>
      <c r="AO172" s="72">
        <v>0.11</v>
      </c>
      <c r="AP172" s="72">
        <v>0.11</v>
      </c>
      <c r="AQ172" s="72">
        <v>0.09</v>
      </c>
      <c r="AR172" s="72">
        <v>0.09</v>
      </c>
      <c r="AS172" s="72">
        <v>0.12</v>
      </c>
      <c r="AT172" s="72">
        <v>0.11</v>
      </c>
      <c r="AU172" s="72">
        <v>0.11</v>
      </c>
      <c r="AV172" s="72">
        <v>0.08</v>
      </c>
      <c r="AW172" s="72">
        <v>0.11</v>
      </c>
      <c r="AX172" s="72">
        <v>0.11</v>
      </c>
      <c r="AY172" s="72">
        <v>0.09</v>
      </c>
      <c r="AZ172" s="72">
        <v>0.09</v>
      </c>
      <c r="BA172" s="72">
        <v>0.12</v>
      </c>
      <c r="BB172" s="72">
        <v>0.11</v>
      </c>
      <c r="BC172" s="72">
        <v>0.13</v>
      </c>
      <c r="BD172" s="72">
        <v>0.14000000000000001</v>
      </c>
      <c r="BE172" s="72">
        <v>0.13</v>
      </c>
      <c r="BF172" s="72">
        <v>0.13</v>
      </c>
      <c r="BG172" s="72">
        <v>0.1</v>
      </c>
      <c r="BH172" s="72">
        <v>0.11</v>
      </c>
      <c r="BI172" s="72">
        <v>0.12</v>
      </c>
      <c r="BJ172" s="99">
        <v>0.11</v>
      </c>
      <c r="BK172" s="72">
        <v>0.13</v>
      </c>
      <c r="BL172" s="72">
        <v>0.14000000000000001</v>
      </c>
      <c r="BM172" s="72">
        <v>0.13</v>
      </c>
      <c r="BN172" s="72">
        <v>0.13</v>
      </c>
      <c r="BO172" s="72">
        <v>0.1</v>
      </c>
      <c r="BP172" s="72">
        <v>0.11</v>
      </c>
      <c r="BQ172" s="72">
        <v>0.11</v>
      </c>
      <c r="BR172" s="72">
        <v>0.12</v>
      </c>
      <c r="BS172" s="72">
        <v>0.11</v>
      </c>
      <c r="BT172" s="72">
        <v>0.12</v>
      </c>
      <c r="BU172" s="72">
        <v>0.12</v>
      </c>
      <c r="BV172" s="72">
        <v>0.11</v>
      </c>
      <c r="BW172" s="72">
        <v>0.09</v>
      </c>
      <c r="BX172" s="72">
        <v>0.11</v>
      </c>
      <c r="BY172" s="72">
        <v>0.11</v>
      </c>
      <c r="BZ172" s="72">
        <v>0.09</v>
      </c>
      <c r="CA172" s="72">
        <v>0.08</v>
      </c>
      <c r="CB172" s="72">
        <v>0.11</v>
      </c>
      <c r="CC172" s="72">
        <v>0.11</v>
      </c>
      <c r="CD172" s="72">
        <v>0.08</v>
      </c>
      <c r="CE172" s="72">
        <v>0.09</v>
      </c>
      <c r="CF172" s="72">
        <v>0.09</v>
      </c>
      <c r="CG172" s="72">
        <v>0.11</v>
      </c>
      <c r="CH172" s="72">
        <v>0.11</v>
      </c>
      <c r="CI172" s="72">
        <v>0.15</v>
      </c>
      <c r="CJ172" s="72">
        <v>0.15</v>
      </c>
      <c r="CK172" s="72">
        <v>0.14000000000000001</v>
      </c>
      <c r="CL172" s="72">
        <v>0.14000000000000001</v>
      </c>
      <c r="CM172" s="72">
        <v>0.11</v>
      </c>
      <c r="CN172" s="72">
        <v>0.11</v>
      </c>
      <c r="CO172" s="72">
        <v>0.11</v>
      </c>
      <c r="CP172" s="72">
        <v>0.12</v>
      </c>
      <c r="CQ172" s="72">
        <v>0.08</v>
      </c>
      <c r="CR172" s="72">
        <v>0.09</v>
      </c>
      <c r="CS172" s="72">
        <v>0.09</v>
      </c>
      <c r="CT172" s="72">
        <v>0.11</v>
      </c>
      <c r="CU172" s="72">
        <v>0.11</v>
      </c>
      <c r="CV172" s="72">
        <v>0.11</v>
      </c>
      <c r="CW172" s="72">
        <v>0.11</v>
      </c>
      <c r="CX172" s="72">
        <v>0.12</v>
      </c>
      <c r="CY172" s="72">
        <v>0.08</v>
      </c>
      <c r="CZ172" s="72">
        <v>0.09</v>
      </c>
      <c r="DA172" s="72">
        <v>0.09</v>
      </c>
      <c r="DB172" s="72">
        <v>0.11</v>
      </c>
      <c r="DC172" s="72">
        <v>0.1</v>
      </c>
      <c r="DD172" s="72">
        <v>0.11</v>
      </c>
      <c r="DE172" s="10"/>
      <c r="DF172" s="72">
        <v>0.12</v>
      </c>
      <c r="DG172" s="72">
        <v>0.1</v>
      </c>
      <c r="DH172" s="72">
        <v>0.11</v>
      </c>
      <c r="DI172" s="10"/>
      <c r="DJ172" s="72">
        <v>0.12</v>
      </c>
      <c r="DK172" s="72">
        <v>0.11</v>
      </c>
      <c r="DL172" s="72">
        <v>0.11</v>
      </c>
      <c r="DM172" s="72">
        <v>0.1</v>
      </c>
      <c r="DN172" s="72">
        <v>0.1</v>
      </c>
      <c r="DO172" s="448">
        <f>(CI172+CJ172+CK172+CL172)/4</f>
        <v>0.14500000000000002</v>
      </c>
    </row>
    <row r="173" spans="1:119">
      <c r="A173" s="24" t="s">
        <v>127</v>
      </c>
      <c r="B173" s="24" t="s">
        <v>128</v>
      </c>
      <c r="C173" s="72">
        <v>0.02</v>
      </c>
      <c r="D173" s="72">
        <v>0.02</v>
      </c>
      <c r="E173" s="10"/>
      <c r="F173" s="72">
        <v>0</v>
      </c>
      <c r="G173" s="72">
        <v>0</v>
      </c>
      <c r="H173" s="10"/>
      <c r="I173" s="72">
        <v>0.02</v>
      </c>
      <c r="J173" s="10"/>
      <c r="K173" s="72">
        <v>0.02</v>
      </c>
      <c r="L173" s="72">
        <v>0</v>
      </c>
      <c r="M173" s="72">
        <v>0</v>
      </c>
      <c r="N173" s="72">
        <v>0</v>
      </c>
      <c r="O173" s="72">
        <v>0</v>
      </c>
      <c r="P173" s="72">
        <v>0</v>
      </c>
      <c r="Q173" s="72">
        <v>0</v>
      </c>
      <c r="R173" s="72">
        <v>0</v>
      </c>
      <c r="S173" s="72">
        <v>0</v>
      </c>
      <c r="T173" s="72">
        <v>0</v>
      </c>
      <c r="U173" s="10"/>
      <c r="V173" s="10"/>
      <c r="W173" s="72">
        <v>0</v>
      </c>
      <c r="X173" s="72">
        <v>0</v>
      </c>
      <c r="Y173" s="72">
        <v>0</v>
      </c>
      <c r="Z173" s="72">
        <v>0</v>
      </c>
      <c r="AA173" s="72">
        <v>0</v>
      </c>
      <c r="AB173" s="72">
        <v>0</v>
      </c>
      <c r="AC173" s="72">
        <v>0</v>
      </c>
      <c r="AD173" s="72">
        <v>0</v>
      </c>
      <c r="AE173" s="10"/>
      <c r="AF173" s="10"/>
      <c r="AG173" s="10"/>
      <c r="AH173" s="10"/>
      <c r="AI173" s="10"/>
      <c r="AJ173" s="10"/>
      <c r="AK173" s="10"/>
      <c r="AL173" s="10"/>
      <c r="AM173" s="10"/>
      <c r="AN173" s="10"/>
      <c r="AO173" s="72">
        <v>0</v>
      </c>
      <c r="AP173" s="72">
        <v>0</v>
      </c>
      <c r="AQ173" s="72">
        <v>0</v>
      </c>
      <c r="AR173" s="72">
        <v>0</v>
      </c>
      <c r="AS173" s="72">
        <v>0</v>
      </c>
      <c r="AT173" s="72">
        <v>0</v>
      </c>
      <c r="AU173" s="72">
        <v>0</v>
      </c>
      <c r="AV173" s="72">
        <v>0</v>
      </c>
      <c r="AW173" s="72">
        <v>0</v>
      </c>
      <c r="AX173" s="72">
        <v>0</v>
      </c>
      <c r="AY173" s="72">
        <v>0</v>
      </c>
      <c r="AZ173" s="72">
        <v>0</v>
      </c>
      <c r="BA173" s="72">
        <v>0</v>
      </c>
      <c r="BB173" s="72">
        <v>0</v>
      </c>
      <c r="BC173" s="72">
        <v>0</v>
      </c>
      <c r="BD173" s="72">
        <v>0</v>
      </c>
      <c r="BE173" s="72">
        <v>0</v>
      </c>
      <c r="BF173" s="72">
        <v>0</v>
      </c>
      <c r="BG173" s="72">
        <v>0</v>
      </c>
      <c r="BH173" s="72">
        <v>0</v>
      </c>
      <c r="BI173" s="72">
        <v>0</v>
      </c>
      <c r="BJ173" s="99">
        <v>0</v>
      </c>
      <c r="BK173" s="72">
        <v>0</v>
      </c>
      <c r="BL173" s="72">
        <v>0</v>
      </c>
      <c r="BM173" s="72">
        <v>0</v>
      </c>
      <c r="BN173" s="72">
        <v>0</v>
      </c>
      <c r="BO173" s="72">
        <v>0</v>
      </c>
      <c r="BP173" s="72">
        <v>0</v>
      </c>
      <c r="BQ173" s="72">
        <v>0</v>
      </c>
      <c r="BR173" s="72">
        <v>0</v>
      </c>
      <c r="BS173" s="72">
        <v>0</v>
      </c>
      <c r="BT173" s="72">
        <v>0</v>
      </c>
      <c r="BU173" s="72">
        <v>0</v>
      </c>
      <c r="BV173" s="72">
        <v>0</v>
      </c>
      <c r="BW173" s="72">
        <v>0</v>
      </c>
      <c r="BX173" s="72">
        <v>0</v>
      </c>
      <c r="BY173" s="72">
        <v>0</v>
      </c>
      <c r="BZ173" s="72">
        <v>0</v>
      </c>
      <c r="CA173" s="72">
        <v>0</v>
      </c>
      <c r="CB173" s="72">
        <v>0</v>
      </c>
      <c r="CC173" s="72">
        <v>0</v>
      </c>
      <c r="CD173" s="72">
        <v>0</v>
      </c>
      <c r="CE173" s="72">
        <v>0</v>
      </c>
      <c r="CF173" s="72">
        <v>0</v>
      </c>
      <c r="CG173" s="72">
        <v>0</v>
      </c>
      <c r="CH173" s="72">
        <v>0</v>
      </c>
      <c r="CI173" s="72">
        <v>0.02</v>
      </c>
      <c r="CJ173" s="72">
        <v>0.02</v>
      </c>
      <c r="CK173" s="72">
        <v>0.02</v>
      </c>
      <c r="CL173" s="72">
        <v>0.02</v>
      </c>
      <c r="CM173" s="72">
        <v>0</v>
      </c>
      <c r="CN173" s="72">
        <v>0</v>
      </c>
      <c r="CO173" s="72">
        <v>0</v>
      </c>
      <c r="CP173" s="72">
        <v>0</v>
      </c>
      <c r="CQ173" s="72">
        <v>0</v>
      </c>
      <c r="CR173" s="72">
        <v>0</v>
      </c>
      <c r="CS173" s="72">
        <v>0</v>
      </c>
      <c r="CT173" s="72">
        <v>0</v>
      </c>
      <c r="CU173" s="72">
        <v>0</v>
      </c>
      <c r="CV173" s="72">
        <v>0</v>
      </c>
      <c r="CW173" s="72">
        <v>0</v>
      </c>
      <c r="CX173" s="72">
        <v>0</v>
      </c>
      <c r="CY173" s="72">
        <v>0</v>
      </c>
      <c r="CZ173" s="72">
        <v>0</v>
      </c>
      <c r="DA173" s="72">
        <v>0</v>
      </c>
      <c r="DB173" s="72">
        <v>0</v>
      </c>
      <c r="DC173" s="72">
        <v>0</v>
      </c>
      <c r="DD173" s="72">
        <v>0</v>
      </c>
      <c r="DE173" s="10"/>
      <c r="DF173" s="72">
        <v>0</v>
      </c>
      <c r="DG173" s="72">
        <v>0</v>
      </c>
      <c r="DH173" s="72">
        <v>0</v>
      </c>
      <c r="DI173" s="10"/>
      <c r="DJ173" s="72">
        <v>0</v>
      </c>
      <c r="DK173" s="72">
        <v>0.02</v>
      </c>
      <c r="DL173" s="72">
        <v>0</v>
      </c>
      <c r="DM173" s="72">
        <v>0</v>
      </c>
      <c r="DN173" s="72">
        <v>0</v>
      </c>
      <c r="DO173" s="448">
        <f t="shared" si="80"/>
        <v>0.02</v>
      </c>
    </row>
    <row r="174" spans="1:119">
      <c r="A174" s="24" t="s">
        <v>137</v>
      </c>
      <c r="B174" s="24" t="s">
        <v>138</v>
      </c>
      <c r="C174" s="72">
        <v>0.03</v>
      </c>
      <c r="D174" s="72">
        <v>0</v>
      </c>
      <c r="E174" s="10"/>
      <c r="F174" s="72">
        <v>0</v>
      </c>
      <c r="G174" s="72">
        <v>0</v>
      </c>
      <c r="H174" s="10"/>
      <c r="I174" s="72">
        <v>0.03</v>
      </c>
      <c r="J174" s="10"/>
      <c r="K174" s="72">
        <v>0</v>
      </c>
      <c r="L174" s="72">
        <v>0</v>
      </c>
      <c r="M174" s="72">
        <v>0</v>
      </c>
      <c r="N174" s="72">
        <v>0</v>
      </c>
      <c r="O174" s="72">
        <v>0</v>
      </c>
      <c r="P174" s="72">
        <v>0</v>
      </c>
      <c r="Q174" s="72">
        <v>0</v>
      </c>
      <c r="R174" s="72">
        <v>0</v>
      </c>
      <c r="S174" s="72">
        <v>0</v>
      </c>
      <c r="T174" s="72">
        <v>0</v>
      </c>
      <c r="U174" s="10"/>
      <c r="V174" s="10"/>
      <c r="W174" s="72">
        <v>0</v>
      </c>
      <c r="X174" s="72">
        <v>0</v>
      </c>
      <c r="Y174" s="72">
        <v>0</v>
      </c>
      <c r="Z174" s="72">
        <v>0</v>
      </c>
      <c r="AA174" s="72">
        <v>0</v>
      </c>
      <c r="AB174" s="72">
        <v>0</v>
      </c>
      <c r="AC174" s="72">
        <v>0</v>
      </c>
      <c r="AD174" s="72">
        <v>0</v>
      </c>
      <c r="AE174" s="10"/>
      <c r="AF174" s="10"/>
      <c r="AG174" s="10"/>
      <c r="AH174" s="10"/>
      <c r="AI174" s="10"/>
      <c r="AJ174" s="10"/>
      <c r="AK174" s="10"/>
      <c r="AL174" s="10"/>
      <c r="AM174" s="10"/>
      <c r="AN174" s="10"/>
      <c r="AO174" s="72">
        <v>0</v>
      </c>
      <c r="AP174" s="72">
        <v>0</v>
      </c>
      <c r="AQ174" s="72">
        <v>0</v>
      </c>
      <c r="AR174" s="72">
        <v>0</v>
      </c>
      <c r="AS174" s="72">
        <v>0</v>
      </c>
      <c r="AT174" s="72">
        <v>0</v>
      </c>
      <c r="AU174" s="72">
        <v>0</v>
      </c>
      <c r="AV174" s="72">
        <v>0</v>
      </c>
      <c r="AW174" s="72">
        <v>0</v>
      </c>
      <c r="AX174" s="72">
        <v>0</v>
      </c>
      <c r="AY174" s="72">
        <v>0</v>
      </c>
      <c r="AZ174" s="72">
        <v>0</v>
      </c>
      <c r="BA174" s="72">
        <v>0</v>
      </c>
      <c r="BB174" s="72">
        <v>0</v>
      </c>
      <c r="BC174" s="72">
        <v>0</v>
      </c>
      <c r="BD174" s="72">
        <v>0</v>
      </c>
      <c r="BE174" s="72">
        <v>0</v>
      </c>
      <c r="BF174" s="72">
        <v>0</v>
      </c>
      <c r="BG174" s="72">
        <v>0</v>
      </c>
      <c r="BH174" s="72">
        <v>0</v>
      </c>
      <c r="BI174" s="72">
        <v>0</v>
      </c>
      <c r="BJ174" s="99">
        <v>0</v>
      </c>
      <c r="BK174" s="72">
        <v>0</v>
      </c>
      <c r="BL174" s="72">
        <v>0</v>
      </c>
      <c r="BM174" s="72">
        <v>0</v>
      </c>
      <c r="BN174" s="72">
        <v>0</v>
      </c>
      <c r="BO174" s="72">
        <v>0</v>
      </c>
      <c r="BP174" s="72">
        <v>0</v>
      </c>
      <c r="BQ174" s="72">
        <v>0</v>
      </c>
      <c r="BR174" s="72">
        <v>0</v>
      </c>
      <c r="BS174" s="72">
        <v>0</v>
      </c>
      <c r="BT174" s="72">
        <v>0</v>
      </c>
      <c r="BU174" s="72">
        <v>0</v>
      </c>
      <c r="BV174" s="72">
        <v>0</v>
      </c>
      <c r="BW174" s="72">
        <v>0</v>
      </c>
      <c r="BX174" s="72">
        <v>0</v>
      </c>
      <c r="BY174" s="72">
        <v>0</v>
      </c>
      <c r="BZ174" s="72">
        <v>0</v>
      </c>
      <c r="CA174" s="72">
        <v>0</v>
      </c>
      <c r="CB174" s="72">
        <v>0</v>
      </c>
      <c r="CC174" s="72">
        <v>0</v>
      </c>
      <c r="CD174" s="72">
        <v>0</v>
      </c>
      <c r="CE174" s="72">
        <v>0</v>
      </c>
      <c r="CF174" s="72">
        <v>0</v>
      </c>
      <c r="CG174" s="72">
        <v>0</v>
      </c>
      <c r="CH174" s="72">
        <v>0</v>
      </c>
      <c r="CI174" s="72">
        <v>0.03</v>
      </c>
      <c r="CJ174" s="72">
        <v>0.03</v>
      </c>
      <c r="CK174" s="72">
        <v>0</v>
      </c>
      <c r="CL174" s="72">
        <v>0</v>
      </c>
      <c r="CM174" s="72">
        <v>0</v>
      </c>
      <c r="CN174" s="72">
        <v>0</v>
      </c>
      <c r="CO174" s="72">
        <v>0</v>
      </c>
      <c r="CP174" s="72">
        <v>0</v>
      </c>
      <c r="CQ174" s="72">
        <v>0</v>
      </c>
      <c r="CR174" s="72">
        <v>0</v>
      </c>
      <c r="CS174" s="72">
        <v>0</v>
      </c>
      <c r="CT174" s="72">
        <v>0</v>
      </c>
      <c r="CU174" s="72">
        <v>0</v>
      </c>
      <c r="CV174" s="72">
        <v>0</v>
      </c>
      <c r="CW174" s="72">
        <v>0</v>
      </c>
      <c r="CX174" s="72">
        <v>0</v>
      </c>
      <c r="CY174" s="72">
        <v>0</v>
      </c>
      <c r="CZ174" s="72">
        <v>0</v>
      </c>
      <c r="DA174" s="72">
        <v>0</v>
      </c>
      <c r="DB174" s="72">
        <v>0</v>
      </c>
      <c r="DC174" s="72">
        <v>0</v>
      </c>
      <c r="DD174" s="72">
        <v>0</v>
      </c>
      <c r="DE174" s="10"/>
      <c r="DF174" s="72">
        <v>0</v>
      </c>
      <c r="DG174" s="72">
        <v>0</v>
      </c>
      <c r="DH174" s="72">
        <v>0</v>
      </c>
      <c r="DI174" s="10"/>
      <c r="DJ174" s="72">
        <v>0</v>
      </c>
      <c r="DK174" s="72">
        <v>0</v>
      </c>
      <c r="DL174" s="72">
        <v>0</v>
      </c>
      <c r="DM174" s="72">
        <v>0</v>
      </c>
      <c r="DN174" s="72">
        <v>0</v>
      </c>
      <c r="DO174" s="448">
        <f t="shared" si="80"/>
        <v>1.4999999999999999E-2</v>
      </c>
    </row>
    <row r="175" spans="1:119">
      <c r="A175" s="24" t="s">
        <v>222</v>
      </c>
      <c r="B175" s="24" t="s">
        <v>223</v>
      </c>
      <c r="C175" s="72">
        <v>0.13</v>
      </c>
      <c r="D175" s="72">
        <v>0.11</v>
      </c>
      <c r="E175" s="10"/>
      <c r="F175" s="72">
        <v>0.15</v>
      </c>
      <c r="G175" s="72">
        <v>0.15</v>
      </c>
      <c r="H175" s="10"/>
      <c r="I175" s="72">
        <v>0.13</v>
      </c>
      <c r="J175" s="10"/>
      <c r="K175" s="72">
        <v>0.11</v>
      </c>
      <c r="L175" s="72">
        <v>0.15</v>
      </c>
      <c r="M175" s="72">
        <v>0.15</v>
      </c>
      <c r="N175" s="72">
        <v>0.15</v>
      </c>
      <c r="O175" s="72">
        <v>0.15</v>
      </c>
      <c r="P175" s="72">
        <v>0.15</v>
      </c>
      <c r="Q175" s="72">
        <v>0.15</v>
      </c>
      <c r="R175" s="72">
        <v>0.15</v>
      </c>
      <c r="S175" s="72">
        <v>0.1</v>
      </c>
      <c r="T175" s="72">
        <v>0.1</v>
      </c>
      <c r="U175" s="10"/>
      <c r="V175" s="10"/>
      <c r="W175" s="72">
        <v>0.11</v>
      </c>
      <c r="X175" s="72">
        <v>0.12</v>
      </c>
      <c r="Y175" s="72">
        <v>0.13</v>
      </c>
      <c r="Z175" s="72">
        <v>0.11</v>
      </c>
      <c r="AA175" s="72">
        <v>0.13</v>
      </c>
      <c r="AB175" s="72">
        <v>0.12</v>
      </c>
      <c r="AC175" s="72">
        <v>0.12</v>
      </c>
      <c r="AD175" s="72">
        <v>7.0000000000000007E-2</v>
      </c>
      <c r="AE175" s="10"/>
      <c r="AF175" s="10"/>
      <c r="AG175" s="10"/>
      <c r="AH175" s="10"/>
      <c r="AI175" s="10"/>
      <c r="AJ175" s="10"/>
      <c r="AK175" s="10"/>
      <c r="AL175" s="10"/>
      <c r="AM175" s="10"/>
      <c r="AN175" s="10"/>
      <c r="AO175" s="72">
        <v>0.11</v>
      </c>
      <c r="AP175" s="72">
        <v>0.12</v>
      </c>
      <c r="AQ175" s="72">
        <v>0.1</v>
      </c>
      <c r="AR175" s="72">
        <v>0.09</v>
      </c>
      <c r="AS175" s="72">
        <v>0.13</v>
      </c>
      <c r="AT175" s="72">
        <v>0.12</v>
      </c>
      <c r="AU175" s="72">
        <v>0.12</v>
      </c>
      <c r="AV175" s="72">
        <v>7.0000000000000007E-2</v>
      </c>
      <c r="AW175" s="72">
        <v>0.11</v>
      </c>
      <c r="AX175" s="72">
        <v>0.12</v>
      </c>
      <c r="AY175" s="72">
        <v>0.1</v>
      </c>
      <c r="AZ175" s="72">
        <v>0.09</v>
      </c>
      <c r="BA175" s="72">
        <v>0.13</v>
      </c>
      <c r="BB175" s="72">
        <v>0.12</v>
      </c>
      <c r="BC175" s="72">
        <v>0.15</v>
      </c>
      <c r="BD175" s="72">
        <v>0.15</v>
      </c>
      <c r="BE175" s="72">
        <v>0.15</v>
      </c>
      <c r="BF175" s="72">
        <v>0.15</v>
      </c>
      <c r="BG175" s="72">
        <v>0.1</v>
      </c>
      <c r="BH175" s="72">
        <v>0.11</v>
      </c>
      <c r="BI175" s="72">
        <v>0.13</v>
      </c>
      <c r="BJ175" s="99">
        <v>0.12</v>
      </c>
      <c r="BK175" s="72">
        <v>0.15</v>
      </c>
      <c r="BL175" s="72">
        <v>0.15</v>
      </c>
      <c r="BM175" s="72">
        <v>0.15</v>
      </c>
      <c r="BN175" s="72">
        <v>0.15</v>
      </c>
      <c r="BO175" s="72">
        <v>0.1</v>
      </c>
      <c r="BP175" s="72">
        <v>0.11</v>
      </c>
      <c r="BQ175" s="72">
        <v>0.12</v>
      </c>
      <c r="BR175" s="72">
        <v>0.13</v>
      </c>
      <c r="BS175" s="72">
        <v>0.12</v>
      </c>
      <c r="BT175" s="72">
        <v>0.13</v>
      </c>
      <c r="BU175" s="72">
        <v>0.13</v>
      </c>
      <c r="BV175" s="72">
        <v>0.12</v>
      </c>
      <c r="BW175" s="72">
        <v>0.09</v>
      </c>
      <c r="BX175" s="72">
        <v>0.12</v>
      </c>
      <c r="BY175" s="72">
        <v>0.12</v>
      </c>
      <c r="BZ175" s="72">
        <v>0.09</v>
      </c>
      <c r="CA175" s="72">
        <v>7.0000000000000007E-2</v>
      </c>
      <c r="CB175" s="72">
        <v>0.11</v>
      </c>
      <c r="CC175" s="72">
        <v>0.12</v>
      </c>
      <c r="CD175" s="72">
        <v>7.0000000000000007E-2</v>
      </c>
      <c r="CE175" s="72">
        <v>0.1</v>
      </c>
      <c r="CF175" s="72">
        <v>0.1</v>
      </c>
      <c r="CG175" s="72">
        <v>0.12</v>
      </c>
      <c r="CH175" s="72">
        <v>0.12</v>
      </c>
      <c r="CI175" s="72">
        <v>0.13</v>
      </c>
      <c r="CJ175" s="72">
        <v>0.13</v>
      </c>
      <c r="CK175" s="72">
        <v>0.11</v>
      </c>
      <c r="CL175" s="72">
        <v>0.11</v>
      </c>
      <c r="CM175" s="72">
        <v>0.11</v>
      </c>
      <c r="CN175" s="72">
        <v>0.12</v>
      </c>
      <c r="CO175" s="72">
        <v>0.12</v>
      </c>
      <c r="CP175" s="72">
        <v>0.13</v>
      </c>
      <c r="CQ175" s="72">
        <v>7.0000000000000007E-2</v>
      </c>
      <c r="CR175" s="72">
        <v>0.09</v>
      </c>
      <c r="CS175" s="72">
        <v>0.1</v>
      </c>
      <c r="CT175" s="72">
        <v>0.12</v>
      </c>
      <c r="CU175" s="72">
        <v>0.11</v>
      </c>
      <c r="CV175" s="72">
        <v>0.12</v>
      </c>
      <c r="CW175" s="72">
        <v>0.12</v>
      </c>
      <c r="CX175" s="72">
        <v>0.13</v>
      </c>
      <c r="CY175" s="72">
        <v>7.0000000000000007E-2</v>
      </c>
      <c r="CZ175" s="72">
        <v>0.09</v>
      </c>
      <c r="DA175" s="72">
        <v>0.1</v>
      </c>
      <c r="DB175" s="72">
        <v>0.12</v>
      </c>
      <c r="DC175" s="72">
        <v>0.1</v>
      </c>
      <c r="DD175" s="72">
        <v>0.11</v>
      </c>
      <c r="DE175" s="10"/>
      <c r="DF175" s="72">
        <v>0.13</v>
      </c>
      <c r="DG175" s="72">
        <v>0.1</v>
      </c>
      <c r="DH175" s="72">
        <v>0.11</v>
      </c>
      <c r="DI175" s="10"/>
      <c r="DJ175" s="72">
        <v>0.13</v>
      </c>
      <c r="DK175" s="72">
        <v>7.0000000000000007E-2</v>
      </c>
      <c r="DL175" s="72">
        <v>0.11</v>
      </c>
      <c r="DM175" s="72">
        <v>9.7777777777777769E-2</v>
      </c>
      <c r="DN175" s="72">
        <v>0.10476190476190475</v>
      </c>
      <c r="DO175" s="448">
        <f t="shared" si="80"/>
        <v>0.12</v>
      </c>
    </row>
    <row r="176" spans="1:119">
      <c r="A176" s="24" t="s">
        <v>224</v>
      </c>
      <c r="B176" s="24" t="s">
        <v>225</v>
      </c>
      <c r="C176" s="72">
        <v>0.04</v>
      </c>
      <c r="D176" s="72">
        <v>0.05</v>
      </c>
      <c r="E176" s="10"/>
      <c r="F176" s="72">
        <v>0.06</v>
      </c>
      <c r="G176" s="72">
        <v>0.06</v>
      </c>
      <c r="H176" s="10"/>
      <c r="I176" s="72">
        <v>0.04</v>
      </c>
      <c r="J176" s="10"/>
      <c r="K176" s="72">
        <v>0.05</v>
      </c>
      <c r="L176" s="72">
        <v>0.06</v>
      </c>
      <c r="M176" s="72">
        <v>0.06</v>
      </c>
      <c r="N176" s="72">
        <v>0.06</v>
      </c>
      <c r="O176" s="72">
        <v>0.06</v>
      </c>
      <c r="P176" s="72">
        <v>0.06</v>
      </c>
      <c r="Q176" s="72">
        <v>0.06</v>
      </c>
      <c r="R176" s="72">
        <v>0.06</v>
      </c>
      <c r="S176" s="72">
        <v>0.06</v>
      </c>
      <c r="T176" s="72">
        <v>0.06</v>
      </c>
      <c r="U176" s="10"/>
      <c r="V176" s="10"/>
      <c r="W176" s="72">
        <v>0.06</v>
      </c>
      <c r="X176" s="72">
        <v>0.06</v>
      </c>
      <c r="Y176" s="72">
        <v>0.06</v>
      </c>
      <c r="Z176" s="72">
        <v>0.06</v>
      </c>
      <c r="AA176" s="72">
        <v>0.06</v>
      </c>
      <c r="AB176" s="72">
        <v>0.06</v>
      </c>
      <c r="AC176" s="72">
        <v>0.05</v>
      </c>
      <c r="AD176" s="72">
        <v>0.05</v>
      </c>
      <c r="AE176" s="10"/>
      <c r="AF176" s="10"/>
      <c r="AG176" s="10"/>
      <c r="AH176" s="10"/>
      <c r="AI176" s="10"/>
      <c r="AJ176" s="10"/>
      <c r="AK176" s="10"/>
      <c r="AL176" s="10"/>
      <c r="AM176" s="10"/>
      <c r="AN176" s="10"/>
      <c r="AO176" s="72">
        <v>0.05</v>
      </c>
      <c r="AP176" s="72">
        <v>0.06</v>
      </c>
      <c r="AQ176" s="72">
        <v>0.05</v>
      </c>
      <c r="AR176" s="72">
        <v>0.05</v>
      </c>
      <c r="AS176" s="72">
        <v>0.06</v>
      </c>
      <c r="AT176" s="72">
        <v>0.05</v>
      </c>
      <c r="AU176" s="72">
        <v>0.05</v>
      </c>
      <c r="AV176" s="72">
        <v>0.05</v>
      </c>
      <c r="AW176" s="72">
        <v>0.05</v>
      </c>
      <c r="AX176" s="72">
        <v>0.06</v>
      </c>
      <c r="AY176" s="72">
        <v>0.05</v>
      </c>
      <c r="AZ176" s="72">
        <v>0.05</v>
      </c>
      <c r="BA176" s="72">
        <v>0.06</v>
      </c>
      <c r="BB176" s="72">
        <v>0.05</v>
      </c>
      <c r="BC176" s="72">
        <v>0.06</v>
      </c>
      <c r="BD176" s="72">
        <v>0.06</v>
      </c>
      <c r="BE176" s="72">
        <v>0.06</v>
      </c>
      <c r="BF176" s="72">
        <v>0.06</v>
      </c>
      <c r="BG176" s="72">
        <v>0.06</v>
      </c>
      <c r="BH176" s="72">
        <v>0.06</v>
      </c>
      <c r="BI176" s="72">
        <v>0.06</v>
      </c>
      <c r="BJ176" s="99">
        <v>0.06</v>
      </c>
      <c r="BK176" s="72">
        <v>0.06</v>
      </c>
      <c r="BL176" s="72">
        <v>0.06</v>
      </c>
      <c r="BM176" s="72">
        <v>0.06</v>
      </c>
      <c r="BN176" s="72">
        <v>0.06</v>
      </c>
      <c r="BO176" s="72">
        <v>0.06</v>
      </c>
      <c r="BP176" s="72">
        <v>0.06</v>
      </c>
      <c r="BQ176" s="72">
        <v>0.06</v>
      </c>
      <c r="BR176" s="72">
        <v>0.06</v>
      </c>
      <c r="BS176" s="72">
        <v>0.06</v>
      </c>
      <c r="BT176" s="72">
        <v>0.06</v>
      </c>
      <c r="BU176" s="72">
        <v>0.06</v>
      </c>
      <c r="BV176" s="72">
        <v>0.06</v>
      </c>
      <c r="BW176" s="72">
        <v>0.05</v>
      </c>
      <c r="BX176" s="72">
        <v>0.05</v>
      </c>
      <c r="BY176" s="72">
        <v>0.05</v>
      </c>
      <c r="BZ176" s="72">
        <v>0.05</v>
      </c>
      <c r="CA176" s="72">
        <v>0.05</v>
      </c>
      <c r="CB176" s="72">
        <v>0.05</v>
      </c>
      <c r="CC176" s="72">
        <v>0.05</v>
      </c>
      <c r="CD176" s="72">
        <v>0.05</v>
      </c>
      <c r="CE176" s="72">
        <v>0.05</v>
      </c>
      <c r="CF176" s="72">
        <v>0.05</v>
      </c>
      <c r="CG176" s="72">
        <v>0.05</v>
      </c>
      <c r="CH176" s="72">
        <v>0.05</v>
      </c>
      <c r="CI176" s="72">
        <v>0</v>
      </c>
      <c r="CJ176" s="72">
        <v>0</v>
      </c>
      <c r="CK176" s="72">
        <v>0</v>
      </c>
      <c r="CL176" s="72">
        <v>0</v>
      </c>
      <c r="CM176" s="72">
        <v>0.05</v>
      </c>
      <c r="CN176" s="72">
        <v>0.05</v>
      </c>
      <c r="CO176" s="72">
        <v>0.05</v>
      </c>
      <c r="CP176" s="72">
        <v>0.06</v>
      </c>
      <c r="CQ176" s="72">
        <v>0.05</v>
      </c>
      <c r="CR176" s="72">
        <v>0.05</v>
      </c>
      <c r="CS176" s="72">
        <v>0.05</v>
      </c>
      <c r="CT176" s="72">
        <v>0.06</v>
      </c>
      <c r="CU176" s="72">
        <v>0.05</v>
      </c>
      <c r="CV176" s="72">
        <v>0.05</v>
      </c>
      <c r="CW176" s="72">
        <v>0.05</v>
      </c>
      <c r="CX176" s="72">
        <v>0.06</v>
      </c>
      <c r="CY176" s="72">
        <v>0.05</v>
      </c>
      <c r="CZ176" s="72">
        <v>0.05</v>
      </c>
      <c r="DA176" s="72">
        <v>0.05</v>
      </c>
      <c r="DB176" s="72">
        <v>0.06</v>
      </c>
      <c r="DC176" s="72">
        <v>0.06</v>
      </c>
      <c r="DD176" s="72">
        <v>0.06</v>
      </c>
      <c r="DE176" s="10"/>
      <c r="DF176" s="72">
        <v>0.06</v>
      </c>
      <c r="DG176" s="72">
        <v>0.06</v>
      </c>
      <c r="DH176" s="72">
        <v>0.06</v>
      </c>
      <c r="DI176" s="10"/>
      <c r="DJ176" s="72">
        <v>0.06</v>
      </c>
      <c r="DK176" s="72">
        <v>0.04</v>
      </c>
      <c r="DL176" s="72">
        <v>0.05</v>
      </c>
      <c r="DM176" s="72">
        <v>4.4444444444444446E-2</v>
      </c>
      <c r="DN176" s="72">
        <v>4.7619047619047616E-2</v>
      </c>
      <c r="DO176" s="448">
        <f t="shared" si="80"/>
        <v>0</v>
      </c>
    </row>
    <row r="177" spans="1:119">
      <c r="A177" s="24" t="s">
        <v>141</v>
      </c>
      <c r="B177" s="24" t="s">
        <v>142</v>
      </c>
      <c r="C177" s="72">
        <v>0.08</v>
      </c>
      <c r="D177" s="72">
        <v>0.06</v>
      </c>
      <c r="E177" s="10"/>
      <c r="F177" s="72">
        <v>7.0000000000000007E-2</v>
      </c>
      <c r="G177" s="72">
        <v>7.0000000000000007E-2</v>
      </c>
      <c r="H177" s="10"/>
      <c r="I177" s="72">
        <v>0.08</v>
      </c>
      <c r="J177" s="10"/>
      <c r="K177" s="72">
        <v>0.06</v>
      </c>
      <c r="L177" s="72">
        <v>7.0000000000000007E-2</v>
      </c>
      <c r="M177" s="72">
        <v>7.0000000000000007E-2</v>
      </c>
      <c r="N177" s="72">
        <v>7.0000000000000007E-2</v>
      </c>
      <c r="O177" s="72">
        <v>7.0000000000000007E-2</v>
      </c>
      <c r="P177" s="72">
        <v>7.0000000000000007E-2</v>
      </c>
      <c r="Q177" s="72">
        <v>7.0000000000000007E-2</v>
      </c>
      <c r="R177" s="72">
        <v>7.0000000000000007E-2</v>
      </c>
      <c r="S177" s="72">
        <v>0.05</v>
      </c>
      <c r="T177" s="72">
        <v>0.05</v>
      </c>
      <c r="U177" s="10"/>
      <c r="V177" s="10"/>
      <c r="W177" s="72">
        <v>0.06</v>
      </c>
      <c r="X177" s="72">
        <v>0.06</v>
      </c>
      <c r="Y177" s="72">
        <v>7.0000000000000007E-2</v>
      </c>
      <c r="Z177" s="72">
        <v>0.06</v>
      </c>
      <c r="AA177" s="72">
        <v>7.0000000000000007E-2</v>
      </c>
      <c r="AB177" s="72">
        <v>0.06</v>
      </c>
      <c r="AC177" s="72">
        <v>0.06</v>
      </c>
      <c r="AD177" s="72">
        <v>0.04</v>
      </c>
      <c r="AE177" s="10"/>
      <c r="AF177" s="10"/>
      <c r="AG177" s="10"/>
      <c r="AH177" s="10"/>
      <c r="AI177" s="10"/>
      <c r="AJ177" s="10"/>
      <c r="AK177" s="10"/>
      <c r="AL177" s="10"/>
      <c r="AM177" s="10"/>
      <c r="AN177" s="10"/>
      <c r="AO177" s="72">
        <v>0.06</v>
      </c>
      <c r="AP177" s="72">
        <v>0.06</v>
      </c>
      <c r="AQ177" s="72">
        <v>0.05</v>
      </c>
      <c r="AR177" s="72">
        <v>0.05</v>
      </c>
      <c r="AS177" s="72">
        <v>7.0000000000000007E-2</v>
      </c>
      <c r="AT177" s="72">
        <v>0.06</v>
      </c>
      <c r="AU177" s="72">
        <v>0.06</v>
      </c>
      <c r="AV177" s="72">
        <v>0.04</v>
      </c>
      <c r="AW177" s="72">
        <v>0.06</v>
      </c>
      <c r="AX177" s="72">
        <v>0.06</v>
      </c>
      <c r="AY177" s="72">
        <v>0.05</v>
      </c>
      <c r="AZ177" s="72">
        <v>0.05</v>
      </c>
      <c r="BA177" s="72">
        <v>7.0000000000000007E-2</v>
      </c>
      <c r="BB177" s="72">
        <v>0.06</v>
      </c>
      <c r="BC177" s="72">
        <v>7.0000000000000007E-2</v>
      </c>
      <c r="BD177" s="72">
        <v>7.0000000000000007E-2</v>
      </c>
      <c r="BE177" s="72">
        <v>7.0000000000000007E-2</v>
      </c>
      <c r="BF177" s="72">
        <v>7.0000000000000007E-2</v>
      </c>
      <c r="BG177" s="72">
        <v>0.05</v>
      </c>
      <c r="BH177" s="72">
        <v>0.06</v>
      </c>
      <c r="BI177" s="72">
        <v>7.0000000000000007E-2</v>
      </c>
      <c r="BJ177" s="99">
        <v>0.06</v>
      </c>
      <c r="BK177" s="72">
        <v>7.0000000000000007E-2</v>
      </c>
      <c r="BL177" s="72">
        <v>7.0000000000000007E-2</v>
      </c>
      <c r="BM177" s="72">
        <v>7.0000000000000007E-2</v>
      </c>
      <c r="BN177" s="72">
        <v>7.0000000000000007E-2</v>
      </c>
      <c r="BO177" s="72">
        <v>0.05</v>
      </c>
      <c r="BP177" s="72">
        <v>0.06</v>
      </c>
      <c r="BQ177" s="72">
        <v>0.06</v>
      </c>
      <c r="BR177" s="72">
        <v>7.0000000000000007E-2</v>
      </c>
      <c r="BS177" s="72">
        <v>0.06</v>
      </c>
      <c r="BT177" s="72">
        <v>7.0000000000000007E-2</v>
      </c>
      <c r="BU177" s="72">
        <v>7.0000000000000007E-2</v>
      </c>
      <c r="BV177" s="72">
        <v>0.06</v>
      </c>
      <c r="BW177" s="72">
        <v>0.05</v>
      </c>
      <c r="BX177" s="72">
        <v>0.06</v>
      </c>
      <c r="BY177" s="72">
        <v>0.06</v>
      </c>
      <c r="BZ177" s="72">
        <v>0.05</v>
      </c>
      <c r="CA177" s="72">
        <v>0.04</v>
      </c>
      <c r="CB177" s="72">
        <v>0.05</v>
      </c>
      <c r="CC177" s="72">
        <v>0.06</v>
      </c>
      <c r="CD177" s="72">
        <v>0.04</v>
      </c>
      <c r="CE177" s="72">
        <v>0.05</v>
      </c>
      <c r="CF177" s="72">
        <v>0.05</v>
      </c>
      <c r="CG177" s="72">
        <v>0.06</v>
      </c>
      <c r="CH177" s="72">
        <v>0.06</v>
      </c>
      <c r="CI177" s="72">
        <v>0.08</v>
      </c>
      <c r="CJ177" s="72">
        <v>0.08</v>
      </c>
      <c r="CK177" s="72">
        <v>0.06</v>
      </c>
      <c r="CL177" s="72">
        <v>0.06</v>
      </c>
      <c r="CM177" s="72">
        <v>0.06</v>
      </c>
      <c r="CN177" s="72">
        <v>0.06</v>
      </c>
      <c r="CO177" s="72">
        <v>0.06</v>
      </c>
      <c r="CP177" s="72">
        <v>7.0000000000000007E-2</v>
      </c>
      <c r="CQ177" s="72">
        <v>0.04</v>
      </c>
      <c r="CR177" s="72">
        <v>0.05</v>
      </c>
      <c r="CS177" s="72">
        <v>0.05</v>
      </c>
      <c r="CT177" s="72">
        <v>0.06</v>
      </c>
      <c r="CU177" s="72">
        <v>0.06</v>
      </c>
      <c r="CV177" s="72">
        <v>0.06</v>
      </c>
      <c r="CW177" s="72">
        <v>0.06</v>
      </c>
      <c r="CX177" s="72">
        <v>7.0000000000000007E-2</v>
      </c>
      <c r="CY177" s="72">
        <v>0.04</v>
      </c>
      <c r="CZ177" s="72">
        <v>0.05</v>
      </c>
      <c r="DA177" s="72">
        <v>0.05</v>
      </c>
      <c r="DB177" s="72">
        <v>0.06</v>
      </c>
      <c r="DC177" s="72">
        <v>0.05</v>
      </c>
      <c r="DD177" s="72">
        <v>0.06</v>
      </c>
      <c r="DE177" s="10"/>
      <c r="DF177" s="72">
        <v>7.0000000000000007E-2</v>
      </c>
      <c r="DG177" s="72">
        <v>0.05</v>
      </c>
      <c r="DH177" s="72">
        <v>0.06</v>
      </c>
      <c r="DI177" s="10"/>
      <c r="DJ177" s="72">
        <v>7.0000000000000007E-2</v>
      </c>
      <c r="DK177" s="72">
        <v>0.05</v>
      </c>
      <c r="DL177" s="72">
        <v>0.06</v>
      </c>
      <c r="DM177" s="72">
        <v>5.333333333333333E-2</v>
      </c>
      <c r="DN177" s="72">
        <v>5.7142857142857134E-2</v>
      </c>
      <c r="DO177" s="448">
        <f t="shared" si="80"/>
        <v>7.0000000000000007E-2</v>
      </c>
    </row>
    <row r="178" spans="1:119">
      <c r="A178" s="24" t="s">
        <v>145</v>
      </c>
      <c r="B178" s="24" t="s">
        <v>146</v>
      </c>
      <c r="C178" s="72">
        <v>0.06</v>
      </c>
      <c r="D178" s="72">
        <v>0.05</v>
      </c>
      <c r="E178" s="10"/>
      <c r="F178" s="72">
        <v>0.04</v>
      </c>
      <c r="G178" s="72">
        <v>0.04</v>
      </c>
      <c r="H178" s="10"/>
      <c r="I178" s="72">
        <v>0.06</v>
      </c>
      <c r="J178" s="10"/>
      <c r="K178" s="72">
        <v>0.05</v>
      </c>
      <c r="L178" s="72">
        <v>0.04</v>
      </c>
      <c r="M178" s="72">
        <v>0.05</v>
      </c>
      <c r="N178" s="72">
        <v>0.05</v>
      </c>
      <c r="O178" s="72">
        <v>0.03</v>
      </c>
      <c r="P178" s="72">
        <v>0.03</v>
      </c>
      <c r="Q178" s="72">
        <v>0.01</v>
      </c>
      <c r="R178" s="72">
        <v>0.01</v>
      </c>
      <c r="S178" s="72">
        <v>0</v>
      </c>
      <c r="T178" s="72">
        <v>0</v>
      </c>
      <c r="U178" s="10"/>
      <c r="V178" s="10"/>
      <c r="W178" s="72">
        <v>0.04</v>
      </c>
      <c r="X178" s="72">
        <v>0</v>
      </c>
      <c r="Y178" s="72">
        <v>0.01</v>
      </c>
      <c r="Z178" s="72">
        <v>0.04</v>
      </c>
      <c r="AA178" s="72">
        <v>0.01</v>
      </c>
      <c r="AB178" s="72">
        <v>0</v>
      </c>
      <c r="AC178" s="72">
        <v>0.03</v>
      </c>
      <c r="AD178" s="72">
        <v>0</v>
      </c>
      <c r="AE178" s="10"/>
      <c r="AF178" s="10"/>
      <c r="AG178" s="10"/>
      <c r="AH178" s="10"/>
      <c r="AI178" s="10"/>
      <c r="AJ178" s="10"/>
      <c r="AK178" s="10"/>
      <c r="AL178" s="10"/>
      <c r="AM178" s="10"/>
      <c r="AN178" s="10"/>
      <c r="AO178" s="72">
        <v>0.04</v>
      </c>
      <c r="AP178" s="72">
        <v>0.01</v>
      </c>
      <c r="AQ178" s="72">
        <v>0</v>
      </c>
      <c r="AR178" s="72">
        <v>0.03</v>
      </c>
      <c r="AS178" s="72">
        <v>0.01</v>
      </c>
      <c r="AT178" s="72">
        <v>0.02</v>
      </c>
      <c r="AU178" s="72">
        <v>0.03</v>
      </c>
      <c r="AV178" s="72">
        <v>0</v>
      </c>
      <c r="AW178" s="72">
        <v>0.04</v>
      </c>
      <c r="AX178" s="72">
        <v>0.01</v>
      </c>
      <c r="AY178" s="72">
        <v>0</v>
      </c>
      <c r="AZ178" s="72">
        <v>0.03</v>
      </c>
      <c r="BA178" s="72">
        <v>0.01</v>
      </c>
      <c r="BB178" s="72">
        <v>0.02</v>
      </c>
      <c r="BC178" s="72">
        <v>0.04</v>
      </c>
      <c r="BD178" s="72">
        <v>0.05</v>
      </c>
      <c r="BE178" s="72">
        <v>0.03</v>
      </c>
      <c r="BF178" s="72">
        <v>0.01</v>
      </c>
      <c r="BG178" s="72">
        <v>0</v>
      </c>
      <c r="BH178" s="72">
        <v>0.04</v>
      </c>
      <c r="BI178" s="72">
        <v>0.01</v>
      </c>
      <c r="BJ178" s="99">
        <v>0</v>
      </c>
      <c r="BK178" s="72">
        <v>0.04</v>
      </c>
      <c r="BL178" s="72">
        <v>0.05</v>
      </c>
      <c r="BM178" s="72">
        <v>0.03</v>
      </c>
      <c r="BN178" s="72">
        <v>0.01</v>
      </c>
      <c r="BO178" s="72">
        <v>0</v>
      </c>
      <c r="BP178" s="72">
        <v>0.04</v>
      </c>
      <c r="BQ178" s="72">
        <v>0</v>
      </c>
      <c r="BR178" s="72">
        <v>0.01</v>
      </c>
      <c r="BS178" s="72">
        <v>0.01</v>
      </c>
      <c r="BT178" s="72">
        <v>0.01</v>
      </c>
      <c r="BU178" s="72">
        <v>0.01</v>
      </c>
      <c r="BV178" s="72">
        <v>0.01</v>
      </c>
      <c r="BW178" s="72">
        <v>0.03</v>
      </c>
      <c r="BX178" s="72">
        <v>0.03</v>
      </c>
      <c r="BY178" s="72">
        <v>0.03</v>
      </c>
      <c r="BZ178" s="72">
        <v>0.03</v>
      </c>
      <c r="CA178" s="72">
        <v>0</v>
      </c>
      <c r="CB178" s="72">
        <v>0.04</v>
      </c>
      <c r="CC178" s="72">
        <v>0.03</v>
      </c>
      <c r="CD178" s="72">
        <v>0</v>
      </c>
      <c r="CE178" s="72">
        <v>0</v>
      </c>
      <c r="CF178" s="72">
        <v>0</v>
      </c>
      <c r="CG178" s="72">
        <v>0.02</v>
      </c>
      <c r="CH178" s="72">
        <v>0.02</v>
      </c>
      <c r="CI178" s="72">
        <v>0.08</v>
      </c>
      <c r="CJ178" s="72">
        <v>0.08</v>
      </c>
      <c r="CK178" s="72">
        <v>0.08</v>
      </c>
      <c r="CL178" s="72">
        <v>0.08</v>
      </c>
      <c r="CM178" s="72">
        <v>0.04</v>
      </c>
      <c r="CN178" s="72">
        <v>0.03</v>
      </c>
      <c r="CO178" s="72">
        <v>0.02</v>
      </c>
      <c r="CP178" s="72">
        <v>0.01</v>
      </c>
      <c r="CQ178" s="72">
        <v>0</v>
      </c>
      <c r="CR178" s="72">
        <v>0.03</v>
      </c>
      <c r="CS178" s="72">
        <v>0</v>
      </c>
      <c r="CT178" s="72">
        <v>0.01</v>
      </c>
      <c r="CU178" s="72">
        <v>0.04</v>
      </c>
      <c r="CV178" s="72">
        <v>0.03</v>
      </c>
      <c r="CW178" s="72">
        <v>0.02</v>
      </c>
      <c r="CX178" s="72">
        <v>0.01</v>
      </c>
      <c r="CY178" s="72">
        <v>0</v>
      </c>
      <c r="CZ178" s="72">
        <v>0.03</v>
      </c>
      <c r="DA178" s="72">
        <v>0</v>
      </c>
      <c r="DB178" s="72">
        <v>0.01</v>
      </c>
      <c r="DC178" s="72">
        <v>0</v>
      </c>
      <c r="DD178" s="72">
        <v>0.04</v>
      </c>
      <c r="DE178" s="10"/>
      <c r="DF178" s="72">
        <v>0.01</v>
      </c>
      <c r="DG178" s="72">
        <v>0</v>
      </c>
      <c r="DH178" s="72">
        <v>0.04</v>
      </c>
      <c r="DI178" s="10"/>
      <c r="DJ178" s="72">
        <v>0.01</v>
      </c>
      <c r="DK178" s="72">
        <v>0.04</v>
      </c>
      <c r="DL178" s="72">
        <v>0.04</v>
      </c>
      <c r="DM178" s="72">
        <v>3.5555555555555556E-2</v>
      </c>
      <c r="DN178" s="72">
        <v>3.8095238095238092E-2</v>
      </c>
      <c r="DO178" s="448">
        <f t="shared" si="80"/>
        <v>0.08</v>
      </c>
    </row>
    <row r="179" spans="1:119">
      <c r="A179" s="24" t="s">
        <v>147</v>
      </c>
      <c r="B179" s="24" t="s">
        <v>148</v>
      </c>
      <c r="C179" s="72">
        <v>0.12</v>
      </c>
      <c r="D179" s="72">
        <v>0.11</v>
      </c>
      <c r="E179" s="10"/>
      <c r="F179" s="72">
        <v>0.13</v>
      </c>
      <c r="G179" s="72">
        <v>0.13</v>
      </c>
      <c r="H179" s="10"/>
      <c r="I179" s="72">
        <v>0.12</v>
      </c>
      <c r="J179" s="10"/>
      <c r="K179" s="72">
        <v>0.11</v>
      </c>
      <c r="L179" s="72">
        <v>0.13</v>
      </c>
      <c r="M179" s="72">
        <v>0.13</v>
      </c>
      <c r="N179" s="72">
        <v>0.13</v>
      </c>
      <c r="O179" s="72">
        <v>0.13</v>
      </c>
      <c r="P179" s="72">
        <v>0.13</v>
      </c>
      <c r="Q179" s="72">
        <v>0.13</v>
      </c>
      <c r="R179" s="72">
        <v>0.13</v>
      </c>
      <c r="S179" s="72">
        <v>0.09</v>
      </c>
      <c r="T179" s="72">
        <v>0.09</v>
      </c>
      <c r="U179" s="10"/>
      <c r="V179" s="10"/>
      <c r="W179" s="72">
        <v>0.1</v>
      </c>
      <c r="X179" s="72">
        <v>0.11</v>
      </c>
      <c r="Y179" s="72">
        <v>0.12</v>
      </c>
      <c r="Z179" s="72">
        <v>0.1</v>
      </c>
      <c r="AA179" s="72">
        <v>0.12</v>
      </c>
      <c r="AB179" s="72">
        <v>0.11</v>
      </c>
      <c r="AC179" s="72">
        <v>0.1</v>
      </c>
      <c r="AD179" s="72">
        <v>7.0000000000000007E-2</v>
      </c>
      <c r="AE179" s="10"/>
      <c r="AF179" s="10"/>
      <c r="AG179" s="10"/>
      <c r="AH179" s="10"/>
      <c r="AI179" s="10"/>
      <c r="AJ179" s="10"/>
      <c r="AK179" s="10"/>
      <c r="AL179" s="10"/>
      <c r="AM179" s="10"/>
      <c r="AN179" s="10"/>
      <c r="AO179" s="72">
        <v>0.09</v>
      </c>
      <c r="AP179" s="72">
        <v>0.1</v>
      </c>
      <c r="AQ179" s="72">
        <v>0.09</v>
      </c>
      <c r="AR179" s="72">
        <v>0.08</v>
      </c>
      <c r="AS179" s="72">
        <v>0.11</v>
      </c>
      <c r="AT179" s="72">
        <v>0.1</v>
      </c>
      <c r="AU179" s="72">
        <v>0.1</v>
      </c>
      <c r="AV179" s="72">
        <v>7.0000000000000007E-2</v>
      </c>
      <c r="AW179" s="72">
        <v>0.09</v>
      </c>
      <c r="AX179" s="72">
        <v>0.1</v>
      </c>
      <c r="AY179" s="72">
        <v>0.09</v>
      </c>
      <c r="AZ179" s="72">
        <v>0.08</v>
      </c>
      <c r="BA179" s="72">
        <v>0.11</v>
      </c>
      <c r="BB179" s="72">
        <v>0.1</v>
      </c>
      <c r="BC179" s="72">
        <v>0.13</v>
      </c>
      <c r="BD179" s="72">
        <v>0.13</v>
      </c>
      <c r="BE179" s="72">
        <v>0.13</v>
      </c>
      <c r="BF179" s="72">
        <v>0.13</v>
      </c>
      <c r="BG179" s="72">
        <v>0.09</v>
      </c>
      <c r="BH179" s="72">
        <v>0.1</v>
      </c>
      <c r="BI179" s="72">
        <v>0.12</v>
      </c>
      <c r="BJ179" s="99">
        <v>0.11</v>
      </c>
      <c r="BK179" s="72">
        <v>0.13</v>
      </c>
      <c r="BL179" s="72">
        <v>0.13</v>
      </c>
      <c r="BM179" s="72">
        <v>0.13</v>
      </c>
      <c r="BN179" s="72">
        <v>0.13</v>
      </c>
      <c r="BO179" s="72">
        <v>0.09</v>
      </c>
      <c r="BP179" s="72">
        <v>0.1</v>
      </c>
      <c r="BQ179" s="72">
        <v>0.11</v>
      </c>
      <c r="BR179" s="72">
        <v>0.12</v>
      </c>
      <c r="BS179" s="72">
        <v>0.1</v>
      </c>
      <c r="BT179" s="72">
        <v>0.11</v>
      </c>
      <c r="BU179" s="72">
        <v>0.11</v>
      </c>
      <c r="BV179" s="72">
        <v>0.1</v>
      </c>
      <c r="BW179" s="72">
        <v>0.08</v>
      </c>
      <c r="BX179" s="72">
        <v>0.1</v>
      </c>
      <c r="BY179" s="72">
        <v>0.1</v>
      </c>
      <c r="BZ179" s="72">
        <v>0.08</v>
      </c>
      <c r="CA179" s="72">
        <v>7.0000000000000007E-2</v>
      </c>
      <c r="CB179" s="72">
        <v>0.09</v>
      </c>
      <c r="CC179" s="72">
        <v>0.1</v>
      </c>
      <c r="CD179" s="72">
        <v>7.0000000000000007E-2</v>
      </c>
      <c r="CE179" s="72">
        <v>0.09</v>
      </c>
      <c r="CF179" s="72">
        <v>0.09</v>
      </c>
      <c r="CG179" s="72">
        <v>0.1</v>
      </c>
      <c r="CH179" s="72">
        <v>0.1</v>
      </c>
      <c r="CI179" s="72">
        <v>0.12</v>
      </c>
      <c r="CJ179" s="72">
        <v>0.12</v>
      </c>
      <c r="CK179" s="72">
        <v>0.11</v>
      </c>
      <c r="CL179" s="72">
        <v>0.11</v>
      </c>
      <c r="CM179" s="72">
        <v>0.09</v>
      </c>
      <c r="CN179" s="72">
        <v>0.1</v>
      </c>
      <c r="CO179" s="72">
        <v>0.1</v>
      </c>
      <c r="CP179" s="72">
        <v>0.11</v>
      </c>
      <c r="CQ179" s="72">
        <v>7.0000000000000007E-2</v>
      </c>
      <c r="CR179" s="72">
        <v>0.08</v>
      </c>
      <c r="CS179" s="72">
        <v>0.09</v>
      </c>
      <c r="CT179" s="72">
        <v>0.1</v>
      </c>
      <c r="CU179" s="72">
        <v>0.09</v>
      </c>
      <c r="CV179" s="72">
        <v>0.1</v>
      </c>
      <c r="CW179" s="72">
        <v>0.1</v>
      </c>
      <c r="CX179" s="72">
        <v>0.11</v>
      </c>
      <c r="CY179" s="72">
        <v>7.0000000000000007E-2</v>
      </c>
      <c r="CZ179" s="72">
        <v>0.08</v>
      </c>
      <c r="DA179" s="72">
        <v>0.09</v>
      </c>
      <c r="DB179" s="72">
        <v>0.1</v>
      </c>
      <c r="DC179" s="72">
        <v>0.09</v>
      </c>
      <c r="DD179" s="72">
        <v>0.1</v>
      </c>
      <c r="DE179" s="10"/>
      <c r="DF179" s="72">
        <v>0.12</v>
      </c>
      <c r="DG179" s="72">
        <v>0.09</v>
      </c>
      <c r="DH179" s="72">
        <v>0.1</v>
      </c>
      <c r="DI179" s="10"/>
      <c r="DJ179" s="72">
        <v>0.12</v>
      </c>
      <c r="DK179" s="72">
        <v>7.0000000000000007E-2</v>
      </c>
      <c r="DL179" s="72">
        <v>0.09</v>
      </c>
      <c r="DM179" s="72">
        <v>7.9999999999999988E-2</v>
      </c>
      <c r="DN179" s="72">
        <v>8.5714285714285701E-2</v>
      </c>
      <c r="DO179" s="448">
        <f t="shared" si="80"/>
        <v>0.11499999999999999</v>
      </c>
    </row>
    <row r="180" spans="1:119">
      <c r="A180" s="24" t="s">
        <v>226</v>
      </c>
      <c r="B180" s="24" t="s">
        <v>227</v>
      </c>
      <c r="C180" s="72">
        <v>2.33</v>
      </c>
      <c r="D180" s="72">
        <v>1.59</v>
      </c>
      <c r="E180" s="10"/>
      <c r="F180" s="72">
        <v>1.51</v>
      </c>
      <c r="G180" s="72">
        <v>1.51</v>
      </c>
      <c r="H180" s="10"/>
      <c r="I180" s="72">
        <v>2.33</v>
      </c>
      <c r="J180" s="10"/>
      <c r="K180" s="72">
        <v>1.59</v>
      </c>
      <c r="L180" s="72">
        <v>1.51</v>
      </c>
      <c r="M180" s="72">
        <v>1.55</v>
      </c>
      <c r="N180" s="72">
        <v>1.55</v>
      </c>
      <c r="O180" s="72">
        <v>1.49</v>
      </c>
      <c r="P180" s="72">
        <v>1.49</v>
      </c>
      <c r="Q180" s="72">
        <v>1.48</v>
      </c>
      <c r="R180" s="72">
        <v>1.48</v>
      </c>
      <c r="S180" s="72">
        <v>1.1499999999999999</v>
      </c>
      <c r="T180" s="72">
        <v>1.1499999999999999</v>
      </c>
      <c r="U180" s="10"/>
      <c r="V180" s="10"/>
      <c r="W180" s="72">
        <v>1.19</v>
      </c>
      <c r="X180" s="72">
        <v>1.25</v>
      </c>
      <c r="Y180" s="72">
        <v>1.36</v>
      </c>
      <c r="Z180" s="72">
        <v>1.19</v>
      </c>
      <c r="AA180" s="72">
        <v>1.36</v>
      </c>
      <c r="AB180" s="72">
        <v>1.25</v>
      </c>
      <c r="AC180" s="72">
        <v>1.21</v>
      </c>
      <c r="AD180" s="72">
        <v>0.86</v>
      </c>
      <c r="AE180" s="10"/>
      <c r="AF180" s="10"/>
      <c r="AG180" s="10"/>
      <c r="AH180" s="10"/>
      <c r="AI180" s="10"/>
      <c r="AJ180" s="10"/>
      <c r="AK180" s="10"/>
      <c r="AL180" s="10"/>
      <c r="AM180" s="10"/>
      <c r="AN180" s="10"/>
      <c r="AO180" s="72">
        <v>1.19</v>
      </c>
      <c r="AP180" s="72">
        <v>1.24</v>
      </c>
      <c r="AQ180" s="72">
        <v>1.04</v>
      </c>
      <c r="AR180" s="72">
        <v>0.95</v>
      </c>
      <c r="AS180" s="72">
        <v>1.35</v>
      </c>
      <c r="AT180" s="72">
        <v>1.24</v>
      </c>
      <c r="AU180" s="72">
        <v>1.21</v>
      </c>
      <c r="AV180" s="72">
        <v>0.86</v>
      </c>
      <c r="AW180" s="72">
        <v>1.19</v>
      </c>
      <c r="AX180" s="72">
        <v>1.24</v>
      </c>
      <c r="AY180" s="72">
        <v>1.04</v>
      </c>
      <c r="AZ180" s="72">
        <v>0.95</v>
      </c>
      <c r="BA180" s="72">
        <v>1.35</v>
      </c>
      <c r="BB180" s="72">
        <v>1.24</v>
      </c>
      <c r="BC180" s="72">
        <v>1.51</v>
      </c>
      <c r="BD180" s="72">
        <v>1.55</v>
      </c>
      <c r="BE180" s="72">
        <v>1.49</v>
      </c>
      <c r="BF180" s="72">
        <v>1.48</v>
      </c>
      <c r="BG180" s="72">
        <v>1.1499999999999999</v>
      </c>
      <c r="BH180" s="72">
        <v>1.19</v>
      </c>
      <c r="BI180" s="72">
        <v>1.36</v>
      </c>
      <c r="BJ180" s="99">
        <v>1.25</v>
      </c>
      <c r="BK180" s="72">
        <v>1.51</v>
      </c>
      <c r="BL180" s="72">
        <v>1.55</v>
      </c>
      <c r="BM180" s="72">
        <v>1.49</v>
      </c>
      <c r="BN180" s="72">
        <v>1.48</v>
      </c>
      <c r="BO180" s="72">
        <v>1.1499999999999999</v>
      </c>
      <c r="BP180" s="72">
        <v>1.19</v>
      </c>
      <c r="BQ180" s="72">
        <v>1.25</v>
      </c>
      <c r="BR180" s="72">
        <v>1.36</v>
      </c>
      <c r="BS180" s="72">
        <v>1.24</v>
      </c>
      <c r="BT180" s="72">
        <v>1.35</v>
      </c>
      <c r="BU180" s="72">
        <v>1.35</v>
      </c>
      <c r="BV180" s="72">
        <v>1.24</v>
      </c>
      <c r="BW180" s="72">
        <v>0.95</v>
      </c>
      <c r="BX180" s="72">
        <v>1.21</v>
      </c>
      <c r="BY180" s="72">
        <v>1.21</v>
      </c>
      <c r="BZ180" s="72">
        <v>0.95</v>
      </c>
      <c r="CA180" s="72">
        <v>0.86</v>
      </c>
      <c r="CB180" s="72">
        <v>1.1599999999999999</v>
      </c>
      <c r="CC180" s="72">
        <v>1.21</v>
      </c>
      <c r="CD180" s="72">
        <v>0.86</v>
      </c>
      <c r="CE180" s="72">
        <v>1.04</v>
      </c>
      <c r="CF180" s="72">
        <v>1.04</v>
      </c>
      <c r="CG180" s="72">
        <v>1.24</v>
      </c>
      <c r="CH180" s="72">
        <v>1.24</v>
      </c>
      <c r="CI180" s="72">
        <v>1.98</v>
      </c>
      <c r="CJ180" s="72">
        <v>1.98</v>
      </c>
      <c r="CK180" s="72">
        <v>1.35</v>
      </c>
      <c r="CL180" s="72">
        <v>1.35</v>
      </c>
      <c r="CM180" s="72">
        <v>1.17</v>
      </c>
      <c r="CN180" s="72">
        <v>1.21</v>
      </c>
      <c r="CO180" s="72">
        <v>1.24</v>
      </c>
      <c r="CP180" s="72">
        <v>1.35</v>
      </c>
      <c r="CQ180" s="72">
        <v>0.86</v>
      </c>
      <c r="CR180" s="72">
        <v>0.95</v>
      </c>
      <c r="CS180" s="72">
        <v>1.04</v>
      </c>
      <c r="CT180" s="72">
        <v>1.24</v>
      </c>
      <c r="CU180" s="72">
        <v>1.17</v>
      </c>
      <c r="CV180" s="72">
        <v>1.21</v>
      </c>
      <c r="CW180" s="72">
        <v>1.24</v>
      </c>
      <c r="CX180" s="72">
        <v>1.35</v>
      </c>
      <c r="CY180" s="72">
        <v>0.86</v>
      </c>
      <c r="CZ180" s="72">
        <v>0.95</v>
      </c>
      <c r="DA180" s="72">
        <v>1.04</v>
      </c>
      <c r="DB180" s="72">
        <v>1.24</v>
      </c>
      <c r="DC180" s="72">
        <v>1.1499999999999999</v>
      </c>
      <c r="DD180" s="72">
        <v>1.19</v>
      </c>
      <c r="DE180" s="10"/>
      <c r="DF180" s="72">
        <v>1.36</v>
      </c>
      <c r="DG180" s="72">
        <v>1.1499999999999999</v>
      </c>
      <c r="DH180" s="72">
        <v>1.19</v>
      </c>
      <c r="DI180" s="10"/>
      <c r="DJ180" s="72">
        <v>1.36</v>
      </c>
      <c r="DK180" s="72">
        <v>1.23</v>
      </c>
      <c r="DL180" s="72">
        <v>1.17</v>
      </c>
      <c r="DM180" s="72">
        <v>1.0399999999999998</v>
      </c>
      <c r="DN180" s="72">
        <v>1.1142857142857141</v>
      </c>
      <c r="DO180" s="448">
        <f t="shared" si="80"/>
        <v>1.665</v>
      </c>
    </row>
    <row r="181" spans="1:119">
      <c r="A181" s="24" t="s">
        <v>228</v>
      </c>
      <c r="B181" s="24" t="s">
        <v>229</v>
      </c>
      <c r="C181" s="72">
        <v>3.65</v>
      </c>
      <c r="D181" s="72">
        <v>3.36</v>
      </c>
      <c r="E181" s="10"/>
      <c r="F181" s="72">
        <v>3.35</v>
      </c>
      <c r="G181" s="72">
        <v>3.35</v>
      </c>
      <c r="H181" s="10"/>
      <c r="I181" s="72">
        <v>3.65</v>
      </c>
      <c r="J181" s="10"/>
      <c r="K181" s="72">
        <v>3.36</v>
      </c>
      <c r="L181" s="72">
        <v>3.35</v>
      </c>
      <c r="M181" s="72">
        <v>3.35</v>
      </c>
      <c r="N181" s="72">
        <v>3.35</v>
      </c>
      <c r="O181" s="72">
        <v>3.3</v>
      </c>
      <c r="P181" s="72">
        <v>3.3</v>
      </c>
      <c r="Q181" s="72">
        <v>3.35</v>
      </c>
      <c r="R181" s="72">
        <v>3.35</v>
      </c>
      <c r="S181" s="72">
        <v>2.21</v>
      </c>
      <c r="T181" s="72">
        <v>2.21</v>
      </c>
      <c r="U181" s="10"/>
      <c r="V181" s="10"/>
      <c r="W181" s="72">
        <v>2.5099999999999998</v>
      </c>
      <c r="X181" s="72">
        <v>2.64</v>
      </c>
      <c r="Y181" s="72">
        <v>3.03</v>
      </c>
      <c r="Z181" s="72">
        <v>2.5099999999999998</v>
      </c>
      <c r="AA181" s="72">
        <v>3.03</v>
      </c>
      <c r="AB181" s="72">
        <v>2.64</v>
      </c>
      <c r="AC181" s="72">
        <v>2.96</v>
      </c>
      <c r="AD181" s="72">
        <v>2</v>
      </c>
      <c r="AE181" s="10"/>
      <c r="AF181" s="10"/>
      <c r="AG181" s="10"/>
      <c r="AH181" s="10"/>
      <c r="AI181" s="10"/>
      <c r="AJ181" s="10"/>
      <c r="AK181" s="10"/>
      <c r="AL181" s="10"/>
      <c r="AM181" s="10"/>
      <c r="AN181" s="10"/>
      <c r="AO181" s="72">
        <v>2.87</v>
      </c>
      <c r="AP181" s="72">
        <v>2.88</v>
      </c>
      <c r="AQ181" s="72">
        <v>2.44</v>
      </c>
      <c r="AR181" s="72">
        <v>2.29</v>
      </c>
      <c r="AS181" s="72">
        <v>3.17</v>
      </c>
      <c r="AT181" s="72">
        <v>2.98</v>
      </c>
      <c r="AU181" s="72">
        <v>2.96</v>
      </c>
      <c r="AV181" s="72">
        <v>2</v>
      </c>
      <c r="AW181" s="72">
        <v>2.87</v>
      </c>
      <c r="AX181" s="72">
        <v>2.88</v>
      </c>
      <c r="AY181" s="72">
        <v>2.44</v>
      </c>
      <c r="AZ181" s="72">
        <v>2.29</v>
      </c>
      <c r="BA181" s="72">
        <v>3.17</v>
      </c>
      <c r="BB181" s="72">
        <v>2.98</v>
      </c>
      <c r="BC181" s="72">
        <v>3.35</v>
      </c>
      <c r="BD181" s="72">
        <v>3.35</v>
      </c>
      <c r="BE181" s="72">
        <v>3.3</v>
      </c>
      <c r="BF181" s="72">
        <v>3.35</v>
      </c>
      <c r="BG181" s="72">
        <v>2.21</v>
      </c>
      <c r="BH181" s="72">
        <v>2.5099999999999998</v>
      </c>
      <c r="BI181" s="72">
        <v>3.03</v>
      </c>
      <c r="BJ181" s="99">
        <v>2.64</v>
      </c>
      <c r="BK181" s="72">
        <v>3.35</v>
      </c>
      <c r="BL181" s="72">
        <v>3.35</v>
      </c>
      <c r="BM181" s="72">
        <v>3.3</v>
      </c>
      <c r="BN181" s="72">
        <v>3.35</v>
      </c>
      <c r="BO181" s="72">
        <v>2.21</v>
      </c>
      <c r="BP181" s="72">
        <v>2.5099999999999998</v>
      </c>
      <c r="BQ181" s="72">
        <v>2.64</v>
      </c>
      <c r="BR181" s="72">
        <v>3.03</v>
      </c>
      <c r="BS181" s="72">
        <v>2.88</v>
      </c>
      <c r="BT181" s="72">
        <v>3.17</v>
      </c>
      <c r="BU181" s="72">
        <v>3.17</v>
      </c>
      <c r="BV181" s="72">
        <v>2.88</v>
      </c>
      <c r="BW181" s="72">
        <v>2.29</v>
      </c>
      <c r="BX181" s="72">
        <v>2.96</v>
      </c>
      <c r="BY181" s="72">
        <v>2.96</v>
      </c>
      <c r="BZ181" s="72">
        <v>2.29</v>
      </c>
      <c r="CA181" s="72">
        <v>2</v>
      </c>
      <c r="CB181" s="72">
        <v>2.86</v>
      </c>
      <c r="CC181" s="72">
        <v>2.96</v>
      </c>
      <c r="CD181" s="72">
        <v>2</v>
      </c>
      <c r="CE181" s="72">
        <v>2.4300000000000002</v>
      </c>
      <c r="CF181" s="72">
        <v>2.4300000000000002</v>
      </c>
      <c r="CG181" s="72">
        <v>2.98</v>
      </c>
      <c r="CH181" s="72">
        <v>2.98</v>
      </c>
      <c r="CI181" s="72">
        <v>3.65</v>
      </c>
      <c r="CJ181" s="72">
        <v>3.65</v>
      </c>
      <c r="CK181" s="72">
        <v>3.36</v>
      </c>
      <c r="CL181" s="72">
        <v>3.36</v>
      </c>
      <c r="CM181" s="72">
        <v>2.84</v>
      </c>
      <c r="CN181" s="72">
        <v>2.96</v>
      </c>
      <c r="CO181" s="72">
        <v>2.98</v>
      </c>
      <c r="CP181" s="72">
        <v>3.17</v>
      </c>
      <c r="CQ181" s="72">
        <v>2</v>
      </c>
      <c r="CR181" s="72">
        <v>2.29</v>
      </c>
      <c r="CS181" s="72">
        <v>2.44</v>
      </c>
      <c r="CT181" s="72">
        <v>2.88</v>
      </c>
      <c r="CU181" s="72">
        <v>2.84</v>
      </c>
      <c r="CV181" s="72">
        <v>2.96</v>
      </c>
      <c r="CW181" s="72">
        <v>2.98</v>
      </c>
      <c r="CX181" s="72">
        <v>3.17</v>
      </c>
      <c r="CY181" s="72">
        <v>2</v>
      </c>
      <c r="CZ181" s="72">
        <v>2.29</v>
      </c>
      <c r="DA181" s="72">
        <v>2.44</v>
      </c>
      <c r="DB181" s="72">
        <v>2.88</v>
      </c>
      <c r="DC181" s="72">
        <v>2.21</v>
      </c>
      <c r="DD181" s="72">
        <v>2.5099999999999998</v>
      </c>
      <c r="DE181" s="10"/>
      <c r="DF181" s="72">
        <v>3.03</v>
      </c>
      <c r="DG181" s="72">
        <v>2.21</v>
      </c>
      <c r="DH181" s="72">
        <v>2.5099999999999998</v>
      </c>
      <c r="DI181" s="10"/>
      <c r="DJ181" s="72">
        <v>3.03</v>
      </c>
      <c r="DK181" s="72">
        <v>2.88</v>
      </c>
      <c r="DL181" s="72">
        <v>2.84</v>
      </c>
      <c r="DM181" s="72">
        <v>2.5244444444444443</v>
      </c>
      <c r="DN181" s="72">
        <v>2.7047619047619045</v>
      </c>
      <c r="DO181" s="448">
        <f t="shared" si="80"/>
        <v>3.5049999999999999</v>
      </c>
    </row>
    <row r="183" spans="1:119">
      <c r="A183" s="10"/>
      <c r="B183" s="596" t="s">
        <v>3448</v>
      </c>
    </row>
    <row r="184" spans="1:119">
      <c r="A184" s="10" t="s">
        <v>1514</v>
      </c>
      <c r="B184" s="27">
        <v>1170.6409678112718</v>
      </c>
    </row>
    <row r="185" spans="1:119">
      <c r="A185" s="10" t="s">
        <v>3442</v>
      </c>
      <c r="B185" s="27">
        <v>1116.4744981505021</v>
      </c>
    </row>
    <row r="186" spans="1:119">
      <c r="A186" s="10" t="s">
        <v>3443</v>
      </c>
      <c r="B186" s="27">
        <v>923.02022770257531</v>
      </c>
    </row>
    <row r="187" spans="1:119">
      <c r="A187" s="10" t="s">
        <v>3444</v>
      </c>
      <c r="B187" s="27">
        <v>1179.4294367523451</v>
      </c>
    </row>
    <row r="188" spans="1:119">
      <c r="A188" s="10" t="s">
        <v>3445</v>
      </c>
      <c r="B188" s="27">
        <v>1449.3824929692398</v>
      </c>
    </row>
    <row r="189" spans="1:119">
      <c r="A189" s="10" t="s">
        <v>3446</v>
      </c>
      <c r="B189" s="27">
        <v>2761.4072236096404</v>
      </c>
    </row>
  </sheetData>
  <mergeCells count="5">
    <mergeCell ref="K3:M3"/>
    <mergeCell ref="C121:G121"/>
    <mergeCell ref="DJ121:DM121"/>
    <mergeCell ref="C1:H1"/>
    <mergeCell ref="I1:I2"/>
  </mergeCells>
  <dataValidations disablePrompts="1" count="1">
    <dataValidation type="list" allowBlank="1" showInputMessage="1" showErrorMessage="1" sqref="DJ122">
      <formula1>$C$3:$C$117</formula1>
    </dataValidation>
  </dataValidations>
  <pageMargins left="0.7" right="0.7" top="0.75" bottom="0.75" header="0.3" footer="0.3"/>
  <pageSetup paperSize="9" orientation="portrait" r:id="rId1"/>
  <ignoredErrors>
    <ignoredError sqref="I25" formula="1"/>
  </ignoredError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1"/>
  <sheetViews>
    <sheetView topLeftCell="C38" workbookViewId="0">
      <selection activeCell="I38" sqref="I38:K38"/>
    </sheetView>
  </sheetViews>
  <sheetFormatPr defaultColWidth="10.90625" defaultRowHeight="14.5"/>
  <cols>
    <col min="2" max="2" width="43.1796875" customWidth="1"/>
    <col min="7" max="7" width="11.7265625" bestFit="1" customWidth="1"/>
    <col min="9" max="9" width="19.54296875" customWidth="1"/>
    <col min="10" max="10" width="18.1796875" customWidth="1"/>
    <col min="11" max="11" width="20.54296875" customWidth="1"/>
    <col min="12" max="12" width="25" customWidth="1"/>
    <col min="13" max="13" width="6" customWidth="1"/>
    <col min="14" max="14" width="17.81640625" customWidth="1"/>
    <col min="16" max="16" width="20.26953125" customWidth="1"/>
  </cols>
  <sheetData>
    <row r="1" spans="1:15">
      <c r="A1" s="4597" t="s">
        <v>3165</v>
      </c>
      <c r="B1" s="4598"/>
      <c r="C1" s="4598"/>
      <c r="D1" s="4598"/>
      <c r="E1" s="4598"/>
      <c r="F1" s="4598"/>
      <c r="G1" s="4599"/>
      <c r="H1" s="485"/>
      <c r="I1" s="485"/>
      <c r="J1" s="485"/>
      <c r="K1" s="485"/>
      <c r="L1" s="485"/>
      <c r="M1" s="485"/>
      <c r="N1" s="485"/>
      <c r="O1" s="485"/>
    </row>
    <row r="2" spans="1:15">
      <c r="A2" s="3040"/>
      <c r="B2" s="3041"/>
      <c r="C2" s="3042"/>
      <c r="D2" s="4600" t="s">
        <v>3166</v>
      </c>
      <c r="E2" s="4600"/>
      <c r="F2" s="4600"/>
      <c r="G2" s="3043">
        <f>'Seleccion proyecto HEREVEA02'!L7</f>
        <v>5265973.6052662777</v>
      </c>
      <c r="H2" s="485"/>
      <c r="I2" s="485"/>
      <c r="J2" s="485"/>
      <c r="K2" s="485"/>
      <c r="L2" s="485"/>
      <c r="M2" s="485"/>
      <c r="N2" s="485"/>
      <c r="O2" s="485"/>
    </row>
    <row r="3" spans="1:15">
      <c r="A3" s="3044"/>
      <c r="B3" s="3045"/>
      <c r="C3" s="3046"/>
      <c r="D3" s="4601" t="s">
        <v>3167</v>
      </c>
      <c r="E3" s="4601"/>
      <c r="F3" s="4601"/>
      <c r="G3" s="3047">
        <v>12</v>
      </c>
      <c r="H3" s="485"/>
      <c r="I3" s="485"/>
      <c r="J3" s="485"/>
      <c r="K3" s="485"/>
      <c r="L3" s="485"/>
      <c r="M3" s="485"/>
      <c r="N3" s="485"/>
      <c r="O3" s="485"/>
    </row>
    <row r="4" spans="1:15" ht="16.5">
      <c r="A4" s="3048"/>
      <c r="B4" s="3049"/>
      <c r="C4" s="3050"/>
      <c r="D4" s="4602" t="s">
        <v>3168</v>
      </c>
      <c r="E4" s="4603"/>
      <c r="F4" s="4603"/>
      <c r="G4" s="3051">
        <f>'Seleccion proyecto HEREVEA02'!L8</f>
        <v>11100.968999999999</v>
      </c>
      <c r="H4" s="485"/>
      <c r="I4" s="485"/>
      <c r="J4" s="485"/>
      <c r="K4" s="485"/>
      <c r="L4" s="485"/>
      <c r="M4" s="485"/>
      <c r="N4" s="485"/>
      <c r="O4" s="485"/>
    </row>
    <row r="5" spans="1:15" ht="16.5">
      <c r="A5" s="3052"/>
      <c r="B5" s="3053"/>
      <c r="C5" s="3054"/>
      <c r="D5" s="4604" t="s">
        <v>3169</v>
      </c>
      <c r="E5" s="4605"/>
      <c r="F5" s="4605"/>
      <c r="G5" s="3055">
        <v>6251</v>
      </c>
      <c r="H5" s="485"/>
      <c r="I5" s="485"/>
      <c r="J5" s="485"/>
      <c r="K5" s="485"/>
      <c r="L5" s="485"/>
      <c r="M5" s="485"/>
      <c r="N5" s="485"/>
      <c r="O5" s="485"/>
    </row>
    <row r="6" spans="1:15">
      <c r="A6" s="3056" t="s">
        <v>162</v>
      </c>
      <c r="B6" s="3057" t="s">
        <v>163</v>
      </c>
      <c r="C6" s="3058" t="s">
        <v>1549</v>
      </c>
      <c r="D6" s="3056" t="s">
        <v>1845</v>
      </c>
      <c r="E6" s="3059" t="s">
        <v>1846</v>
      </c>
      <c r="F6" s="3056" t="s">
        <v>1847</v>
      </c>
      <c r="G6" s="3057" t="s">
        <v>3170</v>
      </c>
      <c r="H6" s="485"/>
      <c r="I6" s="485"/>
      <c r="J6" s="485"/>
      <c r="K6" s="485"/>
      <c r="L6" s="485"/>
      <c r="M6" s="485"/>
      <c r="N6" s="485"/>
      <c r="O6" s="485"/>
    </row>
    <row r="7" spans="1:15">
      <c r="A7" s="3060" t="s">
        <v>3171</v>
      </c>
      <c r="B7" s="3061" t="s">
        <v>3172</v>
      </c>
      <c r="C7" s="3061"/>
      <c r="D7" s="3061"/>
      <c r="E7" s="3061"/>
      <c r="F7" s="3062">
        <f>F8+F14+F38+F55+F62</f>
        <v>328466.52087000001</v>
      </c>
      <c r="G7" s="3063">
        <f>G8+G14+G38+G55</f>
        <v>6.2375269131906504E-2</v>
      </c>
      <c r="H7" s="485"/>
      <c r="I7" s="4589" t="s">
        <v>3305</v>
      </c>
      <c r="J7" s="4590"/>
      <c r="K7" s="485"/>
      <c r="L7" s="485"/>
      <c r="M7" s="485"/>
      <c r="N7" s="485"/>
      <c r="O7" s="485"/>
    </row>
    <row r="8" spans="1:15">
      <c r="A8" s="3064" t="s">
        <v>3174</v>
      </c>
      <c r="B8" s="3065" t="s">
        <v>3175</v>
      </c>
      <c r="C8" s="3065"/>
      <c r="D8" s="3065"/>
      <c r="E8" s="3065"/>
      <c r="F8" s="3066">
        <f>SUM(F9:F13)</f>
        <v>34404</v>
      </c>
      <c r="G8" s="3067">
        <f>SUM(G9:G13)</f>
        <v>6.5332648013263894E-3</v>
      </c>
      <c r="H8" s="485"/>
      <c r="I8" s="3159" t="s">
        <v>3176</v>
      </c>
      <c r="J8" s="3095" t="s">
        <v>3177</v>
      </c>
      <c r="K8" s="485"/>
      <c r="L8" s="485"/>
      <c r="M8" s="485"/>
      <c r="N8" s="485"/>
      <c r="O8" s="485"/>
    </row>
    <row r="9" spans="1:15">
      <c r="A9" s="3069" t="s">
        <v>3178</v>
      </c>
      <c r="B9" s="3070" t="s">
        <v>3179</v>
      </c>
      <c r="C9" s="3071" t="s">
        <v>3180</v>
      </c>
      <c r="D9" s="3072">
        <f>G3</f>
        <v>12</v>
      </c>
      <c r="E9" s="3073">
        <v>2867</v>
      </c>
      <c r="F9" s="3073">
        <f>E9*D9</f>
        <v>34404</v>
      </c>
      <c r="G9" s="3074">
        <f>F9/G2</f>
        <v>6.5332648013263894E-3</v>
      </c>
      <c r="H9" s="485"/>
      <c r="I9" s="3217">
        <f>'[5]TABLAS AUXILIARES'!G10</f>
        <v>127.08333333333333</v>
      </c>
      <c r="J9" s="3203">
        <f>D9*I9</f>
        <v>1525</v>
      </c>
      <c r="K9" s="485"/>
      <c r="L9" s="485"/>
      <c r="M9" s="485"/>
      <c r="N9" s="485"/>
      <c r="O9" s="485"/>
    </row>
    <row r="10" spans="1:15">
      <c r="A10" s="3075" t="s">
        <v>3181</v>
      </c>
      <c r="B10" s="3076" t="s">
        <v>3182</v>
      </c>
      <c r="C10" s="3077" t="s">
        <v>3180</v>
      </c>
      <c r="D10" s="3078">
        <f>G3</f>
        <v>12</v>
      </c>
      <c r="E10" s="3079">
        <v>0</v>
      </c>
      <c r="F10" s="3079">
        <f t="shared" ref="F10:F18" si="0">E10*D10</f>
        <v>0</v>
      </c>
      <c r="G10" s="3080">
        <f>F10/G2</f>
        <v>0</v>
      </c>
      <c r="H10" s="485"/>
      <c r="I10" s="3217">
        <f>'[5]TABLAS AUXILIARES'!G10</f>
        <v>127.08333333333333</v>
      </c>
      <c r="J10" s="3203">
        <f t="shared" ref="J10:J12" si="1">D10*I10</f>
        <v>1525</v>
      </c>
      <c r="K10" s="485"/>
      <c r="L10" s="485"/>
      <c r="M10" s="485"/>
      <c r="N10" s="485"/>
      <c r="O10" s="485"/>
    </row>
    <row r="11" spans="1:15">
      <c r="A11" s="3075" t="s">
        <v>3183</v>
      </c>
      <c r="B11" s="3076" t="s">
        <v>3184</v>
      </c>
      <c r="C11" s="3077" t="s">
        <v>3180</v>
      </c>
      <c r="D11" s="3078">
        <f>G3</f>
        <v>12</v>
      </c>
      <c r="E11" s="3079">
        <v>0</v>
      </c>
      <c r="F11" s="3079">
        <f t="shared" si="0"/>
        <v>0</v>
      </c>
      <c r="G11" s="3080">
        <f>F11/G2</f>
        <v>0</v>
      </c>
      <c r="H11" s="485"/>
      <c r="I11" s="3217">
        <f>'[5]TABLAS AUXILIARES'!G10</f>
        <v>127.08333333333333</v>
      </c>
      <c r="J11" s="3203">
        <f t="shared" si="1"/>
        <v>1525</v>
      </c>
      <c r="K11" s="485"/>
      <c r="L11" s="485"/>
      <c r="M11" s="485"/>
      <c r="N11" s="485"/>
      <c r="O11" s="485"/>
    </row>
    <row r="12" spans="1:15">
      <c r="A12" s="3075" t="s">
        <v>3185</v>
      </c>
      <c r="B12" s="3076" t="s">
        <v>3186</v>
      </c>
      <c r="C12" s="3077" t="s">
        <v>3180</v>
      </c>
      <c r="D12" s="3078">
        <v>0</v>
      </c>
      <c r="E12" s="3079">
        <v>2533.0300000000002</v>
      </c>
      <c r="F12" s="3079">
        <f t="shared" si="0"/>
        <v>0</v>
      </c>
      <c r="G12" s="3080">
        <f>F12/G2</f>
        <v>0</v>
      </c>
      <c r="H12" s="485"/>
      <c r="I12" s="3217">
        <f>'[5]TABLAS AUXILIARES'!G10</f>
        <v>127.08333333333333</v>
      </c>
      <c r="J12" s="3203">
        <f t="shared" si="1"/>
        <v>0</v>
      </c>
      <c r="K12" s="485"/>
      <c r="L12" s="485"/>
      <c r="M12" s="485"/>
      <c r="N12" s="485"/>
      <c r="O12" s="485"/>
    </row>
    <row r="13" spans="1:15">
      <c r="A13" s="3081" t="s">
        <v>3187</v>
      </c>
      <c r="B13" s="3082" t="s">
        <v>3188</v>
      </c>
      <c r="C13" s="3082"/>
      <c r="D13" s="3082"/>
      <c r="E13" s="3082"/>
      <c r="F13" s="3083">
        <f t="shared" si="0"/>
        <v>0</v>
      </c>
      <c r="G13" s="3084">
        <f>F13/G2</f>
        <v>0</v>
      </c>
      <c r="H13" s="485"/>
      <c r="I13" s="3206" t="s">
        <v>3303</v>
      </c>
      <c r="J13" s="3202">
        <f>SUM(J9:J12)</f>
        <v>4575</v>
      </c>
      <c r="K13" s="485"/>
      <c r="L13" s="485"/>
      <c r="M13" s="485"/>
      <c r="N13" s="485"/>
      <c r="O13" s="485"/>
    </row>
    <row r="14" spans="1:15">
      <c r="A14" s="3085" t="s">
        <v>3189</v>
      </c>
      <c r="B14" s="3086" t="s">
        <v>3190</v>
      </c>
      <c r="C14" s="3086"/>
      <c r="D14" s="3086"/>
      <c r="E14" s="3086"/>
      <c r="F14" s="3087">
        <f>F15+F20+F26</f>
        <v>216144.02086999998</v>
      </c>
      <c r="G14" s="3088">
        <f>G15+G20+G26</f>
        <v>4.1045405289127077E-2</v>
      </c>
      <c r="H14" s="485"/>
      <c r="I14" s="4612" t="s">
        <v>3306</v>
      </c>
      <c r="J14" s="4613"/>
      <c r="K14" s="3089"/>
      <c r="L14" s="485"/>
      <c r="M14" s="485"/>
      <c r="N14" s="485"/>
      <c r="O14" s="485"/>
    </row>
    <row r="15" spans="1:15">
      <c r="A15" s="3090" t="s">
        <v>3191</v>
      </c>
      <c r="B15" s="3091" t="s">
        <v>3192</v>
      </c>
      <c r="C15" s="3091"/>
      <c r="D15" s="3091"/>
      <c r="E15" s="3091"/>
      <c r="F15" s="3092">
        <f>SUM(F16:F18)</f>
        <v>22534.967069999999</v>
      </c>
      <c r="G15" s="3093">
        <f>SUM(G16:G18)</f>
        <v>4.279354352908972E-3</v>
      </c>
      <c r="H15" s="485"/>
      <c r="I15" s="3094" t="s">
        <v>3193</v>
      </c>
      <c r="J15" s="3095" t="s">
        <v>3177</v>
      </c>
      <c r="K15" s="485"/>
      <c r="L15" s="485"/>
      <c r="M15" s="485"/>
      <c r="N15" s="485"/>
      <c r="O15" s="485"/>
    </row>
    <row r="16" spans="1:15" ht="16.5">
      <c r="A16" s="3096" t="s">
        <v>3194</v>
      </c>
      <c r="B16" s="3097" t="s">
        <v>3195</v>
      </c>
      <c r="C16" s="3098" t="s">
        <v>3196</v>
      </c>
      <c r="D16" s="3099">
        <f>G4</f>
        <v>11100.968999999999</v>
      </c>
      <c r="E16" s="3100">
        <v>0.45</v>
      </c>
      <c r="F16" s="3099">
        <f>E16*D16</f>
        <v>4995.4360499999993</v>
      </c>
      <c r="G16" s="3101">
        <f>F16/G2</f>
        <v>9.4862534916701348E-4</v>
      </c>
      <c r="H16" s="485"/>
      <c r="I16" s="3218">
        <f>'[5]TABLAS AUXILIARES'!H35</f>
        <v>18.28</v>
      </c>
      <c r="J16" s="3203">
        <f>F16/I16</f>
        <v>273.27330689277892</v>
      </c>
      <c r="K16" s="485"/>
      <c r="L16" s="485"/>
      <c r="M16" s="485"/>
      <c r="N16" s="485"/>
      <c r="O16" s="485"/>
    </row>
    <row r="17" spans="1:20" ht="16.5">
      <c r="A17" s="3044" t="s">
        <v>3197</v>
      </c>
      <c r="B17" s="3045" t="s">
        <v>3198</v>
      </c>
      <c r="C17" s="3098" t="s">
        <v>3196</v>
      </c>
      <c r="D17" s="3102">
        <f>G4</f>
        <v>11100.968999999999</v>
      </c>
      <c r="E17" s="3100">
        <v>0.83</v>
      </c>
      <c r="F17" s="3102">
        <f t="shared" si="0"/>
        <v>9213.8042699999987</v>
      </c>
      <c r="G17" s="3103">
        <f>F17/G2</f>
        <v>1.7496867551302692E-3</v>
      </c>
      <c r="H17" s="485"/>
      <c r="I17" s="3218">
        <f>'[5]TABLAS AUXILIARES'!H35</f>
        <v>18.28</v>
      </c>
      <c r="J17" s="3203">
        <f t="shared" ref="J17:J18" si="2">F17/I17</f>
        <v>504.03743271334781</v>
      </c>
      <c r="K17" s="485"/>
      <c r="L17" s="485"/>
      <c r="M17" s="485"/>
      <c r="N17" s="485"/>
      <c r="O17" s="485"/>
    </row>
    <row r="18" spans="1:20" ht="16.5">
      <c r="A18" s="3044" t="s">
        <v>3199</v>
      </c>
      <c r="B18" s="3045" t="s">
        <v>3200</v>
      </c>
      <c r="C18" s="3098" t="s">
        <v>3196</v>
      </c>
      <c r="D18" s="3102">
        <f>G4</f>
        <v>11100.968999999999</v>
      </c>
      <c r="E18" s="3100">
        <v>0.75</v>
      </c>
      <c r="F18" s="3102">
        <f t="shared" si="0"/>
        <v>8325.7267499999998</v>
      </c>
      <c r="G18" s="3103">
        <f>F18/G2</f>
        <v>1.5810422486116893E-3</v>
      </c>
      <c r="H18" s="485"/>
      <c r="I18" s="3218">
        <f>'[5]TABLAS AUXILIARES'!H35</f>
        <v>18.28</v>
      </c>
      <c r="J18" s="3203">
        <f t="shared" si="2"/>
        <v>455.45551148796494</v>
      </c>
      <c r="K18" s="485"/>
      <c r="L18" s="485"/>
      <c r="M18" s="485"/>
      <c r="N18" s="485"/>
      <c r="O18" s="485"/>
    </row>
    <row r="19" spans="1:20">
      <c r="A19" s="3048" t="s">
        <v>3201</v>
      </c>
      <c r="B19" s="3049" t="s">
        <v>3188</v>
      </c>
      <c r="C19" s="3049"/>
      <c r="D19" s="3104"/>
      <c r="E19" s="3049"/>
      <c r="F19" s="3104"/>
      <c r="G19" s="3105"/>
      <c r="H19" s="485"/>
      <c r="I19" s="3205" t="s">
        <v>3303</v>
      </c>
      <c r="J19" s="3207">
        <f>SUM(J16:J18)</f>
        <v>1232.7662510940918</v>
      </c>
      <c r="K19" s="485"/>
      <c r="L19" s="485"/>
      <c r="M19" s="485"/>
      <c r="N19" s="485"/>
      <c r="O19" s="485"/>
    </row>
    <row r="20" spans="1:20">
      <c r="A20" s="3106" t="s">
        <v>3202</v>
      </c>
      <c r="B20" s="3107" t="s">
        <v>3203</v>
      </c>
      <c r="C20" s="3107"/>
      <c r="D20" s="3107"/>
      <c r="E20" s="3107"/>
      <c r="F20" s="3108">
        <f>SUM(F21:F23)</f>
        <v>2220.1938</v>
      </c>
      <c r="G20" s="3109">
        <f>SUM(G21:G23)</f>
        <v>4.2161126629645051E-4</v>
      </c>
      <c r="H20" s="485"/>
      <c r="I20" s="485"/>
      <c r="J20" s="485"/>
      <c r="K20" s="485"/>
      <c r="L20" s="485"/>
      <c r="M20" s="485"/>
      <c r="N20" s="485"/>
      <c r="O20" s="485"/>
    </row>
    <row r="21" spans="1:20" ht="16.5">
      <c r="A21" s="3110" t="s">
        <v>3204</v>
      </c>
      <c r="B21" s="3111" t="s">
        <v>3205</v>
      </c>
      <c r="C21" s="3112" t="s">
        <v>3196</v>
      </c>
      <c r="D21" s="3113">
        <f>G4</f>
        <v>11100.968999999999</v>
      </c>
      <c r="E21" s="3111">
        <v>0.02</v>
      </c>
      <c r="F21" s="3113">
        <f t="shared" ref="F21:F23" si="3">E21*D21</f>
        <v>222.01937999999998</v>
      </c>
      <c r="G21" s="3114">
        <f>F21/G2</f>
        <v>4.2161126629645048E-5</v>
      </c>
      <c r="H21" s="485"/>
      <c r="I21" s="485"/>
      <c r="J21" s="485"/>
      <c r="K21" s="485"/>
      <c r="L21" s="485"/>
      <c r="M21" s="485"/>
      <c r="N21" s="485"/>
      <c r="O21" s="485"/>
    </row>
    <row r="22" spans="1:20" ht="16.5">
      <c r="A22" s="3115" t="s">
        <v>3206</v>
      </c>
      <c r="B22" s="3116" t="s">
        <v>3207</v>
      </c>
      <c r="C22" s="3112" t="s">
        <v>3196</v>
      </c>
      <c r="D22" s="3117">
        <f>G4</f>
        <v>11100.968999999999</v>
      </c>
      <c r="E22" s="3118">
        <v>0.1</v>
      </c>
      <c r="F22" s="3117">
        <f t="shared" si="3"/>
        <v>1110.0969</v>
      </c>
      <c r="G22" s="3119">
        <f>F22/G2</f>
        <v>2.1080563314822525E-4</v>
      </c>
      <c r="H22" s="485"/>
      <c r="I22" s="4614" t="s">
        <v>367</v>
      </c>
      <c r="J22" s="4615"/>
      <c r="K22" s="485"/>
      <c r="L22" s="485"/>
      <c r="M22" s="485"/>
      <c r="N22" s="485"/>
      <c r="O22" s="485"/>
    </row>
    <row r="23" spans="1:20" ht="16.5">
      <c r="A23" s="3120" t="s">
        <v>3208</v>
      </c>
      <c r="B23" s="3121" t="s">
        <v>3209</v>
      </c>
      <c r="C23" s="3122" t="s">
        <v>3196</v>
      </c>
      <c r="D23" s="3123">
        <f>G4</f>
        <v>11100.968999999999</v>
      </c>
      <c r="E23" s="3121">
        <v>0.08</v>
      </c>
      <c r="F23" s="3123">
        <f t="shared" si="3"/>
        <v>888.07751999999994</v>
      </c>
      <c r="G23" s="3124">
        <f>F23/G2</f>
        <v>1.6864450651858019E-4</v>
      </c>
      <c r="H23" s="485"/>
      <c r="I23" s="3094" t="s">
        <v>3210</v>
      </c>
      <c r="J23" s="3125" t="s">
        <v>3211</v>
      </c>
      <c r="K23" s="485"/>
      <c r="L23" s="485"/>
      <c r="M23" s="485"/>
      <c r="N23" s="485"/>
      <c r="O23" s="485"/>
    </row>
    <row r="24" spans="1:20" ht="16.5">
      <c r="A24" s="3126" t="s">
        <v>3212</v>
      </c>
      <c r="B24" s="3127" t="s">
        <v>367</v>
      </c>
      <c r="C24" s="3122" t="s">
        <v>3213</v>
      </c>
      <c r="D24" s="3123">
        <f>G4</f>
        <v>11100.968999999999</v>
      </c>
      <c r="E24" s="3128"/>
      <c r="F24" s="3129"/>
      <c r="G24" s="3130"/>
      <c r="H24" s="485"/>
      <c r="I24" s="3220">
        <v>0.17199999999999999</v>
      </c>
      <c r="J24" s="3234">
        <f>I24*D24</f>
        <v>1909.3666679999997</v>
      </c>
      <c r="K24" s="485"/>
      <c r="L24" s="485"/>
      <c r="M24" s="485"/>
      <c r="N24" s="485"/>
      <c r="O24" s="485"/>
    </row>
    <row r="25" spans="1:20">
      <c r="A25" s="3126" t="s">
        <v>3214</v>
      </c>
      <c r="B25" s="3128" t="s">
        <v>3188</v>
      </c>
      <c r="C25" s="3131"/>
      <c r="D25" s="3128"/>
      <c r="E25" s="3128"/>
      <c r="F25" s="3129"/>
      <c r="G25" s="3130"/>
      <c r="H25" s="485"/>
      <c r="I25" s="485"/>
      <c r="J25" s="485"/>
      <c r="K25" s="485"/>
      <c r="L25" s="485"/>
      <c r="M25" s="485"/>
      <c r="N25" s="485"/>
      <c r="O25" s="485"/>
    </row>
    <row r="26" spans="1:20">
      <c r="A26" s="3090" t="s">
        <v>3215</v>
      </c>
      <c r="B26" s="3091" t="s">
        <v>3216</v>
      </c>
      <c r="C26" s="3091"/>
      <c r="D26" s="3091"/>
      <c r="E26" s="3091"/>
      <c r="F26" s="3092">
        <f>F27+F33+F34+F35+F36+F37</f>
        <v>191388.86</v>
      </c>
      <c r="G26" s="3093">
        <f>G27+G33+G34+G35+G36+G37</f>
        <v>3.6344439669921652E-2</v>
      </c>
      <c r="H26" s="485"/>
      <c r="I26" s="4616" t="s">
        <v>3307</v>
      </c>
      <c r="J26" s="4617"/>
      <c r="K26" s="4617"/>
      <c r="L26" s="4618"/>
      <c r="M26" s="3039"/>
      <c r="N26" s="3039"/>
      <c r="O26" s="4589" t="s">
        <v>3305</v>
      </c>
      <c r="P26" s="4590"/>
      <c r="Q26" s="485"/>
      <c r="R26" s="485"/>
    </row>
    <row r="27" spans="1:20">
      <c r="A27" s="3110" t="s">
        <v>3218</v>
      </c>
      <c r="B27" s="3132" t="s">
        <v>3219</v>
      </c>
      <c r="C27" s="3111"/>
      <c r="D27" s="3111"/>
      <c r="E27" s="3111"/>
      <c r="F27" s="3113">
        <f>SUM(F28:F32)</f>
        <v>187904.3</v>
      </c>
      <c r="G27" s="3114">
        <f>SUM(G28:G32)</f>
        <v>3.5682727276127035E-2</v>
      </c>
      <c r="H27" s="2503"/>
      <c r="I27" s="3159" t="s">
        <v>2878</v>
      </c>
      <c r="J27" s="2527" t="s">
        <v>3176</v>
      </c>
      <c r="K27" s="2527" t="s">
        <v>3177</v>
      </c>
      <c r="L27" s="3200" t="s">
        <v>3220</v>
      </c>
      <c r="M27" s="17"/>
      <c r="N27" s="17"/>
      <c r="O27" s="3201" t="s">
        <v>3176</v>
      </c>
      <c r="P27" s="3095" t="s">
        <v>3177</v>
      </c>
      <c r="Q27" s="485"/>
      <c r="R27" s="485"/>
    </row>
    <row r="28" spans="1:20">
      <c r="A28" s="3044" t="s">
        <v>3221</v>
      </c>
      <c r="B28" s="3045" t="s">
        <v>3222</v>
      </c>
      <c r="C28" s="3098" t="s">
        <v>3180</v>
      </c>
      <c r="D28" s="3188">
        <f>G3</f>
        <v>12</v>
      </c>
      <c r="E28" s="3100">
        <v>4314.96</v>
      </c>
      <c r="F28" s="3102">
        <f>E28*D28</f>
        <v>51779.520000000004</v>
      </c>
      <c r="G28" s="3103">
        <f>F28/G2</f>
        <v>9.8328483736070185E-3</v>
      </c>
      <c r="H28" s="3133" t="s">
        <v>3223</v>
      </c>
      <c r="I28" s="3230">
        <v>12</v>
      </c>
      <c r="J28" s="3217">
        <f>'[5]TABLAS AUXILIARES'!G10</f>
        <v>127.08333333333333</v>
      </c>
      <c r="K28" s="3213">
        <f>D28*J28</f>
        <v>1525</v>
      </c>
      <c r="L28" s="3208">
        <f t="shared" ref="L28" si="4">I28*K28</f>
        <v>18300</v>
      </c>
      <c r="M28" s="3199"/>
      <c r="N28" s="3199"/>
      <c r="O28" s="3222">
        <v>127.08333333333333</v>
      </c>
      <c r="P28" s="3203">
        <f>D28*O28</f>
        <v>1525</v>
      </c>
      <c r="S28" s="4586" t="s">
        <v>3224</v>
      </c>
      <c r="T28" s="4587"/>
    </row>
    <row r="29" spans="1:20">
      <c r="A29" s="3115" t="s">
        <v>3225</v>
      </c>
      <c r="B29" s="3118" t="s">
        <v>3226</v>
      </c>
      <c r="C29" s="3135" t="s">
        <v>3227</v>
      </c>
      <c r="D29" s="3507">
        <v>22</v>
      </c>
      <c r="E29" s="3136">
        <v>6187.49</v>
      </c>
      <c r="F29" s="3117">
        <f t="shared" ref="F29" si="5">E29*D29</f>
        <v>136124.78</v>
      </c>
      <c r="G29" s="3119">
        <f>F29/G2</f>
        <v>2.5849878902520013E-2</v>
      </c>
      <c r="H29" s="485"/>
      <c r="I29" s="3231"/>
      <c r="J29" s="3218"/>
      <c r="K29" s="3214"/>
      <c r="L29" s="3209"/>
      <c r="M29" s="3197"/>
      <c r="N29" s="3197"/>
      <c r="O29" s="3209"/>
      <c r="P29" s="3204"/>
      <c r="S29" s="3138" t="s">
        <v>3228</v>
      </c>
      <c r="T29" s="3139" t="s">
        <v>2881</v>
      </c>
    </row>
    <row r="30" spans="1:20">
      <c r="A30" s="3044" t="s">
        <v>3229</v>
      </c>
      <c r="B30" s="3045" t="s">
        <v>3230</v>
      </c>
      <c r="C30" s="3098" t="s">
        <v>3180</v>
      </c>
      <c r="D30" s="3102">
        <v>0</v>
      </c>
      <c r="E30" s="3100"/>
      <c r="F30" s="3102"/>
      <c r="G30" s="3103"/>
      <c r="H30" s="3133" t="s">
        <v>3231</v>
      </c>
      <c r="I30" s="3232">
        <v>90</v>
      </c>
      <c r="J30" s="3219">
        <f>'[5]TABLAS AUXILIARES'!G10*0.8</f>
        <v>101.66666666666667</v>
      </c>
      <c r="K30" s="3215">
        <f t="shared" ref="K30:K34" si="6">D30*J30</f>
        <v>0</v>
      </c>
      <c r="L30" s="3210">
        <f>I30*K30</f>
        <v>0</v>
      </c>
      <c r="M30" s="3198"/>
      <c r="N30" s="3198"/>
      <c r="O30" s="3223"/>
      <c r="P30" s="3203">
        <f>D30*'[5]TABLAS AUXILIARES'!G10</f>
        <v>0</v>
      </c>
      <c r="S30" s="3140">
        <v>0.2</v>
      </c>
      <c r="T30" s="3140">
        <f>L30*S30</f>
        <v>0</v>
      </c>
    </row>
    <row r="31" spans="1:20">
      <c r="A31" s="3044" t="s">
        <v>3232</v>
      </c>
      <c r="B31" s="3045" t="s">
        <v>3233</v>
      </c>
      <c r="C31" s="3098" t="s">
        <v>3180</v>
      </c>
      <c r="D31" s="3102">
        <v>0</v>
      </c>
      <c r="E31" s="3100"/>
      <c r="F31" s="3102"/>
      <c r="G31" s="3103"/>
      <c r="H31" s="3133" t="s">
        <v>3231</v>
      </c>
      <c r="I31" s="3221">
        <v>3</v>
      </c>
      <c r="J31" s="3220">
        <f>'[5]TABLAS AUXILIARES'!G10*0.8</f>
        <v>101.66666666666667</v>
      </c>
      <c r="K31" s="3216">
        <f t="shared" si="6"/>
        <v>0</v>
      </c>
      <c r="L31" s="3211">
        <f t="shared" ref="L31" si="7">I31*K31</f>
        <v>0</v>
      </c>
      <c r="M31" s="3198"/>
      <c r="N31" s="3198"/>
      <c r="O31" s="3223"/>
      <c r="P31" s="3203">
        <f>D31*'[5]TABLAS AUXILIARES'!G10</f>
        <v>0</v>
      </c>
      <c r="Q31" s="3141"/>
      <c r="R31" s="3141"/>
    </row>
    <row r="32" spans="1:20">
      <c r="A32" s="3044" t="s">
        <v>3234</v>
      </c>
      <c r="B32" s="3045" t="s">
        <v>3235</v>
      </c>
      <c r="C32" s="3098" t="s">
        <v>3180</v>
      </c>
      <c r="D32" s="3102">
        <v>0</v>
      </c>
      <c r="E32" s="3102"/>
      <c r="F32" s="3102"/>
      <c r="G32" s="3103"/>
      <c r="H32" s="3133" t="s">
        <v>3231</v>
      </c>
      <c r="I32" s="3221">
        <v>3</v>
      </c>
      <c r="J32" s="3221">
        <f>'[5]TABLAS AUXILIARES'!G10*0.8</f>
        <v>101.66666666666667</v>
      </c>
      <c r="K32" s="3216">
        <f t="shared" si="6"/>
        <v>0</v>
      </c>
      <c r="L32" s="3211">
        <f>I32*K32</f>
        <v>0</v>
      </c>
      <c r="M32" s="3198"/>
      <c r="N32" s="3198"/>
      <c r="O32" s="3223"/>
      <c r="P32" s="3203">
        <f>D32*'[5]TABLAS AUXILIARES'!G10</f>
        <v>0</v>
      </c>
      <c r="Q32" s="485"/>
      <c r="R32" s="485"/>
    </row>
    <row r="33" spans="1:18">
      <c r="A33" s="3044" t="s">
        <v>3236</v>
      </c>
      <c r="B33" s="3045" t="s">
        <v>3237</v>
      </c>
      <c r="C33" s="3098" t="s">
        <v>3180</v>
      </c>
      <c r="D33" s="3508">
        <v>8</v>
      </c>
      <c r="E33" s="3100">
        <v>435.57</v>
      </c>
      <c r="F33" s="3102">
        <f>E33*D33</f>
        <v>3484.56</v>
      </c>
      <c r="G33" s="3103">
        <f>F33/G2</f>
        <v>6.6171239379461352E-4</v>
      </c>
      <c r="H33" s="3133" t="s">
        <v>3231</v>
      </c>
      <c r="I33" s="3233">
        <v>1.47</v>
      </c>
      <c r="J33" s="3221">
        <f>'[5]TABLAS AUXILIARES'!G10*0.8</f>
        <v>101.66666666666667</v>
      </c>
      <c r="K33" s="3213">
        <f t="shared" si="6"/>
        <v>813.33333333333337</v>
      </c>
      <c r="L33" s="3208">
        <f>I33*K33</f>
        <v>1195.6000000000001</v>
      </c>
      <c r="M33" s="3199"/>
      <c r="N33" s="3199"/>
      <c r="O33" s="3222">
        <v>127.08333333333333</v>
      </c>
      <c r="P33" s="3203">
        <f>D33*O33</f>
        <v>1016.6666666666666</v>
      </c>
      <c r="Q33" s="485"/>
      <c r="R33" s="485"/>
    </row>
    <row r="34" spans="1:18">
      <c r="A34" s="3044" t="s">
        <v>3238</v>
      </c>
      <c r="B34" s="3045" t="s">
        <v>3239</v>
      </c>
      <c r="C34" s="3098" t="s">
        <v>3180</v>
      </c>
      <c r="D34" s="3102">
        <v>0</v>
      </c>
      <c r="E34" s="3100">
        <v>217.13</v>
      </c>
      <c r="F34" s="3102">
        <f>E34*D34</f>
        <v>0</v>
      </c>
      <c r="G34" s="3103">
        <f>F34/G2</f>
        <v>0</v>
      </c>
      <c r="H34" s="3133" t="s">
        <v>3231</v>
      </c>
      <c r="I34" s="3221">
        <v>1.6</v>
      </c>
      <c r="J34" s="3221">
        <f>'[5]TABLAS AUXILIARES'!G10*0.8</f>
        <v>101.66666666666667</v>
      </c>
      <c r="K34" s="3216">
        <f t="shared" si="6"/>
        <v>0</v>
      </c>
      <c r="L34" s="3211">
        <f>I34*K34</f>
        <v>0</v>
      </c>
      <c r="M34" s="3198"/>
      <c r="N34" s="3198"/>
      <c r="O34" s="3224"/>
      <c r="P34" s="3203">
        <f>D34*'[5]TABLAS AUXILIARES'!G10</f>
        <v>0</v>
      </c>
      <c r="Q34" s="485"/>
      <c r="R34" s="485"/>
    </row>
    <row r="35" spans="1:18" ht="16.5">
      <c r="A35" s="3115" t="s">
        <v>3240</v>
      </c>
      <c r="B35" s="3118" t="s">
        <v>3241</v>
      </c>
      <c r="C35" s="3098" t="s">
        <v>3196</v>
      </c>
      <c r="D35" s="3117">
        <v>0</v>
      </c>
      <c r="E35" s="3136">
        <v>0.61</v>
      </c>
      <c r="F35" s="3117">
        <f>E35*D35</f>
        <v>0</v>
      </c>
      <c r="G35" s="3119">
        <f>F35/G2</f>
        <v>0</v>
      </c>
      <c r="H35" s="485"/>
      <c r="I35" s="4611" t="s">
        <v>3304</v>
      </c>
      <c r="J35" s="4611"/>
      <c r="K35" s="4611"/>
      <c r="L35" s="3212">
        <f>SUM(L28:L34)</f>
        <v>19495.599999999999</v>
      </c>
      <c r="M35" s="3199"/>
      <c r="N35" s="4609" t="s">
        <v>3303</v>
      </c>
      <c r="O35" s="4610"/>
      <c r="P35" s="3202">
        <f>SUM(P28:P34)</f>
        <v>2541.6666666666665</v>
      </c>
      <c r="Q35" s="485"/>
      <c r="R35" s="485"/>
    </row>
    <row r="36" spans="1:18" ht="16.5">
      <c r="A36" s="3120" t="s">
        <v>3242</v>
      </c>
      <c r="B36" s="3121" t="s">
        <v>3243</v>
      </c>
      <c r="C36" s="3098" t="s">
        <v>3196</v>
      </c>
      <c r="D36" s="3123">
        <v>0</v>
      </c>
      <c r="E36" s="3142">
        <v>1.43</v>
      </c>
      <c r="F36" s="3123">
        <f>E36*D36</f>
        <v>0</v>
      </c>
      <c r="G36" s="3124">
        <f>F36/G2</f>
        <v>0</v>
      </c>
      <c r="H36" s="2503"/>
      <c r="I36" s="2503"/>
      <c r="J36" s="2503"/>
      <c r="K36" s="2503"/>
      <c r="L36" s="2503"/>
      <c r="M36" s="2503"/>
      <c r="N36" s="2503"/>
      <c r="O36" s="2503"/>
      <c r="P36" s="2503"/>
    </row>
    <row r="37" spans="1:18">
      <c r="A37" s="3143" t="s">
        <v>3244</v>
      </c>
      <c r="B37" s="3144" t="s">
        <v>3188</v>
      </c>
      <c r="C37" s="3145" t="s">
        <v>3180</v>
      </c>
      <c r="D37" s="3146">
        <v>0</v>
      </c>
      <c r="E37" s="3147">
        <v>217.78</v>
      </c>
      <c r="F37" s="3146">
        <f>E37*D37</f>
        <v>0</v>
      </c>
      <c r="G37" s="3148">
        <f>F37/G2</f>
        <v>0</v>
      </c>
      <c r="H37" s="485"/>
      <c r="I37" s="485"/>
      <c r="J37" s="485"/>
      <c r="K37" s="485"/>
      <c r="L37" s="485"/>
      <c r="M37" s="485"/>
      <c r="N37" s="485"/>
      <c r="O37" s="485"/>
    </row>
    <row r="38" spans="1:18">
      <c r="A38" s="3085" t="s">
        <v>3245</v>
      </c>
      <c r="B38" s="3086" t="s">
        <v>3246</v>
      </c>
      <c r="C38" s="3086"/>
      <c r="D38" s="3086"/>
      <c r="E38" s="3087"/>
      <c r="F38" s="3087">
        <f>F39+F46+F51+F52</f>
        <v>10467.700000000001</v>
      </c>
      <c r="G38" s="3088">
        <f xml:space="preserve"> G39+G46+G51+G52+G54</f>
        <v>1.9877995570527916E-3</v>
      </c>
      <c r="H38" s="485"/>
      <c r="I38" s="4591" t="s">
        <v>3308</v>
      </c>
      <c r="J38" s="4592"/>
      <c r="K38" s="4593"/>
      <c r="L38" s="485"/>
      <c r="M38" s="485"/>
      <c r="N38" s="485"/>
      <c r="O38" s="485"/>
    </row>
    <row r="39" spans="1:18" ht="16.5">
      <c r="A39" s="3149" t="s">
        <v>3247</v>
      </c>
      <c r="B39" s="3150" t="s">
        <v>3248</v>
      </c>
      <c r="C39" s="3150"/>
      <c r="D39" s="3150"/>
      <c r="E39" s="3151"/>
      <c r="F39" s="3151">
        <f>SUM(F40:F45)</f>
        <v>7467.7000000000007</v>
      </c>
      <c r="G39" s="3152">
        <f>SUM(G40:G45)</f>
        <v>1.418104335451258E-3</v>
      </c>
      <c r="H39" s="485"/>
      <c r="I39" s="3195" t="s">
        <v>3253</v>
      </c>
      <c r="J39" s="3196" t="s">
        <v>3302</v>
      </c>
      <c r="K39" s="3163" t="s">
        <v>3220</v>
      </c>
      <c r="L39" s="485"/>
      <c r="M39" s="485"/>
      <c r="N39" s="485"/>
      <c r="O39" s="485"/>
      <c r="P39" s="485"/>
    </row>
    <row r="40" spans="1:18" ht="16.5">
      <c r="A40" s="3044" t="s">
        <v>3249</v>
      </c>
      <c r="B40" s="3189" t="s">
        <v>3250</v>
      </c>
      <c r="C40" s="3153" t="s">
        <v>3196</v>
      </c>
      <c r="D40" s="3194">
        <v>20.5</v>
      </c>
      <c r="E40" s="3136">
        <v>138.4</v>
      </c>
      <c r="F40" s="3102">
        <f>E40*D40</f>
        <v>2837.2000000000003</v>
      </c>
      <c r="G40" s="3103">
        <f>F40/G2</f>
        <v>5.3877976090929063E-4</v>
      </c>
      <c r="H40" s="485"/>
      <c r="I40" s="3229">
        <f>'[5]TABLAS AUXILIARES'!L23</f>
        <v>208</v>
      </c>
      <c r="J40" s="3229">
        <f>D40+D41+D42+D45</f>
        <v>97.1</v>
      </c>
      <c r="K40" s="3208">
        <f>I40*J40</f>
        <v>20196.8</v>
      </c>
      <c r="M40" s="485"/>
      <c r="N40" s="485"/>
      <c r="O40" s="485"/>
      <c r="P40" s="485"/>
    </row>
    <row r="41" spans="1:18" ht="16.5">
      <c r="A41" s="3044"/>
      <c r="B41" s="3189" t="s">
        <v>3296</v>
      </c>
      <c r="C41" s="3153" t="s">
        <v>3196</v>
      </c>
      <c r="D41" s="3194">
        <f>'Huella mano de obra'!U29*2</f>
        <v>26</v>
      </c>
      <c r="E41" s="3136"/>
      <c r="F41" s="3102"/>
      <c r="G41" s="3103"/>
      <c r="H41" s="485"/>
      <c r="I41" s="4608" t="s">
        <v>3304</v>
      </c>
      <c r="J41" s="4608"/>
      <c r="K41" s="3212">
        <f>SUM(K37:K40)</f>
        <v>20196.8</v>
      </c>
      <c r="M41" s="485"/>
      <c r="N41" s="485"/>
      <c r="O41" s="485"/>
      <c r="P41" s="485"/>
    </row>
    <row r="42" spans="1:18" ht="16.5">
      <c r="A42" s="3044"/>
      <c r="B42" s="3189" t="s">
        <v>3297</v>
      </c>
      <c r="C42" s="3153" t="s">
        <v>3196</v>
      </c>
      <c r="D42" s="3194">
        <f>'Huella mano de obra'!U29*1.2</f>
        <v>15.6</v>
      </c>
      <c r="E42" s="3136"/>
      <c r="F42" s="3102"/>
      <c r="G42" s="3103"/>
      <c r="H42" s="485"/>
      <c r="I42" s="3238"/>
      <c r="J42" s="3239"/>
      <c r="K42" s="3240"/>
      <c r="M42" s="485"/>
      <c r="N42" s="485"/>
      <c r="O42" s="485"/>
      <c r="P42" s="485"/>
    </row>
    <row r="43" spans="1:18" ht="16.5">
      <c r="A43" s="3044"/>
      <c r="B43" s="3189" t="s">
        <v>3298</v>
      </c>
      <c r="C43" s="3153" t="s">
        <v>3196</v>
      </c>
      <c r="D43" s="3102"/>
      <c r="E43" s="3136"/>
      <c r="F43" s="3102"/>
      <c r="G43" s="3103"/>
      <c r="H43" s="485"/>
      <c r="I43" s="4591" t="s">
        <v>3312</v>
      </c>
      <c r="J43" s="4592"/>
      <c r="K43" s="4593"/>
      <c r="L43" s="17"/>
      <c r="M43" s="485"/>
      <c r="N43" s="485"/>
      <c r="O43" s="485"/>
      <c r="P43" s="485"/>
    </row>
    <row r="44" spans="1:18" ht="16.5">
      <c r="A44" s="3044" t="s">
        <v>3251</v>
      </c>
      <c r="B44" s="3189" t="s">
        <v>3252</v>
      </c>
      <c r="C44" s="3153" t="s">
        <v>3196</v>
      </c>
      <c r="D44" s="3102"/>
      <c r="E44" s="3136"/>
      <c r="F44" s="3102"/>
      <c r="G44" s="3103"/>
      <c r="H44" s="485"/>
      <c r="I44" s="3229">
        <v>2.6</v>
      </c>
      <c r="J44" s="3229">
        <f>D53</f>
        <v>11100.968999999999</v>
      </c>
      <c r="K44" s="3208">
        <f>I44*J44</f>
        <v>28862.519399999997</v>
      </c>
      <c r="L44" s="485"/>
      <c r="M44" s="485"/>
      <c r="N44" s="485"/>
      <c r="O44" s="485"/>
    </row>
    <row r="45" spans="1:18" ht="24" customHeight="1">
      <c r="A45" s="3044" t="s">
        <v>3254</v>
      </c>
      <c r="B45" s="3045" t="s">
        <v>3255</v>
      </c>
      <c r="C45" s="3153" t="s">
        <v>3196</v>
      </c>
      <c r="D45" s="3102">
        <v>35</v>
      </c>
      <c r="E45" s="3136">
        <v>132.30000000000001</v>
      </c>
      <c r="F45" s="3102">
        <f>E45*D45</f>
        <v>4630.5</v>
      </c>
      <c r="G45" s="3103">
        <f>F45/G2</f>
        <v>8.793245745419674E-4</v>
      </c>
      <c r="H45" s="4588" t="s">
        <v>3261</v>
      </c>
      <c r="I45" s="4608" t="s">
        <v>3304</v>
      </c>
      <c r="J45" s="4608"/>
      <c r="K45" s="3212">
        <f>SUM(K44)</f>
        <v>28862.519399999997</v>
      </c>
      <c r="L45" s="485"/>
      <c r="M45" s="485"/>
      <c r="N45" s="485"/>
      <c r="O45" s="485"/>
    </row>
    <row r="46" spans="1:18">
      <c r="A46" s="3154" t="s">
        <v>3256</v>
      </c>
      <c r="B46" s="3155" t="s">
        <v>3257</v>
      </c>
      <c r="C46" s="3156"/>
      <c r="D46" s="248"/>
      <c r="E46" s="248"/>
      <c r="F46" s="3157">
        <f>F47+F48+F49+F50</f>
        <v>3000</v>
      </c>
      <c r="G46" s="3158">
        <f>SUM(G47:G50)</f>
        <v>5.6969522160153373E-4</v>
      </c>
      <c r="H46" s="4588"/>
      <c r="I46" s="3134"/>
      <c r="J46" s="3134"/>
      <c r="K46" s="3137"/>
      <c r="L46" s="485"/>
      <c r="M46" s="485"/>
      <c r="N46" s="485"/>
      <c r="O46" s="485"/>
    </row>
    <row r="47" spans="1:18" ht="21" customHeight="1">
      <c r="A47" s="3044" t="s">
        <v>3259</v>
      </c>
      <c r="B47" s="3045" t="s">
        <v>3260</v>
      </c>
      <c r="C47" s="3135" t="s">
        <v>1504</v>
      </c>
      <c r="D47" s="3102">
        <v>1</v>
      </c>
      <c r="E47" s="3102">
        <v>1500</v>
      </c>
      <c r="F47" s="3102">
        <f t="shared" ref="F47:F52" si="8">E47*D47</f>
        <v>1500</v>
      </c>
      <c r="G47" s="3103">
        <f>F47/G2</f>
        <v>2.8484761080076692E-4</v>
      </c>
      <c r="H47" s="4588"/>
      <c r="I47" s="4594" t="s">
        <v>3309</v>
      </c>
      <c r="J47" s="4595"/>
      <c r="K47" s="4596"/>
      <c r="L47" s="485"/>
      <c r="M47" s="485"/>
      <c r="N47" s="485"/>
      <c r="O47" s="485"/>
    </row>
    <row r="48" spans="1:18" ht="21.75" customHeight="1">
      <c r="A48" s="3044" t="s">
        <v>3262</v>
      </c>
      <c r="B48" s="3045" t="s">
        <v>3263</v>
      </c>
      <c r="C48" s="3135" t="s">
        <v>1504</v>
      </c>
      <c r="D48" s="3102">
        <v>1</v>
      </c>
      <c r="E48" s="3102">
        <v>300</v>
      </c>
      <c r="F48" s="3102">
        <f t="shared" si="8"/>
        <v>300</v>
      </c>
      <c r="G48" s="3103">
        <f>F48/G2</f>
        <v>5.6969522160153382E-5</v>
      </c>
      <c r="H48" s="4588"/>
      <c r="I48" s="3159" t="s">
        <v>3258</v>
      </c>
      <c r="J48" s="3068" t="s">
        <v>3193</v>
      </c>
      <c r="K48" s="3225" t="s">
        <v>3295</v>
      </c>
      <c r="L48" s="485"/>
      <c r="M48" s="485"/>
      <c r="N48" s="485"/>
      <c r="O48" s="485"/>
    </row>
    <row r="49" spans="1:15">
      <c r="A49" s="3044" t="s">
        <v>3264</v>
      </c>
      <c r="B49" s="3045" t="s">
        <v>3265</v>
      </c>
      <c r="C49" s="3135" t="s">
        <v>1504</v>
      </c>
      <c r="D49" s="3102">
        <v>1</v>
      </c>
      <c r="E49" s="3102">
        <v>1000</v>
      </c>
      <c r="F49" s="3102">
        <f t="shared" si="8"/>
        <v>1000</v>
      </c>
      <c r="G49" s="3103">
        <f>F49/G2</f>
        <v>1.8989840720051127E-4</v>
      </c>
      <c r="H49" s="4588"/>
      <c r="I49" s="3218">
        <f>F47*0.4</f>
        <v>600</v>
      </c>
      <c r="J49" s="2528">
        <f>'[5]TABLAS AUXILIARES'!H35</f>
        <v>18.28</v>
      </c>
      <c r="K49" s="3203">
        <f>I49/J49</f>
        <v>32.822757111597369</v>
      </c>
      <c r="L49" s="485"/>
      <c r="M49" s="485"/>
      <c r="N49" s="485"/>
    </row>
    <row r="50" spans="1:15">
      <c r="A50" s="3044" t="s">
        <v>3266</v>
      </c>
      <c r="B50" s="3045" t="s">
        <v>3267</v>
      </c>
      <c r="C50" s="3135" t="s">
        <v>1504</v>
      </c>
      <c r="D50" s="3102">
        <v>1</v>
      </c>
      <c r="E50" s="3102">
        <v>200</v>
      </c>
      <c r="F50" s="3102">
        <f t="shared" si="8"/>
        <v>200</v>
      </c>
      <c r="G50" s="3103">
        <f>F50/G2</f>
        <v>3.7979681440102252E-5</v>
      </c>
      <c r="H50" s="485"/>
      <c r="I50" s="3218">
        <f>F48*0.4</f>
        <v>120</v>
      </c>
      <c r="J50" s="2528">
        <f>'[5]TABLAS AUXILIARES'!H35</f>
        <v>18.28</v>
      </c>
      <c r="K50" s="3203">
        <f>I50/J50</f>
        <v>6.5645514223194743</v>
      </c>
      <c r="M50" s="485"/>
      <c r="N50" s="485"/>
      <c r="O50" s="485"/>
    </row>
    <row r="51" spans="1:15">
      <c r="A51" s="3154" t="s">
        <v>3268</v>
      </c>
      <c r="B51" s="3155" t="s">
        <v>3269</v>
      </c>
      <c r="C51" s="3153" t="s">
        <v>1504</v>
      </c>
      <c r="D51" s="3160">
        <v>0</v>
      </c>
      <c r="E51" s="3147">
        <v>867.4</v>
      </c>
      <c r="F51" s="3160">
        <f t="shared" si="8"/>
        <v>0</v>
      </c>
      <c r="G51" s="3158">
        <f>F51/G2</f>
        <v>0</v>
      </c>
      <c r="H51" s="485"/>
      <c r="I51" s="3218">
        <f>F49*0.4</f>
        <v>400</v>
      </c>
      <c r="J51" s="2528">
        <f>'[5]TABLAS AUXILIARES'!H35</f>
        <v>18.28</v>
      </c>
      <c r="K51" s="3203">
        <f>I51/J51</f>
        <v>21.881838074398249</v>
      </c>
      <c r="L51" s="485"/>
      <c r="M51" s="485"/>
      <c r="N51" s="485"/>
      <c r="O51" s="485"/>
    </row>
    <row r="52" spans="1:15">
      <c r="A52" s="3154" t="s">
        <v>3270</v>
      </c>
      <c r="B52" s="3144" t="s">
        <v>3271</v>
      </c>
      <c r="C52" s="3153" t="s">
        <v>1504</v>
      </c>
      <c r="D52" s="3161">
        <v>0</v>
      </c>
      <c r="E52" s="3162">
        <v>1500</v>
      </c>
      <c r="F52" s="3160">
        <f t="shared" si="8"/>
        <v>0</v>
      </c>
      <c r="G52" s="3158">
        <f>F52/G2</f>
        <v>0</v>
      </c>
      <c r="H52" s="485"/>
      <c r="I52" s="3218">
        <f>F50*0.4</f>
        <v>80</v>
      </c>
      <c r="J52" s="2528">
        <f>'[5]TABLAS AUXILIARES'!H35</f>
        <v>18.28</v>
      </c>
      <c r="K52" s="3203">
        <f>I52/J52</f>
        <v>4.3763676148796495</v>
      </c>
      <c r="L52" s="485"/>
      <c r="M52" s="485"/>
      <c r="N52" s="485"/>
      <c r="O52" s="485"/>
    </row>
    <row r="53" spans="1:15" ht="16.5">
      <c r="A53" s="3143" t="s">
        <v>3272</v>
      </c>
      <c r="B53" s="3190" t="s">
        <v>3217</v>
      </c>
      <c r="C53" s="3153" t="s">
        <v>3196</v>
      </c>
      <c r="D53" s="3194">
        <f>G4</f>
        <v>11100.968999999999</v>
      </c>
      <c r="E53" s="3162"/>
      <c r="F53" s="3161"/>
      <c r="G53" s="3164"/>
      <c r="H53" s="485"/>
      <c r="I53" s="3218">
        <f>F51*0.4</f>
        <v>0</v>
      </c>
      <c r="J53" s="2528">
        <f>'[5]TABLAS AUXILIARES'!H35</f>
        <v>18.28</v>
      </c>
      <c r="K53" s="3203">
        <f>I53/J53</f>
        <v>0</v>
      </c>
      <c r="L53" s="485"/>
      <c r="M53" s="485"/>
      <c r="N53" s="485"/>
      <c r="O53" s="485"/>
    </row>
    <row r="54" spans="1:15">
      <c r="A54" s="3165" t="s">
        <v>3273</v>
      </c>
      <c r="B54" s="3166" t="s">
        <v>3188</v>
      </c>
      <c r="C54" s="3167"/>
      <c r="D54" s="3167"/>
      <c r="E54" s="3168"/>
      <c r="F54" s="3167"/>
      <c r="G54" s="3169"/>
      <c r="H54" s="485"/>
      <c r="I54" s="4609" t="s">
        <v>3303</v>
      </c>
      <c r="J54" s="4610"/>
      <c r="K54" s="3228">
        <f>SUM(K49:K53)</f>
        <v>65.645514223194752</v>
      </c>
      <c r="L54" s="485"/>
      <c r="M54" s="485"/>
      <c r="N54" s="485"/>
      <c r="O54" s="485"/>
    </row>
    <row r="55" spans="1:15">
      <c r="A55" s="3085" t="s">
        <v>3274</v>
      </c>
      <c r="B55" s="3086" t="s">
        <v>3275</v>
      </c>
      <c r="C55" s="3086"/>
      <c r="D55" s="3086"/>
      <c r="E55" s="3087"/>
      <c r="F55" s="3087">
        <f>SUM(F57:F61)</f>
        <v>67450.8</v>
      </c>
      <c r="G55" s="3088">
        <f>G56+G60+G61</f>
        <v>1.2808799484400247E-2</v>
      </c>
      <c r="H55" s="485"/>
      <c r="L55" s="485"/>
      <c r="M55" s="485"/>
      <c r="N55" s="485"/>
      <c r="O55" s="485"/>
    </row>
    <row r="56" spans="1:15">
      <c r="A56" s="3170" t="s">
        <v>3276</v>
      </c>
      <c r="B56" s="3171" t="s">
        <v>3277</v>
      </c>
      <c r="C56" s="248"/>
      <c r="D56" s="248"/>
      <c r="E56" s="248"/>
      <c r="F56" s="248"/>
      <c r="G56" s="3172">
        <f>SUM(G57:G59)</f>
        <v>6.9155302950210194E-3</v>
      </c>
      <c r="H56" s="485"/>
      <c r="I56" s="4594" t="s">
        <v>3310</v>
      </c>
      <c r="J56" s="4596"/>
      <c r="K56" s="3191"/>
      <c r="L56" s="485"/>
      <c r="M56" s="485"/>
      <c r="N56" s="485"/>
      <c r="O56" s="485"/>
    </row>
    <row r="57" spans="1:15">
      <c r="A57" s="3096" t="s">
        <v>3278</v>
      </c>
      <c r="B57" s="3097" t="s">
        <v>3279</v>
      </c>
      <c r="C57" s="3112" t="s">
        <v>3180</v>
      </c>
      <c r="D57" s="3099">
        <v>12</v>
      </c>
      <c r="E57" s="3099">
        <v>3034.75</v>
      </c>
      <c r="F57" s="3099">
        <f>E57*D57</f>
        <v>36417</v>
      </c>
      <c r="G57" s="3101">
        <f>F57/G2</f>
        <v>6.9155302950210194E-3</v>
      </c>
      <c r="H57" s="485"/>
      <c r="I57" s="4589" t="s">
        <v>3173</v>
      </c>
      <c r="J57" s="4590"/>
      <c r="K57" s="485"/>
      <c r="L57" s="485"/>
      <c r="M57" s="485"/>
      <c r="N57" s="485"/>
      <c r="O57" s="485"/>
    </row>
    <row r="58" spans="1:15">
      <c r="A58" s="3096" t="s">
        <v>3280</v>
      </c>
      <c r="B58" s="3097" t="s">
        <v>3281</v>
      </c>
      <c r="C58" s="3112"/>
      <c r="D58" s="3099">
        <v>0</v>
      </c>
      <c r="E58" s="3099"/>
      <c r="F58" s="3099"/>
      <c r="G58" s="3101"/>
      <c r="H58" s="485"/>
      <c r="I58" s="3226" t="s">
        <v>3176</v>
      </c>
      <c r="J58" s="3227" t="s">
        <v>3177</v>
      </c>
      <c r="K58" s="485"/>
      <c r="L58" s="485"/>
      <c r="M58" s="485"/>
      <c r="N58" s="485"/>
      <c r="O58" s="485"/>
    </row>
    <row r="59" spans="1:15">
      <c r="A59" s="3096" t="s">
        <v>3282</v>
      </c>
      <c r="B59" s="3097" t="s">
        <v>3283</v>
      </c>
      <c r="C59" s="3112" t="s">
        <v>3180</v>
      </c>
      <c r="D59" s="3099">
        <v>0</v>
      </c>
      <c r="E59" s="3099">
        <v>2586.15</v>
      </c>
      <c r="F59" s="3099">
        <f>E59*D59</f>
        <v>0</v>
      </c>
      <c r="G59" s="3101">
        <f>F59/G2</f>
        <v>0</v>
      </c>
      <c r="H59" s="485"/>
      <c r="I59" s="3217">
        <f>'[5]TABLAS AUXILIARES'!G10</f>
        <v>127.08333333333333</v>
      </c>
      <c r="J59" s="3203">
        <f>D57*I59</f>
        <v>1525</v>
      </c>
      <c r="K59" s="485"/>
      <c r="L59" s="485"/>
      <c r="M59" s="485"/>
      <c r="N59" s="485"/>
      <c r="O59" s="485"/>
    </row>
    <row r="60" spans="1:15">
      <c r="A60" s="3154" t="s">
        <v>3284</v>
      </c>
      <c r="B60" s="3155" t="s">
        <v>3285</v>
      </c>
      <c r="C60" s="3153" t="s">
        <v>3180</v>
      </c>
      <c r="D60" s="3160">
        <v>12</v>
      </c>
      <c r="E60" s="3160">
        <v>2586.15</v>
      </c>
      <c r="F60" s="3160">
        <f>E60*D60</f>
        <v>31033.800000000003</v>
      </c>
      <c r="G60" s="3158">
        <f>F60/G2</f>
        <v>5.8932691893792272E-3</v>
      </c>
      <c r="H60" s="485"/>
      <c r="I60" s="3217">
        <f>'[5]TABLAS AUXILIARES'!G10</f>
        <v>127.08333333333333</v>
      </c>
      <c r="J60" s="3203">
        <f>D58*I60</f>
        <v>0</v>
      </c>
      <c r="K60" s="485"/>
      <c r="L60" s="485"/>
      <c r="M60" s="485"/>
      <c r="N60" s="485"/>
      <c r="O60" s="485"/>
    </row>
    <row r="61" spans="1:15">
      <c r="A61" s="3173" t="s">
        <v>3286</v>
      </c>
      <c r="B61" s="3167" t="s">
        <v>3188</v>
      </c>
      <c r="C61" s="3167"/>
      <c r="D61" s="3167"/>
      <c r="E61" s="3167"/>
      <c r="F61" s="3167"/>
      <c r="G61" s="3169"/>
      <c r="H61" s="485"/>
      <c r="I61" s="3217">
        <f>'[5]TABLAS AUXILIARES'!G10</f>
        <v>127.08333333333333</v>
      </c>
      <c r="J61" s="3203">
        <f>D59*I61</f>
        <v>0</v>
      </c>
      <c r="K61" s="485"/>
      <c r="L61" s="485"/>
      <c r="M61" s="485"/>
      <c r="N61" s="485"/>
      <c r="O61" s="485"/>
    </row>
    <row r="62" spans="1:15">
      <c r="A62" s="3085" t="s">
        <v>3287</v>
      </c>
      <c r="B62" s="3086" t="s">
        <v>2903</v>
      </c>
      <c r="C62" s="3086"/>
      <c r="D62" s="3086"/>
      <c r="E62" s="3086"/>
      <c r="F62" s="3087">
        <f>SUM(F63:F66)</f>
        <v>0</v>
      </c>
      <c r="G62" s="3088">
        <f>SUM(G63:G66)</f>
        <v>0</v>
      </c>
      <c r="H62" s="485"/>
      <c r="I62" s="3217">
        <f>'[5]TABLAS AUXILIARES'!G10</f>
        <v>127.08333333333333</v>
      </c>
      <c r="J62" s="3203">
        <f>D60*I62</f>
        <v>1525</v>
      </c>
      <c r="K62" s="485"/>
      <c r="L62" s="485"/>
      <c r="M62" s="485"/>
      <c r="N62" s="485"/>
      <c r="O62" s="485"/>
    </row>
    <row r="63" spans="1:15">
      <c r="A63" s="3174" t="s">
        <v>3288</v>
      </c>
      <c r="B63" s="3175" t="s">
        <v>3289</v>
      </c>
      <c r="C63" s="3175"/>
      <c r="D63" s="3176"/>
      <c r="E63" s="3176"/>
      <c r="F63" s="3176"/>
      <c r="G63" s="3177"/>
      <c r="H63" s="485"/>
      <c r="I63" s="3205" t="s">
        <v>3303</v>
      </c>
      <c r="J63" s="3228">
        <f>SUM(J59:J62)</f>
        <v>3050</v>
      </c>
      <c r="K63" s="485"/>
      <c r="L63" s="485"/>
      <c r="M63" s="485"/>
      <c r="N63" s="485"/>
      <c r="O63" s="485"/>
    </row>
    <row r="64" spans="1:15">
      <c r="A64" s="3178" t="s">
        <v>3290</v>
      </c>
      <c r="B64" s="3179" t="s">
        <v>3291</v>
      </c>
      <c r="C64" s="3180" t="s">
        <v>3180</v>
      </c>
      <c r="D64" s="3181">
        <v>0</v>
      </c>
      <c r="E64" s="3181">
        <v>217.78</v>
      </c>
      <c r="F64" s="3181">
        <f>E64*D64</f>
        <v>0</v>
      </c>
      <c r="G64" s="3182">
        <f>F64/G2</f>
        <v>0</v>
      </c>
      <c r="H64" s="485"/>
      <c r="I64" s="485"/>
      <c r="J64" s="485"/>
      <c r="K64" s="485"/>
      <c r="L64" s="485"/>
      <c r="M64" s="485"/>
    </row>
    <row r="65" spans="1:13">
      <c r="A65" s="3174" t="s">
        <v>3292</v>
      </c>
      <c r="B65" s="3175" t="s">
        <v>3188</v>
      </c>
      <c r="C65" s="3180"/>
      <c r="D65" s="3181"/>
      <c r="E65" s="3181"/>
      <c r="F65" s="3181"/>
      <c r="G65" s="3182"/>
      <c r="I65" s="485"/>
      <c r="J65" s="485"/>
      <c r="K65" s="485"/>
      <c r="M65" s="485"/>
    </row>
    <row r="66" spans="1:13" ht="16.5">
      <c r="A66" s="3183" t="s">
        <v>3293</v>
      </c>
      <c r="B66" s="3184" t="s">
        <v>3294</v>
      </c>
      <c r="C66" s="3185" t="s">
        <v>3196</v>
      </c>
      <c r="D66" s="3301">
        <f>G5</f>
        <v>6251</v>
      </c>
      <c r="E66" s="3186"/>
      <c r="F66" s="3186"/>
      <c r="G66" s="3187"/>
      <c r="I66" s="3020"/>
      <c r="J66" s="3020"/>
      <c r="K66" s="485"/>
    </row>
    <row r="67" spans="1:13">
      <c r="I67" s="3235"/>
      <c r="J67" s="3235"/>
      <c r="K67" s="485"/>
    </row>
    <row r="68" spans="1:13">
      <c r="I68" s="3236"/>
      <c r="J68" s="3236"/>
      <c r="K68" s="485"/>
    </row>
    <row r="69" spans="1:13">
      <c r="B69" s="97" t="s">
        <v>3320</v>
      </c>
      <c r="C69" s="97" t="s">
        <v>3321</v>
      </c>
      <c r="I69" s="16"/>
      <c r="J69" s="16"/>
    </row>
    <row r="71" spans="1:13" ht="18.5">
      <c r="I71" s="4606" t="s">
        <v>3311</v>
      </c>
      <c r="J71" s="4607"/>
      <c r="K71" s="3237">
        <f>J63+K54+P35+J19+J13</f>
        <v>11465.078431983953</v>
      </c>
    </row>
  </sheetData>
  <mergeCells count="23">
    <mergeCell ref="I71:J71"/>
    <mergeCell ref="I43:K43"/>
    <mergeCell ref="I41:J41"/>
    <mergeCell ref="O26:P26"/>
    <mergeCell ref="I7:J7"/>
    <mergeCell ref="I54:J54"/>
    <mergeCell ref="N35:O35"/>
    <mergeCell ref="I35:K35"/>
    <mergeCell ref="I45:J45"/>
    <mergeCell ref="I14:J14"/>
    <mergeCell ref="I22:J22"/>
    <mergeCell ref="I26:L26"/>
    <mergeCell ref="A1:G1"/>
    <mergeCell ref="D2:F2"/>
    <mergeCell ref="D3:F3"/>
    <mergeCell ref="D4:F4"/>
    <mergeCell ref="D5:F5"/>
    <mergeCell ref="S28:T28"/>
    <mergeCell ref="H45:H49"/>
    <mergeCell ref="I57:J57"/>
    <mergeCell ref="I38:K38"/>
    <mergeCell ref="I47:K47"/>
    <mergeCell ref="I56:J56"/>
  </mergeCells>
  <pageMargins left="0.7" right="0.7" top="0.75" bottom="0.75" header="0.3" footer="0.3"/>
  <pageSetup paperSize="9" orientation="portrait" r:id="rId1"/>
  <ignoredErrors>
    <ignoredError sqref="P33" formula="1"/>
  </ignoredError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E250"/>
  <sheetViews>
    <sheetView zoomScale="89" zoomScaleNormal="89" workbookViewId="0">
      <selection activeCell="M31" sqref="M31"/>
    </sheetView>
  </sheetViews>
  <sheetFormatPr defaultColWidth="11.453125" defaultRowHeight="14.5"/>
  <cols>
    <col min="1" max="1" width="11.453125" style="38"/>
    <col min="2" max="2" width="9" style="2381" customWidth="1"/>
    <col min="3" max="3" width="46.26953125" style="38" customWidth="1"/>
    <col min="4" max="4" width="17" style="38" bestFit="1" customWidth="1"/>
    <col min="5" max="5" width="11.453125" style="38"/>
    <col min="6" max="6" width="13.453125" style="38" customWidth="1"/>
    <col min="7" max="7" width="16.453125" style="38" customWidth="1"/>
    <col min="8" max="8" width="18.26953125" style="38" customWidth="1"/>
    <col min="9" max="9" width="14.54296875" style="38" customWidth="1"/>
    <col min="10" max="10" width="13.7265625" style="38" customWidth="1"/>
    <col min="11" max="11" width="9.7265625" style="38" bestFit="1" customWidth="1"/>
    <col min="12" max="12" width="51.81640625" style="38" customWidth="1"/>
    <col min="13" max="13" width="14.54296875" style="38" customWidth="1"/>
    <col min="14" max="14" width="6.7265625" style="127" customWidth="1"/>
    <col min="15" max="15" width="46.81640625" style="38" customWidth="1"/>
    <col min="16" max="16" width="34.26953125" style="38" customWidth="1"/>
    <col min="17" max="17" width="14.7265625" style="38" customWidth="1"/>
    <col min="18" max="18" width="16.54296875" style="38" customWidth="1"/>
    <col min="19" max="19" width="16.1796875" style="38" customWidth="1"/>
    <col min="20" max="20" width="15.1796875" style="38" customWidth="1"/>
    <col min="21" max="21" width="16.81640625" style="38" customWidth="1"/>
    <col min="22" max="22" width="15.26953125" style="38" customWidth="1"/>
    <col min="23" max="23" width="15.453125" style="38" customWidth="1"/>
    <col min="24" max="24" width="15.7265625" style="38" customWidth="1"/>
    <col min="25" max="25" width="15.54296875" style="38" customWidth="1"/>
    <col min="26" max="26" width="15.81640625" style="38" customWidth="1"/>
    <col min="27" max="27" width="15.453125" style="38" customWidth="1"/>
    <col min="28" max="28" width="15.54296875" style="38" customWidth="1"/>
    <col min="29" max="29" width="17.1796875" style="38" customWidth="1"/>
    <col min="30" max="16384" width="11.453125" style="38"/>
  </cols>
  <sheetData>
    <row r="1" spans="1:31" ht="21.75" customHeight="1">
      <c r="C1" s="4621" t="s">
        <v>646</v>
      </c>
      <c r="D1" s="4621"/>
      <c r="E1" s="4621"/>
      <c r="F1" s="4621"/>
      <c r="G1" s="4621"/>
      <c r="H1" s="4621"/>
      <c r="I1" s="4621"/>
      <c r="J1" s="4621"/>
      <c r="K1" s="4621"/>
      <c r="L1" s="4621"/>
      <c r="M1" s="4621"/>
      <c r="N1" s="4621"/>
      <c r="O1" s="4621"/>
      <c r="P1" s="4621"/>
    </row>
    <row r="2" spans="1:31" ht="25.5" customHeight="1">
      <c r="A2" s="3322"/>
      <c r="B2" s="3322"/>
      <c r="C2" s="3322" t="s">
        <v>674</v>
      </c>
      <c r="D2" s="3322" t="str">
        <f>'Seleccion proyecto HEREVEA02'!L6</f>
        <v>c107</v>
      </c>
      <c r="E2" s="3322"/>
      <c r="F2" s="3322"/>
      <c r="G2" s="3322"/>
      <c r="H2" s="3322"/>
      <c r="I2" s="3322"/>
      <c r="J2" s="3322"/>
      <c r="K2"/>
      <c r="L2" s="3322" t="s">
        <v>3333</v>
      </c>
      <c r="M2" s="3322"/>
      <c r="N2" s="16"/>
      <c r="O2" s="3323" t="s">
        <v>3332</v>
      </c>
      <c r="P2" s="3323"/>
      <c r="Q2" s="627"/>
    </row>
    <row r="3" spans="1:31" ht="25.5" customHeight="1" thickBot="1">
      <c r="C3" s="203"/>
      <c r="D3" s="160"/>
      <c r="E3"/>
      <c r="F3"/>
      <c r="G3"/>
      <c r="H3"/>
      <c r="I3"/>
      <c r="J3"/>
      <c r="K3"/>
      <c r="L3"/>
      <c r="M3"/>
      <c r="N3" s="16"/>
      <c r="O3"/>
      <c r="P3"/>
      <c r="Q3" s="627"/>
    </row>
    <row r="4" spans="1:31" ht="31.5" customHeight="1" thickBot="1">
      <c r="A4" s="2438" t="s">
        <v>1328</v>
      </c>
      <c r="B4" s="2439" t="s">
        <v>1549</v>
      </c>
      <c r="C4" s="2440" t="s">
        <v>2874</v>
      </c>
      <c r="D4" s="2438" t="s">
        <v>2888</v>
      </c>
      <c r="E4" s="2441" t="s">
        <v>902</v>
      </c>
      <c r="F4" s="2489" t="s">
        <v>296</v>
      </c>
      <c r="G4" s="2430" t="s">
        <v>2878</v>
      </c>
      <c r="H4" s="2430" t="s">
        <v>2879</v>
      </c>
      <c r="I4" s="2430" t="s">
        <v>2880</v>
      </c>
      <c r="J4" s="2430" t="s">
        <v>2881</v>
      </c>
      <c r="L4" s="2471" t="s">
        <v>773</v>
      </c>
      <c r="M4" s="2476" t="s">
        <v>327</v>
      </c>
      <c r="N4" s="652"/>
      <c r="O4" s="2454" t="s">
        <v>773</v>
      </c>
      <c r="P4" s="656" t="s">
        <v>327</v>
      </c>
      <c r="Q4" s="649" t="s">
        <v>3458</v>
      </c>
      <c r="R4" s="649" t="s">
        <v>899</v>
      </c>
      <c r="S4" s="639" t="s">
        <v>875</v>
      </c>
      <c r="T4" s="639" t="s">
        <v>900</v>
      </c>
      <c r="U4" s="639" t="s">
        <v>901</v>
      </c>
      <c r="V4" s="639" t="s">
        <v>878</v>
      </c>
      <c r="W4" s="639" t="s">
        <v>879</v>
      </c>
      <c r="X4" s="639" t="s">
        <v>880</v>
      </c>
      <c r="Y4" s="639" t="s">
        <v>881</v>
      </c>
      <c r="Z4" s="639" t="s">
        <v>882</v>
      </c>
      <c r="AA4" s="639" t="s">
        <v>883</v>
      </c>
      <c r="AB4" s="639" t="s">
        <v>884</v>
      </c>
      <c r="AC4" s="639" t="s">
        <v>885</v>
      </c>
      <c r="AD4" s="650" t="s">
        <v>898</v>
      </c>
    </row>
    <row r="5" spans="1:31" ht="18" customHeight="1">
      <c r="A5" s="1453" t="s">
        <v>1089</v>
      </c>
      <c r="B5" s="2382" t="s">
        <v>1508</v>
      </c>
      <c r="C5" s="2383" t="s">
        <v>2860</v>
      </c>
      <c r="D5" s="2387">
        <f>SUMIFS(BCRR_REHAB!L:L,BCRR_REHAB!D:D,A5)</f>
        <v>0</v>
      </c>
      <c r="E5" s="146">
        <v>55.84</v>
      </c>
      <c r="F5" s="2653">
        <f t="shared" ref="F5:F16" si="0">D5*E5</f>
        <v>0</v>
      </c>
      <c r="G5" s="3311">
        <v>325</v>
      </c>
      <c r="H5" s="2497">
        <f>G5*D5</f>
        <v>0</v>
      </c>
      <c r="I5" s="2496">
        <v>0.2</v>
      </c>
      <c r="J5" s="2497">
        <f t="shared" ref="J5" si="1">I5*H5</f>
        <v>0</v>
      </c>
      <c r="L5" s="2475" t="s">
        <v>2887</v>
      </c>
      <c r="M5" s="2477">
        <f>J18</f>
        <v>45</v>
      </c>
      <c r="N5" s="2435"/>
      <c r="O5" s="2453" t="s">
        <v>305</v>
      </c>
      <c r="P5" s="641">
        <f>F18</f>
        <v>0</v>
      </c>
      <c r="Q5" s="638">
        <f>E73</f>
        <v>0</v>
      </c>
      <c r="R5" s="638" t="e">
        <f>F73</f>
        <v>#REF!</v>
      </c>
      <c r="S5" s="641" t="e">
        <f>F90</f>
        <v>#REF!</v>
      </c>
      <c r="T5" s="641" t="e">
        <f>F107</f>
        <v>#REF!</v>
      </c>
      <c r="U5" s="641" t="e">
        <f>F124</f>
        <v>#REF!</v>
      </c>
      <c r="V5" s="641" t="e">
        <f>F141</f>
        <v>#REF!</v>
      </c>
      <c r="W5" s="641" t="e">
        <f>F158</f>
        <v>#REF!</v>
      </c>
      <c r="X5" s="641" t="e">
        <f>F175</f>
        <v>#REF!</v>
      </c>
      <c r="Y5" s="641" t="e">
        <f>#REF!</f>
        <v>#REF!</v>
      </c>
      <c r="Z5" s="641" t="e">
        <f>#REF!</f>
        <v>#REF!</v>
      </c>
      <c r="AA5" s="641" t="e">
        <f>F194</f>
        <v>#REF!</v>
      </c>
      <c r="AB5" s="641" t="e">
        <f>#REF!</f>
        <v>#REF!</v>
      </c>
      <c r="AC5" s="641" t="e">
        <f>F212</f>
        <v>#REF!</v>
      </c>
    </row>
    <row r="6" spans="1:31">
      <c r="A6" s="2420" t="s">
        <v>1066</v>
      </c>
      <c r="B6" s="2384" t="s">
        <v>1508</v>
      </c>
      <c r="C6" s="2385" t="s">
        <v>1510</v>
      </c>
      <c r="D6" s="2387">
        <f>SUMIFS(BCRR_REHAB!L:L,BCRR_REHAB!D:D,A6)</f>
        <v>0</v>
      </c>
      <c r="E6" s="146">
        <v>23.87</v>
      </c>
      <c r="F6" s="2653">
        <f>D6*E6</f>
        <v>0</v>
      </c>
      <c r="G6" s="3312">
        <v>120</v>
      </c>
      <c r="H6" s="2494">
        <f t="shared" ref="H6:H17" si="2">G6*D6</f>
        <v>0</v>
      </c>
      <c r="I6" s="2493">
        <v>0.2</v>
      </c>
      <c r="J6" s="2494">
        <f>I6*H6</f>
        <v>0</v>
      </c>
      <c r="L6" s="2461" t="s">
        <v>2882</v>
      </c>
      <c r="M6" s="2488">
        <f>'Datos auxiliares maquinaria'!$C$9</f>
        <v>35</v>
      </c>
      <c r="N6" s="2435"/>
      <c r="O6" s="2432" t="s">
        <v>787</v>
      </c>
      <c r="P6" s="642">
        <f>P5*0.2</f>
        <v>0</v>
      </c>
      <c r="Q6" s="386">
        <f t="shared" ref="Q6" si="3">Q5*0.2</f>
        <v>0</v>
      </c>
      <c r="R6" s="386" t="e">
        <f t="shared" ref="R6:AC6" si="4">R5*0.2</f>
        <v>#REF!</v>
      </c>
      <c r="S6" s="642" t="e">
        <f t="shared" si="4"/>
        <v>#REF!</v>
      </c>
      <c r="T6" s="642" t="e">
        <f t="shared" si="4"/>
        <v>#REF!</v>
      </c>
      <c r="U6" s="642" t="e">
        <f t="shared" si="4"/>
        <v>#REF!</v>
      </c>
      <c r="V6" s="642" t="e">
        <f>V5*0.2</f>
        <v>#REF!</v>
      </c>
      <c r="W6" s="642" t="e">
        <f t="shared" si="4"/>
        <v>#REF!</v>
      </c>
      <c r="X6" s="642" t="e">
        <f t="shared" si="4"/>
        <v>#REF!</v>
      </c>
      <c r="Y6" s="642" t="e">
        <f t="shared" si="4"/>
        <v>#REF!</v>
      </c>
      <c r="Z6" s="642" t="e">
        <f t="shared" si="4"/>
        <v>#REF!</v>
      </c>
      <c r="AA6" s="642" t="e">
        <f t="shared" si="4"/>
        <v>#REF!</v>
      </c>
      <c r="AB6" s="642" t="e">
        <f t="shared" si="4"/>
        <v>#REF!</v>
      </c>
      <c r="AC6" s="642" t="e">
        <f t="shared" si="4"/>
        <v>#REF!</v>
      </c>
    </row>
    <row r="7" spans="1:31">
      <c r="A7" s="2420" t="s">
        <v>1068</v>
      </c>
      <c r="B7" s="2384" t="s">
        <v>1508</v>
      </c>
      <c r="C7" s="2385" t="s">
        <v>1531</v>
      </c>
      <c r="D7" s="2387">
        <f>SUMIFS(BCRR_REHAB!L:L,BCRR_REHAB!D:D,A7)</f>
        <v>0</v>
      </c>
      <c r="E7" s="146">
        <v>34.979999999999997</v>
      </c>
      <c r="F7" s="2653">
        <f>D7*E7</f>
        <v>0</v>
      </c>
      <c r="G7" s="3312">
        <v>67</v>
      </c>
      <c r="H7" s="2494">
        <f t="shared" si="2"/>
        <v>0</v>
      </c>
      <c r="I7" s="2493">
        <v>0.2</v>
      </c>
      <c r="J7" s="2494">
        <f>I7*H7</f>
        <v>0</v>
      </c>
      <c r="L7" s="2465" t="s">
        <v>301</v>
      </c>
      <c r="M7" s="2487">
        <f>'Datos auxiliares general'!$C$7</f>
        <v>71000</v>
      </c>
      <c r="N7" s="632"/>
      <c r="O7" s="2433" t="s">
        <v>298</v>
      </c>
      <c r="P7" s="643">
        <f>'Datos auxiliares maquinaria'!$C$7</f>
        <v>1.365</v>
      </c>
      <c r="Q7" s="395" t="str">
        <f>'Datos auxiliares maquinaria'!B7</f>
        <v>Coste gasoil A (€/l)</v>
      </c>
      <c r="R7" s="395">
        <f>'Datos auxiliares maquinaria'!C7</f>
        <v>1.365</v>
      </c>
      <c r="S7" s="643">
        <f>'Datos auxiliares maquinaria'!$C$7</f>
        <v>1.365</v>
      </c>
      <c r="T7" s="643">
        <f>'Datos auxiliares maquinaria'!$C$7</f>
        <v>1.365</v>
      </c>
      <c r="U7" s="643">
        <f>'Datos auxiliares maquinaria'!$C$7</f>
        <v>1.365</v>
      </c>
      <c r="V7" s="643">
        <f>'Datos auxiliares maquinaria'!$C$7</f>
        <v>1.365</v>
      </c>
      <c r="W7" s="643">
        <f>'Datos auxiliares maquinaria'!$C$7</f>
        <v>1.365</v>
      </c>
      <c r="X7" s="643">
        <f>'Datos auxiliares maquinaria'!$C$7</f>
        <v>1.365</v>
      </c>
      <c r="Y7" s="643">
        <f>'Datos auxiliares maquinaria'!$C$7</f>
        <v>1.365</v>
      </c>
      <c r="Z7" s="643">
        <f>'Datos auxiliares maquinaria'!$C$7</f>
        <v>1.365</v>
      </c>
      <c r="AA7" s="643">
        <f>'Datos auxiliares maquinaria'!$C$7</f>
        <v>1.365</v>
      </c>
      <c r="AB7" s="643">
        <f>'Datos auxiliares maquinaria'!$C$7</f>
        <v>1.365</v>
      </c>
      <c r="AC7" s="643">
        <f>'Datos auxiliares maquinaria'!$C$7</f>
        <v>1.365</v>
      </c>
    </row>
    <row r="8" spans="1:31">
      <c r="A8" s="2420" t="s">
        <v>1073</v>
      </c>
      <c r="B8" s="2384" t="s">
        <v>1508</v>
      </c>
      <c r="C8" s="2385" t="s">
        <v>1509</v>
      </c>
      <c r="D8" s="2387">
        <f>SUMIFS(BCRR_REHAB!L:L,BCRR_REHAB!D:D,A8)</f>
        <v>0</v>
      </c>
      <c r="E8" s="146">
        <v>25.6</v>
      </c>
      <c r="F8" s="2653">
        <f t="shared" si="0"/>
        <v>0</v>
      </c>
      <c r="G8" s="3312">
        <v>250</v>
      </c>
      <c r="H8" s="2494">
        <f t="shared" si="2"/>
        <v>0</v>
      </c>
      <c r="I8" s="2493">
        <v>0.2</v>
      </c>
      <c r="J8" s="2494">
        <v>45</v>
      </c>
      <c r="L8" s="2473" t="s">
        <v>300</v>
      </c>
      <c r="M8" s="2478">
        <f>M5*M6/M7</f>
        <v>2.2183098591549297E-2</v>
      </c>
      <c r="N8" s="635"/>
      <c r="O8" s="2433" t="s">
        <v>299</v>
      </c>
      <c r="P8" s="644">
        <f>'Datos auxiliares maquinaria'!$C$9</f>
        <v>35</v>
      </c>
      <c r="Q8" s="155" t="str">
        <f>'Datos auxiliares maquinaria'!B9</f>
        <v>Factor de conversión combustible (MJ/l)</v>
      </c>
      <c r="R8" s="155">
        <f>'Datos auxiliares maquinaria'!C9</f>
        <v>35</v>
      </c>
      <c r="S8" s="644">
        <f>'Datos auxiliares maquinaria'!$C$9</f>
        <v>35</v>
      </c>
      <c r="T8" s="644">
        <f>'Datos auxiliares maquinaria'!$C$9</f>
        <v>35</v>
      </c>
      <c r="U8" s="644">
        <f>'Datos auxiliares maquinaria'!$C$9</f>
        <v>35</v>
      </c>
      <c r="V8" s="644">
        <f>'Datos auxiliares maquinaria'!$C$9</f>
        <v>35</v>
      </c>
      <c r="W8" s="644">
        <f>'Datos auxiliares maquinaria'!$C$9</f>
        <v>35</v>
      </c>
      <c r="X8" s="644">
        <f>'Datos auxiliares maquinaria'!$C$9</f>
        <v>35</v>
      </c>
      <c r="Y8" s="644">
        <f>'Datos auxiliares maquinaria'!$C$9</f>
        <v>35</v>
      </c>
      <c r="Z8" s="644">
        <f>'Datos auxiliares maquinaria'!$C$9</f>
        <v>35</v>
      </c>
      <c r="AA8" s="644">
        <f>'Datos auxiliares maquinaria'!$C$9</f>
        <v>35</v>
      </c>
      <c r="AB8" s="644">
        <f>'Datos auxiliares maquinaria'!$C$9</f>
        <v>35</v>
      </c>
      <c r="AC8" s="644">
        <f>'Datos auxiliares maquinaria'!$C$9</f>
        <v>35</v>
      </c>
    </row>
    <row r="9" spans="1:31">
      <c r="A9" s="1453" t="s">
        <v>1071</v>
      </c>
      <c r="B9" s="2382" t="s">
        <v>1508</v>
      </c>
      <c r="C9" s="2383" t="s">
        <v>2858</v>
      </c>
      <c r="D9" s="2387">
        <f>SUMIFS(BCRR_REHAB!L:L,BCRR_REHAB!D:D,A9)</f>
        <v>0</v>
      </c>
      <c r="E9" s="146">
        <v>30.3</v>
      </c>
      <c r="F9" s="2653">
        <f t="shared" si="0"/>
        <v>0</v>
      </c>
      <c r="G9" s="3312">
        <v>250</v>
      </c>
      <c r="H9" s="2494">
        <f t="shared" si="2"/>
        <v>0</v>
      </c>
      <c r="I9" s="2493">
        <v>0.2</v>
      </c>
      <c r="J9" s="2494">
        <f t="shared" ref="J9:J17" si="5">I9*H9</f>
        <v>0</v>
      </c>
      <c r="L9" s="1085" t="s">
        <v>313</v>
      </c>
      <c r="M9" s="2486">
        <f>'Datos auxiliares general'!$C$8</f>
        <v>1.26</v>
      </c>
      <c r="N9" s="635"/>
      <c r="O9" s="2434" t="s">
        <v>301</v>
      </c>
      <c r="P9" s="644">
        <f>'Datos auxiliares general'!$C$7</f>
        <v>71000</v>
      </c>
      <c r="Q9" s="155">
        <f>'Datos auxiliares general'!$C$7</f>
        <v>71000</v>
      </c>
      <c r="R9" s="155">
        <f>'Datos auxiliares general'!$C$7</f>
        <v>71000</v>
      </c>
      <c r="S9" s="644">
        <f>'Datos auxiliares general'!$C$7</f>
        <v>71000</v>
      </c>
      <c r="T9" s="644">
        <f>'Datos auxiliares general'!$C$7</f>
        <v>71000</v>
      </c>
      <c r="U9" s="644">
        <f>'Datos auxiliares general'!$C$7</f>
        <v>71000</v>
      </c>
      <c r="V9" s="644">
        <f>'Datos auxiliares general'!$C$7</f>
        <v>71000</v>
      </c>
      <c r="W9" s="644">
        <f>'Datos auxiliares general'!$C$7</f>
        <v>71000</v>
      </c>
      <c r="X9" s="644">
        <f>'Datos auxiliares general'!$C$7</f>
        <v>71000</v>
      </c>
      <c r="Y9" s="644">
        <f>'Datos auxiliares general'!$C$7</f>
        <v>71000</v>
      </c>
      <c r="Z9" s="644">
        <f>'Datos auxiliares general'!$C$7</f>
        <v>71000</v>
      </c>
      <c r="AA9" s="644">
        <f>'Datos auxiliares general'!$C$7</f>
        <v>71000</v>
      </c>
      <c r="AB9" s="644">
        <f>'Datos auxiliares general'!$C$7</f>
        <v>71000</v>
      </c>
      <c r="AC9" s="644">
        <f>'Datos auxiliares general'!$C$7</f>
        <v>71000</v>
      </c>
    </row>
    <row r="10" spans="1:31">
      <c r="A10" s="2442" t="s">
        <v>1391</v>
      </c>
      <c r="B10" s="2388" t="s">
        <v>1508</v>
      </c>
      <c r="C10" s="2389" t="s">
        <v>1610</v>
      </c>
      <c r="D10" s="2387">
        <f>SUMIFS(BCRR_REHAB!L:L,BCRR_REHAB!D:D,A10)</f>
        <v>0</v>
      </c>
      <c r="E10" s="146">
        <v>3.65</v>
      </c>
      <c r="F10" s="2653">
        <f t="shared" ref="F10" si="6">D10*E10</f>
        <v>0</v>
      </c>
      <c r="G10" s="3312">
        <v>90</v>
      </c>
      <c r="H10" s="2494">
        <f t="shared" si="2"/>
        <v>0</v>
      </c>
      <c r="I10" s="2493">
        <v>0.2</v>
      </c>
      <c r="J10" s="2494">
        <f t="shared" si="5"/>
        <v>0</v>
      </c>
      <c r="L10" s="2471" t="s">
        <v>731</v>
      </c>
      <c r="M10" s="2472">
        <f>M8*M9</f>
        <v>2.7950704225352115E-2</v>
      </c>
      <c r="N10" s="635"/>
      <c r="O10" s="2432" t="s">
        <v>300</v>
      </c>
      <c r="P10" s="644">
        <f>(P6/P7)*P8/P9</f>
        <v>0</v>
      </c>
      <c r="Q10" s="155" t="e">
        <f t="shared" ref="Q10" si="7">(Q6/Q7)*Q8/Q9</f>
        <v>#VALUE!</v>
      </c>
      <c r="R10" s="155" t="e">
        <f t="shared" ref="R10:AC10" si="8">(R6/R7)*R8/R9</f>
        <v>#REF!</v>
      </c>
      <c r="S10" s="644" t="e">
        <f t="shared" si="8"/>
        <v>#REF!</v>
      </c>
      <c r="T10" s="644" t="e">
        <f t="shared" si="8"/>
        <v>#REF!</v>
      </c>
      <c r="U10" s="644" t="e">
        <f t="shared" si="8"/>
        <v>#REF!</v>
      </c>
      <c r="V10" s="644" t="e">
        <f t="shared" si="8"/>
        <v>#REF!</v>
      </c>
      <c r="W10" s="644" t="e">
        <f t="shared" si="8"/>
        <v>#REF!</v>
      </c>
      <c r="X10" s="644" t="e">
        <f t="shared" si="8"/>
        <v>#REF!</v>
      </c>
      <c r="Y10" s="644" t="e">
        <f t="shared" si="8"/>
        <v>#REF!</v>
      </c>
      <c r="Z10" s="644" t="e">
        <f t="shared" si="8"/>
        <v>#REF!</v>
      </c>
      <c r="AA10" s="644" t="e">
        <f t="shared" si="8"/>
        <v>#REF!</v>
      </c>
      <c r="AB10" s="644" t="e">
        <f t="shared" si="8"/>
        <v>#REF!</v>
      </c>
      <c r="AC10" s="644" t="e">
        <f t="shared" si="8"/>
        <v>#REF!</v>
      </c>
    </row>
    <row r="11" spans="1:31">
      <c r="A11" s="2443" t="s">
        <v>1079</v>
      </c>
      <c r="B11" s="2425" t="s">
        <v>1504</v>
      </c>
      <c r="C11" s="2427" t="s">
        <v>2866</v>
      </c>
      <c r="D11" s="2387">
        <f>SUMIFS(BCRR_REHAB!L:L,BCRR_REHAB!D:D,A11)</f>
        <v>0</v>
      </c>
      <c r="E11" s="2416">
        <v>6.45</v>
      </c>
      <c r="F11" s="2653">
        <f t="shared" ref="F11" si="9">D11*E11</f>
        <v>0</v>
      </c>
      <c r="G11" s="3313"/>
      <c r="H11" s="2494">
        <f t="shared" si="2"/>
        <v>0</v>
      </c>
      <c r="I11" s="2493">
        <v>0.2</v>
      </c>
      <c r="J11" s="2494">
        <f t="shared" si="5"/>
        <v>0</v>
      </c>
      <c r="N11" s="635"/>
      <c r="O11" s="2434" t="s">
        <v>313</v>
      </c>
      <c r="P11" s="644">
        <f>'Datos auxiliares general'!$C$8</f>
        <v>1.26</v>
      </c>
      <c r="Q11" s="155">
        <f>'Datos auxiliares general'!$C$8</f>
        <v>1.26</v>
      </c>
      <c r="R11" s="155">
        <f>'Datos auxiliares general'!$C$8</f>
        <v>1.26</v>
      </c>
      <c r="S11" s="644">
        <f>'Datos auxiliares general'!$C$8</f>
        <v>1.26</v>
      </c>
      <c r="T11" s="644">
        <f>'Datos auxiliares general'!$C$8</f>
        <v>1.26</v>
      </c>
      <c r="U11" s="644">
        <f>'Datos auxiliares general'!$C$8</f>
        <v>1.26</v>
      </c>
      <c r="V11" s="644">
        <f>'Datos auxiliares general'!$C$8</f>
        <v>1.26</v>
      </c>
      <c r="W11" s="644">
        <f>'Datos auxiliares general'!$C$8</f>
        <v>1.26</v>
      </c>
      <c r="X11" s="644">
        <f>'Datos auxiliares general'!$C$8</f>
        <v>1.26</v>
      </c>
      <c r="Y11" s="644">
        <f>'Datos auxiliares general'!$C$8</f>
        <v>1.26</v>
      </c>
      <c r="Z11" s="644">
        <f>'Datos auxiliares general'!$C$8</f>
        <v>1.26</v>
      </c>
      <c r="AA11" s="644">
        <f>'Datos auxiliares general'!$C$8</f>
        <v>1.26</v>
      </c>
      <c r="AB11" s="644">
        <f>'Datos auxiliares general'!$C$8</f>
        <v>1.26</v>
      </c>
      <c r="AC11" s="644">
        <f>'Datos auxiliares general'!$C$8</f>
        <v>1.26</v>
      </c>
    </row>
    <row r="12" spans="1:31" ht="15" thickBot="1">
      <c r="A12" s="2444" t="s">
        <v>1396</v>
      </c>
      <c r="B12" s="2404" t="s">
        <v>1508</v>
      </c>
      <c r="C12" s="2415" t="s">
        <v>1615</v>
      </c>
      <c r="D12" s="2387">
        <f>SUMIFS(BCRR_REHAB!L:L,BCRR_REHAB!D:D,A12)</f>
        <v>0</v>
      </c>
      <c r="E12" s="2417">
        <v>280</v>
      </c>
      <c r="F12" s="2653">
        <f t="shared" si="0"/>
        <v>0</v>
      </c>
      <c r="G12" s="3312">
        <v>57</v>
      </c>
      <c r="H12" s="2494">
        <f t="shared" si="2"/>
        <v>0</v>
      </c>
      <c r="I12" s="2493">
        <v>0.2</v>
      </c>
      <c r="J12" s="2494">
        <f t="shared" si="5"/>
        <v>0</v>
      </c>
      <c r="N12" s="2436"/>
      <c r="O12" s="660" t="s">
        <v>731</v>
      </c>
      <c r="P12" s="645">
        <f>P10*P11</f>
        <v>0</v>
      </c>
      <c r="Q12" s="396" t="e">
        <f t="shared" ref="Q12" si="10">Q10*Q11</f>
        <v>#VALUE!</v>
      </c>
      <c r="R12" s="396" t="e">
        <f t="shared" ref="R12:AC12" si="11">R10*R11</f>
        <v>#REF!</v>
      </c>
      <c r="S12" s="645" t="e">
        <f t="shared" si="11"/>
        <v>#REF!</v>
      </c>
      <c r="T12" s="645" t="e">
        <f t="shared" si="11"/>
        <v>#REF!</v>
      </c>
      <c r="U12" s="645" t="e">
        <f t="shared" si="11"/>
        <v>#REF!</v>
      </c>
      <c r="V12" s="645" t="e">
        <f t="shared" si="11"/>
        <v>#REF!</v>
      </c>
      <c r="W12" s="645" t="e">
        <f t="shared" si="11"/>
        <v>#REF!</v>
      </c>
      <c r="X12" s="645" t="e">
        <f t="shared" si="11"/>
        <v>#REF!</v>
      </c>
      <c r="Y12" s="645" t="e">
        <f t="shared" si="11"/>
        <v>#REF!</v>
      </c>
      <c r="Z12" s="645" t="e">
        <f t="shared" si="11"/>
        <v>#REF!</v>
      </c>
      <c r="AA12" s="645" t="e">
        <f t="shared" si="11"/>
        <v>#REF!</v>
      </c>
      <c r="AB12" s="645" t="e">
        <f t="shared" si="11"/>
        <v>#REF!</v>
      </c>
      <c r="AC12" s="645" t="e">
        <f t="shared" si="11"/>
        <v>#REF!</v>
      </c>
      <c r="AD12" s="38" t="e">
        <f>SUM(R12:AC12)</f>
        <v>#REF!</v>
      </c>
      <c r="AE12" s="38" t="e">
        <f>AD12-P12</f>
        <v>#REF!</v>
      </c>
    </row>
    <row r="13" spans="1:31">
      <c r="A13" s="2444" t="s">
        <v>1392</v>
      </c>
      <c r="B13" s="2404" t="s">
        <v>1508</v>
      </c>
      <c r="C13" s="2415" t="s">
        <v>2872</v>
      </c>
      <c r="D13" s="2387">
        <f>SUMIFS(BCRR_REHAB!L:L,BCRR_REHAB!D:D,A13)</f>
        <v>0</v>
      </c>
      <c r="E13" s="2417">
        <v>38.14</v>
      </c>
      <c r="F13" s="2653">
        <f t="shared" ref="F13" si="12">D13*E13</f>
        <v>0</v>
      </c>
      <c r="G13" s="3312">
        <v>57</v>
      </c>
      <c r="H13" s="2494">
        <f t="shared" si="2"/>
        <v>0</v>
      </c>
      <c r="I13" s="2493">
        <v>0.2</v>
      </c>
      <c r="J13" s="2494">
        <f t="shared" si="5"/>
        <v>0</v>
      </c>
      <c r="L13" s="2455" t="s">
        <v>3318</v>
      </c>
      <c r="M13" s="2471" t="s">
        <v>327</v>
      </c>
    </row>
    <row r="14" spans="1:31" ht="15" thickBot="1">
      <c r="A14" s="2444" t="s">
        <v>1393</v>
      </c>
      <c r="B14" s="2404" t="s">
        <v>1508</v>
      </c>
      <c r="C14" s="2415" t="s">
        <v>2857</v>
      </c>
      <c r="D14" s="2387">
        <f>SUMIFS(BCRR_REHAB!L:L,BCRR_REHAB!D:D,A14)</f>
        <v>0</v>
      </c>
      <c r="E14" s="2418">
        <v>29.36</v>
      </c>
      <c r="F14" s="2653">
        <f t="shared" ref="F14" si="13">D14*E14</f>
        <v>0</v>
      </c>
      <c r="G14" s="3312"/>
      <c r="H14" s="2494">
        <f t="shared" si="2"/>
        <v>0</v>
      </c>
      <c r="I14" s="2493"/>
      <c r="J14" s="2494">
        <f t="shared" si="5"/>
        <v>0</v>
      </c>
      <c r="L14" s="2456" t="s">
        <v>2886</v>
      </c>
      <c r="M14" s="2474">
        <f>H24</f>
        <v>0</v>
      </c>
      <c r="O14" s="45"/>
    </row>
    <row r="15" spans="1:31">
      <c r="A15" s="2420" t="s">
        <v>1070</v>
      </c>
      <c r="B15" s="2384" t="s">
        <v>1508</v>
      </c>
      <c r="C15" s="2385" t="s">
        <v>1634</v>
      </c>
      <c r="D15" s="2387">
        <f>SUMIFS(BCRR_REHAB!L:L,BCRR_REHAB!D:D,A15)</f>
        <v>0</v>
      </c>
      <c r="E15" s="146">
        <v>3.01</v>
      </c>
      <c r="F15" s="2653">
        <f>D15*E15</f>
        <v>0</v>
      </c>
      <c r="G15" s="3312">
        <v>2.6</v>
      </c>
      <c r="H15" s="2494">
        <f t="shared" si="2"/>
        <v>0</v>
      </c>
      <c r="I15" s="2493">
        <v>0.4</v>
      </c>
      <c r="J15" s="2494">
        <f t="shared" si="5"/>
        <v>0</v>
      </c>
      <c r="L15" s="2456" t="s">
        <v>3300</v>
      </c>
      <c r="M15" s="2474">
        <f>Costes_Indirectos!L35</f>
        <v>19495.599999999999</v>
      </c>
      <c r="O15" s="4619" t="s">
        <v>774</v>
      </c>
      <c r="P15" s="4620"/>
    </row>
    <row r="16" spans="1:31">
      <c r="A16" s="1453" t="s">
        <v>1072</v>
      </c>
      <c r="B16" s="2382" t="s">
        <v>1508</v>
      </c>
      <c r="C16" s="2383" t="s">
        <v>2862</v>
      </c>
      <c r="D16" s="2387">
        <f>SUMIFS(BCRR_REHAB!L:L,BCRR_REHAB!D:D,A16)</f>
        <v>0</v>
      </c>
      <c r="E16" s="146">
        <v>23.28</v>
      </c>
      <c r="F16" s="2653">
        <f t="shared" si="0"/>
        <v>0</v>
      </c>
      <c r="G16" s="3312">
        <v>85</v>
      </c>
      <c r="H16" s="2494">
        <f t="shared" si="2"/>
        <v>0</v>
      </c>
      <c r="I16" s="2493">
        <v>0.2</v>
      </c>
      <c r="J16" s="2494">
        <f t="shared" si="5"/>
        <v>0</v>
      </c>
      <c r="L16" s="2459" t="s">
        <v>2885</v>
      </c>
      <c r="M16" s="2460">
        <f>SUM(M14:M15)</f>
        <v>19495.599999999999</v>
      </c>
      <c r="O16" s="140" t="s">
        <v>304</v>
      </c>
      <c r="P16" s="287">
        <f>'Seleccion proyecto HEREVEA02'!L9-'Huella maquinaria'!P6</f>
        <v>473937.62447396497</v>
      </c>
      <c r="Q16" s="663">
        <v>150000</v>
      </c>
    </row>
    <row r="17" spans="1:17">
      <c r="A17" s="2420" t="s">
        <v>1686</v>
      </c>
      <c r="B17" s="2384" t="s">
        <v>1508</v>
      </c>
      <c r="C17" s="2385" t="s">
        <v>2859</v>
      </c>
      <c r="D17" s="2387">
        <f>SUMIFS(BCRR_REHAB!L:L,BCRR_REHAB!D:D,A17)</f>
        <v>0</v>
      </c>
      <c r="E17" s="146">
        <v>7.5</v>
      </c>
      <c r="F17" s="2653">
        <f>D17*E17</f>
        <v>0</v>
      </c>
      <c r="G17" s="3314">
        <v>80</v>
      </c>
      <c r="H17" s="2499">
        <f t="shared" si="2"/>
        <v>0</v>
      </c>
      <c r="I17" s="2498">
        <v>0.2</v>
      </c>
      <c r="J17" s="2499">
        <f t="shared" si="5"/>
        <v>0</v>
      </c>
      <c r="L17" s="2461" t="s">
        <v>499</v>
      </c>
      <c r="M17" s="2462">
        <f>'Datos auxiliares e. eléctrica'!C9</f>
        <v>3.5999999999999999E-3</v>
      </c>
      <c r="O17" s="391" t="s">
        <v>498</v>
      </c>
      <c r="P17" s="212">
        <f>'Datos auxiliares e. eléctrica'!C4</f>
        <v>0.14255999999999999</v>
      </c>
      <c r="Q17" s="662">
        <v>90.073499999999996</v>
      </c>
    </row>
    <row r="18" spans="1:17">
      <c r="A18" s="4622" t="s">
        <v>302</v>
      </c>
      <c r="B18" s="4623"/>
      <c r="C18" s="4622"/>
      <c r="D18" s="2480">
        <f>SUM(D5:D17)</f>
        <v>0</v>
      </c>
      <c r="E18" s="2479"/>
      <c r="F18" s="2490">
        <f>SUM(F5:F17)</f>
        <v>0</v>
      </c>
      <c r="G18" s="2479"/>
      <c r="H18" s="2480">
        <f>SUM(H5:H17)</f>
        <v>0</v>
      </c>
      <c r="I18" s="2479"/>
      <c r="J18" s="2481">
        <f>SUM(J5:J17)</f>
        <v>45</v>
      </c>
      <c r="L18" s="2463" t="s">
        <v>500</v>
      </c>
      <c r="M18" s="2464">
        <f>M16*M17</f>
        <v>70.184159999999991</v>
      </c>
      <c r="O18" s="390" t="s">
        <v>306</v>
      </c>
      <c r="P18" s="151">
        <f>'Datos auxiliares general'!C6</f>
        <v>365</v>
      </c>
      <c r="Q18" s="38">
        <v>212</v>
      </c>
    </row>
    <row r="19" spans="1:17">
      <c r="A19" s="911"/>
      <c r="B19" s="911"/>
      <c r="C19" s="911"/>
      <c r="D19" s="636"/>
      <c r="E19" s="636"/>
      <c r="F19" s="637"/>
      <c r="G19" s="637"/>
      <c r="H19" s="637"/>
      <c r="I19" s="637"/>
      <c r="J19" s="637"/>
      <c r="K19" s="45"/>
      <c r="L19" s="2465" t="s">
        <v>312</v>
      </c>
      <c r="M19" s="2466">
        <f>'Datos auxiliares e. eléctrica'!C10/100</f>
        <v>0.3</v>
      </c>
      <c r="O19" s="391" t="s">
        <v>307</v>
      </c>
      <c r="P19" s="151">
        <f>'Datos auxiliares e. eléctrica'!C5</f>
        <v>1.9671999999999999E-2</v>
      </c>
      <c r="Q19" s="663">
        <v>70000</v>
      </c>
    </row>
    <row r="20" spans="1:17" ht="31.5" customHeight="1">
      <c r="A20" s="2445" t="s">
        <v>1328</v>
      </c>
      <c r="B20" s="2446" t="s">
        <v>1549</v>
      </c>
      <c r="C20" s="2447" t="s">
        <v>2873</v>
      </c>
      <c r="D20" s="2445" t="s">
        <v>2888</v>
      </c>
      <c r="E20" s="2448" t="s">
        <v>902</v>
      </c>
      <c r="F20" s="2491" t="s">
        <v>296</v>
      </c>
      <c r="G20" s="2430" t="s">
        <v>2878</v>
      </c>
      <c r="H20" s="2430" t="s">
        <v>2879</v>
      </c>
      <c r="I20" s="637"/>
      <c r="J20" s="637"/>
      <c r="K20" s="45"/>
      <c r="L20" s="2467" t="s">
        <v>501</v>
      </c>
      <c r="M20" s="2468">
        <f>M18/M19</f>
        <v>233.94719999999998</v>
      </c>
      <c r="O20" s="391" t="s">
        <v>308</v>
      </c>
      <c r="P20" s="147">
        <f>P18*P19</f>
        <v>7.1802799999999998</v>
      </c>
      <c r="Q20" s="663">
        <f>Q19*Q18</f>
        <v>14840000</v>
      </c>
    </row>
    <row r="21" spans="1:17">
      <c r="A21" s="2420" t="s">
        <v>1080</v>
      </c>
      <c r="B21" s="2384" t="s">
        <v>1508</v>
      </c>
      <c r="C21" s="2385" t="s">
        <v>1511</v>
      </c>
      <c r="D21" s="2437">
        <f>SUMIFS(BCRR_REHAB!L:L,BCRR_REHAB!D:D,A21)</f>
        <v>0</v>
      </c>
      <c r="E21" s="146">
        <v>6.35</v>
      </c>
      <c r="F21" s="2431">
        <f>D21*E21</f>
        <v>0</v>
      </c>
      <c r="G21" s="2495">
        <v>20</v>
      </c>
      <c r="H21" s="2495">
        <f>G21*D21</f>
        <v>0</v>
      </c>
      <c r="I21" s="911"/>
      <c r="J21" s="911"/>
      <c r="L21" s="2465" t="s">
        <v>650</v>
      </c>
      <c r="M21" s="2469">
        <f>'Datos auxiliares e. eléctrica'!C11</f>
        <v>9.4197786130271362E-3</v>
      </c>
      <c r="O21" s="391" t="s">
        <v>309</v>
      </c>
      <c r="P21" s="150">
        <f>'Datos auxiliares e. eléctrica'!C6</f>
        <v>4.5999999999999996</v>
      </c>
      <c r="Q21" s="38">
        <v>4.4000000000000004</v>
      </c>
    </row>
    <row r="22" spans="1:17">
      <c r="A22" s="1453" t="s">
        <v>1144</v>
      </c>
      <c r="B22" s="2382" t="s">
        <v>1508</v>
      </c>
      <c r="C22" s="2383" t="s">
        <v>2861</v>
      </c>
      <c r="D22" s="2437">
        <f>SUMIFS(BCRR_REHAB!L:L,BCRR_REHAB!D:D,A22)</f>
        <v>0</v>
      </c>
      <c r="E22" s="146">
        <v>2.67</v>
      </c>
      <c r="F22" s="2431">
        <f>D22*E22</f>
        <v>0</v>
      </c>
      <c r="G22" s="2495">
        <v>35</v>
      </c>
      <c r="H22" s="2495">
        <f t="shared" ref="H22:H23" si="14">G22*D22</f>
        <v>0</v>
      </c>
      <c r="I22" s="635"/>
      <c r="J22" s="635"/>
      <c r="L22" s="2473" t="s">
        <v>2884</v>
      </c>
      <c r="M22" s="2470">
        <f>M20*M21</f>
        <v>2.2037308311375821</v>
      </c>
      <c r="O22" s="391" t="s">
        <v>310</v>
      </c>
      <c r="P22" s="150">
        <f>'Datos auxiliares e. eléctrica'!C7</f>
        <v>5.9817000000000002E-2</v>
      </c>
    </row>
    <row r="23" spans="1:17">
      <c r="A23" s="2420" t="s">
        <v>1087</v>
      </c>
      <c r="B23" s="2384" t="s">
        <v>1508</v>
      </c>
      <c r="C23" s="2385" t="s">
        <v>1542</v>
      </c>
      <c r="D23" s="2437">
        <f>SUMIFS(BCRR_REHAB!L:L,BCRR_REHAB!D:D,A23)</f>
        <v>0</v>
      </c>
      <c r="E23" s="146">
        <v>1.51</v>
      </c>
      <c r="F23" s="2431">
        <f>D23*E23</f>
        <v>0</v>
      </c>
      <c r="G23" s="2495">
        <v>0.5</v>
      </c>
      <c r="H23" s="2495">
        <f t="shared" si="14"/>
        <v>0</v>
      </c>
      <c r="I23" s="635"/>
      <c r="J23" s="635"/>
      <c r="L23" s="1085" t="s">
        <v>1275</v>
      </c>
      <c r="M23" s="2485">
        <f>'Datos auxiliares general'!C8</f>
        <v>1.26</v>
      </c>
      <c r="O23" s="391" t="s">
        <v>311</v>
      </c>
      <c r="P23" s="150">
        <f>P18*P22*P21</f>
        <v>100.43274299999999</v>
      </c>
    </row>
    <row r="24" spans="1:17">
      <c r="A24" s="4622" t="s">
        <v>302</v>
      </c>
      <c r="B24" s="4623"/>
      <c r="C24" s="4622"/>
      <c r="D24" s="2480">
        <f>SUM(D21:D23)</f>
        <v>0</v>
      </c>
      <c r="E24" s="2479"/>
      <c r="F24" s="2492" t="e">
        <f ca="1">SUM(F11:F36)</f>
        <v>#REF!</v>
      </c>
      <c r="G24" s="2479"/>
      <c r="H24" s="2481">
        <f>SUM(H21:H23)</f>
        <v>0</v>
      </c>
      <c r="I24" s="635"/>
      <c r="J24" s="635"/>
      <c r="L24" s="2471" t="s">
        <v>731</v>
      </c>
      <c r="M24" s="2472">
        <f>M22*M23</f>
        <v>2.7767008472333532</v>
      </c>
      <c r="O24" s="391" t="s">
        <v>521</v>
      </c>
      <c r="P24" s="150">
        <f>'Datos auxiliares e. eléctrica'!C8</f>
        <v>5.1130000000000002E-2</v>
      </c>
    </row>
    <row r="25" spans="1:17">
      <c r="G25" s="637"/>
      <c r="H25" s="637"/>
      <c r="I25" s="637"/>
      <c r="J25" s="637"/>
      <c r="O25" s="140" t="s">
        <v>497</v>
      </c>
      <c r="P25" s="150">
        <f>1/P17*((P16+P20+P23*(1+P24))/(1+P24))</f>
        <v>3163518.4689160469</v>
      </c>
      <c r="Q25" s="150">
        <f>1/Q17*((Q16+Q20+Q23*(1+Q24))/(1+Q24))</f>
        <v>166419.64617784365</v>
      </c>
    </row>
    <row r="26" spans="1:17">
      <c r="A26" s="2449" t="s">
        <v>1328</v>
      </c>
      <c r="B26" s="2450" t="s">
        <v>1549</v>
      </c>
      <c r="C26" s="2451" t="s">
        <v>2875</v>
      </c>
      <c r="D26" s="2449" t="s">
        <v>2888</v>
      </c>
      <c r="E26" s="2452" t="s">
        <v>902</v>
      </c>
      <c r="F26" s="2452" t="s">
        <v>296</v>
      </c>
      <c r="G26" s="45"/>
      <c r="H26" s="45"/>
      <c r="I26" s="45"/>
      <c r="J26" s="45"/>
      <c r="K26" s="45"/>
      <c r="L26" s="2455" t="s">
        <v>774</v>
      </c>
      <c r="M26" s="2471" t="s">
        <v>327</v>
      </c>
      <c r="O26" s="391" t="s">
        <v>499</v>
      </c>
      <c r="P26" s="149">
        <f>'Datos auxiliares e. eléctrica'!C9</f>
        <v>3.5999999999999999E-3</v>
      </c>
    </row>
    <row r="27" spans="1:17">
      <c r="A27" s="2423"/>
      <c r="B27" s="2421"/>
      <c r="C27" s="2422" t="s">
        <v>2876</v>
      </c>
      <c r="D27" s="2426">
        <f>D18</f>
        <v>0</v>
      </c>
      <c r="E27" s="2424"/>
      <c r="F27" s="2428"/>
      <c r="G27" s="911"/>
      <c r="H27" s="911"/>
      <c r="I27" s="911"/>
      <c r="J27" s="911"/>
      <c r="L27" s="2457" t="s">
        <v>2883</v>
      </c>
      <c r="M27" s="3192">
        <f>Costes_Indirectos!K40</f>
        <v>20196.8</v>
      </c>
      <c r="O27" s="140" t="s">
        <v>500</v>
      </c>
      <c r="P27" s="150">
        <f>P26*P25</f>
        <v>11388.666488097768</v>
      </c>
    </row>
    <row r="28" spans="1:17">
      <c r="A28" s="2423"/>
      <c r="B28" s="2421"/>
      <c r="C28" s="2422" t="s">
        <v>2877</v>
      </c>
      <c r="D28" s="2426">
        <f>D24</f>
        <v>0</v>
      </c>
      <c r="E28" s="2424"/>
      <c r="F28" s="2424"/>
      <c r="G28" s="911"/>
      <c r="H28" s="911"/>
      <c r="I28" s="911"/>
      <c r="J28" s="911"/>
      <c r="L28" s="1006" t="s">
        <v>3299</v>
      </c>
      <c r="M28" s="2458">
        <f>Costes_Indirectos!K44</f>
        <v>28862.519399999997</v>
      </c>
      <c r="O28" s="391" t="s">
        <v>312</v>
      </c>
      <c r="P28" s="150">
        <f>'Datos auxiliares e. eléctrica'!C10/100</f>
        <v>0.3</v>
      </c>
    </row>
    <row r="29" spans="1:17">
      <c r="A29" s="2420"/>
      <c r="B29" s="2384"/>
      <c r="C29" s="2385"/>
      <c r="D29" s="2386"/>
      <c r="E29" s="146"/>
      <c r="F29" s="146"/>
      <c r="G29" s="911"/>
      <c r="H29" s="911"/>
      <c r="I29" s="911"/>
      <c r="J29" s="911"/>
      <c r="L29" s="2459" t="s">
        <v>2885</v>
      </c>
      <c r="M29" s="2460">
        <f>SUM(M27:M28)</f>
        <v>49059.319399999993</v>
      </c>
      <c r="O29" s="140" t="s">
        <v>501</v>
      </c>
      <c r="P29" s="150">
        <f>P27/P28</f>
        <v>37962.221626992563</v>
      </c>
    </row>
    <row r="30" spans="1:17">
      <c r="A30" s="4622" t="s">
        <v>302</v>
      </c>
      <c r="B30" s="4623"/>
      <c r="C30" s="4622"/>
      <c r="D30" s="2480">
        <f>SUM(D27:D29)</f>
        <v>0</v>
      </c>
      <c r="E30" s="2479"/>
      <c r="F30" s="2481" t="e">
        <f ca="1">SUM(F15:F58)</f>
        <v>#REF!</v>
      </c>
      <c r="G30" s="635" t="s">
        <v>2889</v>
      </c>
      <c r="H30" s="635"/>
      <c r="I30" s="635"/>
      <c r="J30" s="635"/>
      <c r="L30" s="2461" t="s">
        <v>499</v>
      </c>
      <c r="M30" s="2462">
        <f>'Datos auxiliares e. eléctrica'!C9</f>
        <v>3.5999999999999999E-3</v>
      </c>
      <c r="O30" s="391" t="s">
        <v>650</v>
      </c>
      <c r="P30" s="149">
        <f>'Datos auxiliares e. eléctrica'!C11</f>
        <v>9.4197786130271362E-3</v>
      </c>
    </row>
    <row r="31" spans="1:17">
      <c r="A31" s="127"/>
      <c r="B31" s="4"/>
      <c r="C31" s="634"/>
      <c r="D31" s="635"/>
      <c r="E31" s="635"/>
      <c r="F31" s="635"/>
      <c r="G31" s="637"/>
      <c r="H31" s="637"/>
      <c r="I31" s="637"/>
      <c r="J31" s="637"/>
      <c r="L31" s="2463" t="s">
        <v>500</v>
      </c>
      <c r="M31" s="2464">
        <f>M29*M30</f>
        <v>176.61354983999996</v>
      </c>
      <c r="O31" s="390" t="s">
        <v>502</v>
      </c>
      <c r="P31" s="151">
        <f>'Datos auxiliares general'!C8</f>
        <v>1.26</v>
      </c>
    </row>
    <row r="32" spans="1:17" ht="15" thickBot="1">
      <c r="C32" s="38" t="s">
        <v>767</v>
      </c>
      <c r="D32" s="397"/>
      <c r="G32" s="635"/>
      <c r="H32" s="635"/>
      <c r="I32" s="635"/>
      <c r="J32" s="635"/>
      <c r="L32" s="2465" t="s">
        <v>312</v>
      </c>
      <c r="M32" s="2466">
        <f>'Datos auxiliares e. eléctrica'!C10/100</f>
        <v>0.3</v>
      </c>
      <c r="O32" s="412" t="s">
        <v>731</v>
      </c>
      <c r="P32" s="389">
        <f>P29*P31*P30</f>
        <v>450.57061146502537</v>
      </c>
    </row>
    <row r="33" spans="1:15">
      <c r="L33" s="2467" t="s">
        <v>501</v>
      </c>
      <c r="M33" s="2468">
        <f>M31/M32</f>
        <v>588.71183279999991</v>
      </c>
    </row>
    <row r="34" spans="1:15">
      <c r="C34" s="38" t="s">
        <v>768</v>
      </c>
      <c r="D34" s="2483"/>
      <c r="L34" s="2465" t="s">
        <v>650</v>
      </c>
      <c r="M34" s="2469">
        <f>'Datos auxiliares e. eléctrica'!C11</f>
        <v>9.4197786130271362E-3</v>
      </c>
    </row>
    <row r="35" spans="1:15">
      <c r="L35" s="2473" t="s">
        <v>2884</v>
      </c>
      <c r="M35" s="2470">
        <f>M33*M34</f>
        <v>5.5455351318454467</v>
      </c>
    </row>
    <row r="36" spans="1:15">
      <c r="C36" s="38" t="s">
        <v>769</v>
      </c>
      <c r="D36" s="2482"/>
      <c r="L36" s="1085" t="s">
        <v>1275</v>
      </c>
      <c r="M36" s="2485">
        <f>'Datos auxiliares general'!C8</f>
        <v>1.26</v>
      </c>
    </row>
    <row r="37" spans="1:15">
      <c r="L37" s="2471" t="s">
        <v>731</v>
      </c>
      <c r="M37" s="2472">
        <f>M35*M36</f>
        <v>6.9873742661252631</v>
      </c>
    </row>
    <row r="38" spans="1:15">
      <c r="C38" s="38" t="s">
        <v>770</v>
      </c>
      <c r="D38" s="2484"/>
      <c r="G38" s="45"/>
      <c r="H38" s="45"/>
      <c r="L38" s="2471" t="s">
        <v>3301</v>
      </c>
      <c r="M38" s="2472">
        <f>M10+M24+M37</f>
        <v>9.7920258175839692</v>
      </c>
    </row>
    <row r="39" spans="1:15">
      <c r="G39" s="45"/>
      <c r="H39" s="45"/>
    </row>
    <row r="40" spans="1:15">
      <c r="G40" s="45"/>
      <c r="H40" s="45"/>
    </row>
    <row r="41" spans="1:15" ht="15" thickBot="1">
      <c r="C41" s="627" t="s">
        <v>3464</v>
      </c>
      <c r="G41" s="45"/>
      <c r="H41" s="127"/>
      <c r="I41" s="4"/>
      <c r="J41" s="632"/>
      <c r="K41" s="127"/>
      <c r="L41" s="127"/>
      <c r="M41" s="127"/>
      <c r="O41" s="127"/>
    </row>
    <row r="42" spans="1:15">
      <c r="A42" s="45"/>
      <c r="B42" s="3635"/>
      <c r="C42" s="3636" t="s">
        <v>295</v>
      </c>
      <c r="D42" s="3637" t="s">
        <v>284</v>
      </c>
      <c r="E42" s="3637" t="s">
        <v>297</v>
      </c>
      <c r="F42" s="3638" t="s">
        <v>296</v>
      </c>
      <c r="G42" s="45"/>
      <c r="H42" s="127"/>
      <c r="I42" s="4"/>
      <c r="J42" s="911"/>
      <c r="K42" s="911"/>
      <c r="L42" s="911"/>
      <c r="M42" s="911"/>
      <c r="O42" s="127"/>
    </row>
    <row r="43" spans="1:15">
      <c r="A43" s="1453" t="s">
        <v>1089</v>
      </c>
      <c r="B43" s="2382" t="s">
        <v>1508</v>
      </c>
      <c r="C43" s="2383" t="s">
        <v>2860</v>
      </c>
      <c r="D43" s="170">
        <f>SUMIF('BCRR DEMOLICION'!$D$9:$D$90,'Huella maquinaria'!A43,'BCRR DEMOLICION'!$L$9:$L$90)</f>
        <v>0</v>
      </c>
      <c r="E43" s="170">
        <v>55.84</v>
      </c>
      <c r="F43" s="155">
        <f>D43*E43</f>
        <v>0</v>
      </c>
      <c r="G43" s="45"/>
      <c r="H43" s="127"/>
      <c r="I43" s="4"/>
      <c r="J43" s="634"/>
      <c r="K43" s="635"/>
      <c r="L43" s="635"/>
      <c r="M43" s="635"/>
      <c r="O43" s="127"/>
    </row>
    <row r="44" spans="1:15">
      <c r="A44" s="2420" t="s">
        <v>1066</v>
      </c>
      <c r="B44" s="2384" t="s">
        <v>1508</v>
      </c>
      <c r="C44" s="2385" t="s">
        <v>1510</v>
      </c>
      <c r="D44" s="170">
        <f>SUMIF('BCRR DEMOLICION'!$D$9:$D$90,'Huella maquinaria'!A44,'BCRR DEMOLICION'!$L$9:$L$90)</f>
        <v>0</v>
      </c>
      <c r="E44" s="170">
        <v>25.6</v>
      </c>
      <c r="F44" s="155">
        <f t="shared" ref="F44:F53" si="15">D44*E44</f>
        <v>0</v>
      </c>
      <c r="G44" s="45"/>
      <c r="H44" s="127"/>
      <c r="I44" s="4"/>
      <c r="J44" s="634"/>
      <c r="K44" s="635"/>
      <c r="L44" s="635"/>
      <c r="M44" s="635"/>
      <c r="O44" s="127"/>
    </row>
    <row r="45" spans="1:15">
      <c r="A45" s="2420" t="s">
        <v>1068</v>
      </c>
      <c r="B45" s="2384" t="s">
        <v>1508</v>
      </c>
      <c r="C45" s="2385" t="s">
        <v>1531</v>
      </c>
      <c r="D45" s="170">
        <f>SUMIF('BCRR DEMOLICION'!$D$9:$D$90,'Huella maquinaria'!A45,'BCRR DEMOLICION'!$L$9:$L$90)</f>
        <v>0</v>
      </c>
      <c r="E45" s="170">
        <v>30.3</v>
      </c>
      <c r="F45" s="155">
        <f t="shared" si="15"/>
        <v>0</v>
      </c>
      <c r="G45" s="45"/>
      <c r="H45" s="127"/>
      <c r="I45" s="4"/>
      <c r="J45" s="634"/>
      <c r="K45" s="635"/>
      <c r="L45" s="635"/>
      <c r="M45" s="635"/>
      <c r="O45" s="127"/>
    </row>
    <row r="46" spans="1:15">
      <c r="A46" s="2420" t="s">
        <v>1073</v>
      </c>
      <c r="B46" s="2384" t="s">
        <v>1508</v>
      </c>
      <c r="C46" s="2385" t="s">
        <v>1509</v>
      </c>
      <c r="D46" s="170">
        <f>SUMIF('BCRR DEMOLICION'!$D$9:$D$90,'Huella maquinaria'!A46,'BCRR DEMOLICION'!$L$9:$L$90)</f>
        <v>557.82524999999998</v>
      </c>
      <c r="E46" s="170">
        <v>2.67</v>
      </c>
      <c r="F46" s="155">
        <f t="shared" si="15"/>
        <v>1489.3934174999999</v>
      </c>
      <c r="G46" s="45"/>
      <c r="H46" s="127"/>
      <c r="I46" s="4"/>
      <c r="J46" s="634"/>
      <c r="K46" s="635"/>
      <c r="L46" s="635"/>
      <c r="M46" s="635"/>
      <c r="O46" s="127"/>
    </row>
    <row r="47" spans="1:15">
      <c r="A47" s="1453" t="s">
        <v>1071</v>
      </c>
      <c r="B47" s="2382" t="s">
        <v>1508</v>
      </c>
      <c r="C47" s="2383" t="s">
        <v>2858</v>
      </c>
      <c r="D47" s="170">
        <f>SUMIF('BCRR DEMOLICION'!$D$9:$D$90,'Huella maquinaria'!A47,'BCRR DEMOLICION'!$L$9:$L$90)</f>
        <v>0</v>
      </c>
      <c r="E47" s="170">
        <v>23.87</v>
      </c>
      <c r="F47" s="155">
        <f t="shared" si="15"/>
        <v>0</v>
      </c>
      <c r="G47" s="45"/>
      <c r="H47" s="127"/>
      <c r="I47" s="4"/>
      <c r="J47" s="634"/>
      <c r="K47" s="635"/>
      <c r="L47" s="635"/>
      <c r="M47" s="635"/>
      <c r="O47" s="127"/>
    </row>
    <row r="48" spans="1:15">
      <c r="A48" s="2442" t="s">
        <v>1391</v>
      </c>
      <c r="B48" s="2388" t="s">
        <v>1508</v>
      </c>
      <c r="C48" s="2389" t="s">
        <v>1610</v>
      </c>
      <c r="D48" s="170">
        <f>SUMIF('BCRR DEMOLICION'!$D$9:$D$90,'Huella maquinaria'!A48,'BCRR DEMOLICION'!$L$9:$L$90)</f>
        <v>0</v>
      </c>
      <c r="E48" s="170">
        <v>3.01</v>
      </c>
      <c r="F48" s="155">
        <f t="shared" si="15"/>
        <v>0</v>
      </c>
      <c r="G48" s="45"/>
      <c r="H48" s="127"/>
      <c r="I48" s="4"/>
      <c r="J48" s="634"/>
      <c r="K48" s="635"/>
      <c r="L48" s="635"/>
      <c r="M48" s="635"/>
      <c r="O48" s="127"/>
    </row>
    <row r="49" spans="1:15">
      <c r="A49" s="2443" t="s">
        <v>1079</v>
      </c>
      <c r="B49" s="2425" t="s">
        <v>1504</v>
      </c>
      <c r="C49" s="2427" t="s">
        <v>2866</v>
      </c>
      <c r="D49" s="170">
        <f>SUMIF('BCRR DEMOLICION'!$D$9:$D$90,'Huella maquinaria'!A49,'BCRR DEMOLICION'!$L$9:$L$90)</f>
        <v>0</v>
      </c>
      <c r="E49" s="170">
        <v>34.979999999999997</v>
      </c>
      <c r="F49" s="155">
        <f t="shared" si="15"/>
        <v>0</v>
      </c>
      <c r="G49" s="45"/>
      <c r="H49" s="127"/>
      <c r="I49" s="4"/>
      <c r="J49" s="634"/>
      <c r="K49" s="635"/>
      <c r="L49" s="635"/>
      <c r="M49" s="635"/>
      <c r="O49" s="127"/>
    </row>
    <row r="50" spans="1:15">
      <c r="A50" s="2444" t="s">
        <v>1396</v>
      </c>
      <c r="B50" s="2404" t="s">
        <v>1508</v>
      </c>
      <c r="C50" s="2415" t="s">
        <v>1615</v>
      </c>
      <c r="D50" s="170">
        <f>SUMIF('BCRR DEMOLICION'!$D$9:$D$90,'Huella maquinaria'!A50,'BCRR DEMOLICION'!$L$9:$L$90)</f>
        <v>0</v>
      </c>
      <c r="E50" s="170">
        <v>23.28</v>
      </c>
      <c r="F50" s="155">
        <f t="shared" si="15"/>
        <v>0</v>
      </c>
      <c r="G50" s="45"/>
      <c r="H50" s="127"/>
      <c r="I50" s="4"/>
      <c r="J50" s="634"/>
      <c r="K50" s="635"/>
      <c r="L50" s="635"/>
      <c r="M50" s="635"/>
      <c r="O50" s="127"/>
    </row>
    <row r="51" spans="1:15">
      <c r="A51" s="2444" t="s">
        <v>1392</v>
      </c>
      <c r="B51" s="2404" t="s">
        <v>1508</v>
      </c>
      <c r="C51" s="2415" t="s">
        <v>2872</v>
      </c>
      <c r="D51" s="170">
        <f>SUMIF('BCRR DEMOLICION'!$D$9:$D$90,'Huella maquinaria'!A51,'BCRR DEMOLICION'!$L$9:$L$90)</f>
        <v>0</v>
      </c>
      <c r="E51" s="170">
        <v>1.51</v>
      </c>
      <c r="F51" s="155">
        <f t="shared" si="15"/>
        <v>0</v>
      </c>
      <c r="G51" s="45"/>
      <c r="H51" s="127"/>
      <c r="I51" s="4"/>
      <c r="J51" s="634"/>
      <c r="K51" s="635"/>
      <c r="L51" s="635"/>
      <c r="M51" s="635"/>
      <c r="O51" s="127"/>
    </row>
    <row r="52" spans="1:15">
      <c r="A52" s="2444" t="s">
        <v>1393</v>
      </c>
      <c r="B52" s="2404" t="s">
        <v>1508</v>
      </c>
      <c r="C52" s="2415" t="s">
        <v>2857</v>
      </c>
      <c r="D52" s="170">
        <f>SUMIF('BCRR DEMOLICION'!$D$9:$D$90,'Huella maquinaria'!A52,'BCRR DEMOLICION'!$L$9:$L$90)</f>
        <v>0</v>
      </c>
      <c r="E52" s="170">
        <v>6.35</v>
      </c>
      <c r="F52" s="155">
        <f t="shared" si="15"/>
        <v>0</v>
      </c>
      <c r="G52" s="45"/>
      <c r="H52" s="127"/>
      <c r="I52" s="4"/>
      <c r="J52" s="634"/>
      <c r="K52" s="635"/>
      <c r="L52" s="635"/>
      <c r="M52" s="635"/>
      <c r="O52" s="127"/>
    </row>
    <row r="53" spans="1:15">
      <c r="A53" s="2420" t="s">
        <v>1070</v>
      </c>
      <c r="B53" s="2384" t="s">
        <v>1508</v>
      </c>
      <c r="C53" s="2385" t="s">
        <v>1634</v>
      </c>
      <c r="D53" s="170">
        <f>SUMIF('BCRR DEMOLICION'!$D$9:$D$90,'Huella maquinaria'!A53,'BCRR DEMOLICION'!$L$9:$L$90)</f>
        <v>0</v>
      </c>
      <c r="E53" s="170">
        <v>7.5</v>
      </c>
      <c r="F53" s="155">
        <f t="shared" si="15"/>
        <v>0</v>
      </c>
      <c r="G53" s="45"/>
      <c r="H53" s="127"/>
      <c r="I53" s="4"/>
      <c r="J53" s="634"/>
      <c r="K53" s="635"/>
      <c r="L53" s="635"/>
      <c r="M53" s="635"/>
      <c r="O53" s="127"/>
    </row>
    <row r="54" spans="1:15">
      <c r="A54" s="1453" t="s">
        <v>1072</v>
      </c>
      <c r="B54" s="2382" t="s">
        <v>1508</v>
      </c>
      <c r="C54" s="2383" t="s">
        <v>2862</v>
      </c>
      <c r="D54" s="2812"/>
      <c r="E54" s="2812"/>
      <c r="F54" s="3642"/>
      <c r="G54" s="45"/>
      <c r="H54" s="127"/>
      <c r="I54" s="4"/>
      <c r="J54" s="634"/>
      <c r="K54" s="635"/>
      <c r="L54" s="635"/>
      <c r="M54" s="635"/>
      <c r="O54" s="127"/>
    </row>
    <row r="55" spans="1:15">
      <c r="A55" s="2420" t="s">
        <v>1686</v>
      </c>
      <c r="B55" s="2384" t="s">
        <v>1508</v>
      </c>
      <c r="C55" s="2385" t="s">
        <v>2859</v>
      </c>
      <c r="D55" s="2812"/>
      <c r="E55" s="2812"/>
      <c r="F55" s="3642"/>
      <c r="G55" s="45"/>
      <c r="H55" s="127"/>
      <c r="I55" s="4"/>
      <c r="J55" s="634"/>
      <c r="K55" s="635"/>
      <c r="L55" s="635"/>
      <c r="M55" s="635"/>
      <c r="O55" s="127"/>
    </row>
    <row r="56" spans="1:15" ht="15" thickBot="1">
      <c r="A56" s="45"/>
      <c r="B56" s="3635"/>
      <c r="C56" s="3639" t="s">
        <v>302</v>
      </c>
      <c r="D56" s="3640">
        <f>SUM(D43:D52)</f>
        <v>557.82524999999998</v>
      </c>
      <c r="E56" s="3640"/>
      <c r="F56" s="3641">
        <f>SUM(F43:F53)</f>
        <v>1489.3934174999999</v>
      </c>
      <c r="G56" s="45"/>
      <c r="H56" s="127"/>
      <c r="I56" s="4"/>
      <c r="J56" s="911"/>
      <c r="K56" s="636"/>
      <c r="L56" s="636"/>
      <c r="M56" s="637"/>
      <c r="O56" s="127"/>
    </row>
    <row r="57" spans="1:15">
      <c r="A57" s="45"/>
      <c r="B57" s="3635"/>
      <c r="C57" s="45"/>
      <c r="D57" s="45"/>
      <c r="E57" s="45"/>
      <c r="F57" s="45"/>
      <c r="G57" s="45"/>
      <c r="H57" s="127"/>
      <c r="I57" s="4"/>
      <c r="J57" s="127"/>
      <c r="K57" s="127"/>
      <c r="L57" s="127"/>
      <c r="M57" s="127"/>
      <c r="O57" s="127"/>
    </row>
    <row r="58" spans="1:15" ht="15" thickBot="1">
      <c r="C58" s="627" t="s">
        <v>874</v>
      </c>
      <c r="H58" s="127"/>
      <c r="I58" s="127"/>
      <c r="J58" s="911"/>
      <c r="K58" s="127"/>
      <c r="L58" s="127"/>
      <c r="M58" s="127"/>
      <c r="O58" s="127"/>
    </row>
    <row r="59" spans="1:15">
      <c r="C59" s="392" t="s">
        <v>295</v>
      </c>
      <c r="D59" s="393" t="s">
        <v>284</v>
      </c>
      <c r="E59" s="393" t="s">
        <v>297</v>
      </c>
      <c r="F59" s="394" t="s">
        <v>296</v>
      </c>
      <c r="H59" s="127"/>
      <c r="I59" s="127"/>
      <c r="J59" s="635"/>
      <c r="K59" s="127"/>
      <c r="L59" s="127"/>
      <c r="M59" s="127"/>
      <c r="O59" s="127"/>
    </row>
    <row r="60" spans="1:15">
      <c r="A60" s="1453" t="s">
        <v>1089</v>
      </c>
      <c r="B60" s="2382" t="s">
        <v>1508</v>
      </c>
      <c r="C60" s="2383" t="s">
        <v>2860</v>
      </c>
      <c r="D60" s="170" t="e">
        <f>SUMIF(#REF!,'Huella maquinaria'!A60,#REF!)</f>
        <v>#REF!</v>
      </c>
      <c r="E60" s="146">
        <v>55.84</v>
      </c>
      <c r="F60" s="147" t="e">
        <f>D60*E60</f>
        <v>#REF!</v>
      </c>
      <c r="G60" s="911"/>
      <c r="H60" s="911"/>
      <c r="I60" s="911"/>
      <c r="J60" s="635"/>
      <c r="K60" s="127"/>
      <c r="L60" s="127"/>
      <c r="M60" s="127"/>
      <c r="O60" s="127"/>
    </row>
    <row r="61" spans="1:15">
      <c r="A61" s="2420" t="s">
        <v>1066</v>
      </c>
      <c r="B61" s="2384" t="s">
        <v>1508</v>
      </c>
      <c r="C61" s="2385" t="s">
        <v>1510</v>
      </c>
      <c r="D61" s="170" t="e">
        <f>SUMIF(#REF!,'Huella maquinaria'!A61,#REF!)</f>
        <v>#REF!</v>
      </c>
      <c r="E61" s="146">
        <v>56.84</v>
      </c>
      <c r="F61" s="147" t="e">
        <f t="shared" ref="F61:F70" si="16">D61*E61</f>
        <v>#REF!</v>
      </c>
      <c r="G61" s="635"/>
      <c r="H61" s="635"/>
      <c r="I61" s="635"/>
      <c r="J61" s="635"/>
      <c r="K61" s="127"/>
      <c r="L61" s="127"/>
      <c r="M61" s="127"/>
      <c r="O61" s="127"/>
    </row>
    <row r="62" spans="1:15">
      <c r="A62" s="2420" t="s">
        <v>1068</v>
      </c>
      <c r="B62" s="2384" t="s">
        <v>1508</v>
      </c>
      <c r="C62" s="2385" t="s">
        <v>1531</v>
      </c>
      <c r="D62" s="170" t="e">
        <f>SUMIF(#REF!,'Huella maquinaria'!A62,#REF!)</f>
        <v>#REF!</v>
      </c>
      <c r="E62" s="146">
        <v>57.84</v>
      </c>
      <c r="F62" s="147" t="e">
        <f t="shared" si="16"/>
        <v>#REF!</v>
      </c>
      <c r="G62" s="635"/>
      <c r="H62" s="635"/>
      <c r="I62" s="635"/>
      <c r="J62" s="635"/>
      <c r="K62" s="127"/>
      <c r="L62" s="127"/>
      <c r="M62" s="127"/>
      <c r="O62" s="127"/>
    </row>
    <row r="63" spans="1:15">
      <c r="A63" s="2420" t="s">
        <v>1073</v>
      </c>
      <c r="B63" s="2384" t="s">
        <v>1508</v>
      </c>
      <c r="C63" s="2385" t="s">
        <v>1509</v>
      </c>
      <c r="D63" s="170" t="e">
        <f>SUMIF(#REF!,'Huella maquinaria'!A63,#REF!)</f>
        <v>#REF!</v>
      </c>
      <c r="E63" s="146">
        <v>58.84</v>
      </c>
      <c r="F63" s="147" t="e">
        <f t="shared" si="16"/>
        <v>#REF!</v>
      </c>
      <c r="G63" s="635"/>
      <c r="H63" s="635"/>
      <c r="I63" s="635"/>
      <c r="J63" s="635"/>
    </row>
    <row r="64" spans="1:15">
      <c r="A64" s="1453" t="s">
        <v>1071</v>
      </c>
      <c r="B64" s="2382" t="s">
        <v>1508</v>
      </c>
      <c r="C64" s="2383" t="s">
        <v>2858</v>
      </c>
      <c r="D64" s="170" t="e">
        <f>SUMIF(#REF!,'Huella maquinaria'!A64,#REF!)</f>
        <v>#REF!</v>
      </c>
      <c r="E64" s="146">
        <v>59.84</v>
      </c>
      <c r="F64" s="147" t="e">
        <f t="shared" si="16"/>
        <v>#REF!</v>
      </c>
      <c r="G64" s="635"/>
      <c r="H64" s="635"/>
      <c r="I64" s="635"/>
      <c r="J64" s="635"/>
    </row>
    <row r="65" spans="1:10">
      <c r="A65" s="2442" t="s">
        <v>1391</v>
      </c>
      <c r="B65" s="2388" t="s">
        <v>1508</v>
      </c>
      <c r="C65" s="2389" t="s">
        <v>1610</v>
      </c>
      <c r="D65" s="170" t="e">
        <f>SUMIF(#REF!,'Huella maquinaria'!A65,#REF!)</f>
        <v>#REF!</v>
      </c>
      <c r="E65" s="146">
        <v>60.84</v>
      </c>
      <c r="F65" s="147" t="e">
        <f t="shared" si="16"/>
        <v>#REF!</v>
      </c>
      <c r="G65" s="635"/>
      <c r="H65" s="635"/>
      <c r="I65" s="635"/>
      <c r="J65" s="635"/>
    </row>
    <row r="66" spans="1:10">
      <c r="A66" s="2443" t="s">
        <v>1079</v>
      </c>
      <c r="B66" s="2425" t="s">
        <v>1504</v>
      </c>
      <c r="C66" s="2427" t="s">
        <v>2866</v>
      </c>
      <c r="D66" s="170" t="e">
        <f>SUMIF(#REF!,'Huella maquinaria'!A66,#REF!)</f>
        <v>#REF!</v>
      </c>
      <c r="E66" s="146">
        <v>61.84</v>
      </c>
      <c r="F66" s="147" t="e">
        <f t="shared" si="16"/>
        <v>#REF!</v>
      </c>
      <c r="G66" s="635"/>
      <c r="H66" s="635"/>
      <c r="I66" s="635"/>
      <c r="J66" s="635"/>
    </row>
    <row r="67" spans="1:10">
      <c r="A67" s="2444" t="s">
        <v>1396</v>
      </c>
      <c r="B67" s="2404" t="s">
        <v>1508</v>
      </c>
      <c r="C67" s="2415" t="s">
        <v>1615</v>
      </c>
      <c r="D67" s="170" t="e">
        <f>SUMIF(#REF!,'Huella maquinaria'!A67,#REF!)</f>
        <v>#REF!</v>
      </c>
      <c r="E67" s="146">
        <v>62.84</v>
      </c>
      <c r="F67" s="147" t="e">
        <f t="shared" si="16"/>
        <v>#REF!</v>
      </c>
      <c r="G67" s="635"/>
      <c r="H67" s="635"/>
      <c r="I67" s="635"/>
      <c r="J67" s="635"/>
    </row>
    <row r="68" spans="1:10">
      <c r="A68" s="2444" t="s">
        <v>1392</v>
      </c>
      <c r="B68" s="2404" t="s">
        <v>1508</v>
      </c>
      <c r="C68" s="2415" t="s">
        <v>2872</v>
      </c>
      <c r="D68" s="170" t="e">
        <f>SUMIF(#REF!,'Huella maquinaria'!A68,#REF!)</f>
        <v>#REF!</v>
      </c>
      <c r="E68" s="146">
        <v>63.84</v>
      </c>
      <c r="F68" s="147" t="e">
        <f t="shared" si="16"/>
        <v>#REF!</v>
      </c>
      <c r="G68" s="635"/>
      <c r="H68" s="635"/>
      <c r="I68" s="635"/>
      <c r="J68" s="635"/>
    </row>
    <row r="69" spans="1:10">
      <c r="A69" s="2444" t="s">
        <v>1393</v>
      </c>
      <c r="B69" s="2404" t="s">
        <v>1508</v>
      </c>
      <c r="C69" s="2415" t="s">
        <v>2857</v>
      </c>
      <c r="D69" s="170" t="e">
        <f>SUMIF(#REF!,'Huella maquinaria'!A69,#REF!)</f>
        <v>#REF!</v>
      </c>
      <c r="E69" s="146">
        <v>64.84</v>
      </c>
      <c r="F69" s="147" t="e">
        <f t="shared" si="16"/>
        <v>#REF!</v>
      </c>
      <c r="G69" s="635"/>
      <c r="H69" s="635"/>
      <c r="I69" s="635"/>
      <c r="J69" s="635"/>
    </row>
    <row r="70" spans="1:10">
      <c r="A70" s="2420" t="s">
        <v>1070</v>
      </c>
      <c r="B70" s="2384" t="s">
        <v>1508</v>
      </c>
      <c r="C70" s="2385" t="s">
        <v>1634</v>
      </c>
      <c r="D70" s="170" t="e">
        <f>SUMIF(#REF!,'Huella maquinaria'!A70,#REF!)</f>
        <v>#REF!</v>
      </c>
      <c r="E70" s="146">
        <v>65.84</v>
      </c>
      <c r="F70" s="147" t="e">
        <f t="shared" si="16"/>
        <v>#REF!</v>
      </c>
      <c r="G70" s="635"/>
      <c r="H70" s="635"/>
      <c r="I70" s="635"/>
      <c r="J70" s="637"/>
    </row>
    <row r="71" spans="1:10">
      <c r="A71" s="1453" t="s">
        <v>1072</v>
      </c>
      <c r="B71" s="2382" t="s">
        <v>1508</v>
      </c>
      <c r="C71" s="2383" t="s">
        <v>2862</v>
      </c>
      <c r="D71" s="170" t="e">
        <f>SUMIF(#REF!,'Huella maquinaria'!A71,#REF!)</f>
        <v>#REF!</v>
      </c>
      <c r="E71" s="146">
        <v>66.84</v>
      </c>
      <c r="F71" s="147" t="e">
        <f t="shared" ref="F71:F72" si="17">D71*E71</f>
        <v>#REF!</v>
      </c>
      <c r="G71" s="635"/>
      <c r="H71" s="635"/>
      <c r="I71" s="635"/>
      <c r="J71" s="637"/>
    </row>
    <row r="72" spans="1:10">
      <c r="A72" s="2420" t="s">
        <v>1686</v>
      </c>
      <c r="B72" s="2384" t="s">
        <v>1508</v>
      </c>
      <c r="C72" s="2385" t="s">
        <v>2859</v>
      </c>
      <c r="D72" s="170" t="e">
        <f>SUMIF(#REF!,'Huella maquinaria'!A72,#REF!)</f>
        <v>#REF!</v>
      </c>
      <c r="E72" s="146">
        <v>67.84</v>
      </c>
      <c r="F72" s="147" t="e">
        <f t="shared" si="17"/>
        <v>#REF!</v>
      </c>
      <c r="G72" s="635"/>
      <c r="H72" s="635"/>
      <c r="I72" s="635"/>
      <c r="J72" s="637"/>
    </row>
    <row r="73" spans="1:10" ht="15" thickBot="1">
      <c r="C73" s="145" t="s">
        <v>302</v>
      </c>
      <c r="D73" s="387" t="e">
        <f>SUM(D60:D69)</f>
        <v>#REF!</v>
      </c>
      <c r="E73" s="387"/>
      <c r="F73" s="388" t="e">
        <f>SUM(F60:F70)</f>
        <v>#REF!</v>
      </c>
      <c r="G73" s="635"/>
      <c r="H73" s="635"/>
      <c r="I73" s="635"/>
      <c r="J73" s="45"/>
    </row>
    <row r="74" spans="1:10">
      <c r="G74" s="637"/>
      <c r="H74" s="637"/>
      <c r="I74" s="637"/>
      <c r="J74" s="45"/>
    </row>
    <row r="75" spans="1:10" ht="15" thickBot="1">
      <c r="C75" s="627" t="s">
        <v>875</v>
      </c>
      <c r="G75" s="45"/>
      <c r="H75" s="45"/>
      <c r="I75" s="45"/>
      <c r="J75" s="911"/>
    </row>
    <row r="76" spans="1:10">
      <c r="C76" s="392" t="s">
        <v>295</v>
      </c>
      <c r="D76" s="393" t="s">
        <v>284</v>
      </c>
      <c r="E76" s="393" t="s">
        <v>297</v>
      </c>
      <c r="F76" s="394" t="s">
        <v>296</v>
      </c>
      <c r="G76" s="45"/>
      <c r="H76" s="45"/>
      <c r="I76" s="45"/>
      <c r="J76" s="635"/>
    </row>
    <row r="77" spans="1:10">
      <c r="A77" s="1453" t="s">
        <v>1089</v>
      </c>
      <c r="B77" s="2382" t="s">
        <v>1508</v>
      </c>
      <c r="C77" s="2383" t="s">
        <v>2860</v>
      </c>
      <c r="D77" s="170" t="e">
        <f>SUMIF(#REF!,'Huella maquinaria'!A77,#REF!)</f>
        <v>#REF!</v>
      </c>
      <c r="E77" s="146">
        <v>55.84</v>
      </c>
      <c r="F77" s="147" t="e">
        <f t="shared" ref="F77:F86" si="18">D77*E77</f>
        <v>#REF!</v>
      </c>
      <c r="G77" s="911"/>
      <c r="H77" s="911"/>
      <c r="I77" s="911"/>
      <c r="J77" s="2419"/>
    </row>
    <row r="78" spans="1:10">
      <c r="A78" s="2420" t="s">
        <v>1066</v>
      </c>
      <c r="B78" s="2384" t="s">
        <v>1508</v>
      </c>
      <c r="C78" s="2385" t="s">
        <v>1510</v>
      </c>
      <c r="D78" s="170" t="e">
        <f>SUMIF(#REF!,'Huella maquinaria'!A78,#REF!)</f>
        <v>#REF!</v>
      </c>
      <c r="E78" s="146">
        <v>25.6</v>
      </c>
      <c r="F78" s="147" t="e">
        <f t="shared" si="18"/>
        <v>#REF!</v>
      </c>
      <c r="G78" s="635"/>
      <c r="H78" s="635"/>
      <c r="I78" s="635"/>
      <c r="J78" s="2419"/>
    </row>
    <row r="79" spans="1:10">
      <c r="A79" s="2420" t="s">
        <v>1068</v>
      </c>
      <c r="B79" s="2384" t="s">
        <v>1508</v>
      </c>
      <c r="C79" s="2385" t="s">
        <v>1531</v>
      </c>
      <c r="D79" s="170" t="e">
        <f>SUMIF(#REF!,'Huella maquinaria'!A79,#REF!)</f>
        <v>#REF!</v>
      </c>
      <c r="E79" s="146">
        <v>30.3</v>
      </c>
      <c r="F79" s="147" t="e">
        <f t="shared" si="18"/>
        <v>#REF!</v>
      </c>
      <c r="G79" s="2419"/>
      <c r="H79" s="2419"/>
      <c r="I79" s="2419"/>
      <c r="J79" s="2419"/>
    </row>
    <row r="80" spans="1:10">
      <c r="A80" s="2420" t="s">
        <v>1073</v>
      </c>
      <c r="B80" s="2384" t="s">
        <v>1508</v>
      </c>
      <c r="C80" s="2385" t="s">
        <v>1509</v>
      </c>
      <c r="D80" s="170" t="e">
        <f>SUMIF(#REF!,'Huella maquinaria'!A80,#REF!)</f>
        <v>#REF!</v>
      </c>
      <c r="E80" s="146">
        <v>2.67</v>
      </c>
      <c r="F80" s="147" t="e">
        <f t="shared" si="18"/>
        <v>#REF!</v>
      </c>
      <c r="G80" s="2419"/>
      <c r="H80" s="2419"/>
      <c r="I80" s="2419"/>
      <c r="J80" s="2419"/>
    </row>
    <row r="81" spans="1:10">
      <c r="A81" s="1453" t="s">
        <v>1071</v>
      </c>
      <c r="B81" s="2382" t="s">
        <v>1508</v>
      </c>
      <c r="C81" s="2383" t="s">
        <v>2858</v>
      </c>
      <c r="D81" s="170" t="e">
        <f>SUMIF(#REF!,'Huella maquinaria'!A81,#REF!)</f>
        <v>#REF!</v>
      </c>
      <c r="E81" s="146">
        <v>23.87</v>
      </c>
      <c r="F81" s="147" t="e">
        <f t="shared" si="18"/>
        <v>#REF!</v>
      </c>
      <c r="G81" s="2419"/>
      <c r="H81" s="2419"/>
      <c r="I81" s="2419"/>
      <c r="J81" s="2419"/>
    </row>
    <row r="82" spans="1:10">
      <c r="A82" s="2442" t="s">
        <v>1391</v>
      </c>
      <c r="B82" s="2388" t="s">
        <v>1508</v>
      </c>
      <c r="C82" s="2389" t="s">
        <v>1610</v>
      </c>
      <c r="D82" s="170" t="e">
        <f>SUMIF(#REF!,'Huella maquinaria'!A82,#REF!)</f>
        <v>#REF!</v>
      </c>
      <c r="E82" s="146">
        <v>3.01</v>
      </c>
      <c r="F82" s="147" t="e">
        <f t="shared" si="18"/>
        <v>#REF!</v>
      </c>
      <c r="G82" s="2419"/>
      <c r="H82" s="2419"/>
      <c r="I82" s="2419"/>
      <c r="J82" s="2419"/>
    </row>
    <row r="83" spans="1:10">
      <c r="A83" s="2443" t="s">
        <v>1079</v>
      </c>
      <c r="B83" s="2425" t="s">
        <v>1504</v>
      </c>
      <c r="C83" s="2427" t="s">
        <v>2866</v>
      </c>
      <c r="D83" s="170" t="e">
        <f>SUMIF(#REF!,'Huella maquinaria'!A83,#REF!)</f>
        <v>#REF!</v>
      </c>
      <c r="E83" s="146">
        <v>34.979999999999997</v>
      </c>
      <c r="F83" s="147" t="e">
        <f t="shared" si="18"/>
        <v>#REF!</v>
      </c>
      <c r="G83" s="2419"/>
      <c r="H83" s="2419"/>
      <c r="I83" s="2419"/>
      <c r="J83" s="2419"/>
    </row>
    <row r="84" spans="1:10">
      <c r="A84" s="2444" t="s">
        <v>1396</v>
      </c>
      <c r="B84" s="2404" t="s">
        <v>1508</v>
      </c>
      <c r="C84" s="2415" t="s">
        <v>1615</v>
      </c>
      <c r="D84" s="170" t="e">
        <f>SUMIF(#REF!,'Huella maquinaria'!A84,#REF!)</f>
        <v>#REF!</v>
      </c>
      <c r="E84" s="146">
        <v>23.28</v>
      </c>
      <c r="F84" s="147" t="e">
        <f t="shared" si="18"/>
        <v>#REF!</v>
      </c>
      <c r="G84" s="2419"/>
      <c r="H84" s="2419"/>
      <c r="I84" s="2419"/>
      <c r="J84" s="2419"/>
    </row>
    <row r="85" spans="1:10">
      <c r="A85" s="2444" t="s">
        <v>1392</v>
      </c>
      <c r="B85" s="2404" t="s">
        <v>1508</v>
      </c>
      <c r="C85" s="2415" t="s">
        <v>2872</v>
      </c>
      <c r="D85" s="170" t="e">
        <f>SUMIF(#REF!,'Huella maquinaria'!A85,#REF!)</f>
        <v>#REF!</v>
      </c>
      <c r="E85" s="146">
        <v>1.51</v>
      </c>
      <c r="F85" s="147" t="e">
        <f t="shared" si="18"/>
        <v>#REF!</v>
      </c>
      <c r="G85" s="2419"/>
      <c r="H85" s="2419"/>
      <c r="I85" s="2419"/>
      <c r="J85" s="2419"/>
    </row>
    <row r="86" spans="1:10">
      <c r="A86" s="2444" t="s">
        <v>1393</v>
      </c>
      <c r="B86" s="2404" t="s">
        <v>1508</v>
      </c>
      <c r="C86" s="2415" t="s">
        <v>2857</v>
      </c>
      <c r="D86" s="170" t="e">
        <f>SUMIF(#REF!,'Huella maquinaria'!A86,#REF!)</f>
        <v>#REF!</v>
      </c>
      <c r="E86" s="146">
        <v>6.35</v>
      </c>
      <c r="F86" s="147" t="e">
        <f t="shared" si="18"/>
        <v>#REF!</v>
      </c>
      <c r="G86" s="2419"/>
      <c r="H86" s="2419"/>
      <c r="I86" s="2419"/>
      <c r="J86" s="2419"/>
    </row>
    <row r="87" spans="1:10">
      <c r="A87" s="2420" t="s">
        <v>1070</v>
      </c>
      <c r="B87" s="2384" t="s">
        <v>1508</v>
      </c>
      <c r="C87" s="2385" t="s">
        <v>1634</v>
      </c>
      <c r="D87" s="170" t="e">
        <f>SUMIF(#REF!,'Huella maquinaria'!A87,#REF!)</f>
        <v>#REF!</v>
      </c>
      <c r="E87" s="146">
        <v>7.35</v>
      </c>
      <c r="F87" s="147" t="e">
        <f t="shared" ref="F87:F89" si="19">D87*E87</f>
        <v>#REF!</v>
      </c>
      <c r="G87" s="2419"/>
      <c r="H87" s="2419"/>
      <c r="I87" s="2419"/>
      <c r="J87" s="2419"/>
    </row>
    <row r="88" spans="1:10">
      <c r="A88" s="1453" t="s">
        <v>1072</v>
      </c>
      <c r="B88" s="2382" t="s">
        <v>1508</v>
      </c>
      <c r="C88" s="2383" t="s">
        <v>2862</v>
      </c>
      <c r="D88" s="170" t="e">
        <f>SUMIF(#REF!,'Huella maquinaria'!A88,#REF!)</f>
        <v>#REF!</v>
      </c>
      <c r="E88" s="146">
        <v>8.35</v>
      </c>
      <c r="F88" s="147" t="e">
        <f t="shared" si="19"/>
        <v>#REF!</v>
      </c>
      <c r="G88" s="2419"/>
      <c r="H88" s="2419"/>
      <c r="I88" s="2419"/>
      <c r="J88" s="2419"/>
    </row>
    <row r="89" spans="1:10">
      <c r="A89" s="2420" t="s">
        <v>1686</v>
      </c>
      <c r="B89" s="2384" t="s">
        <v>1508</v>
      </c>
      <c r="C89" s="2385" t="s">
        <v>2859</v>
      </c>
      <c r="D89" s="170" t="e">
        <f>SUMIF(#REF!,'Huella maquinaria'!A89,#REF!)</f>
        <v>#REF!</v>
      </c>
      <c r="E89" s="146">
        <v>9.35</v>
      </c>
      <c r="F89" s="147" t="e">
        <f t="shared" si="19"/>
        <v>#REF!</v>
      </c>
      <c r="G89" s="2419"/>
      <c r="H89" s="2419"/>
      <c r="I89" s="2419"/>
      <c r="J89" s="2419"/>
    </row>
    <row r="90" spans="1:10" ht="15" thickBot="1">
      <c r="C90" s="145" t="s">
        <v>302</v>
      </c>
      <c r="D90" s="387" t="e">
        <f>SUM(D77:D86)</f>
        <v>#REF!</v>
      </c>
      <c r="E90" s="387"/>
      <c r="F90" s="388" t="e">
        <f>SUM(F77:F89)</f>
        <v>#REF!</v>
      </c>
      <c r="G90" s="2419"/>
      <c r="H90" s="2419"/>
      <c r="I90" s="2419"/>
    </row>
    <row r="91" spans="1:10">
      <c r="G91" s="651"/>
      <c r="H91" s="651"/>
      <c r="I91" s="651"/>
    </row>
    <row r="92" spans="1:10" ht="15" thickBot="1">
      <c r="C92" s="627" t="s">
        <v>876</v>
      </c>
      <c r="J92" s="2429"/>
    </row>
    <row r="93" spans="1:10">
      <c r="C93" s="392" t="s">
        <v>295</v>
      </c>
      <c r="D93" s="393" t="s">
        <v>284</v>
      </c>
      <c r="E93" s="393" t="s">
        <v>297</v>
      </c>
      <c r="F93" s="394" t="s">
        <v>296</v>
      </c>
      <c r="J93" s="2419"/>
    </row>
    <row r="94" spans="1:10">
      <c r="A94" s="1453" t="s">
        <v>1089</v>
      </c>
      <c r="B94" s="2382" t="s">
        <v>1508</v>
      </c>
      <c r="C94" s="2383" t="s">
        <v>2860</v>
      </c>
      <c r="D94" s="170" t="e">
        <f>SUMIF(#REF!,'Huella maquinaria'!A94,#REF!)</f>
        <v>#REF!</v>
      </c>
      <c r="E94" s="146">
        <v>55.84</v>
      </c>
      <c r="F94" s="147" t="e">
        <f t="shared" ref="F94:F106" si="20">D94*E94</f>
        <v>#REF!</v>
      </c>
      <c r="G94" s="2429"/>
      <c r="H94" s="2429"/>
      <c r="I94" s="2429"/>
      <c r="J94" s="2419"/>
    </row>
    <row r="95" spans="1:10">
      <c r="A95" s="2420" t="s">
        <v>1066</v>
      </c>
      <c r="B95" s="2384" t="s">
        <v>1508</v>
      </c>
      <c r="C95" s="2385" t="s">
        <v>1510</v>
      </c>
      <c r="D95" s="170" t="e">
        <f>SUMIF(#REF!,'Huella maquinaria'!A95,#REF!)</f>
        <v>#REF!</v>
      </c>
      <c r="E95" s="146">
        <v>25.6</v>
      </c>
      <c r="F95" s="147" t="e">
        <f t="shared" si="20"/>
        <v>#REF!</v>
      </c>
      <c r="G95" s="2419"/>
      <c r="H95" s="2419"/>
      <c r="I95" s="2419"/>
      <c r="J95" s="2419"/>
    </row>
    <row r="96" spans="1:10">
      <c r="A96" s="2420" t="s">
        <v>1068</v>
      </c>
      <c r="B96" s="2384" t="s">
        <v>1508</v>
      </c>
      <c r="C96" s="2385" t="s">
        <v>1531</v>
      </c>
      <c r="D96" s="170" t="e">
        <f>SUMIF(#REF!,'Huella maquinaria'!A96,#REF!)</f>
        <v>#REF!</v>
      </c>
      <c r="E96" s="146">
        <v>30.3</v>
      </c>
      <c r="F96" s="147" t="e">
        <f t="shared" si="20"/>
        <v>#REF!</v>
      </c>
      <c r="G96" s="2419"/>
      <c r="H96" s="2419"/>
      <c r="I96" s="2419"/>
      <c r="J96" s="2419"/>
    </row>
    <row r="97" spans="1:10">
      <c r="A97" s="2420" t="s">
        <v>1073</v>
      </c>
      <c r="B97" s="2384" t="s">
        <v>1508</v>
      </c>
      <c r="C97" s="2385" t="s">
        <v>1509</v>
      </c>
      <c r="D97" s="170" t="e">
        <f>SUMIF(#REF!,'Huella maquinaria'!A97,#REF!)</f>
        <v>#REF!</v>
      </c>
      <c r="E97" s="146">
        <v>2.67</v>
      </c>
      <c r="F97" s="147" t="e">
        <f t="shared" si="20"/>
        <v>#REF!</v>
      </c>
      <c r="G97" s="2419"/>
      <c r="H97" s="2419"/>
      <c r="I97" s="2419"/>
      <c r="J97" s="2419"/>
    </row>
    <row r="98" spans="1:10">
      <c r="A98" s="1453" t="s">
        <v>1071</v>
      </c>
      <c r="B98" s="2382" t="s">
        <v>1508</v>
      </c>
      <c r="C98" s="2383" t="s">
        <v>2858</v>
      </c>
      <c r="D98" s="170" t="e">
        <f>SUMIF(#REF!,'Huella maquinaria'!A98,#REF!)</f>
        <v>#REF!</v>
      </c>
      <c r="E98" s="2653"/>
      <c r="F98" s="147"/>
      <c r="G98" s="2419"/>
      <c r="H98" s="2419"/>
      <c r="I98" s="2419"/>
      <c r="J98" s="2419"/>
    </row>
    <row r="99" spans="1:10">
      <c r="A99" s="2442" t="s">
        <v>1391</v>
      </c>
      <c r="B99" s="2388" t="s">
        <v>1508</v>
      </c>
      <c r="C99" s="2389" t="s">
        <v>1610</v>
      </c>
      <c r="D99" s="170" t="e">
        <f>SUMIF(#REF!,'Huella maquinaria'!A99,#REF!)</f>
        <v>#REF!</v>
      </c>
      <c r="E99" s="2653"/>
      <c r="F99" s="147"/>
      <c r="G99" s="2419"/>
      <c r="H99" s="2419"/>
      <c r="I99" s="2419"/>
      <c r="J99" s="2419"/>
    </row>
    <row r="100" spans="1:10">
      <c r="A100" s="2443" t="s">
        <v>1079</v>
      </c>
      <c r="B100" s="2425" t="s">
        <v>1504</v>
      </c>
      <c r="C100" s="2427" t="s">
        <v>2866</v>
      </c>
      <c r="D100" s="170" t="e">
        <f>SUMIF(#REF!,'Huella maquinaria'!A100,#REF!)</f>
        <v>#REF!</v>
      </c>
      <c r="E100" s="2653"/>
      <c r="F100" s="147"/>
      <c r="G100" s="2419"/>
      <c r="H100" s="2419"/>
      <c r="I100" s="2419"/>
      <c r="J100" s="2419"/>
    </row>
    <row r="101" spans="1:10">
      <c r="A101" s="2444" t="s">
        <v>1396</v>
      </c>
      <c r="B101" s="2404" t="s">
        <v>1508</v>
      </c>
      <c r="C101" s="2415" t="s">
        <v>1615</v>
      </c>
      <c r="D101" s="170" t="e">
        <f>SUMIF(#REF!,'Huella maquinaria'!A101,#REF!)</f>
        <v>#REF!</v>
      </c>
      <c r="E101" s="2653"/>
      <c r="F101" s="147"/>
      <c r="G101" s="2419"/>
      <c r="H101" s="2419"/>
      <c r="I101" s="2419"/>
      <c r="J101" s="2419"/>
    </row>
    <row r="102" spans="1:10">
      <c r="A102" s="2444" t="s">
        <v>1392</v>
      </c>
      <c r="B102" s="2404" t="s">
        <v>1508</v>
      </c>
      <c r="C102" s="2415" t="s">
        <v>2872</v>
      </c>
      <c r="D102" s="170" t="e">
        <f>SUMIF(#REF!,'Huella maquinaria'!A102,#REF!)</f>
        <v>#REF!</v>
      </c>
      <c r="E102" s="146">
        <v>23.87</v>
      </c>
      <c r="F102" s="147" t="e">
        <f t="shared" si="20"/>
        <v>#REF!</v>
      </c>
      <c r="G102" s="2419"/>
      <c r="H102" s="2419"/>
      <c r="I102" s="2419"/>
      <c r="J102" s="2419"/>
    </row>
    <row r="103" spans="1:10">
      <c r="A103" s="2444" t="s">
        <v>1393</v>
      </c>
      <c r="B103" s="2404" t="s">
        <v>1508</v>
      </c>
      <c r="C103" s="2415" t="s">
        <v>2857</v>
      </c>
      <c r="D103" s="170" t="e">
        <f>SUMIF(#REF!,'Huella maquinaria'!A103,#REF!)</f>
        <v>#REF!</v>
      </c>
      <c r="E103" s="146">
        <v>3.01</v>
      </c>
      <c r="F103" s="147" t="e">
        <f t="shared" si="20"/>
        <v>#REF!</v>
      </c>
      <c r="G103" s="2419"/>
      <c r="H103" s="2419"/>
      <c r="I103" s="2419"/>
      <c r="J103" s="2419"/>
    </row>
    <row r="104" spans="1:10">
      <c r="A104" s="2420" t="s">
        <v>1070</v>
      </c>
      <c r="B104" s="2384" t="s">
        <v>1508</v>
      </c>
      <c r="C104" s="2385" t="s">
        <v>1634</v>
      </c>
      <c r="D104" s="170" t="e">
        <f>SUMIF(#REF!,'Huella maquinaria'!A104,#REF!)</f>
        <v>#REF!</v>
      </c>
      <c r="E104" s="146">
        <v>34.979999999999997</v>
      </c>
      <c r="F104" s="147" t="e">
        <f t="shared" si="20"/>
        <v>#REF!</v>
      </c>
      <c r="G104" s="2419"/>
      <c r="H104" s="2419"/>
      <c r="I104" s="2419"/>
      <c r="J104" s="2419"/>
    </row>
    <row r="105" spans="1:10">
      <c r="A105" s="1453" t="s">
        <v>1072</v>
      </c>
      <c r="B105" s="2382" t="s">
        <v>1508</v>
      </c>
      <c r="C105" s="2383" t="s">
        <v>2862</v>
      </c>
      <c r="D105" s="170" t="e">
        <f>SUMIF(#REF!,'Huella maquinaria'!A105,#REF!)</f>
        <v>#REF!</v>
      </c>
      <c r="E105" s="146">
        <v>23.28</v>
      </c>
      <c r="F105" s="147" t="e">
        <f t="shared" si="20"/>
        <v>#REF!</v>
      </c>
      <c r="G105" s="2419"/>
      <c r="H105" s="2419"/>
      <c r="I105" s="2419"/>
      <c r="J105" s="2419"/>
    </row>
    <row r="106" spans="1:10">
      <c r="A106" s="2420" t="s">
        <v>1686</v>
      </c>
      <c r="B106" s="2384" t="s">
        <v>1508</v>
      </c>
      <c r="C106" s="2385" t="s">
        <v>2859</v>
      </c>
      <c r="D106" s="170" t="e">
        <f>SUMIF(#REF!,'Huella maquinaria'!A106,#REF!)</f>
        <v>#REF!</v>
      </c>
      <c r="E106" s="146">
        <v>1.51</v>
      </c>
      <c r="F106" s="147" t="e">
        <f t="shared" si="20"/>
        <v>#REF!</v>
      </c>
      <c r="G106" s="2419"/>
      <c r="H106" s="2419"/>
      <c r="I106" s="2419"/>
      <c r="J106" s="2419"/>
    </row>
    <row r="107" spans="1:10" ht="15" thickBot="1">
      <c r="C107" s="145" t="s">
        <v>302</v>
      </c>
      <c r="D107" s="387" t="e">
        <f>SUM(D94:D106)</f>
        <v>#REF!</v>
      </c>
      <c r="E107" s="387"/>
      <c r="F107" s="388" t="e">
        <f>SUM(F94:F106)</f>
        <v>#REF!</v>
      </c>
      <c r="G107" s="2419"/>
      <c r="H107" s="2419"/>
      <c r="I107" s="2419"/>
    </row>
    <row r="108" spans="1:10">
      <c r="G108" s="651"/>
      <c r="H108" s="651"/>
      <c r="I108" s="651"/>
    </row>
    <row r="109" spans="1:10" ht="15" thickBot="1">
      <c r="C109" s="627" t="s">
        <v>877</v>
      </c>
      <c r="J109" s="2429"/>
    </row>
    <row r="110" spans="1:10">
      <c r="C110" s="392" t="s">
        <v>295</v>
      </c>
      <c r="D110" s="393" t="s">
        <v>284</v>
      </c>
      <c r="E110" s="393" t="s">
        <v>297</v>
      </c>
      <c r="F110" s="394" t="s">
        <v>296</v>
      </c>
      <c r="J110" s="2419"/>
    </row>
    <row r="111" spans="1:10">
      <c r="A111" s="1453" t="s">
        <v>1089</v>
      </c>
      <c r="B111" s="2382" t="s">
        <v>1508</v>
      </c>
      <c r="C111" s="2383" t="s">
        <v>2860</v>
      </c>
      <c r="D111" s="170" t="e">
        <f>SUMIF(#REF!,'Huella maquinaria'!A111,#REF!)</f>
        <v>#REF!</v>
      </c>
      <c r="E111" s="146">
        <v>55.84</v>
      </c>
      <c r="F111" s="147" t="e">
        <f t="shared" ref="F111:F120" si="21">D111*E111</f>
        <v>#REF!</v>
      </c>
      <c r="G111" s="2429"/>
      <c r="H111" s="2429"/>
      <c r="I111" s="2429"/>
      <c r="J111" s="2419"/>
    </row>
    <row r="112" spans="1:10">
      <c r="A112" s="2420" t="s">
        <v>1066</v>
      </c>
      <c r="B112" s="2384" t="s">
        <v>1508</v>
      </c>
      <c r="C112" s="2385" t="s">
        <v>1510</v>
      </c>
      <c r="D112" s="170" t="e">
        <f>SUMIF(#REF!,'Huella maquinaria'!A112,#REF!)</f>
        <v>#REF!</v>
      </c>
      <c r="E112" s="146">
        <v>25.6</v>
      </c>
      <c r="F112" s="147" t="e">
        <f t="shared" si="21"/>
        <v>#REF!</v>
      </c>
      <c r="G112" s="2419"/>
      <c r="H112" s="2419"/>
      <c r="I112" s="2419"/>
      <c r="J112" s="2419"/>
    </row>
    <row r="113" spans="1:10">
      <c r="A113" s="2420" t="s">
        <v>1068</v>
      </c>
      <c r="B113" s="2384" t="s">
        <v>1508</v>
      </c>
      <c r="C113" s="2385" t="s">
        <v>1531</v>
      </c>
      <c r="D113" s="170" t="e">
        <f>SUMIF(#REF!,'Huella maquinaria'!A113,#REF!)</f>
        <v>#REF!</v>
      </c>
      <c r="E113" s="146">
        <v>30.3</v>
      </c>
      <c r="F113" s="147" t="e">
        <f t="shared" si="21"/>
        <v>#REF!</v>
      </c>
      <c r="G113" s="2419"/>
      <c r="H113" s="2419"/>
      <c r="I113" s="2419"/>
      <c r="J113" s="2419"/>
    </row>
    <row r="114" spans="1:10">
      <c r="A114" s="2420" t="s">
        <v>1073</v>
      </c>
      <c r="B114" s="2384" t="s">
        <v>1508</v>
      </c>
      <c r="C114" s="2385" t="s">
        <v>1509</v>
      </c>
      <c r="D114" s="170" t="e">
        <f>SUMIF(#REF!,'Huella maquinaria'!A114,#REF!)</f>
        <v>#REF!</v>
      </c>
      <c r="E114" s="146">
        <v>2.67</v>
      </c>
      <c r="F114" s="147" t="e">
        <f t="shared" si="21"/>
        <v>#REF!</v>
      </c>
      <c r="G114" s="2419"/>
      <c r="H114" s="2419"/>
      <c r="I114" s="2419"/>
      <c r="J114" s="2419"/>
    </row>
    <row r="115" spans="1:10">
      <c r="A115" s="1453" t="s">
        <v>1071</v>
      </c>
      <c r="B115" s="2382" t="s">
        <v>1508</v>
      </c>
      <c r="C115" s="2383" t="s">
        <v>2858</v>
      </c>
      <c r="D115" s="170" t="e">
        <f>SUMIF(#REF!,'Huella maquinaria'!A115,#REF!)</f>
        <v>#REF!</v>
      </c>
      <c r="E115" s="146">
        <v>23.87</v>
      </c>
      <c r="F115" s="147" t="e">
        <f t="shared" si="21"/>
        <v>#REF!</v>
      </c>
      <c r="G115" s="2419"/>
      <c r="H115" s="2419"/>
      <c r="I115" s="2419"/>
      <c r="J115" s="2419"/>
    </row>
    <row r="116" spans="1:10">
      <c r="A116" s="2442" t="s">
        <v>1391</v>
      </c>
      <c r="B116" s="2388" t="s">
        <v>1508</v>
      </c>
      <c r="C116" s="2389" t="s">
        <v>1610</v>
      </c>
      <c r="D116" s="170" t="e">
        <f>SUMIF(#REF!,'Huella maquinaria'!A116,#REF!)</f>
        <v>#REF!</v>
      </c>
      <c r="E116" s="146">
        <v>3.01</v>
      </c>
      <c r="F116" s="147" t="e">
        <f t="shared" si="21"/>
        <v>#REF!</v>
      </c>
      <c r="G116" s="2419"/>
      <c r="H116" s="2419"/>
      <c r="I116" s="2419"/>
      <c r="J116" s="2419"/>
    </row>
    <row r="117" spans="1:10">
      <c r="A117" s="2443" t="s">
        <v>1079</v>
      </c>
      <c r="B117" s="2425" t="s">
        <v>1504</v>
      </c>
      <c r="C117" s="2427" t="s">
        <v>2866</v>
      </c>
      <c r="D117" s="170" t="e">
        <f>SUMIF(#REF!,'Huella maquinaria'!A117,#REF!)</f>
        <v>#REF!</v>
      </c>
      <c r="E117" s="146">
        <v>34.979999999999997</v>
      </c>
      <c r="F117" s="147" t="e">
        <f t="shared" si="21"/>
        <v>#REF!</v>
      </c>
      <c r="G117" s="2419"/>
      <c r="H117" s="2419"/>
      <c r="I117" s="2419"/>
      <c r="J117" s="2419"/>
    </row>
    <row r="118" spans="1:10">
      <c r="A118" s="2444" t="s">
        <v>1396</v>
      </c>
      <c r="B118" s="2404" t="s">
        <v>1508</v>
      </c>
      <c r="C118" s="2415" t="s">
        <v>1615</v>
      </c>
      <c r="D118" s="170" t="e">
        <f>SUMIF(#REF!,'Huella maquinaria'!A118,#REF!)</f>
        <v>#REF!</v>
      </c>
      <c r="E118" s="146">
        <v>23.28</v>
      </c>
      <c r="F118" s="147" t="e">
        <f t="shared" si="21"/>
        <v>#REF!</v>
      </c>
      <c r="G118" s="2419"/>
      <c r="H118" s="2419"/>
      <c r="I118" s="2419"/>
      <c r="J118" s="2419"/>
    </row>
    <row r="119" spans="1:10">
      <c r="A119" s="2444" t="s">
        <v>1392</v>
      </c>
      <c r="B119" s="2404" t="s">
        <v>1508</v>
      </c>
      <c r="C119" s="2415" t="s">
        <v>2872</v>
      </c>
      <c r="D119" s="170" t="e">
        <f>SUMIF(#REF!,'Huella maquinaria'!A119,#REF!)</f>
        <v>#REF!</v>
      </c>
      <c r="E119" s="146">
        <v>1.51</v>
      </c>
      <c r="F119" s="147" t="e">
        <f t="shared" si="21"/>
        <v>#REF!</v>
      </c>
      <c r="G119" s="2419"/>
      <c r="H119" s="2419"/>
      <c r="I119" s="2419"/>
      <c r="J119" s="2419"/>
    </row>
    <row r="120" spans="1:10">
      <c r="A120" s="2444" t="s">
        <v>1393</v>
      </c>
      <c r="B120" s="2404" t="s">
        <v>1508</v>
      </c>
      <c r="C120" s="2415" t="s">
        <v>2857</v>
      </c>
      <c r="D120" s="170" t="e">
        <f>SUMIF(#REF!,'Huella maquinaria'!A120,#REF!)</f>
        <v>#REF!</v>
      </c>
      <c r="E120" s="146">
        <v>6.35</v>
      </c>
      <c r="F120" s="147" t="e">
        <f t="shared" si="21"/>
        <v>#REF!</v>
      </c>
      <c r="G120" s="2419"/>
      <c r="H120" s="2419"/>
      <c r="I120" s="2419"/>
      <c r="J120" s="2419"/>
    </row>
    <row r="121" spans="1:10">
      <c r="A121" s="2420" t="s">
        <v>1070</v>
      </c>
      <c r="B121" s="2384" t="s">
        <v>1508</v>
      </c>
      <c r="C121" s="2385" t="s">
        <v>1634</v>
      </c>
      <c r="D121" s="170" t="e">
        <f>SUMIF(#REF!,'Huella maquinaria'!A121,#REF!)</f>
        <v>#REF!</v>
      </c>
      <c r="E121" s="2653"/>
      <c r="F121" s="147"/>
      <c r="G121" s="2419"/>
      <c r="H121" s="2419"/>
      <c r="I121" s="2419"/>
      <c r="J121" s="2419"/>
    </row>
    <row r="122" spans="1:10">
      <c r="A122" s="1453" t="s">
        <v>1072</v>
      </c>
      <c r="B122" s="2382" t="s">
        <v>1508</v>
      </c>
      <c r="C122" s="2383" t="s">
        <v>2862</v>
      </c>
      <c r="D122" s="170" t="e">
        <f>SUMIF(#REF!,'Huella maquinaria'!A122,#REF!)</f>
        <v>#REF!</v>
      </c>
      <c r="E122" s="2653"/>
      <c r="F122" s="147"/>
      <c r="G122" s="2419"/>
      <c r="H122" s="2419"/>
      <c r="I122" s="2419"/>
      <c r="J122" s="2419"/>
    </row>
    <row r="123" spans="1:10">
      <c r="A123" s="2420" t="s">
        <v>1686</v>
      </c>
      <c r="B123" s="2384" t="s">
        <v>1508</v>
      </c>
      <c r="C123" s="2385" t="s">
        <v>2859</v>
      </c>
      <c r="D123" s="170" t="e">
        <f>SUMIF(#REF!,'Huella maquinaria'!A123,#REF!)</f>
        <v>#REF!</v>
      </c>
      <c r="E123" s="146">
        <v>7.5</v>
      </c>
      <c r="F123" s="147" t="e">
        <f t="shared" ref="F123" si="22">D123*E123</f>
        <v>#REF!</v>
      </c>
      <c r="G123" s="2419"/>
      <c r="H123" s="2419"/>
      <c r="I123" s="2419"/>
      <c r="J123" s="651"/>
    </row>
    <row r="124" spans="1:10" ht="15" thickBot="1">
      <c r="C124" s="145" t="s">
        <v>302</v>
      </c>
      <c r="D124" s="387" t="e">
        <f>SUM(D111:D120)</f>
        <v>#REF!</v>
      </c>
      <c r="E124" s="387"/>
      <c r="F124" s="388" t="e">
        <f>SUM(F111:F123)</f>
        <v>#REF!</v>
      </c>
      <c r="G124" s="2419"/>
      <c r="H124" s="2419"/>
      <c r="I124" s="2419"/>
    </row>
    <row r="125" spans="1:10">
      <c r="G125" s="651"/>
      <c r="H125" s="651"/>
      <c r="I125" s="651"/>
    </row>
    <row r="126" spans="1:10" ht="15" thickBot="1">
      <c r="C126" s="627" t="s">
        <v>878</v>
      </c>
      <c r="J126" s="2429"/>
    </row>
    <row r="127" spans="1:10">
      <c r="C127" s="392" t="s">
        <v>295</v>
      </c>
      <c r="D127" s="393" t="s">
        <v>284</v>
      </c>
      <c r="E127" s="393" t="s">
        <v>297</v>
      </c>
      <c r="F127" s="394" t="s">
        <v>296</v>
      </c>
      <c r="J127" s="2419"/>
    </row>
    <row r="128" spans="1:10">
      <c r="A128" s="1453" t="s">
        <v>1089</v>
      </c>
      <c r="B128" s="2382" t="s">
        <v>1508</v>
      </c>
      <c r="C128" s="2383" t="s">
        <v>2860</v>
      </c>
      <c r="D128" s="146" t="e">
        <f>SUMIF(#REF!,'Huella maquinaria'!A128,#REF!)</f>
        <v>#REF!</v>
      </c>
      <c r="E128" s="146">
        <v>55.84</v>
      </c>
      <c r="F128" s="147" t="e">
        <f t="shared" ref="F128:F139" si="23">D128*E128</f>
        <v>#REF!</v>
      </c>
      <c r="G128" s="2429"/>
      <c r="H128" s="2429"/>
      <c r="I128" s="2429"/>
      <c r="J128" s="2419"/>
    </row>
    <row r="129" spans="1:10">
      <c r="A129" s="2420" t="s">
        <v>1066</v>
      </c>
      <c r="B129" s="2384" t="s">
        <v>1508</v>
      </c>
      <c r="C129" s="2385" t="s">
        <v>1510</v>
      </c>
      <c r="D129" s="146" t="e">
        <f>SUMIF(#REF!,'Huella maquinaria'!A129,#REF!)</f>
        <v>#REF!</v>
      </c>
      <c r="E129" s="146">
        <v>25.6</v>
      </c>
      <c r="F129" s="147" t="e">
        <f t="shared" si="23"/>
        <v>#REF!</v>
      </c>
      <c r="G129" s="2419"/>
      <c r="H129" s="2419"/>
      <c r="I129" s="2419"/>
      <c r="J129" s="2419"/>
    </row>
    <row r="130" spans="1:10">
      <c r="A130" s="2420" t="s">
        <v>1068</v>
      </c>
      <c r="B130" s="2384" t="s">
        <v>1508</v>
      </c>
      <c r="C130" s="2385" t="s">
        <v>1531</v>
      </c>
      <c r="D130" s="146" t="e">
        <f>SUMIF(#REF!,'Huella maquinaria'!A130,#REF!)</f>
        <v>#REF!</v>
      </c>
      <c r="E130" s="146">
        <v>30.3</v>
      </c>
      <c r="F130" s="147" t="e">
        <f t="shared" si="23"/>
        <v>#REF!</v>
      </c>
      <c r="G130" s="2419"/>
      <c r="H130" s="2419"/>
      <c r="I130" s="2419"/>
      <c r="J130" s="2419"/>
    </row>
    <row r="131" spans="1:10">
      <c r="A131" s="2420" t="s">
        <v>1073</v>
      </c>
      <c r="B131" s="2384" t="s">
        <v>1508</v>
      </c>
      <c r="C131" s="2385" t="s">
        <v>1509</v>
      </c>
      <c r="D131" s="146" t="e">
        <f>SUMIF(#REF!,'Huella maquinaria'!A131,#REF!)</f>
        <v>#REF!</v>
      </c>
      <c r="E131" s="146">
        <v>2.67</v>
      </c>
      <c r="F131" s="147" t="e">
        <f t="shared" si="23"/>
        <v>#REF!</v>
      </c>
      <c r="G131" s="2419"/>
      <c r="H131" s="2419"/>
      <c r="I131" s="2419"/>
      <c r="J131" s="2419"/>
    </row>
    <row r="132" spans="1:10">
      <c r="A132" s="1453" t="s">
        <v>1071</v>
      </c>
      <c r="B132" s="2382" t="s">
        <v>1508</v>
      </c>
      <c r="C132" s="2383" t="s">
        <v>2858</v>
      </c>
      <c r="D132" s="2653"/>
      <c r="E132" s="2653"/>
      <c r="F132" s="147"/>
      <c r="G132" s="2419"/>
      <c r="H132" s="2419"/>
      <c r="I132" s="2419"/>
      <c r="J132" s="2419"/>
    </row>
    <row r="133" spans="1:10">
      <c r="A133" s="2442" t="s">
        <v>1391</v>
      </c>
      <c r="B133" s="2388" t="s">
        <v>1508</v>
      </c>
      <c r="C133" s="2389" t="s">
        <v>1610</v>
      </c>
      <c r="D133" s="2653"/>
      <c r="E133" s="2653"/>
      <c r="F133" s="147"/>
      <c r="G133" s="2419"/>
      <c r="H133" s="2419"/>
      <c r="I133" s="2419"/>
      <c r="J133" s="2419"/>
    </row>
    <row r="134" spans="1:10">
      <c r="A134" s="2443" t="s">
        <v>1079</v>
      </c>
      <c r="B134" s="2425" t="s">
        <v>1504</v>
      </c>
      <c r="C134" s="2427" t="s">
        <v>2866</v>
      </c>
      <c r="D134" s="146" t="e">
        <f>SUMIF(#REF!,'Huella maquinaria'!A134,#REF!)</f>
        <v>#REF!</v>
      </c>
      <c r="E134" s="146">
        <v>23.87</v>
      </c>
      <c r="F134" s="147" t="e">
        <f t="shared" si="23"/>
        <v>#REF!</v>
      </c>
      <c r="G134" s="2419"/>
      <c r="H134" s="2419"/>
      <c r="I134" s="2419"/>
      <c r="J134" s="2419"/>
    </row>
    <row r="135" spans="1:10">
      <c r="A135" s="2444" t="s">
        <v>1396</v>
      </c>
      <c r="B135" s="2404" t="s">
        <v>1508</v>
      </c>
      <c r="C135" s="2415" t="s">
        <v>1615</v>
      </c>
      <c r="D135" s="146" t="e">
        <f>SUMIF(#REF!,'Huella maquinaria'!A135,#REF!)</f>
        <v>#REF!</v>
      </c>
      <c r="E135" s="146">
        <v>3.01</v>
      </c>
      <c r="F135" s="147" t="e">
        <f t="shared" si="23"/>
        <v>#REF!</v>
      </c>
      <c r="G135" s="2419"/>
      <c r="H135" s="2419"/>
      <c r="I135" s="2419"/>
      <c r="J135" s="2419"/>
    </row>
    <row r="136" spans="1:10">
      <c r="A136" s="2444" t="s">
        <v>1392</v>
      </c>
      <c r="B136" s="2404" t="s">
        <v>1508</v>
      </c>
      <c r="C136" s="2415" t="s">
        <v>2872</v>
      </c>
      <c r="D136" s="146" t="e">
        <f>SUMIF(#REF!,'Huella maquinaria'!A136,#REF!)</f>
        <v>#REF!</v>
      </c>
      <c r="E136" s="146">
        <v>34.979999999999997</v>
      </c>
      <c r="F136" s="147" t="e">
        <f t="shared" si="23"/>
        <v>#REF!</v>
      </c>
      <c r="G136" s="2419"/>
      <c r="H136" s="2419"/>
      <c r="I136" s="2419"/>
      <c r="J136" s="2419"/>
    </row>
    <row r="137" spans="1:10">
      <c r="A137" s="2444" t="s">
        <v>1393</v>
      </c>
      <c r="B137" s="2404" t="s">
        <v>1508</v>
      </c>
      <c r="C137" s="2415" t="s">
        <v>2857</v>
      </c>
      <c r="D137" s="146" t="e">
        <f>SUMIF(#REF!,'Huella maquinaria'!A137,#REF!)</f>
        <v>#REF!</v>
      </c>
      <c r="E137" s="146">
        <v>23.28</v>
      </c>
      <c r="F137" s="147" t="e">
        <f t="shared" si="23"/>
        <v>#REF!</v>
      </c>
      <c r="G137" s="2419"/>
      <c r="H137" s="2419"/>
      <c r="I137" s="2419"/>
      <c r="J137" s="2419"/>
    </row>
    <row r="138" spans="1:10">
      <c r="A138" s="2420" t="s">
        <v>1070</v>
      </c>
      <c r="B138" s="2384" t="s">
        <v>1508</v>
      </c>
      <c r="C138" s="2385" t="s">
        <v>1634</v>
      </c>
      <c r="D138" s="146" t="e">
        <f>SUMIF(#REF!,'Huella maquinaria'!A138,#REF!)</f>
        <v>#REF!</v>
      </c>
      <c r="E138" s="146">
        <v>1.51</v>
      </c>
      <c r="F138" s="147" t="e">
        <f t="shared" si="23"/>
        <v>#REF!</v>
      </c>
      <c r="G138" s="2419"/>
      <c r="H138" s="2419"/>
      <c r="I138" s="2419"/>
      <c r="J138" s="2419"/>
    </row>
    <row r="139" spans="1:10">
      <c r="A139" s="1453" t="s">
        <v>1072</v>
      </c>
      <c r="B139" s="2382" t="s">
        <v>1508</v>
      </c>
      <c r="C139" s="2383" t="s">
        <v>2862</v>
      </c>
      <c r="D139" s="146" t="e">
        <f>SUMIF(#REF!,'Huella maquinaria'!A139,#REF!)</f>
        <v>#REF!</v>
      </c>
      <c r="E139" s="146">
        <v>6.35</v>
      </c>
      <c r="F139" s="147" t="e">
        <f t="shared" si="23"/>
        <v>#REF!</v>
      </c>
      <c r="G139" s="2419"/>
      <c r="H139" s="2419"/>
      <c r="I139" s="2419"/>
      <c r="J139" s="2419"/>
    </row>
    <row r="140" spans="1:10">
      <c r="A140" s="2420" t="s">
        <v>1686</v>
      </c>
      <c r="B140" s="2384" t="s">
        <v>1508</v>
      </c>
      <c r="C140" s="2385" t="s">
        <v>2859</v>
      </c>
      <c r="D140" s="146" t="e">
        <f>SUMIF(#REF!,'Huella maquinaria'!A140,#REF!)</f>
        <v>#REF!</v>
      </c>
      <c r="E140" s="146">
        <v>7.5</v>
      </c>
      <c r="F140" s="147" t="e">
        <f t="shared" ref="F140" si="24">D140*E140</f>
        <v>#REF!</v>
      </c>
      <c r="G140" s="2419"/>
      <c r="H140" s="2419"/>
      <c r="I140" s="2419"/>
      <c r="J140" s="651"/>
    </row>
    <row r="141" spans="1:10" ht="15" thickBot="1">
      <c r="C141" s="145" t="s">
        <v>302</v>
      </c>
      <c r="D141" s="387" t="e">
        <f>SUM(D128:D139)</f>
        <v>#REF!</v>
      </c>
      <c r="E141" s="387"/>
      <c r="F141" s="388" t="e">
        <f>SUM(F128:F140)</f>
        <v>#REF!</v>
      </c>
      <c r="G141" s="2419"/>
      <c r="H141" s="2419"/>
      <c r="I141" s="2419"/>
    </row>
    <row r="142" spans="1:10">
      <c r="G142" s="651"/>
      <c r="H142" s="651"/>
      <c r="I142" s="651"/>
    </row>
    <row r="143" spans="1:10" ht="15" thickBot="1">
      <c r="C143" s="627" t="s">
        <v>879</v>
      </c>
      <c r="J143" s="2429"/>
    </row>
    <row r="144" spans="1:10">
      <c r="C144" s="392" t="s">
        <v>295</v>
      </c>
      <c r="D144" s="393" t="s">
        <v>284</v>
      </c>
      <c r="E144" s="393" t="s">
        <v>297</v>
      </c>
      <c r="F144" s="394" t="s">
        <v>296</v>
      </c>
      <c r="J144" s="2419"/>
    </row>
    <row r="145" spans="1:10">
      <c r="A145" s="1453" t="s">
        <v>1089</v>
      </c>
      <c r="B145" s="2382" t="s">
        <v>1508</v>
      </c>
      <c r="C145" s="2383" t="s">
        <v>2860</v>
      </c>
      <c r="D145" s="146" t="e">
        <f>SUMIF(#REF!,'Huella maquinaria'!C145,#REF!)</f>
        <v>#REF!</v>
      </c>
      <c r="E145" s="146">
        <v>55.84</v>
      </c>
      <c r="F145" s="147" t="e">
        <f t="shared" ref="F145:F156" si="25">D145*E145</f>
        <v>#REF!</v>
      </c>
      <c r="G145" s="2429"/>
      <c r="H145" s="2429"/>
      <c r="I145" s="2429"/>
      <c r="J145" s="2419"/>
    </row>
    <row r="146" spans="1:10">
      <c r="A146" s="2420" t="s">
        <v>1066</v>
      </c>
      <c r="B146" s="2384" t="s">
        <v>1508</v>
      </c>
      <c r="C146" s="2385" t="s">
        <v>1510</v>
      </c>
      <c r="D146" s="146" t="e">
        <f>SUMIF(#REF!,'Huella maquinaria'!C146,#REF!)</f>
        <v>#REF!</v>
      </c>
      <c r="E146" s="146">
        <v>25.6</v>
      </c>
      <c r="F146" s="147" t="e">
        <f t="shared" si="25"/>
        <v>#REF!</v>
      </c>
      <c r="G146" s="2419"/>
      <c r="H146" s="2419"/>
      <c r="I146" s="2419"/>
      <c r="J146" s="2419"/>
    </row>
    <row r="147" spans="1:10">
      <c r="A147" s="2420" t="s">
        <v>1068</v>
      </c>
      <c r="B147" s="2384" t="s">
        <v>1508</v>
      </c>
      <c r="C147" s="2385" t="s">
        <v>1531</v>
      </c>
      <c r="D147" s="146" t="e">
        <f>SUMIF(#REF!,'Huella maquinaria'!C147,#REF!)</f>
        <v>#REF!</v>
      </c>
      <c r="E147" s="146">
        <v>30.3</v>
      </c>
      <c r="F147" s="147" t="e">
        <f t="shared" si="25"/>
        <v>#REF!</v>
      </c>
      <c r="G147" s="2419"/>
      <c r="H147" s="2419"/>
      <c r="I147" s="2419"/>
      <c r="J147" s="2419"/>
    </row>
    <row r="148" spans="1:10">
      <c r="A148" s="2420" t="s">
        <v>1073</v>
      </c>
      <c r="B148" s="2384" t="s">
        <v>1508</v>
      </c>
      <c r="C148" s="2385" t="s">
        <v>1509</v>
      </c>
      <c r="D148" s="2653"/>
      <c r="E148" s="2653"/>
      <c r="F148" s="147"/>
      <c r="G148" s="2419"/>
      <c r="H148" s="2419"/>
      <c r="I148" s="2419"/>
      <c r="J148" s="2419"/>
    </row>
    <row r="149" spans="1:10">
      <c r="A149" s="1453" t="s">
        <v>1071</v>
      </c>
      <c r="B149" s="2382" t="s">
        <v>1508</v>
      </c>
      <c r="C149" s="2383" t="s">
        <v>2858</v>
      </c>
      <c r="D149" s="2653"/>
      <c r="E149" s="2653"/>
      <c r="F149" s="147"/>
      <c r="G149" s="2419"/>
      <c r="H149" s="2419"/>
      <c r="I149" s="2419"/>
      <c r="J149" s="2419"/>
    </row>
    <row r="150" spans="1:10">
      <c r="A150" s="2442" t="s">
        <v>1391</v>
      </c>
      <c r="B150" s="2388" t="s">
        <v>1508</v>
      </c>
      <c r="C150" s="2389" t="s">
        <v>1610</v>
      </c>
      <c r="D150" s="146" t="e">
        <f>SUMIF(#REF!,'Huella maquinaria'!C150,#REF!)</f>
        <v>#REF!</v>
      </c>
      <c r="E150" s="146">
        <v>2.67</v>
      </c>
      <c r="F150" s="147" t="e">
        <f t="shared" si="25"/>
        <v>#REF!</v>
      </c>
      <c r="G150" s="2419"/>
      <c r="H150" s="2419"/>
      <c r="I150" s="2419"/>
      <c r="J150" s="2419"/>
    </row>
    <row r="151" spans="1:10">
      <c r="A151" s="2443" t="s">
        <v>1079</v>
      </c>
      <c r="B151" s="2425" t="s">
        <v>1504</v>
      </c>
      <c r="C151" s="2427" t="s">
        <v>2866</v>
      </c>
      <c r="D151" s="146" t="e">
        <f>SUMIF(#REF!,'Huella maquinaria'!C151,#REF!)</f>
        <v>#REF!</v>
      </c>
      <c r="E151" s="146">
        <v>23.87</v>
      </c>
      <c r="F151" s="147" t="e">
        <f t="shared" si="25"/>
        <v>#REF!</v>
      </c>
      <c r="G151" s="2419"/>
      <c r="H151" s="2419"/>
      <c r="I151" s="2419"/>
      <c r="J151" s="2419"/>
    </row>
    <row r="152" spans="1:10">
      <c r="A152" s="2444" t="s">
        <v>1396</v>
      </c>
      <c r="B152" s="2404" t="s">
        <v>1508</v>
      </c>
      <c r="C152" s="2415" t="s">
        <v>1615</v>
      </c>
      <c r="D152" s="146" t="e">
        <f>SUMIF(#REF!,'Huella maquinaria'!C152,#REF!)</f>
        <v>#REF!</v>
      </c>
      <c r="E152" s="146">
        <v>3.01</v>
      </c>
      <c r="F152" s="147" t="e">
        <f t="shared" si="25"/>
        <v>#REF!</v>
      </c>
      <c r="G152" s="2419"/>
      <c r="H152" s="2419"/>
      <c r="I152" s="2419"/>
      <c r="J152" s="2419"/>
    </row>
    <row r="153" spans="1:10">
      <c r="A153" s="2444" t="s">
        <v>1392</v>
      </c>
      <c r="B153" s="2404" t="s">
        <v>1508</v>
      </c>
      <c r="C153" s="2415" t="s">
        <v>2872</v>
      </c>
      <c r="D153" s="146" t="e">
        <f>SUMIF(#REF!,'Huella maquinaria'!C153,#REF!)</f>
        <v>#REF!</v>
      </c>
      <c r="E153" s="146">
        <v>34.979999999999997</v>
      </c>
      <c r="F153" s="147" t="e">
        <f t="shared" si="25"/>
        <v>#REF!</v>
      </c>
      <c r="G153" s="2419"/>
      <c r="H153" s="2419"/>
      <c r="I153" s="2419"/>
      <c r="J153" s="2419"/>
    </row>
    <row r="154" spans="1:10">
      <c r="A154" s="2444" t="s">
        <v>1393</v>
      </c>
      <c r="B154" s="2404" t="s">
        <v>1508</v>
      </c>
      <c r="C154" s="2415" t="s">
        <v>2857</v>
      </c>
      <c r="D154" s="146" t="e">
        <f>SUMIF(#REF!,'Huella maquinaria'!C154,#REF!)</f>
        <v>#REF!</v>
      </c>
      <c r="E154" s="146">
        <v>23.28</v>
      </c>
      <c r="F154" s="147" t="e">
        <f t="shared" si="25"/>
        <v>#REF!</v>
      </c>
      <c r="G154" s="2419"/>
      <c r="H154" s="2419"/>
      <c r="I154" s="2419"/>
      <c r="J154" s="2419"/>
    </row>
    <row r="155" spans="1:10">
      <c r="A155" s="2420" t="s">
        <v>1070</v>
      </c>
      <c r="B155" s="2384" t="s">
        <v>1508</v>
      </c>
      <c r="C155" s="2385" t="s">
        <v>1634</v>
      </c>
      <c r="D155" s="146" t="e">
        <f>SUMIF(#REF!,'Huella maquinaria'!C155,#REF!)</f>
        <v>#REF!</v>
      </c>
      <c r="E155" s="146">
        <v>1.51</v>
      </c>
      <c r="F155" s="147" t="e">
        <f t="shared" si="25"/>
        <v>#REF!</v>
      </c>
      <c r="G155" s="2419"/>
      <c r="H155" s="2419"/>
      <c r="I155" s="2419"/>
      <c r="J155" s="2419"/>
    </row>
    <row r="156" spans="1:10">
      <c r="A156" s="1453" t="s">
        <v>1072</v>
      </c>
      <c r="B156" s="2382" t="s">
        <v>1508</v>
      </c>
      <c r="C156" s="2383" t="s">
        <v>2862</v>
      </c>
      <c r="D156" s="146" t="e">
        <f>SUMIF(#REF!,'Huella maquinaria'!C156,#REF!)</f>
        <v>#REF!</v>
      </c>
      <c r="E156" s="146">
        <v>6.35</v>
      </c>
      <c r="F156" s="147" t="e">
        <f t="shared" si="25"/>
        <v>#REF!</v>
      </c>
      <c r="G156" s="2419"/>
      <c r="H156" s="2419"/>
      <c r="I156" s="2419"/>
      <c r="J156" s="2419"/>
    </row>
    <row r="157" spans="1:10">
      <c r="A157" s="2420" t="s">
        <v>1686</v>
      </c>
      <c r="B157" s="2384" t="s">
        <v>1508</v>
      </c>
      <c r="C157" s="2385" t="s">
        <v>2859</v>
      </c>
      <c r="D157" s="146" t="e">
        <f>SUMIF(#REF!,'Huella maquinaria'!C157,#REF!)</f>
        <v>#REF!</v>
      </c>
      <c r="E157" s="146">
        <v>7.5</v>
      </c>
      <c r="F157" s="147" t="e">
        <f t="shared" ref="F157" si="26">D157*E157</f>
        <v>#REF!</v>
      </c>
      <c r="G157" s="2419"/>
      <c r="H157" s="2419"/>
      <c r="I157" s="2419"/>
      <c r="J157" s="651"/>
    </row>
    <row r="158" spans="1:10" ht="15" thickBot="1">
      <c r="C158" s="145" t="s">
        <v>302</v>
      </c>
      <c r="D158" s="387" t="e">
        <f>SUM(D145:D156)</f>
        <v>#REF!</v>
      </c>
      <c r="E158" s="387"/>
      <c r="F158" s="388" t="e">
        <f>SUM(F145:F157)</f>
        <v>#REF!</v>
      </c>
      <c r="G158" s="2419"/>
      <c r="H158" s="2419"/>
      <c r="I158" s="2419"/>
    </row>
    <row r="159" spans="1:10">
      <c r="G159" s="651"/>
      <c r="H159" s="651"/>
      <c r="I159" s="651"/>
    </row>
    <row r="160" spans="1:10" ht="15" thickBot="1">
      <c r="C160" s="627" t="s">
        <v>880</v>
      </c>
      <c r="J160" s="2429"/>
    </row>
    <row r="161" spans="1:10">
      <c r="C161" s="392" t="s">
        <v>295</v>
      </c>
      <c r="D161" s="393" t="s">
        <v>284</v>
      </c>
      <c r="E161" s="393" t="s">
        <v>297</v>
      </c>
      <c r="F161" s="394" t="s">
        <v>296</v>
      </c>
      <c r="J161" s="2419"/>
    </row>
    <row r="162" spans="1:10">
      <c r="A162" s="1453" t="s">
        <v>1089</v>
      </c>
      <c r="B162" s="2382" t="s">
        <v>1508</v>
      </c>
      <c r="C162" s="2383" t="s">
        <v>2860</v>
      </c>
      <c r="D162" s="146" t="e">
        <f>SUMIF(#REF!,'Huella maquinaria'!C162,#REF!)</f>
        <v>#REF!</v>
      </c>
      <c r="E162" s="146">
        <v>55.84</v>
      </c>
      <c r="F162" s="147" t="e">
        <f t="shared" ref="F162:F173" si="27">D162*E162</f>
        <v>#REF!</v>
      </c>
      <c r="G162" s="2429"/>
      <c r="H162" s="2429"/>
      <c r="I162" s="2429"/>
      <c r="J162" s="2419"/>
    </row>
    <row r="163" spans="1:10">
      <c r="A163" s="2420" t="s">
        <v>1066</v>
      </c>
      <c r="B163" s="2384" t="s">
        <v>1508</v>
      </c>
      <c r="C163" s="2385" t="s">
        <v>1510</v>
      </c>
      <c r="D163" s="146" t="e">
        <f>SUMIF(#REF!,'Huella maquinaria'!C163,#REF!)</f>
        <v>#REF!</v>
      </c>
      <c r="E163" s="146">
        <v>25.6</v>
      </c>
      <c r="F163" s="147" t="e">
        <f t="shared" si="27"/>
        <v>#REF!</v>
      </c>
      <c r="G163" s="2419"/>
      <c r="H163" s="2419"/>
      <c r="I163" s="2419"/>
      <c r="J163" s="2419"/>
    </row>
    <row r="164" spans="1:10">
      <c r="A164" s="2420" t="s">
        <v>1068</v>
      </c>
      <c r="B164" s="2384" t="s">
        <v>1508</v>
      </c>
      <c r="C164" s="2385" t="s">
        <v>1531</v>
      </c>
      <c r="D164" s="146" t="e">
        <f>SUMIF(#REF!,'Huella maquinaria'!C164,#REF!)</f>
        <v>#REF!</v>
      </c>
      <c r="E164" s="146">
        <v>30.3</v>
      </c>
      <c r="F164" s="147" t="e">
        <f t="shared" si="27"/>
        <v>#REF!</v>
      </c>
      <c r="G164" s="2419"/>
      <c r="H164" s="2419"/>
      <c r="I164" s="2419"/>
      <c r="J164" s="2419"/>
    </row>
    <row r="165" spans="1:10">
      <c r="A165" s="2420" t="s">
        <v>1073</v>
      </c>
      <c r="B165" s="2384" t="s">
        <v>1508</v>
      </c>
      <c r="C165" s="2385" t="s">
        <v>1509</v>
      </c>
      <c r="D165" s="2653"/>
      <c r="E165" s="2653"/>
      <c r="F165" s="147"/>
      <c r="G165" s="2419"/>
      <c r="H165" s="2419"/>
      <c r="I165" s="2419"/>
      <c r="J165" s="2419"/>
    </row>
    <row r="166" spans="1:10">
      <c r="A166" s="1453" t="s">
        <v>1071</v>
      </c>
      <c r="B166" s="2382" t="s">
        <v>1508</v>
      </c>
      <c r="C166" s="2383" t="s">
        <v>2858</v>
      </c>
      <c r="D166" s="2653"/>
      <c r="E166" s="2653"/>
      <c r="F166" s="147"/>
      <c r="G166" s="2419"/>
      <c r="H166" s="2419"/>
      <c r="I166" s="2419"/>
      <c r="J166" s="2419"/>
    </row>
    <row r="167" spans="1:10">
      <c r="A167" s="2442" t="s">
        <v>1391</v>
      </c>
      <c r="B167" s="2388" t="s">
        <v>1508</v>
      </c>
      <c r="C167" s="2389" t="s">
        <v>1610</v>
      </c>
      <c r="D167" s="146" t="e">
        <f>SUMIF(#REF!,'Huella maquinaria'!C167,#REF!)</f>
        <v>#REF!</v>
      </c>
      <c r="E167" s="146">
        <v>2.67</v>
      </c>
      <c r="F167" s="147" t="e">
        <f t="shared" si="27"/>
        <v>#REF!</v>
      </c>
      <c r="G167" s="2419"/>
      <c r="H167" s="2419"/>
      <c r="I167" s="2419"/>
      <c r="J167" s="2419"/>
    </row>
    <row r="168" spans="1:10">
      <c r="A168" s="2443" t="s">
        <v>1079</v>
      </c>
      <c r="B168" s="2425" t="s">
        <v>1504</v>
      </c>
      <c r="C168" s="2427" t="s">
        <v>2866</v>
      </c>
      <c r="D168" s="146" t="e">
        <f>SUMIF(#REF!,'Huella maquinaria'!C168,#REF!)</f>
        <v>#REF!</v>
      </c>
      <c r="E168" s="146">
        <v>23.87</v>
      </c>
      <c r="F168" s="147" t="e">
        <f t="shared" si="27"/>
        <v>#REF!</v>
      </c>
      <c r="G168" s="2419"/>
      <c r="H168" s="2419"/>
      <c r="I168" s="2419"/>
      <c r="J168" s="2419"/>
    </row>
    <row r="169" spans="1:10">
      <c r="A169" s="2444" t="s">
        <v>1396</v>
      </c>
      <c r="B169" s="2404" t="s">
        <v>1508</v>
      </c>
      <c r="C169" s="2415" t="s">
        <v>1615</v>
      </c>
      <c r="D169" s="146" t="e">
        <f>SUMIF(#REF!,'Huella maquinaria'!C169,#REF!)</f>
        <v>#REF!</v>
      </c>
      <c r="E169" s="146">
        <v>3.01</v>
      </c>
      <c r="F169" s="147" t="e">
        <f t="shared" si="27"/>
        <v>#REF!</v>
      </c>
      <c r="G169" s="2419"/>
      <c r="H169" s="2419"/>
      <c r="I169" s="2419"/>
      <c r="J169" s="2419"/>
    </row>
    <row r="170" spans="1:10">
      <c r="A170" s="2444" t="s">
        <v>1392</v>
      </c>
      <c r="B170" s="2404" t="s">
        <v>1508</v>
      </c>
      <c r="C170" s="2415" t="s">
        <v>2872</v>
      </c>
      <c r="D170" s="146" t="e">
        <f>SUMIF(#REF!,'Huella maquinaria'!C170,#REF!)</f>
        <v>#REF!</v>
      </c>
      <c r="E170" s="146">
        <v>34.979999999999997</v>
      </c>
      <c r="F170" s="147" t="e">
        <f t="shared" si="27"/>
        <v>#REF!</v>
      </c>
      <c r="G170" s="2419"/>
      <c r="H170" s="2419"/>
      <c r="I170" s="2419"/>
      <c r="J170" s="2419"/>
    </row>
    <row r="171" spans="1:10">
      <c r="A171" s="2444" t="s">
        <v>1393</v>
      </c>
      <c r="B171" s="2404" t="s">
        <v>1508</v>
      </c>
      <c r="C171" s="2415" t="s">
        <v>2857</v>
      </c>
      <c r="D171" s="146" t="e">
        <f>SUMIF(#REF!,'Huella maquinaria'!C171,#REF!)</f>
        <v>#REF!</v>
      </c>
      <c r="E171" s="146">
        <v>23.28</v>
      </c>
      <c r="F171" s="147" t="e">
        <f t="shared" si="27"/>
        <v>#REF!</v>
      </c>
      <c r="G171" s="2419"/>
      <c r="H171" s="2419"/>
      <c r="I171" s="2419"/>
      <c r="J171" s="2419"/>
    </row>
    <row r="172" spans="1:10">
      <c r="A172" s="2420" t="s">
        <v>1070</v>
      </c>
      <c r="B172" s="2384" t="s">
        <v>1508</v>
      </c>
      <c r="C172" s="2385" t="s">
        <v>1634</v>
      </c>
      <c r="D172" s="146" t="e">
        <f>SUMIF(#REF!,'Huella maquinaria'!C172,#REF!)</f>
        <v>#REF!</v>
      </c>
      <c r="E172" s="146">
        <v>1.51</v>
      </c>
      <c r="F172" s="147" t="e">
        <f t="shared" si="27"/>
        <v>#REF!</v>
      </c>
      <c r="G172" s="2419"/>
      <c r="H172" s="2419"/>
      <c r="I172" s="2419"/>
      <c r="J172" s="2419"/>
    </row>
    <row r="173" spans="1:10">
      <c r="A173" s="1453" t="s">
        <v>1072</v>
      </c>
      <c r="B173" s="2382" t="s">
        <v>1508</v>
      </c>
      <c r="C173" s="2383" t="s">
        <v>2862</v>
      </c>
      <c r="D173" s="146" t="e">
        <f>SUMIF(#REF!,'Huella maquinaria'!C173,#REF!)</f>
        <v>#REF!</v>
      </c>
      <c r="E173" s="146">
        <v>6.35</v>
      </c>
      <c r="F173" s="147" t="e">
        <f t="shared" si="27"/>
        <v>#REF!</v>
      </c>
      <c r="G173" s="2419"/>
      <c r="H173" s="2419"/>
      <c r="I173" s="2419"/>
      <c r="J173" s="2419"/>
    </row>
    <row r="174" spans="1:10">
      <c r="A174" s="2420" t="s">
        <v>1686</v>
      </c>
      <c r="B174" s="2384" t="s">
        <v>1508</v>
      </c>
      <c r="C174" s="2385" t="s">
        <v>2859</v>
      </c>
      <c r="D174" s="146" t="e">
        <f>SUMIF(#REF!,'Huella maquinaria'!C174,#REF!)</f>
        <v>#REF!</v>
      </c>
      <c r="E174" s="146">
        <v>7.5</v>
      </c>
      <c r="F174" s="147" t="e">
        <f t="shared" ref="F174" si="28">D174*E174</f>
        <v>#REF!</v>
      </c>
      <c r="G174" s="2419"/>
      <c r="H174" s="2419"/>
      <c r="I174" s="2419"/>
      <c r="J174" s="651"/>
    </row>
    <row r="175" spans="1:10" ht="15" thickBot="1">
      <c r="C175" s="145" t="s">
        <v>302</v>
      </c>
      <c r="D175" s="387" t="e">
        <f>SUM(D162:D173)</f>
        <v>#REF!</v>
      </c>
      <c r="E175" s="387"/>
      <c r="F175" s="388" t="e">
        <f>SUM(F162:F174)</f>
        <v>#REF!</v>
      </c>
      <c r="G175" s="2419"/>
      <c r="H175" s="2419"/>
      <c r="I175" s="2419"/>
    </row>
    <row r="176" spans="1:10">
      <c r="G176" s="651"/>
      <c r="H176" s="651"/>
      <c r="I176" s="651"/>
    </row>
    <row r="177" spans="1:10">
      <c r="G177" s="651"/>
      <c r="H177" s="651"/>
      <c r="I177" s="651"/>
    </row>
    <row r="178" spans="1:10">
      <c r="G178" s="651"/>
      <c r="H178" s="651"/>
      <c r="I178" s="651"/>
    </row>
    <row r="179" spans="1:10" ht="15" thickBot="1">
      <c r="C179" s="627" t="s">
        <v>883</v>
      </c>
      <c r="J179" s="2429"/>
    </row>
    <row r="180" spans="1:10">
      <c r="C180" s="392" t="s">
        <v>295</v>
      </c>
      <c r="D180" s="393" t="s">
        <v>284</v>
      </c>
      <c r="E180" s="393" t="s">
        <v>297</v>
      </c>
      <c r="F180" s="394" t="s">
        <v>296</v>
      </c>
      <c r="J180" s="2419"/>
    </row>
    <row r="181" spans="1:10">
      <c r="A181" s="1453" t="s">
        <v>1089</v>
      </c>
      <c r="B181" s="2382" t="s">
        <v>1508</v>
      </c>
      <c r="C181" s="2383" t="s">
        <v>2860</v>
      </c>
      <c r="D181" s="146" t="e">
        <f>SUMIF(#REF!,'Huella maquinaria'!C181,#REF!)</f>
        <v>#REF!</v>
      </c>
      <c r="E181" s="146">
        <v>55.84</v>
      </c>
      <c r="F181" s="147" t="e">
        <f t="shared" ref="F181:F192" si="29">D181*E181</f>
        <v>#REF!</v>
      </c>
      <c r="G181" s="2429"/>
      <c r="H181" s="2429"/>
      <c r="I181" s="2429"/>
      <c r="J181" s="2419"/>
    </row>
    <row r="182" spans="1:10">
      <c r="A182" s="2420" t="s">
        <v>1066</v>
      </c>
      <c r="B182" s="2384" t="s">
        <v>1508</v>
      </c>
      <c r="C182" s="2385" t="s">
        <v>1510</v>
      </c>
      <c r="D182" s="146" t="e">
        <f>SUMIF(#REF!,'Huella maquinaria'!C182,#REF!)</f>
        <v>#REF!</v>
      </c>
      <c r="E182" s="146">
        <v>25.6</v>
      </c>
      <c r="F182" s="147" t="e">
        <f t="shared" si="29"/>
        <v>#REF!</v>
      </c>
      <c r="G182" s="2419"/>
      <c r="H182" s="2419"/>
      <c r="I182" s="2419"/>
      <c r="J182" s="2419"/>
    </row>
    <row r="183" spans="1:10">
      <c r="A183" s="2420" t="s">
        <v>1068</v>
      </c>
      <c r="B183" s="2384" t="s">
        <v>1508</v>
      </c>
      <c r="C183" s="2385" t="s">
        <v>1531</v>
      </c>
      <c r="D183" s="146" t="e">
        <f>SUMIF(#REF!,'Huella maquinaria'!C183,#REF!)</f>
        <v>#REF!</v>
      </c>
      <c r="E183" s="146">
        <v>30.3</v>
      </c>
      <c r="F183" s="147" t="e">
        <f t="shared" si="29"/>
        <v>#REF!</v>
      </c>
      <c r="G183" s="2419"/>
      <c r="H183" s="2419"/>
      <c r="I183" s="2419"/>
      <c r="J183" s="2419"/>
    </row>
    <row r="184" spans="1:10">
      <c r="A184" s="2420" t="s">
        <v>1073</v>
      </c>
      <c r="B184" s="2384" t="s">
        <v>1508</v>
      </c>
      <c r="C184" s="2385" t="s">
        <v>1509</v>
      </c>
      <c r="D184" s="146" t="e">
        <f>SUMIF(#REF!,'Huella maquinaria'!C184,#REF!)</f>
        <v>#REF!</v>
      </c>
      <c r="E184" s="146">
        <v>2.67</v>
      </c>
      <c r="F184" s="147" t="e">
        <f t="shared" si="29"/>
        <v>#REF!</v>
      </c>
      <c r="G184" s="2419"/>
      <c r="H184" s="2419"/>
      <c r="I184" s="2419"/>
      <c r="J184" s="2419"/>
    </row>
    <row r="185" spans="1:10">
      <c r="A185" s="1453" t="s">
        <v>1071</v>
      </c>
      <c r="B185" s="2382" t="s">
        <v>1508</v>
      </c>
      <c r="C185" s="2383" t="s">
        <v>2858</v>
      </c>
      <c r="D185" s="2653"/>
      <c r="E185" s="2653"/>
      <c r="F185" s="147"/>
      <c r="G185" s="2419"/>
      <c r="H185" s="2419"/>
      <c r="I185" s="2419"/>
      <c r="J185" s="2419"/>
    </row>
    <row r="186" spans="1:10">
      <c r="A186" s="2442" t="s">
        <v>1391</v>
      </c>
      <c r="B186" s="2388" t="s">
        <v>1508</v>
      </c>
      <c r="C186" s="2389" t="s">
        <v>1610</v>
      </c>
      <c r="D186" s="2653"/>
      <c r="E186" s="2653"/>
      <c r="F186" s="147"/>
      <c r="G186" s="2419"/>
      <c r="H186" s="2419"/>
      <c r="I186" s="2419"/>
      <c r="J186" s="2419"/>
    </row>
    <row r="187" spans="1:10">
      <c r="A187" s="2443" t="s">
        <v>1079</v>
      </c>
      <c r="B187" s="2425" t="s">
        <v>1504</v>
      </c>
      <c r="C187" s="2427" t="s">
        <v>2866</v>
      </c>
      <c r="D187" s="146" t="e">
        <f>SUMIF(#REF!,'Huella maquinaria'!C187,#REF!)</f>
        <v>#REF!</v>
      </c>
      <c r="E187" s="146">
        <v>23.87</v>
      </c>
      <c r="F187" s="147" t="e">
        <f t="shared" si="29"/>
        <v>#REF!</v>
      </c>
      <c r="G187" s="2419"/>
      <c r="H187" s="2419"/>
      <c r="I187" s="2419"/>
      <c r="J187" s="2419"/>
    </row>
    <row r="188" spans="1:10">
      <c r="A188" s="2444" t="s">
        <v>1396</v>
      </c>
      <c r="B188" s="2404" t="s">
        <v>1508</v>
      </c>
      <c r="C188" s="2415" t="s">
        <v>1615</v>
      </c>
      <c r="D188" s="146" t="e">
        <f>SUMIF(#REF!,'Huella maquinaria'!C188,#REF!)</f>
        <v>#REF!</v>
      </c>
      <c r="E188" s="146">
        <v>3.01</v>
      </c>
      <c r="F188" s="147" t="e">
        <f t="shared" si="29"/>
        <v>#REF!</v>
      </c>
      <c r="G188" s="2419"/>
      <c r="H188" s="2419"/>
      <c r="I188" s="2419"/>
      <c r="J188" s="2419"/>
    </row>
    <row r="189" spans="1:10">
      <c r="A189" s="2444" t="s">
        <v>1392</v>
      </c>
      <c r="B189" s="2404" t="s">
        <v>1508</v>
      </c>
      <c r="C189" s="2415" t="s">
        <v>2872</v>
      </c>
      <c r="D189" s="146" t="e">
        <f>SUMIF(#REF!,'Huella maquinaria'!C189,#REF!)</f>
        <v>#REF!</v>
      </c>
      <c r="E189" s="146">
        <v>34.979999999999997</v>
      </c>
      <c r="F189" s="147" t="e">
        <f t="shared" si="29"/>
        <v>#REF!</v>
      </c>
      <c r="G189" s="2419"/>
      <c r="H189" s="2419"/>
      <c r="I189" s="2419"/>
      <c r="J189" s="2419"/>
    </row>
    <row r="190" spans="1:10">
      <c r="A190" s="2444" t="s">
        <v>1393</v>
      </c>
      <c r="B190" s="2404" t="s">
        <v>1508</v>
      </c>
      <c r="C190" s="2415" t="s">
        <v>2857</v>
      </c>
      <c r="D190" s="146" t="e">
        <f>SUMIF(#REF!,'Huella maquinaria'!C190,#REF!)</f>
        <v>#REF!</v>
      </c>
      <c r="E190" s="146">
        <v>23.28</v>
      </c>
      <c r="F190" s="147" t="e">
        <f t="shared" si="29"/>
        <v>#REF!</v>
      </c>
      <c r="G190" s="2419"/>
      <c r="H190" s="2419"/>
      <c r="I190" s="2419"/>
      <c r="J190" s="2419"/>
    </row>
    <row r="191" spans="1:10">
      <c r="A191" s="2420" t="s">
        <v>1070</v>
      </c>
      <c r="B191" s="2384" t="s">
        <v>1508</v>
      </c>
      <c r="C191" s="2385" t="s">
        <v>1634</v>
      </c>
      <c r="D191" s="146" t="e">
        <f>SUMIF(#REF!,'Huella maquinaria'!C191,#REF!)</f>
        <v>#REF!</v>
      </c>
      <c r="E191" s="146">
        <v>1.51</v>
      </c>
      <c r="F191" s="147" t="e">
        <f t="shared" si="29"/>
        <v>#REF!</v>
      </c>
      <c r="G191" s="2419"/>
      <c r="H191" s="2419"/>
      <c r="I191" s="2419"/>
      <c r="J191" s="2419"/>
    </row>
    <row r="192" spans="1:10">
      <c r="A192" s="1453" t="s">
        <v>1072</v>
      </c>
      <c r="B192" s="2382" t="s">
        <v>1508</v>
      </c>
      <c r="C192" s="2383" t="s">
        <v>2862</v>
      </c>
      <c r="D192" s="146" t="e">
        <f>SUMIF(#REF!,'Huella maquinaria'!C192,#REF!)</f>
        <v>#REF!</v>
      </c>
      <c r="E192" s="146">
        <v>6.35</v>
      </c>
      <c r="F192" s="147" t="e">
        <f t="shared" si="29"/>
        <v>#REF!</v>
      </c>
      <c r="G192" s="2419"/>
      <c r="H192" s="2419"/>
      <c r="I192" s="2419"/>
      <c r="J192" s="2419"/>
    </row>
    <row r="193" spans="1:10">
      <c r="A193" s="2420" t="s">
        <v>1686</v>
      </c>
      <c r="B193" s="2384" t="s">
        <v>1508</v>
      </c>
      <c r="C193" s="2385" t="s">
        <v>2859</v>
      </c>
      <c r="D193" s="146" t="e">
        <f>SUMIF(#REF!,'Huella maquinaria'!C193,#REF!)</f>
        <v>#REF!</v>
      </c>
      <c r="E193" s="146">
        <v>7.5</v>
      </c>
      <c r="F193" s="147" t="e">
        <f t="shared" ref="F193" si="30">D193*E193</f>
        <v>#REF!</v>
      </c>
      <c r="G193" s="2419"/>
      <c r="H193" s="2419"/>
      <c r="I193" s="2419"/>
      <c r="J193" s="651"/>
    </row>
    <row r="194" spans="1:10" ht="15" thickBot="1">
      <c r="C194" s="145" t="s">
        <v>302</v>
      </c>
      <c r="D194" s="387" t="e">
        <f>SUM(D181:D192)</f>
        <v>#REF!</v>
      </c>
      <c r="E194" s="387"/>
      <c r="F194" s="388" t="e">
        <f>SUM(F181:F193)</f>
        <v>#REF!</v>
      </c>
      <c r="G194" s="2419"/>
      <c r="H194" s="2419"/>
      <c r="I194" s="2419"/>
    </row>
    <row r="195" spans="1:10">
      <c r="G195" s="651"/>
      <c r="H195" s="651"/>
      <c r="I195" s="651"/>
    </row>
    <row r="196" spans="1:10">
      <c r="G196" s="651"/>
      <c r="H196" s="651"/>
      <c r="I196" s="651"/>
    </row>
    <row r="197" spans="1:10" ht="15" thickBot="1">
      <c r="C197" s="627" t="s">
        <v>885</v>
      </c>
      <c r="J197" s="2429"/>
    </row>
    <row r="198" spans="1:10">
      <c r="C198" s="392" t="s">
        <v>295</v>
      </c>
      <c r="D198" s="393" t="s">
        <v>284</v>
      </c>
      <c r="E198" s="393" t="s">
        <v>297</v>
      </c>
      <c r="F198" s="394" t="s">
        <v>296</v>
      </c>
      <c r="J198" s="2419"/>
    </row>
    <row r="199" spans="1:10">
      <c r="A199" s="1453" t="s">
        <v>1089</v>
      </c>
      <c r="B199" s="2382" t="s">
        <v>1508</v>
      </c>
      <c r="C199" s="2383" t="s">
        <v>2860</v>
      </c>
      <c r="D199" s="146" t="e">
        <f>SUMIF(#REF!,'Huella maquinaria'!C199,#REF!)</f>
        <v>#REF!</v>
      </c>
      <c r="E199" s="146">
        <v>55.84</v>
      </c>
      <c r="F199" s="147" t="e">
        <f t="shared" ref="F199:F210" si="31">D199*E199</f>
        <v>#REF!</v>
      </c>
      <c r="G199" s="2429"/>
      <c r="H199" s="2429"/>
      <c r="I199" s="2429"/>
      <c r="J199" s="2419"/>
    </row>
    <row r="200" spans="1:10">
      <c r="A200" s="2420" t="s">
        <v>1066</v>
      </c>
      <c r="B200" s="2384" t="s">
        <v>1508</v>
      </c>
      <c r="C200" s="2385" t="s">
        <v>1510</v>
      </c>
      <c r="D200" s="146" t="e">
        <f>SUMIF(#REF!,'Huella maquinaria'!C200,#REF!)</f>
        <v>#REF!</v>
      </c>
      <c r="E200" s="146">
        <v>25.6</v>
      </c>
      <c r="F200" s="147" t="e">
        <f t="shared" si="31"/>
        <v>#REF!</v>
      </c>
      <c r="G200" s="2419"/>
      <c r="H200" s="2419"/>
      <c r="I200" s="2419"/>
      <c r="J200" s="2419"/>
    </row>
    <row r="201" spans="1:10">
      <c r="A201" s="2420" t="s">
        <v>1068</v>
      </c>
      <c r="B201" s="2384" t="s">
        <v>1508</v>
      </c>
      <c r="C201" s="2385" t="s">
        <v>1531</v>
      </c>
      <c r="D201" s="146" t="e">
        <f>SUMIF(#REF!,'Huella maquinaria'!C201,#REF!)</f>
        <v>#REF!</v>
      </c>
      <c r="E201" s="146">
        <v>30.3</v>
      </c>
      <c r="F201" s="147" t="e">
        <f t="shared" si="31"/>
        <v>#REF!</v>
      </c>
      <c r="G201" s="2419"/>
      <c r="H201" s="2419"/>
      <c r="I201" s="2419"/>
      <c r="J201" s="2419"/>
    </row>
    <row r="202" spans="1:10">
      <c r="A202" s="2420" t="s">
        <v>1073</v>
      </c>
      <c r="B202" s="2384" t="s">
        <v>1508</v>
      </c>
      <c r="C202" s="2385" t="s">
        <v>1509</v>
      </c>
      <c r="D202" s="146" t="e">
        <f>SUMIF(#REF!,'Huella maquinaria'!C202,#REF!)</f>
        <v>#REF!</v>
      </c>
      <c r="E202" s="146">
        <v>2.67</v>
      </c>
      <c r="F202" s="147" t="e">
        <f t="shared" si="31"/>
        <v>#REF!</v>
      </c>
      <c r="G202" s="2419"/>
      <c r="H202" s="2419"/>
      <c r="I202" s="2419"/>
      <c r="J202" s="2419"/>
    </row>
    <row r="203" spans="1:10">
      <c r="A203" s="1453" t="s">
        <v>1071</v>
      </c>
      <c r="B203" s="2382" t="s">
        <v>1508</v>
      </c>
      <c r="C203" s="2383" t="s">
        <v>2858</v>
      </c>
      <c r="D203" s="146" t="e">
        <f>SUMIF(#REF!,'Huella maquinaria'!C203,#REF!)</f>
        <v>#REF!</v>
      </c>
      <c r="E203" s="146">
        <v>23.87</v>
      </c>
      <c r="F203" s="147" t="e">
        <f t="shared" si="31"/>
        <v>#REF!</v>
      </c>
      <c r="G203" s="2419"/>
      <c r="H203" s="2419"/>
      <c r="I203" s="2419"/>
      <c r="J203" s="2419"/>
    </row>
    <row r="204" spans="1:10">
      <c r="A204" s="2442" t="s">
        <v>1391</v>
      </c>
      <c r="B204" s="2388" t="s">
        <v>1508</v>
      </c>
      <c r="C204" s="2389" t="s">
        <v>1610</v>
      </c>
      <c r="D204" s="2653"/>
      <c r="E204" s="2653"/>
      <c r="F204" s="147"/>
      <c r="G204" s="2419"/>
      <c r="H204" s="2419"/>
      <c r="I204" s="2419"/>
      <c r="J204" s="2419"/>
    </row>
    <row r="205" spans="1:10">
      <c r="A205" s="2443" t="s">
        <v>1079</v>
      </c>
      <c r="B205" s="2425" t="s">
        <v>1504</v>
      </c>
      <c r="C205" s="2427" t="s">
        <v>2866</v>
      </c>
      <c r="D205" s="2653"/>
      <c r="E205" s="2653"/>
      <c r="F205" s="147"/>
      <c r="G205" s="2419"/>
      <c r="H205" s="2419"/>
      <c r="I205" s="2419"/>
      <c r="J205" s="2419"/>
    </row>
    <row r="206" spans="1:10">
      <c r="A206" s="2444" t="s">
        <v>1396</v>
      </c>
      <c r="B206" s="2404" t="s">
        <v>1508</v>
      </c>
      <c r="C206" s="2415" t="s">
        <v>1615</v>
      </c>
      <c r="D206" s="146" t="e">
        <f>SUMIF(#REF!,'Huella maquinaria'!C206,#REF!)</f>
        <v>#REF!</v>
      </c>
      <c r="E206" s="146">
        <v>3.01</v>
      </c>
      <c r="F206" s="147" t="e">
        <f t="shared" si="31"/>
        <v>#REF!</v>
      </c>
      <c r="G206" s="2419"/>
      <c r="H206" s="2419"/>
      <c r="I206" s="2419"/>
      <c r="J206" s="2419"/>
    </row>
    <row r="207" spans="1:10">
      <c r="A207" s="2444" t="s">
        <v>1392</v>
      </c>
      <c r="B207" s="2404" t="s">
        <v>1508</v>
      </c>
      <c r="C207" s="2415" t="s">
        <v>2872</v>
      </c>
      <c r="D207" s="146" t="e">
        <f>SUMIF(#REF!,'Huella maquinaria'!C207,#REF!)</f>
        <v>#REF!</v>
      </c>
      <c r="E207" s="146">
        <v>34.979999999999997</v>
      </c>
      <c r="F207" s="147" t="e">
        <f t="shared" si="31"/>
        <v>#REF!</v>
      </c>
      <c r="G207" s="2419"/>
      <c r="H207" s="2419"/>
      <c r="I207" s="2419"/>
      <c r="J207" s="2419"/>
    </row>
    <row r="208" spans="1:10">
      <c r="A208" s="2444" t="s">
        <v>1393</v>
      </c>
      <c r="B208" s="2404" t="s">
        <v>1508</v>
      </c>
      <c r="C208" s="2415" t="s">
        <v>2857</v>
      </c>
      <c r="D208" s="146" t="e">
        <f>SUMIF(#REF!,'Huella maquinaria'!C208,#REF!)</f>
        <v>#REF!</v>
      </c>
      <c r="E208" s="146">
        <v>23.28</v>
      </c>
      <c r="F208" s="147" t="e">
        <f t="shared" si="31"/>
        <v>#REF!</v>
      </c>
      <c r="G208" s="2419"/>
      <c r="H208" s="2419"/>
      <c r="I208" s="2419"/>
      <c r="J208" s="2419"/>
    </row>
    <row r="209" spans="1:10">
      <c r="A209" s="2420" t="s">
        <v>1070</v>
      </c>
      <c r="B209" s="2384" t="s">
        <v>1508</v>
      </c>
      <c r="C209" s="2385" t="s">
        <v>1634</v>
      </c>
      <c r="D209" s="146" t="e">
        <f>SUMIF(#REF!,'Huella maquinaria'!C209,#REF!)</f>
        <v>#REF!</v>
      </c>
      <c r="E209" s="146">
        <v>1.51</v>
      </c>
      <c r="F209" s="147" t="e">
        <f t="shared" si="31"/>
        <v>#REF!</v>
      </c>
      <c r="G209" s="2419"/>
      <c r="H209" s="2419"/>
      <c r="I209" s="2419"/>
      <c r="J209" s="2419"/>
    </row>
    <row r="210" spans="1:10">
      <c r="A210" s="1453" t="s">
        <v>1072</v>
      </c>
      <c r="B210" s="2382" t="s">
        <v>1508</v>
      </c>
      <c r="C210" s="2383" t="s">
        <v>2862</v>
      </c>
      <c r="D210" s="146" t="e">
        <f>SUMIF(#REF!,'Huella maquinaria'!C210,#REF!)</f>
        <v>#REF!</v>
      </c>
      <c r="E210" s="146">
        <v>6.35</v>
      </c>
      <c r="F210" s="147" t="e">
        <f t="shared" si="31"/>
        <v>#REF!</v>
      </c>
      <c r="G210" s="635"/>
      <c r="H210" s="635"/>
      <c r="I210" s="635"/>
      <c r="J210" s="635"/>
    </row>
    <row r="211" spans="1:10">
      <c r="A211" s="2420" t="s">
        <v>1686</v>
      </c>
      <c r="B211" s="2384" t="s">
        <v>1508</v>
      </c>
      <c r="C211" s="2385" t="s">
        <v>2859</v>
      </c>
      <c r="D211" s="146" t="e">
        <f>SUMIF(#REF!,'Huella maquinaria'!C211,#REF!)</f>
        <v>#REF!</v>
      </c>
      <c r="E211" s="146">
        <v>7.5</v>
      </c>
      <c r="F211" s="147" t="e">
        <f t="shared" ref="F211" si="32">D211*E211</f>
        <v>#REF!</v>
      </c>
      <c r="G211" s="635"/>
      <c r="H211" s="635"/>
      <c r="I211" s="635"/>
      <c r="J211" s="637"/>
    </row>
    <row r="212" spans="1:10" ht="15" thickBot="1">
      <c r="C212" s="145" t="s">
        <v>302</v>
      </c>
      <c r="D212" s="387" t="e">
        <f>SUM(D199:D210)</f>
        <v>#REF!</v>
      </c>
      <c r="E212" s="387"/>
      <c r="F212" s="388" t="e">
        <f>SUM(F199:F211)</f>
        <v>#REF!</v>
      </c>
      <c r="G212" s="635"/>
      <c r="H212" s="635"/>
      <c r="I212" s="635"/>
      <c r="J212" s="45"/>
    </row>
    <row r="213" spans="1:10">
      <c r="G213" s="637"/>
      <c r="H213" s="637"/>
      <c r="I213" s="637"/>
      <c r="J213" s="127"/>
    </row>
    <row r="214" spans="1:10">
      <c r="G214" s="637"/>
      <c r="H214" s="637"/>
      <c r="I214" s="637"/>
      <c r="J214" s="127"/>
    </row>
    <row r="215" spans="1:10">
      <c r="G215" s="637"/>
      <c r="H215" s="637"/>
      <c r="I215" s="637"/>
      <c r="J215" s="127"/>
    </row>
    <row r="216" spans="1:10" ht="15" thickBot="1">
      <c r="C216" s="627" t="s">
        <v>3463</v>
      </c>
      <c r="G216" s="637"/>
      <c r="H216" s="637"/>
      <c r="I216" s="637"/>
      <c r="J216" s="127"/>
    </row>
    <row r="217" spans="1:10">
      <c r="C217" s="392" t="s">
        <v>295</v>
      </c>
      <c r="D217" s="393" t="s">
        <v>284</v>
      </c>
      <c r="E217" s="393" t="s">
        <v>297</v>
      </c>
      <c r="F217" s="394" t="s">
        <v>296</v>
      </c>
      <c r="G217" s="637"/>
      <c r="H217" s="637"/>
      <c r="I217" s="637"/>
      <c r="J217" s="127"/>
    </row>
    <row r="218" spans="1:10">
      <c r="A218" s="1453" t="s">
        <v>1089</v>
      </c>
      <c r="B218" s="2382" t="s">
        <v>1508</v>
      </c>
      <c r="C218" s="2383" t="s">
        <v>2860</v>
      </c>
      <c r="D218" s="170">
        <f>SUMIF('BCRR DEMOLICION'!$D$9:$D$90,'Huella maquinaria'!A218,'BCRR DEMOLICION'!$L$9:$L$90)</f>
        <v>0</v>
      </c>
      <c r="E218" s="146">
        <v>55.84</v>
      </c>
      <c r="F218" s="147">
        <f t="shared" ref="F218:F230" si="33">D218*E218</f>
        <v>0</v>
      </c>
      <c r="G218" s="637"/>
      <c r="H218" s="637"/>
      <c r="I218" s="637"/>
      <c r="J218" s="127"/>
    </row>
    <row r="219" spans="1:10">
      <c r="A219" s="2420" t="s">
        <v>1066</v>
      </c>
      <c r="B219" s="2384" t="s">
        <v>1508</v>
      </c>
      <c r="C219" s="2385" t="s">
        <v>1510</v>
      </c>
      <c r="D219" s="170">
        <f>SUMIF('BCRR DEMOLICION'!$D$9:$D$90,'Huella maquinaria'!A219,'BCRR DEMOLICION'!$L$9:$L$90)</f>
        <v>0</v>
      </c>
      <c r="E219" s="146">
        <v>25.6</v>
      </c>
      <c r="F219" s="147">
        <f t="shared" si="33"/>
        <v>0</v>
      </c>
      <c r="G219" s="637"/>
      <c r="H219" s="637"/>
      <c r="I219" s="637"/>
      <c r="J219" s="127"/>
    </row>
    <row r="220" spans="1:10">
      <c r="A220" s="2420" t="s">
        <v>1068</v>
      </c>
      <c r="B220" s="2384" t="s">
        <v>1508</v>
      </c>
      <c r="C220" s="2385" t="s">
        <v>1531</v>
      </c>
      <c r="D220" s="170">
        <f>SUMIF('BCRR DEMOLICION'!$D$9:$D$90,'Huella maquinaria'!A220,'BCRR DEMOLICION'!$L$9:$L$90)</f>
        <v>0</v>
      </c>
      <c r="E220" s="146">
        <v>30.3</v>
      </c>
      <c r="F220" s="147">
        <f t="shared" si="33"/>
        <v>0</v>
      </c>
      <c r="G220" s="637"/>
      <c r="H220" s="637"/>
      <c r="I220" s="637"/>
      <c r="J220" s="127"/>
    </row>
    <row r="221" spans="1:10">
      <c r="A221" s="2420" t="s">
        <v>1073</v>
      </c>
      <c r="B221" s="2384" t="s">
        <v>1508</v>
      </c>
      <c r="C221" s="2385" t="s">
        <v>1509</v>
      </c>
      <c r="D221" s="170">
        <f>SUMIF('BCRR DEMOLICION'!$D$9:$D$90,'Huella maquinaria'!A221,'BCRR DEMOLICION'!$L$9:$L$90)</f>
        <v>557.82524999999998</v>
      </c>
      <c r="E221" s="146">
        <v>2.67</v>
      </c>
      <c r="F221" s="147">
        <f t="shared" si="33"/>
        <v>1489.3934174999999</v>
      </c>
      <c r="G221" s="637"/>
      <c r="H221" s="637"/>
      <c r="I221" s="637"/>
      <c r="J221" s="127"/>
    </row>
    <row r="222" spans="1:10">
      <c r="A222" s="1453" t="s">
        <v>1071</v>
      </c>
      <c r="B222" s="2382" t="s">
        <v>1508</v>
      </c>
      <c r="C222" s="2383" t="s">
        <v>2858</v>
      </c>
      <c r="D222" s="2657"/>
      <c r="E222" s="2653"/>
      <c r="F222" s="147"/>
      <c r="G222" s="637"/>
      <c r="H222" s="637"/>
      <c r="I222" s="637"/>
      <c r="J222" s="127"/>
    </row>
    <row r="223" spans="1:10">
      <c r="A223" s="2442" t="s">
        <v>1391</v>
      </c>
      <c r="B223" s="2388" t="s">
        <v>1508</v>
      </c>
      <c r="C223" s="2389" t="s">
        <v>1610</v>
      </c>
      <c r="D223" s="2657"/>
      <c r="E223" s="2653"/>
      <c r="F223" s="147"/>
      <c r="G223" s="637"/>
      <c r="H223" s="637"/>
      <c r="I223" s="637"/>
      <c r="J223" s="127"/>
    </row>
    <row r="224" spans="1:10">
      <c r="A224" s="2443" t="s">
        <v>1079</v>
      </c>
      <c r="B224" s="2425" t="s">
        <v>1504</v>
      </c>
      <c r="C224" s="2427" t="s">
        <v>2866</v>
      </c>
      <c r="D224" s="170">
        <f>SUMIF('BCRR DEMOLICION'!$D$9:$D$90,'Huella maquinaria'!A224,'BCRR DEMOLICION'!$L$9:$L$90)</f>
        <v>0</v>
      </c>
      <c r="E224" s="146">
        <v>23.87</v>
      </c>
      <c r="F224" s="147">
        <f t="shared" si="33"/>
        <v>0</v>
      </c>
      <c r="G224" s="637"/>
      <c r="H224" s="637"/>
      <c r="I224" s="637"/>
      <c r="J224" s="127"/>
    </row>
    <row r="225" spans="1:10">
      <c r="A225" s="2444" t="s">
        <v>1396</v>
      </c>
      <c r="B225" s="2404" t="s">
        <v>1508</v>
      </c>
      <c r="C225" s="2415" t="s">
        <v>1615</v>
      </c>
      <c r="D225" s="170">
        <f>SUMIF('BCRR DEMOLICION'!$D$9:$D$90,'Huella maquinaria'!A225,'BCRR DEMOLICION'!$L$9:$L$90)</f>
        <v>0</v>
      </c>
      <c r="E225" s="146">
        <v>3.01</v>
      </c>
      <c r="F225" s="147">
        <f t="shared" si="33"/>
        <v>0</v>
      </c>
      <c r="G225" s="637"/>
      <c r="H225" s="637"/>
      <c r="I225" s="637"/>
      <c r="J225" s="127"/>
    </row>
    <row r="226" spans="1:10">
      <c r="A226" s="2444" t="s">
        <v>1392</v>
      </c>
      <c r="B226" s="2404" t="s">
        <v>1508</v>
      </c>
      <c r="C226" s="2415" t="s">
        <v>2872</v>
      </c>
      <c r="D226" s="170">
        <f>SUMIF('BCRR DEMOLICION'!$D$9:$D$90,'Huella maquinaria'!A226,'BCRR DEMOLICION'!$L$9:$L$90)</f>
        <v>0</v>
      </c>
      <c r="E226" s="146">
        <v>34.979999999999997</v>
      </c>
      <c r="F226" s="147">
        <f t="shared" si="33"/>
        <v>0</v>
      </c>
      <c r="G226" s="637"/>
      <c r="H226" s="637"/>
      <c r="I226" s="637"/>
      <c r="J226" s="127"/>
    </row>
    <row r="227" spans="1:10">
      <c r="A227" s="2444" t="s">
        <v>1393</v>
      </c>
      <c r="B227" s="2404" t="s">
        <v>1508</v>
      </c>
      <c r="C227" s="2415" t="s">
        <v>2857</v>
      </c>
      <c r="D227" s="170">
        <f>SUMIF('BCRR DEMOLICION'!$D$9:$D$90,'Huella maquinaria'!A227,'BCRR DEMOLICION'!$L$9:$L$90)</f>
        <v>0</v>
      </c>
      <c r="E227" s="146">
        <v>23.28</v>
      </c>
      <c r="F227" s="147">
        <f t="shared" si="33"/>
        <v>0</v>
      </c>
      <c r="G227" s="637"/>
      <c r="H227" s="637"/>
      <c r="I227" s="637"/>
      <c r="J227" s="127"/>
    </row>
    <row r="228" spans="1:10">
      <c r="A228" s="2420" t="s">
        <v>1070</v>
      </c>
      <c r="B228" s="2384" t="s">
        <v>1508</v>
      </c>
      <c r="C228" s="2385" t="s">
        <v>1634</v>
      </c>
      <c r="D228" s="170">
        <f>SUMIF('BCRR DEMOLICION'!$D$9:$D$90,'Huella maquinaria'!A228,'BCRR DEMOLICION'!$L$9:$L$90)</f>
        <v>0</v>
      </c>
      <c r="E228" s="146">
        <v>1.51</v>
      </c>
      <c r="F228" s="147">
        <f t="shared" si="33"/>
        <v>0</v>
      </c>
      <c r="G228" s="637"/>
      <c r="H228" s="637"/>
      <c r="I228" s="637"/>
      <c r="J228" s="127"/>
    </row>
    <row r="229" spans="1:10">
      <c r="A229" s="1453" t="s">
        <v>1072</v>
      </c>
      <c r="B229" s="2382" t="s">
        <v>1508</v>
      </c>
      <c r="C229" s="2383" t="s">
        <v>2862</v>
      </c>
      <c r="D229" s="170">
        <f>SUMIF('BCRR DEMOLICION'!$D$9:$D$90,'Huella maquinaria'!A229,'BCRR DEMOLICION'!$L$9:$L$90)</f>
        <v>0</v>
      </c>
      <c r="E229" s="146">
        <v>6.35</v>
      </c>
      <c r="F229" s="147">
        <f t="shared" si="33"/>
        <v>0</v>
      </c>
      <c r="G229" s="637"/>
      <c r="H229" s="637"/>
      <c r="I229" s="637"/>
      <c r="J229" s="127"/>
    </row>
    <row r="230" spans="1:10">
      <c r="A230" s="2420" t="s">
        <v>1686</v>
      </c>
      <c r="B230" s="2384" t="s">
        <v>1508</v>
      </c>
      <c r="C230" s="2385" t="s">
        <v>2859</v>
      </c>
      <c r="D230" s="170">
        <f>SUMIF('BCRR DEMOLICION'!$D$9:$D$90,'Huella maquinaria'!A230,'BCRR DEMOLICION'!$L$9:$L$90)</f>
        <v>0</v>
      </c>
      <c r="E230" s="146">
        <v>7.5</v>
      </c>
      <c r="F230" s="147">
        <f t="shared" si="33"/>
        <v>0</v>
      </c>
      <c r="G230" s="637"/>
      <c r="H230" s="637"/>
      <c r="I230" s="637"/>
      <c r="J230" s="127"/>
    </row>
    <row r="231" spans="1:10" ht="15" thickBot="1">
      <c r="C231" s="145" t="s">
        <v>302</v>
      </c>
      <c r="D231" s="387">
        <f>SUM(D218:D229)</f>
        <v>557.82524999999998</v>
      </c>
      <c r="E231" s="387"/>
      <c r="F231" s="388">
        <f>SUM(F218:F230)</f>
        <v>1489.3934174999999</v>
      </c>
      <c r="G231" s="637"/>
      <c r="H231" s="637"/>
      <c r="I231" s="637"/>
      <c r="J231" s="127"/>
    </row>
    <row r="232" spans="1:10">
      <c r="G232" s="637"/>
      <c r="H232" s="637"/>
      <c r="I232" s="637"/>
      <c r="J232" s="127"/>
    </row>
    <row r="233" spans="1:10">
      <c r="G233" s="637"/>
      <c r="H233" s="637"/>
      <c r="I233" s="637"/>
      <c r="J233" s="127"/>
    </row>
    <row r="234" spans="1:10">
      <c r="G234" s="637"/>
      <c r="H234" s="637"/>
      <c r="I234" s="637"/>
      <c r="J234" s="127"/>
    </row>
    <row r="235" spans="1:10">
      <c r="G235" s="637"/>
      <c r="H235" s="637"/>
      <c r="I235" s="637"/>
      <c r="J235" s="127"/>
    </row>
    <row r="236" spans="1:10">
      <c r="C236" s="632"/>
      <c r="D236" s="127"/>
      <c r="E236" s="127"/>
      <c r="F236" s="127"/>
      <c r="J236" s="911"/>
    </row>
    <row r="237" spans="1:10">
      <c r="C237" s="633" t="s">
        <v>898</v>
      </c>
      <c r="D237" s="633" t="e">
        <f>D212+#REF!+#REF!+#REF!+D158+D141+D124+D107+D90+D73</f>
        <v>#REF!</v>
      </c>
      <c r="E237" s="633"/>
      <c r="F237" s="633" t="e">
        <f>F212+#REF!+#REF!+#REF!+F158+F141+F124+F107+F90+F73</f>
        <v>#REF!</v>
      </c>
      <c r="G237" s="127"/>
      <c r="H237" s="127"/>
      <c r="I237" s="127"/>
      <c r="J237" s="635"/>
    </row>
    <row r="238" spans="1:10">
      <c r="C238" s="634"/>
      <c r="D238" s="635" t="e">
        <f>D237-D18</f>
        <v>#REF!</v>
      </c>
      <c r="E238" s="635"/>
      <c r="F238" s="635" t="e">
        <f>F237-F18</f>
        <v>#REF!</v>
      </c>
      <c r="G238" s="911"/>
      <c r="H238" s="911"/>
      <c r="I238" s="911"/>
      <c r="J238" s="635"/>
    </row>
    <row r="239" spans="1:10">
      <c r="C239" s="634"/>
      <c r="D239" s="635"/>
      <c r="E239" s="635"/>
      <c r="F239" s="635"/>
      <c r="G239" s="635"/>
      <c r="H239" s="635"/>
      <c r="I239" s="635"/>
      <c r="J239" s="635"/>
    </row>
    <row r="240" spans="1:10">
      <c r="C240" s="634"/>
      <c r="D240" s="635"/>
      <c r="E240" s="635"/>
      <c r="F240" s="635"/>
      <c r="G240" s="635"/>
      <c r="H240" s="635"/>
      <c r="I240" s="635"/>
      <c r="J240" s="635"/>
    </row>
    <row r="241" spans="3:10">
      <c r="C241" s="634"/>
      <c r="D241" s="635"/>
      <c r="E241" s="635"/>
      <c r="F241" s="635"/>
      <c r="G241" s="635"/>
      <c r="H241" s="635"/>
      <c r="I241" s="635"/>
      <c r="J241" s="635"/>
    </row>
    <row r="242" spans="3:10">
      <c r="C242" s="634"/>
      <c r="D242" s="635"/>
      <c r="E242" s="635"/>
      <c r="F242" s="635"/>
      <c r="G242" s="635"/>
      <c r="H242" s="635"/>
      <c r="I242" s="635"/>
      <c r="J242" s="635"/>
    </row>
    <row r="243" spans="3:10">
      <c r="C243" s="634"/>
      <c r="D243" s="635"/>
      <c r="E243" s="635"/>
      <c r="F243" s="635"/>
      <c r="G243" s="635"/>
      <c r="H243" s="635"/>
      <c r="I243" s="635"/>
      <c r="J243" s="635"/>
    </row>
    <row r="244" spans="3:10">
      <c r="C244" s="634"/>
      <c r="D244" s="635"/>
      <c r="E244" s="635"/>
      <c r="F244" s="635"/>
      <c r="G244" s="635"/>
      <c r="H244" s="635"/>
      <c r="I244" s="635"/>
      <c r="J244" s="635"/>
    </row>
    <row r="245" spans="3:10">
      <c r="C245" s="634"/>
      <c r="D245" s="635"/>
      <c r="E245" s="635"/>
      <c r="F245" s="635"/>
      <c r="G245" s="635"/>
      <c r="H245" s="635"/>
      <c r="I245" s="635"/>
      <c r="J245" s="635"/>
    </row>
    <row r="246" spans="3:10">
      <c r="C246" s="634"/>
      <c r="D246" s="635"/>
      <c r="E246" s="635"/>
      <c r="F246" s="635"/>
      <c r="G246" s="635"/>
      <c r="H246" s="635"/>
      <c r="I246" s="635"/>
      <c r="J246" s="635"/>
    </row>
    <row r="247" spans="3:10">
      <c r="C247" s="634"/>
      <c r="D247" s="635"/>
      <c r="E247" s="635"/>
      <c r="F247" s="635"/>
      <c r="G247" s="635"/>
      <c r="H247" s="635"/>
      <c r="I247" s="635"/>
      <c r="J247" s="637"/>
    </row>
    <row r="248" spans="3:10">
      <c r="C248" s="633"/>
      <c r="D248" s="636"/>
      <c r="E248" s="636"/>
      <c r="F248" s="637"/>
      <c r="G248" s="635"/>
      <c r="H248" s="635"/>
      <c r="I248" s="635"/>
      <c r="J248" s="127"/>
    </row>
    <row r="249" spans="3:10">
      <c r="C249" s="127"/>
      <c r="D249" s="127"/>
      <c r="E249" s="127"/>
      <c r="F249" s="127"/>
      <c r="G249" s="637"/>
      <c r="H249" s="637"/>
      <c r="I249" s="637"/>
    </row>
    <row r="250" spans="3:10">
      <c r="G250" s="127"/>
      <c r="H250" s="127"/>
      <c r="I250" s="127"/>
    </row>
  </sheetData>
  <mergeCells count="5">
    <mergeCell ref="O15:P15"/>
    <mergeCell ref="C1:P1"/>
    <mergeCell ref="A18:C18"/>
    <mergeCell ref="A24:C24"/>
    <mergeCell ref="A30:C30"/>
  </mergeCells>
  <pageMargins left="0.70866141732283472" right="0.70866141732283472" top="0.74803149606299213" bottom="0.74803149606299213" header="0.31496062992125984" footer="0.31496062992125984"/>
  <pageSetup paperSize="9" scale="85" orientation="landscape" r:id="rId1"/>
  <ignoredErrors>
    <ignoredError sqref="M23"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J50"/>
  <sheetViews>
    <sheetView topLeftCell="E1" zoomScale="75" zoomScaleNormal="75" workbookViewId="0">
      <selection activeCell="G36" sqref="G36"/>
    </sheetView>
  </sheetViews>
  <sheetFormatPr defaultColWidth="10.90625" defaultRowHeight="14.5"/>
  <cols>
    <col min="1" max="1" width="10.453125" customWidth="1"/>
    <col min="2" max="2" width="60.26953125" customWidth="1"/>
    <col min="3" max="3" width="13" style="28" customWidth="1"/>
    <col min="4" max="4" width="14.7265625" style="28" bestFit="1" customWidth="1"/>
    <col min="5" max="5" width="15.54296875" style="28" customWidth="1"/>
    <col min="6" max="6" width="16" style="28" customWidth="1"/>
    <col min="7" max="7" width="15.54296875" style="28" customWidth="1"/>
    <col min="8" max="8" width="17.54296875" style="28" customWidth="1"/>
    <col min="9" max="9" width="17.1796875" style="28" customWidth="1"/>
    <col min="10" max="10" width="17.54296875" style="28" customWidth="1"/>
    <col min="11" max="11" width="15.81640625" style="28" customWidth="1"/>
    <col min="12" max="12" width="15" style="28" customWidth="1"/>
    <col min="13" max="13" width="15.26953125" style="28" customWidth="1"/>
    <col min="14" max="14" width="14.81640625" style="28" customWidth="1"/>
    <col min="15" max="15" width="14.54296875" style="28" customWidth="1"/>
    <col min="16" max="16" width="15.453125" style="28" customWidth="1"/>
    <col min="17" max="17" width="17.7265625" style="28" customWidth="1"/>
    <col min="18" max="18" width="14.453125" bestFit="1" customWidth="1"/>
    <col min="19" max="19" width="11" customWidth="1"/>
    <col min="20" max="20" width="56.26953125" bestFit="1" customWidth="1"/>
    <col min="21" max="21" width="43.1796875" customWidth="1"/>
    <col min="22" max="24" width="14.7265625" customWidth="1"/>
    <col min="25" max="25" width="15.81640625" customWidth="1"/>
    <col min="26" max="26" width="16.1796875" customWidth="1"/>
    <col min="27" max="27" width="15.7265625" customWidth="1"/>
    <col min="28" max="28" width="16" customWidth="1"/>
    <col min="29" max="29" width="15.81640625" customWidth="1"/>
    <col min="30" max="30" width="15.7265625" customWidth="1"/>
    <col min="31" max="31" width="15.1796875" customWidth="1"/>
    <col min="32" max="32" width="15" customWidth="1"/>
    <col min="33" max="33" width="14.453125" customWidth="1"/>
  </cols>
  <sheetData>
    <row r="1" spans="1:35" ht="20.25" customHeight="1">
      <c r="B1" s="4621" t="s">
        <v>648</v>
      </c>
      <c r="C1" s="4621"/>
      <c r="D1" s="4621"/>
      <c r="E1" s="4621"/>
      <c r="F1" s="4621"/>
      <c r="G1" s="4621"/>
      <c r="H1" s="4621"/>
      <c r="I1" s="4621"/>
      <c r="J1" s="4621"/>
      <c r="K1" s="4621"/>
      <c r="L1" s="4621"/>
      <c r="M1" s="4621"/>
      <c r="N1" s="4621"/>
      <c r="O1" s="4621"/>
      <c r="P1" s="4621"/>
      <c r="Q1" s="4621"/>
      <c r="R1" s="4621"/>
      <c r="S1" s="4621"/>
      <c r="T1" s="4621"/>
    </row>
    <row r="2" spans="1:35" ht="24" customHeight="1">
      <c r="B2" s="206" t="s">
        <v>674</v>
      </c>
      <c r="C2" s="160" t="str">
        <f>'Seleccion proyecto HEREVEA02'!L6</f>
        <v>c107</v>
      </c>
      <c r="D2" s="160"/>
      <c r="E2" s="160"/>
      <c r="F2" s="160"/>
      <c r="G2" s="160"/>
      <c r="H2" s="160"/>
      <c r="I2" s="160"/>
      <c r="J2" s="160"/>
      <c r="K2" s="160"/>
      <c r="L2" s="160"/>
      <c r="M2" s="160"/>
      <c r="N2" s="160"/>
      <c r="O2" s="160"/>
      <c r="P2" s="160"/>
      <c r="Q2" s="160"/>
      <c r="R2" s="160"/>
      <c r="T2" s="4631" t="s">
        <v>3344</v>
      </c>
      <c r="U2" s="4631"/>
    </row>
    <row r="3" spans="1:35" s="22" customFormat="1" ht="24" customHeight="1" thickBot="1">
      <c r="B3" s="3324"/>
      <c r="C3" s="167"/>
      <c r="D3" s="167"/>
      <c r="E3" s="167"/>
      <c r="F3" s="167"/>
      <c r="G3" s="167"/>
      <c r="H3" s="167"/>
      <c r="I3" s="167"/>
      <c r="J3" s="167"/>
      <c r="K3" s="167"/>
      <c r="L3" s="167"/>
      <c r="M3" s="167"/>
      <c r="N3" s="167"/>
      <c r="O3" s="167"/>
      <c r="P3" s="167"/>
      <c r="Q3" s="167"/>
      <c r="R3" s="167"/>
      <c r="T3" s="3325"/>
      <c r="U3" s="3326"/>
    </row>
    <row r="4" spans="1:35" ht="22.5" customHeight="1" thickBot="1">
      <c r="A4" s="3244" t="s">
        <v>1328</v>
      </c>
      <c r="B4" s="3245" t="s">
        <v>328</v>
      </c>
      <c r="C4" s="3244" t="s">
        <v>284</v>
      </c>
      <c r="D4" s="3629" t="s">
        <v>3458</v>
      </c>
      <c r="E4" s="3253" t="s">
        <v>899</v>
      </c>
      <c r="F4" s="3254" t="s">
        <v>875</v>
      </c>
      <c r="G4" s="3254" t="s">
        <v>900</v>
      </c>
      <c r="H4" s="3254" t="s">
        <v>901</v>
      </c>
      <c r="I4" s="3254" t="s">
        <v>878</v>
      </c>
      <c r="J4" s="3254" t="s">
        <v>879</v>
      </c>
      <c r="K4" s="3254" t="s">
        <v>880</v>
      </c>
      <c r="L4" s="3254" t="s">
        <v>881</v>
      </c>
      <c r="M4" s="3254" t="s">
        <v>882</v>
      </c>
      <c r="N4" s="3254" t="s">
        <v>883</v>
      </c>
      <c r="O4" s="3254" t="s">
        <v>884</v>
      </c>
      <c r="P4" s="3255" t="s">
        <v>885</v>
      </c>
      <c r="Q4" s="3626" t="s">
        <v>3463</v>
      </c>
      <c r="R4" s="28"/>
      <c r="S4" s="22"/>
      <c r="T4" s="661" t="s">
        <v>494</v>
      </c>
      <c r="U4" s="656" t="s">
        <v>327</v>
      </c>
      <c r="V4" s="3327" t="s">
        <v>899</v>
      </c>
      <c r="W4" s="3328" t="s">
        <v>875</v>
      </c>
      <c r="X4" s="3328" t="s">
        <v>900</v>
      </c>
      <c r="Y4" s="3328" t="s">
        <v>901</v>
      </c>
      <c r="Z4" s="3328" t="s">
        <v>878</v>
      </c>
      <c r="AA4" s="3328" t="s">
        <v>879</v>
      </c>
      <c r="AB4" s="3328" t="s">
        <v>880</v>
      </c>
      <c r="AC4" s="3328" t="s">
        <v>881</v>
      </c>
      <c r="AD4" s="3328" t="s">
        <v>882</v>
      </c>
      <c r="AE4" s="3328" t="s">
        <v>883</v>
      </c>
      <c r="AF4" s="3328" t="s">
        <v>884</v>
      </c>
      <c r="AG4" s="3328" t="s">
        <v>885</v>
      </c>
      <c r="AH4" s="655" t="s">
        <v>898</v>
      </c>
      <c r="AI4" s="38"/>
    </row>
    <row r="5" spans="1:35">
      <c r="A5" s="3246" t="s">
        <v>2063</v>
      </c>
      <c r="B5" s="3247" t="s">
        <v>2851</v>
      </c>
      <c r="C5" s="3248">
        <f>SUMIFS(BCRR_REHAB!L:L,BCRR_REHAB!D:D,A5)</f>
        <v>0</v>
      </c>
      <c r="D5" s="3627">
        <f>SUMIF(BCRR_REHAB!$F$9:$F$26,'Huella mano de obra'!A5,BCRR_REHAB!$O$9:$O$26)</f>
        <v>0</v>
      </c>
      <c r="E5" s="2876" t="e">
        <f>SUMIF(#REF!,'Huella mano de obra'!B5,#REF!)</f>
        <v>#REF!</v>
      </c>
      <c r="F5" s="2876" t="e">
        <f>SUMIF(#REF!,'Huella mano de obra'!A5,#REF!)</f>
        <v>#REF!</v>
      </c>
      <c r="G5" s="2876" t="e">
        <f>SUMIF(#REF!,'Huella mano de obra'!A5,#REF!)</f>
        <v>#REF!</v>
      </c>
      <c r="H5" s="2876" t="e">
        <f>SUMIF(#REF!,'Huella mano de obra'!A5,#REF!)</f>
        <v>#REF!</v>
      </c>
      <c r="I5" s="2876" t="e">
        <f>SUMIF(#REF!,'Huella mano de obra'!A5,#REF!)</f>
        <v>#REF!</v>
      </c>
      <c r="J5" s="2876" t="e">
        <f>SUMIF(#REF!,'Huella mano de obra'!B5,#REF!)</f>
        <v>#REF!</v>
      </c>
      <c r="K5" s="2876" t="e">
        <f>SUMIF(#REF!,'Huella mano de obra'!B5,#REF!)</f>
        <v>#REF!</v>
      </c>
      <c r="L5" s="2876" t="e">
        <f>SUMIF(#REF!,'Huella mano de obra'!B5,#REF!)</f>
        <v>#REF!</v>
      </c>
      <c r="M5" s="2876" t="e">
        <f>SUMIF(#REF!,'Huella mano de obra'!B5,#REF!)</f>
        <v>#REF!</v>
      </c>
      <c r="N5" s="2876" t="e">
        <f>SUMIF(#REF!,'Huella mano de obra'!B5,#REF!)</f>
        <v>#REF!</v>
      </c>
      <c r="O5" s="2876" t="e">
        <f>SUMIF(#REF!,'Huella mano de obra'!B5,#REF!)</f>
        <v>#REF!</v>
      </c>
      <c r="P5" s="2876" t="e">
        <f>SUMIF(#REF!,'Huella mano de obra'!B5,#REF!)</f>
        <v>#REF!</v>
      </c>
      <c r="Q5" s="3627">
        <f>SUMIF(BCRR_REHAB!$F$4193:$F$4285,'Huella mano de obra'!C5,BCRR_REHAB!$O$4193:$O$4285)</f>
        <v>0</v>
      </c>
      <c r="R5" s="637"/>
      <c r="S5" s="653"/>
      <c r="T5" s="3332" t="s">
        <v>332</v>
      </c>
      <c r="U5" s="657">
        <f>'Datos auxiliares mano de obra'!$C$7</f>
        <v>9.4499999999999998E-4</v>
      </c>
      <c r="V5" s="153">
        <f>'Datos auxiliares mano de obra'!$C$7</f>
        <v>9.4499999999999998E-4</v>
      </c>
      <c r="W5" s="153">
        <f>'Datos auxiliares mano de obra'!$C$7</f>
        <v>9.4499999999999998E-4</v>
      </c>
      <c r="X5" s="153">
        <f>'Datos auxiliares mano de obra'!$C$7</f>
        <v>9.4499999999999998E-4</v>
      </c>
      <c r="Y5" s="153">
        <f>'Datos auxiliares mano de obra'!$C$7</f>
        <v>9.4499999999999998E-4</v>
      </c>
      <c r="Z5" s="153">
        <f>'Datos auxiliares mano de obra'!$C$7</f>
        <v>9.4499999999999998E-4</v>
      </c>
      <c r="AA5" s="153">
        <f>'Datos auxiliares mano de obra'!$C$7</f>
        <v>9.4499999999999998E-4</v>
      </c>
      <c r="AB5" s="153">
        <f>'Datos auxiliares mano de obra'!$C$7</f>
        <v>9.4499999999999998E-4</v>
      </c>
      <c r="AC5" s="153">
        <f>'Datos auxiliares mano de obra'!$C$7</f>
        <v>9.4499999999999998E-4</v>
      </c>
      <c r="AD5" s="153">
        <f>'Datos auxiliares mano de obra'!$C$7</f>
        <v>9.4499999999999998E-4</v>
      </c>
      <c r="AE5" s="153">
        <f>'Datos auxiliares mano de obra'!$C$7</f>
        <v>9.4499999999999998E-4</v>
      </c>
      <c r="AF5" s="153">
        <f>'Datos auxiliares mano de obra'!$C$7</f>
        <v>9.4499999999999998E-4</v>
      </c>
      <c r="AG5" s="153">
        <f>'Datos auxiliares mano de obra'!$C$7</f>
        <v>9.4499999999999998E-4</v>
      </c>
      <c r="AH5" s="38"/>
      <c r="AI5" s="38"/>
    </row>
    <row r="6" spans="1:35">
      <c r="A6" s="3246" t="s">
        <v>1110</v>
      </c>
      <c r="B6" s="3247" t="s">
        <v>42</v>
      </c>
      <c r="C6" s="3248">
        <f>SUMIFS(BCRR_REHAB!L:L,BCRR_REHAB!D:D,A6)</f>
        <v>1409.8230629999998</v>
      </c>
      <c r="D6" s="3627">
        <f>SUMIF(BCRR_REHAB!$F$9:$F$26,'Huella mano de obra'!A6,BCRR_REHAB!$O$9:$O$26)</f>
        <v>0</v>
      </c>
      <c r="E6" s="2653" t="e">
        <f>SUMIF(#REF!,'Huella mano de obra'!B6,#REF!)</f>
        <v>#REF!</v>
      </c>
      <c r="F6" s="2653" t="e">
        <f>SUMIF(#REF!,'Huella mano de obra'!A6,#REF!)</f>
        <v>#REF!</v>
      </c>
      <c r="G6" s="2653" t="e">
        <f>SUMIF(#REF!,'Huella mano de obra'!A6,#REF!)</f>
        <v>#REF!</v>
      </c>
      <c r="H6" s="2653" t="e">
        <f>SUMIF(#REF!,'Huella mano de obra'!A6,#REF!)</f>
        <v>#REF!</v>
      </c>
      <c r="I6" s="2653" t="e">
        <f>SUMIF(#REF!,'Huella mano de obra'!A6,#REF!)</f>
        <v>#REF!</v>
      </c>
      <c r="J6" s="2653" t="e">
        <f>SUMIF(#REF!,'Huella mano de obra'!B6,#REF!)</f>
        <v>#REF!</v>
      </c>
      <c r="K6" s="2653" t="e">
        <f>SUMIF(#REF!,'Huella mano de obra'!B6,#REF!)</f>
        <v>#REF!</v>
      </c>
      <c r="L6" s="2653" t="e">
        <f>SUMIF(#REF!,'Huella mano de obra'!B6,#REF!)</f>
        <v>#REF!</v>
      </c>
      <c r="M6" s="2653" t="e">
        <f>SUMIF(#REF!,'Huella mano de obra'!B6,#REF!)</f>
        <v>#REF!</v>
      </c>
      <c r="N6" s="2653" t="e">
        <f>SUMIF(#REF!,'Huella mano de obra'!B6,#REF!)</f>
        <v>#REF!</v>
      </c>
      <c r="O6" s="2653" t="e">
        <f>SUMIF(#REF!,'Huella mano de obra'!B6,#REF!)</f>
        <v>#REF!</v>
      </c>
      <c r="P6" s="2653" t="e">
        <f>SUMIF(#REF!,'Huella mano de obra'!B6,#REF!)</f>
        <v>#REF!</v>
      </c>
      <c r="Q6" s="3627">
        <f>SUMIF(BCRR_REHAB!$F$4193:$F$4285,'Huella mano de obra'!C6,BCRR_REHAB!$O$4193:$O$4285)</f>
        <v>0</v>
      </c>
      <c r="R6" s="637"/>
      <c r="S6" s="653"/>
      <c r="T6" s="3332" t="s">
        <v>333</v>
      </c>
      <c r="U6" s="657">
        <f>'Datos auxiliares mano de obra'!$C$8</f>
        <v>3.8999999999999998E-3</v>
      </c>
      <c r="V6" s="153">
        <f>'Datos auxiliares mano de obra'!$C$8</f>
        <v>3.8999999999999998E-3</v>
      </c>
      <c r="W6" s="153">
        <f>'Datos auxiliares mano de obra'!$C$8</f>
        <v>3.8999999999999998E-3</v>
      </c>
      <c r="X6" s="153">
        <f>'Datos auxiliares mano de obra'!$C$8</f>
        <v>3.8999999999999998E-3</v>
      </c>
      <c r="Y6" s="153">
        <f>'Datos auxiliares mano de obra'!$C$8</f>
        <v>3.8999999999999998E-3</v>
      </c>
      <c r="Z6" s="153">
        <f>'Datos auxiliares mano de obra'!$C$8</f>
        <v>3.8999999999999998E-3</v>
      </c>
      <c r="AA6" s="153">
        <f>'Datos auxiliares mano de obra'!$C$8</f>
        <v>3.8999999999999998E-3</v>
      </c>
      <c r="AB6" s="153">
        <f>'Datos auxiliares mano de obra'!$C$8</f>
        <v>3.8999999999999998E-3</v>
      </c>
      <c r="AC6" s="153">
        <f>'Datos auxiliares mano de obra'!$C$8</f>
        <v>3.8999999999999998E-3</v>
      </c>
      <c r="AD6" s="153">
        <f>'Datos auxiliares mano de obra'!$C$8</f>
        <v>3.8999999999999998E-3</v>
      </c>
      <c r="AE6" s="153">
        <f>'Datos auxiliares mano de obra'!$C$8</f>
        <v>3.8999999999999998E-3</v>
      </c>
      <c r="AF6" s="153">
        <f>'Datos auxiliares mano de obra'!$C$8</f>
        <v>3.8999999999999998E-3</v>
      </c>
      <c r="AG6" s="153">
        <f>'Datos auxiliares mano de obra'!$C$8</f>
        <v>3.8999999999999998E-3</v>
      </c>
      <c r="AH6" s="38"/>
      <c r="AI6" s="38"/>
    </row>
    <row r="7" spans="1:35">
      <c r="A7" s="3246" t="s">
        <v>1121</v>
      </c>
      <c r="B7" s="3247" t="s">
        <v>54</v>
      </c>
      <c r="C7" s="3248">
        <f>SUMIFS(BCRR_REHAB!L:L,BCRR_REHAB!D:D,A7)</f>
        <v>0.83519999999999994</v>
      </c>
      <c r="D7" s="3627">
        <f>SUMIF(BCRR_REHAB!$F$9:$F$26,'Huella mano de obra'!A7,BCRR_REHAB!$O$9:$O$26)</f>
        <v>0</v>
      </c>
      <c r="E7" s="2653" t="e">
        <f>SUMIF(#REF!,'Huella mano de obra'!B7,#REF!)</f>
        <v>#REF!</v>
      </c>
      <c r="F7" s="2653" t="e">
        <f>SUMIF(#REF!,'Huella mano de obra'!A7,#REF!)</f>
        <v>#REF!</v>
      </c>
      <c r="G7" s="2653" t="e">
        <f>SUMIF(#REF!,'Huella mano de obra'!A7,#REF!)</f>
        <v>#REF!</v>
      </c>
      <c r="H7" s="2653" t="e">
        <f>SUMIF(#REF!,'Huella mano de obra'!A7,#REF!)</f>
        <v>#REF!</v>
      </c>
      <c r="I7" s="2653" t="e">
        <f>SUMIF(#REF!,'Huella mano de obra'!A7,#REF!)</f>
        <v>#REF!</v>
      </c>
      <c r="J7" s="2653" t="e">
        <f>SUMIF(#REF!,'Huella mano de obra'!B7,#REF!)</f>
        <v>#REF!</v>
      </c>
      <c r="K7" s="2653" t="e">
        <f>SUMIF(#REF!,'Huella mano de obra'!B7,#REF!)</f>
        <v>#REF!</v>
      </c>
      <c r="L7" s="2653" t="e">
        <f>SUMIF(#REF!,'Huella mano de obra'!B7,#REF!)</f>
        <v>#REF!</v>
      </c>
      <c r="M7" s="2653" t="e">
        <f>SUMIF(#REF!,'Huella mano de obra'!B7,#REF!)</f>
        <v>#REF!</v>
      </c>
      <c r="N7" s="2653" t="e">
        <f>SUMIF(#REF!,'Huella mano de obra'!B7,#REF!)</f>
        <v>#REF!</v>
      </c>
      <c r="O7" s="2653" t="e">
        <f>SUMIF(#REF!,'Huella mano de obra'!B7,#REF!)</f>
        <v>#REF!</v>
      </c>
      <c r="P7" s="2653" t="e">
        <f>SUMIF(#REF!,'Huella mano de obra'!B7,#REF!)</f>
        <v>#REF!</v>
      </c>
      <c r="Q7" s="3627">
        <f>SUMIF(BCRR_REHAB!$F$4193:$F$4285,'Huella mano de obra'!C7,BCRR_REHAB!$O$4193:$O$4285)</f>
        <v>0</v>
      </c>
      <c r="R7" s="637"/>
      <c r="S7" s="653"/>
      <c r="T7" s="3332" t="s">
        <v>331</v>
      </c>
      <c r="U7" s="657">
        <f>O47</f>
        <v>1.2402440303317134E-3</v>
      </c>
      <c r="V7" s="657"/>
      <c r="W7" s="657"/>
      <c r="X7" s="657"/>
      <c r="Y7" s="657"/>
      <c r="Z7" s="657"/>
      <c r="AA7" s="657"/>
      <c r="AB7" s="657"/>
      <c r="AC7" s="657"/>
      <c r="AD7" s="657"/>
      <c r="AE7" s="657"/>
      <c r="AF7" s="657"/>
      <c r="AG7" s="657"/>
      <c r="AH7" s="38"/>
      <c r="AI7" s="38"/>
    </row>
    <row r="8" spans="1:35">
      <c r="A8" s="3246" t="s">
        <v>1088</v>
      </c>
      <c r="B8" s="3247" t="s">
        <v>102</v>
      </c>
      <c r="C8" s="3248">
        <f>SUMIFS(BCRR_REHAB!L:L,BCRR_REHAB!D:D,A8)</f>
        <v>0</v>
      </c>
      <c r="D8" s="3627">
        <f>SUMIF(BCRR_REHAB!$F$9:$F$26,'Huella mano de obra'!A8,BCRR_REHAB!$O$9:$O$26)</f>
        <v>0</v>
      </c>
      <c r="E8" s="2653" t="e">
        <f>SUMIF(#REF!,'Huella mano de obra'!B8,#REF!)</f>
        <v>#REF!</v>
      </c>
      <c r="F8" s="2653" t="e">
        <f>SUMIF(#REF!,'Huella mano de obra'!A8,#REF!)</f>
        <v>#REF!</v>
      </c>
      <c r="G8" s="2653" t="e">
        <f>SUMIF(#REF!,'Huella mano de obra'!A8,#REF!)</f>
        <v>#REF!</v>
      </c>
      <c r="H8" s="2653" t="e">
        <f>SUMIF(#REF!,'Huella mano de obra'!A8,#REF!)</f>
        <v>#REF!</v>
      </c>
      <c r="I8" s="2653" t="e">
        <f>SUMIF(#REF!,'Huella mano de obra'!A8,#REF!)</f>
        <v>#REF!</v>
      </c>
      <c r="J8" s="2653" t="e">
        <f>SUMIF(#REF!,'Huella mano de obra'!B8,#REF!)</f>
        <v>#REF!</v>
      </c>
      <c r="K8" s="2653" t="e">
        <f>SUMIF(#REF!,'Huella mano de obra'!B8,#REF!)</f>
        <v>#REF!</v>
      </c>
      <c r="L8" s="2653" t="e">
        <f>SUMIF(#REF!,'Huella mano de obra'!B8,#REF!)</f>
        <v>#REF!</v>
      </c>
      <c r="M8" s="2653" t="e">
        <f>SUMIF(#REF!,'Huella mano de obra'!B8,#REF!)</f>
        <v>#REF!</v>
      </c>
      <c r="N8" s="2653" t="e">
        <f>SUMIF(#REF!,'Huella mano de obra'!B8,#REF!)</f>
        <v>#REF!</v>
      </c>
      <c r="O8" s="2653" t="e">
        <f>SUMIF(#REF!,'Huella mano de obra'!B8,#REF!)</f>
        <v>#REF!</v>
      </c>
      <c r="P8" s="2653" t="e">
        <f>SUMIF(#REF!,'Huella mano de obra'!B8,#REF!)</f>
        <v>#REF!</v>
      </c>
      <c r="Q8" s="3627">
        <f>SUMIF(BCRR_REHAB!$F$4193:$F$4285,'Huella mano de obra'!C8,BCRR_REHAB!$O$4193:$O$4285)</f>
        <v>0</v>
      </c>
      <c r="R8" s="637"/>
      <c r="S8" s="653"/>
      <c r="T8" s="3332" t="s">
        <v>3133</v>
      </c>
      <c r="U8" s="657">
        <f>Q47</f>
        <v>1.9904045785040614E-3</v>
      </c>
      <c r="V8" s="657"/>
      <c r="W8" s="657"/>
      <c r="X8" s="657"/>
      <c r="Y8" s="657"/>
      <c r="Z8" s="657"/>
      <c r="AA8" s="657"/>
      <c r="AB8" s="657"/>
      <c r="AC8" s="657"/>
      <c r="AD8" s="657"/>
      <c r="AE8" s="657"/>
      <c r="AF8" s="657"/>
      <c r="AG8" s="657"/>
      <c r="AH8" s="38"/>
      <c r="AI8" s="38"/>
    </row>
    <row r="9" spans="1:35">
      <c r="A9" s="3249" t="s">
        <v>1140</v>
      </c>
      <c r="B9" s="3250" t="s">
        <v>98</v>
      </c>
      <c r="C9" s="3248">
        <f>SUMIFS(BCRR_REHAB!L:L,BCRR_REHAB!D:D,A9)</f>
        <v>31.637761650000002</v>
      </c>
      <c r="D9" s="3627">
        <f>SUMIF(BCRR_REHAB!$F$9:$F$26,'Huella mano de obra'!A9,BCRR_REHAB!$O$9:$O$26)</f>
        <v>0</v>
      </c>
      <c r="E9" s="2653" t="e">
        <f>SUMIF(#REF!,'Huella mano de obra'!B9,#REF!)</f>
        <v>#REF!</v>
      </c>
      <c r="F9" s="2653" t="e">
        <f>SUMIF(#REF!,'Huella mano de obra'!A9,#REF!)</f>
        <v>#REF!</v>
      </c>
      <c r="G9" s="2653" t="e">
        <f>SUMIF(#REF!,'Huella mano de obra'!A9,#REF!)</f>
        <v>#REF!</v>
      </c>
      <c r="H9" s="2653" t="e">
        <f>SUMIF(#REF!,'Huella mano de obra'!A9,#REF!)</f>
        <v>#REF!</v>
      </c>
      <c r="I9" s="2653" t="e">
        <f>SUMIF(#REF!,'Huella mano de obra'!A9,#REF!)</f>
        <v>#REF!</v>
      </c>
      <c r="J9" s="2653" t="e">
        <f>SUMIF(#REF!,'Huella mano de obra'!B9,#REF!)</f>
        <v>#REF!</v>
      </c>
      <c r="K9" s="2653" t="e">
        <f>SUMIF(#REF!,'Huella mano de obra'!B9,#REF!)</f>
        <v>#REF!</v>
      </c>
      <c r="L9" s="2653" t="e">
        <f>SUMIF(#REF!,'Huella mano de obra'!B9,#REF!)</f>
        <v>#REF!</v>
      </c>
      <c r="M9" s="2653" t="e">
        <f>SUMIF(#REF!,'Huella mano de obra'!B9,#REF!)</f>
        <v>#REF!</v>
      </c>
      <c r="N9" s="2653" t="e">
        <f>SUMIF(#REF!,'Huella mano de obra'!B9,#REF!)</f>
        <v>#REF!</v>
      </c>
      <c r="O9" s="2653" t="e">
        <f>SUMIF(#REF!,'Huella mano de obra'!B9,#REF!)</f>
        <v>#REF!</v>
      </c>
      <c r="P9" s="2653" t="e">
        <f>SUMIF(#REF!,'Huella mano de obra'!B9,#REF!)</f>
        <v>#REF!</v>
      </c>
      <c r="Q9" s="3627">
        <f>SUMIF(BCRR_REHAB!$F$4193:$F$4285,'Huella mano de obra'!C9,BCRR_REHAB!$O$4193:$O$4285)</f>
        <v>0</v>
      </c>
      <c r="R9" s="637"/>
      <c r="S9" s="653"/>
      <c r="T9" s="646" t="s">
        <v>329</v>
      </c>
      <c r="U9" s="658">
        <f>C29+C31</f>
        <v>18591.527921536112</v>
      </c>
      <c r="V9" s="288" t="e">
        <f t="shared" ref="V9:AG9" si="0">E29</f>
        <v>#REF!</v>
      </c>
      <c r="W9" s="288" t="e">
        <f t="shared" si="0"/>
        <v>#REF!</v>
      </c>
      <c r="X9" s="288" t="e">
        <f t="shared" si="0"/>
        <v>#REF!</v>
      </c>
      <c r="Y9" s="288" t="e">
        <f t="shared" si="0"/>
        <v>#REF!</v>
      </c>
      <c r="Z9" s="288" t="e">
        <f t="shared" si="0"/>
        <v>#REF!</v>
      </c>
      <c r="AA9" s="288" t="e">
        <f t="shared" si="0"/>
        <v>#REF!</v>
      </c>
      <c r="AB9" s="288" t="e">
        <f t="shared" si="0"/>
        <v>#REF!</v>
      </c>
      <c r="AC9" s="288" t="e">
        <f t="shared" si="0"/>
        <v>#REF!</v>
      </c>
      <c r="AD9" s="288" t="e">
        <f t="shared" si="0"/>
        <v>#REF!</v>
      </c>
      <c r="AE9" s="288" t="e">
        <f t="shared" si="0"/>
        <v>#REF!</v>
      </c>
      <c r="AF9" s="288" t="e">
        <f t="shared" si="0"/>
        <v>#REF!</v>
      </c>
      <c r="AG9" s="288" t="e">
        <f t="shared" si="0"/>
        <v>#REF!</v>
      </c>
      <c r="AH9" s="38"/>
      <c r="AI9" s="38"/>
    </row>
    <row r="10" spans="1:35" ht="16">
      <c r="A10" s="3246" t="s">
        <v>1084</v>
      </c>
      <c r="B10" s="3247" t="s">
        <v>21</v>
      </c>
      <c r="C10" s="3248">
        <f>SUMIFS(BCRR_REHAB!L:L,BCRR_REHAB!D:D,A10)</f>
        <v>0</v>
      </c>
      <c r="D10" s="3627">
        <f>SUMIF(BCRR_REHAB!$F$9:$F$26,'Huella mano de obra'!A10,BCRR_REHAB!$O$9:$O$26)</f>
        <v>0</v>
      </c>
      <c r="E10" s="2653" t="e">
        <f>SUMIF(#REF!,'Huella mano de obra'!B10,#REF!)</f>
        <v>#REF!</v>
      </c>
      <c r="F10" s="2653" t="e">
        <f>SUMIF(#REF!,'Huella mano de obra'!A10,#REF!)</f>
        <v>#REF!</v>
      </c>
      <c r="G10" s="2653" t="e">
        <f>SUMIF(#REF!,'Huella mano de obra'!A10,#REF!)</f>
        <v>#REF!</v>
      </c>
      <c r="H10" s="2653" t="e">
        <f>SUMIF(#REF!,'Huella mano de obra'!A10,#REF!)</f>
        <v>#REF!</v>
      </c>
      <c r="I10" s="2653" t="e">
        <f>SUMIF(#REF!,'Huella mano de obra'!A10,#REF!)</f>
        <v>#REF!</v>
      </c>
      <c r="J10" s="2653" t="e">
        <f>SUMIF(#REF!,'Huella mano de obra'!B10,#REF!)</f>
        <v>#REF!</v>
      </c>
      <c r="K10" s="2653" t="e">
        <f>SUMIF(#REF!,'Huella mano de obra'!B10,#REF!)</f>
        <v>#REF!</v>
      </c>
      <c r="L10" s="2653" t="e">
        <f>SUMIF(#REF!,'Huella mano de obra'!B10,#REF!)</f>
        <v>#REF!</v>
      </c>
      <c r="M10" s="2653" t="e">
        <f>SUMIF(#REF!,'Huella mano de obra'!B10,#REF!)</f>
        <v>#REF!</v>
      </c>
      <c r="N10" s="2653" t="e">
        <f>SUMIF(#REF!,'Huella mano de obra'!B10,#REF!)</f>
        <v>#REF!</v>
      </c>
      <c r="O10" s="2653" t="e">
        <f>SUMIF(#REF!,'Huella mano de obra'!B10,#REF!)</f>
        <v>#REF!</v>
      </c>
      <c r="P10" s="2653" t="e">
        <f>SUMIF(#REF!,'Huella mano de obra'!B10,#REF!)</f>
        <v>#REF!</v>
      </c>
      <c r="Q10" s="3627">
        <f>SUMIF(BCRR_REHAB!$F$4193:$F$4285,'Huella mano de obra'!C10,BCRR_REHAB!$O$4193:$O$4285)</f>
        <v>0</v>
      </c>
      <c r="R10" s="637"/>
      <c r="S10" s="653"/>
      <c r="T10" s="647" t="s">
        <v>3314</v>
      </c>
      <c r="U10" s="3331">
        <f>'Datos auxiliares mano de obra'!$C$10</f>
        <v>1525</v>
      </c>
      <c r="V10" s="3259"/>
      <c r="W10" s="3259"/>
      <c r="X10" s="3259"/>
      <c r="Y10" s="3259"/>
      <c r="Z10" s="3259"/>
      <c r="AA10" s="3259"/>
      <c r="AB10" s="3259"/>
      <c r="AC10" s="3259"/>
      <c r="AD10" s="3259"/>
      <c r="AE10" s="3259"/>
      <c r="AF10" s="3259"/>
      <c r="AG10" s="3259"/>
      <c r="AH10" s="663"/>
      <c r="AI10" s="38"/>
    </row>
    <row r="11" spans="1:35" ht="16.5" customHeight="1">
      <c r="A11" s="3246" t="s">
        <v>1169</v>
      </c>
      <c r="B11" s="3247" t="s">
        <v>117</v>
      </c>
      <c r="C11" s="3248">
        <f>SUMIFS(BCRR_REHAB!L:L,BCRR_REHAB!D:D,A11)</f>
        <v>0</v>
      </c>
      <c r="D11" s="3627">
        <f>SUMIF(BCRR_REHAB!$F$9:$F$26,'Huella mano de obra'!A11,BCRR_REHAB!$O$9:$O$26)</f>
        <v>0</v>
      </c>
      <c r="E11" s="2653" t="e">
        <f>SUMIF(#REF!,'Huella mano de obra'!B11,#REF!)</f>
        <v>#REF!</v>
      </c>
      <c r="F11" s="2653" t="e">
        <f>SUMIF(#REF!,'Huella mano de obra'!A11,#REF!)</f>
        <v>#REF!</v>
      </c>
      <c r="G11" s="2653" t="e">
        <f>SUMIF(#REF!,'Huella mano de obra'!A11,#REF!)</f>
        <v>#REF!</v>
      </c>
      <c r="H11" s="2653" t="e">
        <f>SUMIF(#REF!,'Huella mano de obra'!A11,#REF!)</f>
        <v>#REF!</v>
      </c>
      <c r="I11" s="2653" t="e">
        <f>SUMIF(#REF!,'Huella mano de obra'!A11,#REF!)</f>
        <v>#REF!</v>
      </c>
      <c r="J11" s="2653" t="e">
        <f>SUMIF(#REF!,'Huella mano de obra'!B11,#REF!)</f>
        <v>#REF!</v>
      </c>
      <c r="K11" s="2653" t="e">
        <f>SUMIF(#REF!,'Huella mano de obra'!B11,#REF!)</f>
        <v>#REF!</v>
      </c>
      <c r="L11" s="2653" t="e">
        <f>SUMIF(#REF!,'Huella mano de obra'!B11,#REF!)</f>
        <v>#REF!</v>
      </c>
      <c r="M11" s="2653" t="e">
        <f>SUMIF(#REF!,'Huella mano de obra'!B11,#REF!)</f>
        <v>#REF!</v>
      </c>
      <c r="N11" s="2653" t="e">
        <f>SUMIF(#REF!,'Huella mano de obra'!B11,#REF!)</f>
        <v>#REF!</v>
      </c>
      <c r="O11" s="2653" t="e">
        <f>SUMIF(#REF!,'Huella mano de obra'!B11,#REF!)</f>
        <v>#REF!</v>
      </c>
      <c r="P11" s="2653" t="e">
        <f>SUMIF(#REF!,'Huella mano de obra'!B11,#REF!)</f>
        <v>#REF!</v>
      </c>
      <c r="Q11" s="3627">
        <f>SUMIF(BCRR_REHAB!$F$4193:$F$4285,'Huella mano de obra'!C11,BCRR_REHAB!$O$4193:$O$4285)</f>
        <v>0</v>
      </c>
      <c r="R11" s="637"/>
      <c r="S11" s="653"/>
      <c r="T11" s="646" t="s">
        <v>334</v>
      </c>
      <c r="U11" s="3260">
        <f>U9/U10</f>
        <v>12.191165850187614</v>
      </c>
      <c r="V11" s="3259"/>
      <c r="W11" s="3259"/>
      <c r="X11" s="3259"/>
      <c r="Y11" s="3259"/>
      <c r="Z11" s="3259"/>
      <c r="AA11" s="3259"/>
      <c r="AB11" s="3259"/>
      <c r="AC11" s="3259"/>
      <c r="AD11" s="3259"/>
      <c r="AE11" s="3259"/>
      <c r="AF11" s="3259"/>
      <c r="AG11" s="3259"/>
      <c r="AH11" s="38"/>
      <c r="AI11" s="38"/>
    </row>
    <row r="12" spans="1:35">
      <c r="A12" s="3246" t="s">
        <v>1076</v>
      </c>
      <c r="B12" s="3247" t="s">
        <v>46</v>
      </c>
      <c r="C12" s="3248">
        <f>SUMIFS(BCRR_REHAB!L:L,BCRR_REHAB!D:D,A12)</f>
        <v>0</v>
      </c>
      <c r="D12" s="3627">
        <f>SUMIF(BCRR_REHAB!$F$9:$F$26,'Huella mano de obra'!A12,BCRR_REHAB!$O$9:$O$26)</f>
        <v>0</v>
      </c>
      <c r="E12" s="2653" t="e">
        <f>SUMIF(#REF!,'Huella mano de obra'!B12,#REF!)</f>
        <v>#REF!</v>
      </c>
      <c r="F12" s="2653" t="e">
        <f>SUMIF(#REF!,'Huella mano de obra'!A12,#REF!)</f>
        <v>#REF!</v>
      </c>
      <c r="G12" s="2653" t="e">
        <f>SUMIF(#REF!,'Huella mano de obra'!A12,#REF!)</f>
        <v>#REF!</v>
      </c>
      <c r="H12" s="2653" t="e">
        <f>SUMIF(#REF!,'Huella mano de obra'!A12,#REF!)</f>
        <v>#REF!</v>
      </c>
      <c r="I12" s="2653" t="e">
        <f>SUMIF(#REF!,'Huella mano de obra'!A12,#REF!)</f>
        <v>#REF!</v>
      </c>
      <c r="J12" s="2653" t="e">
        <f>SUMIF(#REF!,'Huella mano de obra'!B12,#REF!)</f>
        <v>#REF!</v>
      </c>
      <c r="K12" s="2653" t="e">
        <f>SUMIF(#REF!,'Huella mano de obra'!B12,#REF!)</f>
        <v>#REF!</v>
      </c>
      <c r="L12" s="2653" t="e">
        <f>SUMIF(#REF!,'Huella mano de obra'!B12,#REF!)</f>
        <v>#REF!</v>
      </c>
      <c r="M12" s="2653" t="e">
        <f>SUMIF(#REF!,'Huella mano de obra'!B12,#REF!)</f>
        <v>#REF!</v>
      </c>
      <c r="N12" s="2653" t="e">
        <f>SUMIF(#REF!,'Huella mano de obra'!B12,#REF!)</f>
        <v>#REF!</v>
      </c>
      <c r="O12" s="2653" t="e">
        <f>SUMIF(#REF!,'Huella mano de obra'!B12,#REF!)</f>
        <v>#REF!</v>
      </c>
      <c r="P12" s="2653" t="e">
        <f>SUMIF(#REF!,'Huella mano de obra'!B12,#REF!)</f>
        <v>#REF!</v>
      </c>
      <c r="Q12" s="3627">
        <f>SUMIF(BCRR_REHAB!$F$4193:$F$4285,'Huella mano de obra'!C12,BCRR_REHAB!$O$4193:$O$4285)</f>
        <v>0</v>
      </c>
      <c r="R12" s="637"/>
      <c r="S12" s="653"/>
      <c r="T12" s="646" t="s">
        <v>3315</v>
      </c>
      <c r="U12" s="3260">
        <v>8</v>
      </c>
      <c r="V12" s="3259"/>
      <c r="W12" s="3259"/>
      <c r="X12" s="3259"/>
      <c r="Y12" s="3259"/>
      <c r="Z12" s="3259"/>
      <c r="AA12" s="3259"/>
      <c r="AB12" s="3259"/>
      <c r="AC12" s="3259"/>
      <c r="AD12" s="3259"/>
      <c r="AE12" s="3259"/>
      <c r="AF12" s="3259"/>
      <c r="AG12" s="3259"/>
      <c r="AH12" s="38"/>
      <c r="AI12" s="38"/>
    </row>
    <row r="13" spans="1:35">
      <c r="A13" s="3246" t="s">
        <v>1133</v>
      </c>
      <c r="B13" s="3247" t="s">
        <v>65</v>
      </c>
      <c r="C13" s="3248">
        <f>SUMIFS(BCRR_REHAB!L:L,BCRR_REHAB!D:D,A13)</f>
        <v>0</v>
      </c>
      <c r="D13" s="3627">
        <f>SUMIF(BCRR_REHAB!$F$9:$F$26,'Huella mano de obra'!A13,BCRR_REHAB!$O$9:$O$26)</f>
        <v>0</v>
      </c>
      <c r="E13" s="2653" t="e">
        <f>SUMIF(#REF!,'Huella mano de obra'!B13,#REF!)</f>
        <v>#REF!</v>
      </c>
      <c r="F13" s="2653" t="e">
        <f>SUMIF(#REF!,'Huella mano de obra'!A13,#REF!)</f>
        <v>#REF!</v>
      </c>
      <c r="G13" s="2653" t="e">
        <f>SUMIF(#REF!,'Huella mano de obra'!A13,#REF!)</f>
        <v>#REF!</v>
      </c>
      <c r="H13" s="2653" t="e">
        <f>SUMIF(#REF!,'Huella mano de obra'!A13,#REF!)</f>
        <v>#REF!</v>
      </c>
      <c r="I13" s="2653" t="e">
        <f>SUMIF(#REF!,'Huella mano de obra'!A13,#REF!)</f>
        <v>#REF!</v>
      </c>
      <c r="J13" s="2653" t="e">
        <f>SUMIF(#REF!,'Huella mano de obra'!B13,#REF!)</f>
        <v>#REF!</v>
      </c>
      <c r="K13" s="2653" t="e">
        <f>SUMIF(#REF!,'Huella mano de obra'!B13,#REF!)</f>
        <v>#REF!</v>
      </c>
      <c r="L13" s="2653" t="e">
        <f>SUMIF(#REF!,'Huella mano de obra'!B13,#REF!)</f>
        <v>#REF!</v>
      </c>
      <c r="M13" s="2653" t="e">
        <f>SUMIF(#REF!,'Huella mano de obra'!B13,#REF!)</f>
        <v>#REF!</v>
      </c>
      <c r="N13" s="2653" t="e">
        <f>SUMIF(#REF!,'Huella mano de obra'!B13,#REF!)</f>
        <v>#REF!</v>
      </c>
      <c r="O13" s="2653" t="e">
        <f>SUMIF(#REF!,'Huella mano de obra'!B13,#REF!)</f>
        <v>#REF!</v>
      </c>
      <c r="P13" s="2653" t="e">
        <f>SUMIF(#REF!,'Huella mano de obra'!B13,#REF!)</f>
        <v>#REF!</v>
      </c>
      <c r="Q13" s="3627">
        <f>SUMIF(BCRR_REHAB!$F$4193:$F$4285,'Huella mano de obra'!C13,BCRR_REHAB!$O$4193:$O$4285)</f>
        <v>0</v>
      </c>
      <c r="R13" s="637"/>
      <c r="S13" s="653"/>
      <c r="T13" s="646" t="s">
        <v>3316</v>
      </c>
      <c r="U13" s="3260">
        <f>U10/U12</f>
        <v>190.625</v>
      </c>
      <c r="V13" s="3259"/>
      <c r="W13" s="3259"/>
      <c r="X13" s="3259"/>
      <c r="Y13" s="3259"/>
      <c r="Z13" s="3259"/>
      <c r="AA13" s="3259"/>
      <c r="AB13" s="3259"/>
      <c r="AC13" s="3259"/>
      <c r="AD13" s="3259"/>
      <c r="AE13" s="3259"/>
      <c r="AF13" s="3259"/>
      <c r="AG13" s="3259"/>
      <c r="AH13" s="38"/>
      <c r="AI13" s="38"/>
    </row>
    <row r="14" spans="1:35" ht="16">
      <c r="A14" s="3249" t="s">
        <v>2525</v>
      </c>
      <c r="B14" s="3250" t="s">
        <v>2854</v>
      </c>
      <c r="C14" s="3248">
        <f>SUMIFS(BCRR_REHAB!L:L,BCRR_REHAB!D:D,A14)</f>
        <v>0</v>
      </c>
      <c r="D14" s="3627">
        <f>SUMIF(BCRR_REHAB!$F$9:$F$26,'Huella mano de obra'!A14,BCRR_REHAB!$O$9:$O$26)</f>
        <v>0</v>
      </c>
      <c r="E14" s="2653" t="e">
        <f>SUMIF(#REF!,'Huella mano de obra'!B14,#REF!)</f>
        <v>#REF!</v>
      </c>
      <c r="F14" s="2653" t="e">
        <f>SUMIF(#REF!,'Huella mano de obra'!A14,#REF!)</f>
        <v>#REF!</v>
      </c>
      <c r="G14" s="2653" t="e">
        <f>SUMIF(#REF!,'Huella mano de obra'!A14,#REF!)</f>
        <v>#REF!</v>
      </c>
      <c r="H14" s="2653" t="e">
        <f>SUMIF(#REF!,'Huella mano de obra'!A14,#REF!)</f>
        <v>#REF!</v>
      </c>
      <c r="I14" s="2653" t="e">
        <f>SUMIF(#REF!,'Huella mano de obra'!A14,#REF!)</f>
        <v>#REF!</v>
      </c>
      <c r="J14" s="2653" t="e">
        <f>SUMIF(#REF!,'Huella mano de obra'!B14,#REF!)</f>
        <v>#REF!</v>
      </c>
      <c r="K14" s="2653" t="e">
        <f>SUMIF(#REF!,'Huella mano de obra'!B14,#REF!)</f>
        <v>#REF!</v>
      </c>
      <c r="L14" s="2653" t="e">
        <f>SUMIF(#REF!,'Huella mano de obra'!B14,#REF!)</f>
        <v>#REF!</v>
      </c>
      <c r="M14" s="2653" t="e">
        <f>SUMIF(#REF!,'Huella mano de obra'!B14,#REF!)</f>
        <v>#REF!</v>
      </c>
      <c r="N14" s="2653" t="e">
        <f>SUMIF(#REF!,'Huella mano de obra'!B14,#REF!)</f>
        <v>#REF!</v>
      </c>
      <c r="O14" s="2653" t="e">
        <f>SUMIF(#REF!,'Huella mano de obra'!B14,#REF!)</f>
        <v>#REF!</v>
      </c>
      <c r="P14" s="2653" t="e">
        <f>SUMIF(#REF!,'Huella mano de obra'!B14,#REF!)</f>
        <v>#REF!</v>
      </c>
      <c r="Q14" s="3627">
        <f>SUMIF(BCRR_REHAB!$F$4193:$F$4285,'Huella mano de obra'!C14,BCRR_REHAB!$O$4193:$O$4285)</f>
        <v>0</v>
      </c>
      <c r="R14" s="637"/>
      <c r="S14" s="653"/>
      <c r="T14" s="647" t="s">
        <v>651</v>
      </c>
      <c r="U14" s="659">
        <f>'Datos auxiliares mano de obra'!$C$9</f>
        <v>8</v>
      </c>
      <c r="V14" s="152">
        <f>'Datos auxiliares mano de obra'!$C$9</f>
        <v>8</v>
      </c>
      <c r="W14" s="152">
        <f>'Datos auxiliares mano de obra'!$C$9</f>
        <v>8</v>
      </c>
      <c r="X14" s="152">
        <f>'Datos auxiliares mano de obra'!$C$9</f>
        <v>8</v>
      </c>
      <c r="Y14" s="152">
        <f>'Datos auxiliares mano de obra'!$C$9</f>
        <v>8</v>
      </c>
      <c r="Z14" s="152">
        <f>'Datos auxiliares mano de obra'!$C$9</f>
        <v>8</v>
      </c>
      <c r="AA14" s="152">
        <f>'Datos auxiliares mano de obra'!$C$9</f>
        <v>8</v>
      </c>
      <c r="AB14" s="152">
        <f>'Datos auxiliares mano de obra'!$C$9</f>
        <v>8</v>
      </c>
      <c r="AC14" s="152">
        <f>'Datos auxiliares mano de obra'!$C$9</f>
        <v>8</v>
      </c>
      <c r="AD14" s="152">
        <f>'Datos auxiliares mano de obra'!$C$9</f>
        <v>8</v>
      </c>
      <c r="AE14" s="152">
        <f>'Datos auxiliares mano de obra'!$C$9</f>
        <v>8</v>
      </c>
      <c r="AF14" s="152">
        <f>'Datos auxiliares mano de obra'!$C$9</f>
        <v>8</v>
      </c>
      <c r="AG14" s="152">
        <f>'Datos auxiliares mano de obra'!$C$9</f>
        <v>8</v>
      </c>
      <c r="AH14" s="38"/>
      <c r="AI14" s="38"/>
    </row>
    <row r="15" spans="1:35">
      <c r="A15" s="3246" t="s">
        <v>1195</v>
      </c>
      <c r="B15" s="3247" t="s">
        <v>156</v>
      </c>
      <c r="C15" s="3248">
        <f>SUMIFS(BCRR_REHAB!L:L,BCRR_REHAB!D:D,A15)</f>
        <v>0</v>
      </c>
      <c r="D15" s="3627">
        <f>SUMIF(BCRR_REHAB!$F$9:$F$26,'Huella mano de obra'!A15,BCRR_REHAB!$O$9:$O$26)</f>
        <v>0</v>
      </c>
      <c r="E15" s="2653" t="e">
        <f>SUMIF(#REF!,'Huella mano de obra'!B15,#REF!)</f>
        <v>#REF!</v>
      </c>
      <c r="F15" s="2653" t="e">
        <f>SUMIF(#REF!,'Huella mano de obra'!A15,#REF!)</f>
        <v>#REF!</v>
      </c>
      <c r="G15" s="2653" t="e">
        <f>SUMIF(#REF!,'Huella mano de obra'!A15,#REF!)</f>
        <v>#REF!</v>
      </c>
      <c r="H15" s="2653" t="e">
        <f>SUMIF(#REF!,'Huella mano de obra'!A15,#REF!)</f>
        <v>#REF!</v>
      </c>
      <c r="I15" s="2653" t="e">
        <f>SUMIF(#REF!,'Huella mano de obra'!A15,#REF!)</f>
        <v>#REF!</v>
      </c>
      <c r="J15" s="2653" t="e">
        <f>SUMIF(#REF!,'Huella mano de obra'!B15,#REF!)</f>
        <v>#REF!</v>
      </c>
      <c r="K15" s="2653" t="e">
        <f>SUMIF(#REF!,'Huella mano de obra'!B15,#REF!)</f>
        <v>#REF!</v>
      </c>
      <c r="L15" s="2653" t="e">
        <f>SUMIF(#REF!,'Huella mano de obra'!B15,#REF!)</f>
        <v>#REF!</v>
      </c>
      <c r="M15" s="2653" t="e">
        <f>SUMIF(#REF!,'Huella mano de obra'!B15,#REF!)</f>
        <v>#REF!</v>
      </c>
      <c r="N15" s="2653" t="e">
        <f>SUMIF(#REF!,'Huella mano de obra'!B15,#REF!)</f>
        <v>#REF!</v>
      </c>
      <c r="O15" s="2653" t="e">
        <f>SUMIF(#REF!,'Huella mano de obra'!B15,#REF!)</f>
        <v>#REF!</v>
      </c>
      <c r="P15" s="2653" t="e">
        <f>SUMIF(#REF!,'Huella mano de obra'!B15,#REF!)</f>
        <v>#REF!</v>
      </c>
      <c r="Q15" s="3627">
        <f>SUMIF(BCRR_REHAB!$F$4193:$F$4285,'Huella mano de obra'!C15,BCRR_REHAB!$O$4193:$O$4285)</f>
        <v>0</v>
      </c>
      <c r="R15" s="637"/>
      <c r="S15" s="653"/>
      <c r="T15" s="3257" t="s">
        <v>3317</v>
      </c>
      <c r="U15" s="3258">
        <f>U13*U11</f>
        <v>2323.9409901920139</v>
      </c>
      <c r="V15" s="3259"/>
      <c r="W15" s="3259"/>
      <c r="X15" s="3259"/>
      <c r="Y15" s="3259"/>
      <c r="Z15" s="3259"/>
      <c r="AA15" s="3259"/>
      <c r="AB15" s="3259"/>
      <c r="AC15" s="3259"/>
      <c r="AD15" s="3259"/>
      <c r="AE15" s="3259"/>
      <c r="AF15" s="3259"/>
      <c r="AG15" s="3259"/>
      <c r="AH15" s="38"/>
      <c r="AI15" s="38"/>
    </row>
    <row r="16" spans="1:35" ht="15" thickBot="1">
      <c r="A16" s="3249" t="s">
        <v>2113</v>
      </c>
      <c r="B16" s="3250" t="s">
        <v>2853</v>
      </c>
      <c r="C16" s="3248">
        <f>SUMIFS(BCRR_REHAB!L:L,BCRR_REHAB!D:D,A16)</f>
        <v>57.433499999999995</v>
      </c>
      <c r="D16" s="3627">
        <f>SUMIF(BCRR_REHAB!$F$9:$F$26,'Huella mano de obra'!A16,BCRR_REHAB!$O$9:$O$26)</f>
        <v>0</v>
      </c>
      <c r="E16" s="2653" t="e">
        <f>SUMIF(#REF!,'Huella mano de obra'!B16,#REF!)</f>
        <v>#REF!</v>
      </c>
      <c r="F16" s="2653" t="e">
        <f>SUMIF(#REF!,'Huella mano de obra'!A16,#REF!)</f>
        <v>#REF!</v>
      </c>
      <c r="G16" s="2653" t="e">
        <f>SUMIF(#REF!,'Huella mano de obra'!A16,#REF!)</f>
        <v>#REF!</v>
      </c>
      <c r="H16" s="2653" t="e">
        <f>SUMIF(#REF!,'Huella mano de obra'!A16,#REF!)</f>
        <v>#REF!</v>
      </c>
      <c r="I16" s="2653" t="e">
        <f>SUMIF(#REF!,'Huella mano de obra'!A16,#REF!)</f>
        <v>#REF!</v>
      </c>
      <c r="J16" s="2653" t="e">
        <f>SUMIF(#REF!,'Huella mano de obra'!B16,#REF!)</f>
        <v>#REF!</v>
      </c>
      <c r="K16" s="2653" t="e">
        <f>SUMIF(#REF!,'Huella mano de obra'!B16,#REF!)</f>
        <v>#REF!</v>
      </c>
      <c r="L16" s="2653" t="e">
        <f>SUMIF(#REF!,'Huella mano de obra'!B16,#REF!)</f>
        <v>#REF!</v>
      </c>
      <c r="M16" s="2653" t="e">
        <f>SUMIF(#REF!,'Huella mano de obra'!B16,#REF!)</f>
        <v>#REF!</v>
      </c>
      <c r="N16" s="2653" t="e">
        <f>SUMIF(#REF!,'Huella mano de obra'!B16,#REF!)</f>
        <v>#REF!</v>
      </c>
      <c r="O16" s="2653" t="e">
        <f>SUMIF(#REF!,'Huella mano de obra'!B16,#REF!)</f>
        <v>#REF!</v>
      </c>
      <c r="P16" s="2653" t="e">
        <f>SUMIF(#REF!,'Huella mano de obra'!B16,#REF!)</f>
        <v>#REF!</v>
      </c>
      <c r="Q16" s="3627">
        <f>SUMIF(BCRR_REHAB!$F$4193:$F$4285,'Huella mano de obra'!C16,BCRR_REHAB!$O$4193:$O$4285)</f>
        <v>0</v>
      </c>
      <c r="R16" s="637"/>
      <c r="S16" s="653"/>
      <c r="T16" s="648" t="s">
        <v>731</v>
      </c>
      <c r="U16" s="660">
        <f>U8*$U$9/$U$14</f>
        <v>4.6255827870514468</v>
      </c>
      <c r="V16" s="3329"/>
      <c r="W16" s="3329"/>
      <c r="X16" s="3329"/>
      <c r="Y16" s="3329"/>
      <c r="Z16" s="3329"/>
      <c r="AA16" s="3329"/>
      <c r="AB16" s="3329"/>
      <c r="AC16" s="3329"/>
      <c r="AD16" s="3329"/>
      <c r="AE16" s="3329"/>
      <c r="AF16" s="3329"/>
      <c r="AG16" s="3329"/>
      <c r="AH16" s="38"/>
    </row>
    <row r="17" spans="1:36" ht="15" thickBot="1">
      <c r="A17" s="3246" t="s">
        <v>1134</v>
      </c>
      <c r="B17" s="3247" t="s">
        <v>68</v>
      </c>
      <c r="C17" s="3248">
        <f>SUMIFS(BCRR_REHAB!L:L,BCRR_REHAB!D:D,A17)</f>
        <v>32.897199999999998</v>
      </c>
      <c r="D17" s="3627">
        <f>SUMIF(BCRR_REHAB!$F$9:$F$26,'Huella mano de obra'!A17,BCRR_REHAB!$O$9:$O$26)</f>
        <v>0</v>
      </c>
      <c r="E17" s="2653" t="e">
        <f>SUMIF(#REF!,'Huella mano de obra'!B17,#REF!)</f>
        <v>#REF!</v>
      </c>
      <c r="F17" s="2653" t="e">
        <f>SUMIF(#REF!,'Huella mano de obra'!A17,#REF!)</f>
        <v>#REF!</v>
      </c>
      <c r="G17" s="2653" t="e">
        <f>SUMIF(#REF!,'Huella mano de obra'!A17,#REF!)</f>
        <v>#REF!</v>
      </c>
      <c r="H17" s="2653" t="e">
        <f>SUMIF(#REF!,'Huella mano de obra'!A17,#REF!)</f>
        <v>#REF!</v>
      </c>
      <c r="I17" s="2653" t="e">
        <f>SUMIF(#REF!,'Huella mano de obra'!A17,#REF!)</f>
        <v>#REF!</v>
      </c>
      <c r="J17" s="2653" t="e">
        <f>SUMIF(#REF!,'Huella mano de obra'!B17,#REF!)</f>
        <v>#REF!</v>
      </c>
      <c r="K17" s="2653" t="e">
        <f>SUMIF(#REF!,'Huella mano de obra'!B17,#REF!)</f>
        <v>#REF!</v>
      </c>
      <c r="L17" s="2653" t="e">
        <f>SUMIF(#REF!,'Huella mano de obra'!B17,#REF!)</f>
        <v>#REF!</v>
      </c>
      <c r="M17" s="2653" t="e">
        <f>SUMIF(#REF!,'Huella mano de obra'!B17,#REF!)</f>
        <v>#REF!</v>
      </c>
      <c r="N17" s="2653" t="e">
        <f>SUMIF(#REF!,'Huella mano de obra'!B17,#REF!)</f>
        <v>#REF!</v>
      </c>
      <c r="O17" s="2653" t="e">
        <f>SUMIF(#REF!,'Huella mano de obra'!B17,#REF!)</f>
        <v>#REF!</v>
      </c>
      <c r="P17" s="2653" t="e">
        <f>SUMIF(#REF!,'Huella mano de obra'!B17,#REF!)</f>
        <v>#REF!</v>
      </c>
      <c r="Q17" s="3627">
        <f>SUMIF(BCRR_REHAB!$F$4193:$F$4285,'Huella mano de obra'!C17,BCRR_REHAB!$O$4193:$O$4285)</f>
        <v>0</v>
      </c>
      <c r="R17" s="637"/>
      <c r="S17" s="653"/>
      <c r="T17" s="648" t="s">
        <v>342</v>
      </c>
      <c r="U17" s="660">
        <f>U7*$U$9/$U$14</f>
        <v>2.8822539399288161</v>
      </c>
      <c r="V17" s="3329"/>
      <c r="W17" s="3329"/>
      <c r="X17" s="3329"/>
      <c r="Y17" s="3329"/>
      <c r="Z17" s="3329"/>
      <c r="AA17" s="3329"/>
      <c r="AB17" s="3329"/>
      <c r="AC17" s="3329"/>
      <c r="AD17" s="3329"/>
      <c r="AE17" s="3329"/>
      <c r="AF17" s="3329"/>
      <c r="AG17" s="3329"/>
    </row>
    <row r="18" spans="1:36" ht="15" thickBot="1">
      <c r="A18" s="3246" t="s">
        <v>1153</v>
      </c>
      <c r="B18" s="3247" t="s">
        <v>107</v>
      </c>
      <c r="C18" s="3248">
        <f>SUMIFS(BCRR_REHAB!L:L,BCRR_REHAB!D:D,A18)</f>
        <v>189.82656989999998</v>
      </c>
      <c r="D18" s="3627">
        <f>SUMIF(BCRR_REHAB!$F$9:$F$26,'Huella mano de obra'!A18,BCRR_REHAB!$O$9:$O$26)</f>
        <v>0</v>
      </c>
      <c r="E18" s="2653" t="e">
        <f>SUMIF(#REF!,'Huella mano de obra'!B18,#REF!)</f>
        <v>#REF!</v>
      </c>
      <c r="F18" s="2653" t="e">
        <f>SUMIF(#REF!,'Huella mano de obra'!A18,#REF!)</f>
        <v>#REF!</v>
      </c>
      <c r="G18" s="2653" t="e">
        <f>SUMIF(#REF!,'Huella mano de obra'!A18,#REF!)</f>
        <v>#REF!</v>
      </c>
      <c r="H18" s="2653" t="e">
        <f>SUMIF(#REF!,'Huella mano de obra'!A18,#REF!)</f>
        <v>#REF!</v>
      </c>
      <c r="I18" s="2653" t="e">
        <f>SUMIF(#REF!,'Huella mano de obra'!A18,#REF!)</f>
        <v>#REF!</v>
      </c>
      <c r="J18" s="2653" t="e">
        <f>SUMIF(#REF!,'Huella mano de obra'!B18,#REF!)</f>
        <v>#REF!</v>
      </c>
      <c r="K18" s="2653" t="e">
        <f>SUMIF(#REF!,'Huella mano de obra'!B18,#REF!)</f>
        <v>#REF!</v>
      </c>
      <c r="L18" s="2653" t="e">
        <f>SUMIF(#REF!,'Huella mano de obra'!B18,#REF!)</f>
        <v>#REF!</v>
      </c>
      <c r="M18" s="2653" t="e">
        <f>SUMIF(#REF!,'Huella mano de obra'!B18,#REF!)</f>
        <v>#REF!</v>
      </c>
      <c r="N18" s="2653" t="e">
        <f>SUMIF(#REF!,'Huella mano de obra'!B18,#REF!)</f>
        <v>#REF!</v>
      </c>
      <c r="O18" s="2653" t="e">
        <f>SUMIF(#REF!,'Huella mano de obra'!B18,#REF!)</f>
        <v>#REF!</v>
      </c>
      <c r="P18" s="2653" t="e">
        <f>SUMIF(#REF!,'Huella mano de obra'!B18,#REF!)</f>
        <v>#REF!</v>
      </c>
      <c r="Q18" s="3627">
        <f>SUMIF(BCRR_REHAB!$F$4193:$F$4285,'Huella mano de obra'!C18,BCRR_REHAB!$O$4193:$O$4285)</f>
        <v>0</v>
      </c>
      <c r="R18" s="637"/>
      <c r="S18" s="653"/>
      <c r="T18" s="648" t="s">
        <v>343</v>
      </c>
      <c r="U18" s="660">
        <f>U5*$U$9/$U$14</f>
        <v>2.1961242357314532</v>
      </c>
      <c r="V18" s="3329"/>
      <c r="W18" s="3329"/>
      <c r="X18" s="3329"/>
      <c r="Y18" s="3329"/>
      <c r="Z18" s="3329"/>
      <c r="AA18" s="3329"/>
      <c r="AB18" s="3329"/>
      <c r="AC18" s="3329"/>
      <c r="AD18" s="3329"/>
      <c r="AE18" s="3329"/>
      <c r="AF18" s="3329"/>
      <c r="AG18" s="3329"/>
    </row>
    <row r="19" spans="1:36" ht="15" thickBot="1">
      <c r="A19" s="3246" t="s">
        <v>1592</v>
      </c>
      <c r="B19" s="3247" t="s">
        <v>73</v>
      </c>
      <c r="C19" s="3248">
        <f>SUMIFS(BCRR_REHAB!L:L,BCRR_REHAB!D:D,A19)</f>
        <v>2664.2325599999995</v>
      </c>
      <c r="D19" s="3627">
        <f>SUMIF(BCRR_REHAB!$F$9:$F$26,'Huella mano de obra'!A19,BCRR_REHAB!$O$9:$O$26)</f>
        <v>0</v>
      </c>
      <c r="E19" s="2653" t="e">
        <f>SUMIF(#REF!,'Huella mano de obra'!B19,#REF!)</f>
        <v>#REF!</v>
      </c>
      <c r="F19" s="2653" t="e">
        <f>SUMIF(#REF!,'Huella mano de obra'!A19,#REF!)</f>
        <v>#REF!</v>
      </c>
      <c r="G19" s="2653" t="e">
        <f>SUMIF(#REF!,'Huella mano de obra'!A19,#REF!)</f>
        <v>#REF!</v>
      </c>
      <c r="H19" s="2653" t="e">
        <f>SUMIF(#REF!,'Huella mano de obra'!A19,#REF!)</f>
        <v>#REF!</v>
      </c>
      <c r="I19" s="2653" t="e">
        <f>SUMIF(#REF!,'Huella mano de obra'!A19,#REF!)</f>
        <v>#REF!</v>
      </c>
      <c r="J19" s="2653" t="e">
        <f>SUMIF(#REF!,'Huella mano de obra'!B19,#REF!)</f>
        <v>#REF!</v>
      </c>
      <c r="K19" s="2653" t="e">
        <f>SUMIF(#REF!,'Huella mano de obra'!B19,#REF!)</f>
        <v>#REF!</v>
      </c>
      <c r="L19" s="2653" t="e">
        <f>SUMIF(#REF!,'Huella mano de obra'!B19,#REF!)</f>
        <v>#REF!</v>
      </c>
      <c r="M19" s="2653" t="e">
        <f>SUMIF(#REF!,'Huella mano de obra'!B19,#REF!)</f>
        <v>#REF!</v>
      </c>
      <c r="N19" s="2653" t="e">
        <f>SUMIF(#REF!,'Huella mano de obra'!B19,#REF!)</f>
        <v>#REF!</v>
      </c>
      <c r="O19" s="2653" t="e">
        <f>SUMIF(#REF!,'Huella mano de obra'!B19,#REF!)</f>
        <v>#REF!</v>
      </c>
      <c r="P19" s="2653" t="e">
        <f>SUMIF(#REF!,'Huella mano de obra'!B19,#REF!)</f>
        <v>#REF!</v>
      </c>
      <c r="Q19" s="3627">
        <f>SUMIF(BCRR_REHAB!$F$4193:$F$4285,'Huella mano de obra'!C19,BCRR_REHAB!$O$4193:$O$4285)</f>
        <v>0</v>
      </c>
      <c r="R19" s="637"/>
      <c r="S19" s="653"/>
      <c r="T19" s="648" t="s">
        <v>344</v>
      </c>
      <c r="U19" s="660">
        <f>U6*$U$9/$U$14</f>
        <v>9.0633698617488534</v>
      </c>
      <c r="V19" s="3329"/>
      <c r="W19" s="3329"/>
      <c r="X19" s="3329"/>
      <c r="Y19" s="3329"/>
      <c r="Z19" s="3329"/>
      <c r="AA19" s="3329"/>
      <c r="AB19" s="3329"/>
      <c r="AC19" s="3329"/>
      <c r="AD19" s="3329"/>
      <c r="AE19" s="3329"/>
      <c r="AF19" s="3329"/>
      <c r="AG19" s="3329"/>
      <c r="AH19" s="663"/>
    </row>
    <row r="20" spans="1:36" ht="15" thickBot="1">
      <c r="A20" s="3246" t="s">
        <v>1173</v>
      </c>
      <c r="B20" s="3247" t="s">
        <v>120</v>
      </c>
      <c r="C20" s="3248">
        <f>SUMIFS(BCRR_REHAB!L:L,BCRR_REHAB!D:D,A20)</f>
        <v>0</v>
      </c>
      <c r="D20" s="3627">
        <f>SUMIF(BCRR_REHAB!$F$9:$F$26,'Huella mano de obra'!A20,BCRR_REHAB!$O$9:$O$26)</f>
        <v>0</v>
      </c>
      <c r="E20" s="2653" t="e">
        <f>SUMIF(#REF!,'Huella mano de obra'!B20,#REF!)</f>
        <v>#REF!</v>
      </c>
      <c r="F20" s="2653" t="e">
        <f>SUMIF(#REF!,'Huella mano de obra'!A20,#REF!)</f>
        <v>#REF!</v>
      </c>
      <c r="G20" s="2653" t="e">
        <f>SUMIF(#REF!,'Huella mano de obra'!A20,#REF!)</f>
        <v>#REF!</v>
      </c>
      <c r="H20" s="2653" t="e">
        <f>SUMIF(#REF!,'Huella mano de obra'!A20,#REF!)</f>
        <v>#REF!</v>
      </c>
      <c r="I20" s="2653" t="e">
        <f>SUMIF(#REF!,'Huella mano de obra'!A20,#REF!)</f>
        <v>#REF!</v>
      </c>
      <c r="J20" s="2653" t="e">
        <f>SUMIF(#REF!,'Huella mano de obra'!B20,#REF!)</f>
        <v>#REF!</v>
      </c>
      <c r="K20" s="2653" t="e">
        <f>SUMIF(#REF!,'Huella mano de obra'!B20,#REF!)</f>
        <v>#REF!</v>
      </c>
      <c r="L20" s="2653" t="e">
        <f>SUMIF(#REF!,'Huella mano de obra'!B20,#REF!)</f>
        <v>#REF!</v>
      </c>
      <c r="M20" s="2653" t="e">
        <f>SUMIF(#REF!,'Huella mano de obra'!B20,#REF!)</f>
        <v>#REF!</v>
      </c>
      <c r="N20" s="2653" t="e">
        <f>SUMIF(#REF!,'Huella mano de obra'!B20,#REF!)</f>
        <v>#REF!</v>
      </c>
      <c r="O20" s="2653" t="e">
        <f>SUMIF(#REF!,'Huella mano de obra'!B20,#REF!)</f>
        <v>#REF!</v>
      </c>
      <c r="P20" s="2653" t="e">
        <f>SUMIF(#REF!,'Huella mano de obra'!B20,#REF!)</f>
        <v>#REF!</v>
      </c>
      <c r="Q20" s="3627">
        <f>SUMIF(BCRR_REHAB!$F$4193:$F$4285,'Huella mano de obra'!C20,BCRR_REHAB!$O$4193:$O$4285)</f>
        <v>0</v>
      </c>
      <c r="R20" s="637"/>
      <c r="S20" s="653"/>
      <c r="T20" s="639" t="s">
        <v>934</v>
      </c>
      <c r="U20" s="656">
        <f>SUM(U16:U19)</f>
        <v>18.767330824460569</v>
      </c>
      <c r="V20" s="3328"/>
      <c r="W20" s="3328"/>
      <c r="X20" s="3328"/>
      <c r="Y20" s="3328"/>
      <c r="Z20" s="3328"/>
      <c r="AA20" s="3328"/>
      <c r="AB20" s="3328"/>
      <c r="AC20" s="3328"/>
      <c r="AD20" s="3328"/>
      <c r="AE20" s="3328"/>
      <c r="AF20" s="3328"/>
      <c r="AG20" s="3328"/>
    </row>
    <row r="21" spans="1:36">
      <c r="A21" s="3246" t="s">
        <v>1111</v>
      </c>
      <c r="B21" s="3247" t="s">
        <v>43</v>
      </c>
      <c r="C21" s="3248">
        <f>SUMIFS(BCRR_REHAB!L:L,BCRR_REHAB!D:D,A21)</f>
        <v>0.96</v>
      </c>
      <c r="D21" s="3627">
        <f>SUMIF(BCRR_REHAB!$F$9:$F$26,'Huella mano de obra'!A21,BCRR_REHAB!$O$9:$O$26)</f>
        <v>0</v>
      </c>
      <c r="E21" s="2653" t="e">
        <f>SUMIF(#REF!,'Huella mano de obra'!B21,#REF!)</f>
        <v>#REF!</v>
      </c>
      <c r="F21" s="2653" t="e">
        <f>SUMIF(#REF!,'Huella mano de obra'!A21,#REF!)</f>
        <v>#REF!</v>
      </c>
      <c r="G21" s="2653" t="e">
        <f>SUMIF(#REF!,'Huella mano de obra'!A21,#REF!)</f>
        <v>#REF!</v>
      </c>
      <c r="H21" s="2653" t="e">
        <f>SUMIF(#REF!,'Huella mano de obra'!A21,#REF!)</f>
        <v>#REF!</v>
      </c>
      <c r="I21" s="2653" t="e">
        <f>SUMIF(#REF!,'Huella mano de obra'!A21,#REF!)</f>
        <v>#REF!</v>
      </c>
      <c r="J21" s="2653" t="e">
        <f>SUMIF(#REF!,'Huella mano de obra'!B21,#REF!)</f>
        <v>#REF!</v>
      </c>
      <c r="K21" s="2653" t="e">
        <f>SUMIF(#REF!,'Huella mano de obra'!B21,#REF!)</f>
        <v>#REF!</v>
      </c>
      <c r="L21" s="2653" t="e">
        <f>SUMIF(#REF!,'Huella mano de obra'!B21,#REF!)</f>
        <v>#REF!</v>
      </c>
      <c r="M21" s="2653" t="e">
        <f>SUMIF(#REF!,'Huella mano de obra'!B21,#REF!)</f>
        <v>#REF!</v>
      </c>
      <c r="N21" s="2653" t="e">
        <f>SUMIF(#REF!,'Huella mano de obra'!B21,#REF!)</f>
        <v>#REF!</v>
      </c>
      <c r="O21" s="2653" t="e">
        <f>SUMIF(#REF!,'Huella mano de obra'!B21,#REF!)</f>
        <v>#REF!</v>
      </c>
      <c r="P21" s="2653" t="e">
        <f>SUMIF(#REF!,'Huella mano de obra'!B21,#REF!)</f>
        <v>#REF!</v>
      </c>
      <c r="Q21" s="3627">
        <f>SUMIF(BCRR_REHAB!$F$4193:$F$4285,'Huella mano de obra'!C21,BCRR_REHAB!$O$4193:$O$4285)</f>
        <v>0</v>
      </c>
      <c r="R21" s="637"/>
      <c r="S21" s="653"/>
      <c r="T21" s="652"/>
      <c r="U21" s="652"/>
      <c r="V21" s="652"/>
      <c r="W21" s="652"/>
      <c r="X21" s="652"/>
      <c r="Y21" s="652"/>
      <c r="Z21" s="652"/>
      <c r="AA21" s="652"/>
      <c r="AB21" s="652"/>
      <c r="AC21" s="652"/>
      <c r="AD21" s="652"/>
      <c r="AE21" s="652"/>
      <c r="AF21" s="652"/>
      <c r="AG21" s="652"/>
      <c r="AH21" s="22"/>
      <c r="AI21" s="22"/>
      <c r="AJ21" s="22"/>
    </row>
    <row r="22" spans="1:36" ht="18">
      <c r="A22" s="3246" t="s">
        <v>1205</v>
      </c>
      <c r="B22" s="3247" t="s">
        <v>151</v>
      </c>
      <c r="C22" s="3248">
        <f>SUMIFS(BCRR_REHAB!L:L,BCRR_REHAB!D:D,A22)</f>
        <v>0</v>
      </c>
      <c r="D22" s="3627">
        <f>SUMIF(BCRR_REHAB!$F$9:$F$26,'Huella mano de obra'!A22,BCRR_REHAB!$O$9:$O$26)</f>
        <v>0</v>
      </c>
      <c r="E22" s="2653" t="e">
        <f>SUMIF(#REF!,'Huella mano de obra'!B22,#REF!)</f>
        <v>#REF!</v>
      </c>
      <c r="F22" s="2653" t="e">
        <f>SUMIF(#REF!,'Huella mano de obra'!A22,#REF!)</f>
        <v>#REF!</v>
      </c>
      <c r="G22" s="2653" t="e">
        <f>SUMIF(#REF!,'Huella mano de obra'!A22,#REF!)</f>
        <v>#REF!</v>
      </c>
      <c r="H22" s="2653" t="e">
        <f>SUMIF(#REF!,'Huella mano de obra'!A22,#REF!)</f>
        <v>#REF!</v>
      </c>
      <c r="I22" s="2653" t="e">
        <f>SUMIF(#REF!,'Huella mano de obra'!A22,#REF!)</f>
        <v>#REF!</v>
      </c>
      <c r="J22" s="2653" t="e">
        <f>SUMIF(#REF!,'Huella mano de obra'!B22,#REF!)</f>
        <v>#REF!</v>
      </c>
      <c r="K22" s="2653" t="e">
        <f>SUMIF(#REF!,'Huella mano de obra'!B22,#REF!)</f>
        <v>#REF!</v>
      </c>
      <c r="L22" s="2653" t="e">
        <f>SUMIF(#REF!,'Huella mano de obra'!B22,#REF!)</f>
        <v>#REF!</v>
      </c>
      <c r="M22" s="2653" t="e">
        <f>SUMIF(#REF!,'Huella mano de obra'!B22,#REF!)</f>
        <v>#REF!</v>
      </c>
      <c r="N22" s="2653" t="e">
        <f>SUMIF(#REF!,'Huella mano de obra'!B22,#REF!)</f>
        <v>#REF!</v>
      </c>
      <c r="O22" s="2653" t="e">
        <f>SUMIF(#REF!,'Huella mano de obra'!B22,#REF!)</f>
        <v>#REF!</v>
      </c>
      <c r="P22" s="2653" t="e">
        <f>SUMIF(#REF!,'Huella mano de obra'!B22,#REF!)</f>
        <v>#REF!</v>
      </c>
      <c r="Q22" s="3627">
        <f>SUMIF(BCRR_REHAB!$F$4193:$F$4285,'Huella mano de obra'!C22,BCRR_REHAB!$O$4193:$O$4285)</f>
        <v>0</v>
      </c>
      <c r="R22" s="637"/>
      <c r="S22" s="653"/>
      <c r="T22" s="4631" t="s">
        <v>3345</v>
      </c>
      <c r="U22" s="4631"/>
      <c r="V22" s="652"/>
      <c r="W22" s="652"/>
      <c r="X22" s="652"/>
      <c r="Y22" s="652"/>
      <c r="Z22" s="652"/>
      <c r="AA22" s="652"/>
      <c r="AB22" s="652"/>
      <c r="AC22" s="652"/>
      <c r="AD22" s="652"/>
      <c r="AE22" s="652"/>
      <c r="AF22" s="652"/>
      <c r="AG22" s="652"/>
      <c r="AH22" s="22"/>
      <c r="AI22" s="22"/>
      <c r="AJ22" s="22"/>
    </row>
    <row r="23" spans="1:36" ht="15" thickBot="1">
      <c r="A23" s="3246" t="s">
        <v>1593</v>
      </c>
      <c r="B23" s="3247" t="s">
        <v>77</v>
      </c>
      <c r="C23" s="3248">
        <f>SUMIFS(BCRR_REHAB!L:L,BCRR_REHAB!D:D,A23)</f>
        <v>158.18880824999999</v>
      </c>
      <c r="D23" s="3627">
        <f>SUMIF(BCRR_REHAB!$F$9:$F$26,'Huella mano de obra'!A23,BCRR_REHAB!$O$9:$O$26)</f>
        <v>0</v>
      </c>
      <c r="E23" s="2653" t="e">
        <f>SUMIF(#REF!,'Huella mano de obra'!B23,#REF!)</f>
        <v>#REF!</v>
      </c>
      <c r="F23" s="2653" t="e">
        <f>SUMIF(#REF!,'Huella mano de obra'!A23,#REF!)</f>
        <v>#REF!</v>
      </c>
      <c r="G23" s="2653" t="e">
        <f>SUMIF(#REF!,'Huella mano de obra'!A23,#REF!)</f>
        <v>#REF!</v>
      </c>
      <c r="H23" s="2653" t="e">
        <f>SUMIF(#REF!,'Huella mano de obra'!A23,#REF!)</f>
        <v>#REF!</v>
      </c>
      <c r="I23" s="2653" t="e">
        <f>SUMIF(#REF!,'Huella mano de obra'!A23,#REF!)</f>
        <v>#REF!</v>
      </c>
      <c r="J23" s="2653" t="e">
        <f>SUMIF(#REF!,'Huella mano de obra'!B23,#REF!)</f>
        <v>#REF!</v>
      </c>
      <c r="K23" s="2653" t="e">
        <f>SUMIF(#REF!,'Huella mano de obra'!B23,#REF!)</f>
        <v>#REF!</v>
      </c>
      <c r="L23" s="2653" t="e">
        <f>SUMIF(#REF!,'Huella mano de obra'!B23,#REF!)</f>
        <v>#REF!</v>
      </c>
      <c r="M23" s="2653" t="e">
        <f>SUMIF(#REF!,'Huella mano de obra'!B23,#REF!)</f>
        <v>#REF!</v>
      </c>
      <c r="N23" s="2653" t="e">
        <f>SUMIF(#REF!,'Huella mano de obra'!B23,#REF!)</f>
        <v>#REF!</v>
      </c>
      <c r="O23" s="2653" t="e">
        <f>SUMIF(#REF!,'Huella mano de obra'!B23,#REF!)</f>
        <v>#REF!</v>
      </c>
      <c r="P23" s="2653" t="e">
        <f>SUMIF(#REF!,'Huella mano de obra'!B23,#REF!)</f>
        <v>#REF!</v>
      </c>
      <c r="Q23" s="3627">
        <f>SUMIF(BCRR_REHAB!$F$4193:$F$4285,'Huella mano de obra'!C23,BCRR_REHAB!$O$4193:$O$4285)</f>
        <v>0</v>
      </c>
      <c r="R23" s="637"/>
      <c r="S23" s="653"/>
      <c r="U23" s="663"/>
      <c r="V23" s="663"/>
    </row>
    <row r="24" spans="1:36" ht="15" thickBot="1">
      <c r="A24" s="3246" t="s">
        <v>1099</v>
      </c>
      <c r="B24" s="3247" t="s">
        <v>36</v>
      </c>
      <c r="C24" s="3248">
        <f>SUMIFS(BCRR_REHAB!L:L,BCRR_REHAB!D:D,A24)</f>
        <v>0</v>
      </c>
      <c r="D24" s="3627">
        <f>SUMIF(BCRR_REHAB!$F$9:$F$26,'Huella mano de obra'!A24,BCRR_REHAB!$O$9:$O$26)</f>
        <v>0</v>
      </c>
      <c r="E24" s="2653" t="e">
        <f>SUMIF(#REF!,'Huella mano de obra'!B24,#REF!)</f>
        <v>#REF!</v>
      </c>
      <c r="F24" s="2653" t="e">
        <f>SUMIF(#REF!,'Huella mano de obra'!A24,#REF!)</f>
        <v>#REF!</v>
      </c>
      <c r="G24" s="2653" t="e">
        <f>SUMIF(#REF!,'Huella mano de obra'!A24,#REF!)</f>
        <v>#REF!</v>
      </c>
      <c r="H24" s="2653" t="e">
        <f>SUMIF(#REF!,'Huella mano de obra'!A24,#REF!)</f>
        <v>#REF!</v>
      </c>
      <c r="I24" s="2653" t="e">
        <f>SUMIF(#REF!,'Huella mano de obra'!A24,#REF!)</f>
        <v>#REF!</v>
      </c>
      <c r="J24" s="2653" t="e">
        <f>SUMIF(#REF!,'Huella mano de obra'!B24,#REF!)</f>
        <v>#REF!</v>
      </c>
      <c r="K24" s="2653" t="e">
        <f>SUMIF(#REF!,'Huella mano de obra'!B24,#REF!)</f>
        <v>#REF!</v>
      </c>
      <c r="L24" s="2653" t="e">
        <f>SUMIF(#REF!,'Huella mano de obra'!B24,#REF!)</f>
        <v>#REF!</v>
      </c>
      <c r="M24" s="2653" t="e">
        <f>SUMIF(#REF!,'Huella mano de obra'!B24,#REF!)</f>
        <v>#REF!</v>
      </c>
      <c r="N24" s="2653" t="e">
        <f>SUMIF(#REF!,'Huella mano de obra'!B24,#REF!)</f>
        <v>#REF!</v>
      </c>
      <c r="O24" s="2653" t="e">
        <f>SUMIF(#REF!,'Huella mano de obra'!B24,#REF!)</f>
        <v>#REF!</v>
      </c>
      <c r="P24" s="2653" t="e">
        <f>SUMIF(#REF!,'Huella mano de obra'!B24,#REF!)</f>
        <v>#REF!</v>
      </c>
      <c r="Q24" s="3627">
        <f>SUMIF(BCRR_REHAB!$F$4193:$F$4285,'Huella mano de obra'!C24,BCRR_REHAB!$O$4193:$O$4285)</f>
        <v>0</v>
      </c>
      <c r="R24" s="637"/>
      <c r="S24" s="653"/>
      <c r="T24" s="640" t="s">
        <v>495</v>
      </c>
      <c r="U24" s="656" t="s">
        <v>327</v>
      </c>
      <c r="V24" s="3327" t="s">
        <v>899</v>
      </c>
      <c r="W24" s="3328" t="s">
        <v>875</v>
      </c>
      <c r="X24" s="3328" t="s">
        <v>900</v>
      </c>
      <c r="Y24" s="3328" t="s">
        <v>901</v>
      </c>
      <c r="Z24" s="3328" t="s">
        <v>878</v>
      </c>
      <c r="AA24" s="3328" t="s">
        <v>879</v>
      </c>
      <c r="AB24" s="3328" t="s">
        <v>880</v>
      </c>
      <c r="AC24" s="3328" t="s">
        <v>881</v>
      </c>
      <c r="AD24" s="3328" t="s">
        <v>882</v>
      </c>
      <c r="AE24" s="3328" t="s">
        <v>883</v>
      </c>
      <c r="AF24" s="3328" t="s">
        <v>884</v>
      </c>
      <c r="AG24" s="3328" t="s">
        <v>885</v>
      </c>
    </row>
    <row r="25" spans="1:36">
      <c r="A25" s="3246" t="s">
        <v>2691</v>
      </c>
      <c r="B25" s="3247" t="s">
        <v>2852</v>
      </c>
      <c r="C25" s="3248">
        <f>SUMIFS(BCRR_REHAB!L:L,BCRR_REHAB!D:D,A25)</f>
        <v>632.75523299999998</v>
      </c>
      <c r="D25" s="3627">
        <f>SUMIF(BCRR_REHAB!$F$9:$F$26,'Huella mano de obra'!A25,BCRR_REHAB!$O$9:$O$26)</f>
        <v>0</v>
      </c>
      <c r="E25" s="2653" t="e">
        <f>SUMIF(#REF!,'Huella mano de obra'!B25,#REF!)</f>
        <v>#REF!</v>
      </c>
      <c r="F25" s="2653" t="e">
        <f>SUMIF(#REF!,'Huella mano de obra'!A25,#REF!)</f>
        <v>#REF!</v>
      </c>
      <c r="G25" s="2653" t="e">
        <f>SUMIF(#REF!,'Huella mano de obra'!A25,#REF!)</f>
        <v>#REF!</v>
      </c>
      <c r="H25" s="2653" t="e">
        <f>SUMIF(#REF!,'Huella mano de obra'!A25,#REF!)</f>
        <v>#REF!</v>
      </c>
      <c r="I25" s="2653" t="e">
        <f>SUMIF(#REF!,'Huella mano de obra'!A25,#REF!)</f>
        <v>#REF!</v>
      </c>
      <c r="J25" s="2653" t="e">
        <f>SUMIF(#REF!,'Huella mano de obra'!B25,#REF!)</f>
        <v>#REF!</v>
      </c>
      <c r="K25" s="2653" t="e">
        <f>SUMIF(#REF!,'Huella mano de obra'!B25,#REF!)</f>
        <v>#REF!</v>
      </c>
      <c r="L25" s="2653" t="e">
        <f>SUMIF(#REF!,'Huella mano de obra'!B25,#REF!)</f>
        <v>#REF!</v>
      </c>
      <c r="M25" s="2653" t="e">
        <f>SUMIF(#REF!,'Huella mano de obra'!B25,#REF!)</f>
        <v>#REF!</v>
      </c>
      <c r="N25" s="2653" t="e">
        <f>SUMIF(#REF!,'Huella mano de obra'!B25,#REF!)</f>
        <v>#REF!</v>
      </c>
      <c r="O25" s="2653" t="e">
        <f>SUMIF(#REF!,'Huella mano de obra'!B25,#REF!)</f>
        <v>#REF!</v>
      </c>
      <c r="P25" s="2653" t="e">
        <f>SUMIF(#REF!,'Huella mano de obra'!B25,#REF!)</f>
        <v>#REF!</v>
      </c>
      <c r="Q25" s="3627">
        <f>SUMIF(BCRR_REHAB!$F$4193:$F$4285,'Huella mano de obra'!C25,BCRR_REHAB!$O$4193:$O$4285)</f>
        <v>0</v>
      </c>
      <c r="R25" s="637"/>
      <c r="S25" s="653"/>
      <c r="T25" s="168" t="s">
        <v>329</v>
      </c>
      <c r="U25" s="288">
        <f>C29+C31</f>
        <v>18591.527921536112</v>
      </c>
      <c r="V25" s="288" t="e">
        <f t="shared" ref="V25:AG25" si="1">E29</f>
        <v>#REF!</v>
      </c>
      <c r="W25" s="288" t="e">
        <f t="shared" si="1"/>
        <v>#REF!</v>
      </c>
      <c r="X25" s="288" t="e">
        <f t="shared" si="1"/>
        <v>#REF!</v>
      </c>
      <c r="Y25" s="288" t="e">
        <f t="shared" si="1"/>
        <v>#REF!</v>
      </c>
      <c r="Z25" s="288" t="e">
        <f t="shared" si="1"/>
        <v>#REF!</v>
      </c>
      <c r="AA25" s="288" t="e">
        <f t="shared" si="1"/>
        <v>#REF!</v>
      </c>
      <c r="AB25" s="288" t="e">
        <f t="shared" si="1"/>
        <v>#REF!</v>
      </c>
      <c r="AC25" s="288" t="e">
        <f t="shared" si="1"/>
        <v>#REF!</v>
      </c>
      <c r="AD25" s="288" t="e">
        <f t="shared" si="1"/>
        <v>#REF!</v>
      </c>
      <c r="AE25" s="288" t="e">
        <f t="shared" si="1"/>
        <v>#REF!</v>
      </c>
      <c r="AF25" s="288" t="e">
        <f t="shared" si="1"/>
        <v>#REF!</v>
      </c>
      <c r="AG25" s="288" t="e">
        <f t="shared" si="1"/>
        <v>#REF!</v>
      </c>
      <c r="AH25" s="663"/>
    </row>
    <row r="26" spans="1:36">
      <c r="A26" s="3246" t="s">
        <v>1077</v>
      </c>
      <c r="B26" s="3247" t="s">
        <v>37</v>
      </c>
      <c r="C26" s="3248">
        <f>SUMIFS(BCRR_REHAB!L:L,BCRR_REHAB!D:D,A26)</f>
        <v>598.82047125000008</v>
      </c>
      <c r="D26" s="3627">
        <f>SUMIF(BCRR_REHAB!$F$9:$F$26,'Huella mano de obra'!A26,BCRR_REHAB!$O$9:$O$26)</f>
        <v>0</v>
      </c>
      <c r="E26" s="2653" t="e">
        <f>SUMIF(#REF!,'Huella mano de obra'!B26,#REF!)</f>
        <v>#REF!</v>
      </c>
      <c r="F26" s="2653" t="e">
        <f>SUMIF(#REF!,'Huella mano de obra'!A26,#REF!)</f>
        <v>#REF!</v>
      </c>
      <c r="G26" s="2653" t="e">
        <f>SUMIF(#REF!,'Huella mano de obra'!A26,#REF!)</f>
        <v>#REF!</v>
      </c>
      <c r="H26" s="2653" t="e">
        <f>SUMIF(#REF!,'Huella mano de obra'!A26,#REF!)</f>
        <v>#REF!</v>
      </c>
      <c r="I26" s="2653" t="e">
        <f>SUMIF(#REF!,'Huella mano de obra'!A26,#REF!)</f>
        <v>#REF!</v>
      </c>
      <c r="J26" s="2653" t="e">
        <f>SUMIF(#REF!,'Huella mano de obra'!B26,#REF!)</f>
        <v>#REF!</v>
      </c>
      <c r="K26" s="2653" t="e">
        <f>SUMIF(#REF!,'Huella mano de obra'!B26,#REF!)</f>
        <v>#REF!</v>
      </c>
      <c r="L26" s="2653" t="e">
        <f>SUMIF(#REF!,'Huella mano de obra'!B26,#REF!)</f>
        <v>#REF!</v>
      </c>
      <c r="M26" s="2653" t="e">
        <f>SUMIF(#REF!,'Huella mano de obra'!B26,#REF!)</f>
        <v>#REF!</v>
      </c>
      <c r="N26" s="2653" t="e">
        <f>SUMIF(#REF!,'Huella mano de obra'!B26,#REF!)</f>
        <v>#REF!</v>
      </c>
      <c r="O26" s="2653" t="e">
        <f>SUMIF(#REF!,'Huella mano de obra'!B26,#REF!)</f>
        <v>#REF!</v>
      </c>
      <c r="P26" s="2653" t="e">
        <f>SUMIF(#REF!,'Huella mano de obra'!B26,#REF!)</f>
        <v>#REF!</v>
      </c>
      <c r="Q26" s="3627">
        <f>SUMIF(BCRR_REHAB!$F$4193:$F$4285,'Huella mano de obra'!C26,BCRR_REHAB!$O$4193:$O$4285)</f>
        <v>0</v>
      </c>
      <c r="R26" s="637"/>
      <c r="S26" s="653"/>
      <c r="T26" s="390" t="s">
        <v>349</v>
      </c>
      <c r="U26" s="155">
        <f>'Datos auxiliares general'!$C$6/365</f>
        <v>1</v>
      </c>
      <c r="V26" s="155">
        <f>'Datos auxiliares general'!$C$6/365</f>
        <v>1</v>
      </c>
      <c r="W26" s="155">
        <f>'Datos auxiliares general'!$C$6/365</f>
        <v>1</v>
      </c>
      <c r="X26" s="155">
        <f>'Datos auxiliares general'!$C$6/365</f>
        <v>1</v>
      </c>
      <c r="Y26" s="155">
        <f>'Datos auxiliares general'!$C$6/365</f>
        <v>1</v>
      </c>
      <c r="Z26" s="155">
        <f>'Datos auxiliares general'!$C$6/365</f>
        <v>1</v>
      </c>
      <c r="AA26" s="155">
        <f>'Datos auxiliares general'!$C$6/365</f>
        <v>1</v>
      </c>
      <c r="AB26" s="155">
        <f>'Datos auxiliares general'!$C$6/365</f>
        <v>1</v>
      </c>
      <c r="AC26" s="155">
        <f>'Datos auxiliares general'!$C$6/365</f>
        <v>1</v>
      </c>
      <c r="AD26" s="155">
        <f>'Datos auxiliares general'!$C$6/365</f>
        <v>1</v>
      </c>
      <c r="AE26" s="155">
        <f>'Datos auxiliares general'!$C$6/365</f>
        <v>1</v>
      </c>
      <c r="AF26" s="155">
        <f>'Datos auxiliares general'!$C$6/365</f>
        <v>1</v>
      </c>
      <c r="AG26" s="155">
        <f>'Datos auxiliares general'!$C$6/365</f>
        <v>1</v>
      </c>
    </row>
    <row r="27" spans="1:36" ht="16">
      <c r="A27" s="3249" t="s">
        <v>1165</v>
      </c>
      <c r="B27" s="3250" t="s">
        <v>114</v>
      </c>
      <c r="C27" s="3248">
        <f>SUMIFS(BCRR_REHAB!L:L,BCRR_REHAB!D:D,A27)</f>
        <v>63.092761649999993</v>
      </c>
      <c r="D27" s="3627">
        <f>SUMIF(BCRR_REHAB!$F$9:$F$26,'Huella mano de obra'!A27,BCRR_REHAB!$O$9:$O$26)</f>
        <v>0</v>
      </c>
      <c r="E27" s="2653" t="e">
        <f>SUMIF(#REF!,'Huella mano de obra'!B27,#REF!)</f>
        <v>#REF!</v>
      </c>
      <c r="F27" s="2653" t="e">
        <f>SUMIF(#REF!,'Huella mano de obra'!A27,#REF!)</f>
        <v>#REF!</v>
      </c>
      <c r="G27" s="2653" t="e">
        <f>SUMIF(#REF!,'Huella mano de obra'!A27,#REF!)</f>
        <v>#REF!</v>
      </c>
      <c r="H27" s="2653" t="e">
        <f>SUMIF(#REF!,'Huella mano de obra'!A27,#REF!)</f>
        <v>#REF!</v>
      </c>
      <c r="I27" s="2653" t="e">
        <f>SUMIF(#REF!,'Huella mano de obra'!A27,#REF!)</f>
        <v>#REF!</v>
      </c>
      <c r="J27" s="2653" t="e">
        <f>SUMIF(#REF!,'Huella mano de obra'!B27,#REF!)</f>
        <v>#REF!</v>
      </c>
      <c r="K27" s="2653" t="e">
        <f>SUMIF(#REF!,'Huella mano de obra'!B27,#REF!)</f>
        <v>#REF!</v>
      </c>
      <c r="L27" s="2653" t="e">
        <f>SUMIF(#REF!,'Huella mano de obra'!B27,#REF!)</f>
        <v>#REF!</v>
      </c>
      <c r="M27" s="2653" t="e">
        <f>SUMIF(#REF!,'Huella mano de obra'!B27,#REF!)</f>
        <v>#REF!</v>
      </c>
      <c r="N27" s="2653" t="e">
        <f>SUMIF(#REF!,'Huella mano de obra'!B27,#REF!)</f>
        <v>#REF!</v>
      </c>
      <c r="O27" s="2653" t="e">
        <f>SUMIF(#REF!,'Huella mano de obra'!B27,#REF!)</f>
        <v>#REF!</v>
      </c>
      <c r="P27" s="2653" t="e">
        <f>SUMIF(#REF!,'Huella mano de obra'!B27,#REF!)</f>
        <v>#REF!</v>
      </c>
      <c r="Q27" s="3627">
        <f>SUMIF(BCRR_REHAB!$F$4193:$F$4285,'Huella mano de obra'!C27,BCRR_REHAB!$O$4193:$O$4285)</f>
        <v>0</v>
      </c>
      <c r="R27" s="637"/>
      <c r="S27" s="653"/>
      <c r="T27" s="391" t="s">
        <v>652</v>
      </c>
      <c r="U27" s="156">
        <f>'Datos auxiliares mano de obra'!$C$10</f>
        <v>1525</v>
      </c>
      <c r="V27" s="156">
        <f>'Datos auxiliares mano de obra'!$C$10</f>
        <v>1525</v>
      </c>
      <c r="W27" s="156">
        <f>'Datos auxiliares mano de obra'!$C$10</f>
        <v>1525</v>
      </c>
      <c r="X27" s="156">
        <f>'Datos auxiliares mano de obra'!$C$10</f>
        <v>1525</v>
      </c>
      <c r="Y27" s="156">
        <f>'Datos auxiliares mano de obra'!$C$10</f>
        <v>1525</v>
      </c>
      <c r="Z27" s="156">
        <f>'Datos auxiliares mano de obra'!$C$10</f>
        <v>1525</v>
      </c>
      <c r="AA27" s="156">
        <f>'Datos auxiliares mano de obra'!$C$10</f>
        <v>1525</v>
      </c>
      <c r="AB27" s="156">
        <f>'Datos auxiliares mano de obra'!$C$10</f>
        <v>1525</v>
      </c>
      <c r="AC27" s="156">
        <f>'Datos auxiliares mano de obra'!$C$10</f>
        <v>1525</v>
      </c>
      <c r="AD27" s="156">
        <f>'Datos auxiliares mano de obra'!$C$10</f>
        <v>1525</v>
      </c>
      <c r="AE27" s="156">
        <f>'Datos auxiliares mano de obra'!$C$10</f>
        <v>1525</v>
      </c>
      <c r="AF27" s="156">
        <f>'Datos auxiliares mano de obra'!$C$10</f>
        <v>1525</v>
      </c>
      <c r="AG27" s="156">
        <f>'Datos auxiliares mano de obra'!$C$10</f>
        <v>1525</v>
      </c>
    </row>
    <row r="28" spans="1:36">
      <c r="A28" s="3251" t="s">
        <v>1067</v>
      </c>
      <c r="B28" s="3252" t="s">
        <v>5</v>
      </c>
      <c r="C28" s="3248">
        <f>SUMIFS(BCRR_REHAB!L:L,BCRR_REHAB!D:D,A28)</f>
        <v>1285.9463608521596</v>
      </c>
      <c r="D28" s="3627">
        <f>SUMIF(BCRR_REHAB!$F$9:$F$26,'Huella mano de obra'!A28,BCRR_REHAB!$O$9:$O$26)</f>
        <v>0</v>
      </c>
      <c r="E28" s="2806" t="e">
        <f>SUMIF(#REF!,'Huella mano de obra'!B28,#REF!)</f>
        <v>#REF!</v>
      </c>
      <c r="F28" s="2806" t="e">
        <f>SUMIF(#REF!,'Huella mano de obra'!A28,#REF!)</f>
        <v>#REF!</v>
      </c>
      <c r="G28" s="2806" t="e">
        <f>SUMIF(#REF!,'Huella mano de obra'!A28,#REF!)</f>
        <v>#REF!</v>
      </c>
      <c r="H28" s="2806" t="e">
        <f>SUMIF(#REF!,'Huella mano de obra'!A28,#REF!)</f>
        <v>#REF!</v>
      </c>
      <c r="I28" s="2806" t="e">
        <f>SUMIF(#REF!,'Huella mano de obra'!A28,#REF!)</f>
        <v>#REF!</v>
      </c>
      <c r="J28" s="2806" t="e">
        <f>SUMIF(#REF!,'Huella mano de obra'!B28,#REF!)</f>
        <v>#REF!</v>
      </c>
      <c r="K28" s="2806" t="e">
        <f>SUMIF(#REF!,'Huella mano de obra'!B28,#REF!)</f>
        <v>#REF!</v>
      </c>
      <c r="L28" s="2806" t="e">
        <f>SUMIF(#REF!,'Huella mano de obra'!B28,#REF!)</f>
        <v>#REF!</v>
      </c>
      <c r="M28" s="2806" t="e">
        <f>SUMIF(#REF!,'Huella mano de obra'!B28,#REF!)</f>
        <v>#REF!</v>
      </c>
      <c r="N28" s="2806" t="e">
        <f>SUMIF(#REF!,'Huella mano de obra'!B28,#REF!)</f>
        <v>#REF!</v>
      </c>
      <c r="O28" s="2806" t="e">
        <f>SUMIF(#REF!,'Huella mano de obra'!B28,#REF!)</f>
        <v>#REF!</v>
      </c>
      <c r="P28" s="2806" t="e">
        <f>SUMIF(#REF!,'Huella mano de obra'!B28,#REF!)</f>
        <v>#REF!</v>
      </c>
      <c r="Q28" s="3627">
        <f>SUMIF(BCRR_REHAB!$F$4193:$F$4285,'Huella mano de obra'!C28,BCRR_REHAB!$O$4193:$O$4285)</f>
        <v>0</v>
      </c>
      <c r="R28" s="654" t="s">
        <v>898</v>
      </c>
      <c r="S28" s="653"/>
      <c r="T28" s="140" t="s">
        <v>496</v>
      </c>
      <c r="U28" s="157">
        <f>U27*U26</f>
        <v>1525</v>
      </c>
      <c r="V28" s="157">
        <f t="shared" ref="V28:AG28" si="2">V27*V26</f>
        <v>1525</v>
      </c>
      <c r="W28" s="157">
        <f t="shared" si="2"/>
        <v>1525</v>
      </c>
      <c r="X28" s="157">
        <f t="shared" si="2"/>
        <v>1525</v>
      </c>
      <c r="Y28" s="157">
        <f t="shared" si="2"/>
        <v>1525</v>
      </c>
      <c r="Z28" s="157">
        <f t="shared" si="2"/>
        <v>1525</v>
      </c>
      <c r="AA28" s="157">
        <f t="shared" si="2"/>
        <v>1525</v>
      </c>
      <c r="AB28" s="157">
        <f t="shared" si="2"/>
        <v>1525</v>
      </c>
      <c r="AC28" s="157">
        <f t="shared" si="2"/>
        <v>1525</v>
      </c>
      <c r="AD28" s="157">
        <f t="shared" si="2"/>
        <v>1525</v>
      </c>
      <c r="AE28" s="157">
        <f t="shared" si="2"/>
        <v>1525</v>
      </c>
      <c r="AF28" s="157">
        <f t="shared" si="2"/>
        <v>1525</v>
      </c>
      <c r="AG28" s="157">
        <f t="shared" si="2"/>
        <v>1525</v>
      </c>
    </row>
    <row r="29" spans="1:36">
      <c r="A29" s="4624" t="s">
        <v>327</v>
      </c>
      <c r="B29" s="4624"/>
      <c r="C29" s="3243">
        <f t="shared" ref="C29:P29" si="3">SUM(C6:C28)</f>
        <v>7126.4494895521584</v>
      </c>
      <c r="D29" s="3628">
        <f t="shared" ref="D29" si="4">SUM(D6:D28)</f>
        <v>0</v>
      </c>
      <c r="E29" s="3256" t="e">
        <f t="shared" si="3"/>
        <v>#REF!</v>
      </c>
      <c r="F29" s="3256" t="e">
        <f t="shared" si="3"/>
        <v>#REF!</v>
      </c>
      <c r="G29" s="3256" t="e">
        <f t="shared" si="3"/>
        <v>#REF!</v>
      </c>
      <c r="H29" s="3256" t="e">
        <f t="shared" si="3"/>
        <v>#REF!</v>
      </c>
      <c r="I29" s="3256" t="e">
        <f t="shared" si="3"/>
        <v>#REF!</v>
      </c>
      <c r="J29" s="3256" t="e">
        <f t="shared" si="3"/>
        <v>#REF!</v>
      </c>
      <c r="K29" s="3256" t="e">
        <f t="shared" si="3"/>
        <v>#REF!</v>
      </c>
      <c r="L29" s="3256" t="e">
        <f t="shared" si="3"/>
        <v>#REF!</v>
      </c>
      <c r="M29" s="3256" t="e">
        <f t="shared" si="3"/>
        <v>#REF!</v>
      </c>
      <c r="N29" s="3256" t="e">
        <f t="shared" si="3"/>
        <v>#REF!</v>
      </c>
      <c r="O29" s="3256" t="e">
        <f t="shared" si="3"/>
        <v>#REF!</v>
      </c>
      <c r="P29" s="3256" t="e">
        <f t="shared" si="3"/>
        <v>#REF!</v>
      </c>
      <c r="Q29" s="3628">
        <f t="shared" ref="Q29" si="5">SUM(Q6:Q28)</f>
        <v>0</v>
      </c>
      <c r="R29" s="3256" t="e">
        <f>SUM(E29:P29)</f>
        <v>#REF!</v>
      </c>
      <c r="S29" s="653"/>
      <c r="T29" s="140" t="s">
        <v>334</v>
      </c>
      <c r="U29" s="988">
        <f>ROUNDUP(U25/U28,0)</f>
        <v>13</v>
      </c>
      <c r="V29" s="152" t="e">
        <f>ROUNDUP(V25/V28,0)</f>
        <v>#REF!</v>
      </c>
      <c r="W29" s="152" t="e">
        <f t="shared" ref="W29:AG29" si="6">ROUNDUP(W25/W28,0)</f>
        <v>#REF!</v>
      </c>
      <c r="X29" s="152" t="e">
        <f t="shared" si="6"/>
        <v>#REF!</v>
      </c>
      <c r="Y29" s="152" t="e">
        <f t="shared" si="6"/>
        <v>#REF!</v>
      </c>
      <c r="Z29" s="152" t="e">
        <f t="shared" si="6"/>
        <v>#REF!</v>
      </c>
      <c r="AA29" s="152" t="e">
        <f t="shared" si="6"/>
        <v>#REF!</v>
      </c>
      <c r="AB29" s="152" t="e">
        <f t="shared" si="6"/>
        <v>#REF!</v>
      </c>
      <c r="AC29" s="152" t="e">
        <f t="shared" si="6"/>
        <v>#REF!</v>
      </c>
      <c r="AD29" s="152" t="e">
        <f t="shared" si="6"/>
        <v>#REF!</v>
      </c>
      <c r="AE29" s="152" t="e">
        <f t="shared" si="6"/>
        <v>#REF!</v>
      </c>
      <c r="AF29" s="152" t="e">
        <f t="shared" si="6"/>
        <v>#REF!</v>
      </c>
      <c r="AG29" s="152" t="e">
        <f t="shared" si="6"/>
        <v>#REF!</v>
      </c>
    </row>
    <row r="30" spans="1:36" ht="15.5">
      <c r="A30" s="3241"/>
      <c r="B30" s="3242" t="s">
        <v>3313</v>
      </c>
      <c r="C30" s="3244" t="s">
        <v>284</v>
      </c>
      <c r="D30" s="3616"/>
      <c r="R30" s="28" t="e">
        <f>R29-C29</f>
        <v>#REF!</v>
      </c>
      <c r="T30" s="391" t="s">
        <v>335</v>
      </c>
      <c r="U30" s="156">
        <f>'Datos auxiliares mano de obra'!$C$11</f>
        <v>4</v>
      </c>
      <c r="V30" s="156">
        <f>'Datos auxiliares mano de obra'!$C$11</f>
        <v>4</v>
      </c>
      <c r="W30" s="156">
        <f>'Datos auxiliares mano de obra'!$C$11</f>
        <v>4</v>
      </c>
      <c r="X30" s="156">
        <f>'Datos auxiliares mano de obra'!$C$11</f>
        <v>4</v>
      </c>
      <c r="Y30" s="156">
        <f>'Datos auxiliares mano de obra'!$C$11</f>
        <v>4</v>
      </c>
      <c r="Z30" s="156">
        <f>'Datos auxiliares mano de obra'!$C$11</f>
        <v>4</v>
      </c>
      <c r="AA30" s="156">
        <f>'Datos auxiliares mano de obra'!$C$11</f>
        <v>4</v>
      </c>
      <c r="AB30" s="156">
        <f>'Datos auxiliares mano de obra'!$C$11</f>
        <v>4</v>
      </c>
      <c r="AC30" s="156">
        <f>'Datos auxiliares mano de obra'!$C$11</f>
        <v>4</v>
      </c>
      <c r="AD30" s="156">
        <f>'Datos auxiliares mano de obra'!$C$11</f>
        <v>4</v>
      </c>
      <c r="AE30" s="156">
        <f>'Datos auxiliares mano de obra'!$C$11</f>
        <v>4</v>
      </c>
      <c r="AF30" s="156">
        <f>'Datos auxiliares mano de obra'!$C$11</f>
        <v>4</v>
      </c>
      <c r="AG30" s="156">
        <f>'Datos auxiliares mano de obra'!$C$11</f>
        <v>4</v>
      </c>
    </row>
    <row r="31" spans="1:36">
      <c r="A31" s="4624"/>
      <c r="B31" s="4624"/>
      <c r="C31" s="3243">
        <f>Costes_Indirectos!K71</f>
        <v>11465.078431983953</v>
      </c>
      <c r="D31" s="3617"/>
      <c r="E31" s="653"/>
      <c r="F31" s="653"/>
      <c r="G31" s="653"/>
      <c r="H31" s="653"/>
      <c r="I31" s="653"/>
      <c r="J31" s="653"/>
      <c r="K31" s="653"/>
      <c r="L31" s="653"/>
      <c r="M31" s="653"/>
      <c r="N31" s="653"/>
      <c r="O31" s="653"/>
      <c r="P31" s="653"/>
      <c r="Q31" s="653"/>
      <c r="R31" s="653"/>
      <c r="S31" s="22"/>
      <c r="T31" s="140" t="s">
        <v>336</v>
      </c>
      <c r="U31" s="147">
        <f t="shared" ref="U31:AG31" si="7">U29/U30</f>
        <v>3.25</v>
      </c>
      <c r="V31" s="147" t="e">
        <f t="shared" si="7"/>
        <v>#REF!</v>
      </c>
      <c r="W31" s="147" t="e">
        <f t="shared" si="7"/>
        <v>#REF!</v>
      </c>
      <c r="X31" s="147" t="e">
        <f t="shared" si="7"/>
        <v>#REF!</v>
      </c>
      <c r="Y31" s="147" t="e">
        <f t="shared" si="7"/>
        <v>#REF!</v>
      </c>
      <c r="Z31" s="147" t="e">
        <f t="shared" si="7"/>
        <v>#REF!</v>
      </c>
      <c r="AA31" s="147" t="e">
        <f t="shared" si="7"/>
        <v>#REF!</v>
      </c>
      <c r="AB31" s="147" t="e">
        <f t="shared" si="7"/>
        <v>#REF!</v>
      </c>
      <c r="AC31" s="147" t="e">
        <f t="shared" si="7"/>
        <v>#REF!</v>
      </c>
      <c r="AD31" s="147" t="e">
        <f t="shared" si="7"/>
        <v>#REF!</v>
      </c>
      <c r="AE31" s="147" t="e">
        <f t="shared" si="7"/>
        <v>#REF!</v>
      </c>
      <c r="AF31" s="147" t="e">
        <f t="shared" si="7"/>
        <v>#REF!</v>
      </c>
      <c r="AG31" s="147" t="e">
        <f t="shared" si="7"/>
        <v>#REF!</v>
      </c>
    </row>
    <row r="32" spans="1:36" ht="17.5">
      <c r="N32" s="4625" t="s">
        <v>3343</v>
      </c>
      <c r="O32" s="4626"/>
      <c r="P32" s="4626"/>
      <c r="Q32" s="4627"/>
      <c r="R32" s="3622"/>
      <c r="T32" s="391" t="s">
        <v>653</v>
      </c>
      <c r="U32" s="156">
        <f>'Datos auxiliares mano de obra'!$C$12</f>
        <v>30</v>
      </c>
      <c r="V32" s="156">
        <f>'Datos auxiliares mano de obra'!$C$12</f>
        <v>30</v>
      </c>
      <c r="W32" s="156">
        <f>'Datos auxiliares mano de obra'!$C$12</f>
        <v>30</v>
      </c>
      <c r="X32" s="156">
        <f>'Datos auxiliares mano de obra'!$C$12</f>
        <v>30</v>
      </c>
      <c r="Y32" s="156">
        <f>'Datos auxiliares mano de obra'!$C$12</f>
        <v>30</v>
      </c>
      <c r="Z32" s="156">
        <f>'Datos auxiliares mano de obra'!$C$12</f>
        <v>30</v>
      </c>
      <c r="AA32" s="156">
        <f>'Datos auxiliares mano de obra'!$C$12</f>
        <v>30</v>
      </c>
      <c r="AB32" s="156">
        <f>'Datos auxiliares mano de obra'!$C$12</f>
        <v>30</v>
      </c>
      <c r="AC32" s="156">
        <f>'Datos auxiliares mano de obra'!$C$12</f>
        <v>30</v>
      </c>
      <c r="AD32" s="156">
        <f>'Datos auxiliares mano de obra'!$C$12</f>
        <v>30</v>
      </c>
      <c r="AE32" s="156">
        <f>'Datos auxiliares mano de obra'!$C$12</f>
        <v>30</v>
      </c>
      <c r="AF32" s="156">
        <f>'Datos auxiliares mano de obra'!$C$12</f>
        <v>30</v>
      </c>
      <c r="AG32" s="156">
        <f>'Datos auxiliares mano de obra'!$C$12</f>
        <v>30</v>
      </c>
    </row>
    <row r="33" spans="2:35" ht="21" customHeight="1">
      <c r="B33" s="38" t="s">
        <v>767</v>
      </c>
      <c r="C33" s="397"/>
      <c r="D33" s="3618"/>
      <c r="E33" s="127"/>
      <c r="F33" s="127"/>
      <c r="G33" s="127"/>
      <c r="H33" s="127"/>
      <c r="I33" s="127"/>
      <c r="J33" s="127"/>
      <c r="K33" s="127"/>
      <c r="L33" s="127"/>
      <c r="M33" s="127"/>
      <c r="N33" s="4628"/>
      <c r="O33" s="4629"/>
      <c r="P33" s="4629"/>
      <c r="Q33" s="4630"/>
      <c r="R33" s="3622"/>
      <c r="T33" s="140" t="s">
        <v>337</v>
      </c>
      <c r="U33" s="152">
        <f>U32*U31</f>
        <v>97.5</v>
      </c>
      <c r="V33" s="152" t="e">
        <f t="shared" ref="V33:AG33" si="8">V32*V31</f>
        <v>#REF!</v>
      </c>
      <c r="W33" s="152" t="e">
        <f t="shared" si="8"/>
        <v>#REF!</v>
      </c>
      <c r="X33" s="152" t="e">
        <f t="shared" si="8"/>
        <v>#REF!</v>
      </c>
      <c r="Y33" s="152" t="e">
        <f t="shared" si="8"/>
        <v>#REF!</v>
      </c>
      <c r="Z33" s="152" t="e">
        <f t="shared" si="8"/>
        <v>#REF!</v>
      </c>
      <c r="AA33" s="152" t="e">
        <f t="shared" si="8"/>
        <v>#REF!</v>
      </c>
      <c r="AB33" s="152" t="e">
        <f t="shared" si="8"/>
        <v>#REF!</v>
      </c>
      <c r="AC33" s="152" t="e">
        <f t="shared" si="8"/>
        <v>#REF!</v>
      </c>
      <c r="AD33" s="152" t="e">
        <f t="shared" si="8"/>
        <v>#REF!</v>
      </c>
      <c r="AE33" s="152" t="e">
        <f t="shared" si="8"/>
        <v>#REF!</v>
      </c>
      <c r="AF33" s="152" t="e">
        <f t="shared" si="8"/>
        <v>#REF!</v>
      </c>
      <c r="AG33" s="152" t="e">
        <f t="shared" si="8"/>
        <v>#REF!</v>
      </c>
    </row>
    <row r="34" spans="2:35">
      <c r="B34" s="38"/>
      <c r="C34" s="38"/>
      <c r="D34" s="38"/>
      <c r="E34" s="45"/>
      <c r="F34" s="45"/>
      <c r="G34" s="45"/>
      <c r="H34" s="45"/>
      <c r="I34" s="45"/>
      <c r="J34" s="45"/>
      <c r="K34" s="45"/>
      <c r="L34" s="45"/>
      <c r="M34" s="45"/>
      <c r="N34" s="1919" t="s">
        <v>1036</v>
      </c>
      <c r="O34" s="1920" t="s">
        <v>1036</v>
      </c>
      <c r="P34" s="1921" t="s">
        <v>1875</v>
      </c>
      <c r="Q34" s="1922" t="s">
        <v>1875</v>
      </c>
      <c r="R34" s="3623"/>
      <c r="T34" s="401" t="s">
        <v>338</v>
      </c>
      <c r="U34" s="158">
        <f>'Datos auxiliares mano de obra'!$C$14</f>
        <v>6.8</v>
      </c>
      <c r="V34" s="158">
        <f>'Datos auxiliares mano de obra'!$C$14</f>
        <v>6.8</v>
      </c>
      <c r="W34" s="158">
        <f>'Datos auxiliares mano de obra'!$C$14</f>
        <v>6.8</v>
      </c>
      <c r="X34" s="158">
        <f>'Datos auxiliares mano de obra'!$C$14</f>
        <v>6.8</v>
      </c>
      <c r="Y34" s="158">
        <f>'Datos auxiliares mano de obra'!$C$14</f>
        <v>6.8</v>
      </c>
      <c r="Z34" s="158">
        <f>'Datos auxiliares mano de obra'!$C$14</f>
        <v>6.8</v>
      </c>
      <c r="AA34" s="158">
        <f>'Datos auxiliares mano de obra'!$C$14</f>
        <v>6.8</v>
      </c>
      <c r="AB34" s="158">
        <f>'Datos auxiliares mano de obra'!$C$14</f>
        <v>6.8</v>
      </c>
      <c r="AC34" s="158">
        <f>'Datos auxiliares mano de obra'!$C$14</f>
        <v>6.8</v>
      </c>
      <c r="AD34" s="158">
        <f>'Datos auxiliares mano de obra'!$C$14</f>
        <v>6.8</v>
      </c>
      <c r="AE34" s="158">
        <f>'Datos auxiliares mano de obra'!$C$14</f>
        <v>6.8</v>
      </c>
      <c r="AF34" s="158">
        <f>'Datos auxiliares mano de obra'!$C$14</f>
        <v>6.8</v>
      </c>
      <c r="AG34" s="158">
        <f>'Datos auxiliares mano de obra'!$C$14</f>
        <v>6.8</v>
      </c>
    </row>
    <row r="35" spans="2:35">
      <c r="B35" s="38" t="s">
        <v>768</v>
      </c>
      <c r="C35" s="398"/>
      <c r="D35" s="3619"/>
      <c r="E35" s="127"/>
      <c r="F35" s="127"/>
      <c r="G35" s="127"/>
      <c r="H35" s="127"/>
      <c r="I35" s="127"/>
      <c r="J35" s="127"/>
      <c r="K35" s="127"/>
      <c r="L35" s="127"/>
      <c r="M35" s="127"/>
      <c r="N35" s="1923" t="s">
        <v>1876</v>
      </c>
      <c r="O35" s="1924" t="s">
        <v>1877</v>
      </c>
      <c r="P35" s="1925" t="s">
        <v>1878</v>
      </c>
      <c r="Q35" s="1926" t="s">
        <v>697</v>
      </c>
      <c r="R35" s="3623"/>
      <c r="T35" s="401" t="s">
        <v>493</v>
      </c>
      <c r="U35" s="158">
        <f>'Datos auxiliares mano de obra'!$C$15</f>
        <v>5.42</v>
      </c>
      <c r="V35" s="158">
        <f>'Datos auxiliares mano de obra'!$C$15</f>
        <v>5.42</v>
      </c>
      <c r="W35" s="158">
        <f>'Datos auxiliares mano de obra'!$C$15</f>
        <v>5.42</v>
      </c>
      <c r="X35" s="158">
        <f>'Datos auxiliares mano de obra'!$C$15</f>
        <v>5.42</v>
      </c>
      <c r="Y35" s="158">
        <f>'Datos auxiliares mano de obra'!$C$15</f>
        <v>5.42</v>
      </c>
      <c r="Z35" s="158">
        <f>'Datos auxiliares mano de obra'!$C$15</f>
        <v>5.42</v>
      </c>
      <c r="AA35" s="158">
        <f>'Datos auxiliares mano de obra'!$C$15</f>
        <v>5.42</v>
      </c>
      <c r="AB35" s="158">
        <f>'Datos auxiliares mano de obra'!$C$15</f>
        <v>5.42</v>
      </c>
      <c r="AC35" s="158">
        <f>'Datos auxiliares mano de obra'!$C$15</f>
        <v>5.42</v>
      </c>
      <c r="AD35" s="158">
        <f>'Datos auxiliares mano de obra'!$C$15</f>
        <v>5.42</v>
      </c>
      <c r="AE35" s="158">
        <f>'Datos auxiliares mano de obra'!$C$15</f>
        <v>5.42</v>
      </c>
      <c r="AF35" s="158">
        <f>'Datos auxiliares mano de obra'!$C$15</f>
        <v>5.42</v>
      </c>
      <c r="AG35" s="158">
        <f>'Datos auxiliares mano de obra'!$C$15</f>
        <v>5.42</v>
      </c>
    </row>
    <row r="36" spans="2:35" ht="16">
      <c r="B36" s="38"/>
      <c r="C36" s="38"/>
      <c r="D36" s="38"/>
      <c r="E36" s="45"/>
      <c r="F36" s="45"/>
      <c r="G36" s="45"/>
      <c r="H36" s="45"/>
      <c r="I36" s="45"/>
      <c r="J36" s="45"/>
      <c r="K36" s="45"/>
      <c r="L36" s="45"/>
      <c r="M36" s="45"/>
      <c r="N36" s="1927" t="s">
        <v>1018</v>
      </c>
      <c r="O36" s="1928" t="s">
        <v>1018</v>
      </c>
      <c r="P36" s="1929" t="s">
        <v>1018</v>
      </c>
      <c r="Q36" s="1930" t="s">
        <v>1018</v>
      </c>
      <c r="R36" s="3623"/>
      <c r="T36" s="401" t="s">
        <v>654</v>
      </c>
      <c r="U36" s="409">
        <f>'Datos auxiliares mano de obra'!$C$16</f>
        <v>2.89</v>
      </c>
      <c r="V36" s="409">
        <f>'Datos auxiliares mano de obra'!$C$16</f>
        <v>2.89</v>
      </c>
      <c r="W36" s="409">
        <f>'Datos auxiliares mano de obra'!$C$16</f>
        <v>2.89</v>
      </c>
      <c r="X36" s="409">
        <f>'Datos auxiliares mano de obra'!$C$16</f>
        <v>2.89</v>
      </c>
      <c r="Y36" s="409">
        <f>'Datos auxiliares mano de obra'!$C$16</f>
        <v>2.89</v>
      </c>
      <c r="Z36" s="409">
        <f>'Datos auxiliares mano de obra'!$C$16</f>
        <v>2.89</v>
      </c>
      <c r="AA36" s="409">
        <f>'Datos auxiliares mano de obra'!$C$16</f>
        <v>2.89</v>
      </c>
      <c r="AB36" s="409">
        <f>'Datos auxiliares mano de obra'!$C$16</f>
        <v>2.89</v>
      </c>
      <c r="AC36" s="409">
        <f>'Datos auxiliares mano de obra'!$C$16</f>
        <v>2.89</v>
      </c>
      <c r="AD36" s="409">
        <f>'Datos auxiliares mano de obra'!$C$16</f>
        <v>2.89</v>
      </c>
      <c r="AE36" s="409">
        <f>'Datos auxiliares mano de obra'!$C$16</f>
        <v>2.89</v>
      </c>
      <c r="AF36" s="409">
        <f>'Datos auxiliares mano de obra'!$C$16</f>
        <v>2.89</v>
      </c>
      <c r="AG36" s="409">
        <f>'Datos auxiliares mano de obra'!$C$16</f>
        <v>2.89</v>
      </c>
    </row>
    <row r="37" spans="2:35" ht="16">
      <c r="B37" s="38" t="s">
        <v>769</v>
      </c>
      <c r="C37" s="399"/>
      <c r="D37" s="3620"/>
      <c r="E37" s="127"/>
      <c r="F37" s="127"/>
      <c r="G37" s="127"/>
      <c r="H37" s="127"/>
      <c r="I37" s="127"/>
      <c r="J37" s="127"/>
      <c r="K37" s="127"/>
      <c r="L37" s="127"/>
      <c r="M37" s="127"/>
      <c r="N37" s="1931">
        <v>2.8824139557923642E-4</v>
      </c>
      <c r="O37" s="1931"/>
      <c r="P37" s="1931"/>
      <c r="Q37" s="1931">
        <v>5.2734740588040926E-5</v>
      </c>
      <c r="R37" s="3624"/>
      <c r="T37" s="401" t="s">
        <v>655</v>
      </c>
      <c r="U37" s="409">
        <f>'Datos auxiliares mano de obra'!$C$17</f>
        <v>3.09</v>
      </c>
      <c r="V37" s="409">
        <f>'Datos auxiliares mano de obra'!$C$17</f>
        <v>3.09</v>
      </c>
      <c r="W37" s="409">
        <f>'Datos auxiliares mano de obra'!$C$17</f>
        <v>3.09</v>
      </c>
      <c r="X37" s="409">
        <f>'Datos auxiliares mano de obra'!$C$17</f>
        <v>3.09</v>
      </c>
      <c r="Y37" s="409">
        <f>'Datos auxiliares mano de obra'!$C$17</f>
        <v>3.09</v>
      </c>
      <c r="Z37" s="409">
        <f>'Datos auxiliares mano de obra'!$C$17</f>
        <v>3.09</v>
      </c>
      <c r="AA37" s="409">
        <f>'Datos auxiliares mano de obra'!$C$17</f>
        <v>3.09</v>
      </c>
      <c r="AB37" s="409">
        <f>'Datos auxiliares mano de obra'!$C$17</f>
        <v>3.09</v>
      </c>
      <c r="AC37" s="409">
        <f>'Datos auxiliares mano de obra'!$C$17</f>
        <v>3.09</v>
      </c>
      <c r="AD37" s="409">
        <f>'Datos auxiliares mano de obra'!$C$17</f>
        <v>3.09</v>
      </c>
      <c r="AE37" s="409">
        <f>'Datos auxiliares mano de obra'!$C$17</f>
        <v>3.09</v>
      </c>
      <c r="AF37" s="409">
        <f>'Datos auxiliares mano de obra'!$C$17</f>
        <v>3.09</v>
      </c>
      <c r="AG37" s="409">
        <f>'Datos auxiliares mano de obra'!$C$17</f>
        <v>3.09</v>
      </c>
      <c r="AI37" s="662"/>
    </row>
    <row r="38" spans="2:35">
      <c r="B38" s="38"/>
      <c r="C38" s="38"/>
      <c r="D38" s="38"/>
      <c r="E38" s="45"/>
      <c r="F38" s="45"/>
      <c r="G38" s="45"/>
      <c r="H38" s="45"/>
      <c r="I38" s="45"/>
      <c r="J38" s="45"/>
      <c r="K38" s="45"/>
      <c r="L38" s="45"/>
      <c r="M38" s="45"/>
      <c r="N38" s="1932">
        <v>1.4355700307854881E-5</v>
      </c>
      <c r="O38" s="1932"/>
      <c r="P38" s="1932"/>
      <c r="Q38" s="1932">
        <v>6.566494358257148E-5</v>
      </c>
      <c r="R38" s="3624"/>
      <c r="T38" s="141" t="s">
        <v>345</v>
      </c>
      <c r="U38" s="410">
        <f>U34*U33/100</f>
        <v>6.63</v>
      </c>
      <c r="V38" s="410" t="e">
        <f t="shared" ref="V38:AG38" si="9">V34*V33/100</f>
        <v>#REF!</v>
      </c>
      <c r="W38" s="410" t="e">
        <f t="shared" si="9"/>
        <v>#REF!</v>
      </c>
      <c r="X38" s="410" t="e">
        <f t="shared" si="9"/>
        <v>#REF!</v>
      </c>
      <c r="Y38" s="410" t="e">
        <f t="shared" si="9"/>
        <v>#REF!</v>
      </c>
      <c r="Z38" s="410" t="e">
        <f t="shared" si="9"/>
        <v>#REF!</v>
      </c>
      <c r="AA38" s="410" t="e">
        <f t="shared" si="9"/>
        <v>#REF!</v>
      </c>
      <c r="AB38" s="410" t="e">
        <f t="shared" si="9"/>
        <v>#REF!</v>
      </c>
      <c r="AC38" s="410" t="e">
        <f t="shared" si="9"/>
        <v>#REF!</v>
      </c>
      <c r="AD38" s="410" t="e">
        <f t="shared" si="9"/>
        <v>#REF!</v>
      </c>
      <c r="AE38" s="410" t="e">
        <f t="shared" si="9"/>
        <v>#REF!</v>
      </c>
      <c r="AF38" s="410" t="e">
        <f t="shared" si="9"/>
        <v>#REF!</v>
      </c>
      <c r="AG38" s="410" t="e">
        <f t="shared" si="9"/>
        <v>#REF!</v>
      </c>
      <c r="AH38" s="662"/>
    </row>
    <row r="39" spans="2:35">
      <c r="B39" s="38" t="s">
        <v>770</v>
      </c>
      <c r="C39" s="400"/>
      <c r="D39" s="3621"/>
      <c r="E39" s="127"/>
      <c r="F39" s="127"/>
      <c r="G39" s="127"/>
      <c r="H39" s="127"/>
      <c r="I39" s="127"/>
      <c r="J39" s="127"/>
      <c r="K39" s="127"/>
      <c r="L39" s="127"/>
      <c r="M39" s="127"/>
      <c r="N39" s="1932">
        <v>1.153800233993816E-3</v>
      </c>
      <c r="O39" s="1932"/>
      <c r="P39" s="1932"/>
      <c r="Q39" s="1932">
        <v>1.2593620507526601E-4</v>
      </c>
      <c r="R39" s="3624"/>
      <c r="T39" s="401" t="s">
        <v>339</v>
      </c>
      <c r="U39" s="409">
        <f>1+('Datos auxiliares mano de obra'!$C$13/100)</f>
        <v>1.1000000000000001</v>
      </c>
      <c r="V39" s="409">
        <f>1+('Datos auxiliares mano de obra'!$C$13/100)</f>
        <v>1.1000000000000001</v>
      </c>
      <c r="W39" s="409">
        <f>1+('Datos auxiliares mano de obra'!$C$13/100)</f>
        <v>1.1000000000000001</v>
      </c>
      <c r="X39" s="409">
        <f>1+('Datos auxiliares mano de obra'!$C$13/100)</f>
        <v>1.1000000000000001</v>
      </c>
      <c r="Y39" s="409">
        <f>1+('Datos auxiliares mano de obra'!$C$13/100)</f>
        <v>1.1000000000000001</v>
      </c>
      <c r="Z39" s="409">
        <f>1+('Datos auxiliares mano de obra'!$C$13/100)</f>
        <v>1.1000000000000001</v>
      </c>
      <c r="AA39" s="409">
        <f>1+('Datos auxiliares mano de obra'!$C$13/100)</f>
        <v>1.1000000000000001</v>
      </c>
      <c r="AB39" s="409">
        <f>1+('Datos auxiliares mano de obra'!$C$13/100)</f>
        <v>1.1000000000000001</v>
      </c>
      <c r="AC39" s="409">
        <f>1+('Datos auxiliares mano de obra'!$C$13/100)</f>
        <v>1.1000000000000001</v>
      </c>
      <c r="AD39" s="409">
        <f>1+('Datos auxiliares mano de obra'!$C$13/100)</f>
        <v>1.1000000000000001</v>
      </c>
      <c r="AE39" s="409">
        <f>1+('Datos auxiliares mano de obra'!$C$13/100)</f>
        <v>1.1000000000000001</v>
      </c>
      <c r="AF39" s="409">
        <f>1+('Datos auxiliares mano de obra'!$C$13/100)</f>
        <v>1.1000000000000001</v>
      </c>
      <c r="AG39" s="409">
        <f>1+('Datos auxiliares mano de obra'!$C$13/100)</f>
        <v>1.1000000000000001</v>
      </c>
      <c r="AI39" s="28"/>
    </row>
    <row r="40" spans="2:35">
      <c r="N40" s="1932">
        <v>6.7713343366343815E-5</v>
      </c>
      <c r="O40" s="1932"/>
      <c r="P40" s="1932"/>
      <c r="Q40" s="1932">
        <v>7.2166630132771976E-4</v>
      </c>
      <c r="R40" s="3624"/>
      <c r="T40" s="401" t="s">
        <v>299</v>
      </c>
      <c r="U40" s="408">
        <f>'Datos auxiliares mano de obra'!$C$18</f>
        <v>35</v>
      </c>
      <c r="V40" s="408">
        <f>'Datos auxiliares mano de obra'!$C$18</f>
        <v>35</v>
      </c>
      <c r="W40" s="408">
        <f>'Datos auxiliares mano de obra'!$C$18</f>
        <v>35</v>
      </c>
      <c r="X40" s="408">
        <f>'Datos auxiliares mano de obra'!$C$18</f>
        <v>35</v>
      </c>
      <c r="Y40" s="408">
        <f>'Datos auxiliares mano de obra'!$C$18</f>
        <v>35</v>
      </c>
      <c r="Z40" s="408">
        <f>'Datos auxiliares mano de obra'!$C$18</f>
        <v>35</v>
      </c>
      <c r="AA40" s="408">
        <f>'Datos auxiliares mano de obra'!$C$18</f>
        <v>35</v>
      </c>
      <c r="AB40" s="408">
        <f>'Datos auxiliares mano de obra'!$C$18</f>
        <v>35</v>
      </c>
      <c r="AC40" s="408">
        <f>'Datos auxiliares mano de obra'!$C$18</f>
        <v>35</v>
      </c>
      <c r="AD40" s="408">
        <f>'Datos auxiliares mano de obra'!$C$18</f>
        <v>35</v>
      </c>
      <c r="AE40" s="408">
        <f>'Datos auxiliares mano de obra'!$C$18</f>
        <v>35</v>
      </c>
      <c r="AF40" s="408">
        <f>'Datos auxiliares mano de obra'!$C$18</f>
        <v>35</v>
      </c>
      <c r="AG40" s="408">
        <f>'Datos auxiliares mano de obra'!$C$18</f>
        <v>35</v>
      </c>
      <c r="AH40" s="662"/>
    </row>
    <row r="41" spans="2:35">
      <c r="N41" s="1933">
        <v>1.6615015080994342E-4</v>
      </c>
      <c r="O41" s="1933"/>
      <c r="P41" s="1933"/>
      <c r="Q41" s="1933">
        <v>9.8047941866367456E-5</v>
      </c>
      <c r="R41" s="3624"/>
      <c r="T41" s="403" t="s">
        <v>340</v>
      </c>
      <c r="U41" s="408">
        <f>'Datos auxiliares general'!$C$7</f>
        <v>71000</v>
      </c>
      <c r="V41" s="408">
        <f>'Datos auxiliares general'!$C$7</f>
        <v>71000</v>
      </c>
      <c r="W41" s="408">
        <f>'Datos auxiliares general'!$C$7</f>
        <v>71000</v>
      </c>
      <c r="X41" s="408">
        <f>'Datos auxiliares general'!$C$7</f>
        <v>71000</v>
      </c>
      <c r="Y41" s="408">
        <f>'Datos auxiliares general'!$C$7</f>
        <v>71000</v>
      </c>
      <c r="Z41" s="408">
        <f>'Datos auxiliares general'!$C$7</f>
        <v>71000</v>
      </c>
      <c r="AA41" s="408">
        <f>'Datos auxiliares general'!$C$7</f>
        <v>71000</v>
      </c>
      <c r="AB41" s="408">
        <f>'Datos auxiliares general'!$C$7</f>
        <v>71000</v>
      </c>
      <c r="AC41" s="408">
        <f>'Datos auxiliares general'!$C$7</f>
        <v>71000</v>
      </c>
      <c r="AD41" s="408">
        <f>'Datos auxiliares general'!$C$7</f>
        <v>71000</v>
      </c>
      <c r="AE41" s="408">
        <f>'Datos auxiliares general'!$C$7</f>
        <v>71000</v>
      </c>
      <c r="AF41" s="408">
        <f>'Datos auxiliares general'!$C$7</f>
        <v>71000</v>
      </c>
      <c r="AG41" s="408">
        <f>'Datos auxiliares general'!$C$7</f>
        <v>71000</v>
      </c>
      <c r="AH41" s="662"/>
    </row>
    <row r="42" spans="2:35">
      <c r="N42" s="1933">
        <v>8.884000136187403E-5</v>
      </c>
      <c r="O42" s="1933"/>
      <c r="P42" s="1933"/>
      <c r="Q42" s="1933">
        <v>8.0544607254935457E-5</v>
      </c>
      <c r="R42" s="3624"/>
      <c r="T42" s="141" t="s">
        <v>341</v>
      </c>
      <c r="U42" s="159">
        <f>U38*U40*U39/U41</f>
        <v>3.5951408450704226E-3</v>
      </c>
      <c r="V42" s="159" t="e">
        <f t="shared" ref="V42:AG42" si="10">V38*V40*V39/V41</f>
        <v>#REF!</v>
      </c>
      <c r="W42" s="159" t="e">
        <f t="shared" si="10"/>
        <v>#REF!</v>
      </c>
      <c r="X42" s="159" t="e">
        <f t="shared" si="10"/>
        <v>#REF!</v>
      </c>
      <c r="Y42" s="159" t="e">
        <f t="shared" si="10"/>
        <v>#REF!</v>
      </c>
      <c r="Z42" s="159" t="e">
        <f t="shared" si="10"/>
        <v>#REF!</v>
      </c>
      <c r="AA42" s="159" t="e">
        <f t="shared" si="10"/>
        <v>#REF!</v>
      </c>
      <c r="AB42" s="159" t="e">
        <f t="shared" si="10"/>
        <v>#REF!</v>
      </c>
      <c r="AC42" s="159" t="e">
        <f t="shared" si="10"/>
        <v>#REF!</v>
      </c>
      <c r="AD42" s="159" t="e">
        <f t="shared" si="10"/>
        <v>#REF!</v>
      </c>
      <c r="AE42" s="159" t="e">
        <f t="shared" si="10"/>
        <v>#REF!</v>
      </c>
      <c r="AF42" s="159" t="e">
        <f t="shared" si="10"/>
        <v>#REF!</v>
      </c>
      <c r="AG42" s="159" t="e">
        <f t="shared" si="10"/>
        <v>#REF!</v>
      </c>
    </row>
    <row r="43" spans="2:35">
      <c r="N43" s="1933">
        <v>4.5059748692542713E-4</v>
      </c>
      <c r="O43" s="1933">
        <v>5.8099361453113846E-4</v>
      </c>
      <c r="P43" s="1933"/>
      <c r="Q43" s="1933">
        <v>3.6208749533592427E-4</v>
      </c>
      <c r="R43" s="3624"/>
      <c r="T43" s="403" t="s">
        <v>326</v>
      </c>
      <c r="U43" s="410">
        <f>'Datos auxiliares general'!$C$8</f>
        <v>1.26</v>
      </c>
      <c r="V43" s="410">
        <f>'Datos auxiliares general'!$C$8</f>
        <v>1.26</v>
      </c>
      <c r="W43" s="410">
        <f>'Datos auxiliares general'!$C$8</f>
        <v>1.26</v>
      </c>
      <c r="X43" s="410">
        <f>'Datos auxiliares general'!$C$8</f>
        <v>1.26</v>
      </c>
      <c r="Y43" s="410">
        <f>'Datos auxiliares general'!$C$8</f>
        <v>1.26</v>
      </c>
      <c r="Z43" s="410">
        <f>'Datos auxiliares general'!$C$8</f>
        <v>1.26</v>
      </c>
      <c r="AA43" s="410">
        <f>'Datos auxiliares general'!$C$8</f>
        <v>1.26</v>
      </c>
      <c r="AB43" s="410">
        <f>'Datos auxiliares general'!$C$8</f>
        <v>1.26</v>
      </c>
      <c r="AC43" s="410">
        <f>'Datos auxiliares general'!$C$8</f>
        <v>1.26</v>
      </c>
      <c r="AD43" s="410">
        <f>'Datos auxiliares general'!$C$8</f>
        <v>1.26</v>
      </c>
      <c r="AE43" s="410">
        <f>'Datos auxiliares general'!$C$8</f>
        <v>1.26</v>
      </c>
      <c r="AF43" s="410">
        <f>'Datos auxiliares general'!$C$8</f>
        <v>1.26</v>
      </c>
      <c r="AG43" s="410">
        <f>'Datos auxiliares general'!$C$8</f>
        <v>1.26</v>
      </c>
    </row>
    <row r="44" spans="2:35" ht="15" thickBot="1">
      <c r="N44" s="1932">
        <v>6.42404908582539E-5</v>
      </c>
      <c r="O44" s="1932"/>
      <c r="P44" s="1932"/>
      <c r="Q44" s="1932">
        <v>4.4910765696039216E-5</v>
      </c>
      <c r="R44" s="3624"/>
      <c r="T44" s="412" t="s">
        <v>731</v>
      </c>
      <c r="U44" s="411">
        <f>U42*U43</f>
        <v>4.5298774647887325E-3</v>
      </c>
      <c r="V44" s="3330" t="e">
        <f>V42*V43</f>
        <v>#REF!</v>
      </c>
      <c r="W44" s="3330" t="e">
        <f>W42*W43</f>
        <v>#REF!</v>
      </c>
      <c r="X44" s="3330" t="e">
        <f>X42*X43</f>
        <v>#REF!</v>
      </c>
      <c r="Y44" s="3330" t="e">
        <f>Y42*Y43</f>
        <v>#REF!</v>
      </c>
      <c r="Z44" s="3330" t="e">
        <f t="shared" ref="Z44:AF44" si="11">Z42*Z43</f>
        <v>#REF!</v>
      </c>
      <c r="AA44" s="3330" t="e">
        <f t="shared" si="11"/>
        <v>#REF!</v>
      </c>
      <c r="AB44" s="3330" t="e">
        <f t="shared" si="11"/>
        <v>#REF!</v>
      </c>
      <c r="AC44" s="3330" t="e">
        <f t="shared" si="11"/>
        <v>#REF!</v>
      </c>
      <c r="AD44" s="3330" t="e">
        <f t="shared" si="11"/>
        <v>#REF!</v>
      </c>
      <c r="AE44" s="3330" t="e">
        <f t="shared" si="11"/>
        <v>#REF!</v>
      </c>
      <c r="AF44" s="3330" t="e">
        <f t="shared" si="11"/>
        <v>#REF!</v>
      </c>
      <c r="AG44" s="3330" t="e">
        <f>AG42*AG43</f>
        <v>#REF!</v>
      </c>
    </row>
    <row r="45" spans="2:35">
      <c r="N45" s="1933">
        <v>2.8227226918276481E-4</v>
      </c>
      <c r="O45" s="1933">
        <v>5.0931199974554723E-4</v>
      </c>
      <c r="P45" s="1933"/>
      <c r="Q45" s="1934">
        <v>8.7438276515156067E-5</v>
      </c>
      <c r="R45" s="3624"/>
    </row>
    <row r="46" spans="2:35">
      <c r="N46" s="1932">
        <v>3.7398585548849338E-4</v>
      </c>
      <c r="O46" s="1932"/>
      <c r="P46" s="1932">
        <v>9.4465969228074427E-4</v>
      </c>
      <c r="Q46" s="1935">
        <v>2.0602611238657812E-4</v>
      </c>
      <c r="R46" s="3624"/>
    </row>
    <row r="47" spans="2:35">
      <c r="N47" s="1936">
        <v>3.9011957323390372E-3</v>
      </c>
      <c r="O47" s="1936">
        <v>1.2402440303317134E-3</v>
      </c>
      <c r="P47" s="1936">
        <v>9.4465969228074427E-4</v>
      </c>
      <c r="Q47" s="1936">
        <v>1.9904045785040614E-3</v>
      </c>
      <c r="R47" s="3625"/>
    </row>
    <row r="48" spans="2:35">
      <c r="R48" s="22"/>
    </row>
    <row r="49" spans="18:18">
      <c r="R49" s="22"/>
    </row>
    <row r="50" spans="18:18">
      <c r="R50" s="22"/>
    </row>
  </sheetData>
  <mergeCells count="6">
    <mergeCell ref="B1:T1"/>
    <mergeCell ref="A29:B29"/>
    <mergeCell ref="A31:B31"/>
    <mergeCell ref="N32:Q33"/>
    <mergeCell ref="T2:U2"/>
    <mergeCell ref="T22:U22"/>
  </mergeCells>
  <pageMargins left="0.70866141732283472" right="0.70866141732283472" top="0.74803149606299213" bottom="0.74803149606299213"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DI258"/>
  <sheetViews>
    <sheetView zoomScale="51" zoomScaleNormal="51" workbookViewId="0">
      <selection activeCell="C25" sqref="C25"/>
    </sheetView>
  </sheetViews>
  <sheetFormatPr defaultColWidth="10.90625" defaultRowHeight="14.5"/>
  <cols>
    <col min="1" max="1" width="5.54296875" customWidth="1"/>
    <col min="2" max="2" width="21.26953125" customWidth="1"/>
    <col min="3" max="3" width="14.81640625" customWidth="1"/>
    <col min="5" max="5" width="13.81640625" customWidth="1"/>
    <col min="7" max="7" width="11.7265625" customWidth="1"/>
    <col min="8" max="8" width="38" customWidth="1"/>
    <col min="9" max="9" width="21" customWidth="1"/>
    <col min="10" max="10" width="16.54296875" customWidth="1"/>
    <col min="11" max="11" width="15.453125" customWidth="1"/>
    <col min="12" max="12" width="14.7265625" customWidth="1"/>
    <col min="13" max="13" width="16.1796875" customWidth="1"/>
    <col min="14" max="14" width="20.26953125" customWidth="1"/>
    <col min="15" max="15" width="15.26953125" customWidth="1"/>
    <col min="16" max="16" width="13.81640625" customWidth="1"/>
    <col min="17" max="17" width="16" customWidth="1"/>
    <col min="18" max="18" width="14.26953125" customWidth="1"/>
    <col min="19" max="19" width="14.1796875" customWidth="1"/>
    <col min="20" max="20" width="14.7265625" customWidth="1"/>
    <col min="21" max="21" width="13.1796875" customWidth="1"/>
    <col min="22" max="22" width="13.7265625" customWidth="1"/>
    <col min="23" max="23" width="14.54296875" customWidth="1"/>
    <col min="24" max="24" width="12.54296875" customWidth="1"/>
    <col min="25" max="25" width="19.7265625" customWidth="1"/>
    <col min="26" max="26" width="18.54296875" customWidth="1"/>
    <col min="27" max="27" width="19.81640625" customWidth="1"/>
    <col min="28" max="28" width="17.81640625" customWidth="1"/>
    <col min="29" max="29" width="19.7265625" customWidth="1"/>
    <col min="30" max="30" width="18.81640625" customWidth="1"/>
    <col min="31" max="31" width="14.453125" customWidth="1"/>
    <col min="32" max="32" width="18.453125" customWidth="1"/>
    <col min="33" max="33" width="18" customWidth="1"/>
    <col min="34" max="34" width="19.1796875" customWidth="1"/>
    <col min="35" max="35" width="15.7265625" customWidth="1"/>
    <col min="36" max="36" width="15.1796875" customWidth="1"/>
    <col min="37" max="37" width="15.7265625" customWidth="1"/>
    <col min="38" max="39" width="15" customWidth="1"/>
    <col min="40" max="40" width="15.54296875" customWidth="1"/>
    <col min="41" max="41" width="14.1796875" customWidth="1"/>
    <col min="43" max="43" width="18.81640625" customWidth="1"/>
    <col min="44" max="45" width="14.26953125" customWidth="1"/>
    <col min="46" max="46" width="13" customWidth="1"/>
    <col min="47" max="47" width="13.54296875" customWidth="1"/>
    <col min="48" max="48" width="12.81640625" customWidth="1"/>
    <col min="50" max="50" width="12.81640625" customWidth="1"/>
    <col min="52" max="52" width="15.453125" customWidth="1"/>
    <col min="53" max="53" width="13.453125" customWidth="1"/>
    <col min="54" max="54" width="13.7265625" customWidth="1"/>
    <col min="55" max="55" width="13.54296875" customWidth="1"/>
    <col min="56" max="56" width="13.26953125" customWidth="1"/>
    <col min="57" max="57" width="12.7265625" customWidth="1"/>
    <col min="59" max="59" width="14" customWidth="1"/>
  </cols>
  <sheetData>
    <row r="1" spans="2:77" ht="21" customHeight="1">
      <c r="B1" s="4621" t="s">
        <v>857</v>
      </c>
      <c r="C1" s="4621"/>
      <c r="D1" s="4621"/>
      <c r="E1" s="4621"/>
      <c r="F1" s="4621"/>
      <c r="G1" s="4621"/>
    </row>
    <row r="2" spans="2:77" ht="23.25" customHeight="1">
      <c r="B2" s="203" t="s">
        <v>674</v>
      </c>
      <c r="C2" s="160" t="str">
        <f>'Seleccion proyecto HEREVEA02'!L6</f>
        <v>c107</v>
      </c>
      <c r="G2" s="16"/>
      <c r="H2" s="688" t="s">
        <v>674</v>
      </c>
      <c r="I2" s="689" t="str">
        <f>'Seleccion proyecto HEREVEA02'!L6</f>
        <v>c107</v>
      </c>
      <c r="J2" s="16"/>
      <c r="K2" s="16"/>
      <c r="L2" s="16"/>
      <c r="M2" s="16"/>
      <c r="N2" s="16"/>
      <c r="O2" s="16"/>
      <c r="P2" s="16"/>
      <c r="Q2" s="16"/>
      <c r="R2" s="16"/>
      <c r="S2" s="16"/>
      <c r="T2" s="16"/>
      <c r="W2" s="16"/>
      <c r="X2" s="16"/>
      <c r="Y2" s="16"/>
    </row>
    <row r="3" spans="2:77" ht="23.25" customHeight="1" thickBot="1">
      <c r="B3" s="203" t="s">
        <v>913</v>
      </c>
      <c r="C3" s="160"/>
      <c r="G3" s="16"/>
      <c r="H3" s="702" t="s">
        <v>952</v>
      </c>
      <c r="I3" s="689"/>
      <c r="J3" s="16"/>
      <c r="K3" s="16"/>
      <c r="L3" s="16"/>
      <c r="M3" s="16"/>
      <c r="N3" s="16"/>
      <c r="O3" s="16"/>
      <c r="P3" s="16"/>
      <c r="Q3" s="16"/>
      <c r="R3" s="16"/>
      <c r="S3" s="16"/>
      <c r="T3" s="16"/>
      <c r="U3" s="16"/>
      <c r="V3" s="16"/>
      <c r="W3" s="16"/>
      <c r="X3" s="16"/>
      <c r="Y3" s="16"/>
    </row>
    <row r="4" spans="2:77" ht="16" thickBot="1">
      <c r="B4" s="664" t="s">
        <v>363</v>
      </c>
      <c r="C4" s="665"/>
      <c r="D4" s="665"/>
      <c r="E4" s="665"/>
      <c r="F4" s="666"/>
      <c r="G4" s="670"/>
      <c r="H4" s="3587" t="s">
        <v>928</v>
      </c>
      <c r="I4" s="3588"/>
      <c r="J4" s="3588"/>
      <c r="K4" s="3588"/>
      <c r="L4" s="3588"/>
      <c r="M4" s="3588"/>
      <c r="N4" s="3588"/>
      <c r="O4" s="3588"/>
      <c r="P4" s="3588"/>
      <c r="Q4" s="3588"/>
      <c r="R4" s="3588"/>
      <c r="S4" s="3588"/>
      <c r="T4" s="3589"/>
      <c r="U4" s="4672" t="s">
        <v>947</v>
      </c>
      <c r="V4" s="4673"/>
      <c r="W4" s="16"/>
      <c r="X4" s="16"/>
    </row>
    <row r="5" spans="2:77" ht="26.25" customHeight="1" thickBot="1">
      <c r="B5" s="43"/>
      <c r="C5" s="667" t="s">
        <v>524</v>
      </c>
      <c r="D5" s="668"/>
      <c r="E5" s="668"/>
      <c r="F5" s="669"/>
      <c r="G5" s="670"/>
      <c r="H5" s="4674" t="s">
        <v>929</v>
      </c>
      <c r="I5" s="3590" t="s">
        <v>3458</v>
      </c>
      <c r="J5" s="683" t="s">
        <v>899</v>
      </c>
      <c r="K5" s="683" t="s">
        <v>903</v>
      </c>
      <c r="L5" s="683" t="s">
        <v>900</v>
      </c>
      <c r="M5" s="683" t="s">
        <v>901</v>
      </c>
      <c r="N5" s="683" t="s">
        <v>904</v>
      </c>
      <c r="O5" s="683" t="s">
        <v>905</v>
      </c>
      <c r="P5" s="683" t="s">
        <v>906</v>
      </c>
      <c r="Q5" s="683" t="s">
        <v>907</v>
      </c>
      <c r="R5" s="683" t="s">
        <v>908</v>
      </c>
      <c r="S5" s="683" t="s">
        <v>909</v>
      </c>
      <c r="T5" s="683" t="s">
        <v>910</v>
      </c>
      <c r="U5" s="683" t="s">
        <v>911</v>
      </c>
      <c r="V5" s="4676" t="s">
        <v>948</v>
      </c>
      <c r="W5" s="4676"/>
      <c r="X5" s="16"/>
      <c r="Y5" s="16"/>
      <c r="Z5" s="930" t="s">
        <v>1036</v>
      </c>
      <c r="AA5" s="4639" t="s">
        <v>899</v>
      </c>
      <c r="AB5" s="4640"/>
      <c r="AC5" s="4640"/>
      <c r="AD5" s="4641"/>
      <c r="AE5" s="4639" t="s">
        <v>903</v>
      </c>
      <c r="AF5" s="4640"/>
      <c r="AG5" s="4640"/>
      <c r="AH5" s="4641"/>
      <c r="AI5" s="4639" t="s">
        <v>900</v>
      </c>
      <c r="AJ5" s="4640"/>
      <c r="AK5" s="4640"/>
      <c r="AL5" s="4641"/>
      <c r="AM5" s="4639" t="s">
        <v>901</v>
      </c>
      <c r="AN5" s="4640"/>
      <c r="AO5" s="4640"/>
      <c r="AP5" s="4641"/>
      <c r="AQ5" s="4639" t="s">
        <v>904</v>
      </c>
      <c r="AR5" s="4640"/>
      <c r="AS5" s="4640"/>
      <c r="AT5" s="4641"/>
      <c r="AU5" s="4639" t="s">
        <v>905</v>
      </c>
      <c r="AV5" s="4640"/>
      <c r="AW5" s="4640"/>
      <c r="AX5" s="4641"/>
      <c r="AY5" s="4639" t="s">
        <v>906</v>
      </c>
      <c r="AZ5" s="4640"/>
      <c r="BA5" s="4640"/>
      <c r="BB5" s="4641"/>
      <c r="BC5" s="4639" t="s">
        <v>907</v>
      </c>
      <c r="BD5" s="4640"/>
      <c r="BE5" s="4640"/>
      <c r="BF5" s="4641"/>
      <c r="BG5" s="4639" t="s">
        <v>908</v>
      </c>
      <c r="BH5" s="4640"/>
      <c r="BI5" s="4640"/>
      <c r="BJ5" s="4641"/>
      <c r="BK5" s="4639" t="s">
        <v>909</v>
      </c>
      <c r="BL5" s="4640"/>
      <c r="BM5" s="4640"/>
      <c r="BN5" s="4641"/>
      <c r="BO5" s="4639" t="s">
        <v>910</v>
      </c>
      <c r="BP5" s="4640"/>
      <c r="BQ5" s="4640"/>
      <c r="BR5" s="4641"/>
      <c r="BS5" s="4639" t="s">
        <v>911</v>
      </c>
      <c r="BT5" s="4640"/>
      <c r="BU5" s="4640"/>
      <c r="BV5" s="4641"/>
    </row>
    <row r="6" spans="2:77" ht="18.75" customHeight="1">
      <c r="B6" s="128" t="s">
        <v>364</v>
      </c>
      <c r="C6" s="129" t="s">
        <v>643</v>
      </c>
      <c r="D6" s="129" t="s">
        <v>372</v>
      </c>
      <c r="E6" s="129" t="s">
        <v>373</v>
      </c>
      <c r="F6" s="130" t="s">
        <v>374</v>
      </c>
      <c r="G6" s="909"/>
      <c r="H6" s="4675"/>
      <c r="I6" s="3591" t="s">
        <v>3459</v>
      </c>
      <c r="J6" s="682" t="s">
        <v>916</v>
      </c>
      <c r="K6" s="682" t="s">
        <v>917</v>
      </c>
      <c r="L6" s="682" t="s">
        <v>918</v>
      </c>
      <c r="M6" s="682" t="s">
        <v>924</v>
      </c>
      <c r="N6" s="682" t="s">
        <v>919</v>
      </c>
      <c r="O6" s="682" t="s">
        <v>925</v>
      </c>
      <c r="P6" s="682" t="s">
        <v>920</v>
      </c>
      <c r="Q6" s="682" t="s">
        <v>926</v>
      </c>
      <c r="R6" s="682" t="s">
        <v>921</v>
      </c>
      <c r="S6" s="682" t="s">
        <v>927</v>
      </c>
      <c r="T6" s="682" t="s">
        <v>922</v>
      </c>
      <c r="U6" s="682" t="s">
        <v>923</v>
      </c>
      <c r="V6" s="695" t="s">
        <v>945</v>
      </c>
      <c r="W6" s="695" t="s">
        <v>946</v>
      </c>
      <c r="X6" s="16"/>
      <c r="Y6" s="16"/>
      <c r="Z6" s="4680" t="s">
        <v>364</v>
      </c>
      <c r="AA6" s="4682" t="s">
        <v>524</v>
      </c>
      <c r="AB6" s="4683"/>
      <c r="AC6" s="4683"/>
      <c r="AD6" s="4684"/>
      <c r="AE6" s="4682" t="s">
        <v>524</v>
      </c>
      <c r="AF6" s="4683"/>
      <c r="AG6" s="4683"/>
      <c r="AH6" s="4684"/>
      <c r="AI6" s="4682" t="s">
        <v>524</v>
      </c>
      <c r="AJ6" s="4683"/>
      <c r="AK6" s="4683"/>
      <c r="AL6" s="4684"/>
      <c r="AM6" s="4682" t="s">
        <v>524</v>
      </c>
      <c r="AN6" s="4683"/>
      <c r="AO6" s="4683"/>
      <c r="AP6" s="4684"/>
      <c r="AQ6" s="4682" t="s">
        <v>524</v>
      </c>
      <c r="AR6" s="4683"/>
      <c r="AS6" s="4683"/>
      <c r="AT6" s="4684"/>
      <c r="AU6" s="4682" t="s">
        <v>524</v>
      </c>
      <c r="AV6" s="4683"/>
      <c r="AW6" s="4683"/>
      <c r="AX6" s="4684"/>
      <c r="AY6" s="4682" t="s">
        <v>524</v>
      </c>
      <c r="AZ6" s="4683"/>
      <c r="BA6" s="4683"/>
      <c r="BB6" s="4684"/>
      <c r="BC6" s="4682" t="s">
        <v>524</v>
      </c>
      <c r="BD6" s="4683"/>
      <c r="BE6" s="4683"/>
      <c r="BF6" s="4684"/>
      <c r="BG6" s="4682" t="s">
        <v>524</v>
      </c>
      <c r="BH6" s="4683"/>
      <c r="BI6" s="4683"/>
      <c r="BJ6" s="4684"/>
      <c r="BK6" s="4682" t="s">
        <v>524</v>
      </c>
      <c r="BL6" s="4683"/>
      <c r="BM6" s="4683"/>
      <c r="BN6" s="4684"/>
      <c r="BO6" s="4682" t="s">
        <v>524</v>
      </c>
      <c r="BP6" s="4683"/>
      <c r="BQ6" s="4683"/>
      <c r="BR6" s="4684"/>
      <c r="BS6" s="4682" t="s">
        <v>524</v>
      </c>
      <c r="BT6" s="4683"/>
      <c r="BU6" s="4683"/>
      <c r="BV6" s="4684"/>
    </row>
    <row r="7" spans="2:77" ht="29.25" customHeight="1">
      <c r="B7" s="131" t="s">
        <v>365</v>
      </c>
      <c r="C7" s="133">
        <f>'Huella maquinaria'!P12</f>
        <v>0</v>
      </c>
      <c r="D7" s="133"/>
      <c r="E7" s="133"/>
      <c r="F7" s="134"/>
      <c r="G7" s="909"/>
      <c r="H7" s="684">
        <f>C12</f>
        <v>22.348772274395397</v>
      </c>
      <c r="I7" s="3592"/>
      <c r="J7" s="685" t="e">
        <f>C44</f>
        <v>#REF!</v>
      </c>
      <c r="K7" s="685" t="e">
        <f>C56</f>
        <v>#REF!</v>
      </c>
      <c r="L7" s="685" t="e">
        <f>C68</f>
        <v>#REF!</v>
      </c>
      <c r="M7" s="686" t="e">
        <f>C80</f>
        <v>#REF!</v>
      </c>
      <c r="N7" s="686" t="e">
        <f>C92</f>
        <v>#REF!</v>
      </c>
      <c r="O7" s="685" t="e">
        <f>C104</f>
        <v>#REF!</v>
      </c>
      <c r="P7" s="685" t="e">
        <f>C116</f>
        <v>#REF!</v>
      </c>
      <c r="Q7" s="685" t="e">
        <f>C128</f>
        <v>#REF!</v>
      </c>
      <c r="R7" s="685" t="e">
        <f>C140</f>
        <v>#REF!</v>
      </c>
      <c r="S7" s="686" t="e">
        <f>C152</f>
        <v>#REF!</v>
      </c>
      <c r="T7" s="686" t="e">
        <f>C164</f>
        <v>#REF!</v>
      </c>
      <c r="U7" s="686" t="e">
        <f>C176</f>
        <v>#REF!</v>
      </c>
      <c r="V7" s="707">
        <f>'Huella residuos y s. consumida'!G25</f>
        <v>3.4210798830000004</v>
      </c>
      <c r="W7" s="707">
        <f>'Huella residuos y s. consumida'!G26</f>
        <v>54.61676748</v>
      </c>
      <c r="X7" s="127" t="e">
        <f>SUM(J7:U7)</f>
        <v>#REF!</v>
      </c>
      <c r="Y7" s="16"/>
      <c r="Z7" s="4681"/>
      <c r="AA7" s="927" t="s">
        <v>643</v>
      </c>
      <c r="AB7" s="129" t="s">
        <v>372</v>
      </c>
      <c r="AC7" s="129" t="s">
        <v>373</v>
      </c>
      <c r="AD7" s="130" t="s">
        <v>374</v>
      </c>
      <c r="AE7" s="927" t="s">
        <v>643</v>
      </c>
      <c r="AF7" s="129" t="s">
        <v>372</v>
      </c>
      <c r="AG7" s="129" t="s">
        <v>373</v>
      </c>
      <c r="AH7" s="130" t="s">
        <v>374</v>
      </c>
      <c r="AI7" s="927" t="s">
        <v>643</v>
      </c>
      <c r="AJ7" s="129" t="s">
        <v>372</v>
      </c>
      <c r="AK7" s="129" t="s">
        <v>373</v>
      </c>
      <c r="AL7" s="130" t="s">
        <v>374</v>
      </c>
      <c r="AM7" s="927" t="s">
        <v>643</v>
      </c>
      <c r="AN7" s="129" t="s">
        <v>372</v>
      </c>
      <c r="AO7" s="129" t="s">
        <v>373</v>
      </c>
      <c r="AP7" s="130" t="s">
        <v>374</v>
      </c>
      <c r="AQ7" s="927" t="s">
        <v>643</v>
      </c>
      <c r="AR7" s="129" t="s">
        <v>372</v>
      </c>
      <c r="AS7" s="129" t="s">
        <v>373</v>
      </c>
      <c r="AT7" s="130" t="s">
        <v>374</v>
      </c>
      <c r="AU7" s="927" t="s">
        <v>643</v>
      </c>
      <c r="AV7" s="129" t="s">
        <v>372</v>
      </c>
      <c r="AW7" s="129" t="s">
        <v>373</v>
      </c>
      <c r="AX7" s="130" t="s">
        <v>374</v>
      </c>
      <c r="AY7" s="927" t="s">
        <v>643</v>
      </c>
      <c r="AZ7" s="129" t="s">
        <v>372</v>
      </c>
      <c r="BA7" s="129" t="s">
        <v>373</v>
      </c>
      <c r="BB7" s="130" t="s">
        <v>374</v>
      </c>
      <c r="BC7" s="927" t="s">
        <v>643</v>
      </c>
      <c r="BD7" s="129" t="s">
        <v>372</v>
      </c>
      <c r="BE7" s="129" t="s">
        <v>373</v>
      </c>
      <c r="BF7" s="130" t="s">
        <v>374</v>
      </c>
      <c r="BG7" s="927" t="s">
        <v>643</v>
      </c>
      <c r="BH7" s="129" t="s">
        <v>372</v>
      </c>
      <c r="BI7" s="129" t="s">
        <v>373</v>
      </c>
      <c r="BJ7" s="130" t="s">
        <v>374</v>
      </c>
      <c r="BK7" s="927" t="s">
        <v>643</v>
      </c>
      <c r="BL7" s="129" t="s">
        <v>372</v>
      </c>
      <c r="BM7" s="129" t="s">
        <v>373</v>
      </c>
      <c r="BN7" s="130" t="s">
        <v>374</v>
      </c>
      <c r="BO7" s="927" t="s">
        <v>643</v>
      </c>
      <c r="BP7" s="129" t="s">
        <v>372</v>
      </c>
      <c r="BQ7" s="129" t="s">
        <v>373</v>
      </c>
      <c r="BR7" s="130" t="s">
        <v>374</v>
      </c>
      <c r="BS7" s="927" t="s">
        <v>643</v>
      </c>
      <c r="BT7" s="129" t="s">
        <v>372</v>
      </c>
      <c r="BU7" s="129" t="s">
        <v>373</v>
      </c>
      <c r="BV7" s="130" t="s">
        <v>374</v>
      </c>
    </row>
    <row r="8" spans="2:77" ht="29.25" customHeight="1">
      <c r="B8" s="131" t="s">
        <v>368</v>
      </c>
      <c r="C8" s="133">
        <f>'Huella mano de obra'!$U$16</f>
        <v>4.6255827870514468</v>
      </c>
      <c r="D8" s="133">
        <f>'Huella mano de obra'!$U$17</f>
        <v>2.8822539399288161</v>
      </c>
      <c r="E8" s="133">
        <f>'Huella mano de obra'!$U$18</f>
        <v>2.1961242357314532</v>
      </c>
      <c r="F8" s="134">
        <f>'Huella mano de obra'!$U$19</f>
        <v>9.0633698617488534</v>
      </c>
      <c r="G8" s="1947" t="s">
        <v>1883</v>
      </c>
      <c r="H8" s="685">
        <f>H7/'Seleccion proyecto HEREVEA02'!$L$8*1000</f>
        <v>2.0132271583134229</v>
      </c>
      <c r="I8" s="3592"/>
      <c r="J8" s="1948" t="e">
        <f>J7/'Seleccion proyecto HEREVEA02'!$L$8*1000</f>
        <v>#REF!</v>
      </c>
      <c r="K8" s="1948" t="e">
        <f>K7/'Seleccion proyecto HEREVEA02'!$L$8*1000</f>
        <v>#REF!</v>
      </c>
      <c r="L8" s="1948" t="e">
        <f>L7/'Seleccion proyecto HEREVEA02'!$L$8*1000</f>
        <v>#REF!</v>
      </c>
      <c r="M8" s="1948" t="e">
        <f>M7/'Seleccion proyecto HEREVEA02'!$L$8*1000</f>
        <v>#REF!</v>
      </c>
      <c r="N8" s="1948" t="e">
        <f>N7/'Seleccion proyecto HEREVEA02'!$L$8*1000</f>
        <v>#REF!</v>
      </c>
      <c r="O8" s="1948" t="e">
        <f>O7/'Seleccion proyecto HEREVEA02'!$L$8*1000</f>
        <v>#REF!</v>
      </c>
      <c r="P8" s="1948" t="e">
        <f>P7/'Seleccion proyecto HEREVEA02'!$L$8*1000</f>
        <v>#REF!</v>
      </c>
      <c r="Q8" s="1948" t="e">
        <f>Q7/'Seleccion proyecto HEREVEA02'!$L$8*1000</f>
        <v>#REF!</v>
      </c>
      <c r="R8" s="1948" t="e">
        <f>R7/'Seleccion proyecto HEREVEA02'!$L$8*1000</f>
        <v>#REF!</v>
      </c>
      <c r="S8" s="1948" t="e">
        <f>S7/'Seleccion proyecto HEREVEA02'!$L$8*1000</f>
        <v>#REF!</v>
      </c>
      <c r="T8" s="1948" t="e">
        <f>T7/'Seleccion proyecto HEREVEA02'!$L$8*1000</f>
        <v>#REF!</v>
      </c>
      <c r="U8" s="1948" t="e">
        <f>U7/'Seleccion proyecto HEREVEA02'!$L$8*1000</f>
        <v>#REF!</v>
      </c>
      <c r="V8" s="1945"/>
      <c r="W8" s="1946"/>
      <c r="X8" s="16"/>
      <c r="Y8" s="16"/>
      <c r="Z8" s="931" t="s">
        <v>365</v>
      </c>
      <c r="AA8" s="928" t="e">
        <f>C39</f>
        <v>#REF!</v>
      </c>
      <c r="AB8" s="133"/>
      <c r="AC8" s="133"/>
      <c r="AD8" s="134"/>
      <c r="AE8" s="928" t="e">
        <f>C51</f>
        <v>#REF!</v>
      </c>
      <c r="AF8" s="133"/>
      <c r="AG8" s="133"/>
      <c r="AH8" s="134"/>
      <c r="AI8" s="928" t="e">
        <f>C63</f>
        <v>#REF!</v>
      </c>
      <c r="AJ8" s="133"/>
      <c r="AK8" s="133"/>
      <c r="AL8" s="134"/>
      <c r="AM8" s="928" t="e">
        <f>C75</f>
        <v>#REF!</v>
      </c>
      <c r="AN8" s="133"/>
      <c r="AO8" s="133"/>
      <c r="AP8" s="134"/>
      <c r="AQ8" s="928" t="e">
        <f>C87</f>
        <v>#REF!</v>
      </c>
      <c r="AR8" s="133"/>
      <c r="AS8" s="133"/>
      <c r="AT8" s="134"/>
      <c r="AU8" s="928" t="e">
        <f>C99</f>
        <v>#REF!</v>
      </c>
      <c r="AV8" s="133"/>
      <c r="AW8" s="133"/>
      <c r="AX8" s="134"/>
      <c r="AY8" s="928" t="e">
        <f>C111</f>
        <v>#REF!</v>
      </c>
      <c r="AZ8" s="133"/>
      <c r="BA8" s="133"/>
      <c r="BB8" s="134"/>
      <c r="BC8" s="928" t="e">
        <f>C123</f>
        <v>#REF!</v>
      </c>
      <c r="BD8" s="133"/>
      <c r="BE8" s="133"/>
      <c r="BF8" s="134"/>
      <c r="BG8" s="928" t="e">
        <f>C135</f>
        <v>#REF!</v>
      </c>
      <c r="BH8" s="133"/>
      <c r="BI8" s="133"/>
      <c r="BJ8" s="134"/>
      <c r="BK8" s="928" t="e">
        <f>C147</f>
        <v>#REF!</v>
      </c>
      <c r="BL8" s="133"/>
      <c r="BM8" s="133"/>
      <c r="BN8" s="134"/>
      <c r="BO8" s="928" t="e">
        <f>C159</f>
        <v>#REF!</v>
      </c>
      <c r="BP8" s="133"/>
      <c r="BQ8" s="133"/>
      <c r="BR8" s="134"/>
      <c r="BS8" s="928" t="e">
        <f>C171</f>
        <v>#REF!</v>
      </c>
      <c r="BT8" s="133"/>
      <c r="BU8" s="133"/>
      <c r="BV8" s="134"/>
    </row>
    <row r="9" spans="2:77" ht="30" customHeight="1">
      <c r="B9" s="131" t="s">
        <v>369</v>
      </c>
      <c r="C9" s="675">
        <f>'Huella mano de obra'!U44</f>
        <v>4.5298774647887325E-3</v>
      </c>
      <c r="D9" s="133"/>
      <c r="E9" s="133"/>
      <c r="F9" s="134"/>
      <c r="G9" s="16"/>
      <c r="H9" s="687" t="s">
        <v>930</v>
      </c>
      <c r="I9" s="3593"/>
      <c r="J9" s="703" t="e">
        <f>J7/$H$7*100</f>
        <v>#REF!</v>
      </c>
      <c r="K9" s="703" t="e">
        <f>K7/$H$7*100</f>
        <v>#REF!</v>
      </c>
      <c r="L9" s="703" t="e">
        <f t="shared" ref="L9:U9" si="0">L7/$H$7*100</f>
        <v>#REF!</v>
      </c>
      <c r="M9" s="703" t="e">
        <f t="shared" si="0"/>
        <v>#REF!</v>
      </c>
      <c r="N9" s="703" t="e">
        <f t="shared" si="0"/>
        <v>#REF!</v>
      </c>
      <c r="O9" s="703" t="e">
        <f t="shared" si="0"/>
        <v>#REF!</v>
      </c>
      <c r="P9" s="703" t="e">
        <f t="shared" si="0"/>
        <v>#REF!</v>
      </c>
      <c r="Q9" s="703" t="e">
        <f t="shared" si="0"/>
        <v>#REF!</v>
      </c>
      <c r="R9" s="703" t="e">
        <f t="shared" si="0"/>
        <v>#REF!</v>
      </c>
      <c r="S9" s="703" t="e">
        <f t="shared" si="0"/>
        <v>#REF!</v>
      </c>
      <c r="T9" s="703" t="e">
        <f t="shared" si="0"/>
        <v>#REF!</v>
      </c>
      <c r="U9" s="703" t="e">
        <f t="shared" si="0"/>
        <v>#REF!</v>
      </c>
      <c r="V9" s="4656">
        <f>'Huella residuos y s. consumida'!G27</f>
        <v>58.037847362999997</v>
      </c>
      <c r="W9" s="4657"/>
      <c r="X9" s="16"/>
      <c r="Y9" s="16"/>
      <c r="Z9" s="931" t="s">
        <v>368</v>
      </c>
      <c r="AA9" s="928">
        <f>C40</f>
        <v>0</v>
      </c>
      <c r="AB9" s="133">
        <f>D40</f>
        <v>0</v>
      </c>
      <c r="AC9" s="133">
        <f>E40</f>
        <v>0</v>
      </c>
      <c r="AD9" s="134">
        <f>F40</f>
        <v>0</v>
      </c>
      <c r="AE9" s="928">
        <f>C52</f>
        <v>0</v>
      </c>
      <c r="AF9" s="133">
        <f>D52</f>
        <v>0</v>
      </c>
      <c r="AG9" s="133">
        <f>E52</f>
        <v>0</v>
      </c>
      <c r="AH9" s="134">
        <f>F52</f>
        <v>0</v>
      </c>
      <c r="AI9" s="928">
        <f>C64</f>
        <v>0</v>
      </c>
      <c r="AJ9" s="133">
        <f>D64</f>
        <v>0</v>
      </c>
      <c r="AK9" s="133">
        <f>E64</f>
        <v>0</v>
      </c>
      <c r="AL9" s="134">
        <f>F64</f>
        <v>0</v>
      </c>
      <c r="AM9" s="928">
        <f>C76</f>
        <v>0</v>
      </c>
      <c r="AN9" s="133">
        <f>D76</f>
        <v>0</v>
      </c>
      <c r="AO9" s="133">
        <f>E76</f>
        <v>0</v>
      </c>
      <c r="AP9" s="134">
        <f>F76</f>
        <v>0</v>
      </c>
      <c r="AQ9" s="928">
        <f>C88</f>
        <v>0</v>
      </c>
      <c r="AR9" s="133">
        <f>D88</f>
        <v>0</v>
      </c>
      <c r="AS9" s="133">
        <f>E88</f>
        <v>0</v>
      </c>
      <c r="AT9" s="134">
        <f>F88</f>
        <v>0</v>
      </c>
      <c r="AU9" s="928">
        <f>C100</f>
        <v>0</v>
      </c>
      <c r="AV9" s="133">
        <f>D100</f>
        <v>0</v>
      </c>
      <c r="AW9" s="133">
        <f>E100</f>
        <v>0</v>
      </c>
      <c r="AX9" s="134">
        <f>F100</f>
        <v>0</v>
      </c>
      <c r="AY9" s="928">
        <f>C112</f>
        <v>0</v>
      </c>
      <c r="AZ9" s="133">
        <f>D112</f>
        <v>0</v>
      </c>
      <c r="BA9" s="133">
        <f>E112</f>
        <v>0</v>
      </c>
      <c r="BB9" s="134">
        <f>F112</f>
        <v>0</v>
      </c>
      <c r="BC9" s="928">
        <f>C124</f>
        <v>0</v>
      </c>
      <c r="BD9" s="133">
        <f>D124</f>
        <v>0</v>
      </c>
      <c r="BE9" s="133">
        <f>E124</f>
        <v>0</v>
      </c>
      <c r="BF9" s="134">
        <f>F124</f>
        <v>0</v>
      </c>
      <c r="BG9" s="928">
        <f>C136</f>
        <v>0</v>
      </c>
      <c r="BH9" s="133">
        <f>D136</f>
        <v>0</v>
      </c>
      <c r="BI9" s="133">
        <f>E136</f>
        <v>0</v>
      </c>
      <c r="BJ9" s="134">
        <f>F136</f>
        <v>0</v>
      </c>
      <c r="BK9" s="928">
        <f>C148</f>
        <v>0</v>
      </c>
      <c r="BL9" s="133">
        <f>D148</f>
        <v>0</v>
      </c>
      <c r="BM9" s="133">
        <f>E148</f>
        <v>0</v>
      </c>
      <c r="BN9" s="134">
        <f>F148</f>
        <v>0</v>
      </c>
      <c r="BO9" s="928">
        <f>C160</f>
        <v>0</v>
      </c>
      <c r="BP9" s="133">
        <f>D160</f>
        <v>0</v>
      </c>
      <c r="BQ9" s="133">
        <f>E160</f>
        <v>0</v>
      </c>
      <c r="BR9" s="134">
        <f>F160</f>
        <v>0</v>
      </c>
      <c r="BS9" s="928">
        <f>C172</f>
        <v>0</v>
      </c>
      <c r="BT9" s="133">
        <f>D172</f>
        <v>0</v>
      </c>
      <c r="BU9" s="133">
        <f>E172</f>
        <v>0</v>
      </c>
      <c r="BV9" s="134">
        <f>F172</f>
        <v>0</v>
      </c>
    </row>
    <row r="10" spans="2:77" ht="27" customHeight="1" thickBot="1">
      <c r="B10" s="131" t="s">
        <v>286</v>
      </c>
      <c r="C10" s="133">
        <f>'Huella materiales'!AX8</f>
        <v>3.5769115724700384</v>
      </c>
      <c r="D10" s="133"/>
      <c r="E10" s="133"/>
      <c r="F10" s="134"/>
      <c r="G10" s="16"/>
      <c r="H10" s="696"/>
      <c r="I10" s="697"/>
      <c r="J10" s="697"/>
      <c r="K10" s="697"/>
      <c r="L10" s="697"/>
      <c r="M10" s="697"/>
      <c r="N10" s="697"/>
      <c r="O10" s="697"/>
      <c r="P10" s="697"/>
      <c r="Q10" s="697"/>
      <c r="R10" s="697"/>
      <c r="S10" s="697"/>
      <c r="T10" s="697"/>
      <c r="U10" s="698"/>
      <c r="V10" s="699"/>
      <c r="W10" s="16"/>
      <c r="X10" s="16"/>
      <c r="Y10" s="16"/>
      <c r="Z10" s="931" t="s">
        <v>369</v>
      </c>
      <c r="AA10" s="928" t="e">
        <f>C41</f>
        <v>#REF!</v>
      </c>
      <c r="AB10" s="133"/>
      <c r="AC10" s="133"/>
      <c r="AD10" s="134"/>
      <c r="AE10" s="928" t="e">
        <f>C53</f>
        <v>#REF!</v>
      </c>
      <c r="AF10" s="133"/>
      <c r="AG10" s="133"/>
      <c r="AH10" s="134"/>
      <c r="AI10" s="928" t="e">
        <f>C65</f>
        <v>#REF!</v>
      </c>
      <c r="AJ10" s="133"/>
      <c r="AK10" s="133"/>
      <c r="AL10" s="134"/>
      <c r="AM10" s="928" t="e">
        <f>C77</f>
        <v>#REF!</v>
      </c>
      <c r="AN10" s="133"/>
      <c r="AO10" s="133"/>
      <c r="AP10" s="134"/>
      <c r="AQ10" s="928" t="e">
        <f>C89</f>
        <v>#REF!</v>
      </c>
      <c r="AR10" s="133"/>
      <c r="AS10" s="133"/>
      <c r="AT10" s="134"/>
      <c r="AU10" s="928" t="e">
        <f>C101</f>
        <v>#REF!</v>
      </c>
      <c r="AV10" s="133"/>
      <c r="AW10" s="133"/>
      <c r="AX10" s="134"/>
      <c r="AY10" s="928" t="e">
        <f>C113</f>
        <v>#REF!</v>
      </c>
      <c r="AZ10" s="133"/>
      <c r="BA10" s="133"/>
      <c r="BB10" s="134"/>
      <c r="BC10" s="928" t="e">
        <f>C125</f>
        <v>#REF!</v>
      </c>
      <c r="BD10" s="133"/>
      <c r="BE10" s="133"/>
      <c r="BF10" s="134"/>
      <c r="BG10" s="928" t="e">
        <f>C137</f>
        <v>#REF!</v>
      </c>
      <c r="BH10" s="133"/>
      <c r="BI10" s="133"/>
      <c r="BJ10" s="134"/>
      <c r="BK10" s="928" t="e">
        <f>C149</f>
        <v>#REF!</v>
      </c>
      <c r="BL10" s="133"/>
      <c r="BM10" s="133"/>
      <c r="BN10" s="134"/>
      <c r="BO10" s="928" t="e">
        <f>C161</f>
        <v>#REF!</v>
      </c>
      <c r="BP10" s="133"/>
      <c r="BQ10" s="133"/>
      <c r="BR10" s="134"/>
      <c r="BS10" s="928" t="e">
        <f>C173</f>
        <v>#REF!</v>
      </c>
      <c r="BT10" s="133"/>
      <c r="BU10" s="133"/>
      <c r="BV10" s="134"/>
    </row>
    <row r="11" spans="2:77" ht="29.25" customHeight="1" thickBot="1">
      <c r="B11" s="139" t="s">
        <v>645</v>
      </c>
      <c r="C11" s="137">
        <f>SUM(C7:C10)</f>
        <v>8.2070242369862747</v>
      </c>
      <c r="D11" s="137">
        <f>SUM(D7:D10)</f>
        <v>2.8822539399288161</v>
      </c>
      <c r="E11" s="137">
        <f>SUM(E7:E10)</f>
        <v>2.1961242357314532</v>
      </c>
      <c r="F11" s="671">
        <f>SUM(F7:F10)</f>
        <v>9.0633698617488534</v>
      </c>
      <c r="G11" s="16"/>
      <c r="H11" s="710" t="s">
        <v>953</v>
      </c>
      <c r="I11" s="710"/>
      <c r="J11" s="710"/>
      <c r="K11" s="710"/>
      <c r="L11" s="710"/>
      <c r="M11" s="697"/>
      <c r="N11" s="697"/>
      <c r="O11" s="697"/>
      <c r="P11" s="697"/>
      <c r="Q11" s="697"/>
      <c r="R11" s="697"/>
      <c r="S11" s="697"/>
      <c r="T11" s="697"/>
      <c r="U11" s="698"/>
      <c r="V11" s="699"/>
      <c r="W11" s="16"/>
      <c r="X11" s="16"/>
      <c r="Y11" s="16"/>
      <c r="Z11" s="931" t="s">
        <v>286</v>
      </c>
      <c r="AA11" s="928" t="e">
        <f>C42</f>
        <v>#REF!</v>
      </c>
      <c r="AB11" s="133"/>
      <c r="AC11" s="133"/>
      <c r="AD11" s="134"/>
      <c r="AE11" s="928" t="e">
        <f>C54</f>
        <v>#REF!</v>
      </c>
      <c r="AF11" s="133"/>
      <c r="AG11" s="133"/>
      <c r="AH11" s="134"/>
      <c r="AI11" s="928" t="e">
        <f>C66</f>
        <v>#REF!</v>
      </c>
      <c r="AJ11" s="133"/>
      <c r="AK11" s="133"/>
      <c r="AL11" s="134"/>
      <c r="AM11" s="928" t="e">
        <f>C78</f>
        <v>#REF!</v>
      </c>
      <c r="AN11" s="133"/>
      <c r="AO11" s="133"/>
      <c r="AP11" s="134"/>
      <c r="AQ11" s="928" t="e">
        <f>C90</f>
        <v>#REF!</v>
      </c>
      <c r="AR11" s="133"/>
      <c r="AS11" s="133"/>
      <c r="AT11" s="134"/>
      <c r="AU11" s="928" t="e">
        <f>C102</f>
        <v>#REF!</v>
      </c>
      <c r="AV11" s="133"/>
      <c r="AW11" s="133"/>
      <c r="AX11" s="134"/>
      <c r="AY11" s="928" t="e">
        <f>C114</f>
        <v>#REF!</v>
      </c>
      <c r="AZ11" s="133"/>
      <c r="BA11" s="133"/>
      <c r="BB11" s="134"/>
      <c r="BC11" s="928" t="e">
        <f>C126</f>
        <v>#REF!</v>
      </c>
      <c r="BD11" s="133"/>
      <c r="BE11" s="133"/>
      <c r="BF11" s="134"/>
      <c r="BG11" s="928" t="e">
        <f>C138</f>
        <v>#REF!</v>
      </c>
      <c r="BH11" s="133"/>
      <c r="BI11" s="133"/>
      <c r="BJ11" s="134"/>
      <c r="BK11" s="928" t="e">
        <f>C150</f>
        <v>#REF!</v>
      </c>
      <c r="BL11" s="133"/>
      <c r="BM11" s="133"/>
      <c r="BN11" s="134"/>
      <c r="BO11" s="928" t="e">
        <f>C162</f>
        <v>#REF!</v>
      </c>
      <c r="BP11" s="133"/>
      <c r="BQ11" s="133"/>
      <c r="BR11" s="134"/>
      <c r="BS11" s="928" t="e">
        <f>C174</f>
        <v>#REF!</v>
      </c>
      <c r="BT11" s="133"/>
      <c r="BU11" s="133"/>
      <c r="BV11" s="134"/>
    </row>
    <row r="12" spans="2:77" ht="27.75" customHeight="1" thickBot="1">
      <c r="B12" s="138" t="s">
        <v>644</v>
      </c>
      <c r="C12" s="4659">
        <f>SUM(C11:F11)</f>
        <v>22.348772274395397</v>
      </c>
      <c r="D12" s="4660"/>
      <c r="E12" s="4660"/>
      <c r="F12" s="4661"/>
      <c r="G12" s="16"/>
      <c r="H12" s="4658" t="s">
        <v>645</v>
      </c>
      <c r="I12" s="4658"/>
      <c r="J12" s="706"/>
      <c r="K12" s="706"/>
      <c r="L12" s="706"/>
      <c r="M12" s="697"/>
      <c r="N12" s="697"/>
      <c r="O12" s="697"/>
      <c r="P12" s="697"/>
      <c r="Q12" s="697"/>
      <c r="R12" s="697"/>
      <c r="S12" s="697"/>
      <c r="T12" s="697"/>
      <c r="U12" s="698"/>
      <c r="V12" s="699"/>
      <c r="W12" s="16"/>
      <c r="X12" s="16"/>
      <c r="Y12" s="16"/>
      <c r="Z12" s="932" t="s">
        <v>645</v>
      </c>
      <c r="AA12" s="929">
        <f>SUM(Z8:Z11)</f>
        <v>0</v>
      </c>
      <c r="AB12" s="137">
        <f>AB9</f>
        <v>0</v>
      </c>
      <c r="AC12" s="137">
        <f>AC9</f>
        <v>0</v>
      </c>
      <c r="AD12" s="671">
        <f>AD9</f>
        <v>0</v>
      </c>
      <c r="AE12" s="929">
        <f>SUM(AD8:AD11)</f>
        <v>0</v>
      </c>
      <c r="AF12" s="137">
        <f>AF9</f>
        <v>0</v>
      </c>
      <c r="AG12" s="137">
        <f>AG9</f>
        <v>0</v>
      </c>
      <c r="AH12" s="671">
        <f>AH9</f>
        <v>0</v>
      </c>
      <c r="AI12" s="929">
        <f>SUM(AH8:AH11)</f>
        <v>0</v>
      </c>
      <c r="AJ12" s="137">
        <f>AJ9</f>
        <v>0</v>
      </c>
      <c r="AK12" s="137">
        <f>AK9</f>
        <v>0</v>
      </c>
      <c r="AL12" s="671">
        <f>AL9</f>
        <v>0</v>
      </c>
      <c r="AM12" s="929">
        <f>SUM(AL8:AL11)</f>
        <v>0</v>
      </c>
      <c r="AN12" s="137">
        <f>AN9</f>
        <v>0</v>
      </c>
      <c r="AO12" s="137">
        <f>AO9</f>
        <v>0</v>
      </c>
      <c r="AP12" s="671">
        <f>AP9</f>
        <v>0</v>
      </c>
      <c r="AQ12" s="929">
        <f>SUM(AP8:AP11)</f>
        <v>0</v>
      </c>
      <c r="AR12" s="137">
        <f>AR9</f>
        <v>0</v>
      </c>
      <c r="AS12" s="137">
        <f>AS9</f>
        <v>0</v>
      </c>
      <c r="AT12" s="671">
        <f>AT9</f>
        <v>0</v>
      </c>
      <c r="AU12" s="929">
        <f>SUM(AT8:AT11)</f>
        <v>0</v>
      </c>
      <c r="AV12" s="137">
        <f>AV9</f>
        <v>0</v>
      </c>
      <c r="AW12" s="137">
        <f>AW9</f>
        <v>0</v>
      </c>
      <c r="AX12" s="671">
        <f>AX9</f>
        <v>0</v>
      </c>
      <c r="AY12" s="929">
        <f>SUM(AX8:AX11)</f>
        <v>0</v>
      </c>
      <c r="AZ12" s="137">
        <f>AZ9</f>
        <v>0</v>
      </c>
      <c r="BA12" s="137">
        <f>BA9</f>
        <v>0</v>
      </c>
      <c r="BB12" s="671">
        <f>BB9</f>
        <v>0</v>
      </c>
      <c r="BC12" s="929">
        <f>SUM(BB8:BB11)</f>
        <v>0</v>
      </c>
      <c r="BD12" s="137">
        <f>BD9</f>
        <v>0</v>
      </c>
      <c r="BE12" s="137">
        <f>BE9</f>
        <v>0</v>
      </c>
      <c r="BF12" s="671">
        <f>BF9</f>
        <v>0</v>
      </c>
      <c r="BG12" s="929">
        <f>SUM(BF8:BF11)</f>
        <v>0</v>
      </c>
      <c r="BH12" s="137">
        <f>BH9</f>
        <v>0</v>
      </c>
      <c r="BI12" s="137">
        <f>BI9</f>
        <v>0</v>
      </c>
      <c r="BJ12" s="671">
        <f>BJ9</f>
        <v>0</v>
      </c>
      <c r="BK12" s="929">
        <f>SUM(BJ8:BJ11)</f>
        <v>0</v>
      </c>
      <c r="BL12" s="137">
        <f>BL9</f>
        <v>0</v>
      </c>
      <c r="BM12" s="137">
        <f>BM9</f>
        <v>0</v>
      </c>
      <c r="BN12" s="671">
        <f>BN9</f>
        <v>0</v>
      </c>
      <c r="BO12" s="929">
        <f>SUM(BN8:BN11)</f>
        <v>0</v>
      </c>
      <c r="BP12" s="137">
        <f>BP9</f>
        <v>0</v>
      </c>
      <c r="BQ12" s="137">
        <f>BQ9</f>
        <v>0</v>
      </c>
      <c r="BR12" s="671">
        <f>BR9</f>
        <v>0</v>
      </c>
      <c r="BS12" s="929">
        <f>SUM(BR8:BR11)</f>
        <v>0</v>
      </c>
      <c r="BT12" s="137">
        <f>BT9</f>
        <v>0</v>
      </c>
      <c r="BU12" s="137">
        <f>BU9</f>
        <v>0</v>
      </c>
      <c r="BV12" s="671">
        <f>BV9</f>
        <v>0</v>
      </c>
    </row>
    <row r="13" spans="2:77" ht="32.25" customHeight="1" thickBot="1">
      <c r="B13" s="138" t="s">
        <v>873</v>
      </c>
      <c r="C13" s="4659">
        <f>C12/'Seleccion proyecto HEREVEA02'!L8</f>
        <v>2.0132271583134229E-3</v>
      </c>
      <c r="D13" s="4660"/>
      <c r="E13" s="4660"/>
      <c r="F13" s="4661"/>
      <c r="G13" s="16"/>
      <c r="H13" s="705" t="s">
        <v>949</v>
      </c>
      <c r="I13" s="703">
        <f>'Huella maquinaria'!P32</f>
        <v>450.57061146502537</v>
      </c>
      <c r="J13" s="697"/>
      <c r="K13" s="697"/>
      <c r="L13" s="697"/>
      <c r="M13" s="697"/>
      <c r="N13" s="697"/>
      <c r="O13" s="697"/>
      <c r="P13" s="697"/>
      <c r="Q13" s="697"/>
      <c r="R13" s="697"/>
      <c r="S13" s="697"/>
      <c r="T13" s="697"/>
      <c r="U13" s="698"/>
      <c r="V13" s="699"/>
      <c r="W13" s="16"/>
      <c r="X13" s="16"/>
      <c r="Y13" s="16"/>
      <c r="Z13" s="926" t="s">
        <v>644</v>
      </c>
      <c r="AA13" s="4659">
        <f>SUM(AA12:AD12)</f>
        <v>0</v>
      </c>
      <c r="AB13" s="4660"/>
      <c r="AC13" s="4660"/>
      <c r="AD13" s="4661"/>
      <c r="AE13" s="4659">
        <f>SUM(AE12:AH12)</f>
        <v>0</v>
      </c>
      <c r="AF13" s="4660"/>
      <c r="AG13" s="4660"/>
      <c r="AH13" s="4661"/>
      <c r="AI13" s="4659">
        <f>SUM(AI12:AL12)</f>
        <v>0</v>
      </c>
      <c r="AJ13" s="4660"/>
      <c r="AK13" s="4660"/>
      <c r="AL13" s="4661"/>
      <c r="AM13" s="4659">
        <f>SUM(AM12:AP12)</f>
        <v>0</v>
      </c>
      <c r="AN13" s="4660"/>
      <c r="AO13" s="4660"/>
      <c r="AP13" s="4661"/>
      <c r="AQ13" s="4659">
        <f>SUM(AQ12:AT12)</f>
        <v>0</v>
      </c>
      <c r="AR13" s="4660"/>
      <c r="AS13" s="4660"/>
      <c r="AT13" s="4661"/>
      <c r="AU13" s="4659">
        <f>SUM(AU12:AX12)</f>
        <v>0</v>
      </c>
      <c r="AV13" s="4660"/>
      <c r="AW13" s="4660"/>
      <c r="AX13" s="4661"/>
      <c r="AY13" s="4659">
        <f>SUM(AY12:BB12)</f>
        <v>0</v>
      </c>
      <c r="AZ13" s="4660"/>
      <c r="BA13" s="4660"/>
      <c r="BB13" s="4661"/>
      <c r="BC13" s="4659">
        <f>SUM(BC12:BF12)</f>
        <v>0</v>
      </c>
      <c r="BD13" s="4660"/>
      <c r="BE13" s="4660"/>
      <c r="BF13" s="4661"/>
      <c r="BG13" s="4659">
        <f>SUM(BG12:BJ12)</f>
        <v>0</v>
      </c>
      <c r="BH13" s="4660"/>
      <c r="BI13" s="4660"/>
      <c r="BJ13" s="4661"/>
      <c r="BK13" s="4659">
        <f>SUM(BK12:BN12)</f>
        <v>0</v>
      </c>
      <c r="BL13" s="4660"/>
      <c r="BM13" s="4660"/>
      <c r="BN13" s="4661"/>
      <c r="BO13" s="4659">
        <f>SUM(BO12:BR12)</f>
        <v>0</v>
      </c>
      <c r="BP13" s="4660"/>
      <c r="BQ13" s="4660"/>
      <c r="BR13" s="4661"/>
      <c r="BS13" s="4659">
        <f>SUM(BS12:BV12)</f>
        <v>0</v>
      </c>
      <c r="BT13" s="4660"/>
      <c r="BU13" s="4660"/>
      <c r="BV13" s="4661"/>
    </row>
    <row r="14" spans="2:77" s="22" customFormat="1" ht="16" thickBot="1">
      <c r="B14" s="674"/>
      <c r="C14" s="909"/>
      <c r="D14" s="909"/>
      <c r="E14" s="909"/>
      <c r="F14" s="909"/>
      <c r="G14" s="16"/>
      <c r="H14" s="705" t="s">
        <v>950</v>
      </c>
      <c r="I14" s="704">
        <f>'Huella consumo agua'!C17</f>
        <v>0.25631395798834944</v>
      </c>
      <c r="J14" s="697"/>
      <c r="K14" s="697"/>
      <c r="L14" s="697"/>
      <c r="M14" s="697"/>
      <c r="N14" s="697"/>
      <c r="O14" s="697"/>
      <c r="P14" s="697"/>
      <c r="Q14" s="697"/>
      <c r="R14" s="697"/>
      <c r="S14" s="697"/>
      <c r="T14" s="697"/>
      <c r="U14" s="698"/>
      <c r="V14" s="699"/>
      <c r="W14" s="16"/>
      <c r="X14" s="16"/>
      <c r="Y14" s="16"/>
      <c r="Z14"/>
      <c r="AA14"/>
      <c r="BY14"/>
    </row>
    <row r="15" spans="2:77" s="22" customFormat="1" ht="20.5" thickBot="1">
      <c r="B15" s="674"/>
      <c r="C15" s="129" t="s">
        <v>643</v>
      </c>
      <c r="D15" s="129" t="s">
        <v>372</v>
      </c>
      <c r="E15" s="129" t="s">
        <v>373</v>
      </c>
      <c r="F15" s="130" t="s">
        <v>374</v>
      </c>
      <c r="G15" s="16"/>
      <c r="H15" s="705" t="s">
        <v>951</v>
      </c>
      <c r="I15" s="704">
        <f>'Huella residuos y s. consumida'!G34</f>
        <v>0.27863432189999998</v>
      </c>
      <c r="J15" s="697"/>
      <c r="K15" s="697"/>
      <c r="L15" s="697"/>
      <c r="M15" s="697"/>
      <c r="N15" s="697"/>
      <c r="O15" s="697"/>
      <c r="P15" s="697"/>
      <c r="Q15" s="697"/>
      <c r="R15" s="697"/>
      <c r="S15" s="697"/>
      <c r="T15" s="697"/>
      <c r="U15" s="698"/>
      <c r="V15" s="699"/>
      <c r="W15" s="16"/>
      <c r="X15" s="16"/>
      <c r="Y15" s="16"/>
      <c r="Z15" s="4642" t="str">
        <f>H2</f>
        <v xml:space="preserve">Proyecto tipo  </v>
      </c>
      <c r="AA15" s="4643"/>
      <c r="AB15" s="957" t="str">
        <f>I2</f>
        <v>c107</v>
      </c>
      <c r="AC15" s="958"/>
      <c r="AD15" s="958"/>
      <c r="AE15" s="958"/>
      <c r="AF15" s="958"/>
      <c r="AG15" s="958"/>
      <c r="AH15" s="958"/>
      <c r="AI15" s="958"/>
      <c r="AJ15" s="958"/>
      <c r="AK15" s="958"/>
      <c r="AL15" s="958"/>
      <c r="AM15" s="959"/>
      <c r="AO15" s="4642">
        <f>W2</f>
        <v>0</v>
      </c>
      <c r="AP15" s="4643"/>
      <c r="AQ15" s="1944">
        <f>X2</f>
        <v>0</v>
      </c>
      <c r="AR15" s="958"/>
      <c r="AS15" s="958"/>
      <c r="AT15" s="958"/>
      <c r="AU15" s="958"/>
      <c r="AV15" s="958"/>
      <c r="AW15" s="958"/>
      <c r="AX15" s="958"/>
      <c r="AY15" s="958"/>
      <c r="AZ15" s="958"/>
      <c r="BA15" s="958"/>
      <c r="BB15" s="959"/>
      <c r="BY15"/>
    </row>
    <row r="16" spans="2:77" s="22" customFormat="1" ht="18.5" thickBot="1">
      <c r="B16" s="674"/>
      <c r="C16" s="909">
        <f>C11+I13</f>
        <v>458.77763570201165</v>
      </c>
      <c r="D16" s="909">
        <f>D11</f>
        <v>2.8822539399288161</v>
      </c>
      <c r="E16" s="960">
        <f>E11</f>
        <v>2.1961242357314532</v>
      </c>
      <c r="F16" s="960">
        <f>F11</f>
        <v>9.0633698617488534</v>
      </c>
      <c r="G16" s="16"/>
      <c r="H16" s="708" t="s">
        <v>954</v>
      </c>
      <c r="I16" s="709">
        <f>H7+V9+I13+I14+I15</f>
        <v>531.49217938230913</v>
      </c>
      <c r="J16" s="697"/>
      <c r="K16" s="697"/>
      <c r="L16" s="697"/>
      <c r="M16" s="697"/>
      <c r="N16" s="697"/>
      <c r="O16" s="697"/>
      <c r="P16" s="697"/>
      <c r="Q16" s="697"/>
      <c r="R16" s="697"/>
      <c r="S16" s="697"/>
      <c r="T16" s="697"/>
      <c r="U16" s="698"/>
      <c r="V16" s="699"/>
      <c r="W16" s="16"/>
      <c r="X16" s="16"/>
      <c r="Y16" s="16"/>
      <c r="Z16" s="930" t="s">
        <v>1036</v>
      </c>
      <c r="AA16" s="938" t="s">
        <v>899</v>
      </c>
      <c r="AB16" s="938" t="s">
        <v>903</v>
      </c>
      <c r="AC16" s="938" t="s">
        <v>900</v>
      </c>
      <c r="AD16" s="938" t="s">
        <v>901</v>
      </c>
      <c r="AE16" s="938" t="s">
        <v>904</v>
      </c>
      <c r="AF16" s="938" t="s">
        <v>905</v>
      </c>
      <c r="AG16" s="938" t="s">
        <v>906</v>
      </c>
      <c r="AH16" s="938" t="s">
        <v>907</v>
      </c>
      <c r="AI16" s="938" t="s">
        <v>908</v>
      </c>
      <c r="AJ16" s="938" t="s">
        <v>909</v>
      </c>
      <c r="AK16" s="938" t="s">
        <v>910</v>
      </c>
      <c r="AL16" s="938" t="s">
        <v>911</v>
      </c>
      <c r="AM16" s="939" t="s">
        <v>948</v>
      </c>
      <c r="AN16" s="935"/>
      <c r="AO16" s="930" t="s">
        <v>1884</v>
      </c>
      <c r="AP16" s="938" t="s">
        <v>899</v>
      </c>
      <c r="AQ16" s="938" t="s">
        <v>903</v>
      </c>
      <c r="AR16" s="938" t="s">
        <v>900</v>
      </c>
      <c r="AS16" s="938" t="s">
        <v>901</v>
      </c>
      <c r="AT16" s="938" t="s">
        <v>904</v>
      </c>
      <c r="AU16" s="938" t="s">
        <v>905</v>
      </c>
      <c r="AV16" s="938" t="s">
        <v>906</v>
      </c>
      <c r="AW16" s="938" t="s">
        <v>907</v>
      </c>
      <c r="AX16" s="938" t="s">
        <v>908</v>
      </c>
      <c r="AY16" s="938" t="s">
        <v>909</v>
      </c>
      <c r="AZ16" s="938" t="s">
        <v>910</v>
      </c>
      <c r="BA16" s="938" t="s">
        <v>911</v>
      </c>
      <c r="BB16" s="939" t="s">
        <v>948</v>
      </c>
    </row>
    <row r="17" spans="1:77" s="22" customFormat="1" ht="15.5">
      <c r="B17" s="674"/>
      <c r="C17" s="909"/>
      <c r="D17" s="909"/>
      <c r="E17" s="909"/>
      <c r="F17" s="909"/>
      <c r="G17" s="16"/>
      <c r="H17" s="701"/>
      <c r="I17" s="700"/>
      <c r="J17" s="697"/>
      <c r="K17" s="697"/>
      <c r="L17" s="697"/>
      <c r="M17" s="697"/>
      <c r="N17" s="697"/>
      <c r="O17" s="697"/>
      <c r="P17" s="697"/>
      <c r="Q17" s="697"/>
      <c r="R17" s="697"/>
      <c r="S17" s="697"/>
      <c r="T17" s="697"/>
      <c r="U17" s="698"/>
      <c r="V17" s="699"/>
      <c r="W17" s="16"/>
      <c r="X17" s="16"/>
      <c r="Y17" s="16"/>
      <c r="Z17" s="946" t="s">
        <v>364</v>
      </c>
      <c r="AA17" s="940" t="s">
        <v>916</v>
      </c>
      <c r="AB17" s="940" t="s">
        <v>917</v>
      </c>
      <c r="AC17" s="940" t="s">
        <v>918</v>
      </c>
      <c r="AD17" s="940" t="s">
        <v>924</v>
      </c>
      <c r="AE17" s="940" t="s">
        <v>919</v>
      </c>
      <c r="AF17" s="940" t="s">
        <v>925</v>
      </c>
      <c r="AG17" s="940" t="s">
        <v>920</v>
      </c>
      <c r="AH17" s="940" t="s">
        <v>926</v>
      </c>
      <c r="AI17" s="940" t="s">
        <v>921</v>
      </c>
      <c r="AJ17" s="940" t="s">
        <v>943</v>
      </c>
      <c r="AK17" s="940" t="s">
        <v>922</v>
      </c>
      <c r="AL17" s="940" t="s">
        <v>923</v>
      </c>
      <c r="AM17" s="941" t="s">
        <v>1037</v>
      </c>
      <c r="AN17" s="936"/>
      <c r="AO17" s="946" t="s">
        <v>364</v>
      </c>
      <c r="AP17" s="940" t="s">
        <v>916</v>
      </c>
      <c r="AQ17" s="940" t="s">
        <v>917</v>
      </c>
      <c r="AR17" s="940" t="s">
        <v>918</v>
      </c>
      <c r="AS17" s="940" t="s">
        <v>924</v>
      </c>
      <c r="AT17" s="940" t="s">
        <v>919</v>
      </c>
      <c r="AU17" s="940" t="s">
        <v>925</v>
      </c>
      <c r="AV17" s="940" t="s">
        <v>920</v>
      </c>
      <c r="AW17" s="940" t="s">
        <v>926</v>
      </c>
      <c r="AX17" s="940" t="s">
        <v>921</v>
      </c>
      <c r="AY17" s="940" t="s">
        <v>943</v>
      </c>
      <c r="AZ17" s="940" t="s">
        <v>922</v>
      </c>
      <c r="BA17" s="940" t="s">
        <v>923</v>
      </c>
      <c r="BB17" s="941" t="s">
        <v>1037</v>
      </c>
    </row>
    <row r="18" spans="1:77" s="22" customFormat="1" ht="15.5">
      <c r="A18"/>
      <c r="B18" s="674"/>
      <c r="C18" s="960"/>
      <c r="D18" s="960"/>
      <c r="E18" s="960"/>
      <c r="F18" s="960"/>
      <c r="G18"/>
      <c r="H18" s="701"/>
      <c r="I18" s="700"/>
      <c r="J18" s="697"/>
      <c r="K18" s="697"/>
      <c r="L18" s="697"/>
      <c r="M18" s="697"/>
      <c r="N18" s="697"/>
      <c r="O18" s="697"/>
      <c r="P18" s="697"/>
      <c r="Q18" s="697"/>
      <c r="R18" s="697"/>
      <c r="S18" s="697"/>
      <c r="T18" s="697"/>
      <c r="U18" s="698"/>
      <c r="V18" s="699"/>
      <c r="W18" s="16"/>
      <c r="X18" s="16"/>
      <c r="Y18" s="16"/>
      <c r="Z18" s="933" t="s">
        <v>365</v>
      </c>
      <c r="AA18" s="942" t="e">
        <f>AA8</f>
        <v>#REF!</v>
      </c>
      <c r="AB18" s="942" t="e">
        <f>AE8</f>
        <v>#REF!</v>
      </c>
      <c r="AC18" s="942" t="e">
        <f>AI8</f>
        <v>#REF!</v>
      </c>
      <c r="AD18" s="942" t="e">
        <f>AM8</f>
        <v>#REF!</v>
      </c>
      <c r="AE18" s="942" t="e">
        <f>AQ8</f>
        <v>#REF!</v>
      </c>
      <c r="AF18" s="942" t="e">
        <f>AU8</f>
        <v>#REF!</v>
      </c>
      <c r="AG18" s="942" t="e">
        <f>AY8</f>
        <v>#REF!</v>
      </c>
      <c r="AH18" s="942" t="e">
        <f>BC8</f>
        <v>#REF!</v>
      </c>
      <c r="AI18" s="942" t="e">
        <f>BG8</f>
        <v>#REF!</v>
      </c>
      <c r="AJ18" s="942" t="e">
        <f>BK8</f>
        <v>#REF!</v>
      </c>
      <c r="AK18" s="942" t="e">
        <f>BO8</f>
        <v>#REF!</v>
      </c>
      <c r="AL18" s="942" t="e">
        <f>BS8</f>
        <v>#REF!</v>
      </c>
      <c r="AM18" s="945"/>
      <c r="AN18" s="13"/>
      <c r="AO18" s="933" t="s">
        <v>365</v>
      </c>
      <c r="AP18" s="942" t="e">
        <f>AA18/'Seleccion proyecto HEREVEA02'!$L$8*1000</f>
        <v>#REF!</v>
      </c>
      <c r="AQ18" s="942" t="e">
        <f>AB18/'Seleccion proyecto HEREVEA02'!$L$8*1000</f>
        <v>#REF!</v>
      </c>
      <c r="AR18" s="942" t="e">
        <f>AC18/'Seleccion proyecto HEREVEA02'!$L$8*1000</f>
        <v>#REF!</v>
      </c>
      <c r="AS18" s="942" t="e">
        <f>AD18/'Seleccion proyecto HEREVEA02'!$L$8*1000</f>
        <v>#REF!</v>
      </c>
      <c r="AT18" s="942" t="e">
        <f>AE18/'Seleccion proyecto HEREVEA02'!$L$8*1000</f>
        <v>#REF!</v>
      </c>
      <c r="AU18" s="942" t="e">
        <f>AF18/'Seleccion proyecto HEREVEA02'!$L$8*1000</f>
        <v>#REF!</v>
      </c>
      <c r="AV18" s="942" t="e">
        <f>AG18/'Seleccion proyecto HEREVEA02'!$L$8*1000</f>
        <v>#REF!</v>
      </c>
      <c r="AW18" s="942" t="e">
        <f>AH18/'Seleccion proyecto HEREVEA02'!$L$8*1000</f>
        <v>#REF!</v>
      </c>
      <c r="AX18" s="942" t="e">
        <f>AI18/'Seleccion proyecto HEREVEA02'!$L$8*1000</f>
        <v>#REF!</v>
      </c>
      <c r="AY18" s="942" t="e">
        <f>AJ18/'Seleccion proyecto HEREVEA02'!$L$8*1000</f>
        <v>#REF!</v>
      </c>
      <c r="AZ18" s="942" t="e">
        <f>AK18/'Seleccion proyecto HEREVEA02'!$L$8*1000</f>
        <v>#REF!</v>
      </c>
      <c r="BA18" s="942" t="e">
        <f>AL18/'Seleccion proyecto HEREVEA02'!$L$8*1000</f>
        <v>#REF!</v>
      </c>
      <c r="BB18" s="942">
        <f>AM18/'Seleccion proyecto HEREVEA02'!$L$8*1000</f>
        <v>0</v>
      </c>
    </row>
    <row r="19" spans="1:77" s="22" customFormat="1" ht="15.5">
      <c r="A19"/>
      <c r="B19" s="674"/>
      <c r="C19" s="3300"/>
      <c r="D19" s="3300"/>
      <c r="E19" s="3300"/>
      <c r="F19" s="3300"/>
      <c r="G19"/>
      <c r="H19" s="701"/>
      <c r="I19" s="700"/>
      <c r="J19" s="697"/>
      <c r="K19" s="697"/>
      <c r="L19" s="697"/>
      <c r="M19" s="697"/>
      <c r="N19" s="697"/>
      <c r="O19" s="697"/>
      <c r="P19" s="672"/>
      <c r="Q19" s="672"/>
      <c r="R19" s="16"/>
      <c r="S19" s="16"/>
      <c r="T19" s="16"/>
      <c r="U19" s="16"/>
      <c r="V19" s="16"/>
      <c r="W19" s="16"/>
      <c r="X19" s="16"/>
      <c r="Y19" s="16"/>
      <c r="Z19" s="933" t="s">
        <v>931</v>
      </c>
      <c r="AA19" s="942">
        <f>AA9+AB9+AC9+AD9</f>
        <v>0</v>
      </c>
      <c r="AB19" s="942">
        <f>AE9+AF9+AG9+AH9</f>
        <v>0</v>
      </c>
      <c r="AC19" s="942">
        <f>AI9+AJ9+AK9+AL9</f>
        <v>0</v>
      </c>
      <c r="AD19" s="942">
        <f>AM9+AN9+AO9+AP9</f>
        <v>0</v>
      </c>
      <c r="AE19" s="942">
        <f>AQ9+AR9+AS9+AT9</f>
        <v>0</v>
      </c>
      <c r="AF19" s="942">
        <f>AU9+AV9+AW9+AX9</f>
        <v>0</v>
      </c>
      <c r="AG19" s="942">
        <f>AY9+AZ9+BA9+BB9</f>
        <v>0</v>
      </c>
      <c r="AH19" s="942">
        <f>BC9+BD9+BE9+BF9</f>
        <v>0</v>
      </c>
      <c r="AI19" s="942">
        <f>BG9+BH9+BI9+BJ9</f>
        <v>0</v>
      </c>
      <c r="AJ19" s="942">
        <f>BK9+BL9+BM9+BN9</f>
        <v>0</v>
      </c>
      <c r="AK19" s="942">
        <f>BO9+BP9+BQ9+BR9</f>
        <v>0</v>
      </c>
      <c r="AL19" s="942">
        <f>BS9+BT9+BU9+BV9</f>
        <v>0</v>
      </c>
      <c r="AM19" s="945">
        <f>I227</f>
        <v>3.4210798830000004</v>
      </c>
      <c r="AN19" s="13"/>
      <c r="AO19" s="933" t="s">
        <v>931</v>
      </c>
      <c r="AP19" s="942">
        <f>AA19/'Seleccion proyecto HEREVEA02'!$L$8*1000</f>
        <v>0</v>
      </c>
      <c r="AQ19" s="942">
        <f>AB19/'Seleccion proyecto HEREVEA02'!$L$8*1000</f>
        <v>0</v>
      </c>
      <c r="AR19" s="942">
        <f>AC19/'Seleccion proyecto HEREVEA02'!$L$8*1000</f>
        <v>0</v>
      </c>
      <c r="AS19" s="942">
        <f>AD19/'Seleccion proyecto HEREVEA02'!$L$8*1000</f>
        <v>0</v>
      </c>
      <c r="AT19" s="942">
        <f>AE19/'Seleccion proyecto HEREVEA02'!$L$8*1000</f>
        <v>0</v>
      </c>
      <c r="AU19" s="942">
        <f>AF19/'Seleccion proyecto HEREVEA02'!$L$8*1000</f>
        <v>0</v>
      </c>
      <c r="AV19" s="942">
        <f>AG19/'Seleccion proyecto HEREVEA02'!$L$8*1000</f>
        <v>0</v>
      </c>
      <c r="AW19" s="942">
        <f>AH19/'Seleccion proyecto HEREVEA02'!$L$8*1000</f>
        <v>0</v>
      </c>
      <c r="AX19" s="942">
        <f>AI19/'Seleccion proyecto HEREVEA02'!$L$8*1000</f>
        <v>0</v>
      </c>
      <c r="AY19" s="942">
        <f>AJ19/'Seleccion proyecto HEREVEA02'!$L$8*1000</f>
        <v>0</v>
      </c>
      <c r="AZ19" s="942">
        <f>AK19/'Seleccion proyecto HEREVEA02'!$L$8*1000</f>
        <v>0</v>
      </c>
      <c r="BA19" s="942">
        <f>AL19/'Seleccion proyecto HEREVEA02'!$L$8*1000</f>
        <v>0</v>
      </c>
      <c r="BB19" s="942">
        <f>AM19/'Seleccion proyecto HEREVEA02'!$L$8*1000</f>
        <v>0.30817849171545303</v>
      </c>
    </row>
    <row r="20" spans="1:77" s="22" customFormat="1" ht="16" thickBot="1">
      <c r="A20" s="3569"/>
      <c r="B20" s="3570"/>
      <c r="C20" s="3571"/>
      <c r="D20" s="3571"/>
      <c r="E20" s="3571"/>
      <c r="F20" s="3571"/>
      <c r="G20" s="3572"/>
      <c r="H20" s="3573"/>
      <c r="I20" s="3574"/>
      <c r="J20" s="3575"/>
      <c r="K20" s="3575"/>
      <c r="L20" s="3575"/>
      <c r="M20" s="3575"/>
      <c r="N20" s="3576"/>
      <c r="O20" s="697"/>
      <c r="P20" s="672"/>
      <c r="Q20" s="672"/>
      <c r="R20" s="16"/>
      <c r="S20" s="16"/>
      <c r="T20" s="16"/>
      <c r="U20" s="16"/>
      <c r="V20" s="16"/>
      <c r="W20" s="16"/>
      <c r="X20" s="16"/>
      <c r="Y20" s="16"/>
      <c r="Z20" s="933" t="s">
        <v>286</v>
      </c>
      <c r="AA20" s="942" t="e">
        <f>AA11</f>
        <v>#REF!</v>
      </c>
      <c r="AB20" s="942" t="e">
        <f>AE11</f>
        <v>#REF!</v>
      </c>
      <c r="AC20" s="942" t="e">
        <f>AI11</f>
        <v>#REF!</v>
      </c>
      <c r="AD20" s="942" t="e">
        <f>AM11</f>
        <v>#REF!</v>
      </c>
      <c r="AE20" s="942" t="e">
        <f>AQ11</f>
        <v>#REF!</v>
      </c>
      <c r="AF20" s="942" t="e">
        <f>AU11</f>
        <v>#REF!</v>
      </c>
      <c r="AG20" s="942" t="e">
        <f>AY11</f>
        <v>#REF!</v>
      </c>
      <c r="AH20" s="942" t="e">
        <f>BC11</f>
        <v>#REF!</v>
      </c>
      <c r="AI20" s="942" t="e">
        <f>BG11</f>
        <v>#REF!</v>
      </c>
      <c r="AJ20" s="942" t="e">
        <f>BK11</f>
        <v>#REF!</v>
      </c>
      <c r="AK20" s="942" t="e">
        <f>BO11</f>
        <v>#REF!</v>
      </c>
      <c r="AL20" s="942" t="e">
        <f>BS11</f>
        <v>#REF!</v>
      </c>
      <c r="AM20" s="945">
        <f>K227</f>
        <v>54.61676748</v>
      </c>
      <c r="AN20" s="13"/>
      <c r="AO20" s="933" t="s">
        <v>286</v>
      </c>
      <c r="AP20" s="942" t="e">
        <f>AA20/'Seleccion proyecto HEREVEA02'!$L$8*1000</f>
        <v>#REF!</v>
      </c>
      <c r="AQ20" s="942" t="e">
        <f>AB20/'Seleccion proyecto HEREVEA02'!$L$8*1000</f>
        <v>#REF!</v>
      </c>
      <c r="AR20" s="942" t="e">
        <f>AC20/'Seleccion proyecto HEREVEA02'!$L$8*1000</f>
        <v>#REF!</v>
      </c>
      <c r="AS20" s="942" t="e">
        <f>AD20/'Seleccion proyecto HEREVEA02'!$L$8*1000</f>
        <v>#REF!</v>
      </c>
      <c r="AT20" s="942" t="e">
        <f>AE20/'Seleccion proyecto HEREVEA02'!$L$8*1000</f>
        <v>#REF!</v>
      </c>
      <c r="AU20" s="942" t="e">
        <f>AF20/'Seleccion proyecto HEREVEA02'!$L$8*1000</f>
        <v>#REF!</v>
      </c>
      <c r="AV20" s="942" t="e">
        <f>AG20/'Seleccion proyecto HEREVEA02'!$L$8*1000</f>
        <v>#REF!</v>
      </c>
      <c r="AW20" s="942" t="e">
        <f>AH20/'Seleccion proyecto HEREVEA02'!$L$8*1000</f>
        <v>#REF!</v>
      </c>
      <c r="AX20" s="942" t="e">
        <f>AI20/'Seleccion proyecto HEREVEA02'!$L$8*1000</f>
        <v>#REF!</v>
      </c>
      <c r="AY20" s="942" t="e">
        <f>AJ20/'Seleccion proyecto HEREVEA02'!$L$8*1000</f>
        <v>#REF!</v>
      </c>
      <c r="AZ20" s="942" t="e">
        <f>AK20/'Seleccion proyecto HEREVEA02'!$L$8*1000</f>
        <v>#REF!</v>
      </c>
      <c r="BA20" s="942" t="e">
        <f>AL20/'Seleccion proyecto HEREVEA02'!$L$8*1000</f>
        <v>#REF!</v>
      </c>
      <c r="BB20" s="942">
        <f>AM20/'Seleccion proyecto HEREVEA02'!$L$8*1000</f>
        <v>4.9200000000000008</v>
      </c>
    </row>
    <row r="21" spans="1:77" s="22" customFormat="1" ht="31.5" customHeight="1" thickBot="1">
      <c r="A21" s="3577"/>
      <c r="B21" s="3612" t="s">
        <v>3458</v>
      </c>
      <c r="C21" s="3612" t="s">
        <v>3459</v>
      </c>
      <c r="D21" s="3613"/>
      <c r="E21" s="3613"/>
      <c r="F21" s="3613"/>
      <c r="G21" s="3613"/>
      <c r="H21" s="3612" t="s">
        <v>3460</v>
      </c>
      <c r="I21" s="3612" t="s">
        <v>3461</v>
      </c>
      <c r="J21" s="3613"/>
      <c r="K21" s="3613"/>
      <c r="L21" s="3613"/>
      <c r="M21" s="697"/>
      <c r="N21" s="3578"/>
      <c r="O21" s="697"/>
      <c r="P21" s="16"/>
      <c r="Q21" s="16"/>
      <c r="R21" s="16"/>
      <c r="S21" s="16"/>
      <c r="T21" s="16"/>
      <c r="U21" s="16"/>
      <c r="V21" s="16"/>
      <c r="W21" s="296"/>
      <c r="X21" s="296"/>
      <c r="Y21" s="296"/>
      <c r="Z21" s="934" t="s">
        <v>644</v>
      </c>
      <c r="AA21" s="943" t="e">
        <f>SUM(AA18:AA20)</f>
        <v>#REF!</v>
      </c>
      <c r="AB21" s="943" t="e">
        <f t="shared" ref="AB21:AL21" si="1">SUM(AB18:AB20)</f>
        <v>#REF!</v>
      </c>
      <c r="AC21" s="943" t="e">
        <f t="shared" si="1"/>
        <v>#REF!</v>
      </c>
      <c r="AD21" s="943" t="e">
        <f t="shared" si="1"/>
        <v>#REF!</v>
      </c>
      <c r="AE21" s="943" t="e">
        <f t="shared" si="1"/>
        <v>#REF!</v>
      </c>
      <c r="AF21" s="943" t="e">
        <f t="shared" si="1"/>
        <v>#REF!</v>
      </c>
      <c r="AG21" s="943" t="e">
        <f t="shared" si="1"/>
        <v>#REF!</v>
      </c>
      <c r="AH21" s="943" t="e">
        <f t="shared" si="1"/>
        <v>#REF!</v>
      </c>
      <c r="AI21" s="943" t="e">
        <f t="shared" si="1"/>
        <v>#REF!</v>
      </c>
      <c r="AJ21" s="943" t="e">
        <f t="shared" si="1"/>
        <v>#REF!</v>
      </c>
      <c r="AK21" s="943" t="e">
        <f t="shared" si="1"/>
        <v>#REF!</v>
      </c>
      <c r="AL21" s="943" t="e">
        <f t="shared" si="1"/>
        <v>#REF!</v>
      </c>
      <c r="AM21" s="944">
        <f>SUM(AM19:AM20)</f>
        <v>58.037847362999997</v>
      </c>
      <c r="AN21" s="937"/>
      <c r="AO21" s="934" t="s">
        <v>644</v>
      </c>
      <c r="AP21" s="942" t="e">
        <f>AA21/'Seleccion proyecto HEREVEA02'!$L$8*1000</f>
        <v>#REF!</v>
      </c>
      <c r="AQ21" s="942" t="e">
        <f>AB21/'Seleccion proyecto HEREVEA02'!$L$8*1000</f>
        <v>#REF!</v>
      </c>
      <c r="AR21" s="942" t="e">
        <f>AC21/'Seleccion proyecto HEREVEA02'!$L$8*1000</f>
        <v>#REF!</v>
      </c>
      <c r="AS21" s="942" t="e">
        <f>AD21/'Seleccion proyecto HEREVEA02'!$L$8*1000</f>
        <v>#REF!</v>
      </c>
      <c r="AT21" s="942" t="e">
        <f>AE21/'Seleccion proyecto HEREVEA02'!$L$8*1000</f>
        <v>#REF!</v>
      </c>
      <c r="AU21" s="942" t="e">
        <f>AF21/'Seleccion proyecto HEREVEA02'!$L$8*1000</f>
        <v>#REF!</v>
      </c>
      <c r="AV21" s="942" t="e">
        <f>AG21/'Seleccion proyecto HEREVEA02'!$L$8*1000</f>
        <v>#REF!</v>
      </c>
      <c r="AW21" s="942" t="e">
        <f>AH21/'Seleccion proyecto HEREVEA02'!$L$8*1000</f>
        <v>#REF!</v>
      </c>
      <c r="AX21" s="942" t="e">
        <f>AI21/'Seleccion proyecto HEREVEA02'!$L$8*1000</f>
        <v>#REF!</v>
      </c>
      <c r="AY21" s="942" t="e">
        <f>AJ21/'Seleccion proyecto HEREVEA02'!$L$8*1000</f>
        <v>#REF!</v>
      </c>
      <c r="AZ21" s="942" t="e">
        <f>AK21/'Seleccion proyecto HEREVEA02'!$L$8*1000</f>
        <v>#REF!</v>
      </c>
      <c r="BA21" s="942" t="e">
        <f>AL21/'Seleccion proyecto HEREVEA02'!$L$8*1000</f>
        <v>#REF!</v>
      </c>
      <c r="BB21" s="942">
        <f>AM21/'Seleccion proyecto HEREVEA02'!$L$8*1000</f>
        <v>5.228178491715453</v>
      </c>
    </row>
    <row r="22" spans="1:77" s="22" customFormat="1" ht="16" thickBot="1">
      <c r="A22" s="3577"/>
      <c r="B22" s="664" t="s">
        <v>363</v>
      </c>
      <c r="C22" s="665"/>
      <c r="D22" s="665"/>
      <c r="E22" s="665"/>
      <c r="F22" s="666"/>
      <c r="G22" s="670"/>
      <c r="H22" s="664" t="s">
        <v>363</v>
      </c>
      <c r="I22" s="665"/>
      <c r="J22" s="665"/>
      <c r="K22" s="665"/>
      <c r="L22" s="666"/>
      <c r="M22" s="697"/>
      <c r="N22" s="3578"/>
      <c r="O22" s="697"/>
      <c r="P22" s="727"/>
      <c r="Q22" s="727"/>
      <c r="R22" s="727"/>
      <c r="S22" s="727"/>
      <c r="T22" s="727"/>
      <c r="U22" s="727"/>
      <c r="V22" s="16"/>
      <c r="W22" s="670"/>
      <c r="X22" s="670"/>
      <c r="Y22" s="670"/>
      <c r="AA22"/>
      <c r="BY22"/>
    </row>
    <row r="23" spans="1:77" s="22" customFormat="1" ht="19" thickBot="1">
      <c r="A23" s="3577"/>
      <c r="B23" s="43"/>
      <c r="C23" s="667" t="s">
        <v>524</v>
      </c>
      <c r="D23" s="668"/>
      <c r="E23" s="668"/>
      <c r="F23" s="669"/>
      <c r="G23" s="670"/>
      <c r="H23" s="43"/>
      <c r="I23" s="667" t="s">
        <v>524</v>
      </c>
      <c r="J23" s="668"/>
      <c r="K23" s="668"/>
      <c r="L23" s="669"/>
      <c r="M23" s="697"/>
      <c r="N23" s="3578"/>
      <c r="O23" s="697"/>
      <c r="P23" s="950"/>
      <c r="Q23" s="950"/>
      <c r="R23" s="950"/>
      <c r="S23" s="950"/>
      <c r="T23" s="950"/>
      <c r="U23" s="950"/>
      <c r="V23" s="16"/>
      <c r="W23" s="951"/>
      <c r="X23" s="951"/>
      <c r="Y23" s="673"/>
      <c r="Z23" s="930" t="s">
        <v>1036</v>
      </c>
      <c r="AA23" s="938" t="s">
        <v>899</v>
      </c>
      <c r="AB23" s="938" t="s">
        <v>903</v>
      </c>
      <c r="AC23" s="938" t="s">
        <v>900</v>
      </c>
      <c r="AD23" s="938" t="s">
        <v>901</v>
      </c>
      <c r="AE23" s="938" t="s">
        <v>904</v>
      </c>
      <c r="AF23" s="938" t="s">
        <v>905</v>
      </c>
      <c r="AG23" s="938" t="s">
        <v>906</v>
      </c>
      <c r="AH23" s="938" t="s">
        <v>907</v>
      </c>
      <c r="AI23" s="938" t="s">
        <v>908</v>
      </c>
      <c r="AJ23" s="938" t="s">
        <v>909</v>
      </c>
      <c r="AK23" s="938" t="s">
        <v>910</v>
      </c>
      <c r="AL23" s="938" t="s">
        <v>911</v>
      </c>
      <c r="AM23" s="939" t="s">
        <v>948</v>
      </c>
      <c r="AO23" s="930" t="s">
        <v>1036</v>
      </c>
      <c r="AP23" s="938" t="s">
        <v>899</v>
      </c>
      <c r="AQ23" s="938" t="s">
        <v>903</v>
      </c>
      <c r="AR23" s="938" t="s">
        <v>900</v>
      </c>
      <c r="AS23" s="938" t="s">
        <v>901</v>
      </c>
      <c r="AT23" s="938" t="s">
        <v>904</v>
      </c>
      <c r="AU23" s="938" t="s">
        <v>905</v>
      </c>
      <c r="AV23" s="938" t="s">
        <v>906</v>
      </c>
      <c r="AW23" s="938" t="s">
        <v>907</v>
      </c>
      <c r="AX23" s="938" t="s">
        <v>908</v>
      </c>
      <c r="AY23" s="938" t="s">
        <v>909</v>
      </c>
      <c r="AZ23" s="938" t="s">
        <v>910</v>
      </c>
      <c r="BA23" s="938" t="s">
        <v>911</v>
      </c>
      <c r="BB23" s="939" t="s">
        <v>948</v>
      </c>
      <c r="BY23"/>
    </row>
    <row r="24" spans="1:77" s="22" customFormat="1" ht="15.5">
      <c r="A24" s="3577"/>
      <c r="B24" s="128" t="s">
        <v>364</v>
      </c>
      <c r="C24" s="129" t="s">
        <v>643</v>
      </c>
      <c r="D24" s="129" t="s">
        <v>372</v>
      </c>
      <c r="E24" s="129" t="s">
        <v>373</v>
      </c>
      <c r="F24" s="130" t="s">
        <v>374</v>
      </c>
      <c r="G24" s="690"/>
      <c r="H24" s="128" t="s">
        <v>364</v>
      </c>
      <c r="I24" s="129" t="s">
        <v>643</v>
      </c>
      <c r="J24" s="129" t="s">
        <v>372</v>
      </c>
      <c r="K24" s="129" t="s">
        <v>373</v>
      </c>
      <c r="L24" s="130" t="s">
        <v>374</v>
      </c>
      <c r="M24" s="697"/>
      <c r="N24" s="3578"/>
      <c r="O24" s="697"/>
      <c r="P24" s="725"/>
      <c r="Q24" s="725"/>
      <c r="R24" s="725"/>
      <c r="S24" s="725"/>
      <c r="T24" s="725"/>
      <c r="U24" s="725"/>
      <c r="V24" s="16"/>
      <c r="W24" s="951"/>
      <c r="X24" s="951"/>
      <c r="Y24" s="690"/>
      <c r="Z24" s="946" t="s">
        <v>364</v>
      </c>
      <c r="AA24" s="940" t="s">
        <v>916</v>
      </c>
      <c r="AB24" s="940" t="s">
        <v>917</v>
      </c>
      <c r="AC24" s="940" t="s">
        <v>918</v>
      </c>
      <c r="AD24" s="940" t="s">
        <v>924</v>
      </c>
      <c r="AE24" s="940" t="s">
        <v>919</v>
      </c>
      <c r="AF24" s="940" t="s">
        <v>925</v>
      </c>
      <c r="AG24" s="940" t="s">
        <v>920</v>
      </c>
      <c r="AH24" s="940" t="s">
        <v>926</v>
      </c>
      <c r="AI24" s="940" t="s">
        <v>921</v>
      </c>
      <c r="AJ24" s="940" t="s">
        <v>943</v>
      </c>
      <c r="AK24" s="940" t="s">
        <v>922</v>
      </c>
      <c r="AL24" s="940" t="s">
        <v>923</v>
      </c>
      <c r="AM24" s="941" t="s">
        <v>1037</v>
      </c>
      <c r="AO24" s="946" t="s">
        <v>364</v>
      </c>
      <c r="AP24" s="940" t="s">
        <v>916</v>
      </c>
      <c r="AQ24" s="940" t="s">
        <v>917</v>
      </c>
      <c r="AR24" s="940" t="s">
        <v>918</v>
      </c>
      <c r="AS24" s="940" t="s">
        <v>924</v>
      </c>
      <c r="AT24" s="940" t="s">
        <v>919</v>
      </c>
      <c r="AU24" s="940" t="s">
        <v>925</v>
      </c>
      <c r="AV24" s="940" t="s">
        <v>920</v>
      </c>
      <c r="AW24" s="940" t="s">
        <v>926</v>
      </c>
      <c r="AX24" s="940" t="s">
        <v>921</v>
      </c>
      <c r="AY24" s="940" t="s">
        <v>943</v>
      </c>
      <c r="AZ24" s="940" t="s">
        <v>922</v>
      </c>
      <c r="BA24" s="940" t="s">
        <v>923</v>
      </c>
      <c r="BB24" s="941" t="s">
        <v>1037</v>
      </c>
      <c r="BY24"/>
    </row>
    <row r="25" spans="1:77" s="22" customFormat="1" ht="15.5">
      <c r="A25" s="3577"/>
      <c r="B25" s="131" t="s">
        <v>365</v>
      </c>
      <c r="C25" s="133" t="e">
        <f>'[4]Huella maquinaria'!N12+'[4]Huella maquinaria'!N27</f>
        <v>#VALUE!</v>
      </c>
      <c r="D25" s="133"/>
      <c r="E25" s="133"/>
      <c r="F25" s="134"/>
      <c r="G25" s="672"/>
      <c r="H25" s="131" t="s">
        <v>365</v>
      </c>
      <c r="I25" s="133" t="e">
        <f>C25+C182</f>
        <v>#VALUE!</v>
      </c>
      <c r="J25" s="133"/>
      <c r="K25" s="133"/>
      <c r="L25" s="134"/>
      <c r="M25" s="697"/>
      <c r="N25" s="3578"/>
      <c r="O25" s="697"/>
      <c r="P25" s="720"/>
      <c r="Q25" s="720"/>
      <c r="R25" s="720"/>
      <c r="S25" s="720"/>
      <c r="T25" s="720"/>
      <c r="U25" s="720"/>
      <c r="V25" s="16"/>
      <c r="W25" s="951"/>
      <c r="X25" s="951"/>
      <c r="Y25" s="692"/>
      <c r="Z25" s="933" t="s">
        <v>643</v>
      </c>
      <c r="AA25" s="942" t="e">
        <f>C43</f>
        <v>#REF!</v>
      </c>
      <c r="AB25" s="942" t="e">
        <f>C55</f>
        <v>#REF!</v>
      </c>
      <c r="AC25" s="942" t="e">
        <f>C67</f>
        <v>#REF!</v>
      </c>
      <c r="AD25" s="942" t="e">
        <f>C79</f>
        <v>#REF!</v>
      </c>
      <c r="AE25" s="942" t="e">
        <f>C91</f>
        <v>#REF!</v>
      </c>
      <c r="AF25" s="942" t="e">
        <f>C103</f>
        <v>#REF!</v>
      </c>
      <c r="AG25" s="942" t="e">
        <f>C115</f>
        <v>#REF!</v>
      </c>
      <c r="AH25" s="942" t="e">
        <f>C127</f>
        <v>#REF!</v>
      </c>
      <c r="AI25" s="942" t="e">
        <f>C139</f>
        <v>#REF!</v>
      </c>
      <c r="AJ25" s="942" t="e">
        <f>C151</f>
        <v>#REF!</v>
      </c>
      <c r="AK25" s="942" t="e">
        <f>C163</f>
        <v>#REF!</v>
      </c>
      <c r="AL25" s="942" t="e">
        <f>C175</f>
        <v>#REF!</v>
      </c>
      <c r="AM25" s="945">
        <f>AM19+AM20</f>
        <v>58.037847362999997</v>
      </c>
      <c r="AO25" s="933" t="s">
        <v>643</v>
      </c>
      <c r="AP25" s="942" t="e">
        <f>AA25/'Seleccion proyecto HEREVEA02'!$L$8*1000</f>
        <v>#REF!</v>
      </c>
      <c r="AQ25" s="942" t="e">
        <f>AB25/'Seleccion proyecto HEREVEA02'!$L$8*1000</f>
        <v>#REF!</v>
      </c>
      <c r="AR25" s="942" t="e">
        <f>AC25/'Seleccion proyecto HEREVEA02'!$L$8*1000</f>
        <v>#REF!</v>
      </c>
      <c r="AS25" s="942" t="e">
        <f>AD25/'Seleccion proyecto HEREVEA02'!$L$8*1000</f>
        <v>#REF!</v>
      </c>
      <c r="AT25" s="942" t="e">
        <f>AE25/'Seleccion proyecto HEREVEA02'!$L$8*1000</f>
        <v>#REF!</v>
      </c>
      <c r="AU25" s="942" t="e">
        <f>AF25/'Seleccion proyecto HEREVEA02'!$L$8*1000</f>
        <v>#REF!</v>
      </c>
      <c r="AV25" s="942" t="e">
        <f>AG25/'Seleccion proyecto HEREVEA02'!$L$8*1000</f>
        <v>#REF!</v>
      </c>
      <c r="AW25" s="942" t="e">
        <f>AH25/'Seleccion proyecto HEREVEA02'!$L$8*1000</f>
        <v>#REF!</v>
      </c>
      <c r="AX25" s="942" t="e">
        <f>AI25/'Seleccion proyecto HEREVEA02'!$L$8*1000</f>
        <v>#REF!</v>
      </c>
      <c r="AY25" s="942" t="e">
        <f>AJ25/'Seleccion proyecto HEREVEA02'!$L$8*1000</f>
        <v>#REF!</v>
      </c>
      <c r="AZ25" s="942" t="e">
        <f>AK25/'Seleccion proyecto HEREVEA02'!$L$8*1000</f>
        <v>#REF!</v>
      </c>
      <c r="BA25" s="942" t="e">
        <f>AL25/'Seleccion proyecto HEREVEA02'!$L$8*1000</f>
        <v>#REF!</v>
      </c>
      <c r="BB25" s="942">
        <f>AM25/'Seleccion proyecto HEREVEA02'!$L$8*1000</f>
        <v>5.228178491715453</v>
      </c>
      <c r="BY25"/>
    </row>
    <row r="26" spans="1:77" s="22" customFormat="1" ht="15.5">
      <c r="A26" s="3577"/>
      <c r="B26" s="131" t="s">
        <v>368</v>
      </c>
      <c r="C26" s="133">
        <f>'[4]Huella mano de obra'!V16</f>
        <v>1.4553341727806359</v>
      </c>
      <c r="D26" s="133">
        <f>'[4]Huella mano de obra'!V17</f>
        <v>3.3693520363248073</v>
      </c>
      <c r="E26" s="133">
        <f>'[4]Huella mano de obra'!V18</f>
        <v>0</v>
      </c>
      <c r="F26" s="134" t="str">
        <f>'[4]Huella mano de obra'!V19</f>
        <v>CAPÍTULO 01</v>
      </c>
      <c r="G26" s="672"/>
      <c r="H26" s="131" t="s">
        <v>368</v>
      </c>
      <c r="I26" s="133">
        <f>C26+C183</f>
        <v>1.4553341727806359</v>
      </c>
      <c r="J26" s="133">
        <f>D26+D183</f>
        <v>3.3693520363248073</v>
      </c>
      <c r="K26" s="133">
        <f>E26+E183</f>
        <v>0</v>
      </c>
      <c r="L26" s="134" t="e">
        <f>F26+F183</f>
        <v>#VALUE!</v>
      </c>
      <c r="M26" s="697"/>
      <c r="N26" s="3578"/>
      <c r="O26" s="697"/>
      <c r="P26" s="691"/>
      <c r="Q26" s="721"/>
      <c r="R26" s="691"/>
      <c r="S26" s="691"/>
      <c r="T26" s="691"/>
      <c r="U26" s="691"/>
      <c r="V26" s="16"/>
      <c r="W26" s="693"/>
      <c r="X26" s="693"/>
      <c r="Y26" s="952"/>
      <c r="Z26" s="933" t="s">
        <v>372</v>
      </c>
      <c r="AA26" s="942">
        <f>D43</f>
        <v>0</v>
      </c>
      <c r="AB26" s="942">
        <f>D55</f>
        <v>0</v>
      </c>
      <c r="AC26" s="942">
        <f>D67</f>
        <v>0</v>
      </c>
      <c r="AD26" s="942">
        <f>D79</f>
        <v>0</v>
      </c>
      <c r="AE26" s="942">
        <f>D91</f>
        <v>0</v>
      </c>
      <c r="AF26" s="942">
        <f>D103</f>
        <v>0</v>
      </c>
      <c r="AG26" s="942">
        <f>D115</f>
        <v>0</v>
      </c>
      <c r="AH26" s="942">
        <f>D127</f>
        <v>0</v>
      </c>
      <c r="AI26" s="942">
        <f>D139</f>
        <v>0</v>
      </c>
      <c r="AJ26" s="942">
        <f>D151</f>
        <v>0</v>
      </c>
      <c r="AK26" s="942">
        <f>D163</f>
        <v>0</v>
      </c>
      <c r="AL26" s="942">
        <f>D175</f>
        <v>0</v>
      </c>
      <c r="AM26" s="945"/>
      <c r="AN26"/>
      <c r="AO26" s="933" t="s">
        <v>372</v>
      </c>
      <c r="AP26" s="942">
        <f>AA26/'Seleccion proyecto HEREVEA02'!$L$8*1000</f>
        <v>0</v>
      </c>
      <c r="AQ26" s="942">
        <f>AB26/'Seleccion proyecto HEREVEA02'!$L$8*1000</f>
        <v>0</v>
      </c>
      <c r="AR26" s="942">
        <f>AC26/'Seleccion proyecto HEREVEA02'!$L$8*1000</f>
        <v>0</v>
      </c>
      <c r="AS26" s="942">
        <f>AD26/'Seleccion proyecto HEREVEA02'!$L$8*1000</f>
        <v>0</v>
      </c>
      <c r="AT26" s="942">
        <f>AE26/'Seleccion proyecto HEREVEA02'!$L$8*1000</f>
        <v>0</v>
      </c>
      <c r="AU26" s="942">
        <f>AF26/'Seleccion proyecto HEREVEA02'!$L$8*1000</f>
        <v>0</v>
      </c>
      <c r="AV26" s="942">
        <f>AG26/'Seleccion proyecto HEREVEA02'!$L$8*1000</f>
        <v>0</v>
      </c>
      <c r="AW26" s="942">
        <f>AH26/'Seleccion proyecto HEREVEA02'!$L$8*1000</f>
        <v>0</v>
      </c>
      <c r="AX26" s="942">
        <f>AI26/'Seleccion proyecto HEREVEA02'!$L$8*1000</f>
        <v>0</v>
      </c>
      <c r="AY26" s="942">
        <f>AJ26/'Seleccion proyecto HEREVEA02'!$L$8*1000</f>
        <v>0</v>
      </c>
      <c r="AZ26" s="942">
        <f>AK26/'Seleccion proyecto HEREVEA02'!$L$8*1000</f>
        <v>0</v>
      </c>
      <c r="BA26" s="942">
        <f>AL26/'Seleccion proyecto HEREVEA02'!$L$8*1000</f>
        <v>0</v>
      </c>
      <c r="BB26" s="942">
        <f>AM26/'Seleccion proyecto HEREVEA02'!$L$8*1000</f>
        <v>0</v>
      </c>
      <c r="BC26"/>
      <c r="BD26"/>
      <c r="BE26"/>
      <c r="BF26"/>
      <c r="BG26"/>
      <c r="BH26"/>
      <c r="BI26"/>
      <c r="BJ26"/>
      <c r="BK26"/>
      <c r="BL26"/>
      <c r="BM26"/>
      <c r="BN26"/>
      <c r="BO26"/>
      <c r="BP26"/>
      <c r="BQ26"/>
      <c r="BR26"/>
      <c r="BS26"/>
      <c r="BT26"/>
      <c r="BU26"/>
      <c r="BV26"/>
      <c r="BW26"/>
      <c r="BX26"/>
      <c r="BY26"/>
    </row>
    <row r="27" spans="1:77" s="22" customFormat="1" ht="15.5">
      <c r="A27" s="3577"/>
      <c r="B27" s="131" t="s">
        <v>369</v>
      </c>
      <c r="C27" s="711">
        <f>'[4]Huella mano de obra'!V42</f>
        <v>0</v>
      </c>
      <c r="D27" s="133"/>
      <c r="E27" s="133"/>
      <c r="F27" s="134"/>
      <c r="G27" s="672"/>
      <c r="H27" s="131" t="s">
        <v>369</v>
      </c>
      <c r="I27" s="711">
        <f>'[4]Huella mano de obra'!AB42</f>
        <v>0</v>
      </c>
      <c r="J27" s="133"/>
      <c r="K27" s="133"/>
      <c r="L27" s="134"/>
      <c r="M27" s="697"/>
      <c r="N27" s="3578"/>
      <c r="O27" s="697"/>
      <c r="P27" s="691"/>
      <c r="Q27" s="691"/>
      <c r="R27" s="691"/>
      <c r="S27" s="692"/>
      <c r="T27" s="692"/>
      <c r="U27" s="692"/>
      <c r="V27" s="16"/>
      <c r="W27" s="693"/>
      <c r="X27" s="693"/>
      <c r="Y27" s="952"/>
      <c r="Z27" s="933" t="s">
        <v>373</v>
      </c>
      <c r="AA27" s="942">
        <f>E43</f>
        <v>0</v>
      </c>
      <c r="AB27" s="942">
        <f>E55</f>
        <v>0</v>
      </c>
      <c r="AC27" s="942">
        <f>E67</f>
        <v>0</v>
      </c>
      <c r="AD27" s="942">
        <f>E79</f>
        <v>0</v>
      </c>
      <c r="AE27" s="942">
        <f>E91</f>
        <v>0</v>
      </c>
      <c r="AF27" s="942">
        <f>E103</f>
        <v>0</v>
      </c>
      <c r="AG27" s="942">
        <f>E115</f>
        <v>0</v>
      </c>
      <c r="AH27" s="942">
        <f>E127</f>
        <v>0</v>
      </c>
      <c r="AI27" s="942">
        <f>E139</f>
        <v>0</v>
      </c>
      <c r="AJ27" s="942">
        <f>E151</f>
        <v>0</v>
      </c>
      <c r="AK27" s="942">
        <f>E163</f>
        <v>0</v>
      </c>
      <c r="AL27" s="942">
        <f>E175</f>
        <v>0</v>
      </c>
      <c r="AM27" s="945"/>
      <c r="AN27"/>
      <c r="AO27" s="933" t="s">
        <v>373</v>
      </c>
      <c r="AP27" s="942">
        <f>AA27/'Seleccion proyecto HEREVEA02'!$L$8*1000</f>
        <v>0</v>
      </c>
      <c r="AQ27" s="942">
        <f>AB27/'Seleccion proyecto HEREVEA02'!$L$8*1000</f>
        <v>0</v>
      </c>
      <c r="AR27" s="942">
        <f>AC27/'Seleccion proyecto HEREVEA02'!$L$8*1000</f>
        <v>0</v>
      </c>
      <c r="AS27" s="942">
        <f>AD27/'Seleccion proyecto HEREVEA02'!$L$8*1000</f>
        <v>0</v>
      </c>
      <c r="AT27" s="942">
        <f>AE27/'Seleccion proyecto HEREVEA02'!$L$8*1000</f>
        <v>0</v>
      </c>
      <c r="AU27" s="942">
        <f>AF27/'Seleccion proyecto HEREVEA02'!$L$8*1000</f>
        <v>0</v>
      </c>
      <c r="AV27" s="942">
        <f>AG27/'Seleccion proyecto HEREVEA02'!$L$8*1000</f>
        <v>0</v>
      </c>
      <c r="AW27" s="942">
        <f>AH27/'Seleccion proyecto HEREVEA02'!$L$8*1000</f>
        <v>0</v>
      </c>
      <c r="AX27" s="942">
        <f>AI27/'Seleccion proyecto HEREVEA02'!$L$8*1000</f>
        <v>0</v>
      </c>
      <c r="AY27" s="942">
        <f>AJ27/'Seleccion proyecto HEREVEA02'!$L$8*1000</f>
        <v>0</v>
      </c>
      <c r="AZ27" s="942">
        <f>AK27/'Seleccion proyecto HEREVEA02'!$L$8*1000</f>
        <v>0</v>
      </c>
      <c r="BA27" s="942">
        <f>AL27/'Seleccion proyecto HEREVEA02'!$L$8*1000</f>
        <v>0</v>
      </c>
      <c r="BB27" s="942">
        <f>AM27/'Seleccion proyecto HEREVEA02'!$L$8*1000</f>
        <v>0</v>
      </c>
      <c r="BC27"/>
      <c r="BD27"/>
      <c r="BE27"/>
      <c r="BF27"/>
      <c r="BG27"/>
      <c r="BH27"/>
      <c r="BI27"/>
      <c r="BJ27"/>
      <c r="BK27"/>
      <c r="BL27"/>
      <c r="BM27"/>
      <c r="BN27"/>
      <c r="BO27"/>
      <c r="BP27"/>
      <c r="BQ27"/>
      <c r="BR27"/>
      <c r="BS27"/>
      <c r="BT27"/>
      <c r="BU27"/>
      <c r="BV27"/>
      <c r="BW27"/>
      <c r="BX27"/>
      <c r="BY27"/>
    </row>
    <row r="28" spans="1:77" s="22" customFormat="1" ht="16" thickBot="1">
      <c r="A28" s="3577"/>
      <c r="B28" s="131" t="s">
        <v>286</v>
      </c>
      <c r="C28" s="712"/>
      <c r="D28" s="133"/>
      <c r="E28" s="133"/>
      <c r="F28" s="134"/>
      <c r="G28" s="672"/>
      <c r="H28" s="131" t="s">
        <v>286</v>
      </c>
      <c r="I28" s="712"/>
      <c r="J28" s="133"/>
      <c r="K28" s="133"/>
      <c r="L28" s="134"/>
      <c r="M28" s="697"/>
      <c r="N28" s="3578"/>
      <c r="O28" s="697"/>
      <c r="P28" s="691"/>
      <c r="Q28" s="691"/>
      <c r="R28" s="691"/>
      <c r="S28" s="692"/>
      <c r="T28" s="692"/>
      <c r="U28" s="692"/>
      <c r="V28" s="16"/>
      <c r="W28" s="673"/>
      <c r="X28" s="673"/>
      <c r="Y28" s="726"/>
      <c r="Z28" s="933" t="s">
        <v>374</v>
      </c>
      <c r="AA28" s="942">
        <f>F43</f>
        <v>0</v>
      </c>
      <c r="AB28" s="942">
        <f>F55</f>
        <v>0</v>
      </c>
      <c r="AC28" s="942">
        <f>F67</f>
        <v>0</v>
      </c>
      <c r="AD28" s="942">
        <f>F79</f>
        <v>0</v>
      </c>
      <c r="AE28" s="942">
        <f>F91</f>
        <v>0</v>
      </c>
      <c r="AF28" s="942">
        <f>F103</f>
        <v>0</v>
      </c>
      <c r="AG28" s="942">
        <f>F115</f>
        <v>0</v>
      </c>
      <c r="AH28" s="942">
        <f>F127</f>
        <v>0</v>
      </c>
      <c r="AI28" s="942">
        <f>F139</f>
        <v>0</v>
      </c>
      <c r="AJ28" s="942">
        <f>F151</f>
        <v>0</v>
      </c>
      <c r="AK28" s="942">
        <f>F163</f>
        <v>0</v>
      </c>
      <c r="AL28" s="942">
        <f>F175</f>
        <v>0</v>
      </c>
      <c r="AM28" s="947"/>
      <c r="AN28"/>
      <c r="AO28" s="933" t="s">
        <v>374</v>
      </c>
      <c r="AP28" s="942">
        <f>AA28/'Seleccion proyecto HEREVEA02'!$L$8*1000</f>
        <v>0</v>
      </c>
      <c r="AQ28" s="942">
        <f>AB28/'Seleccion proyecto HEREVEA02'!$L$8*1000</f>
        <v>0</v>
      </c>
      <c r="AR28" s="942">
        <f>AC28/'Seleccion proyecto HEREVEA02'!$L$8*1000</f>
        <v>0</v>
      </c>
      <c r="AS28" s="942">
        <f>AD28/'Seleccion proyecto HEREVEA02'!$L$8*1000</f>
        <v>0</v>
      </c>
      <c r="AT28" s="942">
        <f>AE28/'Seleccion proyecto HEREVEA02'!$L$8*1000</f>
        <v>0</v>
      </c>
      <c r="AU28" s="942">
        <f>AF28/'Seleccion proyecto HEREVEA02'!$L$8*1000</f>
        <v>0</v>
      </c>
      <c r="AV28" s="942">
        <f>AG28/'Seleccion proyecto HEREVEA02'!$L$8*1000</f>
        <v>0</v>
      </c>
      <c r="AW28" s="942">
        <f>AH28/'Seleccion proyecto HEREVEA02'!$L$8*1000</f>
        <v>0</v>
      </c>
      <c r="AX28" s="942">
        <f>AI28/'Seleccion proyecto HEREVEA02'!$L$8*1000</f>
        <v>0</v>
      </c>
      <c r="AY28" s="942">
        <f>AJ28/'Seleccion proyecto HEREVEA02'!$L$8*1000</f>
        <v>0</v>
      </c>
      <c r="AZ28" s="942">
        <f>AK28/'Seleccion proyecto HEREVEA02'!$L$8*1000</f>
        <v>0</v>
      </c>
      <c r="BA28" s="942">
        <f>AL28/'Seleccion proyecto HEREVEA02'!$L$8*1000</f>
        <v>0</v>
      </c>
      <c r="BB28" s="942">
        <f>AM28/'Seleccion proyecto HEREVEA02'!$L$8*1000</f>
        <v>0</v>
      </c>
      <c r="BC28"/>
      <c r="BD28"/>
      <c r="BE28"/>
      <c r="BF28"/>
      <c r="BG28"/>
      <c r="BH28"/>
      <c r="BI28"/>
      <c r="BJ28"/>
      <c r="BK28"/>
      <c r="BL28"/>
      <c r="BM28"/>
      <c r="BN28"/>
      <c r="BO28"/>
      <c r="BP28"/>
      <c r="BQ28"/>
      <c r="BR28"/>
      <c r="BS28"/>
      <c r="BT28"/>
      <c r="BU28"/>
      <c r="BV28"/>
      <c r="BW28"/>
      <c r="BX28"/>
      <c r="BY28"/>
    </row>
    <row r="29" spans="1:77" ht="16" thickBot="1">
      <c r="A29" s="3577"/>
      <c r="B29" s="139" t="s">
        <v>645</v>
      </c>
      <c r="C29" s="137" t="e">
        <f>SUM(C25:C28)</f>
        <v>#VALUE!</v>
      </c>
      <c r="D29" s="137">
        <f>SUM(D25:D28)</f>
        <v>3.3693520363248073</v>
      </c>
      <c r="E29" s="137">
        <f>SUM(E25:E28)</f>
        <v>0</v>
      </c>
      <c r="F29" s="671">
        <f>SUM(F25:F28)</f>
        <v>0</v>
      </c>
      <c r="G29" s="672"/>
      <c r="H29" s="139" t="s">
        <v>645</v>
      </c>
      <c r="I29" s="137" t="e">
        <f>SUM(I25:I28)</f>
        <v>#VALUE!</v>
      </c>
      <c r="J29" s="137">
        <f>SUM(J25:J28)</f>
        <v>3.3693520363248073</v>
      </c>
      <c r="K29" s="137">
        <f>SUM(K25:K28)</f>
        <v>0</v>
      </c>
      <c r="L29" s="671" t="e">
        <f>SUM(L25:L28)</f>
        <v>#VALUE!</v>
      </c>
      <c r="M29" s="697"/>
      <c r="N29" s="3578"/>
      <c r="O29" s="697"/>
      <c r="P29" s="726"/>
      <c r="Q29" s="726"/>
      <c r="R29" s="726"/>
      <c r="S29" s="691"/>
      <c r="T29" s="691"/>
      <c r="U29" s="691"/>
      <c r="V29" s="16"/>
      <c r="W29" s="673"/>
      <c r="X29" s="673"/>
      <c r="Y29" s="726"/>
      <c r="Z29" s="934" t="s">
        <v>644</v>
      </c>
      <c r="AA29" s="943" t="e">
        <f>SUM(AA25:AA28)</f>
        <v>#REF!</v>
      </c>
      <c r="AB29" s="943" t="e">
        <f>SUM(AB25:AB28)</f>
        <v>#REF!</v>
      </c>
      <c r="AC29" s="943" t="e">
        <f t="shared" ref="AC29:AL29" si="2">SUM(AC25:AC28)</f>
        <v>#REF!</v>
      </c>
      <c r="AD29" s="943" t="e">
        <f t="shared" si="2"/>
        <v>#REF!</v>
      </c>
      <c r="AE29" s="943" t="e">
        <f t="shared" si="2"/>
        <v>#REF!</v>
      </c>
      <c r="AF29" s="943" t="e">
        <f t="shared" si="2"/>
        <v>#REF!</v>
      </c>
      <c r="AG29" s="943" t="e">
        <f t="shared" si="2"/>
        <v>#REF!</v>
      </c>
      <c r="AH29" s="943" t="e">
        <f t="shared" si="2"/>
        <v>#REF!</v>
      </c>
      <c r="AI29" s="943" t="e">
        <f t="shared" si="2"/>
        <v>#REF!</v>
      </c>
      <c r="AJ29" s="943" t="e">
        <f t="shared" si="2"/>
        <v>#REF!</v>
      </c>
      <c r="AK29" s="943" t="e">
        <f t="shared" si="2"/>
        <v>#REF!</v>
      </c>
      <c r="AL29" s="943" t="e">
        <f t="shared" si="2"/>
        <v>#REF!</v>
      </c>
      <c r="AM29" s="944">
        <f>SUM(AM25:AM28)</f>
        <v>58.037847362999997</v>
      </c>
      <c r="AO29" s="934" t="s">
        <v>644</v>
      </c>
      <c r="AP29" s="942" t="e">
        <f>AA29/'Seleccion proyecto HEREVEA02'!$L$8*1000</f>
        <v>#REF!</v>
      </c>
      <c r="AQ29" s="942" t="e">
        <f>AB29/'Seleccion proyecto HEREVEA02'!$L$8*1000</f>
        <v>#REF!</v>
      </c>
      <c r="AR29" s="942" t="e">
        <f>AC29/'Seleccion proyecto HEREVEA02'!$L$8*1000</f>
        <v>#REF!</v>
      </c>
      <c r="AS29" s="942" t="e">
        <f>AD29/'Seleccion proyecto HEREVEA02'!$L$8*1000</f>
        <v>#REF!</v>
      </c>
      <c r="AT29" s="942" t="e">
        <f>AE29/'Seleccion proyecto HEREVEA02'!$L$8*1000</f>
        <v>#REF!</v>
      </c>
      <c r="AU29" s="942" t="e">
        <f>AF29/'Seleccion proyecto HEREVEA02'!$L$8*1000</f>
        <v>#REF!</v>
      </c>
      <c r="AV29" s="942" t="e">
        <f>AG29/'Seleccion proyecto HEREVEA02'!$L$8*1000</f>
        <v>#REF!</v>
      </c>
      <c r="AW29" s="942" t="e">
        <f>AH29/'Seleccion proyecto HEREVEA02'!$L$8*1000</f>
        <v>#REF!</v>
      </c>
      <c r="AX29" s="942" t="e">
        <f>AI29/'Seleccion proyecto HEREVEA02'!$L$8*1000</f>
        <v>#REF!</v>
      </c>
      <c r="AY29" s="942" t="e">
        <f>AJ29/'Seleccion proyecto HEREVEA02'!$L$8*1000</f>
        <v>#REF!</v>
      </c>
      <c r="AZ29" s="942" t="e">
        <f>AK29/'Seleccion proyecto HEREVEA02'!$L$8*1000</f>
        <v>#REF!</v>
      </c>
      <c r="BA29" s="942" t="e">
        <f>AL29/'Seleccion proyecto HEREVEA02'!$L$8*1000</f>
        <v>#REF!</v>
      </c>
      <c r="BB29" s="942">
        <f>AM29/'Seleccion proyecto HEREVEA02'!$L$8*1000</f>
        <v>5.228178491715453</v>
      </c>
    </row>
    <row r="30" spans="1:77" ht="16" thickBot="1">
      <c r="A30" s="3577"/>
      <c r="B30" s="138" t="s">
        <v>644</v>
      </c>
      <c r="C30" s="4659" t="e">
        <f>SUM(C29:F29)</f>
        <v>#VALUE!</v>
      </c>
      <c r="D30" s="4660"/>
      <c r="E30" s="4660"/>
      <c r="F30" s="4661"/>
      <c r="G30" s="3300"/>
      <c r="H30" s="138" t="s">
        <v>644</v>
      </c>
      <c r="I30" s="4659" t="e">
        <f>SUM(I29:L29)</f>
        <v>#VALUE!</v>
      </c>
      <c r="J30" s="4660"/>
      <c r="K30" s="4660"/>
      <c r="L30" s="4661"/>
      <c r="M30" s="697"/>
      <c r="N30" s="3578"/>
      <c r="O30" s="697"/>
      <c r="P30" s="726"/>
      <c r="Q30" s="726"/>
      <c r="R30" s="726"/>
      <c r="S30" s="691"/>
      <c r="T30" s="691"/>
      <c r="U30" s="691"/>
      <c r="V30" s="16"/>
      <c r="W30" s="693"/>
      <c r="X30" s="691"/>
    </row>
    <row r="31" spans="1:77" ht="16" thickBot="1">
      <c r="A31" s="3577"/>
      <c r="B31" s="138" t="s">
        <v>873</v>
      </c>
      <c r="C31" s="4677" t="e">
        <f>C30/'[4]Seleccion proyecto HEREVEA02'!L11</f>
        <v>#VALUE!</v>
      </c>
      <c r="D31" s="4678"/>
      <c r="E31" s="4678"/>
      <c r="F31" s="4679"/>
      <c r="G31" s="2038"/>
      <c r="H31" s="138" t="s">
        <v>873</v>
      </c>
      <c r="I31" s="4677" t="e">
        <f>I30/'[4]Seleccion proyecto HEREVEA02'!L11</f>
        <v>#VALUE!</v>
      </c>
      <c r="J31" s="4678"/>
      <c r="K31" s="4678"/>
      <c r="L31" s="4679"/>
      <c r="M31" s="697"/>
      <c r="N31" s="3578"/>
      <c r="O31" s="697"/>
      <c r="P31" s="953"/>
      <c r="Q31" s="953"/>
      <c r="R31" s="953"/>
      <c r="S31" s="953"/>
      <c r="T31" s="953"/>
      <c r="U31" s="953"/>
      <c r="V31" s="16"/>
      <c r="W31" s="693"/>
      <c r="X31" s="691"/>
      <c r="Y31" s="16"/>
    </row>
    <row r="32" spans="1:77" ht="15.5">
      <c r="A32" s="3577"/>
      <c r="B32" s="674"/>
      <c r="C32" s="3300"/>
      <c r="D32" s="3300"/>
      <c r="E32" s="3300"/>
      <c r="F32" s="3300"/>
      <c r="G32" s="19"/>
      <c r="H32" s="701"/>
      <c r="I32" s="700"/>
      <c r="J32" s="697"/>
      <c r="K32" s="697"/>
      <c r="L32" s="697"/>
      <c r="M32" s="697"/>
      <c r="N32" s="3578"/>
      <c r="O32" s="697"/>
      <c r="P32" s="721"/>
      <c r="Q32" s="721"/>
      <c r="R32" s="721"/>
      <c r="S32" s="721"/>
      <c r="T32" s="721"/>
      <c r="U32" s="721"/>
      <c r="V32" s="16"/>
      <c r="W32" s="16"/>
      <c r="X32" s="16"/>
      <c r="Y32" s="16"/>
      <c r="AP32" s="22"/>
      <c r="AQ32" s="22"/>
      <c r="AR32" s="22"/>
      <c r="AS32" s="22"/>
      <c r="AT32" s="22"/>
      <c r="AU32" s="22"/>
      <c r="AV32" s="22"/>
      <c r="AW32" s="22"/>
    </row>
    <row r="33" spans="1:59" ht="15.5">
      <c r="A33" s="3579"/>
      <c r="B33" s="3580"/>
      <c r="C33" s="3581"/>
      <c r="D33" s="3581"/>
      <c r="E33" s="3581"/>
      <c r="F33" s="3581"/>
      <c r="G33" s="3582"/>
      <c r="H33" s="3583"/>
      <c r="I33" s="3583"/>
      <c r="J33" s="3583"/>
      <c r="K33" s="3583"/>
      <c r="L33" s="3584"/>
      <c r="M33" s="3585"/>
      <c r="N33" s="3586"/>
      <c r="O33" s="672"/>
      <c r="P33" s="16"/>
      <c r="Q33" s="16"/>
      <c r="R33" s="16"/>
      <c r="S33" s="16"/>
      <c r="T33" s="16"/>
      <c r="U33" s="16"/>
      <c r="V33" s="16"/>
      <c r="W33" s="296"/>
      <c r="X33" s="296"/>
      <c r="Y33" s="16"/>
    </row>
    <row r="34" spans="1:59" ht="15.5">
      <c r="B34" s="674"/>
      <c r="C34" s="909"/>
      <c r="D34" s="909"/>
      <c r="E34" s="909"/>
      <c r="F34" s="909"/>
      <c r="H34" s="672"/>
      <c r="I34" s="672"/>
      <c r="J34" s="672"/>
      <c r="K34" s="672"/>
      <c r="L34" s="16"/>
      <c r="M34" s="673"/>
      <c r="N34" s="672"/>
      <c r="O34" s="672"/>
      <c r="P34" s="727"/>
      <c r="Q34" s="727"/>
      <c r="R34" s="727"/>
      <c r="S34" s="727"/>
      <c r="T34" s="727"/>
      <c r="U34" s="727"/>
      <c r="V34" s="16"/>
      <c r="W34" s="670"/>
      <c r="X34" s="670"/>
      <c r="Y34" s="16"/>
      <c r="Z34" s="16"/>
      <c r="AA34" s="16"/>
      <c r="AB34" s="16"/>
      <c r="AC34" s="16"/>
      <c r="AD34" s="16"/>
      <c r="AE34" s="16"/>
      <c r="AF34" s="16"/>
      <c r="AG34" s="16"/>
    </row>
    <row r="35" spans="1:59" ht="30" customHeight="1" thickBot="1">
      <c r="B35" s="160" t="s">
        <v>899</v>
      </c>
      <c r="C35" s="160" t="s">
        <v>916</v>
      </c>
      <c r="H35" s="16"/>
      <c r="I35" s="16"/>
      <c r="J35" s="16"/>
      <c r="K35" s="16"/>
      <c r="L35" s="16"/>
      <c r="M35" s="16"/>
      <c r="N35" s="16"/>
      <c r="O35" s="16"/>
      <c r="P35" s="950"/>
      <c r="Q35" s="950"/>
      <c r="R35" s="950"/>
      <c r="S35" s="950"/>
      <c r="T35" s="950"/>
      <c r="U35" s="950"/>
      <c r="V35" s="16"/>
      <c r="W35" s="951"/>
      <c r="X35" s="670"/>
      <c r="Y35" s="16"/>
      <c r="Z35" s="16"/>
      <c r="AA35" s="16"/>
      <c r="AB35" s="16"/>
      <c r="AC35" s="727"/>
      <c r="AD35" s="727"/>
      <c r="AE35" s="727"/>
      <c r="AF35" s="727"/>
      <c r="AG35" s="727"/>
    </row>
    <row r="36" spans="1:59" ht="16" thickBot="1">
      <c r="B36" s="664" t="s">
        <v>363</v>
      </c>
      <c r="C36" s="665"/>
      <c r="D36" s="665"/>
      <c r="E36" s="665"/>
      <c r="F36" s="666"/>
      <c r="H36" s="4685" t="s">
        <v>967</v>
      </c>
      <c r="I36" s="4686"/>
      <c r="J36" s="4686"/>
      <c r="K36" s="4686"/>
      <c r="L36" s="4686"/>
      <c r="M36" s="4686"/>
      <c r="N36" s="4686"/>
      <c r="O36" s="4687"/>
      <c r="P36" s="725"/>
      <c r="Q36" s="725"/>
      <c r="R36" s="725"/>
      <c r="S36" s="725"/>
      <c r="T36" s="725"/>
      <c r="U36" s="725"/>
      <c r="V36" s="16"/>
      <c r="W36" s="951"/>
      <c r="X36" s="690"/>
      <c r="Y36" s="670"/>
      <c r="Z36" s="670"/>
      <c r="AA36" s="670"/>
      <c r="AB36" s="670"/>
      <c r="AC36" s="950"/>
      <c r="AD36" s="950"/>
      <c r="AE36" s="950"/>
      <c r="AF36" s="950"/>
      <c r="AG36" s="670"/>
    </row>
    <row r="37" spans="1:59" ht="51" customHeight="1" thickBot="1">
      <c r="B37" s="43"/>
      <c r="C37" s="667" t="s">
        <v>524</v>
      </c>
      <c r="D37" s="668"/>
      <c r="E37" s="668"/>
      <c r="F37" s="669"/>
      <c r="P37" s="720"/>
      <c r="Q37" s="720"/>
      <c r="R37" s="720"/>
      <c r="S37" s="720"/>
      <c r="T37" s="720"/>
      <c r="U37" s="720"/>
      <c r="V37" s="16"/>
      <c r="W37" s="951"/>
      <c r="X37" s="692"/>
      <c r="Y37" s="673"/>
      <c r="Z37" s="673"/>
      <c r="AA37" s="673"/>
      <c r="AB37" s="670"/>
      <c r="AC37" s="724"/>
      <c r="AD37" s="725"/>
      <c r="AE37" s="725"/>
      <c r="AF37" s="725"/>
      <c r="AG37" s="673"/>
    </row>
    <row r="38" spans="1:59" ht="21.75" customHeight="1" thickBot="1">
      <c r="B38" s="128" t="s">
        <v>364</v>
      </c>
      <c r="C38" s="129" t="s">
        <v>643</v>
      </c>
      <c r="D38" s="129" t="s">
        <v>372</v>
      </c>
      <c r="E38" s="129" t="s">
        <v>373</v>
      </c>
      <c r="F38" s="130" t="s">
        <v>374</v>
      </c>
      <c r="H38" s="729" t="s">
        <v>674</v>
      </c>
      <c r="I38" s="730" t="str">
        <f>'Seleccion proyecto HEREVEA02'!L6</f>
        <v>c107</v>
      </c>
      <c r="J38" s="731" t="s">
        <v>971</v>
      </c>
      <c r="K38" s="732">
        <f>Inicio_Selecc_proyct_HEREVEA_01!L8</f>
        <v>3</v>
      </c>
      <c r="L38" s="733" t="s">
        <v>972</v>
      </c>
      <c r="M38" s="713"/>
      <c r="N38" s="734" t="s">
        <v>973</v>
      </c>
      <c r="O38" s="735"/>
      <c r="P38" s="691"/>
      <c r="Q38" s="721"/>
      <c r="R38" s="691"/>
      <c r="S38" s="691"/>
      <c r="T38" s="691"/>
      <c r="U38" s="691"/>
      <c r="V38" s="16"/>
      <c r="W38" s="693"/>
      <c r="X38" s="952"/>
      <c r="Y38" s="690"/>
      <c r="Z38" s="690"/>
      <c r="AA38" s="690"/>
      <c r="AB38" s="690"/>
      <c r="AC38" s="724"/>
      <c r="AD38" s="720"/>
      <c r="AE38" s="720"/>
      <c r="AF38" s="720"/>
      <c r="AG38" s="911"/>
    </row>
    <row r="39" spans="1:59" ht="28.5" customHeight="1" thickBot="1">
      <c r="B39" s="131" t="s">
        <v>365</v>
      </c>
      <c r="C39" s="133" t="e">
        <f>'Huella maquinaria'!R12</f>
        <v>#REF!</v>
      </c>
      <c r="D39" s="133"/>
      <c r="E39" s="133"/>
      <c r="F39" s="134"/>
      <c r="H39" s="737"/>
      <c r="I39" s="737"/>
      <c r="J39" s="738"/>
      <c r="K39" s="739"/>
      <c r="L39" s="740"/>
      <c r="M39" s="19"/>
      <c r="N39" s="741"/>
      <c r="O39" s="628"/>
      <c r="P39" s="691"/>
      <c r="Q39" s="691"/>
      <c r="R39" s="691"/>
      <c r="S39" s="692"/>
      <c r="T39" s="692"/>
      <c r="U39" s="692"/>
      <c r="V39" s="16"/>
      <c r="W39" s="16"/>
      <c r="X39" s="16"/>
      <c r="Y39" s="692"/>
      <c r="Z39" s="692"/>
      <c r="AA39" s="692"/>
      <c r="AB39" s="692"/>
      <c r="AC39" s="724"/>
      <c r="AD39" s="691"/>
      <c r="AE39" s="691"/>
      <c r="AF39" s="691"/>
      <c r="AG39" s="16"/>
      <c r="AQ39" s="16"/>
      <c r="AR39" s="16"/>
      <c r="AS39" s="16"/>
      <c r="AT39" s="16"/>
      <c r="AU39" s="16"/>
      <c r="AV39" s="16"/>
      <c r="AW39" s="16"/>
      <c r="AX39" s="16"/>
      <c r="AY39" s="16"/>
      <c r="AZ39" s="16"/>
      <c r="BA39" s="16"/>
      <c r="BB39" s="16"/>
      <c r="BC39" s="16"/>
      <c r="BD39" s="16"/>
      <c r="BE39" s="16"/>
      <c r="BF39" s="16"/>
      <c r="BG39" s="16"/>
    </row>
    <row r="40" spans="1:59" ht="16" thickBot="1">
      <c r="B40" s="131" t="s">
        <v>368</v>
      </c>
      <c r="C40" s="133">
        <f>'Huella mano de obra'!V16</f>
        <v>0</v>
      </c>
      <c r="D40" s="133">
        <f>'Huella mano de obra'!V17</f>
        <v>0</v>
      </c>
      <c r="E40" s="133">
        <f>'Huella mano de obra'!V18</f>
        <v>0</v>
      </c>
      <c r="F40" s="134">
        <f>'Huella mano de obra'!V19</f>
        <v>0</v>
      </c>
      <c r="H40" s="4688" t="s">
        <v>952</v>
      </c>
      <c r="I40" s="4689"/>
      <c r="J40" s="4689"/>
      <c r="K40" s="4689"/>
      <c r="L40" s="4689"/>
      <c r="M40" s="4689"/>
      <c r="N40" s="4689"/>
      <c r="O40" s="4690"/>
      <c r="P40" s="691"/>
      <c r="Q40" s="691"/>
      <c r="R40" s="691"/>
      <c r="S40" s="692"/>
      <c r="T40" s="692"/>
      <c r="U40" s="692"/>
      <c r="V40" s="16"/>
      <c r="W40" s="16"/>
      <c r="X40" s="16"/>
      <c r="Y40" s="952"/>
      <c r="Z40" s="952"/>
      <c r="AA40" s="952"/>
      <c r="AB40" s="692"/>
      <c r="AC40" s="720"/>
      <c r="AD40" s="953"/>
      <c r="AE40" s="953"/>
      <c r="AF40" s="953"/>
      <c r="AG40" s="16"/>
      <c r="AQ40" s="16"/>
      <c r="AR40" s="16"/>
      <c r="AS40" s="16"/>
      <c r="AT40" s="16"/>
      <c r="AU40" s="16"/>
      <c r="AV40" s="16"/>
      <c r="AW40" s="16"/>
      <c r="AX40" s="16"/>
      <c r="AY40" s="16"/>
      <c r="AZ40" s="16"/>
      <c r="BA40" s="16"/>
      <c r="BB40" s="16"/>
      <c r="BC40" s="16"/>
      <c r="BD40" s="16"/>
      <c r="BE40" s="16"/>
      <c r="BF40" s="16"/>
      <c r="BG40" s="16"/>
    </row>
    <row r="41" spans="1:59" ht="25.5" customHeight="1" thickBot="1">
      <c r="B41" s="131" t="s">
        <v>369</v>
      </c>
      <c r="C41" s="711" t="e">
        <f>'Huella mano de obra'!V44</f>
        <v>#REF!</v>
      </c>
      <c r="D41" s="133"/>
      <c r="E41" s="133"/>
      <c r="F41" s="3594"/>
      <c r="G41" s="3597"/>
      <c r="H41" s="3598"/>
      <c r="I41" s="3598"/>
      <c r="J41" s="3598"/>
      <c r="K41" s="3598"/>
      <c r="L41" s="3598"/>
      <c r="M41" s="3598"/>
      <c r="N41" s="3598"/>
      <c r="O41" s="3598"/>
      <c r="P41" s="3599"/>
      <c r="Q41" s="726"/>
      <c r="R41" s="726"/>
      <c r="S41" s="691"/>
      <c r="T41" s="691"/>
      <c r="U41" s="691"/>
      <c r="V41" s="16"/>
      <c r="W41" s="16"/>
      <c r="X41" s="16"/>
      <c r="Y41" s="952"/>
      <c r="Z41" s="952"/>
      <c r="AA41" s="952"/>
      <c r="AB41" s="692"/>
      <c r="AC41" s="692"/>
      <c r="AD41" s="692"/>
      <c r="AE41" s="16"/>
      <c r="AF41" s="16"/>
      <c r="AG41" s="16"/>
      <c r="AQ41" s="727"/>
      <c r="AR41" s="727"/>
      <c r="AS41" s="727"/>
      <c r="AT41" s="727"/>
      <c r="AU41" s="727"/>
      <c r="AV41" s="727"/>
      <c r="AW41" s="727"/>
      <c r="AX41" s="727"/>
      <c r="AY41" s="16"/>
      <c r="AZ41" s="727"/>
      <c r="BA41" s="727"/>
      <c r="BB41" s="727"/>
      <c r="BC41" s="727"/>
      <c r="BD41" s="727"/>
      <c r="BE41" s="727"/>
      <c r="BF41" s="727"/>
      <c r="BG41" s="727"/>
    </row>
    <row r="42" spans="1:59" ht="28.5" customHeight="1" thickBot="1">
      <c r="B42" s="131" t="s">
        <v>286</v>
      </c>
      <c r="C42" s="712" t="e">
        <f>'Huella materiales'!AY8</f>
        <v>#REF!</v>
      </c>
      <c r="D42" s="133"/>
      <c r="E42" s="133"/>
      <c r="F42" s="3594"/>
      <c r="G42" s="3600"/>
      <c r="H42" s="4694" t="s">
        <v>3462</v>
      </c>
      <c r="I42" s="4695"/>
      <c r="J42" s="4695"/>
      <c r="K42" s="4695"/>
      <c r="L42" s="4695"/>
      <c r="M42" s="4695"/>
      <c r="N42" s="4695"/>
      <c r="O42" s="4696"/>
      <c r="P42" s="3601"/>
      <c r="Q42" s="726"/>
      <c r="R42" s="726"/>
      <c r="S42" s="691"/>
      <c r="T42" s="691"/>
      <c r="U42" s="691"/>
      <c r="V42" s="16"/>
      <c r="W42" s="16"/>
      <c r="X42" s="16"/>
      <c r="Y42" s="726"/>
      <c r="Z42" s="726"/>
      <c r="AA42" s="726"/>
      <c r="AB42" s="692"/>
      <c r="AC42" s="692"/>
      <c r="AD42" s="692"/>
      <c r="AE42" s="16"/>
      <c r="AF42" s="16"/>
      <c r="AG42" s="16"/>
      <c r="AQ42" s="950"/>
      <c r="AR42" s="950"/>
      <c r="AS42" s="950"/>
      <c r="AT42" s="950"/>
      <c r="AU42" s="950"/>
      <c r="AV42" s="950"/>
      <c r="AW42" s="950"/>
      <c r="AX42" s="950"/>
      <c r="AY42" s="16"/>
      <c r="AZ42" s="724"/>
      <c r="BA42" s="725"/>
      <c r="BB42" s="725"/>
      <c r="BC42" s="725"/>
      <c r="BD42" s="725"/>
      <c r="BE42" s="725"/>
      <c r="BF42" s="725"/>
      <c r="BG42" s="725"/>
    </row>
    <row r="43" spans="1:59" ht="33" customHeight="1" thickBot="1">
      <c r="B43" s="139" t="s">
        <v>645</v>
      </c>
      <c r="C43" s="137" t="e">
        <f>SUM(C39:C42)</f>
        <v>#REF!</v>
      </c>
      <c r="D43" s="137">
        <f>SUM(D39:D42)</f>
        <v>0</v>
      </c>
      <c r="E43" s="137">
        <f>SUM(E39:E42)</f>
        <v>0</v>
      </c>
      <c r="F43" s="3595">
        <f>SUM(F39:F42)</f>
        <v>0</v>
      </c>
      <c r="G43" s="3600"/>
      <c r="H43" s="4652" t="s">
        <v>937</v>
      </c>
      <c r="I43" s="4654" t="s">
        <v>365</v>
      </c>
      <c r="J43" s="4654" t="s">
        <v>286</v>
      </c>
      <c r="K43" s="4650" t="s">
        <v>931</v>
      </c>
      <c r="L43" s="4650"/>
      <c r="M43" s="4650"/>
      <c r="N43" s="4650"/>
      <c r="O43" s="4651"/>
      <c r="P43" s="3602"/>
      <c r="Q43" s="953"/>
      <c r="R43" s="953"/>
      <c r="S43" s="953"/>
      <c r="T43" s="953"/>
      <c r="U43" s="953"/>
      <c r="V43" s="16"/>
      <c r="W43" s="16"/>
      <c r="X43" s="16"/>
      <c r="Y43" s="726"/>
      <c r="Z43" s="726"/>
      <c r="AA43" s="726"/>
      <c r="AB43" s="692"/>
      <c r="AC43" s="692"/>
      <c r="AD43" s="692"/>
      <c r="AE43" s="16"/>
      <c r="AF43" s="16"/>
      <c r="AG43" s="16"/>
      <c r="AQ43" s="724"/>
      <c r="AR43" s="725"/>
      <c r="AS43" s="725"/>
      <c r="AT43" s="725"/>
      <c r="AU43" s="725"/>
      <c r="AV43" s="725"/>
      <c r="AW43" s="725"/>
      <c r="AX43" s="725"/>
      <c r="AY43" s="16"/>
      <c r="AZ43" s="724"/>
      <c r="BA43" s="725"/>
      <c r="BB43" s="725"/>
      <c r="BC43" s="907"/>
      <c r="BD43" s="725"/>
      <c r="BE43" s="725"/>
      <c r="BF43" s="725"/>
      <c r="BG43" s="725"/>
    </row>
    <row r="44" spans="1:59" ht="39.75" customHeight="1" thickBot="1">
      <c r="B44" s="138" t="s">
        <v>644</v>
      </c>
      <c r="C44" s="4659" t="e">
        <f>SUM(C43:F43)</f>
        <v>#REF!</v>
      </c>
      <c r="D44" s="4660"/>
      <c r="E44" s="4660"/>
      <c r="F44" s="4660"/>
      <c r="G44" s="3600"/>
      <c r="H44" s="4653"/>
      <c r="I44" s="4655"/>
      <c r="J44" s="4655"/>
      <c r="K44" s="728" t="s">
        <v>369</v>
      </c>
      <c r="L44" s="4644" t="s">
        <v>368</v>
      </c>
      <c r="M44" s="4644"/>
      <c r="N44" s="4644"/>
      <c r="O44" s="4645"/>
      <c r="P44" s="3603"/>
      <c r="Q44" s="691"/>
      <c r="R44" s="691"/>
      <c r="S44" s="691"/>
      <c r="T44" s="691"/>
      <c r="U44" s="691"/>
      <c r="V44" s="16"/>
      <c r="W44" s="16"/>
      <c r="X44" s="16"/>
      <c r="Y44" s="691"/>
      <c r="Z44" s="691"/>
      <c r="AA44" s="691"/>
      <c r="AB44" s="691"/>
      <c r="AC44" s="691"/>
      <c r="AD44" s="691"/>
      <c r="AE44" s="16"/>
      <c r="AF44" s="16"/>
      <c r="AG44" s="16"/>
      <c r="AQ44" s="724"/>
      <c r="AR44" s="725"/>
      <c r="AS44" s="725"/>
      <c r="AT44" s="907"/>
      <c r="AU44" s="725"/>
      <c r="AV44" s="725"/>
      <c r="AW44" s="725"/>
      <c r="AX44" s="725"/>
      <c r="AY44" s="16"/>
      <c r="AZ44" s="724"/>
      <c r="BA44" s="720"/>
      <c r="BB44" s="720"/>
      <c r="BC44" s="720"/>
      <c r="BD44" s="720"/>
      <c r="BE44" s="720"/>
      <c r="BF44" s="720"/>
      <c r="BG44" s="720"/>
    </row>
    <row r="45" spans="1:59" ht="53.25" customHeight="1" thickBot="1">
      <c r="B45" s="138" t="s">
        <v>873</v>
      </c>
      <c r="C45" s="4677" t="e">
        <f>C44/'Seleccion proyecto HEREVEA02'!L8</f>
        <v>#REF!</v>
      </c>
      <c r="D45" s="4678"/>
      <c r="E45" s="4678"/>
      <c r="F45" s="4678"/>
      <c r="G45" s="3600"/>
      <c r="H45" s="4646" t="s">
        <v>968</v>
      </c>
      <c r="I45" s="714" t="s">
        <v>932</v>
      </c>
      <c r="J45" s="715" t="s">
        <v>933</v>
      </c>
      <c r="K45" s="715" t="s">
        <v>935</v>
      </c>
      <c r="L45" s="716" t="s">
        <v>938</v>
      </c>
      <c r="M45" s="714" t="s">
        <v>939</v>
      </c>
      <c r="N45" s="715" t="s">
        <v>940</v>
      </c>
      <c r="O45" s="716" t="s">
        <v>941</v>
      </c>
      <c r="P45" s="3604"/>
      <c r="Q45" s="16"/>
      <c r="R45" s="16"/>
      <c r="S45" s="16"/>
      <c r="T45" s="16"/>
      <c r="U45" s="16"/>
      <c r="V45" s="16"/>
      <c r="W45" s="296"/>
      <c r="X45" s="296"/>
      <c r="Y45" s="691"/>
      <c r="Z45" s="691"/>
      <c r="AA45" s="691"/>
      <c r="AB45" s="691"/>
      <c r="AC45" s="691"/>
      <c r="AD45" s="691"/>
      <c r="AE45" s="16"/>
      <c r="AF45" s="16"/>
      <c r="AG45" s="16"/>
      <c r="AQ45" s="724"/>
      <c r="AR45" s="720"/>
      <c r="AS45" s="720"/>
      <c r="AT45" s="720"/>
      <c r="AU45" s="720"/>
      <c r="AV45" s="720"/>
      <c r="AW45" s="720"/>
      <c r="AX45" s="720"/>
      <c r="AY45" s="16"/>
      <c r="AZ45" s="724"/>
      <c r="BA45" s="691"/>
      <c r="BB45" s="691"/>
      <c r="BC45" s="721"/>
      <c r="BD45" s="691"/>
      <c r="BE45" s="691"/>
      <c r="BF45" s="691"/>
      <c r="BG45" s="691"/>
    </row>
    <row r="46" spans="1:59" ht="26.25" customHeight="1">
      <c r="G46" s="3600"/>
      <c r="H46" s="4646"/>
      <c r="I46" s="4671" t="e">
        <f>#REF!</f>
        <v>#REF!</v>
      </c>
      <c r="J46" s="4816" t="e">
        <f>#REF!</f>
        <v>#REF!</v>
      </c>
      <c r="K46" s="4817" t="e">
        <f>#REF!</f>
        <v>#REF!</v>
      </c>
      <c r="L46" s="4818" t="e">
        <f>#REF!</f>
        <v>#REF!</v>
      </c>
      <c r="M46" s="4671" t="e">
        <f>#REF!</f>
        <v>#REF!</v>
      </c>
      <c r="N46" s="4816" t="e">
        <f>#REF!</f>
        <v>#REF!</v>
      </c>
      <c r="O46" s="4818" t="e">
        <f>#REF!</f>
        <v>#REF!</v>
      </c>
      <c r="P46" s="3605"/>
      <c r="Q46" s="727"/>
      <c r="R46" s="727"/>
      <c r="S46" s="727"/>
      <c r="T46" s="727"/>
      <c r="U46" s="727"/>
      <c r="V46" s="16"/>
      <c r="W46" s="670"/>
      <c r="X46" s="670"/>
      <c r="Y46" s="16"/>
      <c r="Z46" s="16"/>
      <c r="AA46" s="16"/>
      <c r="AB46" s="16"/>
      <c r="AC46" s="16"/>
      <c r="AD46" s="16"/>
      <c r="AE46" s="16"/>
      <c r="AF46" s="16"/>
      <c r="AG46" s="16"/>
      <c r="AQ46" s="724"/>
      <c r="AR46" s="691"/>
      <c r="AS46" s="691"/>
      <c r="AT46" s="721"/>
      <c r="AU46" s="691"/>
      <c r="AV46" s="691"/>
      <c r="AW46" s="691"/>
      <c r="AX46" s="691"/>
      <c r="AY46" s="16"/>
      <c r="AZ46" s="724"/>
      <c r="BA46" s="691"/>
      <c r="BB46" s="691"/>
      <c r="BC46" s="721"/>
      <c r="BD46" s="691"/>
      <c r="BE46" s="691"/>
      <c r="BF46" s="691"/>
      <c r="BG46" s="691"/>
    </row>
    <row r="47" spans="1:59" ht="27.75" customHeight="1" thickBot="1">
      <c r="B47" s="160" t="s">
        <v>903</v>
      </c>
      <c r="C47" s="160" t="s">
        <v>917</v>
      </c>
      <c r="G47" s="3600"/>
      <c r="H47" s="4647"/>
      <c r="I47" s="4633"/>
      <c r="J47" s="4635"/>
      <c r="K47" s="4649"/>
      <c r="L47" s="4637"/>
      <c r="M47" s="4633"/>
      <c r="N47" s="4635"/>
      <c r="O47" s="4637"/>
      <c r="P47" s="3606"/>
      <c r="Q47" s="950"/>
      <c r="R47" s="950"/>
      <c r="S47" s="950"/>
      <c r="T47" s="950"/>
      <c r="U47" s="950"/>
      <c r="V47" s="16"/>
      <c r="W47" s="951"/>
      <c r="X47" s="670"/>
      <c r="Y47" s="16"/>
      <c r="Z47" s="16"/>
      <c r="AA47" s="16"/>
      <c r="AB47" s="16"/>
      <c r="AC47" s="727"/>
      <c r="AD47" s="727"/>
      <c r="AE47" s="727"/>
      <c r="AF47" s="727"/>
      <c r="AG47" s="16"/>
      <c r="AQ47" s="724"/>
      <c r="AR47" s="691"/>
      <c r="AS47" s="691"/>
      <c r="AT47" s="721"/>
      <c r="AU47" s="691"/>
      <c r="AV47" s="691"/>
      <c r="AW47" s="691"/>
      <c r="AX47" s="691"/>
      <c r="AY47" s="16"/>
      <c r="AZ47" s="725"/>
      <c r="BA47" s="691"/>
      <c r="BB47" s="691"/>
      <c r="BC47" s="691"/>
      <c r="BD47" s="691"/>
      <c r="BE47" s="692"/>
      <c r="BF47" s="692"/>
      <c r="BG47" s="692"/>
    </row>
    <row r="48" spans="1:59" ht="25.5" customHeight="1" thickBot="1">
      <c r="B48" s="664" t="s">
        <v>363</v>
      </c>
      <c r="C48" s="665"/>
      <c r="D48" s="665"/>
      <c r="E48" s="665"/>
      <c r="F48" s="665"/>
      <c r="G48" s="3600"/>
      <c r="H48" s="4663" t="s">
        <v>936</v>
      </c>
      <c r="I48" s="4665" t="e">
        <f>I46+J46+K46+L46</f>
        <v>#REF!</v>
      </c>
      <c r="J48" s="4666"/>
      <c r="K48" s="4666"/>
      <c r="L48" s="4667"/>
      <c r="M48" s="4638"/>
      <c r="N48" s="4638"/>
      <c r="O48" s="4662"/>
      <c r="P48" s="3607"/>
      <c r="Q48" s="725"/>
      <c r="R48" s="725"/>
      <c r="S48" s="725"/>
      <c r="T48" s="725"/>
      <c r="U48" s="725"/>
      <c r="V48" s="16"/>
      <c r="W48" s="951"/>
      <c r="X48" s="690"/>
      <c r="Y48" s="670"/>
      <c r="Z48" s="670"/>
      <c r="AA48" s="670"/>
      <c r="AB48" s="16"/>
      <c r="AC48" s="950"/>
      <c r="AD48" s="950"/>
      <c r="AE48" s="950"/>
      <c r="AF48" s="950"/>
      <c r="AG48" s="16"/>
      <c r="AQ48" s="725"/>
      <c r="AR48" s="691"/>
      <c r="AS48" s="691"/>
      <c r="AT48" s="691"/>
      <c r="AU48" s="691"/>
      <c r="AV48" s="692"/>
      <c r="AW48" s="692"/>
      <c r="AX48" s="692"/>
      <c r="AY48" s="16"/>
      <c r="AZ48" s="725"/>
      <c r="BA48" s="691"/>
      <c r="BB48" s="691"/>
      <c r="BC48" s="691"/>
      <c r="BD48" s="691"/>
      <c r="BE48" s="692"/>
      <c r="BF48" s="692"/>
      <c r="BG48" s="692"/>
    </row>
    <row r="49" spans="2:59" ht="18.75" customHeight="1" thickBot="1">
      <c r="B49" s="43"/>
      <c r="C49" s="667" t="s">
        <v>524</v>
      </c>
      <c r="D49" s="668"/>
      <c r="E49" s="668"/>
      <c r="F49" s="668"/>
      <c r="G49" s="3600"/>
      <c r="H49" s="4664"/>
      <c r="I49" s="4668"/>
      <c r="J49" s="4669"/>
      <c r="K49" s="4669"/>
      <c r="L49" s="4670"/>
      <c r="M49" s="4638"/>
      <c r="N49" s="4638"/>
      <c r="O49" s="4662"/>
      <c r="P49" s="3608"/>
      <c r="Q49" s="720"/>
      <c r="R49" s="720"/>
      <c r="S49" s="720"/>
      <c r="T49" s="720"/>
      <c r="U49" s="720"/>
      <c r="V49" s="16"/>
      <c r="W49" s="951"/>
      <c r="X49" s="692"/>
      <c r="Y49" s="670"/>
      <c r="Z49" s="670"/>
      <c r="AA49" s="670"/>
      <c r="AB49" s="16"/>
      <c r="AC49" s="724"/>
      <c r="AD49" s="725"/>
      <c r="AE49" s="725"/>
      <c r="AF49" s="725"/>
      <c r="AG49" s="16"/>
      <c r="AQ49" s="725"/>
      <c r="AR49" s="691"/>
      <c r="AS49" s="691"/>
      <c r="AT49" s="691"/>
      <c r="AU49" s="691"/>
      <c r="AV49" s="692"/>
      <c r="AW49" s="692"/>
      <c r="AX49" s="692"/>
      <c r="AY49" s="16"/>
      <c r="AZ49" s="725"/>
      <c r="BA49" s="726"/>
      <c r="BB49" s="726"/>
      <c r="BC49" s="726"/>
      <c r="BD49" s="726"/>
      <c r="BE49" s="691"/>
      <c r="BF49" s="691"/>
      <c r="BG49" s="691"/>
    </row>
    <row r="50" spans="2:59" ht="54" customHeight="1">
      <c r="B50" s="128" t="s">
        <v>364</v>
      </c>
      <c r="C50" s="129" t="s">
        <v>643</v>
      </c>
      <c r="D50" s="129" t="s">
        <v>372</v>
      </c>
      <c r="E50" s="129" t="s">
        <v>373</v>
      </c>
      <c r="F50" s="3596" t="s">
        <v>374</v>
      </c>
      <c r="G50" s="3600"/>
      <c r="H50" s="4703" t="s">
        <v>942</v>
      </c>
      <c r="I50" s="4705"/>
      <c r="J50" s="4706"/>
      <c r="K50" s="4706"/>
      <c r="L50" s="4707"/>
      <c r="M50" s="4711" t="e">
        <f>M46+N46+O46</f>
        <v>#REF!</v>
      </c>
      <c r="N50" s="4712"/>
      <c r="O50" s="4713"/>
      <c r="P50" s="3603"/>
      <c r="Q50" s="721"/>
      <c r="R50" s="691"/>
      <c r="S50" s="691"/>
      <c r="T50" s="691"/>
      <c r="U50" s="691"/>
      <c r="V50" s="16"/>
      <c r="W50" s="693"/>
      <c r="X50" s="952"/>
      <c r="Y50" s="690"/>
      <c r="Z50" s="690"/>
      <c r="AA50" s="690"/>
      <c r="AB50" s="16"/>
      <c r="AC50" s="724"/>
      <c r="AD50" s="720"/>
      <c r="AE50" s="720"/>
      <c r="AF50" s="720"/>
      <c r="AG50" s="16"/>
      <c r="AQ50" s="725"/>
      <c r="AR50" s="726"/>
      <c r="AS50" s="726"/>
      <c r="AT50" s="726"/>
      <c r="AU50" s="726"/>
      <c r="AV50" s="691"/>
      <c r="AW50" s="691"/>
      <c r="AX50" s="691"/>
      <c r="AY50" s="16"/>
      <c r="AZ50" s="725"/>
      <c r="BA50" s="726"/>
      <c r="BB50" s="726"/>
      <c r="BC50" s="726"/>
      <c r="BD50" s="726"/>
      <c r="BE50" s="691"/>
      <c r="BF50" s="691"/>
      <c r="BG50" s="691"/>
    </row>
    <row r="51" spans="2:59" ht="69" customHeight="1" thickBot="1">
      <c r="B51" s="131" t="s">
        <v>365</v>
      </c>
      <c r="C51" s="133" t="e">
        <f>'Huella maquinaria'!S12</f>
        <v>#REF!</v>
      </c>
      <c r="D51" s="133"/>
      <c r="E51" s="133"/>
      <c r="F51" s="3594"/>
      <c r="G51" s="3600"/>
      <c r="H51" s="4704"/>
      <c r="I51" s="4708"/>
      <c r="J51" s="4709"/>
      <c r="K51" s="4709"/>
      <c r="L51" s="4710"/>
      <c r="M51" s="4714"/>
      <c r="N51" s="4715"/>
      <c r="O51" s="4716"/>
      <c r="P51" s="3603"/>
      <c r="Q51" s="691"/>
      <c r="R51" s="691"/>
      <c r="S51" s="692"/>
      <c r="T51" s="692"/>
      <c r="U51" s="692"/>
      <c r="V51" s="16"/>
      <c r="W51" s="16"/>
      <c r="X51" s="16"/>
      <c r="Y51" s="692"/>
      <c r="Z51" s="692"/>
      <c r="AA51" s="692"/>
      <c r="AB51" s="16"/>
      <c r="AC51" s="724"/>
      <c r="AD51" s="691"/>
      <c r="AE51" s="691"/>
      <c r="AF51" s="691"/>
      <c r="AG51" s="16"/>
      <c r="AQ51" s="725"/>
      <c r="AR51" s="726"/>
      <c r="AS51" s="726"/>
      <c r="AT51" s="726"/>
      <c r="AU51" s="726"/>
      <c r="AV51" s="691"/>
      <c r="AW51" s="691"/>
      <c r="AX51" s="691"/>
      <c r="AY51" s="16"/>
      <c r="AZ51" s="720"/>
      <c r="BA51" s="953"/>
      <c r="BB51" s="953"/>
      <c r="BC51" s="953"/>
      <c r="BD51" s="953"/>
      <c r="BE51" s="953"/>
      <c r="BF51" s="953"/>
      <c r="BG51" s="953"/>
    </row>
    <row r="52" spans="2:59" ht="60" customHeight="1" thickBot="1">
      <c r="B52" s="131" t="s">
        <v>368</v>
      </c>
      <c r="C52" s="133">
        <f>'Huella mano de obra'!$W$16</f>
        <v>0</v>
      </c>
      <c r="D52" s="133">
        <f>'Huella mano de obra'!$W$17</f>
        <v>0</v>
      </c>
      <c r="E52" s="133">
        <f>'Huella mano de obra'!$W$18</f>
        <v>0</v>
      </c>
      <c r="F52" s="3594">
        <f>'Huella mano de obra'!$W$19</f>
        <v>0</v>
      </c>
      <c r="G52" s="3600"/>
      <c r="H52" s="717" t="s">
        <v>969</v>
      </c>
      <c r="I52" s="4697" t="e">
        <f>SUM(I48+M50)</f>
        <v>#REF!</v>
      </c>
      <c r="J52" s="4698"/>
      <c r="K52" s="4698"/>
      <c r="L52" s="4698"/>
      <c r="M52" s="4698"/>
      <c r="N52" s="4698"/>
      <c r="O52" s="4699"/>
      <c r="P52" s="3603"/>
      <c r="Q52" s="691"/>
      <c r="R52" s="691"/>
      <c r="S52" s="2015"/>
      <c r="T52" s="692"/>
      <c r="U52" s="692"/>
      <c r="V52" s="16"/>
      <c r="W52" s="16"/>
      <c r="X52" s="16"/>
      <c r="Y52" s="952"/>
      <c r="Z52" s="952"/>
      <c r="AA52" s="952"/>
      <c r="AB52" s="16"/>
      <c r="AC52" s="720"/>
      <c r="AD52" s="953"/>
      <c r="AE52" s="953"/>
      <c r="AF52" s="953"/>
      <c r="AG52" s="16"/>
      <c r="AQ52" s="720"/>
      <c r="AR52" s="953"/>
      <c r="AS52" s="953"/>
      <c r="AT52" s="953"/>
      <c r="AU52" s="953"/>
      <c r="AV52" s="953"/>
      <c r="AW52" s="953"/>
      <c r="AX52" s="953"/>
      <c r="AY52" s="16"/>
      <c r="AZ52" s="949"/>
      <c r="BA52" s="691"/>
      <c r="BB52" s="691"/>
      <c r="BC52" s="691"/>
      <c r="BD52" s="691"/>
      <c r="BE52" s="691"/>
      <c r="BF52" s="691"/>
      <c r="BG52" s="691"/>
    </row>
    <row r="53" spans="2:59" ht="35.25" customHeight="1" thickBot="1">
      <c r="B53" s="131" t="s">
        <v>369</v>
      </c>
      <c r="C53" s="675" t="e">
        <f>'Huella mano de obra'!W44</f>
        <v>#REF!</v>
      </c>
      <c r="D53" s="133"/>
      <c r="E53" s="133"/>
      <c r="F53" s="3594"/>
      <c r="G53" s="3600"/>
      <c r="H53" s="717" t="s">
        <v>970</v>
      </c>
      <c r="I53" s="4677" t="e">
        <f>I52/'[4]Seleccion proyecto HEREVEA02'!D22</f>
        <v>#REF!</v>
      </c>
      <c r="J53" s="4678"/>
      <c r="K53" s="4678"/>
      <c r="L53" s="4678"/>
      <c r="M53" s="4678"/>
      <c r="N53" s="4678"/>
      <c r="O53" s="4679"/>
      <c r="P53" s="3601"/>
      <c r="Q53" s="726"/>
      <c r="R53" s="726"/>
      <c r="S53" s="691"/>
      <c r="T53" s="691"/>
      <c r="U53" s="691"/>
      <c r="V53" s="16"/>
      <c r="W53" s="16"/>
      <c r="X53" s="16"/>
      <c r="Y53" s="16"/>
      <c r="Z53" s="16"/>
      <c r="AA53" s="16"/>
      <c r="AB53" s="16"/>
      <c r="AC53" s="16"/>
      <c r="AD53" s="16"/>
      <c r="AE53" s="16"/>
      <c r="AF53" s="16"/>
      <c r="AG53" s="16"/>
      <c r="AQ53" s="949"/>
      <c r="AR53" s="691"/>
      <c r="AS53" s="691"/>
      <c r="AT53" s="691"/>
      <c r="AU53" s="691"/>
      <c r="AV53" s="691"/>
      <c r="AW53" s="691"/>
      <c r="AX53" s="691"/>
      <c r="AY53" s="16"/>
      <c r="AZ53" s="16"/>
      <c r="BA53" s="16"/>
      <c r="BB53" s="16"/>
      <c r="BC53" s="16"/>
      <c r="BD53" s="16"/>
      <c r="BE53" s="16"/>
      <c r="BF53" s="16"/>
      <c r="BG53" s="16"/>
    </row>
    <row r="54" spans="2:59" ht="25.5" customHeight="1" thickBot="1">
      <c r="B54" s="131" t="s">
        <v>286</v>
      </c>
      <c r="C54" s="133" t="e">
        <f>'Huella materiales'!AZ8</f>
        <v>#REF!</v>
      </c>
      <c r="D54" s="133"/>
      <c r="E54" s="133"/>
      <c r="F54" s="3594"/>
      <c r="G54" s="3609"/>
      <c r="H54" s="3610"/>
      <c r="I54" s="3610"/>
      <c r="J54" s="3610"/>
      <c r="K54" s="3610"/>
      <c r="L54" s="3610"/>
      <c r="M54" s="3610"/>
      <c r="N54" s="3610"/>
      <c r="O54" s="3610"/>
      <c r="P54" s="3611"/>
      <c r="Q54" s="726"/>
      <c r="R54" s="726"/>
      <c r="S54" s="691"/>
      <c r="T54" s="691"/>
      <c r="U54" s="691"/>
      <c r="V54" s="16"/>
      <c r="W54" s="16"/>
      <c r="X54" s="16"/>
      <c r="Y54" s="16"/>
      <c r="Z54" s="16"/>
      <c r="AA54" s="16"/>
      <c r="AB54" s="16"/>
      <c r="AC54" s="16"/>
      <c r="AD54" s="16"/>
      <c r="AE54" s="16"/>
      <c r="AF54" s="16"/>
      <c r="AG54" s="16"/>
    </row>
    <row r="55" spans="2:59" ht="26.25" customHeight="1" thickBot="1">
      <c r="B55" s="139" t="s">
        <v>645</v>
      </c>
      <c r="C55" s="137" t="e">
        <f>SUM(C51:C54)</f>
        <v>#REF!</v>
      </c>
      <c r="D55" s="137">
        <f>SUM(D51:D54)</f>
        <v>0</v>
      </c>
      <c r="E55" s="137">
        <f>SUM(E51:E54)</f>
        <v>0</v>
      </c>
      <c r="F55" s="671">
        <f>SUM(F51:F54)</f>
        <v>0</v>
      </c>
      <c r="H55" s="4691" t="s">
        <v>955</v>
      </c>
      <c r="I55" s="4692"/>
      <c r="J55" s="4692"/>
      <c r="K55" s="4692"/>
      <c r="L55" s="4692"/>
      <c r="M55" s="4692"/>
      <c r="N55" s="4692"/>
      <c r="O55" s="4693"/>
      <c r="P55" s="953"/>
      <c r="Q55" s="953"/>
      <c r="R55" s="953"/>
      <c r="S55" s="953"/>
      <c r="T55" s="953"/>
      <c r="U55" s="953"/>
      <c r="V55" s="16"/>
      <c r="W55" s="16"/>
      <c r="X55" s="16"/>
      <c r="Y55" s="16"/>
      <c r="Z55" s="16"/>
      <c r="AA55" s="16"/>
      <c r="AB55" s="16"/>
      <c r="AC55" s="16"/>
      <c r="AD55" s="16"/>
      <c r="AE55" s="16"/>
      <c r="AF55" s="16"/>
      <c r="AG55" s="16"/>
    </row>
    <row r="56" spans="2:59" ht="16" thickBot="1">
      <c r="B56" s="138" t="s">
        <v>644</v>
      </c>
      <c r="C56" s="4659" t="e">
        <f>SUM(C55:F55)</f>
        <v>#REF!</v>
      </c>
      <c r="D56" s="4660"/>
      <c r="E56" s="4660"/>
      <c r="F56" s="4661"/>
      <c r="H56" s="4652" t="s">
        <v>937</v>
      </c>
      <c r="I56" s="4654" t="s">
        <v>365</v>
      </c>
      <c r="J56" s="4654" t="s">
        <v>286</v>
      </c>
      <c r="K56" s="4650" t="s">
        <v>931</v>
      </c>
      <c r="L56" s="4650"/>
      <c r="M56" s="4650"/>
      <c r="N56" s="4650"/>
      <c r="O56" s="4651"/>
      <c r="P56" s="691"/>
      <c r="Q56" s="691"/>
      <c r="R56" s="691"/>
      <c r="S56" s="691"/>
      <c r="T56" s="691"/>
      <c r="U56" s="691"/>
      <c r="V56" s="16"/>
      <c r="W56" s="16"/>
      <c r="X56" s="16"/>
      <c r="Y56" s="16"/>
      <c r="Z56" s="16"/>
      <c r="AA56" s="16"/>
      <c r="AB56" s="16"/>
      <c r="AC56" s="16"/>
      <c r="AD56" s="16"/>
      <c r="AE56" s="16"/>
      <c r="AF56" s="16"/>
      <c r="AG56" s="16"/>
    </row>
    <row r="57" spans="2:59" ht="32.25" customHeight="1" thickBot="1">
      <c r="B57" s="138" t="s">
        <v>873</v>
      </c>
      <c r="C57" s="4659" t="e">
        <f>C56/'Seleccion proyecto HEREVEA02'!L8</f>
        <v>#REF!</v>
      </c>
      <c r="D57" s="4660"/>
      <c r="E57" s="4660"/>
      <c r="F57" s="4661"/>
      <c r="H57" s="4653"/>
      <c r="I57" s="4655"/>
      <c r="J57" s="4655"/>
      <c r="K57" s="728" t="s">
        <v>369</v>
      </c>
      <c r="L57" s="4644" t="s">
        <v>368</v>
      </c>
      <c r="M57" s="4644"/>
      <c r="N57" s="4644"/>
      <c r="O57" s="4645"/>
      <c r="P57" s="727"/>
      <c r="Q57" s="727"/>
      <c r="R57" s="727"/>
      <c r="S57" s="727"/>
      <c r="T57" s="727"/>
      <c r="U57" s="727"/>
      <c r="V57" s="16"/>
      <c r="W57" s="296"/>
      <c r="X57" s="296"/>
      <c r="Y57" s="16"/>
      <c r="Z57" s="16"/>
      <c r="AA57" s="16"/>
      <c r="AB57" s="16"/>
      <c r="AC57" s="16"/>
      <c r="AD57" s="16"/>
      <c r="AE57" s="16"/>
      <c r="AF57" s="16"/>
      <c r="AG57" s="16"/>
    </row>
    <row r="58" spans="2:59" ht="41.25" customHeight="1">
      <c r="H58" s="4646" t="s">
        <v>968</v>
      </c>
      <c r="I58" s="714" t="s">
        <v>932</v>
      </c>
      <c r="J58" s="715" t="s">
        <v>933</v>
      </c>
      <c r="K58" s="715" t="s">
        <v>935</v>
      </c>
      <c r="L58" s="716" t="s">
        <v>938</v>
      </c>
      <c r="M58" s="714" t="s">
        <v>939</v>
      </c>
      <c r="N58" s="715" t="s">
        <v>940</v>
      </c>
      <c r="O58" s="716" t="s">
        <v>941</v>
      </c>
      <c r="P58" s="727"/>
      <c r="Q58" s="727"/>
      <c r="R58" s="727"/>
      <c r="S58" s="727"/>
      <c r="T58" s="727"/>
      <c r="U58" s="727"/>
      <c r="V58" s="16"/>
      <c r="W58" s="670"/>
      <c r="X58" s="670"/>
      <c r="Y58" s="16"/>
      <c r="Z58" s="16"/>
      <c r="AA58" s="16"/>
      <c r="AB58" s="16"/>
      <c r="AC58" s="16"/>
      <c r="AD58" s="16"/>
      <c r="AE58" s="16"/>
      <c r="AF58" s="16"/>
      <c r="AG58" s="16"/>
    </row>
    <row r="59" spans="2:59" ht="16" thickBot="1">
      <c r="B59" s="160" t="s">
        <v>900</v>
      </c>
      <c r="C59" s="160" t="s">
        <v>918</v>
      </c>
      <c r="H59" s="4646"/>
      <c r="I59" s="4632" t="e">
        <f>C39</f>
        <v>#REF!</v>
      </c>
      <c r="J59" s="4634" t="e">
        <f>C42</f>
        <v>#REF!</v>
      </c>
      <c r="K59" s="4648" t="e">
        <f>C41</f>
        <v>#REF!</v>
      </c>
      <c r="L59" s="4636">
        <f>C40</f>
        <v>0</v>
      </c>
      <c r="M59" s="4632">
        <f>D40</f>
        <v>0</v>
      </c>
      <c r="N59" s="4634">
        <f>E40</f>
        <v>0</v>
      </c>
      <c r="O59" s="4636">
        <f>F40</f>
        <v>0</v>
      </c>
      <c r="P59" s="950"/>
      <c r="Q59" s="950"/>
      <c r="R59" s="950"/>
      <c r="S59" s="950"/>
      <c r="T59" s="950"/>
      <c r="U59" s="950"/>
      <c r="V59" s="16"/>
      <c r="W59" s="951"/>
      <c r="X59" s="670"/>
      <c r="Y59" s="16"/>
      <c r="Z59" s="16"/>
      <c r="AA59" s="16"/>
      <c r="AB59" s="16"/>
      <c r="AC59" s="727"/>
      <c r="AD59" s="727"/>
      <c r="AE59" s="727"/>
      <c r="AF59" s="727"/>
      <c r="AG59" s="16"/>
    </row>
    <row r="60" spans="2:59" ht="16" thickBot="1">
      <c r="B60" s="664" t="s">
        <v>363</v>
      </c>
      <c r="C60" s="665"/>
      <c r="D60" s="665"/>
      <c r="E60" s="665"/>
      <c r="F60" s="666"/>
      <c r="H60" s="4647"/>
      <c r="I60" s="4633"/>
      <c r="J60" s="4635"/>
      <c r="K60" s="4649"/>
      <c r="L60" s="4637"/>
      <c r="M60" s="4633"/>
      <c r="N60" s="4635"/>
      <c r="O60" s="4637"/>
      <c r="P60" s="725"/>
      <c r="Q60" s="725"/>
      <c r="R60" s="725"/>
      <c r="S60" s="725"/>
      <c r="T60" s="725"/>
      <c r="U60" s="725"/>
      <c r="V60" s="16"/>
      <c r="W60" s="951"/>
      <c r="X60" s="690"/>
      <c r="Y60" s="670"/>
      <c r="Z60" s="670"/>
      <c r="AA60" s="670"/>
      <c r="AB60" s="16"/>
      <c r="AC60" s="950"/>
      <c r="AD60" s="950"/>
      <c r="AE60" s="950"/>
      <c r="AF60" s="950"/>
      <c r="AG60" s="16"/>
    </row>
    <row r="61" spans="2:59" ht="18.5">
      <c r="B61" s="43"/>
      <c r="C61" s="667" t="s">
        <v>524</v>
      </c>
      <c r="D61" s="668"/>
      <c r="E61" s="668"/>
      <c r="F61" s="669"/>
      <c r="H61" s="4663" t="s">
        <v>936</v>
      </c>
      <c r="I61" s="4665" t="e">
        <f>SUM(I59:L60)</f>
        <v>#REF!</v>
      </c>
      <c r="J61" s="4666"/>
      <c r="K61" s="4666"/>
      <c r="L61" s="4667"/>
      <c r="M61" s="4638"/>
      <c r="N61" s="4638"/>
      <c r="O61" s="4662"/>
      <c r="P61" s="720"/>
      <c r="Q61" s="720"/>
      <c r="R61" s="720"/>
      <c r="S61" s="720"/>
      <c r="T61" s="720"/>
      <c r="U61" s="720"/>
      <c r="V61" s="16"/>
      <c r="W61" s="951"/>
      <c r="X61" s="692"/>
      <c r="Y61" s="670"/>
      <c r="Z61" s="670"/>
      <c r="AA61" s="670"/>
      <c r="AB61" s="16"/>
      <c r="AC61" s="724"/>
      <c r="AD61" s="725"/>
      <c r="AE61" s="725"/>
      <c r="AF61" s="725"/>
      <c r="AG61" s="16"/>
    </row>
    <row r="62" spans="2:59" ht="16" thickBot="1">
      <c r="B62" s="128" t="s">
        <v>364</v>
      </c>
      <c r="C62" s="129" t="s">
        <v>643</v>
      </c>
      <c r="D62" s="129" t="s">
        <v>372</v>
      </c>
      <c r="E62" s="129" t="s">
        <v>373</v>
      </c>
      <c r="F62" s="130" t="s">
        <v>374</v>
      </c>
      <c r="H62" s="4664"/>
      <c r="I62" s="4668"/>
      <c r="J62" s="4669"/>
      <c r="K62" s="4669"/>
      <c r="L62" s="4670"/>
      <c r="M62" s="4638"/>
      <c r="N62" s="4638"/>
      <c r="O62" s="4662"/>
      <c r="P62" s="691"/>
      <c r="Q62" s="721"/>
      <c r="R62" s="691"/>
      <c r="S62" s="691"/>
      <c r="T62" s="691"/>
      <c r="U62" s="691"/>
      <c r="V62" s="16"/>
      <c r="W62" s="693"/>
      <c r="X62" s="952"/>
      <c r="Y62" s="690"/>
      <c r="Z62" s="690"/>
      <c r="AA62" s="690"/>
      <c r="AB62" s="16"/>
      <c r="AC62" s="724"/>
      <c r="AD62" s="720"/>
      <c r="AE62" s="720"/>
      <c r="AF62" s="720"/>
      <c r="AG62" s="16"/>
    </row>
    <row r="63" spans="2:59" ht="62.25" customHeight="1">
      <c r="B63" s="131" t="s">
        <v>365</v>
      </c>
      <c r="C63" s="133" t="e">
        <f>'Huella maquinaria'!T12</f>
        <v>#REF!</v>
      </c>
      <c r="D63" s="133"/>
      <c r="E63" s="133"/>
      <c r="F63" s="134"/>
      <c r="H63" s="4703" t="s">
        <v>942</v>
      </c>
      <c r="I63" s="4705"/>
      <c r="J63" s="4706"/>
      <c r="K63" s="4706"/>
      <c r="L63" s="4707"/>
      <c r="M63" s="4711">
        <f>SUM(M59:O60)</f>
        <v>0</v>
      </c>
      <c r="N63" s="4712"/>
      <c r="O63" s="4713"/>
      <c r="P63" s="691"/>
      <c r="Q63" s="691"/>
      <c r="R63" s="691"/>
      <c r="S63" s="692"/>
      <c r="T63" s="692"/>
      <c r="U63" s="692"/>
      <c r="V63" s="16"/>
      <c r="W63" s="16"/>
      <c r="X63" s="16"/>
      <c r="Y63" s="692"/>
      <c r="Z63" s="692"/>
      <c r="AA63" s="692"/>
      <c r="AB63" s="16"/>
      <c r="AC63" s="724"/>
      <c r="AD63" s="691"/>
      <c r="AE63" s="691"/>
      <c r="AF63" s="691"/>
      <c r="AG63" s="16"/>
    </row>
    <row r="64" spans="2:59" ht="72" customHeight="1" thickBot="1">
      <c r="B64" s="131" t="s">
        <v>368</v>
      </c>
      <c r="C64" s="133">
        <f>'Huella mano de obra'!$X$16</f>
        <v>0</v>
      </c>
      <c r="D64" s="133">
        <f>'Huella mano de obra'!$X$17</f>
        <v>0</v>
      </c>
      <c r="E64" s="133">
        <f>'Huella mano de obra'!$X$18</f>
        <v>0</v>
      </c>
      <c r="F64" s="134">
        <f>'Huella mano de obra'!$X$19</f>
        <v>0</v>
      </c>
      <c r="H64" s="4704"/>
      <c r="I64" s="4708"/>
      <c r="J64" s="4709"/>
      <c r="K64" s="4709"/>
      <c r="L64" s="4710"/>
      <c r="M64" s="4714"/>
      <c r="N64" s="4715"/>
      <c r="O64" s="4716"/>
      <c r="P64" s="691"/>
      <c r="Q64" s="691"/>
      <c r="R64" s="691"/>
      <c r="S64" s="692"/>
      <c r="T64" s="692"/>
      <c r="U64" s="692"/>
      <c r="V64" s="16"/>
      <c r="W64" s="16"/>
      <c r="X64" s="16"/>
      <c r="Y64" s="952"/>
      <c r="Z64" s="952"/>
      <c r="AA64" s="952"/>
      <c r="AB64" s="16"/>
      <c r="AC64" s="720"/>
      <c r="AD64" s="953"/>
      <c r="AE64" s="953"/>
      <c r="AF64" s="953"/>
      <c r="AG64" s="16"/>
    </row>
    <row r="65" spans="2:33" ht="41.25" customHeight="1" thickBot="1">
      <c r="B65" s="131" t="s">
        <v>369</v>
      </c>
      <c r="C65" s="675" t="e">
        <f>'Huella mano de obra'!X44</f>
        <v>#REF!</v>
      </c>
      <c r="D65" s="133"/>
      <c r="E65" s="133"/>
      <c r="F65" s="134"/>
      <c r="H65" s="717" t="s">
        <v>969</v>
      </c>
      <c r="I65" s="4697" t="e">
        <f>SUM(I61+M63)</f>
        <v>#REF!</v>
      </c>
      <c r="J65" s="4698"/>
      <c r="K65" s="4698"/>
      <c r="L65" s="4698"/>
      <c r="M65" s="4698"/>
      <c r="N65" s="4698"/>
      <c r="O65" s="4699"/>
      <c r="P65" s="726"/>
      <c r="Q65" s="726"/>
      <c r="R65" s="726"/>
      <c r="S65" s="691"/>
      <c r="T65" s="691"/>
      <c r="U65" s="691"/>
      <c r="V65" s="16"/>
      <c r="W65" s="16"/>
      <c r="X65" s="16"/>
      <c r="Y65" s="16"/>
      <c r="Z65" s="16"/>
      <c r="AA65" s="16"/>
      <c r="AB65" s="16"/>
      <c r="AC65" s="16"/>
      <c r="AD65" s="16"/>
      <c r="AE65" s="16"/>
      <c r="AF65" s="16"/>
      <c r="AG65" s="16"/>
    </row>
    <row r="66" spans="2:33" ht="31.5" customHeight="1" thickBot="1">
      <c r="B66" s="131" t="s">
        <v>286</v>
      </c>
      <c r="C66" s="133" t="e">
        <f>'Huella materiales'!BA8</f>
        <v>#REF!</v>
      </c>
      <c r="D66" s="133"/>
      <c r="E66" s="133"/>
      <c r="F66" s="134"/>
      <c r="H66" s="717" t="s">
        <v>970</v>
      </c>
      <c r="I66" s="4677" t="e">
        <f>I65/'Seleccion proyecto HEREVEA02'!L8</f>
        <v>#REF!</v>
      </c>
      <c r="J66" s="4678"/>
      <c r="K66" s="4678"/>
      <c r="L66" s="4678"/>
      <c r="M66" s="4678"/>
      <c r="N66" s="4678"/>
      <c r="O66" s="4679"/>
      <c r="P66" s="726"/>
      <c r="Q66" s="726"/>
      <c r="R66" s="726"/>
      <c r="S66" s="691"/>
      <c r="T66" s="691"/>
      <c r="U66" s="691"/>
      <c r="V66" s="16"/>
      <c r="W66" s="16"/>
      <c r="X66" s="16"/>
      <c r="Y66" s="16"/>
      <c r="Z66" s="16"/>
      <c r="AA66" s="16"/>
      <c r="AB66" s="16"/>
      <c r="AC66" s="16"/>
      <c r="AD66" s="16"/>
      <c r="AE66" s="16"/>
      <c r="AF66" s="16"/>
      <c r="AG66" s="16"/>
    </row>
    <row r="67" spans="2:33" ht="27.75" customHeight="1" thickBot="1">
      <c r="B67" s="139" t="s">
        <v>645</v>
      </c>
      <c r="C67" s="137" t="e">
        <f>SUM(C63:C66)</f>
        <v>#REF!</v>
      </c>
      <c r="D67" s="137">
        <f>SUM(D63:D66)</f>
        <v>0</v>
      </c>
      <c r="E67" s="137">
        <f>SUM(E63:E66)</f>
        <v>0</v>
      </c>
      <c r="F67" s="671">
        <f>SUM(F63:F66)</f>
        <v>0</v>
      </c>
      <c r="H67" s="948"/>
      <c r="I67" s="917"/>
      <c r="J67" s="917"/>
      <c r="K67" s="917"/>
      <c r="L67" s="917"/>
      <c r="M67" s="917"/>
      <c r="N67" s="917"/>
      <c r="O67" s="918"/>
      <c r="P67" s="953"/>
      <c r="Q67" s="953"/>
      <c r="R67" s="953"/>
      <c r="S67" s="953"/>
      <c r="T67" s="953"/>
      <c r="U67" s="953"/>
      <c r="V67" s="16"/>
      <c r="W67" s="16"/>
      <c r="X67" s="16"/>
      <c r="Y67" s="16"/>
      <c r="Z67" s="16"/>
      <c r="AA67" s="16"/>
      <c r="AB67" s="16"/>
      <c r="AC67" s="16"/>
      <c r="AD67" s="16"/>
      <c r="AE67" s="16"/>
      <c r="AF67" s="16"/>
      <c r="AG67" s="16"/>
    </row>
    <row r="68" spans="2:33" ht="16" thickBot="1">
      <c r="B68" s="138" t="s">
        <v>644</v>
      </c>
      <c r="C68" s="4659" t="e">
        <f>SUM(C67:F67)</f>
        <v>#REF!</v>
      </c>
      <c r="D68" s="4660"/>
      <c r="E68" s="4660"/>
      <c r="F68" s="4661"/>
      <c r="H68" s="4717" t="s">
        <v>956</v>
      </c>
      <c r="I68" s="4718"/>
      <c r="J68" s="4718"/>
      <c r="K68" s="4718"/>
      <c r="L68" s="4718"/>
      <c r="M68" s="4718"/>
      <c r="N68" s="4718"/>
      <c r="O68" s="4719"/>
      <c r="P68" s="691"/>
      <c r="Q68" s="691"/>
      <c r="R68" s="691"/>
      <c r="S68" s="691"/>
      <c r="T68" s="691"/>
      <c r="U68" s="691"/>
      <c r="V68" s="16"/>
      <c r="W68" s="16"/>
      <c r="X68" s="16"/>
      <c r="Y68" s="16"/>
      <c r="Z68" s="16"/>
      <c r="AA68" s="16"/>
      <c r="AB68" s="16"/>
      <c r="AC68" s="16"/>
      <c r="AD68" s="16"/>
      <c r="AE68" s="16"/>
      <c r="AF68" s="16"/>
      <c r="AG68" s="16"/>
    </row>
    <row r="69" spans="2:33" ht="25.5" customHeight="1" thickBot="1">
      <c r="B69" s="138" t="s">
        <v>873</v>
      </c>
      <c r="C69" s="4659" t="e">
        <f>C68/'Seleccion proyecto HEREVEA02'!L8</f>
        <v>#REF!</v>
      </c>
      <c r="D69" s="4660"/>
      <c r="E69" s="4660"/>
      <c r="F69" s="4661"/>
      <c r="H69" s="4652" t="s">
        <v>937</v>
      </c>
      <c r="I69" s="4654" t="s">
        <v>365</v>
      </c>
      <c r="J69" s="4654" t="s">
        <v>286</v>
      </c>
      <c r="K69" s="4650" t="s">
        <v>931</v>
      </c>
      <c r="L69" s="4650"/>
      <c r="M69" s="4650"/>
      <c r="N69" s="4650"/>
      <c r="O69" s="4651"/>
      <c r="P69" s="912"/>
      <c r="Q69" s="912"/>
      <c r="R69" s="912"/>
      <c r="S69" s="912"/>
      <c r="T69" s="912"/>
      <c r="U69" s="912"/>
      <c r="V69" s="16"/>
      <c r="W69" s="296"/>
      <c r="X69" s="296"/>
      <c r="Y69" s="16"/>
      <c r="Z69" s="16"/>
      <c r="AA69" s="16"/>
      <c r="AB69" s="16"/>
      <c r="AC69" s="16"/>
      <c r="AD69" s="16"/>
      <c r="AE69" s="16"/>
      <c r="AF69" s="16"/>
      <c r="AG69" s="16"/>
    </row>
    <row r="70" spans="2:33" ht="32.25" customHeight="1" thickBot="1">
      <c r="H70" s="4653"/>
      <c r="I70" s="4655"/>
      <c r="J70" s="4655"/>
      <c r="K70" s="728" t="s">
        <v>369</v>
      </c>
      <c r="L70" s="4644" t="s">
        <v>368</v>
      </c>
      <c r="M70" s="4644"/>
      <c r="N70" s="4644"/>
      <c r="O70" s="4645"/>
      <c r="P70" s="727"/>
      <c r="Q70" s="727"/>
      <c r="R70" s="727"/>
      <c r="S70" s="727"/>
      <c r="T70" s="727"/>
      <c r="U70" s="727"/>
      <c r="V70" s="16"/>
      <c r="W70" s="670"/>
      <c r="X70" s="670"/>
      <c r="Y70" s="16"/>
      <c r="Z70" s="16"/>
      <c r="AA70" s="16"/>
      <c r="AB70" s="16"/>
      <c r="AC70" s="16"/>
      <c r="AD70" s="16"/>
      <c r="AE70" s="16"/>
      <c r="AF70" s="16"/>
      <c r="AG70" s="16"/>
    </row>
    <row r="71" spans="2:33" ht="31.5" thickBot="1">
      <c r="B71" s="160" t="s">
        <v>901</v>
      </c>
      <c r="C71" s="160" t="s">
        <v>924</v>
      </c>
      <c r="H71" s="4646" t="s">
        <v>968</v>
      </c>
      <c r="I71" s="714" t="s">
        <v>932</v>
      </c>
      <c r="J71" s="715" t="s">
        <v>933</v>
      </c>
      <c r="K71" s="715" t="s">
        <v>935</v>
      </c>
      <c r="L71" s="716" t="s">
        <v>938</v>
      </c>
      <c r="M71" s="714" t="s">
        <v>939</v>
      </c>
      <c r="N71" s="715" t="s">
        <v>940</v>
      </c>
      <c r="O71" s="716" t="s">
        <v>941</v>
      </c>
      <c r="P71" s="950"/>
      <c r="Q71" s="950"/>
      <c r="R71" s="950"/>
      <c r="S71" s="950"/>
      <c r="T71" s="950"/>
      <c r="U71" s="950"/>
      <c r="V71" s="16"/>
      <c r="W71" s="951"/>
      <c r="X71" s="670"/>
      <c r="Y71" s="16"/>
      <c r="Z71" s="16"/>
      <c r="AA71" s="16"/>
      <c r="AB71" s="16"/>
      <c r="AC71" s="727"/>
      <c r="AD71" s="727"/>
      <c r="AE71" s="727"/>
      <c r="AF71" s="727"/>
      <c r="AG71" s="16"/>
    </row>
    <row r="72" spans="2:33" ht="16" thickBot="1">
      <c r="B72" s="664" t="s">
        <v>363</v>
      </c>
      <c r="C72" s="665"/>
      <c r="D72" s="665"/>
      <c r="E72" s="665"/>
      <c r="F72" s="666"/>
      <c r="H72" s="4646"/>
      <c r="I72" s="4632" t="e">
        <f>C51</f>
        <v>#REF!</v>
      </c>
      <c r="J72" s="4634" t="e">
        <f>C54</f>
        <v>#REF!</v>
      </c>
      <c r="K72" s="4648" t="e">
        <f>C53</f>
        <v>#REF!</v>
      </c>
      <c r="L72" s="4636">
        <f>C52</f>
        <v>0</v>
      </c>
      <c r="M72" s="4632">
        <f>D52</f>
        <v>0</v>
      </c>
      <c r="N72" s="4634">
        <f>E52</f>
        <v>0</v>
      </c>
      <c r="O72" s="4636">
        <f>F52</f>
        <v>0</v>
      </c>
      <c r="P72" s="725"/>
      <c r="Q72" s="725"/>
      <c r="R72" s="725"/>
      <c r="S72" s="725"/>
      <c r="T72" s="725"/>
      <c r="U72" s="725"/>
      <c r="V72" s="16"/>
      <c r="W72" s="951"/>
      <c r="X72" s="690"/>
      <c r="Y72" s="670"/>
      <c r="Z72" s="670"/>
      <c r="AA72" s="670"/>
      <c r="AB72" s="16"/>
      <c r="AC72" s="950"/>
      <c r="AD72" s="950"/>
      <c r="AE72" s="950"/>
      <c r="AF72" s="950"/>
      <c r="AG72" s="16"/>
    </row>
    <row r="73" spans="2:33" ht="19" thickBot="1">
      <c r="B73" s="43"/>
      <c r="C73" s="667" t="s">
        <v>524</v>
      </c>
      <c r="D73" s="668"/>
      <c r="E73" s="668"/>
      <c r="F73" s="669"/>
      <c r="H73" s="4647"/>
      <c r="I73" s="4633"/>
      <c r="J73" s="4635"/>
      <c r="K73" s="4649"/>
      <c r="L73" s="4637"/>
      <c r="M73" s="4633"/>
      <c r="N73" s="4635"/>
      <c r="O73" s="4637"/>
      <c r="P73" s="720"/>
      <c r="Q73" s="720"/>
      <c r="R73" s="720"/>
      <c r="S73" s="720"/>
      <c r="T73" s="720"/>
      <c r="U73" s="720"/>
      <c r="V73" s="16"/>
      <c r="W73" s="951"/>
      <c r="X73" s="692"/>
      <c r="Y73" s="670"/>
      <c r="Z73" s="670"/>
      <c r="AA73" s="670"/>
      <c r="AB73" s="16"/>
      <c r="AC73" s="724"/>
      <c r="AD73" s="725"/>
      <c r="AE73" s="725"/>
      <c r="AF73" s="725"/>
      <c r="AG73" s="16"/>
    </row>
    <row r="74" spans="2:33" ht="15.5">
      <c r="B74" s="128" t="s">
        <v>364</v>
      </c>
      <c r="C74" s="129" t="s">
        <v>643</v>
      </c>
      <c r="D74" s="129" t="s">
        <v>372</v>
      </c>
      <c r="E74" s="129" t="s">
        <v>373</v>
      </c>
      <c r="F74" s="130" t="s">
        <v>374</v>
      </c>
      <c r="H74" s="4663" t="s">
        <v>936</v>
      </c>
      <c r="I74" s="4665" t="e">
        <f>SUM(I72:L73)</f>
        <v>#REF!</v>
      </c>
      <c r="J74" s="4666"/>
      <c r="K74" s="4666"/>
      <c r="L74" s="4667"/>
      <c r="M74" s="4638"/>
      <c r="N74" s="4638"/>
      <c r="O74" s="4662"/>
      <c r="P74" s="691"/>
      <c r="Q74" s="721"/>
      <c r="R74" s="691"/>
      <c r="S74" s="691"/>
      <c r="T74" s="691"/>
      <c r="U74" s="691"/>
      <c r="V74" s="16"/>
      <c r="W74" s="693"/>
      <c r="X74" s="952"/>
      <c r="Y74" s="690"/>
      <c r="Z74" s="690"/>
      <c r="AA74" s="690"/>
      <c r="AB74" s="16"/>
      <c r="AC74" s="724"/>
      <c r="AD74" s="720"/>
      <c r="AE74" s="720"/>
      <c r="AF74" s="720"/>
      <c r="AG74" s="16"/>
    </row>
    <row r="75" spans="2:33" ht="37.5" customHeight="1" thickBot="1">
      <c r="B75" s="131" t="s">
        <v>365</v>
      </c>
      <c r="C75" s="133" t="e">
        <f>'Huella maquinaria'!U12</f>
        <v>#REF!</v>
      </c>
      <c r="D75" s="133"/>
      <c r="E75" s="133"/>
      <c r="F75" s="134"/>
      <c r="H75" s="4664"/>
      <c r="I75" s="4668"/>
      <c r="J75" s="4669"/>
      <c r="K75" s="4669"/>
      <c r="L75" s="4670"/>
      <c r="M75" s="4638"/>
      <c r="N75" s="4638"/>
      <c r="O75" s="4662"/>
      <c r="P75" s="691"/>
      <c r="Q75" s="691"/>
      <c r="R75" s="691"/>
      <c r="S75" s="692"/>
      <c r="T75" s="692"/>
      <c r="U75" s="692"/>
      <c r="V75" s="16"/>
      <c r="W75" s="16"/>
      <c r="X75" s="16"/>
      <c r="Y75" s="692"/>
      <c r="Z75" s="692"/>
      <c r="AA75" s="692"/>
      <c r="AB75" s="16"/>
      <c r="AC75" s="724"/>
      <c r="AD75" s="691"/>
      <c r="AE75" s="691"/>
      <c r="AF75" s="691"/>
      <c r="AG75" s="16"/>
    </row>
    <row r="76" spans="2:33" ht="58.5" customHeight="1">
      <c r="B76" s="131" t="s">
        <v>368</v>
      </c>
      <c r="C76" s="133">
        <f>'Huella mano de obra'!$Y$16</f>
        <v>0</v>
      </c>
      <c r="D76" s="133">
        <f>'Huella mano de obra'!$Y$17</f>
        <v>0</v>
      </c>
      <c r="E76" s="133">
        <f>'Huella mano de obra'!$Y$18</f>
        <v>0</v>
      </c>
      <c r="F76" s="134">
        <f>'Huella mano de obra'!$Y$19</f>
        <v>0</v>
      </c>
      <c r="H76" s="4703" t="s">
        <v>942</v>
      </c>
      <c r="I76" s="4705"/>
      <c r="J76" s="4706"/>
      <c r="K76" s="4706"/>
      <c r="L76" s="4707"/>
      <c r="M76" s="4711">
        <f>SUM(M72:O73)</f>
        <v>0</v>
      </c>
      <c r="N76" s="4712"/>
      <c r="O76" s="4713"/>
      <c r="P76" s="691"/>
      <c r="Q76" s="691"/>
      <c r="R76" s="691"/>
      <c r="S76" s="692"/>
      <c r="T76" s="692"/>
      <c r="U76" s="692"/>
      <c r="V76" s="16"/>
      <c r="W76" s="16"/>
      <c r="X76" s="16"/>
      <c r="Y76" s="952"/>
      <c r="Z76" s="952"/>
      <c r="AA76" s="952"/>
      <c r="AB76" s="16"/>
      <c r="AC76" s="720"/>
      <c r="AD76" s="953"/>
      <c r="AE76" s="953"/>
      <c r="AF76" s="953"/>
      <c r="AG76" s="16"/>
    </row>
    <row r="77" spans="2:33" ht="81" customHeight="1" thickBot="1">
      <c r="B77" s="131" t="s">
        <v>369</v>
      </c>
      <c r="C77" s="675" t="e">
        <f>'Huella mano de obra'!Y44</f>
        <v>#REF!</v>
      </c>
      <c r="D77" s="133"/>
      <c r="E77" s="133"/>
      <c r="F77" s="134"/>
      <c r="H77" s="4704"/>
      <c r="I77" s="4708"/>
      <c r="J77" s="4709"/>
      <c r="K77" s="4709"/>
      <c r="L77" s="4710"/>
      <c r="M77" s="4714"/>
      <c r="N77" s="4715"/>
      <c r="O77" s="4716"/>
      <c r="P77" s="726"/>
      <c r="Q77" s="726"/>
      <c r="R77" s="726"/>
      <c r="S77" s="691"/>
      <c r="T77" s="691"/>
      <c r="U77" s="691"/>
      <c r="V77" s="16"/>
      <c r="W77" s="16"/>
      <c r="X77" s="16"/>
      <c r="Y77" s="16"/>
      <c r="Z77" s="16"/>
      <c r="AA77" s="16"/>
      <c r="AB77" s="16"/>
      <c r="AC77" s="16"/>
      <c r="AD77" s="16"/>
      <c r="AE77" s="16"/>
      <c r="AF77" s="16"/>
      <c r="AG77" s="16"/>
    </row>
    <row r="78" spans="2:33" ht="57" customHeight="1" thickBot="1">
      <c r="B78" s="131" t="s">
        <v>286</v>
      </c>
      <c r="C78" s="133" t="e">
        <f>'Huella materiales'!BB8</f>
        <v>#REF!</v>
      </c>
      <c r="D78" s="133"/>
      <c r="E78" s="133"/>
      <c r="F78" s="134"/>
      <c r="H78" s="717" t="s">
        <v>969</v>
      </c>
      <c r="I78" s="4697" t="e">
        <f>SUM(I74+M76)</f>
        <v>#REF!</v>
      </c>
      <c r="J78" s="4698"/>
      <c r="K78" s="4698"/>
      <c r="L78" s="4698"/>
      <c r="M78" s="4698"/>
      <c r="N78" s="4698"/>
      <c r="O78" s="4699"/>
      <c r="P78" s="726"/>
      <c r="Q78" s="726"/>
      <c r="R78" s="726"/>
      <c r="S78" s="691"/>
      <c r="T78" s="691"/>
      <c r="U78" s="691"/>
      <c r="V78" s="16"/>
      <c r="W78" s="16"/>
      <c r="X78" s="16"/>
      <c r="Y78" s="16"/>
      <c r="Z78" s="16"/>
      <c r="AA78" s="16"/>
      <c r="AB78" s="16"/>
      <c r="AC78" s="16"/>
      <c r="AD78" s="16"/>
      <c r="AE78" s="16"/>
      <c r="AF78" s="16"/>
      <c r="AG78" s="16"/>
    </row>
    <row r="79" spans="2:33" ht="31.5" thickBot="1">
      <c r="B79" s="139" t="s">
        <v>645</v>
      </c>
      <c r="C79" s="137" t="e">
        <f>SUM(C75:C78)</f>
        <v>#REF!</v>
      </c>
      <c r="D79" s="137">
        <f>SUM(D75:D78)</f>
        <v>0</v>
      </c>
      <c r="E79" s="137">
        <f>SUM(E75:E78)</f>
        <v>0</v>
      </c>
      <c r="F79" s="671">
        <f>SUM(F75:F78)</f>
        <v>0</v>
      </c>
      <c r="H79" s="717" t="s">
        <v>970</v>
      </c>
      <c r="I79" s="4659" t="e">
        <f>I78/'Seleccion proyecto HEREVEA02'!L8</f>
        <v>#REF!</v>
      </c>
      <c r="J79" s="4660"/>
      <c r="K79" s="4660"/>
      <c r="L79" s="4660"/>
      <c r="M79" s="4660"/>
      <c r="N79" s="4660"/>
      <c r="O79" s="4661"/>
      <c r="P79" s="953"/>
      <c r="Q79" s="953"/>
      <c r="R79" s="953"/>
      <c r="S79" s="953"/>
      <c r="T79" s="953"/>
      <c r="U79" s="953"/>
      <c r="V79" s="16"/>
      <c r="W79" s="16"/>
      <c r="X79" s="16"/>
      <c r="Y79" s="16"/>
      <c r="Z79" s="16"/>
      <c r="AA79" s="16"/>
      <c r="AB79" s="16"/>
      <c r="AC79" s="16"/>
      <c r="AD79" s="16"/>
      <c r="AE79" s="16"/>
      <c r="AF79" s="16"/>
      <c r="AG79" s="16"/>
    </row>
    <row r="80" spans="2:33" ht="16" thickBot="1">
      <c r="B80" s="138" t="s">
        <v>644</v>
      </c>
      <c r="C80" s="4659" t="e">
        <f>SUM(C79:F79)</f>
        <v>#REF!</v>
      </c>
      <c r="D80" s="4660"/>
      <c r="E80" s="4660"/>
      <c r="F80" s="4661"/>
      <c r="H80" s="948"/>
      <c r="I80" s="917"/>
      <c r="J80" s="917"/>
      <c r="K80" s="917"/>
      <c r="L80" s="917"/>
      <c r="M80" s="917"/>
      <c r="N80" s="917"/>
      <c r="O80" s="918"/>
      <c r="P80" s="691"/>
      <c r="Q80" s="691"/>
      <c r="R80" s="691"/>
      <c r="S80" s="691"/>
      <c r="T80" s="691"/>
      <c r="U80" s="691"/>
      <c r="V80" s="16"/>
      <c r="W80" s="16"/>
      <c r="X80" s="16"/>
      <c r="Y80" s="16"/>
      <c r="Z80" s="16"/>
      <c r="AA80" s="16"/>
      <c r="AB80" s="16"/>
      <c r="AC80" s="16"/>
      <c r="AD80" s="16"/>
      <c r="AE80" s="16"/>
      <c r="AF80" s="16"/>
      <c r="AG80" s="16"/>
    </row>
    <row r="81" spans="2:33" ht="30" customHeight="1" thickBot="1">
      <c r="B81" s="138" t="s">
        <v>873</v>
      </c>
      <c r="C81" s="4659" t="e">
        <f>C80/'Seleccion proyecto HEREVEA02'!L8</f>
        <v>#REF!</v>
      </c>
      <c r="D81" s="4660"/>
      <c r="E81" s="4660"/>
      <c r="F81" s="4661"/>
      <c r="H81" s="4700" t="s">
        <v>957</v>
      </c>
      <c r="I81" s="4701"/>
      <c r="J81" s="4701"/>
      <c r="K81" s="4701"/>
      <c r="L81" s="4701"/>
      <c r="M81" s="4701"/>
      <c r="N81" s="4701"/>
      <c r="O81" s="4702"/>
      <c r="P81" s="722"/>
      <c r="Q81" s="722"/>
      <c r="R81" s="722"/>
      <c r="S81" s="722"/>
      <c r="T81" s="722"/>
      <c r="U81" s="722"/>
      <c r="V81" s="16"/>
      <c r="W81" s="296"/>
      <c r="X81" s="296"/>
      <c r="Y81" s="16"/>
      <c r="Z81" s="16"/>
      <c r="AA81" s="16"/>
      <c r="AB81" s="16"/>
      <c r="AC81" s="16"/>
      <c r="AD81" s="16"/>
      <c r="AE81" s="16"/>
      <c r="AF81" s="16"/>
      <c r="AG81" s="16"/>
    </row>
    <row r="82" spans="2:33" ht="32.25" customHeight="1" thickBot="1">
      <c r="H82" s="4652" t="s">
        <v>937</v>
      </c>
      <c r="I82" s="4654" t="s">
        <v>365</v>
      </c>
      <c r="J82" s="4654" t="s">
        <v>286</v>
      </c>
      <c r="K82" s="4650" t="s">
        <v>931</v>
      </c>
      <c r="L82" s="4650"/>
      <c r="M82" s="4650"/>
      <c r="N82" s="4650"/>
      <c r="O82" s="4651"/>
      <c r="P82" s="727"/>
      <c r="Q82" s="727"/>
      <c r="R82" s="727"/>
      <c r="S82" s="727"/>
      <c r="T82" s="727"/>
      <c r="U82" s="727"/>
      <c r="V82" s="16"/>
      <c r="W82" s="670"/>
      <c r="X82" s="670"/>
      <c r="Y82" s="16"/>
      <c r="Z82" s="16"/>
      <c r="AA82" s="16"/>
      <c r="AB82" s="16"/>
      <c r="AC82" s="16"/>
      <c r="AD82" s="16"/>
      <c r="AE82" s="16"/>
      <c r="AF82" s="16"/>
      <c r="AG82" s="16"/>
    </row>
    <row r="83" spans="2:33" ht="32.25" customHeight="1" thickBot="1">
      <c r="B83" s="160" t="s">
        <v>904</v>
      </c>
      <c r="C83" s="160" t="s">
        <v>919</v>
      </c>
      <c r="H83" s="4653"/>
      <c r="I83" s="4655"/>
      <c r="J83" s="4655"/>
      <c r="K83" s="728" t="s">
        <v>369</v>
      </c>
      <c r="L83" s="4644" t="s">
        <v>368</v>
      </c>
      <c r="M83" s="4644"/>
      <c r="N83" s="4644"/>
      <c r="O83" s="4645"/>
      <c r="P83" s="950"/>
      <c r="Q83" s="950"/>
      <c r="R83" s="950"/>
      <c r="S83" s="950"/>
      <c r="T83" s="950"/>
      <c r="U83" s="950"/>
      <c r="V83" s="16"/>
      <c r="W83" s="951"/>
      <c r="X83" s="670"/>
      <c r="Y83" s="16"/>
      <c r="Z83" s="16"/>
      <c r="AA83" s="16"/>
      <c r="AB83" s="16"/>
      <c r="AC83" s="727"/>
      <c r="AD83" s="727"/>
      <c r="AE83" s="727"/>
      <c r="AF83" s="727"/>
      <c r="AG83" s="16"/>
    </row>
    <row r="84" spans="2:33" ht="57.75" customHeight="1" thickBot="1">
      <c r="B84" s="664" t="s">
        <v>363</v>
      </c>
      <c r="C84" s="665"/>
      <c r="D84" s="665"/>
      <c r="E84" s="665"/>
      <c r="F84" s="666"/>
      <c r="H84" s="4646" t="s">
        <v>968</v>
      </c>
      <c r="I84" s="714" t="s">
        <v>2021</v>
      </c>
      <c r="J84" s="715" t="s">
        <v>2022</v>
      </c>
      <c r="K84" s="715" t="s">
        <v>2023</v>
      </c>
      <c r="L84" s="716" t="s">
        <v>2024</v>
      </c>
      <c r="M84" s="714" t="s">
        <v>372</v>
      </c>
      <c r="N84" s="715" t="s">
        <v>373</v>
      </c>
      <c r="O84" s="716" t="s">
        <v>374</v>
      </c>
      <c r="P84" s="725"/>
      <c r="Q84" s="725"/>
      <c r="R84" s="725"/>
      <c r="S84" s="725"/>
      <c r="T84" s="725"/>
      <c r="U84" s="725"/>
      <c r="V84" s="16"/>
      <c r="W84" s="951"/>
      <c r="X84" s="690"/>
      <c r="Y84" s="670"/>
      <c r="Z84" s="670"/>
      <c r="AA84" s="670"/>
      <c r="AB84" s="16"/>
      <c r="AC84" s="950"/>
      <c r="AD84" s="950"/>
      <c r="AE84" s="950"/>
      <c r="AF84" s="950"/>
      <c r="AG84" s="16"/>
    </row>
    <row r="85" spans="2:33" ht="31">
      <c r="B85" s="43"/>
      <c r="C85" s="667" t="s">
        <v>524</v>
      </c>
      <c r="D85" s="668"/>
      <c r="E85" s="668"/>
      <c r="F85" s="669"/>
      <c r="H85" s="4646"/>
      <c r="I85" s="4632" t="e">
        <f>C63</f>
        <v>#REF!</v>
      </c>
      <c r="J85" s="4634" t="e">
        <f>C66</f>
        <v>#REF!</v>
      </c>
      <c r="K85" s="4648" t="e">
        <f>C65</f>
        <v>#REF!</v>
      </c>
      <c r="L85" s="4636">
        <f>C64</f>
        <v>0</v>
      </c>
      <c r="M85" s="4632">
        <f>D64</f>
        <v>0</v>
      </c>
      <c r="N85" s="4634">
        <f>E64</f>
        <v>0</v>
      </c>
      <c r="O85" s="4636">
        <f>F64</f>
        <v>0</v>
      </c>
      <c r="P85" s="720"/>
      <c r="Q85" s="2010" t="s">
        <v>996</v>
      </c>
      <c r="R85" s="2010" t="s">
        <v>2020</v>
      </c>
      <c r="S85" s="967" t="s">
        <v>939</v>
      </c>
      <c r="T85" s="967" t="s">
        <v>940</v>
      </c>
      <c r="U85" s="967" t="s">
        <v>941</v>
      </c>
      <c r="V85" s="670"/>
      <c r="W85" s="670"/>
      <c r="X85" s="670"/>
      <c r="Y85" s="16"/>
      <c r="Z85" s="724"/>
      <c r="AA85" s="725"/>
      <c r="AB85" s="725"/>
      <c r="AC85" s="725"/>
      <c r="AD85" s="16"/>
    </row>
    <row r="86" spans="2:33" ht="38.25" customHeight="1" thickBot="1">
      <c r="B86" s="128" t="s">
        <v>364</v>
      </c>
      <c r="C86" s="129" t="s">
        <v>643</v>
      </c>
      <c r="D86" s="129" t="s">
        <v>372</v>
      </c>
      <c r="E86" s="129" t="s">
        <v>373</v>
      </c>
      <c r="F86" s="130" t="s">
        <v>374</v>
      </c>
      <c r="H86" s="4647"/>
      <c r="I86" s="4633"/>
      <c r="J86" s="4635"/>
      <c r="K86" s="4649"/>
      <c r="L86" s="4637"/>
      <c r="M86" s="4633"/>
      <c r="N86" s="4635"/>
      <c r="O86" s="4637"/>
      <c r="P86" s="691"/>
      <c r="Q86" s="2010"/>
      <c r="R86" s="2011">
        <v>17.778641513685873</v>
      </c>
      <c r="S86" s="2012">
        <v>0.69498627864340456</v>
      </c>
      <c r="T86" s="2012">
        <v>0.52964680106291717</v>
      </c>
      <c r="U86" s="2012">
        <v>2.1858439408945789</v>
      </c>
      <c r="V86" s="690"/>
      <c r="W86" s="690"/>
      <c r="X86" s="690"/>
      <c r="Y86" s="16"/>
      <c r="Z86" s="724"/>
      <c r="AA86" s="720"/>
      <c r="AB86" s="720"/>
      <c r="AC86" s="720"/>
      <c r="AD86" s="16"/>
    </row>
    <row r="87" spans="2:33" ht="6.75" customHeight="1">
      <c r="B87" s="131" t="s">
        <v>365</v>
      </c>
      <c r="C87" s="133" t="e">
        <f>'Huella maquinaria'!V12</f>
        <v>#REF!</v>
      </c>
      <c r="D87" s="133"/>
      <c r="E87" s="133"/>
      <c r="F87" s="134"/>
      <c r="H87" s="1357" t="s">
        <v>1595</v>
      </c>
      <c r="I87" s="4721" t="e">
        <f>I85/'Seleccion proyecto HEREVEA02'!L8</f>
        <v>#REF!</v>
      </c>
      <c r="J87" s="4721" t="e">
        <f>J85/'Seleccion proyecto HEREVEA02'!L8</f>
        <v>#REF!</v>
      </c>
      <c r="K87" s="4723" t="e">
        <f>K85/'Seleccion proyecto HEREVEA02'!L8</f>
        <v>#REF!</v>
      </c>
      <c r="L87" s="4721">
        <f>L85/'Seleccion proyecto HEREVEA02'!L8</f>
        <v>0</v>
      </c>
      <c r="M87" s="4721">
        <f>M85/'Seleccion proyecto HEREVEA02'!L8</f>
        <v>0</v>
      </c>
      <c r="N87" s="4721">
        <f>N85/'Seleccion proyecto HEREVEA02'!L8</f>
        <v>0</v>
      </c>
      <c r="O87" s="4721">
        <f>O85/'Seleccion proyecto HEREVEA02'!L8</f>
        <v>0</v>
      </c>
      <c r="P87" s="691"/>
      <c r="Q87" s="2013"/>
      <c r="R87" s="691"/>
      <c r="S87" s="2014"/>
      <c r="T87" s="2014"/>
      <c r="U87" s="2014"/>
      <c r="V87" s="692"/>
      <c r="W87" s="692"/>
      <c r="X87" s="692"/>
      <c r="Y87" s="16"/>
      <c r="Z87" s="724"/>
      <c r="AA87" s="691"/>
      <c r="AB87" s="691"/>
      <c r="AC87" s="691"/>
      <c r="AD87" s="16"/>
    </row>
    <row r="88" spans="2:33" ht="22.5" customHeight="1" thickBot="1">
      <c r="B88" s="131" t="s">
        <v>368</v>
      </c>
      <c r="C88" s="133">
        <f>'Huella mano de obra'!$Z$16</f>
        <v>0</v>
      </c>
      <c r="D88" s="133">
        <f>'Huella mano de obra'!$Z$17</f>
        <v>0</v>
      </c>
      <c r="E88" s="133">
        <f>'Huella mano de obra'!$Z$18</f>
        <v>0</v>
      </c>
      <c r="F88" s="134">
        <f>'Huella mano de obra'!$Z$19</f>
        <v>0</v>
      </c>
      <c r="H88" s="1357"/>
      <c r="I88" s="4722"/>
      <c r="J88" s="4722"/>
      <c r="K88" s="4724"/>
      <c r="L88" s="4722"/>
      <c r="M88" s="4722"/>
      <c r="N88" s="4722"/>
      <c r="O88" s="4722"/>
      <c r="P88" s="691"/>
      <c r="Q88" s="4791"/>
      <c r="R88" s="16"/>
      <c r="S88" s="16"/>
      <c r="T88" s="16"/>
      <c r="U88" s="16"/>
      <c r="V88" s="4774"/>
      <c r="W88" s="4774"/>
      <c r="X88" s="4774"/>
      <c r="Y88" s="952"/>
      <c r="Z88" s="952"/>
      <c r="AA88" s="952"/>
      <c r="AB88" s="16"/>
      <c r="AC88" s="720"/>
      <c r="AD88" s="953"/>
      <c r="AE88" s="953"/>
      <c r="AF88" s="953"/>
      <c r="AG88" s="16"/>
    </row>
    <row r="89" spans="2:33" ht="55.5" customHeight="1" thickBot="1">
      <c r="B89" s="131" t="s">
        <v>369</v>
      </c>
      <c r="C89" s="675" t="e">
        <f>'Huella mano de obra'!Z44</f>
        <v>#REF!</v>
      </c>
      <c r="D89" s="133"/>
      <c r="E89" s="133"/>
      <c r="F89" s="134"/>
      <c r="H89" s="967" t="s">
        <v>2025</v>
      </c>
      <c r="I89" s="2017" t="e">
        <f>I87/0.00001</f>
        <v>#REF!</v>
      </c>
      <c r="J89" s="2016" t="e">
        <f t="shared" ref="J89:O89" si="3">J87/0.00001</f>
        <v>#REF!</v>
      </c>
      <c r="K89" s="2016" t="e">
        <f t="shared" si="3"/>
        <v>#REF!</v>
      </c>
      <c r="L89" s="2016">
        <f t="shared" si="3"/>
        <v>0</v>
      </c>
      <c r="M89" s="2016">
        <f t="shared" si="3"/>
        <v>0</v>
      </c>
      <c r="N89" s="2016">
        <f t="shared" si="3"/>
        <v>0</v>
      </c>
      <c r="O89" s="2016">
        <f t="shared" si="3"/>
        <v>0</v>
      </c>
      <c r="P89" s="726"/>
      <c r="Q89" s="4791"/>
      <c r="R89" s="16"/>
      <c r="S89" s="16"/>
      <c r="T89" s="16"/>
      <c r="U89" s="16"/>
      <c r="V89" s="4774"/>
      <c r="W89" s="4774"/>
      <c r="X89" s="4774"/>
      <c r="Y89" s="16"/>
      <c r="Z89" s="16"/>
      <c r="AA89" s="16"/>
      <c r="AB89" s="16"/>
      <c r="AC89" s="16"/>
      <c r="AD89" s="16"/>
      <c r="AE89" s="16"/>
      <c r="AF89" s="16"/>
      <c r="AG89" s="16"/>
    </row>
    <row r="90" spans="2:33" ht="24" customHeight="1" thickBot="1">
      <c r="B90" s="131" t="s">
        <v>286</v>
      </c>
      <c r="C90" s="133" t="e">
        <f>'Huella materiales'!BC8</f>
        <v>#REF!</v>
      </c>
      <c r="D90" s="133"/>
      <c r="E90" s="133"/>
      <c r="F90" s="134"/>
      <c r="H90" s="4720" t="s">
        <v>936</v>
      </c>
      <c r="I90" s="4665" t="e">
        <f>SUM(I85:L86)</f>
        <v>#REF!</v>
      </c>
      <c r="J90" s="4666"/>
      <c r="K90" s="4666"/>
      <c r="L90" s="4667"/>
      <c r="M90" s="4638"/>
      <c r="N90" s="4638"/>
      <c r="O90" s="4662"/>
      <c r="P90" s="726"/>
      <c r="R90" s="2010" t="s">
        <v>2020</v>
      </c>
      <c r="S90" s="967" t="s">
        <v>939</v>
      </c>
      <c r="T90" s="967" t="s">
        <v>940</v>
      </c>
      <c r="U90" s="967" t="s">
        <v>941</v>
      </c>
      <c r="V90" s="16"/>
      <c r="W90" s="16"/>
      <c r="X90" s="16"/>
      <c r="Y90" s="16"/>
      <c r="Z90" s="16"/>
      <c r="AA90" s="16"/>
      <c r="AB90" s="16"/>
      <c r="AC90" s="16"/>
      <c r="AD90" s="16"/>
      <c r="AE90" s="16"/>
      <c r="AF90" s="16"/>
      <c r="AG90" s="16"/>
    </row>
    <row r="91" spans="2:33" ht="53.25" customHeight="1" thickBot="1">
      <c r="B91" s="139" t="s">
        <v>645</v>
      </c>
      <c r="C91" s="137" t="e">
        <f>SUM(C87:C90)</f>
        <v>#REF!</v>
      </c>
      <c r="D91" s="137">
        <f>SUM(D87:D90)</f>
        <v>0</v>
      </c>
      <c r="E91" s="137">
        <f>SUM(E87:E90)</f>
        <v>0</v>
      </c>
      <c r="F91" s="671">
        <f>SUM(F87:F90)</f>
        <v>0</v>
      </c>
      <c r="H91" s="4664"/>
      <c r="I91" s="4668"/>
      <c r="J91" s="4669"/>
      <c r="K91" s="4669"/>
      <c r="L91" s="4670"/>
      <c r="M91" s="4638"/>
      <c r="N91" s="4638"/>
      <c r="O91" s="4662"/>
      <c r="P91" s="953"/>
      <c r="Q91" s="2010" t="s">
        <v>2047</v>
      </c>
      <c r="R91" s="2034" t="e">
        <f>I116+J116+K116+L116</f>
        <v>#REF!</v>
      </c>
      <c r="S91" s="2033">
        <f>M116</f>
        <v>0</v>
      </c>
      <c r="T91" s="2033">
        <f>N116</f>
        <v>0</v>
      </c>
      <c r="U91" s="2033">
        <f>O116</f>
        <v>0</v>
      </c>
      <c r="V91" s="16"/>
      <c r="W91" s="16"/>
      <c r="X91" s="16"/>
      <c r="Y91" s="16"/>
      <c r="Z91" s="16"/>
      <c r="AA91" s="16"/>
      <c r="AB91" s="16"/>
      <c r="AC91" s="16"/>
      <c r="AD91" s="16"/>
      <c r="AE91" s="16"/>
      <c r="AF91" s="16"/>
      <c r="AG91" s="16"/>
    </row>
    <row r="92" spans="2:33" ht="16" thickBot="1">
      <c r="B92" s="138" t="s">
        <v>644</v>
      </c>
      <c r="C92" s="4659" t="e">
        <f>SUM(C91:F91)</f>
        <v>#REF!</v>
      </c>
      <c r="D92" s="4660"/>
      <c r="E92" s="4660"/>
      <c r="F92" s="4661"/>
      <c r="H92" s="4703" t="s">
        <v>942</v>
      </c>
      <c r="I92" s="4705"/>
      <c r="J92" s="4706"/>
      <c r="K92" s="4706"/>
      <c r="L92" s="4707"/>
      <c r="M92" s="4711">
        <f>SUM(M85:O86)</f>
        <v>0</v>
      </c>
      <c r="N92" s="4712"/>
      <c r="O92" s="4713"/>
      <c r="P92" s="691"/>
      <c r="Q92" s="691"/>
      <c r="R92" s="691"/>
      <c r="S92" s="691"/>
      <c r="T92" s="691"/>
      <c r="U92" s="691"/>
      <c r="V92" s="16"/>
      <c r="W92" s="16"/>
      <c r="X92" s="16"/>
      <c r="Y92" s="16"/>
      <c r="Z92" s="16"/>
      <c r="AA92" s="16"/>
      <c r="AB92" s="16"/>
      <c r="AC92" s="16"/>
      <c r="AD92" s="16"/>
      <c r="AE92" s="16"/>
      <c r="AF92" s="16"/>
      <c r="AG92" s="16"/>
    </row>
    <row r="93" spans="2:33" ht="52.5" customHeight="1" thickBot="1">
      <c r="B93" s="138" t="s">
        <v>873</v>
      </c>
      <c r="C93" s="4659" t="e">
        <f>C92/'Seleccion proyecto HEREVEA02'!L8</f>
        <v>#REF!</v>
      </c>
      <c r="D93" s="4660"/>
      <c r="E93" s="4660"/>
      <c r="F93" s="4661"/>
      <c r="H93" s="4704"/>
      <c r="I93" s="4708"/>
      <c r="J93" s="4709"/>
      <c r="K93" s="4709"/>
      <c r="L93" s="4710"/>
      <c r="M93" s="4714"/>
      <c r="N93" s="4715"/>
      <c r="O93" s="4716"/>
      <c r="P93" s="719"/>
      <c r="Q93" s="719"/>
      <c r="R93" s="719"/>
      <c r="S93" s="719"/>
      <c r="T93" s="719"/>
      <c r="U93" s="719"/>
      <c r="V93" s="16"/>
      <c r="W93" s="296"/>
      <c r="X93" s="296"/>
      <c r="Y93" s="16"/>
      <c r="Z93" s="16"/>
      <c r="AA93" s="16"/>
      <c r="AB93" s="16"/>
      <c r="AC93" s="16"/>
      <c r="AD93" s="16"/>
      <c r="AE93" s="16"/>
      <c r="AF93" s="16"/>
      <c r="AG93" s="16"/>
    </row>
    <row r="94" spans="2:33" ht="39" customHeight="1" thickBot="1">
      <c r="H94" s="717" t="s">
        <v>969</v>
      </c>
      <c r="I94" s="4697" t="e">
        <f>SUM(I90+M92)</f>
        <v>#REF!</v>
      </c>
      <c r="J94" s="4698"/>
      <c r="K94" s="4698"/>
      <c r="L94" s="4698"/>
      <c r="M94" s="4698"/>
      <c r="N94" s="4698"/>
      <c r="O94" s="4699"/>
      <c r="P94" s="727"/>
      <c r="Q94" s="727"/>
      <c r="R94" s="727"/>
      <c r="S94" s="727"/>
      <c r="T94" s="727"/>
      <c r="U94" s="727"/>
      <c r="V94" s="16"/>
      <c r="W94" s="670"/>
      <c r="X94" s="670"/>
      <c r="Y94" s="16"/>
      <c r="Z94" s="16"/>
      <c r="AA94" s="16"/>
      <c r="AB94" s="16"/>
      <c r="AC94" s="16"/>
      <c r="AD94" s="16"/>
      <c r="AE94" s="16"/>
      <c r="AF94" s="16"/>
      <c r="AG94" s="16"/>
    </row>
    <row r="95" spans="2:33" ht="31.5" thickBot="1">
      <c r="B95" s="160" t="s">
        <v>905</v>
      </c>
      <c r="C95" s="160" t="s">
        <v>925</v>
      </c>
      <c r="H95" s="717" t="s">
        <v>970</v>
      </c>
      <c r="I95" s="4659" t="e">
        <f>I94/'Seleccion proyecto HEREVEA02'!L8</f>
        <v>#REF!</v>
      </c>
      <c r="J95" s="4660"/>
      <c r="K95" s="4660"/>
      <c r="L95" s="4660"/>
      <c r="M95" s="4660"/>
      <c r="N95" s="4660"/>
      <c r="O95" s="4661"/>
      <c r="P95" s="950"/>
      <c r="Q95" s="950"/>
      <c r="R95" s="950"/>
      <c r="S95" s="950"/>
      <c r="T95" s="950"/>
      <c r="U95" s="950"/>
      <c r="V95" s="16"/>
      <c r="W95" s="951"/>
      <c r="X95" s="670"/>
      <c r="Y95" s="16"/>
      <c r="Z95" s="16"/>
      <c r="AA95" s="16"/>
      <c r="AB95" s="16"/>
      <c r="AC95" s="727"/>
      <c r="AD95" s="727"/>
      <c r="AE95" s="727"/>
      <c r="AF95" s="727"/>
      <c r="AG95" s="16"/>
    </row>
    <row r="96" spans="2:33" ht="16" thickBot="1">
      <c r="B96" s="664" t="s">
        <v>363</v>
      </c>
      <c r="C96" s="665"/>
      <c r="D96" s="665"/>
      <c r="E96" s="665"/>
      <c r="F96" s="666"/>
      <c r="H96" s="948"/>
      <c r="I96" s="917"/>
      <c r="J96" s="917"/>
      <c r="K96" s="917"/>
      <c r="L96" s="917"/>
      <c r="M96" s="917"/>
      <c r="N96" s="917"/>
      <c r="O96" s="918"/>
      <c r="P96" s="725"/>
      <c r="Q96" s="725"/>
      <c r="R96" s="725"/>
      <c r="S96" s="725"/>
      <c r="T96" s="725"/>
      <c r="U96" s="725"/>
      <c r="V96" s="16"/>
      <c r="W96" s="951"/>
      <c r="X96" s="690"/>
      <c r="Y96" s="670"/>
      <c r="Z96" s="670"/>
      <c r="AA96" s="670"/>
      <c r="AB96" s="16"/>
      <c r="AC96" s="950"/>
      <c r="AD96" s="950"/>
      <c r="AE96" s="950"/>
      <c r="AF96" s="950"/>
      <c r="AG96" s="16"/>
    </row>
    <row r="97" spans="2:33" ht="19" thickBot="1">
      <c r="B97" s="43"/>
      <c r="C97" s="667" t="s">
        <v>524</v>
      </c>
      <c r="D97" s="668"/>
      <c r="E97" s="668"/>
      <c r="F97" s="669"/>
      <c r="H97" s="4717" t="s">
        <v>958</v>
      </c>
      <c r="I97" s="4718"/>
      <c r="J97" s="4718"/>
      <c r="K97" s="4718"/>
      <c r="L97" s="4718"/>
      <c r="M97" s="4718"/>
      <c r="N97" s="4718"/>
      <c r="O97" s="4719"/>
      <c r="P97" s="720"/>
      <c r="Q97" s="720"/>
      <c r="R97" s="720"/>
      <c r="S97" s="720"/>
      <c r="T97" s="720"/>
      <c r="U97" s="720"/>
      <c r="V97" s="16"/>
      <c r="W97" s="951"/>
      <c r="X97" s="692"/>
      <c r="Y97" s="670"/>
      <c r="Z97" s="670"/>
      <c r="AA97" s="670"/>
      <c r="AB97" s="16"/>
      <c r="AC97" s="724"/>
      <c r="AD97" s="725"/>
      <c r="AE97" s="725"/>
      <c r="AF97" s="725"/>
      <c r="AG97" s="16"/>
    </row>
    <row r="98" spans="2:33" ht="16" thickBot="1">
      <c r="B98" s="128" t="s">
        <v>364</v>
      </c>
      <c r="C98" s="129" t="s">
        <v>643</v>
      </c>
      <c r="D98" s="129" t="s">
        <v>372</v>
      </c>
      <c r="E98" s="129" t="s">
        <v>373</v>
      </c>
      <c r="F98" s="130" t="s">
        <v>374</v>
      </c>
      <c r="H98" s="4652" t="s">
        <v>937</v>
      </c>
      <c r="I98" s="4654" t="s">
        <v>365</v>
      </c>
      <c r="J98" s="4654" t="s">
        <v>286</v>
      </c>
      <c r="K98" s="4650" t="s">
        <v>931</v>
      </c>
      <c r="L98" s="4650"/>
      <c r="M98" s="4650"/>
      <c r="N98" s="4650"/>
      <c r="O98" s="4651"/>
      <c r="P98" s="691"/>
      <c r="Q98" s="721"/>
      <c r="R98" s="691"/>
      <c r="S98" s="691"/>
      <c r="T98" s="691"/>
      <c r="U98" s="691"/>
      <c r="V98" s="16"/>
      <c r="W98" s="693"/>
      <c r="X98" s="952"/>
      <c r="Y98" s="690"/>
      <c r="Z98" s="690"/>
      <c r="AA98" s="690"/>
      <c r="AB98" s="16"/>
      <c r="AC98" s="724"/>
      <c r="AD98" s="720"/>
      <c r="AE98" s="720"/>
      <c r="AF98" s="720"/>
      <c r="AG98" s="16"/>
    </row>
    <row r="99" spans="2:33" ht="56.25" customHeight="1" thickBot="1">
      <c r="B99" s="131" t="s">
        <v>365</v>
      </c>
      <c r="C99" s="133" t="e">
        <f>'Huella maquinaria'!W12</f>
        <v>#REF!</v>
      </c>
      <c r="D99" s="133"/>
      <c r="E99" s="133"/>
      <c r="F99" s="134"/>
      <c r="H99" s="4653"/>
      <c r="I99" s="4655"/>
      <c r="J99" s="4655"/>
      <c r="K99" s="728" t="s">
        <v>369</v>
      </c>
      <c r="L99" s="4644" t="s">
        <v>368</v>
      </c>
      <c r="M99" s="4644"/>
      <c r="N99" s="4644"/>
      <c r="O99" s="4645"/>
      <c r="P99" s="691"/>
      <c r="Q99" s="691"/>
      <c r="R99" s="691"/>
      <c r="S99" s="692"/>
      <c r="T99" s="692"/>
      <c r="U99" s="692"/>
      <c r="V99" s="16"/>
      <c r="W99" s="16"/>
      <c r="X99" s="16"/>
      <c r="Y99" s="692"/>
      <c r="Z99" s="692"/>
      <c r="AA99" s="692"/>
      <c r="AB99" s="16"/>
      <c r="AC99" s="724"/>
      <c r="AD99" s="691"/>
      <c r="AE99" s="691"/>
      <c r="AF99" s="691"/>
      <c r="AG99" s="16"/>
    </row>
    <row r="100" spans="2:33" ht="31">
      <c r="B100" s="131" t="s">
        <v>368</v>
      </c>
      <c r="C100" s="133">
        <f>'Huella mano de obra'!$AA$16</f>
        <v>0</v>
      </c>
      <c r="D100" s="133">
        <f>'Huella mano de obra'!$AA$17</f>
        <v>0</v>
      </c>
      <c r="E100" s="133">
        <f>'Huella mano de obra'!$AA$18</f>
        <v>0</v>
      </c>
      <c r="F100" s="134">
        <f>'Huella mano de obra'!$AA$19</f>
        <v>0</v>
      </c>
      <c r="H100" s="4646" t="s">
        <v>968</v>
      </c>
      <c r="I100" s="714" t="s">
        <v>932</v>
      </c>
      <c r="J100" s="715" t="s">
        <v>933</v>
      </c>
      <c r="K100" s="715" t="s">
        <v>935</v>
      </c>
      <c r="L100" s="716" t="s">
        <v>938</v>
      </c>
      <c r="M100" s="714" t="s">
        <v>939</v>
      </c>
      <c r="N100" s="715" t="s">
        <v>940</v>
      </c>
      <c r="O100" s="716" t="s">
        <v>941</v>
      </c>
      <c r="P100" s="691"/>
      <c r="Q100" s="691"/>
      <c r="R100" s="691"/>
      <c r="S100" s="692"/>
      <c r="T100" s="692"/>
      <c r="U100" s="692"/>
      <c r="V100" s="16"/>
      <c r="W100" s="16"/>
      <c r="X100" s="16"/>
      <c r="Y100" s="952"/>
      <c r="Z100" s="952"/>
      <c r="AA100" s="952"/>
      <c r="AB100" s="16"/>
      <c r="AC100" s="720"/>
      <c r="AD100" s="953"/>
      <c r="AE100" s="953"/>
      <c r="AF100" s="953"/>
      <c r="AG100" s="16"/>
    </row>
    <row r="101" spans="2:33" ht="29.25" customHeight="1">
      <c r="B101" s="131" t="s">
        <v>369</v>
      </c>
      <c r="C101" s="675" t="e">
        <f>'Huella mano de obra'!AA44</f>
        <v>#REF!</v>
      </c>
      <c r="D101" s="133"/>
      <c r="E101" s="133"/>
      <c r="F101" s="134"/>
      <c r="H101" s="4646"/>
      <c r="I101" s="4632" t="e">
        <f>C75</f>
        <v>#REF!</v>
      </c>
      <c r="J101" s="4634" t="e">
        <f>C78</f>
        <v>#REF!</v>
      </c>
      <c r="K101" s="4648" t="e">
        <f>C77</f>
        <v>#REF!</v>
      </c>
      <c r="L101" s="4636">
        <f>C76</f>
        <v>0</v>
      </c>
      <c r="M101" s="4632">
        <f>D76</f>
        <v>0</v>
      </c>
      <c r="N101" s="4634">
        <f>E76</f>
        <v>0</v>
      </c>
      <c r="O101" s="4636">
        <f>F76</f>
        <v>0</v>
      </c>
      <c r="P101" s="726"/>
      <c r="Q101" s="726"/>
      <c r="R101" s="726"/>
      <c r="S101" s="691"/>
      <c r="T101" s="691"/>
      <c r="U101" s="691"/>
      <c r="V101" s="16"/>
      <c r="W101" s="16"/>
      <c r="X101" s="16"/>
      <c r="Y101" s="16"/>
      <c r="Z101" s="16"/>
      <c r="AA101" s="16"/>
      <c r="AB101" s="16"/>
      <c r="AC101" s="16"/>
      <c r="AD101" s="16"/>
      <c r="AE101" s="16"/>
      <c r="AF101" s="16"/>
      <c r="AG101" s="16"/>
    </row>
    <row r="102" spans="2:33" ht="26.25" customHeight="1" thickBot="1">
      <c r="B102" s="131" t="s">
        <v>286</v>
      </c>
      <c r="C102" s="133" t="e">
        <f>'Huella materiales'!BD8</f>
        <v>#REF!</v>
      </c>
      <c r="D102" s="133"/>
      <c r="E102" s="133"/>
      <c r="F102" s="134"/>
      <c r="H102" s="4647"/>
      <c r="I102" s="4633"/>
      <c r="J102" s="4635"/>
      <c r="K102" s="4649"/>
      <c r="L102" s="4637"/>
      <c r="M102" s="4633"/>
      <c r="N102" s="4635"/>
      <c r="O102" s="4637"/>
      <c r="P102" s="726"/>
      <c r="Q102" s="726"/>
      <c r="R102" s="726"/>
      <c r="S102" s="691"/>
      <c r="T102" s="691"/>
      <c r="U102" s="691"/>
      <c r="V102" s="16"/>
      <c r="W102" s="16"/>
      <c r="X102" s="16"/>
      <c r="Y102" s="16"/>
      <c r="Z102" s="16"/>
      <c r="AA102" s="16"/>
      <c r="AB102" s="16"/>
      <c r="AC102" s="16"/>
      <c r="AD102" s="16"/>
      <c r="AE102" s="16"/>
      <c r="AF102" s="16"/>
      <c r="AG102" s="16"/>
    </row>
    <row r="103" spans="2:33" ht="59.25" customHeight="1" thickBot="1">
      <c r="B103" s="139" t="s">
        <v>645</v>
      </c>
      <c r="C103" s="137" t="e">
        <f>SUM(C99:C102)</f>
        <v>#REF!</v>
      </c>
      <c r="D103" s="137">
        <f>SUM(D99:D102)</f>
        <v>0</v>
      </c>
      <c r="E103" s="137">
        <f>SUM(E99:E102)</f>
        <v>0</v>
      </c>
      <c r="F103" s="671">
        <f>SUM(F99:F102)</f>
        <v>0</v>
      </c>
      <c r="H103" s="4663" t="s">
        <v>936</v>
      </c>
      <c r="I103" s="4665" t="e">
        <f>SUM(I101:L102)</f>
        <v>#REF!</v>
      </c>
      <c r="J103" s="4666"/>
      <c r="K103" s="4666"/>
      <c r="L103" s="4667"/>
      <c r="M103" s="4638"/>
      <c r="N103" s="4638"/>
      <c r="O103" s="4662"/>
      <c r="P103" s="953"/>
      <c r="Q103" s="953"/>
      <c r="R103" s="953"/>
      <c r="S103" s="953"/>
      <c r="T103" s="953"/>
      <c r="U103" s="953"/>
      <c r="V103" s="16"/>
      <c r="W103" s="16"/>
      <c r="X103" s="16"/>
      <c r="Y103" s="16"/>
      <c r="Z103" s="16"/>
      <c r="AA103" s="16"/>
      <c r="AB103" s="16"/>
      <c r="AC103" s="16"/>
      <c r="AD103" s="16"/>
      <c r="AE103" s="16"/>
      <c r="AF103" s="16"/>
      <c r="AG103" s="16"/>
    </row>
    <row r="104" spans="2:33" ht="57.75" customHeight="1" thickBot="1">
      <c r="B104" s="138" t="s">
        <v>644</v>
      </c>
      <c r="C104" s="4659" t="e">
        <f>SUM(C103:F103)</f>
        <v>#REF!</v>
      </c>
      <c r="D104" s="4660"/>
      <c r="E104" s="4660"/>
      <c r="F104" s="4661"/>
      <c r="H104" s="4664"/>
      <c r="I104" s="4668"/>
      <c r="J104" s="4669"/>
      <c r="K104" s="4669"/>
      <c r="L104" s="4670"/>
      <c r="M104" s="4638"/>
      <c r="N104" s="4638"/>
      <c r="O104" s="4662"/>
      <c r="P104" s="691"/>
      <c r="Q104" s="691"/>
      <c r="R104" s="691"/>
      <c r="S104" s="691"/>
      <c r="T104" s="691"/>
      <c r="U104" s="691"/>
      <c r="V104" s="16"/>
      <c r="W104" s="16"/>
      <c r="X104" s="16"/>
      <c r="Y104" s="16"/>
      <c r="Z104" s="16"/>
      <c r="AA104" s="16"/>
      <c r="AB104" s="16"/>
      <c r="AC104" s="16"/>
      <c r="AD104" s="16"/>
      <c r="AE104" s="16"/>
      <c r="AF104" s="16"/>
      <c r="AG104" s="16"/>
    </row>
    <row r="105" spans="2:33" ht="25.5" customHeight="1" thickBot="1">
      <c r="B105" s="138" t="s">
        <v>873</v>
      </c>
      <c r="C105" s="4659" t="e">
        <f>C104/'Seleccion proyecto HEREVEA02'!L8</f>
        <v>#REF!</v>
      </c>
      <c r="D105" s="4660"/>
      <c r="E105" s="4660"/>
      <c r="F105" s="4661"/>
      <c r="H105" s="4703" t="s">
        <v>942</v>
      </c>
      <c r="I105" s="4705"/>
      <c r="J105" s="4706"/>
      <c r="K105" s="4706"/>
      <c r="L105" s="4707"/>
      <c r="M105" s="4711">
        <f>SUM(M101:O102)</f>
        <v>0</v>
      </c>
      <c r="N105" s="4712"/>
      <c r="O105" s="4713"/>
      <c r="P105" s="720"/>
      <c r="Q105" s="720"/>
      <c r="R105" s="720"/>
      <c r="S105" s="720"/>
      <c r="T105" s="720"/>
      <c r="U105" s="720"/>
      <c r="V105" s="16"/>
      <c r="W105" s="296"/>
      <c r="X105" s="296"/>
      <c r="Y105" s="16"/>
      <c r="Z105" s="16"/>
      <c r="AA105" s="16"/>
      <c r="AB105" s="16"/>
      <c r="AC105" s="16"/>
      <c r="AD105" s="16"/>
      <c r="AE105" s="16"/>
      <c r="AF105" s="16"/>
      <c r="AG105" s="16"/>
    </row>
    <row r="106" spans="2:33" ht="32.25" customHeight="1" thickBot="1">
      <c r="H106" s="4704"/>
      <c r="I106" s="4708"/>
      <c r="J106" s="4709"/>
      <c r="K106" s="4709"/>
      <c r="L106" s="4710"/>
      <c r="M106" s="4714"/>
      <c r="N106" s="4715"/>
      <c r="O106" s="4716"/>
      <c r="P106" s="727"/>
      <c r="Q106" s="727"/>
      <c r="R106" s="727"/>
      <c r="S106" s="727"/>
      <c r="T106" s="727"/>
      <c r="U106" s="727"/>
      <c r="V106" s="16"/>
      <c r="W106" s="670"/>
      <c r="X106" s="670"/>
      <c r="Y106" s="16"/>
      <c r="Z106" s="16"/>
      <c r="AA106" s="16"/>
      <c r="AB106" s="16"/>
      <c r="AC106" s="16"/>
      <c r="AD106" s="16"/>
      <c r="AE106" s="16"/>
      <c r="AF106" s="16"/>
      <c r="AG106" s="16"/>
    </row>
    <row r="107" spans="2:33" ht="31.5" thickBot="1">
      <c r="B107" s="160" t="s">
        <v>906</v>
      </c>
      <c r="C107" s="160" t="s">
        <v>920</v>
      </c>
      <c r="H107" s="717" t="s">
        <v>969</v>
      </c>
      <c r="I107" s="4697" t="e">
        <f>SUM(I103+M105)</f>
        <v>#REF!</v>
      </c>
      <c r="J107" s="4698"/>
      <c r="K107" s="4698"/>
      <c r="L107" s="4698"/>
      <c r="M107" s="4698"/>
      <c r="N107" s="4698"/>
      <c r="O107" s="4699"/>
      <c r="P107" s="950"/>
      <c r="Q107" s="950"/>
      <c r="R107" s="950"/>
      <c r="S107" s="950"/>
      <c r="T107" s="950"/>
      <c r="U107" s="950"/>
      <c r="V107" s="16"/>
      <c r="W107" s="951"/>
      <c r="X107" s="670"/>
      <c r="Y107" s="16"/>
      <c r="Z107" s="16"/>
      <c r="AA107" s="16"/>
      <c r="AB107" s="16"/>
      <c r="AC107" s="727"/>
      <c r="AD107" s="727"/>
      <c r="AE107" s="727"/>
      <c r="AF107" s="727"/>
      <c r="AG107" s="16"/>
    </row>
    <row r="108" spans="2:33" ht="31.5" thickBot="1">
      <c r="B108" s="664" t="s">
        <v>363</v>
      </c>
      <c r="C108" s="665"/>
      <c r="D108" s="665"/>
      <c r="E108" s="665"/>
      <c r="F108" s="666"/>
      <c r="H108" s="717" t="s">
        <v>970</v>
      </c>
      <c r="I108" s="4659" t="e">
        <f>I107/'Seleccion proyecto HEREVEA02'!L8</f>
        <v>#REF!</v>
      </c>
      <c r="J108" s="4660"/>
      <c r="K108" s="4660"/>
      <c r="L108" s="4660"/>
      <c r="M108" s="4660"/>
      <c r="N108" s="4660"/>
      <c r="O108" s="4734"/>
      <c r="P108" s="725"/>
      <c r="Q108" s="725"/>
      <c r="R108" s="725"/>
      <c r="S108" s="725"/>
      <c r="T108" s="725"/>
      <c r="U108" s="725"/>
      <c r="V108" s="16"/>
      <c r="W108" s="951"/>
      <c r="X108" s="690"/>
      <c r="Y108" s="670"/>
      <c r="Z108" s="670"/>
      <c r="AA108" s="670"/>
      <c r="AB108" s="16"/>
      <c r="AC108" s="950"/>
      <c r="AD108" s="950"/>
      <c r="AE108" s="950"/>
      <c r="AF108" s="950"/>
      <c r="AG108" s="16"/>
    </row>
    <row r="109" spans="2:33" ht="19" thickBot="1">
      <c r="B109" s="43"/>
      <c r="C109" s="667" t="s">
        <v>524</v>
      </c>
      <c r="D109" s="668"/>
      <c r="E109" s="668"/>
      <c r="F109" s="669"/>
      <c r="H109" s="2028"/>
      <c r="I109" s="2029"/>
      <c r="J109" s="2029"/>
      <c r="K109" s="2029"/>
      <c r="L109" s="2029"/>
      <c r="M109" s="2029"/>
      <c r="N109" s="2029"/>
      <c r="O109" s="2018"/>
      <c r="P109" s="720"/>
      <c r="Q109" s="720"/>
      <c r="R109" s="720"/>
      <c r="S109" s="720"/>
      <c r="T109" s="720"/>
      <c r="U109" s="720"/>
      <c r="V109" s="16"/>
      <c r="W109" s="951"/>
      <c r="X109" s="692"/>
      <c r="Y109" s="670"/>
      <c r="Z109" s="670"/>
      <c r="AA109" s="670"/>
      <c r="AB109" s="16"/>
      <c r="AC109" s="724"/>
      <c r="AD109" s="725"/>
      <c r="AE109" s="725"/>
      <c r="AF109" s="725"/>
      <c r="AG109" s="16"/>
    </row>
    <row r="110" spans="2:33" ht="32.25" customHeight="1">
      <c r="B110" s="128" t="s">
        <v>364</v>
      </c>
      <c r="C110" s="129" t="s">
        <v>643</v>
      </c>
      <c r="D110" s="129" t="s">
        <v>372</v>
      </c>
      <c r="E110" s="129" t="s">
        <v>373</v>
      </c>
      <c r="F110" s="130" t="s">
        <v>374</v>
      </c>
      <c r="H110" s="4735" t="s">
        <v>959</v>
      </c>
      <c r="I110" s="4736"/>
      <c r="J110" s="4736"/>
      <c r="K110" s="4736"/>
      <c r="L110" s="4736"/>
      <c r="M110" s="4736"/>
      <c r="N110" s="4736"/>
      <c r="O110" s="4737"/>
      <c r="P110" s="691"/>
      <c r="Q110" s="721"/>
      <c r="R110" s="691"/>
      <c r="S110" s="691"/>
      <c r="T110" s="691"/>
      <c r="U110" s="691"/>
      <c r="V110" s="16"/>
      <c r="W110" s="693"/>
      <c r="X110" s="952"/>
      <c r="Y110" s="690"/>
      <c r="Z110" s="690"/>
      <c r="AA110" s="690"/>
      <c r="AB110" s="16"/>
      <c r="AC110" s="724"/>
      <c r="AD110" s="720"/>
      <c r="AE110" s="720"/>
      <c r="AF110" s="720"/>
      <c r="AG110" s="16"/>
    </row>
    <row r="111" spans="2:33" ht="51.75" customHeight="1">
      <c r="B111" s="131" t="s">
        <v>365</v>
      </c>
      <c r="C111" s="133" t="e">
        <f>'Huella maquinaria'!X12</f>
        <v>#REF!</v>
      </c>
      <c r="D111" s="133"/>
      <c r="E111" s="133"/>
      <c r="F111" s="134"/>
      <c r="H111" s="4733" t="s">
        <v>2048</v>
      </c>
      <c r="I111" s="4727" t="s">
        <v>365</v>
      </c>
      <c r="J111" s="4727" t="s">
        <v>286</v>
      </c>
      <c r="K111" s="4727" t="s">
        <v>931</v>
      </c>
      <c r="L111" s="4727"/>
      <c r="M111" s="4727"/>
      <c r="N111" s="4727"/>
      <c r="O111" s="4728"/>
      <c r="P111" s="691"/>
      <c r="Q111" s="691"/>
      <c r="R111" s="691"/>
      <c r="S111" s="692"/>
      <c r="T111" s="692"/>
      <c r="U111" s="692"/>
      <c r="V111" s="16"/>
      <c r="W111" s="16"/>
      <c r="X111" s="16"/>
      <c r="Y111" s="692"/>
      <c r="Z111" s="692"/>
      <c r="AA111" s="692"/>
      <c r="AB111" s="16"/>
      <c r="AC111" s="724"/>
      <c r="AD111" s="691"/>
      <c r="AE111" s="691"/>
      <c r="AF111" s="691"/>
      <c r="AG111" s="16"/>
    </row>
    <row r="112" spans="2:33" ht="15.5">
      <c r="B112" s="131" t="s">
        <v>368</v>
      </c>
      <c r="C112" s="133">
        <f>'Huella mano de obra'!$AB$16</f>
        <v>0</v>
      </c>
      <c r="D112" s="133">
        <f>'Huella mano de obra'!$AB$17</f>
        <v>0</v>
      </c>
      <c r="E112" s="133">
        <f>'Huella mano de obra'!$AB$18</f>
        <v>0</v>
      </c>
      <c r="F112" s="134">
        <f>'Huella mano de obra'!$AB$19</f>
        <v>0</v>
      </c>
      <c r="H112" s="4733"/>
      <c r="I112" s="4727"/>
      <c r="J112" s="4727"/>
      <c r="K112" s="2030" t="s">
        <v>369</v>
      </c>
      <c r="L112" s="4729" t="s">
        <v>368</v>
      </c>
      <c r="M112" s="4729"/>
      <c r="N112" s="4729"/>
      <c r="O112" s="4730"/>
      <c r="P112" s="691"/>
      <c r="Q112" s="691"/>
      <c r="R112" s="691"/>
      <c r="S112" s="692"/>
      <c r="T112" s="692"/>
      <c r="U112" s="692"/>
      <c r="V112" s="16"/>
      <c r="W112" s="16"/>
      <c r="X112" s="16"/>
      <c r="Y112" s="952"/>
      <c r="Z112" s="952"/>
      <c r="AA112" s="952"/>
      <c r="AB112" s="16"/>
      <c r="AC112" s="720"/>
      <c r="AD112" s="953"/>
      <c r="AE112" s="953"/>
      <c r="AF112" s="953"/>
      <c r="AG112" s="16"/>
    </row>
    <row r="113" spans="2:33" ht="33" customHeight="1">
      <c r="B113" s="131" t="s">
        <v>369</v>
      </c>
      <c r="C113" s="675" t="e">
        <f>'Huella mano de obra'!AB44</f>
        <v>#REF!</v>
      </c>
      <c r="D113" s="133"/>
      <c r="E113" s="133"/>
      <c r="F113" s="134"/>
      <c r="H113" s="4731" t="s">
        <v>645</v>
      </c>
      <c r="I113" s="2035" t="s">
        <v>932</v>
      </c>
      <c r="J113" s="2035" t="s">
        <v>933</v>
      </c>
      <c r="K113" s="2035" t="s">
        <v>935</v>
      </c>
      <c r="L113" s="2035" t="s">
        <v>938</v>
      </c>
      <c r="M113" s="2035" t="s">
        <v>939</v>
      </c>
      <c r="N113" s="2035" t="s">
        <v>940</v>
      </c>
      <c r="O113" s="2036" t="s">
        <v>941</v>
      </c>
      <c r="P113" s="726"/>
      <c r="Q113" s="726"/>
      <c r="R113" s="726"/>
      <c r="S113" s="691"/>
      <c r="T113" s="691"/>
      <c r="U113" s="691"/>
      <c r="V113" s="16"/>
      <c r="W113" s="16"/>
      <c r="X113" s="16"/>
      <c r="Y113" s="16"/>
      <c r="Z113" s="16"/>
      <c r="AA113" s="16"/>
      <c r="AB113" s="16"/>
      <c r="AC113" s="16"/>
      <c r="AD113" s="16"/>
      <c r="AE113" s="16"/>
      <c r="AF113" s="16"/>
      <c r="AG113" s="16"/>
    </row>
    <row r="114" spans="2:33" ht="25.5" customHeight="1" thickBot="1">
      <c r="B114" s="131" t="s">
        <v>286</v>
      </c>
      <c r="C114" s="133" t="e">
        <f>'Huella materiales'!BE8</f>
        <v>#REF!</v>
      </c>
      <c r="D114" s="133"/>
      <c r="E114" s="133"/>
      <c r="F114" s="134"/>
      <c r="H114" s="4731"/>
      <c r="I114" s="4725" t="e">
        <f>C87</f>
        <v>#REF!</v>
      </c>
      <c r="J114" s="4725" t="e">
        <f>C90</f>
        <v>#REF!</v>
      </c>
      <c r="K114" s="4732" t="e">
        <f>C89</f>
        <v>#REF!</v>
      </c>
      <c r="L114" s="4725">
        <f>C88</f>
        <v>0</v>
      </c>
      <c r="M114" s="4725">
        <f>D88</f>
        <v>0</v>
      </c>
      <c r="N114" s="4725">
        <f>E88</f>
        <v>0</v>
      </c>
      <c r="O114" s="4726">
        <f>F88</f>
        <v>0</v>
      </c>
      <c r="P114" s="726"/>
      <c r="Q114" s="726"/>
      <c r="R114" s="726"/>
      <c r="S114" s="691"/>
      <c r="T114" s="691"/>
      <c r="U114" s="691"/>
      <c r="V114" s="16"/>
      <c r="W114" s="16"/>
      <c r="X114" s="16"/>
      <c r="Y114" s="16"/>
      <c r="Z114" s="16"/>
      <c r="AA114" s="16"/>
      <c r="AB114" s="16"/>
      <c r="AC114" s="16"/>
      <c r="AD114" s="16"/>
      <c r="AE114" s="16"/>
      <c r="AF114" s="16"/>
      <c r="AG114" s="16"/>
    </row>
    <row r="115" spans="2:33" ht="16" thickBot="1">
      <c r="B115" s="139" t="s">
        <v>645</v>
      </c>
      <c r="C115" s="137" t="e">
        <f>SUM(C111:C114)</f>
        <v>#REF!</v>
      </c>
      <c r="D115" s="137">
        <f>SUM(D111:D114)</f>
        <v>0</v>
      </c>
      <c r="E115" s="137">
        <f>SUM(E111:E114)</f>
        <v>0</v>
      </c>
      <c r="F115" s="671">
        <f>SUM(F111:F114)</f>
        <v>0</v>
      </c>
      <c r="H115" s="4731"/>
      <c r="I115" s="4725"/>
      <c r="J115" s="4725"/>
      <c r="K115" s="4732"/>
      <c r="L115" s="4725"/>
      <c r="M115" s="4725"/>
      <c r="N115" s="4725"/>
      <c r="O115" s="4726"/>
      <c r="P115" s="953"/>
      <c r="Q115" s="953"/>
      <c r="R115" s="953"/>
      <c r="S115" s="953"/>
      <c r="T115" s="953"/>
      <c r="U115" s="953"/>
      <c r="V115" s="16"/>
      <c r="W115" s="16"/>
      <c r="X115" s="16"/>
      <c r="Y115" s="16"/>
      <c r="Z115" s="16"/>
      <c r="AA115" s="16"/>
      <c r="AB115" s="16"/>
      <c r="AC115" s="16"/>
      <c r="AD115" s="16"/>
      <c r="AE115" s="16"/>
      <c r="AF115" s="16"/>
      <c r="AG115" s="16"/>
    </row>
    <row r="116" spans="2:33" ht="59.25" customHeight="1" thickBot="1">
      <c r="B116" s="138" t="s">
        <v>644</v>
      </c>
      <c r="C116" s="4659" t="e">
        <f>SUM(C115:F115)</f>
        <v>#REF!</v>
      </c>
      <c r="D116" s="4660"/>
      <c r="E116" s="4660"/>
      <c r="F116" s="4661"/>
      <c r="H116" s="2037" t="s">
        <v>2046</v>
      </c>
      <c r="I116" s="2031" t="e">
        <f>I114/'Seleccion proyecto HEREVEA02'!L8</f>
        <v>#REF!</v>
      </c>
      <c r="J116" s="2031" t="e">
        <f>J114/'Seleccion proyecto HEREVEA02'!L8</f>
        <v>#REF!</v>
      </c>
      <c r="K116" s="2031" t="e">
        <f>K114/'Seleccion proyecto HEREVEA02'!L8</f>
        <v>#REF!</v>
      </c>
      <c r="L116" s="2031">
        <f>L114/'Seleccion proyecto HEREVEA02'!L8</f>
        <v>0</v>
      </c>
      <c r="M116" s="2031">
        <f>M114/'Seleccion proyecto HEREVEA02'!L8</f>
        <v>0</v>
      </c>
      <c r="N116" s="2031">
        <f>N114/'Seleccion proyecto HEREVEA02'!L8</f>
        <v>0</v>
      </c>
      <c r="O116" s="2032">
        <f>O114/'Seleccion proyecto HEREVEA02'!L8</f>
        <v>0</v>
      </c>
      <c r="P116" s="691"/>
      <c r="Q116" s="691"/>
      <c r="R116" s="691"/>
      <c r="S116" s="691"/>
      <c r="T116" s="691"/>
      <c r="U116" s="691"/>
      <c r="V116" s="16"/>
      <c r="W116" s="16"/>
      <c r="X116" s="16"/>
      <c r="Y116" s="16"/>
      <c r="Z116" s="16"/>
      <c r="AA116" s="16"/>
      <c r="AB116" s="16"/>
      <c r="AC116" s="16"/>
      <c r="AD116" s="16"/>
      <c r="AE116" s="16"/>
      <c r="AF116" s="16"/>
      <c r="AG116" s="16"/>
    </row>
    <row r="117" spans="2:33" ht="52.5" customHeight="1" thickBot="1">
      <c r="B117" s="138" t="s">
        <v>873</v>
      </c>
      <c r="C117" s="4659" t="e">
        <f>C116/'Seleccion proyecto HEREVEA02'!L8</f>
        <v>#REF!</v>
      </c>
      <c r="D117" s="4660"/>
      <c r="E117" s="4660"/>
      <c r="F117" s="4661"/>
      <c r="H117" s="720"/>
      <c r="I117" s="2038"/>
      <c r="J117" s="2038"/>
      <c r="K117" s="2038"/>
      <c r="L117" s="2038"/>
      <c r="M117" s="2038"/>
      <c r="N117" s="2038"/>
      <c r="O117" s="2038"/>
      <c r="P117" s="691"/>
      <c r="Q117" s="721"/>
      <c r="R117" s="691"/>
      <c r="S117" s="691"/>
      <c r="T117" s="691"/>
      <c r="U117" s="691"/>
      <c r="V117" s="16"/>
      <c r="W117" s="296"/>
      <c r="X117" s="296"/>
      <c r="Y117" s="16"/>
      <c r="Z117" s="16"/>
      <c r="AA117" s="16"/>
      <c r="AB117" s="16"/>
      <c r="AC117" s="16"/>
      <c r="AD117" s="16"/>
      <c r="AE117" s="16"/>
      <c r="AF117" s="16"/>
      <c r="AG117" s="16"/>
    </row>
    <row r="118" spans="2:33" ht="32.25" customHeight="1">
      <c r="H118" s="720"/>
      <c r="I118" s="2038"/>
      <c r="J118" s="2038"/>
      <c r="K118" s="2038"/>
      <c r="L118" s="2038"/>
      <c r="M118" s="2038"/>
      <c r="N118" s="2038"/>
      <c r="O118" s="2038"/>
      <c r="P118" s="727"/>
      <c r="Q118" s="727"/>
      <c r="R118" s="727"/>
      <c r="S118" s="727"/>
      <c r="T118" s="727"/>
      <c r="U118" s="727"/>
      <c r="V118" s="16"/>
      <c r="W118" s="670"/>
      <c r="X118" s="670"/>
      <c r="Y118" s="16"/>
      <c r="Z118" s="16"/>
      <c r="AA118" s="16"/>
      <c r="AB118" s="16"/>
      <c r="AC118" s="16"/>
      <c r="AD118" s="16"/>
      <c r="AE118" s="16"/>
      <c r="AF118" s="16"/>
      <c r="AG118" s="16"/>
    </row>
    <row r="119" spans="2:33" ht="22.5" customHeight="1" thickBot="1">
      <c r="B119" s="160" t="s">
        <v>912</v>
      </c>
      <c r="C119" s="160" t="s">
        <v>926</v>
      </c>
      <c r="H119" s="4741" t="s">
        <v>936</v>
      </c>
      <c r="I119" s="4743" t="e">
        <f>I114+J114+K114+L114</f>
        <v>#REF!</v>
      </c>
      <c r="J119" s="4743"/>
      <c r="K119" s="4743"/>
      <c r="L119" s="4743"/>
      <c r="M119" s="4745">
        <f>M114</f>
        <v>0</v>
      </c>
      <c r="N119" s="4745">
        <f>N114</f>
        <v>0</v>
      </c>
      <c r="O119" s="4745">
        <f>O114</f>
        <v>0</v>
      </c>
      <c r="P119" s="950"/>
      <c r="Q119" s="950"/>
      <c r="R119" s="950"/>
      <c r="S119" s="950"/>
      <c r="T119" s="950"/>
      <c r="U119" s="950"/>
      <c r="V119" s="16"/>
      <c r="W119" s="951"/>
      <c r="X119" s="670"/>
      <c r="Y119" s="16"/>
      <c r="Z119" s="16"/>
      <c r="AA119" s="16"/>
      <c r="AB119" s="16"/>
      <c r="AC119" s="727"/>
      <c r="AD119" s="727"/>
      <c r="AE119" s="727"/>
      <c r="AF119" s="727"/>
      <c r="AG119" s="16"/>
    </row>
    <row r="120" spans="2:33" ht="16" thickBot="1">
      <c r="B120" s="664" t="s">
        <v>363</v>
      </c>
      <c r="C120" s="665"/>
      <c r="D120" s="665"/>
      <c r="E120" s="665"/>
      <c r="F120" s="666"/>
      <c r="H120" s="4742"/>
      <c r="I120" s="4744"/>
      <c r="J120" s="4744"/>
      <c r="K120" s="4744"/>
      <c r="L120" s="4744"/>
      <c r="M120" s="4746"/>
      <c r="N120" s="4746"/>
      <c r="O120" s="4746"/>
      <c r="P120" s="725"/>
      <c r="Q120" s="725"/>
      <c r="R120" s="725"/>
      <c r="S120" s="725"/>
      <c r="T120" s="725"/>
      <c r="U120" s="725"/>
      <c r="V120" s="16"/>
      <c r="W120" s="951"/>
      <c r="X120" s="690"/>
      <c r="Y120" s="670"/>
      <c r="Z120" s="670"/>
      <c r="AA120" s="670"/>
      <c r="AB120" s="16"/>
      <c r="AC120" s="950"/>
      <c r="AD120" s="950"/>
      <c r="AE120" s="950"/>
      <c r="AF120" s="950"/>
      <c r="AG120" s="16"/>
    </row>
    <row r="121" spans="2:33" ht="18.5">
      <c r="B121" s="43"/>
      <c r="C121" s="667" t="s">
        <v>524</v>
      </c>
      <c r="D121" s="668"/>
      <c r="E121" s="668"/>
      <c r="F121" s="669"/>
      <c r="H121" s="4704" t="s">
        <v>942</v>
      </c>
      <c r="I121" s="4705"/>
      <c r="J121" s="4706"/>
      <c r="K121" s="4706"/>
      <c r="L121" s="4707"/>
      <c r="M121" s="4738">
        <f>M114+N114+O114</f>
        <v>0</v>
      </c>
      <c r="N121" s="4739"/>
      <c r="O121" s="4740"/>
      <c r="P121" s="720"/>
      <c r="Q121" s="720"/>
      <c r="R121" s="720"/>
      <c r="S121" s="720"/>
      <c r="T121" s="720"/>
      <c r="U121" s="720"/>
      <c r="V121" s="16"/>
      <c r="W121" s="951"/>
      <c r="X121" s="692"/>
      <c r="Y121" s="670"/>
      <c r="Z121" s="670"/>
      <c r="AA121" s="670"/>
      <c r="AB121" s="16"/>
      <c r="AC121" s="724"/>
      <c r="AD121" s="725"/>
      <c r="AE121" s="725"/>
      <c r="AF121" s="725"/>
      <c r="AG121" s="16"/>
    </row>
    <row r="122" spans="2:33" ht="32.25" customHeight="1" thickBot="1">
      <c r="B122" s="128" t="s">
        <v>364</v>
      </c>
      <c r="C122" s="129" t="s">
        <v>643</v>
      </c>
      <c r="D122" s="129" t="s">
        <v>372</v>
      </c>
      <c r="E122" s="129" t="s">
        <v>373</v>
      </c>
      <c r="F122" s="130" t="s">
        <v>374</v>
      </c>
      <c r="H122" s="4704"/>
      <c r="I122" s="4708"/>
      <c r="J122" s="4709"/>
      <c r="K122" s="4709"/>
      <c r="L122" s="4710"/>
      <c r="M122" s="4714"/>
      <c r="N122" s="4715"/>
      <c r="O122" s="4716"/>
      <c r="P122" s="691"/>
      <c r="Q122" s="721"/>
      <c r="R122" s="691"/>
      <c r="S122" s="691"/>
      <c r="T122" s="691"/>
      <c r="U122" s="691"/>
      <c r="V122" s="16"/>
      <c r="W122" s="693"/>
      <c r="X122" s="952"/>
      <c r="Y122" s="690"/>
      <c r="Z122" s="690"/>
      <c r="AA122" s="690"/>
      <c r="AB122" s="16"/>
      <c r="AC122" s="724"/>
      <c r="AD122" s="720"/>
      <c r="AE122" s="720"/>
      <c r="AF122" s="720"/>
      <c r="AG122" s="16"/>
    </row>
    <row r="123" spans="2:33" ht="56.25" customHeight="1" thickBot="1">
      <c r="B123" s="131" t="s">
        <v>365</v>
      </c>
      <c r="C123" s="133" t="e">
        <f>'Huella maquinaria'!Y12</f>
        <v>#REF!</v>
      </c>
      <c r="D123" s="133"/>
      <c r="E123" s="133"/>
      <c r="F123" s="134"/>
      <c r="H123" s="717" t="s">
        <v>969</v>
      </c>
      <c r="I123" s="4697" t="e">
        <f>SUM(I119+M121)</f>
        <v>#REF!</v>
      </c>
      <c r="J123" s="4698"/>
      <c r="K123" s="4698"/>
      <c r="L123" s="4698"/>
      <c r="M123" s="4698"/>
      <c r="N123" s="4698"/>
      <c r="O123" s="4699"/>
      <c r="P123" s="691"/>
      <c r="Q123" s="691"/>
      <c r="R123" s="691"/>
      <c r="S123" s="692"/>
      <c r="T123" s="692"/>
      <c r="U123" s="692"/>
      <c r="V123" s="16"/>
      <c r="W123" s="16"/>
      <c r="X123" s="16"/>
      <c r="Y123" s="692"/>
      <c r="Z123" s="692"/>
      <c r="AA123" s="692"/>
      <c r="AB123" s="16"/>
      <c r="AC123" s="724"/>
      <c r="AD123" s="691"/>
      <c r="AE123" s="691"/>
      <c r="AF123" s="691"/>
      <c r="AG123" s="16"/>
    </row>
    <row r="124" spans="2:33" ht="56.25" customHeight="1" thickBot="1">
      <c r="B124" s="131" t="s">
        <v>368</v>
      </c>
      <c r="C124" s="133">
        <f>'Huella mano de obra'!$AC$16</f>
        <v>0</v>
      </c>
      <c r="D124" s="133">
        <f>'Huella mano de obra'!$AC$17</f>
        <v>0</v>
      </c>
      <c r="E124" s="133">
        <f>'Huella mano de obra'!$AC$18</f>
        <v>0</v>
      </c>
      <c r="F124" s="134">
        <f>'Huella mano de obra'!$AC$19</f>
        <v>0</v>
      </c>
      <c r="H124" s="717" t="s">
        <v>970</v>
      </c>
      <c r="I124" s="4659" t="e">
        <f>I123/'Seleccion proyecto HEREVEA02'!L8</f>
        <v>#REF!</v>
      </c>
      <c r="J124" s="4660"/>
      <c r="K124" s="4660"/>
      <c r="L124" s="4660"/>
      <c r="M124" s="4660"/>
      <c r="N124" s="4660"/>
      <c r="O124" s="4661"/>
      <c r="P124" s="691"/>
      <c r="Q124" s="691"/>
      <c r="R124" s="691"/>
      <c r="S124" s="692"/>
      <c r="T124" s="692"/>
      <c r="U124" s="692"/>
      <c r="V124" s="16"/>
      <c r="W124" s="16"/>
      <c r="X124" s="16"/>
      <c r="Y124" s="952"/>
      <c r="Z124" s="952"/>
      <c r="AA124" s="952"/>
      <c r="AB124" s="16"/>
      <c r="AC124" s="720"/>
      <c r="AD124" s="953"/>
      <c r="AE124" s="953"/>
      <c r="AF124" s="953"/>
      <c r="AG124" s="16"/>
    </row>
    <row r="125" spans="2:33" ht="27.75" customHeight="1" thickBot="1">
      <c r="B125" s="131" t="s">
        <v>369</v>
      </c>
      <c r="C125" s="675" t="e">
        <f>'Huella mano de obra'!AC44</f>
        <v>#REF!</v>
      </c>
      <c r="D125" s="133"/>
      <c r="E125" s="133"/>
      <c r="F125" s="134"/>
      <c r="H125" s="948"/>
      <c r="I125" s="917"/>
      <c r="J125" s="917"/>
      <c r="K125" s="917"/>
      <c r="L125" s="917"/>
      <c r="M125" s="917"/>
      <c r="N125" s="917"/>
      <c r="O125" s="918"/>
      <c r="P125" s="726"/>
      <c r="Q125" s="726"/>
      <c r="R125" s="726"/>
      <c r="S125" s="691"/>
      <c r="T125" s="691"/>
      <c r="U125" s="691"/>
      <c r="V125" s="16"/>
      <c r="W125" s="16"/>
      <c r="X125" s="16"/>
      <c r="Y125" s="16"/>
      <c r="Z125" s="16"/>
      <c r="AA125" s="16"/>
      <c r="AB125" s="16"/>
      <c r="AC125" s="16"/>
      <c r="AD125" s="16"/>
      <c r="AE125" s="16"/>
      <c r="AF125" s="16"/>
      <c r="AG125" s="16"/>
    </row>
    <row r="126" spans="2:33" ht="27.75" customHeight="1" thickBot="1">
      <c r="B126" s="131" t="s">
        <v>286</v>
      </c>
      <c r="C126" s="133" t="e">
        <f>'Huella materiales'!BF8</f>
        <v>#REF!</v>
      </c>
      <c r="D126" s="133"/>
      <c r="E126" s="133"/>
      <c r="F126" s="134"/>
      <c r="H126" s="4717" t="s">
        <v>960</v>
      </c>
      <c r="I126" s="4718"/>
      <c r="J126" s="4718"/>
      <c r="K126" s="4718"/>
      <c r="L126" s="4718"/>
      <c r="M126" s="4718"/>
      <c r="N126" s="4718"/>
      <c r="O126" s="4719"/>
      <c r="P126" s="726"/>
      <c r="Q126" s="726"/>
      <c r="R126" s="726"/>
      <c r="S126" s="691"/>
      <c r="T126" s="691"/>
      <c r="U126" s="691"/>
      <c r="V126" s="16"/>
      <c r="W126" s="16"/>
      <c r="X126" s="16"/>
      <c r="Y126" s="16"/>
      <c r="Z126" s="16"/>
      <c r="AA126" s="16"/>
      <c r="AB126" s="16"/>
      <c r="AC126" s="16"/>
      <c r="AD126" s="16"/>
      <c r="AE126" s="16"/>
      <c r="AF126" s="16"/>
      <c r="AG126" s="16"/>
    </row>
    <row r="127" spans="2:33" ht="16" thickBot="1">
      <c r="B127" s="139" t="s">
        <v>645</v>
      </c>
      <c r="C127" s="137" t="e">
        <f>SUM(C123:C126)</f>
        <v>#REF!</v>
      </c>
      <c r="D127" s="137">
        <f>SUM(D123:D126)</f>
        <v>0</v>
      </c>
      <c r="E127" s="137">
        <f>SUM(E123:E126)</f>
        <v>0</v>
      </c>
      <c r="F127" s="671">
        <f>SUM(F123:F126)</f>
        <v>0</v>
      </c>
      <c r="H127" s="4652" t="s">
        <v>937</v>
      </c>
      <c r="I127" s="4654" t="s">
        <v>365</v>
      </c>
      <c r="J127" s="4654" t="s">
        <v>286</v>
      </c>
      <c r="K127" s="4650" t="s">
        <v>931</v>
      </c>
      <c r="L127" s="4650"/>
      <c r="M127" s="4650"/>
      <c r="N127" s="4650"/>
      <c r="O127" s="4651"/>
      <c r="P127" s="953"/>
      <c r="Q127" s="953"/>
      <c r="R127" s="953"/>
      <c r="S127" s="953"/>
      <c r="T127" s="953"/>
      <c r="U127" s="953"/>
      <c r="V127" s="16"/>
      <c r="W127" s="16"/>
      <c r="X127" s="16"/>
      <c r="Y127" s="16"/>
      <c r="Z127" s="16"/>
      <c r="AA127" s="16"/>
      <c r="AB127" s="16"/>
      <c r="AC127" s="16"/>
      <c r="AD127" s="16"/>
      <c r="AE127" s="16"/>
      <c r="AF127" s="16"/>
      <c r="AG127" s="16"/>
    </row>
    <row r="128" spans="2:33" ht="16" thickBot="1">
      <c r="B128" s="138" t="s">
        <v>644</v>
      </c>
      <c r="C128" s="4659" t="e">
        <f>SUM(C127:F127)</f>
        <v>#REF!</v>
      </c>
      <c r="D128" s="4660"/>
      <c r="E128" s="4660"/>
      <c r="F128" s="4661"/>
      <c r="H128" s="4653"/>
      <c r="I128" s="4655"/>
      <c r="J128" s="4655"/>
      <c r="K128" s="728" t="s">
        <v>369</v>
      </c>
      <c r="L128" s="4644" t="s">
        <v>368</v>
      </c>
      <c r="M128" s="4644"/>
      <c r="N128" s="4644"/>
      <c r="O128" s="4645"/>
      <c r="P128" s="691"/>
      <c r="Q128" s="691"/>
      <c r="R128" s="691"/>
      <c r="S128" s="691"/>
      <c r="T128" s="691"/>
      <c r="U128" s="691"/>
      <c r="V128" s="16"/>
      <c r="W128" s="16"/>
      <c r="X128" s="16"/>
      <c r="Y128" s="16"/>
      <c r="Z128" s="16"/>
      <c r="AA128" s="16"/>
      <c r="AB128" s="16"/>
      <c r="AC128" s="16"/>
      <c r="AD128" s="16"/>
      <c r="AE128" s="16"/>
      <c r="AF128" s="16"/>
      <c r="AG128" s="16"/>
    </row>
    <row r="129" spans="2:33" ht="58.5" customHeight="1" thickBot="1">
      <c r="B129" s="138" t="s">
        <v>873</v>
      </c>
      <c r="C129" s="4659" t="e">
        <f>C128/'Seleccion proyecto HEREVEA02'!L8</f>
        <v>#REF!</v>
      </c>
      <c r="D129" s="4660"/>
      <c r="E129" s="4660"/>
      <c r="F129" s="4661"/>
      <c r="H129" s="4646" t="s">
        <v>968</v>
      </c>
      <c r="I129" s="714" t="s">
        <v>932</v>
      </c>
      <c r="J129" s="715" t="s">
        <v>933</v>
      </c>
      <c r="K129" s="715" t="s">
        <v>935</v>
      </c>
      <c r="L129" s="716" t="s">
        <v>938</v>
      </c>
      <c r="M129" s="714" t="s">
        <v>939</v>
      </c>
      <c r="N129" s="715" t="s">
        <v>940</v>
      </c>
      <c r="O129" s="716" t="s">
        <v>941</v>
      </c>
      <c r="P129" s="691"/>
      <c r="Q129" s="691"/>
      <c r="R129" s="691"/>
      <c r="S129" s="692"/>
      <c r="T129" s="692"/>
      <c r="U129" s="692"/>
      <c r="V129" s="16"/>
      <c r="W129" s="296"/>
      <c r="X129" s="296"/>
      <c r="Y129" s="16"/>
      <c r="Z129" s="16"/>
      <c r="AA129" s="16"/>
      <c r="AB129" s="16"/>
      <c r="AC129" s="16"/>
      <c r="AD129" s="16"/>
      <c r="AE129" s="16"/>
      <c r="AF129" s="16"/>
      <c r="AG129" s="16"/>
    </row>
    <row r="130" spans="2:33" ht="56.25" customHeight="1">
      <c r="H130" s="4646"/>
      <c r="I130" s="4632" t="e">
        <f>C99</f>
        <v>#REF!</v>
      </c>
      <c r="J130" s="4634" t="e">
        <f>C102</f>
        <v>#REF!</v>
      </c>
      <c r="K130" s="4648" t="e">
        <f>C101</f>
        <v>#REF!</v>
      </c>
      <c r="L130" s="4636">
        <f>C100</f>
        <v>0</v>
      </c>
      <c r="M130" s="4632">
        <f>D100</f>
        <v>0</v>
      </c>
      <c r="N130" s="4634">
        <f>E100</f>
        <v>0</v>
      </c>
      <c r="O130" s="4636">
        <f>F100</f>
        <v>0</v>
      </c>
      <c r="P130" s="727"/>
      <c r="Q130" s="727"/>
      <c r="R130" s="727"/>
      <c r="S130" s="727"/>
      <c r="T130" s="727"/>
      <c r="U130" s="727"/>
      <c r="V130" s="16"/>
      <c r="W130" s="670"/>
      <c r="X130" s="670"/>
      <c r="Y130" s="16"/>
      <c r="Z130" s="16"/>
      <c r="AA130" s="16"/>
      <c r="AB130" s="16"/>
      <c r="AC130" s="16"/>
      <c r="AD130" s="16"/>
      <c r="AE130" s="16"/>
      <c r="AF130" s="16"/>
      <c r="AG130" s="16"/>
    </row>
    <row r="131" spans="2:33" ht="16" thickBot="1">
      <c r="B131" s="160" t="s">
        <v>908</v>
      </c>
      <c r="C131" s="160" t="s">
        <v>921</v>
      </c>
      <c r="H131" s="4647"/>
      <c r="I131" s="4633"/>
      <c r="J131" s="4635"/>
      <c r="K131" s="4649"/>
      <c r="L131" s="4637"/>
      <c r="M131" s="4633"/>
      <c r="N131" s="4635"/>
      <c r="O131" s="4637"/>
      <c r="P131" s="950"/>
      <c r="Q131" s="950"/>
      <c r="R131" s="950"/>
      <c r="S131" s="950"/>
      <c r="T131" s="950"/>
      <c r="U131" s="950"/>
      <c r="V131" s="16"/>
      <c r="W131" s="951"/>
      <c r="X131" s="670"/>
      <c r="Y131" s="16"/>
      <c r="Z131" s="16"/>
      <c r="AA131" s="16"/>
      <c r="AB131" s="16"/>
      <c r="AC131" s="727"/>
      <c r="AD131" s="727"/>
      <c r="AE131" s="727"/>
      <c r="AF131" s="727"/>
      <c r="AG131" s="16"/>
    </row>
    <row r="132" spans="2:33" ht="16" thickBot="1">
      <c r="B132" s="664" t="s">
        <v>363</v>
      </c>
      <c r="C132" s="665"/>
      <c r="D132" s="665"/>
      <c r="E132" s="665"/>
      <c r="F132" s="666"/>
      <c r="H132" s="4663" t="s">
        <v>936</v>
      </c>
      <c r="I132" s="4665" t="e">
        <f>SUM(I130:L131)</f>
        <v>#REF!</v>
      </c>
      <c r="J132" s="4666"/>
      <c r="K132" s="4666"/>
      <c r="L132" s="4667"/>
      <c r="M132" s="4638"/>
      <c r="N132" s="4638"/>
      <c r="O132" s="4662"/>
      <c r="P132" s="725"/>
      <c r="Q132" s="725"/>
      <c r="R132" s="725"/>
      <c r="S132" s="725"/>
      <c r="T132" s="725"/>
      <c r="U132" s="725"/>
      <c r="V132" s="16"/>
      <c r="W132" s="951"/>
      <c r="X132" s="690"/>
      <c r="Y132" s="670"/>
      <c r="Z132" s="670"/>
      <c r="AA132" s="670"/>
      <c r="AB132" s="16"/>
      <c r="AC132" s="950"/>
      <c r="AD132" s="950"/>
      <c r="AE132" s="950"/>
      <c r="AF132" s="950"/>
      <c r="AG132" s="16"/>
    </row>
    <row r="133" spans="2:33" ht="19" thickBot="1">
      <c r="B133" s="43"/>
      <c r="C133" s="667" t="s">
        <v>524</v>
      </c>
      <c r="D133" s="668"/>
      <c r="E133" s="668"/>
      <c r="F133" s="669"/>
      <c r="H133" s="4664"/>
      <c r="I133" s="4668"/>
      <c r="J133" s="4669"/>
      <c r="K133" s="4669"/>
      <c r="L133" s="4670"/>
      <c r="M133" s="4638"/>
      <c r="N133" s="4638"/>
      <c r="O133" s="4662"/>
      <c r="P133" s="720"/>
      <c r="Q133" s="720"/>
      <c r="R133" s="720"/>
      <c r="S133" s="720"/>
      <c r="T133" s="720"/>
      <c r="U133" s="720"/>
      <c r="V133" s="16"/>
      <c r="W133" s="951"/>
      <c r="X133" s="692"/>
      <c r="Y133" s="670"/>
      <c r="Z133" s="670"/>
      <c r="AA133" s="670"/>
      <c r="AB133" s="16"/>
      <c r="AC133" s="724"/>
      <c r="AD133" s="725"/>
      <c r="AE133" s="725"/>
      <c r="AF133" s="725"/>
      <c r="AG133" s="16"/>
    </row>
    <row r="134" spans="2:33" ht="33.75" customHeight="1">
      <c r="B134" s="128" t="s">
        <v>364</v>
      </c>
      <c r="C134" s="129" t="s">
        <v>643</v>
      </c>
      <c r="D134" s="129" t="s">
        <v>372</v>
      </c>
      <c r="E134" s="129" t="s">
        <v>373</v>
      </c>
      <c r="F134" s="130" t="s">
        <v>374</v>
      </c>
      <c r="H134" s="4703" t="s">
        <v>942</v>
      </c>
      <c r="I134" s="4705"/>
      <c r="J134" s="4706"/>
      <c r="K134" s="4706"/>
      <c r="L134" s="4707"/>
      <c r="M134" s="4711">
        <f>SUM(M130:O131)</f>
        <v>0</v>
      </c>
      <c r="N134" s="4712"/>
      <c r="O134" s="4713"/>
      <c r="P134" s="691"/>
      <c r="Q134" s="721"/>
      <c r="R134" s="691"/>
      <c r="S134" s="691"/>
      <c r="T134" s="691"/>
      <c r="U134" s="691"/>
      <c r="V134" s="16"/>
      <c r="W134" s="693"/>
      <c r="X134" s="952"/>
      <c r="Y134" s="690"/>
      <c r="Z134" s="690"/>
      <c r="AA134" s="690"/>
      <c r="AB134" s="16"/>
      <c r="AC134" s="724"/>
      <c r="AD134" s="720"/>
      <c r="AE134" s="720"/>
      <c r="AF134" s="720"/>
      <c r="AG134" s="16"/>
    </row>
    <row r="135" spans="2:33" ht="54" customHeight="1" thickBot="1">
      <c r="B135" s="131" t="s">
        <v>365</v>
      </c>
      <c r="C135" s="133" t="e">
        <f>'Huella maquinaria'!Z12</f>
        <v>#REF!</v>
      </c>
      <c r="D135" s="133"/>
      <c r="E135" s="133"/>
      <c r="F135" s="134"/>
      <c r="H135" s="4704"/>
      <c r="I135" s="4708"/>
      <c r="J135" s="4709"/>
      <c r="K135" s="4709"/>
      <c r="L135" s="4710"/>
      <c r="M135" s="4714"/>
      <c r="N135" s="4715"/>
      <c r="O135" s="4716"/>
      <c r="P135" s="691"/>
      <c r="Q135" s="691"/>
      <c r="R135" s="691"/>
      <c r="S135" s="692"/>
      <c r="T135" s="692"/>
      <c r="U135" s="692"/>
      <c r="V135" s="16"/>
      <c r="W135" s="16"/>
      <c r="X135" s="16"/>
      <c r="Y135" s="692"/>
      <c r="Z135" s="692"/>
      <c r="AA135" s="692"/>
      <c r="AB135" s="16"/>
      <c r="AC135" s="724"/>
      <c r="AD135" s="691"/>
      <c r="AE135" s="691"/>
      <c r="AF135" s="691"/>
      <c r="AG135" s="16"/>
    </row>
    <row r="136" spans="2:33" ht="57" customHeight="1" thickBot="1">
      <c r="B136" s="131" t="s">
        <v>368</v>
      </c>
      <c r="C136" s="133">
        <f>'Huella mano de obra'!$AD$16</f>
        <v>0</v>
      </c>
      <c r="D136" s="133">
        <f>'Huella mano de obra'!$AD$17</f>
        <v>0</v>
      </c>
      <c r="E136" s="133">
        <f>'Huella mano de obra'!$AD$18</f>
        <v>0</v>
      </c>
      <c r="F136" s="134">
        <f>'Huella mano de obra'!$AD$19</f>
        <v>0</v>
      </c>
      <c r="H136" s="717" t="s">
        <v>969</v>
      </c>
      <c r="I136" s="4697" t="e">
        <f>SUM(I132+M134)</f>
        <v>#REF!</v>
      </c>
      <c r="J136" s="4698"/>
      <c r="K136" s="4698"/>
      <c r="L136" s="4698"/>
      <c r="M136" s="4698"/>
      <c r="N136" s="4698"/>
      <c r="O136" s="4699"/>
      <c r="P136" s="691"/>
      <c r="Q136" s="691"/>
      <c r="R136" s="691"/>
      <c r="S136" s="692"/>
      <c r="T136" s="692"/>
      <c r="U136" s="692"/>
      <c r="V136" s="16"/>
      <c r="W136" s="16"/>
      <c r="X136" s="16"/>
      <c r="Y136" s="952"/>
      <c r="Z136" s="952"/>
      <c r="AA136" s="952"/>
      <c r="AB136" s="16"/>
      <c r="AC136" s="720"/>
      <c r="AD136" s="953"/>
      <c r="AE136" s="953"/>
      <c r="AF136" s="953"/>
      <c r="AG136" s="16"/>
    </row>
    <row r="137" spans="2:33" ht="36.75" customHeight="1" thickBot="1">
      <c r="B137" s="131" t="s">
        <v>369</v>
      </c>
      <c r="C137" s="675" t="e">
        <f>'Huella mano de obra'!AD44</f>
        <v>#REF!</v>
      </c>
      <c r="D137" s="133"/>
      <c r="E137" s="133"/>
      <c r="F137" s="134"/>
      <c r="H137" s="717" t="s">
        <v>970</v>
      </c>
      <c r="I137" s="4659" t="e">
        <f>I136/'Seleccion proyecto HEREVEA02'!L8</f>
        <v>#REF!</v>
      </c>
      <c r="J137" s="4660"/>
      <c r="K137" s="4660"/>
      <c r="L137" s="4660"/>
      <c r="M137" s="4660"/>
      <c r="N137" s="4660"/>
      <c r="O137" s="4661"/>
      <c r="P137" s="726"/>
      <c r="Q137" s="726"/>
      <c r="R137" s="726"/>
      <c r="S137" s="691"/>
      <c r="T137" s="691"/>
      <c r="U137" s="691"/>
      <c r="V137" s="16"/>
      <c r="W137" s="16"/>
      <c r="X137" s="16"/>
      <c r="Y137" s="16"/>
      <c r="Z137" s="16"/>
      <c r="AA137" s="16"/>
      <c r="AB137" s="16"/>
      <c r="AC137" s="16"/>
      <c r="AD137" s="16"/>
      <c r="AE137" s="16"/>
      <c r="AF137" s="16"/>
      <c r="AG137" s="16"/>
    </row>
    <row r="138" spans="2:33" ht="24" customHeight="1" thickBot="1">
      <c r="B138" s="131" t="s">
        <v>286</v>
      </c>
      <c r="C138" s="133" t="e">
        <f>'Huella materiales'!BG8</f>
        <v>#REF!</v>
      </c>
      <c r="D138" s="133"/>
      <c r="E138" s="133"/>
      <c r="F138" s="134"/>
      <c r="H138" s="948"/>
      <c r="I138" s="917"/>
      <c r="J138" s="917"/>
      <c r="K138" s="917"/>
      <c r="L138" s="917"/>
      <c r="M138" s="917"/>
      <c r="N138" s="917"/>
      <c r="O138" s="918"/>
      <c r="P138" s="726"/>
      <c r="Q138" s="726"/>
      <c r="R138" s="726"/>
      <c r="S138" s="691"/>
      <c r="T138" s="691"/>
      <c r="U138" s="691"/>
      <c r="V138" s="16"/>
      <c r="W138" s="16"/>
      <c r="X138" s="16"/>
      <c r="Y138" s="16"/>
      <c r="Z138" s="16"/>
      <c r="AA138" s="16"/>
      <c r="AB138" s="16"/>
      <c r="AC138" s="16"/>
      <c r="AD138" s="16"/>
      <c r="AE138" s="16"/>
      <c r="AF138" s="16"/>
      <c r="AG138" s="16"/>
    </row>
    <row r="139" spans="2:33" ht="27.75" customHeight="1" thickBot="1">
      <c r="B139" s="139" t="s">
        <v>645</v>
      </c>
      <c r="C139" s="137" t="e">
        <f>SUM(C135:C138)</f>
        <v>#REF!</v>
      </c>
      <c r="D139" s="137">
        <f>SUM(D135:D138)</f>
        <v>0</v>
      </c>
      <c r="E139" s="137">
        <f>SUM(E135:E138)</f>
        <v>0</v>
      </c>
      <c r="F139" s="671">
        <f>SUM(F135:F138)</f>
        <v>0</v>
      </c>
      <c r="H139" s="4717" t="s">
        <v>961</v>
      </c>
      <c r="I139" s="4718"/>
      <c r="J139" s="4718"/>
      <c r="K139" s="4718"/>
      <c r="L139" s="4718"/>
      <c r="M139" s="4718"/>
      <c r="N139" s="4718"/>
      <c r="O139" s="4719"/>
      <c r="P139" s="953"/>
      <c r="Q139" s="953"/>
      <c r="R139" s="953"/>
      <c r="S139" s="953"/>
      <c r="T139" s="953"/>
      <c r="U139" s="953"/>
      <c r="V139" s="16"/>
      <c r="W139" s="16"/>
      <c r="X139" s="16"/>
      <c r="Y139" s="16"/>
      <c r="Z139" s="16"/>
      <c r="AA139" s="16"/>
      <c r="AB139" s="16"/>
      <c r="AC139" s="16"/>
      <c r="AD139" s="16"/>
      <c r="AE139" s="16"/>
      <c r="AF139" s="16"/>
      <c r="AG139" s="16"/>
    </row>
    <row r="140" spans="2:33" ht="16" thickBot="1">
      <c r="B140" s="138" t="s">
        <v>644</v>
      </c>
      <c r="C140" s="4659" t="e">
        <f>SUM(C139:F139)</f>
        <v>#REF!</v>
      </c>
      <c r="D140" s="4660"/>
      <c r="E140" s="4660"/>
      <c r="F140" s="4661"/>
      <c r="H140" s="4652" t="s">
        <v>937</v>
      </c>
      <c r="I140" s="4654" t="s">
        <v>365</v>
      </c>
      <c r="J140" s="4654" t="s">
        <v>286</v>
      </c>
      <c r="K140" s="4650" t="s">
        <v>931</v>
      </c>
      <c r="L140" s="4650"/>
      <c r="M140" s="4650"/>
      <c r="N140" s="4650"/>
      <c r="O140" s="4651"/>
      <c r="P140" s="691"/>
      <c r="Q140" s="691"/>
      <c r="R140" s="691"/>
      <c r="S140" s="691"/>
      <c r="T140" s="691"/>
      <c r="U140" s="691"/>
      <c r="V140" s="16"/>
      <c r="W140" s="16"/>
      <c r="X140" s="16"/>
      <c r="Y140" s="16"/>
      <c r="Z140" s="16"/>
      <c r="AA140" s="16"/>
      <c r="AB140" s="16"/>
      <c r="AC140" s="16"/>
      <c r="AD140" s="16"/>
      <c r="AE140" s="16"/>
      <c r="AF140" s="16"/>
      <c r="AG140" s="16"/>
    </row>
    <row r="141" spans="2:33" ht="26.25" customHeight="1" thickBot="1">
      <c r="B141" s="138" t="s">
        <v>873</v>
      </c>
      <c r="C141" s="4659" t="e">
        <f>C140/'Seleccion proyecto HEREVEA02'!L8</f>
        <v>#REF!</v>
      </c>
      <c r="D141" s="4660"/>
      <c r="E141" s="4660"/>
      <c r="F141" s="4661"/>
      <c r="H141" s="4653"/>
      <c r="I141" s="4655"/>
      <c r="J141" s="4655"/>
      <c r="K141" s="728" t="s">
        <v>369</v>
      </c>
      <c r="L141" s="4644" t="s">
        <v>368</v>
      </c>
      <c r="M141" s="4644"/>
      <c r="N141" s="4644"/>
      <c r="O141" s="4645"/>
      <c r="P141" s="691"/>
      <c r="Q141" s="691"/>
      <c r="R141" s="691"/>
      <c r="S141" s="692"/>
      <c r="T141" s="692"/>
      <c r="U141" s="692"/>
      <c r="V141" s="16"/>
      <c r="W141" s="296"/>
      <c r="X141" s="296"/>
      <c r="Y141" s="16"/>
      <c r="Z141" s="16"/>
      <c r="AA141" s="16"/>
      <c r="AB141" s="16"/>
      <c r="AC141" s="16"/>
      <c r="AD141" s="16"/>
      <c r="AE141" s="16"/>
      <c r="AF141" s="16"/>
      <c r="AG141" s="16"/>
    </row>
    <row r="142" spans="2:33" ht="55.5" customHeight="1">
      <c r="H142" s="4646" t="s">
        <v>968</v>
      </c>
      <c r="I142" s="714" t="s">
        <v>932</v>
      </c>
      <c r="J142" s="715" t="s">
        <v>933</v>
      </c>
      <c r="K142" s="715" t="s">
        <v>935</v>
      </c>
      <c r="L142" s="716" t="s">
        <v>938</v>
      </c>
      <c r="M142" s="714" t="s">
        <v>939</v>
      </c>
      <c r="N142" s="715" t="s">
        <v>940</v>
      </c>
      <c r="O142" s="716" t="s">
        <v>941</v>
      </c>
      <c r="P142" s="727"/>
      <c r="Q142" s="727"/>
      <c r="R142" s="727"/>
      <c r="S142" s="727"/>
      <c r="T142" s="727"/>
      <c r="U142" s="727"/>
      <c r="V142" s="16"/>
      <c r="W142" s="670"/>
      <c r="X142" s="670"/>
      <c r="Y142" s="16"/>
      <c r="Z142" s="16"/>
      <c r="AA142" s="16"/>
      <c r="AB142" s="16"/>
      <c r="AC142" s="16"/>
      <c r="AD142" s="16"/>
      <c r="AE142" s="16"/>
      <c r="AF142" s="16"/>
      <c r="AG142" s="16"/>
    </row>
    <row r="143" spans="2:33" ht="57.75" customHeight="1" thickBot="1">
      <c r="B143" s="160" t="s">
        <v>909</v>
      </c>
      <c r="C143" s="160" t="s">
        <v>943</v>
      </c>
      <c r="H143" s="4646"/>
      <c r="I143" s="4632" t="e">
        <f>C111</f>
        <v>#REF!</v>
      </c>
      <c r="J143" s="4634" t="e">
        <f>C114</f>
        <v>#REF!</v>
      </c>
      <c r="K143" s="4648" t="e">
        <f>C113</f>
        <v>#REF!</v>
      </c>
      <c r="L143" s="4636">
        <f>C112</f>
        <v>0</v>
      </c>
      <c r="M143" s="4632">
        <f>D112</f>
        <v>0</v>
      </c>
      <c r="N143" s="4634">
        <f>E112</f>
        <v>0</v>
      </c>
      <c r="O143" s="4636">
        <f>F112</f>
        <v>0</v>
      </c>
      <c r="P143" s="950"/>
      <c r="Q143" s="950"/>
      <c r="R143" s="950"/>
      <c r="S143" s="950"/>
      <c r="T143" s="950"/>
      <c r="U143" s="950"/>
      <c r="V143" s="16"/>
      <c r="W143" s="951"/>
      <c r="X143" s="670"/>
      <c r="Y143" s="16"/>
      <c r="Z143" s="16"/>
      <c r="AA143" s="16"/>
      <c r="AB143" s="16"/>
      <c r="AC143" s="727"/>
      <c r="AD143" s="727"/>
      <c r="AE143" s="727"/>
      <c r="AF143" s="727"/>
      <c r="AG143" s="16"/>
    </row>
    <row r="144" spans="2:33" ht="16" thickBot="1">
      <c r="B144" s="664" t="s">
        <v>363</v>
      </c>
      <c r="C144" s="665"/>
      <c r="D144" s="665"/>
      <c r="E144" s="665"/>
      <c r="F144" s="666"/>
      <c r="H144" s="4647"/>
      <c r="I144" s="4633"/>
      <c r="J144" s="4635"/>
      <c r="K144" s="4649"/>
      <c r="L144" s="4637"/>
      <c r="M144" s="4633"/>
      <c r="N144" s="4635"/>
      <c r="O144" s="4637"/>
      <c r="P144" s="725"/>
      <c r="Q144" s="725"/>
      <c r="R144" s="725"/>
      <c r="S144" s="725"/>
      <c r="T144" s="725"/>
      <c r="U144" s="725"/>
      <c r="V144" s="16"/>
      <c r="W144" s="951"/>
      <c r="X144" s="690"/>
      <c r="Y144" s="670"/>
      <c r="Z144" s="670"/>
      <c r="AA144" s="670"/>
      <c r="AB144" s="16"/>
      <c r="AC144" s="950"/>
      <c r="AD144" s="950"/>
      <c r="AE144" s="950"/>
      <c r="AF144" s="950"/>
      <c r="AG144" s="16"/>
    </row>
    <row r="145" spans="2:33" ht="18.5">
      <c r="B145" s="43"/>
      <c r="C145" s="667" t="s">
        <v>524</v>
      </c>
      <c r="D145" s="668"/>
      <c r="E145" s="668"/>
      <c r="F145" s="669"/>
      <c r="H145" s="4663" t="s">
        <v>936</v>
      </c>
      <c r="I145" s="4665" t="e">
        <f>SUM(I143:L144)</f>
        <v>#REF!</v>
      </c>
      <c r="J145" s="4666"/>
      <c r="K145" s="4666"/>
      <c r="L145" s="4667"/>
      <c r="M145" s="4638"/>
      <c r="N145" s="4638"/>
      <c r="O145" s="4662"/>
      <c r="P145" s="720"/>
      <c r="Q145" s="720"/>
      <c r="R145" s="720"/>
      <c r="S145" s="720"/>
      <c r="T145" s="720"/>
      <c r="U145" s="720"/>
      <c r="V145" s="16"/>
      <c r="W145" s="951"/>
      <c r="X145" s="692"/>
      <c r="Y145" s="670"/>
      <c r="Z145" s="670"/>
      <c r="AA145" s="670"/>
      <c r="AB145" s="16"/>
      <c r="AC145" s="724"/>
      <c r="AD145" s="725"/>
      <c r="AE145" s="725"/>
      <c r="AF145" s="725"/>
      <c r="AG145" s="16"/>
    </row>
    <row r="146" spans="2:33" ht="27.75" customHeight="1" thickBot="1">
      <c r="B146" s="128" t="s">
        <v>364</v>
      </c>
      <c r="C146" s="129" t="s">
        <v>643</v>
      </c>
      <c r="D146" s="129" t="s">
        <v>372</v>
      </c>
      <c r="E146" s="129" t="s">
        <v>373</v>
      </c>
      <c r="F146" s="130" t="s">
        <v>374</v>
      </c>
      <c r="H146" s="4664"/>
      <c r="I146" s="4668"/>
      <c r="J146" s="4669"/>
      <c r="K146" s="4669"/>
      <c r="L146" s="4670"/>
      <c r="M146" s="4638"/>
      <c r="N146" s="4638"/>
      <c r="O146" s="4662"/>
      <c r="P146" s="691"/>
      <c r="Q146" s="721"/>
      <c r="R146" s="691"/>
      <c r="S146" s="691"/>
      <c r="T146" s="691"/>
      <c r="U146" s="691"/>
      <c r="V146" s="16"/>
      <c r="W146" s="693"/>
      <c r="X146" s="952"/>
      <c r="Y146" s="690"/>
      <c r="Z146" s="690"/>
      <c r="AA146" s="690"/>
      <c r="AB146" s="16"/>
      <c r="AC146" s="724"/>
      <c r="AD146" s="720"/>
      <c r="AE146" s="720"/>
      <c r="AF146" s="720"/>
      <c r="AG146" s="16"/>
    </row>
    <row r="147" spans="2:33" ht="54.75" customHeight="1">
      <c r="B147" s="131" t="s">
        <v>365</v>
      </c>
      <c r="C147" s="133" t="e">
        <f>'Huella maquinaria'!AA12</f>
        <v>#REF!</v>
      </c>
      <c r="D147" s="133"/>
      <c r="E147" s="133"/>
      <c r="F147" s="134"/>
      <c r="H147" s="4703" t="s">
        <v>942</v>
      </c>
      <c r="I147" s="4705"/>
      <c r="J147" s="4706"/>
      <c r="K147" s="4706"/>
      <c r="L147" s="4707"/>
      <c r="M147" s="4711">
        <f>SUM(M143:O144)</f>
        <v>0</v>
      </c>
      <c r="N147" s="4712"/>
      <c r="O147" s="4713"/>
      <c r="P147" s="691"/>
      <c r="Q147" s="691"/>
      <c r="R147" s="691"/>
      <c r="S147" s="692"/>
      <c r="T147" s="692"/>
      <c r="U147" s="692"/>
      <c r="V147" s="16"/>
      <c r="W147" s="16"/>
      <c r="X147" s="16"/>
      <c r="Y147" s="692"/>
      <c r="Z147" s="692"/>
      <c r="AA147" s="692"/>
      <c r="AB147" s="16"/>
      <c r="AC147" s="724"/>
      <c r="AD147" s="691"/>
      <c r="AE147" s="691"/>
      <c r="AF147" s="691"/>
      <c r="AG147" s="16"/>
    </row>
    <row r="148" spans="2:33" ht="53.25" customHeight="1" thickBot="1">
      <c r="B148" s="131" t="s">
        <v>368</v>
      </c>
      <c r="C148" s="133">
        <f>'Huella mano de obra'!$AE$16</f>
        <v>0</v>
      </c>
      <c r="D148" s="133">
        <f>'Huella mano de obra'!$AE$17</f>
        <v>0</v>
      </c>
      <c r="E148" s="133">
        <f>'Huella mano de obra'!$AE$18</f>
        <v>0</v>
      </c>
      <c r="F148" s="134">
        <f>'Huella mano de obra'!$AE$19</f>
        <v>0</v>
      </c>
      <c r="H148" s="4704"/>
      <c r="I148" s="4708"/>
      <c r="J148" s="4709"/>
      <c r="K148" s="4709"/>
      <c r="L148" s="4710"/>
      <c r="M148" s="4714"/>
      <c r="N148" s="4715"/>
      <c r="O148" s="4716"/>
      <c r="P148" s="691"/>
      <c r="Q148" s="691"/>
      <c r="R148" s="691"/>
      <c r="S148" s="692"/>
      <c r="T148" s="692"/>
      <c r="U148" s="692"/>
      <c r="V148" s="16"/>
      <c r="W148" s="16"/>
      <c r="X148" s="16"/>
      <c r="Y148" s="952"/>
      <c r="Z148" s="952"/>
      <c r="AA148" s="952"/>
      <c r="AB148" s="16"/>
      <c r="AC148" s="720"/>
      <c r="AD148" s="953"/>
      <c r="AE148" s="953"/>
      <c r="AF148" s="953"/>
      <c r="AG148" s="16"/>
    </row>
    <row r="149" spans="2:33" ht="33" customHeight="1" thickBot="1">
      <c r="B149" s="131" t="s">
        <v>369</v>
      </c>
      <c r="C149" s="675" t="e">
        <f>'Huella mano de obra'!AE44</f>
        <v>#REF!</v>
      </c>
      <c r="D149" s="133"/>
      <c r="E149" s="133"/>
      <c r="F149" s="134"/>
      <c r="H149" s="717" t="s">
        <v>969</v>
      </c>
      <c r="I149" s="4697" t="e">
        <f>SUM(I145+M147)</f>
        <v>#REF!</v>
      </c>
      <c r="J149" s="4698"/>
      <c r="K149" s="4698"/>
      <c r="L149" s="4698"/>
      <c r="M149" s="4698"/>
      <c r="N149" s="4698"/>
      <c r="O149" s="4699"/>
      <c r="P149" s="726"/>
      <c r="Q149" s="726"/>
      <c r="R149" s="726"/>
      <c r="S149" s="691"/>
      <c r="T149" s="691"/>
      <c r="U149" s="691"/>
      <c r="V149" s="16"/>
      <c r="W149" s="16"/>
      <c r="X149" s="16"/>
      <c r="Y149" s="16"/>
      <c r="Z149" s="16"/>
      <c r="AA149" s="16"/>
      <c r="AB149" s="16"/>
      <c r="AC149" s="16"/>
      <c r="AD149" s="16"/>
      <c r="AE149" s="16"/>
      <c r="AF149" s="16"/>
      <c r="AG149" s="16"/>
    </row>
    <row r="150" spans="2:33" ht="31.5" thickBot="1">
      <c r="B150" s="131" t="s">
        <v>286</v>
      </c>
      <c r="C150" s="133" t="e">
        <f>'Huella materiales'!BH8</f>
        <v>#REF!</v>
      </c>
      <c r="D150" s="133"/>
      <c r="E150" s="133"/>
      <c r="F150" s="134"/>
      <c r="H150" s="717" t="s">
        <v>970</v>
      </c>
      <c r="I150" s="4659" t="e">
        <f>I149/'Seleccion proyecto HEREVEA02'!L8</f>
        <v>#REF!</v>
      </c>
      <c r="J150" s="4660"/>
      <c r="K150" s="4660"/>
      <c r="L150" s="4660"/>
      <c r="M150" s="4660"/>
      <c r="N150" s="4660"/>
      <c r="O150" s="4661"/>
      <c r="P150" s="726"/>
      <c r="Q150" s="726"/>
      <c r="R150" s="726"/>
      <c r="S150" s="691"/>
      <c r="T150" s="691"/>
      <c r="U150" s="691"/>
      <c r="V150" s="16"/>
      <c r="W150" s="16"/>
      <c r="X150" s="16"/>
      <c r="Y150" s="16"/>
      <c r="Z150" s="16"/>
      <c r="AA150" s="16"/>
      <c r="AB150" s="16"/>
      <c r="AC150" s="16"/>
      <c r="AD150" s="16"/>
      <c r="AE150" s="16"/>
      <c r="AF150" s="16"/>
      <c r="AG150" s="16"/>
    </row>
    <row r="151" spans="2:33" ht="31.5" customHeight="1" thickBot="1">
      <c r="B151" s="139" t="s">
        <v>645</v>
      </c>
      <c r="C151" s="137" t="e">
        <f>SUM(C147:C150)</f>
        <v>#REF!</v>
      </c>
      <c r="D151" s="137">
        <f>SUM(D147:D150)</f>
        <v>0</v>
      </c>
      <c r="E151" s="137">
        <f>SUM(E147:E150)</f>
        <v>0</v>
      </c>
      <c r="F151" s="671">
        <f>SUM(F147:F150)</f>
        <v>0</v>
      </c>
      <c r="H151" s="948"/>
      <c r="I151" s="917"/>
      <c r="J151" s="917"/>
      <c r="K151" s="917"/>
      <c r="L151" s="917"/>
      <c r="M151" s="917"/>
      <c r="N151" s="917"/>
      <c r="O151" s="918"/>
      <c r="P151" s="953"/>
      <c r="Q151" s="953"/>
      <c r="R151" s="953"/>
      <c r="S151" s="953"/>
      <c r="T151" s="953"/>
      <c r="U151" s="953"/>
      <c r="V151" s="16"/>
      <c r="W151" s="16"/>
      <c r="X151" s="16"/>
      <c r="Y151" s="16"/>
      <c r="Z151" s="16"/>
      <c r="AA151" s="16"/>
      <c r="AB151" s="16"/>
      <c r="AC151" s="16"/>
      <c r="AD151" s="16"/>
      <c r="AE151" s="16"/>
      <c r="AF151" s="16"/>
      <c r="AG151" s="16"/>
    </row>
    <row r="152" spans="2:33" ht="16" thickBot="1">
      <c r="B152" s="138" t="s">
        <v>644</v>
      </c>
      <c r="C152" s="4659" t="e">
        <f>SUM(C151:F151)</f>
        <v>#REF!</v>
      </c>
      <c r="D152" s="4660"/>
      <c r="E152" s="4660"/>
      <c r="F152" s="4661"/>
      <c r="H152" s="4717" t="s">
        <v>962</v>
      </c>
      <c r="I152" s="4718"/>
      <c r="J152" s="4718"/>
      <c r="K152" s="4718"/>
      <c r="L152" s="4718"/>
      <c r="M152" s="4718"/>
      <c r="N152" s="4718"/>
      <c r="O152" s="4719"/>
      <c r="P152" s="691"/>
      <c r="Q152" s="691"/>
      <c r="R152" s="691"/>
      <c r="S152" s="691"/>
      <c r="T152" s="691"/>
      <c r="U152" s="691"/>
      <c r="V152" s="16"/>
      <c r="W152" s="16"/>
      <c r="X152" s="16"/>
      <c r="Y152" s="16"/>
      <c r="Z152" s="16"/>
      <c r="AA152" s="16"/>
      <c r="AB152" s="16"/>
      <c r="AC152" s="16"/>
      <c r="AD152" s="16"/>
      <c r="AE152" s="16"/>
      <c r="AF152" s="16"/>
      <c r="AG152" s="16"/>
    </row>
    <row r="153" spans="2:33" ht="23.25" customHeight="1" thickBot="1">
      <c r="B153" s="138" t="s">
        <v>873</v>
      </c>
      <c r="C153" s="4659" t="e">
        <f>C152/'Seleccion proyecto HEREVEA02'!L8</f>
        <v>#REF!</v>
      </c>
      <c r="D153" s="4660"/>
      <c r="E153" s="4660"/>
      <c r="F153" s="4661"/>
      <c r="H153" s="4652" t="s">
        <v>937</v>
      </c>
      <c r="I153" s="4654" t="s">
        <v>365</v>
      </c>
      <c r="J153" s="4654" t="s">
        <v>286</v>
      </c>
      <c r="K153" s="4650" t="s">
        <v>931</v>
      </c>
      <c r="L153" s="4650"/>
      <c r="M153" s="4650"/>
      <c r="N153" s="4650"/>
      <c r="O153" s="4651"/>
      <c r="P153" s="726"/>
      <c r="Q153" s="726"/>
      <c r="R153" s="726"/>
      <c r="S153" s="691"/>
      <c r="T153" s="691"/>
      <c r="U153" s="691"/>
      <c r="V153" s="16"/>
      <c r="W153" s="296"/>
      <c r="X153" s="296"/>
      <c r="Y153" s="16"/>
      <c r="Z153" s="16"/>
      <c r="AA153" s="16"/>
      <c r="AB153" s="16"/>
      <c r="AC153" s="16"/>
      <c r="AD153" s="16"/>
      <c r="AE153" s="16"/>
      <c r="AF153" s="16"/>
      <c r="AG153" s="16"/>
    </row>
    <row r="154" spans="2:33" ht="33" customHeight="1" thickBot="1">
      <c r="H154" s="4653"/>
      <c r="I154" s="4655"/>
      <c r="J154" s="4655"/>
      <c r="K154" s="728" t="s">
        <v>369</v>
      </c>
      <c r="L154" s="4644" t="s">
        <v>368</v>
      </c>
      <c r="M154" s="4644"/>
      <c r="N154" s="4644"/>
      <c r="O154" s="4645"/>
      <c r="P154" s="727"/>
      <c r="Q154" s="727"/>
      <c r="R154" s="727"/>
      <c r="S154" s="727"/>
      <c r="T154" s="727"/>
      <c r="U154" s="727"/>
      <c r="V154" s="16"/>
      <c r="W154" s="670"/>
      <c r="X154" s="670"/>
      <c r="Y154" s="16"/>
      <c r="Z154" s="16"/>
      <c r="AA154" s="16"/>
      <c r="AB154" s="16"/>
      <c r="AC154" s="16"/>
      <c r="AD154" s="16"/>
      <c r="AE154" s="16"/>
      <c r="AF154" s="16"/>
      <c r="AG154" s="16"/>
    </row>
    <row r="155" spans="2:33" ht="53.25" customHeight="1" thickBot="1">
      <c r="B155" s="160" t="s">
        <v>910</v>
      </c>
      <c r="C155" s="160" t="s">
        <v>922</v>
      </c>
      <c r="H155" s="4646" t="s">
        <v>968</v>
      </c>
      <c r="I155" s="714" t="s">
        <v>932</v>
      </c>
      <c r="J155" s="715" t="s">
        <v>933</v>
      </c>
      <c r="K155" s="715" t="s">
        <v>935</v>
      </c>
      <c r="L155" s="716" t="s">
        <v>938</v>
      </c>
      <c r="M155" s="714" t="s">
        <v>939</v>
      </c>
      <c r="N155" s="715" t="s">
        <v>940</v>
      </c>
      <c r="O155" s="716" t="s">
        <v>941</v>
      </c>
      <c r="P155" s="950"/>
      <c r="Q155" s="950"/>
      <c r="R155" s="950"/>
      <c r="S155" s="950"/>
      <c r="T155" s="950"/>
      <c r="U155" s="950"/>
      <c r="V155" s="16"/>
      <c r="W155" s="951"/>
      <c r="X155" s="670"/>
      <c r="Y155" s="16"/>
      <c r="Z155" s="16"/>
      <c r="AA155" s="16"/>
      <c r="AB155" s="16"/>
      <c r="AC155" s="727"/>
      <c r="AD155" s="727"/>
      <c r="AE155" s="727"/>
      <c r="AF155" s="727"/>
      <c r="AG155" s="16"/>
    </row>
    <row r="156" spans="2:33" ht="61.5" customHeight="1" thickBot="1">
      <c r="B156" s="664" t="s">
        <v>363</v>
      </c>
      <c r="C156" s="665"/>
      <c r="D156" s="665"/>
      <c r="E156" s="665"/>
      <c r="F156" s="666"/>
      <c r="H156" s="4646"/>
      <c r="I156" s="4632" t="e">
        <f>C123</f>
        <v>#REF!</v>
      </c>
      <c r="J156" s="4634" t="e">
        <f>C126</f>
        <v>#REF!</v>
      </c>
      <c r="K156" s="4648" t="e">
        <f>C125</f>
        <v>#REF!</v>
      </c>
      <c r="L156" s="4636">
        <f>C124</f>
        <v>0</v>
      </c>
      <c r="M156" s="4632">
        <f>D124</f>
        <v>0</v>
      </c>
      <c r="N156" s="4634">
        <f>E124</f>
        <v>0</v>
      </c>
      <c r="O156" s="4636">
        <f>F124</f>
        <v>0</v>
      </c>
      <c r="P156" s="725"/>
      <c r="Q156" s="725"/>
      <c r="R156" s="725"/>
      <c r="S156" s="725"/>
      <c r="T156" s="725"/>
      <c r="U156" s="725"/>
      <c r="V156" s="16"/>
      <c r="W156" s="951"/>
      <c r="X156" s="690"/>
      <c r="Y156" s="670"/>
      <c r="Z156" s="670"/>
      <c r="AA156" s="670"/>
      <c r="AB156" s="16"/>
      <c r="AC156" s="950"/>
      <c r="AD156" s="950"/>
      <c r="AE156" s="950"/>
      <c r="AF156" s="950"/>
      <c r="AG156" s="16"/>
    </row>
    <row r="157" spans="2:33" ht="24.75" customHeight="1" thickBot="1">
      <c r="B157" s="43"/>
      <c r="C157" s="667" t="s">
        <v>524</v>
      </c>
      <c r="D157" s="668"/>
      <c r="E157" s="668"/>
      <c r="F157" s="669"/>
      <c r="H157" s="4647"/>
      <c r="I157" s="4633"/>
      <c r="J157" s="4635"/>
      <c r="K157" s="4649"/>
      <c r="L157" s="4637"/>
      <c r="M157" s="4633"/>
      <c r="N157" s="4635"/>
      <c r="O157" s="4637"/>
      <c r="P157" s="720"/>
      <c r="Q157" s="720"/>
      <c r="R157" s="720"/>
      <c r="S157" s="720"/>
      <c r="T157" s="720"/>
      <c r="U157" s="720"/>
      <c r="V157" s="16"/>
      <c r="W157" s="951"/>
      <c r="X157" s="692"/>
      <c r="Y157" s="670"/>
      <c r="Z157" s="670"/>
      <c r="AA157" s="670"/>
      <c r="AB157" s="16"/>
      <c r="AC157" s="724"/>
      <c r="AD157" s="725"/>
      <c r="AE157" s="725"/>
      <c r="AF157" s="725"/>
      <c r="AG157" s="16"/>
    </row>
    <row r="158" spans="2:33" ht="26.25" customHeight="1">
      <c r="B158" s="128" t="s">
        <v>364</v>
      </c>
      <c r="C158" s="129" t="s">
        <v>643</v>
      </c>
      <c r="D158" s="129" t="s">
        <v>372</v>
      </c>
      <c r="E158" s="129" t="s">
        <v>373</v>
      </c>
      <c r="F158" s="130" t="s">
        <v>374</v>
      </c>
      <c r="H158" s="4663" t="s">
        <v>936</v>
      </c>
      <c r="I158" s="4665" t="e">
        <f>SUM(I156:L157)</f>
        <v>#REF!</v>
      </c>
      <c r="J158" s="4666"/>
      <c r="K158" s="4666"/>
      <c r="L158" s="4667"/>
      <c r="M158" s="4638"/>
      <c r="N158" s="4638"/>
      <c r="O158" s="4662"/>
      <c r="P158" s="691"/>
      <c r="Q158" s="721"/>
      <c r="R158" s="691"/>
      <c r="S158" s="691"/>
      <c r="T158" s="691"/>
      <c r="U158" s="691"/>
      <c r="V158" s="16"/>
      <c r="W158" s="693"/>
      <c r="X158" s="952"/>
      <c r="Y158" s="690"/>
      <c r="Z158" s="690"/>
      <c r="AA158" s="690"/>
      <c r="AB158" s="16"/>
      <c r="AC158" s="724"/>
      <c r="AD158" s="720"/>
      <c r="AE158" s="720"/>
      <c r="AF158" s="720"/>
      <c r="AG158" s="16"/>
    </row>
    <row r="159" spans="2:33" ht="60.75" customHeight="1" thickBot="1">
      <c r="B159" s="131" t="s">
        <v>365</v>
      </c>
      <c r="C159" s="133" t="e">
        <f>'Huella maquinaria'!AB12</f>
        <v>#REF!</v>
      </c>
      <c r="D159" s="133"/>
      <c r="E159" s="133"/>
      <c r="F159" s="134"/>
      <c r="H159" s="4664"/>
      <c r="I159" s="4668"/>
      <c r="J159" s="4669"/>
      <c r="K159" s="4669"/>
      <c r="L159" s="4670"/>
      <c r="M159" s="4638"/>
      <c r="N159" s="4638"/>
      <c r="O159" s="4662"/>
      <c r="P159" s="691"/>
      <c r="Q159" s="691"/>
      <c r="R159" s="691"/>
      <c r="S159" s="692"/>
      <c r="T159" s="692"/>
      <c r="U159" s="692"/>
      <c r="V159" s="16"/>
      <c r="W159" s="16"/>
      <c r="X159" s="16"/>
      <c r="Y159" s="692"/>
      <c r="Z159" s="692"/>
      <c r="AA159" s="692"/>
      <c r="AB159" s="16"/>
      <c r="AC159" s="724"/>
      <c r="AD159" s="691"/>
      <c r="AE159" s="691"/>
      <c r="AF159" s="691"/>
      <c r="AG159" s="16"/>
    </row>
    <row r="160" spans="2:33" ht="57" customHeight="1">
      <c r="B160" s="131" t="s">
        <v>368</v>
      </c>
      <c r="C160" s="133">
        <f>'Huella mano de obra'!$AF$16</f>
        <v>0</v>
      </c>
      <c r="D160" s="133">
        <f>'Huella mano de obra'!$AF$17</f>
        <v>0</v>
      </c>
      <c r="E160" s="133">
        <f>'Huella mano de obra'!$AF$18</f>
        <v>0</v>
      </c>
      <c r="F160" s="134">
        <f>'Huella mano de obra'!$AF$19</f>
        <v>0</v>
      </c>
      <c r="H160" s="4703" t="s">
        <v>942</v>
      </c>
      <c r="I160" s="4705"/>
      <c r="J160" s="4706"/>
      <c r="K160" s="4706"/>
      <c r="L160" s="4707"/>
      <c r="M160" s="4711">
        <f>SUM(M156:O157)</f>
        <v>0</v>
      </c>
      <c r="N160" s="4712"/>
      <c r="O160" s="4713"/>
      <c r="P160" s="691"/>
      <c r="Q160" s="691"/>
      <c r="R160" s="691"/>
      <c r="S160" s="692"/>
      <c r="T160" s="692"/>
      <c r="U160" s="692"/>
      <c r="V160" s="16"/>
      <c r="W160" s="16"/>
      <c r="X160" s="16"/>
      <c r="Y160" s="952"/>
      <c r="Z160" s="952"/>
      <c r="AA160" s="952"/>
      <c r="AB160" s="16"/>
      <c r="AC160" s="720"/>
      <c r="AD160" s="953"/>
      <c r="AE160" s="953"/>
      <c r="AF160" s="953"/>
      <c r="AG160" s="16"/>
    </row>
    <row r="161" spans="1:33" ht="29.25" customHeight="1" thickBot="1">
      <c r="B161" s="131" t="s">
        <v>369</v>
      </c>
      <c r="C161" s="675" t="e">
        <f>'Huella mano de obra'!AE44</f>
        <v>#REF!</v>
      </c>
      <c r="D161" s="133"/>
      <c r="E161" s="133"/>
      <c r="F161" s="134"/>
      <c r="H161" s="4704"/>
      <c r="I161" s="4708"/>
      <c r="J161" s="4709"/>
      <c r="K161" s="4709"/>
      <c r="L161" s="4710"/>
      <c r="M161" s="4714"/>
      <c r="N161" s="4715"/>
      <c r="O161" s="4716"/>
      <c r="P161" s="726"/>
      <c r="Q161" s="726"/>
      <c r="R161" s="726"/>
      <c r="S161" s="691"/>
      <c r="T161" s="691"/>
      <c r="U161" s="691"/>
      <c r="V161" s="16"/>
      <c r="W161" s="16"/>
      <c r="X161" s="16"/>
      <c r="Y161" s="16"/>
      <c r="Z161" s="16"/>
      <c r="AA161" s="16"/>
      <c r="AB161" s="16"/>
      <c r="AC161" s="16"/>
      <c r="AD161" s="16"/>
      <c r="AE161" s="16"/>
      <c r="AF161" s="16"/>
      <c r="AG161" s="16"/>
    </row>
    <row r="162" spans="1:33" ht="24.75" customHeight="1" thickBot="1">
      <c r="B162" s="131" t="s">
        <v>286</v>
      </c>
      <c r="C162" s="133" t="e">
        <f>'Huella materiales'!BI8</f>
        <v>#REF!</v>
      </c>
      <c r="D162" s="133"/>
      <c r="E162" s="133"/>
      <c r="F162" s="134"/>
      <c r="H162" s="717" t="s">
        <v>969</v>
      </c>
      <c r="I162" s="4697" t="e">
        <f>SUM(I158+M160)</f>
        <v>#REF!</v>
      </c>
      <c r="J162" s="4698"/>
      <c r="K162" s="4698"/>
      <c r="L162" s="4698"/>
      <c r="M162" s="4698"/>
      <c r="N162" s="4698"/>
      <c r="O162" s="4699"/>
      <c r="P162" s="726"/>
      <c r="Q162" s="726"/>
      <c r="R162" s="726"/>
      <c r="S162" s="691"/>
      <c r="T162" s="691"/>
      <c r="U162" s="691"/>
      <c r="V162" s="16"/>
      <c r="W162" s="16"/>
      <c r="X162" s="16"/>
      <c r="Y162" s="16"/>
      <c r="Z162" s="16"/>
      <c r="AA162" s="16"/>
      <c r="AB162" s="16"/>
      <c r="AC162" s="16"/>
      <c r="AD162" s="16"/>
      <c r="AE162" s="16"/>
      <c r="AF162" s="16"/>
      <c r="AG162" s="16"/>
    </row>
    <row r="163" spans="1:33" ht="22.5" customHeight="1" thickBot="1">
      <c r="B163" s="139" t="s">
        <v>645</v>
      </c>
      <c r="C163" s="137" t="e">
        <f>SUM(C159:C162)</f>
        <v>#REF!</v>
      </c>
      <c r="D163" s="137">
        <f>SUM(D159:D162)</f>
        <v>0</v>
      </c>
      <c r="E163" s="137">
        <f>SUM(E159:E162)</f>
        <v>0</v>
      </c>
      <c r="F163" s="671">
        <f>SUM(F159:F162)</f>
        <v>0</v>
      </c>
      <c r="H163" s="717" t="s">
        <v>970</v>
      </c>
      <c r="I163" s="4659" t="e">
        <f>I162/'Seleccion proyecto HEREVEA02'!L8</f>
        <v>#REF!</v>
      </c>
      <c r="J163" s="4660"/>
      <c r="K163" s="4660"/>
      <c r="L163" s="4660"/>
      <c r="M163" s="4660"/>
      <c r="N163" s="4660"/>
      <c r="O163" s="4661"/>
      <c r="P163" s="953"/>
      <c r="Q163" s="953"/>
      <c r="R163" s="953"/>
      <c r="S163" s="953"/>
      <c r="T163" s="953"/>
      <c r="U163" s="953"/>
      <c r="V163" s="16"/>
      <c r="W163" s="16"/>
      <c r="X163" s="16"/>
      <c r="Y163" s="16"/>
      <c r="Z163" s="16"/>
      <c r="AA163" s="16"/>
      <c r="AB163" s="16"/>
      <c r="AC163" s="16"/>
      <c r="AD163" s="16"/>
      <c r="AE163" s="16"/>
      <c r="AF163" s="16"/>
      <c r="AG163" s="16"/>
    </row>
    <row r="164" spans="1:33" ht="16" thickBot="1">
      <c r="B164" s="138" t="s">
        <v>644</v>
      </c>
      <c r="C164" s="4659" t="e">
        <f>SUM(C163:F163)</f>
        <v>#REF!</v>
      </c>
      <c r="D164" s="4660"/>
      <c r="E164" s="4660"/>
      <c r="F164" s="4661"/>
      <c r="H164" s="948"/>
      <c r="I164" s="917"/>
      <c r="J164" s="917"/>
      <c r="K164" s="917"/>
      <c r="L164" s="917"/>
      <c r="M164" s="917"/>
      <c r="N164" s="917"/>
      <c r="O164" s="918"/>
      <c r="P164" s="691"/>
      <c r="Q164" s="691"/>
      <c r="R164" s="691"/>
      <c r="S164" s="691"/>
      <c r="T164" s="691"/>
      <c r="U164" s="691"/>
      <c r="V164" s="16"/>
      <c r="W164" s="16"/>
      <c r="X164" s="16"/>
      <c r="Y164" s="16"/>
      <c r="Z164" s="16"/>
      <c r="AA164" s="16"/>
      <c r="AB164" s="16"/>
      <c r="AC164" s="16"/>
      <c r="AD164" s="16"/>
      <c r="AE164" s="16"/>
      <c r="AF164" s="16"/>
      <c r="AG164" s="16"/>
    </row>
    <row r="165" spans="1:33" ht="23.25" customHeight="1" thickBot="1">
      <c r="A165" s="22"/>
      <c r="B165" s="138" t="s">
        <v>873</v>
      </c>
      <c r="C165" s="4659" t="e">
        <f>C164/'Seleccion proyecto HEREVEA02'!L8</f>
        <v>#REF!</v>
      </c>
      <c r="D165" s="4660"/>
      <c r="E165" s="4660"/>
      <c r="F165" s="4661"/>
      <c r="H165" s="4717" t="s">
        <v>963</v>
      </c>
      <c r="I165" s="4718"/>
      <c r="J165" s="4718"/>
      <c r="K165" s="4718"/>
      <c r="L165" s="4718"/>
      <c r="M165" s="4718"/>
      <c r="N165" s="4718"/>
      <c r="O165" s="4719"/>
      <c r="P165" s="908"/>
      <c r="Q165" s="908"/>
      <c r="R165" s="908"/>
      <c r="S165" s="691"/>
      <c r="T165" s="691"/>
      <c r="U165" s="691"/>
      <c r="V165" s="16"/>
      <c r="W165" s="16"/>
      <c r="X165" s="16"/>
      <c r="Y165" s="16"/>
      <c r="Z165" s="16"/>
      <c r="AA165" s="16"/>
      <c r="AB165" s="16"/>
      <c r="AC165" s="16"/>
      <c r="AD165" s="16"/>
      <c r="AE165" s="16"/>
      <c r="AF165" s="16"/>
      <c r="AG165" s="16"/>
    </row>
    <row r="166" spans="1:33" ht="32.25" customHeight="1" thickBot="1">
      <c r="A166" s="22"/>
      <c r="H166" s="4652" t="s">
        <v>937</v>
      </c>
      <c r="I166" s="4654" t="s">
        <v>365</v>
      </c>
      <c r="J166" s="4654" t="s">
        <v>286</v>
      </c>
      <c r="K166" s="4650" t="s">
        <v>931</v>
      </c>
      <c r="L166" s="4650"/>
      <c r="M166" s="4650"/>
      <c r="N166" s="4650"/>
      <c r="O166" s="4651"/>
      <c r="P166" s="908"/>
      <c r="Q166" s="908"/>
      <c r="R166" s="908"/>
      <c r="S166" s="691"/>
      <c r="T166" s="691"/>
      <c r="U166" s="691"/>
      <c r="V166" s="16"/>
      <c r="W166" s="16"/>
      <c r="X166" s="16"/>
      <c r="Y166" s="16"/>
      <c r="Z166" s="16"/>
      <c r="AA166" s="16"/>
      <c r="AB166" s="16"/>
      <c r="AC166" s="16"/>
      <c r="AD166" s="16"/>
      <c r="AE166" s="16"/>
      <c r="AF166" s="16"/>
      <c r="AG166" s="16"/>
    </row>
    <row r="167" spans="1:33" ht="16" thickBot="1">
      <c r="A167" s="22"/>
      <c r="B167" s="694" t="s">
        <v>944</v>
      </c>
      <c r="C167" s="694"/>
      <c r="H167" s="4653"/>
      <c r="I167" s="4655"/>
      <c r="J167" s="4655"/>
      <c r="K167" s="728" t="s">
        <v>369</v>
      </c>
      <c r="L167" s="4644" t="s">
        <v>368</v>
      </c>
      <c r="M167" s="4644"/>
      <c r="N167" s="4644"/>
      <c r="O167" s="4645"/>
      <c r="P167" s="908"/>
      <c r="Q167" s="908"/>
      <c r="R167" s="908"/>
      <c r="S167" s="691"/>
      <c r="T167" s="691"/>
      <c r="U167" s="691"/>
      <c r="V167" s="16"/>
      <c r="W167" s="16"/>
      <c r="X167" s="16"/>
      <c r="Y167" s="16"/>
      <c r="Z167" s="16"/>
      <c r="AA167" s="16"/>
      <c r="AB167" s="16"/>
      <c r="AC167" s="727"/>
      <c r="AD167" s="727"/>
      <c r="AE167" s="727"/>
      <c r="AF167" s="727"/>
      <c r="AG167" s="16"/>
    </row>
    <row r="168" spans="1:33" ht="55.5" customHeight="1" thickBot="1">
      <c r="A168" s="22"/>
      <c r="B168" s="664" t="s">
        <v>363</v>
      </c>
      <c r="C168" s="665"/>
      <c r="D168" s="665"/>
      <c r="E168" s="665"/>
      <c r="F168" s="666"/>
      <c r="H168" s="4646" t="s">
        <v>968</v>
      </c>
      <c r="I168" s="714" t="s">
        <v>932</v>
      </c>
      <c r="J168" s="715" t="s">
        <v>933</v>
      </c>
      <c r="K168" s="715" t="s">
        <v>935</v>
      </c>
      <c r="L168" s="716" t="s">
        <v>938</v>
      </c>
      <c r="M168" s="714" t="s">
        <v>939</v>
      </c>
      <c r="N168" s="715" t="s">
        <v>940</v>
      </c>
      <c r="O168" s="716" t="s">
        <v>941</v>
      </c>
      <c r="P168" s="908"/>
      <c r="Q168" s="908"/>
      <c r="R168" s="908"/>
      <c r="S168" s="691"/>
      <c r="T168" s="691"/>
      <c r="U168" s="691"/>
      <c r="V168" s="16"/>
      <c r="W168" s="16"/>
      <c r="X168" s="16"/>
      <c r="Y168" s="670"/>
      <c r="Z168" s="670"/>
      <c r="AA168" s="670"/>
      <c r="AB168" s="16"/>
      <c r="AC168" s="950"/>
      <c r="AD168" s="950"/>
      <c r="AE168" s="950"/>
      <c r="AF168" s="950"/>
      <c r="AG168" s="16"/>
    </row>
    <row r="169" spans="1:33" ht="54" customHeight="1">
      <c r="A169" s="22"/>
      <c r="B169" s="43"/>
      <c r="C169" s="667" t="s">
        <v>524</v>
      </c>
      <c r="D169" s="668"/>
      <c r="E169" s="668"/>
      <c r="F169" s="669"/>
      <c r="H169" s="4646"/>
      <c r="I169" s="4632" t="e">
        <f>C135</f>
        <v>#REF!</v>
      </c>
      <c r="J169" s="4634" t="e">
        <f>C138</f>
        <v>#REF!</v>
      </c>
      <c r="K169" s="4648" t="e">
        <f>C137</f>
        <v>#REF!</v>
      </c>
      <c r="L169" s="4636">
        <f>C136</f>
        <v>0</v>
      </c>
      <c r="M169" s="4632">
        <f>D136</f>
        <v>0</v>
      </c>
      <c r="N169" s="4634">
        <f>E136</f>
        <v>0</v>
      </c>
      <c r="O169" s="4636">
        <f>F136</f>
        <v>0</v>
      </c>
      <c r="P169" s="908"/>
      <c r="Q169" s="908"/>
      <c r="R169" s="908"/>
      <c r="S169" s="691"/>
      <c r="T169" s="691"/>
      <c r="U169" s="691"/>
      <c r="V169" s="16"/>
      <c r="W169" s="16"/>
      <c r="X169" s="16"/>
      <c r="Y169" s="670"/>
      <c r="Z169" s="670"/>
      <c r="AA169" s="670"/>
      <c r="AB169" s="16"/>
      <c r="AC169" s="724"/>
      <c r="AD169" s="725"/>
      <c r="AE169" s="725"/>
      <c r="AF169" s="725"/>
      <c r="AG169" s="16"/>
    </row>
    <row r="170" spans="1:33" ht="30" customHeight="1" thickBot="1">
      <c r="A170" s="22"/>
      <c r="B170" s="128" t="s">
        <v>364</v>
      </c>
      <c r="C170" s="129" t="s">
        <v>643</v>
      </c>
      <c r="D170" s="129" t="s">
        <v>372</v>
      </c>
      <c r="E170" s="129" t="s">
        <v>373</v>
      </c>
      <c r="F170" s="130" t="s">
        <v>374</v>
      </c>
      <c r="H170" s="4647"/>
      <c r="I170" s="4633"/>
      <c r="J170" s="4635"/>
      <c r="K170" s="4649"/>
      <c r="L170" s="4637"/>
      <c r="M170" s="4633"/>
      <c r="N170" s="4635"/>
      <c r="O170" s="4637"/>
      <c r="P170" s="908"/>
      <c r="Q170" s="908"/>
      <c r="R170" s="908"/>
      <c r="S170" s="691"/>
      <c r="T170" s="691"/>
      <c r="U170" s="691"/>
      <c r="V170" s="16"/>
      <c r="W170" s="16"/>
      <c r="X170" s="16"/>
      <c r="Y170" s="690"/>
      <c r="Z170" s="690"/>
      <c r="AA170" s="690"/>
      <c r="AB170" s="16"/>
      <c r="AC170" s="724"/>
      <c r="AD170" s="720"/>
      <c r="AE170" s="720"/>
      <c r="AF170" s="720"/>
      <c r="AG170" s="16"/>
    </row>
    <row r="171" spans="1:33" ht="58.5" customHeight="1">
      <c r="A171" s="22"/>
      <c r="B171" s="131" t="s">
        <v>365</v>
      </c>
      <c r="C171" s="133" t="e">
        <f>'Huella maquinaria'!AC12</f>
        <v>#REF!</v>
      </c>
      <c r="D171" s="133"/>
      <c r="E171" s="133"/>
      <c r="F171" s="134"/>
      <c r="H171" s="4663" t="s">
        <v>936</v>
      </c>
      <c r="I171" s="4665" t="e">
        <f>SUM(I169:L170)</f>
        <v>#REF!</v>
      </c>
      <c r="J171" s="4666"/>
      <c r="K171" s="4666"/>
      <c r="L171" s="4667"/>
      <c r="M171" s="4638"/>
      <c r="N171" s="4638"/>
      <c r="O171" s="4662"/>
      <c r="P171" s="908"/>
      <c r="Q171" s="908"/>
      <c r="R171" s="908"/>
      <c r="S171" s="691"/>
      <c r="T171" s="691"/>
      <c r="U171" s="691"/>
      <c r="V171" s="16"/>
      <c r="W171" s="16"/>
      <c r="X171" s="16"/>
      <c r="Y171" s="692"/>
      <c r="Z171" s="692"/>
      <c r="AA171" s="692"/>
      <c r="AB171" s="16"/>
      <c r="AC171" s="724"/>
      <c r="AD171" s="691"/>
      <c r="AE171" s="691"/>
      <c r="AF171" s="691"/>
      <c r="AG171" s="16"/>
    </row>
    <row r="172" spans="1:33" ht="61.5" customHeight="1" thickBot="1">
      <c r="A172" s="22"/>
      <c r="B172" s="131" t="s">
        <v>368</v>
      </c>
      <c r="C172" s="133">
        <f>'Huella mano de obra'!$AG$16</f>
        <v>0</v>
      </c>
      <c r="D172" s="133">
        <f>'Huella mano de obra'!$AG$17</f>
        <v>0</v>
      </c>
      <c r="E172" s="133">
        <f>'Huella mano de obra'!$AG$18</f>
        <v>0</v>
      </c>
      <c r="F172" s="134">
        <f>'Huella mano de obra'!$AG$19</f>
        <v>0</v>
      </c>
      <c r="H172" s="4664"/>
      <c r="I172" s="4668"/>
      <c r="J172" s="4669"/>
      <c r="K172" s="4669"/>
      <c r="L172" s="4670"/>
      <c r="M172" s="4638"/>
      <c r="N172" s="4638"/>
      <c r="O172" s="4662"/>
      <c r="P172" s="908"/>
      <c r="Q172" s="908"/>
      <c r="R172" s="908"/>
      <c r="S172" s="691"/>
      <c r="T172" s="691"/>
      <c r="U172" s="691"/>
      <c r="V172" s="16"/>
      <c r="W172" s="16"/>
      <c r="X172" s="16"/>
      <c r="Y172" s="952"/>
      <c r="Z172" s="952"/>
      <c r="AA172" s="952"/>
      <c r="AB172" s="16"/>
      <c r="AC172" s="720"/>
      <c r="AD172" s="953"/>
      <c r="AE172" s="953"/>
      <c r="AF172" s="953"/>
      <c r="AG172" s="16"/>
    </row>
    <row r="173" spans="1:33" ht="28.5" customHeight="1">
      <c r="A173" s="22"/>
      <c r="B173" s="131" t="s">
        <v>369</v>
      </c>
      <c r="C173" s="675" t="e">
        <f>'Huella mano de obra'!AF44</f>
        <v>#REF!</v>
      </c>
      <c r="D173" s="133"/>
      <c r="E173" s="133"/>
      <c r="F173" s="134"/>
      <c r="H173" s="4703" t="s">
        <v>942</v>
      </c>
      <c r="I173" s="4705"/>
      <c r="J173" s="4706"/>
      <c r="K173" s="4706"/>
      <c r="L173" s="4707"/>
      <c r="M173" s="4711">
        <f>SUM(M169:O170)</f>
        <v>0</v>
      </c>
      <c r="N173" s="4712"/>
      <c r="O173" s="4713"/>
      <c r="P173" s="908"/>
      <c r="Q173" s="908"/>
      <c r="R173" s="908"/>
      <c r="S173" s="691"/>
      <c r="T173" s="691"/>
      <c r="U173" s="691"/>
      <c r="V173" s="16"/>
      <c r="W173" s="16"/>
      <c r="X173" s="16"/>
      <c r="Y173" s="16"/>
      <c r="Z173" s="16"/>
      <c r="AA173" s="16"/>
      <c r="AB173" s="16"/>
      <c r="AC173" s="16"/>
      <c r="AD173" s="16"/>
      <c r="AE173" s="16"/>
      <c r="AF173" s="16"/>
      <c r="AG173" s="16"/>
    </row>
    <row r="174" spans="1:33" ht="25.5" customHeight="1" thickBot="1">
      <c r="A174" s="22"/>
      <c r="B174" s="131" t="s">
        <v>286</v>
      </c>
      <c r="C174" s="133" t="e">
        <f>'Huella materiales'!BJ8</f>
        <v>#REF!</v>
      </c>
      <c r="D174" s="133"/>
      <c r="E174" s="133"/>
      <c r="F174" s="134"/>
      <c r="H174" s="4704"/>
      <c r="I174" s="4708"/>
      <c r="J174" s="4709"/>
      <c r="K174" s="4709"/>
      <c r="L174" s="4710"/>
      <c r="M174" s="4714"/>
      <c r="N174" s="4715"/>
      <c r="O174" s="4716"/>
      <c r="P174" s="908"/>
      <c r="Q174" s="908"/>
      <c r="R174" s="908"/>
      <c r="S174" s="691"/>
      <c r="T174" s="691"/>
      <c r="U174" s="691"/>
      <c r="V174" s="16"/>
      <c r="W174" s="16"/>
      <c r="X174" s="16"/>
      <c r="Y174" s="16"/>
      <c r="Z174" s="16"/>
      <c r="AA174" s="16"/>
      <c r="AB174" s="16"/>
      <c r="AC174" s="16"/>
      <c r="AD174" s="16"/>
      <c r="AE174" s="16"/>
      <c r="AF174" s="16"/>
      <c r="AG174" s="16"/>
    </row>
    <row r="175" spans="1:33" ht="23.25" customHeight="1" thickBot="1">
      <c r="A175" s="22"/>
      <c r="B175" s="139" t="s">
        <v>645</v>
      </c>
      <c r="C175" s="137" t="e">
        <f>SUM(C171:C174)</f>
        <v>#REF!</v>
      </c>
      <c r="D175" s="137">
        <f>SUM(D171:D174)</f>
        <v>0</v>
      </c>
      <c r="E175" s="137">
        <f>SUM(E171:E174)</f>
        <v>0</v>
      </c>
      <c r="F175" s="671">
        <f>SUM(F171:F174)</f>
        <v>0</v>
      </c>
      <c r="H175" s="717" t="s">
        <v>969</v>
      </c>
      <c r="I175" s="4697" t="e">
        <f>SUM(I171+M173)</f>
        <v>#REF!</v>
      </c>
      <c r="J175" s="4698"/>
      <c r="K175" s="4698"/>
      <c r="L175" s="4698"/>
      <c r="M175" s="4698"/>
      <c r="N175" s="4698"/>
      <c r="O175" s="4699"/>
      <c r="P175" s="908"/>
      <c r="Q175" s="908"/>
      <c r="R175" s="908"/>
      <c r="S175" s="691"/>
      <c r="T175" s="691"/>
      <c r="U175" s="691"/>
      <c r="V175" s="16"/>
      <c r="W175" s="16"/>
      <c r="X175" s="16"/>
      <c r="Y175" s="16"/>
      <c r="Z175" s="16"/>
      <c r="AA175" s="16"/>
      <c r="AB175" s="16"/>
      <c r="AC175" s="16"/>
      <c r="AD175" s="16"/>
      <c r="AE175" s="16"/>
      <c r="AF175" s="16"/>
      <c r="AG175" s="16"/>
    </row>
    <row r="176" spans="1:33" ht="54" customHeight="1" thickBot="1">
      <c r="B176" s="138" t="s">
        <v>644</v>
      </c>
      <c r="C176" s="4659" t="e">
        <f>SUM(C175:F175)</f>
        <v>#REF!</v>
      </c>
      <c r="D176" s="4660"/>
      <c r="E176" s="4660"/>
      <c r="F176" s="4661"/>
      <c r="H176" s="717" t="s">
        <v>970</v>
      </c>
      <c r="I176" s="4659" t="e">
        <f>I175/'Seleccion proyecto HEREVEA02'!L8</f>
        <v>#REF!</v>
      </c>
      <c r="J176" s="4660"/>
      <c r="K176" s="4660"/>
      <c r="L176" s="4660"/>
      <c r="M176" s="4660"/>
      <c r="N176" s="4660"/>
      <c r="O176" s="4661"/>
      <c r="P176" s="908"/>
      <c r="Q176" s="908"/>
      <c r="R176" s="908"/>
      <c r="S176" s="691"/>
      <c r="T176" s="691"/>
      <c r="U176" s="691"/>
      <c r="V176" s="16"/>
      <c r="W176" s="16"/>
      <c r="X176" s="16"/>
      <c r="Y176" s="16"/>
      <c r="Z176" s="16"/>
      <c r="AA176" s="16"/>
      <c r="AB176" s="16"/>
      <c r="AC176" s="16"/>
      <c r="AD176" s="16"/>
      <c r="AE176" s="16"/>
      <c r="AF176" s="16"/>
      <c r="AG176" s="16"/>
    </row>
    <row r="177" spans="1:45" ht="24.75" customHeight="1" thickBot="1">
      <c r="A177" s="22"/>
      <c r="B177" s="138" t="s">
        <v>873</v>
      </c>
      <c r="C177" s="4659" t="e">
        <f>C176/'Seleccion proyecto HEREVEA02'!L8</f>
        <v>#REF!</v>
      </c>
      <c r="D177" s="4660"/>
      <c r="E177" s="4660"/>
      <c r="F177" s="4661"/>
      <c r="H177" s="948"/>
      <c r="I177" s="917"/>
      <c r="J177" s="917"/>
      <c r="K177" s="917"/>
      <c r="L177" s="917"/>
      <c r="M177" s="917"/>
      <c r="N177" s="917"/>
      <c r="O177" s="918"/>
      <c r="P177" s="16"/>
      <c r="Q177" s="16"/>
      <c r="R177" s="16"/>
      <c r="S177" s="16"/>
      <c r="T177" s="16"/>
      <c r="U177" s="16"/>
      <c r="V177" s="16"/>
      <c r="W177" s="16"/>
      <c r="X177" s="16"/>
      <c r="Y177" s="16"/>
      <c r="Z177" s="16"/>
      <c r="AA177" s="16"/>
      <c r="AB177" s="16"/>
      <c r="AC177" s="16"/>
      <c r="AD177" s="16"/>
      <c r="AE177" s="16"/>
      <c r="AF177" s="16"/>
      <c r="AG177" s="16"/>
    </row>
    <row r="178" spans="1:45" ht="32.25" customHeight="1" thickBot="1">
      <c r="A178" s="22"/>
      <c r="H178" s="4717" t="s">
        <v>964</v>
      </c>
      <c r="I178" s="4718"/>
      <c r="J178" s="4718"/>
      <c r="K178" s="4718"/>
      <c r="L178" s="4718"/>
      <c r="M178" s="4718"/>
      <c r="N178" s="4718"/>
      <c r="O178" s="4719"/>
      <c r="P178" s="16"/>
      <c r="Q178" s="16"/>
      <c r="R178" s="16"/>
      <c r="S178" s="16"/>
      <c r="T178" s="16"/>
      <c r="U178" s="16"/>
      <c r="V178" s="16"/>
      <c r="W178" s="16"/>
      <c r="X178" s="16"/>
      <c r="Y178" s="16"/>
      <c r="Z178" s="16"/>
      <c r="AA178" s="16"/>
      <c r="AB178" s="16"/>
      <c r="AC178" s="16"/>
      <c r="AD178" s="16"/>
      <c r="AE178" s="16"/>
      <c r="AF178" s="16"/>
      <c r="AG178" s="16"/>
    </row>
    <row r="179" spans="1:45" ht="16" thickBot="1">
      <c r="A179" s="22"/>
      <c r="B179" s="22"/>
      <c r="C179" s="22"/>
      <c r="D179" s="22"/>
      <c r="E179" s="22"/>
      <c r="F179" s="22"/>
      <c r="G179" s="22"/>
      <c r="H179" s="4652" t="s">
        <v>937</v>
      </c>
      <c r="I179" s="4654" t="s">
        <v>365</v>
      </c>
      <c r="J179" s="4654" t="s">
        <v>286</v>
      </c>
      <c r="K179" s="4650" t="s">
        <v>931</v>
      </c>
      <c r="L179" s="4650"/>
      <c r="M179" s="4650"/>
      <c r="N179" s="4650"/>
      <c r="O179" s="4651"/>
      <c r="P179" s="16"/>
      <c r="Q179" s="16"/>
      <c r="R179" s="16"/>
      <c r="S179" s="16"/>
      <c r="T179" s="16"/>
      <c r="U179" s="16"/>
      <c r="V179" s="16"/>
      <c r="W179" s="16"/>
      <c r="X179" s="16"/>
      <c r="Y179" s="16"/>
      <c r="Z179" s="16"/>
      <c r="AA179" s="16"/>
      <c r="AB179" s="16"/>
      <c r="AC179" s="16"/>
      <c r="AD179" s="16"/>
      <c r="AE179" s="16"/>
      <c r="AF179" s="16"/>
      <c r="AG179" s="16"/>
    </row>
    <row r="180" spans="1:45" ht="16" thickBot="1">
      <c r="A180" s="16"/>
      <c r="B180" s="22"/>
      <c r="C180" s="22"/>
      <c r="D180" s="22"/>
      <c r="E180" s="22"/>
      <c r="F180" s="22"/>
      <c r="G180" s="22"/>
      <c r="H180" s="4653"/>
      <c r="I180" s="4655"/>
      <c r="J180" s="4655"/>
      <c r="K180" s="728" t="s">
        <v>369</v>
      </c>
      <c r="L180" s="4644" t="s">
        <v>368</v>
      </c>
      <c r="M180" s="4644"/>
      <c r="N180" s="4644"/>
      <c r="O180" s="4645"/>
      <c r="P180" s="16"/>
      <c r="Q180" s="16"/>
      <c r="R180" s="16"/>
      <c r="S180" s="16"/>
      <c r="T180" s="16"/>
      <c r="U180" s="16"/>
      <c r="V180" s="16"/>
      <c r="W180" s="16"/>
      <c r="X180" s="16"/>
      <c r="Y180" s="16"/>
      <c r="Z180" s="16"/>
      <c r="AA180" s="16"/>
      <c r="AB180" s="16"/>
      <c r="AC180" s="16"/>
      <c r="AD180" s="16"/>
      <c r="AE180" s="16"/>
      <c r="AF180" s="16"/>
      <c r="AG180" s="16"/>
    </row>
    <row r="181" spans="1:45" ht="57.75" customHeight="1">
      <c r="A181" s="22"/>
      <c r="B181" s="22"/>
      <c r="C181" s="22"/>
      <c r="D181" s="22"/>
      <c r="E181" s="22"/>
      <c r="F181" s="22"/>
      <c r="G181" s="22"/>
      <c r="H181" s="4646" t="s">
        <v>968</v>
      </c>
      <c r="I181" s="714" t="s">
        <v>932</v>
      </c>
      <c r="J181" s="715" t="s">
        <v>933</v>
      </c>
      <c r="K181" s="715" t="s">
        <v>935</v>
      </c>
      <c r="L181" s="716" t="s">
        <v>938</v>
      </c>
      <c r="M181" s="714" t="s">
        <v>939</v>
      </c>
      <c r="N181" s="715" t="s">
        <v>940</v>
      </c>
      <c r="O181" s="716" t="s">
        <v>941</v>
      </c>
      <c r="P181" s="16"/>
      <c r="Q181" s="16"/>
      <c r="R181" s="16"/>
      <c r="S181" s="16"/>
      <c r="T181" s="16"/>
      <c r="U181" s="16"/>
      <c r="V181" s="16"/>
      <c r="W181" s="16"/>
      <c r="X181" s="16"/>
      <c r="Y181" s="16"/>
      <c r="Z181" s="16"/>
      <c r="AA181" s="16"/>
      <c r="AB181" s="16"/>
      <c r="AC181" s="16"/>
      <c r="AD181" s="16"/>
      <c r="AE181" s="16"/>
      <c r="AF181" s="16"/>
      <c r="AG181" s="16"/>
    </row>
    <row r="182" spans="1:45" ht="52.5" customHeight="1">
      <c r="A182" s="22"/>
      <c r="B182" s="22"/>
      <c r="C182" s="22"/>
      <c r="D182" s="22"/>
      <c r="E182" s="22"/>
      <c r="F182" s="22"/>
      <c r="G182" s="22"/>
      <c r="H182" s="4646"/>
      <c r="I182" s="4632" t="e">
        <f>C147</f>
        <v>#REF!</v>
      </c>
      <c r="J182" s="4634" t="e">
        <f>C150</f>
        <v>#REF!</v>
      </c>
      <c r="K182" s="4648" t="e">
        <f>C149</f>
        <v>#REF!</v>
      </c>
      <c r="L182" s="4636">
        <f>C148</f>
        <v>0</v>
      </c>
      <c r="M182" s="4632">
        <f>D148</f>
        <v>0</v>
      </c>
      <c r="N182" s="4634">
        <f>E148</f>
        <v>0</v>
      </c>
      <c r="O182" s="4636">
        <f>F148</f>
        <v>0</v>
      </c>
      <c r="P182" s="16"/>
      <c r="Q182" s="16"/>
      <c r="R182" s="16"/>
      <c r="S182" s="16"/>
      <c r="T182" s="16"/>
      <c r="U182" s="16"/>
      <c r="V182" s="16"/>
      <c r="W182" s="16"/>
      <c r="X182" s="16"/>
      <c r="Y182" s="16"/>
      <c r="Z182" s="16"/>
      <c r="AA182" s="16"/>
      <c r="AB182" s="16"/>
      <c r="AC182" s="16"/>
      <c r="AD182" s="16"/>
      <c r="AE182" s="16"/>
      <c r="AF182" s="16"/>
      <c r="AG182" s="16"/>
    </row>
    <row r="183" spans="1:45" ht="38.25" customHeight="1" thickBot="1">
      <c r="A183" s="22"/>
      <c r="B183" s="22"/>
      <c r="C183" s="22"/>
      <c r="D183" s="22"/>
      <c r="E183" s="22"/>
      <c r="F183" s="22"/>
      <c r="G183" s="22"/>
      <c r="H183" s="4647"/>
      <c r="I183" s="4633"/>
      <c r="J183" s="4635"/>
      <c r="K183" s="4649"/>
      <c r="L183" s="4637"/>
      <c r="M183" s="4633"/>
      <c r="N183" s="4635"/>
      <c r="O183" s="4637"/>
      <c r="P183" s="16"/>
      <c r="Q183" s="16"/>
      <c r="R183" s="16"/>
      <c r="S183" s="16"/>
      <c r="T183" s="16"/>
      <c r="U183" s="16"/>
      <c r="V183" s="16"/>
      <c r="W183" s="16"/>
      <c r="X183" s="16"/>
      <c r="Y183" s="16"/>
      <c r="Z183" s="16"/>
      <c r="AA183" s="16"/>
      <c r="AB183" s="16"/>
      <c r="AC183" s="16"/>
      <c r="AD183" s="16"/>
      <c r="AE183" s="16"/>
      <c r="AF183" s="16"/>
      <c r="AG183" s="16"/>
      <c r="AR183" s="701"/>
      <c r="AS183" s="700"/>
    </row>
    <row r="184" spans="1:45">
      <c r="A184" s="22"/>
      <c r="B184" s="22"/>
      <c r="C184" s="22"/>
      <c r="D184" s="22"/>
      <c r="E184" s="22"/>
      <c r="F184" s="22"/>
      <c r="G184" s="22"/>
      <c r="H184" s="4663" t="s">
        <v>936</v>
      </c>
      <c r="I184" s="4665" t="e">
        <f>SUM(I182:L183)</f>
        <v>#REF!</v>
      </c>
      <c r="J184" s="4666"/>
      <c r="K184" s="4666"/>
      <c r="L184" s="4667"/>
      <c r="M184" s="4638"/>
      <c r="N184" s="4638"/>
      <c r="O184" s="4662"/>
      <c r="P184" s="16"/>
      <c r="Q184" s="16"/>
      <c r="R184" s="16"/>
      <c r="S184" s="16"/>
      <c r="T184" s="16"/>
      <c r="U184" s="16"/>
      <c r="V184" s="16"/>
      <c r="W184" s="16"/>
      <c r="X184" s="16"/>
      <c r="Y184" s="16"/>
      <c r="Z184" s="16"/>
      <c r="AA184" s="16"/>
      <c r="AB184" s="16"/>
      <c r="AC184" s="16"/>
      <c r="AD184" s="16"/>
      <c r="AE184" s="16"/>
      <c r="AF184" s="16"/>
      <c r="AG184" s="16"/>
    </row>
    <row r="185" spans="1:45" s="22" customFormat="1" ht="15" thickBot="1">
      <c r="H185" s="4664"/>
      <c r="I185" s="4668"/>
      <c r="J185" s="4669"/>
      <c r="K185" s="4669"/>
      <c r="L185" s="4670"/>
      <c r="M185" s="4638"/>
      <c r="N185" s="4638"/>
      <c r="O185" s="4662"/>
      <c r="P185" s="16"/>
      <c r="Q185" s="16"/>
      <c r="R185" s="16"/>
      <c r="S185" s="16"/>
      <c r="T185" s="16"/>
      <c r="U185" s="16"/>
      <c r="V185" s="16"/>
      <c r="W185" s="16"/>
      <c r="X185" s="16"/>
      <c r="Y185" s="16"/>
      <c r="Z185" s="16"/>
      <c r="AA185" s="16"/>
      <c r="AB185" s="16"/>
      <c r="AC185" s="16"/>
      <c r="AD185" s="16"/>
      <c r="AE185" s="16"/>
      <c r="AF185" s="16"/>
      <c r="AG185" s="16"/>
    </row>
    <row r="186" spans="1:45" s="22" customFormat="1" ht="36.75" customHeight="1">
      <c r="H186" s="4703" t="s">
        <v>942</v>
      </c>
      <c r="I186" s="4705"/>
      <c r="J186" s="4706"/>
      <c r="K186" s="4706"/>
      <c r="L186" s="4707"/>
      <c r="M186" s="4711">
        <f>SUM(M182:O183)</f>
        <v>0</v>
      </c>
      <c r="N186" s="4712"/>
      <c r="O186" s="4713"/>
      <c r="P186" s="16"/>
      <c r="Q186" s="16"/>
      <c r="R186" s="16"/>
      <c r="S186" s="16"/>
      <c r="T186" s="16"/>
      <c r="U186" s="16"/>
      <c r="V186" s="16"/>
      <c r="W186" s="16"/>
      <c r="X186" s="16"/>
      <c r="Y186" s="16"/>
      <c r="Z186" s="16"/>
      <c r="AA186" s="16"/>
      <c r="AB186" s="16"/>
      <c r="AC186" s="16"/>
      <c r="AD186" s="16"/>
      <c r="AE186" s="16"/>
      <c r="AF186" s="16"/>
      <c r="AG186" s="16"/>
    </row>
    <row r="187" spans="1:45" s="22" customFormat="1" ht="15" thickBot="1">
      <c r="H187" s="4704"/>
      <c r="I187" s="4708"/>
      <c r="J187" s="4709"/>
      <c r="K187" s="4709"/>
      <c r="L187" s="4710"/>
      <c r="M187" s="4714"/>
      <c r="N187" s="4715"/>
      <c r="O187" s="4716"/>
      <c r="P187" s="16"/>
      <c r="Q187" s="16"/>
      <c r="R187" s="16"/>
      <c r="S187" s="16"/>
      <c r="T187" s="16"/>
      <c r="U187" s="16"/>
      <c r="V187" s="16"/>
      <c r="W187" s="16"/>
      <c r="X187" s="16"/>
      <c r="Y187" s="16"/>
      <c r="Z187" s="16"/>
      <c r="AA187" s="16"/>
      <c r="AB187" s="16"/>
      <c r="AC187" s="16"/>
      <c r="AD187" s="16"/>
      <c r="AE187" s="16"/>
      <c r="AF187" s="16"/>
      <c r="AG187" s="16"/>
    </row>
    <row r="188" spans="1:45" s="22" customFormat="1" ht="30" customHeight="1" thickBot="1">
      <c r="H188" s="717" t="s">
        <v>969</v>
      </c>
      <c r="I188" s="4697" t="e">
        <f>SUM(I184+M186)</f>
        <v>#REF!</v>
      </c>
      <c r="J188" s="4698"/>
      <c r="K188" s="4698"/>
      <c r="L188" s="4698"/>
      <c r="M188" s="4698"/>
      <c r="N188" s="4698"/>
      <c r="O188" s="4699"/>
      <c r="P188" s="16"/>
      <c r="Q188" s="16"/>
      <c r="R188" s="16"/>
      <c r="S188" s="16"/>
      <c r="T188" s="16"/>
      <c r="U188" s="16"/>
      <c r="V188" s="16"/>
      <c r="W188" s="16"/>
      <c r="X188" s="16"/>
      <c r="Y188" s="16"/>
      <c r="Z188" s="16"/>
      <c r="AA188" s="16"/>
      <c r="AB188" s="16"/>
      <c r="AC188" s="16"/>
      <c r="AD188" s="16"/>
      <c r="AE188" s="16"/>
      <c r="AF188" s="16"/>
      <c r="AG188" s="16"/>
    </row>
    <row r="189" spans="1:45" s="22" customFormat="1" ht="27" customHeight="1" thickBot="1">
      <c r="H189" s="717" t="s">
        <v>970</v>
      </c>
      <c r="I189" s="4659" t="e">
        <f>I188/'Seleccion proyecto HEREVEA02'!L8</f>
        <v>#REF!</v>
      </c>
      <c r="J189" s="4660"/>
      <c r="K189" s="4660"/>
      <c r="L189" s="4660"/>
      <c r="M189" s="4660"/>
      <c r="N189" s="4660"/>
      <c r="O189" s="4661"/>
      <c r="P189" s="16"/>
      <c r="Q189" s="16"/>
      <c r="R189" s="16"/>
      <c r="S189" s="16"/>
      <c r="T189" s="16"/>
      <c r="U189" s="16"/>
      <c r="V189" s="16"/>
      <c r="W189" s="16"/>
      <c r="X189" s="16"/>
      <c r="Y189" s="16"/>
      <c r="Z189" s="16"/>
      <c r="AA189" s="16"/>
      <c r="AB189" s="16"/>
      <c r="AC189" s="16"/>
      <c r="AD189" s="16"/>
      <c r="AE189" s="16"/>
      <c r="AF189" s="16"/>
      <c r="AG189" s="16"/>
      <c r="AR189" s="701"/>
      <c r="AS189" s="736"/>
    </row>
    <row r="190" spans="1:45" s="22" customFormat="1" ht="16" thickBot="1">
      <c r="B190"/>
      <c r="C190"/>
      <c r="D190"/>
      <c r="E190"/>
      <c r="F190"/>
      <c r="G190"/>
      <c r="H190" s="948"/>
      <c r="I190" s="917"/>
      <c r="J190" s="917"/>
      <c r="K190" s="917"/>
      <c r="L190" s="917"/>
      <c r="M190" s="917"/>
      <c r="N190" s="917"/>
      <c r="O190" s="918"/>
      <c r="P190" s="16"/>
      <c r="Q190" s="16"/>
      <c r="R190" s="16"/>
      <c r="S190" s="16"/>
      <c r="T190" s="16"/>
      <c r="U190" s="16"/>
      <c r="V190" s="16"/>
      <c r="W190" s="16"/>
      <c r="X190" s="16"/>
      <c r="Y190" s="16"/>
      <c r="Z190" s="16"/>
      <c r="AA190" s="16"/>
      <c r="AB190" s="16"/>
      <c r="AC190" s="16"/>
      <c r="AD190" s="16"/>
      <c r="AE190" s="16"/>
      <c r="AF190" s="16"/>
      <c r="AG190" s="16"/>
      <c r="AR190" s="701"/>
      <c r="AS190" s="736"/>
    </row>
    <row r="191" spans="1:45" s="22" customFormat="1" ht="27.75" customHeight="1" thickBot="1">
      <c r="H191" s="4717" t="s">
        <v>965</v>
      </c>
      <c r="I191" s="4718"/>
      <c r="J191" s="4718"/>
      <c r="K191" s="4718"/>
      <c r="L191" s="4718"/>
      <c r="M191" s="4718"/>
      <c r="N191" s="4718"/>
      <c r="O191" s="4719"/>
      <c r="P191" s="16"/>
      <c r="Q191" s="16"/>
      <c r="R191" s="16"/>
      <c r="S191" s="16"/>
      <c r="T191" s="16"/>
      <c r="U191" s="16"/>
      <c r="V191" s="16"/>
      <c r="W191" s="16"/>
      <c r="X191" s="16"/>
      <c r="Y191" s="16"/>
      <c r="Z191" s="16"/>
      <c r="AA191" s="16"/>
      <c r="AB191" s="16"/>
      <c r="AC191" s="16"/>
      <c r="AD191" s="16"/>
      <c r="AE191" s="16"/>
      <c r="AF191" s="16"/>
      <c r="AG191" s="16"/>
    </row>
    <row r="192" spans="1:45" s="22" customFormat="1" ht="27.75" customHeight="1" thickBot="1">
      <c r="H192" s="4652" t="s">
        <v>937</v>
      </c>
      <c r="I192" s="4654" t="s">
        <v>365</v>
      </c>
      <c r="J192" s="4654" t="s">
        <v>286</v>
      </c>
      <c r="K192" s="4650" t="s">
        <v>931</v>
      </c>
      <c r="L192" s="4650"/>
      <c r="M192" s="4650"/>
      <c r="N192" s="4650"/>
      <c r="O192" s="4651"/>
      <c r="P192" s="16"/>
      <c r="Q192" s="16"/>
      <c r="R192" s="16"/>
      <c r="S192" s="16"/>
      <c r="T192" s="16"/>
      <c r="U192" s="16"/>
      <c r="V192" s="16"/>
      <c r="W192" s="16"/>
      <c r="X192" s="16"/>
      <c r="Y192" s="16"/>
      <c r="Z192" s="16"/>
      <c r="AA192" s="16"/>
      <c r="AB192" s="16"/>
      <c r="AC192" s="16"/>
      <c r="AD192" s="16"/>
      <c r="AE192" s="16"/>
      <c r="AF192" s="16"/>
      <c r="AG192" s="16"/>
    </row>
    <row r="193" spans="1:42" s="22" customFormat="1" ht="15.75" customHeight="1" thickBot="1">
      <c r="H193" s="4653"/>
      <c r="I193" s="4655"/>
      <c r="J193" s="4655"/>
      <c r="K193" s="728" t="s">
        <v>369</v>
      </c>
      <c r="L193" s="4644" t="s">
        <v>368</v>
      </c>
      <c r="M193" s="4644"/>
      <c r="N193" s="4644"/>
      <c r="O193" s="4645"/>
      <c r="P193" s="16"/>
      <c r="Q193" s="16"/>
      <c r="R193" s="16"/>
      <c r="S193" s="16"/>
      <c r="T193" s="16"/>
      <c r="U193" s="16"/>
      <c r="V193" s="16"/>
      <c r="W193" s="16"/>
      <c r="X193" s="16"/>
      <c r="Y193" s="16"/>
      <c r="Z193" s="16"/>
      <c r="AA193" s="16"/>
      <c r="AB193" s="16"/>
      <c r="AC193" s="16"/>
      <c r="AD193" s="16"/>
      <c r="AE193" s="16"/>
      <c r="AF193" s="16"/>
      <c r="AG193" s="16"/>
    </row>
    <row r="194" spans="1:42" s="22" customFormat="1" ht="60.75" customHeight="1">
      <c r="B194" s="16"/>
      <c r="C194" s="16"/>
      <c r="D194" s="16"/>
      <c r="E194" s="16"/>
      <c r="F194" s="16"/>
      <c r="G194" s="16"/>
      <c r="H194" s="4646" t="s">
        <v>968</v>
      </c>
      <c r="I194" s="714" t="s">
        <v>932</v>
      </c>
      <c r="J194" s="715" t="s">
        <v>933</v>
      </c>
      <c r="K194" s="715" t="s">
        <v>935</v>
      </c>
      <c r="L194" s="716" t="s">
        <v>938</v>
      </c>
      <c r="M194" s="714" t="s">
        <v>939</v>
      </c>
      <c r="N194" s="715" t="s">
        <v>940</v>
      </c>
      <c r="O194" s="716" t="s">
        <v>941</v>
      </c>
      <c r="P194" s="16"/>
      <c r="Q194" s="16"/>
      <c r="R194" s="16"/>
      <c r="S194" s="16"/>
      <c r="T194" s="16"/>
      <c r="U194" s="16"/>
      <c r="V194" s="16"/>
      <c r="W194" s="16"/>
      <c r="X194" s="16"/>
      <c r="Y194" s="16"/>
      <c r="Z194" s="16"/>
      <c r="AA194" s="16"/>
      <c r="AB194" s="16"/>
      <c r="AC194" s="16"/>
      <c r="AD194" s="16"/>
      <c r="AE194" s="16"/>
      <c r="AF194" s="16"/>
      <c r="AG194" s="16"/>
    </row>
    <row r="195" spans="1:42" s="22" customFormat="1" ht="57.75" customHeight="1">
      <c r="H195" s="4646"/>
      <c r="I195" s="4632" t="e">
        <f>C159</f>
        <v>#REF!</v>
      </c>
      <c r="J195" s="4634" t="e">
        <f>C162</f>
        <v>#REF!</v>
      </c>
      <c r="K195" s="4648" t="e">
        <f>C161</f>
        <v>#REF!</v>
      </c>
      <c r="L195" s="4636">
        <f>C160</f>
        <v>0</v>
      </c>
      <c r="M195" s="4632">
        <f>D160</f>
        <v>0</v>
      </c>
      <c r="N195" s="4634">
        <f>E160</f>
        <v>0</v>
      </c>
      <c r="O195" s="4636">
        <f>F160</f>
        <v>0</v>
      </c>
      <c r="P195" s="16"/>
      <c r="Q195" s="16"/>
      <c r="R195" s="16"/>
      <c r="S195" s="16"/>
      <c r="T195" s="16"/>
      <c r="U195" s="16"/>
      <c r="V195" s="16"/>
      <c r="W195" s="16"/>
      <c r="X195" s="16"/>
      <c r="Y195" s="16"/>
      <c r="Z195" s="16"/>
      <c r="AA195" s="16"/>
      <c r="AB195" s="16"/>
      <c r="AC195" s="16"/>
      <c r="AD195" s="16"/>
      <c r="AE195" s="16"/>
      <c r="AF195" s="16"/>
      <c r="AG195" s="16"/>
    </row>
    <row r="196" spans="1:42" ht="15" customHeight="1" thickBot="1">
      <c r="A196" s="22"/>
      <c r="B196" s="22"/>
      <c r="C196" s="22"/>
      <c r="D196" s="22"/>
      <c r="E196" s="22"/>
      <c r="F196" s="22"/>
      <c r="G196" s="22"/>
      <c r="H196" s="4647"/>
      <c r="I196" s="4633"/>
      <c r="J196" s="4635"/>
      <c r="K196" s="4649"/>
      <c r="L196" s="4637"/>
      <c r="M196" s="4633"/>
      <c r="N196" s="4635"/>
      <c r="O196" s="4637"/>
      <c r="P196" s="16"/>
      <c r="Q196" s="16"/>
      <c r="R196" s="16"/>
      <c r="S196" s="16"/>
      <c r="T196" s="16"/>
      <c r="U196" s="16"/>
      <c r="V196" s="16"/>
      <c r="W196" s="16"/>
      <c r="X196" s="16"/>
      <c r="Y196" s="16"/>
      <c r="Z196" s="16"/>
      <c r="AA196" s="16"/>
      <c r="AB196" s="16"/>
      <c r="AC196" s="16"/>
      <c r="AD196" s="16"/>
      <c r="AE196" s="16"/>
      <c r="AF196" s="16"/>
      <c r="AG196" s="16"/>
    </row>
    <row r="197" spans="1:42" s="22" customFormat="1" ht="15.75" customHeight="1">
      <c r="H197" s="4663" t="s">
        <v>936</v>
      </c>
      <c r="I197" s="4665" t="e">
        <f>SUM(I195:L196)</f>
        <v>#REF!</v>
      </c>
      <c r="J197" s="4666"/>
      <c r="K197" s="4666"/>
      <c r="L197" s="4667"/>
      <c r="M197" s="4638"/>
      <c r="N197" s="4638"/>
      <c r="O197" s="4662"/>
      <c r="P197" s="16"/>
      <c r="Q197" s="16"/>
      <c r="R197" s="16"/>
      <c r="S197" s="16"/>
      <c r="T197" s="16"/>
      <c r="U197" s="16"/>
      <c r="V197" s="16"/>
      <c r="W197" s="16"/>
      <c r="X197" s="16"/>
      <c r="Y197" s="16"/>
      <c r="Z197" s="16"/>
      <c r="AA197" s="16"/>
      <c r="AB197" s="16"/>
      <c r="AC197" s="16"/>
      <c r="AD197" s="16"/>
      <c r="AE197" s="16"/>
      <c r="AF197" s="16"/>
      <c r="AG197" s="16"/>
    </row>
    <row r="198" spans="1:42" s="22" customFormat="1" ht="42.75" customHeight="1" thickBot="1">
      <c r="H198" s="4664"/>
      <c r="I198" s="4668"/>
      <c r="J198" s="4669"/>
      <c r="K198" s="4669"/>
      <c r="L198" s="4670"/>
      <c r="M198" s="4638"/>
      <c r="N198" s="4638"/>
      <c r="O198" s="4662"/>
      <c r="P198" s="16"/>
      <c r="Q198" s="16"/>
      <c r="R198" s="16"/>
      <c r="S198" s="16"/>
      <c r="T198" s="16"/>
      <c r="U198" s="16"/>
      <c r="V198" s="16"/>
      <c r="W198" s="16"/>
      <c r="X198" s="16"/>
      <c r="Y198" s="16"/>
      <c r="Z198" s="16"/>
      <c r="AA198" s="16"/>
      <c r="AB198" s="16"/>
      <c r="AC198" s="16"/>
      <c r="AD198" s="16"/>
      <c r="AE198" s="16"/>
      <c r="AF198" s="16"/>
      <c r="AG198" s="16"/>
    </row>
    <row r="199" spans="1:42" s="22" customFormat="1" ht="22.5" customHeight="1">
      <c r="H199" s="4703" t="s">
        <v>942</v>
      </c>
      <c r="I199" s="4705"/>
      <c r="J199" s="4706"/>
      <c r="K199" s="4706"/>
      <c r="L199" s="4707"/>
      <c r="M199" s="4711">
        <f>SUM(M195:O196)</f>
        <v>0</v>
      </c>
      <c r="N199" s="4712"/>
      <c r="O199" s="4713"/>
      <c r="P199" s="16"/>
      <c r="Q199" s="16"/>
      <c r="R199" s="16"/>
      <c r="S199" s="16"/>
      <c r="T199" s="16"/>
      <c r="U199" s="16"/>
      <c r="V199" s="16"/>
      <c r="W199" s="16"/>
      <c r="X199" s="16"/>
      <c r="Y199" s="16"/>
      <c r="Z199" s="16"/>
      <c r="AA199" s="16"/>
      <c r="AB199" s="16"/>
      <c r="AC199" s="16"/>
      <c r="AD199" s="16"/>
      <c r="AE199" s="16"/>
      <c r="AF199" s="16"/>
      <c r="AG199" s="16"/>
    </row>
    <row r="200" spans="1:42" s="16" customFormat="1" ht="33" customHeight="1" thickBot="1">
      <c r="A200" s="22"/>
      <c r="B200" s="22"/>
      <c r="C200" s="22"/>
      <c r="D200" s="22"/>
      <c r="E200" s="22"/>
      <c r="F200" s="22"/>
      <c r="G200" s="22"/>
      <c r="H200" s="4704"/>
      <c r="I200" s="4708"/>
      <c r="J200" s="4709"/>
      <c r="K200" s="4709"/>
      <c r="L200" s="4710"/>
      <c r="M200" s="4714"/>
      <c r="N200" s="4715"/>
      <c r="O200" s="4716"/>
    </row>
    <row r="201" spans="1:42" s="22" customFormat="1" ht="36" customHeight="1" thickBot="1">
      <c r="H201" s="717" t="s">
        <v>969</v>
      </c>
      <c r="I201" s="4697" t="e">
        <f>SUM(I197+M199)</f>
        <v>#REF!</v>
      </c>
      <c r="J201" s="4698"/>
      <c r="K201" s="4698"/>
      <c r="L201" s="4698"/>
      <c r="M201" s="4698"/>
      <c r="N201" s="4698"/>
      <c r="O201" s="4699"/>
      <c r="P201" s="16"/>
      <c r="Q201" s="16"/>
      <c r="R201" s="16"/>
      <c r="S201" s="16"/>
      <c r="T201" s="16"/>
      <c r="U201" s="16"/>
      <c r="V201" s="16"/>
      <c r="W201" s="16"/>
      <c r="X201" s="16"/>
      <c r="Y201" s="16"/>
      <c r="Z201" s="16"/>
      <c r="AA201" s="16"/>
      <c r="AB201" s="16"/>
      <c r="AC201" s="16"/>
      <c r="AD201" s="16"/>
      <c r="AE201" s="16"/>
      <c r="AF201" s="16"/>
      <c r="AG201" s="16"/>
    </row>
    <row r="202" spans="1:42" s="22" customFormat="1" ht="43.5" customHeight="1" thickBot="1">
      <c r="H202" s="717" t="s">
        <v>970</v>
      </c>
      <c r="I202" s="4659" t="e">
        <f>I201/'Seleccion proyecto HEREVEA02'!L8</f>
        <v>#REF!</v>
      </c>
      <c r="J202" s="4660"/>
      <c r="K202" s="4660"/>
      <c r="L202" s="4660"/>
      <c r="M202" s="4660"/>
      <c r="N202" s="4660"/>
      <c r="O202" s="4661"/>
      <c r="P202" s="16"/>
      <c r="Q202" s="16"/>
      <c r="R202" s="16"/>
      <c r="S202" s="16"/>
      <c r="T202" s="16"/>
      <c r="U202" s="16"/>
      <c r="V202" s="16"/>
      <c r="W202" s="16"/>
      <c r="X202" s="16"/>
      <c r="Y202" s="16"/>
      <c r="Z202" s="16"/>
      <c r="AA202" s="16"/>
      <c r="AB202" s="16"/>
      <c r="AC202" s="16"/>
      <c r="AD202" s="16"/>
      <c r="AE202" s="16"/>
      <c r="AF202" s="16"/>
      <c r="AG202" s="16"/>
    </row>
    <row r="203" spans="1:42" s="22" customFormat="1" ht="43.5" customHeight="1" thickBot="1">
      <c r="H203" s="948"/>
      <c r="I203" s="917"/>
      <c r="J203" s="917"/>
      <c r="K203" s="917"/>
      <c r="L203" s="917"/>
      <c r="M203" s="917"/>
      <c r="N203" s="917"/>
      <c r="O203" s="918"/>
      <c r="P203" s="16"/>
      <c r="Q203" s="16"/>
      <c r="R203" s="16"/>
      <c r="S203" s="16"/>
      <c r="T203" s="16"/>
      <c r="U203" s="16"/>
      <c r="V203" s="16"/>
      <c r="W203" s="16"/>
      <c r="X203" s="16"/>
      <c r="Y203" s="16"/>
      <c r="Z203" s="16"/>
      <c r="AA203" s="16"/>
      <c r="AB203" s="16"/>
      <c r="AC203" s="16"/>
      <c r="AD203" s="16"/>
      <c r="AE203" s="16"/>
      <c r="AF203" s="16"/>
      <c r="AG203" s="16"/>
    </row>
    <row r="204" spans="1:42" s="22" customFormat="1" ht="43.5" customHeight="1" thickBot="1">
      <c r="H204" s="4717" t="s">
        <v>966</v>
      </c>
      <c r="I204" s="4718"/>
      <c r="J204" s="4718"/>
      <c r="K204" s="4718"/>
      <c r="L204" s="4718"/>
      <c r="M204" s="4718"/>
      <c r="N204" s="4718"/>
      <c r="O204" s="4719"/>
      <c r="P204" s="16"/>
      <c r="Q204" s="16"/>
      <c r="R204" s="16"/>
      <c r="S204" s="16"/>
      <c r="T204" s="16"/>
      <c r="U204" s="16"/>
      <c r="V204" s="16"/>
      <c r="W204" s="16"/>
      <c r="X204" s="16"/>
      <c r="Y204" s="16"/>
      <c r="Z204" s="16"/>
      <c r="AA204" s="16"/>
      <c r="AB204" s="16"/>
      <c r="AC204" s="16"/>
      <c r="AD204" s="16"/>
      <c r="AE204" s="16"/>
      <c r="AF204" s="16"/>
      <c r="AG204" s="16"/>
    </row>
    <row r="205" spans="1:42" s="22" customFormat="1" ht="43.5" customHeight="1" thickBot="1">
      <c r="A205"/>
      <c r="H205" s="4652" t="s">
        <v>937</v>
      </c>
      <c r="I205" s="4654" t="s">
        <v>365</v>
      </c>
      <c r="J205" s="4654" t="s">
        <v>286</v>
      </c>
      <c r="K205" s="4650" t="s">
        <v>931</v>
      </c>
      <c r="L205" s="4650"/>
      <c r="M205" s="4650"/>
      <c r="N205" s="4650"/>
      <c r="O205" s="4651"/>
      <c r="P205" s="16"/>
      <c r="Q205" s="16"/>
      <c r="R205" s="16"/>
      <c r="S205" s="16"/>
      <c r="T205" s="16"/>
      <c r="U205" s="16"/>
      <c r="V205" s="16"/>
      <c r="W205" s="16"/>
      <c r="X205" s="16"/>
      <c r="Y205" s="16"/>
      <c r="Z205" s="16"/>
      <c r="AA205" s="16"/>
      <c r="AB205" s="16"/>
      <c r="AC205" s="16"/>
      <c r="AD205" s="16"/>
      <c r="AE205" s="16"/>
      <c r="AF205" s="16"/>
      <c r="AG205" s="16"/>
    </row>
    <row r="206" spans="1:42" s="22" customFormat="1" ht="22.5" customHeight="1" thickBot="1">
      <c r="A206"/>
      <c r="H206" s="4653"/>
      <c r="I206" s="4747"/>
      <c r="J206" s="4747"/>
      <c r="K206" s="742" t="s">
        <v>369</v>
      </c>
      <c r="L206" s="4748" t="s">
        <v>368</v>
      </c>
      <c r="M206" s="4748"/>
      <c r="N206" s="4748"/>
      <c r="O206" s="4749"/>
      <c r="P206" s="16"/>
      <c r="Q206" s="16"/>
      <c r="R206" s="16"/>
      <c r="S206" s="16"/>
      <c r="T206" s="16"/>
      <c r="U206" s="16"/>
      <c r="V206" s="16"/>
      <c r="W206" s="16"/>
      <c r="X206" s="16"/>
      <c r="Y206" s="16"/>
      <c r="Z206" s="16"/>
      <c r="AA206" s="16"/>
      <c r="AB206" s="16"/>
      <c r="AC206" s="16"/>
      <c r="AD206" s="16"/>
      <c r="AE206" s="16"/>
      <c r="AF206" s="16"/>
      <c r="AG206" s="16"/>
    </row>
    <row r="207" spans="1:42" s="22" customFormat="1" ht="22.5" customHeight="1">
      <c r="A207"/>
      <c r="H207" s="4646" t="s">
        <v>968</v>
      </c>
      <c r="I207" s="743" t="s">
        <v>932</v>
      </c>
      <c r="J207" s="915" t="s">
        <v>933</v>
      </c>
      <c r="K207" s="714" t="s">
        <v>935</v>
      </c>
      <c r="L207" s="715" t="s">
        <v>938</v>
      </c>
      <c r="M207" s="715" t="s">
        <v>939</v>
      </c>
      <c r="N207" s="715" t="s">
        <v>940</v>
      </c>
      <c r="O207" s="716" t="s">
        <v>941</v>
      </c>
      <c r="P207" s="16"/>
      <c r="Q207" s="16"/>
      <c r="R207" s="16"/>
      <c r="S207" s="16"/>
      <c r="T207" s="16"/>
      <c r="U207" s="16"/>
      <c r="V207" s="16"/>
      <c r="W207" s="16"/>
      <c r="X207" s="16"/>
      <c r="Y207" s="16"/>
      <c r="Z207" s="16"/>
      <c r="AA207" s="16"/>
      <c r="AB207" s="16"/>
      <c r="AC207" s="16"/>
      <c r="AD207" s="16"/>
      <c r="AE207" s="16"/>
      <c r="AF207" s="16"/>
      <c r="AG207" s="16"/>
    </row>
    <row r="208" spans="1:42" s="22" customFormat="1" ht="22.5" customHeight="1">
      <c r="A208"/>
      <c r="H208" s="4646"/>
      <c r="I208" s="4753" t="e">
        <f>C171</f>
        <v>#REF!</v>
      </c>
      <c r="J208" s="4755" t="e">
        <f>C174</f>
        <v>#REF!</v>
      </c>
      <c r="K208" s="4757" t="e">
        <f>C173</f>
        <v>#REF!</v>
      </c>
      <c r="L208" s="4759">
        <f>C172</f>
        <v>0</v>
      </c>
      <c r="M208" s="4759">
        <f>D172</f>
        <v>0</v>
      </c>
      <c r="N208" s="4634">
        <f>E172</f>
        <v>0</v>
      </c>
      <c r="O208" s="4636">
        <f>F172</f>
        <v>0</v>
      </c>
      <c r="P208" s="16"/>
      <c r="Q208" s="16"/>
      <c r="R208" s="16"/>
      <c r="S208" s="16"/>
      <c r="T208" s="16"/>
      <c r="U208" s="16"/>
      <c r="V208" s="16"/>
      <c r="W208" s="16"/>
      <c r="X208" s="16"/>
      <c r="Y208" s="16"/>
      <c r="Z208" s="16"/>
      <c r="AA208" s="16"/>
      <c r="AB208" s="16"/>
      <c r="AC208" s="16"/>
      <c r="AD208" s="16"/>
      <c r="AE208" s="16"/>
      <c r="AF208" s="16"/>
      <c r="AG208" s="16"/>
      <c r="AP208" s="722"/>
    </row>
    <row r="209" spans="1:113" s="22" customFormat="1" ht="22.5" customHeight="1" thickBot="1">
      <c r="A209"/>
      <c r="H209" s="4647"/>
      <c r="I209" s="4754"/>
      <c r="J209" s="4756"/>
      <c r="K209" s="4758"/>
      <c r="L209" s="4760"/>
      <c r="M209" s="4760"/>
      <c r="N209" s="4635"/>
      <c r="O209" s="4637"/>
      <c r="P209" s="16"/>
      <c r="Q209" s="16"/>
      <c r="R209" s="16"/>
      <c r="S209" s="16"/>
      <c r="T209" s="16"/>
      <c r="U209" s="16"/>
      <c r="V209" s="16"/>
      <c r="Y209" s="16"/>
      <c r="Z209" s="16"/>
      <c r="AA209" s="16"/>
      <c r="AB209" s="16"/>
      <c r="AC209" s="16"/>
      <c r="AD209" s="16"/>
      <c r="AE209" s="16"/>
      <c r="AF209" s="16"/>
      <c r="AG209" s="16"/>
    </row>
    <row r="210" spans="1:113" s="22" customFormat="1" ht="33.75" customHeight="1">
      <c r="A210"/>
      <c r="H210" s="4663" t="s">
        <v>936</v>
      </c>
      <c r="I210" s="4750" t="e">
        <f>SUM(I208:L209)</f>
        <v>#REF!</v>
      </c>
      <c r="J210" s="4751"/>
      <c r="K210" s="4751"/>
      <c r="L210" s="4752"/>
      <c r="M210" s="4638"/>
      <c r="N210" s="4638"/>
      <c r="O210" s="4662"/>
      <c r="Y210" s="16"/>
      <c r="Z210" s="16"/>
      <c r="AA210" s="16"/>
      <c r="AB210" s="16"/>
      <c r="AC210" s="16"/>
      <c r="AD210" s="16"/>
      <c r="AE210" s="16"/>
      <c r="AF210" s="16"/>
      <c r="AG210" s="16"/>
      <c r="AP210" s="910"/>
      <c r="AQ210" s="910"/>
    </row>
    <row r="211" spans="1:113" s="22" customFormat="1" ht="33.75" customHeight="1" thickBot="1">
      <c r="A211"/>
      <c r="H211" s="4664"/>
      <c r="I211" s="4668"/>
      <c r="J211" s="4669"/>
      <c r="K211" s="4669"/>
      <c r="L211" s="4670"/>
      <c r="M211" s="4638"/>
      <c r="N211" s="4638"/>
      <c r="O211" s="4662"/>
      <c r="Y211" s="16"/>
      <c r="Z211" s="16"/>
      <c r="AA211" s="16"/>
      <c r="AB211" s="16"/>
      <c r="AC211" s="16"/>
      <c r="AD211" s="16"/>
      <c r="AE211" s="16"/>
      <c r="AF211" s="16"/>
      <c r="AG211" s="16"/>
      <c r="AP211" s="910"/>
      <c r="AQ211" s="910"/>
    </row>
    <row r="212" spans="1:113" s="22" customFormat="1" ht="22.5" customHeight="1">
      <c r="A212"/>
      <c r="H212" s="4703" t="s">
        <v>942</v>
      </c>
      <c r="I212" s="4705"/>
      <c r="J212" s="4706"/>
      <c r="K212" s="4706"/>
      <c r="L212" s="4707"/>
      <c r="M212" s="4711">
        <f>SUM(M208:O209)</f>
        <v>0</v>
      </c>
      <c r="N212" s="4712"/>
      <c r="O212" s="4713"/>
      <c r="Y212" s="16"/>
      <c r="Z212" s="16"/>
      <c r="AA212" s="16"/>
      <c r="AB212" s="16"/>
      <c r="AC212" s="16"/>
      <c r="AD212" s="16"/>
      <c r="AE212" s="16"/>
      <c r="AF212" s="16"/>
      <c r="AG212" s="16"/>
      <c r="AP212" s="910"/>
      <c r="AQ212" s="910"/>
    </row>
    <row r="213" spans="1:113" s="923" customFormat="1" ht="22.5" customHeight="1" thickBot="1">
      <c r="A213"/>
      <c r="B213" s="22"/>
      <c r="C213" s="22"/>
      <c r="D213" s="22"/>
      <c r="E213" s="22"/>
      <c r="F213" s="22"/>
      <c r="G213" s="22"/>
      <c r="H213" s="4704"/>
      <c r="I213" s="4708"/>
      <c r="J213" s="4709"/>
      <c r="K213" s="4709"/>
      <c r="L213" s="4710"/>
      <c r="M213" s="4714"/>
      <c r="N213" s="4715"/>
      <c r="O213" s="4716"/>
      <c r="P213" s="22"/>
      <c r="Q213" s="22"/>
      <c r="R213" s="22"/>
      <c r="S213" s="22"/>
      <c r="T213" s="22"/>
      <c r="U213" s="22"/>
      <c r="V213" s="22"/>
      <c r="W213" s="22"/>
      <c r="X213" s="22"/>
      <c r="Y213" s="16"/>
      <c r="Z213" s="16"/>
      <c r="AA213" s="16"/>
      <c r="AB213" s="16"/>
      <c r="AC213" s="16"/>
      <c r="AD213" s="16"/>
      <c r="AE213" s="16"/>
      <c r="AF213" s="16"/>
      <c r="AG213" s="16"/>
      <c r="AH213" s="22"/>
      <c r="AI213" s="22"/>
      <c r="AJ213" s="22"/>
      <c r="AK213" s="22"/>
      <c r="AL213" s="22"/>
      <c r="AM213" s="22"/>
      <c r="AN213" s="22"/>
      <c r="AO213" s="22"/>
      <c r="AP213" s="910"/>
      <c r="AQ213" s="910"/>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row>
    <row r="214" spans="1:113" s="22" customFormat="1" ht="38.25" customHeight="1" thickBot="1">
      <c r="A214"/>
      <c r="H214" s="717" t="s">
        <v>969</v>
      </c>
      <c r="I214" s="4697" t="e">
        <f>SUM(I210+M212)</f>
        <v>#REF!</v>
      </c>
      <c r="J214" s="4698"/>
      <c r="K214" s="4698"/>
      <c r="L214" s="4698"/>
      <c r="M214" s="4698"/>
      <c r="N214" s="4698"/>
      <c r="O214" s="4699"/>
      <c r="Y214" s="16"/>
      <c r="Z214" s="16"/>
      <c r="AA214" s="16"/>
      <c r="AB214" s="16"/>
      <c r="AC214" s="16"/>
      <c r="AD214" s="16"/>
      <c r="AE214" s="16"/>
      <c r="AF214" s="16"/>
      <c r="AG214" s="16"/>
    </row>
    <row r="215" spans="1:113" s="22" customFormat="1" ht="22.5" customHeight="1" thickBot="1">
      <c r="H215" s="717" t="s">
        <v>970</v>
      </c>
      <c r="I215" s="4769" t="e">
        <f>I214/'Seleccion proyecto HEREVEA02'!L8</f>
        <v>#REF!</v>
      </c>
      <c r="J215" s="4770"/>
      <c r="K215" s="4770"/>
      <c r="L215" s="4770"/>
      <c r="M215" s="4770"/>
      <c r="N215" s="4770"/>
      <c r="O215" s="4771"/>
      <c r="Y215" s="16"/>
      <c r="Z215" s="16"/>
      <c r="AA215" s="16"/>
      <c r="AB215" s="16"/>
      <c r="AC215" s="16"/>
      <c r="AD215" s="16"/>
      <c r="AE215" s="16"/>
      <c r="AF215" s="16"/>
      <c r="AG215" s="16"/>
    </row>
    <row r="216" spans="1:113" s="22" customFormat="1" ht="30" customHeight="1" thickBot="1">
      <c r="A216"/>
      <c r="H216" s="954"/>
      <c r="I216" s="909"/>
      <c r="J216" s="909"/>
      <c r="K216" s="909"/>
      <c r="L216" s="909"/>
      <c r="M216" s="909"/>
      <c r="N216" s="909"/>
      <c r="O216" s="955"/>
      <c r="W216"/>
      <c r="X216"/>
      <c r="Y216" s="16"/>
      <c r="Z216" s="16"/>
      <c r="AA216" s="16"/>
      <c r="AB216" s="16"/>
      <c r="AC216" s="16"/>
      <c r="AD216" s="16"/>
      <c r="AE216" s="16"/>
      <c r="AF216" s="16"/>
      <c r="AG216" s="16"/>
      <c r="AO216" s="16"/>
      <c r="AP216" s="16"/>
      <c r="AQ216" s="16"/>
      <c r="AR216" s="16"/>
      <c r="AS216" s="16"/>
      <c r="AT216" s="16"/>
      <c r="AU216" s="16"/>
    </row>
    <row r="217" spans="1:113" s="22" customFormat="1" ht="34.5" customHeight="1">
      <c r="A217"/>
      <c r="H217" s="4772" t="s">
        <v>982</v>
      </c>
      <c r="I217" s="4665" t="e">
        <f>I210+I197+I184+I171+I158+I145+I132+I119+I103+I90+I74+I61</f>
        <v>#REF!</v>
      </c>
      <c r="J217" s="4666"/>
      <c r="K217" s="4666"/>
      <c r="L217" s="4666"/>
      <c r="M217" s="4666"/>
      <c r="N217" s="4666"/>
      <c r="O217" s="4667"/>
      <c r="P217"/>
      <c r="Q217"/>
      <c r="R217"/>
      <c r="S217"/>
      <c r="T217"/>
      <c r="U217"/>
      <c r="V217"/>
      <c r="W217"/>
      <c r="X217"/>
      <c r="Y217" s="16"/>
      <c r="Z217" s="16"/>
      <c r="AA217" s="16"/>
      <c r="AB217" s="16"/>
      <c r="AC217" s="16"/>
      <c r="AD217" s="16"/>
      <c r="AE217" s="16"/>
      <c r="AF217" s="16"/>
      <c r="AG217" s="16"/>
      <c r="AO217" s="16"/>
      <c r="AP217" s="16"/>
      <c r="AQ217" s="16"/>
      <c r="AR217" s="16"/>
      <c r="AS217" s="16"/>
      <c r="AT217" s="16"/>
      <c r="AU217" s="16"/>
    </row>
    <row r="218" spans="1:113" s="22" customFormat="1" ht="34.5" customHeight="1" thickBot="1">
      <c r="A218"/>
      <c r="H218" s="4773"/>
      <c r="I218" s="4668"/>
      <c r="J218" s="4669"/>
      <c r="K218" s="4669"/>
      <c r="L218" s="4669"/>
      <c r="M218" s="4669"/>
      <c r="N218" s="4669"/>
      <c r="O218" s="4670"/>
      <c r="P218"/>
      <c r="Q218"/>
      <c r="R218"/>
      <c r="S218"/>
      <c r="T218"/>
      <c r="U218"/>
      <c r="V218"/>
      <c r="W218"/>
      <c r="X218"/>
      <c r="Y218" s="16"/>
      <c r="Z218" s="16"/>
      <c r="AA218" s="16"/>
      <c r="AB218" s="16"/>
      <c r="AC218" s="16"/>
      <c r="AD218" s="16"/>
      <c r="AE218" s="16"/>
      <c r="AF218" s="16"/>
      <c r="AG218" s="16"/>
      <c r="AO218" s="16"/>
      <c r="AP218" s="16"/>
      <c r="AQ218" s="16"/>
      <c r="AR218" s="16"/>
      <c r="AS218" s="16"/>
      <c r="AT218" s="16"/>
      <c r="AU218" s="16"/>
    </row>
    <row r="219" spans="1:113" s="22" customFormat="1" ht="22.5" customHeight="1">
      <c r="A219"/>
      <c r="B219"/>
      <c r="C219"/>
      <c r="D219"/>
      <c r="E219"/>
      <c r="F219"/>
      <c r="G219"/>
      <c r="H219" s="4761" t="s">
        <v>983</v>
      </c>
      <c r="I219" s="4711">
        <f>M212+M199+M186+M173+M160+M147+M134+M119+M105+M92+M76+M63</f>
        <v>0</v>
      </c>
      <c r="J219" s="4712"/>
      <c r="K219" s="4712"/>
      <c r="L219" s="4712"/>
      <c r="M219" s="4712"/>
      <c r="N219" s="4712"/>
      <c r="O219" s="4713"/>
      <c r="P219"/>
      <c r="Q219"/>
      <c r="R219"/>
      <c r="S219"/>
      <c r="T219"/>
      <c r="U219"/>
      <c r="V219"/>
      <c r="W219"/>
      <c r="X219"/>
      <c r="Y219" s="16"/>
      <c r="Z219" s="16"/>
      <c r="AA219" s="16"/>
      <c r="AB219" s="16"/>
      <c r="AC219" s="16"/>
      <c r="AD219" s="16"/>
      <c r="AE219" s="16"/>
      <c r="AF219" s="16"/>
      <c r="AG219" s="16"/>
      <c r="AO219" s="16"/>
      <c r="AP219" s="16"/>
      <c r="AQ219" s="16"/>
      <c r="AR219" s="16"/>
      <c r="AS219" s="16"/>
      <c r="AT219" s="16"/>
      <c r="AU219" s="16"/>
    </row>
    <row r="220" spans="1:113" s="22" customFormat="1" ht="47.25" customHeight="1" thickBot="1">
      <c r="A220"/>
      <c r="B220"/>
      <c r="C220"/>
      <c r="D220"/>
      <c r="E220"/>
      <c r="F220"/>
      <c r="G220"/>
      <c r="H220" s="4762"/>
      <c r="I220" s="4714"/>
      <c r="J220" s="4715"/>
      <c r="K220" s="4715"/>
      <c r="L220" s="4715"/>
      <c r="M220" s="4715"/>
      <c r="N220" s="4715"/>
      <c r="O220" s="4716"/>
      <c r="P220"/>
      <c r="Q220"/>
      <c r="R220"/>
      <c r="S220"/>
      <c r="T220"/>
      <c r="U220"/>
      <c r="V220"/>
      <c r="W220"/>
      <c r="X220"/>
      <c r="Y220" s="16"/>
      <c r="Z220" s="16"/>
      <c r="AA220" s="16"/>
      <c r="AB220" s="16"/>
      <c r="AC220" s="16"/>
      <c r="AD220" s="16"/>
      <c r="AE220" s="16"/>
      <c r="AF220" s="16"/>
      <c r="AG220" s="16"/>
      <c r="AO220" s="16"/>
      <c r="AP220" s="16"/>
      <c r="AQ220" s="919"/>
      <c r="AR220" s="919"/>
      <c r="AS220" s="919"/>
      <c r="AT220" s="919"/>
      <c r="AU220" s="16"/>
    </row>
    <row r="221" spans="1:113" s="22" customFormat="1" ht="39.75" customHeight="1" thickBot="1">
      <c r="A221"/>
      <c r="B221"/>
      <c r="C221"/>
      <c r="D221"/>
      <c r="E221"/>
      <c r="F221"/>
      <c r="G221"/>
      <c r="H221" s="723"/>
      <c r="I221" s="909"/>
      <c r="J221" s="909"/>
      <c r="K221" s="909"/>
      <c r="L221" s="909"/>
      <c r="M221" s="909"/>
      <c r="N221" s="909"/>
      <c r="O221" s="909"/>
      <c r="P221"/>
      <c r="Q221"/>
      <c r="R221"/>
      <c r="S221"/>
      <c r="T221"/>
      <c r="U221"/>
      <c r="V221"/>
      <c r="W221"/>
      <c r="X221"/>
      <c r="Y221" s="16"/>
      <c r="Z221" s="16"/>
      <c r="AA221" s="16"/>
      <c r="AB221" s="16"/>
      <c r="AC221" s="16"/>
      <c r="AD221" s="16"/>
      <c r="AE221" s="16"/>
      <c r="AF221" s="16"/>
      <c r="AG221" s="16"/>
      <c r="AO221" s="16"/>
      <c r="AP221" s="16"/>
      <c r="AQ221" s="127"/>
      <c r="AR221" s="127"/>
      <c r="AS221" s="956"/>
      <c r="AT221" s="127"/>
      <c r="AU221" s="16"/>
    </row>
    <row r="222" spans="1:113" s="22" customFormat="1" ht="74.25" customHeight="1" thickBot="1">
      <c r="A222"/>
      <c r="B222"/>
      <c r="C222"/>
      <c r="D222"/>
      <c r="E222"/>
      <c r="F222"/>
      <c r="G222"/>
      <c r="H222" s="4717" t="s">
        <v>975</v>
      </c>
      <c r="I222" s="4718"/>
      <c r="J222" s="4718"/>
      <c r="K222" s="4718"/>
      <c r="L222" s="4719"/>
      <c r="M222" s="727"/>
      <c r="N222" s="727"/>
      <c r="O222" s="727"/>
      <c r="P222"/>
      <c r="Q222"/>
      <c r="R222"/>
      <c r="S222"/>
      <c r="T222"/>
      <c r="U222"/>
      <c r="V222"/>
      <c r="W222"/>
      <c r="X222"/>
      <c r="Y222" s="16"/>
      <c r="Z222" s="16"/>
      <c r="AA222" s="16"/>
      <c r="AB222" s="16"/>
      <c r="AC222" s="16"/>
      <c r="AD222" s="16"/>
      <c r="AE222" s="16"/>
      <c r="AF222" s="16"/>
      <c r="AG222" s="16"/>
      <c r="AO222" s="16"/>
      <c r="AP222" s="16"/>
      <c r="AQ222" s="16"/>
      <c r="AR222" s="127"/>
      <c r="AS222" s="16"/>
      <c r="AT222" s="16"/>
      <c r="AU222" s="16"/>
    </row>
    <row r="223" spans="1:113" s="22" customFormat="1" ht="53.25" customHeight="1" thickBot="1">
      <c r="A223"/>
      <c r="B223"/>
      <c r="C223"/>
      <c r="D223"/>
      <c r="E223"/>
      <c r="F223"/>
      <c r="G223"/>
      <c r="H223" s="4652" t="s">
        <v>937</v>
      </c>
      <c r="I223" s="4764" t="s">
        <v>931</v>
      </c>
      <c r="J223" s="4651"/>
      <c r="K223" s="4764" t="s">
        <v>286</v>
      </c>
      <c r="L223" s="4651"/>
      <c r="M223" s="912"/>
      <c r="N223" s="912"/>
      <c r="O223" s="912"/>
      <c r="P223"/>
      <c r="Q223"/>
      <c r="R223"/>
      <c r="S223"/>
      <c r="T223"/>
      <c r="U223"/>
      <c r="V223"/>
      <c r="W223"/>
      <c r="X223"/>
      <c r="AO223" s="16"/>
      <c r="AP223" s="16"/>
      <c r="AQ223" s="16"/>
      <c r="AR223" s="16"/>
      <c r="AS223" s="16"/>
      <c r="AT223" s="16"/>
      <c r="AU223" s="16"/>
    </row>
    <row r="224" spans="1:113" s="22" customFormat="1" ht="42" customHeight="1">
      <c r="A224"/>
      <c r="B224"/>
      <c r="C224"/>
      <c r="D224"/>
      <c r="E224"/>
      <c r="F224"/>
      <c r="G224"/>
      <c r="H224" s="4763"/>
      <c r="I224" s="4765" t="s">
        <v>819</v>
      </c>
      <c r="J224" s="4766"/>
      <c r="K224" s="4765" t="s">
        <v>820</v>
      </c>
      <c r="L224" s="4766"/>
      <c r="M224" s="907"/>
      <c r="N224" s="907"/>
      <c r="O224" s="907"/>
      <c r="P224"/>
      <c r="Q224"/>
      <c r="R224"/>
      <c r="S224"/>
      <c r="T224"/>
      <c r="U224"/>
      <c r="V224"/>
      <c r="W224"/>
      <c r="X224"/>
    </row>
    <row r="225" spans="1:56" ht="27" customHeight="1" thickBot="1">
      <c r="H225" s="4653"/>
      <c r="I225" s="4767"/>
      <c r="J225" s="4768"/>
      <c r="K225" s="4767"/>
      <c r="L225" s="4768"/>
      <c r="M225" s="907"/>
      <c r="N225" s="907"/>
      <c r="O225" s="907"/>
      <c r="Y225" s="22"/>
      <c r="Z225" s="22"/>
      <c r="AA225" s="22"/>
      <c r="AB225" s="22"/>
      <c r="AC225" s="22"/>
      <c r="AD225" s="22"/>
      <c r="AE225" s="22"/>
      <c r="AF225" s="22"/>
      <c r="AG225" s="22"/>
      <c r="AP225" s="22"/>
      <c r="AQ225" s="22"/>
      <c r="AR225" s="22"/>
      <c r="AS225" s="22"/>
      <c r="AT225" s="22"/>
      <c r="AU225" s="22"/>
      <c r="AV225" s="22"/>
      <c r="AW225" s="22"/>
      <c r="AX225" s="22"/>
      <c r="AY225" s="22"/>
      <c r="AZ225" s="22"/>
      <c r="BA225" s="22"/>
      <c r="BB225" s="22"/>
      <c r="BC225" s="22"/>
      <c r="BD225" s="22"/>
    </row>
    <row r="226" spans="1:56" ht="15.5">
      <c r="H226" s="4646" t="s">
        <v>976</v>
      </c>
      <c r="I226" s="4783" t="s">
        <v>974</v>
      </c>
      <c r="J226" s="4784"/>
      <c r="K226" s="4785" t="s">
        <v>974</v>
      </c>
      <c r="L226" s="4784"/>
      <c r="M226" s="720"/>
      <c r="N226" s="720"/>
      <c r="O226" s="720"/>
      <c r="Y226" s="22"/>
      <c r="Z226" s="22"/>
      <c r="AA226" s="22"/>
      <c r="AB226" s="22"/>
      <c r="AC226" s="22"/>
      <c r="AD226" s="22"/>
      <c r="AE226" s="22"/>
      <c r="AF226" s="22"/>
      <c r="AG226" s="22"/>
      <c r="AP226" s="22"/>
      <c r="AQ226" s="22"/>
      <c r="AR226" s="22"/>
      <c r="AS226" s="22"/>
      <c r="AT226" s="22"/>
      <c r="AU226" s="22"/>
      <c r="AV226" s="22"/>
      <c r="AW226" s="22"/>
      <c r="AX226" s="22"/>
      <c r="AY226" s="22"/>
      <c r="AZ226" s="22"/>
      <c r="BA226" s="22"/>
      <c r="BB226" s="22"/>
      <c r="BC226" s="22"/>
      <c r="BD226" s="22"/>
    </row>
    <row r="227" spans="1:56" ht="15.5">
      <c r="H227" s="4646"/>
      <c r="I227" s="4786">
        <f>'Huella residuos y s. consumida'!G25</f>
        <v>3.4210798830000004</v>
      </c>
      <c r="J227" s="4787"/>
      <c r="K227" s="4790">
        <f>'Huella residuos y s. consumida'!G26</f>
        <v>54.61676748</v>
      </c>
      <c r="L227" s="4787"/>
      <c r="M227" s="909"/>
      <c r="N227" s="909"/>
      <c r="O227" s="909"/>
      <c r="Y227" s="22"/>
      <c r="Z227" s="22"/>
      <c r="AA227" s="22"/>
      <c r="AB227" s="22"/>
      <c r="AC227" s="22"/>
      <c r="AD227" s="22"/>
      <c r="AE227" s="22"/>
      <c r="AF227" s="22"/>
      <c r="AG227" s="22"/>
      <c r="AP227" s="22"/>
      <c r="AQ227" s="22"/>
      <c r="AR227" s="22"/>
      <c r="AS227" s="22"/>
      <c r="AT227" s="22"/>
      <c r="AU227" s="22"/>
      <c r="AV227" s="22"/>
      <c r="AW227" s="22"/>
      <c r="AX227" s="22"/>
      <c r="AY227" s="22"/>
      <c r="AZ227" s="22"/>
      <c r="BA227" s="22"/>
      <c r="BB227" s="22"/>
      <c r="BC227" s="22"/>
      <c r="BD227" s="22"/>
    </row>
    <row r="228" spans="1:56" ht="16" thickBot="1">
      <c r="H228" s="4647"/>
      <c r="I228" s="4788"/>
      <c r="J228" s="4789"/>
      <c r="K228" s="4756"/>
      <c r="L228" s="4789"/>
      <c r="M228" s="909"/>
      <c r="N228" s="909"/>
      <c r="O228" s="909"/>
      <c r="Y228" s="22"/>
      <c r="Z228" s="22"/>
      <c r="AA228" s="22"/>
      <c r="AB228" s="22"/>
      <c r="AC228" s="22"/>
      <c r="AD228" s="22"/>
      <c r="AE228" s="22"/>
      <c r="AF228" s="22"/>
      <c r="AG228" s="22"/>
      <c r="AP228" s="22"/>
      <c r="AQ228" s="22"/>
      <c r="AR228" s="22"/>
      <c r="AS228" s="22"/>
      <c r="AT228" s="22"/>
      <c r="AU228" s="22"/>
      <c r="AV228" s="22"/>
      <c r="AW228" s="22"/>
      <c r="AX228" s="22"/>
      <c r="AY228" s="22"/>
      <c r="AZ228" s="22"/>
      <c r="BA228" s="22"/>
      <c r="BB228" s="22"/>
      <c r="BC228" s="22"/>
      <c r="BD228" s="22"/>
    </row>
    <row r="229" spans="1:56" ht="30.75" customHeight="1">
      <c r="B229" s="22"/>
      <c r="C229" s="22"/>
      <c r="D229" s="22"/>
      <c r="E229" s="22"/>
      <c r="F229" s="22"/>
      <c r="G229" s="22"/>
      <c r="H229" s="4663" t="s">
        <v>731</v>
      </c>
      <c r="I229" s="4665">
        <f>SUM(I227:L228)</f>
        <v>58.037847362999997</v>
      </c>
      <c r="J229" s="4666"/>
      <c r="K229" s="4666"/>
      <c r="L229" s="4667"/>
      <c r="M229" s="4774"/>
      <c r="N229" s="4774"/>
      <c r="O229" s="4774"/>
      <c r="Y229" s="22"/>
      <c r="Z229" s="22"/>
      <c r="AA229" s="22"/>
      <c r="AB229" s="22"/>
      <c r="AC229" s="22"/>
      <c r="AD229" s="22"/>
      <c r="AE229" s="22"/>
      <c r="AF229" s="22"/>
      <c r="AG229" s="22"/>
      <c r="AP229" s="22"/>
      <c r="AQ229" s="22"/>
      <c r="AR229" s="22"/>
      <c r="AS229" s="22"/>
      <c r="AT229" s="22"/>
      <c r="AU229" s="22"/>
      <c r="AV229" s="22"/>
      <c r="AW229" s="22"/>
      <c r="AX229" s="22"/>
      <c r="AY229" s="22"/>
      <c r="AZ229" s="22"/>
      <c r="BA229" s="22"/>
      <c r="BB229" s="22"/>
      <c r="BC229" s="22"/>
      <c r="BD229" s="22"/>
    </row>
    <row r="230" spans="1:56" ht="15" thickBot="1">
      <c r="H230" s="4664"/>
      <c r="I230" s="4668"/>
      <c r="J230" s="4669"/>
      <c r="K230" s="4669"/>
      <c r="L230" s="4670"/>
      <c r="M230" s="4774"/>
      <c r="N230" s="4774"/>
      <c r="O230" s="4774"/>
      <c r="AP230" s="22"/>
      <c r="AQ230" s="22"/>
      <c r="AR230" s="22"/>
      <c r="AS230" s="22"/>
      <c r="AT230" s="22"/>
      <c r="AU230" s="22"/>
      <c r="AV230" s="22"/>
      <c r="AW230" s="22"/>
      <c r="AX230" s="22"/>
      <c r="AY230" s="22"/>
      <c r="AZ230" s="22"/>
      <c r="BA230" s="22"/>
      <c r="BB230" s="22"/>
      <c r="BC230" s="22"/>
      <c r="BD230" s="22"/>
    </row>
    <row r="231" spans="1:56" ht="15.5">
      <c r="H231" s="4772" t="s">
        <v>1035</v>
      </c>
      <c r="I231" s="4665" t="e">
        <f>I229/#REF!</f>
        <v>#REF!</v>
      </c>
      <c r="J231" s="4666"/>
      <c r="K231" s="4666"/>
      <c r="L231" s="4667"/>
      <c r="M231" s="910"/>
      <c r="N231" s="910"/>
      <c r="O231" s="910"/>
      <c r="AP231" s="22"/>
      <c r="AQ231" s="22"/>
      <c r="AR231" s="22"/>
      <c r="AS231" s="22"/>
      <c r="AT231" s="22"/>
      <c r="AU231" s="22"/>
      <c r="AV231" s="22"/>
      <c r="AW231" s="22"/>
      <c r="AX231" s="22"/>
      <c r="AY231" s="22"/>
      <c r="AZ231" s="22"/>
      <c r="BA231" s="22"/>
      <c r="BB231" s="22"/>
      <c r="BC231" s="22"/>
      <c r="BD231" s="22"/>
    </row>
    <row r="232" spans="1:56" ht="33.75" customHeight="1" thickBot="1">
      <c r="H232" s="4773"/>
      <c r="I232" s="4668"/>
      <c r="J232" s="4669"/>
      <c r="K232" s="4669"/>
      <c r="L232" s="4670"/>
      <c r="M232" s="910"/>
      <c r="N232" s="910"/>
      <c r="O232" s="910"/>
      <c r="AP232" s="22"/>
      <c r="AQ232" s="22"/>
      <c r="AR232" s="22"/>
      <c r="AS232" s="22"/>
      <c r="AT232" s="22"/>
      <c r="AU232" s="22"/>
      <c r="AV232" s="22"/>
      <c r="AW232" s="22"/>
      <c r="AX232" s="22"/>
      <c r="AY232" s="22"/>
      <c r="AZ232" s="22"/>
      <c r="BA232" s="22"/>
      <c r="BB232" s="22"/>
      <c r="BC232" s="22"/>
      <c r="BD232" s="22"/>
    </row>
    <row r="233" spans="1:56" ht="32.25" customHeight="1" thickBot="1">
      <c r="H233" s="925"/>
      <c r="I233" s="916"/>
      <c r="J233" s="916"/>
      <c r="K233" s="916"/>
      <c r="L233" s="916"/>
      <c r="M233" s="924"/>
      <c r="N233" s="924"/>
      <c r="O233" s="924"/>
      <c r="AP233" s="22"/>
      <c r="AQ233" s="22"/>
      <c r="AR233" s="22"/>
      <c r="AS233" s="22"/>
      <c r="AT233" s="22"/>
      <c r="AU233" s="22"/>
      <c r="AV233" s="22"/>
      <c r="AW233" s="22"/>
      <c r="AX233" s="22"/>
      <c r="AY233" s="22"/>
      <c r="AZ233" s="22"/>
      <c r="BA233" s="22"/>
      <c r="BB233" s="22"/>
      <c r="BC233" s="22"/>
      <c r="BD233" s="22"/>
    </row>
    <row r="234" spans="1:56" ht="43.5" customHeight="1">
      <c r="H234" s="4775" t="s">
        <v>984</v>
      </c>
      <c r="I234" s="4777" t="e">
        <f>I217+I229</f>
        <v>#REF!</v>
      </c>
      <c r="J234" s="4778"/>
      <c r="K234" s="4778"/>
      <c r="L234" s="4778"/>
      <c r="M234" s="4778"/>
      <c r="N234" s="4778"/>
      <c r="O234" s="4779"/>
      <c r="AP234" s="22"/>
      <c r="AQ234" s="22"/>
      <c r="AR234" s="22"/>
      <c r="AS234" s="22"/>
      <c r="AT234" s="22"/>
      <c r="AU234" s="22"/>
      <c r="AV234" s="22"/>
      <c r="AW234" s="22"/>
      <c r="AX234" s="22"/>
      <c r="AY234" s="22"/>
      <c r="AZ234" s="22"/>
      <c r="BA234" s="22"/>
      <c r="BB234" s="22"/>
      <c r="BC234" s="22"/>
      <c r="BD234" s="22"/>
    </row>
    <row r="235" spans="1:56" s="22" customFormat="1" ht="16" thickBot="1">
      <c r="A235"/>
      <c r="B235"/>
      <c r="C235"/>
      <c r="D235"/>
      <c r="E235"/>
      <c r="F235"/>
      <c r="G235"/>
      <c r="H235" s="4776"/>
      <c r="I235" s="4780"/>
      <c r="J235" s="4781"/>
      <c r="K235" s="4781"/>
      <c r="L235" s="4781"/>
      <c r="M235" s="4781"/>
      <c r="N235" s="4781"/>
      <c r="O235" s="4782"/>
      <c r="P235"/>
      <c r="Q235"/>
      <c r="R235"/>
      <c r="S235"/>
      <c r="T235"/>
      <c r="U235"/>
      <c r="V235"/>
      <c r="W235"/>
      <c r="X235"/>
      <c r="Y235"/>
      <c r="Z235"/>
      <c r="AA235"/>
      <c r="AB235"/>
      <c r="AC235"/>
      <c r="AD235"/>
      <c r="AE235"/>
      <c r="AF235"/>
      <c r="AG235"/>
      <c r="AH235" s="720"/>
      <c r="AI235" s="919"/>
      <c r="AJ235" s="919"/>
      <c r="AK235" s="919"/>
      <c r="AL235" s="919"/>
      <c r="AM235" s="919"/>
      <c r="AN235" s="919"/>
      <c r="AO235" s="910"/>
    </row>
    <row r="236" spans="1:56" ht="16" thickBot="1">
      <c r="H236" s="744" t="s">
        <v>987</v>
      </c>
      <c r="I236" s="4809">
        <f>M59+M72+M85+M101+M114+M130+M143+M156+M169+M182+M195+M208</f>
        <v>0</v>
      </c>
      <c r="J236" s="4810"/>
      <c r="K236" s="4810"/>
      <c r="L236" s="4810"/>
      <c r="M236" s="4810"/>
      <c r="N236" s="4810"/>
      <c r="O236" s="4811"/>
    </row>
    <row r="237" spans="1:56" ht="16" thickBot="1">
      <c r="H237" s="914" t="s">
        <v>988</v>
      </c>
      <c r="I237" s="4809">
        <f>N59+N72+N85+N101+N114+N130+N143+N156+N169+N182+N195+N208</f>
        <v>0</v>
      </c>
      <c r="J237" s="4810"/>
      <c r="K237" s="4810"/>
      <c r="L237" s="4810"/>
      <c r="M237" s="4810"/>
      <c r="N237" s="4810"/>
      <c r="O237" s="4811"/>
    </row>
    <row r="238" spans="1:56" ht="16" thickBot="1">
      <c r="H238" s="744" t="s">
        <v>989</v>
      </c>
      <c r="I238" s="4809">
        <f>O59+O72+O85+O101+O114+O130+O143+O156+O169+O182+O195+O208</f>
        <v>0</v>
      </c>
      <c r="J238" s="4810"/>
      <c r="K238" s="4810"/>
      <c r="L238" s="4810"/>
      <c r="M238" s="4810"/>
      <c r="N238" s="4810"/>
      <c r="O238" s="4811"/>
    </row>
    <row r="239" spans="1:56" ht="15.5">
      <c r="H239" s="724"/>
      <c r="I239" s="909"/>
      <c r="J239" s="909"/>
      <c r="K239" s="909"/>
      <c r="L239" s="909"/>
      <c r="M239" s="909"/>
      <c r="N239" s="909"/>
      <c r="O239" s="909"/>
    </row>
    <row r="240" spans="1:56" ht="16" thickBot="1">
      <c r="H240" s="723"/>
      <c r="I240" s="909"/>
      <c r="J240" s="909"/>
      <c r="K240" s="909"/>
      <c r="L240" s="909"/>
      <c r="M240" s="909"/>
      <c r="N240" s="909"/>
      <c r="O240" s="909"/>
    </row>
    <row r="241" spans="8:15" ht="16" thickBot="1">
      <c r="H241" s="4685" t="s">
        <v>953</v>
      </c>
      <c r="I241" s="4686"/>
      <c r="J241" s="4686"/>
      <c r="K241" s="4686"/>
      <c r="L241" s="4686"/>
      <c r="M241" s="4686"/>
      <c r="N241" s="4686"/>
      <c r="O241" s="4687"/>
    </row>
    <row r="242" spans="8:15" ht="16" thickBot="1">
      <c r="H242" s="722"/>
      <c r="I242" s="722"/>
      <c r="J242" s="722"/>
      <c r="K242" s="722"/>
      <c r="L242" s="722"/>
      <c r="M242" s="722"/>
      <c r="N242" s="722"/>
      <c r="O242" s="722"/>
    </row>
    <row r="243" spans="8:15" ht="15.5">
      <c r="H243" s="4652" t="s">
        <v>937</v>
      </c>
      <c r="I243" s="4812" t="s">
        <v>977</v>
      </c>
      <c r="J243" s="4813"/>
      <c r="K243" s="4812" t="s">
        <v>978</v>
      </c>
      <c r="L243" s="4813"/>
      <c r="M243" s="4812" t="s">
        <v>979</v>
      </c>
      <c r="N243" s="4813"/>
      <c r="O243" s="910"/>
    </row>
    <row r="244" spans="8:15" ht="16" thickBot="1">
      <c r="H244" s="4763"/>
      <c r="I244" s="4814"/>
      <c r="J244" s="4815"/>
      <c r="K244" s="4814"/>
      <c r="L244" s="4815"/>
      <c r="M244" s="4814"/>
      <c r="N244" s="4815"/>
      <c r="O244" s="910"/>
    </row>
    <row r="245" spans="8:15" ht="16" thickBot="1">
      <c r="H245" s="4797" t="s">
        <v>976</v>
      </c>
      <c r="I245" s="4798" t="s">
        <v>985</v>
      </c>
      <c r="J245" s="4799"/>
      <c r="K245" s="4798" t="s">
        <v>981</v>
      </c>
      <c r="L245" s="4800"/>
      <c r="M245" s="4798" t="s">
        <v>980</v>
      </c>
      <c r="N245" s="4800"/>
      <c r="O245" s="910"/>
    </row>
    <row r="246" spans="8:15" ht="15.5">
      <c r="H246" s="4646"/>
      <c r="I246" s="4801">
        <f>'Huella maquinaria'!P32</f>
        <v>450.57061146502537</v>
      </c>
      <c r="J246" s="4802"/>
      <c r="K246" s="4805">
        <f>'Huella consumo agua'!C17</f>
        <v>0.25631395798834944</v>
      </c>
      <c r="L246" s="4806"/>
      <c r="M246" s="4805">
        <f>'Huella residuos y s. consumida'!G34</f>
        <v>0.27863432189999998</v>
      </c>
      <c r="N246" s="4806"/>
      <c r="O246" s="910"/>
    </row>
    <row r="247" spans="8:15" ht="16" thickBot="1">
      <c r="H247" s="4647"/>
      <c r="I247" s="4803"/>
      <c r="J247" s="4804"/>
      <c r="K247" s="4807"/>
      <c r="L247" s="4808"/>
      <c r="M247" s="4807"/>
      <c r="N247" s="4808"/>
      <c r="O247" s="910"/>
    </row>
    <row r="248" spans="8:15" ht="16" thickBot="1">
      <c r="H248" s="720"/>
      <c r="I248" s="748"/>
      <c r="J248" s="748"/>
      <c r="K248" s="909"/>
      <c r="L248" s="909"/>
      <c r="M248" s="909"/>
      <c r="N248" s="909"/>
      <c r="O248" s="910"/>
    </row>
    <row r="249" spans="8:15" ht="18.5" thickBot="1">
      <c r="H249" s="4685" t="s">
        <v>990</v>
      </c>
      <c r="I249" s="4686"/>
      <c r="J249" s="4686"/>
      <c r="K249" s="89"/>
      <c r="L249" s="922" t="str">
        <f>I38</f>
        <v>c107</v>
      </c>
      <c r="M249" s="920"/>
      <c r="N249" s="920"/>
      <c r="O249" s="921"/>
    </row>
    <row r="250" spans="8:15" ht="16" thickBot="1">
      <c r="H250" s="720"/>
      <c r="I250" s="700"/>
      <c r="J250" s="700"/>
      <c r="K250" s="909"/>
      <c r="L250" s="909"/>
      <c r="M250" s="913"/>
      <c r="N250" s="913"/>
      <c r="O250" s="910"/>
    </row>
    <row r="251" spans="8:15" ht="31">
      <c r="H251" s="4792" t="s">
        <v>645</v>
      </c>
      <c r="I251" s="745" t="s">
        <v>939</v>
      </c>
      <c r="J251" s="746" t="s">
        <v>940</v>
      </c>
      <c r="K251" s="746" t="s">
        <v>941</v>
      </c>
      <c r="L251" s="746" t="s">
        <v>936</v>
      </c>
      <c r="M251" s="746" t="s">
        <v>981</v>
      </c>
      <c r="N251" s="747" t="s">
        <v>986</v>
      </c>
      <c r="O251" s="910"/>
    </row>
    <row r="252" spans="8:15" ht="16" thickBot="1">
      <c r="H252" s="4793"/>
      <c r="I252" s="749">
        <f>I236</f>
        <v>0</v>
      </c>
      <c r="J252" s="750">
        <f>I237</f>
        <v>0</v>
      </c>
      <c r="K252" s="750">
        <f>I238</f>
        <v>0</v>
      </c>
      <c r="L252" s="750" t="e">
        <f>I234+I246</f>
        <v>#REF!</v>
      </c>
      <c r="M252" s="750">
        <f>K246</f>
        <v>0.25631395798834944</v>
      </c>
      <c r="N252" s="751">
        <f>M246</f>
        <v>0.27863432189999998</v>
      </c>
      <c r="O252" s="910"/>
    </row>
    <row r="253" spans="8:15" ht="16" thickBot="1">
      <c r="H253" s="717" t="s">
        <v>997</v>
      </c>
      <c r="I253" s="4794" t="e">
        <f>SUM(I252:N252)</f>
        <v>#REF!</v>
      </c>
      <c r="J253" s="4795"/>
      <c r="K253" s="4795"/>
      <c r="L253" s="4795"/>
      <c r="M253" s="4795"/>
      <c r="N253" s="4796"/>
      <c r="O253" s="910"/>
    </row>
    <row r="254" spans="8:15" ht="16" thickBot="1">
      <c r="H254" s="717" t="s">
        <v>1034</v>
      </c>
      <c r="I254" s="4794" t="e">
        <f>I253/#REF!</f>
        <v>#REF!</v>
      </c>
      <c r="J254" s="4795"/>
      <c r="K254" s="4795"/>
      <c r="L254" s="4795"/>
      <c r="M254" s="4795"/>
      <c r="N254" s="4796"/>
      <c r="O254" s="910"/>
    </row>
    <row r="256" spans="8:15" ht="46.5">
      <c r="I256" s="967" t="s">
        <v>1053</v>
      </c>
      <c r="J256" s="967" t="s">
        <v>1054</v>
      </c>
      <c r="K256" s="967" t="s">
        <v>1055</v>
      </c>
    </row>
    <row r="257" spans="8:11" ht="16" thickBot="1">
      <c r="I257" s="968" t="e">
        <f>I234</f>
        <v>#REF!</v>
      </c>
      <c r="J257" s="968">
        <f>I246+K246+M246</f>
        <v>451.10555974491371</v>
      </c>
      <c r="K257" s="968" t="e">
        <f>I257+J257</f>
        <v>#REF!</v>
      </c>
    </row>
    <row r="258" spans="8:11" ht="16" thickBot="1">
      <c r="H258" s="717" t="s">
        <v>1056</v>
      </c>
      <c r="I258" s="970" t="e">
        <f>I257/K257</f>
        <v>#REF!</v>
      </c>
      <c r="J258" s="971" t="e">
        <f>J257/K257</f>
        <v>#REF!</v>
      </c>
      <c r="K258" s="969" t="e">
        <f>SUM(I258:J258)</f>
        <v>#REF!</v>
      </c>
    </row>
  </sheetData>
  <mergeCells count="443">
    <mergeCell ref="H50:H51"/>
    <mergeCell ref="I50:L51"/>
    <mergeCell ref="M50:O51"/>
    <mergeCell ref="I52:O52"/>
    <mergeCell ref="I53:O53"/>
    <mergeCell ref="J46:J47"/>
    <mergeCell ref="K46:K47"/>
    <mergeCell ref="L46:L47"/>
    <mergeCell ref="M46:M47"/>
    <mergeCell ref="N46:N47"/>
    <mergeCell ref="O46:O47"/>
    <mergeCell ref="H48:H49"/>
    <mergeCell ref="I48:L49"/>
    <mergeCell ref="M48:M49"/>
    <mergeCell ref="N48:N49"/>
    <mergeCell ref="O48:O49"/>
    <mergeCell ref="Q88:Q89"/>
    <mergeCell ref="V88:V89"/>
    <mergeCell ref="W88:W89"/>
    <mergeCell ref="X88:X89"/>
    <mergeCell ref="H249:J249"/>
    <mergeCell ref="H251:H252"/>
    <mergeCell ref="I253:N253"/>
    <mergeCell ref="I254:N254"/>
    <mergeCell ref="H245:H247"/>
    <mergeCell ref="I245:J245"/>
    <mergeCell ref="K245:L245"/>
    <mergeCell ref="M245:N245"/>
    <mergeCell ref="I246:J247"/>
    <mergeCell ref="K246:L247"/>
    <mergeCell ref="M246:N247"/>
    <mergeCell ref="I236:O236"/>
    <mergeCell ref="I237:O237"/>
    <mergeCell ref="I238:O238"/>
    <mergeCell ref="H241:O241"/>
    <mergeCell ref="H243:H244"/>
    <mergeCell ref="I243:J244"/>
    <mergeCell ref="K243:L244"/>
    <mergeCell ref="M243:N244"/>
    <mergeCell ref="M229:M230"/>
    <mergeCell ref="N229:N230"/>
    <mergeCell ref="O229:O230"/>
    <mergeCell ref="H231:H232"/>
    <mergeCell ref="I231:L232"/>
    <mergeCell ref="H234:H235"/>
    <mergeCell ref="I234:O235"/>
    <mergeCell ref="H226:H228"/>
    <mergeCell ref="I226:J226"/>
    <mergeCell ref="K226:L226"/>
    <mergeCell ref="I227:J228"/>
    <mergeCell ref="K227:L228"/>
    <mergeCell ref="H229:H230"/>
    <mergeCell ref="I229:L230"/>
    <mergeCell ref="H219:H220"/>
    <mergeCell ref="I219:O220"/>
    <mergeCell ref="H222:L222"/>
    <mergeCell ref="H223:H225"/>
    <mergeCell ref="I223:J223"/>
    <mergeCell ref="K223:L223"/>
    <mergeCell ref="I224:J225"/>
    <mergeCell ref="K224:L225"/>
    <mergeCell ref="H212:H213"/>
    <mergeCell ref="I212:L213"/>
    <mergeCell ref="M212:O213"/>
    <mergeCell ref="I214:O214"/>
    <mergeCell ref="I215:O215"/>
    <mergeCell ref="H217:H218"/>
    <mergeCell ref="I217:O218"/>
    <mergeCell ref="N208:N209"/>
    <mergeCell ref="O208:O209"/>
    <mergeCell ref="H210:H211"/>
    <mergeCell ref="I210:L211"/>
    <mergeCell ref="M210:M211"/>
    <mergeCell ref="N210:N211"/>
    <mergeCell ref="O210:O211"/>
    <mergeCell ref="H207:H209"/>
    <mergeCell ref="I208:I209"/>
    <mergeCell ref="J208:J209"/>
    <mergeCell ref="K208:K209"/>
    <mergeCell ref="L208:L209"/>
    <mergeCell ref="M208:M209"/>
    <mergeCell ref="C176:F176"/>
    <mergeCell ref="I202:O202"/>
    <mergeCell ref="C177:F177"/>
    <mergeCell ref="H199:H200"/>
    <mergeCell ref="I199:L200"/>
    <mergeCell ref="M199:O200"/>
    <mergeCell ref="I201:O201"/>
    <mergeCell ref="O195:O196"/>
    <mergeCell ref="H197:H198"/>
    <mergeCell ref="I197:L198"/>
    <mergeCell ref="M197:M198"/>
    <mergeCell ref="N197:N198"/>
    <mergeCell ref="O197:O198"/>
    <mergeCell ref="I195:I196"/>
    <mergeCell ref="J195:J196"/>
    <mergeCell ref="K195:K196"/>
    <mergeCell ref="L195:L196"/>
    <mergeCell ref="M195:M196"/>
    <mergeCell ref="N184:N185"/>
    <mergeCell ref="O184:O185"/>
    <mergeCell ref="K182:K183"/>
    <mergeCell ref="L182:L183"/>
    <mergeCell ref="M182:M183"/>
    <mergeCell ref="N182:N183"/>
    <mergeCell ref="H204:O204"/>
    <mergeCell ref="H205:H206"/>
    <mergeCell ref="I205:I206"/>
    <mergeCell ref="J205:J206"/>
    <mergeCell ref="K205:O205"/>
    <mergeCell ref="L206:O206"/>
    <mergeCell ref="C153:F153"/>
    <mergeCell ref="H179:H180"/>
    <mergeCell ref="I179:I180"/>
    <mergeCell ref="J179:J180"/>
    <mergeCell ref="I175:O175"/>
    <mergeCell ref="I176:O176"/>
    <mergeCell ref="N195:N196"/>
    <mergeCell ref="H194:H196"/>
    <mergeCell ref="H191:O191"/>
    <mergeCell ref="H192:H193"/>
    <mergeCell ref="I192:I193"/>
    <mergeCell ref="J192:J193"/>
    <mergeCell ref="K192:O192"/>
    <mergeCell ref="L193:O193"/>
    <mergeCell ref="C164:F164"/>
    <mergeCell ref="C165:F165"/>
    <mergeCell ref="H186:H187"/>
    <mergeCell ref="I186:L187"/>
    <mergeCell ref="M186:O187"/>
    <mergeCell ref="I188:O188"/>
    <mergeCell ref="I189:O189"/>
    <mergeCell ref="H184:H185"/>
    <mergeCell ref="I184:L185"/>
    <mergeCell ref="M184:M185"/>
    <mergeCell ref="M169:M170"/>
    <mergeCell ref="N169:N170"/>
    <mergeCell ref="O169:O170"/>
    <mergeCell ref="O182:O183"/>
    <mergeCell ref="K179:O179"/>
    <mergeCell ref="L180:O180"/>
    <mergeCell ref="H181:H183"/>
    <mergeCell ref="I182:I183"/>
    <mergeCell ref="J182:J183"/>
    <mergeCell ref="H178:O178"/>
    <mergeCell ref="H171:H172"/>
    <mergeCell ref="I171:L172"/>
    <mergeCell ref="M171:M172"/>
    <mergeCell ref="N171:N172"/>
    <mergeCell ref="O171:O172"/>
    <mergeCell ref="H173:H174"/>
    <mergeCell ref="I173:L174"/>
    <mergeCell ref="M173:O174"/>
    <mergeCell ref="K166:O166"/>
    <mergeCell ref="C141:F141"/>
    <mergeCell ref="L167:O167"/>
    <mergeCell ref="H168:H170"/>
    <mergeCell ref="I169:I170"/>
    <mergeCell ref="J169:J170"/>
    <mergeCell ref="C140:F140"/>
    <mergeCell ref="H166:H167"/>
    <mergeCell ref="I166:I167"/>
    <mergeCell ref="J166:J167"/>
    <mergeCell ref="I162:O162"/>
    <mergeCell ref="I163:O163"/>
    <mergeCell ref="H165:O165"/>
    <mergeCell ref="M160:O161"/>
    <mergeCell ref="N158:N159"/>
    <mergeCell ref="O158:O159"/>
    <mergeCell ref="H160:H161"/>
    <mergeCell ref="I160:L161"/>
    <mergeCell ref="H158:H159"/>
    <mergeCell ref="I158:L159"/>
    <mergeCell ref="M158:M159"/>
    <mergeCell ref="C152:F152"/>
    <mergeCell ref="K169:K170"/>
    <mergeCell ref="L169:L170"/>
    <mergeCell ref="K156:K157"/>
    <mergeCell ref="L156:L157"/>
    <mergeCell ref="M156:M157"/>
    <mergeCell ref="N156:N157"/>
    <mergeCell ref="O156:O157"/>
    <mergeCell ref="C128:F128"/>
    <mergeCell ref="L154:O154"/>
    <mergeCell ref="C129:F129"/>
    <mergeCell ref="H155:H157"/>
    <mergeCell ref="I156:I157"/>
    <mergeCell ref="J156:J157"/>
    <mergeCell ref="I150:O150"/>
    <mergeCell ref="H152:O152"/>
    <mergeCell ref="H153:H154"/>
    <mergeCell ref="I153:I154"/>
    <mergeCell ref="J153:J154"/>
    <mergeCell ref="K153:O153"/>
    <mergeCell ref="H147:H148"/>
    <mergeCell ref="I147:L148"/>
    <mergeCell ref="M147:O148"/>
    <mergeCell ref="I149:O149"/>
    <mergeCell ref="H145:H146"/>
    <mergeCell ref="I145:L146"/>
    <mergeCell ref="M145:M146"/>
    <mergeCell ref="N145:N146"/>
    <mergeCell ref="O145:O146"/>
    <mergeCell ref="I143:I144"/>
    <mergeCell ref="J143:J144"/>
    <mergeCell ref="K143:K144"/>
    <mergeCell ref="L143:L144"/>
    <mergeCell ref="M143:M144"/>
    <mergeCell ref="N143:N144"/>
    <mergeCell ref="C116:F116"/>
    <mergeCell ref="H142:H144"/>
    <mergeCell ref="C117:F117"/>
    <mergeCell ref="H139:O139"/>
    <mergeCell ref="H140:H141"/>
    <mergeCell ref="I140:I141"/>
    <mergeCell ref="J140:J141"/>
    <mergeCell ref="K140:O140"/>
    <mergeCell ref="L141:O141"/>
    <mergeCell ref="I136:O136"/>
    <mergeCell ref="I137:O137"/>
    <mergeCell ref="O143:O144"/>
    <mergeCell ref="H134:H135"/>
    <mergeCell ref="I134:L135"/>
    <mergeCell ref="M134:O135"/>
    <mergeCell ref="H132:H133"/>
    <mergeCell ref="I132:L133"/>
    <mergeCell ref="M132:M133"/>
    <mergeCell ref="N132:N133"/>
    <mergeCell ref="O132:O133"/>
    <mergeCell ref="K130:K131"/>
    <mergeCell ref="L130:L131"/>
    <mergeCell ref="M130:M131"/>
    <mergeCell ref="N130:N131"/>
    <mergeCell ref="O130:O131"/>
    <mergeCell ref="I130:I131"/>
    <mergeCell ref="J130:J131"/>
    <mergeCell ref="I121:L122"/>
    <mergeCell ref="M121:O122"/>
    <mergeCell ref="I123:O123"/>
    <mergeCell ref="H129:H131"/>
    <mergeCell ref="L128:O128"/>
    <mergeCell ref="H119:H120"/>
    <mergeCell ref="M101:M102"/>
    <mergeCell ref="N101:N102"/>
    <mergeCell ref="O101:O102"/>
    <mergeCell ref="I105:L106"/>
    <mergeCell ref="M105:O106"/>
    <mergeCell ref="H126:O126"/>
    <mergeCell ref="H127:H128"/>
    <mergeCell ref="I127:I128"/>
    <mergeCell ref="J127:J128"/>
    <mergeCell ref="K127:O127"/>
    <mergeCell ref="I124:O124"/>
    <mergeCell ref="I119:L120"/>
    <mergeCell ref="M119:M120"/>
    <mergeCell ref="N119:N120"/>
    <mergeCell ref="O119:O120"/>
    <mergeCell ref="H121:H122"/>
    <mergeCell ref="C92:F92"/>
    <mergeCell ref="C93:F93"/>
    <mergeCell ref="L114:L115"/>
    <mergeCell ref="M114:M115"/>
    <mergeCell ref="N114:N115"/>
    <mergeCell ref="O114:O115"/>
    <mergeCell ref="J111:J112"/>
    <mergeCell ref="K111:O111"/>
    <mergeCell ref="L112:O112"/>
    <mergeCell ref="H113:H115"/>
    <mergeCell ref="I114:I115"/>
    <mergeCell ref="J114:J115"/>
    <mergeCell ref="K114:K115"/>
    <mergeCell ref="H111:H112"/>
    <mergeCell ref="I111:I112"/>
    <mergeCell ref="I108:O108"/>
    <mergeCell ref="H110:O110"/>
    <mergeCell ref="I107:O107"/>
    <mergeCell ref="C104:F104"/>
    <mergeCell ref="C105:F105"/>
    <mergeCell ref="H105:H106"/>
    <mergeCell ref="C80:F80"/>
    <mergeCell ref="H103:H104"/>
    <mergeCell ref="I103:L104"/>
    <mergeCell ref="M103:M104"/>
    <mergeCell ref="N103:N104"/>
    <mergeCell ref="L99:O99"/>
    <mergeCell ref="H100:H102"/>
    <mergeCell ref="I101:I102"/>
    <mergeCell ref="J101:J102"/>
    <mergeCell ref="K101:K102"/>
    <mergeCell ref="L101:L102"/>
    <mergeCell ref="H97:O97"/>
    <mergeCell ref="H98:H99"/>
    <mergeCell ref="I98:I99"/>
    <mergeCell ref="J98:J99"/>
    <mergeCell ref="K98:O98"/>
    <mergeCell ref="I95:O95"/>
    <mergeCell ref="I94:O94"/>
    <mergeCell ref="O103:O104"/>
    <mergeCell ref="C81:F81"/>
    <mergeCell ref="H92:H93"/>
    <mergeCell ref="I92:L93"/>
    <mergeCell ref="M92:O93"/>
    <mergeCell ref="O87:O88"/>
    <mergeCell ref="C68:F68"/>
    <mergeCell ref="C69:F69"/>
    <mergeCell ref="N85:N86"/>
    <mergeCell ref="O85:O86"/>
    <mergeCell ref="H90:H91"/>
    <mergeCell ref="I90:L91"/>
    <mergeCell ref="M90:M91"/>
    <mergeCell ref="N90:N91"/>
    <mergeCell ref="O90:O91"/>
    <mergeCell ref="H84:H86"/>
    <mergeCell ref="I85:I86"/>
    <mergeCell ref="J85:J86"/>
    <mergeCell ref="K85:K86"/>
    <mergeCell ref="L85:L86"/>
    <mergeCell ref="M85:M86"/>
    <mergeCell ref="I87:I88"/>
    <mergeCell ref="J87:J88"/>
    <mergeCell ref="K87:K88"/>
    <mergeCell ref="L87:L88"/>
    <mergeCell ref="J82:J83"/>
    <mergeCell ref="K82:O82"/>
    <mergeCell ref="L83:O83"/>
    <mergeCell ref="M87:M88"/>
    <mergeCell ref="N87:N88"/>
    <mergeCell ref="C56:F56"/>
    <mergeCell ref="H76:H77"/>
    <mergeCell ref="I76:L77"/>
    <mergeCell ref="M76:O77"/>
    <mergeCell ref="C57:F57"/>
    <mergeCell ref="M72:M73"/>
    <mergeCell ref="N72:N73"/>
    <mergeCell ref="O72:O73"/>
    <mergeCell ref="H74:H75"/>
    <mergeCell ref="I74:L75"/>
    <mergeCell ref="M74:M75"/>
    <mergeCell ref="N74:N75"/>
    <mergeCell ref="H69:H70"/>
    <mergeCell ref="I69:I70"/>
    <mergeCell ref="J69:J70"/>
    <mergeCell ref="K69:O69"/>
    <mergeCell ref="L70:O70"/>
    <mergeCell ref="H71:H73"/>
    <mergeCell ref="H68:O68"/>
    <mergeCell ref="I66:O66"/>
    <mergeCell ref="I65:O65"/>
    <mergeCell ref="H63:H64"/>
    <mergeCell ref="I63:L64"/>
    <mergeCell ref="M63:O64"/>
    <mergeCell ref="I82:I83"/>
    <mergeCell ref="I72:I73"/>
    <mergeCell ref="J72:J73"/>
    <mergeCell ref="K72:K73"/>
    <mergeCell ref="L72:L73"/>
    <mergeCell ref="I78:O78"/>
    <mergeCell ref="I79:O79"/>
    <mergeCell ref="O74:O75"/>
    <mergeCell ref="H81:O81"/>
    <mergeCell ref="H82:H83"/>
    <mergeCell ref="BO13:BR13"/>
    <mergeCell ref="BS13:BV13"/>
    <mergeCell ref="H36:O36"/>
    <mergeCell ref="H40:O40"/>
    <mergeCell ref="H55:O55"/>
    <mergeCell ref="AQ13:AT13"/>
    <mergeCell ref="AU13:AX13"/>
    <mergeCell ref="AY13:BB13"/>
    <mergeCell ref="BC13:BF13"/>
    <mergeCell ref="BG13:BJ13"/>
    <mergeCell ref="BK13:BN13"/>
    <mergeCell ref="AE13:AH13"/>
    <mergeCell ref="AI13:AL13"/>
    <mergeCell ref="AM13:AP13"/>
    <mergeCell ref="AO15:AP15"/>
    <mergeCell ref="I30:L30"/>
    <mergeCell ref="I31:L31"/>
    <mergeCell ref="H42:O42"/>
    <mergeCell ref="H43:H44"/>
    <mergeCell ref="I43:I44"/>
    <mergeCell ref="J43:J44"/>
    <mergeCell ref="K43:O43"/>
    <mergeCell ref="L44:O44"/>
    <mergeCell ref="H45:H47"/>
    <mergeCell ref="BK5:BN5"/>
    <mergeCell ref="BO5:BR5"/>
    <mergeCell ref="BS5:BV5"/>
    <mergeCell ref="Z6:Z7"/>
    <mergeCell ref="AA6:AD6"/>
    <mergeCell ref="AE6:AH6"/>
    <mergeCell ref="AI6:AL6"/>
    <mergeCell ref="AM6:AP6"/>
    <mergeCell ref="AE5:AH5"/>
    <mergeCell ref="AI5:AL5"/>
    <mergeCell ref="AM5:AP5"/>
    <mergeCell ref="AQ5:AT5"/>
    <mergeCell ref="AU5:AX5"/>
    <mergeCell ref="AY5:BB5"/>
    <mergeCell ref="BO6:BR6"/>
    <mergeCell ref="BS6:BV6"/>
    <mergeCell ref="AQ6:AT6"/>
    <mergeCell ref="AU6:AX6"/>
    <mergeCell ref="AY6:BB6"/>
    <mergeCell ref="BC6:BF6"/>
    <mergeCell ref="BG6:BJ6"/>
    <mergeCell ref="BK6:BN6"/>
    <mergeCell ref="BC5:BF5"/>
    <mergeCell ref="BG5:BJ5"/>
    <mergeCell ref="B1:G1"/>
    <mergeCell ref="U4:V4"/>
    <mergeCell ref="H5:H6"/>
    <mergeCell ref="V5:W5"/>
    <mergeCell ref="C45:F45"/>
    <mergeCell ref="C44:F44"/>
    <mergeCell ref="C12:F12"/>
    <mergeCell ref="C13:F13"/>
    <mergeCell ref="C30:F30"/>
    <mergeCell ref="C31:F31"/>
    <mergeCell ref="M59:M60"/>
    <mergeCell ref="N59:N60"/>
    <mergeCell ref="O59:O60"/>
    <mergeCell ref="N61:N62"/>
    <mergeCell ref="AA5:AD5"/>
    <mergeCell ref="Z15:AA15"/>
    <mergeCell ref="L57:O57"/>
    <mergeCell ref="H58:H60"/>
    <mergeCell ref="I59:I60"/>
    <mergeCell ref="J59:J60"/>
    <mergeCell ref="K59:K60"/>
    <mergeCell ref="K56:O56"/>
    <mergeCell ref="H56:H57"/>
    <mergeCell ref="I56:I57"/>
    <mergeCell ref="J56:J57"/>
    <mergeCell ref="V9:W9"/>
    <mergeCell ref="H12:I12"/>
    <mergeCell ref="AA13:AD13"/>
    <mergeCell ref="L59:L60"/>
    <mergeCell ref="O61:O62"/>
    <mergeCell ref="H61:H62"/>
    <mergeCell ref="I61:L62"/>
    <mergeCell ref="M61:M62"/>
    <mergeCell ref="I46:I47"/>
  </mergeCells>
  <pageMargins left="0.7" right="0.7" top="0.75" bottom="0.75" header="0.3" footer="0.3"/>
  <pageSetup paperSize="9" scale="1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I156"/>
  <sheetViews>
    <sheetView topLeftCell="A82" workbookViewId="0"/>
  </sheetViews>
  <sheetFormatPr defaultColWidth="10.90625" defaultRowHeight="14.5"/>
  <cols>
    <col min="2" max="2" width="24" customWidth="1"/>
    <col min="3" max="3" width="14.453125" style="28" customWidth="1"/>
    <col min="4" max="4" width="14.81640625" style="28" customWidth="1"/>
    <col min="5" max="5" width="11.453125" style="28"/>
    <col min="6" max="6" width="14.54296875" style="28" customWidth="1"/>
    <col min="7" max="7" width="13.7265625" style="28" customWidth="1"/>
    <col min="8" max="8" width="16" style="38" customWidth="1"/>
    <col min="10" max="10" width="26.26953125" customWidth="1"/>
    <col min="11" max="11" width="11.453125" style="28"/>
    <col min="12" max="12" width="13.7265625" style="28" customWidth="1"/>
    <col min="13" max="15" width="11.453125" style="28"/>
    <col min="16" max="16" width="15.7265625" style="755" customWidth="1"/>
    <col min="18" max="18" width="25.7265625" customWidth="1"/>
    <col min="20" max="20" width="13.453125" customWidth="1"/>
    <col min="24" max="24" width="15.7265625" customWidth="1"/>
    <col min="26" max="26" width="24.81640625" customWidth="1"/>
    <col min="27" max="27" width="12.453125" customWidth="1"/>
    <col min="28" max="28" width="12.54296875" customWidth="1"/>
    <col min="29" max="31" width="11.54296875" customWidth="1"/>
    <col min="32" max="32" width="15.26953125" customWidth="1"/>
    <col min="34" max="34" width="25.1796875" customWidth="1"/>
    <col min="35" max="35" width="13.453125" customWidth="1"/>
    <col min="36" max="36" width="16.54296875" customWidth="1"/>
    <col min="38" max="38" width="13.1796875" customWidth="1"/>
    <col min="40" max="40" width="16" customWidth="1"/>
    <col min="42" max="42" width="25.453125" customWidth="1"/>
    <col min="44" max="44" width="14.26953125" customWidth="1"/>
    <col min="48" max="48" width="16" customWidth="1"/>
    <col min="50" max="50" width="24" customWidth="1"/>
    <col min="51" max="51" width="12.81640625" customWidth="1"/>
    <col min="52" max="52" width="12.26953125" customWidth="1"/>
    <col min="56" max="56" width="15.453125" customWidth="1"/>
    <col min="58" max="58" width="26" customWidth="1"/>
    <col min="60" max="60" width="13.1796875" customWidth="1"/>
    <col min="64" max="64" width="15.1796875" customWidth="1"/>
    <col min="66" max="66" width="24.81640625" customWidth="1"/>
    <col min="67" max="67" width="12.54296875" customWidth="1"/>
    <col min="68" max="68" width="12.81640625" customWidth="1"/>
    <col min="72" max="72" width="15.453125" customWidth="1"/>
    <col min="74" max="74" width="24.26953125" customWidth="1"/>
    <col min="76" max="76" width="12.54296875" customWidth="1"/>
    <col min="80" max="80" width="15.453125" customWidth="1"/>
    <col min="82" max="82" width="25.1796875" customWidth="1"/>
    <col min="83" max="83" width="13.453125" customWidth="1"/>
    <col min="84" max="84" width="13.1796875" customWidth="1"/>
    <col min="88" max="88" width="16" customWidth="1"/>
    <col min="89" max="89" width="6.54296875" customWidth="1"/>
    <col min="90" max="90" width="24.81640625" customWidth="1"/>
    <col min="92" max="92" width="13.453125" customWidth="1"/>
    <col min="96" max="96" width="16.26953125" customWidth="1"/>
    <col min="97" max="97" width="6.81640625" customWidth="1"/>
    <col min="98" max="98" width="25.453125" customWidth="1"/>
    <col min="99" max="99" width="12.26953125" customWidth="1"/>
    <col min="100" max="100" width="13.1796875" customWidth="1"/>
    <col min="104" max="104" width="14.81640625" customWidth="1"/>
    <col min="105" max="105" width="7.453125" customWidth="1"/>
    <col min="106" max="106" width="25.7265625" customWidth="1"/>
    <col min="108" max="108" width="12.54296875" customWidth="1"/>
    <col min="112" max="112" width="16" customWidth="1"/>
    <col min="113" max="113" width="8" customWidth="1"/>
    <col min="114" max="114" width="24" customWidth="1"/>
    <col min="116" max="116" width="14" customWidth="1"/>
    <col min="120" max="120" width="14.81640625" customWidth="1"/>
    <col min="122" max="122" width="23.1796875" customWidth="1"/>
    <col min="124" max="124" width="13.453125" customWidth="1"/>
    <col min="128" max="128" width="15.453125" customWidth="1"/>
    <col min="130" max="130" width="24" customWidth="1"/>
    <col min="131" max="131" width="12.81640625" customWidth="1"/>
    <col min="132" max="132" width="12.54296875" customWidth="1"/>
    <col min="136" max="136" width="15.1796875" customWidth="1"/>
    <col min="138" max="138" width="26" customWidth="1"/>
    <col min="140" max="140" width="13.453125" customWidth="1"/>
    <col min="144" max="144" width="15.1796875" customWidth="1"/>
    <col min="145" max="145" width="5.453125" customWidth="1"/>
    <col min="146" max="146" width="25.7265625" customWidth="1"/>
    <col min="148" max="148" width="13.7265625" customWidth="1"/>
    <col min="151" max="151" width="11.54296875" customWidth="1"/>
    <col min="152" max="152" width="14.453125" customWidth="1"/>
    <col min="154" max="154" width="24.81640625" customWidth="1"/>
    <col min="155" max="155" width="13.81640625" customWidth="1"/>
    <col min="156" max="156" width="14.1796875" customWidth="1"/>
    <col min="157" max="158" width="12.1796875" customWidth="1"/>
    <col min="159" max="159" width="11.54296875" customWidth="1"/>
    <col min="160" max="160" width="14.453125" customWidth="1"/>
    <col min="162" max="162" width="24.54296875" customWidth="1"/>
    <col min="163" max="163" width="13.81640625" customWidth="1"/>
    <col min="164" max="164" width="13" customWidth="1"/>
    <col min="165" max="166" width="12.1796875" customWidth="1"/>
    <col min="167" max="167" width="11.54296875" customWidth="1"/>
    <col min="168" max="168" width="14.453125" customWidth="1"/>
    <col min="170" max="170" width="24.54296875" customWidth="1"/>
    <col min="171" max="172" width="13.81640625" customWidth="1"/>
    <col min="173" max="174" width="12.1796875" customWidth="1"/>
    <col min="175" max="175" width="11.54296875" customWidth="1"/>
    <col min="176" max="176" width="14.7265625" customWidth="1"/>
    <col min="178" max="178" width="29.1796875" customWidth="1"/>
    <col min="179" max="179" width="13.81640625" customWidth="1"/>
    <col min="180" max="180" width="14.453125" customWidth="1"/>
    <col min="181" max="182" width="12.1796875" customWidth="1"/>
    <col min="183" max="183" width="11.54296875" customWidth="1"/>
    <col min="184" max="184" width="15.54296875" customWidth="1"/>
    <col min="195" max="195" width="20.453125" customWidth="1"/>
    <col min="196" max="196" width="13.7265625" customWidth="1"/>
    <col min="197" max="197" width="12.453125" customWidth="1"/>
    <col min="198" max="198" width="13" customWidth="1"/>
    <col min="199" max="200" width="13.1796875" customWidth="1"/>
    <col min="201" max="201" width="14.26953125" customWidth="1"/>
    <col min="202" max="202" width="6.1796875" customWidth="1"/>
    <col min="203" max="203" width="26.26953125" customWidth="1"/>
    <col min="204" max="204" width="13.7265625" customWidth="1"/>
    <col min="205" max="205" width="14" customWidth="1"/>
    <col min="206" max="206" width="13.1796875" customWidth="1"/>
    <col min="207" max="207" width="12.81640625" customWidth="1"/>
    <col min="208" max="208" width="14" customWidth="1"/>
    <col min="209" max="209" width="13.453125" customWidth="1"/>
    <col min="211" max="211" width="28.26953125" customWidth="1"/>
    <col min="212" max="212" width="18.26953125" customWidth="1"/>
    <col min="213" max="214" width="14" customWidth="1"/>
    <col min="215" max="215" width="14.7265625" customWidth="1"/>
    <col min="216" max="216" width="14.54296875" customWidth="1"/>
    <col min="217" max="217" width="13.7265625" customWidth="1"/>
  </cols>
  <sheetData>
    <row r="5" spans="2:184" ht="26">
      <c r="B5" s="754" t="s">
        <v>991</v>
      </c>
    </row>
    <row r="6" spans="2:184" s="759" customFormat="1" ht="20.5" thickBot="1">
      <c r="B6" s="756" t="s">
        <v>457</v>
      </c>
      <c r="C6" s="757"/>
      <c r="D6" s="757"/>
      <c r="E6" s="757"/>
      <c r="F6" s="757"/>
      <c r="G6" s="757"/>
      <c r="H6" s="758"/>
      <c r="J6" s="756" t="s">
        <v>458</v>
      </c>
      <c r="K6" s="757"/>
      <c r="L6" s="757"/>
      <c r="M6" s="757"/>
      <c r="N6" s="757"/>
      <c r="O6" s="757"/>
      <c r="P6" s="760"/>
      <c r="R6" s="756" t="s">
        <v>459</v>
      </c>
      <c r="Z6" s="756" t="s">
        <v>460</v>
      </c>
    </row>
    <row r="7" spans="2:184" s="19" customFormat="1" ht="25.5" customHeight="1" thickBot="1">
      <c r="B7" s="4851" t="s">
        <v>363</v>
      </c>
      <c r="C7" s="4890"/>
      <c r="D7" s="4890"/>
      <c r="E7" s="4890"/>
      <c r="F7" s="4890"/>
      <c r="G7" s="4890"/>
      <c r="H7" s="4891"/>
      <c r="J7" s="4851" t="s">
        <v>363</v>
      </c>
      <c r="K7" s="4890"/>
      <c r="L7" s="4890"/>
      <c r="M7" s="4890"/>
      <c r="N7" s="4890"/>
      <c r="O7" s="4890"/>
      <c r="P7" s="4891"/>
      <c r="R7" s="4851" t="s">
        <v>363</v>
      </c>
      <c r="S7" s="4890"/>
      <c r="T7" s="4890"/>
      <c r="U7" s="4890"/>
      <c r="V7" s="4890"/>
      <c r="W7" s="4890"/>
      <c r="X7" s="4891"/>
      <c r="Z7" s="4851" t="s">
        <v>363</v>
      </c>
      <c r="AA7" s="4890"/>
      <c r="AB7" s="4890"/>
      <c r="AC7" s="4890"/>
      <c r="AD7" s="4890"/>
      <c r="AE7" s="4890"/>
      <c r="AF7" s="4891"/>
      <c r="FV7" s="4791" t="s">
        <v>992</v>
      </c>
      <c r="FW7" s="4791"/>
      <c r="FX7" s="4791"/>
      <c r="FY7" s="4791"/>
      <c r="FZ7" s="4791"/>
      <c r="GA7" s="4791"/>
      <c r="GB7" s="4791"/>
    </row>
    <row r="8" spans="2:184" s="761" customFormat="1" ht="24.75" customHeight="1">
      <c r="B8" s="4894" t="s">
        <v>364</v>
      </c>
      <c r="C8" s="4895" t="s">
        <v>524</v>
      </c>
      <c r="D8" s="4896"/>
      <c r="E8" s="4896"/>
      <c r="F8" s="4896"/>
      <c r="G8" s="4896"/>
      <c r="H8" s="4897"/>
      <c r="J8" s="4894" t="s">
        <v>364</v>
      </c>
      <c r="K8" s="4895" t="s">
        <v>524</v>
      </c>
      <c r="L8" s="4896"/>
      <c r="M8" s="4896"/>
      <c r="N8" s="4896"/>
      <c r="O8" s="4896"/>
      <c r="P8" s="4897"/>
      <c r="R8" s="4894" t="s">
        <v>364</v>
      </c>
      <c r="S8" s="4895" t="s">
        <v>524</v>
      </c>
      <c r="T8" s="4896"/>
      <c r="U8" s="4896"/>
      <c r="V8" s="4896"/>
      <c r="W8" s="4896"/>
      <c r="X8" s="4897"/>
      <c r="Z8" s="4894" t="s">
        <v>364</v>
      </c>
      <c r="AA8" s="4895" t="s">
        <v>524</v>
      </c>
      <c r="AB8" s="4896"/>
      <c r="AC8" s="4896"/>
      <c r="AD8" s="4896"/>
      <c r="AE8" s="4896"/>
      <c r="AF8" s="4897"/>
      <c r="FV8" s="4822" t="s">
        <v>993</v>
      </c>
      <c r="FW8" s="4898" t="s">
        <v>524</v>
      </c>
      <c r="FX8" s="4899"/>
      <c r="FY8" s="4899"/>
      <c r="FZ8" s="4899"/>
      <c r="GA8" s="4899"/>
      <c r="GB8" s="4899"/>
    </row>
    <row r="9" spans="2:184" ht="37">
      <c r="B9" s="4831"/>
      <c r="C9" s="762" t="s">
        <v>994</v>
      </c>
      <c r="D9" s="762" t="s">
        <v>371</v>
      </c>
      <c r="E9" s="762" t="s">
        <v>372</v>
      </c>
      <c r="F9" s="762" t="s">
        <v>373</v>
      </c>
      <c r="G9" s="762" t="s">
        <v>374</v>
      </c>
      <c r="H9" s="763" t="s">
        <v>523</v>
      </c>
      <c r="J9" s="4831"/>
      <c r="K9" s="762" t="s">
        <v>994</v>
      </c>
      <c r="L9" s="762" t="s">
        <v>371</v>
      </c>
      <c r="M9" s="762" t="s">
        <v>372</v>
      </c>
      <c r="N9" s="762" t="s">
        <v>373</v>
      </c>
      <c r="O9" s="762" t="s">
        <v>374</v>
      </c>
      <c r="P9" s="764" t="s">
        <v>523</v>
      </c>
      <c r="R9" s="4831"/>
      <c r="S9" s="762" t="s">
        <v>994</v>
      </c>
      <c r="T9" s="762" t="s">
        <v>371</v>
      </c>
      <c r="U9" s="762" t="s">
        <v>372</v>
      </c>
      <c r="V9" s="762" t="s">
        <v>373</v>
      </c>
      <c r="W9" s="762" t="s">
        <v>374</v>
      </c>
      <c r="X9" s="765" t="s">
        <v>523</v>
      </c>
      <c r="Z9" s="4831"/>
      <c r="AA9" s="762" t="s">
        <v>994</v>
      </c>
      <c r="AB9" s="762" t="s">
        <v>371</v>
      </c>
      <c r="AC9" s="762" t="s">
        <v>372</v>
      </c>
      <c r="AD9" s="762" t="s">
        <v>373</v>
      </c>
      <c r="AE9" s="762" t="s">
        <v>374</v>
      </c>
      <c r="AF9" s="765" t="s">
        <v>523</v>
      </c>
      <c r="FV9" s="4823"/>
      <c r="FW9" s="766" t="s">
        <v>994</v>
      </c>
      <c r="FX9" s="767" t="s">
        <v>371</v>
      </c>
      <c r="FY9" s="767" t="s">
        <v>372</v>
      </c>
      <c r="FZ9" s="767" t="s">
        <v>373</v>
      </c>
      <c r="GA9" s="767" t="s">
        <v>374</v>
      </c>
      <c r="GB9" s="768" t="s">
        <v>523</v>
      </c>
    </row>
    <row r="10" spans="2:184" ht="18.5">
      <c r="B10" s="769" t="s">
        <v>365</v>
      </c>
      <c r="C10" s="770">
        <v>0.72685924934177004</v>
      </c>
      <c r="D10" s="770"/>
      <c r="E10" s="770"/>
      <c r="F10" s="770"/>
      <c r="G10" s="770"/>
      <c r="H10" s="771"/>
      <c r="J10" s="769" t="s">
        <v>365</v>
      </c>
      <c r="K10" s="133">
        <v>0.72685924934176971</v>
      </c>
      <c r="L10" s="133"/>
      <c r="M10" s="133"/>
      <c r="N10" s="133"/>
      <c r="O10" s="133"/>
      <c r="P10" s="134"/>
      <c r="R10" s="769" t="s">
        <v>365</v>
      </c>
      <c r="S10" s="770">
        <v>1.1332030980156016</v>
      </c>
      <c r="T10" s="770"/>
      <c r="U10" s="770"/>
      <c r="V10" s="770"/>
      <c r="W10" s="770"/>
      <c r="X10" s="772"/>
      <c r="Z10" s="769" t="s">
        <v>365</v>
      </c>
      <c r="AA10" s="133">
        <v>1.1332030980156016</v>
      </c>
      <c r="AB10" s="133"/>
      <c r="AC10" s="133"/>
      <c r="AD10" s="133"/>
      <c r="AE10" s="133"/>
      <c r="AF10" s="134"/>
      <c r="FV10" s="773" t="s">
        <v>365</v>
      </c>
      <c r="FW10" s="774">
        <f>SUM(C10:AA10)/4</f>
        <v>0.93003117367868571</v>
      </c>
      <c r="FX10" s="775"/>
      <c r="FY10" s="774"/>
      <c r="FZ10" s="775"/>
      <c r="GA10" s="774"/>
      <c r="GB10" s="776"/>
    </row>
    <row r="11" spans="2:184" ht="18.5">
      <c r="B11" s="769" t="s">
        <v>366</v>
      </c>
      <c r="C11" s="770">
        <v>196.95363893641749</v>
      </c>
      <c r="D11" s="770"/>
      <c r="E11" s="770"/>
      <c r="F11" s="770"/>
      <c r="G11" s="770"/>
      <c r="H11" s="771"/>
      <c r="J11" s="769" t="s">
        <v>366</v>
      </c>
      <c r="K11" s="133">
        <v>206.98327778002593</v>
      </c>
      <c r="L11" s="133"/>
      <c r="M11" s="133"/>
      <c r="N11" s="133"/>
      <c r="O11" s="133"/>
      <c r="P11" s="134"/>
      <c r="R11" s="769" t="s">
        <v>366</v>
      </c>
      <c r="S11" s="770">
        <v>226.54858576129897</v>
      </c>
      <c r="T11" s="770"/>
      <c r="U11" s="770"/>
      <c r="V11" s="770"/>
      <c r="W11" s="770"/>
      <c r="X11" s="772"/>
      <c r="Z11" s="769" t="s">
        <v>366</v>
      </c>
      <c r="AA11" s="133">
        <v>246.53076834283794</v>
      </c>
      <c r="AB11" s="133"/>
      <c r="AC11" s="133"/>
      <c r="AD11" s="133"/>
      <c r="AE11" s="133"/>
      <c r="AF11" s="134"/>
      <c r="FV11" s="773" t="s">
        <v>366</v>
      </c>
      <c r="FW11" s="777">
        <f>SUM(C11:AA11)/4</f>
        <v>219.25406770514508</v>
      </c>
      <c r="FX11" s="778"/>
      <c r="FY11" s="777"/>
      <c r="FZ11" s="778"/>
      <c r="GA11" s="777"/>
      <c r="GB11" s="779"/>
    </row>
    <row r="12" spans="2:184" ht="18.5">
      <c r="B12" s="769" t="s">
        <v>367</v>
      </c>
      <c r="C12" s="770"/>
      <c r="D12" s="770">
        <v>0.34574437877022646</v>
      </c>
      <c r="E12" s="770"/>
      <c r="F12" s="770"/>
      <c r="G12" s="770"/>
      <c r="H12" s="771"/>
      <c r="J12" s="769" t="s">
        <v>367</v>
      </c>
      <c r="K12" s="133"/>
      <c r="L12" s="133">
        <v>0.34574437877022646</v>
      </c>
      <c r="M12" s="133"/>
      <c r="N12" s="133"/>
      <c r="O12" s="133"/>
      <c r="P12" s="134"/>
      <c r="R12" s="769" t="s">
        <v>367</v>
      </c>
      <c r="S12" s="770"/>
      <c r="T12" s="770">
        <v>0.55621854110032354</v>
      </c>
      <c r="U12" s="770"/>
      <c r="V12" s="770"/>
      <c r="W12" s="770"/>
      <c r="X12" s="772"/>
      <c r="Z12" s="769" t="s">
        <v>367</v>
      </c>
      <c r="AA12" s="133"/>
      <c r="AB12" s="133">
        <v>0.55621854110032354</v>
      </c>
      <c r="AC12" s="133"/>
      <c r="AD12" s="133"/>
      <c r="AE12" s="133"/>
      <c r="AF12" s="134"/>
      <c r="FV12" s="773" t="s">
        <v>367</v>
      </c>
      <c r="FW12" s="777"/>
      <c r="FX12" s="778">
        <f>SUM(D12:AB12)/4</f>
        <v>0.450981459935275</v>
      </c>
      <c r="FY12" s="777"/>
      <c r="FZ12" s="778"/>
      <c r="GA12" s="777"/>
      <c r="GB12" s="779"/>
    </row>
    <row r="13" spans="2:184" ht="18.5">
      <c r="B13" s="769" t="s">
        <v>368</v>
      </c>
      <c r="C13" s="770">
        <v>44.229133411654601</v>
      </c>
      <c r="D13" s="770"/>
      <c r="E13" s="770">
        <v>143.34553889057892</v>
      </c>
      <c r="F13" s="770">
        <v>97.586610003154007</v>
      </c>
      <c r="G13" s="770">
        <v>51.909732925297263</v>
      </c>
      <c r="H13" s="771"/>
      <c r="J13" s="769" t="s">
        <v>368</v>
      </c>
      <c r="K13" s="133">
        <v>40.653423360624011</v>
      </c>
      <c r="L13" s="133"/>
      <c r="M13" s="133">
        <v>131.75675012976689</v>
      </c>
      <c r="N13" s="133">
        <v>89.697207807850489</v>
      </c>
      <c r="O13" s="133">
        <v>47.713083806271371</v>
      </c>
      <c r="P13" s="134"/>
      <c r="R13" s="769" t="s">
        <v>368</v>
      </c>
      <c r="S13" s="770">
        <v>58.387213755683746</v>
      </c>
      <c r="T13" s="770"/>
      <c r="U13" s="770">
        <v>189.23153077022511</v>
      </c>
      <c r="V13" s="770">
        <v>128.82482242903944</v>
      </c>
      <c r="W13" s="770">
        <v>68.526431302656675</v>
      </c>
      <c r="X13" s="772"/>
      <c r="Z13" s="769" t="s">
        <v>368</v>
      </c>
      <c r="AA13" s="133">
        <v>53.158622013218562</v>
      </c>
      <c r="AB13" s="133"/>
      <c r="AC13" s="133">
        <v>172.28579290132518</v>
      </c>
      <c r="AD13" s="133">
        <v>117.28852262210697</v>
      </c>
      <c r="AE13" s="133">
        <v>62.389869720031058</v>
      </c>
      <c r="AF13" s="134"/>
      <c r="FV13" s="773" t="s">
        <v>368</v>
      </c>
      <c r="FW13" s="777">
        <f>(C13+K13+S13+AA13)/4</f>
        <v>49.107098135295232</v>
      </c>
      <c r="FX13" s="777"/>
      <c r="FY13" s="777">
        <f>(E13+M13+U13+AC13)/4</f>
        <v>159.154903172974</v>
      </c>
      <c r="FZ13" s="777">
        <f>(F13+N13+V13+AD13)/4</f>
        <v>108.34929071553773</v>
      </c>
      <c r="GA13" s="777">
        <f>(G13+O13+W13+AE13)/4</f>
        <v>57.634779438564095</v>
      </c>
      <c r="GB13" s="779"/>
    </row>
    <row r="14" spans="2:184" ht="18.5">
      <c r="B14" s="769" t="s">
        <v>369</v>
      </c>
      <c r="C14" s="770">
        <v>1.1498919718309861E-2</v>
      </c>
      <c r="D14" s="770"/>
      <c r="E14" s="770"/>
      <c r="F14" s="770"/>
      <c r="G14" s="770"/>
      <c r="H14" s="771"/>
      <c r="J14" s="769" t="s">
        <v>369</v>
      </c>
      <c r="K14" s="133">
        <v>1.0453563380281691E-2</v>
      </c>
      <c r="L14" s="133"/>
      <c r="M14" s="133"/>
      <c r="N14" s="133"/>
      <c r="O14" s="133"/>
      <c r="P14" s="134"/>
      <c r="R14" s="769" t="s">
        <v>369</v>
      </c>
      <c r="S14" s="770">
        <v>1.4983440845070424E-2</v>
      </c>
      <c r="T14" s="770"/>
      <c r="U14" s="770"/>
      <c r="V14" s="770"/>
      <c r="W14" s="770"/>
      <c r="X14" s="772"/>
      <c r="Z14" s="769" t="s">
        <v>369</v>
      </c>
      <c r="AA14" s="133">
        <v>1.3589632394366197E-2</v>
      </c>
      <c r="AB14" s="133"/>
      <c r="AC14" s="133"/>
      <c r="AD14" s="133"/>
      <c r="AE14" s="133"/>
      <c r="AF14" s="134"/>
      <c r="FV14" s="773" t="s">
        <v>369</v>
      </c>
      <c r="FW14" s="777">
        <f>SUM(C14:AA14)/4</f>
        <v>1.2631389084507044E-2</v>
      </c>
      <c r="FX14" s="778"/>
      <c r="FY14" s="777"/>
      <c r="FZ14" s="778"/>
      <c r="GA14" s="777"/>
      <c r="GB14" s="779"/>
    </row>
    <row r="15" spans="2:184" ht="18.5">
      <c r="B15" s="769" t="s">
        <v>819</v>
      </c>
      <c r="C15" s="770">
        <v>8.6842797029999996</v>
      </c>
      <c r="D15" s="770"/>
      <c r="E15" s="770"/>
      <c r="F15" s="770"/>
      <c r="G15" s="770"/>
      <c r="H15" s="771"/>
      <c r="J15" s="769" t="s">
        <v>819</v>
      </c>
      <c r="K15" s="133">
        <v>7.894799729999999</v>
      </c>
      <c r="L15" s="133"/>
      <c r="M15" s="133"/>
      <c r="N15" s="133"/>
      <c r="O15" s="133"/>
      <c r="P15" s="134"/>
      <c r="R15" s="769" t="s">
        <v>819</v>
      </c>
      <c r="S15" s="770">
        <v>11.315879613000002</v>
      </c>
      <c r="T15" s="770"/>
      <c r="U15" s="770"/>
      <c r="V15" s="770"/>
      <c r="W15" s="770"/>
      <c r="X15" s="772"/>
      <c r="Z15" s="769" t="s">
        <v>819</v>
      </c>
      <c r="AA15" s="133">
        <v>10.263239648999999</v>
      </c>
      <c r="AB15" s="133"/>
      <c r="AC15" s="133"/>
      <c r="AD15" s="133"/>
      <c r="AE15" s="133"/>
      <c r="AF15" s="134"/>
      <c r="FV15" s="773" t="s">
        <v>819</v>
      </c>
      <c r="FW15" s="777">
        <f>SUM(C15:AA15)/4</f>
        <v>9.539549673749999</v>
      </c>
      <c r="FX15" s="778"/>
      <c r="FY15" s="777"/>
      <c r="FZ15" s="778"/>
      <c r="GA15" s="777"/>
      <c r="GB15" s="779"/>
    </row>
    <row r="16" spans="2:184" ht="18.5">
      <c r="B16" s="769" t="s">
        <v>286</v>
      </c>
      <c r="C16" s="770">
        <v>472.39014390568559</v>
      </c>
      <c r="D16" s="770"/>
      <c r="E16" s="770"/>
      <c r="F16" s="770"/>
      <c r="G16" s="770"/>
      <c r="H16" s="771"/>
      <c r="J16" s="769" t="s">
        <v>286</v>
      </c>
      <c r="K16" s="133">
        <v>443.9662255540365</v>
      </c>
      <c r="L16" s="133"/>
      <c r="M16" s="133"/>
      <c r="N16" s="133"/>
      <c r="O16" s="133"/>
      <c r="P16" s="134"/>
      <c r="R16" s="769" t="s">
        <v>286</v>
      </c>
      <c r="S16" s="770">
        <v>652.64154962289854</v>
      </c>
      <c r="T16" s="770"/>
      <c r="U16" s="770"/>
      <c r="V16" s="770"/>
      <c r="W16" s="770"/>
      <c r="X16" s="772"/>
      <c r="Z16" s="769" t="s">
        <v>286</v>
      </c>
      <c r="AA16" s="133">
        <v>611.12920030660871</v>
      </c>
      <c r="AB16" s="133"/>
      <c r="AC16" s="133"/>
      <c r="AD16" s="133"/>
      <c r="AE16" s="133"/>
      <c r="AF16" s="134"/>
      <c r="FV16" s="773" t="s">
        <v>286</v>
      </c>
      <c r="FW16" s="777">
        <f>SUM(C16:AA16)/4</f>
        <v>545.03177984730735</v>
      </c>
      <c r="FX16" s="778"/>
      <c r="FY16" s="777"/>
      <c r="FZ16" s="778"/>
      <c r="GA16" s="777"/>
      <c r="GB16" s="779"/>
    </row>
    <row r="17" spans="2:184" ht="18.5">
      <c r="B17" s="780" t="s">
        <v>820</v>
      </c>
      <c r="C17" s="781">
        <v>16.805003466666669</v>
      </c>
      <c r="D17" s="781"/>
      <c r="E17" s="781"/>
      <c r="F17" s="781"/>
      <c r="G17" s="781"/>
      <c r="H17" s="782"/>
      <c r="J17" s="780" t="s">
        <v>820</v>
      </c>
      <c r="K17" s="133">
        <v>16.805003466666669</v>
      </c>
      <c r="L17" s="135"/>
      <c r="M17" s="135"/>
      <c r="N17" s="135"/>
      <c r="O17" s="135"/>
      <c r="P17" s="136"/>
      <c r="R17" s="780" t="s">
        <v>820</v>
      </c>
      <c r="S17" s="781">
        <v>23.906990666666669</v>
      </c>
      <c r="T17" s="781"/>
      <c r="U17" s="781"/>
      <c r="V17" s="781"/>
      <c r="W17" s="781"/>
      <c r="X17" s="783"/>
      <c r="Z17" s="780" t="s">
        <v>820</v>
      </c>
      <c r="AA17" s="133">
        <v>23.906990666666669</v>
      </c>
      <c r="AB17" s="135"/>
      <c r="AC17" s="135"/>
      <c r="AD17" s="135"/>
      <c r="AE17" s="135"/>
      <c r="AF17" s="136"/>
      <c r="FV17" s="773" t="s">
        <v>820</v>
      </c>
      <c r="FW17" s="777">
        <f>SUM(C17:AA17)/4</f>
        <v>20.355997066666671</v>
      </c>
      <c r="FX17" s="778"/>
      <c r="FY17" s="777"/>
      <c r="FZ17" s="778"/>
      <c r="GA17" s="777"/>
      <c r="GB17" s="779"/>
    </row>
    <row r="18" spans="2:184" ht="19" thickBot="1">
      <c r="B18" s="780" t="s">
        <v>370</v>
      </c>
      <c r="C18" s="781"/>
      <c r="D18" s="781"/>
      <c r="E18" s="781"/>
      <c r="F18" s="781"/>
      <c r="G18" s="781"/>
      <c r="H18" s="782">
        <v>0.67683823333333326</v>
      </c>
      <c r="J18" s="780" t="s">
        <v>370</v>
      </c>
      <c r="K18" s="135"/>
      <c r="L18" s="135"/>
      <c r="M18" s="135"/>
      <c r="N18" s="135"/>
      <c r="O18" s="135"/>
      <c r="P18" s="136">
        <v>0.67683823333333326</v>
      </c>
      <c r="R18" s="780" t="s">
        <v>370</v>
      </c>
      <c r="S18" s="781"/>
      <c r="T18" s="781"/>
      <c r="U18" s="781"/>
      <c r="V18" s="781"/>
      <c r="W18" s="781"/>
      <c r="X18" s="783">
        <v>0.96287783333333321</v>
      </c>
      <c r="Z18" s="780" t="s">
        <v>370</v>
      </c>
      <c r="AA18" s="135"/>
      <c r="AB18" s="135"/>
      <c r="AC18" s="135"/>
      <c r="AD18" s="135"/>
      <c r="AE18" s="135"/>
      <c r="AF18" s="136">
        <v>0.96287783333333321</v>
      </c>
      <c r="FV18" s="773" t="s">
        <v>370</v>
      </c>
      <c r="FW18" s="777"/>
      <c r="FX18" s="778"/>
      <c r="FY18" s="777"/>
      <c r="FZ18" s="778"/>
      <c r="GA18" s="777"/>
      <c r="GB18" s="779">
        <f>(FT124+FL124+FD124+EV124+EN124+EF124+DX124+DP124+DH124+CZ124+CR124+CJ124+CB124+BT124+BL124+BD124+AV124+AN125+AF18+X18+P18+H18)/4</f>
        <v>0.81985803333333318</v>
      </c>
    </row>
    <row r="19" spans="2:184" ht="19" thickBot="1">
      <c r="B19" s="784" t="s">
        <v>995</v>
      </c>
      <c r="C19" s="785">
        <f>SUM(C10:C18)</f>
        <v>739.80055759248444</v>
      </c>
      <c r="D19" s="785">
        <f>D12</f>
        <v>0.34574437877022646</v>
      </c>
      <c r="E19" s="785">
        <f>E13</f>
        <v>143.34553889057892</v>
      </c>
      <c r="F19" s="785">
        <f>F13</f>
        <v>97.586610003154007</v>
      </c>
      <c r="G19" s="785">
        <f>G13</f>
        <v>51.909732925297263</v>
      </c>
      <c r="H19" s="786">
        <f>H18</f>
        <v>0.67683823333333326</v>
      </c>
      <c r="J19" s="784" t="s">
        <v>995</v>
      </c>
      <c r="K19" s="785">
        <f>SUM(K10:K18)</f>
        <v>717.04004270407518</v>
      </c>
      <c r="L19" s="785">
        <f>L12</f>
        <v>0.34574437877022646</v>
      </c>
      <c r="M19" s="785">
        <f>M13</f>
        <v>131.75675012976689</v>
      </c>
      <c r="N19" s="785">
        <f>N13</f>
        <v>89.697207807850489</v>
      </c>
      <c r="O19" s="785">
        <f>O13</f>
        <v>47.713083806271371</v>
      </c>
      <c r="P19" s="786">
        <f>P18</f>
        <v>0.67683823333333326</v>
      </c>
      <c r="R19" s="784" t="s">
        <v>995</v>
      </c>
      <c r="S19" s="785">
        <f>SUM(S10:S18)</f>
        <v>973.94840595840856</v>
      </c>
      <c r="T19" s="785">
        <f>T12</f>
        <v>0.55621854110032354</v>
      </c>
      <c r="U19" s="785">
        <f>U13</f>
        <v>189.23153077022511</v>
      </c>
      <c r="V19" s="785">
        <f>V13</f>
        <v>128.82482242903944</v>
      </c>
      <c r="W19" s="785">
        <f>W13</f>
        <v>68.526431302656675</v>
      </c>
      <c r="X19" s="786">
        <f>X18</f>
        <v>0.96287783333333321</v>
      </c>
      <c r="Z19" s="784" t="s">
        <v>995</v>
      </c>
      <c r="AA19" s="785">
        <f>SUM(AA10:AA18)</f>
        <v>946.13561370874186</v>
      </c>
      <c r="AB19" s="785">
        <f>AB12</f>
        <v>0.55621854110032354</v>
      </c>
      <c r="AC19" s="785">
        <f>AC13</f>
        <v>172.28579290132518</v>
      </c>
      <c r="AD19" s="785">
        <f>AD13</f>
        <v>117.28852262210697</v>
      </c>
      <c r="AE19" s="785">
        <f>AE13</f>
        <v>62.389869720031058</v>
      </c>
      <c r="AF19" s="786">
        <f>AF18</f>
        <v>0.96287783333333321</v>
      </c>
      <c r="FV19" s="787" t="s">
        <v>996</v>
      </c>
      <c r="FW19" s="788">
        <f t="shared" ref="FW19:GB19" si="0">(C19+K19+S19+AA19)/4</f>
        <v>844.23115499092751</v>
      </c>
      <c r="FX19" s="789">
        <f t="shared" si="0"/>
        <v>0.450981459935275</v>
      </c>
      <c r="FY19" s="788">
        <f t="shared" si="0"/>
        <v>159.154903172974</v>
      </c>
      <c r="FZ19" s="789">
        <f t="shared" si="0"/>
        <v>108.34929071553773</v>
      </c>
      <c r="GA19" s="788">
        <f t="shared" si="0"/>
        <v>57.634779438564095</v>
      </c>
      <c r="GB19" s="790">
        <f t="shared" si="0"/>
        <v>0.81985803333333329</v>
      </c>
    </row>
    <row r="20" spans="2:184" ht="25.5" customHeight="1" thickBot="1">
      <c r="B20" s="138" t="s">
        <v>644</v>
      </c>
      <c r="C20" s="4659">
        <f>SUM(C19:H19)</f>
        <v>1033.6650220236181</v>
      </c>
      <c r="D20" s="4660"/>
      <c r="E20" s="4660"/>
      <c r="F20" s="4660"/>
      <c r="G20" s="4660"/>
      <c r="H20" s="4661"/>
      <c r="J20" s="138" t="s">
        <v>644</v>
      </c>
      <c r="K20" s="4659">
        <f>SUM(K19:P19)</f>
        <v>987.22966706006753</v>
      </c>
      <c r="L20" s="4660"/>
      <c r="M20" s="4660"/>
      <c r="N20" s="4660"/>
      <c r="O20" s="4660"/>
      <c r="P20" s="4661"/>
      <c r="R20" s="138" t="s">
        <v>644</v>
      </c>
      <c r="S20" s="4659">
        <f>SUM(S19:X19)</f>
        <v>1362.0502868347633</v>
      </c>
      <c r="T20" s="4660"/>
      <c r="U20" s="4660"/>
      <c r="V20" s="4660"/>
      <c r="W20" s="4660"/>
      <c r="X20" s="4661"/>
      <c r="Z20" s="138" t="s">
        <v>644</v>
      </c>
      <c r="AA20" s="4659">
        <f>SUM(AA19:AF19)</f>
        <v>1299.6188953266387</v>
      </c>
      <c r="AB20" s="4660"/>
      <c r="AC20" s="4660"/>
      <c r="AD20" s="4660"/>
      <c r="AE20" s="4660"/>
      <c r="AF20" s="4661"/>
      <c r="FV20" s="787" t="s">
        <v>997</v>
      </c>
      <c r="FW20" s="4883">
        <f>FW19+FX19+FY19+FZ19+GA19+GB19</f>
        <v>1170.6409678112718</v>
      </c>
      <c r="FX20" s="4884"/>
      <c r="FY20" s="4884"/>
      <c r="FZ20" s="4884"/>
      <c r="GA20" s="4884"/>
      <c r="GB20" s="4885"/>
    </row>
    <row r="21" spans="2:184" ht="27" customHeight="1"/>
    <row r="22" spans="2:184" ht="26">
      <c r="B22" s="754" t="s">
        <v>998</v>
      </c>
      <c r="AG22" s="754" t="s">
        <v>998</v>
      </c>
    </row>
    <row r="23" spans="2:184" s="759" customFormat="1" ht="20.5" thickBot="1">
      <c r="B23" s="756" t="s">
        <v>293</v>
      </c>
      <c r="C23" s="757"/>
      <c r="D23" s="757"/>
      <c r="E23" s="757"/>
      <c r="F23" s="757"/>
      <c r="G23" s="757"/>
      <c r="H23" s="758"/>
      <c r="J23" s="756" t="s">
        <v>381</v>
      </c>
      <c r="K23" s="757"/>
      <c r="L23" s="757"/>
      <c r="M23" s="757"/>
      <c r="N23" s="757"/>
      <c r="O23" s="757"/>
      <c r="P23" s="760"/>
      <c r="FV23" s="4886" t="s">
        <v>999</v>
      </c>
      <c r="FW23" s="4886"/>
      <c r="FX23" s="4886"/>
      <c r="FY23" s="4886"/>
      <c r="FZ23" s="4886"/>
      <c r="GA23" s="4886"/>
      <c r="GB23" s="4886"/>
    </row>
    <row r="24" spans="2:184" s="19" customFormat="1" ht="19" thickBot="1">
      <c r="B24" s="4887" t="s">
        <v>363</v>
      </c>
      <c r="C24" s="4888"/>
      <c r="D24" s="4888"/>
      <c r="E24" s="4888"/>
      <c r="F24" s="4888"/>
      <c r="G24" s="4888"/>
      <c r="H24" s="4889"/>
      <c r="J24" s="4851" t="s">
        <v>363</v>
      </c>
      <c r="K24" s="4890"/>
      <c r="L24" s="4890"/>
      <c r="M24" s="4890"/>
      <c r="N24" s="4890"/>
      <c r="O24" s="4890"/>
      <c r="P24" s="4891"/>
      <c r="FV24" s="4892" t="s">
        <v>1000</v>
      </c>
      <c r="FW24" s="4893"/>
      <c r="FX24" s="4893"/>
      <c r="FY24" s="4893"/>
      <c r="FZ24" s="4893"/>
      <c r="GA24" s="4893"/>
      <c r="GB24" s="4893"/>
    </row>
    <row r="25" spans="2:184" ht="20">
      <c r="B25" s="4873" t="s">
        <v>364</v>
      </c>
      <c r="C25" s="4874" t="s">
        <v>524</v>
      </c>
      <c r="D25" s="4874"/>
      <c r="E25" s="4874"/>
      <c r="F25" s="4874"/>
      <c r="G25" s="4874"/>
      <c r="H25" s="4875"/>
      <c r="J25" s="4830" t="s">
        <v>364</v>
      </c>
      <c r="K25" s="4876" t="s">
        <v>524</v>
      </c>
      <c r="L25" s="4876"/>
      <c r="M25" s="4876"/>
      <c r="N25" s="4876"/>
      <c r="O25" s="4876"/>
      <c r="P25" s="4877"/>
      <c r="FV25" s="4822" t="s">
        <v>993</v>
      </c>
      <c r="FW25" s="4878" t="s">
        <v>524</v>
      </c>
      <c r="FX25" s="4879"/>
      <c r="FY25" s="4879"/>
      <c r="FZ25" s="4879"/>
      <c r="GA25" s="4879"/>
      <c r="GB25" s="4879"/>
    </row>
    <row r="26" spans="2:184" ht="37">
      <c r="B26" s="4831"/>
      <c r="C26" s="791" t="s">
        <v>643</v>
      </c>
      <c r="D26" s="791" t="s">
        <v>371</v>
      </c>
      <c r="E26" s="791" t="s">
        <v>372</v>
      </c>
      <c r="F26" s="791" t="s">
        <v>373</v>
      </c>
      <c r="G26" s="791" t="s">
        <v>374</v>
      </c>
      <c r="H26" s="792" t="s">
        <v>523</v>
      </c>
      <c r="J26" s="4831"/>
      <c r="K26" s="793" t="s">
        <v>643</v>
      </c>
      <c r="L26" s="793" t="s">
        <v>371</v>
      </c>
      <c r="M26" s="793" t="s">
        <v>372</v>
      </c>
      <c r="N26" s="793" t="s">
        <v>373</v>
      </c>
      <c r="O26" s="793" t="s">
        <v>374</v>
      </c>
      <c r="P26" s="794" t="s">
        <v>523</v>
      </c>
      <c r="FV26" s="4823"/>
      <c r="FW26" s="795" t="s">
        <v>994</v>
      </c>
      <c r="FX26" s="796" t="s">
        <v>371</v>
      </c>
      <c r="FY26" s="796" t="s">
        <v>372</v>
      </c>
      <c r="FZ26" s="796" t="s">
        <v>373</v>
      </c>
      <c r="GA26" s="796" t="s">
        <v>374</v>
      </c>
      <c r="GB26" s="797" t="s">
        <v>1001</v>
      </c>
    </row>
    <row r="27" spans="2:184" s="19" customFormat="1" ht="18.5">
      <c r="B27" s="769" t="s">
        <v>365</v>
      </c>
      <c r="C27" s="133">
        <v>0.68025891812813311</v>
      </c>
      <c r="D27" s="133"/>
      <c r="E27" s="133"/>
      <c r="F27" s="133"/>
      <c r="G27" s="133"/>
      <c r="H27" s="134"/>
      <c r="J27" s="769" t="s">
        <v>365</v>
      </c>
      <c r="K27" s="133">
        <v>0.68025891812813311</v>
      </c>
      <c r="L27" s="133"/>
      <c r="M27" s="133"/>
      <c r="N27" s="133"/>
      <c r="O27" s="133"/>
      <c r="P27" s="798"/>
      <c r="FV27" s="799" t="s">
        <v>365</v>
      </c>
      <c r="FW27" s="800">
        <f>SUM(B27:FU27)/2</f>
        <v>0.68025891812813311</v>
      </c>
      <c r="FX27" s="801"/>
      <c r="FY27" s="801"/>
      <c r="FZ27" s="801"/>
      <c r="GA27" s="801"/>
      <c r="GB27" s="802"/>
    </row>
    <row r="28" spans="2:184" ht="18.5">
      <c r="B28" s="769" t="s">
        <v>366</v>
      </c>
      <c r="C28" s="133">
        <v>216.53313463658827</v>
      </c>
      <c r="D28" s="133"/>
      <c r="E28" s="133"/>
      <c r="F28" s="133"/>
      <c r="G28" s="133"/>
      <c r="H28" s="134"/>
      <c r="J28" s="769" t="s">
        <v>366</v>
      </c>
      <c r="K28" s="133">
        <v>206.72697216200223</v>
      </c>
      <c r="L28" s="133"/>
      <c r="M28" s="133"/>
      <c r="N28" s="133"/>
      <c r="O28" s="133"/>
      <c r="P28" s="798"/>
      <c r="FV28" s="799" t="s">
        <v>366</v>
      </c>
      <c r="FW28" s="803">
        <f>SUM(B28:FU28)/2</f>
        <v>211.63005339929526</v>
      </c>
      <c r="FX28" s="804"/>
      <c r="FY28" s="804"/>
      <c r="FZ28" s="804"/>
      <c r="GA28" s="804"/>
      <c r="GB28" s="805"/>
    </row>
    <row r="29" spans="2:184" ht="18.5">
      <c r="B29" s="769" t="s">
        <v>367</v>
      </c>
      <c r="C29" s="133"/>
      <c r="D29" s="133">
        <v>0.34389602718446599</v>
      </c>
      <c r="E29" s="133"/>
      <c r="F29" s="133"/>
      <c r="G29" s="133"/>
      <c r="H29" s="134"/>
      <c r="J29" s="769" t="s">
        <v>367</v>
      </c>
      <c r="K29" s="133"/>
      <c r="L29" s="133">
        <v>0.34389602718446599</v>
      </c>
      <c r="M29" s="133"/>
      <c r="N29" s="133"/>
      <c r="O29" s="133"/>
      <c r="P29" s="806"/>
      <c r="FV29" s="799" t="s">
        <v>367</v>
      </c>
      <c r="FW29" s="803"/>
      <c r="FX29" s="804">
        <f>SUM(B29:FU29)/2</f>
        <v>0.34389602718446599</v>
      </c>
      <c r="FY29" s="804"/>
      <c r="FZ29" s="804"/>
      <c r="GA29" s="804"/>
      <c r="GB29" s="805"/>
    </row>
    <row r="30" spans="2:184" ht="18.5">
      <c r="B30" s="769" t="s">
        <v>368</v>
      </c>
      <c r="C30" s="133">
        <v>49.502830064738717</v>
      </c>
      <c r="D30" s="133"/>
      <c r="E30" s="133">
        <v>160.4374606708638</v>
      </c>
      <c r="F30" s="133">
        <v>109.22242872403014</v>
      </c>
      <c r="G30" s="133">
        <v>58.099232100935517</v>
      </c>
      <c r="H30" s="134"/>
      <c r="J30" s="769" t="s">
        <v>368</v>
      </c>
      <c r="K30" s="133">
        <v>52.07639941759281</v>
      </c>
      <c r="L30" s="133"/>
      <c r="M30" s="133">
        <v>168.77833595602007</v>
      </c>
      <c r="N30" s="133">
        <v>114.90072014374996</v>
      </c>
      <c r="O30" s="133">
        <v>61.119714020126445</v>
      </c>
      <c r="P30" s="806"/>
      <c r="FV30" s="799" t="s">
        <v>368</v>
      </c>
      <c r="FW30" s="803">
        <f>(FO30+FG30+EY30+EQ30+EI30+EA30+DS30+DK30+DC30+CU30+CM30+CE30+BW30+BO30+BG30+AY30+AQ30+AI30+AA30+S30+K30+C30)/2</f>
        <v>50.789614741165764</v>
      </c>
      <c r="FX30" s="804"/>
      <c r="FY30" s="804">
        <f>(FQ30+FI30+FA30+ES30+EK30+EC30+DU30+DM30+DE30+CW30+CO30+CG30+BY30+BQ30+BI30+BA30+AS30+AK31+AC30+U30+M30+E30)/2</f>
        <v>164.60789831344192</v>
      </c>
      <c r="FZ30" s="804">
        <f>(FR30+FJ30+FB30+ET30+EL30+ED30+DV30+DN30+DF30+CX30+CP30+CH30+BZ30+BR30+BJ30+BB30+AT30+AL31+AD30+V30+N30+F30)/2</f>
        <v>112.06157443389006</v>
      </c>
      <c r="GA30" s="804">
        <f>(FS30+FK30+FC30+EU30+EM30+EE30+DW30+DO30+DG30+CY30+CQ30+CI30+CA30+BS30+BK30+BC30+AU30+AM31+AE30+W30+O30+G30)/2</f>
        <v>59.609473060530981</v>
      </c>
      <c r="GB30" s="805"/>
    </row>
    <row r="31" spans="2:184" ht="18.5">
      <c r="B31" s="769" t="s">
        <v>369</v>
      </c>
      <c r="C31" s="133">
        <v>1.2544276056338031E-2</v>
      </c>
      <c r="D31" s="133"/>
      <c r="E31" s="133"/>
      <c r="F31" s="133"/>
      <c r="G31" s="133"/>
      <c r="H31" s="134"/>
      <c r="J31" s="769" t="s">
        <v>369</v>
      </c>
      <c r="K31" s="133">
        <v>1.3241180281690142E-2</v>
      </c>
      <c r="L31" s="133"/>
      <c r="M31" s="133"/>
      <c r="N31" s="133"/>
      <c r="O31" s="133"/>
      <c r="P31" s="806"/>
      <c r="FV31" s="799" t="s">
        <v>369</v>
      </c>
      <c r="FW31" s="803">
        <f>SUM(B31:FU31)/2</f>
        <v>1.2892728169014087E-2</v>
      </c>
      <c r="FX31" s="804"/>
      <c r="FY31" s="804"/>
      <c r="FZ31" s="804"/>
      <c r="GA31" s="804"/>
      <c r="GB31" s="805"/>
    </row>
    <row r="32" spans="2:184" ht="18.5">
      <c r="B32" s="769" t="s">
        <v>819</v>
      </c>
      <c r="C32" s="133">
        <v>9.4737596760000002</v>
      </c>
      <c r="D32" s="133"/>
      <c r="E32" s="133"/>
      <c r="F32" s="133"/>
      <c r="G32" s="133"/>
      <c r="H32" s="134"/>
      <c r="J32" s="769" t="s">
        <v>819</v>
      </c>
      <c r="K32" s="133">
        <v>10.000079657999997</v>
      </c>
      <c r="L32" s="133"/>
      <c r="M32" s="133"/>
      <c r="N32" s="133"/>
      <c r="O32" s="133"/>
      <c r="P32" s="806"/>
      <c r="FV32" s="799" t="s">
        <v>819</v>
      </c>
      <c r="FW32" s="803">
        <f>SUM(B32:FU32)/2</f>
        <v>9.7369196669999987</v>
      </c>
      <c r="FX32" s="804"/>
      <c r="FY32" s="804"/>
      <c r="FZ32" s="804"/>
      <c r="GA32" s="804"/>
      <c r="GB32" s="805"/>
    </row>
    <row r="33" spans="2:184" ht="18.5">
      <c r="B33" s="769" t="s">
        <v>286</v>
      </c>
      <c r="C33" s="133">
        <v>474.85584258257029</v>
      </c>
      <c r="D33" s="133"/>
      <c r="E33" s="133"/>
      <c r="F33" s="133"/>
      <c r="G33" s="133"/>
      <c r="H33" s="134"/>
      <c r="J33" s="769" t="s">
        <v>286</v>
      </c>
      <c r="K33" s="133">
        <v>495.40418264082274</v>
      </c>
      <c r="L33" s="133"/>
      <c r="M33" s="133"/>
      <c r="N33" s="133"/>
      <c r="O33" s="133"/>
      <c r="P33" s="806"/>
      <c r="FV33" s="799" t="s">
        <v>286</v>
      </c>
      <c r="FW33" s="803">
        <f>(C33+K33)/2</f>
        <v>485.13001261169654</v>
      </c>
      <c r="FX33" s="804"/>
      <c r="FY33" s="804"/>
      <c r="FZ33" s="804"/>
      <c r="GA33" s="804"/>
      <c r="GB33" s="805"/>
    </row>
    <row r="34" spans="2:184" ht="18.5">
      <c r="B34" s="780" t="s">
        <v>820</v>
      </c>
      <c r="C34" s="133">
        <v>21.390465333333335</v>
      </c>
      <c r="D34" s="135"/>
      <c r="E34" s="135"/>
      <c r="F34" s="135"/>
      <c r="G34" s="135"/>
      <c r="H34" s="136"/>
      <c r="J34" s="780" t="s">
        <v>820</v>
      </c>
      <c r="K34" s="133">
        <v>21.390465333333335</v>
      </c>
      <c r="L34" s="133"/>
      <c r="M34" s="133"/>
      <c r="N34" s="133"/>
      <c r="O34" s="133"/>
      <c r="P34" s="806"/>
      <c r="FV34" s="799" t="s">
        <v>820</v>
      </c>
      <c r="FW34" s="803">
        <f>SUM(B34:FU34)/2</f>
        <v>21.390465333333335</v>
      </c>
      <c r="FX34" s="804"/>
      <c r="FY34" s="804"/>
      <c r="FZ34" s="804"/>
      <c r="GA34" s="804"/>
      <c r="GB34" s="805"/>
    </row>
    <row r="35" spans="2:184" ht="21" customHeight="1" thickBot="1">
      <c r="B35" s="780" t="s">
        <v>370</v>
      </c>
      <c r="C35" s="135"/>
      <c r="D35" s="135"/>
      <c r="E35" s="135"/>
      <c r="F35" s="135"/>
      <c r="G35" s="135"/>
      <c r="H35" s="136">
        <v>0.48143891666666661</v>
      </c>
      <c r="J35" s="780" t="s">
        <v>370</v>
      </c>
      <c r="K35" s="135"/>
      <c r="L35" s="135"/>
      <c r="M35" s="135"/>
      <c r="N35" s="135"/>
      <c r="O35" s="135"/>
      <c r="P35" s="807">
        <v>0.48143891666666661</v>
      </c>
      <c r="FV35" s="799" t="s">
        <v>370</v>
      </c>
      <c r="FW35" s="803"/>
      <c r="FX35" s="804"/>
      <c r="FY35" s="804"/>
      <c r="FZ35" s="804"/>
      <c r="GA35" s="804"/>
      <c r="GB35" s="805">
        <f>(FT35+FL35+FD35+EV35+EN35+EF35+DX35+DP35+DH35+CZ35+CR35+CJ35+CB35+BT35+BL35+BD35+AV35+AN36+AF35+X35+P35+H35)/2</f>
        <v>0.48143891666666661</v>
      </c>
    </row>
    <row r="36" spans="2:184" ht="28.5" customHeight="1" thickBot="1">
      <c r="B36" s="139" t="s">
        <v>645</v>
      </c>
      <c r="C36" s="785">
        <f>SUM(C27:C35)</f>
        <v>772.44883548741507</v>
      </c>
      <c r="D36" s="785">
        <f>D29</f>
        <v>0.34389602718446599</v>
      </c>
      <c r="E36" s="785">
        <f>E30</f>
        <v>160.4374606708638</v>
      </c>
      <c r="F36" s="785">
        <f>F30</f>
        <v>109.22242872403014</v>
      </c>
      <c r="G36" s="785">
        <f>G30</f>
        <v>58.099232100935517</v>
      </c>
      <c r="H36" s="786">
        <f>H35</f>
        <v>0.48143891666666661</v>
      </c>
      <c r="J36" s="784" t="s">
        <v>996</v>
      </c>
      <c r="K36" s="785">
        <f>SUM(K27:K35)</f>
        <v>786.2915993101609</v>
      </c>
      <c r="L36" s="785">
        <f>L29</f>
        <v>0.34389602718446599</v>
      </c>
      <c r="M36" s="785">
        <f>M30</f>
        <v>168.77833595602007</v>
      </c>
      <c r="N36" s="785">
        <f>N30</f>
        <v>114.90072014374996</v>
      </c>
      <c r="O36" s="785">
        <f>O30</f>
        <v>61.119714020126445</v>
      </c>
      <c r="P36" s="786">
        <f>P35</f>
        <v>0.48143891666666661</v>
      </c>
      <c r="FV36" s="808" t="s">
        <v>996</v>
      </c>
      <c r="FW36" s="809">
        <f>SUM(FW27:FW35)</f>
        <v>779.37021739878799</v>
      </c>
      <c r="FX36" s="809">
        <f>SUM(FX29:FX35)</f>
        <v>0.34389602718446599</v>
      </c>
      <c r="FY36" s="809">
        <f>FY30</f>
        <v>164.60789831344192</v>
      </c>
      <c r="FZ36" s="809">
        <f>FZ30</f>
        <v>112.06157443389006</v>
      </c>
      <c r="GA36" s="809">
        <f>GA30</f>
        <v>59.609473060530981</v>
      </c>
      <c r="GB36" s="810">
        <f>GB35</f>
        <v>0.48143891666666661</v>
      </c>
    </row>
    <row r="37" spans="2:184" ht="27" customHeight="1" thickBot="1">
      <c r="B37" s="138" t="s">
        <v>644</v>
      </c>
      <c r="C37" s="4659">
        <f>SUM(C36:H36)</f>
        <v>1101.0332919270957</v>
      </c>
      <c r="D37" s="4660"/>
      <c r="E37" s="4660"/>
      <c r="F37" s="4660"/>
      <c r="G37" s="4660"/>
      <c r="H37" s="4661"/>
      <c r="J37" s="138" t="s">
        <v>644</v>
      </c>
      <c r="K37" s="4659">
        <f>SUM(K36:P36)</f>
        <v>1131.9157043739085</v>
      </c>
      <c r="L37" s="4660"/>
      <c r="M37" s="4660"/>
      <c r="N37" s="4660"/>
      <c r="O37" s="4660"/>
      <c r="P37" s="4661"/>
      <c r="FV37" s="808" t="s">
        <v>997</v>
      </c>
      <c r="FW37" s="4880">
        <f>FW36+FX36+FY36+FZ36+GA36+GB36</f>
        <v>1116.4744981505021</v>
      </c>
      <c r="FX37" s="4881"/>
      <c r="FY37" s="4881"/>
      <c r="FZ37" s="4881"/>
      <c r="GA37" s="4881"/>
      <c r="GB37" s="4882"/>
    </row>
    <row r="39" spans="2:184" ht="15.5">
      <c r="FV39" s="718"/>
      <c r="FW39" s="811"/>
      <c r="FX39" s="811"/>
      <c r="FY39" s="811"/>
      <c r="FZ39" s="811"/>
      <c r="GA39" s="811"/>
      <c r="GB39" s="811"/>
    </row>
    <row r="40" spans="2:184" ht="15.5">
      <c r="FV40" s="718"/>
      <c r="FW40" s="811"/>
      <c r="FX40" s="811"/>
      <c r="FY40" s="811"/>
      <c r="FZ40" s="811"/>
      <c r="GA40" s="811"/>
      <c r="GB40" s="811"/>
    </row>
    <row r="41" spans="2:184" ht="15.5">
      <c r="FV41" s="718"/>
      <c r="FW41" s="811"/>
      <c r="FX41" s="811"/>
      <c r="FY41" s="811"/>
      <c r="FZ41" s="811"/>
      <c r="GA41" s="811"/>
      <c r="GB41" s="811"/>
    </row>
    <row r="42" spans="2:184" ht="26">
      <c r="B42" s="754" t="s">
        <v>1002</v>
      </c>
      <c r="AP42" s="759" t="s">
        <v>1002</v>
      </c>
      <c r="BU42" s="754" t="s">
        <v>1002</v>
      </c>
      <c r="DD42" s="754" t="s">
        <v>1002</v>
      </c>
      <c r="EO42" s="754" t="s">
        <v>1002</v>
      </c>
    </row>
    <row r="43" spans="2:184" s="759" customFormat="1" ht="20.5" thickBot="1">
      <c r="B43" s="756" t="s">
        <v>383</v>
      </c>
      <c r="C43" s="757"/>
      <c r="D43" s="757"/>
      <c r="E43" s="757"/>
      <c r="F43" s="757"/>
      <c r="G43" s="757"/>
      <c r="H43" s="758"/>
      <c r="J43" s="756" t="s">
        <v>384</v>
      </c>
      <c r="K43" s="757"/>
      <c r="L43" s="757"/>
      <c r="M43" s="757"/>
      <c r="N43" s="757"/>
      <c r="O43" s="757"/>
      <c r="P43" s="760"/>
      <c r="R43" s="756" t="s">
        <v>389</v>
      </c>
      <c r="Z43" s="756" t="s">
        <v>390</v>
      </c>
      <c r="AH43" s="756" t="s">
        <v>400</v>
      </c>
      <c r="AP43" s="756" t="s">
        <v>411</v>
      </c>
      <c r="AX43" s="756" t="s">
        <v>418</v>
      </c>
      <c r="BF43" s="756" t="s">
        <v>419</v>
      </c>
      <c r="BN43" s="756" t="s">
        <v>426</v>
      </c>
      <c r="BV43" s="756" t="s">
        <v>429</v>
      </c>
      <c r="CD43" s="756" t="s">
        <v>434</v>
      </c>
      <c r="CL43" s="756" t="s">
        <v>437</v>
      </c>
      <c r="CT43" s="756" t="s">
        <v>449</v>
      </c>
      <c r="DB43" s="756" t="s">
        <v>450</v>
      </c>
      <c r="DC43" s="812"/>
      <c r="DD43" s="812"/>
      <c r="DE43" s="812"/>
      <c r="DF43" s="812"/>
      <c r="DG43" s="812"/>
      <c r="DH43" s="812"/>
      <c r="DJ43" s="756" t="s">
        <v>451</v>
      </c>
      <c r="DR43" s="756" t="s">
        <v>452</v>
      </c>
      <c r="DZ43" s="756" t="s">
        <v>461</v>
      </c>
      <c r="EH43" s="756" t="s">
        <v>465</v>
      </c>
      <c r="EP43" s="756" t="s">
        <v>469</v>
      </c>
      <c r="EW43" s="813"/>
      <c r="EX43" s="756" t="s">
        <v>473</v>
      </c>
      <c r="FF43" s="756" t="s">
        <v>477</v>
      </c>
      <c r="FN43" s="756" t="s">
        <v>481</v>
      </c>
      <c r="FV43" s="759" t="s">
        <v>1003</v>
      </c>
    </row>
    <row r="44" spans="2:184" ht="19" thickBot="1">
      <c r="B44" s="4834" t="s">
        <v>363</v>
      </c>
      <c r="C44" s="4835"/>
      <c r="D44" s="4835"/>
      <c r="E44" s="4835"/>
      <c r="F44" s="4835"/>
      <c r="G44" s="4835"/>
      <c r="H44" s="4836"/>
      <c r="J44" s="4834" t="s">
        <v>363</v>
      </c>
      <c r="K44" s="4835"/>
      <c r="L44" s="4835"/>
      <c r="M44" s="4835"/>
      <c r="N44" s="4835"/>
      <c r="O44" s="4835"/>
      <c r="P44" s="4836"/>
      <c r="Q44" s="814"/>
      <c r="R44" s="4834" t="s">
        <v>363</v>
      </c>
      <c r="S44" s="4835"/>
      <c r="T44" s="4835"/>
      <c r="U44" s="4835"/>
      <c r="V44" s="4835"/>
      <c r="W44" s="4835"/>
      <c r="X44" s="4836"/>
      <c r="Z44" s="4834" t="s">
        <v>363</v>
      </c>
      <c r="AA44" s="4835"/>
      <c r="AB44" s="4835"/>
      <c r="AC44" s="4835"/>
      <c r="AD44" s="4835"/>
      <c r="AE44" s="4835"/>
      <c r="AF44" s="4836"/>
      <c r="AH44" s="4851" t="s">
        <v>363</v>
      </c>
      <c r="AI44" s="4852"/>
      <c r="AJ44" s="4852"/>
      <c r="AK44" s="4852"/>
      <c r="AL44" s="4852"/>
      <c r="AM44" s="4852"/>
      <c r="AN44" s="4853"/>
      <c r="AP44" s="4851" t="s">
        <v>363</v>
      </c>
      <c r="AQ44" s="4852"/>
      <c r="AR44" s="4852"/>
      <c r="AS44" s="4852"/>
      <c r="AT44" s="4852"/>
      <c r="AU44" s="4852"/>
      <c r="AV44" s="4853"/>
      <c r="AX44" s="4834" t="s">
        <v>363</v>
      </c>
      <c r="AY44" s="4835"/>
      <c r="AZ44" s="4835"/>
      <c r="BA44" s="4835"/>
      <c r="BB44" s="4835"/>
      <c r="BC44" s="4835"/>
      <c r="BD44" s="4836"/>
      <c r="BF44" s="4834" t="s">
        <v>363</v>
      </c>
      <c r="BG44" s="4835"/>
      <c r="BH44" s="4835"/>
      <c r="BI44" s="4835"/>
      <c r="BJ44" s="4835"/>
      <c r="BK44" s="4835"/>
      <c r="BL44" s="4836"/>
      <c r="BM44" s="814"/>
      <c r="BN44" s="4834" t="s">
        <v>363</v>
      </c>
      <c r="BO44" s="4835"/>
      <c r="BP44" s="4835"/>
      <c r="BQ44" s="4835"/>
      <c r="BR44" s="4835"/>
      <c r="BS44" s="4835"/>
      <c r="BT44" s="4836"/>
      <c r="BV44" s="4834" t="s">
        <v>363</v>
      </c>
      <c r="BW44" s="4835"/>
      <c r="BX44" s="4835"/>
      <c r="BY44" s="4835"/>
      <c r="BZ44" s="4835"/>
      <c r="CA44" s="4835"/>
      <c r="CB44" s="4836"/>
      <c r="CD44" s="4834" t="s">
        <v>363</v>
      </c>
      <c r="CE44" s="4835"/>
      <c r="CF44" s="4835"/>
      <c r="CG44" s="4835"/>
      <c r="CH44" s="4835"/>
      <c r="CI44" s="4835"/>
      <c r="CJ44" s="4836"/>
      <c r="CL44" s="4834" t="s">
        <v>363</v>
      </c>
      <c r="CM44" s="4835"/>
      <c r="CN44" s="4835"/>
      <c r="CO44" s="4835"/>
      <c r="CP44" s="4835"/>
      <c r="CQ44" s="4835"/>
      <c r="CR44" s="4836"/>
      <c r="CT44" s="4834" t="s">
        <v>363</v>
      </c>
      <c r="CU44" s="4835"/>
      <c r="CV44" s="4835"/>
      <c r="CW44" s="4835"/>
      <c r="CX44" s="4835"/>
      <c r="CY44" s="4835"/>
      <c r="CZ44" s="4836"/>
      <c r="DB44" s="4870" t="s">
        <v>363</v>
      </c>
      <c r="DC44" s="4871"/>
      <c r="DD44" s="4871"/>
      <c r="DE44" s="4871"/>
      <c r="DF44" s="4871"/>
      <c r="DG44" s="4871"/>
      <c r="DH44" s="4872"/>
      <c r="DJ44" s="4834" t="s">
        <v>363</v>
      </c>
      <c r="DK44" s="4835"/>
      <c r="DL44" s="4835"/>
      <c r="DM44" s="4835"/>
      <c r="DN44" s="4835"/>
      <c r="DO44" s="4835"/>
      <c r="DP44" s="4836"/>
      <c r="DR44" s="4834" t="s">
        <v>363</v>
      </c>
      <c r="DS44" s="4835"/>
      <c r="DT44" s="4835"/>
      <c r="DU44" s="4835"/>
      <c r="DV44" s="4835"/>
      <c r="DW44" s="4835"/>
      <c r="DX44" s="4836"/>
      <c r="DZ44" s="4834" t="s">
        <v>363</v>
      </c>
      <c r="EA44" s="4835"/>
      <c r="EB44" s="4835"/>
      <c r="EC44" s="4835"/>
      <c r="ED44" s="4835"/>
      <c r="EE44" s="4835"/>
      <c r="EF44" s="4836"/>
      <c r="EH44" s="4834" t="s">
        <v>363</v>
      </c>
      <c r="EI44" s="4835"/>
      <c r="EJ44" s="4835"/>
      <c r="EK44" s="4835"/>
      <c r="EL44" s="4835"/>
      <c r="EM44" s="4835"/>
      <c r="EN44" s="4836"/>
      <c r="EP44" s="4834" t="s">
        <v>363</v>
      </c>
      <c r="EQ44" s="4835"/>
      <c r="ER44" s="4835"/>
      <c r="ES44" s="4835"/>
      <c r="ET44" s="4835"/>
      <c r="EU44" s="4835"/>
      <c r="EV44" s="4836"/>
      <c r="EW44" s="22"/>
      <c r="EX44" s="4834" t="s">
        <v>363</v>
      </c>
      <c r="EY44" s="4835"/>
      <c r="EZ44" s="4835"/>
      <c r="FA44" s="4835"/>
      <c r="FB44" s="4835"/>
      <c r="FC44" s="4835"/>
      <c r="FD44" s="4836"/>
      <c r="FF44" s="4834" t="s">
        <v>363</v>
      </c>
      <c r="FG44" s="4835"/>
      <c r="FH44" s="4835"/>
      <c r="FI44" s="4835"/>
      <c r="FJ44" s="4835"/>
      <c r="FK44" s="4835"/>
      <c r="FL44" s="4836"/>
      <c r="FN44" s="4834" t="s">
        <v>363</v>
      </c>
      <c r="FO44" s="4835"/>
      <c r="FP44" s="4835"/>
      <c r="FQ44" s="4835"/>
      <c r="FR44" s="4835"/>
      <c r="FS44" s="4835"/>
      <c r="FT44" s="4836"/>
      <c r="FV44" s="4819" t="s">
        <v>1004</v>
      </c>
      <c r="FW44" s="4819"/>
      <c r="FX44" s="4819"/>
      <c r="FY44" s="4819"/>
      <c r="FZ44" s="4819"/>
      <c r="GA44" s="4819"/>
      <c r="GB44" s="4819"/>
    </row>
    <row r="45" spans="2:184" ht="18.5">
      <c r="B45" s="4830" t="s">
        <v>364</v>
      </c>
      <c r="C45" s="4832" t="s">
        <v>524</v>
      </c>
      <c r="D45" s="4832"/>
      <c r="E45" s="4832"/>
      <c r="F45" s="4832"/>
      <c r="G45" s="4832"/>
      <c r="H45" s="4833"/>
      <c r="J45" s="4830" t="s">
        <v>364</v>
      </c>
      <c r="K45" s="4832" t="s">
        <v>524</v>
      </c>
      <c r="L45" s="4832"/>
      <c r="M45" s="4832"/>
      <c r="N45" s="4832"/>
      <c r="O45" s="4832"/>
      <c r="P45" s="4833"/>
      <c r="Q45" s="815"/>
      <c r="R45" s="4830" t="s">
        <v>364</v>
      </c>
      <c r="S45" s="4832" t="s">
        <v>524</v>
      </c>
      <c r="T45" s="4832"/>
      <c r="U45" s="4832"/>
      <c r="V45" s="4832"/>
      <c r="W45" s="4832"/>
      <c r="X45" s="4833"/>
      <c r="Z45" s="4830" t="s">
        <v>364</v>
      </c>
      <c r="AA45" s="4832" t="s">
        <v>524</v>
      </c>
      <c r="AB45" s="4832"/>
      <c r="AC45" s="4832"/>
      <c r="AD45" s="4832"/>
      <c r="AE45" s="4832"/>
      <c r="AF45" s="4833"/>
      <c r="AH45" s="4830" t="s">
        <v>364</v>
      </c>
      <c r="AI45" s="4854" t="s">
        <v>524</v>
      </c>
      <c r="AJ45" s="4855"/>
      <c r="AK45" s="4855"/>
      <c r="AL45" s="4855"/>
      <c r="AM45" s="4855"/>
      <c r="AN45" s="4856"/>
      <c r="AP45" s="4830" t="s">
        <v>364</v>
      </c>
      <c r="AQ45" s="4865" t="s">
        <v>524</v>
      </c>
      <c r="AR45" s="4866"/>
      <c r="AS45" s="4866"/>
      <c r="AT45" s="4866"/>
      <c r="AU45" s="4866"/>
      <c r="AV45" s="4867"/>
      <c r="AX45" s="4830" t="s">
        <v>364</v>
      </c>
      <c r="AY45" s="4832" t="s">
        <v>524</v>
      </c>
      <c r="AZ45" s="4832"/>
      <c r="BA45" s="4832"/>
      <c r="BB45" s="4832"/>
      <c r="BC45" s="4832"/>
      <c r="BD45" s="4833"/>
      <c r="BF45" s="4830" t="s">
        <v>364</v>
      </c>
      <c r="BG45" s="4832" t="s">
        <v>524</v>
      </c>
      <c r="BH45" s="4832"/>
      <c r="BI45" s="4832"/>
      <c r="BJ45" s="4832"/>
      <c r="BK45" s="4832"/>
      <c r="BL45" s="4833"/>
      <c r="BM45" s="814"/>
      <c r="BN45" s="4830" t="s">
        <v>364</v>
      </c>
      <c r="BO45" s="4832" t="s">
        <v>524</v>
      </c>
      <c r="BP45" s="4832"/>
      <c r="BQ45" s="4832"/>
      <c r="BR45" s="4832"/>
      <c r="BS45" s="4832"/>
      <c r="BT45" s="4833"/>
      <c r="BV45" s="4830" t="s">
        <v>364</v>
      </c>
      <c r="BW45" s="4832" t="s">
        <v>524</v>
      </c>
      <c r="BX45" s="4832"/>
      <c r="BY45" s="4832"/>
      <c r="BZ45" s="4832"/>
      <c r="CA45" s="4832"/>
      <c r="CB45" s="4833"/>
      <c r="CD45" s="4830" t="s">
        <v>364</v>
      </c>
      <c r="CE45" s="4832" t="s">
        <v>524</v>
      </c>
      <c r="CF45" s="4832"/>
      <c r="CG45" s="4832"/>
      <c r="CH45" s="4832"/>
      <c r="CI45" s="4832"/>
      <c r="CJ45" s="4833"/>
      <c r="CL45" s="4830" t="s">
        <v>364</v>
      </c>
      <c r="CM45" s="4832" t="s">
        <v>524</v>
      </c>
      <c r="CN45" s="4832"/>
      <c r="CO45" s="4832"/>
      <c r="CP45" s="4832"/>
      <c r="CQ45" s="4832"/>
      <c r="CR45" s="4833"/>
      <c r="CT45" s="4830" t="s">
        <v>364</v>
      </c>
      <c r="CU45" s="4832" t="s">
        <v>524</v>
      </c>
      <c r="CV45" s="4832"/>
      <c r="CW45" s="4832"/>
      <c r="CX45" s="4832"/>
      <c r="CY45" s="4832"/>
      <c r="CZ45" s="4833"/>
      <c r="DB45" s="4868" t="s">
        <v>364</v>
      </c>
      <c r="DC45" s="4863" t="s">
        <v>524</v>
      </c>
      <c r="DD45" s="4863"/>
      <c r="DE45" s="4863"/>
      <c r="DF45" s="4863"/>
      <c r="DG45" s="4863"/>
      <c r="DH45" s="4864"/>
      <c r="DJ45" s="4830" t="s">
        <v>364</v>
      </c>
      <c r="DK45" s="4832" t="s">
        <v>524</v>
      </c>
      <c r="DL45" s="4832"/>
      <c r="DM45" s="4832"/>
      <c r="DN45" s="4832"/>
      <c r="DO45" s="4832"/>
      <c r="DP45" s="4833"/>
      <c r="DR45" s="4830" t="s">
        <v>364</v>
      </c>
      <c r="DS45" s="4832" t="s">
        <v>524</v>
      </c>
      <c r="DT45" s="4832"/>
      <c r="DU45" s="4832"/>
      <c r="DV45" s="4832"/>
      <c r="DW45" s="4832"/>
      <c r="DX45" s="4833"/>
      <c r="DZ45" s="4830" t="s">
        <v>364</v>
      </c>
      <c r="EA45" s="4832" t="s">
        <v>524</v>
      </c>
      <c r="EB45" s="4832"/>
      <c r="EC45" s="4832"/>
      <c r="ED45" s="4832"/>
      <c r="EE45" s="4832"/>
      <c r="EF45" s="4833"/>
      <c r="EH45" s="4830" t="s">
        <v>364</v>
      </c>
      <c r="EI45" s="4832" t="s">
        <v>524</v>
      </c>
      <c r="EJ45" s="4832"/>
      <c r="EK45" s="4832"/>
      <c r="EL45" s="4832"/>
      <c r="EM45" s="4832"/>
      <c r="EN45" s="4833"/>
      <c r="EP45" s="4830" t="s">
        <v>364</v>
      </c>
      <c r="EQ45" s="4832" t="s">
        <v>524</v>
      </c>
      <c r="ER45" s="4832"/>
      <c r="ES45" s="4832"/>
      <c r="ET45" s="4832"/>
      <c r="EU45" s="4832"/>
      <c r="EV45" s="4833"/>
      <c r="EW45" s="22"/>
      <c r="EX45" s="4830" t="s">
        <v>364</v>
      </c>
      <c r="EY45" s="4832" t="s">
        <v>524</v>
      </c>
      <c r="EZ45" s="4832"/>
      <c r="FA45" s="4832"/>
      <c r="FB45" s="4832"/>
      <c r="FC45" s="4832"/>
      <c r="FD45" s="4833"/>
      <c r="FF45" s="4830" t="s">
        <v>364</v>
      </c>
      <c r="FG45" s="4832" t="s">
        <v>524</v>
      </c>
      <c r="FH45" s="4832"/>
      <c r="FI45" s="4832"/>
      <c r="FJ45" s="4832"/>
      <c r="FK45" s="4832"/>
      <c r="FL45" s="4833"/>
      <c r="FN45" s="4830" t="s">
        <v>364</v>
      </c>
      <c r="FO45" s="4832" t="s">
        <v>524</v>
      </c>
      <c r="FP45" s="4832"/>
      <c r="FQ45" s="4832"/>
      <c r="FR45" s="4832"/>
      <c r="FS45" s="4832"/>
      <c r="FT45" s="4833"/>
      <c r="FV45" s="4822" t="s">
        <v>993</v>
      </c>
      <c r="FW45" s="4848" t="s">
        <v>524</v>
      </c>
      <c r="FX45" s="4849"/>
      <c r="FY45" s="4849"/>
      <c r="FZ45" s="4849"/>
      <c r="GA45" s="4849"/>
      <c r="GB45" s="4850"/>
    </row>
    <row r="46" spans="2:184" ht="37">
      <c r="B46" s="4831"/>
      <c r="C46" s="762" t="s">
        <v>994</v>
      </c>
      <c r="D46" s="762" t="s">
        <v>371</v>
      </c>
      <c r="E46" s="762" t="s">
        <v>372</v>
      </c>
      <c r="F46" s="762" t="s">
        <v>373</v>
      </c>
      <c r="G46" s="762" t="s">
        <v>374</v>
      </c>
      <c r="H46" s="763" t="s">
        <v>523</v>
      </c>
      <c r="J46" s="4831"/>
      <c r="K46" s="762" t="s">
        <v>994</v>
      </c>
      <c r="L46" s="762" t="s">
        <v>371</v>
      </c>
      <c r="M46" s="762" t="s">
        <v>372</v>
      </c>
      <c r="N46" s="762" t="s">
        <v>373</v>
      </c>
      <c r="O46" s="762" t="s">
        <v>374</v>
      </c>
      <c r="P46" s="764" t="s">
        <v>523</v>
      </c>
      <c r="Q46" s="816"/>
      <c r="R46" s="4831"/>
      <c r="S46" s="762" t="s">
        <v>994</v>
      </c>
      <c r="T46" s="762" t="s">
        <v>371</v>
      </c>
      <c r="U46" s="762" t="s">
        <v>372</v>
      </c>
      <c r="V46" s="762" t="s">
        <v>373</v>
      </c>
      <c r="W46" s="762" t="s">
        <v>374</v>
      </c>
      <c r="X46" s="765" t="s">
        <v>523</v>
      </c>
      <c r="Z46" s="4831"/>
      <c r="AA46" s="762" t="s">
        <v>994</v>
      </c>
      <c r="AB46" s="762" t="s">
        <v>371</v>
      </c>
      <c r="AC46" s="762" t="s">
        <v>372</v>
      </c>
      <c r="AD46" s="762" t="s">
        <v>373</v>
      </c>
      <c r="AE46" s="762" t="s">
        <v>374</v>
      </c>
      <c r="AF46" s="765" t="s">
        <v>523</v>
      </c>
      <c r="AH46" s="4831"/>
      <c r="AI46" s="762" t="s">
        <v>994</v>
      </c>
      <c r="AJ46" s="762" t="s">
        <v>371</v>
      </c>
      <c r="AK46" s="762" t="s">
        <v>372</v>
      </c>
      <c r="AL46" s="762" t="s">
        <v>373</v>
      </c>
      <c r="AM46" s="762" t="s">
        <v>374</v>
      </c>
      <c r="AN46" s="765" t="s">
        <v>523</v>
      </c>
      <c r="AP46" s="4831"/>
      <c r="AQ46" s="762" t="s">
        <v>994</v>
      </c>
      <c r="AR46" s="762" t="s">
        <v>371</v>
      </c>
      <c r="AS46" s="762" t="s">
        <v>372</v>
      </c>
      <c r="AT46" s="762" t="s">
        <v>373</v>
      </c>
      <c r="AU46" s="762" t="s">
        <v>374</v>
      </c>
      <c r="AV46" s="765" t="s">
        <v>523</v>
      </c>
      <c r="AX46" s="4831"/>
      <c r="AY46" s="762" t="s">
        <v>994</v>
      </c>
      <c r="AZ46" s="762" t="s">
        <v>371</v>
      </c>
      <c r="BA46" s="762" t="s">
        <v>372</v>
      </c>
      <c r="BB46" s="762" t="s">
        <v>373</v>
      </c>
      <c r="BC46" s="762" t="s">
        <v>374</v>
      </c>
      <c r="BD46" s="765" t="s">
        <v>523</v>
      </c>
      <c r="BF46" s="4831"/>
      <c r="BG46" s="762" t="s">
        <v>994</v>
      </c>
      <c r="BH46" s="762" t="s">
        <v>371</v>
      </c>
      <c r="BI46" s="762" t="s">
        <v>372</v>
      </c>
      <c r="BJ46" s="762" t="s">
        <v>373</v>
      </c>
      <c r="BK46" s="762" t="s">
        <v>374</v>
      </c>
      <c r="BL46" s="765" t="s">
        <v>523</v>
      </c>
      <c r="BM46" s="817"/>
      <c r="BN46" s="4831"/>
      <c r="BO46" s="762" t="s">
        <v>994</v>
      </c>
      <c r="BP46" s="762" t="s">
        <v>371</v>
      </c>
      <c r="BQ46" s="762" t="s">
        <v>372</v>
      </c>
      <c r="BR46" s="762" t="s">
        <v>373</v>
      </c>
      <c r="BS46" s="762" t="s">
        <v>374</v>
      </c>
      <c r="BT46" s="765" t="s">
        <v>523</v>
      </c>
      <c r="BV46" s="4831"/>
      <c r="BW46" s="762" t="s">
        <v>994</v>
      </c>
      <c r="BX46" s="762" t="s">
        <v>371</v>
      </c>
      <c r="BY46" s="762" t="s">
        <v>372</v>
      </c>
      <c r="BZ46" s="762" t="s">
        <v>373</v>
      </c>
      <c r="CA46" s="762" t="s">
        <v>374</v>
      </c>
      <c r="CB46" s="765" t="s">
        <v>523</v>
      </c>
      <c r="CD46" s="4831"/>
      <c r="CE46" s="762" t="s">
        <v>994</v>
      </c>
      <c r="CF46" s="762" t="s">
        <v>371</v>
      </c>
      <c r="CG46" s="762" t="s">
        <v>372</v>
      </c>
      <c r="CH46" s="762" t="s">
        <v>373</v>
      </c>
      <c r="CI46" s="762" t="s">
        <v>374</v>
      </c>
      <c r="CJ46" s="765" t="s">
        <v>523</v>
      </c>
      <c r="CL46" s="4831"/>
      <c r="CM46" s="762" t="s">
        <v>994</v>
      </c>
      <c r="CN46" s="762" t="s">
        <v>371</v>
      </c>
      <c r="CO46" s="762" t="s">
        <v>372</v>
      </c>
      <c r="CP46" s="762" t="s">
        <v>373</v>
      </c>
      <c r="CQ46" s="762" t="s">
        <v>374</v>
      </c>
      <c r="CR46" s="765" t="s">
        <v>523</v>
      </c>
      <c r="CT46" s="4831"/>
      <c r="CU46" s="762" t="s">
        <v>994</v>
      </c>
      <c r="CV46" s="762" t="s">
        <v>371</v>
      </c>
      <c r="CW46" s="762" t="s">
        <v>372</v>
      </c>
      <c r="CX46" s="762" t="s">
        <v>373</v>
      </c>
      <c r="CY46" s="762" t="s">
        <v>374</v>
      </c>
      <c r="CZ46" s="765" t="s">
        <v>523</v>
      </c>
      <c r="DB46" s="4869"/>
      <c r="DC46" s="818" t="s">
        <v>994</v>
      </c>
      <c r="DD46" s="818" t="s">
        <v>371</v>
      </c>
      <c r="DE46" s="818" t="s">
        <v>372</v>
      </c>
      <c r="DF46" s="818" t="s">
        <v>373</v>
      </c>
      <c r="DG46" s="818" t="s">
        <v>374</v>
      </c>
      <c r="DH46" s="819" t="s">
        <v>523</v>
      </c>
      <c r="DJ46" s="4831"/>
      <c r="DK46" s="762" t="s">
        <v>994</v>
      </c>
      <c r="DL46" s="762" t="s">
        <v>371</v>
      </c>
      <c r="DM46" s="762" t="s">
        <v>372</v>
      </c>
      <c r="DN46" s="762" t="s">
        <v>373</v>
      </c>
      <c r="DO46" s="762" t="s">
        <v>374</v>
      </c>
      <c r="DP46" s="765" t="s">
        <v>523</v>
      </c>
      <c r="DR46" s="4831"/>
      <c r="DS46" s="762" t="s">
        <v>994</v>
      </c>
      <c r="DT46" s="762" t="s">
        <v>371</v>
      </c>
      <c r="DU46" s="762" t="s">
        <v>372</v>
      </c>
      <c r="DV46" s="762" t="s">
        <v>373</v>
      </c>
      <c r="DW46" s="762" t="s">
        <v>374</v>
      </c>
      <c r="DX46" s="765" t="s">
        <v>523</v>
      </c>
      <c r="DZ46" s="4831"/>
      <c r="EA46" s="762" t="s">
        <v>994</v>
      </c>
      <c r="EB46" s="762" t="s">
        <v>371</v>
      </c>
      <c r="EC46" s="762" t="s">
        <v>372</v>
      </c>
      <c r="ED46" s="762" t="s">
        <v>373</v>
      </c>
      <c r="EE46" s="762" t="s">
        <v>374</v>
      </c>
      <c r="EF46" s="765" t="s">
        <v>523</v>
      </c>
      <c r="EH46" s="4831"/>
      <c r="EI46" s="762" t="s">
        <v>994</v>
      </c>
      <c r="EJ46" s="762" t="s">
        <v>371</v>
      </c>
      <c r="EK46" s="762" t="s">
        <v>372</v>
      </c>
      <c r="EL46" s="762" t="s">
        <v>373</v>
      </c>
      <c r="EM46" s="762" t="s">
        <v>374</v>
      </c>
      <c r="EN46" s="765" t="s">
        <v>523</v>
      </c>
      <c r="EP46" s="4831"/>
      <c r="EQ46" s="762" t="s">
        <v>994</v>
      </c>
      <c r="ER46" s="762" t="s">
        <v>371</v>
      </c>
      <c r="ES46" s="762" t="s">
        <v>372</v>
      </c>
      <c r="ET46" s="762" t="s">
        <v>373</v>
      </c>
      <c r="EU46" s="762" t="s">
        <v>374</v>
      </c>
      <c r="EV46" s="765" t="s">
        <v>523</v>
      </c>
      <c r="EW46" s="22"/>
      <c r="EX46" s="4831"/>
      <c r="EY46" s="762" t="s">
        <v>994</v>
      </c>
      <c r="EZ46" s="762" t="s">
        <v>371</v>
      </c>
      <c r="FA46" s="762" t="s">
        <v>372</v>
      </c>
      <c r="FB46" s="762" t="s">
        <v>373</v>
      </c>
      <c r="FC46" s="762" t="s">
        <v>374</v>
      </c>
      <c r="FD46" s="765" t="s">
        <v>523</v>
      </c>
      <c r="FF46" s="4831"/>
      <c r="FG46" s="762" t="s">
        <v>994</v>
      </c>
      <c r="FH46" s="762" t="s">
        <v>371</v>
      </c>
      <c r="FI46" s="762" t="s">
        <v>372</v>
      </c>
      <c r="FJ46" s="762" t="s">
        <v>373</v>
      </c>
      <c r="FK46" s="762" t="s">
        <v>374</v>
      </c>
      <c r="FL46" s="765" t="s">
        <v>523</v>
      </c>
      <c r="FN46" s="4831"/>
      <c r="FO46" s="762" t="s">
        <v>994</v>
      </c>
      <c r="FP46" s="762" t="s">
        <v>371</v>
      </c>
      <c r="FQ46" s="762" t="s">
        <v>372</v>
      </c>
      <c r="FR46" s="762" t="s">
        <v>373</v>
      </c>
      <c r="FS46" s="762" t="s">
        <v>374</v>
      </c>
      <c r="FT46" s="765" t="s">
        <v>523</v>
      </c>
      <c r="FV46" s="4823"/>
      <c r="FW46" s="820" t="s">
        <v>994</v>
      </c>
      <c r="FX46" s="820" t="s">
        <v>371</v>
      </c>
      <c r="FY46" s="820" t="s">
        <v>372</v>
      </c>
      <c r="FZ46" s="820" t="s">
        <v>373</v>
      </c>
      <c r="GA46" s="820" t="s">
        <v>374</v>
      </c>
      <c r="GB46" s="821" t="s">
        <v>1005</v>
      </c>
    </row>
    <row r="47" spans="2:184" ht="18.5">
      <c r="B47" s="769" t="s">
        <v>365</v>
      </c>
      <c r="C47" s="133">
        <v>0.56176387136011285</v>
      </c>
      <c r="D47" s="133"/>
      <c r="E47" s="133"/>
      <c r="F47" s="133"/>
      <c r="G47" s="133"/>
      <c r="H47" s="134"/>
      <c r="J47" s="769" t="s">
        <v>365</v>
      </c>
      <c r="K47" s="822">
        <v>0.56176387136011285</v>
      </c>
      <c r="L47" s="822"/>
      <c r="M47" s="822"/>
      <c r="N47" s="822"/>
      <c r="O47" s="822"/>
      <c r="P47" s="823"/>
      <c r="Q47" s="815"/>
      <c r="R47" s="769" t="s">
        <v>365</v>
      </c>
      <c r="S47" s="824">
        <v>0.56176387136011285</v>
      </c>
      <c r="T47" s="824"/>
      <c r="U47" s="824"/>
      <c r="V47" s="824"/>
      <c r="W47" s="824"/>
      <c r="X47" s="825"/>
      <c r="Z47" s="769" t="s">
        <v>365</v>
      </c>
      <c r="AA47" s="822">
        <v>0.56176387136011285</v>
      </c>
      <c r="AB47" s="822"/>
      <c r="AC47" s="822"/>
      <c r="AD47" s="822"/>
      <c r="AE47" s="822"/>
      <c r="AF47" s="826"/>
      <c r="AH47" s="769" t="s">
        <v>365</v>
      </c>
      <c r="AI47" s="824">
        <v>1.9992358967260189</v>
      </c>
      <c r="AJ47" s="824"/>
      <c r="AK47" s="824"/>
      <c r="AL47" s="824"/>
      <c r="AM47" s="824"/>
      <c r="AN47" s="825"/>
      <c r="AP47" s="769" t="s">
        <v>365</v>
      </c>
      <c r="AQ47" s="824">
        <v>1.9968852091328007</v>
      </c>
      <c r="AR47" s="824"/>
      <c r="AS47" s="824"/>
      <c r="AT47" s="824"/>
      <c r="AU47" s="824"/>
      <c r="AV47" s="825"/>
      <c r="AX47" s="769" t="s">
        <v>365</v>
      </c>
      <c r="AY47" s="824">
        <v>1.9992358967260189</v>
      </c>
      <c r="AZ47" s="824"/>
      <c r="BA47" s="824"/>
      <c r="BB47" s="824"/>
      <c r="BC47" s="824"/>
      <c r="BD47" s="825"/>
      <c r="BF47" s="769" t="s">
        <v>365</v>
      </c>
      <c r="BG47" s="133">
        <v>1.9992358967260189</v>
      </c>
      <c r="BH47" s="133"/>
      <c r="BI47" s="133"/>
      <c r="BJ47" s="133"/>
      <c r="BK47" s="133"/>
      <c r="BL47" s="134"/>
      <c r="BM47" s="827"/>
      <c r="BN47" s="769" t="s">
        <v>365</v>
      </c>
      <c r="BO47" s="133">
        <v>0.3892326294774085</v>
      </c>
      <c r="BP47" s="133"/>
      <c r="BQ47" s="133"/>
      <c r="BR47" s="133"/>
      <c r="BS47" s="133"/>
      <c r="BT47" s="134"/>
      <c r="BV47" s="769" t="s">
        <v>365</v>
      </c>
      <c r="BW47" s="133">
        <v>0.3892326294774085</v>
      </c>
      <c r="BX47" s="133"/>
      <c r="BY47" s="133"/>
      <c r="BZ47" s="133"/>
      <c r="CA47" s="133"/>
      <c r="CB47" s="134"/>
      <c r="CD47" s="769" t="s">
        <v>365</v>
      </c>
      <c r="CE47" s="133">
        <v>0.3892326294774085</v>
      </c>
      <c r="CF47" s="133"/>
      <c r="CG47" s="133"/>
      <c r="CH47" s="133"/>
      <c r="CI47" s="133"/>
      <c r="CJ47" s="134"/>
      <c r="CL47" s="769" t="s">
        <v>365</v>
      </c>
      <c r="CM47" s="133">
        <v>0.3892326294774085</v>
      </c>
      <c r="CN47" s="133"/>
      <c r="CO47" s="133"/>
      <c r="CP47" s="133"/>
      <c r="CQ47" s="133"/>
      <c r="CR47" s="134"/>
      <c r="CT47" s="769" t="s">
        <v>365</v>
      </c>
      <c r="CU47" s="133">
        <v>2.0342370821766216</v>
      </c>
      <c r="CV47" s="133"/>
      <c r="CW47" s="133"/>
      <c r="CX47" s="133"/>
      <c r="CY47" s="133"/>
      <c r="CZ47" s="134"/>
      <c r="DB47" s="828" t="s">
        <v>365</v>
      </c>
      <c r="DC47" s="798">
        <v>2.0342370821766216</v>
      </c>
      <c r="DD47" s="798"/>
      <c r="DE47" s="798"/>
      <c r="DF47" s="798"/>
      <c r="DG47" s="798"/>
      <c r="DH47" s="806"/>
      <c r="DJ47" s="769" t="s">
        <v>365</v>
      </c>
      <c r="DK47" s="133">
        <v>2.0270957100543918</v>
      </c>
      <c r="DL47" s="133"/>
      <c r="DM47" s="133"/>
      <c r="DN47" s="133"/>
      <c r="DO47" s="133"/>
      <c r="DP47" s="134"/>
      <c r="DR47" s="769" t="s">
        <v>365</v>
      </c>
      <c r="DS47" s="133">
        <v>2.0342370821766216</v>
      </c>
      <c r="DT47" s="133"/>
      <c r="DU47" s="133"/>
      <c r="DV47" s="133"/>
      <c r="DW47" s="133"/>
      <c r="DX47" s="134"/>
      <c r="DZ47" s="769" t="s">
        <v>365</v>
      </c>
      <c r="EA47" s="133">
        <v>2.3021319351709519</v>
      </c>
      <c r="EB47" s="133"/>
      <c r="EC47" s="133"/>
      <c r="ED47" s="133"/>
      <c r="EE47" s="133"/>
      <c r="EF47" s="134"/>
      <c r="EH47" s="769" t="s">
        <v>365</v>
      </c>
      <c r="EI47" s="133">
        <v>2.3021319351709519</v>
      </c>
      <c r="EJ47" s="133"/>
      <c r="EK47" s="133"/>
      <c r="EL47" s="133"/>
      <c r="EM47" s="133"/>
      <c r="EN47" s="134"/>
      <c r="EP47" s="769" t="s">
        <v>365</v>
      </c>
      <c r="EQ47" s="133">
        <v>2.3021319351709519</v>
      </c>
      <c r="ER47" s="133"/>
      <c r="ES47" s="133"/>
      <c r="ET47" s="133"/>
      <c r="EU47" s="133"/>
      <c r="EV47" s="134"/>
      <c r="EW47" s="22"/>
      <c r="EX47" s="769" t="s">
        <v>365</v>
      </c>
      <c r="EY47" s="133">
        <v>2.3021319351709519</v>
      </c>
      <c r="EZ47" s="133"/>
      <c r="FA47" s="133"/>
      <c r="FB47" s="133"/>
      <c r="FC47" s="133"/>
      <c r="FD47" s="134"/>
      <c r="FF47" s="769" t="s">
        <v>365</v>
      </c>
      <c r="FG47" s="133">
        <v>0.48151947901561704</v>
      </c>
      <c r="FH47" s="133"/>
      <c r="FI47" s="133"/>
      <c r="FJ47" s="133"/>
      <c r="FK47" s="133"/>
      <c r="FL47" s="134"/>
      <c r="FN47" s="769" t="s">
        <v>365</v>
      </c>
      <c r="FO47" s="133">
        <v>0.48151947901561704</v>
      </c>
      <c r="FP47" s="133"/>
      <c r="FQ47" s="133"/>
      <c r="FR47" s="133"/>
      <c r="FS47" s="133"/>
      <c r="FT47" s="134"/>
      <c r="FV47" s="799" t="s">
        <v>365</v>
      </c>
      <c r="FW47" s="635">
        <f t="shared" ref="FW47:FW54" si="1">SUM(B47:FT47)/22</f>
        <v>1.3681796617254653</v>
      </c>
      <c r="FX47" s="635"/>
      <c r="FY47" s="635"/>
      <c r="FZ47" s="635"/>
      <c r="GA47" s="635"/>
      <c r="GB47" s="829"/>
    </row>
    <row r="48" spans="2:184" ht="18.5">
      <c r="B48" s="769" t="s">
        <v>366</v>
      </c>
      <c r="C48" s="133">
        <v>167.51074954097032</v>
      </c>
      <c r="D48" s="133"/>
      <c r="E48" s="133"/>
      <c r="F48" s="133"/>
      <c r="G48" s="133"/>
      <c r="H48" s="134"/>
      <c r="J48" s="769" t="s">
        <v>366</v>
      </c>
      <c r="K48" s="822">
        <v>172.80531802358422</v>
      </c>
      <c r="L48" s="822"/>
      <c r="M48" s="822"/>
      <c r="N48" s="822"/>
      <c r="O48" s="822"/>
      <c r="P48" s="823"/>
      <c r="Q48" s="815"/>
      <c r="R48" s="769" t="s">
        <v>366</v>
      </c>
      <c r="S48" s="824">
        <v>132.99405181873993</v>
      </c>
      <c r="T48" s="824"/>
      <c r="U48" s="824"/>
      <c r="V48" s="824"/>
      <c r="W48" s="824"/>
      <c r="X48" s="825"/>
      <c r="Z48" s="769" t="s">
        <v>366</v>
      </c>
      <c r="AA48" s="822">
        <v>138.98738625054852</v>
      </c>
      <c r="AB48" s="822"/>
      <c r="AC48" s="822"/>
      <c r="AD48" s="822"/>
      <c r="AE48" s="822"/>
      <c r="AF48" s="826"/>
      <c r="AH48" s="769" t="s">
        <v>366</v>
      </c>
      <c r="AI48" s="824">
        <v>150.61251216910256</v>
      </c>
      <c r="AJ48" s="824"/>
      <c r="AK48" s="824"/>
      <c r="AL48" s="824"/>
      <c r="AM48" s="824"/>
      <c r="AN48" s="825"/>
      <c r="AP48" s="769" t="s">
        <v>366</v>
      </c>
      <c r="AQ48" s="824">
        <v>185.48261721204014</v>
      </c>
      <c r="AR48" s="824"/>
      <c r="AS48" s="824"/>
      <c r="AT48" s="824"/>
      <c r="AU48" s="824"/>
      <c r="AV48" s="825"/>
      <c r="AX48" s="769" t="s">
        <v>366</v>
      </c>
      <c r="AY48" s="824">
        <v>156.31208531389925</v>
      </c>
      <c r="AZ48" s="824"/>
      <c r="BA48" s="824"/>
      <c r="BB48" s="824"/>
      <c r="BC48" s="824"/>
      <c r="BD48" s="825"/>
      <c r="BF48" s="769" t="s">
        <v>366</v>
      </c>
      <c r="BG48" s="133">
        <v>189.81225403114087</v>
      </c>
      <c r="BH48" s="133"/>
      <c r="BI48" s="133"/>
      <c r="BJ48" s="133"/>
      <c r="BK48" s="133"/>
      <c r="BL48" s="134"/>
      <c r="BM48" s="827"/>
      <c r="BN48" s="769" t="s">
        <v>366</v>
      </c>
      <c r="BO48" s="133">
        <v>181.09604549914206</v>
      </c>
      <c r="BP48" s="133"/>
      <c r="BQ48" s="133"/>
      <c r="BR48" s="133"/>
      <c r="BS48" s="133"/>
      <c r="BT48" s="134"/>
      <c r="BV48" s="769" t="s">
        <v>366</v>
      </c>
      <c r="BW48" s="133">
        <v>147.41618363721935</v>
      </c>
      <c r="BX48" s="133"/>
      <c r="BY48" s="133"/>
      <c r="BZ48" s="133"/>
      <c r="CA48" s="133"/>
      <c r="CB48" s="134"/>
      <c r="CD48" s="769" t="s">
        <v>366</v>
      </c>
      <c r="CE48" s="133">
        <v>175.73623970199998</v>
      </c>
      <c r="CF48" s="133"/>
      <c r="CG48" s="133"/>
      <c r="CH48" s="133"/>
      <c r="CI48" s="133"/>
      <c r="CJ48" s="134"/>
      <c r="CL48" s="769" t="s">
        <v>366</v>
      </c>
      <c r="CM48" s="133">
        <v>141.4756056240191</v>
      </c>
      <c r="CN48" s="133"/>
      <c r="CO48" s="133"/>
      <c r="CP48" s="133"/>
      <c r="CQ48" s="133"/>
      <c r="CR48" s="134"/>
      <c r="CT48" s="769" t="s">
        <v>366</v>
      </c>
      <c r="CU48" s="133">
        <v>158.62211670300766</v>
      </c>
      <c r="CV48" s="133"/>
      <c r="CW48" s="133"/>
      <c r="CX48" s="133"/>
      <c r="CY48" s="133"/>
      <c r="CZ48" s="134"/>
      <c r="DB48" s="828" t="s">
        <v>366</v>
      </c>
      <c r="DC48" s="798">
        <v>192.93489143371923</v>
      </c>
      <c r="DD48" s="798"/>
      <c r="DE48" s="798"/>
      <c r="DF48" s="798"/>
      <c r="DG48" s="798"/>
      <c r="DH48" s="806"/>
      <c r="DJ48" s="769" t="s">
        <v>366</v>
      </c>
      <c r="DK48" s="133">
        <v>198.22097245477642</v>
      </c>
      <c r="DL48" s="133"/>
      <c r="DM48" s="133"/>
      <c r="DN48" s="133"/>
      <c r="DO48" s="133"/>
      <c r="DP48" s="134"/>
      <c r="DR48" s="769" t="s">
        <v>366</v>
      </c>
      <c r="DS48" s="133">
        <v>164.52400657571167</v>
      </c>
      <c r="DT48" s="133"/>
      <c r="DU48" s="133"/>
      <c r="DV48" s="133"/>
      <c r="DW48" s="133"/>
      <c r="DX48" s="134"/>
      <c r="DZ48" s="769" t="s">
        <v>366</v>
      </c>
      <c r="EA48" s="133">
        <v>186.87670202292685</v>
      </c>
      <c r="EB48" s="133"/>
      <c r="EC48" s="133"/>
      <c r="ED48" s="133"/>
      <c r="EE48" s="133"/>
      <c r="EF48" s="134"/>
      <c r="EH48" s="769" t="s">
        <v>366</v>
      </c>
      <c r="EI48" s="133">
        <v>152.66521905552423</v>
      </c>
      <c r="EJ48" s="133"/>
      <c r="EK48" s="133"/>
      <c r="EL48" s="133"/>
      <c r="EM48" s="133"/>
      <c r="EN48" s="134"/>
      <c r="EP48" s="769" t="s">
        <v>366</v>
      </c>
      <c r="EQ48" s="133">
        <v>191.71189006172708</v>
      </c>
      <c r="ER48" s="133"/>
      <c r="ES48" s="133"/>
      <c r="ET48" s="133"/>
      <c r="EU48" s="133"/>
      <c r="EV48" s="134"/>
      <c r="EW48" s="22"/>
      <c r="EX48" s="769" t="s">
        <v>366</v>
      </c>
      <c r="EY48" s="133">
        <v>158.56771637850014</v>
      </c>
      <c r="EZ48" s="133"/>
      <c r="FA48" s="133"/>
      <c r="FB48" s="133"/>
      <c r="FC48" s="133"/>
      <c r="FD48" s="134"/>
      <c r="FF48" s="769" t="s">
        <v>366</v>
      </c>
      <c r="FG48" s="133">
        <v>131.06444936367774</v>
      </c>
      <c r="FH48" s="133"/>
      <c r="FI48" s="133"/>
      <c r="FJ48" s="133"/>
      <c r="FK48" s="133"/>
      <c r="FL48" s="134"/>
      <c r="FN48" s="769" t="s">
        <v>366</v>
      </c>
      <c r="FO48" s="133">
        <v>137.14576590060531</v>
      </c>
      <c r="FP48" s="133"/>
      <c r="FQ48" s="133"/>
      <c r="FR48" s="133"/>
      <c r="FS48" s="133"/>
      <c r="FT48" s="134"/>
      <c r="FV48" s="799" t="s">
        <v>366</v>
      </c>
      <c r="FW48" s="635">
        <f t="shared" si="1"/>
        <v>164.20794448966288</v>
      </c>
      <c r="FX48" s="635"/>
      <c r="FY48" s="635"/>
      <c r="FZ48" s="635"/>
      <c r="GA48" s="635"/>
      <c r="GB48" s="829"/>
    </row>
    <row r="49" spans="2:196" ht="18.5">
      <c r="B49" s="769" t="s">
        <v>367</v>
      </c>
      <c r="C49" s="133"/>
      <c r="D49" s="133">
        <v>0.12746063766990295</v>
      </c>
      <c r="E49" s="133"/>
      <c r="F49" s="133"/>
      <c r="G49" s="133"/>
      <c r="H49" s="134"/>
      <c r="J49" s="769" t="s">
        <v>367</v>
      </c>
      <c r="K49" s="822"/>
      <c r="L49" s="822">
        <v>0.12746063766990295</v>
      </c>
      <c r="M49" s="822"/>
      <c r="N49" s="822"/>
      <c r="O49" s="822"/>
      <c r="P49" s="823"/>
      <c r="Q49" s="815"/>
      <c r="R49" s="769" t="s">
        <v>367</v>
      </c>
      <c r="S49" s="824"/>
      <c r="T49" s="824">
        <v>0.12746063766990295</v>
      </c>
      <c r="U49" s="824"/>
      <c r="V49" s="824"/>
      <c r="W49" s="824"/>
      <c r="X49" s="825"/>
      <c r="Z49" s="769" t="s">
        <v>367</v>
      </c>
      <c r="AA49" s="822"/>
      <c r="AB49" s="822">
        <v>0.12746063766990295</v>
      </c>
      <c r="AC49" s="822"/>
      <c r="AD49" s="822"/>
      <c r="AE49" s="822"/>
      <c r="AF49" s="826"/>
      <c r="AH49" s="769" t="s">
        <v>367</v>
      </c>
      <c r="AI49" s="824"/>
      <c r="AJ49" s="824">
        <v>0.22070063766990292</v>
      </c>
      <c r="AK49" s="824"/>
      <c r="AL49" s="824"/>
      <c r="AM49" s="824"/>
      <c r="AN49" s="825"/>
      <c r="AP49" s="769" t="s">
        <v>367</v>
      </c>
      <c r="AQ49" s="824"/>
      <c r="AR49" s="824">
        <v>0.22070063766990292</v>
      </c>
      <c r="AS49" s="824"/>
      <c r="AT49" s="824"/>
      <c r="AU49" s="824"/>
      <c r="AV49" s="825"/>
      <c r="AX49" s="769" t="s">
        <v>367</v>
      </c>
      <c r="AY49" s="824"/>
      <c r="AZ49" s="824">
        <v>0.22070063766990292</v>
      </c>
      <c r="BA49" s="824"/>
      <c r="BB49" s="824"/>
      <c r="BC49" s="824"/>
      <c r="BD49" s="825"/>
      <c r="BF49" s="769" t="s">
        <v>367</v>
      </c>
      <c r="BG49" s="133"/>
      <c r="BH49" s="133">
        <v>0.22070063766990292</v>
      </c>
      <c r="BI49" s="133"/>
      <c r="BJ49" s="133"/>
      <c r="BK49" s="133"/>
      <c r="BL49" s="134"/>
      <c r="BM49" s="827"/>
      <c r="BN49" s="769" t="s">
        <v>367</v>
      </c>
      <c r="BO49" s="133"/>
      <c r="BP49" s="133">
        <v>0.12746063766990295</v>
      </c>
      <c r="BQ49" s="133"/>
      <c r="BR49" s="133"/>
      <c r="BS49" s="133"/>
      <c r="BT49" s="134"/>
      <c r="BV49" s="769" t="s">
        <v>367</v>
      </c>
      <c r="BW49" s="133"/>
      <c r="BX49" s="133">
        <v>0.12746063766990295</v>
      </c>
      <c r="BY49" s="133"/>
      <c r="BZ49" s="133"/>
      <c r="CA49" s="133"/>
      <c r="CB49" s="134"/>
      <c r="CD49" s="769" t="s">
        <v>367</v>
      </c>
      <c r="CE49" s="133"/>
      <c r="CF49" s="133">
        <v>0.12746063766990295</v>
      </c>
      <c r="CG49" s="133"/>
      <c r="CH49" s="133"/>
      <c r="CI49" s="133"/>
      <c r="CJ49" s="134"/>
      <c r="CL49" s="769" t="s">
        <v>367</v>
      </c>
      <c r="CM49" s="133"/>
      <c r="CN49" s="133">
        <v>0.12746063766990295</v>
      </c>
      <c r="CO49" s="133"/>
      <c r="CP49" s="133"/>
      <c r="CQ49" s="133"/>
      <c r="CR49" s="134"/>
      <c r="CT49" s="769" t="s">
        <v>367</v>
      </c>
      <c r="CU49" s="133"/>
      <c r="CV49" s="133">
        <v>0.22070063766990292</v>
      </c>
      <c r="CW49" s="133"/>
      <c r="CX49" s="133"/>
      <c r="CY49" s="133"/>
      <c r="CZ49" s="134"/>
      <c r="DB49" s="828" t="s">
        <v>367</v>
      </c>
      <c r="DC49" s="798"/>
      <c r="DD49" s="798">
        <v>0.22070063766990292</v>
      </c>
      <c r="DE49" s="798"/>
      <c r="DF49" s="798"/>
      <c r="DG49" s="798"/>
      <c r="DH49" s="806"/>
      <c r="DJ49" s="769" t="s">
        <v>367</v>
      </c>
      <c r="DK49" s="133"/>
      <c r="DL49" s="133">
        <v>0.22070063766990292</v>
      </c>
      <c r="DM49" s="133"/>
      <c r="DN49" s="133"/>
      <c r="DO49" s="133"/>
      <c r="DP49" s="134"/>
      <c r="DR49" s="769" t="s">
        <v>367</v>
      </c>
      <c r="DS49" s="133"/>
      <c r="DT49" s="133">
        <v>0.22070063766990292</v>
      </c>
      <c r="DU49" s="133"/>
      <c r="DV49" s="133"/>
      <c r="DW49" s="133"/>
      <c r="DX49" s="134"/>
      <c r="DZ49" s="769" t="s">
        <v>367</v>
      </c>
      <c r="EA49" s="133"/>
      <c r="EB49" s="133">
        <v>0.22070097366990288</v>
      </c>
      <c r="EC49" s="133"/>
      <c r="ED49" s="133"/>
      <c r="EE49" s="133"/>
      <c r="EF49" s="134"/>
      <c r="EH49" s="769" t="s">
        <v>367</v>
      </c>
      <c r="EI49" s="133"/>
      <c r="EJ49" s="133">
        <v>0.22070097366990288</v>
      </c>
      <c r="EK49" s="133"/>
      <c r="EL49" s="133"/>
      <c r="EM49" s="133"/>
      <c r="EN49" s="134"/>
      <c r="EP49" s="769" t="s">
        <v>367</v>
      </c>
      <c r="EQ49" s="133"/>
      <c r="ER49" s="133">
        <v>0.22070097366990288</v>
      </c>
      <c r="ES49" s="133"/>
      <c r="ET49" s="133"/>
      <c r="EU49" s="133"/>
      <c r="EV49" s="134"/>
      <c r="EW49" s="22"/>
      <c r="EX49" s="769" t="s">
        <v>367</v>
      </c>
      <c r="EY49" s="133"/>
      <c r="EZ49" s="133">
        <v>0.22070097366990288</v>
      </c>
      <c r="FA49" s="133"/>
      <c r="FB49" s="133"/>
      <c r="FC49" s="133"/>
      <c r="FD49" s="134"/>
      <c r="FF49" s="769" t="s">
        <v>367</v>
      </c>
      <c r="FG49" s="133"/>
      <c r="FH49" s="133">
        <v>0.12746063766990295</v>
      </c>
      <c r="FI49" s="133"/>
      <c r="FJ49" s="133"/>
      <c r="FK49" s="133"/>
      <c r="FL49" s="134"/>
      <c r="FN49" s="769" t="s">
        <v>367</v>
      </c>
      <c r="FO49" s="133"/>
      <c r="FP49" s="133">
        <v>0.12746063766990295</v>
      </c>
      <c r="FQ49" s="133"/>
      <c r="FR49" s="133"/>
      <c r="FS49" s="133"/>
      <c r="FT49" s="134"/>
      <c r="FV49" s="799" t="s">
        <v>367</v>
      </c>
      <c r="FW49" s="635"/>
      <c r="FX49" s="635">
        <f>SUM(B49:FT49)/22</f>
        <v>0.17831888057899384</v>
      </c>
      <c r="FY49" s="635"/>
      <c r="FZ49" s="635"/>
      <c r="GA49" s="635"/>
      <c r="GB49" s="829"/>
      <c r="GN49" s="28"/>
    </row>
    <row r="50" spans="2:196" ht="18.5">
      <c r="B50" s="769" t="s">
        <v>368</v>
      </c>
      <c r="C50" s="133">
        <v>43.548908916176757</v>
      </c>
      <c r="D50" s="133"/>
      <c r="E50" s="133">
        <v>141.1409479490537</v>
      </c>
      <c r="F50" s="133">
        <v>96.085771134416476</v>
      </c>
      <c r="G50" s="133">
        <v>51.111384208833471</v>
      </c>
      <c r="H50" s="134"/>
      <c r="J50" s="769" t="s">
        <v>368</v>
      </c>
      <c r="K50" s="822">
        <v>42.085002315266955</v>
      </c>
      <c r="L50" s="822"/>
      <c r="M50" s="822">
        <v>136.39646248424023</v>
      </c>
      <c r="N50" s="822">
        <v>92.85582581275699</v>
      </c>
      <c r="O50" s="822">
        <v>49.393263259604488</v>
      </c>
      <c r="P50" s="823"/>
      <c r="Q50" s="815"/>
      <c r="R50" s="769" t="s">
        <v>368</v>
      </c>
      <c r="S50" s="824">
        <v>34.450506219738415</v>
      </c>
      <c r="T50" s="824"/>
      <c r="U50" s="824">
        <v>111.65324749094836</v>
      </c>
      <c r="V50" s="824">
        <v>76.011168556853619</v>
      </c>
      <c r="W50" s="824">
        <v>40.433000582748988</v>
      </c>
      <c r="X50" s="825"/>
      <c r="Z50" s="769" t="s">
        <v>368</v>
      </c>
      <c r="AA50" s="822">
        <v>32.98659961882862</v>
      </c>
      <c r="AB50" s="822"/>
      <c r="AC50" s="822">
        <v>106.90876202613491</v>
      </c>
      <c r="AD50" s="822">
        <v>72.781223235194147</v>
      </c>
      <c r="AE50" s="822">
        <v>38.714879633520013</v>
      </c>
      <c r="AF50" s="826"/>
      <c r="AH50" s="769" t="s">
        <v>368</v>
      </c>
      <c r="AI50" s="824">
        <v>38.971714801976667</v>
      </c>
      <c r="AJ50" s="824"/>
      <c r="AK50" s="824">
        <v>126.30637385057257</v>
      </c>
      <c r="AL50" s="824">
        <v>85.986706954843939</v>
      </c>
      <c r="AM50" s="824">
        <v>45.73933855277366</v>
      </c>
      <c r="AN50" s="825"/>
      <c r="AP50" s="769" t="s">
        <v>368</v>
      </c>
      <c r="AQ50" s="824">
        <v>48.347181398160608</v>
      </c>
      <c r="AR50" s="824"/>
      <c r="AS50" s="824">
        <v>156.69203162668617</v>
      </c>
      <c r="AT50" s="824">
        <v>106.67261987572233</v>
      </c>
      <c r="AU50" s="824">
        <v>56.742899543405954</v>
      </c>
      <c r="AV50" s="825"/>
      <c r="AX50" s="769" t="s">
        <v>368</v>
      </c>
      <c r="AY50" s="824">
        <v>37.521385978563792</v>
      </c>
      <c r="AZ50" s="824"/>
      <c r="BA50" s="824">
        <v>121.60589363031406</v>
      </c>
      <c r="BB50" s="824">
        <v>82.786719472624128</v>
      </c>
      <c r="BC50" s="824">
        <v>44.037153226723738</v>
      </c>
      <c r="BD50" s="825"/>
      <c r="BF50" s="769" t="s">
        <v>368</v>
      </c>
      <c r="BG50" s="133">
        <v>46.897096502804345</v>
      </c>
      <c r="BH50" s="133"/>
      <c r="BI50" s="133">
        <v>151.99234197128905</v>
      </c>
      <c r="BJ50" s="133">
        <v>103.47317059333355</v>
      </c>
      <c r="BK50" s="133">
        <v>55.041000504680582</v>
      </c>
      <c r="BL50" s="134"/>
      <c r="BM50" s="827"/>
      <c r="BN50" s="769" t="s">
        <v>368</v>
      </c>
      <c r="BO50" s="133">
        <v>43.979143994898394</v>
      </c>
      <c r="BP50" s="133"/>
      <c r="BQ50" s="133">
        <v>142.53532930929833</v>
      </c>
      <c r="BR50" s="133">
        <v>97.035036462455253</v>
      </c>
      <c r="BS50" s="133">
        <v>51.616331656563695</v>
      </c>
      <c r="BT50" s="134"/>
      <c r="BV50" s="769" t="s">
        <v>368</v>
      </c>
      <c r="BW50" s="133">
        <v>34.880741298460066</v>
      </c>
      <c r="BX50" s="133"/>
      <c r="BY50" s="133">
        <v>113.04762885119301</v>
      </c>
      <c r="BZ50" s="133">
        <v>76.96043388489241</v>
      </c>
      <c r="CA50" s="133">
        <v>40.93794803047922</v>
      </c>
      <c r="CB50" s="134"/>
      <c r="CD50" s="769" t="s">
        <v>368</v>
      </c>
      <c r="CE50" s="133">
        <v>45.443050595808195</v>
      </c>
      <c r="CF50" s="133"/>
      <c r="CG50" s="133">
        <v>147.2798147741118</v>
      </c>
      <c r="CH50" s="133">
        <v>100.26498178411475</v>
      </c>
      <c r="CI50" s="133">
        <v>53.334452605792684</v>
      </c>
      <c r="CJ50" s="134"/>
      <c r="CL50" s="769" t="s">
        <v>368</v>
      </c>
      <c r="CM50" s="133">
        <v>36.344647899369853</v>
      </c>
      <c r="CN50" s="133"/>
      <c r="CO50" s="133">
        <v>117.79211431600645</v>
      </c>
      <c r="CP50" s="133">
        <v>80.190379206551896</v>
      </c>
      <c r="CQ50" s="133">
        <v>42.656068979708202</v>
      </c>
      <c r="CR50" s="134"/>
      <c r="CT50" s="769" t="s">
        <v>368</v>
      </c>
      <c r="CU50" s="133">
        <v>40.849282011747214</v>
      </c>
      <c r="CV50" s="133"/>
      <c r="CW50" s="133">
        <v>132.39152322446736</v>
      </c>
      <c r="CX50" s="133">
        <v>90.12934790033232</v>
      </c>
      <c r="CY50" s="133">
        <v>47.942954244298882</v>
      </c>
      <c r="CZ50" s="134"/>
      <c r="DB50" s="828" t="s">
        <v>368</v>
      </c>
      <c r="DC50" s="798">
        <v>49.962509096785027</v>
      </c>
      <c r="DD50" s="798"/>
      <c r="DE50" s="798">
        <v>161.92726916320055</v>
      </c>
      <c r="DF50" s="798">
        <v>110.23665882457082</v>
      </c>
      <c r="DG50" s="798">
        <v>58.638736584615842</v>
      </c>
      <c r="DH50" s="806"/>
      <c r="DJ50" s="769" t="s">
        <v>368</v>
      </c>
      <c r="DK50" s="133">
        <v>50.106107698201356</v>
      </c>
      <c r="DL50" s="133"/>
      <c r="DM50" s="133">
        <v>162.39266871585227</v>
      </c>
      <c r="DN50" s="133">
        <v>110.5534929931942</v>
      </c>
      <c r="DO50" s="133">
        <v>58.807271766587185</v>
      </c>
      <c r="DP50" s="134"/>
      <c r="DR50" s="769" t="s">
        <v>368</v>
      </c>
      <c r="DS50" s="133">
        <v>39.419013061410581</v>
      </c>
      <c r="DT50" s="133"/>
      <c r="DU50" s="133">
        <v>127.75605656188876</v>
      </c>
      <c r="DV50" s="133">
        <v>86.973620272638342</v>
      </c>
      <c r="DW50" s="133">
        <v>46.264312283754478</v>
      </c>
      <c r="DX50" s="134"/>
      <c r="DZ50" s="769" t="s">
        <v>368</v>
      </c>
      <c r="EA50" s="133">
        <v>48.836893580369107</v>
      </c>
      <c r="EB50" s="133"/>
      <c r="EC50" s="133">
        <v>158.279176823645</v>
      </c>
      <c r="ED50" s="133">
        <v>107.75311474534105</v>
      </c>
      <c r="EE50" s="133">
        <v>57.317652576708873</v>
      </c>
      <c r="EF50" s="134"/>
      <c r="EH50" s="769" t="s">
        <v>368</v>
      </c>
      <c r="EI50" s="133">
        <v>39.761304014897675</v>
      </c>
      <c r="EJ50" s="133"/>
      <c r="EK50" s="133">
        <v>128.86541316465792</v>
      </c>
      <c r="EL50" s="133">
        <v>87.728846776279283</v>
      </c>
      <c r="EM50" s="133">
        <v>46.66604369035668</v>
      </c>
      <c r="EN50" s="134"/>
      <c r="EP50" s="769" t="s">
        <v>368</v>
      </c>
      <c r="EQ50" s="133">
        <v>49.272193218255197</v>
      </c>
      <c r="ER50" s="133"/>
      <c r="ES50" s="133">
        <v>159.68997229618785</v>
      </c>
      <c r="ET50" s="133">
        <v>108.71355445374624</v>
      </c>
      <c r="EU50" s="133">
        <v>57.828544068405861</v>
      </c>
      <c r="EV50" s="134"/>
      <c r="EW50" s="22"/>
      <c r="EX50" s="769" t="s">
        <v>368</v>
      </c>
      <c r="EY50" s="133">
        <v>38.310973884982317</v>
      </c>
      <c r="EZ50" s="133"/>
      <c r="FA50" s="133">
        <v>124.16492871005683</v>
      </c>
      <c r="FB50" s="133">
        <v>84.528856411408626</v>
      </c>
      <c r="FC50" s="133">
        <v>44.963856830923895</v>
      </c>
      <c r="FD50" s="134"/>
      <c r="FF50" s="769" t="s">
        <v>368</v>
      </c>
      <c r="FG50" s="133">
        <v>34.330667485333812</v>
      </c>
      <c r="FH50" s="133"/>
      <c r="FI50" s="133">
        <v>111.26485308576505</v>
      </c>
      <c r="FJ50" s="133">
        <v>75.746757863368686</v>
      </c>
      <c r="FK50" s="133">
        <v>40.292351281774685</v>
      </c>
      <c r="FL50" s="134"/>
      <c r="FN50" s="769" t="s">
        <v>368</v>
      </c>
      <c r="FO50" s="133">
        <v>32.866760884424025</v>
      </c>
      <c r="FP50" s="133"/>
      <c r="FQ50" s="133">
        <v>106.52036762095163</v>
      </c>
      <c r="FR50" s="133">
        <v>72.516812541709214</v>
      </c>
      <c r="FS50" s="133">
        <v>38.574230332545717</v>
      </c>
      <c r="FT50" s="134"/>
      <c r="FV50" s="799" t="s">
        <v>368</v>
      </c>
      <c r="FW50" s="635">
        <f>(C50+K50+S50+AA50+AI50+AQ50+AY50+BA50+BG50+BO50+BW50+CE50+CM50+CU50+DC50+DK50+DS50+EA50+EI50+EQ50+EY50+FG50+FO50)/22</f>
        <v>46.853526277580592</v>
      </c>
      <c r="FX50" s="635"/>
      <c r="FY50" s="635">
        <f>(FQ50+FI50+FA50+ES50+EK50+EC50+DU50+DM50+DE50+CW50+CO50+CG50+BY50+BI50+BA50+AS50+AK50+AC50+U50+M50+E50)/22</f>
        <v>127.45762946987378</v>
      </c>
      <c r="FZ50" s="635">
        <f>(FR50+FJ50+FB50+ET50+EL50+ED50+DV50+DN50+DF50+CX50+CP50+CH50+BZ50+BJ50+BB50+AT50+AL50+AD50+V50+N50+F50)/22</f>
        <v>86.770457422449681</v>
      </c>
      <c r="GA50" s="635">
        <f>(FS50+FK50+FC50+EU50+EM50+EE50+DW50+DO50+DG50+CY50+CQ50+CI50+CA50+BK50+BC50+AU50+AM50+AE50+W50+O50+G50)/22</f>
        <v>46.156242854011047</v>
      </c>
      <c r="GB50" s="829"/>
    </row>
    <row r="51" spans="2:196" ht="18.5">
      <c r="B51" s="769" t="s">
        <v>369</v>
      </c>
      <c r="C51" s="133">
        <v>1.1150467605633803E-2</v>
      </c>
      <c r="D51" s="133"/>
      <c r="E51" s="133"/>
      <c r="F51" s="133"/>
      <c r="G51" s="133"/>
      <c r="H51" s="134"/>
      <c r="J51" s="769" t="s">
        <v>369</v>
      </c>
      <c r="K51" s="822">
        <v>1.0802015492957747E-2</v>
      </c>
      <c r="L51" s="822"/>
      <c r="M51" s="822"/>
      <c r="N51" s="822"/>
      <c r="O51" s="822"/>
      <c r="P51" s="823"/>
      <c r="Q51" s="815"/>
      <c r="R51" s="769" t="s">
        <v>369</v>
      </c>
      <c r="S51" s="824">
        <v>9.0597549295774651E-3</v>
      </c>
      <c r="T51" s="824"/>
      <c r="U51" s="824"/>
      <c r="V51" s="824"/>
      <c r="W51" s="824"/>
      <c r="X51" s="825"/>
      <c r="Z51" s="769" t="s">
        <v>369</v>
      </c>
      <c r="AA51" s="822">
        <v>8.3628507042253532E-3</v>
      </c>
      <c r="AB51" s="822"/>
      <c r="AC51" s="822"/>
      <c r="AD51" s="822"/>
      <c r="AE51" s="822"/>
      <c r="AF51" s="826"/>
      <c r="AH51" s="769" t="s">
        <v>369</v>
      </c>
      <c r="AI51" s="824">
        <v>1.0105111267605636E-2</v>
      </c>
      <c r="AJ51" s="824"/>
      <c r="AK51" s="824"/>
      <c r="AL51" s="824"/>
      <c r="AM51" s="824"/>
      <c r="AN51" s="825"/>
      <c r="AP51" s="769" t="s">
        <v>369</v>
      </c>
      <c r="AQ51" s="824">
        <v>1.2544276056338031E-2</v>
      </c>
      <c r="AR51" s="824"/>
      <c r="AS51" s="824"/>
      <c r="AT51" s="824"/>
      <c r="AU51" s="824"/>
      <c r="AV51" s="825"/>
      <c r="AX51" s="769" t="s">
        <v>369</v>
      </c>
      <c r="AY51" s="824">
        <v>9.756659154929577E-3</v>
      </c>
      <c r="AZ51" s="824"/>
      <c r="BA51" s="824"/>
      <c r="BB51" s="824"/>
      <c r="BC51" s="824"/>
      <c r="BD51" s="825"/>
      <c r="BF51" s="769" t="s">
        <v>369</v>
      </c>
      <c r="BG51" s="133">
        <v>1.2195823943661973E-2</v>
      </c>
      <c r="BH51" s="133"/>
      <c r="BI51" s="133"/>
      <c r="BJ51" s="133"/>
      <c r="BK51" s="133"/>
      <c r="BL51" s="134"/>
      <c r="BM51" s="827"/>
      <c r="BN51" s="769" t="s">
        <v>369</v>
      </c>
      <c r="BO51" s="133">
        <v>1.1150467605633803E-2</v>
      </c>
      <c r="BP51" s="133"/>
      <c r="BQ51" s="133"/>
      <c r="BR51" s="133"/>
      <c r="BS51" s="133"/>
      <c r="BT51" s="134"/>
      <c r="BV51" s="769" t="s">
        <v>369</v>
      </c>
      <c r="BW51" s="133">
        <v>9.0597549295774651E-3</v>
      </c>
      <c r="BX51" s="133"/>
      <c r="BY51" s="133"/>
      <c r="BZ51" s="133"/>
      <c r="CA51" s="133"/>
      <c r="CB51" s="134"/>
      <c r="CD51" s="769" t="s">
        <v>369</v>
      </c>
      <c r="CE51" s="133">
        <v>1.1498919718309861E-2</v>
      </c>
      <c r="CF51" s="133"/>
      <c r="CG51" s="133"/>
      <c r="CH51" s="133"/>
      <c r="CI51" s="133"/>
      <c r="CJ51" s="134"/>
      <c r="CL51" s="769" t="s">
        <v>369</v>
      </c>
      <c r="CM51" s="133">
        <v>9.4082070422535202E-3</v>
      </c>
      <c r="CN51" s="133"/>
      <c r="CO51" s="133"/>
      <c r="CP51" s="133"/>
      <c r="CQ51" s="133"/>
      <c r="CR51" s="134"/>
      <c r="CT51" s="769" t="s">
        <v>369</v>
      </c>
      <c r="CU51" s="133">
        <v>1.0453563380281691E-2</v>
      </c>
      <c r="CV51" s="133"/>
      <c r="CW51" s="133"/>
      <c r="CX51" s="133"/>
      <c r="CY51" s="133"/>
      <c r="CZ51" s="134"/>
      <c r="DB51" s="828" t="s">
        <v>369</v>
      </c>
      <c r="DC51" s="798">
        <v>1.2892728169014087E-2</v>
      </c>
      <c r="DD51" s="798"/>
      <c r="DE51" s="798"/>
      <c r="DF51" s="798"/>
      <c r="DG51" s="798"/>
      <c r="DH51" s="806"/>
      <c r="DJ51" s="769" t="s">
        <v>369</v>
      </c>
      <c r="DK51" s="133">
        <v>1.2892728169014087E-2</v>
      </c>
      <c r="DL51" s="133"/>
      <c r="DM51" s="133"/>
      <c r="DN51" s="133"/>
      <c r="DO51" s="133"/>
      <c r="DP51" s="134"/>
      <c r="DR51" s="769" t="s">
        <v>369</v>
      </c>
      <c r="DS51" s="133">
        <v>1.0105111267605636E-2</v>
      </c>
      <c r="DT51" s="133"/>
      <c r="DU51" s="133"/>
      <c r="DV51" s="133"/>
      <c r="DW51" s="133"/>
      <c r="DX51" s="134"/>
      <c r="DZ51" s="769" t="s">
        <v>369</v>
      </c>
      <c r="EA51" s="133">
        <v>1.2544276056338031E-2</v>
      </c>
      <c r="EB51" s="133"/>
      <c r="EC51" s="133"/>
      <c r="ED51" s="133"/>
      <c r="EE51" s="133"/>
      <c r="EF51" s="134"/>
      <c r="EH51" s="769" t="s">
        <v>369</v>
      </c>
      <c r="EI51" s="133">
        <v>1.0105111267605636E-2</v>
      </c>
      <c r="EJ51" s="133"/>
      <c r="EK51" s="133"/>
      <c r="EL51" s="133"/>
      <c r="EM51" s="133"/>
      <c r="EN51" s="134"/>
      <c r="EP51" s="769" t="s">
        <v>369</v>
      </c>
      <c r="EQ51" s="133">
        <v>1.2544276056338031E-2</v>
      </c>
      <c r="ER51" s="133"/>
      <c r="ES51" s="133"/>
      <c r="ET51" s="133"/>
      <c r="EU51" s="133"/>
      <c r="EV51" s="134"/>
      <c r="EW51" s="22"/>
      <c r="EX51" s="769" t="s">
        <v>369</v>
      </c>
      <c r="EY51" s="133">
        <v>9.756659154929577E-3</v>
      </c>
      <c r="EZ51" s="133"/>
      <c r="FA51" s="133"/>
      <c r="FB51" s="133"/>
      <c r="FC51" s="133"/>
      <c r="FD51" s="134"/>
      <c r="FF51" s="769" t="s">
        <v>369</v>
      </c>
      <c r="FG51" s="133">
        <v>8.71130281690141E-3</v>
      </c>
      <c r="FH51" s="133"/>
      <c r="FI51" s="133"/>
      <c r="FJ51" s="133"/>
      <c r="FK51" s="133"/>
      <c r="FL51" s="134"/>
      <c r="FN51" s="769" t="s">
        <v>369</v>
      </c>
      <c r="FO51" s="133">
        <v>8.3628507042253532E-3</v>
      </c>
      <c r="FP51" s="133"/>
      <c r="FQ51" s="133"/>
      <c r="FR51" s="133"/>
      <c r="FS51" s="133"/>
      <c r="FT51" s="134"/>
      <c r="FV51" s="799" t="s">
        <v>369</v>
      </c>
      <c r="FW51" s="635">
        <f t="shared" si="1"/>
        <v>1.0611950704225355E-2</v>
      </c>
      <c r="FX51" s="635"/>
      <c r="FY51" s="635"/>
      <c r="FZ51" s="635"/>
      <c r="GA51" s="635"/>
      <c r="GB51" s="829"/>
    </row>
    <row r="52" spans="2:196" ht="18.5">
      <c r="B52" s="769" t="s">
        <v>819</v>
      </c>
      <c r="C52" s="133">
        <v>8.4211197119999994</v>
      </c>
      <c r="D52" s="133"/>
      <c r="E52" s="133"/>
      <c r="F52" s="133"/>
      <c r="G52" s="133"/>
      <c r="H52" s="134"/>
      <c r="J52" s="769" t="s">
        <v>819</v>
      </c>
      <c r="K52" s="822">
        <v>8.1579597209999992</v>
      </c>
      <c r="L52" s="822"/>
      <c r="M52" s="822"/>
      <c r="N52" s="822"/>
      <c r="O52" s="822"/>
      <c r="P52" s="823"/>
      <c r="Q52" s="815"/>
      <c r="R52" s="769" t="s">
        <v>819</v>
      </c>
      <c r="S52" s="824">
        <v>6.8421597660000009</v>
      </c>
      <c r="T52" s="824"/>
      <c r="U52" s="824"/>
      <c r="V52" s="824"/>
      <c r="W52" s="824"/>
      <c r="X52" s="825"/>
      <c r="Z52" s="769" t="s">
        <v>819</v>
      </c>
      <c r="AA52" s="822">
        <v>6.3158397839999987</v>
      </c>
      <c r="AB52" s="822"/>
      <c r="AC52" s="822"/>
      <c r="AD52" s="822"/>
      <c r="AE52" s="822"/>
      <c r="AF52" s="826"/>
      <c r="AH52" s="769" t="s">
        <v>819</v>
      </c>
      <c r="AI52" s="824">
        <v>7.6316397389999988</v>
      </c>
      <c r="AJ52" s="824"/>
      <c r="AK52" s="824"/>
      <c r="AL52" s="824"/>
      <c r="AM52" s="824"/>
      <c r="AN52" s="825"/>
      <c r="AP52" s="769" t="s">
        <v>819</v>
      </c>
      <c r="AQ52" s="824">
        <v>9.4737596760000002</v>
      </c>
      <c r="AR52" s="824"/>
      <c r="AS52" s="824"/>
      <c r="AT52" s="824"/>
      <c r="AU52" s="824"/>
      <c r="AV52" s="825"/>
      <c r="AX52" s="769" t="s">
        <v>819</v>
      </c>
      <c r="AY52" s="824">
        <v>7.3684797479999986</v>
      </c>
      <c r="AZ52" s="824"/>
      <c r="BA52" s="824"/>
      <c r="BB52" s="824"/>
      <c r="BC52" s="824"/>
      <c r="BD52" s="825"/>
      <c r="BF52" s="769" t="s">
        <v>819</v>
      </c>
      <c r="BG52" s="133">
        <v>9.210599685</v>
      </c>
      <c r="BH52" s="133"/>
      <c r="BI52" s="133"/>
      <c r="BJ52" s="133"/>
      <c r="BK52" s="133"/>
      <c r="BL52" s="134"/>
      <c r="BM52" s="827"/>
      <c r="BN52" s="769" t="s">
        <v>819</v>
      </c>
      <c r="BO52" s="133">
        <v>8.4211197119999994</v>
      </c>
      <c r="BP52" s="133"/>
      <c r="BQ52" s="133"/>
      <c r="BR52" s="133"/>
      <c r="BS52" s="133"/>
      <c r="BT52" s="134"/>
      <c r="BV52" s="769" t="s">
        <v>819</v>
      </c>
      <c r="BW52" s="133">
        <v>6.8421597660000009</v>
      </c>
      <c r="BX52" s="133"/>
      <c r="BY52" s="133"/>
      <c r="BZ52" s="133"/>
      <c r="CA52" s="133"/>
      <c r="CB52" s="134"/>
      <c r="CD52" s="769" t="s">
        <v>819</v>
      </c>
      <c r="CE52" s="133">
        <v>8.6842797029999996</v>
      </c>
      <c r="CF52" s="133"/>
      <c r="CG52" s="133"/>
      <c r="CH52" s="133"/>
      <c r="CI52" s="133"/>
      <c r="CJ52" s="134"/>
      <c r="CL52" s="769" t="s">
        <v>819</v>
      </c>
      <c r="CM52" s="133">
        <v>7.1053197570000002</v>
      </c>
      <c r="CN52" s="133"/>
      <c r="CO52" s="133"/>
      <c r="CP52" s="133"/>
      <c r="CQ52" s="133"/>
      <c r="CR52" s="134"/>
      <c r="CT52" s="769" t="s">
        <v>819</v>
      </c>
      <c r="CU52" s="133">
        <v>7.894799729999999</v>
      </c>
      <c r="CV52" s="133"/>
      <c r="CW52" s="133"/>
      <c r="CX52" s="133"/>
      <c r="CY52" s="133"/>
      <c r="CZ52" s="134"/>
      <c r="DB52" s="828" t="s">
        <v>819</v>
      </c>
      <c r="DC52" s="798">
        <v>9.7369196669999969</v>
      </c>
      <c r="DD52" s="798"/>
      <c r="DE52" s="798"/>
      <c r="DF52" s="798"/>
      <c r="DG52" s="798"/>
      <c r="DH52" s="806"/>
      <c r="DJ52" s="769" t="s">
        <v>819</v>
      </c>
      <c r="DK52" s="133">
        <v>9.7369196669999969</v>
      </c>
      <c r="DL52" s="133"/>
      <c r="DM52" s="133"/>
      <c r="DN52" s="133"/>
      <c r="DO52" s="133"/>
      <c r="DP52" s="134"/>
      <c r="DR52" s="769" t="s">
        <v>819</v>
      </c>
      <c r="DS52" s="133">
        <v>7.6316397389999988</v>
      </c>
      <c r="DT52" s="133"/>
      <c r="DU52" s="133"/>
      <c r="DV52" s="133"/>
      <c r="DW52" s="133"/>
      <c r="DX52" s="134"/>
      <c r="DZ52" s="769" t="s">
        <v>819</v>
      </c>
      <c r="EA52" s="133">
        <v>9.4737596760000002</v>
      </c>
      <c r="EB52" s="133"/>
      <c r="EC52" s="133"/>
      <c r="ED52" s="133"/>
      <c r="EE52" s="133"/>
      <c r="EF52" s="134"/>
      <c r="EH52" s="769" t="s">
        <v>819</v>
      </c>
      <c r="EI52" s="133">
        <v>7.6316397389999988</v>
      </c>
      <c r="EJ52" s="133"/>
      <c r="EK52" s="133"/>
      <c r="EL52" s="133"/>
      <c r="EM52" s="133"/>
      <c r="EN52" s="134"/>
      <c r="EP52" s="769" t="s">
        <v>819</v>
      </c>
      <c r="EQ52" s="133">
        <v>9.4737596760000002</v>
      </c>
      <c r="ER52" s="133"/>
      <c r="ES52" s="133"/>
      <c r="ET52" s="133"/>
      <c r="EU52" s="133"/>
      <c r="EV52" s="134"/>
      <c r="EW52" s="22"/>
      <c r="EX52" s="769" t="s">
        <v>819</v>
      </c>
      <c r="EY52" s="133">
        <v>7.3684797479999986</v>
      </c>
      <c r="EZ52" s="133"/>
      <c r="FA52" s="133"/>
      <c r="FB52" s="133"/>
      <c r="FC52" s="133"/>
      <c r="FD52" s="134"/>
      <c r="FF52" s="769" t="s">
        <v>819</v>
      </c>
      <c r="FG52" s="133">
        <v>6.5789997749999998</v>
      </c>
      <c r="FH52" s="133"/>
      <c r="FI52" s="133"/>
      <c r="FJ52" s="133"/>
      <c r="FK52" s="133"/>
      <c r="FL52" s="134"/>
      <c r="FN52" s="769" t="s">
        <v>819</v>
      </c>
      <c r="FO52" s="133">
        <v>6.3158397839999987</v>
      </c>
      <c r="FP52" s="133"/>
      <c r="FQ52" s="133"/>
      <c r="FR52" s="133"/>
      <c r="FS52" s="133"/>
      <c r="FT52" s="134"/>
      <c r="FV52" s="799" t="s">
        <v>819</v>
      </c>
      <c r="FW52" s="635">
        <f t="shared" si="1"/>
        <v>8.014417907727271</v>
      </c>
      <c r="FX52" s="635"/>
      <c r="FY52" s="635"/>
      <c r="FZ52" s="635"/>
      <c r="GA52" s="635"/>
      <c r="GB52" s="829"/>
    </row>
    <row r="53" spans="2:196" ht="18.5">
      <c r="B53" s="769" t="s">
        <v>286</v>
      </c>
      <c r="C53" s="133">
        <v>402.48750880715835</v>
      </c>
      <c r="D53" s="133"/>
      <c r="E53" s="133"/>
      <c r="F53" s="133"/>
      <c r="G53" s="133"/>
      <c r="H53" s="134"/>
      <c r="J53" s="769" t="s">
        <v>286</v>
      </c>
      <c r="K53" s="822">
        <v>389.98418020724893</v>
      </c>
      <c r="L53" s="822"/>
      <c r="M53" s="822"/>
      <c r="N53" s="822"/>
      <c r="O53" s="822"/>
      <c r="P53" s="823"/>
      <c r="Q53" s="815"/>
      <c r="R53" s="769" t="s">
        <v>286</v>
      </c>
      <c r="S53" s="824">
        <v>354.79482870016454</v>
      </c>
      <c r="T53" s="824"/>
      <c r="U53" s="824"/>
      <c r="V53" s="824"/>
      <c r="W53" s="824"/>
      <c r="X53" s="825"/>
      <c r="Z53" s="769" t="s">
        <v>286</v>
      </c>
      <c r="AA53" s="822">
        <v>342.29150010025518</v>
      </c>
      <c r="AB53" s="822"/>
      <c r="AC53" s="822"/>
      <c r="AD53" s="822"/>
      <c r="AE53" s="822"/>
      <c r="AF53" s="826"/>
      <c r="AH53" s="769" t="s">
        <v>286</v>
      </c>
      <c r="AI53" s="824">
        <v>424.66821376106782</v>
      </c>
      <c r="AJ53" s="824"/>
      <c r="AK53" s="824"/>
      <c r="AL53" s="824"/>
      <c r="AM53" s="824"/>
      <c r="AN53" s="825"/>
      <c r="AP53" s="769" t="s">
        <v>286</v>
      </c>
      <c r="AQ53" s="824">
        <v>473.6138636251406</v>
      </c>
      <c r="AR53" s="824"/>
      <c r="AS53" s="824"/>
      <c r="AT53" s="824"/>
      <c r="AU53" s="824"/>
      <c r="AV53" s="825"/>
      <c r="AX53" s="769" t="s">
        <v>286</v>
      </c>
      <c r="AY53" s="824">
        <v>412.27331601381246</v>
      </c>
      <c r="AZ53" s="824"/>
      <c r="BA53" s="824"/>
      <c r="BB53" s="824"/>
      <c r="BC53" s="824"/>
      <c r="BD53" s="825"/>
      <c r="BF53" s="769" t="s">
        <v>286</v>
      </c>
      <c r="BG53" s="133">
        <v>461.21896587788524</v>
      </c>
      <c r="BH53" s="133"/>
      <c r="BI53" s="133"/>
      <c r="BJ53" s="133"/>
      <c r="BK53" s="133"/>
      <c r="BL53" s="134"/>
      <c r="BM53" s="827"/>
      <c r="BN53" s="769" t="s">
        <v>286</v>
      </c>
      <c r="BO53" s="133">
        <v>414.73501285566027</v>
      </c>
      <c r="BP53" s="133"/>
      <c r="BQ53" s="133"/>
      <c r="BR53" s="133"/>
      <c r="BS53" s="133"/>
      <c r="BT53" s="134"/>
      <c r="BV53" s="769" t="s">
        <v>286</v>
      </c>
      <c r="BW53" s="133">
        <v>367.04233274866652</v>
      </c>
      <c r="BX53" s="133"/>
      <c r="BY53" s="133"/>
      <c r="BZ53" s="133"/>
      <c r="CA53" s="133"/>
      <c r="CB53" s="134"/>
      <c r="CD53" s="769" t="s">
        <v>286</v>
      </c>
      <c r="CE53" s="133">
        <v>427.23834145556964</v>
      </c>
      <c r="CF53" s="133"/>
      <c r="CG53" s="133"/>
      <c r="CH53" s="133"/>
      <c r="CI53" s="133"/>
      <c r="CJ53" s="134"/>
      <c r="CL53" s="769" t="s">
        <v>286</v>
      </c>
      <c r="CM53" s="133">
        <v>379.54566134857583</v>
      </c>
      <c r="CN53" s="133"/>
      <c r="CO53" s="133"/>
      <c r="CP53" s="133"/>
      <c r="CQ53" s="133"/>
      <c r="CR53" s="134"/>
      <c r="CT53" s="769" t="s">
        <v>286</v>
      </c>
      <c r="CU53" s="133">
        <v>450.65602976394587</v>
      </c>
      <c r="CV53" s="133"/>
      <c r="CW53" s="133"/>
      <c r="CX53" s="133"/>
      <c r="CY53" s="133"/>
      <c r="CZ53" s="134"/>
      <c r="DB53" s="828" t="s">
        <v>286</v>
      </c>
      <c r="DC53" s="798">
        <v>498.10718355372268</v>
      </c>
      <c r="DD53" s="798"/>
      <c r="DE53" s="798"/>
      <c r="DF53" s="798"/>
      <c r="DG53" s="798"/>
      <c r="DH53" s="806"/>
      <c r="DJ53" s="769" t="s">
        <v>286</v>
      </c>
      <c r="DK53" s="133">
        <v>476.39935076702062</v>
      </c>
      <c r="DL53" s="133"/>
      <c r="DM53" s="133"/>
      <c r="DN53" s="133"/>
      <c r="DO53" s="133"/>
      <c r="DP53" s="134"/>
      <c r="DR53" s="769" t="s">
        <v>286</v>
      </c>
      <c r="DS53" s="133">
        <v>438.61725503871253</v>
      </c>
      <c r="DT53" s="133"/>
      <c r="DU53" s="133"/>
      <c r="DV53" s="133"/>
      <c r="DW53" s="133"/>
      <c r="DX53" s="134"/>
      <c r="DZ53" s="769" t="s">
        <v>286</v>
      </c>
      <c r="EA53" s="133">
        <v>499.98425974600394</v>
      </c>
      <c r="EB53" s="133"/>
      <c r="EC53" s="133"/>
      <c r="ED53" s="133"/>
      <c r="EE53" s="133"/>
      <c r="EF53" s="134"/>
      <c r="EH53" s="769" t="s">
        <v>286</v>
      </c>
      <c r="EI53" s="133">
        <v>452.51668276217191</v>
      </c>
      <c r="EJ53" s="133"/>
      <c r="EK53" s="133"/>
      <c r="EL53" s="133"/>
      <c r="EM53" s="133"/>
      <c r="EN53" s="134"/>
      <c r="EP53" s="769" t="s">
        <v>286</v>
      </c>
      <c r="EQ53" s="133">
        <v>497.2120518136033</v>
      </c>
      <c r="ER53" s="133"/>
      <c r="ES53" s="133"/>
      <c r="ET53" s="133"/>
      <c r="EU53" s="133"/>
      <c r="EV53" s="134"/>
      <c r="EW53" s="22"/>
      <c r="EX53" s="769" t="s">
        <v>286</v>
      </c>
      <c r="EY53" s="133">
        <v>440.12177384919704</v>
      </c>
      <c r="EZ53" s="133"/>
      <c r="FA53" s="133"/>
      <c r="FB53" s="133"/>
      <c r="FC53" s="133"/>
      <c r="FD53" s="134"/>
      <c r="FF53" s="769" t="s">
        <v>286</v>
      </c>
      <c r="FG53" s="133">
        <v>351.86174419770657</v>
      </c>
      <c r="FH53" s="133"/>
      <c r="FI53" s="133"/>
      <c r="FJ53" s="133"/>
      <c r="FK53" s="133"/>
      <c r="FL53" s="134"/>
      <c r="FN53" s="769" t="s">
        <v>286</v>
      </c>
      <c r="FO53" s="133">
        <v>339.35841559779703</v>
      </c>
      <c r="FP53" s="133"/>
      <c r="FQ53" s="133"/>
      <c r="FR53" s="133"/>
      <c r="FS53" s="133"/>
      <c r="FT53" s="134"/>
      <c r="FV53" s="799" t="s">
        <v>286</v>
      </c>
      <c r="FW53" s="635">
        <f t="shared" si="1"/>
        <v>422.48765784504934</v>
      </c>
      <c r="FX53" s="635"/>
      <c r="FY53" s="635"/>
      <c r="FZ53" s="635"/>
      <c r="GA53" s="635"/>
      <c r="GB53" s="829"/>
    </row>
    <row r="54" spans="2:196" ht="18.5">
      <c r="B54" s="780" t="s">
        <v>820</v>
      </c>
      <c r="C54" s="133">
        <v>18.569975840000005</v>
      </c>
      <c r="D54" s="135"/>
      <c r="E54" s="135"/>
      <c r="F54" s="135"/>
      <c r="G54" s="135"/>
      <c r="H54" s="136"/>
      <c r="J54" s="780" t="s">
        <v>820</v>
      </c>
      <c r="K54" s="822">
        <v>18.569975840000005</v>
      </c>
      <c r="L54" s="822"/>
      <c r="M54" s="822"/>
      <c r="N54" s="822"/>
      <c r="O54" s="822"/>
      <c r="P54" s="823"/>
      <c r="Q54" s="815"/>
      <c r="R54" s="780" t="s">
        <v>820</v>
      </c>
      <c r="S54" s="824">
        <v>16.385272800000003</v>
      </c>
      <c r="T54" s="824"/>
      <c r="U54" s="824"/>
      <c r="V54" s="824"/>
      <c r="W54" s="824"/>
      <c r="X54" s="825"/>
      <c r="Z54" s="780" t="s">
        <v>820</v>
      </c>
      <c r="AA54" s="822">
        <v>16.385272800000003</v>
      </c>
      <c r="AB54" s="822"/>
      <c r="AC54" s="822"/>
      <c r="AD54" s="822"/>
      <c r="AE54" s="822"/>
      <c r="AF54" s="826"/>
      <c r="AH54" s="780" t="s">
        <v>820</v>
      </c>
      <c r="AI54" s="824">
        <v>21.846472800000004</v>
      </c>
      <c r="AJ54" s="824"/>
      <c r="AK54" s="824"/>
      <c r="AL54" s="824"/>
      <c r="AM54" s="824"/>
      <c r="AN54" s="825"/>
      <c r="AP54" s="780" t="s">
        <v>820</v>
      </c>
      <c r="AQ54" s="824">
        <v>21.846472800000004</v>
      </c>
      <c r="AR54" s="824"/>
      <c r="AS54" s="824"/>
      <c r="AT54" s="824"/>
      <c r="AU54" s="824"/>
      <c r="AV54" s="825"/>
      <c r="AX54" s="780" t="s">
        <v>820</v>
      </c>
      <c r="AY54" s="824">
        <v>21.846472800000004</v>
      </c>
      <c r="AZ54" s="824"/>
      <c r="BA54" s="824"/>
      <c r="BB54" s="824"/>
      <c r="BC54" s="824"/>
      <c r="BD54" s="825"/>
      <c r="BF54" s="780" t="s">
        <v>820</v>
      </c>
      <c r="BG54" s="133">
        <v>21.846472800000004</v>
      </c>
      <c r="BH54" s="135"/>
      <c r="BI54" s="135"/>
      <c r="BJ54" s="135"/>
      <c r="BK54" s="135"/>
      <c r="BL54" s="136"/>
      <c r="BM54" s="827"/>
      <c r="BN54" s="780" t="s">
        <v>820</v>
      </c>
      <c r="BO54" s="133">
        <v>17.477624320000004</v>
      </c>
      <c r="BP54" s="135"/>
      <c r="BQ54" s="135"/>
      <c r="BR54" s="135"/>
      <c r="BS54" s="135"/>
      <c r="BT54" s="136"/>
      <c r="BV54" s="780" t="s">
        <v>820</v>
      </c>
      <c r="BW54" s="133">
        <v>16.385272800000003</v>
      </c>
      <c r="BX54" s="133"/>
      <c r="BY54" s="133"/>
      <c r="BZ54" s="133"/>
      <c r="CA54" s="133"/>
      <c r="CB54" s="134"/>
      <c r="CD54" s="780" t="s">
        <v>820</v>
      </c>
      <c r="CE54" s="133">
        <v>17.477624320000004</v>
      </c>
      <c r="CF54" s="133"/>
      <c r="CG54" s="133"/>
      <c r="CH54" s="133"/>
      <c r="CI54" s="133"/>
      <c r="CJ54" s="134"/>
      <c r="CL54" s="780" t="s">
        <v>820</v>
      </c>
      <c r="CM54" s="133">
        <v>16.385272800000003</v>
      </c>
      <c r="CN54" s="133"/>
      <c r="CO54" s="133"/>
      <c r="CP54" s="133"/>
      <c r="CQ54" s="133"/>
      <c r="CR54" s="134"/>
      <c r="CT54" s="780" t="s">
        <v>820</v>
      </c>
      <c r="CU54" s="133">
        <v>21.846472800000004</v>
      </c>
      <c r="CV54" s="133"/>
      <c r="CW54" s="133"/>
      <c r="CX54" s="133"/>
      <c r="CY54" s="133"/>
      <c r="CZ54" s="134"/>
      <c r="DB54" s="830" t="s">
        <v>820</v>
      </c>
      <c r="DC54" s="798">
        <v>21.846472800000004</v>
      </c>
      <c r="DD54" s="798"/>
      <c r="DE54" s="798"/>
      <c r="DF54" s="798"/>
      <c r="DG54" s="798"/>
      <c r="DH54" s="806"/>
      <c r="DJ54" s="780" t="s">
        <v>820</v>
      </c>
      <c r="DK54" s="133">
        <v>21.846472800000004</v>
      </c>
      <c r="DL54" s="135"/>
      <c r="DM54" s="135"/>
      <c r="DN54" s="135"/>
      <c r="DO54" s="135"/>
      <c r="DP54" s="136"/>
      <c r="DR54" s="780" t="s">
        <v>820</v>
      </c>
      <c r="DS54" s="133">
        <v>21.846472800000004</v>
      </c>
      <c r="DT54" s="133"/>
      <c r="DU54" s="133"/>
      <c r="DV54" s="133"/>
      <c r="DW54" s="133"/>
      <c r="DX54" s="134"/>
      <c r="DZ54" s="780" t="s">
        <v>820</v>
      </c>
      <c r="EA54" s="133">
        <v>20.390059648000005</v>
      </c>
      <c r="EB54" s="133"/>
      <c r="EC54" s="133"/>
      <c r="ED54" s="133"/>
      <c r="EE54" s="133"/>
      <c r="EF54" s="134"/>
      <c r="EH54" s="780" t="s">
        <v>820</v>
      </c>
      <c r="EI54" s="133">
        <v>20.390059648000005</v>
      </c>
      <c r="EJ54" s="133"/>
      <c r="EK54" s="133"/>
      <c r="EL54" s="133"/>
      <c r="EM54" s="133"/>
      <c r="EN54" s="134"/>
      <c r="EP54" s="780" t="s">
        <v>820</v>
      </c>
      <c r="EQ54" s="133">
        <v>20.390059648000005</v>
      </c>
      <c r="ER54" s="133"/>
      <c r="ES54" s="133"/>
      <c r="ET54" s="133"/>
      <c r="EU54" s="133"/>
      <c r="EV54" s="134"/>
      <c r="EW54" s="22"/>
      <c r="EX54" s="780" t="s">
        <v>820</v>
      </c>
      <c r="EY54" s="133">
        <v>20.390059648000005</v>
      </c>
      <c r="EZ54" s="133"/>
      <c r="FA54" s="133"/>
      <c r="FB54" s="133"/>
      <c r="FC54" s="133"/>
      <c r="FD54" s="134"/>
      <c r="FF54" s="780" t="s">
        <v>820</v>
      </c>
      <c r="FG54" s="133">
        <v>14.200569760000002</v>
      </c>
      <c r="FH54" s="133"/>
      <c r="FI54" s="133"/>
      <c r="FJ54" s="133"/>
      <c r="FK54" s="133"/>
      <c r="FL54" s="134"/>
      <c r="FN54" s="780" t="s">
        <v>820</v>
      </c>
      <c r="FO54" s="133">
        <v>14.200569760000002</v>
      </c>
      <c r="FP54" s="133"/>
      <c r="FQ54" s="133"/>
      <c r="FR54" s="133"/>
      <c r="FS54" s="133"/>
      <c r="FT54" s="134"/>
      <c r="FV54" s="799" t="s">
        <v>820</v>
      </c>
      <c r="FW54" s="635">
        <f t="shared" si="1"/>
        <v>19.198611456000013</v>
      </c>
      <c r="FX54" s="635"/>
      <c r="FY54" s="635"/>
      <c r="FZ54" s="635"/>
      <c r="GA54" s="635"/>
      <c r="GB54" s="829"/>
    </row>
    <row r="55" spans="2:196" ht="19" thickBot="1">
      <c r="B55" s="780" t="s">
        <v>370</v>
      </c>
      <c r="C55" s="135"/>
      <c r="D55" s="135"/>
      <c r="E55" s="135"/>
      <c r="F55" s="135"/>
      <c r="G55" s="135"/>
      <c r="H55" s="136">
        <v>0.27863844666666665</v>
      </c>
      <c r="J55" s="780" t="s">
        <v>370</v>
      </c>
      <c r="K55" s="831"/>
      <c r="L55" s="831"/>
      <c r="M55" s="831"/>
      <c r="N55" s="831"/>
      <c r="O55" s="831"/>
      <c r="P55" s="832">
        <v>0.27863844666666665</v>
      </c>
      <c r="Q55" s="815"/>
      <c r="R55" s="780" t="s">
        <v>370</v>
      </c>
      <c r="S55" s="833"/>
      <c r="T55" s="833"/>
      <c r="U55" s="833"/>
      <c r="V55" s="833"/>
      <c r="W55" s="833"/>
      <c r="X55" s="834">
        <v>0.27863844666666665</v>
      </c>
      <c r="Z55" s="780" t="s">
        <v>370</v>
      </c>
      <c r="AA55" s="831"/>
      <c r="AB55" s="831"/>
      <c r="AC55" s="831"/>
      <c r="AD55" s="831"/>
      <c r="AE55" s="831"/>
      <c r="AF55" s="835">
        <v>0.27863844666666665</v>
      </c>
      <c r="AH55" s="780" t="s">
        <v>370</v>
      </c>
      <c r="AI55" s="836"/>
      <c r="AJ55" s="836"/>
      <c r="AK55" s="836"/>
      <c r="AL55" s="836"/>
      <c r="AM55" s="836"/>
      <c r="AN55" s="832">
        <v>0.3715084466666666</v>
      </c>
      <c r="AP55" s="780" t="s">
        <v>370</v>
      </c>
      <c r="AQ55" s="836"/>
      <c r="AR55" s="836"/>
      <c r="AS55" s="836"/>
      <c r="AT55" s="836"/>
      <c r="AU55" s="836"/>
      <c r="AV55" s="837">
        <v>0.3715084466666666</v>
      </c>
      <c r="AX55" s="780" t="s">
        <v>370</v>
      </c>
      <c r="AY55" s="836"/>
      <c r="AZ55" s="836"/>
      <c r="BA55" s="836"/>
      <c r="BB55" s="836"/>
      <c r="BC55" s="836"/>
      <c r="BD55" s="837">
        <v>0.3715084466666666</v>
      </c>
      <c r="BF55" s="780" t="s">
        <v>370</v>
      </c>
      <c r="BG55" s="135"/>
      <c r="BH55" s="135"/>
      <c r="BI55" s="135"/>
      <c r="BJ55" s="135"/>
      <c r="BK55" s="135"/>
      <c r="BL55" s="136">
        <v>0.3715084466666666</v>
      </c>
      <c r="BM55" s="827"/>
      <c r="BN55" s="780" t="s">
        <v>370</v>
      </c>
      <c r="BO55" s="135"/>
      <c r="BP55" s="135"/>
      <c r="BQ55" s="135"/>
      <c r="BR55" s="135"/>
      <c r="BS55" s="135"/>
      <c r="BT55" s="136">
        <v>0.27863844666666665</v>
      </c>
      <c r="BV55" s="780" t="s">
        <v>370</v>
      </c>
      <c r="BW55" s="135"/>
      <c r="BX55" s="135"/>
      <c r="BY55" s="135"/>
      <c r="BZ55" s="135"/>
      <c r="CA55" s="135"/>
      <c r="CB55" s="136">
        <v>0.27863844666666665</v>
      </c>
      <c r="CD55" s="780" t="s">
        <v>370</v>
      </c>
      <c r="CE55" s="135"/>
      <c r="CF55" s="135"/>
      <c r="CG55" s="135"/>
      <c r="CH55" s="135"/>
      <c r="CI55" s="135"/>
      <c r="CJ55" s="136">
        <v>0.27863844666666665</v>
      </c>
      <c r="CL55" s="780" t="s">
        <v>370</v>
      </c>
      <c r="CM55" s="135"/>
      <c r="CN55" s="135"/>
      <c r="CO55" s="135"/>
      <c r="CP55" s="135"/>
      <c r="CQ55" s="135"/>
      <c r="CR55" s="136">
        <v>0.27863844666666665</v>
      </c>
      <c r="CT55" s="780" t="s">
        <v>370</v>
      </c>
      <c r="CU55" s="135"/>
      <c r="CV55" s="135"/>
      <c r="CW55" s="135"/>
      <c r="CX55" s="135"/>
      <c r="CY55" s="135"/>
      <c r="CZ55" s="136">
        <v>0.3715084466666666</v>
      </c>
      <c r="DB55" s="830" t="s">
        <v>370</v>
      </c>
      <c r="DC55" s="838"/>
      <c r="DD55" s="838"/>
      <c r="DE55" s="838"/>
      <c r="DF55" s="838"/>
      <c r="DG55" s="838"/>
      <c r="DH55" s="807">
        <v>0.3715084466666666</v>
      </c>
      <c r="DJ55" s="780" t="s">
        <v>370</v>
      </c>
      <c r="DK55" s="135"/>
      <c r="DL55" s="135"/>
      <c r="DM55" s="135"/>
      <c r="DN55" s="135"/>
      <c r="DO55" s="135"/>
      <c r="DP55" s="136">
        <v>0.3715084466666666</v>
      </c>
      <c r="DR55" s="780" t="s">
        <v>370</v>
      </c>
      <c r="DS55" s="135"/>
      <c r="DT55" s="135"/>
      <c r="DU55" s="135"/>
      <c r="DV55" s="135"/>
      <c r="DW55" s="135"/>
      <c r="DX55" s="136">
        <v>0.3715084466666666</v>
      </c>
      <c r="DZ55" s="780" t="s">
        <v>370</v>
      </c>
      <c r="EA55" s="135"/>
      <c r="EB55" s="135"/>
      <c r="EC55" s="135"/>
      <c r="ED55" s="135"/>
      <c r="EE55" s="135"/>
      <c r="EF55" s="136">
        <v>0.37150878133333332</v>
      </c>
      <c r="EH55" s="780" t="s">
        <v>370</v>
      </c>
      <c r="EI55" s="135"/>
      <c r="EJ55" s="135"/>
      <c r="EK55" s="135"/>
      <c r="EL55" s="135"/>
      <c r="EM55" s="135"/>
      <c r="EN55" s="136">
        <v>0.37150878133333332</v>
      </c>
      <c r="EP55" s="780" t="s">
        <v>370</v>
      </c>
      <c r="EQ55" s="135"/>
      <c r="ER55" s="135"/>
      <c r="ES55" s="135"/>
      <c r="ET55" s="135"/>
      <c r="EU55" s="135"/>
      <c r="EV55" s="136">
        <v>0.37150878133333332</v>
      </c>
      <c r="EW55" s="22"/>
      <c r="EX55" s="780" t="s">
        <v>370</v>
      </c>
      <c r="EY55" s="135"/>
      <c r="EZ55" s="135"/>
      <c r="FA55" s="135"/>
      <c r="FB55" s="135"/>
      <c r="FC55" s="135"/>
      <c r="FD55" s="136">
        <v>0.37150878133333332</v>
      </c>
      <c r="FF55" s="780" t="s">
        <v>370</v>
      </c>
      <c r="FG55" s="135"/>
      <c r="FH55" s="135"/>
      <c r="FI55" s="135"/>
      <c r="FJ55" s="135"/>
      <c r="FK55" s="135"/>
      <c r="FL55" s="136">
        <v>0.27863844666666665</v>
      </c>
      <c r="FN55" s="780" t="s">
        <v>370</v>
      </c>
      <c r="FO55" s="135"/>
      <c r="FP55" s="135"/>
      <c r="FQ55" s="135"/>
      <c r="FR55" s="135"/>
      <c r="FS55" s="135"/>
      <c r="FT55" s="136">
        <v>0.27863844666666665</v>
      </c>
      <c r="FV55" s="799" t="s">
        <v>370</v>
      </c>
      <c r="FW55" s="635"/>
      <c r="FX55" s="635"/>
      <c r="FY55" s="635"/>
      <c r="FZ55" s="635"/>
      <c r="GA55" s="635"/>
      <c r="GB55" s="829">
        <f>(FT55+FL55+FD55+EV55+EN55+EF55+DX55+DP55+DH55+CZ55+CR55+CJ55+CB55+BL55+BD55+AV55+AN55+AF55+X55+P55+H55)/22</f>
        <v>0.31662948721212114</v>
      </c>
    </row>
    <row r="56" spans="2:196" ht="19" thickBot="1">
      <c r="B56" s="139" t="s">
        <v>645</v>
      </c>
      <c r="C56" s="785">
        <f>SUM(C47:C55)</f>
        <v>641.11117715527121</v>
      </c>
      <c r="D56" s="839">
        <f>D49</f>
        <v>0.12746063766990295</v>
      </c>
      <c r="E56" s="785">
        <f>E50</f>
        <v>141.1409479490537</v>
      </c>
      <c r="F56" s="785">
        <f>F50</f>
        <v>96.085771134416476</v>
      </c>
      <c r="G56" s="785">
        <f>G50</f>
        <v>51.111384208833471</v>
      </c>
      <c r="H56" s="786">
        <f>H55</f>
        <v>0.27863844666666665</v>
      </c>
      <c r="J56" s="139" t="s">
        <v>645</v>
      </c>
      <c r="K56" s="785">
        <f>SUM(K47:K55)</f>
        <v>632.17500199395317</v>
      </c>
      <c r="L56" s="785">
        <f>L49</f>
        <v>0.12746063766990295</v>
      </c>
      <c r="M56" s="785">
        <f>M50</f>
        <v>136.39646248424023</v>
      </c>
      <c r="N56" s="785">
        <f>N50</f>
        <v>92.85582581275699</v>
      </c>
      <c r="O56" s="785">
        <f>O50</f>
        <v>49.393263259604488</v>
      </c>
      <c r="P56" s="786">
        <f>P55</f>
        <v>0.27863844666666665</v>
      </c>
      <c r="Q56" s="815"/>
      <c r="R56" s="139" t="s">
        <v>645</v>
      </c>
      <c r="S56" s="785">
        <f>SUM(S47:S55)</f>
        <v>546.03764293093263</v>
      </c>
      <c r="T56" s="785">
        <f>T49</f>
        <v>0.12746063766990295</v>
      </c>
      <c r="U56" s="785">
        <f>U50</f>
        <v>111.65324749094836</v>
      </c>
      <c r="V56" s="785">
        <f>V50</f>
        <v>76.011168556853619</v>
      </c>
      <c r="W56" s="785">
        <f>W50</f>
        <v>40.433000582748988</v>
      </c>
      <c r="X56" s="786">
        <f>X55</f>
        <v>0.27863844666666665</v>
      </c>
      <c r="Z56" s="139" t="s">
        <v>645</v>
      </c>
      <c r="AA56" s="785">
        <f>SUM(AA47:AA55)</f>
        <v>537.53672527569677</v>
      </c>
      <c r="AB56" s="785">
        <f>AB49</f>
        <v>0.12746063766990295</v>
      </c>
      <c r="AC56" s="785">
        <f>AC50</f>
        <v>106.90876202613491</v>
      </c>
      <c r="AD56" s="785">
        <f>AD50</f>
        <v>72.781223235194147</v>
      </c>
      <c r="AE56" s="785">
        <f>AE50</f>
        <v>38.714879633520013</v>
      </c>
      <c r="AF56" s="786">
        <f>AF55</f>
        <v>0.27863844666666665</v>
      </c>
      <c r="AH56" s="139" t="s">
        <v>645</v>
      </c>
      <c r="AI56" s="785">
        <f>SUM(AI47:AI55)</f>
        <v>645.73989427914069</v>
      </c>
      <c r="AJ56" s="785">
        <f>AJ49</f>
        <v>0.22070063766990292</v>
      </c>
      <c r="AK56" s="785">
        <f>AK50</f>
        <v>126.30637385057257</v>
      </c>
      <c r="AL56" s="785">
        <f>AL50</f>
        <v>85.986706954843939</v>
      </c>
      <c r="AM56" s="785">
        <f>AM50</f>
        <v>45.73933855277366</v>
      </c>
      <c r="AN56" s="786">
        <f>AN55</f>
        <v>0.3715084466666666</v>
      </c>
      <c r="AP56" s="139" t="s">
        <v>645</v>
      </c>
      <c r="AQ56" s="785">
        <f>SUM(AQ47:AQ55)</f>
        <v>740.77332419653055</v>
      </c>
      <c r="AR56" s="785">
        <f>AR49</f>
        <v>0.22070063766990292</v>
      </c>
      <c r="AS56" s="785">
        <f>AS50</f>
        <v>156.69203162668617</v>
      </c>
      <c r="AT56" s="785">
        <f>AT50</f>
        <v>106.67261987572233</v>
      </c>
      <c r="AU56" s="785">
        <f>AU50</f>
        <v>56.742899543405954</v>
      </c>
      <c r="AV56" s="786">
        <f>AV55</f>
        <v>0.3715084466666666</v>
      </c>
      <c r="AX56" s="139" t="s">
        <v>645</v>
      </c>
      <c r="AY56" s="785">
        <f>SUM(AY47:AY55)</f>
        <v>637.33073241015643</v>
      </c>
      <c r="AZ56" s="785">
        <f>AZ49</f>
        <v>0.22070063766990292</v>
      </c>
      <c r="BA56" s="785">
        <f>BA50</f>
        <v>121.60589363031406</v>
      </c>
      <c r="BB56" s="785">
        <f>BB50</f>
        <v>82.786719472624128</v>
      </c>
      <c r="BC56" s="785">
        <f>BC50</f>
        <v>44.037153226723738</v>
      </c>
      <c r="BD56" s="786">
        <f>BD55</f>
        <v>0.3715084466666666</v>
      </c>
      <c r="BF56" s="139" t="s">
        <v>645</v>
      </c>
      <c r="BG56" s="785">
        <f>SUM(BG47:BG55)</f>
        <v>730.99682061750013</v>
      </c>
      <c r="BH56" s="785">
        <f>BH49</f>
        <v>0.22070063766990292</v>
      </c>
      <c r="BI56" s="785">
        <f>BI50</f>
        <v>151.99234197128905</v>
      </c>
      <c r="BJ56" s="785">
        <f>BJ50</f>
        <v>103.47317059333355</v>
      </c>
      <c r="BK56" s="785">
        <f>BK50</f>
        <v>55.041000504680582</v>
      </c>
      <c r="BL56" s="786">
        <f>BL55</f>
        <v>0.3715084466666666</v>
      </c>
      <c r="BM56" s="827"/>
      <c r="BN56" s="139" t="s">
        <v>645</v>
      </c>
      <c r="BO56" s="785">
        <f>SUM(BO47:BO55)</f>
        <v>666.10932947878382</v>
      </c>
      <c r="BP56" s="785">
        <f>BP49</f>
        <v>0.12746063766990295</v>
      </c>
      <c r="BQ56" s="785">
        <f>BQ50</f>
        <v>142.53532930929833</v>
      </c>
      <c r="BR56" s="785">
        <f>BR50</f>
        <v>97.035036462455253</v>
      </c>
      <c r="BS56" s="785">
        <f>BS50</f>
        <v>51.616331656563695</v>
      </c>
      <c r="BT56" s="786">
        <f>BT55</f>
        <v>0.27863844666666665</v>
      </c>
      <c r="BV56" s="139" t="s">
        <v>645</v>
      </c>
      <c r="BW56" s="785">
        <f>SUM(BW47:BW55)</f>
        <v>572.96498263475303</v>
      </c>
      <c r="BX56" s="785">
        <f>BX49</f>
        <v>0.12746063766990295</v>
      </c>
      <c r="BY56" s="785">
        <f>BY50</f>
        <v>113.04762885119301</v>
      </c>
      <c r="BZ56" s="785">
        <f>BZ50</f>
        <v>76.96043388489241</v>
      </c>
      <c r="CA56" s="785">
        <f>CA50</f>
        <v>40.93794803047922</v>
      </c>
      <c r="CB56" s="786">
        <f>CB55</f>
        <v>0.27863844666666665</v>
      </c>
      <c r="CD56" s="139" t="s">
        <v>645</v>
      </c>
      <c r="CE56" s="785">
        <f>SUM(CE47:CE55)</f>
        <v>674.98026732557355</v>
      </c>
      <c r="CF56" s="785">
        <f>CF49</f>
        <v>0.12746063766990295</v>
      </c>
      <c r="CG56" s="785">
        <f>CG50</f>
        <v>147.2798147741118</v>
      </c>
      <c r="CH56" s="785">
        <f>CH50</f>
        <v>100.26498178411475</v>
      </c>
      <c r="CI56" s="785">
        <f>CI50</f>
        <v>53.334452605792684</v>
      </c>
      <c r="CJ56" s="786">
        <f>CJ55</f>
        <v>0.27863844666666665</v>
      </c>
      <c r="CL56" s="139" t="s">
        <v>645</v>
      </c>
      <c r="CM56" s="785">
        <f>SUM(CM47:CM55)</f>
        <v>581.25514826548454</v>
      </c>
      <c r="CN56" s="785">
        <f>CN49</f>
        <v>0.12746063766990295</v>
      </c>
      <c r="CO56" s="785">
        <f>CO50</f>
        <v>117.79211431600645</v>
      </c>
      <c r="CP56" s="785">
        <f>CP50</f>
        <v>80.190379206551896</v>
      </c>
      <c r="CQ56" s="785">
        <f>CQ50</f>
        <v>42.656068979708202</v>
      </c>
      <c r="CR56" s="786">
        <f>CR55</f>
        <v>0.27863844666666665</v>
      </c>
      <c r="CT56" s="139" t="s">
        <v>645</v>
      </c>
      <c r="CU56" s="785">
        <f>SUM(CU47:CU55)</f>
        <v>681.91339165425768</v>
      </c>
      <c r="CV56" s="785">
        <f>CV49</f>
        <v>0.22070063766990292</v>
      </c>
      <c r="CW56" s="785">
        <f>CW50</f>
        <v>132.39152322446736</v>
      </c>
      <c r="CX56" s="785">
        <f>CX50</f>
        <v>90.12934790033232</v>
      </c>
      <c r="CY56" s="785">
        <f>CY50</f>
        <v>47.942954244298882</v>
      </c>
      <c r="CZ56" s="786">
        <f>CZ55</f>
        <v>0.3715084466666666</v>
      </c>
      <c r="DB56" s="840" t="s">
        <v>645</v>
      </c>
      <c r="DC56" s="841">
        <f>SUM(DC47:DC55)</f>
        <v>774.63510636157264</v>
      </c>
      <c r="DD56" s="841">
        <f>DD49</f>
        <v>0.22070063766990292</v>
      </c>
      <c r="DE56" s="841">
        <f>DE50</f>
        <v>161.92726916320055</v>
      </c>
      <c r="DF56" s="841">
        <f>DF50</f>
        <v>110.23665882457082</v>
      </c>
      <c r="DG56" s="841">
        <f>DG50</f>
        <v>58.638736584615842</v>
      </c>
      <c r="DH56" s="786">
        <f>DH55</f>
        <v>0.3715084466666666</v>
      </c>
      <c r="DJ56" s="139" t="s">
        <v>645</v>
      </c>
      <c r="DK56" s="785">
        <f>SUM(DK47:DK55)</f>
        <v>758.34981182522176</v>
      </c>
      <c r="DL56" s="785">
        <f>DL49</f>
        <v>0.22070063766990292</v>
      </c>
      <c r="DM56" s="785">
        <f>DM50</f>
        <v>162.39266871585227</v>
      </c>
      <c r="DN56" s="785">
        <f>DN50</f>
        <v>110.5534929931942</v>
      </c>
      <c r="DO56" s="785">
        <f>DO50</f>
        <v>58.807271766587185</v>
      </c>
      <c r="DP56" s="786">
        <f>DP55</f>
        <v>0.3715084466666666</v>
      </c>
      <c r="DR56" s="139" t="s">
        <v>645</v>
      </c>
      <c r="DS56" s="785">
        <f>SUM(DS47:DS55)</f>
        <v>674.08272940827896</v>
      </c>
      <c r="DT56" s="785">
        <f>DT49</f>
        <v>0.22070063766990292</v>
      </c>
      <c r="DU56" s="785">
        <f>DU50</f>
        <v>127.75605656188876</v>
      </c>
      <c r="DV56" s="785">
        <f>DV50</f>
        <v>86.973620272638342</v>
      </c>
      <c r="DW56" s="785">
        <f>DW50</f>
        <v>46.264312283754478</v>
      </c>
      <c r="DX56" s="786">
        <f>DX55</f>
        <v>0.3715084466666666</v>
      </c>
      <c r="DZ56" s="139" t="s">
        <v>645</v>
      </c>
      <c r="EA56" s="785">
        <f>SUM(EA47:EA55)</f>
        <v>767.87635088452726</v>
      </c>
      <c r="EB56" s="785">
        <f>EB49</f>
        <v>0.22070097366990288</v>
      </c>
      <c r="EC56" s="785">
        <f>EC50</f>
        <v>158.279176823645</v>
      </c>
      <c r="ED56" s="785">
        <f>ED50</f>
        <v>107.75311474534105</v>
      </c>
      <c r="EE56" s="785">
        <f>EE50</f>
        <v>57.317652576708873</v>
      </c>
      <c r="EF56" s="786">
        <f>EF55</f>
        <v>0.37150878133333332</v>
      </c>
      <c r="EH56" s="139" t="s">
        <v>645</v>
      </c>
      <c r="EI56" s="785">
        <f>SUM(EI47:EI55)</f>
        <v>675.27714226603246</v>
      </c>
      <c r="EJ56" s="785">
        <f>EJ49</f>
        <v>0.22070097366990288</v>
      </c>
      <c r="EK56" s="785">
        <f>EK50</f>
        <v>128.86541316465792</v>
      </c>
      <c r="EL56" s="785">
        <f>EL50</f>
        <v>87.728846776279283</v>
      </c>
      <c r="EM56" s="785">
        <f>EM50</f>
        <v>46.66604369035668</v>
      </c>
      <c r="EN56" s="786">
        <f>EN55</f>
        <v>0.37150878133333332</v>
      </c>
      <c r="EP56" s="139" t="s">
        <v>645</v>
      </c>
      <c r="EQ56" s="785">
        <f>SUM(EQ47:EQ55)</f>
        <v>770.37463062881284</v>
      </c>
      <c r="ER56" s="785">
        <f>ER49</f>
        <v>0.22070097366990288</v>
      </c>
      <c r="ES56" s="785">
        <f>ES50</f>
        <v>159.68997229618785</v>
      </c>
      <c r="ET56" s="785">
        <f>ET50</f>
        <v>108.71355445374624</v>
      </c>
      <c r="EU56" s="785">
        <f>EU50</f>
        <v>57.828544068405861</v>
      </c>
      <c r="EV56" s="786">
        <f>EV55</f>
        <v>0.37150878133333332</v>
      </c>
      <c r="EW56" s="22"/>
      <c r="EX56" s="139" t="s">
        <v>645</v>
      </c>
      <c r="EY56" s="785">
        <f>SUM(EY47:EY55)</f>
        <v>667.07089210300546</v>
      </c>
      <c r="EZ56" s="785">
        <f>EZ49</f>
        <v>0.22070097366990288</v>
      </c>
      <c r="FA56" s="785">
        <f>FA50</f>
        <v>124.16492871005683</v>
      </c>
      <c r="FB56" s="785">
        <f>FB50</f>
        <v>84.528856411408626</v>
      </c>
      <c r="FC56" s="785">
        <f>FC50</f>
        <v>44.963856830923895</v>
      </c>
      <c r="FD56" s="786">
        <f>FD55</f>
        <v>0.37150878133333332</v>
      </c>
      <c r="FF56" s="139" t="s">
        <v>645</v>
      </c>
      <c r="FG56" s="785">
        <f>SUM(FG47:FG55)</f>
        <v>538.5266613635506</v>
      </c>
      <c r="FH56" s="785">
        <f>FH49</f>
        <v>0.12746063766990295</v>
      </c>
      <c r="FI56" s="785">
        <f>FI50</f>
        <v>111.26485308576505</v>
      </c>
      <c r="FJ56" s="785">
        <f>FJ50</f>
        <v>75.746757863368686</v>
      </c>
      <c r="FK56" s="785">
        <f>FK50</f>
        <v>40.292351281774685</v>
      </c>
      <c r="FL56" s="786">
        <f>FL55</f>
        <v>0.27863844666666665</v>
      </c>
      <c r="FN56" s="139" t="s">
        <v>645</v>
      </c>
      <c r="FO56" s="785">
        <f>SUM(FO47:FO55)</f>
        <v>530.37723425654622</v>
      </c>
      <c r="FP56" s="785">
        <f>FP49</f>
        <v>0.12746063766990295</v>
      </c>
      <c r="FQ56" s="785">
        <f>FQ50</f>
        <v>106.52036762095163</v>
      </c>
      <c r="FR56" s="785">
        <f>FR50</f>
        <v>72.516812541709214</v>
      </c>
      <c r="FS56" s="785">
        <f>FS50</f>
        <v>38.574230332545717</v>
      </c>
      <c r="FT56" s="786">
        <f>FT55</f>
        <v>0.27863844666666665</v>
      </c>
      <c r="FV56" s="842" t="s">
        <v>996</v>
      </c>
      <c r="FW56" s="635">
        <f>FW47+FW48+FW50+FW51+FW52+FW53+FW54</f>
        <v>662.14094958844976</v>
      </c>
      <c r="FX56" s="635">
        <f>SUM(FX49:FX55)</f>
        <v>0.17831888057899384</v>
      </c>
      <c r="FY56" s="635">
        <f>FY50</f>
        <v>127.45762946987378</v>
      </c>
      <c r="FZ56" s="635">
        <f>FZ50</f>
        <v>86.770457422449681</v>
      </c>
      <c r="GA56" s="635">
        <f>GA50</f>
        <v>46.156242854011047</v>
      </c>
      <c r="GB56" s="829">
        <f>GB55</f>
        <v>0.31662948721212114</v>
      </c>
    </row>
    <row r="57" spans="2:196" ht="19" thickBot="1">
      <c r="B57" s="138" t="s">
        <v>644</v>
      </c>
      <c r="C57" s="4659">
        <f>SUM(C56:H56)</f>
        <v>929.85537953191147</v>
      </c>
      <c r="D57" s="4660"/>
      <c r="E57" s="4660"/>
      <c r="F57" s="4660"/>
      <c r="G57" s="4660"/>
      <c r="H57" s="4661"/>
      <c r="J57" s="138" t="s">
        <v>644</v>
      </c>
      <c r="K57" s="4659">
        <f>SUM(K56:P56)</f>
        <v>911.22665263489148</v>
      </c>
      <c r="L57" s="4660"/>
      <c r="M57" s="4660"/>
      <c r="N57" s="4660"/>
      <c r="O57" s="4660"/>
      <c r="P57" s="4661"/>
      <c r="Q57" s="843"/>
      <c r="R57" s="138" t="s">
        <v>644</v>
      </c>
      <c r="S57" s="4659">
        <f>SUM(S56:X56)</f>
        <v>774.54115864582013</v>
      </c>
      <c r="T57" s="4660"/>
      <c r="U57" s="4660"/>
      <c r="V57" s="4660"/>
      <c r="W57" s="4660"/>
      <c r="X57" s="4661"/>
      <c r="Z57" s="138" t="s">
        <v>644</v>
      </c>
      <c r="AA57" s="4659">
        <f>SUM(AA56:AF56)</f>
        <v>756.34768925488243</v>
      </c>
      <c r="AB57" s="4660"/>
      <c r="AC57" s="4660"/>
      <c r="AD57" s="4660"/>
      <c r="AE57" s="4660"/>
      <c r="AF57" s="4661"/>
      <c r="AH57" s="138" t="s">
        <v>644</v>
      </c>
      <c r="AI57" s="4659">
        <f>SUM(AI56:AN56)</f>
        <v>904.36452272166741</v>
      </c>
      <c r="AJ57" s="4837"/>
      <c r="AK57" s="4837"/>
      <c r="AL57" s="4837"/>
      <c r="AM57" s="4837"/>
      <c r="AN57" s="4838"/>
      <c r="AP57" s="138" t="s">
        <v>644</v>
      </c>
      <c r="AQ57" s="4659">
        <f>SUM(AQ56:AV56)</f>
        <v>1061.4730843266816</v>
      </c>
      <c r="AR57" s="4660"/>
      <c r="AS57" s="4660"/>
      <c r="AT57" s="4660"/>
      <c r="AU57" s="4660"/>
      <c r="AV57" s="4661"/>
      <c r="AX57" s="138" t="s">
        <v>644</v>
      </c>
      <c r="AY57" s="4659">
        <f>SUM(AY56:BD56)</f>
        <v>886.35270782415489</v>
      </c>
      <c r="AZ57" s="4660"/>
      <c r="BA57" s="4660"/>
      <c r="BB57" s="4660"/>
      <c r="BC57" s="4660"/>
      <c r="BD57" s="4661"/>
      <c r="BF57" s="138" t="s">
        <v>644</v>
      </c>
      <c r="BG57" s="4659">
        <f>SUM(BG56:BL56)</f>
        <v>1042.0955427711399</v>
      </c>
      <c r="BH57" s="4660"/>
      <c r="BI57" s="4660"/>
      <c r="BJ57" s="4660"/>
      <c r="BK57" s="4660"/>
      <c r="BL57" s="4661"/>
      <c r="BM57" s="753"/>
      <c r="BN57" s="138" t="s">
        <v>644</v>
      </c>
      <c r="BO57" s="4659">
        <f>SUM(BO56:BT56)</f>
        <v>957.7021259914377</v>
      </c>
      <c r="BP57" s="4660"/>
      <c r="BQ57" s="4660"/>
      <c r="BR57" s="4660"/>
      <c r="BS57" s="4660"/>
      <c r="BT57" s="4661"/>
      <c r="BV57" s="138" t="s">
        <v>644</v>
      </c>
      <c r="BW57" s="4659">
        <f>SUM(BW56:CB56)</f>
        <v>804.31709248565426</v>
      </c>
      <c r="BX57" s="4660"/>
      <c r="BY57" s="4660"/>
      <c r="BZ57" s="4660"/>
      <c r="CA57" s="4660"/>
      <c r="CB57" s="4661"/>
      <c r="CD57" s="138" t="s">
        <v>644</v>
      </c>
      <c r="CE57" s="4659">
        <f>SUM(CE56:CJ56)</f>
        <v>976.26561557392938</v>
      </c>
      <c r="CF57" s="4660"/>
      <c r="CG57" s="4660"/>
      <c r="CH57" s="4660"/>
      <c r="CI57" s="4660"/>
      <c r="CJ57" s="4661"/>
      <c r="CL57" s="138" t="s">
        <v>644</v>
      </c>
      <c r="CM57" s="4659">
        <f>SUM(CM56:CR56)</f>
        <v>822.29980985208761</v>
      </c>
      <c r="CN57" s="4660"/>
      <c r="CO57" s="4660"/>
      <c r="CP57" s="4660"/>
      <c r="CQ57" s="4660"/>
      <c r="CR57" s="4661"/>
      <c r="CT57" s="138" t="s">
        <v>644</v>
      </c>
      <c r="CU57" s="4659">
        <f>SUM(CU56:CZ56)</f>
        <v>952.96942610769281</v>
      </c>
      <c r="CV57" s="4660"/>
      <c r="CW57" s="4660"/>
      <c r="CX57" s="4660"/>
      <c r="CY57" s="4660"/>
      <c r="CZ57" s="4661"/>
      <c r="DB57" s="844" t="s">
        <v>644</v>
      </c>
      <c r="DC57" s="4860">
        <f>SUM(DC56:DH56)</f>
        <v>1106.0299800182963</v>
      </c>
      <c r="DD57" s="4861"/>
      <c r="DE57" s="4861"/>
      <c r="DF57" s="4861"/>
      <c r="DG57" s="4861"/>
      <c r="DH57" s="4862"/>
      <c r="DJ57" s="138" t="s">
        <v>644</v>
      </c>
      <c r="DK57" s="4659">
        <f>SUM(DK56:DP56)</f>
        <v>1090.6954543851921</v>
      </c>
      <c r="DL57" s="4660"/>
      <c r="DM57" s="4660"/>
      <c r="DN57" s="4660"/>
      <c r="DO57" s="4660"/>
      <c r="DP57" s="4661"/>
      <c r="DR57" s="138" t="s">
        <v>644</v>
      </c>
      <c r="DS57" s="4659">
        <f>SUM(DS56:DX56)</f>
        <v>935.66892761089707</v>
      </c>
      <c r="DT57" s="4660"/>
      <c r="DU57" s="4660"/>
      <c r="DV57" s="4660"/>
      <c r="DW57" s="4660"/>
      <c r="DX57" s="4661"/>
      <c r="DZ57" s="138" t="s">
        <v>644</v>
      </c>
      <c r="EA57" s="4659">
        <f>SUM(EA56:EF56)</f>
        <v>1091.8185047852255</v>
      </c>
      <c r="EB57" s="4660"/>
      <c r="EC57" s="4660"/>
      <c r="ED57" s="4660"/>
      <c r="EE57" s="4660"/>
      <c r="EF57" s="4661"/>
      <c r="EH57" s="138" t="s">
        <v>644</v>
      </c>
      <c r="EI57" s="4659">
        <f>SUM(EI56:EN56)</f>
        <v>939.12965565232957</v>
      </c>
      <c r="EJ57" s="4660"/>
      <c r="EK57" s="4660"/>
      <c r="EL57" s="4660"/>
      <c r="EM57" s="4660"/>
      <c r="EN57" s="4661"/>
      <c r="EP57" s="138" t="s">
        <v>644</v>
      </c>
      <c r="EQ57" s="4659">
        <f>SUM(EQ56:EV56)</f>
        <v>1097.1989112021561</v>
      </c>
      <c r="ER57" s="4660"/>
      <c r="ES57" s="4660"/>
      <c r="ET57" s="4660"/>
      <c r="EU57" s="4660"/>
      <c r="EV57" s="4661"/>
      <c r="EW57" s="22"/>
      <c r="EX57" s="138" t="s">
        <v>644</v>
      </c>
      <c r="EY57" s="4659">
        <f>SUM(EY56:FD56)</f>
        <v>921.32074381039797</v>
      </c>
      <c r="EZ57" s="4660"/>
      <c r="FA57" s="4660"/>
      <c r="FB57" s="4660"/>
      <c r="FC57" s="4660"/>
      <c r="FD57" s="4661"/>
      <c r="FF57" s="138" t="s">
        <v>644</v>
      </c>
      <c r="FG57" s="4659">
        <f>SUM(FG56:FL56)</f>
        <v>766.23672267879556</v>
      </c>
      <c r="FH57" s="4660"/>
      <c r="FI57" s="4660"/>
      <c r="FJ57" s="4660"/>
      <c r="FK57" s="4660"/>
      <c r="FL57" s="4661"/>
      <c r="FN57" s="138" t="s">
        <v>644</v>
      </c>
      <c r="FO57" s="4659">
        <f>SUM(FO56:FT56)</f>
        <v>748.39474383608945</v>
      </c>
      <c r="FP57" s="4660"/>
      <c r="FQ57" s="4660"/>
      <c r="FR57" s="4660"/>
      <c r="FS57" s="4660"/>
      <c r="FT57" s="4661"/>
      <c r="FV57" s="808" t="s">
        <v>997</v>
      </c>
      <c r="FW57" s="4857">
        <f>FW56+FX56+FY56+FZ56+GA56+GB56</f>
        <v>923.02022770257531</v>
      </c>
      <c r="FX57" s="4858"/>
      <c r="FY57" s="4858"/>
      <c r="FZ57" s="4858"/>
      <c r="GA57" s="4858"/>
      <c r="GB57" s="4859"/>
    </row>
    <row r="58" spans="2:196" ht="15.5">
      <c r="FV58" s="718"/>
      <c r="FW58" s="28"/>
      <c r="FY58" s="28"/>
    </row>
    <row r="59" spans="2:196" ht="26">
      <c r="B59" s="754" t="s">
        <v>1006</v>
      </c>
      <c r="AP59" s="754" t="s">
        <v>1006</v>
      </c>
      <c r="BV59" s="754" t="s">
        <v>1006</v>
      </c>
      <c r="DD59" s="754" t="s">
        <v>1006</v>
      </c>
      <c r="EO59" s="754" t="s">
        <v>1006</v>
      </c>
      <c r="FV59" s="718"/>
      <c r="FW59" s="811"/>
      <c r="FX59" s="811"/>
      <c r="FY59" s="811"/>
      <c r="FZ59" s="811"/>
      <c r="GA59" s="811"/>
      <c r="GB59" s="811"/>
    </row>
    <row r="60" spans="2:196" s="759" customFormat="1" ht="20.5" thickBot="1">
      <c r="B60" s="756" t="s">
        <v>377</v>
      </c>
      <c r="C60" s="757"/>
      <c r="D60" s="757"/>
      <c r="E60" s="757"/>
      <c r="F60" s="757"/>
      <c r="G60" s="757"/>
      <c r="H60" s="758"/>
      <c r="J60" s="756" t="s">
        <v>382</v>
      </c>
      <c r="K60" s="757"/>
      <c r="L60" s="757"/>
      <c r="M60" s="757"/>
      <c r="N60" s="757"/>
      <c r="O60" s="757"/>
      <c r="P60" s="760"/>
      <c r="R60" s="756" t="s">
        <v>393</v>
      </c>
      <c r="Z60" s="756" t="s">
        <v>396</v>
      </c>
      <c r="AH60" s="756" t="s">
        <v>399</v>
      </c>
      <c r="AP60" s="756" t="s">
        <v>414</v>
      </c>
      <c r="AX60" s="756" t="s">
        <v>417</v>
      </c>
      <c r="BF60" s="756" t="s">
        <v>422</v>
      </c>
      <c r="BN60" s="756" t="s">
        <v>425</v>
      </c>
      <c r="BV60" s="756" t="s">
        <v>430</v>
      </c>
      <c r="CD60" s="756" t="s">
        <v>433</v>
      </c>
      <c r="CL60" s="756" t="s">
        <v>438</v>
      </c>
      <c r="CT60" s="756" t="s">
        <v>445</v>
      </c>
      <c r="DB60" s="756" t="s">
        <v>446</v>
      </c>
      <c r="DJ60" s="756" t="s">
        <v>447</v>
      </c>
      <c r="DR60" s="756" t="s">
        <v>448</v>
      </c>
      <c r="DZ60" s="756" t="s">
        <v>462</v>
      </c>
      <c r="EH60" s="756" t="s">
        <v>466</v>
      </c>
      <c r="EP60" s="756" t="s">
        <v>470</v>
      </c>
      <c r="EW60" s="813"/>
      <c r="EX60" s="759" t="s">
        <v>474</v>
      </c>
      <c r="FF60" s="756" t="s">
        <v>478</v>
      </c>
      <c r="FN60" s="756" t="s">
        <v>482</v>
      </c>
      <c r="FV60" s="759" t="s">
        <v>1007</v>
      </c>
    </row>
    <row r="61" spans="2:196" ht="19" thickBot="1">
      <c r="B61" s="4834" t="s">
        <v>363</v>
      </c>
      <c r="C61" s="4835"/>
      <c r="D61" s="4835"/>
      <c r="E61" s="4835"/>
      <c r="F61" s="4835"/>
      <c r="G61" s="4835"/>
      <c r="H61" s="4836"/>
      <c r="J61" s="4834" t="s">
        <v>363</v>
      </c>
      <c r="K61" s="4835"/>
      <c r="L61" s="4835"/>
      <c r="M61" s="4835"/>
      <c r="N61" s="4835"/>
      <c r="O61" s="4835"/>
      <c r="P61" s="4836"/>
      <c r="R61" s="4834" t="s">
        <v>363</v>
      </c>
      <c r="S61" s="4835"/>
      <c r="T61" s="4835"/>
      <c r="U61" s="4835"/>
      <c r="V61" s="4835"/>
      <c r="W61" s="4835"/>
      <c r="X61" s="4836"/>
      <c r="Z61" s="4834" t="s">
        <v>363</v>
      </c>
      <c r="AA61" s="4835"/>
      <c r="AB61" s="4835"/>
      <c r="AC61" s="4835"/>
      <c r="AD61" s="4835"/>
      <c r="AE61" s="4835"/>
      <c r="AF61" s="4836"/>
      <c r="AH61" s="4851" t="s">
        <v>363</v>
      </c>
      <c r="AI61" s="4852"/>
      <c r="AJ61" s="4852"/>
      <c r="AK61" s="4852"/>
      <c r="AL61" s="4852"/>
      <c r="AM61" s="4852"/>
      <c r="AN61" s="4853"/>
      <c r="AP61" s="4851" t="s">
        <v>363</v>
      </c>
      <c r="AQ61" s="4852"/>
      <c r="AR61" s="4852"/>
      <c r="AS61" s="4852"/>
      <c r="AT61" s="4852"/>
      <c r="AU61" s="4852"/>
      <c r="AV61" s="4853"/>
      <c r="AX61" s="4834" t="s">
        <v>363</v>
      </c>
      <c r="AY61" s="4835"/>
      <c r="AZ61" s="4835"/>
      <c r="BA61" s="4835"/>
      <c r="BB61" s="4835"/>
      <c r="BC61" s="4835"/>
      <c r="BD61" s="4836"/>
      <c r="BF61" s="4834" t="s">
        <v>363</v>
      </c>
      <c r="BG61" s="4835"/>
      <c r="BH61" s="4835"/>
      <c r="BI61" s="4835"/>
      <c r="BJ61" s="4835"/>
      <c r="BK61" s="4835"/>
      <c r="BL61" s="4836"/>
      <c r="BN61" s="4834" t="s">
        <v>363</v>
      </c>
      <c r="BO61" s="4835"/>
      <c r="BP61" s="4835"/>
      <c r="BQ61" s="4835"/>
      <c r="BR61" s="4835"/>
      <c r="BS61" s="4835"/>
      <c r="BT61" s="4836"/>
      <c r="BV61" s="4834" t="s">
        <v>363</v>
      </c>
      <c r="BW61" s="4835"/>
      <c r="BX61" s="4835"/>
      <c r="BY61" s="4835"/>
      <c r="BZ61" s="4835"/>
      <c r="CA61" s="4835"/>
      <c r="CB61" s="4836"/>
      <c r="CD61" s="4834" t="s">
        <v>363</v>
      </c>
      <c r="CE61" s="4835"/>
      <c r="CF61" s="4835"/>
      <c r="CG61" s="4835"/>
      <c r="CH61" s="4835"/>
      <c r="CI61" s="4835"/>
      <c r="CJ61" s="4836"/>
      <c r="CL61" s="4834" t="s">
        <v>363</v>
      </c>
      <c r="CM61" s="4835"/>
      <c r="CN61" s="4835"/>
      <c r="CO61" s="4835"/>
      <c r="CP61" s="4835"/>
      <c r="CQ61" s="4835"/>
      <c r="CR61" s="4836"/>
      <c r="CT61" s="4834" t="s">
        <v>363</v>
      </c>
      <c r="CU61" s="4835"/>
      <c r="CV61" s="4835"/>
      <c r="CW61" s="4835"/>
      <c r="CX61" s="4835"/>
      <c r="CY61" s="4835"/>
      <c r="CZ61" s="4836"/>
      <c r="DB61" s="4834" t="s">
        <v>363</v>
      </c>
      <c r="DC61" s="4835"/>
      <c r="DD61" s="4835"/>
      <c r="DE61" s="4835"/>
      <c r="DF61" s="4835"/>
      <c r="DG61" s="4835"/>
      <c r="DH61" s="4836"/>
      <c r="DJ61" s="4834" t="s">
        <v>363</v>
      </c>
      <c r="DK61" s="4835"/>
      <c r="DL61" s="4835"/>
      <c r="DM61" s="4835"/>
      <c r="DN61" s="4835"/>
      <c r="DO61" s="4835"/>
      <c r="DP61" s="4836"/>
      <c r="DR61" s="4834" t="s">
        <v>363</v>
      </c>
      <c r="DS61" s="4835"/>
      <c r="DT61" s="4835"/>
      <c r="DU61" s="4835"/>
      <c r="DV61" s="4835"/>
      <c r="DW61" s="4835"/>
      <c r="DX61" s="4836"/>
      <c r="DZ61" s="4834" t="s">
        <v>363</v>
      </c>
      <c r="EA61" s="4835"/>
      <c r="EB61" s="4835"/>
      <c r="EC61" s="4835"/>
      <c r="ED61" s="4835"/>
      <c r="EE61" s="4835"/>
      <c r="EF61" s="4836"/>
      <c r="EH61" s="4834" t="s">
        <v>363</v>
      </c>
      <c r="EI61" s="4835"/>
      <c r="EJ61" s="4835"/>
      <c r="EK61" s="4835"/>
      <c r="EL61" s="4835"/>
      <c r="EM61" s="4835"/>
      <c r="EN61" s="4836"/>
      <c r="EP61" s="4834" t="s">
        <v>363</v>
      </c>
      <c r="EQ61" s="4835"/>
      <c r="ER61" s="4835"/>
      <c r="ES61" s="4835"/>
      <c r="ET61" s="4835"/>
      <c r="EU61" s="4835"/>
      <c r="EV61" s="4836"/>
      <c r="EW61" s="22"/>
      <c r="EX61" s="4834" t="s">
        <v>363</v>
      </c>
      <c r="EY61" s="4835"/>
      <c r="EZ61" s="4835"/>
      <c r="FA61" s="4835"/>
      <c r="FB61" s="4835"/>
      <c r="FC61" s="4835"/>
      <c r="FD61" s="4836"/>
      <c r="FF61" s="4834" t="s">
        <v>363</v>
      </c>
      <c r="FG61" s="4835"/>
      <c r="FH61" s="4835"/>
      <c r="FI61" s="4835"/>
      <c r="FJ61" s="4835"/>
      <c r="FK61" s="4835"/>
      <c r="FL61" s="4836"/>
      <c r="FN61" s="4834" t="s">
        <v>363</v>
      </c>
      <c r="FO61" s="4835"/>
      <c r="FP61" s="4835"/>
      <c r="FQ61" s="4835"/>
      <c r="FR61" s="4835"/>
      <c r="FS61" s="4835"/>
      <c r="FT61" s="4836"/>
      <c r="FV61" s="4819" t="s">
        <v>1008</v>
      </c>
      <c r="FW61" s="4819"/>
      <c r="FX61" s="4819"/>
      <c r="FY61" s="4819"/>
      <c r="FZ61" s="4819"/>
      <c r="GA61" s="4819"/>
      <c r="GB61" s="4819"/>
    </row>
    <row r="62" spans="2:196" ht="18.5">
      <c r="B62" s="4830" t="s">
        <v>364</v>
      </c>
      <c r="C62" s="4832" t="s">
        <v>524</v>
      </c>
      <c r="D62" s="4832"/>
      <c r="E62" s="4832"/>
      <c r="F62" s="4832"/>
      <c r="G62" s="4832"/>
      <c r="H62" s="4833"/>
      <c r="J62" s="4830" t="s">
        <v>364</v>
      </c>
      <c r="K62" s="4832" t="s">
        <v>524</v>
      </c>
      <c r="L62" s="4832"/>
      <c r="M62" s="4832"/>
      <c r="N62" s="4832"/>
      <c r="O62" s="4832"/>
      <c r="P62" s="4833"/>
      <c r="R62" s="4830" t="s">
        <v>364</v>
      </c>
      <c r="S62" s="4832" t="s">
        <v>524</v>
      </c>
      <c r="T62" s="4832"/>
      <c r="U62" s="4832"/>
      <c r="V62" s="4832"/>
      <c r="W62" s="4832"/>
      <c r="X62" s="4833"/>
      <c r="Z62" s="4830" t="s">
        <v>364</v>
      </c>
      <c r="AA62" s="4832" t="s">
        <v>524</v>
      </c>
      <c r="AB62" s="4832"/>
      <c r="AC62" s="4832"/>
      <c r="AD62" s="4832"/>
      <c r="AE62" s="4832"/>
      <c r="AF62" s="4833"/>
      <c r="AH62" s="4830" t="s">
        <v>364</v>
      </c>
      <c r="AI62" s="4854" t="s">
        <v>524</v>
      </c>
      <c r="AJ62" s="4855"/>
      <c r="AK62" s="4855"/>
      <c r="AL62" s="4855"/>
      <c r="AM62" s="4855"/>
      <c r="AN62" s="4856"/>
      <c r="AP62" s="4830" t="s">
        <v>364</v>
      </c>
      <c r="AQ62" s="4832" t="s">
        <v>524</v>
      </c>
      <c r="AR62" s="4832"/>
      <c r="AS62" s="4832"/>
      <c r="AT62" s="4832"/>
      <c r="AU62" s="4832"/>
      <c r="AV62" s="4833"/>
      <c r="AX62" s="4830" t="s">
        <v>364</v>
      </c>
      <c r="AY62" s="4832" t="s">
        <v>524</v>
      </c>
      <c r="AZ62" s="4832"/>
      <c r="BA62" s="4832"/>
      <c r="BB62" s="4832"/>
      <c r="BC62" s="4832"/>
      <c r="BD62" s="4833"/>
      <c r="BF62" s="4830" t="s">
        <v>364</v>
      </c>
      <c r="BG62" s="4832" t="s">
        <v>524</v>
      </c>
      <c r="BH62" s="4832"/>
      <c r="BI62" s="4832"/>
      <c r="BJ62" s="4832"/>
      <c r="BK62" s="4832"/>
      <c r="BL62" s="4833"/>
      <c r="BN62" s="4830" t="s">
        <v>364</v>
      </c>
      <c r="BO62" s="4832" t="s">
        <v>524</v>
      </c>
      <c r="BP62" s="4832"/>
      <c r="BQ62" s="4832"/>
      <c r="BR62" s="4832"/>
      <c r="BS62" s="4832"/>
      <c r="BT62" s="4833"/>
      <c r="BV62" s="4830" t="s">
        <v>364</v>
      </c>
      <c r="BW62" s="4832" t="s">
        <v>524</v>
      </c>
      <c r="BX62" s="4832"/>
      <c r="BY62" s="4832"/>
      <c r="BZ62" s="4832"/>
      <c r="CA62" s="4832"/>
      <c r="CB62" s="4833"/>
      <c r="CD62" s="4830" t="s">
        <v>364</v>
      </c>
      <c r="CE62" s="4832" t="s">
        <v>524</v>
      </c>
      <c r="CF62" s="4832"/>
      <c r="CG62" s="4832"/>
      <c r="CH62" s="4832"/>
      <c r="CI62" s="4832"/>
      <c r="CJ62" s="4833"/>
      <c r="CL62" s="4830" t="s">
        <v>364</v>
      </c>
      <c r="CM62" s="4832" t="s">
        <v>524</v>
      </c>
      <c r="CN62" s="4832"/>
      <c r="CO62" s="4832"/>
      <c r="CP62" s="4832"/>
      <c r="CQ62" s="4832"/>
      <c r="CR62" s="4833"/>
      <c r="CT62" s="4830" t="s">
        <v>364</v>
      </c>
      <c r="CU62" s="4832" t="s">
        <v>524</v>
      </c>
      <c r="CV62" s="4832"/>
      <c r="CW62" s="4832"/>
      <c r="CX62" s="4832"/>
      <c r="CY62" s="4832"/>
      <c r="CZ62" s="4833"/>
      <c r="DB62" s="4830" t="s">
        <v>364</v>
      </c>
      <c r="DC62" s="4832" t="s">
        <v>524</v>
      </c>
      <c r="DD62" s="4832"/>
      <c r="DE62" s="4832"/>
      <c r="DF62" s="4832"/>
      <c r="DG62" s="4832"/>
      <c r="DH62" s="4833"/>
      <c r="DJ62" s="4830" t="s">
        <v>364</v>
      </c>
      <c r="DK62" s="4832" t="s">
        <v>524</v>
      </c>
      <c r="DL62" s="4832"/>
      <c r="DM62" s="4832"/>
      <c r="DN62" s="4832"/>
      <c r="DO62" s="4832"/>
      <c r="DP62" s="4833"/>
      <c r="DR62" s="4830" t="s">
        <v>364</v>
      </c>
      <c r="DS62" s="4832" t="s">
        <v>524</v>
      </c>
      <c r="DT62" s="4832"/>
      <c r="DU62" s="4832"/>
      <c r="DV62" s="4832"/>
      <c r="DW62" s="4832"/>
      <c r="DX62" s="4833"/>
      <c r="DZ62" s="4830" t="s">
        <v>364</v>
      </c>
      <c r="EA62" s="4832" t="s">
        <v>524</v>
      </c>
      <c r="EB62" s="4832"/>
      <c r="EC62" s="4832"/>
      <c r="ED62" s="4832"/>
      <c r="EE62" s="4832"/>
      <c r="EF62" s="4833"/>
      <c r="EH62" s="4830" t="s">
        <v>364</v>
      </c>
      <c r="EI62" s="4832" t="s">
        <v>524</v>
      </c>
      <c r="EJ62" s="4832"/>
      <c r="EK62" s="4832"/>
      <c r="EL62" s="4832"/>
      <c r="EM62" s="4832"/>
      <c r="EN62" s="4833"/>
      <c r="EP62" s="4830" t="s">
        <v>364</v>
      </c>
      <c r="EQ62" s="4832" t="s">
        <v>524</v>
      </c>
      <c r="ER62" s="4832"/>
      <c r="ES62" s="4832"/>
      <c r="ET62" s="4832"/>
      <c r="EU62" s="4832"/>
      <c r="EV62" s="4833"/>
      <c r="EW62" s="22"/>
      <c r="EX62" s="4830" t="s">
        <v>364</v>
      </c>
      <c r="EY62" s="4832" t="s">
        <v>524</v>
      </c>
      <c r="EZ62" s="4832"/>
      <c r="FA62" s="4832"/>
      <c r="FB62" s="4832"/>
      <c r="FC62" s="4832"/>
      <c r="FD62" s="4833"/>
      <c r="FF62" s="4830" t="s">
        <v>364</v>
      </c>
      <c r="FG62" s="4832" t="s">
        <v>524</v>
      </c>
      <c r="FH62" s="4832"/>
      <c r="FI62" s="4832"/>
      <c r="FJ62" s="4832"/>
      <c r="FK62" s="4832"/>
      <c r="FL62" s="4833"/>
      <c r="FN62" s="4830" t="s">
        <v>364</v>
      </c>
      <c r="FO62" s="4832" t="s">
        <v>524</v>
      </c>
      <c r="FP62" s="4832"/>
      <c r="FQ62" s="4832"/>
      <c r="FR62" s="4832"/>
      <c r="FS62" s="4832"/>
      <c r="FT62" s="4833"/>
      <c r="FV62" s="4822" t="s">
        <v>993</v>
      </c>
      <c r="FW62" s="4848" t="s">
        <v>524</v>
      </c>
      <c r="FX62" s="4849"/>
      <c r="FY62" s="4849"/>
      <c r="FZ62" s="4849"/>
      <c r="GA62" s="4849"/>
      <c r="GB62" s="4850"/>
    </row>
    <row r="63" spans="2:196" ht="37">
      <c r="B63" s="4831"/>
      <c r="C63" s="762" t="s">
        <v>994</v>
      </c>
      <c r="D63" s="762" t="s">
        <v>371</v>
      </c>
      <c r="E63" s="762" t="s">
        <v>372</v>
      </c>
      <c r="F63" s="762" t="s">
        <v>373</v>
      </c>
      <c r="G63" s="762" t="s">
        <v>374</v>
      </c>
      <c r="H63" s="763" t="s">
        <v>523</v>
      </c>
      <c r="J63" s="4831"/>
      <c r="K63" s="762" t="s">
        <v>994</v>
      </c>
      <c r="L63" s="762" t="s">
        <v>371</v>
      </c>
      <c r="M63" s="762" t="s">
        <v>372</v>
      </c>
      <c r="N63" s="762" t="s">
        <v>373</v>
      </c>
      <c r="O63" s="762" t="s">
        <v>374</v>
      </c>
      <c r="P63" s="764" t="s">
        <v>523</v>
      </c>
      <c r="R63" s="4831"/>
      <c r="S63" s="762" t="s">
        <v>994</v>
      </c>
      <c r="T63" s="762" t="s">
        <v>371</v>
      </c>
      <c r="U63" s="762" t="s">
        <v>372</v>
      </c>
      <c r="V63" s="762" t="s">
        <v>373</v>
      </c>
      <c r="W63" s="762" t="s">
        <v>374</v>
      </c>
      <c r="X63" s="765" t="s">
        <v>523</v>
      </c>
      <c r="Z63" s="4831"/>
      <c r="AA63" s="762" t="s">
        <v>994</v>
      </c>
      <c r="AB63" s="762" t="s">
        <v>371</v>
      </c>
      <c r="AC63" s="762" t="s">
        <v>372</v>
      </c>
      <c r="AD63" s="762" t="s">
        <v>373</v>
      </c>
      <c r="AE63" s="762" t="s">
        <v>374</v>
      </c>
      <c r="AF63" s="765" t="s">
        <v>523</v>
      </c>
      <c r="AH63" s="4831"/>
      <c r="AI63" s="762" t="s">
        <v>994</v>
      </c>
      <c r="AJ63" s="762" t="s">
        <v>371</v>
      </c>
      <c r="AK63" s="762" t="s">
        <v>372</v>
      </c>
      <c r="AL63" s="762" t="s">
        <v>373</v>
      </c>
      <c r="AM63" s="762" t="s">
        <v>374</v>
      </c>
      <c r="AN63" s="765" t="s">
        <v>523</v>
      </c>
      <c r="AP63" s="4831"/>
      <c r="AQ63" s="762" t="s">
        <v>994</v>
      </c>
      <c r="AR63" s="762" t="s">
        <v>371</v>
      </c>
      <c r="AS63" s="762" t="s">
        <v>372</v>
      </c>
      <c r="AT63" s="762" t="s">
        <v>373</v>
      </c>
      <c r="AU63" s="762" t="s">
        <v>374</v>
      </c>
      <c r="AV63" s="765" t="s">
        <v>523</v>
      </c>
      <c r="AX63" s="4831"/>
      <c r="AY63" s="762" t="s">
        <v>994</v>
      </c>
      <c r="AZ63" s="762" t="s">
        <v>371</v>
      </c>
      <c r="BA63" s="762" t="s">
        <v>372</v>
      </c>
      <c r="BB63" s="762" t="s">
        <v>373</v>
      </c>
      <c r="BC63" s="762" t="s">
        <v>374</v>
      </c>
      <c r="BD63" s="765" t="s">
        <v>523</v>
      </c>
      <c r="BF63" s="4831"/>
      <c r="BG63" s="762" t="s">
        <v>994</v>
      </c>
      <c r="BH63" s="762" t="s">
        <v>371</v>
      </c>
      <c r="BI63" s="762" t="s">
        <v>372</v>
      </c>
      <c r="BJ63" s="762" t="s">
        <v>373</v>
      </c>
      <c r="BK63" s="762" t="s">
        <v>374</v>
      </c>
      <c r="BL63" s="765" t="s">
        <v>523</v>
      </c>
      <c r="BN63" s="4831"/>
      <c r="BO63" s="762" t="s">
        <v>994</v>
      </c>
      <c r="BP63" s="762" t="s">
        <v>371</v>
      </c>
      <c r="BQ63" s="762" t="s">
        <v>372</v>
      </c>
      <c r="BR63" s="762" t="s">
        <v>373</v>
      </c>
      <c r="BS63" s="762" t="s">
        <v>374</v>
      </c>
      <c r="BT63" s="765" t="s">
        <v>523</v>
      </c>
      <c r="BV63" s="4831"/>
      <c r="BW63" s="762" t="s">
        <v>994</v>
      </c>
      <c r="BX63" s="762" t="s">
        <v>371</v>
      </c>
      <c r="BY63" s="762" t="s">
        <v>372</v>
      </c>
      <c r="BZ63" s="762" t="s">
        <v>373</v>
      </c>
      <c r="CA63" s="762" t="s">
        <v>374</v>
      </c>
      <c r="CB63" s="765" t="s">
        <v>523</v>
      </c>
      <c r="CD63" s="4831"/>
      <c r="CE63" s="762" t="s">
        <v>994</v>
      </c>
      <c r="CF63" s="762" t="s">
        <v>371</v>
      </c>
      <c r="CG63" s="762" t="s">
        <v>372</v>
      </c>
      <c r="CH63" s="762" t="s">
        <v>373</v>
      </c>
      <c r="CI63" s="762" t="s">
        <v>374</v>
      </c>
      <c r="CJ63" s="765" t="s">
        <v>523</v>
      </c>
      <c r="CL63" s="4831"/>
      <c r="CM63" s="762" t="s">
        <v>994</v>
      </c>
      <c r="CN63" s="762" t="s">
        <v>371</v>
      </c>
      <c r="CO63" s="762" t="s">
        <v>372</v>
      </c>
      <c r="CP63" s="762" t="s">
        <v>373</v>
      </c>
      <c r="CQ63" s="762" t="s">
        <v>374</v>
      </c>
      <c r="CR63" s="765" t="s">
        <v>523</v>
      </c>
      <c r="CT63" s="4831"/>
      <c r="CU63" s="762" t="s">
        <v>994</v>
      </c>
      <c r="CV63" s="762" t="s">
        <v>371</v>
      </c>
      <c r="CW63" s="762" t="s">
        <v>372</v>
      </c>
      <c r="CX63" s="762" t="s">
        <v>373</v>
      </c>
      <c r="CY63" s="762" t="s">
        <v>374</v>
      </c>
      <c r="CZ63" s="765" t="s">
        <v>523</v>
      </c>
      <c r="DB63" s="4831"/>
      <c r="DC63" s="762" t="s">
        <v>994</v>
      </c>
      <c r="DD63" s="762" t="s">
        <v>371</v>
      </c>
      <c r="DE63" s="762" t="s">
        <v>372</v>
      </c>
      <c r="DF63" s="762" t="s">
        <v>373</v>
      </c>
      <c r="DG63" s="762" t="s">
        <v>374</v>
      </c>
      <c r="DH63" s="765" t="s">
        <v>523</v>
      </c>
      <c r="DJ63" s="4831"/>
      <c r="DK63" s="762" t="s">
        <v>994</v>
      </c>
      <c r="DL63" s="762" t="s">
        <v>371</v>
      </c>
      <c r="DM63" s="762" t="s">
        <v>372</v>
      </c>
      <c r="DN63" s="762" t="s">
        <v>373</v>
      </c>
      <c r="DO63" s="762" t="s">
        <v>374</v>
      </c>
      <c r="DP63" s="765" t="s">
        <v>523</v>
      </c>
      <c r="DR63" s="4831"/>
      <c r="DS63" s="762" t="s">
        <v>994</v>
      </c>
      <c r="DT63" s="762" t="s">
        <v>371</v>
      </c>
      <c r="DU63" s="762" t="s">
        <v>372</v>
      </c>
      <c r="DV63" s="762" t="s">
        <v>373</v>
      </c>
      <c r="DW63" s="762" t="s">
        <v>374</v>
      </c>
      <c r="DX63" s="765" t="s">
        <v>523</v>
      </c>
      <c r="DZ63" s="4831"/>
      <c r="EA63" s="762" t="s">
        <v>994</v>
      </c>
      <c r="EB63" s="762" t="s">
        <v>371</v>
      </c>
      <c r="EC63" s="762" t="s">
        <v>372</v>
      </c>
      <c r="ED63" s="762" t="s">
        <v>373</v>
      </c>
      <c r="EE63" s="762" t="s">
        <v>374</v>
      </c>
      <c r="EF63" s="765" t="s">
        <v>523</v>
      </c>
      <c r="EH63" s="4831"/>
      <c r="EI63" s="762" t="s">
        <v>994</v>
      </c>
      <c r="EJ63" s="762" t="s">
        <v>371</v>
      </c>
      <c r="EK63" s="762" t="s">
        <v>372</v>
      </c>
      <c r="EL63" s="762" t="s">
        <v>373</v>
      </c>
      <c r="EM63" s="762" t="s">
        <v>374</v>
      </c>
      <c r="EN63" s="765" t="s">
        <v>523</v>
      </c>
      <c r="EP63" s="4831"/>
      <c r="EQ63" s="762" t="s">
        <v>994</v>
      </c>
      <c r="ER63" s="762" t="s">
        <v>371</v>
      </c>
      <c r="ES63" s="762" t="s">
        <v>372</v>
      </c>
      <c r="ET63" s="762" t="s">
        <v>373</v>
      </c>
      <c r="EU63" s="762" t="s">
        <v>374</v>
      </c>
      <c r="EV63" s="765" t="s">
        <v>523</v>
      </c>
      <c r="EW63" s="22"/>
      <c r="EX63" s="4831"/>
      <c r="EY63" s="762" t="s">
        <v>994</v>
      </c>
      <c r="EZ63" s="762" t="s">
        <v>371</v>
      </c>
      <c r="FA63" s="762" t="s">
        <v>372</v>
      </c>
      <c r="FB63" s="762" t="s">
        <v>373</v>
      </c>
      <c r="FC63" s="762" t="s">
        <v>374</v>
      </c>
      <c r="FD63" s="765" t="s">
        <v>523</v>
      </c>
      <c r="FF63" s="4831"/>
      <c r="FG63" s="762" t="s">
        <v>994</v>
      </c>
      <c r="FH63" s="762" t="s">
        <v>371</v>
      </c>
      <c r="FI63" s="762" t="s">
        <v>372</v>
      </c>
      <c r="FJ63" s="762" t="s">
        <v>373</v>
      </c>
      <c r="FK63" s="762" t="s">
        <v>374</v>
      </c>
      <c r="FL63" s="765" t="s">
        <v>523</v>
      </c>
      <c r="FN63" s="4831"/>
      <c r="FO63" s="762" t="s">
        <v>994</v>
      </c>
      <c r="FP63" s="762" t="s">
        <v>371</v>
      </c>
      <c r="FQ63" s="762" t="s">
        <v>372</v>
      </c>
      <c r="FR63" s="762" t="s">
        <v>373</v>
      </c>
      <c r="FS63" s="762" t="s">
        <v>374</v>
      </c>
      <c r="FT63" s="765" t="s">
        <v>523</v>
      </c>
      <c r="FV63" s="4823"/>
      <c r="FW63" s="845" t="s">
        <v>994</v>
      </c>
      <c r="FX63" s="820" t="s">
        <v>371</v>
      </c>
      <c r="FY63" s="820" t="s">
        <v>372</v>
      </c>
      <c r="FZ63" s="820" t="s">
        <v>373</v>
      </c>
      <c r="GA63" s="820" t="s">
        <v>374</v>
      </c>
      <c r="GB63" s="821" t="s">
        <v>1005</v>
      </c>
    </row>
    <row r="64" spans="2:196" ht="24.75" customHeight="1">
      <c r="B64" s="769" t="s">
        <v>365</v>
      </c>
      <c r="C64" s="846">
        <v>0.73165135720650076</v>
      </c>
      <c r="D64" s="846"/>
      <c r="E64" s="846"/>
      <c r="F64" s="846"/>
      <c r="G64" s="846"/>
      <c r="H64" s="847"/>
      <c r="J64" s="769" t="s">
        <v>365</v>
      </c>
      <c r="K64" s="822">
        <v>0.73165135720650076</v>
      </c>
      <c r="L64" s="822"/>
      <c r="M64" s="822"/>
      <c r="N64" s="822"/>
      <c r="O64" s="822"/>
      <c r="P64" s="823"/>
      <c r="R64" s="769" t="s">
        <v>365</v>
      </c>
      <c r="S64" s="824">
        <v>0.73165135720650076</v>
      </c>
      <c r="T64" s="824"/>
      <c r="U64" s="824"/>
      <c r="V64" s="824"/>
      <c r="W64" s="824"/>
      <c r="X64" s="825"/>
      <c r="Z64" s="769" t="s">
        <v>365</v>
      </c>
      <c r="AA64" s="824">
        <v>0.73165135720650076</v>
      </c>
      <c r="AB64" s="824"/>
      <c r="AC64" s="824"/>
      <c r="AD64" s="824"/>
      <c r="AE64" s="824"/>
      <c r="AF64" s="825"/>
      <c r="AH64" s="769" t="s">
        <v>365</v>
      </c>
      <c r="AI64" s="824">
        <v>2.0149318128695342</v>
      </c>
      <c r="AJ64" s="824"/>
      <c r="AK64" s="824"/>
      <c r="AL64" s="824"/>
      <c r="AM64" s="824"/>
      <c r="AN64" s="825"/>
      <c r="AP64" s="769" t="s">
        <v>365</v>
      </c>
      <c r="AQ64" s="824">
        <v>2.0149318128695342</v>
      </c>
      <c r="AR64" s="824"/>
      <c r="AS64" s="824"/>
      <c r="AT64" s="824"/>
      <c r="AU64" s="824"/>
      <c r="AV64" s="825"/>
      <c r="AX64" s="769" t="s">
        <v>365</v>
      </c>
      <c r="AY64" s="824">
        <v>2.0149318128695342</v>
      </c>
      <c r="AZ64" s="824"/>
      <c r="BA64" s="824"/>
      <c r="BB64" s="824"/>
      <c r="BC64" s="824"/>
      <c r="BD64" s="825"/>
      <c r="BF64" s="769" t="s">
        <v>365</v>
      </c>
      <c r="BG64" s="133">
        <v>2.0149318128695342</v>
      </c>
      <c r="BH64" s="133"/>
      <c r="BI64" s="133"/>
      <c r="BJ64" s="133"/>
      <c r="BK64" s="133"/>
      <c r="BL64" s="134"/>
      <c r="BN64" s="769" t="s">
        <v>365</v>
      </c>
      <c r="BO64" s="133">
        <v>0.49096866457692312</v>
      </c>
      <c r="BP64" s="133"/>
      <c r="BQ64" s="133"/>
      <c r="BR64" s="133"/>
      <c r="BS64" s="133"/>
      <c r="BT64" s="134"/>
      <c r="BV64" s="769" t="s">
        <v>365</v>
      </c>
      <c r="BW64" s="133">
        <v>0.49096866457692312</v>
      </c>
      <c r="BX64" s="133"/>
      <c r="BY64" s="133"/>
      <c r="BZ64" s="133"/>
      <c r="CA64" s="133"/>
      <c r="CB64" s="134"/>
      <c r="CD64" s="769" t="s">
        <v>365</v>
      </c>
      <c r="CE64" s="133">
        <v>0.49096866457692312</v>
      </c>
      <c r="CF64" s="133"/>
      <c r="CG64" s="133"/>
      <c r="CH64" s="133"/>
      <c r="CI64" s="133"/>
      <c r="CJ64" s="134"/>
      <c r="CL64" s="769" t="s">
        <v>365</v>
      </c>
      <c r="CM64" s="133">
        <v>0.49096866457692312</v>
      </c>
      <c r="CN64" s="133"/>
      <c r="CO64" s="133"/>
      <c r="CP64" s="133"/>
      <c r="CQ64" s="133"/>
      <c r="CR64" s="134"/>
      <c r="CT64" s="769" t="s">
        <v>365</v>
      </c>
      <c r="CU64" s="133">
        <v>2.0510449788821186</v>
      </c>
      <c r="CV64" s="133"/>
      <c r="CW64" s="133"/>
      <c r="CX64" s="133"/>
      <c r="CY64" s="133"/>
      <c r="CZ64" s="134"/>
      <c r="DB64" s="769" t="s">
        <v>365</v>
      </c>
      <c r="DC64" s="133">
        <v>2.0510449788821186</v>
      </c>
      <c r="DD64" s="133"/>
      <c r="DE64" s="133"/>
      <c r="DF64" s="133"/>
      <c r="DG64" s="133"/>
      <c r="DH64" s="134"/>
      <c r="DJ64" s="769" t="s">
        <v>365</v>
      </c>
      <c r="DK64" s="133">
        <v>2.0510449788821186</v>
      </c>
      <c r="DL64" s="133"/>
      <c r="DM64" s="133"/>
      <c r="DN64" s="133"/>
      <c r="DO64" s="133"/>
      <c r="DP64" s="134"/>
      <c r="DR64" s="769" t="s">
        <v>365</v>
      </c>
      <c r="DS64" s="133">
        <v>2.0510449788821186</v>
      </c>
      <c r="DT64" s="133"/>
      <c r="DU64" s="133"/>
      <c r="DV64" s="133"/>
      <c r="DW64" s="133"/>
      <c r="DX64" s="134"/>
      <c r="DZ64" s="769" t="s">
        <v>365</v>
      </c>
      <c r="EA64" s="133">
        <v>2.316203220792417</v>
      </c>
      <c r="EB64" s="133"/>
      <c r="EC64" s="133"/>
      <c r="ED64" s="133"/>
      <c r="EE64" s="133"/>
      <c r="EF64" s="134"/>
      <c r="EH64" s="769" t="s">
        <v>365</v>
      </c>
      <c r="EI64" s="133">
        <v>2.316203220792417</v>
      </c>
      <c r="EJ64" s="133"/>
      <c r="EK64" s="133"/>
      <c r="EL64" s="133"/>
      <c r="EM64" s="133"/>
      <c r="EN64" s="134"/>
      <c r="EP64" s="769" t="s">
        <v>365</v>
      </c>
      <c r="EQ64" s="133">
        <v>2.316203220792417</v>
      </c>
      <c r="ER64" s="133"/>
      <c r="ES64" s="133"/>
      <c r="ET64" s="133"/>
      <c r="EU64" s="133"/>
      <c r="EV64" s="134"/>
      <c r="EW64" s="22"/>
      <c r="EX64" s="769" t="s">
        <v>365</v>
      </c>
      <c r="EY64" s="133">
        <v>3.3463667719635972</v>
      </c>
      <c r="EZ64" s="133"/>
      <c r="FA64" s="133"/>
      <c r="FB64" s="133"/>
      <c r="FC64" s="133"/>
      <c r="FD64" s="134"/>
      <c r="FF64" s="769" t="s">
        <v>365</v>
      </c>
      <c r="FG64" s="133">
        <v>0.49668151956405215</v>
      </c>
      <c r="FH64" s="133"/>
      <c r="FI64" s="133"/>
      <c r="FJ64" s="133"/>
      <c r="FK64" s="133"/>
      <c r="FL64" s="134"/>
      <c r="FN64" s="769" t="s">
        <v>365</v>
      </c>
      <c r="FO64" s="133">
        <v>0.49668151956405215</v>
      </c>
      <c r="FP64" s="133"/>
      <c r="FQ64" s="133"/>
      <c r="FR64" s="133"/>
      <c r="FS64" s="133"/>
      <c r="FT64" s="134"/>
      <c r="FV64" s="799" t="s">
        <v>365</v>
      </c>
      <c r="FW64" s="848">
        <f>SUM(B64:FU64)/22</f>
        <v>1.4746693967095119</v>
      </c>
      <c r="FX64" s="849"/>
      <c r="FY64" s="849"/>
      <c r="FZ64" s="849"/>
      <c r="GA64" s="849"/>
      <c r="GB64" s="850"/>
    </row>
    <row r="65" spans="2:184" ht="18.5">
      <c r="B65" s="769" t="s">
        <v>366</v>
      </c>
      <c r="C65" s="846">
        <v>211.98373718090519</v>
      </c>
      <c r="D65" s="846"/>
      <c r="E65" s="846"/>
      <c r="F65" s="846"/>
      <c r="G65" s="846"/>
      <c r="H65" s="847"/>
      <c r="J65" s="769" t="s">
        <v>366</v>
      </c>
      <c r="K65" s="822">
        <v>215.78437415293897</v>
      </c>
      <c r="L65" s="822"/>
      <c r="M65" s="822"/>
      <c r="N65" s="822"/>
      <c r="O65" s="822"/>
      <c r="P65" s="823"/>
      <c r="R65" s="769" t="s">
        <v>366</v>
      </c>
      <c r="S65" s="824">
        <v>178.00348404037004</v>
      </c>
      <c r="T65" s="824"/>
      <c r="U65" s="824"/>
      <c r="V65" s="824"/>
      <c r="W65" s="824"/>
      <c r="X65" s="825"/>
      <c r="Z65" s="769" t="s">
        <v>366</v>
      </c>
      <c r="AA65" s="824">
        <v>182.64368904939249</v>
      </c>
      <c r="AB65" s="824"/>
      <c r="AC65" s="824"/>
      <c r="AD65" s="824"/>
      <c r="AE65" s="824"/>
      <c r="AF65" s="825"/>
      <c r="AH65" s="769" t="s">
        <v>366</v>
      </c>
      <c r="AI65" s="824">
        <v>230.01866326267822</v>
      </c>
      <c r="AJ65" s="824"/>
      <c r="AK65" s="824"/>
      <c r="AL65" s="824"/>
      <c r="AM65" s="824"/>
      <c r="AN65" s="825"/>
      <c r="AP65" s="769" t="s">
        <v>366</v>
      </c>
      <c r="AQ65" s="824">
        <v>196.12290036149832</v>
      </c>
      <c r="AR65" s="824"/>
      <c r="AS65" s="824"/>
      <c r="AT65" s="824"/>
      <c r="AU65" s="824"/>
      <c r="AV65" s="825"/>
      <c r="AX65" s="769" t="s">
        <v>366</v>
      </c>
      <c r="AY65" s="824">
        <v>233.54638991575214</v>
      </c>
      <c r="AZ65" s="824"/>
      <c r="BA65" s="824"/>
      <c r="BB65" s="824"/>
      <c r="BC65" s="824"/>
      <c r="BD65" s="825"/>
      <c r="BF65" s="769" t="s">
        <v>366</v>
      </c>
      <c r="BG65" s="133">
        <v>200.53912749153244</v>
      </c>
      <c r="BH65" s="133"/>
      <c r="BI65" s="133"/>
      <c r="BJ65" s="133"/>
      <c r="BK65" s="133"/>
      <c r="BL65" s="134"/>
      <c r="BN65" s="769" t="s">
        <v>366</v>
      </c>
      <c r="BO65" s="133">
        <v>225.53938629671467</v>
      </c>
      <c r="BP65" s="133"/>
      <c r="BQ65" s="133"/>
      <c r="BR65" s="133"/>
      <c r="BS65" s="133"/>
      <c r="BT65" s="134"/>
      <c r="BV65" s="769" t="s">
        <v>366</v>
      </c>
      <c r="BW65" s="133">
        <v>192.94726423018082</v>
      </c>
      <c r="BX65" s="133"/>
      <c r="BY65" s="133"/>
      <c r="BZ65" s="133"/>
      <c r="CA65" s="133"/>
      <c r="CB65" s="134"/>
      <c r="CD65" s="769" t="s">
        <v>366</v>
      </c>
      <c r="CE65" s="133">
        <v>221.559635637713</v>
      </c>
      <c r="CF65" s="133"/>
      <c r="CG65" s="133"/>
      <c r="CH65" s="133"/>
      <c r="CI65" s="133"/>
      <c r="CJ65" s="134"/>
      <c r="CL65" s="769" t="s">
        <v>366</v>
      </c>
      <c r="CM65" s="133">
        <v>187.90208273699324</v>
      </c>
      <c r="CN65" s="133"/>
      <c r="CO65" s="133"/>
      <c r="CP65" s="133"/>
      <c r="CQ65" s="133"/>
      <c r="CR65" s="134"/>
      <c r="CT65" s="769" t="s">
        <v>366</v>
      </c>
      <c r="CU65" s="133">
        <v>205.46260931989565</v>
      </c>
      <c r="CV65" s="133"/>
      <c r="CW65" s="133"/>
      <c r="CX65" s="133"/>
      <c r="CY65" s="133"/>
      <c r="CZ65" s="134"/>
      <c r="DB65" s="769" t="s">
        <v>366</v>
      </c>
      <c r="DC65" s="133">
        <v>238.94590546134395</v>
      </c>
      <c r="DD65" s="133"/>
      <c r="DE65" s="133"/>
      <c r="DF65" s="133"/>
      <c r="DG65" s="133"/>
      <c r="DH65" s="134"/>
      <c r="DJ65" s="769" t="s">
        <v>366</v>
      </c>
      <c r="DK65" s="133">
        <v>243.09965374427617</v>
      </c>
      <c r="DL65" s="133"/>
      <c r="DM65" s="133"/>
      <c r="DN65" s="133"/>
      <c r="DO65" s="133"/>
      <c r="DP65" s="134"/>
      <c r="DR65" s="769" t="s">
        <v>366</v>
      </c>
      <c r="DS65" s="133">
        <v>210.23635782013545</v>
      </c>
      <c r="DT65" s="133"/>
      <c r="DU65" s="133"/>
      <c r="DV65" s="133"/>
      <c r="DW65" s="133"/>
      <c r="DX65" s="134"/>
      <c r="DZ65" s="769" t="s">
        <v>366</v>
      </c>
      <c r="EA65" s="133">
        <v>231.37720559426793</v>
      </c>
      <c r="EB65" s="133"/>
      <c r="EC65" s="133"/>
      <c r="ED65" s="133"/>
      <c r="EE65" s="133"/>
      <c r="EF65" s="134"/>
      <c r="EH65" s="769" t="s">
        <v>366</v>
      </c>
      <c r="EI65" s="133">
        <v>197.85805467808521</v>
      </c>
      <c r="EJ65" s="133"/>
      <c r="EK65" s="133"/>
      <c r="EL65" s="133"/>
      <c r="EM65" s="133"/>
      <c r="EN65" s="134"/>
      <c r="EP65" s="769" t="s">
        <v>366</v>
      </c>
      <c r="EQ65" s="133">
        <v>235.3542117338049</v>
      </c>
      <c r="ER65" s="133"/>
      <c r="ES65" s="133"/>
      <c r="ET65" s="133"/>
      <c r="EU65" s="133"/>
      <c r="EV65" s="134"/>
      <c r="EW65" s="22"/>
      <c r="EX65" s="769" t="s">
        <v>366</v>
      </c>
      <c r="EY65" s="133">
        <v>200.27803146504587</v>
      </c>
      <c r="EZ65" s="133"/>
      <c r="FA65" s="133"/>
      <c r="FB65" s="133"/>
      <c r="FC65" s="133"/>
      <c r="FD65" s="134"/>
      <c r="FF65" s="769" t="s">
        <v>366</v>
      </c>
      <c r="FG65" s="133">
        <v>178.83802611685903</v>
      </c>
      <c r="FH65" s="133"/>
      <c r="FI65" s="133"/>
      <c r="FJ65" s="133"/>
      <c r="FK65" s="133"/>
      <c r="FL65" s="134"/>
      <c r="FN65" s="769" t="s">
        <v>366</v>
      </c>
      <c r="FO65" s="133">
        <v>183.82501755832078</v>
      </c>
      <c r="FP65" s="133"/>
      <c r="FQ65" s="133"/>
      <c r="FR65" s="133"/>
      <c r="FS65" s="133"/>
      <c r="FT65" s="134"/>
      <c r="FV65" s="799" t="s">
        <v>366</v>
      </c>
      <c r="FW65" s="851">
        <f>SUM(B65:FU65)/22</f>
        <v>209.17571853857746</v>
      </c>
      <c r="FX65" s="635"/>
      <c r="FY65" s="635"/>
      <c r="FZ65" s="635"/>
      <c r="GA65" s="635"/>
      <c r="GB65" s="829"/>
    </row>
    <row r="66" spans="2:184" ht="18.5">
      <c r="B66" s="769" t="s">
        <v>367</v>
      </c>
      <c r="C66" s="846"/>
      <c r="D66" s="846">
        <v>0.27455190679611652</v>
      </c>
      <c r="E66" s="846"/>
      <c r="F66" s="846"/>
      <c r="G66" s="846"/>
      <c r="H66" s="847"/>
      <c r="J66" s="769" t="s">
        <v>367</v>
      </c>
      <c r="K66" s="822"/>
      <c r="L66" s="822">
        <v>0.27455190679611652</v>
      </c>
      <c r="M66" s="822"/>
      <c r="N66" s="822"/>
      <c r="O66" s="822"/>
      <c r="P66" s="823"/>
      <c r="R66" s="769" t="s">
        <v>367</v>
      </c>
      <c r="S66" s="824"/>
      <c r="T66" s="824">
        <v>0.27455190679611652</v>
      </c>
      <c r="U66" s="824"/>
      <c r="V66" s="824"/>
      <c r="W66" s="824"/>
      <c r="X66" s="825"/>
      <c r="Z66" s="769" t="s">
        <v>367</v>
      </c>
      <c r="AA66" s="824"/>
      <c r="AB66" s="824">
        <v>0.27455190679611652</v>
      </c>
      <c r="AC66" s="824"/>
      <c r="AD66" s="824"/>
      <c r="AE66" s="824"/>
      <c r="AF66" s="825"/>
      <c r="AH66" s="769" t="s">
        <v>367</v>
      </c>
      <c r="AI66" s="824"/>
      <c r="AJ66" s="824">
        <v>0.38124984854368932</v>
      </c>
      <c r="AK66" s="824"/>
      <c r="AL66" s="824"/>
      <c r="AM66" s="824"/>
      <c r="AN66" s="825"/>
      <c r="AP66" s="769" t="s">
        <v>367</v>
      </c>
      <c r="AQ66" s="824"/>
      <c r="AR66" s="824">
        <v>0.38124984854368932</v>
      </c>
      <c r="AS66" s="824"/>
      <c r="AT66" s="824"/>
      <c r="AU66" s="824"/>
      <c r="AV66" s="825"/>
      <c r="AX66" s="769" t="s">
        <v>367</v>
      </c>
      <c r="AY66" s="824"/>
      <c r="AZ66" s="824">
        <v>0.38124984854368932</v>
      </c>
      <c r="BA66" s="824"/>
      <c r="BB66" s="824"/>
      <c r="BC66" s="824"/>
      <c r="BD66" s="825"/>
      <c r="BF66" s="769" t="s">
        <v>367</v>
      </c>
      <c r="BG66" s="133"/>
      <c r="BH66" s="133">
        <v>0.38124984854368932</v>
      </c>
      <c r="BI66" s="133"/>
      <c r="BJ66" s="133"/>
      <c r="BK66" s="133"/>
      <c r="BL66" s="134"/>
      <c r="BN66" s="769" t="s">
        <v>367</v>
      </c>
      <c r="BO66" s="133"/>
      <c r="BP66" s="133">
        <v>0.27455190679611652</v>
      </c>
      <c r="BQ66" s="133"/>
      <c r="BR66" s="133"/>
      <c r="BS66" s="133"/>
      <c r="BT66" s="134"/>
      <c r="BV66" s="769" t="s">
        <v>367</v>
      </c>
      <c r="BW66" s="133"/>
      <c r="BX66" s="133">
        <v>0.27455190679611652</v>
      </c>
      <c r="BY66" s="133"/>
      <c r="BZ66" s="133"/>
      <c r="CA66" s="133"/>
      <c r="CB66" s="134"/>
      <c r="CD66" s="769" t="s">
        <v>367</v>
      </c>
      <c r="CE66" s="133"/>
      <c r="CF66" s="133">
        <v>0.27455190679611652</v>
      </c>
      <c r="CG66" s="133"/>
      <c r="CH66" s="133"/>
      <c r="CI66" s="133"/>
      <c r="CJ66" s="134"/>
      <c r="CL66" s="769" t="s">
        <v>367</v>
      </c>
      <c r="CM66" s="133"/>
      <c r="CN66" s="133">
        <v>0.27455190679611652</v>
      </c>
      <c r="CO66" s="133"/>
      <c r="CP66" s="133"/>
      <c r="CQ66" s="133"/>
      <c r="CR66" s="134"/>
      <c r="CT66" s="769" t="s">
        <v>367</v>
      </c>
      <c r="CU66" s="133"/>
      <c r="CV66" s="133">
        <v>0.38124984854368932</v>
      </c>
      <c r="CW66" s="133"/>
      <c r="CX66" s="133"/>
      <c r="CY66" s="133"/>
      <c r="CZ66" s="134"/>
      <c r="DB66" s="769" t="s">
        <v>367</v>
      </c>
      <c r="DC66" s="133"/>
      <c r="DD66" s="133">
        <v>0.38124984854368932</v>
      </c>
      <c r="DE66" s="133"/>
      <c r="DF66" s="133"/>
      <c r="DG66" s="133"/>
      <c r="DH66" s="134"/>
      <c r="DJ66" s="769" t="s">
        <v>367</v>
      </c>
      <c r="DK66" s="133"/>
      <c r="DL66" s="133">
        <v>0.38124984854368932</v>
      </c>
      <c r="DM66" s="133"/>
      <c r="DN66" s="133"/>
      <c r="DO66" s="133"/>
      <c r="DP66" s="134"/>
      <c r="DR66" s="769" t="s">
        <v>367</v>
      </c>
      <c r="DS66" s="133"/>
      <c r="DT66" s="133">
        <v>0.38124984854368932</v>
      </c>
      <c r="DU66" s="133"/>
      <c r="DV66" s="133"/>
      <c r="DW66" s="133"/>
      <c r="DX66" s="134"/>
      <c r="DZ66" s="769" t="s">
        <v>367</v>
      </c>
      <c r="EA66" s="133"/>
      <c r="EB66" s="133">
        <v>0.38124984854368932</v>
      </c>
      <c r="EC66" s="133"/>
      <c r="ED66" s="133"/>
      <c r="EE66" s="133"/>
      <c r="EF66" s="134"/>
      <c r="EH66" s="769" t="s">
        <v>367</v>
      </c>
      <c r="EI66" s="133"/>
      <c r="EJ66" s="133">
        <v>0.38124984854368932</v>
      </c>
      <c r="EK66" s="133"/>
      <c r="EL66" s="133"/>
      <c r="EM66" s="133"/>
      <c r="EN66" s="134"/>
      <c r="EP66" s="769" t="s">
        <v>367</v>
      </c>
      <c r="EQ66" s="133"/>
      <c r="ER66" s="133">
        <v>0.38124984854368932</v>
      </c>
      <c r="ES66" s="133"/>
      <c r="ET66" s="133"/>
      <c r="EU66" s="133"/>
      <c r="EV66" s="134"/>
      <c r="EW66" s="22"/>
      <c r="EX66" s="769" t="s">
        <v>367</v>
      </c>
      <c r="EY66" s="133"/>
      <c r="EZ66" s="133">
        <v>0.38124984854368932</v>
      </c>
      <c r="FA66" s="133"/>
      <c r="FB66" s="133"/>
      <c r="FC66" s="133"/>
      <c r="FD66" s="134"/>
      <c r="FF66" s="769" t="s">
        <v>367</v>
      </c>
      <c r="FG66" s="133"/>
      <c r="FH66" s="133">
        <v>0.27455190679611652</v>
      </c>
      <c r="FI66" s="133"/>
      <c r="FJ66" s="133"/>
      <c r="FK66" s="133"/>
      <c r="FL66" s="134"/>
      <c r="FN66" s="769" t="s">
        <v>367</v>
      </c>
      <c r="FO66" s="133"/>
      <c r="FP66" s="133">
        <v>0.27455190679611652</v>
      </c>
      <c r="FQ66" s="133"/>
      <c r="FR66" s="133"/>
      <c r="FS66" s="133"/>
      <c r="FT66" s="134"/>
      <c r="FV66" s="799" t="s">
        <v>367</v>
      </c>
      <c r="FW66" s="851"/>
      <c r="FX66" s="635">
        <f>SUM(B66:FT66)/22</f>
        <v>0.33275078411297432</v>
      </c>
      <c r="FY66" s="635"/>
      <c r="FZ66" s="635"/>
      <c r="GA66" s="635"/>
      <c r="GB66" s="829"/>
    </row>
    <row r="67" spans="2:184" ht="18.5">
      <c r="B67" s="769" t="s">
        <v>368</v>
      </c>
      <c r="C67" s="846">
        <v>55.678266166694279</v>
      </c>
      <c r="D67" s="846"/>
      <c r="E67" s="846">
        <v>180.45189793510141</v>
      </c>
      <c r="F67" s="846">
        <v>122.84783415243801</v>
      </c>
      <c r="G67" s="846">
        <v>65.347062072329024</v>
      </c>
      <c r="H67" s="847"/>
      <c r="J67" s="769" t="s">
        <v>368</v>
      </c>
      <c r="K67" s="822">
        <v>54.227885083181562</v>
      </c>
      <c r="L67" s="822"/>
      <c r="M67" s="822">
        <v>175.75124834113834</v>
      </c>
      <c r="N67" s="822">
        <v>119.64773136418371</v>
      </c>
      <c r="O67" s="822">
        <v>63.644815410964192</v>
      </c>
      <c r="P67" s="823"/>
      <c r="R67" s="769" t="s">
        <v>368</v>
      </c>
      <c r="S67" s="824">
        <v>46.784966014898352</v>
      </c>
      <c r="T67" s="824"/>
      <c r="U67" s="824">
        <v>151.62892980435041</v>
      </c>
      <c r="V67" s="824">
        <v>103.22576727907685</v>
      </c>
      <c r="W67" s="824">
        <v>54.90939802389471</v>
      </c>
      <c r="X67" s="825"/>
      <c r="Z67" s="769" t="s">
        <v>368</v>
      </c>
      <c r="AA67" s="824">
        <v>45.334584931385635</v>
      </c>
      <c r="AB67" s="824"/>
      <c r="AC67" s="824">
        <v>146.92828021038736</v>
      </c>
      <c r="AD67" s="824">
        <v>100.02566449082255</v>
      </c>
      <c r="AE67" s="824">
        <v>53.207151362529885</v>
      </c>
      <c r="AF67" s="825"/>
      <c r="AH67" s="769" t="s">
        <v>368</v>
      </c>
      <c r="AI67" s="824">
        <v>60.447142886761817</v>
      </c>
      <c r="AJ67" s="824"/>
      <c r="AK67" s="824">
        <v>195.90771066781676</v>
      </c>
      <c r="AL67" s="824">
        <v>133.36982445016611</v>
      </c>
      <c r="AM67" s="824">
        <v>70.944076931027169</v>
      </c>
      <c r="AN67" s="825"/>
      <c r="AP67" s="769" t="s">
        <v>368</v>
      </c>
      <c r="AQ67" s="824">
        <v>51.585971238873782</v>
      </c>
      <c r="AR67" s="824"/>
      <c r="AS67" s="824">
        <v>167.18887023189444</v>
      </c>
      <c r="AT67" s="824">
        <v>113.8186455083333</v>
      </c>
      <c r="AU67" s="824">
        <v>60.544120654111353</v>
      </c>
      <c r="AV67" s="825"/>
      <c r="AX67" s="769" t="s">
        <v>368</v>
      </c>
      <c r="AY67" s="824">
        <v>59.040425279304827</v>
      </c>
      <c r="AZ67" s="824"/>
      <c r="BA67" s="824">
        <v>191.34857333109804</v>
      </c>
      <c r="BB67" s="824">
        <v>130.26606021255836</v>
      </c>
      <c r="BC67" s="824">
        <v>69.293076116139758</v>
      </c>
      <c r="BD67" s="825"/>
      <c r="BF67" s="769" t="s">
        <v>368</v>
      </c>
      <c r="BG67" s="133">
        <v>50.179253631416799</v>
      </c>
      <c r="BH67" s="133"/>
      <c r="BI67" s="133">
        <v>162.62973289517575</v>
      </c>
      <c r="BJ67" s="133">
        <v>110.71488127072557</v>
      </c>
      <c r="BK67" s="133">
        <v>58.893119839223957</v>
      </c>
      <c r="BL67" s="134"/>
      <c r="BN67" s="769" t="s">
        <v>368</v>
      </c>
      <c r="BO67" s="133">
        <v>56.427088090419907</v>
      </c>
      <c r="BP67" s="133"/>
      <c r="BQ67" s="133">
        <v>182.87881146267338</v>
      </c>
      <c r="BR67" s="133">
        <v>124.50002553390354</v>
      </c>
      <c r="BS67" s="133">
        <v>66.225920486926896</v>
      </c>
      <c r="BT67" s="134"/>
      <c r="BV67" s="769" t="s">
        <v>368</v>
      </c>
      <c r="BW67" s="133">
        <v>47.533787938623981</v>
      </c>
      <c r="BX67" s="133"/>
      <c r="BY67" s="133">
        <v>154.0558433319224</v>
      </c>
      <c r="BZ67" s="133">
        <v>104.87795866054238</v>
      </c>
      <c r="CA67" s="133">
        <v>55.788256438492581</v>
      </c>
      <c r="CB67" s="134"/>
      <c r="CD67" s="769" t="s">
        <v>368</v>
      </c>
      <c r="CE67" s="133">
        <v>57.877469173932624</v>
      </c>
      <c r="CF67" s="133"/>
      <c r="CG67" s="133">
        <v>187.57946105663643</v>
      </c>
      <c r="CH67" s="133">
        <v>127.70012832215784</v>
      </c>
      <c r="CI67" s="133">
        <v>67.92816714829172</v>
      </c>
      <c r="CJ67" s="134"/>
      <c r="CL67" s="769" t="s">
        <v>368</v>
      </c>
      <c r="CM67" s="133">
        <v>48.984169022136697</v>
      </c>
      <c r="CN67" s="133"/>
      <c r="CO67" s="133">
        <v>158.75649292588545</v>
      </c>
      <c r="CP67" s="133">
        <v>108.07806144879667</v>
      </c>
      <c r="CQ67" s="133">
        <v>57.490503099857406</v>
      </c>
      <c r="CR67" s="134"/>
      <c r="CT67" s="769" t="s">
        <v>368</v>
      </c>
      <c r="CU67" s="133">
        <v>53.771960250501621</v>
      </c>
      <c r="CV67" s="133"/>
      <c r="CW67" s="133">
        <v>174.27360711706496</v>
      </c>
      <c r="CX67" s="133">
        <v>118.64178448244429</v>
      </c>
      <c r="CY67" s="133">
        <v>63.109717061237312</v>
      </c>
      <c r="CZ67" s="134"/>
      <c r="DB67" s="769" t="s">
        <v>368</v>
      </c>
      <c r="DC67" s="133">
        <v>62.620594308305371</v>
      </c>
      <c r="DD67" s="133"/>
      <c r="DE67" s="133">
        <v>202.95181353037839</v>
      </c>
      <c r="DF67" s="133">
        <v>138.16530064141071</v>
      </c>
      <c r="DG67" s="133">
        <v>73.494958535881395</v>
      </c>
      <c r="DH67" s="134"/>
      <c r="DJ67" s="769" t="s">
        <v>368</v>
      </c>
      <c r="DK67" s="133">
        <v>61.252993981911345</v>
      </c>
      <c r="DL67" s="133"/>
      <c r="DM67" s="133">
        <v>198.5194543441994</v>
      </c>
      <c r="DN67" s="133">
        <v>135.14784428634607</v>
      </c>
      <c r="DO67" s="133">
        <v>71.889867904081768</v>
      </c>
      <c r="DP67" s="134"/>
      <c r="DR67" s="769" t="s">
        <v>368</v>
      </c>
      <c r="DS67" s="133">
        <v>52.365242643044624</v>
      </c>
      <c r="DT67" s="133"/>
      <c r="DU67" s="133">
        <v>169.71446978034621</v>
      </c>
      <c r="DV67" s="133">
        <v>115.53802024483655</v>
      </c>
      <c r="DW67" s="133">
        <v>61.458716246349901</v>
      </c>
      <c r="DX67" s="134"/>
      <c r="DZ67" s="769" t="s">
        <v>368</v>
      </c>
      <c r="EA67" s="133">
        <v>61.460079864851522</v>
      </c>
      <c r="EB67" s="133"/>
      <c r="EC67" s="133">
        <v>199.19061462243513</v>
      </c>
      <c r="ED67" s="133">
        <v>135.60475600350662</v>
      </c>
      <c r="EE67" s="133">
        <v>72.132915236164266</v>
      </c>
      <c r="EF67" s="134"/>
      <c r="EH67" s="769" t="s">
        <v>368</v>
      </c>
      <c r="EI67" s="133">
        <v>52.598908216963494</v>
      </c>
      <c r="EJ67" s="133"/>
      <c r="EK67" s="133">
        <v>170.47177418651282</v>
      </c>
      <c r="EL67" s="133">
        <v>116.05357706167382</v>
      </c>
      <c r="EM67" s="133">
        <v>61.732958959248471</v>
      </c>
      <c r="EN67" s="134"/>
      <c r="EP67" s="769" t="s">
        <v>368</v>
      </c>
      <c r="EQ67" s="133">
        <v>60.053362257394518</v>
      </c>
      <c r="ER67" s="133"/>
      <c r="ES67" s="133">
        <v>194.63147728571636</v>
      </c>
      <c r="ET67" s="133">
        <v>132.50099176589885</v>
      </c>
      <c r="EU67" s="133">
        <v>70.481914421276855</v>
      </c>
      <c r="EV67" s="134"/>
      <c r="EX67" s="769" t="s">
        <v>368</v>
      </c>
      <c r="EY67" s="133">
        <v>51.220274811295305</v>
      </c>
      <c r="EZ67" s="133"/>
      <c r="FA67" s="133">
        <v>166.00365706043803</v>
      </c>
      <c r="FB67" s="133">
        <v>113.01177745768676</v>
      </c>
      <c r="FC67" s="133">
        <v>60.114919301449724</v>
      </c>
      <c r="FD67" s="134"/>
      <c r="FF67" s="769" t="s">
        <v>368</v>
      </c>
      <c r="FG67" s="133">
        <v>46.797363463164061</v>
      </c>
      <c r="FH67" s="133"/>
      <c r="FI67" s="133">
        <v>151.66910963075523</v>
      </c>
      <c r="FJ67" s="133">
        <v>103.25312085477726</v>
      </c>
      <c r="FK67" s="133">
        <v>54.923948348054083</v>
      </c>
      <c r="FL67" s="134"/>
      <c r="FN67" s="769" t="s">
        <v>368</v>
      </c>
      <c r="FO67" s="133">
        <v>45.346982379651344</v>
      </c>
      <c r="FP67" s="133"/>
      <c r="FQ67" s="133">
        <v>146.96846003679218</v>
      </c>
      <c r="FR67" s="133">
        <v>100.05301806652297</v>
      </c>
      <c r="FS67" s="133">
        <v>53.221701686689265</v>
      </c>
      <c r="FT67" s="134"/>
      <c r="FV67" s="799" t="s">
        <v>368</v>
      </c>
      <c r="FW67" s="851">
        <f>(FO67+FG67+EY67+EQ67+EI67+EA67+DS67+DK67+DC67+CU67+CM67+CE67+BW67+BO67+BG67+AY67+AQ67+AI67+AA67+S67+K67+C67)/22</f>
        <v>53.708580528850618</v>
      </c>
      <c r="FX67" s="635"/>
      <c r="FY67" s="635">
        <f>(FQ67+FI67+FA67+ES67+EK67+EC67+DU67+DM67+DE67+CW67+CO67+CG67+BY67+BQ67+BI67+BA67+AS67+AK67+AC67+U67+M67+E67)/22</f>
        <v>174.06819499039631</v>
      </c>
      <c r="FZ67" s="635">
        <f>(FR67+FJ67+FB67+ET67+EL67+ED67+DV67+DN67+DF67+CX67+CP67+CH67+BZ67+BR67+BJ67+BB67+AT67+AL67+AD67+V67+N67+F67)/22</f>
        <v>118.5019442526731</v>
      </c>
      <c r="GA67" s="635">
        <f>(FS67+FK67+FC67+EU67+EM67+EE67+DW67+DO67+DG67+CY67+CQ67+CI67+CA67+BS67+BK67+BC67+AU67+AM67+AE67+W67+O67+G67)/22</f>
        <v>63.035331149282797</v>
      </c>
      <c r="GB67" s="829"/>
    </row>
    <row r="68" spans="2:184" ht="18.5">
      <c r="B68" s="769" t="s">
        <v>369</v>
      </c>
      <c r="C68" s="846">
        <v>1.4286536619718312E-2</v>
      </c>
      <c r="D68" s="846"/>
      <c r="E68" s="846"/>
      <c r="F68" s="846"/>
      <c r="G68" s="846"/>
      <c r="H68" s="847"/>
      <c r="J68" s="769" t="s">
        <v>369</v>
      </c>
      <c r="K68" s="822">
        <v>1.3938084507042257E-2</v>
      </c>
      <c r="L68" s="822"/>
      <c r="M68" s="822"/>
      <c r="N68" s="822"/>
      <c r="O68" s="822"/>
      <c r="P68" s="823"/>
      <c r="R68" s="769" t="s">
        <v>369</v>
      </c>
      <c r="S68" s="824">
        <v>1.1847371830985916E-2</v>
      </c>
      <c r="T68" s="824"/>
      <c r="U68" s="824"/>
      <c r="V68" s="824"/>
      <c r="W68" s="824"/>
      <c r="X68" s="825"/>
      <c r="Z68" s="769" t="s">
        <v>369</v>
      </c>
      <c r="AA68" s="824">
        <v>1.1498919718309861E-2</v>
      </c>
      <c r="AB68" s="824"/>
      <c r="AC68" s="824"/>
      <c r="AD68" s="824"/>
      <c r="AE68" s="824"/>
      <c r="AF68" s="825"/>
      <c r="AH68" s="769" t="s">
        <v>369</v>
      </c>
      <c r="AI68" s="824">
        <v>1.5331892957746481E-2</v>
      </c>
      <c r="AJ68" s="824"/>
      <c r="AK68" s="824"/>
      <c r="AL68" s="824"/>
      <c r="AM68" s="824"/>
      <c r="AN68" s="825"/>
      <c r="AP68" s="769" t="s">
        <v>369</v>
      </c>
      <c r="AQ68" s="824">
        <v>1.3241180281690142E-2</v>
      </c>
      <c r="AR68" s="824"/>
      <c r="AS68" s="824"/>
      <c r="AT68" s="824"/>
      <c r="AU68" s="824"/>
      <c r="AV68" s="825"/>
      <c r="AX68" s="769" t="s">
        <v>369</v>
      </c>
      <c r="AY68" s="824">
        <v>1.4983440845070424E-2</v>
      </c>
      <c r="AZ68" s="824"/>
      <c r="BA68" s="824"/>
      <c r="BB68" s="824"/>
      <c r="BC68" s="824"/>
      <c r="BD68" s="825"/>
      <c r="BF68" s="769" t="s">
        <v>369</v>
      </c>
      <c r="BG68" s="133">
        <v>1.2892728169014087E-2</v>
      </c>
      <c r="BH68" s="133"/>
      <c r="BI68" s="133"/>
      <c r="BJ68" s="133"/>
      <c r="BK68" s="133"/>
      <c r="BL68" s="134"/>
      <c r="BN68" s="769" t="s">
        <v>369</v>
      </c>
      <c r="BO68" s="133">
        <v>1.4286536619718312E-2</v>
      </c>
      <c r="BP68" s="133"/>
      <c r="BQ68" s="133"/>
      <c r="BR68" s="133"/>
      <c r="BS68" s="133"/>
      <c r="BT68" s="134"/>
      <c r="BV68" s="769" t="s">
        <v>369</v>
      </c>
      <c r="BW68" s="133">
        <v>1.2195823943661973E-2</v>
      </c>
      <c r="BX68" s="133"/>
      <c r="BY68" s="133"/>
      <c r="BZ68" s="133"/>
      <c r="CA68" s="133"/>
      <c r="CB68" s="134"/>
      <c r="CD68" s="769" t="s">
        <v>369</v>
      </c>
      <c r="CE68" s="133">
        <v>1.4983440845070424E-2</v>
      </c>
      <c r="CF68" s="133"/>
      <c r="CG68" s="133"/>
      <c r="CH68" s="133"/>
      <c r="CI68" s="133"/>
      <c r="CJ68" s="134"/>
      <c r="CL68" s="769" t="s">
        <v>369</v>
      </c>
      <c r="CM68" s="133">
        <v>1.2544276056338031E-2</v>
      </c>
      <c r="CN68" s="133"/>
      <c r="CO68" s="133"/>
      <c r="CP68" s="133"/>
      <c r="CQ68" s="133"/>
      <c r="CR68" s="134"/>
      <c r="CT68" s="769" t="s">
        <v>369</v>
      </c>
      <c r="CU68" s="133">
        <v>1.3938084507042257E-2</v>
      </c>
      <c r="CV68" s="133"/>
      <c r="CW68" s="133"/>
      <c r="CX68" s="133"/>
      <c r="CY68" s="133"/>
      <c r="CZ68" s="134"/>
      <c r="DB68" s="769" t="s">
        <v>369</v>
      </c>
      <c r="DC68" s="133">
        <v>1.6028797183098593E-2</v>
      </c>
      <c r="DD68" s="133"/>
      <c r="DE68" s="133"/>
      <c r="DF68" s="133"/>
      <c r="DG68" s="133"/>
      <c r="DH68" s="134"/>
      <c r="DJ68" s="769" t="s">
        <v>369</v>
      </c>
      <c r="DK68" s="133">
        <v>1.5680345070422538E-2</v>
      </c>
      <c r="DL68" s="133"/>
      <c r="DM68" s="133"/>
      <c r="DN68" s="133"/>
      <c r="DO68" s="133"/>
      <c r="DP68" s="134"/>
      <c r="DR68" s="769" t="s">
        <v>369</v>
      </c>
      <c r="DS68" s="133">
        <v>1.3589632394366197E-2</v>
      </c>
      <c r="DT68" s="133"/>
      <c r="DU68" s="133"/>
      <c r="DV68" s="133"/>
      <c r="DW68" s="133"/>
      <c r="DX68" s="134"/>
      <c r="DZ68" s="769" t="s">
        <v>369</v>
      </c>
      <c r="EA68" s="133">
        <v>1.5680345070422538E-2</v>
      </c>
      <c r="EB68" s="133"/>
      <c r="EC68" s="133"/>
      <c r="ED68" s="133"/>
      <c r="EE68" s="133"/>
      <c r="EF68" s="134"/>
      <c r="EH68" s="769" t="s">
        <v>369</v>
      </c>
      <c r="EI68" s="133">
        <v>1.3589632394366197E-2</v>
      </c>
      <c r="EJ68" s="133"/>
      <c r="EK68" s="133"/>
      <c r="EL68" s="133"/>
      <c r="EM68" s="133"/>
      <c r="EN68" s="134"/>
      <c r="EP68" s="769" t="s">
        <v>369</v>
      </c>
      <c r="EQ68" s="133">
        <v>1.5331892957746481E-2</v>
      </c>
      <c r="ER68" s="133"/>
      <c r="ES68" s="133"/>
      <c r="ET68" s="133"/>
      <c r="EU68" s="133"/>
      <c r="EV68" s="134"/>
      <c r="EX68" s="769" t="s">
        <v>369</v>
      </c>
      <c r="EY68" s="133">
        <v>1.3241180281690142E-2</v>
      </c>
      <c r="EZ68" s="133"/>
      <c r="FA68" s="133"/>
      <c r="FB68" s="133"/>
      <c r="FC68" s="133"/>
      <c r="FD68" s="134"/>
      <c r="FF68" s="769" t="s">
        <v>369</v>
      </c>
      <c r="FG68" s="133">
        <v>1.1847371830985916E-2</v>
      </c>
      <c r="FH68" s="133"/>
      <c r="FI68" s="133"/>
      <c r="FJ68" s="133"/>
      <c r="FK68" s="133"/>
      <c r="FL68" s="134"/>
      <c r="FN68" s="769" t="s">
        <v>369</v>
      </c>
      <c r="FO68" s="133">
        <v>1.1498919718309861E-2</v>
      </c>
      <c r="FP68" s="133"/>
      <c r="FQ68" s="133"/>
      <c r="FR68" s="133"/>
      <c r="FS68" s="133"/>
      <c r="FT68" s="134"/>
      <c r="FV68" s="799" t="s">
        <v>369</v>
      </c>
      <c r="FW68" s="851">
        <f>(FO68+FG68+EY68+EQ68+EI68+EA68+DS68+DK68+DC68+CU68+CM68+CE68+BW68+BO68+BG68+AY68+AQ68+AI68+AA68+S68+K68+C68)/22</f>
        <v>1.3748019718309861E-2</v>
      </c>
      <c r="FX68" s="635"/>
      <c r="FY68" s="635"/>
      <c r="FZ68" s="635"/>
      <c r="GA68" s="635"/>
      <c r="GB68" s="829"/>
    </row>
    <row r="69" spans="2:184" ht="18.5">
      <c r="B69" s="769" t="s">
        <v>819</v>
      </c>
      <c r="C69" s="846">
        <v>10.789559630999998</v>
      </c>
      <c r="D69" s="846"/>
      <c r="E69" s="846"/>
      <c r="F69" s="846"/>
      <c r="G69" s="846"/>
      <c r="H69" s="847"/>
      <c r="J69" s="769" t="s">
        <v>819</v>
      </c>
      <c r="K69" s="822">
        <v>10.526399639999998</v>
      </c>
      <c r="L69" s="822"/>
      <c r="M69" s="822"/>
      <c r="N69" s="822"/>
      <c r="O69" s="822"/>
      <c r="P69" s="823"/>
      <c r="R69" s="769" t="s">
        <v>819</v>
      </c>
      <c r="S69" s="824">
        <v>8.9474396939999998</v>
      </c>
      <c r="T69" s="824"/>
      <c r="U69" s="824"/>
      <c r="V69" s="824"/>
      <c r="W69" s="824"/>
      <c r="X69" s="825"/>
      <c r="Z69" s="769" t="s">
        <v>819</v>
      </c>
      <c r="AA69" s="824">
        <v>8.6842797029999996</v>
      </c>
      <c r="AB69" s="824"/>
      <c r="AC69" s="824"/>
      <c r="AD69" s="824"/>
      <c r="AE69" s="824"/>
      <c r="AF69" s="825"/>
      <c r="AH69" s="769" t="s">
        <v>819</v>
      </c>
      <c r="AI69" s="824">
        <v>11.579039603999998</v>
      </c>
      <c r="AJ69" s="824"/>
      <c r="AK69" s="824"/>
      <c r="AL69" s="824"/>
      <c r="AM69" s="824"/>
      <c r="AN69" s="825"/>
      <c r="AP69" s="769" t="s">
        <v>819</v>
      </c>
      <c r="AQ69" s="824">
        <v>10.000079657999997</v>
      </c>
      <c r="AR69" s="824"/>
      <c r="AS69" s="824"/>
      <c r="AT69" s="824"/>
      <c r="AU69" s="824"/>
      <c r="AV69" s="825"/>
      <c r="AX69" s="769" t="s">
        <v>819</v>
      </c>
      <c r="AY69" s="824">
        <v>11.315879613000002</v>
      </c>
      <c r="AZ69" s="824"/>
      <c r="BA69" s="824"/>
      <c r="BB69" s="824"/>
      <c r="BC69" s="824"/>
      <c r="BD69" s="825"/>
      <c r="BF69" s="769" t="s">
        <v>819</v>
      </c>
      <c r="BG69" s="133">
        <v>9.7369196669999969</v>
      </c>
      <c r="BH69" s="133"/>
      <c r="BI69" s="133"/>
      <c r="BJ69" s="133"/>
      <c r="BK69" s="133"/>
      <c r="BL69" s="134"/>
      <c r="BN69" s="769" t="s">
        <v>819</v>
      </c>
      <c r="BO69" s="133">
        <v>10.789559630999998</v>
      </c>
      <c r="BP69" s="133"/>
      <c r="BQ69" s="133"/>
      <c r="BR69" s="133"/>
      <c r="BS69" s="133"/>
      <c r="BT69" s="134"/>
      <c r="BV69" s="769" t="s">
        <v>819</v>
      </c>
      <c r="BW69" s="133">
        <v>9.210599685</v>
      </c>
      <c r="BX69" s="133"/>
      <c r="BY69" s="133"/>
      <c r="BZ69" s="133"/>
      <c r="CA69" s="133"/>
      <c r="CB69" s="134"/>
      <c r="CD69" s="769" t="s">
        <v>819</v>
      </c>
      <c r="CE69" s="133">
        <v>11.315879613000002</v>
      </c>
      <c r="CF69" s="133"/>
      <c r="CG69" s="133"/>
      <c r="CH69" s="133"/>
      <c r="CI69" s="133"/>
      <c r="CJ69" s="134"/>
      <c r="CL69" s="769" t="s">
        <v>819</v>
      </c>
      <c r="CM69" s="133">
        <v>9.4737596760000002</v>
      </c>
      <c r="CN69" s="133"/>
      <c r="CO69" s="133"/>
      <c r="CP69" s="133"/>
      <c r="CQ69" s="133"/>
      <c r="CR69" s="134"/>
      <c r="CT69" s="769" t="s">
        <v>819</v>
      </c>
      <c r="CU69" s="133">
        <v>10.526399639999998</v>
      </c>
      <c r="CV69" s="133"/>
      <c r="CW69" s="133"/>
      <c r="CX69" s="133"/>
      <c r="CY69" s="133"/>
      <c r="CZ69" s="134"/>
      <c r="DB69" s="769" t="s">
        <v>819</v>
      </c>
      <c r="DC69" s="133">
        <v>12.105359586000001</v>
      </c>
      <c r="DD69" s="133"/>
      <c r="DE69" s="133"/>
      <c r="DF69" s="133"/>
      <c r="DG69" s="133"/>
      <c r="DH69" s="134"/>
      <c r="DJ69" s="769" t="s">
        <v>819</v>
      </c>
      <c r="DK69" s="133">
        <v>11.842199594999999</v>
      </c>
      <c r="DL69" s="133"/>
      <c r="DM69" s="133"/>
      <c r="DN69" s="133"/>
      <c r="DO69" s="133"/>
      <c r="DP69" s="134"/>
      <c r="DR69" s="769" t="s">
        <v>819</v>
      </c>
      <c r="DS69" s="133">
        <v>10.263239648999999</v>
      </c>
      <c r="DT69" s="133"/>
      <c r="DU69" s="133"/>
      <c r="DV69" s="133"/>
      <c r="DW69" s="133"/>
      <c r="DX69" s="134"/>
      <c r="DZ69" s="769" t="s">
        <v>819</v>
      </c>
      <c r="EA69" s="133">
        <v>11.842199594999999</v>
      </c>
      <c r="EB69" s="133"/>
      <c r="EC69" s="133"/>
      <c r="ED69" s="133"/>
      <c r="EE69" s="133"/>
      <c r="EF69" s="134"/>
      <c r="EH69" s="769" t="s">
        <v>819</v>
      </c>
      <c r="EI69" s="133">
        <v>10.263239648999999</v>
      </c>
      <c r="EJ69" s="133"/>
      <c r="EK69" s="133"/>
      <c r="EL69" s="133"/>
      <c r="EM69" s="133"/>
      <c r="EN69" s="134"/>
      <c r="EP69" s="769" t="s">
        <v>819</v>
      </c>
      <c r="EQ69" s="133">
        <v>11.579039603999998</v>
      </c>
      <c r="ER69" s="133"/>
      <c r="ES69" s="133"/>
      <c r="ET69" s="133"/>
      <c r="EU69" s="133"/>
      <c r="EV69" s="134"/>
      <c r="EX69" s="769" t="s">
        <v>819</v>
      </c>
      <c r="EY69" s="133">
        <v>10.000079657999997</v>
      </c>
      <c r="EZ69" s="133"/>
      <c r="FA69" s="133"/>
      <c r="FB69" s="133"/>
      <c r="FC69" s="133"/>
      <c r="FD69" s="134"/>
      <c r="FF69" s="769" t="s">
        <v>819</v>
      </c>
      <c r="FG69" s="133">
        <v>8.9474396939999998</v>
      </c>
      <c r="FH69" s="133"/>
      <c r="FI69" s="133"/>
      <c r="FJ69" s="133"/>
      <c r="FK69" s="133"/>
      <c r="FL69" s="134"/>
      <c r="FN69" s="769" t="s">
        <v>819</v>
      </c>
      <c r="FO69" s="133">
        <v>8.6842797029999996</v>
      </c>
      <c r="FP69" s="133"/>
      <c r="FQ69" s="133"/>
      <c r="FR69" s="133"/>
      <c r="FS69" s="133"/>
      <c r="FT69" s="134"/>
      <c r="FV69" s="799" t="s">
        <v>819</v>
      </c>
      <c r="FW69" s="851">
        <f>(FO69+FG69+EY69+EQ69+EI69+EA69+DS69+DK69+DC69+CU69+CM69+CE69+BW69+BO69+BG69+AY69+AQ69+AI69+AA69+S69+K69+C69)/22</f>
        <v>10.382857826727271</v>
      </c>
      <c r="FX69" s="635"/>
      <c r="FY69" s="635"/>
      <c r="FZ69" s="635"/>
      <c r="GA69" s="635"/>
      <c r="GB69" s="829"/>
    </row>
    <row r="70" spans="2:184" ht="18.5">
      <c r="B70" s="769" t="s">
        <v>286</v>
      </c>
      <c r="C70" s="846">
        <v>502.45372453747814</v>
      </c>
      <c r="D70" s="846"/>
      <c r="E70" s="846"/>
      <c r="F70" s="846"/>
      <c r="G70" s="846"/>
      <c r="H70" s="847"/>
      <c r="J70" s="769" t="s">
        <v>286</v>
      </c>
      <c r="K70" s="822">
        <v>490.05838016144236</v>
      </c>
      <c r="L70" s="822"/>
      <c r="M70" s="822"/>
      <c r="N70" s="822"/>
      <c r="O70" s="822"/>
      <c r="P70" s="823"/>
      <c r="R70" s="769" t="s">
        <v>286</v>
      </c>
      <c r="S70" s="824">
        <v>457.39834974585165</v>
      </c>
      <c r="T70" s="824"/>
      <c r="U70" s="824"/>
      <c r="V70" s="824"/>
      <c r="W70" s="824"/>
      <c r="X70" s="825"/>
      <c r="Z70" s="769" t="s">
        <v>286</v>
      </c>
      <c r="AA70" s="824">
        <v>445.00300536981581</v>
      </c>
      <c r="AB70" s="824"/>
      <c r="AC70" s="824"/>
      <c r="AD70" s="824"/>
      <c r="AE70" s="824"/>
      <c r="AF70" s="825"/>
      <c r="AH70" s="769" t="s">
        <v>286</v>
      </c>
      <c r="AI70" s="824">
        <v>568.42571683536767</v>
      </c>
      <c r="AJ70" s="824"/>
      <c r="AK70" s="824"/>
      <c r="AL70" s="824"/>
      <c r="AM70" s="824"/>
      <c r="AN70" s="825"/>
      <c r="AP70" s="769" t="s">
        <v>286</v>
      </c>
      <c r="AQ70" s="824">
        <v>523.86993740773676</v>
      </c>
      <c r="AR70" s="824"/>
      <c r="AS70" s="824"/>
      <c r="AT70" s="824"/>
      <c r="AU70" s="824"/>
      <c r="AV70" s="825"/>
      <c r="AX70" s="769" t="s">
        <v>286</v>
      </c>
      <c r="AY70" s="824">
        <v>556.17528105589372</v>
      </c>
      <c r="AZ70" s="824"/>
      <c r="BA70" s="824"/>
      <c r="BB70" s="824"/>
      <c r="BC70" s="824"/>
      <c r="BD70" s="825"/>
      <c r="BF70" s="769" t="s">
        <v>286</v>
      </c>
      <c r="BG70" s="133">
        <v>511.6195016282627</v>
      </c>
      <c r="BH70" s="133"/>
      <c r="BI70" s="133"/>
      <c r="BJ70" s="133"/>
      <c r="BK70" s="133"/>
      <c r="BL70" s="134"/>
      <c r="BN70" s="769" t="s">
        <v>286</v>
      </c>
      <c r="BO70" s="133">
        <v>516.73916331272403</v>
      </c>
      <c r="BP70" s="133"/>
      <c r="BQ70" s="133"/>
      <c r="BR70" s="133"/>
      <c r="BS70" s="133"/>
      <c r="BT70" s="134"/>
      <c r="BV70" s="769" t="s">
        <v>286</v>
      </c>
      <c r="BW70" s="133">
        <v>471.68378852109754</v>
      </c>
      <c r="BX70" s="133"/>
      <c r="BY70" s="133"/>
      <c r="BZ70" s="133"/>
      <c r="CA70" s="133"/>
      <c r="CB70" s="134"/>
      <c r="CD70" s="769" t="s">
        <v>286</v>
      </c>
      <c r="CE70" s="133">
        <v>529.13450768875987</v>
      </c>
      <c r="CF70" s="133"/>
      <c r="CG70" s="133"/>
      <c r="CH70" s="133"/>
      <c r="CI70" s="133"/>
      <c r="CJ70" s="134"/>
      <c r="CL70" s="769" t="s">
        <v>286</v>
      </c>
      <c r="CM70" s="133">
        <v>484.07913289713338</v>
      </c>
      <c r="CN70" s="133"/>
      <c r="CO70" s="133"/>
      <c r="CP70" s="133"/>
      <c r="CQ70" s="133"/>
      <c r="CR70" s="134"/>
      <c r="CT70" s="769" t="s">
        <v>286</v>
      </c>
      <c r="CU70" s="133">
        <v>551.06237010752886</v>
      </c>
      <c r="CV70" s="133"/>
      <c r="CW70" s="133"/>
      <c r="CX70" s="133"/>
      <c r="CY70" s="133"/>
      <c r="CZ70" s="134"/>
      <c r="DB70" s="769" t="s">
        <v>286</v>
      </c>
      <c r="DC70" s="133">
        <v>595.50723512891955</v>
      </c>
      <c r="DD70" s="133"/>
      <c r="DE70" s="133"/>
      <c r="DF70" s="133"/>
      <c r="DG70" s="133"/>
      <c r="DH70" s="134"/>
      <c r="DJ70" s="769" t="s">
        <v>286</v>
      </c>
      <c r="DK70" s="133">
        <v>584.07436454662866</v>
      </c>
      <c r="DL70" s="133"/>
      <c r="DM70" s="133"/>
      <c r="DN70" s="133"/>
      <c r="DO70" s="133"/>
      <c r="DP70" s="134"/>
      <c r="DR70" s="769" t="s">
        <v>286</v>
      </c>
      <c r="DS70" s="133">
        <v>538.81193432805492</v>
      </c>
      <c r="DT70" s="133"/>
      <c r="DU70" s="133"/>
      <c r="DV70" s="133"/>
      <c r="DW70" s="133"/>
      <c r="DX70" s="134"/>
      <c r="DZ70" s="769" t="s">
        <v>286</v>
      </c>
      <c r="EA70" s="133">
        <v>605.23092598325468</v>
      </c>
      <c r="EB70" s="133"/>
      <c r="EC70" s="133"/>
      <c r="ED70" s="133"/>
      <c r="EE70" s="133"/>
      <c r="EF70" s="134"/>
      <c r="EH70" s="769" t="s">
        <v>286</v>
      </c>
      <c r="EI70" s="133">
        <v>560.67514655562388</v>
      </c>
      <c r="EJ70" s="133"/>
      <c r="EK70" s="133"/>
      <c r="EL70" s="133"/>
      <c r="EM70" s="133"/>
      <c r="EN70" s="134"/>
      <c r="EP70" s="769" t="s">
        <v>286</v>
      </c>
      <c r="EQ70" s="133">
        <v>592.98049020378073</v>
      </c>
      <c r="ER70" s="133"/>
      <c r="ES70" s="133"/>
      <c r="ET70" s="133"/>
      <c r="EU70" s="133"/>
      <c r="EV70" s="134"/>
      <c r="EX70" s="769" t="s">
        <v>286</v>
      </c>
      <c r="EY70" s="133">
        <v>548.42471077614994</v>
      </c>
      <c r="EZ70" s="133"/>
      <c r="FA70" s="133"/>
      <c r="FB70" s="133"/>
      <c r="FC70" s="133"/>
      <c r="FD70" s="134"/>
      <c r="FF70" s="769" t="s">
        <v>286</v>
      </c>
      <c r="FG70" s="133">
        <v>457.02644258552505</v>
      </c>
      <c r="FH70" s="133"/>
      <c r="FI70" s="133"/>
      <c r="FJ70" s="133"/>
      <c r="FK70" s="133"/>
      <c r="FL70" s="134"/>
      <c r="FN70" s="769" t="s">
        <v>286</v>
      </c>
      <c r="FO70" s="133">
        <v>444.63109820948915</v>
      </c>
      <c r="FP70" s="133"/>
      <c r="FQ70" s="133"/>
      <c r="FR70" s="133"/>
      <c r="FS70" s="133"/>
      <c r="FT70" s="134"/>
      <c r="FV70" s="799" t="s">
        <v>286</v>
      </c>
      <c r="FW70" s="851">
        <f>(FO70+FG70+EY70+EQ70+EI70+EA70+DS70+DK70+DC70+CU70+CM70+CE70+BW70+BO70+BG70+AY70+AQ70+AI70+AA70+S70+K70+C70)/22</f>
        <v>524.32114579938741</v>
      </c>
      <c r="FX70" s="635"/>
      <c r="FY70" s="635"/>
      <c r="FZ70" s="635"/>
      <c r="GA70" s="635"/>
      <c r="GB70" s="829"/>
    </row>
    <row r="71" spans="2:184" ht="18.5">
      <c r="B71" s="780" t="s">
        <v>820</v>
      </c>
      <c r="C71" s="846">
        <v>18.934292000000003</v>
      </c>
      <c r="D71" s="846"/>
      <c r="E71" s="846"/>
      <c r="F71" s="846"/>
      <c r="G71" s="846"/>
      <c r="H71" s="847"/>
      <c r="J71" s="780" t="s">
        <v>820</v>
      </c>
      <c r="K71" s="822">
        <v>18.934292000000003</v>
      </c>
      <c r="L71" s="822"/>
      <c r="M71" s="822"/>
      <c r="N71" s="822"/>
      <c r="O71" s="822"/>
      <c r="P71" s="823"/>
      <c r="R71" s="780" t="s">
        <v>820</v>
      </c>
      <c r="S71" s="824">
        <v>21.847259999999999</v>
      </c>
      <c r="T71" s="824"/>
      <c r="U71" s="824"/>
      <c r="V71" s="824"/>
      <c r="W71" s="824"/>
      <c r="X71" s="825"/>
      <c r="Z71" s="780" t="s">
        <v>820</v>
      </c>
      <c r="AA71" s="824">
        <v>21.847259999999999</v>
      </c>
      <c r="AB71" s="824"/>
      <c r="AC71" s="824"/>
      <c r="AD71" s="824"/>
      <c r="AE71" s="824"/>
      <c r="AF71" s="825"/>
      <c r="AH71" s="780" t="s">
        <v>820</v>
      </c>
      <c r="AI71" s="824">
        <v>27.30846</v>
      </c>
      <c r="AJ71" s="824"/>
      <c r="AK71" s="824"/>
      <c r="AL71" s="824"/>
      <c r="AM71" s="824"/>
      <c r="AN71" s="825"/>
      <c r="AP71" s="780" t="s">
        <v>820</v>
      </c>
      <c r="AQ71" s="824">
        <v>27.30846</v>
      </c>
      <c r="AR71" s="824"/>
      <c r="AS71" s="824"/>
      <c r="AT71" s="824"/>
      <c r="AU71" s="824"/>
      <c r="AV71" s="825"/>
      <c r="AX71" s="780" t="s">
        <v>820</v>
      </c>
      <c r="AY71" s="824">
        <v>27.30846</v>
      </c>
      <c r="AZ71" s="824"/>
      <c r="BA71" s="824"/>
      <c r="BB71" s="824"/>
      <c r="BC71" s="824"/>
      <c r="BD71" s="825"/>
      <c r="BF71" s="780" t="s">
        <v>820</v>
      </c>
      <c r="BG71" s="133">
        <v>27.30846</v>
      </c>
      <c r="BH71" s="133"/>
      <c r="BI71" s="133"/>
      <c r="BJ71" s="133"/>
      <c r="BK71" s="133"/>
      <c r="BL71" s="134"/>
      <c r="BN71" s="780" t="s">
        <v>820</v>
      </c>
      <c r="BO71" s="133">
        <v>23.303744000000002</v>
      </c>
      <c r="BP71" s="133"/>
      <c r="BQ71" s="133"/>
      <c r="BR71" s="133"/>
      <c r="BS71" s="133"/>
      <c r="BT71" s="134"/>
      <c r="BV71" s="780" t="s">
        <v>820</v>
      </c>
      <c r="BW71" s="133">
        <v>21.847259999999999</v>
      </c>
      <c r="BX71" s="133"/>
      <c r="BY71" s="133"/>
      <c r="BZ71" s="133"/>
      <c r="CA71" s="133"/>
      <c r="CB71" s="134"/>
      <c r="CD71" s="780" t="s">
        <v>820</v>
      </c>
      <c r="CE71" s="133">
        <v>23.303744000000002</v>
      </c>
      <c r="CF71" s="133"/>
      <c r="CG71" s="133"/>
      <c r="CH71" s="133"/>
      <c r="CI71" s="133"/>
      <c r="CJ71" s="134"/>
      <c r="CL71" s="780" t="s">
        <v>820</v>
      </c>
      <c r="CM71" s="133">
        <v>21.847259999999999</v>
      </c>
      <c r="CN71" s="133"/>
      <c r="CO71" s="133"/>
      <c r="CP71" s="133"/>
      <c r="CQ71" s="133"/>
      <c r="CR71" s="134"/>
      <c r="CT71" s="780" t="s">
        <v>820</v>
      </c>
      <c r="CU71" s="133">
        <v>27.30846</v>
      </c>
      <c r="CV71" s="133"/>
      <c r="CW71" s="133"/>
      <c r="CX71" s="133"/>
      <c r="CY71" s="133"/>
      <c r="CZ71" s="134"/>
      <c r="DB71" s="780" t="s">
        <v>820</v>
      </c>
      <c r="DC71" s="133">
        <v>27.30846</v>
      </c>
      <c r="DD71" s="133"/>
      <c r="DE71" s="133"/>
      <c r="DF71" s="133"/>
      <c r="DG71" s="133"/>
      <c r="DH71" s="134"/>
      <c r="DJ71" s="780" t="s">
        <v>820</v>
      </c>
      <c r="DK71" s="133">
        <v>27.30846</v>
      </c>
      <c r="DL71" s="133"/>
      <c r="DM71" s="133"/>
      <c r="DN71" s="133"/>
      <c r="DO71" s="133"/>
      <c r="DP71" s="134"/>
      <c r="DR71" s="780" t="s">
        <v>820</v>
      </c>
      <c r="DS71" s="133">
        <v>27.30846</v>
      </c>
      <c r="DT71" s="133"/>
      <c r="DU71" s="133"/>
      <c r="DV71" s="133"/>
      <c r="DW71" s="133"/>
      <c r="DX71" s="134"/>
      <c r="DZ71" s="780" t="s">
        <v>820</v>
      </c>
      <c r="EA71" s="133">
        <v>25.487896000000003</v>
      </c>
      <c r="EB71" s="133"/>
      <c r="EC71" s="133"/>
      <c r="ED71" s="133"/>
      <c r="EE71" s="133"/>
      <c r="EF71" s="134"/>
      <c r="EH71" s="780" t="s">
        <v>820</v>
      </c>
      <c r="EI71" s="133">
        <v>25.487896000000003</v>
      </c>
      <c r="EJ71" s="135"/>
      <c r="EK71" s="135"/>
      <c r="EL71" s="135"/>
      <c r="EM71" s="135"/>
      <c r="EN71" s="136"/>
      <c r="EP71" s="780" t="s">
        <v>820</v>
      </c>
      <c r="EQ71" s="133">
        <v>25.487896000000003</v>
      </c>
      <c r="ER71" s="133"/>
      <c r="ES71" s="133"/>
      <c r="ET71" s="133"/>
      <c r="EU71" s="133"/>
      <c r="EV71" s="134"/>
      <c r="EX71" s="780" t="s">
        <v>820</v>
      </c>
      <c r="EY71" s="133">
        <v>25.487896000000003</v>
      </c>
      <c r="EZ71" s="133"/>
      <c r="FA71" s="133"/>
      <c r="FB71" s="133"/>
      <c r="FC71" s="133"/>
      <c r="FD71" s="134"/>
      <c r="FF71" s="780" t="s">
        <v>820</v>
      </c>
      <c r="FG71" s="133">
        <v>18.934292000000003</v>
      </c>
      <c r="FH71" s="133"/>
      <c r="FI71" s="133"/>
      <c r="FJ71" s="133"/>
      <c r="FK71" s="133"/>
      <c r="FL71" s="134"/>
      <c r="FN71" s="780" t="s">
        <v>820</v>
      </c>
      <c r="FO71" s="133">
        <v>18.934292000000003</v>
      </c>
      <c r="FP71" s="133"/>
      <c r="FQ71" s="133"/>
      <c r="FR71" s="133"/>
      <c r="FS71" s="133"/>
      <c r="FT71" s="134"/>
      <c r="FV71" s="799" t="s">
        <v>820</v>
      </c>
      <c r="FW71" s="851">
        <f>(FO71+FG71+EY71+EQ71+EI71+EA71+DS71+DK71+DC71+CU71+CM71+CE71+BW71+BO71+BG71+AY71+AQ71+AI71+AA71+S71+K71+C71)/22</f>
        <v>24.097861818181823</v>
      </c>
      <c r="FX71" s="635"/>
      <c r="FY71" s="635"/>
      <c r="FZ71" s="635"/>
      <c r="GA71" s="635"/>
      <c r="GB71" s="829"/>
    </row>
    <row r="72" spans="2:184" ht="19" thickBot="1">
      <c r="B72" s="780" t="s">
        <v>370</v>
      </c>
      <c r="C72" s="852"/>
      <c r="D72" s="852"/>
      <c r="E72" s="852"/>
      <c r="F72" s="852"/>
      <c r="G72" s="852"/>
      <c r="H72" s="835">
        <v>0.27864137499999997</v>
      </c>
      <c r="J72" s="780" t="s">
        <v>370</v>
      </c>
      <c r="K72" s="831"/>
      <c r="L72" s="831"/>
      <c r="M72" s="831"/>
      <c r="N72" s="831"/>
      <c r="O72" s="831"/>
      <c r="P72" s="832">
        <v>0.27864137499999997</v>
      </c>
      <c r="R72" s="780" t="s">
        <v>370</v>
      </c>
      <c r="S72" s="836"/>
      <c r="T72" s="836"/>
      <c r="U72" s="836"/>
      <c r="V72" s="836"/>
      <c r="W72" s="836"/>
      <c r="X72" s="837">
        <v>0.27864137499999997</v>
      </c>
      <c r="Z72" s="780" t="s">
        <v>370</v>
      </c>
      <c r="AA72" s="836"/>
      <c r="AB72" s="836"/>
      <c r="AC72" s="836"/>
      <c r="AD72" s="836"/>
      <c r="AE72" s="836"/>
      <c r="AF72" s="837">
        <v>0.27864137499999997</v>
      </c>
      <c r="AH72" s="780" t="s">
        <v>370</v>
      </c>
      <c r="AI72" s="836"/>
      <c r="AJ72" s="836"/>
      <c r="AK72" s="836"/>
      <c r="AL72" s="836"/>
      <c r="AM72" s="836"/>
      <c r="AN72" s="837">
        <v>0.34829387499999998</v>
      </c>
      <c r="AP72" s="780" t="s">
        <v>370</v>
      </c>
      <c r="AQ72" s="836"/>
      <c r="AR72" s="836"/>
      <c r="AS72" s="836"/>
      <c r="AT72" s="836"/>
      <c r="AU72" s="836"/>
      <c r="AV72" s="837">
        <v>0.34829387499999998</v>
      </c>
      <c r="AX72" s="780" t="s">
        <v>370</v>
      </c>
      <c r="AY72" s="836"/>
      <c r="AZ72" s="836"/>
      <c r="BA72" s="836"/>
      <c r="BB72" s="836"/>
      <c r="BC72" s="836"/>
      <c r="BD72" s="837">
        <v>0.34829387499999998</v>
      </c>
      <c r="BF72" s="780" t="s">
        <v>370</v>
      </c>
      <c r="BG72" s="135"/>
      <c r="BH72" s="135"/>
      <c r="BI72" s="135"/>
      <c r="BJ72" s="135"/>
      <c r="BK72" s="135"/>
      <c r="BL72" s="136">
        <v>0.34829387499999998</v>
      </c>
      <c r="BN72" s="780" t="s">
        <v>370</v>
      </c>
      <c r="BO72" s="135"/>
      <c r="BP72" s="135"/>
      <c r="BQ72" s="135"/>
      <c r="BR72" s="135"/>
      <c r="BS72" s="135"/>
      <c r="BT72" s="136">
        <v>0.27864137499999997</v>
      </c>
      <c r="BV72" s="780" t="s">
        <v>370</v>
      </c>
      <c r="BW72" s="135"/>
      <c r="BX72" s="135"/>
      <c r="BY72" s="135"/>
      <c r="BZ72" s="135"/>
      <c r="CA72" s="135"/>
      <c r="CB72" s="136">
        <v>0.27864137499999997</v>
      </c>
      <c r="CD72" s="780" t="s">
        <v>370</v>
      </c>
      <c r="CE72" s="135"/>
      <c r="CF72" s="135"/>
      <c r="CG72" s="135"/>
      <c r="CH72" s="135"/>
      <c r="CI72" s="135"/>
      <c r="CJ72" s="136">
        <v>0.27864137499999997</v>
      </c>
      <c r="CL72" s="780" t="s">
        <v>370</v>
      </c>
      <c r="CM72" s="135"/>
      <c r="CN72" s="135"/>
      <c r="CO72" s="135"/>
      <c r="CP72" s="135"/>
      <c r="CQ72" s="135"/>
      <c r="CR72" s="136">
        <v>0.27864137499999997</v>
      </c>
      <c r="CT72" s="780" t="s">
        <v>370</v>
      </c>
      <c r="CU72" s="135"/>
      <c r="CV72" s="135"/>
      <c r="CW72" s="135"/>
      <c r="CX72" s="135"/>
      <c r="CY72" s="135"/>
      <c r="CZ72" s="136">
        <v>0.34829387499999998</v>
      </c>
      <c r="DB72" s="780" t="s">
        <v>370</v>
      </c>
      <c r="DC72" s="135"/>
      <c r="DD72" s="135"/>
      <c r="DE72" s="135"/>
      <c r="DF72" s="135"/>
      <c r="DG72" s="135"/>
      <c r="DH72" s="136">
        <v>0.34829387499999998</v>
      </c>
      <c r="DJ72" s="780" t="s">
        <v>370</v>
      </c>
      <c r="DK72" s="135"/>
      <c r="DL72" s="135"/>
      <c r="DM72" s="135"/>
      <c r="DN72" s="135"/>
      <c r="DO72" s="135"/>
      <c r="DP72" s="136">
        <v>0.34829387499999998</v>
      </c>
      <c r="DR72" s="780" t="s">
        <v>370</v>
      </c>
      <c r="DS72" s="135"/>
      <c r="DT72" s="135"/>
      <c r="DU72" s="135"/>
      <c r="DV72" s="135"/>
      <c r="DW72" s="135"/>
      <c r="DX72" s="136">
        <v>0.34829387499999998</v>
      </c>
      <c r="DZ72" s="780" t="s">
        <v>370</v>
      </c>
      <c r="EA72" s="135"/>
      <c r="EB72" s="135"/>
      <c r="EC72" s="135"/>
      <c r="ED72" s="135"/>
      <c r="EE72" s="135"/>
      <c r="EF72" s="136">
        <v>0.34829387499999998</v>
      </c>
      <c r="EH72" s="780" t="s">
        <v>370</v>
      </c>
      <c r="EI72" s="135"/>
      <c r="EJ72" s="135"/>
      <c r="EK72" s="135"/>
      <c r="EL72" s="135"/>
      <c r="EM72" s="135"/>
      <c r="EN72" s="136">
        <v>0.34829387499999998</v>
      </c>
      <c r="EP72" s="780" t="s">
        <v>370</v>
      </c>
      <c r="EQ72" s="135"/>
      <c r="ER72" s="135"/>
      <c r="ES72" s="135"/>
      <c r="ET72" s="135"/>
      <c r="EU72" s="135"/>
      <c r="EV72" s="136">
        <v>0.34829387499999998</v>
      </c>
      <c r="EX72" s="780" t="s">
        <v>370</v>
      </c>
      <c r="EY72" s="135"/>
      <c r="EZ72" s="135"/>
      <c r="FA72" s="135"/>
      <c r="FB72" s="135"/>
      <c r="FC72" s="135"/>
      <c r="FD72" s="136">
        <v>0.34829387499999998</v>
      </c>
      <c r="FF72" s="780" t="s">
        <v>370</v>
      </c>
      <c r="FG72" s="135"/>
      <c r="FH72" s="135"/>
      <c r="FI72" s="135"/>
      <c r="FJ72" s="135"/>
      <c r="FK72" s="135"/>
      <c r="FL72" s="136">
        <v>0.27864137499999997</v>
      </c>
      <c r="FN72" s="780" t="s">
        <v>370</v>
      </c>
      <c r="FO72" s="135"/>
      <c r="FP72" s="135"/>
      <c r="FQ72" s="135"/>
      <c r="FR72" s="135"/>
      <c r="FS72" s="135"/>
      <c r="FT72" s="136">
        <v>0.27864137499999997</v>
      </c>
      <c r="FV72" s="799" t="s">
        <v>370</v>
      </c>
      <c r="FW72" s="851"/>
      <c r="FX72" s="635"/>
      <c r="FY72" s="635"/>
      <c r="FZ72" s="635"/>
      <c r="GA72" s="635"/>
      <c r="GB72" s="829">
        <f>(FT72+FL72+FD72+EV72+EN72+EF72+DX72+DP72+DH72+CZ72+CR72+CJ72+CB72+BT72+BL72+BD72+AV72+AN72+AF72+X72+P72+H72)/22</f>
        <v>0.3166336477272727</v>
      </c>
    </row>
    <row r="73" spans="2:184" ht="19" thickBot="1">
      <c r="B73" s="139" t="s">
        <v>645</v>
      </c>
      <c r="C73" s="785">
        <f>SUM(C64:C72)</f>
        <v>800.58551740990379</v>
      </c>
      <c r="D73" s="785">
        <f>D66</f>
        <v>0.27455190679611652</v>
      </c>
      <c r="E73" s="785">
        <f>E67</f>
        <v>180.45189793510141</v>
      </c>
      <c r="F73" s="785">
        <f>F67</f>
        <v>122.84783415243801</v>
      </c>
      <c r="G73" s="785">
        <f>G67</f>
        <v>65.347062072329024</v>
      </c>
      <c r="H73" s="786">
        <f>H72</f>
        <v>0.27864137499999997</v>
      </c>
      <c r="J73" s="139" t="s">
        <v>645</v>
      </c>
      <c r="K73" s="785">
        <f>SUM(K64:K72)</f>
        <v>790.27692047927655</v>
      </c>
      <c r="L73" s="785">
        <f>L66</f>
        <v>0.27455190679611652</v>
      </c>
      <c r="M73" s="785">
        <f>M67</f>
        <v>175.75124834113834</v>
      </c>
      <c r="N73" s="785">
        <f>N67</f>
        <v>119.64773136418371</v>
      </c>
      <c r="O73" s="785">
        <f>O67</f>
        <v>63.644815410964192</v>
      </c>
      <c r="P73" s="786">
        <f>P72</f>
        <v>0.27864137499999997</v>
      </c>
      <c r="R73" s="139" t="s">
        <v>645</v>
      </c>
      <c r="S73" s="785">
        <f>SUM(S64:S72)</f>
        <v>713.7249982241575</v>
      </c>
      <c r="T73" s="785">
        <f>T66</f>
        <v>0.27455190679611652</v>
      </c>
      <c r="U73" s="785">
        <f>U67</f>
        <v>151.62892980435041</v>
      </c>
      <c r="V73" s="785">
        <f>V67</f>
        <v>103.22576727907685</v>
      </c>
      <c r="W73" s="785">
        <f>W67</f>
        <v>54.90939802389471</v>
      </c>
      <c r="X73" s="786">
        <f>X72</f>
        <v>0.27864137499999997</v>
      </c>
      <c r="Z73" s="139" t="s">
        <v>645</v>
      </c>
      <c r="AA73" s="785">
        <f>SUM(AA64:AA72)</f>
        <v>704.25596933051872</v>
      </c>
      <c r="AB73" s="785">
        <f>AB66</f>
        <v>0.27455190679611652</v>
      </c>
      <c r="AC73" s="785">
        <f>AC67</f>
        <v>146.92828021038736</v>
      </c>
      <c r="AD73" s="785">
        <f>AD67</f>
        <v>100.02566449082255</v>
      </c>
      <c r="AE73" s="785">
        <f>AE67</f>
        <v>53.207151362529885</v>
      </c>
      <c r="AF73" s="786">
        <f>AF72</f>
        <v>0.27864137499999997</v>
      </c>
      <c r="AH73" s="139" t="s">
        <v>645</v>
      </c>
      <c r="AI73" s="785">
        <f>SUM(AI64:AI72)</f>
        <v>899.80928629463494</v>
      </c>
      <c r="AJ73" s="785">
        <f>AJ66</f>
        <v>0.38124984854368932</v>
      </c>
      <c r="AK73" s="785">
        <f>AK67</f>
        <v>195.90771066781676</v>
      </c>
      <c r="AL73" s="785">
        <f>AL67</f>
        <v>133.36982445016611</v>
      </c>
      <c r="AM73" s="785">
        <f>AM67</f>
        <v>70.944076931027169</v>
      </c>
      <c r="AN73" s="786">
        <f>AN72</f>
        <v>0.34829387499999998</v>
      </c>
      <c r="AP73" s="139" t="s">
        <v>645</v>
      </c>
      <c r="AQ73" s="785">
        <f>SUM(AQ64:AQ72)</f>
        <v>810.91552165926009</v>
      </c>
      <c r="AR73" s="785">
        <f>AR66</f>
        <v>0.38124984854368932</v>
      </c>
      <c r="AS73" s="785">
        <f>AS67</f>
        <v>167.18887023189444</v>
      </c>
      <c r="AT73" s="785">
        <f>AT67</f>
        <v>113.8186455083333</v>
      </c>
      <c r="AU73" s="785">
        <f>AU67</f>
        <v>60.544120654111353</v>
      </c>
      <c r="AV73" s="786">
        <f>AV72</f>
        <v>0.34829387499999998</v>
      </c>
      <c r="AX73" s="139" t="s">
        <v>645</v>
      </c>
      <c r="AY73" s="785">
        <f>SUM(AY64:AY72)</f>
        <v>889.41635111766527</v>
      </c>
      <c r="AZ73" s="785">
        <f>AZ66</f>
        <v>0.38124984854368932</v>
      </c>
      <c r="BA73" s="785">
        <f>BA67</f>
        <v>191.34857333109804</v>
      </c>
      <c r="BB73" s="785">
        <f>BB67</f>
        <v>130.26606021255836</v>
      </c>
      <c r="BC73" s="785">
        <f>BC67</f>
        <v>69.293076116139758</v>
      </c>
      <c r="BD73" s="786">
        <f>BD72</f>
        <v>0.34829387499999998</v>
      </c>
      <c r="BF73" s="139" t="s">
        <v>645</v>
      </c>
      <c r="BG73" s="785">
        <f>SUM(BG64:BG72)</f>
        <v>801.4110869592505</v>
      </c>
      <c r="BH73" s="785">
        <f>BH66</f>
        <v>0.38124984854368932</v>
      </c>
      <c r="BI73" s="785">
        <f>BI67</f>
        <v>162.62973289517575</v>
      </c>
      <c r="BJ73" s="785">
        <f>BJ67</f>
        <v>110.71488127072557</v>
      </c>
      <c r="BK73" s="785">
        <f>BK67</f>
        <v>58.893119839223957</v>
      </c>
      <c r="BL73" s="786">
        <f>BL72</f>
        <v>0.34829387499999998</v>
      </c>
      <c r="BN73" s="139" t="s">
        <v>645</v>
      </c>
      <c r="BO73" s="785">
        <f>SUM(BO64:BO72)</f>
        <v>833.30419653205524</v>
      </c>
      <c r="BP73" s="785">
        <f>BP66</f>
        <v>0.27455190679611652</v>
      </c>
      <c r="BQ73" s="785">
        <f>BQ67</f>
        <v>182.87881146267338</v>
      </c>
      <c r="BR73" s="785">
        <f>BR67</f>
        <v>124.50002553390354</v>
      </c>
      <c r="BS73" s="785">
        <f>BS67</f>
        <v>66.225920486926896</v>
      </c>
      <c r="BT73" s="786">
        <f>BT72</f>
        <v>0.27864137499999997</v>
      </c>
      <c r="BV73" s="139" t="s">
        <v>645</v>
      </c>
      <c r="BW73" s="785">
        <f>SUM(BW64:BW72)</f>
        <v>743.72586486342288</v>
      </c>
      <c r="BX73" s="785">
        <f>BX66</f>
        <v>0.27455190679611652</v>
      </c>
      <c r="BY73" s="785">
        <f>BY67</f>
        <v>154.0558433319224</v>
      </c>
      <c r="BZ73" s="785">
        <f>BZ67</f>
        <v>104.87795866054238</v>
      </c>
      <c r="CA73" s="785">
        <f>CA67</f>
        <v>55.788256438492581</v>
      </c>
      <c r="CB73" s="786">
        <f>CB72</f>
        <v>0.27864137499999997</v>
      </c>
      <c r="CD73" s="139" t="s">
        <v>645</v>
      </c>
      <c r="CE73" s="785">
        <f>SUM(CE64:CE72)</f>
        <v>843.69718821882748</v>
      </c>
      <c r="CF73" s="785">
        <f>CF66</f>
        <v>0.27455190679611652</v>
      </c>
      <c r="CG73" s="785">
        <f>CG67</f>
        <v>187.57946105663643</v>
      </c>
      <c r="CH73" s="785">
        <f>CH67</f>
        <v>127.70012832215784</v>
      </c>
      <c r="CI73" s="785">
        <f>CI67</f>
        <v>67.92816714829172</v>
      </c>
      <c r="CJ73" s="786">
        <f>CJ72</f>
        <v>0.27864137499999997</v>
      </c>
      <c r="CL73" s="139" t="s">
        <v>645</v>
      </c>
      <c r="CM73" s="785">
        <f>SUM(CM64:CM72)</f>
        <v>752.78991727289656</v>
      </c>
      <c r="CN73" s="785">
        <f>CN66</f>
        <v>0.27455190679611652</v>
      </c>
      <c r="CO73" s="785">
        <f>CO67</f>
        <v>158.75649292588545</v>
      </c>
      <c r="CP73" s="785">
        <f>CP67</f>
        <v>108.07806144879667</v>
      </c>
      <c r="CQ73" s="785">
        <f>CQ67</f>
        <v>57.490503099857406</v>
      </c>
      <c r="CR73" s="786">
        <f>CR72</f>
        <v>0.27864137499999997</v>
      </c>
      <c r="CT73" s="139" t="s">
        <v>645</v>
      </c>
      <c r="CU73" s="785">
        <f>SUM(CU64:CU72)</f>
        <v>850.1967823813153</v>
      </c>
      <c r="CV73" s="785">
        <f>CV66</f>
        <v>0.38124984854368932</v>
      </c>
      <c r="CW73" s="785">
        <f>CW67</f>
        <v>174.27360711706496</v>
      </c>
      <c r="CX73" s="785">
        <f>CX67</f>
        <v>118.64178448244429</v>
      </c>
      <c r="CY73" s="785">
        <f>CY67</f>
        <v>63.109717061237312</v>
      </c>
      <c r="CZ73" s="786">
        <f>CZ72</f>
        <v>0.34829387499999998</v>
      </c>
      <c r="DB73" s="139" t="s">
        <v>645</v>
      </c>
      <c r="DC73" s="785">
        <f>SUM(DC64:DC72)</f>
        <v>938.55462826063399</v>
      </c>
      <c r="DD73" s="785">
        <f>DD66</f>
        <v>0.38124984854368932</v>
      </c>
      <c r="DE73" s="785">
        <f>DE67</f>
        <v>202.95181353037839</v>
      </c>
      <c r="DF73" s="785">
        <f>DF67</f>
        <v>138.16530064141071</v>
      </c>
      <c r="DG73" s="785">
        <f>DG67</f>
        <v>73.494958535881395</v>
      </c>
      <c r="DH73" s="786">
        <f>DH72</f>
        <v>0.34829387499999998</v>
      </c>
      <c r="DJ73" s="139" t="s">
        <v>645</v>
      </c>
      <c r="DK73" s="785">
        <f>SUM(DK64:DK72)</f>
        <v>929.64439719176869</v>
      </c>
      <c r="DL73" s="785">
        <f>DL66</f>
        <v>0.38124984854368932</v>
      </c>
      <c r="DM73" s="785">
        <f>DM67</f>
        <v>198.5194543441994</v>
      </c>
      <c r="DN73" s="785">
        <f>DN67</f>
        <v>135.14784428634607</v>
      </c>
      <c r="DO73" s="785">
        <f>DO67</f>
        <v>71.889867904081768</v>
      </c>
      <c r="DP73" s="786">
        <f>DP72</f>
        <v>0.34829387499999998</v>
      </c>
      <c r="DR73" s="139" t="s">
        <v>645</v>
      </c>
      <c r="DS73" s="785">
        <f>SUM(DS64:DS72)</f>
        <v>841.04986905151145</v>
      </c>
      <c r="DT73" s="785">
        <f>DT66</f>
        <v>0.38124984854368932</v>
      </c>
      <c r="DU73" s="785">
        <f>DU67</f>
        <v>169.71446978034621</v>
      </c>
      <c r="DV73" s="785">
        <f>DV67</f>
        <v>115.53802024483655</v>
      </c>
      <c r="DW73" s="785">
        <f>DW67</f>
        <v>61.458716246349901</v>
      </c>
      <c r="DX73" s="786">
        <f>DX72</f>
        <v>0.34829387499999998</v>
      </c>
      <c r="DZ73" s="139" t="s">
        <v>645</v>
      </c>
      <c r="EA73" s="785">
        <f>SUM(EA64:EA72)</f>
        <v>937.73019060323702</v>
      </c>
      <c r="EB73" s="785">
        <f>EB66</f>
        <v>0.38124984854368932</v>
      </c>
      <c r="EC73" s="785">
        <f>EC67</f>
        <v>199.19061462243513</v>
      </c>
      <c r="ED73" s="785">
        <f>ED67</f>
        <v>135.60475600350662</v>
      </c>
      <c r="EE73" s="785">
        <f>EE67</f>
        <v>72.132915236164266</v>
      </c>
      <c r="EF73" s="786">
        <f>EF72</f>
        <v>0.34829387499999998</v>
      </c>
      <c r="EH73" s="139" t="s">
        <v>645</v>
      </c>
      <c r="EI73" s="785">
        <f>SUM(EI64:EI72)</f>
        <v>849.21303795285928</v>
      </c>
      <c r="EJ73" s="785">
        <f>EJ66</f>
        <v>0.38124984854368932</v>
      </c>
      <c r="EK73" s="785">
        <f>EK67</f>
        <v>170.47177418651282</v>
      </c>
      <c r="EL73" s="785">
        <f>EL67</f>
        <v>116.05357706167382</v>
      </c>
      <c r="EM73" s="785">
        <f>EM67</f>
        <v>61.732958959248471</v>
      </c>
      <c r="EN73" s="786">
        <f>EN72</f>
        <v>0.34829387499999998</v>
      </c>
      <c r="EP73" s="139" t="s">
        <v>645</v>
      </c>
      <c r="EQ73" s="785">
        <f>SUM(EQ64:EQ72)</f>
        <v>927.7865349127303</v>
      </c>
      <c r="ER73" s="785">
        <f>ER66</f>
        <v>0.38124984854368932</v>
      </c>
      <c r="ES73" s="785">
        <f>ES67</f>
        <v>194.63147728571636</v>
      </c>
      <c r="ET73" s="785">
        <f>ET67</f>
        <v>132.50099176589885</v>
      </c>
      <c r="EU73" s="785">
        <f>EU67</f>
        <v>70.481914421276855</v>
      </c>
      <c r="EV73" s="786">
        <f>EV72</f>
        <v>0.34829387499999998</v>
      </c>
      <c r="EX73" s="139" t="s">
        <v>645</v>
      </c>
      <c r="EY73" s="785">
        <f>SUM(EY64:EY72)</f>
        <v>838.77060066273634</v>
      </c>
      <c r="EZ73" s="785">
        <f>EZ66</f>
        <v>0.38124984854368932</v>
      </c>
      <c r="FA73" s="785">
        <f>FA67</f>
        <v>166.00365706043803</v>
      </c>
      <c r="FB73" s="785">
        <f>FB67</f>
        <v>113.01177745768676</v>
      </c>
      <c r="FC73" s="785">
        <f>FC67</f>
        <v>60.114919301449724</v>
      </c>
      <c r="FD73" s="786">
        <f>FD72</f>
        <v>0.34829387499999998</v>
      </c>
      <c r="FF73" s="139" t="s">
        <v>645</v>
      </c>
      <c r="FG73" s="785">
        <f>SUM(FG64:FG72)</f>
        <v>711.05209275094319</v>
      </c>
      <c r="FH73" s="785">
        <f>FH66</f>
        <v>0.27455190679611652</v>
      </c>
      <c r="FI73" s="785">
        <f>FI67</f>
        <v>151.66910963075523</v>
      </c>
      <c r="FJ73" s="785">
        <f>FJ67</f>
        <v>103.25312085477726</v>
      </c>
      <c r="FK73" s="785">
        <f>FK67</f>
        <v>54.923948348054083</v>
      </c>
      <c r="FL73" s="786">
        <f>FL72</f>
        <v>0.27864137499999997</v>
      </c>
      <c r="FN73" s="139" t="s">
        <v>645</v>
      </c>
      <c r="FO73" s="785">
        <f>SUM(FO64:FO72)</f>
        <v>701.92985028974363</v>
      </c>
      <c r="FP73" s="785">
        <f>FP66</f>
        <v>0.27455190679611652</v>
      </c>
      <c r="FQ73" s="785">
        <f>FQ67</f>
        <v>146.96846003679218</v>
      </c>
      <c r="FR73" s="785">
        <f>FR67</f>
        <v>100.05301806652297</v>
      </c>
      <c r="FS73" s="785">
        <f>FS67</f>
        <v>53.221701686689265</v>
      </c>
      <c r="FT73" s="786">
        <f>FT72</f>
        <v>0.27864137499999997</v>
      </c>
      <c r="FV73" s="808" t="s">
        <v>996</v>
      </c>
      <c r="FW73" s="851">
        <f>SUM(FW64:FW72)</f>
        <v>823.17458192815252</v>
      </c>
      <c r="FX73" s="635">
        <f>SUM(FX66:FX72)</f>
        <v>0.33275078411297432</v>
      </c>
      <c r="FY73" s="635">
        <f>FY67</f>
        <v>174.06819499039631</v>
      </c>
      <c r="FZ73" s="635">
        <f>FZ67</f>
        <v>118.5019442526731</v>
      </c>
      <c r="GA73" s="635">
        <f>GA67</f>
        <v>63.035331149282797</v>
      </c>
      <c r="GB73" s="829">
        <f>GB72</f>
        <v>0.3166336477272727</v>
      </c>
    </row>
    <row r="74" spans="2:184" ht="16" thickBot="1">
      <c r="B74" s="138" t="s">
        <v>644</v>
      </c>
      <c r="C74" s="4659">
        <f>SUM(C73:H73)</f>
        <v>1169.7855048515682</v>
      </c>
      <c r="D74" s="4660"/>
      <c r="E74" s="4660"/>
      <c r="F74" s="4660"/>
      <c r="G74" s="4660"/>
      <c r="H74" s="4661"/>
      <c r="J74" s="138" t="s">
        <v>644</v>
      </c>
      <c r="K74" s="4659">
        <f>SUM(K73:P73)</f>
        <v>1149.8739088773589</v>
      </c>
      <c r="L74" s="4660"/>
      <c r="M74" s="4660"/>
      <c r="N74" s="4660"/>
      <c r="O74" s="4660"/>
      <c r="P74" s="4661"/>
      <c r="R74" s="138" t="s">
        <v>644</v>
      </c>
      <c r="S74" s="4659">
        <f>SUM(S73:X73)</f>
        <v>1024.0422866132756</v>
      </c>
      <c r="T74" s="4660"/>
      <c r="U74" s="4660"/>
      <c r="V74" s="4660"/>
      <c r="W74" s="4660"/>
      <c r="X74" s="4661"/>
      <c r="Z74" s="138" t="s">
        <v>644</v>
      </c>
      <c r="AA74" s="4659">
        <f>SUM(AA73:AF73)</f>
        <v>1004.9702586760546</v>
      </c>
      <c r="AB74" s="4660"/>
      <c r="AC74" s="4660"/>
      <c r="AD74" s="4660"/>
      <c r="AE74" s="4660"/>
      <c r="AF74" s="4661"/>
      <c r="AH74" s="138" t="s">
        <v>644</v>
      </c>
      <c r="AI74" s="4659">
        <f>SUM(AI73:AN73)</f>
        <v>1300.7604420671887</v>
      </c>
      <c r="AJ74" s="4837"/>
      <c r="AK74" s="4837"/>
      <c r="AL74" s="4837"/>
      <c r="AM74" s="4837"/>
      <c r="AN74" s="4838"/>
      <c r="AP74" s="138" t="s">
        <v>644</v>
      </c>
      <c r="AQ74" s="4659">
        <f>SUM(AQ73:AV73)</f>
        <v>1153.1967017771428</v>
      </c>
      <c r="AR74" s="4660"/>
      <c r="AS74" s="4660"/>
      <c r="AT74" s="4660"/>
      <c r="AU74" s="4660"/>
      <c r="AV74" s="4661"/>
      <c r="AX74" s="138" t="s">
        <v>644</v>
      </c>
      <c r="AY74" s="4659">
        <f>SUM(AY73:BD73)</f>
        <v>1281.0536045010051</v>
      </c>
      <c r="AZ74" s="4660"/>
      <c r="BA74" s="4660"/>
      <c r="BB74" s="4660"/>
      <c r="BC74" s="4660"/>
      <c r="BD74" s="4661"/>
      <c r="BF74" s="138" t="s">
        <v>644</v>
      </c>
      <c r="BG74" s="4659">
        <f>SUM(BG73:BL73)</f>
        <v>1134.3783646879197</v>
      </c>
      <c r="BH74" s="4660"/>
      <c r="BI74" s="4660"/>
      <c r="BJ74" s="4660"/>
      <c r="BK74" s="4660"/>
      <c r="BL74" s="4661"/>
      <c r="BN74" s="138" t="s">
        <v>644</v>
      </c>
      <c r="BO74" s="4659">
        <f>SUM(BO73:BT73)</f>
        <v>1207.4621472973552</v>
      </c>
      <c r="BP74" s="4660"/>
      <c r="BQ74" s="4660"/>
      <c r="BR74" s="4660"/>
      <c r="BS74" s="4660"/>
      <c r="BT74" s="4661"/>
      <c r="BV74" s="138" t="s">
        <v>644</v>
      </c>
      <c r="BW74" s="4659">
        <f>SUM(BW73:CB73)</f>
        <v>1059.0011165761764</v>
      </c>
      <c r="BX74" s="4660"/>
      <c r="BY74" s="4660"/>
      <c r="BZ74" s="4660"/>
      <c r="CA74" s="4660"/>
      <c r="CB74" s="4661"/>
      <c r="CD74" s="138" t="s">
        <v>644</v>
      </c>
      <c r="CE74" s="4659">
        <f>SUM(CE73:CJ73)</f>
        <v>1227.4581380277095</v>
      </c>
      <c r="CF74" s="4660"/>
      <c r="CG74" s="4660"/>
      <c r="CH74" s="4660"/>
      <c r="CI74" s="4660"/>
      <c r="CJ74" s="4661"/>
      <c r="CL74" s="138" t="s">
        <v>644</v>
      </c>
      <c r="CM74" s="4659">
        <f>SUM(CM73:CR73)</f>
        <v>1077.6681680292322</v>
      </c>
      <c r="CN74" s="4660"/>
      <c r="CO74" s="4660"/>
      <c r="CP74" s="4660"/>
      <c r="CQ74" s="4660"/>
      <c r="CR74" s="4661"/>
      <c r="CT74" s="138" t="s">
        <v>644</v>
      </c>
      <c r="CU74" s="4659">
        <f>SUM(CU73:CZ73)</f>
        <v>1206.9514347656057</v>
      </c>
      <c r="CV74" s="4660"/>
      <c r="CW74" s="4660"/>
      <c r="CX74" s="4660"/>
      <c r="CY74" s="4660"/>
      <c r="CZ74" s="4661"/>
      <c r="DB74" s="138" t="s">
        <v>644</v>
      </c>
      <c r="DC74" s="4659">
        <f>SUM(DC73:DH73)</f>
        <v>1353.8962446918483</v>
      </c>
      <c r="DD74" s="4660"/>
      <c r="DE74" s="4660"/>
      <c r="DF74" s="4660"/>
      <c r="DG74" s="4660"/>
      <c r="DH74" s="4661"/>
      <c r="DJ74" s="138" t="s">
        <v>644</v>
      </c>
      <c r="DK74" s="4659">
        <f>SUM(DK73:DP73)</f>
        <v>1335.9311074499396</v>
      </c>
      <c r="DL74" s="4660"/>
      <c r="DM74" s="4660"/>
      <c r="DN74" s="4660"/>
      <c r="DO74" s="4660"/>
      <c r="DP74" s="4661"/>
      <c r="DR74" s="138" t="s">
        <v>644</v>
      </c>
      <c r="DS74" s="4659">
        <f>SUM(DS73:DX73)</f>
        <v>1188.4906190465879</v>
      </c>
      <c r="DT74" s="4660"/>
      <c r="DU74" s="4660"/>
      <c r="DV74" s="4660"/>
      <c r="DW74" s="4660"/>
      <c r="DX74" s="4661"/>
      <c r="DZ74" s="138" t="s">
        <v>644</v>
      </c>
      <c r="EA74" s="4659">
        <f>SUM(EA73:EF73)</f>
        <v>1345.3880201888869</v>
      </c>
      <c r="EB74" s="4660"/>
      <c r="EC74" s="4660"/>
      <c r="ED74" s="4660"/>
      <c r="EE74" s="4660"/>
      <c r="EF74" s="4661"/>
      <c r="EH74" s="138" t="s">
        <v>644</v>
      </c>
      <c r="EI74" s="4659">
        <f>SUM(EI73:EN73)</f>
        <v>1198.200891883838</v>
      </c>
      <c r="EJ74" s="4660"/>
      <c r="EK74" s="4660"/>
      <c r="EL74" s="4660"/>
      <c r="EM74" s="4660"/>
      <c r="EN74" s="4661"/>
      <c r="EP74" s="138" t="s">
        <v>644</v>
      </c>
      <c r="EQ74" s="4659">
        <f>SUM(EQ73:EV73)</f>
        <v>1326.130462109166</v>
      </c>
      <c r="ER74" s="4660"/>
      <c r="ES74" s="4660"/>
      <c r="ET74" s="4660"/>
      <c r="EU74" s="4660"/>
      <c r="EV74" s="4661"/>
      <c r="EX74" s="138" t="s">
        <v>644</v>
      </c>
      <c r="EY74" s="4659">
        <f>SUM(EY73:FD73)</f>
        <v>1178.6304982058546</v>
      </c>
      <c r="EZ74" s="4660"/>
      <c r="FA74" s="4660"/>
      <c r="FB74" s="4660"/>
      <c r="FC74" s="4660"/>
      <c r="FD74" s="4661"/>
      <c r="FF74" s="138" t="s">
        <v>644</v>
      </c>
      <c r="FG74" s="4659">
        <f>SUM(FG73:FL73)</f>
        <v>1021.4514648663259</v>
      </c>
      <c r="FH74" s="4660"/>
      <c r="FI74" s="4660"/>
      <c r="FJ74" s="4660"/>
      <c r="FK74" s="4660"/>
      <c r="FL74" s="4661"/>
      <c r="FN74" s="138" t="s">
        <v>644</v>
      </c>
      <c r="FO74" s="4659">
        <f>SUM(FO73:FT73)</f>
        <v>1002.7262233615442</v>
      </c>
      <c r="FP74" s="4660"/>
      <c r="FQ74" s="4660"/>
      <c r="FR74" s="4660"/>
      <c r="FS74" s="4660"/>
      <c r="FT74" s="4661"/>
      <c r="FV74" s="808" t="s">
        <v>997</v>
      </c>
      <c r="FW74" s="4845">
        <f>FW73+FX73+FY73+FZ73+GA73+GB73</f>
        <v>1179.4294367523451</v>
      </c>
      <c r="FX74" s="4846"/>
      <c r="FY74" s="4846"/>
      <c r="FZ74" s="4846"/>
      <c r="GA74" s="4846"/>
      <c r="GB74" s="4847"/>
    </row>
    <row r="75" spans="2:184" ht="15.5">
      <c r="FV75" s="718"/>
    </row>
    <row r="77" spans="2:184" ht="26">
      <c r="B77" s="754" t="s">
        <v>1009</v>
      </c>
      <c r="AP77" s="754" t="s">
        <v>1009</v>
      </c>
      <c r="BU77" s="754" t="s">
        <v>1009</v>
      </c>
      <c r="DD77" s="754" t="s">
        <v>1009</v>
      </c>
      <c r="EO77" s="754" t="s">
        <v>1009</v>
      </c>
    </row>
    <row r="78" spans="2:184" s="759" customFormat="1" ht="20.5" thickBot="1">
      <c r="B78" s="756" t="s">
        <v>385</v>
      </c>
      <c r="C78" s="757"/>
      <c r="D78" s="757"/>
      <c r="E78" s="757"/>
      <c r="F78" s="757"/>
      <c r="G78" s="757"/>
      <c r="H78" s="758"/>
      <c r="J78" s="756" t="s">
        <v>386</v>
      </c>
      <c r="K78" s="757"/>
      <c r="L78" s="757"/>
      <c r="M78" s="757"/>
      <c r="N78" s="757"/>
      <c r="O78" s="757"/>
      <c r="P78" s="760"/>
      <c r="R78" s="756" t="s">
        <v>394</v>
      </c>
      <c r="Z78" s="756" t="s">
        <v>398</v>
      </c>
      <c r="AH78" s="756" t="s">
        <v>413</v>
      </c>
      <c r="AO78" s="813"/>
      <c r="AP78" s="756" t="s">
        <v>416</v>
      </c>
      <c r="AX78" s="756" t="s">
        <v>421</v>
      </c>
      <c r="BF78" s="756" t="s">
        <v>424</v>
      </c>
      <c r="BN78" s="756" t="s">
        <v>427</v>
      </c>
      <c r="BV78" s="756" t="s">
        <v>432</v>
      </c>
      <c r="CD78" s="756" t="s">
        <v>435</v>
      </c>
      <c r="CL78" s="756" t="s">
        <v>439</v>
      </c>
      <c r="CT78" s="756" t="s">
        <v>453</v>
      </c>
      <c r="DB78" s="756" t="s">
        <v>454</v>
      </c>
      <c r="DJ78" s="756" t="s">
        <v>455</v>
      </c>
      <c r="DR78" s="756" t="s">
        <v>456</v>
      </c>
      <c r="DZ78" s="756" t="s">
        <v>463</v>
      </c>
      <c r="EH78" s="756" t="s">
        <v>467</v>
      </c>
      <c r="EP78" s="756" t="s">
        <v>471</v>
      </c>
      <c r="EX78" s="756" t="s">
        <v>475</v>
      </c>
      <c r="FV78" s="4621" t="s">
        <v>1010</v>
      </c>
      <c r="FW78" s="4844"/>
      <c r="FX78" s="4844"/>
      <c r="FY78" s="4844"/>
      <c r="FZ78" s="4844"/>
      <c r="GA78" s="4844"/>
      <c r="GB78" s="4844"/>
    </row>
    <row r="79" spans="2:184" ht="19" thickBot="1">
      <c r="B79" s="4834" t="s">
        <v>363</v>
      </c>
      <c r="C79" s="4835"/>
      <c r="D79" s="4835"/>
      <c r="E79" s="4835"/>
      <c r="F79" s="4835"/>
      <c r="G79" s="4835"/>
      <c r="H79" s="4836"/>
      <c r="J79" s="4834" t="s">
        <v>363</v>
      </c>
      <c r="K79" s="4835"/>
      <c r="L79" s="4835"/>
      <c r="M79" s="4835"/>
      <c r="N79" s="4835"/>
      <c r="O79" s="4835"/>
      <c r="P79" s="4836"/>
      <c r="R79" s="4834" t="s">
        <v>363</v>
      </c>
      <c r="S79" s="4835"/>
      <c r="T79" s="4835"/>
      <c r="U79" s="4835"/>
      <c r="V79" s="4835"/>
      <c r="W79" s="4835"/>
      <c r="X79" s="4836"/>
      <c r="Z79" s="4834" t="s">
        <v>363</v>
      </c>
      <c r="AA79" s="4835"/>
      <c r="AB79" s="4835"/>
      <c r="AC79" s="4835"/>
      <c r="AD79" s="4835"/>
      <c r="AE79" s="4835"/>
      <c r="AF79" s="4836"/>
      <c r="AH79" s="4834" t="s">
        <v>363</v>
      </c>
      <c r="AI79" s="4835"/>
      <c r="AJ79" s="4835"/>
      <c r="AK79" s="4835"/>
      <c r="AL79" s="4835"/>
      <c r="AM79" s="4835"/>
      <c r="AN79" s="4836"/>
      <c r="AO79" s="22"/>
      <c r="AP79" s="4834" t="s">
        <v>363</v>
      </c>
      <c r="AQ79" s="4835"/>
      <c r="AR79" s="4835"/>
      <c r="AS79" s="4835"/>
      <c r="AT79" s="4835"/>
      <c r="AU79" s="4835"/>
      <c r="AV79" s="4836"/>
      <c r="AX79" s="4834" t="s">
        <v>363</v>
      </c>
      <c r="AY79" s="4835"/>
      <c r="AZ79" s="4835"/>
      <c r="BA79" s="4835"/>
      <c r="BB79" s="4835"/>
      <c r="BC79" s="4835"/>
      <c r="BD79" s="4836"/>
      <c r="BF79" s="4834" t="s">
        <v>363</v>
      </c>
      <c r="BG79" s="4835"/>
      <c r="BH79" s="4835"/>
      <c r="BI79" s="4835"/>
      <c r="BJ79" s="4835"/>
      <c r="BK79" s="4835"/>
      <c r="BL79" s="4836"/>
      <c r="BN79" s="4834" t="s">
        <v>363</v>
      </c>
      <c r="BO79" s="4835"/>
      <c r="BP79" s="4835"/>
      <c r="BQ79" s="4835"/>
      <c r="BR79" s="4835"/>
      <c r="BS79" s="4835"/>
      <c r="BT79" s="4836"/>
      <c r="BV79" s="4834" t="s">
        <v>363</v>
      </c>
      <c r="BW79" s="4835"/>
      <c r="BX79" s="4835"/>
      <c r="BY79" s="4835"/>
      <c r="BZ79" s="4835"/>
      <c r="CA79" s="4835"/>
      <c r="CB79" s="4836"/>
      <c r="CD79" s="4834" t="s">
        <v>363</v>
      </c>
      <c r="CE79" s="4835"/>
      <c r="CF79" s="4835"/>
      <c r="CG79" s="4835"/>
      <c r="CH79" s="4835"/>
      <c r="CI79" s="4835"/>
      <c r="CJ79" s="4836"/>
      <c r="CL79" s="4834" t="s">
        <v>363</v>
      </c>
      <c r="CM79" s="4835"/>
      <c r="CN79" s="4835"/>
      <c r="CO79" s="4835"/>
      <c r="CP79" s="4835"/>
      <c r="CQ79" s="4835"/>
      <c r="CR79" s="4836"/>
      <c r="CT79" s="4834" t="s">
        <v>363</v>
      </c>
      <c r="CU79" s="4835"/>
      <c r="CV79" s="4835"/>
      <c r="CW79" s="4835"/>
      <c r="CX79" s="4835"/>
      <c r="CY79" s="4835"/>
      <c r="CZ79" s="4836"/>
      <c r="DB79" s="4834" t="s">
        <v>363</v>
      </c>
      <c r="DC79" s="4835"/>
      <c r="DD79" s="4835"/>
      <c r="DE79" s="4835"/>
      <c r="DF79" s="4835"/>
      <c r="DG79" s="4835"/>
      <c r="DH79" s="4836"/>
      <c r="DJ79" s="4834" t="s">
        <v>363</v>
      </c>
      <c r="DK79" s="4835"/>
      <c r="DL79" s="4835"/>
      <c r="DM79" s="4835"/>
      <c r="DN79" s="4835"/>
      <c r="DO79" s="4835"/>
      <c r="DP79" s="4836"/>
      <c r="DR79" s="4834" t="s">
        <v>363</v>
      </c>
      <c r="DS79" s="4835"/>
      <c r="DT79" s="4835"/>
      <c r="DU79" s="4835"/>
      <c r="DV79" s="4835"/>
      <c r="DW79" s="4835"/>
      <c r="DX79" s="4836"/>
      <c r="DZ79" s="4834" t="s">
        <v>363</v>
      </c>
      <c r="EA79" s="4835"/>
      <c r="EB79" s="4835"/>
      <c r="EC79" s="4835"/>
      <c r="ED79" s="4835"/>
      <c r="EE79" s="4835"/>
      <c r="EF79" s="4836"/>
      <c r="EH79" s="4834" t="s">
        <v>363</v>
      </c>
      <c r="EI79" s="4835"/>
      <c r="EJ79" s="4835"/>
      <c r="EK79" s="4835"/>
      <c r="EL79" s="4835"/>
      <c r="EM79" s="4835"/>
      <c r="EN79" s="4836"/>
      <c r="EP79" s="4834" t="s">
        <v>363</v>
      </c>
      <c r="EQ79" s="4835"/>
      <c r="ER79" s="4835"/>
      <c r="ES79" s="4835"/>
      <c r="ET79" s="4835"/>
      <c r="EU79" s="4835"/>
      <c r="EV79" s="4836"/>
      <c r="EX79" s="4834" t="s">
        <v>363</v>
      </c>
      <c r="EY79" s="4835"/>
      <c r="EZ79" s="4835"/>
      <c r="FA79" s="4835"/>
      <c r="FB79" s="4835"/>
      <c r="FC79" s="4835"/>
      <c r="FD79" s="4836"/>
      <c r="FV79" s="4819" t="s">
        <v>1011</v>
      </c>
      <c r="FW79" s="4840"/>
      <c r="FX79" s="4840"/>
      <c r="FY79" s="4840"/>
      <c r="FZ79" s="4840"/>
      <c r="GA79" s="4840"/>
      <c r="GB79" s="4840"/>
    </row>
    <row r="80" spans="2:184" ht="20">
      <c r="B80" s="4830" t="s">
        <v>364</v>
      </c>
      <c r="C80" s="4832" t="s">
        <v>524</v>
      </c>
      <c r="D80" s="4832"/>
      <c r="E80" s="4832"/>
      <c r="F80" s="4832"/>
      <c r="G80" s="4832"/>
      <c r="H80" s="4833"/>
      <c r="J80" s="4830" t="s">
        <v>364</v>
      </c>
      <c r="K80" s="4832" t="s">
        <v>524</v>
      </c>
      <c r="L80" s="4832"/>
      <c r="M80" s="4832"/>
      <c r="N80" s="4832"/>
      <c r="O80" s="4832"/>
      <c r="P80" s="4833"/>
      <c r="R80" s="4830" t="s">
        <v>364</v>
      </c>
      <c r="S80" s="4832" t="s">
        <v>524</v>
      </c>
      <c r="T80" s="4832"/>
      <c r="U80" s="4832"/>
      <c r="V80" s="4832"/>
      <c r="W80" s="4832"/>
      <c r="X80" s="4833"/>
      <c r="Z80" s="4830" t="s">
        <v>364</v>
      </c>
      <c r="AA80" s="4832" t="s">
        <v>524</v>
      </c>
      <c r="AB80" s="4832"/>
      <c r="AC80" s="4832"/>
      <c r="AD80" s="4832"/>
      <c r="AE80" s="4832"/>
      <c r="AF80" s="4833"/>
      <c r="AH80" s="4830" t="s">
        <v>364</v>
      </c>
      <c r="AI80" s="4832" t="s">
        <v>524</v>
      </c>
      <c r="AJ80" s="4832"/>
      <c r="AK80" s="4832"/>
      <c r="AL80" s="4832"/>
      <c r="AM80" s="4832"/>
      <c r="AN80" s="4833"/>
      <c r="AO80" s="22"/>
      <c r="AP80" s="4830" t="s">
        <v>364</v>
      </c>
      <c r="AQ80" s="4832" t="s">
        <v>524</v>
      </c>
      <c r="AR80" s="4832"/>
      <c r="AS80" s="4832"/>
      <c r="AT80" s="4832"/>
      <c r="AU80" s="4832"/>
      <c r="AV80" s="4833"/>
      <c r="AX80" s="4830" t="s">
        <v>364</v>
      </c>
      <c r="AY80" s="4832" t="s">
        <v>524</v>
      </c>
      <c r="AZ80" s="4832"/>
      <c r="BA80" s="4832"/>
      <c r="BB80" s="4832"/>
      <c r="BC80" s="4832"/>
      <c r="BD80" s="4833"/>
      <c r="BF80" s="4830" t="s">
        <v>364</v>
      </c>
      <c r="BG80" s="4832" t="s">
        <v>524</v>
      </c>
      <c r="BH80" s="4832"/>
      <c r="BI80" s="4832"/>
      <c r="BJ80" s="4832"/>
      <c r="BK80" s="4832"/>
      <c r="BL80" s="4833"/>
      <c r="BN80" s="4830" t="s">
        <v>364</v>
      </c>
      <c r="BO80" s="4832" t="s">
        <v>524</v>
      </c>
      <c r="BP80" s="4832"/>
      <c r="BQ80" s="4832"/>
      <c r="BR80" s="4832"/>
      <c r="BS80" s="4832"/>
      <c r="BT80" s="4833"/>
      <c r="BV80" s="4830" t="s">
        <v>364</v>
      </c>
      <c r="BW80" s="4832" t="s">
        <v>524</v>
      </c>
      <c r="BX80" s="4832"/>
      <c r="BY80" s="4832"/>
      <c r="BZ80" s="4832"/>
      <c r="CA80" s="4832"/>
      <c r="CB80" s="4833"/>
      <c r="CD80" s="4830" t="s">
        <v>364</v>
      </c>
      <c r="CE80" s="4832" t="s">
        <v>524</v>
      </c>
      <c r="CF80" s="4832"/>
      <c r="CG80" s="4832"/>
      <c r="CH80" s="4832"/>
      <c r="CI80" s="4832"/>
      <c r="CJ80" s="4833"/>
      <c r="CL80" s="4830" t="s">
        <v>364</v>
      </c>
      <c r="CM80" s="4832" t="s">
        <v>524</v>
      </c>
      <c r="CN80" s="4832"/>
      <c r="CO80" s="4832"/>
      <c r="CP80" s="4832"/>
      <c r="CQ80" s="4832"/>
      <c r="CR80" s="4833"/>
      <c r="CT80" s="4830" t="s">
        <v>364</v>
      </c>
      <c r="CU80" s="4832" t="s">
        <v>524</v>
      </c>
      <c r="CV80" s="4832"/>
      <c r="CW80" s="4832"/>
      <c r="CX80" s="4832"/>
      <c r="CY80" s="4832"/>
      <c r="CZ80" s="4833"/>
      <c r="DB80" s="4830" t="s">
        <v>364</v>
      </c>
      <c r="DC80" s="4832" t="s">
        <v>524</v>
      </c>
      <c r="DD80" s="4832"/>
      <c r="DE80" s="4832"/>
      <c r="DF80" s="4832"/>
      <c r="DG80" s="4832"/>
      <c r="DH80" s="4833"/>
      <c r="DJ80" s="4830" t="s">
        <v>364</v>
      </c>
      <c r="DK80" s="4832" t="s">
        <v>524</v>
      </c>
      <c r="DL80" s="4832"/>
      <c r="DM80" s="4832"/>
      <c r="DN80" s="4832"/>
      <c r="DO80" s="4832"/>
      <c r="DP80" s="4833"/>
      <c r="DR80" s="4830" t="s">
        <v>364</v>
      </c>
      <c r="DS80" s="4832" t="s">
        <v>524</v>
      </c>
      <c r="DT80" s="4832"/>
      <c r="DU80" s="4832"/>
      <c r="DV80" s="4832"/>
      <c r="DW80" s="4832"/>
      <c r="DX80" s="4833"/>
      <c r="DZ80" s="4830" t="s">
        <v>364</v>
      </c>
      <c r="EA80" s="4832" t="s">
        <v>524</v>
      </c>
      <c r="EB80" s="4832"/>
      <c r="EC80" s="4832"/>
      <c r="ED80" s="4832"/>
      <c r="EE80" s="4832"/>
      <c r="EF80" s="4833"/>
      <c r="EH80" s="4830" t="s">
        <v>364</v>
      </c>
      <c r="EI80" s="4832" t="s">
        <v>524</v>
      </c>
      <c r="EJ80" s="4832"/>
      <c r="EK80" s="4832"/>
      <c r="EL80" s="4832"/>
      <c r="EM80" s="4832"/>
      <c r="EN80" s="4833"/>
      <c r="EP80" s="4830" t="s">
        <v>364</v>
      </c>
      <c r="EQ80" s="4832" t="s">
        <v>524</v>
      </c>
      <c r="ER80" s="4832"/>
      <c r="ES80" s="4832"/>
      <c r="ET80" s="4832"/>
      <c r="EU80" s="4832"/>
      <c r="EV80" s="4833"/>
      <c r="EX80" s="4830" t="s">
        <v>364</v>
      </c>
      <c r="EY80" s="4832" t="s">
        <v>524</v>
      </c>
      <c r="EZ80" s="4832"/>
      <c r="FA80" s="4832"/>
      <c r="FB80" s="4832"/>
      <c r="FC80" s="4832"/>
      <c r="FD80" s="4833"/>
      <c r="FV80" s="4822" t="s">
        <v>993</v>
      </c>
      <c r="FW80" s="4841" t="s">
        <v>524</v>
      </c>
      <c r="FX80" s="4842"/>
      <c r="FY80" s="4842"/>
      <c r="FZ80" s="4842"/>
      <c r="GA80" s="4842"/>
      <c r="GB80" s="4843"/>
    </row>
    <row r="81" spans="2:184" ht="37">
      <c r="B81" s="4831"/>
      <c r="C81" s="762" t="s">
        <v>994</v>
      </c>
      <c r="D81" s="762" t="s">
        <v>371</v>
      </c>
      <c r="E81" s="762" t="s">
        <v>372</v>
      </c>
      <c r="F81" s="762" t="s">
        <v>373</v>
      </c>
      <c r="G81" s="762" t="s">
        <v>374</v>
      </c>
      <c r="H81" s="763" t="s">
        <v>523</v>
      </c>
      <c r="J81" s="4831"/>
      <c r="K81" s="762" t="s">
        <v>994</v>
      </c>
      <c r="L81" s="762" t="s">
        <v>371</v>
      </c>
      <c r="M81" s="762" t="s">
        <v>372</v>
      </c>
      <c r="N81" s="762" t="s">
        <v>373</v>
      </c>
      <c r="O81" s="762" t="s">
        <v>374</v>
      </c>
      <c r="P81" s="764" t="s">
        <v>523</v>
      </c>
      <c r="R81" s="4831"/>
      <c r="S81" s="762" t="s">
        <v>994</v>
      </c>
      <c r="T81" s="762" t="s">
        <v>371</v>
      </c>
      <c r="U81" s="762" t="s">
        <v>372</v>
      </c>
      <c r="V81" s="762" t="s">
        <v>373</v>
      </c>
      <c r="W81" s="762" t="s">
        <v>374</v>
      </c>
      <c r="X81" s="765" t="s">
        <v>523</v>
      </c>
      <c r="Z81" s="4831"/>
      <c r="AA81" s="762" t="s">
        <v>994</v>
      </c>
      <c r="AB81" s="762" t="s">
        <v>371</v>
      </c>
      <c r="AC81" s="762" t="s">
        <v>372</v>
      </c>
      <c r="AD81" s="762" t="s">
        <v>373</v>
      </c>
      <c r="AE81" s="762" t="s">
        <v>374</v>
      </c>
      <c r="AF81" s="765" t="s">
        <v>523</v>
      </c>
      <c r="AH81" s="4831"/>
      <c r="AI81" s="762" t="s">
        <v>994</v>
      </c>
      <c r="AJ81" s="762" t="s">
        <v>371</v>
      </c>
      <c r="AK81" s="762" t="s">
        <v>372</v>
      </c>
      <c r="AL81" s="762" t="s">
        <v>373</v>
      </c>
      <c r="AM81" s="762" t="s">
        <v>374</v>
      </c>
      <c r="AN81" s="765" t="s">
        <v>523</v>
      </c>
      <c r="AO81" s="22"/>
      <c r="AP81" s="4831"/>
      <c r="AQ81" s="762" t="s">
        <v>994</v>
      </c>
      <c r="AR81" s="762" t="s">
        <v>371</v>
      </c>
      <c r="AS81" s="762" t="s">
        <v>372</v>
      </c>
      <c r="AT81" s="762" t="s">
        <v>373</v>
      </c>
      <c r="AU81" s="762" t="s">
        <v>374</v>
      </c>
      <c r="AV81" s="765" t="s">
        <v>523</v>
      </c>
      <c r="AX81" s="4831"/>
      <c r="AY81" s="762" t="s">
        <v>994</v>
      </c>
      <c r="AZ81" s="762" t="s">
        <v>371</v>
      </c>
      <c r="BA81" s="762" t="s">
        <v>372</v>
      </c>
      <c r="BB81" s="762" t="s">
        <v>373</v>
      </c>
      <c r="BC81" s="762" t="s">
        <v>374</v>
      </c>
      <c r="BD81" s="765" t="s">
        <v>523</v>
      </c>
      <c r="BF81" s="4831"/>
      <c r="BG81" s="762" t="s">
        <v>994</v>
      </c>
      <c r="BH81" s="762" t="s">
        <v>371</v>
      </c>
      <c r="BI81" s="762" t="s">
        <v>372</v>
      </c>
      <c r="BJ81" s="762" t="s">
        <v>373</v>
      </c>
      <c r="BK81" s="762" t="s">
        <v>374</v>
      </c>
      <c r="BL81" s="765" t="s">
        <v>523</v>
      </c>
      <c r="BN81" s="4831"/>
      <c r="BO81" s="762" t="s">
        <v>994</v>
      </c>
      <c r="BP81" s="762" t="s">
        <v>371</v>
      </c>
      <c r="BQ81" s="762" t="s">
        <v>372</v>
      </c>
      <c r="BR81" s="762" t="s">
        <v>373</v>
      </c>
      <c r="BS81" s="762" t="s">
        <v>374</v>
      </c>
      <c r="BT81" s="765" t="s">
        <v>523</v>
      </c>
      <c r="BV81" s="4831"/>
      <c r="BW81" s="762" t="s">
        <v>994</v>
      </c>
      <c r="BX81" s="762" t="s">
        <v>371</v>
      </c>
      <c r="BY81" s="762" t="s">
        <v>372</v>
      </c>
      <c r="BZ81" s="762" t="s">
        <v>373</v>
      </c>
      <c r="CA81" s="762" t="s">
        <v>374</v>
      </c>
      <c r="CB81" s="765" t="s">
        <v>523</v>
      </c>
      <c r="CD81" s="4831"/>
      <c r="CE81" s="762" t="s">
        <v>994</v>
      </c>
      <c r="CF81" s="762" t="s">
        <v>371</v>
      </c>
      <c r="CG81" s="762" t="s">
        <v>372</v>
      </c>
      <c r="CH81" s="762" t="s">
        <v>373</v>
      </c>
      <c r="CI81" s="762" t="s">
        <v>374</v>
      </c>
      <c r="CJ81" s="765" t="s">
        <v>523</v>
      </c>
      <c r="CL81" s="4831"/>
      <c r="CM81" s="762" t="s">
        <v>994</v>
      </c>
      <c r="CN81" s="762" t="s">
        <v>371</v>
      </c>
      <c r="CO81" s="762" t="s">
        <v>372</v>
      </c>
      <c r="CP81" s="762" t="s">
        <v>373</v>
      </c>
      <c r="CQ81" s="762" t="s">
        <v>374</v>
      </c>
      <c r="CR81" s="765" t="s">
        <v>523</v>
      </c>
      <c r="CT81" s="4831"/>
      <c r="CU81" s="762" t="s">
        <v>994</v>
      </c>
      <c r="CV81" s="762" t="s">
        <v>371</v>
      </c>
      <c r="CW81" s="762" t="s">
        <v>372</v>
      </c>
      <c r="CX81" s="762" t="s">
        <v>373</v>
      </c>
      <c r="CY81" s="762" t="s">
        <v>374</v>
      </c>
      <c r="CZ81" s="765" t="s">
        <v>523</v>
      </c>
      <c r="DB81" s="4831"/>
      <c r="DC81" s="762" t="s">
        <v>994</v>
      </c>
      <c r="DD81" s="762" t="s">
        <v>371</v>
      </c>
      <c r="DE81" s="762" t="s">
        <v>372</v>
      </c>
      <c r="DF81" s="762" t="s">
        <v>373</v>
      </c>
      <c r="DG81" s="762" t="s">
        <v>374</v>
      </c>
      <c r="DH81" s="765" t="s">
        <v>523</v>
      </c>
      <c r="DJ81" s="4831"/>
      <c r="DK81" s="762" t="s">
        <v>994</v>
      </c>
      <c r="DL81" s="762" t="s">
        <v>371</v>
      </c>
      <c r="DM81" s="762" t="s">
        <v>372</v>
      </c>
      <c r="DN81" s="762" t="s">
        <v>373</v>
      </c>
      <c r="DO81" s="762" t="s">
        <v>374</v>
      </c>
      <c r="DP81" s="765" t="s">
        <v>523</v>
      </c>
      <c r="DR81" s="4831"/>
      <c r="DS81" s="762" t="s">
        <v>994</v>
      </c>
      <c r="DT81" s="762" t="s">
        <v>371</v>
      </c>
      <c r="DU81" s="762" t="s">
        <v>372</v>
      </c>
      <c r="DV81" s="762" t="s">
        <v>373</v>
      </c>
      <c r="DW81" s="762" t="s">
        <v>374</v>
      </c>
      <c r="DX81" s="765" t="s">
        <v>523</v>
      </c>
      <c r="DZ81" s="4831"/>
      <c r="EA81" s="762" t="s">
        <v>994</v>
      </c>
      <c r="EB81" s="762" t="s">
        <v>371</v>
      </c>
      <c r="EC81" s="762" t="s">
        <v>372</v>
      </c>
      <c r="ED81" s="762" t="s">
        <v>373</v>
      </c>
      <c r="EE81" s="762" t="s">
        <v>374</v>
      </c>
      <c r="EF81" s="765" t="s">
        <v>523</v>
      </c>
      <c r="EH81" s="4831"/>
      <c r="EI81" s="762" t="s">
        <v>994</v>
      </c>
      <c r="EJ81" s="762" t="s">
        <v>371</v>
      </c>
      <c r="EK81" s="762" t="s">
        <v>372</v>
      </c>
      <c r="EL81" s="762" t="s">
        <v>373</v>
      </c>
      <c r="EM81" s="762" t="s">
        <v>374</v>
      </c>
      <c r="EN81" s="765" t="s">
        <v>523</v>
      </c>
      <c r="EP81" s="4831"/>
      <c r="EQ81" s="762" t="s">
        <v>994</v>
      </c>
      <c r="ER81" s="762" t="s">
        <v>371</v>
      </c>
      <c r="ES81" s="762" t="s">
        <v>372</v>
      </c>
      <c r="ET81" s="762" t="s">
        <v>373</v>
      </c>
      <c r="EU81" s="762" t="s">
        <v>374</v>
      </c>
      <c r="EV81" s="765" t="s">
        <v>523</v>
      </c>
      <c r="EX81" s="4831"/>
      <c r="EY81" s="762" t="s">
        <v>994</v>
      </c>
      <c r="EZ81" s="762" t="s">
        <v>371</v>
      </c>
      <c r="FA81" s="762" t="s">
        <v>372</v>
      </c>
      <c r="FB81" s="762" t="s">
        <v>373</v>
      </c>
      <c r="FC81" s="762" t="s">
        <v>374</v>
      </c>
      <c r="FD81" s="765" t="s">
        <v>523</v>
      </c>
      <c r="FV81" s="4823"/>
      <c r="FW81" s="820" t="s">
        <v>994</v>
      </c>
      <c r="FX81" s="820" t="s">
        <v>371</v>
      </c>
      <c r="FY81" s="820" t="s">
        <v>372</v>
      </c>
      <c r="FZ81" s="820" t="s">
        <v>373</v>
      </c>
      <c r="GA81" s="820" t="s">
        <v>374</v>
      </c>
      <c r="GB81" s="821" t="s">
        <v>1005</v>
      </c>
    </row>
    <row r="82" spans="2:184" ht="29.25" customHeight="1">
      <c r="B82" s="769" t="s">
        <v>365</v>
      </c>
      <c r="C82" s="822">
        <v>0.8883589857354367</v>
      </c>
      <c r="D82" s="822"/>
      <c r="E82" s="822"/>
      <c r="F82" s="822"/>
      <c r="G82" s="822"/>
      <c r="H82" s="847"/>
      <c r="J82" s="769" t="s">
        <v>365</v>
      </c>
      <c r="K82" s="822">
        <v>0.8883589857354367</v>
      </c>
      <c r="L82" s="822"/>
      <c r="M82" s="822"/>
      <c r="N82" s="822"/>
      <c r="O82" s="822"/>
      <c r="P82" s="823"/>
      <c r="R82" s="769" t="s">
        <v>365</v>
      </c>
      <c r="S82" s="824">
        <v>0.8883589857354367</v>
      </c>
      <c r="T82" s="824"/>
      <c r="U82" s="824"/>
      <c r="V82" s="824"/>
      <c r="W82" s="824"/>
      <c r="X82" s="825"/>
      <c r="Z82" s="769" t="s">
        <v>365</v>
      </c>
      <c r="AA82" s="824">
        <v>0.8883589857354367</v>
      </c>
      <c r="AB82" s="824"/>
      <c r="AC82" s="824"/>
      <c r="AD82" s="824"/>
      <c r="AE82" s="824"/>
      <c r="AF82" s="825"/>
      <c r="AH82" s="769" t="s">
        <v>365</v>
      </c>
      <c r="AI82" s="824">
        <v>2.1338395019161891</v>
      </c>
      <c r="AJ82" s="824"/>
      <c r="AK82" s="824"/>
      <c r="AL82" s="824"/>
      <c r="AM82" s="824"/>
      <c r="AN82" s="825"/>
      <c r="AO82" s="22"/>
      <c r="AP82" s="769" t="s">
        <v>365</v>
      </c>
      <c r="AQ82" s="822">
        <v>2.1338395019161891</v>
      </c>
      <c r="AR82" s="822"/>
      <c r="AS82" s="822"/>
      <c r="AT82" s="822"/>
      <c r="AU82" s="822"/>
      <c r="AV82" s="826"/>
      <c r="AX82" s="769" t="s">
        <v>365</v>
      </c>
      <c r="AY82" s="133">
        <v>2.1338395019161891</v>
      </c>
      <c r="AZ82" s="133"/>
      <c r="BA82" s="133"/>
      <c r="BB82" s="133"/>
      <c r="BC82" s="133"/>
      <c r="BD82" s="134"/>
      <c r="BF82" s="769" t="s">
        <v>365</v>
      </c>
      <c r="BG82" s="133">
        <v>2.1338395019161891</v>
      </c>
      <c r="BH82" s="133"/>
      <c r="BI82" s="133"/>
      <c r="BJ82" s="133"/>
      <c r="BK82" s="133"/>
      <c r="BL82" s="134"/>
      <c r="BN82" s="769" t="s">
        <v>365</v>
      </c>
      <c r="BO82" s="133">
        <v>0.60215799482625343</v>
      </c>
      <c r="BP82" s="133"/>
      <c r="BQ82" s="133"/>
      <c r="BR82" s="133"/>
      <c r="BS82" s="133"/>
      <c r="BT82" s="134"/>
      <c r="BV82" s="769" t="s">
        <v>365</v>
      </c>
      <c r="BW82" s="133">
        <v>0.60215799482625343</v>
      </c>
      <c r="BX82" s="133"/>
      <c r="BY82" s="133"/>
      <c r="BZ82" s="133"/>
      <c r="CA82" s="133"/>
      <c r="CB82" s="134"/>
      <c r="CD82" s="769" t="s">
        <v>365</v>
      </c>
      <c r="CE82" s="133">
        <v>0.60215799482625343</v>
      </c>
      <c r="CF82" s="133"/>
      <c r="CG82" s="133"/>
      <c r="CH82" s="133"/>
      <c r="CI82" s="133"/>
      <c r="CJ82" s="134"/>
      <c r="CL82" s="769" t="s">
        <v>365</v>
      </c>
      <c r="CM82" s="133">
        <v>0.60215799482625343</v>
      </c>
      <c r="CN82" s="133"/>
      <c r="CO82" s="133"/>
      <c r="CP82" s="133"/>
      <c r="CQ82" s="133"/>
      <c r="CR82" s="134"/>
      <c r="CT82" s="769" t="s">
        <v>365</v>
      </c>
      <c r="CU82" s="133">
        <v>2.1739232057045395</v>
      </c>
      <c r="CV82" s="133"/>
      <c r="CW82" s="133"/>
      <c r="CX82" s="133"/>
      <c r="CY82" s="133"/>
      <c r="CZ82" s="134"/>
      <c r="DB82" s="769" t="s">
        <v>365</v>
      </c>
      <c r="DC82" s="133">
        <v>2.1739232057045395</v>
      </c>
      <c r="DD82" s="133"/>
      <c r="DE82" s="133"/>
      <c r="DF82" s="133"/>
      <c r="DG82" s="133"/>
      <c r="DH82" s="134"/>
      <c r="DJ82" s="769" t="s">
        <v>365</v>
      </c>
      <c r="DK82" s="133">
        <v>2.1739232057045395</v>
      </c>
      <c r="DL82" s="133"/>
      <c r="DM82" s="133"/>
      <c r="DN82" s="133"/>
      <c r="DO82" s="133"/>
      <c r="DP82" s="134"/>
      <c r="DR82" s="769" t="s">
        <v>365</v>
      </c>
      <c r="DS82" s="133">
        <v>2.1739232057045395</v>
      </c>
      <c r="DT82" s="133"/>
      <c r="DU82" s="133"/>
      <c r="DV82" s="133"/>
      <c r="DW82" s="133"/>
      <c r="DX82" s="134"/>
      <c r="DZ82" s="769" t="s">
        <v>365</v>
      </c>
      <c r="EA82" s="133">
        <v>2.4498720662822024</v>
      </c>
      <c r="EB82" s="133"/>
      <c r="EC82" s="133"/>
      <c r="ED82" s="133"/>
      <c r="EE82" s="133"/>
      <c r="EF82" s="134"/>
      <c r="EH82" s="769" t="s">
        <v>365</v>
      </c>
      <c r="EI82" s="133">
        <v>2.4498720662822024</v>
      </c>
      <c r="EJ82" s="133"/>
      <c r="EK82" s="133"/>
      <c r="EL82" s="133"/>
      <c r="EM82" s="133"/>
      <c r="EN82" s="134"/>
      <c r="EP82" s="769" t="s">
        <v>365</v>
      </c>
      <c r="EQ82" s="133">
        <v>2.4498720662822024</v>
      </c>
      <c r="ER82" s="133"/>
      <c r="ES82" s="133"/>
      <c r="ET82" s="133"/>
      <c r="EU82" s="133"/>
      <c r="EV82" s="134"/>
      <c r="EX82" s="769" t="s">
        <v>365</v>
      </c>
      <c r="EY82" s="133">
        <v>2.4498720662822024</v>
      </c>
      <c r="EZ82" s="133"/>
      <c r="FA82" s="133"/>
      <c r="FB82" s="133"/>
      <c r="FC82" s="133"/>
      <c r="FD82" s="134"/>
      <c r="FV82" s="799" t="s">
        <v>365</v>
      </c>
      <c r="FW82" s="853">
        <f>SUM(B82:FU82)/20</f>
        <v>1.6496303508929244</v>
      </c>
      <c r="FX82" s="853"/>
      <c r="FY82" s="853"/>
      <c r="FZ82" s="853"/>
      <c r="GA82" s="853"/>
      <c r="GB82" s="854"/>
    </row>
    <row r="83" spans="2:184" ht="26.25" customHeight="1">
      <c r="B83" s="769" t="s">
        <v>366</v>
      </c>
      <c r="C83" s="822">
        <v>263.39126808458076</v>
      </c>
      <c r="D83" s="822"/>
      <c r="E83" s="822"/>
      <c r="F83" s="822"/>
      <c r="G83" s="822"/>
      <c r="H83" s="847"/>
      <c r="J83" s="769" t="s">
        <v>366</v>
      </c>
      <c r="K83" s="822">
        <v>266.35756609084535</v>
      </c>
      <c r="L83" s="822"/>
      <c r="M83" s="822"/>
      <c r="N83" s="822"/>
      <c r="O83" s="822"/>
      <c r="P83" s="823"/>
      <c r="R83" s="769" t="s">
        <v>366</v>
      </c>
      <c r="S83" s="824">
        <v>230.53894105043167</v>
      </c>
      <c r="T83" s="824"/>
      <c r="U83" s="824"/>
      <c r="V83" s="824"/>
      <c r="W83" s="824"/>
      <c r="X83" s="825"/>
      <c r="Z83" s="769" t="s">
        <v>366</v>
      </c>
      <c r="AA83" s="824">
        <v>234.23543525495754</v>
      </c>
      <c r="AB83" s="824"/>
      <c r="AC83" s="824"/>
      <c r="AD83" s="824"/>
      <c r="AE83" s="824"/>
      <c r="AF83" s="825"/>
      <c r="AH83" s="769" t="s">
        <v>366</v>
      </c>
      <c r="AI83" s="824">
        <v>249.48278115023768</v>
      </c>
      <c r="AJ83" s="824"/>
      <c r="AK83" s="824"/>
      <c r="AL83" s="824"/>
      <c r="AM83" s="824"/>
      <c r="AN83" s="825"/>
      <c r="AO83" s="22"/>
      <c r="AP83" s="769" t="s">
        <v>366</v>
      </c>
      <c r="AQ83" s="822">
        <v>281.61547314313731</v>
      </c>
      <c r="AR83" s="822"/>
      <c r="AS83" s="822"/>
      <c r="AT83" s="822"/>
      <c r="AU83" s="822"/>
      <c r="AV83" s="826"/>
      <c r="AX83" s="769" t="s">
        <v>366</v>
      </c>
      <c r="AY83" s="133">
        <v>253.17650458657312</v>
      </c>
      <c r="AZ83" s="133"/>
      <c r="BA83" s="133"/>
      <c r="BB83" s="133"/>
      <c r="BC83" s="133"/>
      <c r="BD83" s="134"/>
      <c r="BF83" s="769" t="s">
        <v>366</v>
      </c>
      <c r="BG83" s="133">
        <v>284.68521297297895</v>
      </c>
      <c r="BH83" s="133"/>
      <c r="BI83" s="133"/>
      <c r="BJ83" s="133"/>
      <c r="BK83" s="133"/>
      <c r="BL83" s="134"/>
      <c r="BN83" s="769" t="s">
        <v>366</v>
      </c>
      <c r="BO83" s="133">
        <v>277.07224204177896</v>
      </c>
      <c r="BP83" s="133"/>
      <c r="BQ83" s="133"/>
      <c r="BR83" s="133"/>
      <c r="BS83" s="133"/>
      <c r="BT83" s="134"/>
      <c r="BV83" s="769" t="s">
        <v>366</v>
      </c>
      <c r="BW83" s="133">
        <v>244.96571573613804</v>
      </c>
      <c r="BX83" s="133"/>
      <c r="BY83" s="133"/>
      <c r="BZ83" s="133"/>
      <c r="CA83" s="133"/>
      <c r="CB83" s="134"/>
      <c r="CD83" s="769" t="s">
        <v>366</v>
      </c>
      <c r="CE83" s="133">
        <v>273.60646218577131</v>
      </c>
      <c r="CF83" s="133"/>
      <c r="CG83" s="133"/>
      <c r="CH83" s="133"/>
      <c r="CI83" s="133"/>
      <c r="CJ83" s="134"/>
      <c r="CL83" s="769" t="s">
        <v>366</v>
      </c>
      <c r="CM83" s="133">
        <v>240.78021114295589</v>
      </c>
      <c r="CN83" s="133"/>
      <c r="CO83" s="133"/>
      <c r="CP83" s="133"/>
      <c r="CQ83" s="133"/>
      <c r="CR83" s="134"/>
      <c r="CT83" s="769" t="s">
        <v>366</v>
      </c>
      <c r="CU83" s="133">
        <v>262.60956731072241</v>
      </c>
      <c r="CV83" s="133"/>
      <c r="CW83" s="133"/>
      <c r="CX83" s="133"/>
      <c r="CY83" s="133"/>
      <c r="CZ83" s="134"/>
      <c r="DB83" s="769" t="s">
        <v>366</v>
      </c>
      <c r="DC83" s="133">
        <v>258.29301001394373</v>
      </c>
      <c r="DD83" s="133"/>
      <c r="DE83" s="133"/>
      <c r="DF83" s="133"/>
      <c r="DG83" s="133"/>
      <c r="DH83" s="134"/>
      <c r="DJ83" s="769" t="s">
        <v>366</v>
      </c>
      <c r="DK83" s="133">
        <v>294.89772139457943</v>
      </c>
      <c r="DL83" s="133"/>
      <c r="DM83" s="133"/>
      <c r="DN83" s="133"/>
      <c r="DO83" s="133"/>
      <c r="DP83" s="134"/>
      <c r="DR83" s="769" t="s">
        <v>366</v>
      </c>
      <c r="DS83" s="133">
        <v>291.18453440010506</v>
      </c>
      <c r="DT83" s="133"/>
      <c r="DU83" s="133"/>
      <c r="DV83" s="133"/>
      <c r="DW83" s="133"/>
      <c r="DX83" s="134"/>
      <c r="DZ83" s="769" t="s">
        <v>366</v>
      </c>
      <c r="EA83" s="133">
        <v>282.33008018155658</v>
      </c>
      <c r="EB83" s="133"/>
      <c r="EC83" s="133"/>
      <c r="ED83" s="133"/>
      <c r="EE83" s="133"/>
      <c r="EF83" s="134"/>
      <c r="EH83" s="769" t="s">
        <v>366</v>
      </c>
      <c r="EI83" s="133">
        <v>250.20034467850098</v>
      </c>
      <c r="EJ83" s="133"/>
      <c r="EK83" s="133"/>
      <c r="EL83" s="133"/>
      <c r="EM83" s="133"/>
      <c r="EN83" s="134"/>
      <c r="EP83" s="769" t="s">
        <v>366</v>
      </c>
      <c r="EQ83" s="133">
        <v>285.99169285319891</v>
      </c>
      <c r="ER83" s="133"/>
      <c r="ES83" s="133"/>
      <c r="ET83" s="133"/>
      <c r="EU83" s="133"/>
      <c r="EV83" s="134"/>
      <c r="EX83" s="769" t="s">
        <v>366</v>
      </c>
      <c r="EY83" s="133">
        <v>254.42927490129605</v>
      </c>
      <c r="EZ83" s="133"/>
      <c r="FA83" s="133"/>
      <c r="FB83" s="133"/>
      <c r="FC83" s="133"/>
      <c r="FD83" s="134"/>
      <c r="FV83" s="799" t="s">
        <v>366</v>
      </c>
      <c r="FW83" s="853">
        <f>SUM(B83:FU83)/20</f>
        <v>263.99220195871453</v>
      </c>
      <c r="FX83" s="853"/>
      <c r="FY83" s="853"/>
      <c r="FZ83" s="853"/>
      <c r="GA83" s="853"/>
      <c r="GB83" s="854"/>
    </row>
    <row r="84" spans="2:184" ht="24.75" customHeight="1">
      <c r="B84" s="769" t="s">
        <v>367</v>
      </c>
      <c r="C84" s="822"/>
      <c r="D84" s="822">
        <v>0.1145424826407767</v>
      </c>
      <c r="E84" s="822"/>
      <c r="F84" s="822"/>
      <c r="G84" s="822"/>
      <c r="H84" s="847"/>
      <c r="J84" s="769" t="s">
        <v>367</v>
      </c>
      <c r="K84" s="822"/>
      <c r="L84" s="822">
        <v>0.1145424826407767</v>
      </c>
      <c r="M84" s="822"/>
      <c r="N84" s="822"/>
      <c r="O84" s="822"/>
      <c r="P84" s="823"/>
      <c r="R84" s="769" t="s">
        <v>367</v>
      </c>
      <c r="S84" s="824"/>
      <c r="T84" s="824">
        <v>0.1145424826407767</v>
      </c>
      <c r="U84" s="824"/>
      <c r="V84" s="824"/>
      <c r="W84" s="824"/>
      <c r="X84" s="825"/>
      <c r="Z84" s="769" t="s">
        <v>367</v>
      </c>
      <c r="AA84" s="824"/>
      <c r="AB84" s="824">
        <v>0.1145424826407767</v>
      </c>
      <c r="AC84" s="824"/>
      <c r="AD84" s="824"/>
      <c r="AE84" s="824"/>
      <c r="AF84" s="825"/>
      <c r="AH84" s="769" t="s">
        <v>367</v>
      </c>
      <c r="AI84" s="824"/>
      <c r="AJ84" s="824">
        <v>0.16789145351456305</v>
      </c>
      <c r="AK84" s="824"/>
      <c r="AL84" s="824"/>
      <c r="AM84" s="824"/>
      <c r="AN84" s="825"/>
      <c r="AO84" s="22"/>
      <c r="AP84" s="769" t="s">
        <v>367</v>
      </c>
      <c r="AQ84" s="822"/>
      <c r="AR84" s="822">
        <v>0.16789145351456305</v>
      </c>
      <c r="AS84" s="822"/>
      <c r="AT84" s="822"/>
      <c r="AU84" s="822"/>
      <c r="AV84" s="826"/>
      <c r="AX84" s="769" t="s">
        <v>367</v>
      </c>
      <c r="AY84" s="133"/>
      <c r="AZ84" s="133">
        <v>0.16789145351456305</v>
      </c>
      <c r="BA84" s="133"/>
      <c r="BB84" s="133"/>
      <c r="BC84" s="133"/>
      <c r="BD84" s="134"/>
      <c r="BF84" s="769" t="s">
        <v>367</v>
      </c>
      <c r="BG84" s="133"/>
      <c r="BH84" s="133">
        <v>0.16789145351456305</v>
      </c>
      <c r="BI84" s="133"/>
      <c r="BJ84" s="133"/>
      <c r="BK84" s="133"/>
      <c r="BL84" s="134"/>
      <c r="BN84" s="769" t="s">
        <v>367</v>
      </c>
      <c r="BO84" s="133"/>
      <c r="BP84" s="133">
        <v>0.1145424826407767</v>
      </c>
      <c r="BQ84" s="133"/>
      <c r="BR84" s="133"/>
      <c r="BS84" s="133"/>
      <c r="BT84" s="134"/>
      <c r="BV84" s="769" t="s">
        <v>367</v>
      </c>
      <c r="BW84" s="133"/>
      <c r="BX84" s="133">
        <v>0.1145424826407767</v>
      </c>
      <c r="BY84" s="133"/>
      <c r="BZ84" s="133"/>
      <c r="CA84" s="133"/>
      <c r="CB84" s="134"/>
      <c r="CD84" s="769" t="s">
        <v>367</v>
      </c>
      <c r="CE84" s="133"/>
      <c r="CF84" s="133">
        <v>0.1145424826407767</v>
      </c>
      <c r="CG84" s="133"/>
      <c r="CH84" s="133"/>
      <c r="CI84" s="133"/>
      <c r="CJ84" s="134"/>
      <c r="CL84" s="769" t="s">
        <v>367</v>
      </c>
      <c r="CM84" s="133"/>
      <c r="CN84" s="133">
        <v>0.1145424826407767</v>
      </c>
      <c r="CO84" s="133"/>
      <c r="CP84" s="133"/>
      <c r="CQ84" s="133"/>
      <c r="CR84" s="134"/>
      <c r="CT84" s="769" t="s">
        <v>367</v>
      </c>
      <c r="CU84" s="133"/>
      <c r="CV84" s="133">
        <v>0.16789145351456305</v>
      </c>
      <c r="CW84" s="133"/>
      <c r="CX84" s="133"/>
      <c r="CY84" s="133"/>
      <c r="CZ84" s="134"/>
      <c r="DB84" s="769" t="s">
        <v>367</v>
      </c>
      <c r="DC84" s="133"/>
      <c r="DD84" s="133">
        <v>0.16789145351456305</v>
      </c>
      <c r="DE84" s="133"/>
      <c r="DF84" s="133"/>
      <c r="DG84" s="133"/>
      <c r="DH84" s="134"/>
      <c r="DJ84" s="769" t="s">
        <v>367</v>
      </c>
      <c r="DK84" s="133"/>
      <c r="DL84" s="133">
        <v>0.16789145351456305</v>
      </c>
      <c r="DM84" s="133"/>
      <c r="DN84" s="133"/>
      <c r="DO84" s="133"/>
      <c r="DP84" s="134"/>
      <c r="DR84" s="769" t="s">
        <v>367</v>
      </c>
      <c r="DS84" s="133"/>
      <c r="DT84" s="133">
        <v>0.16789145351456305</v>
      </c>
      <c r="DU84" s="133"/>
      <c r="DV84" s="133"/>
      <c r="DW84" s="133"/>
      <c r="DX84" s="134"/>
      <c r="DZ84" s="769" t="s">
        <v>367</v>
      </c>
      <c r="EA84" s="133"/>
      <c r="EB84" s="133">
        <v>0.16789145351456305</v>
      </c>
      <c r="EC84" s="133"/>
      <c r="ED84" s="133"/>
      <c r="EE84" s="133"/>
      <c r="EF84" s="134"/>
      <c r="EH84" s="769" t="s">
        <v>367</v>
      </c>
      <c r="EI84" s="133"/>
      <c r="EJ84" s="133">
        <v>0.16789145351456305</v>
      </c>
      <c r="EK84" s="133"/>
      <c r="EL84" s="133"/>
      <c r="EM84" s="133"/>
      <c r="EN84" s="134"/>
      <c r="EP84" s="769" t="s">
        <v>367</v>
      </c>
      <c r="EQ84" s="133"/>
      <c r="ER84" s="133">
        <v>0.16789145351456305</v>
      </c>
      <c r="ES84" s="133"/>
      <c r="ET84" s="133"/>
      <c r="EU84" s="133"/>
      <c r="EV84" s="134"/>
      <c r="EX84" s="769" t="s">
        <v>367</v>
      </c>
      <c r="EY84" s="133"/>
      <c r="EZ84" s="133">
        <v>0.16789145351456305</v>
      </c>
      <c r="FA84" s="133"/>
      <c r="FB84" s="133"/>
      <c r="FC84" s="133"/>
      <c r="FD84" s="134"/>
      <c r="FV84" s="799" t="s">
        <v>367</v>
      </c>
      <c r="FW84" s="853"/>
      <c r="FX84" s="853">
        <f>SUM(B84:FU84)/20</f>
        <v>0.14655186516504853</v>
      </c>
      <c r="FY84" s="853"/>
      <c r="FZ84" s="853"/>
      <c r="GA84" s="853"/>
      <c r="GB84" s="854"/>
    </row>
    <row r="85" spans="2:184" ht="24.75" customHeight="1">
      <c r="B85" s="769" t="s">
        <v>368</v>
      </c>
      <c r="C85" s="822">
        <v>68.036781540704382</v>
      </c>
      <c r="D85" s="822"/>
      <c r="E85" s="822">
        <v>220.50554379080276</v>
      </c>
      <c r="F85" s="822">
        <v>150.11550880472302</v>
      </c>
      <c r="G85" s="822">
        <v>79.851692458078304</v>
      </c>
      <c r="H85" s="847"/>
      <c r="J85" s="769" t="s">
        <v>368</v>
      </c>
      <c r="K85" s="822">
        <v>66.629739530303937</v>
      </c>
      <c r="L85" s="822"/>
      <c r="M85" s="822">
        <v>215.94535507208403</v>
      </c>
      <c r="N85" s="822">
        <v>147.01102880849459</v>
      </c>
      <c r="O85" s="822">
        <v>78.200310906132415</v>
      </c>
      <c r="P85" s="823"/>
      <c r="R85" s="769" t="s">
        <v>368</v>
      </c>
      <c r="S85" s="824">
        <v>59.072954137227192</v>
      </c>
      <c r="T85" s="824"/>
      <c r="U85" s="824">
        <v>191.45399856348905</v>
      </c>
      <c r="V85" s="824">
        <v>130.33783148020615</v>
      </c>
      <c r="W85" s="824">
        <v>69.331253765052736</v>
      </c>
      <c r="X85" s="825"/>
      <c r="Z85" s="769" t="s">
        <v>368</v>
      </c>
      <c r="AA85" s="824">
        <v>57.665912126826754</v>
      </c>
      <c r="AB85" s="824"/>
      <c r="AC85" s="824">
        <v>186.89380984477029</v>
      </c>
      <c r="AD85" s="824">
        <v>127.2333514839777</v>
      </c>
      <c r="AE85" s="824">
        <v>67.679872213106833</v>
      </c>
      <c r="AF85" s="825"/>
      <c r="AH85" s="769" t="s">
        <v>368</v>
      </c>
      <c r="AI85" s="824">
        <v>63.772820068777655</v>
      </c>
      <c r="AJ85" s="824"/>
      <c r="AK85" s="824">
        <v>206.68614901964176</v>
      </c>
      <c r="AL85" s="824">
        <v>140.70755723224792</v>
      </c>
      <c r="AM85" s="824">
        <v>74.847273783369459</v>
      </c>
      <c r="AN85" s="825"/>
      <c r="AO85" s="22"/>
      <c r="AP85" s="769" t="s">
        <v>368</v>
      </c>
      <c r="AQ85" s="822">
        <v>72.501045345266135</v>
      </c>
      <c r="AR85" s="822"/>
      <c r="AS85" s="822">
        <v>234.97411351968617</v>
      </c>
      <c r="AT85" s="822">
        <v>159.96540495331382</v>
      </c>
      <c r="AU85" s="822">
        <v>85.091196918769555</v>
      </c>
      <c r="AV85" s="826"/>
      <c r="AX85" s="769" t="s">
        <v>368</v>
      </c>
      <c r="AY85" s="133">
        <v>62.349300694655874</v>
      </c>
      <c r="AZ85" s="133"/>
      <c r="BA85" s="133">
        <v>202.07255756838134</v>
      </c>
      <c r="BB85" s="133">
        <v>137.56672178558844</v>
      </c>
      <c r="BC85" s="133">
        <v>73.176553495072412</v>
      </c>
      <c r="BD85" s="134"/>
      <c r="BF85" s="769" t="s">
        <v>368</v>
      </c>
      <c r="BG85" s="133">
        <v>71.077525971144368</v>
      </c>
      <c r="BH85" s="133"/>
      <c r="BI85" s="133">
        <v>230.36052206842578</v>
      </c>
      <c r="BJ85" s="133">
        <v>156.82456950665437</v>
      </c>
      <c r="BK85" s="133">
        <v>83.420476630472521</v>
      </c>
      <c r="BL85" s="134"/>
      <c r="BN85" s="769" t="s">
        <v>368</v>
      </c>
      <c r="BO85" s="133">
        <v>69.072825950073735</v>
      </c>
      <c r="BP85" s="133"/>
      <c r="BQ85" s="133">
        <v>223.86333836465008</v>
      </c>
      <c r="BR85" s="133">
        <v>152.40142430711526</v>
      </c>
      <c r="BS85" s="133">
        <v>81.067650909910398</v>
      </c>
      <c r="BT85" s="134"/>
      <c r="BV85" s="769" t="s">
        <v>368</v>
      </c>
      <c r="BW85" s="133">
        <v>60.108998546596553</v>
      </c>
      <c r="BX85" s="133"/>
      <c r="BY85" s="133">
        <v>194.81179313733637</v>
      </c>
      <c r="BZ85" s="133">
        <v>132.62374698259839</v>
      </c>
      <c r="CA85" s="133">
        <v>70.54721221688483</v>
      </c>
      <c r="CB85" s="134"/>
      <c r="CD85" s="769" t="s">
        <v>368</v>
      </c>
      <c r="CE85" s="133">
        <v>70.479867960474181</v>
      </c>
      <c r="CF85" s="133"/>
      <c r="CG85" s="133">
        <v>228.42352708336887</v>
      </c>
      <c r="CH85" s="133">
        <v>155.50590430334375</v>
      </c>
      <c r="CI85" s="133">
        <v>82.719032461856301</v>
      </c>
      <c r="CJ85" s="134"/>
      <c r="CL85" s="769" t="s">
        <v>368</v>
      </c>
      <c r="CM85" s="133">
        <v>61.516040556996991</v>
      </c>
      <c r="CN85" s="133"/>
      <c r="CO85" s="133">
        <v>199.3719818560551</v>
      </c>
      <c r="CP85" s="133">
        <v>135.72822697882685</v>
      </c>
      <c r="CQ85" s="133">
        <v>72.198593768830719</v>
      </c>
      <c r="CR85" s="134"/>
      <c r="CT85" s="769" t="s">
        <v>368</v>
      </c>
      <c r="CU85" s="133">
        <v>64.820281137001942</v>
      </c>
      <c r="CV85" s="133"/>
      <c r="CW85" s="133">
        <v>210.08094470541812</v>
      </c>
      <c r="CX85" s="133">
        <v>143.01866230878002</v>
      </c>
      <c r="CY85" s="133">
        <v>76.076631451201166</v>
      </c>
      <c r="CZ85" s="134"/>
      <c r="DB85" s="769" t="s">
        <v>368</v>
      </c>
      <c r="DC85" s="133">
        <v>66.243800511123723</v>
      </c>
      <c r="DD85" s="133"/>
      <c r="DE85" s="133">
        <v>214.69453615667854</v>
      </c>
      <c r="DF85" s="133">
        <v>146.1594977554395</v>
      </c>
      <c r="DG85" s="133">
        <v>77.747351739498214</v>
      </c>
      <c r="DH85" s="134"/>
      <c r="DJ85" s="769" t="s">
        <v>368</v>
      </c>
      <c r="DK85" s="133">
        <v>73.627808179892355</v>
      </c>
      <c r="DL85" s="133"/>
      <c r="DM85" s="133">
        <v>238.62592428948096</v>
      </c>
      <c r="DN85" s="133">
        <v>162.45148046117674</v>
      </c>
      <c r="DO85" s="133">
        <v>86.413627482154396</v>
      </c>
      <c r="DP85" s="134"/>
      <c r="DR85" s="769" t="s">
        <v>368</v>
      </c>
      <c r="DS85" s="133">
        <v>75.024993950370217</v>
      </c>
      <c r="DT85" s="133"/>
      <c r="DU85" s="133">
        <v>243.1541691758396</v>
      </c>
      <c r="DV85" s="133">
        <v>165.53421377219505</v>
      </c>
      <c r="DW85" s="133">
        <v>88.05344121120703</v>
      </c>
      <c r="DX85" s="134"/>
      <c r="DZ85" s="769" t="s">
        <v>368</v>
      </c>
      <c r="EA85" s="133">
        <v>73.559657415572858</v>
      </c>
      <c r="EB85" s="133"/>
      <c r="EC85" s="133">
        <v>238.40504933029382</v>
      </c>
      <c r="ED85" s="133">
        <v>162.30111346218621</v>
      </c>
      <c r="EE85" s="133">
        <v>86.333642013265518</v>
      </c>
      <c r="EF85" s="134"/>
      <c r="EH85" s="769" t="s">
        <v>368</v>
      </c>
      <c r="EI85" s="133">
        <v>64.831432139084384</v>
      </c>
      <c r="EJ85" s="133"/>
      <c r="EK85" s="133">
        <v>210.11708483024944</v>
      </c>
      <c r="EL85" s="133">
        <v>143.04326574112031</v>
      </c>
      <c r="EM85" s="133">
        <v>76.089718877865437</v>
      </c>
      <c r="EN85" s="134"/>
      <c r="EP85" s="769" t="s">
        <v>368</v>
      </c>
      <c r="EQ85" s="133">
        <v>72.13613804145109</v>
      </c>
      <c r="ER85" s="133"/>
      <c r="ES85" s="133">
        <v>233.79145787903346</v>
      </c>
      <c r="ET85" s="133">
        <v>159.16027801552676</v>
      </c>
      <c r="EU85" s="133">
        <v>84.662921724968498</v>
      </c>
      <c r="EV85" s="134"/>
      <c r="EX85" s="769" t="s">
        <v>368</v>
      </c>
      <c r="EY85" s="133">
        <v>63.407912764962603</v>
      </c>
      <c r="EZ85" s="133"/>
      <c r="FA85" s="133">
        <v>205.50349337898902</v>
      </c>
      <c r="FB85" s="133">
        <v>139.90243029446083</v>
      </c>
      <c r="FC85" s="133">
        <v>74.418998589568389</v>
      </c>
      <c r="FD85" s="134"/>
      <c r="FV85" s="799" t="s">
        <v>368</v>
      </c>
      <c r="FW85" s="853">
        <f>($FO$85+$FG$85+$EY$85+$EQ$85+$EI$85+$EA$85+$DS$85+$DK$85+$DC$85+$CU$85+$CM$85+$CE$85+$BW$85+$BO$85+$BG$85+$AY$85+$AQ$85+$AI$85+$AA$85+$S$85+$K$85+$C$85)/20</f>
        <v>66.796791828425356</v>
      </c>
      <c r="FX85" s="853"/>
      <c r="FY85" s="853">
        <f>(FQ85+FI85+FA85+ES85+EK85+EC85+DU85+DM85+DE85+CW85+CO85+CG85+BY85+BQ85+BI85+BA85+AS85+AK85+AC85+U85+M85+E85)/20</f>
        <v>216.48676748173375</v>
      </c>
      <c r="FZ85" s="853">
        <f>(FR85+FJ85+FB85+ET85+EL85+ED85+DV85+DN85+DF85+CX85+CP85+CH85+BZ85+BR85+BJ85+BB85+AT85+AL85+AD85+V85+N85+F85)/20</f>
        <v>147.37961092189877</v>
      </c>
      <c r="GA85" s="853">
        <f>(FS85+FK85+FC85+EU85+EM85+EE85+DW85+DO85+DG85+CY85+CQ85+CI85+CA85+BS85+BK85+BC85+AU85+AM85+AE85+W85+O85+G85)/20</f>
        <v>78.396372630863254</v>
      </c>
      <c r="GB85" s="854"/>
    </row>
    <row r="86" spans="2:184" ht="23.25" customHeight="1">
      <c r="B86" s="769" t="s">
        <v>369</v>
      </c>
      <c r="C86" s="822">
        <v>1.742260563380282E-2</v>
      </c>
      <c r="D86" s="822"/>
      <c r="E86" s="822"/>
      <c r="F86" s="822"/>
      <c r="G86" s="822"/>
      <c r="H86" s="847"/>
      <c r="J86" s="769" t="s">
        <v>369</v>
      </c>
      <c r="K86" s="822">
        <v>1.7074153521126761E-2</v>
      </c>
      <c r="L86" s="822"/>
      <c r="M86" s="822"/>
      <c r="N86" s="822"/>
      <c r="O86" s="822"/>
      <c r="P86" s="823"/>
      <c r="R86" s="769" t="s">
        <v>369</v>
      </c>
      <c r="S86" s="824">
        <v>1.4983440845070424E-2</v>
      </c>
      <c r="T86" s="824"/>
      <c r="U86" s="824"/>
      <c r="V86" s="824"/>
      <c r="W86" s="824"/>
      <c r="X86" s="825"/>
      <c r="Z86" s="769" t="s">
        <v>369</v>
      </c>
      <c r="AA86" s="824">
        <v>1.4634988732394367E-2</v>
      </c>
      <c r="AB86" s="824"/>
      <c r="AC86" s="824"/>
      <c r="AD86" s="824"/>
      <c r="AE86" s="824"/>
      <c r="AF86" s="825"/>
      <c r="AH86" s="769" t="s">
        <v>369</v>
      </c>
      <c r="AI86" s="824">
        <v>1.6377249295774651E-2</v>
      </c>
      <c r="AJ86" s="824"/>
      <c r="AK86" s="824"/>
      <c r="AL86" s="824"/>
      <c r="AM86" s="824"/>
      <c r="AN86" s="825"/>
      <c r="AO86" s="22"/>
      <c r="AP86" s="769" t="s">
        <v>369</v>
      </c>
      <c r="AQ86" s="822">
        <v>1.8467961971830989E-2</v>
      </c>
      <c r="AR86" s="822"/>
      <c r="AS86" s="822"/>
      <c r="AT86" s="822"/>
      <c r="AU86" s="822"/>
      <c r="AV86" s="826"/>
      <c r="AX86" s="769" t="s">
        <v>369</v>
      </c>
      <c r="AY86" s="133">
        <v>1.6028797183098593E-2</v>
      </c>
      <c r="AZ86" s="133"/>
      <c r="BA86" s="133"/>
      <c r="BB86" s="133"/>
      <c r="BC86" s="133"/>
      <c r="BD86" s="134"/>
      <c r="BF86" s="769" t="s">
        <v>369</v>
      </c>
      <c r="BG86" s="133">
        <v>1.811950985915493E-2</v>
      </c>
      <c r="BH86" s="133"/>
      <c r="BI86" s="133"/>
      <c r="BJ86" s="133"/>
      <c r="BK86" s="133"/>
      <c r="BL86" s="134"/>
      <c r="BN86" s="769" t="s">
        <v>369</v>
      </c>
      <c r="BO86" s="133">
        <v>1.7771057746478875E-2</v>
      </c>
      <c r="BP86" s="133"/>
      <c r="BQ86" s="133"/>
      <c r="BR86" s="133"/>
      <c r="BS86" s="133"/>
      <c r="BT86" s="134"/>
      <c r="BV86" s="769" t="s">
        <v>369</v>
      </c>
      <c r="BW86" s="133">
        <v>1.5331892957746481E-2</v>
      </c>
      <c r="BX86" s="133"/>
      <c r="BY86" s="133"/>
      <c r="BZ86" s="133"/>
      <c r="CA86" s="133"/>
      <c r="CB86" s="134"/>
      <c r="CD86" s="769" t="s">
        <v>369</v>
      </c>
      <c r="CE86" s="133">
        <v>1.811950985915493E-2</v>
      </c>
      <c r="CF86" s="133"/>
      <c r="CG86" s="133"/>
      <c r="CH86" s="133"/>
      <c r="CI86" s="133"/>
      <c r="CJ86" s="134"/>
      <c r="CL86" s="769" t="s">
        <v>369</v>
      </c>
      <c r="CM86" s="133">
        <v>1.5680345070422538E-2</v>
      </c>
      <c r="CN86" s="133"/>
      <c r="CO86" s="133"/>
      <c r="CP86" s="133"/>
      <c r="CQ86" s="133"/>
      <c r="CR86" s="134"/>
      <c r="CT86" s="769" t="s">
        <v>369</v>
      </c>
      <c r="CU86" s="133">
        <v>1.6725701408450706E-2</v>
      </c>
      <c r="CV86" s="133"/>
      <c r="CW86" s="133"/>
      <c r="CX86" s="133"/>
      <c r="CY86" s="133"/>
      <c r="CZ86" s="134"/>
      <c r="DB86" s="769" t="s">
        <v>369</v>
      </c>
      <c r="DC86" s="133">
        <v>1.7074153521126761E-2</v>
      </c>
      <c r="DD86" s="133"/>
      <c r="DE86" s="133"/>
      <c r="DF86" s="133"/>
      <c r="DG86" s="133"/>
      <c r="DH86" s="134"/>
      <c r="DJ86" s="769" t="s">
        <v>369</v>
      </c>
      <c r="DK86" s="133">
        <v>1.881641408450704E-2</v>
      </c>
      <c r="DL86" s="133"/>
      <c r="DM86" s="133"/>
      <c r="DN86" s="133"/>
      <c r="DO86" s="133"/>
      <c r="DP86" s="134"/>
      <c r="DR86" s="769" t="s">
        <v>369</v>
      </c>
      <c r="DS86" s="133">
        <v>1.9164866197183102E-2</v>
      </c>
      <c r="DT86" s="133"/>
      <c r="DU86" s="133"/>
      <c r="DV86" s="133"/>
      <c r="DW86" s="133"/>
      <c r="DX86" s="134"/>
      <c r="DZ86" s="769" t="s">
        <v>369</v>
      </c>
      <c r="EA86" s="133">
        <v>1.881641408450704E-2</v>
      </c>
      <c r="EB86" s="133"/>
      <c r="EC86" s="133"/>
      <c r="ED86" s="133"/>
      <c r="EE86" s="133"/>
      <c r="EF86" s="134"/>
      <c r="EH86" s="769" t="s">
        <v>369</v>
      </c>
      <c r="EI86" s="133">
        <v>1.6725701408450706E-2</v>
      </c>
      <c r="EJ86" s="133"/>
      <c r="EK86" s="133"/>
      <c r="EL86" s="133"/>
      <c r="EM86" s="133"/>
      <c r="EN86" s="134"/>
      <c r="EP86" s="769" t="s">
        <v>369</v>
      </c>
      <c r="EQ86" s="133">
        <v>1.8467961971830989E-2</v>
      </c>
      <c r="ER86" s="133"/>
      <c r="ES86" s="133"/>
      <c r="ET86" s="133"/>
      <c r="EU86" s="133"/>
      <c r="EV86" s="134"/>
      <c r="EX86" s="769" t="s">
        <v>369</v>
      </c>
      <c r="EY86" s="133">
        <v>1.6377249295774651E-2</v>
      </c>
      <c r="EZ86" s="133"/>
      <c r="FA86" s="133"/>
      <c r="FB86" s="133"/>
      <c r="FC86" s="133"/>
      <c r="FD86" s="134"/>
      <c r="FV86" s="799" t="s">
        <v>369</v>
      </c>
      <c r="FW86" s="853">
        <f>(FO86+FG86+EY86+EQ86+EI86+EA86+DS86+DK86+DC86+CU86+CM86+CE86+BW86+BO86+BG86+AY86+AQ86+AI86+AA86+S86+K86+C86)/20</f>
        <v>1.7108998732394371E-2</v>
      </c>
      <c r="FX86" s="853"/>
      <c r="FY86" s="853"/>
      <c r="FZ86" s="853"/>
      <c r="GA86" s="853"/>
      <c r="GB86" s="854"/>
    </row>
    <row r="87" spans="2:184" ht="23.25" customHeight="1">
      <c r="B87" s="769" t="s">
        <v>819</v>
      </c>
      <c r="C87" s="822">
        <v>13.15799955</v>
      </c>
      <c r="D87" s="822"/>
      <c r="E87" s="822"/>
      <c r="F87" s="822"/>
      <c r="G87" s="822"/>
      <c r="H87" s="847"/>
      <c r="J87" s="769" t="s">
        <v>819</v>
      </c>
      <c r="K87" s="822">
        <v>12.894839558999999</v>
      </c>
      <c r="L87" s="822"/>
      <c r="M87" s="822"/>
      <c r="N87" s="822"/>
      <c r="O87" s="822"/>
      <c r="P87" s="823"/>
      <c r="R87" s="769" t="s">
        <v>819</v>
      </c>
      <c r="S87" s="824">
        <v>11.315879613000002</v>
      </c>
      <c r="T87" s="824"/>
      <c r="U87" s="824"/>
      <c r="V87" s="824"/>
      <c r="W87" s="824"/>
      <c r="X87" s="825"/>
      <c r="Z87" s="769" t="s">
        <v>819</v>
      </c>
      <c r="AA87" s="824">
        <v>11.052719621999998</v>
      </c>
      <c r="AB87" s="824"/>
      <c r="AC87" s="824"/>
      <c r="AD87" s="824"/>
      <c r="AE87" s="824"/>
      <c r="AF87" s="825"/>
      <c r="AH87" s="769" t="s">
        <v>819</v>
      </c>
      <c r="AI87" s="824">
        <v>12.368519576999997</v>
      </c>
      <c r="AJ87" s="824"/>
      <c r="AK87" s="824"/>
      <c r="AL87" s="824"/>
      <c r="AM87" s="824"/>
      <c r="AN87" s="825"/>
      <c r="AO87" s="22"/>
      <c r="AP87" s="769" t="s">
        <v>819</v>
      </c>
      <c r="AQ87" s="822">
        <v>13.947479522999998</v>
      </c>
      <c r="AR87" s="822"/>
      <c r="AS87" s="822"/>
      <c r="AT87" s="822"/>
      <c r="AU87" s="822"/>
      <c r="AV87" s="826"/>
      <c r="AX87" s="769" t="s">
        <v>819</v>
      </c>
      <c r="AY87" s="133">
        <v>12.105359586000001</v>
      </c>
      <c r="AZ87" s="133"/>
      <c r="BA87" s="133"/>
      <c r="BB87" s="133"/>
      <c r="BC87" s="133"/>
      <c r="BD87" s="134"/>
      <c r="BF87" s="769" t="s">
        <v>819</v>
      </c>
      <c r="BG87" s="133">
        <v>13.684319532000002</v>
      </c>
      <c r="BH87" s="133"/>
      <c r="BI87" s="133"/>
      <c r="BJ87" s="133"/>
      <c r="BK87" s="133"/>
      <c r="BL87" s="134"/>
      <c r="BN87" s="769" t="s">
        <v>819</v>
      </c>
      <c r="BO87" s="133">
        <v>13.421159540999998</v>
      </c>
      <c r="BP87" s="133"/>
      <c r="BQ87" s="133"/>
      <c r="BR87" s="133"/>
      <c r="BS87" s="133"/>
      <c r="BT87" s="134"/>
      <c r="BV87" s="769" t="s">
        <v>819</v>
      </c>
      <c r="BW87" s="133">
        <v>11.579039603999998</v>
      </c>
      <c r="BX87" s="133"/>
      <c r="BY87" s="133"/>
      <c r="BZ87" s="133"/>
      <c r="CA87" s="133"/>
      <c r="CB87" s="134"/>
      <c r="CD87" s="769" t="s">
        <v>819</v>
      </c>
      <c r="CE87" s="133">
        <v>13.684319532000002</v>
      </c>
      <c r="CF87" s="133"/>
      <c r="CG87" s="133"/>
      <c r="CH87" s="133"/>
      <c r="CI87" s="133"/>
      <c r="CJ87" s="134"/>
      <c r="CL87" s="769" t="s">
        <v>819</v>
      </c>
      <c r="CM87" s="133">
        <v>11.842199594999999</v>
      </c>
      <c r="CN87" s="133"/>
      <c r="CO87" s="133"/>
      <c r="CP87" s="133"/>
      <c r="CQ87" s="133"/>
      <c r="CR87" s="134"/>
      <c r="CT87" s="769" t="s">
        <v>819</v>
      </c>
      <c r="CU87" s="133">
        <v>12.631679567999997</v>
      </c>
      <c r="CV87" s="133"/>
      <c r="CW87" s="133"/>
      <c r="CX87" s="133"/>
      <c r="CY87" s="133"/>
      <c r="CZ87" s="134"/>
      <c r="DB87" s="769" t="s">
        <v>819</v>
      </c>
      <c r="DC87" s="133">
        <v>12.894839558999999</v>
      </c>
      <c r="DD87" s="133"/>
      <c r="DE87" s="133"/>
      <c r="DF87" s="133"/>
      <c r="DG87" s="133"/>
      <c r="DH87" s="134"/>
      <c r="DJ87" s="769" t="s">
        <v>819</v>
      </c>
      <c r="DK87" s="133">
        <v>14.210639514</v>
      </c>
      <c r="DL87" s="133"/>
      <c r="DM87" s="133"/>
      <c r="DN87" s="133"/>
      <c r="DO87" s="133"/>
      <c r="DP87" s="134"/>
      <c r="DR87" s="769" t="s">
        <v>819</v>
      </c>
      <c r="DS87" s="133">
        <v>14.473799504999997</v>
      </c>
      <c r="DT87" s="133"/>
      <c r="DU87" s="133"/>
      <c r="DV87" s="133"/>
      <c r="DW87" s="133"/>
      <c r="DX87" s="134"/>
      <c r="DZ87" s="769" t="s">
        <v>819</v>
      </c>
      <c r="EA87" s="133">
        <v>14.210639514</v>
      </c>
      <c r="EB87" s="133"/>
      <c r="EC87" s="133"/>
      <c r="ED87" s="133"/>
      <c r="EE87" s="133"/>
      <c r="EF87" s="134"/>
      <c r="EH87" s="769" t="s">
        <v>819</v>
      </c>
      <c r="EI87" s="133">
        <v>12.631679567999997</v>
      </c>
      <c r="EJ87" s="133"/>
      <c r="EK87" s="133"/>
      <c r="EL87" s="133"/>
      <c r="EM87" s="133"/>
      <c r="EN87" s="134"/>
      <c r="EP87" s="769" t="s">
        <v>819</v>
      </c>
      <c r="EQ87" s="133">
        <v>13.947479522999998</v>
      </c>
      <c r="ER87" s="133"/>
      <c r="ES87" s="133"/>
      <c r="ET87" s="133"/>
      <c r="EU87" s="133"/>
      <c r="EV87" s="134"/>
      <c r="EX87" s="769" t="s">
        <v>819</v>
      </c>
      <c r="EY87" s="133">
        <v>12.368519576999997</v>
      </c>
      <c r="EZ87" s="133"/>
      <c r="FA87" s="133"/>
      <c r="FB87" s="133"/>
      <c r="FC87" s="133"/>
      <c r="FD87" s="134"/>
      <c r="FV87" s="799" t="s">
        <v>819</v>
      </c>
      <c r="FW87" s="853">
        <f>(FO87+FG87+EY87+EQ87+EI87+EA87+DS87+DK87+DC87+CU87+CM87+CE87+BW87+BO87+BG87+AY87+AQ87+AI87+AA87+S87+K87+C87)/20</f>
        <v>12.921155558099997</v>
      </c>
      <c r="FX87" s="853"/>
      <c r="FY87" s="853"/>
      <c r="FZ87" s="853"/>
      <c r="GA87" s="853"/>
      <c r="GB87" s="854"/>
    </row>
    <row r="88" spans="2:184" ht="18.5">
      <c r="B88" s="769" t="s">
        <v>286</v>
      </c>
      <c r="C88" s="822">
        <v>602.8992052677479</v>
      </c>
      <c r="D88" s="822"/>
      <c r="E88" s="822"/>
      <c r="F88" s="822"/>
      <c r="G88" s="822"/>
      <c r="H88" s="847"/>
      <c r="J88" s="769" t="s">
        <v>286</v>
      </c>
      <c r="K88" s="822">
        <v>590.64594441705549</v>
      </c>
      <c r="L88" s="822"/>
      <c r="M88" s="822"/>
      <c r="N88" s="822"/>
      <c r="O88" s="822"/>
      <c r="P88" s="823"/>
      <c r="R88" s="769" t="s">
        <v>286</v>
      </c>
      <c r="S88" s="824">
        <v>556.31552094289555</v>
      </c>
      <c r="T88" s="824"/>
      <c r="U88" s="824"/>
      <c r="V88" s="824"/>
      <c r="W88" s="824"/>
      <c r="X88" s="825"/>
      <c r="Z88" s="769" t="s">
        <v>286</v>
      </c>
      <c r="AA88" s="824">
        <v>544.06226009220325</v>
      </c>
      <c r="AB88" s="824"/>
      <c r="AC88" s="824"/>
      <c r="AD88" s="824"/>
      <c r="AE88" s="824"/>
      <c r="AF88" s="825"/>
      <c r="AH88" s="769" t="s">
        <v>286</v>
      </c>
      <c r="AI88" s="824">
        <v>618.98596001134888</v>
      </c>
      <c r="AJ88" s="824"/>
      <c r="AK88" s="824"/>
      <c r="AL88" s="824"/>
      <c r="AM88" s="824"/>
      <c r="AN88" s="825"/>
      <c r="AO88" s="22"/>
      <c r="AP88" s="769" t="s">
        <v>286</v>
      </c>
      <c r="AQ88" s="822">
        <v>664.7657680623671</v>
      </c>
      <c r="AR88" s="822"/>
      <c r="AS88" s="822"/>
      <c r="AT88" s="822"/>
      <c r="AU88" s="822"/>
      <c r="AV88" s="826"/>
      <c r="AX88" s="769" t="s">
        <v>286</v>
      </c>
      <c r="AY88" s="133">
        <v>606.80496354451464</v>
      </c>
      <c r="AZ88" s="133"/>
      <c r="BA88" s="133"/>
      <c r="BB88" s="133"/>
      <c r="BC88" s="133"/>
      <c r="BD88" s="134"/>
      <c r="BF88" s="769" t="s">
        <v>286</v>
      </c>
      <c r="BG88" s="133">
        <v>652.58477159553297</v>
      </c>
      <c r="BH88" s="133"/>
      <c r="BI88" s="133"/>
      <c r="BJ88" s="133"/>
      <c r="BK88" s="133"/>
      <c r="BL88" s="134"/>
      <c r="BN88" s="769" t="s">
        <v>286</v>
      </c>
      <c r="BO88" s="133">
        <v>618.36744137144854</v>
      </c>
      <c r="BP88" s="133"/>
      <c r="BQ88" s="133"/>
      <c r="BR88" s="133"/>
      <c r="BS88" s="133"/>
      <c r="BT88" s="134"/>
      <c r="BV88" s="769" t="s">
        <v>286</v>
      </c>
      <c r="BW88" s="133">
        <v>571.78375704659629</v>
      </c>
      <c r="BX88" s="133"/>
      <c r="BY88" s="133"/>
      <c r="BZ88" s="133"/>
      <c r="CA88" s="133"/>
      <c r="CB88" s="134"/>
      <c r="CD88" s="769" t="s">
        <v>286</v>
      </c>
      <c r="CE88" s="133">
        <v>630.62070222214106</v>
      </c>
      <c r="CF88" s="133"/>
      <c r="CG88" s="133"/>
      <c r="CH88" s="133"/>
      <c r="CI88" s="133"/>
      <c r="CJ88" s="134"/>
      <c r="CL88" s="769" t="s">
        <v>286</v>
      </c>
      <c r="CM88" s="133">
        <v>584.03701789728871</v>
      </c>
      <c r="CN88" s="133"/>
      <c r="CO88" s="133"/>
      <c r="CP88" s="133"/>
      <c r="CQ88" s="133"/>
      <c r="CR88" s="134"/>
      <c r="CT88" s="769" t="s">
        <v>286</v>
      </c>
      <c r="CU88" s="133">
        <v>644.97711339753221</v>
      </c>
      <c r="CV88" s="133"/>
      <c r="CW88" s="133"/>
      <c r="CX88" s="133"/>
      <c r="CY88" s="133"/>
      <c r="CZ88" s="134"/>
      <c r="DB88" s="769" t="s">
        <v>286</v>
      </c>
      <c r="DC88" s="133">
        <v>657.15810986436634</v>
      </c>
      <c r="DD88" s="133"/>
      <c r="DE88" s="133"/>
      <c r="DF88" s="133"/>
      <c r="DG88" s="133"/>
      <c r="DH88" s="134"/>
      <c r="DJ88" s="769" t="s">
        <v>286</v>
      </c>
      <c r="DK88" s="133">
        <v>690.91245226224589</v>
      </c>
      <c r="DL88" s="133"/>
      <c r="DM88" s="133"/>
      <c r="DN88" s="133"/>
      <c r="DO88" s="133"/>
      <c r="DP88" s="134"/>
      <c r="DR88" s="769" t="s">
        <v>286</v>
      </c>
      <c r="DS88" s="133">
        <v>703.08259939170307</v>
      </c>
      <c r="DT88" s="133"/>
      <c r="DU88" s="133"/>
      <c r="DV88" s="133"/>
      <c r="DW88" s="133"/>
      <c r="DX88" s="134"/>
      <c r="DZ88" s="769" t="s">
        <v>286</v>
      </c>
      <c r="EA88" s="133">
        <v>704.13407302574728</v>
      </c>
      <c r="EB88" s="133"/>
      <c r="EC88" s="133"/>
      <c r="ED88" s="133"/>
      <c r="EE88" s="133"/>
      <c r="EF88" s="134"/>
      <c r="EH88" s="769" t="s">
        <v>286</v>
      </c>
      <c r="EI88" s="133">
        <v>658.35426497472918</v>
      </c>
      <c r="EJ88" s="133"/>
      <c r="EK88" s="133"/>
      <c r="EL88" s="133"/>
      <c r="EM88" s="133"/>
      <c r="EN88" s="134"/>
      <c r="EP88" s="769" t="s">
        <v>286</v>
      </c>
      <c r="EQ88" s="133">
        <v>691.95307655891304</v>
      </c>
      <c r="ER88" s="133"/>
      <c r="ES88" s="133"/>
      <c r="ET88" s="133"/>
      <c r="EU88" s="133"/>
      <c r="EV88" s="134"/>
      <c r="EX88" s="769" t="s">
        <v>286</v>
      </c>
      <c r="EY88" s="133">
        <v>646.17326850789505</v>
      </c>
      <c r="EZ88" s="133"/>
      <c r="FA88" s="133"/>
      <c r="FB88" s="133"/>
      <c r="FC88" s="133"/>
      <c r="FD88" s="134"/>
      <c r="FV88" s="799" t="s">
        <v>286</v>
      </c>
      <c r="FW88" s="853">
        <f>(FO88+FG88+EY88+EQ88+EI88+EA88+DS88+DK88+DC88+CU88+CM88+CE88+BW88+BO88+BG88+AY88+AQ88+AI88+AA88+S88+K88+C88)/20</f>
        <v>631.93091352271369</v>
      </c>
      <c r="FX88" s="853"/>
      <c r="FY88" s="853"/>
      <c r="FZ88" s="853"/>
      <c r="GA88" s="853"/>
      <c r="GB88" s="854"/>
    </row>
    <row r="89" spans="2:184" ht="29.25" customHeight="1">
      <c r="B89" s="780" t="s">
        <v>820</v>
      </c>
      <c r="C89" s="822">
        <v>23.672789920000003</v>
      </c>
      <c r="D89" s="822"/>
      <c r="E89" s="822"/>
      <c r="F89" s="822"/>
      <c r="G89" s="822"/>
      <c r="H89" s="847"/>
      <c r="J89" s="780" t="s">
        <v>820</v>
      </c>
      <c r="K89" s="822">
        <v>23.672789920000003</v>
      </c>
      <c r="L89" s="822"/>
      <c r="M89" s="822"/>
      <c r="N89" s="822"/>
      <c r="O89" s="822"/>
      <c r="P89" s="823"/>
      <c r="R89" s="780" t="s">
        <v>820</v>
      </c>
      <c r="S89" s="824">
        <v>27.3147576</v>
      </c>
      <c r="T89" s="824"/>
      <c r="U89" s="824"/>
      <c r="V89" s="824"/>
      <c r="W89" s="824"/>
      <c r="X89" s="825"/>
      <c r="Z89" s="780" t="s">
        <v>820</v>
      </c>
      <c r="AA89" s="824">
        <v>27.3147576</v>
      </c>
      <c r="AB89" s="824"/>
      <c r="AC89" s="824"/>
      <c r="AD89" s="824"/>
      <c r="AE89" s="824"/>
      <c r="AF89" s="825"/>
      <c r="AH89" s="780" t="s">
        <v>820</v>
      </c>
      <c r="AI89" s="824">
        <v>30.590893760000004</v>
      </c>
      <c r="AJ89" s="824"/>
      <c r="AK89" s="824"/>
      <c r="AL89" s="824"/>
      <c r="AM89" s="824"/>
      <c r="AN89" s="825"/>
      <c r="AO89" s="22"/>
      <c r="AP89" s="780" t="s">
        <v>820</v>
      </c>
      <c r="AQ89" s="822">
        <v>30.590893760000004</v>
      </c>
      <c r="AR89" s="822"/>
      <c r="AS89" s="822"/>
      <c r="AT89" s="822"/>
      <c r="AU89" s="822"/>
      <c r="AV89" s="826"/>
      <c r="AX89" s="780" t="s">
        <v>820</v>
      </c>
      <c r="AY89" s="133">
        <v>30.590893760000004</v>
      </c>
      <c r="AZ89" s="133"/>
      <c r="BA89" s="133"/>
      <c r="BB89" s="133"/>
      <c r="BC89" s="133"/>
      <c r="BD89" s="134"/>
      <c r="BF89" s="780" t="s">
        <v>820</v>
      </c>
      <c r="BG89" s="133">
        <v>30.590893760000004</v>
      </c>
      <c r="BH89" s="133"/>
      <c r="BI89" s="133"/>
      <c r="BJ89" s="133"/>
      <c r="BK89" s="133"/>
      <c r="BL89" s="134"/>
      <c r="BN89" s="780" t="s">
        <v>820</v>
      </c>
      <c r="BO89" s="133">
        <v>27.3147576</v>
      </c>
      <c r="BP89" s="133"/>
      <c r="BQ89" s="133"/>
      <c r="BR89" s="133"/>
      <c r="BS89" s="133"/>
      <c r="BT89" s="134"/>
      <c r="BV89" s="780" t="s">
        <v>820</v>
      </c>
      <c r="BW89" s="133">
        <v>27.3147576</v>
      </c>
      <c r="BX89" s="133"/>
      <c r="BY89" s="133"/>
      <c r="BZ89" s="133"/>
      <c r="CA89" s="133"/>
      <c r="CB89" s="134"/>
      <c r="CD89" s="780" t="s">
        <v>820</v>
      </c>
      <c r="CE89" s="133">
        <v>27.3147576</v>
      </c>
      <c r="CF89" s="133"/>
      <c r="CG89" s="133"/>
      <c r="CH89" s="133"/>
      <c r="CI89" s="133"/>
      <c r="CJ89" s="134"/>
      <c r="CL89" s="780" t="s">
        <v>820</v>
      </c>
      <c r="CM89" s="133">
        <v>27.3147576</v>
      </c>
      <c r="CN89" s="133"/>
      <c r="CO89" s="133"/>
      <c r="CP89" s="133"/>
      <c r="CQ89" s="133"/>
      <c r="CR89" s="134"/>
      <c r="CT89" s="780" t="s">
        <v>820</v>
      </c>
      <c r="CU89" s="133">
        <v>32.775957599999998</v>
      </c>
      <c r="CV89" s="133"/>
      <c r="CW89" s="133"/>
      <c r="CX89" s="133"/>
      <c r="CY89" s="133"/>
      <c r="CZ89" s="134"/>
      <c r="DB89" s="780" t="s">
        <v>820</v>
      </c>
      <c r="DC89" s="133">
        <v>32.775957599999998</v>
      </c>
      <c r="DD89" s="133"/>
      <c r="DE89" s="133"/>
      <c r="DF89" s="133"/>
      <c r="DG89" s="133"/>
      <c r="DH89" s="134"/>
      <c r="DJ89" s="780" t="s">
        <v>820</v>
      </c>
      <c r="DK89" s="133">
        <v>32.775957599999998</v>
      </c>
      <c r="DL89" s="133"/>
      <c r="DM89" s="133"/>
      <c r="DN89" s="133"/>
      <c r="DO89" s="133"/>
      <c r="DP89" s="134"/>
      <c r="DR89" s="780" t="s">
        <v>820</v>
      </c>
      <c r="DS89" s="133">
        <v>32.775957599999998</v>
      </c>
      <c r="DT89" s="133"/>
      <c r="DU89" s="133"/>
      <c r="DV89" s="133"/>
      <c r="DW89" s="133"/>
      <c r="DX89" s="134"/>
      <c r="DZ89" s="780" t="s">
        <v>820</v>
      </c>
      <c r="EA89" s="133">
        <v>30.590893760000004</v>
      </c>
      <c r="EB89" s="133"/>
      <c r="EC89" s="133"/>
      <c r="ED89" s="133"/>
      <c r="EE89" s="133"/>
      <c r="EF89" s="134"/>
      <c r="EH89" s="780" t="s">
        <v>820</v>
      </c>
      <c r="EI89" s="133">
        <v>30.590893760000004</v>
      </c>
      <c r="EJ89" s="133"/>
      <c r="EK89" s="133"/>
      <c r="EL89" s="133"/>
      <c r="EM89" s="133"/>
      <c r="EN89" s="134"/>
      <c r="EP89" s="780" t="s">
        <v>820</v>
      </c>
      <c r="EQ89" s="133">
        <v>30.590893760000004</v>
      </c>
      <c r="ER89" s="133"/>
      <c r="ES89" s="133"/>
      <c r="ET89" s="133"/>
      <c r="EU89" s="133"/>
      <c r="EV89" s="134"/>
      <c r="EX89" s="780" t="s">
        <v>820</v>
      </c>
      <c r="EY89" s="133">
        <v>30.590893760000004</v>
      </c>
      <c r="EZ89" s="133"/>
      <c r="FA89" s="133"/>
      <c r="FB89" s="133"/>
      <c r="FC89" s="133"/>
      <c r="FD89" s="134"/>
      <c r="FV89" s="799" t="s">
        <v>820</v>
      </c>
      <c r="FW89" s="853">
        <f>(FO89+FG89+EY89+EQ89+EI89+EA89+DS89+DK89+DC89+CU89+CM89+CE89+BW89+BO89+BG89+AY89+AQ89+AI89+AA89+S89+K89+C89)/20</f>
        <v>29.353255296000007</v>
      </c>
      <c r="FX89" s="853"/>
      <c r="FY89" s="853"/>
      <c r="FZ89" s="853"/>
      <c r="GA89" s="853"/>
      <c r="GB89" s="854"/>
    </row>
    <row r="90" spans="2:184" ht="32.25" customHeight="1" thickBot="1">
      <c r="B90" s="780" t="s">
        <v>370</v>
      </c>
      <c r="C90" s="831"/>
      <c r="D90" s="831"/>
      <c r="E90" s="831"/>
      <c r="F90" s="831"/>
      <c r="G90" s="831"/>
      <c r="H90" s="835">
        <v>0.27869935599999995</v>
      </c>
      <c r="J90" s="780" t="s">
        <v>370</v>
      </c>
      <c r="K90" s="831"/>
      <c r="L90" s="831"/>
      <c r="M90" s="831"/>
      <c r="N90" s="831"/>
      <c r="O90" s="831"/>
      <c r="P90" s="832">
        <v>0.27869935599999995</v>
      </c>
      <c r="R90" s="780" t="s">
        <v>370</v>
      </c>
      <c r="S90" s="836"/>
      <c r="T90" s="836"/>
      <c r="U90" s="836"/>
      <c r="V90" s="836"/>
      <c r="W90" s="836"/>
      <c r="X90" s="837">
        <v>0.27869935599999995</v>
      </c>
      <c r="Z90" s="780" t="s">
        <v>370</v>
      </c>
      <c r="AA90" s="836"/>
      <c r="AB90" s="836"/>
      <c r="AC90" s="836"/>
      <c r="AD90" s="836"/>
      <c r="AE90" s="836"/>
      <c r="AF90" s="832">
        <v>0.27869935599999995</v>
      </c>
      <c r="AH90" s="780" t="s">
        <v>370</v>
      </c>
      <c r="AI90" s="836"/>
      <c r="AJ90" s="836"/>
      <c r="AK90" s="836"/>
      <c r="AL90" s="836"/>
      <c r="AM90" s="836"/>
      <c r="AN90" s="837">
        <v>0.33442135599999995</v>
      </c>
      <c r="AO90" s="22"/>
      <c r="AP90" s="780" t="s">
        <v>370</v>
      </c>
      <c r="AQ90" s="831"/>
      <c r="AR90" s="831"/>
      <c r="AS90" s="831"/>
      <c r="AT90" s="831"/>
      <c r="AU90" s="831"/>
      <c r="AV90" s="837">
        <v>0.33442135599999995</v>
      </c>
      <c r="AX90" s="780" t="s">
        <v>370</v>
      </c>
      <c r="AY90" s="135"/>
      <c r="AZ90" s="135"/>
      <c r="BA90" s="135"/>
      <c r="BB90" s="135"/>
      <c r="BC90" s="135"/>
      <c r="BD90" s="136">
        <v>0.33442135599999995</v>
      </c>
      <c r="BF90" s="780" t="s">
        <v>370</v>
      </c>
      <c r="BG90" s="135"/>
      <c r="BH90" s="135"/>
      <c r="BI90" s="135"/>
      <c r="BJ90" s="135"/>
      <c r="BK90" s="135"/>
      <c r="BL90" s="136">
        <v>0.33442135599999995</v>
      </c>
      <c r="BN90" s="780" t="s">
        <v>370</v>
      </c>
      <c r="BO90" s="135"/>
      <c r="BP90" s="135"/>
      <c r="BQ90" s="135"/>
      <c r="BR90" s="135"/>
      <c r="BS90" s="135"/>
      <c r="BT90" s="136">
        <v>0.27869935599999995</v>
      </c>
      <c r="BV90" s="780" t="s">
        <v>370</v>
      </c>
      <c r="BW90" s="135"/>
      <c r="BX90" s="135"/>
      <c r="BY90" s="135"/>
      <c r="BZ90" s="135"/>
      <c r="CA90" s="135"/>
      <c r="CB90" s="136">
        <v>0.27869935599999995</v>
      </c>
      <c r="CD90" s="780" t="s">
        <v>370</v>
      </c>
      <c r="CE90" s="135"/>
      <c r="CF90" s="135"/>
      <c r="CG90" s="135"/>
      <c r="CH90" s="135"/>
      <c r="CI90" s="135"/>
      <c r="CJ90" s="136">
        <v>0.27869935599999995</v>
      </c>
      <c r="CL90" s="780" t="s">
        <v>370</v>
      </c>
      <c r="CM90" s="135"/>
      <c r="CN90" s="135"/>
      <c r="CO90" s="135"/>
      <c r="CP90" s="135"/>
      <c r="CQ90" s="135"/>
      <c r="CR90" s="136">
        <v>0.27869935599999995</v>
      </c>
      <c r="CT90" s="780" t="s">
        <v>370</v>
      </c>
      <c r="CU90" s="135"/>
      <c r="CV90" s="135"/>
      <c r="CW90" s="135"/>
      <c r="CX90" s="135"/>
      <c r="CY90" s="135"/>
      <c r="CZ90" s="136">
        <v>0.33442135599999995</v>
      </c>
      <c r="DB90" s="780" t="s">
        <v>370</v>
      </c>
      <c r="DC90" s="135"/>
      <c r="DD90" s="135"/>
      <c r="DE90" s="135"/>
      <c r="DF90" s="135"/>
      <c r="DG90" s="135"/>
      <c r="DH90" s="136">
        <v>0.33442135599999995</v>
      </c>
      <c r="DJ90" s="780" t="s">
        <v>370</v>
      </c>
      <c r="DK90" s="135"/>
      <c r="DL90" s="135"/>
      <c r="DM90" s="135"/>
      <c r="DN90" s="135"/>
      <c r="DO90" s="135"/>
      <c r="DP90" s="136">
        <v>0.33442135599999995</v>
      </c>
      <c r="DR90" s="780" t="s">
        <v>370</v>
      </c>
      <c r="DS90" s="135"/>
      <c r="DT90" s="135"/>
      <c r="DU90" s="135"/>
      <c r="DV90" s="135"/>
      <c r="DW90" s="135"/>
      <c r="DX90" s="136">
        <v>0.33442135599999995</v>
      </c>
      <c r="DZ90" s="780" t="s">
        <v>370</v>
      </c>
      <c r="EA90" s="135"/>
      <c r="EB90" s="135"/>
      <c r="EC90" s="135"/>
      <c r="ED90" s="135"/>
      <c r="EE90" s="135"/>
      <c r="EF90" s="136">
        <v>0.33442135599999995</v>
      </c>
      <c r="EH90" s="780" t="s">
        <v>370</v>
      </c>
      <c r="EI90" s="135"/>
      <c r="EJ90" s="135"/>
      <c r="EK90" s="135"/>
      <c r="EL90" s="135"/>
      <c r="EM90" s="135"/>
      <c r="EN90" s="136">
        <v>0.33442135599999995</v>
      </c>
      <c r="EP90" s="780" t="s">
        <v>370</v>
      </c>
      <c r="EQ90" s="135"/>
      <c r="ER90" s="135"/>
      <c r="ES90" s="135"/>
      <c r="ET90" s="135"/>
      <c r="EU90" s="135"/>
      <c r="EV90" s="136">
        <v>0.33442135599999995</v>
      </c>
      <c r="EX90" s="780" t="s">
        <v>370</v>
      </c>
      <c r="EY90" s="135"/>
      <c r="EZ90" s="135"/>
      <c r="FA90" s="135"/>
      <c r="FB90" s="135"/>
      <c r="FC90" s="135"/>
      <c r="FD90" s="136">
        <v>0.33442135599999995</v>
      </c>
      <c r="FV90" s="799" t="s">
        <v>370</v>
      </c>
      <c r="FW90" s="853"/>
      <c r="FX90" s="853"/>
      <c r="FY90" s="853"/>
      <c r="FZ90" s="853"/>
      <c r="GA90" s="853"/>
      <c r="GB90" s="854">
        <f>(FT90+FL90+FD90+EV90+EN90+EF90+DX90+DP90+DH90+CZ90+CR90+CJ90+CB90+BT90+BL90+BD90+AV90+AN90+AF90+X90+P90+H90)/20</f>
        <v>0.31213255599999989</v>
      </c>
    </row>
    <row r="91" spans="2:184" ht="19" thickBot="1">
      <c r="B91" s="139" t="s">
        <v>645</v>
      </c>
      <c r="C91" s="785">
        <f>SUM(C82:C90)</f>
        <v>972.06382595440232</v>
      </c>
      <c r="D91" s="785">
        <f>D84</f>
        <v>0.1145424826407767</v>
      </c>
      <c r="E91" s="785">
        <f>E85</f>
        <v>220.50554379080276</v>
      </c>
      <c r="F91" s="785">
        <f>F85</f>
        <v>150.11550880472302</v>
      </c>
      <c r="G91" s="785">
        <f>G85</f>
        <v>79.851692458078304</v>
      </c>
      <c r="H91" s="786">
        <f>H90</f>
        <v>0.27869935599999995</v>
      </c>
      <c r="J91" s="139" t="s">
        <v>645</v>
      </c>
      <c r="K91" s="785">
        <f>SUM(K82:K90)</f>
        <v>961.10631265646134</v>
      </c>
      <c r="L91" s="785">
        <f>L84</f>
        <v>0.1145424826407767</v>
      </c>
      <c r="M91" s="785">
        <f>M85</f>
        <v>215.94535507208403</v>
      </c>
      <c r="N91" s="785">
        <f>N85</f>
        <v>147.01102880849459</v>
      </c>
      <c r="O91" s="785">
        <f>O85</f>
        <v>78.200310906132415</v>
      </c>
      <c r="P91" s="786">
        <f>P90</f>
        <v>0.27869935599999995</v>
      </c>
      <c r="R91" s="139" t="s">
        <v>645</v>
      </c>
      <c r="S91" s="785">
        <f>SUM(S82:S90)</f>
        <v>885.46139577013491</v>
      </c>
      <c r="T91" s="785">
        <f>T84</f>
        <v>0.1145424826407767</v>
      </c>
      <c r="U91" s="785">
        <f>U85</f>
        <v>191.45399856348905</v>
      </c>
      <c r="V91" s="785">
        <f>V85</f>
        <v>130.33783148020615</v>
      </c>
      <c r="W91" s="785">
        <f>W85</f>
        <v>69.331253765052736</v>
      </c>
      <c r="X91" s="786">
        <f>X90</f>
        <v>0.27869935599999995</v>
      </c>
      <c r="Z91" s="139" t="s">
        <v>645</v>
      </c>
      <c r="AA91" s="785">
        <f>SUM(AA82:AA90)</f>
        <v>875.23407867045535</v>
      </c>
      <c r="AB91" s="785">
        <f>AB84</f>
        <v>0.1145424826407767</v>
      </c>
      <c r="AC91" s="785">
        <f>AC85</f>
        <v>186.89380984477029</v>
      </c>
      <c r="AD91" s="785">
        <f>AD85</f>
        <v>127.2333514839777</v>
      </c>
      <c r="AE91" s="785">
        <f>AE85</f>
        <v>67.679872213106833</v>
      </c>
      <c r="AF91" s="786">
        <f>AF90</f>
        <v>0.27869935599999995</v>
      </c>
      <c r="AH91" s="139" t="s">
        <v>645</v>
      </c>
      <c r="AI91" s="785">
        <f>SUM(AI82:AI90)</f>
        <v>977.35119131857618</v>
      </c>
      <c r="AJ91" s="785">
        <f>AJ84</f>
        <v>0.16789145351456305</v>
      </c>
      <c r="AK91" s="785">
        <f>AK85</f>
        <v>206.68614901964176</v>
      </c>
      <c r="AL91" s="785">
        <f>AL85</f>
        <v>140.70755723224792</v>
      </c>
      <c r="AM91" s="785">
        <f>AM85</f>
        <v>74.847273783369459</v>
      </c>
      <c r="AN91" s="786">
        <f>AN90</f>
        <v>0.33442135599999995</v>
      </c>
      <c r="AO91" s="22"/>
      <c r="AP91" s="139" t="s">
        <v>645</v>
      </c>
      <c r="AQ91" s="785">
        <f>SUM(AQ82:AQ90)</f>
        <v>1065.5729672976586</v>
      </c>
      <c r="AR91" s="785">
        <f>AR84</f>
        <v>0.16789145351456305</v>
      </c>
      <c r="AS91" s="785">
        <f>AS85</f>
        <v>234.97411351968617</v>
      </c>
      <c r="AT91" s="785">
        <f>AT85</f>
        <v>159.96540495331382</v>
      </c>
      <c r="AU91" s="785">
        <f>AU85</f>
        <v>85.091196918769555</v>
      </c>
      <c r="AV91" s="786">
        <f>AV90</f>
        <v>0.33442135599999995</v>
      </c>
      <c r="AX91" s="139" t="s">
        <v>645</v>
      </c>
      <c r="AY91" s="785">
        <f>SUM(AY82:AY90)</f>
        <v>967.17689047084286</v>
      </c>
      <c r="AZ91" s="785">
        <f>AZ84</f>
        <v>0.16789145351456305</v>
      </c>
      <c r="BA91" s="785">
        <f>BA85</f>
        <v>202.07255756838134</v>
      </c>
      <c r="BB91" s="785">
        <f>BB85</f>
        <v>137.56672178558844</v>
      </c>
      <c r="BC91" s="785">
        <f>BC85</f>
        <v>73.176553495072412</v>
      </c>
      <c r="BD91" s="786">
        <f>BD90</f>
        <v>0.33442135599999995</v>
      </c>
      <c r="BF91" s="139" t="s">
        <v>645</v>
      </c>
      <c r="BG91" s="785">
        <f>SUM(BG82:BG90)</f>
        <v>1054.7746828434317</v>
      </c>
      <c r="BH91" s="785">
        <f>BH84</f>
        <v>0.16789145351456305</v>
      </c>
      <c r="BI91" s="785">
        <f>BI85</f>
        <v>230.36052206842578</v>
      </c>
      <c r="BJ91" s="785">
        <f>BJ85</f>
        <v>156.82456950665437</v>
      </c>
      <c r="BK91" s="785">
        <f>BK85</f>
        <v>83.420476630472521</v>
      </c>
      <c r="BL91" s="786">
        <f>BL90</f>
        <v>0.33442135599999995</v>
      </c>
      <c r="BN91" s="139" t="s">
        <v>645</v>
      </c>
      <c r="BO91" s="785">
        <f>SUM(BO82:BO90)</f>
        <v>1005.868355556874</v>
      </c>
      <c r="BP91" s="785">
        <f>BP84</f>
        <v>0.1145424826407767</v>
      </c>
      <c r="BQ91" s="785">
        <f>BQ85</f>
        <v>223.86333836465008</v>
      </c>
      <c r="BR91" s="785">
        <f>BR85</f>
        <v>152.40142430711526</v>
      </c>
      <c r="BS91" s="785">
        <f>BS85</f>
        <v>81.067650909910398</v>
      </c>
      <c r="BT91" s="786">
        <f>BT90</f>
        <v>0.27869935599999995</v>
      </c>
      <c r="BV91" s="139" t="s">
        <v>645</v>
      </c>
      <c r="BW91" s="785">
        <f>SUM(BW82:BW90)</f>
        <v>916.36975842111485</v>
      </c>
      <c r="BX91" s="785">
        <f>BX84</f>
        <v>0.1145424826407767</v>
      </c>
      <c r="BY91" s="785">
        <f>BY85</f>
        <v>194.81179313733637</v>
      </c>
      <c r="BZ91" s="785">
        <f>BZ85</f>
        <v>132.62374698259839</v>
      </c>
      <c r="CA91" s="785">
        <f>CA85</f>
        <v>70.54721221688483</v>
      </c>
      <c r="CB91" s="786">
        <f>CB90</f>
        <v>0.27869935599999995</v>
      </c>
      <c r="CD91" s="139" t="s">
        <v>645</v>
      </c>
      <c r="CE91" s="785">
        <f>SUM(CE82:CE90)</f>
        <v>1016.326387005072</v>
      </c>
      <c r="CF91" s="785">
        <f>CF84</f>
        <v>0.1145424826407767</v>
      </c>
      <c r="CG91" s="785">
        <f>CG85</f>
        <v>228.42352708336887</v>
      </c>
      <c r="CH91" s="785">
        <f>CH85</f>
        <v>155.50590430334375</v>
      </c>
      <c r="CI91" s="785">
        <f>CI85</f>
        <v>82.719032461856301</v>
      </c>
      <c r="CJ91" s="786">
        <f>CJ90</f>
        <v>0.27869935599999995</v>
      </c>
      <c r="CL91" s="139" t="s">
        <v>645</v>
      </c>
      <c r="CM91" s="785">
        <f>SUM(CM82:CM90)</f>
        <v>926.10806513213834</v>
      </c>
      <c r="CN91" s="785">
        <f>CN84</f>
        <v>0.1145424826407767</v>
      </c>
      <c r="CO91" s="785">
        <f>CO85</f>
        <v>199.3719818560551</v>
      </c>
      <c r="CP91" s="785">
        <f>CP85</f>
        <v>135.72822697882685</v>
      </c>
      <c r="CQ91" s="785">
        <f>CQ85</f>
        <v>72.198593768830719</v>
      </c>
      <c r="CR91" s="786">
        <f>CR90</f>
        <v>0.27869935599999995</v>
      </c>
      <c r="CT91" s="139" t="s">
        <v>645</v>
      </c>
      <c r="CU91" s="785">
        <f>SUM(CU82:CU90)</f>
        <v>1020.0052479203695</v>
      </c>
      <c r="CV91" s="785">
        <f>CV84</f>
        <v>0.16789145351456305</v>
      </c>
      <c r="CW91" s="785">
        <f>CW85</f>
        <v>210.08094470541812</v>
      </c>
      <c r="CX91" s="785">
        <f>CX85</f>
        <v>143.01866230878002</v>
      </c>
      <c r="CY91" s="785">
        <f>CY85</f>
        <v>76.076631451201166</v>
      </c>
      <c r="CZ91" s="786">
        <f>CZ90</f>
        <v>0.33442135599999995</v>
      </c>
      <c r="DB91" s="139" t="s">
        <v>645</v>
      </c>
      <c r="DC91" s="785">
        <f>SUM(DC82:DC90)</f>
        <v>1029.5567149076594</v>
      </c>
      <c r="DD91" s="785">
        <f>DD84</f>
        <v>0.16789145351456305</v>
      </c>
      <c r="DE91" s="785">
        <f>DE85</f>
        <v>214.69453615667854</v>
      </c>
      <c r="DF91" s="785">
        <f>DF85</f>
        <v>146.1594977554395</v>
      </c>
      <c r="DG91" s="785">
        <f>DG85</f>
        <v>77.747351739498214</v>
      </c>
      <c r="DH91" s="786">
        <f>DH90</f>
        <v>0.33442135599999995</v>
      </c>
      <c r="DJ91" s="139" t="s">
        <v>645</v>
      </c>
      <c r="DK91" s="785">
        <f>SUM(DK82:DK90)</f>
        <v>1108.6173185705068</v>
      </c>
      <c r="DL91" s="785">
        <f>DL84</f>
        <v>0.16789145351456305</v>
      </c>
      <c r="DM91" s="785">
        <f>DM85</f>
        <v>238.62592428948096</v>
      </c>
      <c r="DN91" s="785">
        <f>DN85</f>
        <v>162.45148046117674</v>
      </c>
      <c r="DO91" s="785">
        <f>DO85</f>
        <v>86.413627482154396</v>
      </c>
      <c r="DP91" s="786">
        <f>DP90</f>
        <v>0.33442135599999995</v>
      </c>
      <c r="DR91" s="139" t="s">
        <v>645</v>
      </c>
      <c r="DS91" s="785">
        <f>SUM(DS82:DS90)</f>
        <v>1118.7349729190801</v>
      </c>
      <c r="DT91" s="785">
        <f>DT84</f>
        <v>0.16789145351456305</v>
      </c>
      <c r="DU91" s="785">
        <f>DU85</f>
        <v>243.1541691758396</v>
      </c>
      <c r="DV91" s="785">
        <f>DV85</f>
        <v>165.53421377219505</v>
      </c>
      <c r="DW91" s="785">
        <f>DW85</f>
        <v>88.05344121120703</v>
      </c>
      <c r="DX91" s="786">
        <f>DX90</f>
        <v>0.33442135599999995</v>
      </c>
      <c r="DZ91" s="139" t="s">
        <v>645</v>
      </c>
      <c r="EA91" s="785">
        <f>SUM(EA82:EA90)</f>
        <v>1107.2940323772434</v>
      </c>
      <c r="EB91" s="785">
        <f>EB84</f>
        <v>0.16789145351456305</v>
      </c>
      <c r="EC91" s="785">
        <f>EC85</f>
        <v>238.40504933029382</v>
      </c>
      <c r="ED91" s="785">
        <f>ED85</f>
        <v>162.30111346218621</v>
      </c>
      <c r="EE91" s="785">
        <f>EE85</f>
        <v>86.333642013265518</v>
      </c>
      <c r="EF91" s="786">
        <f>EF90</f>
        <v>0.33442135599999995</v>
      </c>
      <c r="EH91" s="139" t="s">
        <v>645</v>
      </c>
      <c r="EI91" s="785">
        <f>SUM(EI82:EI90)</f>
        <v>1019.0752128880051</v>
      </c>
      <c r="EJ91" s="785">
        <f>EJ84</f>
        <v>0.16789145351456305</v>
      </c>
      <c r="EK91" s="785">
        <f>EK85</f>
        <v>210.11708483024944</v>
      </c>
      <c r="EL91" s="785">
        <f>EL85</f>
        <v>143.04326574112031</v>
      </c>
      <c r="EM91" s="785">
        <f>EM85</f>
        <v>76.089718877865437</v>
      </c>
      <c r="EN91" s="786">
        <f>EN90</f>
        <v>0.33442135599999995</v>
      </c>
      <c r="EP91" s="139" t="s">
        <v>645</v>
      </c>
      <c r="EQ91" s="785">
        <f>SUM(EQ82:EQ90)</f>
        <v>1097.0876207648171</v>
      </c>
      <c r="ER91" s="785">
        <f>ER84</f>
        <v>0.16789145351456305</v>
      </c>
      <c r="ES91" s="785">
        <f>ES85</f>
        <v>233.79145787903346</v>
      </c>
      <c r="ET91" s="785">
        <f>ET85</f>
        <v>159.16027801552676</v>
      </c>
      <c r="EU91" s="785">
        <f>EU85</f>
        <v>84.662921724968498</v>
      </c>
      <c r="EV91" s="786">
        <f>EV90</f>
        <v>0.33442135599999995</v>
      </c>
      <c r="EX91" s="139" t="s">
        <v>645</v>
      </c>
      <c r="EY91" s="785">
        <f>SUM(EY82:EY90)</f>
        <v>1009.4361188267317</v>
      </c>
      <c r="EZ91" s="785">
        <f>EZ84</f>
        <v>0.16789145351456305</v>
      </c>
      <c r="FA91" s="785">
        <f>FA85</f>
        <v>205.50349337898902</v>
      </c>
      <c r="FB91" s="785">
        <f>FB85</f>
        <v>139.90243029446083</v>
      </c>
      <c r="FC91" s="785">
        <f>FC85</f>
        <v>74.418998589568389</v>
      </c>
      <c r="FD91" s="786">
        <f>FD90</f>
        <v>0.33442135599999995</v>
      </c>
      <c r="FV91" s="808" t="s">
        <v>996</v>
      </c>
      <c r="FW91" s="853">
        <f>SUM(FW82:FW90)</f>
        <v>1006.661057513579</v>
      </c>
      <c r="FX91" s="853">
        <f>SUM(FX84:FX90)</f>
        <v>0.14655186516504853</v>
      </c>
      <c r="FY91" s="853">
        <f>FY85</f>
        <v>216.48676748173375</v>
      </c>
      <c r="FZ91" s="853">
        <f>FZ85</f>
        <v>147.37961092189877</v>
      </c>
      <c r="GA91" s="853">
        <f>GA85</f>
        <v>78.396372630863254</v>
      </c>
      <c r="GB91" s="854">
        <f>GB90</f>
        <v>0.31213255599999989</v>
      </c>
    </row>
    <row r="92" spans="2:184" ht="16" thickBot="1">
      <c r="B92" s="138" t="s">
        <v>644</v>
      </c>
      <c r="C92" s="4659">
        <f>SUM(C91:H91)</f>
        <v>1422.9298128466473</v>
      </c>
      <c r="D92" s="4660"/>
      <c r="E92" s="4660"/>
      <c r="F92" s="4660"/>
      <c r="G92" s="4660"/>
      <c r="H92" s="4661"/>
      <c r="J92" s="138" t="s">
        <v>644</v>
      </c>
      <c r="K92" s="4659">
        <f>SUM(K91:P91)</f>
        <v>1402.6562492818132</v>
      </c>
      <c r="L92" s="4660"/>
      <c r="M92" s="4660"/>
      <c r="N92" s="4660"/>
      <c r="O92" s="4660"/>
      <c r="P92" s="4661"/>
      <c r="R92" s="138" t="s">
        <v>644</v>
      </c>
      <c r="S92" s="4659">
        <f>SUM(S91:X91)</f>
        <v>1276.9777214175238</v>
      </c>
      <c r="T92" s="4660"/>
      <c r="U92" s="4660"/>
      <c r="V92" s="4660"/>
      <c r="W92" s="4660"/>
      <c r="X92" s="4661"/>
      <c r="Z92" s="138" t="s">
        <v>644</v>
      </c>
      <c r="AA92" s="4659">
        <f>SUM(AA91:AF91)</f>
        <v>1257.434354050951</v>
      </c>
      <c r="AB92" s="4660"/>
      <c r="AC92" s="4660"/>
      <c r="AD92" s="4660"/>
      <c r="AE92" s="4660"/>
      <c r="AF92" s="4661"/>
      <c r="AH92" s="138" t="s">
        <v>644</v>
      </c>
      <c r="AI92" s="4659">
        <f>SUM(AI91:AN91)</f>
        <v>1400.0944841633498</v>
      </c>
      <c r="AJ92" s="4660"/>
      <c r="AK92" s="4660"/>
      <c r="AL92" s="4660"/>
      <c r="AM92" s="4660"/>
      <c r="AN92" s="4661"/>
      <c r="AO92" s="22"/>
      <c r="AP92" s="138" t="s">
        <v>644</v>
      </c>
      <c r="AQ92" s="4659">
        <f>SUM(AQ91:AV91)</f>
        <v>1546.1059954989425</v>
      </c>
      <c r="AR92" s="4660"/>
      <c r="AS92" s="4660"/>
      <c r="AT92" s="4660"/>
      <c r="AU92" s="4660"/>
      <c r="AV92" s="4661"/>
      <c r="AX92" s="138" t="s">
        <v>644</v>
      </c>
      <c r="AY92" s="4659">
        <f>SUM(AY91:BD91)</f>
        <v>1380.4950361293995</v>
      </c>
      <c r="AZ92" s="4660"/>
      <c r="BA92" s="4660"/>
      <c r="BB92" s="4660"/>
      <c r="BC92" s="4660"/>
      <c r="BD92" s="4661"/>
      <c r="BF92" s="138" t="s">
        <v>644</v>
      </c>
      <c r="BG92" s="4659">
        <f>SUM(BG91:BL91)</f>
        <v>1525.8825638584988</v>
      </c>
      <c r="BH92" s="4660"/>
      <c r="BI92" s="4660"/>
      <c r="BJ92" s="4660"/>
      <c r="BK92" s="4660"/>
      <c r="BL92" s="4661"/>
      <c r="BN92" s="138" t="s">
        <v>644</v>
      </c>
      <c r="BO92" s="4659">
        <f>SUM(BO91:BT91)</f>
        <v>1463.5940109771905</v>
      </c>
      <c r="BP92" s="4660"/>
      <c r="BQ92" s="4660"/>
      <c r="BR92" s="4660"/>
      <c r="BS92" s="4660"/>
      <c r="BT92" s="4661"/>
      <c r="BV92" s="138" t="s">
        <v>644</v>
      </c>
      <c r="BW92" s="4659">
        <f>SUM(BW91:CB91)</f>
        <v>1314.7457525965754</v>
      </c>
      <c r="BX92" s="4660"/>
      <c r="BY92" s="4660"/>
      <c r="BZ92" s="4660"/>
      <c r="CA92" s="4660"/>
      <c r="CB92" s="4661"/>
      <c r="CD92" s="138" t="s">
        <v>644</v>
      </c>
      <c r="CE92" s="4659">
        <f>SUM(CE91:CJ91)</f>
        <v>1483.3680926922818</v>
      </c>
      <c r="CF92" s="4660"/>
      <c r="CG92" s="4660"/>
      <c r="CH92" s="4660"/>
      <c r="CI92" s="4660"/>
      <c r="CJ92" s="4661"/>
      <c r="CL92" s="138" t="s">
        <v>644</v>
      </c>
      <c r="CM92" s="4659">
        <f>SUM(CM91:CR91)</f>
        <v>1333.8001095744919</v>
      </c>
      <c r="CN92" s="4660"/>
      <c r="CO92" s="4660"/>
      <c r="CP92" s="4660"/>
      <c r="CQ92" s="4660"/>
      <c r="CR92" s="4661"/>
      <c r="CT92" s="138" t="s">
        <v>644</v>
      </c>
      <c r="CU92" s="4659">
        <f>SUM(CU91:CZ91)</f>
        <v>1449.6837991952832</v>
      </c>
      <c r="CV92" s="4660"/>
      <c r="CW92" s="4660"/>
      <c r="CX92" s="4660"/>
      <c r="CY92" s="4660"/>
      <c r="CZ92" s="4661"/>
      <c r="DB92" s="138" t="s">
        <v>644</v>
      </c>
      <c r="DC92" s="4659">
        <f>SUM(DC91:DH91)</f>
        <v>1468.6604133687904</v>
      </c>
      <c r="DD92" s="4660"/>
      <c r="DE92" s="4660"/>
      <c r="DF92" s="4660"/>
      <c r="DG92" s="4660"/>
      <c r="DH92" s="4661"/>
      <c r="DJ92" s="138" t="s">
        <v>644</v>
      </c>
      <c r="DK92" s="4659">
        <f>SUM(DK91:DP91)</f>
        <v>1596.6106636128334</v>
      </c>
      <c r="DL92" s="4660"/>
      <c r="DM92" s="4660"/>
      <c r="DN92" s="4660"/>
      <c r="DO92" s="4660"/>
      <c r="DP92" s="4661"/>
      <c r="DR92" s="138" t="s">
        <v>644</v>
      </c>
      <c r="DS92" s="4659">
        <f>SUM(DS91:DX91)</f>
        <v>1615.9791098878361</v>
      </c>
      <c r="DT92" s="4660"/>
      <c r="DU92" s="4660"/>
      <c r="DV92" s="4660"/>
      <c r="DW92" s="4660"/>
      <c r="DX92" s="4661"/>
      <c r="DZ92" s="138" t="s">
        <v>644</v>
      </c>
      <c r="EA92" s="4659">
        <f>SUM(EA91:EF91)</f>
        <v>1594.8361499925036</v>
      </c>
      <c r="EB92" s="4660"/>
      <c r="EC92" s="4660"/>
      <c r="ED92" s="4660"/>
      <c r="EE92" s="4660"/>
      <c r="EF92" s="4661"/>
      <c r="EH92" s="138" t="s">
        <v>644</v>
      </c>
      <c r="EI92" s="4659">
        <f>SUM(EI91:EN91)</f>
        <v>1448.8275951467549</v>
      </c>
      <c r="EJ92" s="4660"/>
      <c r="EK92" s="4660"/>
      <c r="EL92" s="4660"/>
      <c r="EM92" s="4660"/>
      <c r="EN92" s="4661"/>
      <c r="EP92" s="138" t="s">
        <v>644</v>
      </c>
      <c r="EQ92" s="4659">
        <f>SUM(EQ91:EV91)</f>
        <v>1575.2045911938603</v>
      </c>
      <c r="ER92" s="4660"/>
      <c r="ES92" s="4660"/>
      <c r="ET92" s="4660"/>
      <c r="EU92" s="4660"/>
      <c r="EV92" s="4661"/>
      <c r="EX92" s="138" t="s">
        <v>644</v>
      </c>
      <c r="EY92" s="4659">
        <f>SUM(EY91:FD91)</f>
        <v>1429.7633538992645</v>
      </c>
      <c r="EZ92" s="4660"/>
      <c r="FA92" s="4660"/>
      <c r="FB92" s="4660"/>
      <c r="FC92" s="4660"/>
      <c r="FD92" s="4661"/>
      <c r="FV92" s="808" t="s">
        <v>997</v>
      </c>
      <c r="FW92" s="4825">
        <f>FW91+FX91+FY91+FZ91+GA91+GB91</f>
        <v>1449.3824929692398</v>
      </c>
      <c r="FX92" s="4826"/>
      <c r="FY92" s="4826"/>
      <c r="FZ92" s="4826"/>
      <c r="GA92" s="4826"/>
      <c r="GB92" s="4827"/>
    </row>
    <row r="93" spans="2:184" ht="18.5">
      <c r="R93" s="4839"/>
      <c r="S93" s="4839"/>
      <c r="T93" s="4839"/>
      <c r="U93" s="4839"/>
      <c r="V93" s="4839"/>
      <c r="W93" s="4839"/>
      <c r="X93" s="4839"/>
      <c r="AO93" s="22"/>
      <c r="FV93" s="855"/>
    </row>
    <row r="94" spans="2:184">
      <c r="AO94" s="22"/>
    </row>
    <row r="95" spans="2:184" ht="26">
      <c r="B95" s="754" t="s">
        <v>1012</v>
      </c>
      <c r="AO95" s="22"/>
      <c r="AR95" s="754" t="s">
        <v>1012</v>
      </c>
      <c r="BV95" s="754" t="s">
        <v>1012</v>
      </c>
      <c r="DD95" s="754" t="s">
        <v>1012</v>
      </c>
      <c r="EO95" s="754" t="s">
        <v>1012</v>
      </c>
    </row>
    <row r="96" spans="2:184" s="759" customFormat="1" ht="24.75" customHeight="1" thickBot="1">
      <c r="B96" s="756" t="s">
        <v>387</v>
      </c>
      <c r="C96" s="757"/>
      <c r="D96" s="757"/>
      <c r="E96" s="757"/>
      <c r="F96" s="757"/>
      <c r="G96" s="757"/>
      <c r="H96" s="758"/>
      <c r="J96" s="756" t="s">
        <v>388</v>
      </c>
      <c r="K96" s="757"/>
      <c r="L96" s="757"/>
      <c r="M96" s="757"/>
      <c r="N96" s="757"/>
      <c r="O96" s="757"/>
      <c r="P96" s="760"/>
      <c r="R96" s="756" t="s">
        <v>395</v>
      </c>
      <c r="Z96" s="756" t="s">
        <v>397</v>
      </c>
      <c r="AH96" s="756" t="s">
        <v>412</v>
      </c>
      <c r="AP96" s="756" t="s">
        <v>415</v>
      </c>
      <c r="AX96" s="756" t="s">
        <v>420</v>
      </c>
      <c r="BF96" s="756" t="s">
        <v>423</v>
      </c>
      <c r="BN96" s="756" t="s">
        <v>428</v>
      </c>
      <c r="BV96" s="756" t="s">
        <v>431</v>
      </c>
      <c r="CD96" s="756" t="s">
        <v>436</v>
      </c>
      <c r="CL96" s="756" t="s">
        <v>440</v>
      </c>
      <c r="CT96" s="756" t="s">
        <v>441</v>
      </c>
      <c r="DB96" s="756" t="s">
        <v>442</v>
      </c>
      <c r="DJ96" s="756" t="s">
        <v>443</v>
      </c>
      <c r="DR96" s="756" t="s">
        <v>444</v>
      </c>
      <c r="DZ96" s="756" t="s">
        <v>464</v>
      </c>
      <c r="EH96" s="756" t="s">
        <v>468</v>
      </c>
      <c r="EP96" s="756" t="s">
        <v>472</v>
      </c>
      <c r="EX96" s="756" t="s">
        <v>476</v>
      </c>
      <c r="FF96" s="756" t="s">
        <v>1013</v>
      </c>
      <c r="FN96" s="756" t="s">
        <v>484</v>
      </c>
    </row>
    <row r="97" spans="2:184" ht="19" thickBot="1">
      <c r="B97" s="4834" t="s">
        <v>363</v>
      </c>
      <c r="C97" s="4835"/>
      <c r="D97" s="4835"/>
      <c r="E97" s="4835"/>
      <c r="F97" s="4835"/>
      <c r="G97" s="4835"/>
      <c r="H97" s="4836"/>
      <c r="J97" s="4834" t="s">
        <v>363</v>
      </c>
      <c r="K97" s="4835"/>
      <c r="L97" s="4835"/>
      <c r="M97" s="4835"/>
      <c r="N97" s="4835"/>
      <c r="O97" s="4835"/>
      <c r="P97" s="4836"/>
      <c r="R97" s="4834" t="s">
        <v>363</v>
      </c>
      <c r="S97" s="4835"/>
      <c r="T97" s="4835"/>
      <c r="U97" s="4835"/>
      <c r="V97" s="4835"/>
      <c r="W97" s="4835"/>
      <c r="X97" s="4836"/>
      <c r="Z97" s="4834" t="s">
        <v>363</v>
      </c>
      <c r="AA97" s="4835"/>
      <c r="AB97" s="4835"/>
      <c r="AC97" s="4835"/>
      <c r="AD97" s="4835"/>
      <c r="AE97" s="4835"/>
      <c r="AF97" s="4836"/>
      <c r="AH97" s="4834" t="s">
        <v>363</v>
      </c>
      <c r="AI97" s="4835"/>
      <c r="AJ97" s="4835"/>
      <c r="AK97" s="4835"/>
      <c r="AL97" s="4835"/>
      <c r="AM97" s="4835"/>
      <c r="AN97" s="4836"/>
      <c r="AP97" s="4834" t="s">
        <v>363</v>
      </c>
      <c r="AQ97" s="4835"/>
      <c r="AR97" s="4835"/>
      <c r="AS97" s="4835"/>
      <c r="AT97" s="4835"/>
      <c r="AU97" s="4835"/>
      <c r="AV97" s="4836"/>
      <c r="AX97" s="4834" t="s">
        <v>363</v>
      </c>
      <c r="AY97" s="4835"/>
      <c r="AZ97" s="4835"/>
      <c r="BA97" s="4835"/>
      <c r="BB97" s="4835"/>
      <c r="BC97" s="4835"/>
      <c r="BD97" s="4836"/>
      <c r="BF97" s="4834" t="s">
        <v>363</v>
      </c>
      <c r="BG97" s="4835"/>
      <c r="BH97" s="4835"/>
      <c r="BI97" s="4835"/>
      <c r="BJ97" s="4835"/>
      <c r="BK97" s="4835"/>
      <c r="BL97" s="4836"/>
      <c r="BN97" s="4834" t="s">
        <v>363</v>
      </c>
      <c r="BO97" s="4835"/>
      <c r="BP97" s="4835"/>
      <c r="BQ97" s="4835"/>
      <c r="BR97" s="4835"/>
      <c r="BS97" s="4835"/>
      <c r="BT97" s="4836"/>
      <c r="BV97" s="4834" t="s">
        <v>363</v>
      </c>
      <c r="BW97" s="4835"/>
      <c r="BX97" s="4835"/>
      <c r="BY97" s="4835"/>
      <c r="BZ97" s="4835"/>
      <c r="CA97" s="4835"/>
      <c r="CB97" s="4836"/>
      <c r="CD97" s="4834" t="s">
        <v>363</v>
      </c>
      <c r="CE97" s="4835"/>
      <c r="CF97" s="4835"/>
      <c r="CG97" s="4835"/>
      <c r="CH97" s="4835"/>
      <c r="CI97" s="4835"/>
      <c r="CJ97" s="4836"/>
      <c r="CL97" s="4834" t="s">
        <v>363</v>
      </c>
      <c r="CM97" s="4835"/>
      <c r="CN97" s="4835"/>
      <c r="CO97" s="4835"/>
      <c r="CP97" s="4835"/>
      <c r="CQ97" s="4835"/>
      <c r="CR97" s="4836"/>
      <c r="CT97" s="4834" t="s">
        <v>363</v>
      </c>
      <c r="CU97" s="4835"/>
      <c r="CV97" s="4835"/>
      <c r="CW97" s="4835"/>
      <c r="CX97" s="4835"/>
      <c r="CY97" s="4835"/>
      <c r="CZ97" s="4836"/>
      <c r="DB97" s="4834" t="s">
        <v>363</v>
      </c>
      <c r="DC97" s="4835"/>
      <c r="DD97" s="4835"/>
      <c r="DE97" s="4835"/>
      <c r="DF97" s="4835"/>
      <c r="DG97" s="4835"/>
      <c r="DH97" s="4836"/>
      <c r="DJ97" s="4834" t="s">
        <v>363</v>
      </c>
      <c r="DK97" s="4835"/>
      <c r="DL97" s="4835"/>
      <c r="DM97" s="4835"/>
      <c r="DN97" s="4835"/>
      <c r="DO97" s="4835"/>
      <c r="DP97" s="4836"/>
      <c r="DR97" s="4834" t="s">
        <v>363</v>
      </c>
      <c r="DS97" s="4835"/>
      <c r="DT97" s="4835"/>
      <c r="DU97" s="4835"/>
      <c r="DV97" s="4835"/>
      <c r="DW97" s="4835"/>
      <c r="DX97" s="4836"/>
      <c r="DZ97" s="4834" t="s">
        <v>363</v>
      </c>
      <c r="EA97" s="4835"/>
      <c r="EB97" s="4835"/>
      <c r="EC97" s="4835"/>
      <c r="ED97" s="4835"/>
      <c r="EE97" s="4835"/>
      <c r="EF97" s="4836"/>
      <c r="EH97" s="4834" t="s">
        <v>363</v>
      </c>
      <c r="EI97" s="4835"/>
      <c r="EJ97" s="4835"/>
      <c r="EK97" s="4835"/>
      <c r="EL97" s="4835"/>
      <c r="EM97" s="4835"/>
      <c r="EN97" s="4836"/>
      <c r="EP97" s="4834" t="s">
        <v>363</v>
      </c>
      <c r="EQ97" s="4835"/>
      <c r="ER97" s="4835"/>
      <c r="ES97" s="4835"/>
      <c r="ET97" s="4835"/>
      <c r="EU97" s="4835"/>
      <c r="EV97" s="4836"/>
      <c r="EX97" s="4834" t="s">
        <v>363</v>
      </c>
      <c r="EY97" s="4835"/>
      <c r="EZ97" s="4835"/>
      <c r="FA97" s="4835"/>
      <c r="FB97" s="4835"/>
      <c r="FC97" s="4835"/>
      <c r="FD97" s="4836"/>
      <c r="FF97" s="4834" t="s">
        <v>363</v>
      </c>
      <c r="FG97" s="4835"/>
      <c r="FH97" s="4835"/>
      <c r="FI97" s="4835"/>
      <c r="FJ97" s="4835"/>
      <c r="FK97" s="4835"/>
      <c r="FL97" s="4836"/>
      <c r="FN97" s="4834" t="s">
        <v>363</v>
      </c>
      <c r="FO97" s="4835"/>
      <c r="FP97" s="4835"/>
      <c r="FQ97" s="4835"/>
      <c r="FR97" s="4835"/>
      <c r="FS97" s="4835"/>
      <c r="FT97" s="4836"/>
      <c r="FV97" s="4819" t="s">
        <v>1014</v>
      </c>
      <c r="FW97" s="4819"/>
      <c r="FX97" s="4819"/>
      <c r="FY97" s="4819"/>
      <c r="FZ97" s="4819"/>
      <c r="GA97" s="4819"/>
      <c r="GB97" s="4819"/>
    </row>
    <row r="98" spans="2:184" ht="18.5">
      <c r="B98" s="4830" t="s">
        <v>364</v>
      </c>
      <c r="C98" s="4832" t="s">
        <v>524</v>
      </c>
      <c r="D98" s="4832"/>
      <c r="E98" s="4832"/>
      <c r="F98" s="4832"/>
      <c r="G98" s="4832"/>
      <c r="H98" s="4833"/>
      <c r="J98" s="4830" t="s">
        <v>364</v>
      </c>
      <c r="K98" s="4832" t="s">
        <v>524</v>
      </c>
      <c r="L98" s="4832"/>
      <c r="M98" s="4832"/>
      <c r="N98" s="4832"/>
      <c r="O98" s="4832"/>
      <c r="P98" s="4833"/>
      <c r="R98" s="4830" t="s">
        <v>364</v>
      </c>
      <c r="S98" s="4832" t="s">
        <v>524</v>
      </c>
      <c r="T98" s="4832"/>
      <c r="U98" s="4832"/>
      <c r="V98" s="4832"/>
      <c r="W98" s="4832"/>
      <c r="X98" s="4833"/>
      <c r="Z98" s="4830" t="s">
        <v>364</v>
      </c>
      <c r="AA98" s="4832" t="s">
        <v>524</v>
      </c>
      <c r="AB98" s="4832"/>
      <c r="AC98" s="4832"/>
      <c r="AD98" s="4832"/>
      <c r="AE98" s="4832"/>
      <c r="AF98" s="4833"/>
      <c r="AH98" s="4830" t="s">
        <v>364</v>
      </c>
      <c r="AI98" s="4832" t="s">
        <v>524</v>
      </c>
      <c r="AJ98" s="4832"/>
      <c r="AK98" s="4832"/>
      <c r="AL98" s="4832"/>
      <c r="AM98" s="4832"/>
      <c r="AN98" s="4833"/>
      <c r="AP98" s="4830" t="s">
        <v>364</v>
      </c>
      <c r="AQ98" s="4832" t="s">
        <v>524</v>
      </c>
      <c r="AR98" s="4832"/>
      <c r="AS98" s="4832"/>
      <c r="AT98" s="4832"/>
      <c r="AU98" s="4832"/>
      <c r="AV98" s="4833"/>
      <c r="AX98" s="4830" t="s">
        <v>364</v>
      </c>
      <c r="AY98" s="4832" t="s">
        <v>524</v>
      </c>
      <c r="AZ98" s="4832"/>
      <c r="BA98" s="4832"/>
      <c r="BB98" s="4832"/>
      <c r="BC98" s="4832"/>
      <c r="BD98" s="4833"/>
      <c r="BF98" s="4830" t="s">
        <v>364</v>
      </c>
      <c r="BG98" s="4832" t="s">
        <v>524</v>
      </c>
      <c r="BH98" s="4832"/>
      <c r="BI98" s="4832"/>
      <c r="BJ98" s="4832"/>
      <c r="BK98" s="4832"/>
      <c r="BL98" s="4833"/>
      <c r="BN98" s="4830" t="s">
        <v>364</v>
      </c>
      <c r="BO98" s="4832" t="s">
        <v>524</v>
      </c>
      <c r="BP98" s="4832"/>
      <c r="BQ98" s="4832"/>
      <c r="BR98" s="4832"/>
      <c r="BS98" s="4832"/>
      <c r="BT98" s="4833"/>
      <c r="BV98" s="4830" t="s">
        <v>364</v>
      </c>
      <c r="BW98" s="4832" t="s">
        <v>524</v>
      </c>
      <c r="BX98" s="4832"/>
      <c r="BY98" s="4832"/>
      <c r="BZ98" s="4832"/>
      <c r="CA98" s="4832"/>
      <c r="CB98" s="4833"/>
      <c r="CD98" s="4830" t="s">
        <v>364</v>
      </c>
      <c r="CE98" s="4832" t="s">
        <v>524</v>
      </c>
      <c r="CF98" s="4832"/>
      <c r="CG98" s="4832"/>
      <c r="CH98" s="4832"/>
      <c r="CI98" s="4832"/>
      <c r="CJ98" s="4833"/>
      <c r="CL98" s="4830" t="s">
        <v>364</v>
      </c>
      <c r="CM98" s="4832" t="s">
        <v>524</v>
      </c>
      <c r="CN98" s="4832"/>
      <c r="CO98" s="4832"/>
      <c r="CP98" s="4832"/>
      <c r="CQ98" s="4832"/>
      <c r="CR98" s="4833"/>
      <c r="CT98" s="4830" t="s">
        <v>364</v>
      </c>
      <c r="CU98" s="4832" t="s">
        <v>524</v>
      </c>
      <c r="CV98" s="4832"/>
      <c r="CW98" s="4832"/>
      <c r="CX98" s="4832"/>
      <c r="CY98" s="4832"/>
      <c r="CZ98" s="4833"/>
      <c r="DB98" s="4830" t="s">
        <v>364</v>
      </c>
      <c r="DC98" s="4832" t="s">
        <v>524</v>
      </c>
      <c r="DD98" s="4832"/>
      <c r="DE98" s="4832"/>
      <c r="DF98" s="4832"/>
      <c r="DG98" s="4832"/>
      <c r="DH98" s="4833"/>
      <c r="DJ98" s="4830" t="s">
        <v>364</v>
      </c>
      <c r="DK98" s="4832" t="s">
        <v>524</v>
      </c>
      <c r="DL98" s="4832"/>
      <c r="DM98" s="4832"/>
      <c r="DN98" s="4832"/>
      <c r="DO98" s="4832"/>
      <c r="DP98" s="4833"/>
      <c r="DR98" s="4830" t="s">
        <v>364</v>
      </c>
      <c r="DS98" s="4832" t="s">
        <v>524</v>
      </c>
      <c r="DT98" s="4832"/>
      <c r="DU98" s="4832"/>
      <c r="DV98" s="4832"/>
      <c r="DW98" s="4832"/>
      <c r="DX98" s="4833"/>
      <c r="DZ98" s="4830" t="s">
        <v>364</v>
      </c>
      <c r="EA98" s="4832" t="s">
        <v>524</v>
      </c>
      <c r="EB98" s="4832"/>
      <c r="EC98" s="4832"/>
      <c r="ED98" s="4832"/>
      <c r="EE98" s="4832"/>
      <c r="EF98" s="4833"/>
      <c r="EH98" s="4830" t="s">
        <v>364</v>
      </c>
      <c r="EI98" s="4832" t="s">
        <v>524</v>
      </c>
      <c r="EJ98" s="4832"/>
      <c r="EK98" s="4832"/>
      <c r="EL98" s="4832"/>
      <c r="EM98" s="4832"/>
      <c r="EN98" s="4833"/>
      <c r="EP98" s="4830" t="s">
        <v>364</v>
      </c>
      <c r="EQ98" s="4832" t="s">
        <v>524</v>
      </c>
      <c r="ER98" s="4832"/>
      <c r="ES98" s="4832"/>
      <c r="ET98" s="4832"/>
      <c r="EU98" s="4832"/>
      <c r="EV98" s="4833"/>
      <c r="EX98" s="4830" t="s">
        <v>364</v>
      </c>
      <c r="EY98" s="4832" t="s">
        <v>524</v>
      </c>
      <c r="EZ98" s="4832"/>
      <c r="FA98" s="4832"/>
      <c r="FB98" s="4832"/>
      <c r="FC98" s="4832"/>
      <c r="FD98" s="4833"/>
      <c r="FF98" s="4830" t="s">
        <v>364</v>
      </c>
      <c r="FG98" s="4832" t="s">
        <v>524</v>
      </c>
      <c r="FH98" s="4832"/>
      <c r="FI98" s="4832"/>
      <c r="FJ98" s="4832"/>
      <c r="FK98" s="4832"/>
      <c r="FL98" s="4833"/>
      <c r="FN98" s="4830" t="s">
        <v>364</v>
      </c>
      <c r="FO98" s="4832" t="s">
        <v>524</v>
      </c>
      <c r="FP98" s="4832"/>
      <c r="FQ98" s="4832"/>
      <c r="FR98" s="4832"/>
      <c r="FS98" s="4832"/>
      <c r="FT98" s="4833"/>
      <c r="FV98" s="4822" t="s">
        <v>993</v>
      </c>
      <c r="FW98" s="4820" t="s">
        <v>524</v>
      </c>
      <c r="FX98" s="4821"/>
      <c r="FY98" s="4821"/>
      <c r="FZ98" s="4821"/>
      <c r="GA98" s="4821"/>
      <c r="GB98" s="4824"/>
    </row>
    <row r="99" spans="2:184" ht="52.5" customHeight="1">
      <c r="B99" s="4831"/>
      <c r="C99" s="762" t="s">
        <v>994</v>
      </c>
      <c r="D99" s="762" t="s">
        <v>371</v>
      </c>
      <c r="E99" s="762" t="s">
        <v>372</v>
      </c>
      <c r="F99" s="762" t="s">
        <v>373</v>
      </c>
      <c r="G99" s="762" t="s">
        <v>374</v>
      </c>
      <c r="H99" s="763" t="s">
        <v>523</v>
      </c>
      <c r="J99" s="4831"/>
      <c r="K99" s="762" t="s">
        <v>994</v>
      </c>
      <c r="L99" s="762" t="s">
        <v>371</v>
      </c>
      <c r="M99" s="762" t="s">
        <v>372</v>
      </c>
      <c r="N99" s="762" t="s">
        <v>373</v>
      </c>
      <c r="O99" s="762" t="s">
        <v>374</v>
      </c>
      <c r="P99" s="764" t="s">
        <v>523</v>
      </c>
      <c r="R99" s="4831"/>
      <c r="S99" s="762" t="s">
        <v>994</v>
      </c>
      <c r="T99" s="762" t="s">
        <v>371</v>
      </c>
      <c r="U99" s="762" t="s">
        <v>372</v>
      </c>
      <c r="V99" s="762" t="s">
        <v>373</v>
      </c>
      <c r="W99" s="762" t="s">
        <v>374</v>
      </c>
      <c r="X99" s="765" t="s">
        <v>523</v>
      </c>
      <c r="Z99" s="4831"/>
      <c r="AA99" s="762" t="s">
        <v>994</v>
      </c>
      <c r="AB99" s="762" t="s">
        <v>371</v>
      </c>
      <c r="AC99" s="762" t="s">
        <v>372</v>
      </c>
      <c r="AD99" s="762" t="s">
        <v>373</v>
      </c>
      <c r="AE99" s="762" t="s">
        <v>374</v>
      </c>
      <c r="AF99" s="765" t="s">
        <v>523</v>
      </c>
      <c r="AH99" s="4831"/>
      <c r="AI99" s="762" t="s">
        <v>994</v>
      </c>
      <c r="AJ99" s="762" t="s">
        <v>371</v>
      </c>
      <c r="AK99" s="762" t="s">
        <v>372</v>
      </c>
      <c r="AL99" s="762" t="s">
        <v>373</v>
      </c>
      <c r="AM99" s="762" t="s">
        <v>374</v>
      </c>
      <c r="AN99" s="765" t="s">
        <v>523</v>
      </c>
      <c r="AP99" s="4831"/>
      <c r="AQ99" s="762" t="s">
        <v>994</v>
      </c>
      <c r="AR99" s="762" t="s">
        <v>371</v>
      </c>
      <c r="AS99" s="762" t="s">
        <v>372</v>
      </c>
      <c r="AT99" s="762" t="s">
        <v>373</v>
      </c>
      <c r="AU99" s="762" t="s">
        <v>374</v>
      </c>
      <c r="AV99" s="765" t="s">
        <v>523</v>
      </c>
      <c r="AX99" s="4831"/>
      <c r="AY99" s="762" t="s">
        <v>994</v>
      </c>
      <c r="AZ99" s="762" t="s">
        <v>371</v>
      </c>
      <c r="BA99" s="762" t="s">
        <v>372</v>
      </c>
      <c r="BB99" s="762" t="s">
        <v>373</v>
      </c>
      <c r="BC99" s="762" t="s">
        <v>374</v>
      </c>
      <c r="BD99" s="765" t="s">
        <v>523</v>
      </c>
      <c r="BF99" s="4831"/>
      <c r="BG99" s="762" t="s">
        <v>994</v>
      </c>
      <c r="BH99" s="762" t="s">
        <v>371</v>
      </c>
      <c r="BI99" s="762" t="s">
        <v>372</v>
      </c>
      <c r="BJ99" s="762" t="s">
        <v>373</v>
      </c>
      <c r="BK99" s="762" t="s">
        <v>374</v>
      </c>
      <c r="BL99" s="765" t="s">
        <v>523</v>
      </c>
      <c r="BN99" s="4831"/>
      <c r="BO99" s="762" t="s">
        <v>994</v>
      </c>
      <c r="BP99" s="762" t="s">
        <v>371</v>
      </c>
      <c r="BQ99" s="762" t="s">
        <v>372</v>
      </c>
      <c r="BR99" s="762" t="s">
        <v>373</v>
      </c>
      <c r="BS99" s="762" t="s">
        <v>374</v>
      </c>
      <c r="BT99" s="765" t="s">
        <v>523</v>
      </c>
      <c r="BV99" s="4831"/>
      <c r="BW99" s="762" t="s">
        <v>994</v>
      </c>
      <c r="BX99" s="762" t="s">
        <v>371</v>
      </c>
      <c r="BY99" s="762" t="s">
        <v>372</v>
      </c>
      <c r="BZ99" s="762" t="s">
        <v>373</v>
      </c>
      <c r="CA99" s="762" t="s">
        <v>374</v>
      </c>
      <c r="CB99" s="765" t="s">
        <v>523</v>
      </c>
      <c r="CD99" s="4831"/>
      <c r="CE99" s="762" t="s">
        <v>994</v>
      </c>
      <c r="CF99" s="762" t="s">
        <v>371</v>
      </c>
      <c r="CG99" s="762" t="s">
        <v>372</v>
      </c>
      <c r="CH99" s="762" t="s">
        <v>373</v>
      </c>
      <c r="CI99" s="762" t="s">
        <v>374</v>
      </c>
      <c r="CJ99" s="765" t="s">
        <v>523</v>
      </c>
      <c r="CL99" s="4831"/>
      <c r="CM99" s="762" t="s">
        <v>994</v>
      </c>
      <c r="CN99" s="762" t="s">
        <v>371</v>
      </c>
      <c r="CO99" s="762" t="s">
        <v>372</v>
      </c>
      <c r="CP99" s="762" t="s">
        <v>373</v>
      </c>
      <c r="CQ99" s="762" t="s">
        <v>374</v>
      </c>
      <c r="CR99" s="765" t="s">
        <v>523</v>
      </c>
      <c r="CT99" s="4831"/>
      <c r="CU99" s="762" t="s">
        <v>994</v>
      </c>
      <c r="CV99" s="762" t="s">
        <v>371</v>
      </c>
      <c r="CW99" s="762" t="s">
        <v>372</v>
      </c>
      <c r="CX99" s="762" t="s">
        <v>373</v>
      </c>
      <c r="CY99" s="762" t="s">
        <v>374</v>
      </c>
      <c r="CZ99" s="765" t="s">
        <v>523</v>
      </c>
      <c r="DB99" s="4831"/>
      <c r="DC99" s="762" t="s">
        <v>994</v>
      </c>
      <c r="DD99" s="762" t="s">
        <v>371</v>
      </c>
      <c r="DE99" s="762" t="s">
        <v>372</v>
      </c>
      <c r="DF99" s="762" t="s">
        <v>373</v>
      </c>
      <c r="DG99" s="762" t="s">
        <v>374</v>
      </c>
      <c r="DH99" s="765" t="s">
        <v>523</v>
      </c>
      <c r="DJ99" s="4831"/>
      <c r="DK99" s="762" t="s">
        <v>994</v>
      </c>
      <c r="DL99" s="762" t="s">
        <v>371</v>
      </c>
      <c r="DM99" s="762" t="s">
        <v>372</v>
      </c>
      <c r="DN99" s="762" t="s">
        <v>373</v>
      </c>
      <c r="DO99" s="762" t="s">
        <v>374</v>
      </c>
      <c r="DP99" s="765" t="s">
        <v>523</v>
      </c>
      <c r="DR99" s="4831"/>
      <c r="DS99" s="762" t="s">
        <v>994</v>
      </c>
      <c r="DT99" s="762" t="s">
        <v>371</v>
      </c>
      <c r="DU99" s="762" t="s">
        <v>372</v>
      </c>
      <c r="DV99" s="762" t="s">
        <v>373</v>
      </c>
      <c r="DW99" s="762" t="s">
        <v>374</v>
      </c>
      <c r="DX99" s="765" t="s">
        <v>523</v>
      </c>
      <c r="DZ99" s="4831"/>
      <c r="EA99" s="762" t="s">
        <v>994</v>
      </c>
      <c r="EB99" s="762" t="s">
        <v>371</v>
      </c>
      <c r="EC99" s="762" t="s">
        <v>372</v>
      </c>
      <c r="ED99" s="762" t="s">
        <v>373</v>
      </c>
      <c r="EE99" s="762" t="s">
        <v>374</v>
      </c>
      <c r="EF99" s="765" t="s">
        <v>523</v>
      </c>
      <c r="EH99" s="4831"/>
      <c r="EI99" s="762" t="s">
        <v>994</v>
      </c>
      <c r="EJ99" s="762" t="s">
        <v>371</v>
      </c>
      <c r="EK99" s="762" t="s">
        <v>372</v>
      </c>
      <c r="EL99" s="762" t="s">
        <v>373</v>
      </c>
      <c r="EM99" s="762" t="s">
        <v>374</v>
      </c>
      <c r="EN99" s="765" t="s">
        <v>523</v>
      </c>
      <c r="EP99" s="4831"/>
      <c r="EQ99" s="762" t="s">
        <v>994</v>
      </c>
      <c r="ER99" s="762" t="s">
        <v>371</v>
      </c>
      <c r="ES99" s="762" t="s">
        <v>372</v>
      </c>
      <c r="ET99" s="762" t="s">
        <v>373</v>
      </c>
      <c r="EU99" s="762" t="s">
        <v>374</v>
      </c>
      <c r="EV99" s="765" t="s">
        <v>523</v>
      </c>
      <c r="EX99" s="4831"/>
      <c r="EY99" s="762" t="s">
        <v>994</v>
      </c>
      <c r="EZ99" s="762" t="s">
        <v>371</v>
      </c>
      <c r="FA99" s="762" t="s">
        <v>372</v>
      </c>
      <c r="FB99" s="762" t="s">
        <v>373</v>
      </c>
      <c r="FC99" s="762" t="s">
        <v>374</v>
      </c>
      <c r="FD99" s="765" t="s">
        <v>523</v>
      </c>
      <c r="FF99" s="4831"/>
      <c r="FG99" s="762" t="s">
        <v>994</v>
      </c>
      <c r="FH99" s="762" t="s">
        <v>371</v>
      </c>
      <c r="FI99" s="762" t="s">
        <v>372</v>
      </c>
      <c r="FJ99" s="762" t="s">
        <v>373</v>
      </c>
      <c r="FK99" s="762" t="s">
        <v>374</v>
      </c>
      <c r="FL99" s="765" t="s">
        <v>523</v>
      </c>
      <c r="FN99" s="4831"/>
      <c r="FO99" s="762" t="s">
        <v>994</v>
      </c>
      <c r="FP99" s="762" t="s">
        <v>371</v>
      </c>
      <c r="FQ99" s="762" t="s">
        <v>372</v>
      </c>
      <c r="FR99" s="762" t="s">
        <v>373</v>
      </c>
      <c r="FS99" s="762" t="s">
        <v>374</v>
      </c>
      <c r="FT99" s="765" t="s">
        <v>523</v>
      </c>
      <c r="FV99" s="4823"/>
      <c r="FW99" s="845" t="s">
        <v>994</v>
      </c>
      <c r="FX99" s="820" t="s">
        <v>371</v>
      </c>
      <c r="FY99" s="820" t="s">
        <v>372</v>
      </c>
      <c r="FZ99" s="820" t="s">
        <v>373</v>
      </c>
      <c r="GA99" s="820" t="s">
        <v>374</v>
      </c>
      <c r="GB99" s="821" t="s">
        <v>1005</v>
      </c>
    </row>
    <row r="100" spans="2:184" ht="18.5">
      <c r="B100" s="769" t="s">
        <v>365</v>
      </c>
      <c r="C100" s="822">
        <v>1.610346743115336</v>
      </c>
      <c r="D100" s="822"/>
      <c r="E100" s="822"/>
      <c r="F100" s="822"/>
      <c r="G100" s="822"/>
      <c r="H100" s="847"/>
      <c r="J100" s="769" t="s">
        <v>365</v>
      </c>
      <c r="K100" s="822">
        <v>1.610346743115336</v>
      </c>
      <c r="L100" s="822"/>
      <c r="M100" s="822"/>
      <c r="N100" s="822"/>
      <c r="O100" s="822"/>
      <c r="P100" s="823"/>
      <c r="R100" s="769" t="s">
        <v>365</v>
      </c>
      <c r="S100" s="824">
        <v>1.610346743115336</v>
      </c>
      <c r="T100" s="824"/>
      <c r="U100" s="824"/>
      <c r="V100" s="824"/>
      <c r="W100" s="824"/>
      <c r="X100" s="825"/>
      <c r="Z100" s="769" t="s">
        <v>365</v>
      </c>
      <c r="AA100" s="856">
        <v>1.610346743115336</v>
      </c>
      <c r="AB100" s="856"/>
      <c r="AC100" s="856"/>
      <c r="AD100" s="856"/>
      <c r="AE100" s="856"/>
      <c r="AF100" s="823"/>
      <c r="AH100" s="769" t="s">
        <v>365</v>
      </c>
      <c r="AI100" s="824">
        <v>2.6790275135972967</v>
      </c>
      <c r="AJ100" s="824"/>
      <c r="AK100" s="824"/>
      <c r="AL100" s="824"/>
      <c r="AM100" s="824"/>
      <c r="AN100" s="825"/>
      <c r="AP100" s="769" t="s">
        <v>365</v>
      </c>
      <c r="AQ100" s="824">
        <v>2.6790275135972967</v>
      </c>
      <c r="AR100" s="824"/>
      <c r="AS100" s="824"/>
      <c r="AT100" s="824"/>
      <c r="AU100" s="824"/>
      <c r="AV100" s="825"/>
      <c r="AX100" s="769" t="s">
        <v>365</v>
      </c>
      <c r="AY100" s="133">
        <v>2.6790275135972967</v>
      </c>
      <c r="AZ100" s="133"/>
      <c r="BA100" s="133"/>
      <c r="BB100" s="133"/>
      <c r="BC100" s="133"/>
      <c r="BD100" s="134"/>
      <c r="BF100" s="769" t="s">
        <v>365</v>
      </c>
      <c r="BG100" s="824">
        <v>2.6790275135972967</v>
      </c>
      <c r="BH100" s="824"/>
      <c r="BI100" s="824"/>
      <c r="BJ100" s="824"/>
      <c r="BK100" s="824"/>
      <c r="BL100" s="825"/>
      <c r="BN100" s="769" t="s">
        <v>365</v>
      </c>
      <c r="BO100" s="133">
        <v>1.0608501306586864</v>
      </c>
      <c r="BP100" s="133"/>
      <c r="BQ100" s="133"/>
      <c r="BR100" s="133"/>
      <c r="BS100" s="133"/>
      <c r="BT100" s="134"/>
      <c r="BV100" s="769" t="s">
        <v>365</v>
      </c>
      <c r="BW100" s="133">
        <v>1.0608501306586864</v>
      </c>
      <c r="BX100" s="133"/>
      <c r="BY100" s="133"/>
      <c r="BZ100" s="133"/>
      <c r="CA100" s="133"/>
      <c r="CB100" s="134"/>
      <c r="CD100" s="769" t="s">
        <v>365</v>
      </c>
      <c r="CE100" s="133">
        <v>1.0608501306586864</v>
      </c>
      <c r="CF100" s="133"/>
      <c r="CG100" s="133"/>
      <c r="CH100" s="133"/>
      <c r="CI100" s="133"/>
      <c r="CJ100" s="134"/>
      <c r="CL100" s="769" t="s">
        <v>365</v>
      </c>
      <c r="CM100" s="133">
        <v>1.0608501306586864</v>
      </c>
      <c r="CN100" s="133"/>
      <c r="CO100" s="133"/>
      <c r="CP100" s="133"/>
      <c r="CQ100" s="133"/>
      <c r="CR100" s="134"/>
      <c r="CT100" s="769" t="s">
        <v>365</v>
      </c>
      <c r="CU100" s="133">
        <v>2.709573774778089</v>
      </c>
      <c r="CV100" s="133"/>
      <c r="CW100" s="133"/>
      <c r="CX100" s="133"/>
      <c r="CY100" s="133"/>
      <c r="CZ100" s="134"/>
      <c r="DB100" s="769" t="s">
        <v>365</v>
      </c>
      <c r="DC100" s="133">
        <v>2.709573774778089</v>
      </c>
      <c r="DD100" s="133"/>
      <c r="DE100" s="133"/>
      <c r="DF100" s="133"/>
      <c r="DG100" s="133"/>
      <c r="DH100" s="134"/>
      <c r="DJ100" s="769" t="s">
        <v>365</v>
      </c>
      <c r="DK100" s="133">
        <v>2.709573774778089</v>
      </c>
      <c r="DL100" s="133"/>
      <c r="DM100" s="133"/>
      <c r="DN100" s="133"/>
      <c r="DO100" s="133"/>
      <c r="DP100" s="134"/>
      <c r="DR100" s="769" t="s">
        <v>365</v>
      </c>
      <c r="DS100" s="133">
        <v>2.709573774778089</v>
      </c>
      <c r="DT100" s="133"/>
      <c r="DU100" s="133"/>
      <c r="DV100" s="133"/>
      <c r="DW100" s="133"/>
      <c r="DX100" s="134"/>
      <c r="DZ100" s="769" t="s">
        <v>365</v>
      </c>
      <c r="EA100" s="133">
        <v>3.0562873337044865</v>
      </c>
      <c r="EB100" s="133"/>
      <c r="EC100" s="133"/>
      <c r="ED100" s="133"/>
      <c r="EE100" s="133"/>
      <c r="EF100" s="134"/>
      <c r="EH100" s="769" t="s">
        <v>365</v>
      </c>
      <c r="EI100" s="133">
        <v>3.0562873337044865</v>
      </c>
      <c r="EJ100" s="133"/>
      <c r="EK100" s="133"/>
      <c r="EL100" s="133"/>
      <c r="EM100" s="133"/>
      <c r="EN100" s="134"/>
      <c r="EP100" s="769" t="s">
        <v>365</v>
      </c>
      <c r="EQ100" s="133">
        <v>3.0562873337044865</v>
      </c>
      <c r="ER100" s="133"/>
      <c r="ES100" s="133"/>
      <c r="ET100" s="133"/>
      <c r="EU100" s="133"/>
      <c r="EV100" s="134"/>
      <c r="EX100" s="769" t="s">
        <v>365</v>
      </c>
      <c r="EY100" s="133">
        <v>3.0562873337044865</v>
      </c>
      <c r="EZ100" s="133"/>
      <c r="FA100" s="133"/>
      <c r="FB100" s="133"/>
      <c r="FC100" s="133"/>
      <c r="FD100" s="134"/>
      <c r="FF100" s="769" t="s">
        <v>365</v>
      </c>
      <c r="FG100" s="133">
        <v>0.94805971981298831</v>
      </c>
      <c r="FH100" s="133"/>
      <c r="FI100" s="133"/>
      <c r="FJ100" s="133"/>
      <c r="FK100" s="133"/>
      <c r="FL100" s="134"/>
      <c r="FN100" s="769" t="s">
        <v>365</v>
      </c>
      <c r="FO100" s="133">
        <v>0.94805971981298831</v>
      </c>
      <c r="FP100" s="133"/>
      <c r="FQ100" s="133"/>
      <c r="FR100" s="133"/>
      <c r="FS100" s="133"/>
      <c r="FT100" s="134"/>
      <c r="FV100" s="799" t="s">
        <v>365</v>
      </c>
      <c r="FW100" s="857">
        <f>SUM(B100:FU100)/22</f>
        <v>2.1072937010473436</v>
      </c>
      <c r="FX100" s="853"/>
      <c r="FY100" s="853"/>
      <c r="FZ100" s="853"/>
      <c r="GA100" s="853"/>
      <c r="GB100" s="854"/>
    </row>
    <row r="101" spans="2:184" ht="18.5">
      <c r="B101" s="769" t="s">
        <v>366</v>
      </c>
      <c r="C101" s="822">
        <v>516.10225849407141</v>
      </c>
      <c r="D101" s="822"/>
      <c r="E101" s="822"/>
      <c r="F101" s="822"/>
      <c r="G101" s="822"/>
      <c r="H101" s="847"/>
      <c r="J101" s="769" t="s">
        <v>366</v>
      </c>
      <c r="K101" s="822">
        <v>513.5761461330062</v>
      </c>
      <c r="L101" s="822"/>
      <c r="M101" s="822"/>
      <c r="N101" s="822"/>
      <c r="O101" s="822"/>
      <c r="P101" s="823"/>
      <c r="R101" s="769" t="s">
        <v>366</v>
      </c>
      <c r="S101" s="824">
        <v>479.75738753267524</v>
      </c>
      <c r="T101" s="824"/>
      <c r="U101" s="824"/>
      <c r="V101" s="824"/>
      <c r="W101" s="824"/>
      <c r="X101" s="825"/>
      <c r="Z101" s="769" t="s">
        <v>366</v>
      </c>
      <c r="AA101" s="856">
        <v>478.19196149127424</v>
      </c>
      <c r="AB101" s="856"/>
      <c r="AC101" s="856"/>
      <c r="AD101" s="856"/>
      <c r="AE101" s="856"/>
      <c r="AF101" s="823"/>
      <c r="AH101" s="769" t="s">
        <v>366</v>
      </c>
      <c r="AI101" s="824">
        <v>498.34879986569206</v>
      </c>
      <c r="AJ101" s="824"/>
      <c r="AK101" s="824"/>
      <c r="AL101" s="824"/>
      <c r="AM101" s="824"/>
      <c r="AN101" s="825"/>
      <c r="AP101" s="769" t="s">
        <v>366</v>
      </c>
      <c r="AQ101" s="824">
        <v>534.69350557901839</v>
      </c>
      <c r="AR101" s="824"/>
      <c r="AS101" s="824"/>
      <c r="AT101" s="824"/>
      <c r="AU101" s="824"/>
      <c r="AV101" s="825"/>
      <c r="AX101" s="769" t="s">
        <v>366</v>
      </c>
      <c r="AY101" s="133">
        <v>496.76473375283825</v>
      </c>
      <c r="AZ101" s="133"/>
      <c r="BA101" s="133"/>
      <c r="BB101" s="133"/>
      <c r="BC101" s="133"/>
      <c r="BD101" s="134"/>
      <c r="BF101" s="769" t="s">
        <v>366</v>
      </c>
      <c r="BG101" s="824">
        <v>532.35767417417651</v>
      </c>
      <c r="BH101" s="824"/>
      <c r="BI101" s="824"/>
      <c r="BJ101" s="824"/>
      <c r="BK101" s="824"/>
      <c r="BL101" s="825"/>
      <c r="BN101" s="769" t="s">
        <v>366</v>
      </c>
      <c r="BO101" s="133">
        <v>527.69007521465471</v>
      </c>
      <c r="BP101" s="133"/>
      <c r="BQ101" s="133"/>
      <c r="BR101" s="133"/>
      <c r="BS101" s="133"/>
      <c r="BT101" s="134"/>
      <c r="BV101" s="769" t="s">
        <v>366</v>
      </c>
      <c r="BW101" s="133">
        <v>491.60426111980036</v>
      </c>
      <c r="BX101" s="133"/>
      <c r="BY101" s="133"/>
      <c r="BZ101" s="133"/>
      <c r="CA101" s="133"/>
      <c r="CB101" s="134"/>
      <c r="CD101" s="769" t="s">
        <v>366</v>
      </c>
      <c r="CE101" s="133">
        <v>529.33925339674477</v>
      </c>
      <c r="CF101" s="133"/>
      <c r="CG101" s="133"/>
      <c r="CH101" s="133"/>
      <c r="CI101" s="133"/>
      <c r="CJ101" s="134"/>
      <c r="CL101" s="769" t="s">
        <v>366</v>
      </c>
      <c r="CM101" s="133">
        <v>493.04241675133181</v>
      </c>
      <c r="CN101" s="133"/>
      <c r="CO101" s="133"/>
      <c r="CP101" s="133"/>
      <c r="CQ101" s="133"/>
      <c r="CR101" s="134"/>
      <c r="CT101" s="769" t="s">
        <v>366</v>
      </c>
      <c r="CU101" s="133">
        <v>508.79468561394685</v>
      </c>
      <c r="CV101" s="133"/>
      <c r="CW101" s="133"/>
      <c r="CX101" s="133"/>
      <c r="CY101" s="133"/>
      <c r="CZ101" s="134"/>
      <c r="DB101" s="769" t="s">
        <v>366</v>
      </c>
      <c r="DC101" s="133">
        <v>545.10115576776889</v>
      </c>
      <c r="DD101" s="133"/>
      <c r="DE101" s="133"/>
      <c r="DF101" s="133"/>
      <c r="DG101" s="133"/>
      <c r="DH101" s="134"/>
      <c r="DJ101" s="769" t="s">
        <v>366</v>
      </c>
      <c r="DK101" s="133">
        <v>546.52957003602614</v>
      </c>
      <c r="DL101" s="133"/>
      <c r="DM101" s="133"/>
      <c r="DN101" s="133"/>
      <c r="DO101" s="133"/>
      <c r="DP101" s="134"/>
      <c r="DR101" s="769" t="s">
        <v>366</v>
      </c>
      <c r="DS101" s="133">
        <v>510.23273403892978</v>
      </c>
      <c r="DT101" s="133"/>
      <c r="DU101" s="133"/>
      <c r="DV101" s="133"/>
      <c r="DW101" s="133"/>
      <c r="DX101" s="134"/>
      <c r="DZ101" s="769" t="s">
        <v>366</v>
      </c>
      <c r="EA101" s="133">
        <v>529.569724277972</v>
      </c>
      <c r="EB101" s="133"/>
      <c r="EC101" s="133"/>
      <c r="ED101" s="133"/>
      <c r="EE101" s="133"/>
      <c r="EF101" s="134"/>
      <c r="EH101" s="769" t="s">
        <v>366</v>
      </c>
      <c r="EI101" s="133">
        <v>493.27288828087529</v>
      </c>
      <c r="EJ101" s="133"/>
      <c r="EK101" s="133"/>
      <c r="EL101" s="133"/>
      <c r="EM101" s="133"/>
      <c r="EN101" s="134"/>
      <c r="EP101" s="769" t="s">
        <v>366</v>
      </c>
      <c r="EQ101" s="133">
        <v>528.09027908580924</v>
      </c>
      <c r="ER101" s="133"/>
      <c r="ES101" s="133"/>
      <c r="ET101" s="133"/>
      <c r="EU101" s="133"/>
      <c r="EV101" s="134"/>
      <c r="EX101" s="769" t="s">
        <v>366</v>
      </c>
      <c r="EY101" s="133">
        <v>491.97272872402664</v>
      </c>
      <c r="EZ101" s="133"/>
      <c r="FA101" s="133"/>
      <c r="FB101" s="133"/>
      <c r="FC101" s="133"/>
      <c r="FD101" s="134"/>
      <c r="FF101" s="769" t="s">
        <v>366</v>
      </c>
      <c r="FG101" s="133">
        <v>472.72762018917058</v>
      </c>
      <c r="FH101" s="133"/>
      <c r="FI101" s="133"/>
      <c r="FJ101" s="133"/>
      <c r="FK101" s="133"/>
      <c r="FL101" s="134"/>
      <c r="FN101" s="769" t="s">
        <v>366</v>
      </c>
      <c r="FO101" s="133">
        <v>471.47065382932561</v>
      </c>
      <c r="FP101" s="133"/>
      <c r="FQ101" s="133"/>
      <c r="FR101" s="133"/>
      <c r="FS101" s="133"/>
      <c r="FT101" s="134"/>
      <c r="FV101" s="799" t="s">
        <v>366</v>
      </c>
      <c r="FW101" s="857">
        <f>SUM(B101:FU101)/22</f>
        <v>508.60138697041515</v>
      </c>
      <c r="FX101" s="853"/>
      <c r="FY101" s="853"/>
      <c r="FZ101" s="853"/>
      <c r="GA101" s="853"/>
      <c r="GB101" s="854"/>
    </row>
    <row r="102" spans="2:184" ht="18.5">
      <c r="B102" s="769" t="s">
        <v>367</v>
      </c>
      <c r="C102" s="822"/>
      <c r="D102" s="822">
        <v>0.25631395798834944</v>
      </c>
      <c r="E102" s="822"/>
      <c r="F102" s="822"/>
      <c r="G102" s="822"/>
      <c r="H102" s="847"/>
      <c r="J102" s="769" t="s">
        <v>367</v>
      </c>
      <c r="K102" s="822"/>
      <c r="L102" s="822">
        <v>0.25631395798834944</v>
      </c>
      <c r="M102" s="822"/>
      <c r="N102" s="822"/>
      <c r="O102" s="822"/>
      <c r="P102" s="823"/>
      <c r="R102" s="769" t="s">
        <v>367</v>
      </c>
      <c r="S102" s="824"/>
      <c r="T102" s="824">
        <v>0.25631395798834944</v>
      </c>
      <c r="U102" s="824"/>
      <c r="V102" s="824"/>
      <c r="W102" s="824"/>
      <c r="X102" s="825"/>
      <c r="Z102" s="769" t="s">
        <v>367</v>
      </c>
      <c r="AA102" s="856"/>
      <c r="AB102" s="856">
        <v>0.25631395798834944</v>
      </c>
      <c r="AC102" s="856"/>
      <c r="AD102" s="856"/>
      <c r="AE102" s="856"/>
      <c r="AF102" s="823"/>
      <c r="AH102" s="769" t="s">
        <v>367</v>
      </c>
      <c r="AI102" s="824"/>
      <c r="AJ102" s="824">
        <v>0.29717057934757274</v>
      </c>
      <c r="AK102" s="824"/>
      <c r="AL102" s="824"/>
      <c r="AM102" s="824"/>
      <c r="AN102" s="825"/>
      <c r="AP102" s="769" t="s">
        <v>367</v>
      </c>
      <c r="AQ102" s="824"/>
      <c r="AR102" s="824">
        <v>0.29717057934757274</v>
      </c>
      <c r="AS102" s="824"/>
      <c r="AT102" s="824"/>
      <c r="AU102" s="824"/>
      <c r="AV102" s="825"/>
      <c r="AX102" s="769" t="s">
        <v>367</v>
      </c>
      <c r="AY102" s="133"/>
      <c r="AZ102" s="133">
        <v>0.29717057934757274</v>
      </c>
      <c r="BA102" s="133"/>
      <c r="BB102" s="133"/>
      <c r="BC102" s="133"/>
      <c r="BD102" s="134"/>
      <c r="BF102" s="769" t="s">
        <v>367</v>
      </c>
      <c r="BG102" s="824"/>
      <c r="BH102" s="824">
        <v>0.29717057934757274</v>
      </c>
      <c r="BI102" s="824"/>
      <c r="BJ102" s="824"/>
      <c r="BK102" s="824"/>
      <c r="BL102" s="825"/>
      <c r="BN102" s="769" t="s">
        <v>367</v>
      </c>
      <c r="BO102" s="133"/>
      <c r="BP102" s="133">
        <v>0.25631395798834944</v>
      </c>
      <c r="BQ102" s="133"/>
      <c r="BR102" s="133"/>
      <c r="BS102" s="133"/>
      <c r="BT102" s="134"/>
      <c r="BV102" s="769" t="s">
        <v>367</v>
      </c>
      <c r="BW102" s="133"/>
      <c r="BX102" s="133">
        <v>0.25631395798834944</v>
      </c>
      <c r="BY102" s="133"/>
      <c r="BZ102" s="133"/>
      <c r="CA102" s="133"/>
      <c r="CB102" s="134"/>
      <c r="CD102" s="769" t="s">
        <v>367</v>
      </c>
      <c r="CE102" s="133"/>
      <c r="CF102" s="133">
        <v>0.25631395798834944</v>
      </c>
      <c r="CG102" s="133"/>
      <c r="CH102" s="133"/>
      <c r="CI102" s="133"/>
      <c r="CJ102" s="134"/>
      <c r="CL102" s="769" t="s">
        <v>367</v>
      </c>
      <c r="CM102" s="133"/>
      <c r="CN102" s="133">
        <v>0.25631395798834944</v>
      </c>
      <c r="CO102" s="133"/>
      <c r="CP102" s="133"/>
      <c r="CQ102" s="133"/>
      <c r="CR102" s="134"/>
      <c r="CT102" s="769" t="s">
        <v>367</v>
      </c>
      <c r="CU102" s="133"/>
      <c r="CV102" s="133">
        <v>0.29717057934757274</v>
      </c>
      <c r="CW102" s="133"/>
      <c r="CX102" s="133"/>
      <c r="CY102" s="133"/>
      <c r="CZ102" s="134"/>
      <c r="DB102" s="769" t="s">
        <v>367</v>
      </c>
      <c r="DC102" s="133"/>
      <c r="DD102" s="133">
        <v>0.29717057934757274</v>
      </c>
      <c r="DE102" s="133"/>
      <c r="DF102" s="133"/>
      <c r="DG102" s="133"/>
      <c r="DH102" s="134"/>
      <c r="DJ102" s="769" t="s">
        <v>367</v>
      </c>
      <c r="DK102" s="133"/>
      <c r="DL102" s="133">
        <v>0.29717057934757274</v>
      </c>
      <c r="DM102" s="133"/>
      <c r="DN102" s="133"/>
      <c r="DO102" s="133"/>
      <c r="DP102" s="134"/>
      <c r="DR102" s="769" t="s">
        <v>367</v>
      </c>
      <c r="DS102" s="133"/>
      <c r="DT102" s="133">
        <v>0.29717057934757274</v>
      </c>
      <c r="DU102" s="133"/>
      <c r="DV102" s="133"/>
      <c r="DW102" s="133"/>
      <c r="DX102" s="134"/>
      <c r="DZ102" s="769" t="s">
        <v>367</v>
      </c>
      <c r="EA102" s="133"/>
      <c r="EB102" s="133">
        <v>0.29717057934757274</v>
      </c>
      <c r="EC102" s="133"/>
      <c r="ED102" s="133"/>
      <c r="EE102" s="133"/>
      <c r="EF102" s="134"/>
      <c r="EH102" s="769" t="s">
        <v>367</v>
      </c>
      <c r="EI102" s="133"/>
      <c r="EJ102" s="133">
        <v>0.29717057934757274</v>
      </c>
      <c r="EK102" s="133"/>
      <c r="EL102" s="133"/>
      <c r="EM102" s="133"/>
      <c r="EN102" s="134"/>
      <c r="EP102" s="769" t="s">
        <v>367</v>
      </c>
      <c r="EQ102" s="133"/>
      <c r="ER102" s="133">
        <v>0.29717057934757274</v>
      </c>
      <c r="ES102" s="133"/>
      <c r="ET102" s="133"/>
      <c r="EU102" s="133"/>
      <c r="EV102" s="134"/>
      <c r="EX102" s="769" t="s">
        <v>367</v>
      </c>
      <c r="EY102" s="133"/>
      <c r="EZ102" s="133">
        <v>0.29717057934757274</v>
      </c>
      <c r="FA102" s="133"/>
      <c r="FB102" s="133"/>
      <c r="FC102" s="133"/>
      <c r="FD102" s="134"/>
      <c r="FF102" s="769" t="s">
        <v>367</v>
      </c>
      <c r="FG102" s="133"/>
      <c r="FH102" s="133">
        <v>0.25631395798834944</v>
      </c>
      <c r="FI102" s="133"/>
      <c r="FJ102" s="133"/>
      <c r="FK102" s="133"/>
      <c r="FL102" s="134"/>
      <c r="FN102" s="769" t="s">
        <v>367</v>
      </c>
      <c r="FO102" s="133"/>
      <c r="FP102" s="133">
        <v>0.25631395798834944</v>
      </c>
      <c r="FQ102" s="133"/>
      <c r="FR102" s="133"/>
      <c r="FS102" s="133"/>
      <c r="FT102" s="134"/>
      <c r="FV102" s="799" t="s">
        <v>367</v>
      </c>
      <c r="FW102" s="857"/>
      <c r="FX102" s="853">
        <f>SUM(B102:FU102)/22</f>
        <v>0.27859938782065313</v>
      </c>
      <c r="FY102" s="853"/>
      <c r="FZ102" s="853"/>
      <c r="GA102" s="853"/>
      <c r="GB102" s="854"/>
    </row>
    <row r="103" spans="2:184" ht="18.5">
      <c r="B103" s="769" t="s">
        <v>368</v>
      </c>
      <c r="C103" s="822">
        <v>132.7985656718856</v>
      </c>
      <c r="D103" s="822"/>
      <c r="E103" s="822">
        <v>430.39690113205506</v>
      </c>
      <c r="F103" s="822">
        <v>293.00510404722689</v>
      </c>
      <c r="G103" s="822">
        <v>155.85966861999717</v>
      </c>
      <c r="H103" s="847"/>
      <c r="J103" s="769" t="s">
        <v>368</v>
      </c>
      <c r="K103" s="822">
        <v>131.27399897506353</v>
      </c>
      <c r="L103" s="822"/>
      <c r="M103" s="822">
        <v>425.45581778103008</v>
      </c>
      <c r="N103" s="822">
        <v>289.64131904420969</v>
      </c>
      <c r="O103" s="822">
        <v>154.07035366050528</v>
      </c>
      <c r="P103" s="823"/>
      <c r="R103" s="769" t="s">
        <v>368</v>
      </c>
      <c r="S103" s="824">
        <v>123.66008387179477</v>
      </c>
      <c r="T103" s="824"/>
      <c r="U103" s="824">
        <v>400.77930527993766</v>
      </c>
      <c r="V103" s="824">
        <v>272.84207143371896</v>
      </c>
      <c r="W103" s="824">
        <v>145.13424596316517</v>
      </c>
      <c r="X103" s="825"/>
      <c r="Z103" s="769" t="s">
        <v>368</v>
      </c>
      <c r="AA103" s="856">
        <v>122.1355171749727</v>
      </c>
      <c r="AB103" s="856"/>
      <c r="AC103" s="856">
        <v>395.83822192891267</v>
      </c>
      <c r="AD103" s="856">
        <v>269.47828643070176</v>
      </c>
      <c r="AE103" s="856">
        <v>143.34493100367328</v>
      </c>
      <c r="AF103" s="823"/>
      <c r="AH103" s="769" t="s">
        <v>368</v>
      </c>
      <c r="AI103" s="824">
        <v>129.35736757943815</v>
      </c>
      <c r="AJ103" s="824"/>
      <c r="AK103" s="824">
        <v>419.24406233686551</v>
      </c>
      <c r="AL103" s="824">
        <v>285.41248736478519</v>
      </c>
      <c r="AM103" s="824">
        <v>151.82089010133598</v>
      </c>
      <c r="AN103" s="825"/>
      <c r="AP103" s="769" t="s">
        <v>368</v>
      </c>
      <c r="AQ103" s="824">
        <v>138.21746958695687</v>
      </c>
      <c r="AR103" s="824"/>
      <c r="AS103" s="824">
        <v>447.95943609453008</v>
      </c>
      <c r="AT103" s="824">
        <v>304.96130626540736</v>
      </c>
      <c r="AU103" s="824">
        <v>162.21959098974168</v>
      </c>
      <c r="AV103" s="825"/>
      <c r="AX103" s="769" t="s">
        <v>368</v>
      </c>
      <c r="AY103" s="133">
        <v>127.82930249313814</v>
      </c>
      <c r="AZ103" s="133"/>
      <c r="BA103" s="133">
        <v>414.29164079116475</v>
      </c>
      <c r="BB103" s="133">
        <v>282.04098355872378</v>
      </c>
      <c r="BC103" s="133">
        <v>150.02746924038368</v>
      </c>
      <c r="BD103" s="134"/>
      <c r="BF103" s="769" t="s">
        <v>368</v>
      </c>
      <c r="BG103" s="824">
        <v>136.68940450065691</v>
      </c>
      <c r="BH103" s="824"/>
      <c r="BI103" s="824">
        <v>443.00701454882943</v>
      </c>
      <c r="BJ103" s="824">
        <v>301.58980245934595</v>
      </c>
      <c r="BK103" s="824">
        <v>160.42617012878941</v>
      </c>
      <c r="BL103" s="825"/>
      <c r="BN103" s="769" t="s">
        <v>368</v>
      </c>
      <c r="BO103" s="133">
        <v>133.49916424933974</v>
      </c>
      <c r="BP103" s="133"/>
      <c r="BQ103" s="133">
        <v>432.66752397461499</v>
      </c>
      <c r="BR103" s="133">
        <v>294.55089603710036</v>
      </c>
      <c r="BS103" s="133">
        <v>156.68192947473742</v>
      </c>
      <c r="BT103" s="134"/>
      <c r="BV103" s="769" t="s">
        <v>368</v>
      </c>
      <c r="BW103" s="133">
        <v>124.36068244924887</v>
      </c>
      <c r="BX103" s="133"/>
      <c r="BY103" s="133">
        <v>403.04992812249748</v>
      </c>
      <c r="BZ103" s="133">
        <v>274.38786342359236</v>
      </c>
      <c r="CA103" s="133">
        <v>145.95650681790536</v>
      </c>
      <c r="CB103" s="134"/>
      <c r="CD103" s="769" t="s">
        <v>368</v>
      </c>
      <c r="CE103" s="133">
        <v>135.02373094616178</v>
      </c>
      <c r="CF103" s="133"/>
      <c r="CG103" s="133">
        <v>437.60860732563987</v>
      </c>
      <c r="CH103" s="133">
        <v>297.91468104011756</v>
      </c>
      <c r="CI103" s="133">
        <v>158.47124443422925</v>
      </c>
      <c r="CJ103" s="134"/>
      <c r="CL103" s="769" t="s">
        <v>368</v>
      </c>
      <c r="CM103" s="133">
        <v>125.88524914607096</v>
      </c>
      <c r="CN103" s="133"/>
      <c r="CO103" s="133">
        <v>407.99101147352258</v>
      </c>
      <c r="CP103" s="133">
        <v>277.75164842660968</v>
      </c>
      <c r="CQ103" s="133">
        <v>147.74582177739728</v>
      </c>
      <c r="CR103" s="134"/>
      <c r="CT103" s="769" t="s">
        <v>368</v>
      </c>
      <c r="CU103" s="133">
        <v>130.19633819969403</v>
      </c>
      <c r="CV103" s="133"/>
      <c r="CW103" s="133">
        <v>421.963145583526</v>
      </c>
      <c r="CX103" s="133">
        <v>287.26358170934321</v>
      </c>
      <c r="CY103" s="133">
        <v>152.80555196265516</v>
      </c>
      <c r="CZ103" s="134"/>
      <c r="DB103" s="769" t="s">
        <v>368</v>
      </c>
      <c r="DC103" s="133">
        <v>139.05644020721277</v>
      </c>
      <c r="DD103" s="133"/>
      <c r="DE103" s="133">
        <v>450.67851934119068</v>
      </c>
      <c r="DF103" s="133">
        <v>306.81240060996538</v>
      </c>
      <c r="DG103" s="133">
        <v>163.20425285106089</v>
      </c>
      <c r="DH103" s="134"/>
      <c r="DJ103" s="769" t="s">
        <v>368</v>
      </c>
      <c r="DK103" s="133">
        <v>140.58450529351276</v>
      </c>
      <c r="DL103" s="133"/>
      <c r="DM103" s="133">
        <v>455.63094088689144</v>
      </c>
      <c r="DN103" s="133">
        <v>310.18390441602685</v>
      </c>
      <c r="DO103" s="133">
        <v>164.99767371201318</v>
      </c>
      <c r="DP103" s="134"/>
      <c r="DR103" s="769" t="s">
        <v>368</v>
      </c>
      <c r="DS103" s="133">
        <v>131.72440328599401</v>
      </c>
      <c r="DT103" s="133"/>
      <c r="DU103" s="133">
        <v>426.91556712922676</v>
      </c>
      <c r="DV103" s="133">
        <v>290.63508551540463</v>
      </c>
      <c r="DW103" s="133">
        <v>154.59897282360745</v>
      </c>
      <c r="DX103" s="134"/>
      <c r="DZ103" s="769" t="s">
        <v>368</v>
      </c>
      <c r="EA103" s="133">
        <v>139.26432105012282</v>
      </c>
      <c r="EB103" s="133"/>
      <c r="EC103" s="133">
        <v>451.35225606523232</v>
      </c>
      <c r="ED103" s="133">
        <v>307.27106631691873</v>
      </c>
      <c r="EE103" s="133">
        <v>163.44823319169544</v>
      </c>
      <c r="EF103" s="134"/>
      <c r="EH103" s="769" t="s">
        <v>368</v>
      </c>
      <c r="EI103" s="133">
        <v>130.4042190426041</v>
      </c>
      <c r="EJ103" s="133"/>
      <c r="EK103" s="133">
        <v>422.63688230756776</v>
      </c>
      <c r="EL103" s="133">
        <v>287.72224741629663</v>
      </c>
      <c r="EM103" s="133">
        <v>153.04953230328974</v>
      </c>
      <c r="EN103" s="134"/>
      <c r="EP103" s="769" t="s">
        <v>368</v>
      </c>
      <c r="EQ103" s="133">
        <v>137.73625596382286</v>
      </c>
      <c r="ER103" s="133"/>
      <c r="ES103" s="133">
        <v>446.39983451953168</v>
      </c>
      <c r="ET103" s="133">
        <v>303.89956251085738</v>
      </c>
      <c r="EU103" s="133">
        <v>161.65481233074317</v>
      </c>
      <c r="EV103" s="134"/>
      <c r="EX103" s="769" t="s">
        <v>368</v>
      </c>
      <c r="EY103" s="133">
        <v>128.87615395630414</v>
      </c>
      <c r="EZ103" s="133"/>
      <c r="FA103" s="133">
        <v>417.68446076186711</v>
      </c>
      <c r="FB103" s="133">
        <v>284.35074361023521</v>
      </c>
      <c r="FC103" s="133">
        <v>151.25611144233747</v>
      </c>
      <c r="FD103" s="134"/>
      <c r="FF103" s="769" t="s">
        <v>368</v>
      </c>
      <c r="FG103" s="133">
        <v>123.75494401647811</v>
      </c>
      <c r="FH103" s="133"/>
      <c r="FI103" s="133">
        <v>401.08674468717885</v>
      </c>
      <c r="FJ103" s="133">
        <v>273.05136967743306</v>
      </c>
      <c r="FK103" s="133">
        <v>145.24557902343423</v>
      </c>
      <c r="FL103" s="134"/>
      <c r="FN103" s="769" t="s">
        <v>368</v>
      </c>
      <c r="FO103" s="133">
        <v>122.23037731965604</v>
      </c>
      <c r="FP103" s="133"/>
      <c r="FQ103" s="133">
        <v>396.14566133615386</v>
      </c>
      <c r="FR103" s="133">
        <v>269.68758467441586</v>
      </c>
      <c r="FS103" s="133">
        <v>143.45626406394234</v>
      </c>
      <c r="FT103" s="134"/>
      <c r="FV103" s="799" t="s">
        <v>368</v>
      </c>
      <c r="FW103" s="857">
        <f>(FO103+FG103+EY103+EQ103+EI103+EA103+DS103+DK103+DC103+CU103+CM103+CE103+BW103+BO103+BG103+AY103+AQ103+AI103+AA103+S103+K103+C103)/22</f>
        <v>131.11629522636952</v>
      </c>
      <c r="FX103" s="853"/>
      <c r="FY103" s="853">
        <f>(FQ103+FI103+FA103+ES103+EK103+EC103+DU103+DM103+DE103+CW103+CO103+CG103+BY103+BQ103+BI103+BA103+AS103+AK103+AC103+U103+M103+E103)/22</f>
        <v>424.94470379127125</v>
      </c>
      <c r="FZ103" s="853">
        <f>(FR103+FJ103+FB103+ET103+EL103+ED103+DV103+DN103+DF103+CX103+CP103+CH103+BZ103+BR103+BJ103+BB103+AT103+AL103+AD103+V103+N103+F103)/22</f>
        <v>289.29336345401987</v>
      </c>
      <c r="GA103" s="853">
        <f>(FS103+FK103+FC103+EU103+EM103+EE103+DW103+DO103+DG103+CY103+CQ103+CI103+CA103+BS103+BK103+BC103+AU103+AM103+AE103+W103+O103+G103)/22</f>
        <v>153.8852639053018</v>
      </c>
      <c r="GB103" s="854"/>
    </row>
    <row r="104" spans="2:184" ht="18.5">
      <c r="B104" s="769" t="s">
        <v>369</v>
      </c>
      <c r="C104" s="822">
        <v>3.3799854929577475E-2</v>
      </c>
      <c r="D104" s="822"/>
      <c r="E104" s="822"/>
      <c r="F104" s="822"/>
      <c r="G104" s="822"/>
      <c r="H104" s="847"/>
      <c r="J104" s="769" t="s">
        <v>369</v>
      </c>
      <c r="K104" s="822">
        <v>3.3451402816901413E-2</v>
      </c>
      <c r="L104" s="822"/>
      <c r="M104" s="822"/>
      <c r="N104" s="822"/>
      <c r="O104" s="822"/>
      <c r="P104" s="823"/>
      <c r="R104" s="769" t="s">
        <v>369</v>
      </c>
      <c r="S104" s="824">
        <v>3.1360690140845075E-2</v>
      </c>
      <c r="T104" s="824"/>
      <c r="U104" s="824"/>
      <c r="V104" s="824"/>
      <c r="W104" s="824"/>
      <c r="X104" s="825"/>
      <c r="Z104" s="769" t="s">
        <v>369</v>
      </c>
      <c r="AA104" s="856">
        <v>3.101223802816902E-2</v>
      </c>
      <c r="AB104" s="856"/>
      <c r="AC104" s="856"/>
      <c r="AD104" s="856"/>
      <c r="AE104" s="856"/>
      <c r="AF104" s="823"/>
      <c r="AH104" s="769" t="s">
        <v>369</v>
      </c>
      <c r="AI104" s="824">
        <v>3.2754498591549303E-2</v>
      </c>
      <c r="AJ104" s="824"/>
      <c r="AK104" s="824"/>
      <c r="AL104" s="824"/>
      <c r="AM104" s="824"/>
      <c r="AN104" s="825"/>
      <c r="AP104" s="769" t="s">
        <v>369</v>
      </c>
      <c r="AQ104" s="824">
        <v>3.5193663380281688E-2</v>
      </c>
      <c r="AR104" s="824"/>
      <c r="AS104" s="824"/>
      <c r="AT104" s="824"/>
      <c r="AU104" s="824"/>
      <c r="AV104" s="825"/>
      <c r="AX104" s="769" t="s">
        <v>369</v>
      </c>
      <c r="AY104" s="133">
        <v>3.2406046478873241E-2</v>
      </c>
      <c r="AZ104" s="133"/>
      <c r="BA104" s="133"/>
      <c r="BB104" s="133"/>
      <c r="BC104" s="133"/>
      <c r="BD104" s="134"/>
      <c r="BF104" s="769" t="s">
        <v>369</v>
      </c>
      <c r="BG104" s="824">
        <v>3.484521126760564E-2</v>
      </c>
      <c r="BH104" s="824"/>
      <c r="BI104" s="824"/>
      <c r="BJ104" s="824"/>
      <c r="BK104" s="824"/>
      <c r="BL104" s="825"/>
      <c r="BN104" s="769" t="s">
        <v>369</v>
      </c>
      <c r="BO104" s="133">
        <v>3.3799854929577475E-2</v>
      </c>
      <c r="BP104" s="133"/>
      <c r="BQ104" s="133"/>
      <c r="BR104" s="133"/>
      <c r="BS104" s="133"/>
      <c r="BT104" s="134"/>
      <c r="BV104" s="769" t="s">
        <v>369</v>
      </c>
      <c r="BW104" s="133">
        <v>3.1709142253521123E-2</v>
      </c>
      <c r="BX104" s="133"/>
      <c r="BY104" s="133"/>
      <c r="BZ104" s="133"/>
      <c r="CA104" s="133"/>
      <c r="CB104" s="134"/>
      <c r="CD104" s="769" t="s">
        <v>369</v>
      </c>
      <c r="CE104" s="133">
        <v>3.4148307042253523E-2</v>
      </c>
      <c r="CF104" s="133"/>
      <c r="CG104" s="133"/>
      <c r="CH104" s="133"/>
      <c r="CI104" s="133"/>
      <c r="CJ104" s="134"/>
      <c r="CL104" s="769" t="s">
        <v>369</v>
      </c>
      <c r="CM104" s="133">
        <v>3.2057594366197185E-2</v>
      </c>
      <c r="CN104" s="133"/>
      <c r="CO104" s="133"/>
      <c r="CP104" s="133"/>
      <c r="CQ104" s="133"/>
      <c r="CR104" s="134"/>
      <c r="CT104" s="769" t="s">
        <v>369</v>
      </c>
      <c r="CU104" s="133">
        <v>3.3102950704225351E-2</v>
      </c>
      <c r="CV104" s="133"/>
      <c r="CW104" s="133"/>
      <c r="CX104" s="133"/>
      <c r="CY104" s="133"/>
      <c r="CZ104" s="134"/>
      <c r="DB104" s="769" t="s">
        <v>369</v>
      </c>
      <c r="DC104" s="133">
        <v>3.5193663380281688E-2</v>
      </c>
      <c r="DD104" s="133"/>
      <c r="DE104" s="133"/>
      <c r="DF104" s="133"/>
      <c r="DG104" s="133"/>
      <c r="DH104" s="134"/>
      <c r="DJ104" s="769" t="s">
        <v>369</v>
      </c>
      <c r="DK104" s="133">
        <v>3.5890567605633805E-2</v>
      </c>
      <c r="DL104" s="133"/>
      <c r="DM104" s="133"/>
      <c r="DN104" s="133"/>
      <c r="DO104" s="133"/>
      <c r="DP104" s="134"/>
      <c r="DR104" s="769" t="s">
        <v>369</v>
      </c>
      <c r="DS104" s="133">
        <v>3.3451402816901413E-2</v>
      </c>
      <c r="DT104" s="133"/>
      <c r="DU104" s="133"/>
      <c r="DV104" s="133"/>
      <c r="DW104" s="133"/>
      <c r="DX104" s="134"/>
      <c r="DZ104" s="769" t="s">
        <v>369</v>
      </c>
      <c r="EA104" s="133">
        <v>3.554211549295775E-2</v>
      </c>
      <c r="EB104" s="133"/>
      <c r="EC104" s="133"/>
      <c r="ED104" s="133"/>
      <c r="EE104" s="133"/>
      <c r="EF104" s="134"/>
      <c r="EH104" s="769" t="s">
        <v>369</v>
      </c>
      <c r="EI104" s="133">
        <v>3.3102950704225351E-2</v>
      </c>
      <c r="EJ104" s="133"/>
      <c r="EK104" s="133"/>
      <c r="EL104" s="133"/>
      <c r="EM104" s="133"/>
      <c r="EN104" s="134"/>
      <c r="EP104" s="769" t="s">
        <v>369</v>
      </c>
      <c r="EQ104" s="133">
        <v>3.484521126760564E-2</v>
      </c>
      <c r="ER104" s="133"/>
      <c r="ES104" s="133"/>
      <c r="ET104" s="133"/>
      <c r="EU104" s="133"/>
      <c r="EV104" s="134"/>
      <c r="EX104" s="769" t="s">
        <v>369</v>
      </c>
      <c r="EY104" s="133">
        <v>3.2754498591549303E-2</v>
      </c>
      <c r="EZ104" s="133"/>
      <c r="FA104" s="133"/>
      <c r="FB104" s="133"/>
      <c r="FC104" s="133"/>
      <c r="FD104" s="134"/>
      <c r="FF104" s="769" t="s">
        <v>369</v>
      </c>
      <c r="FG104" s="133">
        <v>3.1360690140845075E-2</v>
      </c>
      <c r="FH104" s="133"/>
      <c r="FI104" s="133"/>
      <c r="FJ104" s="133"/>
      <c r="FK104" s="133"/>
      <c r="FL104" s="134"/>
      <c r="FN104" s="769" t="s">
        <v>369</v>
      </c>
      <c r="FO104" s="133">
        <v>3.101223802816902E-2</v>
      </c>
      <c r="FP104" s="133"/>
      <c r="FQ104" s="133"/>
      <c r="FR104" s="133"/>
      <c r="FS104" s="133"/>
      <c r="FT104" s="134"/>
      <c r="FV104" s="799" t="s">
        <v>369</v>
      </c>
      <c r="FW104" s="857">
        <f>(FO104+FG104+EY104+EQ104+EI104+EA104+DS104+DK104+DC104+CU104+CM104+CE104+BW104+BO104+BG104+AY104+AQ104+AI104+AA104+S104+K104+C104)/22</f>
        <v>3.3308854225352118E-2</v>
      </c>
      <c r="FX104" s="853"/>
      <c r="FY104" s="853"/>
      <c r="FZ104" s="853"/>
      <c r="GA104" s="853"/>
      <c r="GB104" s="854"/>
    </row>
    <row r="105" spans="2:184" ht="18.5">
      <c r="B105" s="769" t="s">
        <v>819</v>
      </c>
      <c r="C105" s="822">
        <v>25.526519127</v>
      </c>
      <c r="D105" s="822"/>
      <c r="E105" s="822"/>
      <c r="F105" s="822"/>
      <c r="G105" s="822"/>
      <c r="H105" s="847"/>
      <c r="J105" s="769" t="s">
        <v>819</v>
      </c>
      <c r="K105" s="822">
        <v>25.263359135999995</v>
      </c>
      <c r="L105" s="822"/>
      <c r="M105" s="822"/>
      <c r="N105" s="822"/>
      <c r="O105" s="822"/>
      <c r="P105" s="823"/>
      <c r="R105" s="769" t="s">
        <v>819</v>
      </c>
      <c r="S105" s="824">
        <v>23.684399189999997</v>
      </c>
      <c r="T105" s="824"/>
      <c r="U105" s="824"/>
      <c r="V105" s="824"/>
      <c r="W105" s="824"/>
      <c r="X105" s="825"/>
      <c r="Z105" s="769" t="s">
        <v>819</v>
      </c>
      <c r="AA105" s="856">
        <v>23.421239198999995</v>
      </c>
      <c r="AB105" s="856"/>
      <c r="AC105" s="856"/>
      <c r="AD105" s="856"/>
      <c r="AE105" s="856"/>
      <c r="AF105" s="823"/>
      <c r="AH105" s="769" t="s">
        <v>819</v>
      </c>
      <c r="AI105" s="824">
        <v>24.737039153999994</v>
      </c>
      <c r="AJ105" s="824"/>
      <c r="AK105" s="824"/>
      <c r="AL105" s="824"/>
      <c r="AM105" s="824"/>
      <c r="AN105" s="825"/>
      <c r="AP105" s="769" t="s">
        <v>819</v>
      </c>
      <c r="AQ105" s="824">
        <v>26.579159090999998</v>
      </c>
      <c r="AR105" s="824"/>
      <c r="AS105" s="824"/>
      <c r="AT105" s="824"/>
      <c r="AU105" s="824"/>
      <c r="AV105" s="825"/>
      <c r="AX105" s="769" t="s">
        <v>819</v>
      </c>
      <c r="AY105" s="133">
        <v>24.473879162999999</v>
      </c>
      <c r="AZ105" s="133"/>
      <c r="BA105" s="133"/>
      <c r="BB105" s="133"/>
      <c r="BC105" s="133"/>
      <c r="BD105" s="134"/>
      <c r="BF105" s="769" t="s">
        <v>819</v>
      </c>
      <c r="BG105" s="824">
        <v>26.315999099999999</v>
      </c>
      <c r="BH105" s="824"/>
      <c r="BI105" s="824"/>
      <c r="BJ105" s="824"/>
      <c r="BK105" s="824"/>
      <c r="BL105" s="825"/>
      <c r="BN105" s="769" t="s">
        <v>819</v>
      </c>
      <c r="BO105" s="133">
        <v>25.526519127</v>
      </c>
      <c r="BP105" s="133"/>
      <c r="BQ105" s="133"/>
      <c r="BR105" s="133"/>
      <c r="BS105" s="133"/>
      <c r="BT105" s="134"/>
      <c r="BV105" s="769" t="s">
        <v>819</v>
      </c>
      <c r="BW105" s="133">
        <v>23.947559180999992</v>
      </c>
      <c r="BX105" s="133"/>
      <c r="BY105" s="133"/>
      <c r="BZ105" s="133"/>
      <c r="CA105" s="133"/>
      <c r="CB105" s="134"/>
      <c r="CD105" s="769" t="s">
        <v>819</v>
      </c>
      <c r="CE105" s="133">
        <v>25.789679117999999</v>
      </c>
      <c r="CF105" s="133"/>
      <c r="CG105" s="133"/>
      <c r="CH105" s="133"/>
      <c r="CI105" s="133"/>
      <c r="CJ105" s="134"/>
      <c r="CL105" s="769" t="s">
        <v>819</v>
      </c>
      <c r="CM105" s="133">
        <v>24.210719172000001</v>
      </c>
      <c r="CN105" s="133"/>
      <c r="CO105" s="133"/>
      <c r="CP105" s="133"/>
      <c r="CQ105" s="133"/>
      <c r="CR105" s="134"/>
      <c r="CT105" s="769" t="s">
        <v>819</v>
      </c>
      <c r="CU105" s="133">
        <v>25.000199144999996</v>
      </c>
      <c r="CV105" s="133"/>
      <c r="CW105" s="133"/>
      <c r="CX105" s="133"/>
      <c r="CY105" s="133"/>
      <c r="CZ105" s="134"/>
      <c r="DB105" s="769" t="s">
        <v>819</v>
      </c>
      <c r="DC105" s="133">
        <v>26.579159090999998</v>
      </c>
      <c r="DD105" s="133"/>
      <c r="DE105" s="133"/>
      <c r="DF105" s="133"/>
      <c r="DG105" s="133"/>
      <c r="DH105" s="134"/>
      <c r="DJ105" s="769" t="s">
        <v>819</v>
      </c>
      <c r="DK105" s="133">
        <v>27.105479073000001</v>
      </c>
      <c r="DL105" s="133"/>
      <c r="DM105" s="133"/>
      <c r="DN105" s="133"/>
      <c r="DO105" s="133"/>
      <c r="DP105" s="134"/>
      <c r="DR105" s="769" t="s">
        <v>819</v>
      </c>
      <c r="DS105" s="133">
        <v>25.263359135999995</v>
      </c>
      <c r="DT105" s="133"/>
      <c r="DU105" s="133"/>
      <c r="DV105" s="133"/>
      <c r="DW105" s="133"/>
      <c r="DX105" s="134"/>
      <c r="DZ105" s="769" t="s">
        <v>819</v>
      </c>
      <c r="EA105" s="133">
        <v>26.842319081999996</v>
      </c>
      <c r="EB105" s="133"/>
      <c r="EC105" s="133"/>
      <c r="ED105" s="133"/>
      <c r="EE105" s="133"/>
      <c r="EF105" s="134"/>
      <c r="EH105" s="769" t="s">
        <v>819</v>
      </c>
      <c r="EI105" s="133">
        <v>25.000199144999996</v>
      </c>
      <c r="EJ105" s="133"/>
      <c r="EK105" s="133"/>
      <c r="EL105" s="133"/>
      <c r="EM105" s="133"/>
      <c r="EN105" s="134"/>
      <c r="EP105" s="769" t="s">
        <v>819</v>
      </c>
      <c r="EQ105" s="133">
        <v>26.315999099999999</v>
      </c>
      <c r="ER105" s="133"/>
      <c r="ES105" s="133"/>
      <c r="ET105" s="133"/>
      <c r="EU105" s="133"/>
      <c r="EV105" s="134"/>
      <c r="EX105" s="769" t="s">
        <v>819</v>
      </c>
      <c r="EY105" s="133">
        <v>24.737039153999994</v>
      </c>
      <c r="EZ105" s="133"/>
      <c r="FA105" s="133"/>
      <c r="FB105" s="133"/>
      <c r="FC105" s="133"/>
      <c r="FD105" s="134"/>
      <c r="FF105" s="769" t="s">
        <v>819</v>
      </c>
      <c r="FG105" s="133">
        <v>23.684399189999997</v>
      </c>
      <c r="FH105" s="133"/>
      <c r="FI105" s="133"/>
      <c r="FJ105" s="133"/>
      <c r="FK105" s="133"/>
      <c r="FL105" s="134"/>
      <c r="FN105" s="769" t="s">
        <v>819</v>
      </c>
      <c r="FO105" s="133">
        <v>23.421239198999995</v>
      </c>
      <c r="FP105" s="133"/>
      <c r="FQ105" s="133"/>
      <c r="FR105" s="133"/>
      <c r="FS105" s="133"/>
      <c r="FT105" s="134"/>
      <c r="FV105" s="799" t="s">
        <v>819</v>
      </c>
      <c r="FW105" s="857">
        <f>(FO105+FG105+EY105+EQ105+EI105+EA105+DS105+DK105+DC105+CU105+CM105+CE105+BW105+BO105+BG105+AY105+AQ105+AI105+AA105+S105+K105+C105)/22</f>
        <v>25.155702776045452</v>
      </c>
      <c r="FX105" s="853"/>
      <c r="FY105" s="853"/>
      <c r="FZ105" s="853"/>
      <c r="GA105" s="853"/>
      <c r="GB105" s="854"/>
    </row>
    <row r="106" spans="2:184" ht="18.5">
      <c r="B106" s="769" t="s">
        <v>286</v>
      </c>
      <c r="C106" s="822">
        <v>1163.5430174846313</v>
      </c>
      <c r="D106" s="822"/>
      <c r="E106" s="822"/>
      <c r="F106" s="822"/>
      <c r="G106" s="822"/>
      <c r="H106" s="847"/>
      <c r="J106" s="769" t="s">
        <v>286</v>
      </c>
      <c r="K106" s="822">
        <v>1150.6911911983516</v>
      </c>
      <c r="L106" s="822"/>
      <c r="M106" s="822"/>
      <c r="N106" s="822"/>
      <c r="O106" s="822"/>
      <c r="P106" s="823"/>
      <c r="R106" s="769" t="s">
        <v>286</v>
      </c>
      <c r="S106" s="824">
        <v>1118.2301767039214</v>
      </c>
      <c r="T106" s="824"/>
      <c r="U106" s="824"/>
      <c r="V106" s="824"/>
      <c r="W106" s="824"/>
      <c r="X106" s="825"/>
      <c r="Z106" s="769" t="s">
        <v>286</v>
      </c>
      <c r="AA106" s="856">
        <v>1105.378350417642</v>
      </c>
      <c r="AB106" s="856"/>
      <c r="AC106" s="856"/>
      <c r="AD106" s="856"/>
      <c r="AE106" s="856"/>
      <c r="AF106" s="823"/>
      <c r="AH106" s="769" t="s">
        <v>286</v>
      </c>
      <c r="AI106" s="824">
        <v>1183.0523918228223</v>
      </c>
      <c r="AJ106" s="824"/>
      <c r="AK106" s="824"/>
      <c r="AL106" s="824"/>
      <c r="AM106" s="824"/>
      <c r="AN106" s="825"/>
      <c r="AP106" s="769" t="s">
        <v>286</v>
      </c>
      <c r="AQ106" s="824">
        <v>1227.9848719983695</v>
      </c>
      <c r="AR106" s="824"/>
      <c r="AS106" s="824"/>
      <c r="AT106" s="824"/>
      <c r="AU106" s="824"/>
      <c r="AV106" s="825"/>
      <c r="AX106" s="769" t="s">
        <v>286</v>
      </c>
      <c r="AY106" s="133">
        <v>1170.1047274456089</v>
      </c>
      <c r="AZ106" s="133"/>
      <c r="BA106" s="133"/>
      <c r="BB106" s="133"/>
      <c r="BC106" s="133"/>
      <c r="BD106" s="134"/>
      <c r="BF106" s="769" t="s">
        <v>286</v>
      </c>
      <c r="BG106" s="824">
        <v>1215.0372076211561</v>
      </c>
      <c r="BH106" s="824"/>
      <c r="BI106" s="824"/>
      <c r="BJ106" s="824"/>
      <c r="BK106" s="824"/>
      <c r="BL106" s="825"/>
      <c r="BN106" s="769" t="s">
        <v>286</v>
      </c>
      <c r="BO106" s="133">
        <v>1158.7543414126374</v>
      </c>
      <c r="BP106" s="133"/>
      <c r="BQ106" s="133"/>
      <c r="BR106" s="133"/>
      <c r="BS106" s="133"/>
      <c r="BT106" s="134"/>
      <c r="BV106" s="769" t="s">
        <v>286</v>
      </c>
      <c r="BW106" s="133">
        <v>1113.4415006319277</v>
      </c>
      <c r="BX106" s="133"/>
      <c r="BY106" s="133"/>
      <c r="BZ106" s="133"/>
      <c r="CA106" s="133"/>
      <c r="CB106" s="134"/>
      <c r="CD106" s="769" t="s">
        <v>286</v>
      </c>
      <c r="CE106" s="133">
        <v>1171.6061676989173</v>
      </c>
      <c r="CF106" s="133"/>
      <c r="CG106" s="133"/>
      <c r="CH106" s="133"/>
      <c r="CI106" s="133"/>
      <c r="CJ106" s="134"/>
      <c r="CL106" s="769" t="s">
        <v>286</v>
      </c>
      <c r="CM106" s="133">
        <v>1126.2933269182076</v>
      </c>
      <c r="CN106" s="133"/>
      <c r="CO106" s="133"/>
      <c r="CP106" s="133"/>
      <c r="CQ106" s="133"/>
      <c r="CR106" s="134"/>
      <c r="CT106" s="769" t="s">
        <v>286</v>
      </c>
      <c r="CU106" s="133">
        <v>1182.4625700667339</v>
      </c>
      <c r="CV106" s="133"/>
      <c r="CW106" s="133"/>
      <c r="CX106" s="133"/>
      <c r="CY106" s="133"/>
      <c r="CZ106" s="134"/>
      <c r="DB106" s="769" t="s">
        <v>286</v>
      </c>
      <c r="DC106" s="133">
        <v>1227.3950502422811</v>
      </c>
      <c r="DD106" s="133"/>
      <c r="DE106" s="133"/>
      <c r="DF106" s="133"/>
      <c r="DG106" s="133"/>
      <c r="DH106" s="134"/>
      <c r="DJ106" s="769" t="s">
        <v>286</v>
      </c>
      <c r="DK106" s="133">
        <v>1240.3427146194942</v>
      </c>
      <c r="DL106" s="133"/>
      <c r="DM106" s="133"/>
      <c r="DN106" s="133"/>
      <c r="DO106" s="133"/>
      <c r="DP106" s="134"/>
      <c r="DR106" s="769" t="s">
        <v>286</v>
      </c>
      <c r="DS106" s="133">
        <v>1195.4102344439473</v>
      </c>
      <c r="DT106" s="133"/>
      <c r="DU106" s="133"/>
      <c r="DV106" s="133"/>
      <c r="DW106" s="133"/>
      <c r="DX106" s="134"/>
      <c r="DZ106" s="769" t="s">
        <v>286</v>
      </c>
      <c r="EA106" s="133">
        <v>1239.1125044669468</v>
      </c>
      <c r="EB106" s="133"/>
      <c r="EC106" s="133"/>
      <c r="ED106" s="133"/>
      <c r="EE106" s="133"/>
      <c r="EF106" s="134"/>
      <c r="EH106" s="769" t="s">
        <v>286</v>
      </c>
      <c r="EI106" s="133">
        <v>1194.1800242913998</v>
      </c>
      <c r="EJ106" s="133"/>
      <c r="EK106" s="133"/>
      <c r="EL106" s="133"/>
      <c r="EM106" s="133"/>
      <c r="EN106" s="134"/>
      <c r="EP106" s="769" t="s">
        <v>286</v>
      </c>
      <c r="EQ106" s="133">
        <v>1226.1648400897338</v>
      </c>
      <c r="ER106" s="133"/>
      <c r="ES106" s="133"/>
      <c r="ET106" s="133"/>
      <c r="EU106" s="133"/>
      <c r="EV106" s="134"/>
      <c r="EX106" s="769" t="s">
        <v>286</v>
      </c>
      <c r="EY106" s="133">
        <v>1181.2323599141866</v>
      </c>
      <c r="EZ106" s="133"/>
      <c r="FA106" s="133"/>
      <c r="FB106" s="133"/>
      <c r="FC106" s="133"/>
      <c r="FD106" s="134"/>
      <c r="FF106" s="769" t="s">
        <v>286</v>
      </c>
      <c r="FG106" s="133">
        <v>1092.9255651241522</v>
      </c>
      <c r="FH106" s="133"/>
      <c r="FI106" s="133"/>
      <c r="FJ106" s="133"/>
      <c r="FK106" s="133"/>
      <c r="FL106" s="134"/>
      <c r="FN106" s="769" t="s">
        <v>286</v>
      </c>
      <c r="FO106" s="133">
        <v>1080.0737388378727</v>
      </c>
      <c r="FP106" s="133"/>
      <c r="FQ106" s="133"/>
      <c r="FR106" s="133"/>
      <c r="FS106" s="133"/>
      <c r="FT106" s="134"/>
      <c r="FV106" s="799" t="s">
        <v>286</v>
      </c>
      <c r="FW106" s="857">
        <f>(FO106+FG106+EY106+EQ106+EI106+EA106+DS106+DK106+DC106+CU106+CM106+CE106+BW106+BO106+BG106+AY106+AQ106+AI106+AA106+S106+K106+C106)/22</f>
        <v>1171.0644033386791</v>
      </c>
      <c r="FX106" s="853"/>
      <c r="FY106" s="853"/>
      <c r="FZ106" s="853"/>
      <c r="GA106" s="853"/>
      <c r="GB106" s="854"/>
    </row>
    <row r="107" spans="2:184" ht="18.5">
      <c r="B107" s="780" t="s">
        <v>820</v>
      </c>
      <c r="C107" s="822">
        <v>47.334531815999995</v>
      </c>
      <c r="D107" s="822"/>
      <c r="E107" s="822"/>
      <c r="F107" s="822"/>
      <c r="G107" s="822"/>
      <c r="H107" s="847"/>
      <c r="J107" s="780" t="s">
        <v>820</v>
      </c>
      <c r="K107" s="822">
        <v>47.334531815999995</v>
      </c>
      <c r="L107" s="822"/>
      <c r="M107" s="822"/>
      <c r="N107" s="822"/>
      <c r="O107" s="822"/>
      <c r="P107" s="823"/>
      <c r="R107" s="780" t="s">
        <v>820</v>
      </c>
      <c r="S107" s="824">
        <v>54.61676748</v>
      </c>
      <c r="T107" s="824"/>
      <c r="U107" s="824"/>
      <c r="V107" s="824"/>
      <c r="W107" s="824"/>
      <c r="X107" s="825"/>
      <c r="Z107" s="780" t="s">
        <v>820</v>
      </c>
      <c r="AA107" s="856">
        <v>54.61676748</v>
      </c>
      <c r="AB107" s="856"/>
      <c r="AC107" s="856"/>
      <c r="AD107" s="856"/>
      <c r="AE107" s="856"/>
      <c r="AF107" s="823"/>
      <c r="AH107" s="780" t="s">
        <v>820</v>
      </c>
      <c r="AI107" s="824">
        <v>56.072769648000005</v>
      </c>
      <c r="AJ107" s="824"/>
      <c r="AK107" s="824"/>
      <c r="AL107" s="824"/>
      <c r="AM107" s="824"/>
      <c r="AN107" s="825"/>
      <c r="AP107" s="780" t="s">
        <v>820</v>
      </c>
      <c r="AQ107" s="824">
        <v>60.077967479999998</v>
      </c>
      <c r="AR107" s="824"/>
      <c r="AS107" s="824"/>
      <c r="AT107" s="824"/>
      <c r="AU107" s="824"/>
      <c r="AV107" s="825"/>
      <c r="AX107" s="780" t="s">
        <v>820</v>
      </c>
      <c r="AY107" s="133">
        <v>60.077967479999998</v>
      </c>
      <c r="AZ107" s="133"/>
      <c r="BA107" s="133"/>
      <c r="BB107" s="133"/>
      <c r="BC107" s="133"/>
      <c r="BD107" s="134"/>
      <c r="BF107" s="780" t="s">
        <v>820</v>
      </c>
      <c r="BG107" s="824">
        <v>60.077967479999998</v>
      </c>
      <c r="BH107" s="824"/>
      <c r="BI107" s="824"/>
      <c r="BJ107" s="824"/>
      <c r="BK107" s="824"/>
      <c r="BL107" s="825"/>
      <c r="BN107" s="780" t="s">
        <v>820</v>
      </c>
      <c r="BO107" s="133">
        <v>54.61676748</v>
      </c>
      <c r="BP107" s="133"/>
      <c r="BQ107" s="133"/>
      <c r="BR107" s="133"/>
      <c r="BS107" s="133"/>
      <c r="BT107" s="134"/>
      <c r="BV107" s="780" t="s">
        <v>820</v>
      </c>
      <c r="BW107" s="133">
        <v>47.334531815999995</v>
      </c>
      <c r="BX107" s="133"/>
      <c r="BY107" s="133"/>
      <c r="BZ107" s="133"/>
      <c r="CA107" s="133"/>
      <c r="CB107" s="134"/>
      <c r="CD107" s="780" t="s">
        <v>820</v>
      </c>
      <c r="CE107" s="133">
        <v>47.334531815999995</v>
      </c>
      <c r="CF107" s="133"/>
      <c r="CG107" s="133"/>
      <c r="CH107" s="133"/>
      <c r="CI107" s="133"/>
      <c r="CJ107" s="134"/>
      <c r="CL107" s="780" t="s">
        <v>820</v>
      </c>
      <c r="CM107" s="133">
        <v>54.61676748</v>
      </c>
      <c r="CN107" s="133"/>
      <c r="CO107" s="133"/>
      <c r="CP107" s="133"/>
      <c r="CQ107" s="133"/>
      <c r="CR107" s="134"/>
      <c r="CT107" s="780" t="s">
        <v>820</v>
      </c>
      <c r="CU107" s="133">
        <v>60.077967479999998</v>
      </c>
      <c r="CV107" s="133"/>
      <c r="CW107" s="133"/>
      <c r="CX107" s="133"/>
      <c r="CY107" s="133"/>
      <c r="CZ107" s="134"/>
      <c r="DB107" s="780" t="s">
        <v>820</v>
      </c>
      <c r="DC107" s="133">
        <v>60.077967479999998</v>
      </c>
      <c r="DD107" s="133"/>
      <c r="DE107" s="133"/>
      <c r="DF107" s="133"/>
      <c r="DG107" s="133"/>
      <c r="DH107" s="134"/>
      <c r="DJ107" s="780" t="s">
        <v>820</v>
      </c>
      <c r="DK107" s="133">
        <v>60.077967479999998</v>
      </c>
      <c r="DL107" s="133"/>
      <c r="DM107" s="133"/>
      <c r="DN107" s="133"/>
      <c r="DO107" s="133"/>
      <c r="DP107" s="134"/>
      <c r="DR107" s="780" t="s">
        <v>820</v>
      </c>
      <c r="DS107" s="133">
        <v>60.077967479999998</v>
      </c>
      <c r="DT107" s="133"/>
      <c r="DU107" s="133"/>
      <c r="DV107" s="133"/>
      <c r="DW107" s="133"/>
      <c r="DX107" s="134"/>
      <c r="DZ107" s="780" t="s">
        <v>820</v>
      </c>
      <c r="EA107" s="133">
        <v>52.067571816000005</v>
      </c>
      <c r="EB107" s="133"/>
      <c r="EC107" s="133"/>
      <c r="ED107" s="133"/>
      <c r="EE107" s="133"/>
      <c r="EF107" s="134"/>
      <c r="EH107" s="780" t="s">
        <v>820</v>
      </c>
      <c r="EI107" s="133">
        <v>52.067571816000005</v>
      </c>
      <c r="EJ107" s="133"/>
      <c r="EK107" s="133"/>
      <c r="EL107" s="133"/>
      <c r="EM107" s="133"/>
      <c r="EN107" s="134"/>
      <c r="EP107" s="780" t="s">
        <v>820</v>
      </c>
      <c r="EQ107" s="133">
        <v>52.067571816000005</v>
      </c>
      <c r="ER107" s="133"/>
      <c r="ES107" s="133"/>
      <c r="ET107" s="133"/>
      <c r="EU107" s="133"/>
      <c r="EV107" s="134"/>
      <c r="EX107" s="780" t="s">
        <v>820</v>
      </c>
      <c r="EY107" s="133">
        <v>52.067571816000005</v>
      </c>
      <c r="EZ107" s="133"/>
      <c r="FA107" s="133"/>
      <c r="FB107" s="133"/>
      <c r="FC107" s="133"/>
      <c r="FD107" s="134"/>
      <c r="FF107" s="780" t="s">
        <v>820</v>
      </c>
      <c r="FG107" s="133">
        <v>54.61676748</v>
      </c>
      <c r="FH107" s="133"/>
      <c r="FI107" s="133"/>
      <c r="FJ107" s="133"/>
      <c r="FK107" s="133"/>
      <c r="FL107" s="134"/>
      <c r="FN107" s="780" t="s">
        <v>820</v>
      </c>
      <c r="FO107" s="133">
        <v>54.61676748</v>
      </c>
      <c r="FP107" s="133"/>
      <c r="FQ107" s="133"/>
      <c r="FR107" s="133"/>
      <c r="FS107" s="133"/>
      <c r="FT107" s="134"/>
      <c r="FV107" s="799" t="s">
        <v>820</v>
      </c>
      <c r="FW107" s="857">
        <f>(FO107+FG107+EY107+EQ107+EI107+EA107+DS107+DK107+DC107+CU107+CM107+CE107+BW107+BO107+BG107+AY107+AQ107+AI107+AA107+S107+K107+C107)/22</f>
        <v>54.633070973454529</v>
      </c>
      <c r="FX107" s="853"/>
      <c r="FY107" s="853"/>
      <c r="FZ107" s="853"/>
      <c r="GA107" s="853"/>
      <c r="GB107" s="854"/>
    </row>
    <row r="108" spans="2:184" ht="19" thickBot="1">
      <c r="B108" s="780" t="s">
        <v>370</v>
      </c>
      <c r="C108" s="831"/>
      <c r="D108" s="831"/>
      <c r="E108" s="831"/>
      <c r="F108" s="831"/>
      <c r="G108" s="831"/>
      <c r="H108" s="835">
        <v>0.27863432189999998</v>
      </c>
      <c r="J108" s="780" t="s">
        <v>370</v>
      </c>
      <c r="K108" s="831"/>
      <c r="L108" s="831"/>
      <c r="M108" s="831"/>
      <c r="N108" s="831"/>
      <c r="O108" s="831"/>
      <c r="P108" s="832">
        <v>0.27863432189999998</v>
      </c>
      <c r="R108" s="780" t="s">
        <v>370</v>
      </c>
      <c r="S108" s="836"/>
      <c r="T108" s="836"/>
      <c r="U108" s="836"/>
      <c r="V108" s="836"/>
      <c r="W108" s="836"/>
      <c r="X108" s="837">
        <v>0.27863432189999998</v>
      </c>
      <c r="Z108" s="780" t="s">
        <v>370</v>
      </c>
      <c r="AA108" s="858"/>
      <c r="AB108" s="858"/>
      <c r="AC108" s="858"/>
      <c r="AD108" s="858"/>
      <c r="AE108" s="858"/>
      <c r="AF108" s="832">
        <v>0.27863432189999998</v>
      </c>
      <c r="AH108" s="780" t="s">
        <v>370</v>
      </c>
      <c r="AI108" s="836"/>
      <c r="AJ108" s="836"/>
      <c r="AK108" s="836"/>
      <c r="AL108" s="836"/>
      <c r="AM108" s="836"/>
      <c r="AN108" s="837">
        <v>0.30649532189999995</v>
      </c>
      <c r="AP108" s="780" t="s">
        <v>370</v>
      </c>
      <c r="AQ108" s="836"/>
      <c r="AR108" s="836"/>
      <c r="AS108" s="836"/>
      <c r="AT108" s="836"/>
      <c r="AU108" s="836"/>
      <c r="AV108" s="837">
        <v>0.30649532189999995</v>
      </c>
      <c r="AX108" s="780" t="s">
        <v>370</v>
      </c>
      <c r="AY108" s="135"/>
      <c r="AZ108" s="135"/>
      <c r="BA108" s="135"/>
      <c r="BB108" s="135"/>
      <c r="BC108" s="135"/>
      <c r="BD108" s="136">
        <v>0.30649532189999995</v>
      </c>
      <c r="BF108" s="780" t="s">
        <v>370</v>
      </c>
      <c r="BG108" s="836"/>
      <c r="BH108" s="836"/>
      <c r="BI108" s="836"/>
      <c r="BJ108" s="836"/>
      <c r="BK108" s="836"/>
      <c r="BL108" s="837">
        <v>0.30649532189999995</v>
      </c>
      <c r="BN108" s="780" t="s">
        <v>370</v>
      </c>
      <c r="BO108" s="135"/>
      <c r="BP108" s="135"/>
      <c r="BQ108" s="135"/>
      <c r="BR108" s="135"/>
      <c r="BS108" s="135"/>
      <c r="BT108" s="136">
        <v>0.27863432189999998</v>
      </c>
      <c r="BV108" s="780" t="s">
        <v>370</v>
      </c>
      <c r="BW108" s="135"/>
      <c r="BX108" s="135"/>
      <c r="BY108" s="135"/>
      <c r="BZ108" s="135"/>
      <c r="CA108" s="135"/>
      <c r="CB108" s="136">
        <v>0.27863432189999998</v>
      </c>
      <c r="CD108" s="780" t="s">
        <v>370</v>
      </c>
      <c r="CE108" s="135"/>
      <c r="CF108" s="135"/>
      <c r="CG108" s="135"/>
      <c r="CH108" s="135"/>
      <c r="CI108" s="135"/>
      <c r="CJ108" s="136">
        <v>0.27863432189999998</v>
      </c>
      <c r="CL108" s="780" t="s">
        <v>370</v>
      </c>
      <c r="CM108" s="135"/>
      <c r="CN108" s="135"/>
      <c r="CO108" s="135"/>
      <c r="CP108" s="135"/>
      <c r="CQ108" s="135"/>
      <c r="CR108" s="136">
        <v>0.27863432189999998</v>
      </c>
      <c r="CT108" s="780" t="s">
        <v>370</v>
      </c>
      <c r="CU108" s="135"/>
      <c r="CV108" s="135"/>
      <c r="CW108" s="135"/>
      <c r="CX108" s="135"/>
      <c r="CY108" s="135"/>
      <c r="CZ108" s="136">
        <v>0.30649532189999995</v>
      </c>
      <c r="DB108" s="780" t="s">
        <v>370</v>
      </c>
      <c r="DC108" s="135"/>
      <c r="DD108" s="135"/>
      <c r="DE108" s="135"/>
      <c r="DF108" s="135"/>
      <c r="DG108" s="135"/>
      <c r="DH108" s="136">
        <v>0.30649532189999995</v>
      </c>
      <c r="DJ108" s="780" t="s">
        <v>370</v>
      </c>
      <c r="DK108" s="135"/>
      <c r="DL108" s="135"/>
      <c r="DM108" s="135"/>
      <c r="DN108" s="135"/>
      <c r="DO108" s="135"/>
      <c r="DP108" s="136">
        <v>0.30649532189999995</v>
      </c>
      <c r="DR108" s="780" t="s">
        <v>370</v>
      </c>
      <c r="DS108" s="135"/>
      <c r="DT108" s="135"/>
      <c r="DU108" s="135"/>
      <c r="DV108" s="135"/>
      <c r="DW108" s="135"/>
      <c r="DX108" s="136">
        <v>0.30649532189999995</v>
      </c>
      <c r="DZ108" s="780" t="s">
        <v>370</v>
      </c>
      <c r="EA108" s="135"/>
      <c r="EB108" s="135"/>
      <c r="EC108" s="135"/>
      <c r="ED108" s="135"/>
      <c r="EE108" s="135"/>
      <c r="EF108" s="136">
        <v>0.30649532189999995</v>
      </c>
      <c r="EH108" s="780" t="s">
        <v>370</v>
      </c>
      <c r="EI108" s="135"/>
      <c r="EJ108" s="135"/>
      <c r="EK108" s="135"/>
      <c r="EL108" s="135"/>
      <c r="EM108" s="135"/>
      <c r="EN108" s="136">
        <v>0.30649532189999995</v>
      </c>
      <c r="EP108" s="780" t="s">
        <v>370</v>
      </c>
      <c r="EQ108" s="135"/>
      <c r="ER108" s="135"/>
      <c r="ES108" s="135"/>
      <c r="ET108" s="135"/>
      <c r="EU108" s="135"/>
      <c r="EV108" s="136">
        <v>0.30649532189999995</v>
      </c>
      <c r="EX108" s="780" t="s">
        <v>370</v>
      </c>
      <c r="EY108" s="135"/>
      <c r="EZ108" s="135"/>
      <c r="FA108" s="135"/>
      <c r="FB108" s="135"/>
      <c r="FC108" s="135"/>
      <c r="FD108" s="136">
        <v>0.30649532189999995</v>
      </c>
      <c r="FF108" s="780" t="s">
        <v>370</v>
      </c>
      <c r="FG108" s="135"/>
      <c r="FH108" s="135"/>
      <c r="FI108" s="135"/>
      <c r="FJ108" s="135"/>
      <c r="FK108" s="135"/>
      <c r="FL108" s="136">
        <v>0.27863432189999998</v>
      </c>
      <c r="FN108" s="780" t="s">
        <v>370</v>
      </c>
      <c r="FO108" s="135"/>
      <c r="FP108" s="135"/>
      <c r="FQ108" s="135"/>
      <c r="FR108" s="135"/>
      <c r="FS108" s="135"/>
      <c r="FT108" s="136">
        <v>0.27863432189999998</v>
      </c>
      <c r="FV108" s="799" t="s">
        <v>370</v>
      </c>
      <c r="FW108" s="857"/>
      <c r="FX108" s="853"/>
      <c r="FY108" s="853"/>
      <c r="FZ108" s="853"/>
      <c r="GA108" s="853"/>
      <c r="GB108" s="854">
        <f>(FT108+FL108+FD108+EV108+EN108+EF108+DX108+DP108+DH108+CZ108+CR108+CJ108+CB108+BT108+BL108+BD108+AV108+AN108+AF108+X108+P108+H108)/22</f>
        <v>0.29383123099090908</v>
      </c>
    </row>
    <row r="109" spans="2:184" ht="19" thickBot="1">
      <c r="B109" s="139" t="s">
        <v>645</v>
      </c>
      <c r="C109" s="785">
        <f>SUM(C100:C108)</f>
        <v>1886.9490391916333</v>
      </c>
      <c r="D109" s="785">
        <f>D102</f>
        <v>0.25631395798834944</v>
      </c>
      <c r="E109" s="785">
        <f>E103</f>
        <v>430.39690113205506</v>
      </c>
      <c r="F109" s="785">
        <f>F103</f>
        <v>293.00510404722689</v>
      </c>
      <c r="G109" s="785">
        <f>G103</f>
        <v>155.85966861999717</v>
      </c>
      <c r="H109" s="786">
        <f>H108</f>
        <v>0.27863432189999998</v>
      </c>
      <c r="J109" s="139" t="s">
        <v>645</v>
      </c>
      <c r="K109" s="785">
        <f>SUM(K100:K108)</f>
        <v>1869.7830254043533</v>
      </c>
      <c r="L109" s="785">
        <f>L102</f>
        <v>0.25631395798834944</v>
      </c>
      <c r="M109" s="785">
        <f>M103</f>
        <v>425.45581778103008</v>
      </c>
      <c r="N109" s="785">
        <f>N103</f>
        <v>289.64131904420969</v>
      </c>
      <c r="O109" s="785">
        <f>O103</f>
        <v>154.07035366050528</v>
      </c>
      <c r="P109" s="786">
        <f>P108</f>
        <v>0.27863432189999998</v>
      </c>
      <c r="R109" s="139" t="s">
        <v>645</v>
      </c>
      <c r="S109" s="785">
        <f>SUM(S100:S108)</f>
        <v>1801.5905222116476</v>
      </c>
      <c r="T109" s="785">
        <f>T102</f>
        <v>0.25631395798834944</v>
      </c>
      <c r="U109" s="785">
        <f>U103</f>
        <v>400.77930527993766</v>
      </c>
      <c r="V109" s="785">
        <f>V103</f>
        <v>272.84207143371896</v>
      </c>
      <c r="W109" s="785">
        <f>W103</f>
        <v>145.13424596316517</v>
      </c>
      <c r="X109" s="786">
        <f>X108</f>
        <v>0.27863432189999998</v>
      </c>
      <c r="Z109" s="139" t="s">
        <v>645</v>
      </c>
      <c r="AA109" s="785">
        <f>SUM(AA100:AA108)</f>
        <v>1785.3851947440323</v>
      </c>
      <c r="AB109" s="785">
        <f>AB102</f>
        <v>0.25631395798834944</v>
      </c>
      <c r="AC109" s="785">
        <f>AC103</f>
        <v>395.83822192891267</v>
      </c>
      <c r="AD109" s="785">
        <f>AD103</f>
        <v>269.47828643070176</v>
      </c>
      <c r="AE109" s="785">
        <f>AE103</f>
        <v>143.34493100367328</v>
      </c>
      <c r="AF109" s="786">
        <f>AF108</f>
        <v>0.27863432189999998</v>
      </c>
      <c r="AH109" s="139" t="s">
        <v>645</v>
      </c>
      <c r="AI109" s="785">
        <f>SUM(AI100:AI108)</f>
        <v>1894.2801500821413</v>
      </c>
      <c r="AJ109" s="785">
        <f>AJ102</f>
        <v>0.29717057934757274</v>
      </c>
      <c r="AK109" s="785">
        <f>AK103</f>
        <v>419.24406233686551</v>
      </c>
      <c r="AL109" s="785">
        <f>AL103</f>
        <v>285.41248736478519</v>
      </c>
      <c r="AM109" s="785">
        <f>AM103</f>
        <v>151.82089010133598</v>
      </c>
      <c r="AN109" s="786">
        <f>AN108</f>
        <v>0.30649532189999995</v>
      </c>
      <c r="AP109" s="139" t="s">
        <v>645</v>
      </c>
      <c r="AQ109" s="785">
        <f>SUM(AQ100:AQ108)</f>
        <v>1990.2671949123223</v>
      </c>
      <c r="AR109" s="785">
        <f>AR102</f>
        <v>0.29717057934757274</v>
      </c>
      <c r="AS109" s="785">
        <f>AS103</f>
        <v>447.95943609453008</v>
      </c>
      <c r="AT109" s="785">
        <f>AT103</f>
        <v>304.96130626540736</v>
      </c>
      <c r="AU109" s="785">
        <f>AU103</f>
        <v>162.21959098974168</v>
      </c>
      <c r="AV109" s="786">
        <f>AV108</f>
        <v>0.30649532189999995</v>
      </c>
      <c r="AX109" s="139" t="s">
        <v>645</v>
      </c>
      <c r="AY109" s="785">
        <f>SUM(AY100:AY108)</f>
        <v>1881.9620438946615</v>
      </c>
      <c r="AZ109" s="785">
        <f>AZ102</f>
        <v>0.29717057934757274</v>
      </c>
      <c r="BA109" s="785">
        <f>BA103</f>
        <v>414.29164079116475</v>
      </c>
      <c r="BB109" s="785">
        <f>BB103</f>
        <v>282.04098355872378</v>
      </c>
      <c r="BC109" s="785">
        <f>BC103</f>
        <v>150.02746924038368</v>
      </c>
      <c r="BD109" s="786">
        <f>BD108</f>
        <v>0.30649532189999995</v>
      </c>
      <c r="BF109" s="139" t="s">
        <v>645</v>
      </c>
      <c r="BG109" s="785">
        <f>SUM(BG100:BG108)</f>
        <v>1973.1921256008545</v>
      </c>
      <c r="BH109" s="785">
        <f>BH102</f>
        <v>0.29717057934757274</v>
      </c>
      <c r="BI109" s="785">
        <f>BI103</f>
        <v>443.00701454882943</v>
      </c>
      <c r="BJ109" s="785">
        <f>BJ103</f>
        <v>301.58980245934595</v>
      </c>
      <c r="BK109" s="785">
        <f>BK103</f>
        <v>160.42617012878941</v>
      </c>
      <c r="BL109" s="786">
        <f>BL108</f>
        <v>0.30649532189999995</v>
      </c>
      <c r="BN109" s="139" t="s">
        <v>645</v>
      </c>
      <c r="BO109" s="785">
        <f>SUM(BO100:BO108)</f>
        <v>1901.1815174692201</v>
      </c>
      <c r="BP109" s="785">
        <f>BP102</f>
        <v>0.25631395798834944</v>
      </c>
      <c r="BQ109" s="785">
        <f>BQ103</f>
        <v>432.66752397461499</v>
      </c>
      <c r="BR109" s="785">
        <f>BR103</f>
        <v>294.55089603710036</v>
      </c>
      <c r="BS109" s="785">
        <f>BS103</f>
        <v>156.68192947473742</v>
      </c>
      <c r="BT109" s="786">
        <f>BT108</f>
        <v>0.27863432189999998</v>
      </c>
      <c r="BV109" s="139" t="s">
        <v>645</v>
      </c>
      <c r="BW109" s="785">
        <f>SUM(BW100:BW108)</f>
        <v>1801.781094470889</v>
      </c>
      <c r="BX109" s="785">
        <f>BX102</f>
        <v>0.25631395798834944</v>
      </c>
      <c r="BY109" s="785">
        <f>BY103</f>
        <v>403.04992812249748</v>
      </c>
      <c r="BZ109" s="785">
        <f>BZ103</f>
        <v>274.38786342359236</v>
      </c>
      <c r="CA109" s="785">
        <f>CA103</f>
        <v>145.95650681790536</v>
      </c>
      <c r="CB109" s="786">
        <f>CB108</f>
        <v>0.27863432189999998</v>
      </c>
      <c r="CD109" s="139" t="s">
        <v>645</v>
      </c>
      <c r="CE109" s="785">
        <f>SUM(CE100:CE108)</f>
        <v>1910.1883614135247</v>
      </c>
      <c r="CF109" s="785">
        <f>CF102</f>
        <v>0.25631395798834944</v>
      </c>
      <c r="CG109" s="785">
        <f>CG103</f>
        <v>437.60860732563987</v>
      </c>
      <c r="CH109" s="785">
        <f>CH103</f>
        <v>297.91468104011756</v>
      </c>
      <c r="CI109" s="785">
        <f>CI103</f>
        <v>158.47124443422925</v>
      </c>
      <c r="CJ109" s="786">
        <f>CJ108</f>
        <v>0.27863432189999998</v>
      </c>
      <c r="CL109" s="139" t="s">
        <v>645</v>
      </c>
      <c r="CM109" s="785">
        <f>SUM(CM100:CM108)</f>
        <v>1825.1413871926352</v>
      </c>
      <c r="CN109" s="785">
        <f>CN102</f>
        <v>0.25631395798834944</v>
      </c>
      <c r="CO109" s="785">
        <f>CO103</f>
        <v>407.99101147352258</v>
      </c>
      <c r="CP109" s="785">
        <f>CP103</f>
        <v>277.75164842660968</v>
      </c>
      <c r="CQ109" s="785">
        <f>CQ103</f>
        <v>147.74582177739728</v>
      </c>
      <c r="CR109" s="786">
        <f>CR108</f>
        <v>0.27863432189999998</v>
      </c>
      <c r="CT109" s="139" t="s">
        <v>645</v>
      </c>
      <c r="CU109" s="785">
        <f>SUM(CU100:CU108)</f>
        <v>1909.2744372308571</v>
      </c>
      <c r="CV109" s="785">
        <f>CV102</f>
        <v>0.29717057934757274</v>
      </c>
      <c r="CW109" s="785">
        <f>CW103</f>
        <v>421.963145583526</v>
      </c>
      <c r="CX109" s="785">
        <f>CX103</f>
        <v>287.26358170934321</v>
      </c>
      <c r="CY109" s="785">
        <f>CY103</f>
        <v>152.80555196265516</v>
      </c>
      <c r="CZ109" s="786">
        <f>CZ108</f>
        <v>0.30649532189999995</v>
      </c>
      <c r="DB109" s="139" t="s">
        <v>645</v>
      </c>
      <c r="DC109" s="785">
        <f>SUM(DC100:DC108)</f>
        <v>2000.9545402264212</v>
      </c>
      <c r="DD109" s="785">
        <f>DD102</f>
        <v>0.29717057934757274</v>
      </c>
      <c r="DE109" s="785">
        <f>DE103</f>
        <v>450.67851934119068</v>
      </c>
      <c r="DF109" s="785">
        <f>DF103</f>
        <v>306.81240060996538</v>
      </c>
      <c r="DG109" s="785">
        <f>DG103</f>
        <v>163.20425285106089</v>
      </c>
      <c r="DH109" s="786">
        <f>DH108</f>
        <v>0.30649532189999995</v>
      </c>
      <c r="DJ109" s="139" t="s">
        <v>645</v>
      </c>
      <c r="DK109" s="785">
        <f>SUM(DK100:DK108)</f>
        <v>2017.385700844417</v>
      </c>
      <c r="DL109" s="785">
        <f>DL102</f>
        <v>0.29717057934757274</v>
      </c>
      <c r="DM109" s="785">
        <f>DM103</f>
        <v>455.63094088689144</v>
      </c>
      <c r="DN109" s="785">
        <f>DN103</f>
        <v>310.18390441602685</v>
      </c>
      <c r="DO109" s="785">
        <f>DO103</f>
        <v>164.99767371201318</v>
      </c>
      <c r="DP109" s="786">
        <f>DP108</f>
        <v>0.30649532189999995</v>
      </c>
      <c r="DR109" s="139" t="s">
        <v>645</v>
      </c>
      <c r="DS109" s="785">
        <f>SUM(DS100:DS108)</f>
        <v>1925.4517235624662</v>
      </c>
      <c r="DT109" s="785">
        <f>DT102</f>
        <v>0.29717057934757274</v>
      </c>
      <c r="DU109" s="785">
        <f>DU103</f>
        <v>426.91556712922676</v>
      </c>
      <c r="DV109" s="785">
        <f>DV103</f>
        <v>290.63508551540463</v>
      </c>
      <c r="DW109" s="785">
        <f>DW103</f>
        <v>154.59897282360745</v>
      </c>
      <c r="DX109" s="786">
        <f>DX108</f>
        <v>0.30649532189999995</v>
      </c>
      <c r="DZ109" s="139" t="s">
        <v>645</v>
      </c>
      <c r="EA109" s="785">
        <f>SUM(EA100:EA108)</f>
        <v>1989.9482701422392</v>
      </c>
      <c r="EB109" s="785">
        <f>EB102</f>
        <v>0.29717057934757274</v>
      </c>
      <c r="EC109" s="785">
        <f>EC103</f>
        <v>451.35225606523232</v>
      </c>
      <c r="ED109" s="785">
        <f>ED103</f>
        <v>307.27106631691873</v>
      </c>
      <c r="EE109" s="785">
        <f>EE103</f>
        <v>163.44823319169544</v>
      </c>
      <c r="EF109" s="786">
        <f>EF108</f>
        <v>0.30649532189999995</v>
      </c>
      <c r="EH109" s="139" t="s">
        <v>645</v>
      </c>
      <c r="EI109" s="785">
        <f>SUM(EI100:EI108)</f>
        <v>1898.0142928602882</v>
      </c>
      <c r="EJ109" s="785">
        <f>EJ102</f>
        <v>0.29717057934757274</v>
      </c>
      <c r="EK109" s="785">
        <f>EK103</f>
        <v>422.63688230756776</v>
      </c>
      <c r="EL109" s="785">
        <f>EL103</f>
        <v>287.72224741629663</v>
      </c>
      <c r="EM109" s="785">
        <f>EM103</f>
        <v>153.04953230328974</v>
      </c>
      <c r="EN109" s="786">
        <f>EN108</f>
        <v>0.30649532189999995</v>
      </c>
      <c r="EP109" s="139" t="s">
        <v>645</v>
      </c>
      <c r="EQ109" s="785">
        <f>SUM(EQ100:EQ108)</f>
        <v>1973.4660786003381</v>
      </c>
      <c r="ER109" s="785">
        <f>ER102</f>
        <v>0.29717057934757274</v>
      </c>
      <c r="ES109" s="785">
        <f>ES103</f>
        <v>446.39983451953168</v>
      </c>
      <c r="ET109" s="785">
        <f>ET103</f>
        <v>303.89956251085738</v>
      </c>
      <c r="EU109" s="785">
        <f>EU103</f>
        <v>161.65481233074317</v>
      </c>
      <c r="EV109" s="786">
        <f>EV108</f>
        <v>0.30649532189999995</v>
      </c>
      <c r="EX109" s="139" t="s">
        <v>645</v>
      </c>
      <c r="EY109" s="785">
        <f>SUM(EY100:EY108)</f>
        <v>1881.9748953968133</v>
      </c>
      <c r="EZ109" s="785">
        <f>EZ102</f>
        <v>0.29717057934757274</v>
      </c>
      <c r="FA109" s="785">
        <f>FA103</f>
        <v>417.68446076186711</v>
      </c>
      <c r="FB109" s="785">
        <f>FB103</f>
        <v>284.35074361023521</v>
      </c>
      <c r="FC109" s="785">
        <f>FC103</f>
        <v>151.25611144233747</v>
      </c>
      <c r="FD109" s="786">
        <f>FD108</f>
        <v>0.30649532189999995</v>
      </c>
      <c r="FF109" s="139" t="s">
        <v>645</v>
      </c>
      <c r="FG109" s="785">
        <f>SUM(FG100:FG108)</f>
        <v>1768.6887164097548</v>
      </c>
      <c r="FH109" s="785">
        <f>FH102</f>
        <v>0.25631395798834944</v>
      </c>
      <c r="FI109" s="785">
        <f>FI103</f>
        <v>401.08674468717885</v>
      </c>
      <c r="FJ109" s="785">
        <f>FJ103</f>
        <v>273.05136967743306</v>
      </c>
      <c r="FK109" s="785">
        <f>FK103</f>
        <v>145.24557902343423</v>
      </c>
      <c r="FL109" s="786">
        <f>FL108</f>
        <v>0.27863432189999998</v>
      </c>
      <c r="FN109" s="139" t="s">
        <v>645</v>
      </c>
      <c r="FO109" s="785">
        <f>SUM(FO100:FO108)</f>
        <v>1752.7918486236954</v>
      </c>
      <c r="FP109" s="785">
        <f>FP102</f>
        <v>0.25631395798834944</v>
      </c>
      <c r="FQ109" s="785">
        <f>FQ103</f>
        <v>396.14566133615386</v>
      </c>
      <c r="FR109" s="785">
        <f>FR103</f>
        <v>269.68758467441586</v>
      </c>
      <c r="FS109" s="785">
        <f>FS103</f>
        <v>143.45626406394234</v>
      </c>
      <c r="FT109" s="786">
        <f>FT108</f>
        <v>0.27863432189999998</v>
      </c>
      <c r="FV109" s="808" t="s">
        <v>996</v>
      </c>
      <c r="FW109" s="857">
        <f>SUM(FW100:FW108)</f>
        <v>1892.7114618402363</v>
      </c>
      <c r="FX109" s="853">
        <f>FX102</f>
        <v>0.27859938782065313</v>
      </c>
      <c r="FY109" s="853">
        <f>FY103</f>
        <v>424.94470379127125</v>
      </c>
      <c r="FZ109" s="853">
        <f>FZ103</f>
        <v>289.29336345401987</v>
      </c>
      <c r="GA109" s="853">
        <f>GA103</f>
        <v>153.8852639053018</v>
      </c>
      <c r="GB109" s="854">
        <f>GB108</f>
        <v>0.29383123099090908</v>
      </c>
    </row>
    <row r="110" spans="2:184" ht="16" thickBot="1">
      <c r="B110" s="138" t="s">
        <v>644</v>
      </c>
      <c r="C110" s="4659">
        <f>SUM(C109:H109)</f>
        <v>2766.7456612708006</v>
      </c>
      <c r="D110" s="4660"/>
      <c r="E110" s="4660"/>
      <c r="F110" s="4660"/>
      <c r="G110" s="4660"/>
      <c r="H110" s="4661"/>
      <c r="J110" s="138" t="s">
        <v>644</v>
      </c>
      <c r="K110" s="4659">
        <f>SUM(K109:P109)</f>
        <v>2739.4854641699862</v>
      </c>
      <c r="L110" s="4660"/>
      <c r="M110" s="4660"/>
      <c r="N110" s="4660"/>
      <c r="O110" s="4660"/>
      <c r="P110" s="4661"/>
      <c r="R110" s="138" t="s">
        <v>644</v>
      </c>
      <c r="S110" s="4659">
        <f>SUM(S109:X109)</f>
        <v>2620.8810931683574</v>
      </c>
      <c r="T110" s="4660"/>
      <c r="U110" s="4660"/>
      <c r="V110" s="4660"/>
      <c r="W110" s="4660"/>
      <c r="X110" s="4661"/>
      <c r="Z110" s="138" t="s">
        <v>644</v>
      </c>
      <c r="AA110" s="4659">
        <f>SUM(AA109:AF109)</f>
        <v>2594.5815823872081</v>
      </c>
      <c r="AB110" s="4660"/>
      <c r="AC110" s="4660"/>
      <c r="AD110" s="4660"/>
      <c r="AE110" s="4660"/>
      <c r="AF110" s="4661"/>
      <c r="AH110" s="138" t="s">
        <v>644</v>
      </c>
      <c r="AI110" s="4659">
        <f>SUM(AI109:AN109)</f>
        <v>2751.3612557863753</v>
      </c>
      <c r="AJ110" s="4837"/>
      <c r="AK110" s="4837"/>
      <c r="AL110" s="4837"/>
      <c r="AM110" s="4837"/>
      <c r="AN110" s="4838"/>
      <c r="AP110" s="138" t="s">
        <v>644</v>
      </c>
      <c r="AQ110" s="4659">
        <f>SUM(AQ109:AV109)</f>
        <v>2906.0111941632495</v>
      </c>
      <c r="AR110" s="4660"/>
      <c r="AS110" s="4660"/>
      <c r="AT110" s="4660"/>
      <c r="AU110" s="4660"/>
      <c r="AV110" s="4661"/>
      <c r="AX110" s="138" t="s">
        <v>644</v>
      </c>
      <c r="AY110" s="4659">
        <f>SUM(AY109:BD109)</f>
        <v>2728.9258033861811</v>
      </c>
      <c r="AZ110" s="4660"/>
      <c r="BA110" s="4660"/>
      <c r="BB110" s="4660"/>
      <c r="BC110" s="4660"/>
      <c r="BD110" s="4661"/>
      <c r="BF110" s="138" t="s">
        <v>644</v>
      </c>
      <c r="BG110" s="4659">
        <f>SUM(BG109:BL109)</f>
        <v>2878.8187786390672</v>
      </c>
      <c r="BH110" s="4660"/>
      <c r="BI110" s="4660"/>
      <c r="BJ110" s="4660"/>
      <c r="BK110" s="4660"/>
      <c r="BL110" s="4661"/>
      <c r="BN110" s="138" t="s">
        <v>644</v>
      </c>
      <c r="BO110" s="4659">
        <f>SUM(BO109:BT109)</f>
        <v>2785.6168152355613</v>
      </c>
      <c r="BP110" s="4660"/>
      <c r="BQ110" s="4660"/>
      <c r="BR110" s="4660"/>
      <c r="BS110" s="4660"/>
      <c r="BT110" s="4661"/>
      <c r="BV110" s="138" t="s">
        <v>644</v>
      </c>
      <c r="BW110" s="4659">
        <f>SUM(BW109:CB109)</f>
        <v>2625.7103411147727</v>
      </c>
      <c r="BX110" s="4660"/>
      <c r="BY110" s="4660"/>
      <c r="BZ110" s="4660"/>
      <c r="CA110" s="4660"/>
      <c r="CB110" s="4661"/>
      <c r="CD110" s="138" t="s">
        <v>644</v>
      </c>
      <c r="CE110" s="4659">
        <f>SUM(CE109:CJ109)</f>
        <v>2804.7178424934</v>
      </c>
      <c r="CF110" s="4660"/>
      <c r="CG110" s="4660"/>
      <c r="CH110" s="4660"/>
      <c r="CI110" s="4660"/>
      <c r="CJ110" s="4661"/>
      <c r="CL110" s="138" t="s">
        <v>644</v>
      </c>
      <c r="CM110" s="4659">
        <f>SUM(CM109:CR109)</f>
        <v>2659.1648171500533</v>
      </c>
      <c r="CN110" s="4660"/>
      <c r="CO110" s="4660"/>
      <c r="CP110" s="4660"/>
      <c r="CQ110" s="4660"/>
      <c r="CR110" s="4661"/>
      <c r="CT110" s="138" t="s">
        <v>644</v>
      </c>
      <c r="CU110" s="4659">
        <f>SUM(CU109:CZ109)</f>
        <v>2771.9103823876289</v>
      </c>
      <c r="CV110" s="4660"/>
      <c r="CW110" s="4660"/>
      <c r="CX110" s="4660"/>
      <c r="CY110" s="4660"/>
      <c r="CZ110" s="4661"/>
      <c r="DB110" s="138" t="s">
        <v>644</v>
      </c>
      <c r="DC110" s="4659">
        <f>SUM(DC109:DH109)</f>
        <v>2922.2533789298859</v>
      </c>
      <c r="DD110" s="4660"/>
      <c r="DE110" s="4660"/>
      <c r="DF110" s="4660"/>
      <c r="DG110" s="4660"/>
      <c r="DH110" s="4661"/>
      <c r="DJ110" s="138" t="s">
        <v>644</v>
      </c>
      <c r="DK110" s="4659">
        <f>SUM(DK109:DP109)</f>
        <v>2948.8018857605962</v>
      </c>
      <c r="DL110" s="4660"/>
      <c r="DM110" s="4660"/>
      <c r="DN110" s="4660"/>
      <c r="DO110" s="4660"/>
      <c r="DP110" s="4661"/>
      <c r="DR110" s="138" t="s">
        <v>644</v>
      </c>
      <c r="DS110" s="4659">
        <f>SUM(DS109:DX109)</f>
        <v>2798.2050149319525</v>
      </c>
      <c r="DT110" s="4660"/>
      <c r="DU110" s="4660"/>
      <c r="DV110" s="4660"/>
      <c r="DW110" s="4660"/>
      <c r="DX110" s="4661"/>
      <c r="DZ110" s="138" t="s">
        <v>644</v>
      </c>
      <c r="EA110" s="4659">
        <f>SUM(EA109:EF109)</f>
        <v>2912.6234916173335</v>
      </c>
      <c r="EB110" s="4660"/>
      <c r="EC110" s="4660"/>
      <c r="ED110" s="4660"/>
      <c r="EE110" s="4660"/>
      <c r="EF110" s="4661"/>
      <c r="EH110" s="138" t="s">
        <v>644</v>
      </c>
      <c r="EI110" s="4659">
        <f>SUM(EI109:EN109)</f>
        <v>2762.0266207886898</v>
      </c>
      <c r="EJ110" s="4660"/>
      <c r="EK110" s="4660"/>
      <c r="EL110" s="4660"/>
      <c r="EM110" s="4660"/>
      <c r="EN110" s="4661"/>
      <c r="EP110" s="138" t="s">
        <v>644</v>
      </c>
      <c r="EQ110" s="4659">
        <f>SUM(EQ109:EV109)</f>
        <v>2886.0239538627175</v>
      </c>
      <c r="ER110" s="4660"/>
      <c r="ES110" s="4660"/>
      <c r="ET110" s="4660"/>
      <c r="EU110" s="4660"/>
      <c r="EV110" s="4661"/>
      <c r="EX110" s="138" t="s">
        <v>644</v>
      </c>
      <c r="EY110" s="4659">
        <f>SUM(EY109:FD109)</f>
        <v>2735.8698771125005</v>
      </c>
      <c r="EZ110" s="4660"/>
      <c r="FA110" s="4660"/>
      <c r="FB110" s="4660"/>
      <c r="FC110" s="4660"/>
      <c r="FD110" s="4661"/>
      <c r="FF110" s="138" t="s">
        <v>644</v>
      </c>
      <c r="FG110" s="4659">
        <f>SUM(FG109:FL109)</f>
        <v>2588.6073580776897</v>
      </c>
      <c r="FH110" s="4660"/>
      <c r="FI110" s="4660"/>
      <c r="FJ110" s="4660"/>
      <c r="FK110" s="4660"/>
      <c r="FL110" s="4661"/>
      <c r="FN110" s="138" t="s">
        <v>644</v>
      </c>
      <c r="FO110" s="4659">
        <f>SUM(FO109:FT109)</f>
        <v>2562.616306978096</v>
      </c>
      <c r="FP110" s="4660"/>
      <c r="FQ110" s="4660"/>
      <c r="FR110" s="4660"/>
      <c r="FS110" s="4660"/>
      <c r="FT110" s="4661"/>
      <c r="FV110" s="808" t="s">
        <v>997</v>
      </c>
      <c r="FW110" s="4825">
        <f>FW109+FX109+FY109+FZ109+GA109+GB109</f>
        <v>2761.4072236096404</v>
      </c>
      <c r="FX110" s="4826"/>
      <c r="FY110" s="4826"/>
      <c r="FZ110" s="4826"/>
      <c r="GA110" s="4826"/>
      <c r="GB110" s="4827"/>
    </row>
    <row r="113" spans="178:217" ht="15.5">
      <c r="GM113" s="4819"/>
      <c r="GN113" s="4819"/>
      <c r="GO113" s="4819"/>
      <c r="GP113" s="4819"/>
      <c r="GQ113" s="4819"/>
      <c r="GR113" s="4819"/>
      <c r="GS113" s="4819"/>
      <c r="GU113" s="4819"/>
      <c r="GV113" s="4819"/>
      <c r="GW113" s="4819"/>
      <c r="GX113" s="4819"/>
      <c r="GY113" s="4819"/>
      <c r="GZ113" s="4819"/>
      <c r="HA113" s="4819"/>
    </row>
    <row r="114" spans="178:217" ht="31.5" customHeight="1">
      <c r="GM114" s="859" t="s">
        <v>1015</v>
      </c>
      <c r="GN114" s="4820" t="s">
        <v>1016</v>
      </c>
      <c r="GO114" s="4821"/>
      <c r="GP114" s="4821"/>
      <c r="GQ114" s="4821"/>
      <c r="GR114" s="4821"/>
      <c r="GS114" s="4821"/>
      <c r="GU114" s="4828" t="s">
        <v>1017</v>
      </c>
      <c r="GV114" s="4820" t="s">
        <v>1016</v>
      </c>
      <c r="GW114" s="4821"/>
      <c r="GX114" s="4821"/>
      <c r="GY114" s="4821"/>
      <c r="GZ114" s="4821"/>
      <c r="HA114" s="4821"/>
      <c r="HC114" s="4828" t="s">
        <v>1017</v>
      </c>
      <c r="HD114" s="4820" t="s">
        <v>1016</v>
      </c>
      <c r="HE114" s="4821"/>
      <c r="HF114" s="4821"/>
      <c r="HG114" s="4821"/>
      <c r="HH114" s="4821"/>
      <c r="HI114" s="4821"/>
    </row>
    <row r="115" spans="178:217" ht="30.75" customHeight="1">
      <c r="GM115" s="860" t="s">
        <v>1018</v>
      </c>
      <c r="GN115" s="861">
        <v>1</v>
      </c>
      <c r="GO115" s="861">
        <v>2</v>
      </c>
      <c r="GP115" s="861">
        <v>3</v>
      </c>
      <c r="GQ115" s="861">
        <v>4</v>
      </c>
      <c r="GR115" s="861">
        <v>5</v>
      </c>
      <c r="GS115" s="861">
        <v>10</v>
      </c>
      <c r="GU115" s="4829"/>
      <c r="GV115" s="861">
        <v>1</v>
      </c>
      <c r="GW115" s="861">
        <v>2</v>
      </c>
      <c r="GX115" s="861">
        <v>3</v>
      </c>
      <c r="GY115" s="861">
        <v>4</v>
      </c>
      <c r="GZ115" s="861">
        <v>5</v>
      </c>
      <c r="HA115" s="861">
        <v>10</v>
      </c>
      <c r="HC115" s="4829"/>
      <c r="HD115" s="861">
        <v>1</v>
      </c>
      <c r="HE115" s="861">
        <v>2</v>
      </c>
      <c r="HF115" s="861">
        <v>3</v>
      </c>
      <c r="HG115" s="861">
        <v>4</v>
      </c>
      <c r="HH115" s="861">
        <v>5</v>
      </c>
      <c r="HI115" s="861">
        <v>10</v>
      </c>
    </row>
    <row r="116" spans="178:217" ht="45" customHeight="1">
      <c r="FV116" s="4819" t="s">
        <v>1019</v>
      </c>
      <c r="FW116" s="4819"/>
      <c r="FX116" s="4819"/>
      <c r="FY116" s="4819"/>
      <c r="FZ116" s="4819"/>
      <c r="GA116" s="4819"/>
      <c r="GB116" s="4819"/>
      <c r="GM116" s="862" t="s">
        <v>1020</v>
      </c>
      <c r="GN116" s="863">
        <f>SUM(GN117:GN120)</f>
        <v>374.24607146237111</v>
      </c>
      <c r="GO116" s="863">
        <f>SUM(GO117:GO120)</f>
        <v>387.06856054902869</v>
      </c>
      <c r="GP116" s="863">
        <f>SUM(GP117:GP120)</f>
        <v>307.23785602391513</v>
      </c>
      <c r="GQ116" s="863">
        <f>SUM(GQ117:GQ120)</f>
        <v>409.31405092120286</v>
      </c>
      <c r="GR116" s="863">
        <f>SUM(GR117:GR120)</f>
        <v>509.05954286292115</v>
      </c>
      <c r="GS116" s="863">
        <f>GS117+GS118+GS119+GS120</f>
        <v>999.23962637696252</v>
      </c>
      <c r="GU116" s="862" t="s">
        <v>1021</v>
      </c>
      <c r="GV116" s="864">
        <f t="shared" ref="GV116:GZ125" si="2">GN117</f>
        <v>159.154903172974</v>
      </c>
      <c r="GW116" s="864">
        <f t="shared" si="2"/>
        <v>164.60789831344192</v>
      </c>
      <c r="GX116" s="864">
        <f t="shared" si="2"/>
        <v>127.45762946987378</v>
      </c>
      <c r="GY116" s="864">
        <f t="shared" si="2"/>
        <v>174.06819499039631</v>
      </c>
      <c r="GZ116" s="864">
        <f t="shared" si="2"/>
        <v>216.48676748173375</v>
      </c>
      <c r="HA116" s="865">
        <f>FY103</f>
        <v>424.94470379127125</v>
      </c>
      <c r="HC116" s="862" t="s">
        <v>1021</v>
      </c>
      <c r="HD116" s="866">
        <f t="shared" ref="HD116:HD129" si="3">GV116/$GV$131</f>
        <v>4.8725313780427194E-2</v>
      </c>
      <c r="HE116" s="866">
        <f t="shared" ref="HE116:HE129" si="4">GW116/$GW$131</f>
        <v>4.2909475165340903E-2</v>
      </c>
      <c r="HF116" s="866">
        <f t="shared" ref="HF116:HF129" si="5">GX116/$GX$131</f>
        <v>3.2148716841190444E-2</v>
      </c>
      <c r="HG116" s="866">
        <f t="shared" ref="HG116:HG129" si="6">GY116/$GY$131</f>
        <v>3.4844999497627129E-2</v>
      </c>
      <c r="HH116" s="866">
        <f t="shared" ref="HH116:HH129" si="7">GZ116/$GZ$131</f>
        <v>3.4817373320016755E-2</v>
      </c>
      <c r="HI116" s="866">
        <f t="shared" ref="HI116:HI129" si="8">HA116/$HA$131</f>
        <v>3.621093216437226E-2</v>
      </c>
    </row>
    <row r="117" spans="178:217" ht="31.5" customHeight="1">
      <c r="FV117" s="4822" t="s">
        <v>993</v>
      </c>
      <c r="FW117" s="4820" t="s">
        <v>524</v>
      </c>
      <c r="FX117" s="4821"/>
      <c r="FY117" s="4821"/>
      <c r="FZ117" s="4821"/>
      <c r="GA117" s="4821"/>
      <c r="GB117" s="4824"/>
      <c r="GM117" s="867" t="s">
        <v>372</v>
      </c>
      <c r="GN117" s="868">
        <f>FY13</f>
        <v>159.154903172974</v>
      </c>
      <c r="GO117" s="868">
        <f>FY30</f>
        <v>164.60789831344192</v>
      </c>
      <c r="GP117" s="868">
        <f>FY50</f>
        <v>127.45762946987378</v>
      </c>
      <c r="GQ117" s="868">
        <f>FY67</f>
        <v>174.06819499039631</v>
      </c>
      <c r="GR117" s="868">
        <f>FY85</f>
        <v>216.48676748173375</v>
      </c>
      <c r="GS117" s="868">
        <f>FY103</f>
        <v>424.94470379127125</v>
      </c>
      <c r="GU117" s="862" t="s">
        <v>1022</v>
      </c>
      <c r="GV117" s="864">
        <f t="shared" si="2"/>
        <v>108.34929071553773</v>
      </c>
      <c r="GW117" s="864">
        <f t="shared" si="2"/>
        <v>112.06157443389006</v>
      </c>
      <c r="GX117" s="864">
        <f t="shared" si="2"/>
        <v>86.770457422449681</v>
      </c>
      <c r="GY117" s="864">
        <f t="shared" si="2"/>
        <v>118.5019442526731</v>
      </c>
      <c r="GZ117" s="864">
        <f t="shared" si="2"/>
        <v>147.37961092189877</v>
      </c>
      <c r="HA117" s="865">
        <f>FZ103</f>
        <v>289.29336345401987</v>
      </c>
      <c r="HC117" s="862" t="s">
        <v>1022</v>
      </c>
      <c r="HD117" s="866">
        <f t="shared" si="3"/>
        <v>3.3171162702185522E-2</v>
      </c>
      <c r="HE117" s="866">
        <f t="shared" si="4"/>
        <v>2.9211862823275855E-2</v>
      </c>
      <c r="HF117" s="866">
        <f t="shared" si="5"/>
        <v>2.1886166229964713E-2</v>
      </c>
      <c r="HG117" s="866">
        <f t="shared" si="6"/>
        <v>2.3721738415108218E-2</v>
      </c>
      <c r="HH117" s="866">
        <f t="shared" si="7"/>
        <v>2.3702931097899699E-2</v>
      </c>
      <c r="HI117" s="866">
        <f t="shared" si="8"/>
        <v>2.4651636474523776E-2</v>
      </c>
    </row>
    <row r="118" spans="178:217" ht="33.75" customHeight="1">
      <c r="FV118" s="4823"/>
      <c r="FW118" s="845" t="s">
        <v>994</v>
      </c>
      <c r="FX118" s="820" t="s">
        <v>371</v>
      </c>
      <c r="FY118" s="820" t="s">
        <v>372</v>
      </c>
      <c r="FZ118" s="820" t="s">
        <v>373</v>
      </c>
      <c r="GA118" s="820" t="s">
        <v>374</v>
      </c>
      <c r="GB118" s="821" t="s">
        <v>1005</v>
      </c>
      <c r="GM118" s="867" t="s">
        <v>373</v>
      </c>
      <c r="GN118" s="868">
        <f>FZ13</f>
        <v>108.34929071553773</v>
      </c>
      <c r="GO118" s="868">
        <f>FZ30</f>
        <v>112.06157443389006</v>
      </c>
      <c r="GP118" s="868">
        <f>FZ50</f>
        <v>86.770457422449681</v>
      </c>
      <c r="GQ118" s="868">
        <f>FZ67</f>
        <v>118.5019442526731</v>
      </c>
      <c r="GR118" s="868">
        <f>FZ85</f>
        <v>147.37961092189877</v>
      </c>
      <c r="GS118" s="868">
        <f>FZ103</f>
        <v>289.29336345401987</v>
      </c>
      <c r="GU118" s="862" t="s">
        <v>1023</v>
      </c>
      <c r="GV118" s="864">
        <f t="shared" si="2"/>
        <v>57.634779438564095</v>
      </c>
      <c r="GW118" s="864">
        <f t="shared" si="2"/>
        <v>59.609473060530981</v>
      </c>
      <c r="GX118" s="864">
        <f t="shared" si="2"/>
        <v>46.156242854011047</v>
      </c>
      <c r="GY118" s="864">
        <f t="shared" si="2"/>
        <v>63.035331149282797</v>
      </c>
      <c r="GZ118" s="864">
        <f t="shared" si="2"/>
        <v>78.396372630863254</v>
      </c>
      <c r="HA118" s="865">
        <f>GA103</f>
        <v>153.8852639053018</v>
      </c>
      <c r="HC118" s="862" t="s">
        <v>1023</v>
      </c>
      <c r="HD118" s="866">
        <f t="shared" si="3"/>
        <v>1.7644902273338321E-2</v>
      </c>
      <c r="HE118" s="866">
        <f t="shared" si="4"/>
        <v>1.5538812111186771E-2</v>
      </c>
      <c r="HF118" s="866">
        <f t="shared" si="5"/>
        <v>1.1642017728860643E-2</v>
      </c>
      <c r="HG118" s="866">
        <f t="shared" si="6"/>
        <v>1.2618422810385907E-2</v>
      </c>
      <c r="HH118" s="866">
        <f t="shared" si="7"/>
        <v>1.2608418540196542E-2</v>
      </c>
      <c r="HI118" s="866">
        <f t="shared" si="8"/>
        <v>1.3113068130173664E-2</v>
      </c>
    </row>
    <row r="119" spans="178:217" ht="33.75" customHeight="1">
      <c r="FV119" s="869" t="s">
        <v>365</v>
      </c>
      <c r="FW119" s="870">
        <f>(FW100+FW82+FW64+FW47+FW27+FW10)/6</f>
        <v>1.3683438670303438</v>
      </c>
      <c r="FX119" s="871"/>
      <c r="FY119" s="871"/>
      <c r="FZ119" s="871"/>
      <c r="GA119" s="871"/>
      <c r="GB119" s="872"/>
      <c r="GM119" s="867" t="s">
        <v>374</v>
      </c>
      <c r="GN119" s="868">
        <f>GA13</f>
        <v>57.634779438564095</v>
      </c>
      <c r="GO119" s="868">
        <f>GA30</f>
        <v>59.609473060530981</v>
      </c>
      <c r="GP119" s="868">
        <f>GA50</f>
        <v>46.156242854011047</v>
      </c>
      <c r="GQ119" s="868">
        <f>GA67</f>
        <v>63.035331149282797</v>
      </c>
      <c r="GR119" s="868">
        <f>GA85</f>
        <v>78.396372630863254</v>
      </c>
      <c r="GS119" s="868">
        <f>GA103</f>
        <v>153.8852639053018</v>
      </c>
      <c r="GU119" s="862" t="s">
        <v>1024</v>
      </c>
      <c r="GV119" s="864">
        <f t="shared" ref="GV119:HA119" si="9">SUM(GV120:GV126)</f>
        <v>844.23115499092751</v>
      </c>
      <c r="GW119" s="864">
        <f t="shared" si="9"/>
        <v>779.3702173987881</v>
      </c>
      <c r="GX119" s="864">
        <f t="shared" si="9"/>
        <v>662.14094958844987</v>
      </c>
      <c r="GY119" s="864">
        <f t="shared" si="9"/>
        <v>823.17458192815241</v>
      </c>
      <c r="GZ119" s="864">
        <f t="shared" si="9"/>
        <v>1006.661057513579</v>
      </c>
      <c r="HA119" s="865">
        <f t="shared" si="9"/>
        <v>1892.7114618402366</v>
      </c>
      <c r="HC119" s="862" t="s">
        <v>1024</v>
      </c>
      <c r="HD119" s="866">
        <f t="shared" si="3"/>
        <v>0.25846158120204615</v>
      </c>
      <c r="HE119" s="866">
        <f t="shared" si="4"/>
        <v>0.20316380520453267</v>
      </c>
      <c r="HF119" s="866">
        <f t="shared" si="5"/>
        <v>0.16701222191102716</v>
      </c>
      <c r="HG119" s="866">
        <f t="shared" si="6"/>
        <v>0.16478322128478678</v>
      </c>
      <c r="HH119" s="866">
        <f t="shared" si="7"/>
        <v>0.1619003981346363</v>
      </c>
      <c r="HI119" s="866">
        <f t="shared" si="8"/>
        <v>0.16128415236136537</v>
      </c>
    </row>
    <row r="120" spans="178:217" ht="36" customHeight="1">
      <c r="FV120" s="869" t="s">
        <v>366</v>
      </c>
      <c r="FW120" s="857">
        <f>(FW101+FW83+FW65+FW48+FW28+FW11)/6</f>
        <v>262.81022884363506</v>
      </c>
      <c r="FX120" s="853"/>
      <c r="FY120" s="853"/>
      <c r="FZ120" s="853"/>
      <c r="GA120" s="853"/>
      <c r="GB120" s="854"/>
      <c r="GM120" s="867" t="s">
        <v>643</v>
      </c>
      <c r="GN120" s="868">
        <f>FW13</f>
        <v>49.107098135295232</v>
      </c>
      <c r="GO120" s="868">
        <f>FW30</f>
        <v>50.789614741165764</v>
      </c>
      <c r="GP120" s="868">
        <f>FW50</f>
        <v>46.853526277580592</v>
      </c>
      <c r="GQ120" s="868">
        <f>FW67</f>
        <v>53.708580528850618</v>
      </c>
      <c r="GR120" s="873">
        <f>FW85</f>
        <v>66.796791828425356</v>
      </c>
      <c r="GS120" s="868">
        <f>FW103</f>
        <v>131.11629522636952</v>
      </c>
      <c r="GU120" s="874" t="s">
        <v>368</v>
      </c>
      <c r="GV120" s="875">
        <f t="shared" ref="GV120:HA120" si="10">GN120</f>
        <v>49.107098135295232</v>
      </c>
      <c r="GW120" s="875">
        <f t="shared" si="10"/>
        <v>50.789614741165764</v>
      </c>
      <c r="GX120" s="875">
        <f t="shared" si="10"/>
        <v>46.853526277580592</v>
      </c>
      <c r="GY120" s="875">
        <f t="shared" si="10"/>
        <v>53.708580528850618</v>
      </c>
      <c r="GZ120" s="875">
        <f t="shared" si="10"/>
        <v>66.796791828425356</v>
      </c>
      <c r="HA120" s="875">
        <f t="shared" si="10"/>
        <v>131.11629522636952</v>
      </c>
      <c r="HC120" s="874" t="s">
        <v>368</v>
      </c>
      <c r="HD120" s="876">
        <f t="shared" si="3"/>
        <v>1.5034150489777713E-2</v>
      </c>
      <c r="HE120" s="876">
        <f t="shared" si="4"/>
        <v>1.323967886549049E-2</v>
      </c>
      <c r="HF120" s="876">
        <f t="shared" si="5"/>
        <v>1.1817893958754684E-2</v>
      </c>
      <c r="HG120" s="876">
        <f t="shared" si="6"/>
        <v>1.0751392358893127E-2</v>
      </c>
      <c r="HH120" s="876">
        <f t="shared" si="7"/>
        <v>1.0742868327349208E-2</v>
      </c>
      <c r="HI120" s="876">
        <f t="shared" si="8"/>
        <v>1.1172849619554191E-2</v>
      </c>
    </row>
    <row r="121" spans="178:217" ht="33.75" customHeight="1">
      <c r="FV121" s="869" t="s">
        <v>367</v>
      </c>
      <c r="FW121" s="857"/>
      <c r="FX121" s="853">
        <f>(FX102+FX84+FX66+FX49+FX29+FX12)/6</f>
        <v>0.28851640079956847</v>
      </c>
      <c r="FY121" s="853"/>
      <c r="FZ121" s="853"/>
      <c r="GA121" s="853"/>
      <c r="GB121" s="854"/>
      <c r="GM121" s="862" t="s">
        <v>1024</v>
      </c>
      <c r="GN121" s="863">
        <f t="shared" ref="GN121:GS121" si="11">GN122+GN123+GN124+GN125+GN126+GN127</f>
        <v>795.12405685563226</v>
      </c>
      <c r="GO121" s="863">
        <f t="shared" si="11"/>
        <v>728.58060265762219</v>
      </c>
      <c r="GP121" s="863">
        <f t="shared" si="11"/>
        <v>615.28742331086926</v>
      </c>
      <c r="GQ121" s="863">
        <f t="shared" si="11"/>
        <v>769.46600139930172</v>
      </c>
      <c r="GR121" s="863">
        <f t="shared" si="11"/>
        <v>939.86426568515367</v>
      </c>
      <c r="GS121" s="863">
        <f t="shared" si="11"/>
        <v>1761.5951666138671</v>
      </c>
      <c r="GU121" s="877" t="s">
        <v>369</v>
      </c>
      <c r="GV121" s="875">
        <f t="shared" si="2"/>
        <v>1.2631389084507044E-2</v>
      </c>
      <c r="GW121" s="875">
        <f t="shared" si="2"/>
        <v>1.2892728169014087E-2</v>
      </c>
      <c r="GX121" s="875">
        <f t="shared" si="2"/>
        <v>1.0611950704225355E-2</v>
      </c>
      <c r="GY121" s="875">
        <f t="shared" si="2"/>
        <v>1.3748019718309861E-2</v>
      </c>
      <c r="GZ121" s="875">
        <f t="shared" si="2"/>
        <v>1.7108998732394371E-2</v>
      </c>
      <c r="HA121" s="868">
        <f>FW104</f>
        <v>3.3308854225352118E-2</v>
      </c>
      <c r="HC121" s="877" t="s">
        <v>369</v>
      </c>
      <c r="HD121" s="878">
        <f t="shared" si="3"/>
        <v>3.867102956648219E-6</v>
      </c>
      <c r="HE121" s="878">
        <f t="shared" si="4"/>
        <v>3.3608362955243741E-6</v>
      </c>
      <c r="HF121" s="878">
        <f t="shared" si="5"/>
        <v>2.6766589002304498E-6</v>
      </c>
      <c r="HG121" s="878">
        <f t="shared" si="6"/>
        <v>2.7520808163967292E-6</v>
      </c>
      <c r="HH121" s="878">
        <f t="shared" si="7"/>
        <v>2.7516249742503548E-6</v>
      </c>
      <c r="HI121" s="878">
        <f t="shared" si="8"/>
        <v>2.8383567322200032E-6</v>
      </c>
    </row>
    <row r="122" spans="178:217" ht="30" customHeight="1">
      <c r="FV122" s="869" t="s">
        <v>368</v>
      </c>
      <c r="FW122" s="857">
        <f>(FW103+FW85+FW67+FW50+FW30+FW13)/6</f>
        <v>66.395317789614523</v>
      </c>
      <c r="FX122" s="853"/>
      <c r="FY122" s="853">
        <f>(FY103+FY85+FY67+FY50+FY30+FY13)/6</f>
        <v>211.12001620328181</v>
      </c>
      <c r="FZ122" s="853">
        <f>(FZ103+FZ85+FZ67+FZ50+FZ30+FZ13)/6</f>
        <v>143.72604020007819</v>
      </c>
      <c r="GA122" s="853">
        <f>(GA103+GA85+GA67+GA50+GA30+GA13)/6</f>
        <v>76.452910506425667</v>
      </c>
      <c r="GB122" s="854"/>
      <c r="GM122" s="879" t="s">
        <v>369</v>
      </c>
      <c r="GN122" s="873">
        <f>FW14</f>
        <v>1.2631389084507044E-2</v>
      </c>
      <c r="GO122" s="880">
        <f>FW31</f>
        <v>1.2892728169014087E-2</v>
      </c>
      <c r="GP122" s="881">
        <f>FW51</f>
        <v>1.0611950704225355E-2</v>
      </c>
      <c r="GQ122" s="880">
        <f>FW68</f>
        <v>1.3748019718309861E-2</v>
      </c>
      <c r="GR122" s="880">
        <f>FW86</f>
        <v>1.7108998732394371E-2</v>
      </c>
      <c r="GS122" s="882">
        <f>FW104</f>
        <v>3.3308854225352118E-2</v>
      </c>
      <c r="GU122" s="877" t="s">
        <v>286</v>
      </c>
      <c r="GV122" s="789">
        <f t="shared" si="2"/>
        <v>545.03177984730735</v>
      </c>
      <c r="GW122" s="789">
        <f t="shared" si="2"/>
        <v>485.13001261169654</v>
      </c>
      <c r="GX122" s="789">
        <f t="shared" si="2"/>
        <v>422.48765784504934</v>
      </c>
      <c r="GY122" s="789">
        <f t="shared" si="2"/>
        <v>524.32114579938741</v>
      </c>
      <c r="GZ122" s="789">
        <f t="shared" si="2"/>
        <v>631.93091352271369</v>
      </c>
      <c r="HA122" s="873">
        <f>FW106</f>
        <v>1171.0644033386791</v>
      </c>
      <c r="HC122" s="877" t="s">
        <v>286</v>
      </c>
      <c r="HD122" s="876">
        <f t="shared" si="3"/>
        <v>0.16686161697765634</v>
      </c>
      <c r="HE122" s="876">
        <f t="shared" si="4"/>
        <v>0.12646218341530951</v>
      </c>
      <c r="HF122" s="876">
        <f t="shared" si="5"/>
        <v>0.10656432366936987</v>
      </c>
      <c r="HG122" s="876">
        <f t="shared" si="6"/>
        <v>0.10495869198266188</v>
      </c>
      <c r="HH122" s="876">
        <f t="shared" si="7"/>
        <v>0.10163288400726847</v>
      </c>
      <c r="HI122" s="876">
        <f t="shared" si="8"/>
        <v>9.9790239273665773E-2</v>
      </c>
    </row>
    <row r="123" spans="178:217" ht="29.25" customHeight="1">
      <c r="FV123" s="869" t="s">
        <v>369</v>
      </c>
      <c r="FW123" s="857">
        <f>(FW104+FW86+FW68+FW51+FW31+FW14)/6</f>
        <v>1.6716990105633805E-2</v>
      </c>
      <c r="FX123" s="853"/>
      <c r="FY123" s="853"/>
      <c r="FZ123" s="853"/>
      <c r="GA123" s="853"/>
      <c r="GB123" s="854"/>
      <c r="GM123" s="879" t="s">
        <v>286</v>
      </c>
      <c r="GN123" s="873">
        <f>FW16</f>
        <v>545.03177984730735</v>
      </c>
      <c r="GO123" s="873">
        <f>FW33</f>
        <v>485.13001261169654</v>
      </c>
      <c r="GP123" s="873">
        <f>FW53</f>
        <v>422.48765784504934</v>
      </c>
      <c r="GQ123" s="873">
        <f>FW70</f>
        <v>524.32114579938741</v>
      </c>
      <c r="GR123" s="873">
        <f>FW88</f>
        <v>631.93091352271369</v>
      </c>
      <c r="GS123" s="873">
        <f>FW106</f>
        <v>1171.0644033386791</v>
      </c>
      <c r="GU123" s="877" t="s">
        <v>365</v>
      </c>
      <c r="GV123" s="789">
        <f t="shared" si="2"/>
        <v>0.93003117367868571</v>
      </c>
      <c r="GW123" s="789">
        <f t="shared" si="2"/>
        <v>0.68025891812813311</v>
      </c>
      <c r="GX123" s="789">
        <f t="shared" si="2"/>
        <v>1.3681796617254653</v>
      </c>
      <c r="GY123" s="789">
        <f t="shared" si="2"/>
        <v>1.4746693967095119</v>
      </c>
      <c r="GZ123" s="789">
        <f t="shared" si="2"/>
        <v>1.6496303508929244</v>
      </c>
      <c r="HA123" s="873">
        <f>FW100</f>
        <v>2.1072937010473436</v>
      </c>
      <c r="HC123" s="877" t="s">
        <v>365</v>
      </c>
      <c r="HD123" s="878">
        <f t="shared" si="3"/>
        <v>2.847292785810198E-4</v>
      </c>
      <c r="HE123" s="878">
        <f t="shared" si="4"/>
        <v>1.7732777984832076E-4</v>
      </c>
      <c r="HF123" s="878">
        <f t="shared" si="5"/>
        <v>3.4509680366434382E-4</v>
      </c>
      <c r="HG123" s="878">
        <f t="shared" si="6"/>
        <v>2.9519955894495283E-4</v>
      </c>
      <c r="HH123" s="878">
        <f t="shared" si="7"/>
        <v>2.6530857490823486E-4</v>
      </c>
      <c r="HI123" s="878">
        <f t="shared" si="8"/>
        <v>1.7956940886246607E-4</v>
      </c>
    </row>
    <row r="124" spans="178:217" ht="33.75" customHeight="1">
      <c r="FV124" s="869" t="s">
        <v>819</v>
      </c>
      <c r="FW124" s="857">
        <f>(FW105+FW87+FW69+FW52+FW32+FW15)/6</f>
        <v>12.625100568224999</v>
      </c>
      <c r="FX124" s="853"/>
      <c r="FY124" s="853"/>
      <c r="FZ124" s="853"/>
      <c r="GA124" s="853"/>
      <c r="GB124" s="854"/>
      <c r="GM124" s="879" t="s">
        <v>365</v>
      </c>
      <c r="GN124" s="873">
        <f>FW10</f>
        <v>0.93003117367868571</v>
      </c>
      <c r="GO124" s="873">
        <f>FW27</f>
        <v>0.68025891812813311</v>
      </c>
      <c r="GP124" s="873">
        <f>FW47</f>
        <v>1.3681796617254653</v>
      </c>
      <c r="GQ124" s="873">
        <f>FW64</f>
        <v>1.4746693967095119</v>
      </c>
      <c r="GR124" s="873">
        <f>FW82</f>
        <v>1.6496303508929244</v>
      </c>
      <c r="GS124" s="873">
        <f>FW100</f>
        <v>2.1072937010473436</v>
      </c>
      <c r="GU124" s="877" t="s">
        <v>366</v>
      </c>
      <c r="GV124" s="789">
        <f t="shared" si="2"/>
        <v>219.25406770514508</v>
      </c>
      <c r="GW124" s="789">
        <f t="shared" si="2"/>
        <v>211.63005339929526</v>
      </c>
      <c r="GX124" s="789">
        <f t="shared" si="2"/>
        <v>164.20794448966288</v>
      </c>
      <c r="GY124" s="789">
        <f t="shared" si="2"/>
        <v>209.17571853857746</v>
      </c>
      <c r="GZ124" s="789">
        <f t="shared" si="2"/>
        <v>263.99220195871453</v>
      </c>
      <c r="HA124" s="873">
        <f>FW101</f>
        <v>508.60138697041515</v>
      </c>
      <c r="HC124" s="877" t="s">
        <v>366</v>
      </c>
      <c r="HD124" s="876">
        <f t="shared" si="3"/>
        <v>6.7124688172235561E-2</v>
      </c>
      <c r="HE124" s="876">
        <f t="shared" si="4"/>
        <v>5.5167064360940682E-2</v>
      </c>
      <c r="HF124" s="876">
        <f t="shared" si="5"/>
        <v>4.1418271565452795E-2</v>
      </c>
      <c r="HG124" s="876">
        <f t="shared" si="6"/>
        <v>4.1872829254044133E-2</v>
      </c>
      <c r="HH124" s="876">
        <f t="shared" si="7"/>
        <v>4.2457629886987723E-2</v>
      </c>
      <c r="HI124" s="876">
        <f t="shared" si="8"/>
        <v>4.3339592558700457E-2</v>
      </c>
    </row>
    <row r="125" spans="178:217" ht="33.75" customHeight="1">
      <c r="FV125" s="869" t="s">
        <v>286</v>
      </c>
      <c r="FW125" s="857">
        <f>(FW106+FW88+FW70+FW53+FW33+FW16)/6</f>
        <v>629.99431882747228</v>
      </c>
      <c r="FX125" s="853"/>
      <c r="FY125" s="853"/>
      <c r="FZ125" s="853"/>
      <c r="GA125" s="853"/>
      <c r="GB125" s="854"/>
      <c r="GM125" s="879" t="s">
        <v>366</v>
      </c>
      <c r="GN125" s="873">
        <f>FW11</f>
        <v>219.25406770514508</v>
      </c>
      <c r="GO125" s="873">
        <f>FW28</f>
        <v>211.63005339929526</v>
      </c>
      <c r="GP125" s="873">
        <f>FW48</f>
        <v>164.20794448966288</v>
      </c>
      <c r="GQ125" s="873">
        <f>FW65</f>
        <v>209.17571853857746</v>
      </c>
      <c r="GR125" s="873">
        <f>FW83</f>
        <v>263.99220195871453</v>
      </c>
      <c r="GS125" s="873">
        <f>FW101</f>
        <v>508.60138697041515</v>
      </c>
      <c r="GU125" s="877" t="s">
        <v>819</v>
      </c>
      <c r="GV125" s="789">
        <f t="shared" si="2"/>
        <v>9.539549673749999</v>
      </c>
      <c r="GW125" s="789">
        <f t="shared" si="2"/>
        <v>9.7369196669999987</v>
      </c>
      <c r="GX125" s="789">
        <f t="shared" si="2"/>
        <v>8.014417907727271</v>
      </c>
      <c r="GY125" s="789">
        <f t="shared" si="2"/>
        <v>10.382857826727271</v>
      </c>
      <c r="GZ125" s="789">
        <f t="shared" si="2"/>
        <v>12.921155558099997</v>
      </c>
      <c r="HA125" s="873">
        <f>FW105</f>
        <v>25.155702776045452</v>
      </c>
      <c r="HC125" s="877" t="s">
        <v>819</v>
      </c>
      <c r="HD125" s="876">
        <f t="shared" si="3"/>
        <v>2.9205355406001152E-3</v>
      </c>
      <c r="HE125" s="876">
        <f t="shared" si="4"/>
        <v>2.5381899466481294E-3</v>
      </c>
      <c r="HF125" s="876">
        <f t="shared" si="5"/>
        <v>2.0214815937981147E-3</v>
      </c>
      <c r="HG125" s="876">
        <f t="shared" si="6"/>
        <v>2.0784421632924176E-3</v>
      </c>
      <c r="HH125" s="876">
        <f t="shared" si="7"/>
        <v>2.0780978995879554E-3</v>
      </c>
      <c r="HI125" s="876">
        <f t="shared" si="8"/>
        <v>2.1435999522844361E-3</v>
      </c>
    </row>
    <row r="126" spans="178:217" ht="35.25" customHeight="1">
      <c r="FV126" s="869" t="s">
        <v>820</v>
      </c>
      <c r="FW126" s="857">
        <f>(FW107+FW89+FW71+FW54+FW34+FW17)/6</f>
        <v>28.171543657272732</v>
      </c>
      <c r="FX126" s="853"/>
      <c r="FY126" s="853"/>
      <c r="FZ126" s="853"/>
      <c r="GA126" s="853"/>
      <c r="GB126" s="854"/>
      <c r="GM126" s="879" t="s">
        <v>819</v>
      </c>
      <c r="GN126" s="873">
        <f>FW15</f>
        <v>9.539549673749999</v>
      </c>
      <c r="GO126" s="873">
        <f>FW32</f>
        <v>9.7369196669999987</v>
      </c>
      <c r="GP126" s="873">
        <f>FW52</f>
        <v>8.014417907727271</v>
      </c>
      <c r="GQ126" s="873">
        <f>FW69</f>
        <v>10.382857826727271</v>
      </c>
      <c r="GR126" s="873">
        <f>FW87</f>
        <v>12.921155558099997</v>
      </c>
      <c r="GS126" s="873">
        <f>FW105</f>
        <v>25.155702776045452</v>
      </c>
      <c r="GU126" s="877" t="s">
        <v>820</v>
      </c>
      <c r="GV126" s="789">
        <f>FW17</f>
        <v>20.355997066666671</v>
      </c>
      <c r="GW126" s="789">
        <f>FW34</f>
        <v>21.390465333333335</v>
      </c>
      <c r="GX126" s="789">
        <f>FW54</f>
        <v>19.198611456000013</v>
      </c>
      <c r="GY126" s="789">
        <f>FW71</f>
        <v>24.097861818181823</v>
      </c>
      <c r="GZ126" s="789">
        <f>FW89</f>
        <v>29.353255296000007</v>
      </c>
      <c r="HA126" s="873">
        <f>FW107</f>
        <v>54.633070973454529</v>
      </c>
      <c r="HC126" s="877" t="s">
        <v>820</v>
      </c>
      <c r="HD126" s="876">
        <f t="shared" si="3"/>
        <v>6.2319936402387569E-3</v>
      </c>
      <c r="HE126" s="876">
        <f t="shared" si="4"/>
        <v>5.5760000000000002E-3</v>
      </c>
      <c r="HF126" s="876">
        <f t="shared" si="5"/>
        <v>4.8424776610870909E-3</v>
      </c>
      <c r="HG126" s="876">
        <f t="shared" si="6"/>
        <v>4.823913886133885E-3</v>
      </c>
      <c r="HH126" s="876">
        <f t="shared" si="7"/>
        <v>4.7208578135604683E-3</v>
      </c>
      <c r="HI126" s="876">
        <f t="shared" si="8"/>
        <v>4.6554631915658052E-3</v>
      </c>
    </row>
    <row r="127" spans="178:217" ht="29.25" customHeight="1">
      <c r="FV127" s="869" t="s">
        <v>370</v>
      </c>
      <c r="FW127" s="857"/>
      <c r="FX127" s="853"/>
      <c r="FY127" s="853"/>
      <c r="FZ127" s="853"/>
      <c r="GA127" s="853"/>
      <c r="GB127" s="854">
        <f>(GB108+GB90+GB72+GB55+GB35+GB18)/6</f>
        <v>0.42342064532171708</v>
      </c>
      <c r="GM127" s="879" t="s">
        <v>820</v>
      </c>
      <c r="GN127" s="873">
        <f>FW17</f>
        <v>20.355997066666671</v>
      </c>
      <c r="GO127" s="873">
        <f>FW34</f>
        <v>21.390465333333335</v>
      </c>
      <c r="GP127" s="873">
        <f>FW54</f>
        <v>19.198611456000013</v>
      </c>
      <c r="GQ127" s="873">
        <f>FW71</f>
        <v>24.097861818181823</v>
      </c>
      <c r="GR127" s="873">
        <f>FW89</f>
        <v>29.353255296000007</v>
      </c>
      <c r="GS127" s="873">
        <f>FW107</f>
        <v>54.633070973454529</v>
      </c>
      <c r="GU127" s="883" t="s">
        <v>1025</v>
      </c>
      <c r="GV127" s="884">
        <f t="shared" ref="GV127:GZ129" si="12">GN128</f>
        <v>0.450981459935275</v>
      </c>
      <c r="GW127" s="884">
        <f t="shared" si="12"/>
        <v>0.34389602718446599</v>
      </c>
      <c r="GX127" s="884">
        <f t="shared" si="12"/>
        <v>0.17831888057899384</v>
      </c>
      <c r="GY127" s="884">
        <f t="shared" si="12"/>
        <v>0.33275078411297432</v>
      </c>
      <c r="GZ127" s="884">
        <f t="shared" si="12"/>
        <v>0.14655186516504853</v>
      </c>
      <c r="HA127" s="884">
        <f>HA128</f>
        <v>0.27859938782065313</v>
      </c>
      <c r="HC127" s="883" t="s">
        <v>1025</v>
      </c>
      <c r="HD127" s="885">
        <f t="shared" si="3"/>
        <v>1.3806808779632282E-4</v>
      </c>
      <c r="HE127" s="885">
        <f t="shared" si="4"/>
        <v>8.9645747191501759E-5</v>
      </c>
      <c r="HF127" s="885">
        <f t="shared" si="5"/>
        <v>4.4977481716989953E-5</v>
      </c>
      <c r="HG127" s="885">
        <f t="shared" si="6"/>
        <v>6.6610105917920987E-5</v>
      </c>
      <c r="HH127" s="885">
        <f t="shared" si="7"/>
        <v>2.3569805487657738E-5</v>
      </c>
      <c r="HI127" s="885">
        <f t="shared" si="8"/>
        <v>2.3740367731149811E-5</v>
      </c>
    </row>
    <row r="128" spans="178:217" ht="31.5" customHeight="1">
      <c r="FV128" s="886" t="s">
        <v>996</v>
      </c>
      <c r="FW128" s="887">
        <f>SUM(FW119:FW127)</f>
        <v>1001.3815705433556</v>
      </c>
      <c r="FX128" s="888">
        <f>FX121</f>
        <v>0.28851640079956847</v>
      </c>
      <c r="FY128" s="888">
        <f>FY122</f>
        <v>211.12001620328181</v>
      </c>
      <c r="FZ128" s="888">
        <f>FZ122</f>
        <v>143.72604020007819</v>
      </c>
      <c r="GA128" s="888">
        <f>GA122</f>
        <v>76.452910506425667</v>
      </c>
      <c r="GB128" s="889">
        <f>GB127</f>
        <v>0.42342064532171708</v>
      </c>
      <c r="GM128" s="883" t="s">
        <v>1025</v>
      </c>
      <c r="GN128" s="890">
        <f t="shared" ref="GN128:GS128" si="13">GN129</f>
        <v>0.450981459935275</v>
      </c>
      <c r="GO128" s="890">
        <f t="shared" si="13"/>
        <v>0.34389602718446599</v>
      </c>
      <c r="GP128" s="890">
        <f t="shared" si="13"/>
        <v>0.17831888057899384</v>
      </c>
      <c r="GQ128" s="890">
        <f t="shared" si="13"/>
        <v>0.33275078411297432</v>
      </c>
      <c r="GR128" s="890">
        <f t="shared" si="13"/>
        <v>0.14655186516504853</v>
      </c>
      <c r="GS128" s="890">
        <f t="shared" si="13"/>
        <v>0.27859938782065313</v>
      </c>
      <c r="GU128" s="877" t="s">
        <v>367</v>
      </c>
      <c r="GV128" s="789">
        <f t="shared" si="12"/>
        <v>0.450981459935275</v>
      </c>
      <c r="GW128" s="789">
        <f t="shared" si="12"/>
        <v>0.34389602718446599</v>
      </c>
      <c r="GX128" s="789">
        <f t="shared" si="12"/>
        <v>0.17831888057899384</v>
      </c>
      <c r="GY128" s="789">
        <f t="shared" si="12"/>
        <v>0.33275078411297432</v>
      </c>
      <c r="GZ128" s="789">
        <f t="shared" si="12"/>
        <v>0.14655186516504853</v>
      </c>
      <c r="HA128" s="789">
        <f>FX102</f>
        <v>0.27859938782065313</v>
      </c>
      <c r="HC128" s="877" t="s">
        <v>367</v>
      </c>
      <c r="HD128" s="878">
        <f t="shared" si="3"/>
        <v>1.3806808779632282E-4</v>
      </c>
      <c r="HE128" s="878">
        <f t="shared" si="4"/>
        <v>8.9645747191501759E-5</v>
      </c>
      <c r="HF128" s="878">
        <f t="shared" si="5"/>
        <v>4.4977481716989953E-5</v>
      </c>
      <c r="HG128" s="878">
        <f t="shared" si="6"/>
        <v>6.6610105917920987E-5</v>
      </c>
      <c r="HH128" s="878">
        <f t="shared" si="7"/>
        <v>2.3569805487657738E-5</v>
      </c>
      <c r="HI128" s="878">
        <f t="shared" si="8"/>
        <v>2.3740367731149811E-5</v>
      </c>
    </row>
    <row r="129" spans="178:217" ht="29.25" customHeight="1">
      <c r="FV129" s="808" t="s">
        <v>997</v>
      </c>
      <c r="FW129" s="4825">
        <f>FW128+FX128+FY128+FZ128+GA128+GB128</f>
        <v>1433.3924744992628</v>
      </c>
      <c r="FX129" s="4826"/>
      <c r="FY129" s="4826"/>
      <c r="FZ129" s="4826"/>
      <c r="GA129" s="4826"/>
      <c r="GB129" s="4827"/>
      <c r="GM129" s="879" t="s">
        <v>367</v>
      </c>
      <c r="GN129" s="873">
        <f>FX12</f>
        <v>0.450981459935275</v>
      </c>
      <c r="GO129" s="873">
        <f>FX29</f>
        <v>0.34389602718446599</v>
      </c>
      <c r="GP129" s="891">
        <f>FX49</f>
        <v>0.17831888057899384</v>
      </c>
      <c r="GQ129" s="873">
        <f>FX66</f>
        <v>0.33275078411297432</v>
      </c>
      <c r="GR129" s="873">
        <f>FX84</f>
        <v>0.14655186516504853</v>
      </c>
      <c r="GS129" s="873">
        <f>FX102</f>
        <v>0.27859938782065313</v>
      </c>
      <c r="GU129" s="892" t="s">
        <v>1026</v>
      </c>
      <c r="GV129" s="884">
        <f t="shared" si="12"/>
        <v>0.81985803333333318</v>
      </c>
      <c r="GW129" s="884">
        <f t="shared" si="12"/>
        <v>0.48143891666666661</v>
      </c>
      <c r="GX129" s="884">
        <f t="shared" si="12"/>
        <v>0.31662948721212114</v>
      </c>
      <c r="GY129" s="884">
        <f t="shared" si="12"/>
        <v>0.3166336477272727</v>
      </c>
      <c r="GZ129" s="884">
        <f t="shared" si="12"/>
        <v>0.31213255599999989</v>
      </c>
      <c r="HA129" s="884">
        <f>GB108</f>
        <v>0.29383123099090908</v>
      </c>
      <c r="HC129" s="892" t="s">
        <v>1026</v>
      </c>
      <c r="HD129" s="885">
        <f t="shared" si="3"/>
        <v>2.5099974385428873E-4</v>
      </c>
      <c r="HE129" s="885">
        <f t="shared" si="4"/>
        <v>1.2549999999999999E-4</v>
      </c>
      <c r="HF129" s="885">
        <f t="shared" si="5"/>
        <v>7.986365171148742E-5</v>
      </c>
      <c r="HG129" s="885">
        <f t="shared" si="6"/>
        <v>6.3383774942903155E-5</v>
      </c>
      <c r="HH129" s="885">
        <f t="shared" si="7"/>
        <v>5.0199999999999987E-5</v>
      </c>
      <c r="HI129" s="885">
        <f t="shared" si="8"/>
        <v>2.5038323052996615E-5</v>
      </c>
    </row>
    <row r="130" spans="178:217" ht="27.75" customHeight="1">
      <c r="GM130" s="892" t="s">
        <v>1026</v>
      </c>
      <c r="GN130" s="890">
        <f>GB18</f>
        <v>0.81985803333333318</v>
      </c>
      <c r="GO130" s="890">
        <f>GB35</f>
        <v>0.48143891666666661</v>
      </c>
      <c r="GP130" s="890">
        <f>GB55</f>
        <v>0.31662948721212114</v>
      </c>
      <c r="GQ130" s="890">
        <f>GB72</f>
        <v>0.3166336477272727</v>
      </c>
      <c r="GR130" s="890">
        <f>GB90</f>
        <v>0.31213255599999989</v>
      </c>
      <c r="GS130" s="890">
        <f>GB108</f>
        <v>0.29383123099090908</v>
      </c>
      <c r="GU130" s="893" t="s">
        <v>997</v>
      </c>
      <c r="GV130" s="894">
        <f t="shared" ref="GV130:HA130" si="14">GV116+GV117+GV118+GV119+GV127+GV129</f>
        <v>1170.640967811272</v>
      </c>
      <c r="GW130" s="894">
        <f t="shared" si="14"/>
        <v>1116.4744981505023</v>
      </c>
      <c r="GX130" s="894">
        <f t="shared" si="14"/>
        <v>923.02022770257554</v>
      </c>
      <c r="GY130" s="894">
        <f t="shared" si="14"/>
        <v>1179.4294367523448</v>
      </c>
      <c r="GZ130" s="894">
        <f t="shared" si="14"/>
        <v>1449.3824929692398</v>
      </c>
      <c r="HA130" s="894">
        <f t="shared" si="14"/>
        <v>2761.4072236096408</v>
      </c>
      <c r="HC130" s="893" t="s">
        <v>1027</v>
      </c>
      <c r="HD130" s="895">
        <f t="shared" ref="HD130:HI130" si="15">HD116+HD117+HD118+HD119+HD127+HD129</f>
        <v>0.35839202778964779</v>
      </c>
      <c r="HE130" s="895">
        <f t="shared" si="15"/>
        <v>0.29103910105152769</v>
      </c>
      <c r="HF130" s="895">
        <f t="shared" si="15"/>
        <v>0.23281396384447145</v>
      </c>
      <c r="HG130" s="895">
        <f t="shared" si="15"/>
        <v>0.23609837588876886</v>
      </c>
      <c r="HH130" s="895">
        <f t="shared" si="15"/>
        <v>0.23310289089823696</v>
      </c>
      <c r="HI130" s="895">
        <f t="shared" si="15"/>
        <v>0.23530856782121923</v>
      </c>
    </row>
    <row r="131" spans="178:217" ht="42.75" customHeight="1">
      <c r="GM131" s="893" t="s">
        <v>997</v>
      </c>
      <c r="GN131" s="884">
        <f t="shared" ref="GN131:GS131" si="16">GN116+GN121+GN128+GN130</f>
        <v>1170.640967811272</v>
      </c>
      <c r="GO131" s="884">
        <f t="shared" si="16"/>
        <v>1116.4744981505021</v>
      </c>
      <c r="GP131" s="884">
        <f t="shared" si="16"/>
        <v>923.02022770257554</v>
      </c>
      <c r="GQ131" s="884">
        <f t="shared" si="16"/>
        <v>1179.4294367523448</v>
      </c>
      <c r="GR131" s="884">
        <f t="shared" si="16"/>
        <v>1449.3824929692398</v>
      </c>
      <c r="GS131" s="884">
        <f t="shared" si="16"/>
        <v>2761.4072236096408</v>
      </c>
      <c r="GU131" s="896" t="s">
        <v>1028</v>
      </c>
      <c r="GV131" s="752">
        <v>3266.3700000000003</v>
      </c>
      <c r="GW131" s="897">
        <v>3836.1666666666665</v>
      </c>
      <c r="GX131" s="897">
        <v>3964.6257142857121</v>
      </c>
      <c r="GY131" s="897">
        <v>4995.5</v>
      </c>
      <c r="GZ131" s="752">
        <v>6217.78</v>
      </c>
      <c r="HA131" s="897">
        <v>11735.26</v>
      </c>
      <c r="HC131" s="898"/>
      <c r="HD131" s="752"/>
      <c r="HE131" s="897"/>
      <c r="HF131" s="897"/>
      <c r="HG131" s="897"/>
      <c r="HH131" s="752"/>
      <c r="HI131" s="897"/>
    </row>
    <row r="132" spans="178:217" ht="26.25" customHeight="1">
      <c r="GM132" s="896" t="s">
        <v>1028</v>
      </c>
      <c r="GN132" s="752">
        <v>3266.3700000000003</v>
      </c>
      <c r="GO132" s="897">
        <v>3836.1666666666665</v>
      </c>
      <c r="GP132" s="897">
        <v>3964.6257142857121</v>
      </c>
      <c r="GQ132" s="897">
        <v>4995.5</v>
      </c>
      <c r="GR132" s="752">
        <v>6217.78</v>
      </c>
      <c r="GS132" s="897">
        <v>11735.26</v>
      </c>
      <c r="GU132" s="899" t="s">
        <v>1027</v>
      </c>
      <c r="GV132" s="900">
        <f t="shared" ref="GV132:HA132" si="17">GV130/GV131</f>
        <v>0.35839202778964779</v>
      </c>
      <c r="GW132" s="900">
        <f t="shared" si="17"/>
        <v>0.29103910105152775</v>
      </c>
      <c r="GX132" s="900">
        <f t="shared" si="17"/>
        <v>0.23281396384447145</v>
      </c>
      <c r="GY132" s="900">
        <f t="shared" si="17"/>
        <v>0.23609837588876886</v>
      </c>
      <c r="GZ132" s="900">
        <f t="shared" si="17"/>
        <v>0.23310289089823696</v>
      </c>
      <c r="HA132" s="900">
        <f t="shared" si="17"/>
        <v>0.2353085678212192</v>
      </c>
      <c r="HC132" s="901"/>
      <c r="HD132" s="900"/>
      <c r="HE132" s="900"/>
      <c r="HF132" s="900"/>
      <c r="HG132" s="900"/>
      <c r="HH132" s="900"/>
      <c r="HI132" s="900"/>
    </row>
    <row r="133" spans="178:217" ht="27.75" customHeight="1">
      <c r="GM133" s="899" t="s">
        <v>1027</v>
      </c>
      <c r="GN133" s="900">
        <f t="shared" ref="GN133:GS133" si="18">GN131/GN132</f>
        <v>0.35839202778964779</v>
      </c>
      <c r="GO133" s="900">
        <f t="shared" si="18"/>
        <v>0.29103910105152769</v>
      </c>
      <c r="GP133" s="900">
        <f t="shared" si="18"/>
        <v>0.23281396384447145</v>
      </c>
      <c r="GQ133" s="900">
        <f t="shared" si="18"/>
        <v>0.23609837588876886</v>
      </c>
      <c r="GR133" s="900">
        <f t="shared" si="18"/>
        <v>0.23310289089823696</v>
      </c>
      <c r="GS133" s="900">
        <f t="shared" si="18"/>
        <v>0.2353085678212192</v>
      </c>
    </row>
    <row r="134" spans="178:217" ht="18">
      <c r="GU134" s="859" t="s">
        <v>1015</v>
      </c>
      <c r="GV134" s="4820" t="s">
        <v>1016</v>
      </c>
      <c r="GW134" s="4821"/>
      <c r="GX134" s="4821"/>
      <c r="GY134" s="4821"/>
      <c r="GZ134" s="4821"/>
      <c r="HA134" s="4821"/>
      <c r="HC134" s="4828" t="s">
        <v>1015</v>
      </c>
      <c r="HD134" s="4820" t="s">
        <v>1016</v>
      </c>
      <c r="HE134" s="4821"/>
      <c r="HF134" s="4821"/>
      <c r="HG134" s="4821"/>
      <c r="HH134" s="4821"/>
      <c r="HI134" s="4821"/>
    </row>
    <row r="135" spans="178:217" ht="18">
      <c r="GU135" s="860" t="s">
        <v>1018</v>
      </c>
      <c r="GV135" s="861">
        <v>1</v>
      </c>
      <c r="GW135" s="861">
        <v>2</v>
      </c>
      <c r="GX135" s="861">
        <v>3</v>
      </c>
      <c r="GY135" s="861">
        <v>4</v>
      </c>
      <c r="GZ135" s="861">
        <v>5</v>
      </c>
      <c r="HA135" s="861">
        <v>10</v>
      </c>
      <c r="HC135" s="4829"/>
      <c r="HD135" s="861">
        <v>1</v>
      </c>
      <c r="HE135" s="861">
        <v>2</v>
      </c>
      <c r="HF135" s="861">
        <v>3</v>
      </c>
      <c r="HG135" s="861">
        <v>4</v>
      </c>
      <c r="HH135" s="861">
        <v>5</v>
      </c>
      <c r="HI135" s="861">
        <v>10</v>
      </c>
    </row>
    <row r="136" spans="178:217" ht="18">
      <c r="GU136" s="862" t="s">
        <v>1021</v>
      </c>
      <c r="GV136" s="864">
        <f>FY13</f>
        <v>159.154903172974</v>
      </c>
      <c r="GW136" s="864">
        <f>FY30</f>
        <v>164.60789831344192</v>
      </c>
      <c r="GX136" s="864">
        <f>FY50</f>
        <v>127.45762946987378</v>
      </c>
      <c r="GY136" s="864">
        <f>FY67</f>
        <v>174.06819499039631</v>
      </c>
      <c r="GZ136" s="864">
        <f>FY85</f>
        <v>216.48676748173375</v>
      </c>
      <c r="HA136" s="865">
        <f>FY103</f>
        <v>424.94470379127125</v>
      </c>
      <c r="HC136" s="862" t="s">
        <v>1021</v>
      </c>
      <c r="HD136" s="866">
        <f>GV136/$GV$151</f>
        <v>4.8725313780427194E-2</v>
      </c>
      <c r="HE136" s="866">
        <f>GW136/$GW$151</f>
        <v>4.2909475165340903E-2</v>
      </c>
      <c r="HF136" s="866">
        <f>GX136/$GX$151</f>
        <v>3.2148716841190444E-2</v>
      </c>
      <c r="HG136" s="866">
        <f>GY136/$GY$151</f>
        <v>3.4844999497627129E-2</v>
      </c>
      <c r="HH136" s="866">
        <f>GZ136/$GZ$151</f>
        <v>3.4817373320016755E-2</v>
      </c>
      <c r="HI136" s="866">
        <f>HA136/$HA$151</f>
        <v>3.621093216437226E-2</v>
      </c>
    </row>
    <row r="137" spans="178:217" ht="18">
      <c r="GU137" s="862" t="s">
        <v>1022</v>
      </c>
      <c r="GV137" s="864">
        <f>FZ13</f>
        <v>108.34929071553773</v>
      </c>
      <c r="GW137" s="864">
        <f>FZ30</f>
        <v>112.06157443389006</v>
      </c>
      <c r="GX137" s="864">
        <f>FZ50</f>
        <v>86.770457422449681</v>
      </c>
      <c r="GY137" s="864">
        <f>FZ67</f>
        <v>118.5019442526731</v>
      </c>
      <c r="GZ137" s="864">
        <f>FZ85</f>
        <v>147.37961092189877</v>
      </c>
      <c r="HA137" s="865">
        <f>FZ103</f>
        <v>289.29336345401987</v>
      </c>
      <c r="HC137" s="862" t="s">
        <v>1022</v>
      </c>
      <c r="HD137" s="866">
        <f t="shared" ref="HD137:HD149" si="19">GV137/$GV$151</f>
        <v>3.3171162702185522E-2</v>
      </c>
      <c r="HE137" s="866">
        <f t="shared" ref="HE137:HE149" si="20">GW137/$GW$151</f>
        <v>2.9211862823275855E-2</v>
      </c>
      <c r="HF137" s="866">
        <f t="shared" ref="HF137:HF150" si="21">GX137/$GX$151</f>
        <v>2.1886166229964713E-2</v>
      </c>
      <c r="HG137" s="866">
        <f t="shared" ref="HG137:HG150" si="22">GY137/$GY$151</f>
        <v>2.3721738415108218E-2</v>
      </c>
      <c r="HH137" s="866">
        <f t="shared" ref="HH137:HH150" si="23">GZ137/$GZ$151</f>
        <v>2.3702931097899699E-2</v>
      </c>
      <c r="HI137" s="866">
        <f t="shared" ref="HI137:HI150" si="24">HA137/$HA$151</f>
        <v>2.4651636474523776E-2</v>
      </c>
    </row>
    <row r="138" spans="178:217" ht="18">
      <c r="GU138" s="862" t="s">
        <v>1023</v>
      </c>
      <c r="GV138" s="864">
        <f>GA13</f>
        <v>57.634779438564095</v>
      </c>
      <c r="GW138" s="864">
        <f>GA30</f>
        <v>59.609473060530981</v>
      </c>
      <c r="GX138" s="864">
        <f>GA50</f>
        <v>46.156242854011047</v>
      </c>
      <c r="GY138" s="864">
        <f>GA67</f>
        <v>63.035331149282797</v>
      </c>
      <c r="GZ138" s="864">
        <f>GA85</f>
        <v>78.396372630863254</v>
      </c>
      <c r="HA138" s="865">
        <f>GA103</f>
        <v>153.8852639053018</v>
      </c>
      <c r="HC138" s="862" t="s">
        <v>1023</v>
      </c>
      <c r="HD138" s="866">
        <f t="shared" si="19"/>
        <v>1.7644902273338321E-2</v>
      </c>
      <c r="HE138" s="866">
        <f t="shared" si="20"/>
        <v>1.5538812111186771E-2</v>
      </c>
      <c r="HF138" s="866">
        <f t="shared" si="21"/>
        <v>1.1642017728860643E-2</v>
      </c>
      <c r="HG138" s="866">
        <f>GY138/$GY$151</f>
        <v>1.2618422810385907E-2</v>
      </c>
      <c r="HH138" s="866">
        <f t="shared" si="23"/>
        <v>1.2608418540196542E-2</v>
      </c>
      <c r="HI138" s="866">
        <f t="shared" si="24"/>
        <v>1.3113068130173664E-2</v>
      </c>
    </row>
    <row r="139" spans="178:217" ht="18">
      <c r="GU139" s="862" t="s">
        <v>1024</v>
      </c>
      <c r="GV139" s="864">
        <f t="shared" ref="GV139:HA139" si="25">SUM(GV140:GV146)</f>
        <v>844.23115499092751</v>
      </c>
      <c r="GW139" s="864">
        <f t="shared" si="25"/>
        <v>779.3702173987881</v>
      </c>
      <c r="GX139" s="864">
        <f t="shared" si="25"/>
        <v>662.14094958844987</v>
      </c>
      <c r="GY139" s="864">
        <f t="shared" si="25"/>
        <v>823.17458192815241</v>
      </c>
      <c r="GZ139" s="864">
        <f t="shared" si="25"/>
        <v>1006.661057513579</v>
      </c>
      <c r="HA139" s="864">
        <f t="shared" si="25"/>
        <v>1892.7114618402366</v>
      </c>
      <c r="HC139" s="862" t="s">
        <v>1024</v>
      </c>
      <c r="HD139" s="866">
        <f t="shared" si="19"/>
        <v>0.25846158120204615</v>
      </c>
      <c r="HE139" s="866">
        <f t="shared" si="20"/>
        <v>0.20316380520453267</v>
      </c>
      <c r="HF139" s="866">
        <f t="shared" si="21"/>
        <v>0.16701222191102716</v>
      </c>
      <c r="HG139" s="866">
        <f t="shared" si="22"/>
        <v>0.16478322128478678</v>
      </c>
      <c r="HH139" s="866">
        <f t="shared" si="23"/>
        <v>0.1619003981346363</v>
      </c>
      <c r="HI139" s="866">
        <f t="shared" si="24"/>
        <v>0.16128415236136537</v>
      </c>
    </row>
    <row r="140" spans="178:217" ht="17.5">
      <c r="GU140" s="874" t="s">
        <v>368</v>
      </c>
      <c r="GV140" s="875">
        <f>FW13</f>
        <v>49.107098135295232</v>
      </c>
      <c r="GW140" s="875">
        <f>FW30</f>
        <v>50.789614741165764</v>
      </c>
      <c r="GX140" s="875">
        <f>FW50</f>
        <v>46.853526277580592</v>
      </c>
      <c r="GY140" s="875">
        <f>FW67</f>
        <v>53.708580528850618</v>
      </c>
      <c r="GZ140" s="875">
        <f>FW85</f>
        <v>66.796791828425356</v>
      </c>
      <c r="HA140" s="875">
        <f>FW103</f>
        <v>131.11629522636952</v>
      </c>
      <c r="HC140" s="874" t="s">
        <v>368</v>
      </c>
      <c r="HD140" s="875">
        <f t="shared" si="19"/>
        <v>1.5034150489777713E-2</v>
      </c>
      <c r="HE140" s="875">
        <f t="shared" si="20"/>
        <v>1.323967886549049E-2</v>
      </c>
      <c r="HF140" s="875">
        <f t="shared" si="21"/>
        <v>1.1817893958754684E-2</v>
      </c>
      <c r="HG140" s="875">
        <f t="shared" si="22"/>
        <v>1.0751392358893127E-2</v>
      </c>
      <c r="HH140" s="875">
        <f t="shared" si="23"/>
        <v>1.0742868327349208E-2</v>
      </c>
      <c r="HI140" s="875">
        <f t="shared" si="24"/>
        <v>1.1172849619554191E-2</v>
      </c>
    </row>
    <row r="141" spans="178:217" ht="17.5">
      <c r="GU141" s="877" t="s">
        <v>369</v>
      </c>
      <c r="GV141" s="875">
        <f>FW14</f>
        <v>1.2631389084507044E-2</v>
      </c>
      <c r="GW141" s="875">
        <f>FW31</f>
        <v>1.2892728169014087E-2</v>
      </c>
      <c r="GX141" s="875">
        <f>FW51</f>
        <v>1.0611950704225355E-2</v>
      </c>
      <c r="GY141" s="875">
        <f>FW68</f>
        <v>1.3748019718309861E-2</v>
      </c>
      <c r="GZ141" s="875">
        <f>FW86</f>
        <v>1.7108998732394371E-2</v>
      </c>
      <c r="HA141" s="868">
        <f>FW104</f>
        <v>3.3308854225352118E-2</v>
      </c>
      <c r="HC141" s="877" t="s">
        <v>369</v>
      </c>
      <c r="HD141" s="878">
        <f t="shared" si="19"/>
        <v>3.867102956648219E-6</v>
      </c>
      <c r="HE141" s="878">
        <f t="shared" si="20"/>
        <v>3.3608362955243741E-6</v>
      </c>
      <c r="HF141" s="878">
        <f t="shared" si="21"/>
        <v>2.6766589002304498E-6</v>
      </c>
      <c r="HG141" s="878">
        <f t="shared" si="22"/>
        <v>2.7520808163967292E-6</v>
      </c>
      <c r="HH141" s="878">
        <f t="shared" si="23"/>
        <v>2.7516249742503548E-6</v>
      </c>
      <c r="HI141" s="878">
        <f t="shared" si="24"/>
        <v>2.8383567322200032E-6</v>
      </c>
    </row>
    <row r="142" spans="178:217" ht="17.5">
      <c r="GU142" s="877" t="s">
        <v>286</v>
      </c>
      <c r="GV142" s="789">
        <f>FW16</f>
        <v>545.03177984730735</v>
      </c>
      <c r="GW142" s="789">
        <f>FW33</f>
        <v>485.13001261169654</v>
      </c>
      <c r="GX142" s="789">
        <f>FW53</f>
        <v>422.48765784504934</v>
      </c>
      <c r="GY142" s="789">
        <f>FW70</f>
        <v>524.32114579938741</v>
      </c>
      <c r="GZ142" s="789">
        <f>FW88</f>
        <v>631.93091352271369</v>
      </c>
      <c r="HA142" s="873">
        <f>FW106</f>
        <v>1171.0644033386791</v>
      </c>
      <c r="HC142" s="877" t="s">
        <v>286</v>
      </c>
      <c r="HD142" s="875">
        <f t="shared" si="19"/>
        <v>0.16686161697765634</v>
      </c>
      <c r="HE142" s="875">
        <f t="shared" si="20"/>
        <v>0.12646218341530951</v>
      </c>
      <c r="HF142" s="875">
        <f t="shared" si="21"/>
        <v>0.10656432366936987</v>
      </c>
      <c r="HG142" s="875">
        <f t="shared" si="22"/>
        <v>0.10495869198266188</v>
      </c>
      <c r="HH142" s="875">
        <f t="shared" si="23"/>
        <v>0.10163288400726847</v>
      </c>
      <c r="HI142" s="875">
        <f t="shared" si="24"/>
        <v>9.9790239273665773E-2</v>
      </c>
    </row>
    <row r="143" spans="178:217" ht="17.5">
      <c r="GU143" s="877" t="s">
        <v>365</v>
      </c>
      <c r="GV143" s="789">
        <f>FW10</f>
        <v>0.93003117367868571</v>
      </c>
      <c r="GW143" s="789">
        <f>FW27</f>
        <v>0.68025891812813311</v>
      </c>
      <c r="GX143" s="789">
        <f>FW47</f>
        <v>1.3681796617254653</v>
      </c>
      <c r="GY143" s="789">
        <f>FW64</f>
        <v>1.4746693967095119</v>
      </c>
      <c r="GZ143" s="789">
        <f>FW82</f>
        <v>1.6496303508929244</v>
      </c>
      <c r="HA143" s="873">
        <f>FW100</f>
        <v>2.1072937010473436</v>
      </c>
      <c r="HC143" s="877" t="s">
        <v>365</v>
      </c>
      <c r="HD143" s="878">
        <f t="shared" si="19"/>
        <v>2.847292785810198E-4</v>
      </c>
      <c r="HE143" s="878">
        <f t="shared" si="20"/>
        <v>1.7732777984832076E-4</v>
      </c>
      <c r="HF143" s="878">
        <f t="shared" si="21"/>
        <v>3.4509680366434382E-4</v>
      </c>
      <c r="HG143" s="878">
        <f t="shared" si="22"/>
        <v>2.9519955894495283E-4</v>
      </c>
      <c r="HH143" s="878">
        <f t="shared" si="23"/>
        <v>2.6530857490823486E-4</v>
      </c>
      <c r="HI143" s="878">
        <f t="shared" si="24"/>
        <v>1.7956940886246607E-4</v>
      </c>
    </row>
    <row r="144" spans="178:217" ht="17.5">
      <c r="GU144" s="877" t="s">
        <v>366</v>
      </c>
      <c r="GV144" s="789">
        <f>FW11</f>
        <v>219.25406770514508</v>
      </c>
      <c r="GW144" s="789">
        <f>FW28</f>
        <v>211.63005339929526</v>
      </c>
      <c r="GX144" s="789">
        <f>FW48</f>
        <v>164.20794448966288</v>
      </c>
      <c r="GY144" s="789">
        <f>FW65</f>
        <v>209.17571853857746</v>
      </c>
      <c r="GZ144" s="789">
        <f>FW83</f>
        <v>263.99220195871453</v>
      </c>
      <c r="HA144" s="873">
        <f>FW101</f>
        <v>508.60138697041515</v>
      </c>
      <c r="HC144" s="877" t="s">
        <v>366</v>
      </c>
      <c r="HD144" s="875">
        <f t="shared" si="19"/>
        <v>6.7124688172235561E-2</v>
      </c>
      <c r="HE144" s="875">
        <f t="shared" si="20"/>
        <v>5.5167064360940682E-2</v>
      </c>
      <c r="HF144" s="875">
        <f t="shared" si="21"/>
        <v>4.1418271565452795E-2</v>
      </c>
      <c r="HG144" s="875">
        <f t="shared" si="22"/>
        <v>4.1872829254044133E-2</v>
      </c>
      <c r="HH144" s="875">
        <f t="shared" si="23"/>
        <v>4.2457629886987723E-2</v>
      </c>
      <c r="HI144" s="875">
        <f t="shared" si="24"/>
        <v>4.3339592558700457E-2</v>
      </c>
    </row>
    <row r="145" spans="203:217" ht="17.5">
      <c r="GU145" s="877" t="s">
        <v>820</v>
      </c>
      <c r="GV145" s="789">
        <f>FW17</f>
        <v>20.355997066666671</v>
      </c>
      <c r="GW145" s="789">
        <f>FW34</f>
        <v>21.390465333333335</v>
      </c>
      <c r="GX145" s="789">
        <f>FW54</f>
        <v>19.198611456000013</v>
      </c>
      <c r="GY145" s="789">
        <f>FW71</f>
        <v>24.097861818181823</v>
      </c>
      <c r="GZ145" s="789">
        <f>FW89</f>
        <v>29.353255296000007</v>
      </c>
      <c r="HA145" s="873">
        <f>FW107</f>
        <v>54.633070973454529</v>
      </c>
      <c r="HC145" s="877" t="s">
        <v>820</v>
      </c>
      <c r="HD145" s="875">
        <f t="shared" si="19"/>
        <v>6.2319936402387569E-3</v>
      </c>
      <c r="HE145" s="875">
        <f t="shared" si="20"/>
        <v>5.5760000000000002E-3</v>
      </c>
      <c r="HF145" s="876">
        <f t="shared" si="21"/>
        <v>4.8424776610870909E-3</v>
      </c>
      <c r="HG145" s="876">
        <f t="shared" si="22"/>
        <v>4.823913886133885E-3</v>
      </c>
      <c r="HH145" s="876">
        <f t="shared" si="23"/>
        <v>4.7208578135604683E-3</v>
      </c>
      <c r="HI145" s="876">
        <f t="shared" si="24"/>
        <v>4.6554631915658052E-3</v>
      </c>
    </row>
    <row r="146" spans="203:217" ht="17.5">
      <c r="GU146" s="877" t="s">
        <v>819</v>
      </c>
      <c r="GV146" s="789">
        <f>FW15</f>
        <v>9.539549673749999</v>
      </c>
      <c r="GW146" s="789">
        <f>FW32</f>
        <v>9.7369196669999987</v>
      </c>
      <c r="GX146" s="789">
        <f>FW52</f>
        <v>8.014417907727271</v>
      </c>
      <c r="GY146" s="789">
        <f>FW69</f>
        <v>10.382857826727271</v>
      </c>
      <c r="GZ146" s="789">
        <f>FW87</f>
        <v>12.921155558099997</v>
      </c>
      <c r="HA146" s="873">
        <f>FW105</f>
        <v>25.155702776045452</v>
      </c>
      <c r="HC146" s="877" t="s">
        <v>819</v>
      </c>
      <c r="HD146" s="878">
        <f t="shared" si="19"/>
        <v>2.9205355406001152E-3</v>
      </c>
      <c r="HE146" s="878">
        <f t="shared" si="20"/>
        <v>2.5381899466481294E-3</v>
      </c>
      <c r="HF146" s="878">
        <f t="shared" si="21"/>
        <v>2.0214815937981147E-3</v>
      </c>
      <c r="HG146" s="878">
        <f t="shared" si="22"/>
        <v>2.0784421632924176E-3</v>
      </c>
      <c r="HH146" s="878">
        <f t="shared" si="23"/>
        <v>2.0780978995879554E-3</v>
      </c>
      <c r="HI146" s="878">
        <f t="shared" si="24"/>
        <v>2.1435999522844361E-3</v>
      </c>
    </row>
    <row r="147" spans="203:217" ht="18">
      <c r="GU147" s="883" t="s">
        <v>1025</v>
      </c>
      <c r="GV147" s="884">
        <v>0.479615203423229</v>
      </c>
      <c r="GW147" s="884">
        <v>0.3657306955771305</v>
      </c>
      <c r="GX147" s="884">
        <f>GX148</f>
        <v>0.17831888057899384</v>
      </c>
      <c r="GY147" s="884">
        <f>GY148</f>
        <v>0.33275078411297432</v>
      </c>
      <c r="GZ147" s="884">
        <f>GZ148</f>
        <v>0.14655186516504853</v>
      </c>
      <c r="HA147" s="884">
        <f>HA148</f>
        <v>0.27859938782065313</v>
      </c>
      <c r="HC147" s="883" t="s">
        <v>1025</v>
      </c>
      <c r="HD147" s="885">
        <f t="shared" si="19"/>
        <v>1.4683431559291474E-4</v>
      </c>
      <c r="HE147" s="885">
        <f t="shared" si="20"/>
        <v>9.5337540663978064E-5</v>
      </c>
      <c r="HF147" s="885">
        <f t="shared" si="21"/>
        <v>4.4977481716989953E-5</v>
      </c>
      <c r="HG147" s="885">
        <f t="shared" si="22"/>
        <v>6.6610105917920987E-5</v>
      </c>
      <c r="HH147" s="885">
        <f t="shared" si="23"/>
        <v>2.3569805487657738E-5</v>
      </c>
      <c r="HI147" s="885">
        <f t="shared" si="24"/>
        <v>2.3740367731149811E-5</v>
      </c>
    </row>
    <row r="148" spans="203:217" ht="17.5">
      <c r="GU148" s="877" t="s">
        <v>367</v>
      </c>
      <c r="GV148" s="789">
        <f>FX12</f>
        <v>0.450981459935275</v>
      </c>
      <c r="GW148" s="789">
        <f>GW147</f>
        <v>0.3657306955771305</v>
      </c>
      <c r="GX148" s="789">
        <f>FX49</f>
        <v>0.17831888057899384</v>
      </c>
      <c r="GY148" s="789">
        <f>FX66</f>
        <v>0.33275078411297432</v>
      </c>
      <c r="GZ148" s="789">
        <f>FX84</f>
        <v>0.14655186516504853</v>
      </c>
      <c r="HA148" s="789">
        <f>FX102</f>
        <v>0.27859938782065313</v>
      </c>
      <c r="HC148" s="877" t="s">
        <v>367</v>
      </c>
      <c r="HD148" s="878">
        <f t="shared" si="19"/>
        <v>1.3806808779632282E-4</v>
      </c>
      <c r="HE148" s="878">
        <f t="shared" si="20"/>
        <v>9.5337540663978064E-5</v>
      </c>
      <c r="HF148" s="878">
        <f t="shared" si="21"/>
        <v>4.4977481716989953E-5</v>
      </c>
      <c r="HG148" s="878">
        <f t="shared" si="22"/>
        <v>6.6610105917920987E-5</v>
      </c>
      <c r="HH148" s="878">
        <f t="shared" si="23"/>
        <v>2.3569805487657738E-5</v>
      </c>
      <c r="HI148" s="878">
        <f t="shared" si="24"/>
        <v>2.3740367731149811E-5</v>
      </c>
    </row>
    <row r="149" spans="203:217" ht="18">
      <c r="GU149" s="892" t="s">
        <v>1026</v>
      </c>
      <c r="GV149" s="884">
        <f>GB18</f>
        <v>0.81985803333333318</v>
      </c>
      <c r="GW149" s="884">
        <f>GB35</f>
        <v>0.48143891666666661</v>
      </c>
      <c r="GX149" s="884">
        <f>GB55</f>
        <v>0.31662948721212114</v>
      </c>
      <c r="GY149" s="884">
        <f>GB72</f>
        <v>0.3166336477272727</v>
      </c>
      <c r="GZ149" s="884">
        <f>GB90</f>
        <v>0.31213255599999989</v>
      </c>
      <c r="HA149" s="884">
        <f>GB108</f>
        <v>0.29383123099090908</v>
      </c>
      <c r="HC149" s="892" t="s">
        <v>1026</v>
      </c>
      <c r="HD149" s="885">
        <f t="shared" si="19"/>
        <v>2.5099974385428873E-4</v>
      </c>
      <c r="HE149" s="885">
        <f t="shared" si="20"/>
        <v>1.2549999999999999E-4</v>
      </c>
      <c r="HF149" s="885">
        <f t="shared" si="21"/>
        <v>7.986365171148742E-5</v>
      </c>
      <c r="HG149" s="885">
        <f t="shared" si="22"/>
        <v>6.3383774942903155E-5</v>
      </c>
      <c r="HH149" s="885">
        <f t="shared" si="23"/>
        <v>5.0199999999999987E-5</v>
      </c>
      <c r="HI149" s="885">
        <f t="shared" si="24"/>
        <v>2.5038323052996615E-5</v>
      </c>
    </row>
    <row r="150" spans="203:217" ht="18">
      <c r="GU150" s="893" t="s">
        <v>997</v>
      </c>
      <c r="GV150" s="894">
        <f t="shared" ref="GV150:HA150" si="26">GV136+GV137+GV138+GV139+GV147+GV149</f>
        <v>1170.66960155476</v>
      </c>
      <c r="GW150" s="894">
        <f t="shared" si="26"/>
        <v>1116.4963328188951</v>
      </c>
      <c r="GX150" s="894">
        <f t="shared" si="26"/>
        <v>923.02022770257554</v>
      </c>
      <c r="GY150" s="894">
        <f t="shared" si="26"/>
        <v>1179.4294367523448</v>
      </c>
      <c r="GZ150" s="894">
        <f t="shared" si="26"/>
        <v>1449.3824929692398</v>
      </c>
      <c r="HA150" s="894">
        <f t="shared" si="26"/>
        <v>2761.4072236096408</v>
      </c>
      <c r="HC150" s="893" t="s">
        <v>997</v>
      </c>
      <c r="HD150" s="895">
        <f>HD136+HD137+HD138+HD139+HD147+HD149</f>
        <v>0.3584007940174444</v>
      </c>
      <c r="HE150" s="895">
        <f>HE136+HE137+HE138+HE139+HE147+HE149</f>
        <v>0.29104479284500018</v>
      </c>
      <c r="HF150" s="895">
        <f t="shared" si="21"/>
        <v>0.23281396384447145</v>
      </c>
      <c r="HG150" s="895">
        <f t="shared" si="22"/>
        <v>0.23609837588876886</v>
      </c>
      <c r="HH150" s="895">
        <f t="shared" si="23"/>
        <v>0.23310289089823696</v>
      </c>
      <c r="HI150" s="895">
        <f t="shared" si="24"/>
        <v>0.2353085678212192</v>
      </c>
    </row>
    <row r="151" spans="203:217" ht="35">
      <c r="GU151" s="896" t="s">
        <v>1028</v>
      </c>
      <c r="GV151" s="752">
        <v>3266.3700000000003</v>
      </c>
      <c r="GW151" s="897">
        <v>3836.1666666666665</v>
      </c>
      <c r="GX151" s="897">
        <v>3964.6257142857121</v>
      </c>
      <c r="GY151" s="897">
        <v>4995.5</v>
      </c>
      <c r="GZ151" s="752">
        <v>6217.78</v>
      </c>
      <c r="HA151" s="897">
        <v>11735.26</v>
      </c>
      <c r="HC151" s="902" t="s">
        <v>1029</v>
      </c>
      <c r="HD151" s="719">
        <v>181</v>
      </c>
      <c r="HE151" s="719">
        <v>143</v>
      </c>
      <c r="HF151" s="719">
        <v>72</v>
      </c>
      <c r="HG151" s="719">
        <v>70</v>
      </c>
      <c r="HH151" s="719">
        <v>72</v>
      </c>
      <c r="HI151" s="719">
        <v>72</v>
      </c>
    </row>
    <row r="152" spans="203:217" ht="18">
      <c r="GU152" s="899" t="s">
        <v>1027</v>
      </c>
      <c r="GV152" s="903">
        <f t="shared" ref="GV152:HA152" si="27">GV150/GV151</f>
        <v>0.3584007940174444</v>
      </c>
      <c r="GW152" s="903">
        <f t="shared" si="27"/>
        <v>0.29104479284500023</v>
      </c>
      <c r="GX152" s="903">
        <f t="shared" si="27"/>
        <v>0.23281396384447145</v>
      </c>
      <c r="GY152" s="903">
        <f t="shared" si="27"/>
        <v>0.23609837588876886</v>
      </c>
      <c r="GZ152" s="903">
        <f t="shared" si="27"/>
        <v>0.23310289089823696</v>
      </c>
      <c r="HA152" s="903">
        <f t="shared" si="27"/>
        <v>0.2353085678212192</v>
      </c>
      <c r="HC152" s="902" t="s">
        <v>1030</v>
      </c>
      <c r="HD152" s="904">
        <v>5</v>
      </c>
      <c r="HE152" s="904">
        <v>5</v>
      </c>
      <c r="HF152" s="904">
        <v>3</v>
      </c>
      <c r="HG152" s="904">
        <v>3</v>
      </c>
      <c r="HH152" s="904">
        <v>3</v>
      </c>
      <c r="HI152" s="904">
        <v>3</v>
      </c>
    </row>
    <row r="153" spans="203:217" ht="35">
      <c r="HC153" s="902" t="s">
        <v>1031</v>
      </c>
      <c r="HD153" s="719">
        <v>6</v>
      </c>
      <c r="HE153" s="719">
        <v>6</v>
      </c>
      <c r="HF153" s="719">
        <v>4</v>
      </c>
      <c r="HG153" s="719">
        <v>4</v>
      </c>
      <c r="HH153" s="719">
        <v>4</v>
      </c>
      <c r="HI153" s="719">
        <v>4</v>
      </c>
    </row>
    <row r="154" spans="203:217" ht="35">
      <c r="HC154" s="902" t="s">
        <v>1032</v>
      </c>
      <c r="HD154" s="789">
        <f t="shared" ref="HD154:HI154" si="28">HD153/HD151</f>
        <v>3.3149171270718231E-2</v>
      </c>
      <c r="HE154" s="789">
        <f t="shared" si="28"/>
        <v>4.195804195804196E-2</v>
      </c>
      <c r="HF154" s="789">
        <f t="shared" si="28"/>
        <v>5.5555555555555552E-2</v>
      </c>
      <c r="HG154" s="789">
        <f t="shared" si="28"/>
        <v>5.7142857142857141E-2</v>
      </c>
      <c r="HH154" s="789">
        <f t="shared" si="28"/>
        <v>5.5555555555555552E-2</v>
      </c>
      <c r="HI154" s="789">
        <f t="shared" si="28"/>
        <v>5.5555555555555552E-2</v>
      </c>
    </row>
    <row r="155" spans="203:217" ht="18">
      <c r="HC155" s="905" t="s">
        <v>1033</v>
      </c>
      <c r="HD155" s="753">
        <f t="shared" ref="HD155:HI155" si="29">HD150/HD154</f>
        <v>10.811757286192906</v>
      </c>
      <c r="HE155" s="753">
        <f t="shared" si="29"/>
        <v>6.9365675628058376</v>
      </c>
      <c r="HF155" s="753">
        <f t="shared" si="29"/>
        <v>4.1906513492004862</v>
      </c>
      <c r="HG155" s="753">
        <f t="shared" si="29"/>
        <v>4.1317215780534555</v>
      </c>
      <c r="HH155" s="753">
        <f t="shared" si="29"/>
        <v>4.1958520361682652</v>
      </c>
      <c r="HI155" s="753">
        <f t="shared" si="29"/>
        <v>4.2355542207819461</v>
      </c>
    </row>
    <row r="156" spans="203:217" ht="17.5">
      <c r="HC156" s="906"/>
    </row>
  </sheetData>
  <mergeCells count="409">
    <mergeCell ref="B7:H7"/>
    <mergeCell ref="J7:P7"/>
    <mergeCell ref="R7:X7"/>
    <mergeCell ref="Z7:AF7"/>
    <mergeCell ref="FV7:GB7"/>
    <mergeCell ref="B8:B9"/>
    <mergeCell ref="C8:H8"/>
    <mergeCell ref="J8:J9"/>
    <mergeCell ref="K8:P8"/>
    <mergeCell ref="R8:R9"/>
    <mergeCell ref="S8:X8"/>
    <mergeCell ref="Z8:Z9"/>
    <mergeCell ref="AA8:AF8"/>
    <mergeCell ref="FV8:FV9"/>
    <mergeCell ref="FW8:GB8"/>
    <mergeCell ref="C20:H20"/>
    <mergeCell ref="K20:P20"/>
    <mergeCell ref="S20:X20"/>
    <mergeCell ref="AA20:AF20"/>
    <mergeCell ref="FW20:GB20"/>
    <mergeCell ref="FV23:GB23"/>
    <mergeCell ref="B24:H24"/>
    <mergeCell ref="J24:P24"/>
    <mergeCell ref="FV24:GB24"/>
    <mergeCell ref="B25:B26"/>
    <mergeCell ref="C25:H25"/>
    <mergeCell ref="J25:J26"/>
    <mergeCell ref="K25:P25"/>
    <mergeCell ref="FV25:FV26"/>
    <mergeCell ref="FW25:GB25"/>
    <mergeCell ref="C37:H37"/>
    <mergeCell ref="K37:P37"/>
    <mergeCell ref="FW37:GB37"/>
    <mergeCell ref="B44:H44"/>
    <mergeCell ref="J44:P44"/>
    <mergeCell ref="R44:X44"/>
    <mergeCell ref="Z44:AF44"/>
    <mergeCell ref="AH44:AN44"/>
    <mergeCell ref="AP44:AV44"/>
    <mergeCell ref="AX44:BD44"/>
    <mergeCell ref="EX44:FD44"/>
    <mergeCell ref="FF44:FL44"/>
    <mergeCell ref="FN44:FT44"/>
    <mergeCell ref="FV44:GB44"/>
    <mergeCell ref="B45:B46"/>
    <mergeCell ref="C45:H45"/>
    <mergeCell ref="J45:J46"/>
    <mergeCell ref="K45:P45"/>
    <mergeCell ref="R45:R46"/>
    <mergeCell ref="S45:X45"/>
    <mergeCell ref="DB44:DH44"/>
    <mergeCell ref="DJ44:DP44"/>
    <mergeCell ref="DR44:DX44"/>
    <mergeCell ref="DZ44:EF44"/>
    <mergeCell ref="EH44:EN44"/>
    <mergeCell ref="EP44:EV44"/>
    <mergeCell ref="BF44:BL44"/>
    <mergeCell ref="BN44:BT44"/>
    <mergeCell ref="BV44:CB44"/>
    <mergeCell ref="CD44:CJ44"/>
    <mergeCell ref="CL44:CR44"/>
    <mergeCell ref="CT44:CZ44"/>
    <mergeCell ref="AX45:AX46"/>
    <mergeCell ref="AY45:BD45"/>
    <mergeCell ref="BF45:BF46"/>
    <mergeCell ref="BG45:BL45"/>
    <mergeCell ref="BN45:BN46"/>
    <mergeCell ref="BO45:BT45"/>
    <mergeCell ref="Z45:Z46"/>
    <mergeCell ref="AA45:AF45"/>
    <mergeCell ref="AH45:AH46"/>
    <mergeCell ref="AI45:AN45"/>
    <mergeCell ref="AP45:AP46"/>
    <mergeCell ref="AQ45:AV45"/>
    <mergeCell ref="DB45:DB46"/>
    <mergeCell ref="DC45:DH45"/>
    <mergeCell ref="DJ45:DJ46"/>
    <mergeCell ref="DK45:DP45"/>
    <mergeCell ref="BV45:BV46"/>
    <mergeCell ref="BW45:CB45"/>
    <mergeCell ref="CD45:CD46"/>
    <mergeCell ref="CE45:CJ45"/>
    <mergeCell ref="CL45:CL46"/>
    <mergeCell ref="CM45:CR45"/>
    <mergeCell ref="FN45:FN46"/>
    <mergeCell ref="FO45:FT45"/>
    <mergeCell ref="FV45:FV46"/>
    <mergeCell ref="FW45:GB45"/>
    <mergeCell ref="C57:H57"/>
    <mergeCell ref="K57:P57"/>
    <mergeCell ref="S57:X57"/>
    <mergeCell ref="AA57:AF57"/>
    <mergeCell ref="AI57:AN57"/>
    <mergeCell ref="AQ57:AV57"/>
    <mergeCell ref="EP45:EP46"/>
    <mergeCell ref="EQ45:EV45"/>
    <mergeCell ref="EX45:EX46"/>
    <mergeCell ref="EY45:FD45"/>
    <mergeCell ref="FF45:FF46"/>
    <mergeCell ref="FG45:FL45"/>
    <mergeCell ref="DR45:DR46"/>
    <mergeCell ref="DS45:DX45"/>
    <mergeCell ref="DZ45:DZ46"/>
    <mergeCell ref="EA45:EF45"/>
    <mergeCell ref="EH45:EH46"/>
    <mergeCell ref="EI45:EN45"/>
    <mergeCell ref="CT45:CT46"/>
    <mergeCell ref="CU45:CZ45"/>
    <mergeCell ref="EQ57:EV57"/>
    <mergeCell ref="EY57:FD57"/>
    <mergeCell ref="FG57:FL57"/>
    <mergeCell ref="FO57:FT57"/>
    <mergeCell ref="FW57:GB57"/>
    <mergeCell ref="B61:H61"/>
    <mergeCell ref="J61:P61"/>
    <mergeCell ref="R61:X61"/>
    <mergeCell ref="Z61:AF61"/>
    <mergeCell ref="AH61:AN61"/>
    <mergeCell ref="CU57:CZ57"/>
    <mergeCell ref="DC57:DH57"/>
    <mergeCell ref="DK57:DP57"/>
    <mergeCell ref="DS57:DX57"/>
    <mergeCell ref="EA57:EF57"/>
    <mergeCell ref="EI57:EN57"/>
    <mergeCell ref="AY57:BD57"/>
    <mergeCell ref="BG57:BL57"/>
    <mergeCell ref="BO57:BT57"/>
    <mergeCell ref="BW57:CB57"/>
    <mergeCell ref="CE57:CJ57"/>
    <mergeCell ref="CM57:CR57"/>
    <mergeCell ref="FF61:FL61"/>
    <mergeCell ref="FN61:FT61"/>
    <mergeCell ref="B62:B63"/>
    <mergeCell ref="C62:H62"/>
    <mergeCell ref="J62:J63"/>
    <mergeCell ref="K62:P62"/>
    <mergeCell ref="R62:R63"/>
    <mergeCell ref="S62:X62"/>
    <mergeCell ref="EH61:EN61"/>
    <mergeCell ref="EP61:EV61"/>
    <mergeCell ref="EX61:FD61"/>
    <mergeCell ref="AP61:AV61"/>
    <mergeCell ref="AX61:BD61"/>
    <mergeCell ref="BF61:BL61"/>
    <mergeCell ref="BN61:BT61"/>
    <mergeCell ref="BV61:CB61"/>
    <mergeCell ref="CD61:CJ61"/>
    <mergeCell ref="AX62:AX63"/>
    <mergeCell ref="AY62:BD62"/>
    <mergeCell ref="Z62:Z63"/>
    <mergeCell ref="AA62:AF62"/>
    <mergeCell ref="AH62:AH63"/>
    <mergeCell ref="AI62:AN62"/>
    <mergeCell ref="AP62:AP63"/>
    <mergeCell ref="AQ62:AV62"/>
    <mergeCell ref="EH62:EH63"/>
    <mergeCell ref="C74:H74"/>
    <mergeCell ref="K74:P74"/>
    <mergeCell ref="S74:X74"/>
    <mergeCell ref="AA74:AF74"/>
    <mergeCell ref="AI74:AN74"/>
    <mergeCell ref="AQ74:AV74"/>
    <mergeCell ref="EP62:EP63"/>
    <mergeCell ref="EQ62:EV62"/>
    <mergeCell ref="EX62:EX63"/>
    <mergeCell ref="DR62:DR63"/>
    <mergeCell ref="DS62:DX62"/>
    <mergeCell ref="DZ62:DZ63"/>
    <mergeCell ref="EA62:EF62"/>
    <mergeCell ref="DJ62:DJ63"/>
    <mergeCell ref="AY74:BD74"/>
    <mergeCell ref="BG74:BL74"/>
    <mergeCell ref="BO74:BT74"/>
    <mergeCell ref="BW74:CB74"/>
    <mergeCell ref="CE74:CJ74"/>
    <mergeCell ref="CM74:CR74"/>
    <mergeCell ref="EQ74:EV74"/>
    <mergeCell ref="FV61:GB61"/>
    <mergeCell ref="CL61:CR61"/>
    <mergeCell ref="CT61:CZ61"/>
    <mergeCell ref="DB61:DH61"/>
    <mergeCell ref="DJ61:DP61"/>
    <mergeCell ref="DR61:DX61"/>
    <mergeCell ref="DZ61:EF61"/>
    <mergeCell ref="FW62:GB62"/>
    <mergeCell ref="EY62:FD62"/>
    <mergeCell ref="FF62:FF63"/>
    <mergeCell ref="FG62:FL62"/>
    <mergeCell ref="EY74:FD74"/>
    <mergeCell ref="FG74:FL74"/>
    <mergeCell ref="FO74:FT74"/>
    <mergeCell ref="BF62:BF63"/>
    <mergeCell ref="BG62:BL62"/>
    <mergeCell ref="BN62:BN63"/>
    <mergeCell ref="BO62:BT62"/>
    <mergeCell ref="FW74:GB74"/>
    <mergeCell ref="FN62:FN63"/>
    <mergeCell ref="FO62:FT62"/>
    <mergeCell ref="FV62:FV63"/>
    <mergeCell ref="DK62:DP62"/>
    <mergeCell ref="BV62:BV63"/>
    <mergeCell ref="BW62:CB62"/>
    <mergeCell ref="CD62:CD63"/>
    <mergeCell ref="CE62:CJ62"/>
    <mergeCell ref="CL62:CL63"/>
    <mergeCell ref="CM62:CR62"/>
    <mergeCell ref="EI62:EN62"/>
    <mergeCell ref="CT62:CT63"/>
    <mergeCell ref="CU62:CZ62"/>
    <mergeCell ref="DB62:DB63"/>
    <mergeCell ref="DC62:DH62"/>
    <mergeCell ref="FV78:GB78"/>
    <mergeCell ref="CU74:CZ74"/>
    <mergeCell ref="DC74:DH74"/>
    <mergeCell ref="DK74:DP74"/>
    <mergeCell ref="DS74:DX74"/>
    <mergeCell ref="EA74:EF74"/>
    <mergeCell ref="EI74:EN74"/>
    <mergeCell ref="B80:B81"/>
    <mergeCell ref="C80:H80"/>
    <mergeCell ref="J80:J81"/>
    <mergeCell ref="K80:P80"/>
    <mergeCell ref="R80:R81"/>
    <mergeCell ref="S80:X80"/>
    <mergeCell ref="Z80:Z81"/>
    <mergeCell ref="CT79:CZ79"/>
    <mergeCell ref="DB79:DH79"/>
    <mergeCell ref="AX79:BD79"/>
    <mergeCell ref="BF79:BL79"/>
    <mergeCell ref="BN79:BT79"/>
    <mergeCell ref="BV79:CB79"/>
    <mergeCell ref="CD79:CJ79"/>
    <mergeCell ref="CL79:CR79"/>
    <mergeCell ref="B79:H79"/>
    <mergeCell ref="J79:P79"/>
    <mergeCell ref="R79:X79"/>
    <mergeCell ref="Z79:AF79"/>
    <mergeCell ref="AH79:AN79"/>
    <mergeCell ref="AP79:AV79"/>
    <mergeCell ref="AA80:AF80"/>
    <mergeCell ref="AH80:AH81"/>
    <mergeCell ref="AI80:AN80"/>
    <mergeCell ref="AP80:AP81"/>
    <mergeCell ref="AQ80:AV80"/>
    <mergeCell ref="EP79:EV79"/>
    <mergeCell ref="EX79:FD79"/>
    <mergeCell ref="FV79:GB79"/>
    <mergeCell ref="DJ79:DP79"/>
    <mergeCell ref="DR79:DX79"/>
    <mergeCell ref="DZ79:EF79"/>
    <mergeCell ref="EH79:EN79"/>
    <mergeCell ref="CE80:CJ80"/>
    <mergeCell ref="CL80:CL81"/>
    <mergeCell ref="CM80:CR80"/>
    <mergeCell ref="CT80:CT81"/>
    <mergeCell ref="EQ80:EV80"/>
    <mergeCell ref="EX80:EX81"/>
    <mergeCell ref="EY80:FD80"/>
    <mergeCell ref="FV80:FV81"/>
    <mergeCell ref="FW80:GB80"/>
    <mergeCell ref="EI80:EN80"/>
    <mergeCell ref="EP80:EP81"/>
    <mergeCell ref="C92:H92"/>
    <mergeCell ref="K92:P92"/>
    <mergeCell ref="S92:X92"/>
    <mergeCell ref="AA92:AF92"/>
    <mergeCell ref="AI92:AN92"/>
    <mergeCell ref="DS80:DX80"/>
    <mergeCell ref="DZ80:DZ81"/>
    <mergeCell ref="EA80:EF80"/>
    <mergeCell ref="EH80:EH81"/>
    <mergeCell ref="AX80:AX81"/>
    <mergeCell ref="AY80:BD80"/>
    <mergeCell ref="BF80:BF81"/>
    <mergeCell ref="BG80:BL80"/>
    <mergeCell ref="BN80:BN81"/>
    <mergeCell ref="BO80:BT80"/>
    <mergeCell ref="BV80:BV81"/>
    <mergeCell ref="CU80:CZ80"/>
    <mergeCell ref="DB80:DB81"/>
    <mergeCell ref="DC80:DH80"/>
    <mergeCell ref="DJ80:DJ81"/>
    <mergeCell ref="DK80:DP80"/>
    <mergeCell ref="DR80:DR81"/>
    <mergeCell ref="BW80:CB80"/>
    <mergeCell ref="CD80:CD81"/>
    <mergeCell ref="EI92:EN92"/>
    <mergeCell ref="EQ92:EV92"/>
    <mergeCell ref="EY92:FD92"/>
    <mergeCell ref="FW92:GB92"/>
    <mergeCell ref="R93:X93"/>
    <mergeCell ref="B97:H97"/>
    <mergeCell ref="J97:P97"/>
    <mergeCell ref="R97:X97"/>
    <mergeCell ref="Z97:AF97"/>
    <mergeCell ref="AH97:AN97"/>
    <mergeCell ref="CM92:CR92"/>
    <mergeCell ref="CU92:CZ92"/>
    <mergeCell ref="DC92:DH92"/>
    <mergeCell ref="DK92:DP92"/>
    <mergeCell ref="DS92:DX92"/>
    <mergeCell ref="EA92:EF92"/>
    <mergeCell ref="AQ92:AV92"/>
    <mergeCell ref="AY92:BD92"/>
    <mergeCell ref="BG92:BL92"/>
    <mergeCell ref="BO92:BT92"/>
    <mergeCell ref="BW92:CB92"/>
    <mergeCell ref="CE92:CJ92"/>
    <mergeCell ref="FF97:FL97"/>
    <mergeCell ref="FN97:FT97"/>
    <mergeCell ref="B98:B99"/>
    <mergeCell ref="C98:H98"/>
    <mergeCell ref="J98:J99"/>
    <mergeCell ref="K98:P98"/>
    <mergeCell ref="R98:R99"/>
    <mergeCell ref="S98:X98"/>
    <mergeCell ref="EH97:EN97"/>
    <mergeCell ref="EP97:EV97"/>
    <mergeCell ref="EX97:FD97"/>
    <mergeCell ref="AP97:AV97"/>
    <mergeCell ref="AX97:BD97"/>
    <mergeCell ref="BF97:BL97"/>
    <mergeCell ref="BN97:BT97"/>
    <mergeCell ref="BV97:CB97"/>
    <mergeCell ref="CD97:CJ97"/>
    <mergeCell ref="AX98:AX99"/>
    <mergeCell ref="AY98:BD98"/>
    <mergeCell ref="Z98:Z99"/>
    <mergeCell ref="AA98:AF98"/>
    <mergeCell ref="AH98:AH99"/>
    <mergeCell ref="AI98:AN98"/>
    <mergeCell ref="AP98:AP99"/>
    <mergeCell ref="AQ98:AV98"/>
    <mergeCell ref="EH98:EH99"/>
    <mergeCell ref="C110:H110"/>
    <mergeCell ref="K110:P110"/>
    <mergeCell ref="S110:X110"/>
    <mergeCell ref="AA110:AF110"/>
    <mergeCell ref="AI110:AN110"/>
    <mergeCell ref="AQ110:AV110"/>
    <mergeCell ref="EP98:EP99"/>
    <mergeCell ref="EQ98:EV98"/>
    <mergeCell ref="EX98:EX99"/>
    <mergeCell ref="DR98:DR99"/>
    <mergeCell ref="DS98:DX98"/>
    <mergeCell ref="DZ98:DZ99"/>
    <mergeCell ref="EA98:EF98"/>
    <mergeCell ref="AY110:BD110"/>
    <mergeCell ref="BG110:BL110"/>
    <mergeCell ref="BO110:BT110"/>
    <mergeCell ref="BW110:CB110"/>
    <mergeCell ref="CE110:CJ110"/>
    <mergeCell ref="CM110:CR110"/>
    <mergeCell ref="BF98:BF99"/>
    <mergeCell ref="BG98:BL98"/>
    <mergeCell ref="BN98:BN99"/>
    <mergeCell ref="BO98:BT98"/>
    <mergeCell ref="FV97:GB97"/>
    <mergeCell ref="CL97:CR97"/>
    <mergeCell ref="CT97:CZ97"/>
    <mergeCell ref="DB97:DH97"/>
    <mergeCell ref="DJ97:DP97"/>
    <mergeCell ref="DR97:DX97"/>
    <mergeCell ref="DZ97:EF97"/>
    <mergeCell ref="FW98:GB98"/>
    <mergeCell ref="EY98:FD98"/>
    <mergeCell ref="FF98:FF99"/>
    <mergeCell ref="FG98:FL98"/>
    <mergeCell ref="FW110:GB110"/>
    <mergeCell ref="FN98:FN99"/>
    <mergeCell ref="FO98:FT98"/>
    <mergeCell ref="FV98:FV99"/>
    <mergeCell ref="DK98:DP98"/>
    <mergeCell ref="BV98:BV99"/>
    <mergeCell ref="BW98:CB98"/>
    <mergeCell ref="CD98:CD99"/>
    <mergeCell ref="CE98:CJ98"/>
    <mergeCell ref="CL98:CL99"/>
    <mergeCell ref="CM98:CR98"/>
    <mergeCell ref="EI98:EN98"/>
    <mergeCell ref="CT98:CT99"/>
    <mergeCell ref="CU98:CZ98"/>
    <mergeCell ref="DB98:DB99"/>
    <mergeCell ref="DC98:DH98"/>
    <mergeCell ref="DJ98:DJ99"/>
    <mergeCell ref="GM113:GS113"/>
    <mergeCell ref="CU110:CZ110"/>
    <mergeCell ref="DC110:DH110"/>
    <mergeCell ref="DK110:DP110"/>
    <mergeCell ref="DS110:DX110"/>
    <mergeCell ref="EA110:EF110"/>
    <mergeCell ref="EI110:EN110"/>
    <mergeCell ref="HD134:HI134"/>
    <mergeCell ref="FV116:GB116"/>
    <mergeCell ref="FV117:FV118"/>
    <mergeCell ref="FW117:GB117"/>
    <mergeCell ref="FW129:GB129"/>
    <mergeCell ref="GV134:HA134"/>
    <mergeCell ref="HC134:HC135"/>
    <mergeCell ref="GU113:HA113"/>
    <mergeCell ref="GN114:GS114"/>
    <mergeCell ref="GU114:GU115"/>
    <mergeCell ref="GV114:HA114"/>
    <mergeCell ref="HC114:HC115"/>
    <mergeCell ref="HD114:HI114"/>
    <mergeCell ref="EQ110:EV110"/>
    <mergeCell ref="EY110:FD110"/>
    <mergeCell ref="FG110:FL110"/>
    <mergeCell ref="FO110:FT11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workbookViewId="0">
      <pane ySplit="1" topLeftCell="A23" activePane="bottomLeft" state="frozen"/>
      <selection pane="bottomLeft" activeCell="C30" sqref="C30"/>
    </sheetView>
  </sheetViews>
  <sheetFormatPr defaultColWidth="11" defaultRowHeight="12.5"/>
  <cols>
    <col min="1" max="1" width="13.1796875" style="1865" customWidth="1"/>
    <col min="2" max="2" width="3.26953125" style="1887" customWidth="1"/>
    <col min="3" max="3" width="66.453125" style="1888" customWidth="1"/>
    <col min="4" max="4" width="10.81640625" style="1865" bestFit="1" customWidth="1"/>
    <col min="5" max="5" width="8.453125" style="1865" bestFit="1" customWidth="1"/>
    <col min="6" max="6" width="10" style="1897" bestFit="1" customWidth="1"/>
    <col min="7" max="16384" width="11" style="1865"/>
  </cols>
  <sheetData>
    <row r="1" spans="1:17" ht="20">
      <c r="A1" s="4916" t="s">
        <v>1841</v>
      </c>
      <c r="B1" s="4916"/>
      <c r="C1" s="4916"/>
      <c r="D1" s="4916"/>
      <c r="E1" s="4916"/>
      <c r="F1" s="4916"/>
      <c r="J1" s="1866" t="s">
        <v>1842</v>
      </c>
    </row>
    <row r="2" spans="1:17" ht="12.75" customHeight="1">
      <c r="A2" s="1867"/>
      <c r="B2" s="1868"/>
      <c r="C2" s="1869"/>
      <c r="D2" s="1870"/>
      <c r="E2" s="1870"/>
      <c r="F2" s="1871"/>
      <c r="H2" s="1872"/>
      <c r="I2" s="1873"/>
      <c r="J2" s="1874"/>
      <c r="K2" s="1875"/>
      <c r="L2" s="1875"/>
      <c r="M2" s="1875"/>
      <c r="N2" s="1876"/>
      <c r="O2" s="1876"/>
      <c r="P2" s="1876"/>
      <c r="Q2" s="1876"/>
    </row>
    <row r="3" spans="1:17" ht="12.75" customHeight="1">
      <c r="A3" s="4913" t="s">
        <v>2</v>
      </c>
      <c r="B3" s="4914"/>
      <c r="C3" s="4914"/>
      <c r="D3" s="4914"/>
      <c r="E3" s="4914"/>
      <c r="F3" s="4915"/>
      <c r="H3" s="1641"/>
      <c r="I3" s="1641"/>
      <c r="J3" s="4911"/>
      <c r="K3" s="4911"/>
      <c r="L3" s="4911"/>
      <c r="M3" s="4911"/>
      <c r="N3" s="1876"/>
      <c r="O3" s="1876"/>
      <c r="P3" s="1876"/>
      <c r="Q3" s="1876"/>
    </row>
    <row r="4" spans="1:17" ht="12.75" customHeight="1" thickBot="1">
      <c r="A4" s="1867"/>
      <c r="B4" s="1868"/>
      <c r="C4" s="1869"/>
      <c r="D4" s="1870"/>
      <c r="E4" s="1870"/>
      <c r="F4" s="1871"/>
      <c r="H4" s="1872"/>
      <c r="I4" s="1873"/>
      <c r="J4" s="1874"/>
      <c r="K4" s="1875"/>
      <c r="L4" s="1875"/>
      <c r="M4" s="1875"/>
      <c r="N4" s="1876"/>
      <c r="O4" s="1876"/>
      <c r="P4" s="1876"/>
      <c r="Q4" s="1876"/>
    </row>
    <row r="5" spans="1:17" ht="12.75" customHeight="1">
      <c r="A5" s="1877" t="s">
        <v>1523</v>
      </c>
      <c r="B5" s="1878" t="s">
        <v>1508</v>
      </c>
      <c r="C5" s="4900" t="s">
        <v>1524</v>
      </c>
      <c r="D5" s="4901"/>
      <c r="E5" s="4901"/>
      <c r="F5" s="4902"/>
      <c r="H5" s="1641"/>
      <c r="I5" s="1641"/>
      <c r="J5" s="4911"/>
      <c r="K5" s="4911"/>
      <c r="L5" s="4911"/>
      <c r="M5" s="4911"/>
      <c r="N5" s="1876"/>
      <c r="O5" s="1876"/>
      <c r="P5" s="1876"/>
      <c r="Q5" s="1876"/>
    </row>
    <row r="6" spans="1:17" ht="12.75" customHeight="1">
      <c r="A6" s="4903" t="s">
        <v>1843</v>
      </c>
      <c r="B6" s="4904"/>
      <c r="C6" s="4904"/>
      <c r="D6" s="4904"/>
      <c r="E6" s="4904"/>
      <c r="F6" s="4905"/>
      <c r="H6" s="1872"/>
      <c r="I6" s="1873"/>
      <c r="J6" s="1874"/>
      <c r="K6" s="1875"/>
      <c r="L6" s="1875"/>
      <c r="M6" s="1875"/>
      <c r="N6" s="1876"/>
      <c r="O6" s="1876"/>
      <c r="P6" s="1876"/>
      <c r="Q6" s="1876"/>
    </row>
    <row r="7" spans="1:17" ht="12.75" customHeight="1" thickBot="1">
      <c r="A7" s="4906"/>
      <c r="B7" s="4907"/>
      <c r="C7" s="4907"/>
      <c r="D7" s="4907"/>
      <c r="E7" s="4907"/>
      <c r="F7" s="4908"/>
      <c r="H7" s="1872"/>
      <c r="I7" s="1873"/>
      <c r="J7" s="1874"/>
      <c r="K7" s="1875"/>
      <c r="L7" s="1875"/>
      <c r="M7" s="1875"/>
      <c r="N7" s="1876"/>
      <c r="O7" s="1876"/>
      <c r="P7" s="1876"/>
      <c r="Q7" s="1876"/>
    </row>
    <row r="8" spans="1:17" ht="12.75" customHeight="1">
      <c r="A8" s="1879" t="s">
        <v>162</v>
      </c>
      <c r="B8" s="1879" t="s">
        <v>1844</v>
      </c>
      <c r="C8" s="1879" t="s">
        <v>163</v>
      </c>
      <c r="D8" s="1879" t="s">
        <v>1845</v>
      </c>
      <c r="E8" s="1879" t="s">
        <v>1846</v>
      </c>
      <c r="F8" s="1879" t="s">
        <v>1847</v>
      </c>
      <c r="H8" s="1872"/>
      <c r="I8" s="1874"/>
      <c r="J8" s="1875"/>
      <c r="K8" s="1874"/>
      <c r="L8" s="1875"/>
      <c r="M8" s="1874"/>
      <c r="N8" s="1875"/>
      <c r="O8" s="1874"/>
      <c r="P8" s="1876"/>
      <c r="Q8" s="1876"/>
    </row>
    <row r="9" spans="1:17" ht="12.75" customHeight="1">
      <c r="A9" s="1880" t="s">
        <v>1067</v>
      </c>
      <c r="B9" s="1880" t="s">
        <v>1508</v>
      </c>
      <c r="C9" s="1880" t="s">
        <v>1512</v>
      </c>
      <c r="D9" s="1881">
        <v>1</v>
      </c>
      <c r="E9" s="1723">
        <v>18.28</v>
      </c>
      <c r="F9" s="1723">
        <f>ROUND(D9*E9,2)</f>
        <v>18.28</v>
      </c>
      <c r="H9" s="1872"/>
      <c r="I9" s="1873"/>
      <c r="J9" s="1874"/>
      <c r="K9" s="1875"/>
      <c r="L9" s="1875"/>
      <c r="M9" s="1875"/>
      <c r="N9" s="1876"/>
      <c r="O9" s="1876"/>
      <c r="P9" s="1876"/>
      <c r="Q9" s="1876"/>
    </row>
    <row r="10" spans="1:17" ht="12.75" customHeight="1">
      <c r="A10" s="1880" t="s">
        <v>1121</v>
      </c>
      <c r="B10" s="1880" t="s">
        <v>1508</v>
      </c>
      <c r="C10" s="1880" t="s">
        <v>1663</v>
      </c>
      <c r="D10" s="1881">
        <v>1</v>
      </c>
      <c r="E10" s="1723">
        <v>19.23</v>
      </c>
      <c r="F10" s="1723">
        <f>ROUND(D10*E10,2)</f>
        <v>19.23</v>
      </c>
      <c r="H10" s="1872"/>
      <c r="I10" s="1873"/>
      <c r="J10" s="1874"/>
      <c r="K10" s="1875"/>
      <c r="L10" s="1875"/>
      <c r="M10" s="1875"/>
      <c r="N10" s="1876"/>
      <c r="O10" s="1876"/>
      <c r="P10" s="1876"/>
      <c r="Q10" s="1876"/>
    </row>
    <row r="11" spans="1:17" ht="12.75" customHeight="1">
      <c r="A11" s="1882"/>
      <c r="B11" s="1882"/>
      <c r="C11" s="1882"/>
      <c r="D11" s="4909" t="s">
        <v>1848</v>
      </c>
      <c r="E11" s="4910"/>
      <c r="F11" s="1883">
        <f>SUM(F9:F10)</f>
        <v>37.510000000000005</v>
      </c>
      <c r="H11" s="1872"/>
      <c r="I11" s="1873"/>
      <c r="J11" s="1874"/>
      <c r="K11" s="1875"/>
      <c r="L11" s="1875"/>
      <c r="M11" s="1875"/>
      <c r="N11" s="1876"/>
      <c r="O11" s="1876"/>
      <c r="P11" s="1876"/>
      <c r="Q11" s="1876"/>
    </row>
    <row r="12" spans="1:17" ht="12.75" customHeight="1" thickBot="1">
      <c r="A12" s="1867"/>
      <c r="B12" s="1868"/>
      <c r="C12" s="1869"/>
      <c r="D12" s="1870"/>
      <c r="E12" s="1870"/>
      <c r="F12" s="1871"/>
      <c r="H12" s="1872"/>
      <c r="I12" s="1873"/>
      <c r="J12" s="1874"/>
      <c r="K12" s="1875"/>
      <c r="L12" s="1875"/>
      <c r="M12" s="1875"/>
      <c r="N12" s="1876"/>
      <c r="O12" s="1876"/>
      <c r="P12" s="1876"/>
      <c r="Q12" s="1876"/>
    </row>
    <row r="13" spans="1:17" ht="12.75" customHeight="1">
      <c r="A13" s="1877" t="s">
        <v>1638</v>
      </c>
      <c r="B13" s="1878" t="s">
        <v>1508</v>
      </c>
      <c r="C13" s="4900" t="s">
        <v>1639</v>
      </c>
      <c r="D13" s="4901"/>
      <c r="E13" s="4901"/>
      <c r="F13" s="4902"/>
      <c r="H13" s="1641"/>
      <c r="I13" s="1641"/>
      <c r="J13" s="4911"/>
      <c r="K13" s="4911"/>
      <c r="L13" s="4911"/>
      <c r="M13" s="4911"/>
      <c r="N13" s="1876"/>
      <c r="O13" s="1876"/>
      <c r="P13" s="1876"/>
      <c r="Q13" s="1876"/>
    </row>
    <row r="14" spans="1:17" ht="12.75" customHeight="1">
      <c r="A14" s="4903" t="s">
        <v>1849</v>
      </c>
      <c r="B14" s="4904"/>
      <c r="C14" s="4904"/>
      <c r="D14" s="4904"/>
      <c r="E14" s="4904"/>
      <c r="F14" s="4905"/>
      <c r="H14" s="1872"/>
      <c r="I14" s="1873"/>
      <c r="J14" s="1874"/>
      <c r="K14" s="1875"/>
      <c r="L14" s="1875"/>
      <c r="M14" s="1875"/>
      <c r="N14" s="1876"/>
      <c r="O14" s="1876"/>
      <c r="P14" s="1876"/>
      <c r="Q14" s="1876"/>
    </row>
    <row r="15" spans="1:17" ht="12.75" customHeight="1" thickBot="1">
      <c r="A15" s="4906"/>
      <c r="B15" s="4907"/>
      <c r="C15" s="4907"/>
      <c r="D15" s="4907"/>
      <c r="E15" s="4907"/>
      <c r="F15" s="4908"/>
      <c r="H15" s="1872"/>
      <c r="I15" s="1873"/>
      <c r="J15" s="1874"/>
      <c r="K15" s="1875"/>
      <c r="L15" s="1875"/>
      <c r="M15" s="1875"/>
      <c r="N15" s="1876"/>
      <c r="O15" s="1876"/>
      <c r="P15" s="1876"/>
      <c r="Q15" s="1876"/>
    </row>
    <row r="16" spans="1:17" ht="12.75" customHeight="1">
      <c r="A16" s="1879" t="s">
        <v>162</v>
      </c>
      <c r="B16" s="1879" t="s">
        <v>1844</v>
      </c>
      <c r="C16" s="1879" t="s">
        <v>163</v>
      </c>
      <c r="D16" s="1879" t="s">
        <v>1845</v>
      </c>
      <c r="E16" s="1879" t="s">
        <v>1846</v>
      </c>
      <c r="F16" s="1879" t="s">
        <v>1847</v>
      </c>
      <c r="H16" s="1872"/>
      <c r="I16" s="1873"/>
      <c r="J16" s="1874"/>
      <c r="K16" s="1875"/>
      <c r="L16" s="1875"/>
      <c r="M16" s="1875"/>
      <c r="N16" s="1876"/>
      <c r="O16" s="1876"/>
      <c r="P16" s="1876"/>
      <c r="Q16" s="1876"/>
    </row>
    <row r="17" spans="1:3072 3074:6144 6146:9216 9218:12288 12290:15360 15362:16384" ht="12.75" customHeight="1">
      <c r="A17" s="1884" t="s">
        <v>1067</v>
      </c>
      <c r="B17" s="1884" t="s">
        <v>1508</v>
      </c>
      <c r="C17" s="1884" t="s">
        <v>1512</v>
      </c>
      <c r="D17" s="1885">
        <v>1</v>
      </c>
      <c r="E17" s="1886">
        <v>18.28</v>
      </c>
      <c r="F17" s="1886">
        <f>ROUND(D17*E17,2)</f>
        <v>18.28</v>
      </c>
      <c r="H17" s="1872">
        <v>0.35</v>
      </c>
      <c r="I17" s="1873"/>
      <c r="J17" s="1874"/>
      <c r="K17" s="1875"/>
      <c r="L17" s="1875"/>
      <c r="M17" s="1875"/>
      <c r="N17" s="1876"/>
      <c r="O17" s="1876"/>
      <c r="P17" s="1876"/>
      <c r="Q17" s="1876"/>
    </row>
    <row r="18" spans="1:3072 3074:6144 6146:9216 9218:12288 12290:15360 15362:16384" ht="12.75" customHeight="1">
      <c r="A18" s="1884" t="s">
        <v>1088</v>
      </c>
      <c r="B18" s="1884" t="s">
        <v>1508</v>
      </c>
      <c r="C18" s="1884" t="s">
        <v>1850</v>
      </c>
      <c r="D18" s="1885">
        <v>0.43</v>
      </c>
      <c r="E18" s="1886">
        <v>18.739999999999998</v>
      </c>
      <c r="F18" s="1886">
        <f>ROUND(D18*E18,2)</f>
        <v>8.06</v>
      </c>
      <c r="H18" s="1872">
        <v>0.15</v>
      </c>
      <c r="I18" s="1873">
        <f>H18/H17</f>
        <v>0.4285714285714286</v>
      </c>
      <c r="J18" s="1874"/>
      <c r="K18" s="1875"/>
      <c r="L18" s="1875"/>
      <c r="M18" s="1875"/>
      <c r="N18" s="1876"/>
      <c r="O18" s="1876"/>
      <c r="P18" s="1876"/>
      <c r="Q18" s="1876"/>
    </row>
    <row r="19" spans="1:3072 3074:6144 6146:9216 9218:12288 12290:15360 15362:16384" ht="12.75" customHeight="1">
      <c r="A19" s="1882"/>
      <c r="B19" s="1882"/>
      <c r="C19" s="1882"/>
      <c r="D19" s="4909" t="s">
        <v>1848</v>
      </c>
      <c r="E19" s="4910"/>
      <c r="F19" s="1883">
        <f>SUM(F17:F18)</f>
        <v>26.340000000000003</v>
      </c>
      <c r="H19" s="1872"/>
      <c r="I19" s="1873"/>
      <c r="J19" s="1874"/>
      <c r="K19" s="1875"/>
      <c r="L19" s="1875"/>
      <c r="M19" s="1875"/>
      <c r="N19" s="1876"/>
      <c r="O19" s="1876"/>
      <c r="P19" s="1876"/>
      <c r="Q19" s="1876"/>
    </row>
    <row r="20" spans="1:3072 3074:6144 6146:9216 9218:12288 12290:15360 15362:16384" ht="12.75" customHeight="1">
      <c r="A20" s="1867"/>
      <c r="B20" s="1868"/>
      <c r="C20" s="1869"/>
      <c r="D20" s="1882"/>
      <c r="E20" s="1882"/>
      <c r="F20" s="1882"/>
      <c r="H20" s="1872"/>
      <c r="I20" s="1873"/>
      <c r="J20" s="1874"/>
      <c r="K20" s="1875"/>
      <c r="L20" s="1875"/>
      <c r="M20" s="1875"/>
      <c r="N20" s="1876"/>
      <c r="O20" s="1876"/>
      <c r="P20" s="1876"/>
      <c r="Q20" s="1876"/>
    </row>
    <row r="21" spans="1:3072 3074:6144 6146:9216 9218:12288 12290:15360 15362:16384" ht="12.75" customHeight="1">
      <c r="D21" s="1882"/>
      <c r="E21" s="1882"/>
      <c r="F21" s="1882"/>
      <c r="H21" s="1641"/>
      <c r="I21" s="1641"/>
      <c r="J21" s="4911"/>
      <c r="K21" s="4911"/>
      <c r="L21" s="4911"/>
      <c r="M21" s="4911"/>
      <c r="N21" s="1876"/>
      <c r="O21" s="1876"/>
      <c r="P21" s="1876"/>
      <c r="Q21" s="1876"/>
    </row>
    <row r="22" spans="1:3072 3074:6144 6146:9216 9218:12288 12290:15360 15362:16384" ht="12.75" customHeight="1">
      <c r="A22" s="4913" t="s">
        <v>1</v>
      </c>
      <c r="B22" s="4914"/>
      <c r="C22" s="4914"/>
      <c r="D22" s="4914"/>
      <c r="E22" s="4914"/>
      <c r="F22" s="4915"/>
      <c r="H22" s="1641"/>
      <c r="I22" s="1641"/>
      <c r="J22" s="4911"/>
      <c r="K22" s="4911"/>
      <c r="L22" s="4911"/>
      <c r="M22" s="4911"/>
      <c r="N22" s="1876"/>
      <c r="O22" s="1876"/>
      <c r="P22" s="1876"/>
      <c r="Q22" s="1876"/>
    </row>
    <row r="23" spans="1:3072 3074:6144 6146:9216 9218:12288 12290:15360 15362:16384" ht="12.75" customHeight="1">
      <c r="D23" s="1882"/>
      <c r="E23" s="1882"/>
      <c r="F23" s="1882"/>
      <c r="H23" s="1887"/>
      <c r="I23" s="1888"/>
      <c r="J23" s="1882"/>
      <c r="K23" s="1882"/>
      <c r="L23" s="1882"/>
      <c r="N23" s="1887"/>
      <c r="O23" s="1888"/>
      <c r="P23" s="1882"/>
      <c r="Q23" s="1882"/>
      <c r="R23" s="1882"/>
      <c r="T23" s="1887"/>
      <c r="U23" s="1888"/>
      <c r="V23" s="1882"/>
      <c r="W23" s="1882"/>
      <c r="X23" s="1882"/>
      <c r="Z23" s="1887"/>
      <c r="AA23" s="1888"/>
      <c r="AB23" s="1882"/>
      <c r="AC23" s="1882"/>
      <c r="AD23" s="1882"/>
      <c r="AF23" s="1887"/>
      <c r="AG23" s="1888"/>
      <c r="AH23" s="1882"/>
      <c r="AI23" s="1882"/>
      <c r="AJ23" s="1882"/>
      <c r="AL23" s="1887"/>
      <c r="AM23" s="1888"/>
      <c r="AN23" s="1882"/>
      <c r="AO23" s="1882"/>
      <c r="AP23" s="1882"/>
      <c r="AR23" s="1887"/>
      <c r="AS23" s="1888"/>
      <c r="AT23" s="1882"/>
      <c r="AU23" s="1882"/>
      <c r="AV23" s="1882"/>
      <c r="AX23" s="1887"/>
      <c r="AY23" s="1888"/>
      <c r="AZ23" s="1882"/>
      <c r="BA23" s="1882"/>
      <c r="BB23" s="1882"/>
      <c r="BD23" s="1887"/>
      <c r="BE23" s="1888"/>
      <c r="BF23" s="1882"/>
      <c r="BG23" s="1882"/>
      <c r="BH23" s="1882"/>
      <c r="BJ23" s="1887"/>
      <c r="BK23" s="1888"/>
      <c r="BL23" s="1882"/>
      <c r="BM23" s="1882"/>
      <c r="BN23" s="1882"/>
      <c r="BP23" s="1887"/>
      <c r="BQ23" s="1888"/>
      <c r="BR23" s="1882"/>
      <c r="BS23" s="1882"/>
      <c r="BT23" s="1882"/>
      <c r="BV23" s="1887"/>
      <c r="BW23" s="1888"/>
      <c r="BX23" s="1882"/>
      <c r="BY23" s="1882"/>
      <c r="BZ23" s="1882"/>
      <c r="CB23" s="1887"/>
      <c r="CC23" s="1888"/>
      <c r="CD23" s="1882"/>
      <c r="CE23" s="1882"/>
      <c r="CF23" s="1882"/>
      <c r="CH23" s="1887"/>
      <c r="CI23" s="1888"/>
      <c r="CJ23" s="1882"/>
      <c r="CK23" s="1882"/>
      <c r="CL23" s="1882"/>
      <c r="CN23" s="1887"/>
      <c r="CO23" s="1888"/>
      <c r="CP23" s="1882"/>
      <c r="CQ23" s="1882"/>
      <c r="CR23" s="1882"/>
      <c r="CT23" s="1887"/>
      <c r="CU23" s="1888"/>
      <c r="CV23" s="1882"/>
      <c r="CW23" s="1882"/>
      <c r="CX23" s="1882"/>
      <c r="CZ23" s="1887"/>
      <c r="DA23" s="1888"/>
      <c r="DB23" s="1882"/>
      <c r="DC23" s="1882"/>
      <c r="DD23" s="1882"/>
      <c r="DF23" s="1887"/>
      <c r="DG23" s="1888"/>
      <c r="DH23" s="1882"/>
      <c r="DI23" s="1882"/>
      <c r="DJ23" s="1882"/>
      <c r="DL23" s="1887"/>
      <c r="DM23" s="1888"/>
      <c r="DN23" s="1882"/>
      <c r="DO23" s="1882"/>
      <c r="DP23" s="1882"/>
      <c r="DR23" s="1887"/>
      <c r="DS23" s="1888"/>
      <c r="DT23" s="1882"/>
      <c r="DU23" s="1882"/>
      <c r="DV23" s="1882"/>
      <c r="DX23" s="1887"/>
      <c r="DY23" s="1888"/>
      <c r="DZ23" s="1882"/>
      <c r="EA23" s="1882"/>
      <c r="EB23" s="1882"/>
      <c r="ED23" s="1887"/>
      <c r="EE23" s="1888"/>
      <c r="EF23" s="1882"/>
      <c r="EG23" s="1882"/>
      <c r="EH23" s="1882"/>
      <c r="EJ23" s="1887"/>
      <c r="EK23" s="1888"/>
      <c r="EL23" s="1882"/>
      <c r="EM23" s="1882"/>
      <c r="EN23" s="1882"/>
      <c r="EP23" s="1887"/>
      <c r="EQ23" s="1888"/>
      <c r="ER23" s="1882"/>
      <c r="ES23" s="1882"/>
      <c r="ET23" s="1882"/>
      <c r="EV23" s="1887"/>
      <c r="EW23" s="1888"/>
      <c r="EX23" s="1882"/>
      <c r="EY23" s="1882"/>
      <c r="EZ23" s="1882"/>
      <c r="FB23" s="1887"/>
      <c r="FC23" s="1888"/>
      <c r="FD23" s="1882"/>
      <c r="FE23" s="1882"/>
      <c r="FF23" s="1882"/>
      <c r="FH23" s="1887"/>
      <c r="FI23" s="1888"/>
      <c r="FJ23" s="1882"/>
      <c r="FK23" s="1882"/>
      <c r="FL23" s="1882"/>
      <c r="FN23" s="1887"/>
      <c r="FO23" s="1888"/>
      <c r="FP23" s="1882"/>
      <c r="FQ23" s="1882"/>
      <c r="FR23" s="1882"/>
      <c r="FT23" s="1887"/>
      <c r="FU23" s="1888"/>
      <c r="FV23" s="1882"/>
      <c r="FW23" s="1882"/>
      <c r="FX23" s="1882"/>
      <c r="FZ23" s="1887"/>
      <c r="GA23" s="1888"/>
      <c r="GB23" s="1882"/>
      <c r="GC23" s="1882"/>
      <c r="GD23" s="1882"/>
      <c r="GF23" s="1887"/>
      <c r="GG23" s="1888"/>
      <c r="GH23" s="1882"/>
      <c r="GI23" s="1882"/>
      <c r="GJ23" s="1882"/>
      <c r="GL23" s="1887"/>
      <c r="GM23" s="1888"/>
      <c r="GN23" s="1882"/>
      <c r="GO23" s="1882"/>
      <c r="GP23" s="1882"/>
      <c r="GR23" s="1887"/>
      <c r="GS23" s="1888"/>
      <c r="GT23" s="1882"/>
      <c r="GU23" s="1882"/>
      <c r="GV23" s="1882"/>
      <c r="GX23" s="1887"/>
      <c r="GY23" s="1888"/>
      <c r="GZ23" s="1882"/>
      <c r="HA23" s="1882"/>
      <c r="HB23" s="1882"/>
      <c r="HD23" s="1887"/>
      <c r="HE23" s="1888"/>
      <c r="HF23" s="1882"/>
      <c r="HG23" s="1882"/>
      <c r="HH23" s="1882"/>
      <c r="HJ23" s="1887"/>
      <c r="HK23" s="1888"/>
      <c r="HL23" s="1882"/>
      <c r="HM23" s="1882"/>
      <c r="HN23" s="1882"/>
      <c r="HP23" s="1887"/>
      <c r="HQ23" s="1888"/>
      <c r="HR23" s="1882"/>
      <c r="HS23" s="1882"/>
      <c r="HT23" s="1882"/>
      <c r="HV23" s="1887"/>
      <c r="HW23" s="1888"/>
      <c r="HX23" s="1882"/>
      <c r="HY23" s="1882"/>
      <c r="HZ23" s="1882"/>
      <c r="IB23" s="1887"/>
      <c r="IC23" s="1888"/>
      <c r="ID23" s="1882"/>
      <c r="IE23" s="1882"/>
      <c r="IF23" s="1882"/>
      <c r="IH23" s="1887"/>
      <c r="II23" s="1888"/>
      <c r="IJ23" s="1882"/>
      <c r="IK23" s="1882"/>
      <c r="IL23" s="1882"/>
      <c r="IN23" s="1887"/>
      <c r="IO23" s="1888"/>
      <c r="IP23" s="1882"/>
      <c r="IQ23" s="1882"/>
      <c r="IR23" s="1882"/>
      <c r="IT23" s="1887"/>
      <c r="IU23" s="1888"/>
      <c r="IV23" s="1882"/>
      <c r="IW23" s="1882"/>
      <c r="IX23" s="1882"/>
      <c r="IZ23" s="1887"/>
      <c r="JA23" s="1888"/>
      <c r="JB23" s="1882"/>
      <c r="JC23" s="1882"/>
      <c r="JD23" s="1882"/>
      <c r="JF23" s="1887"/>
      <c r="JG23" s="1888"/>
      <c r="JH23" s="1882"/>
      <c r="JI23" s="1882"/>
      <c r="JJ23" s="1882"/>
      <c r="JL23" s="1887"/>
      <c r="JM23" s="1888"/>
      <c r="JN23" s="1882"/>
      <c r="JO23" s="1882"/>
      <c r="JP23" s="1882"/>
      <c r="JR23" s="1887"/>
      <c r="JS23" s="1888"/>
      <c r="JT23" s="1882"/>
      <c r="JU23" s="1882"/>
      <c r="JV23" s="1882"/>
      <c r="JX23" s="1887"/>
      <c r="JY23" s="1888"/>
      <c r="JZ23" s="1882"/>
      <c r="KA23" s="1882"/>
      <c r="KB23" s="1882"/>
      <c r="KD23" s="1887"/>
      <c r="KE23" s="1888"/>
      <c r="KF23" s="1882"/>
      <c r="KG23" s="1882"/>
      <c r="KH23" s="1882"/>
      <c r="KJ23" s="1887"/>
      <c r="KK23" s="1888"/>
      <c r="KL23" s="1882"/>
      <c r="KM23" s="1882"/>
      <c r="KN23" s="1882"/>
      <c r="KP23" s="1887"/>
      <c r="KQ23" s="1888"/>
      <c r="KR23" s="1882"/>
      <c r="KS23" s="1882"/>
      <c r="KT23" s="1882"/>
      <c r="KV23" s="1887"/>
      <c r="KW23" s="1888"/>
      <c r="KX23" s="1882"/>
      <c r="KY23" s="1882"/>
      <c r="KZ23" s="1882"/>
      <c r="LB23" s="1887"/>
      <c r="LC23" s="1888"/>
      <c r="LD23" s="1882"/>
      <c r="LE23" s="1882"/>
      <c r="LF23" s="1882"/>
      <c r="LH23" s="1887"/>
      <c r="LI23" s="1888"/>
      <c r="LJ23" s="1882"/>
      <c r="LK23" s="1882"/>
      <c r="LL23" s="1882"/>
      <c r="LN23" s="1887"/>
      <c r="LO23" s="1888"/>
      <c r="LP23" s="1882"/>
      <c r="LQ23" s="1882"/>
      <c r="LR23" s="1882"/>
      <c r="LT23" s="1887"/>
      <c r="LU23" s="1888"/>
      <c r="LV23" s="1882"/>
      <c r="LW23" s="1882"/>
      <c r="LX23" s="1882"/>
      <c r="LZ23" s="1887"/>
      <c r="MA23" s="1888"/>
      <c r="MB23" s="1882"/>
      <c r="MC23" s="1882"/>
      <c r="MD23" s="1882"/>
      <c r="MF23" s="1887"/>
      <c r="MG23" s="1888"/>
      <c r="MH23" s="1882"/>
      <c r="MI23" s="1882"/>
      <c r="MJ23" s="1882"/>
      <c r="ML23" s="1887"/>
      <c r="MM23" s="1888"/>
      <c r="MN23" s="1882"/>
      <c r="MO23" s="1882"/>
      <c r="MP23" s="1882"/>
      <c r="MR23" s="1887"/>
      <c r="MS23" s="1888"/>
      <c r="MT23" s="1882"/>
      <c r="MU23" s="1882"/>
      <c r="MV23" s="1882"/>
      <c r="MX23" s="1887"/>
      <c r="MY23" s="1888"/>
      <c r="MZ23" s="1882"/>
      <c r="NA23" s="1882"/>
      <c r="NB23" s="1882"/>
      <c r="ND23" s="1887"/>
      <c r="NE23" s="1888"/>
      <c r="NF23" s="1882"/>
      <c r="NG23" s="1882"/>
      <c r="NH23" s="1882"/>
      <c r="NJ23" s="1887"/>
      <c r="NK23" s="1888"/>
      <c r="NL23" s="1882"/>
      <c r="NM23" s="1882"/>
      <c r="NN23" s="1882"/>
      <c r="NP23" s="1887"/>
      <c r="NQ23" s="1888"/>
      <c r="NR23" s="1882"/>
      <c r="NS23" s="1882"/>
      <c r="NT23" s="1882"/>
      <c r="NV23" s="1887"/>
      <c r="NW23" s="1888"/>
      <c r="NX23" s="1882"/>
      <c r="NY23" s="1882"/>
      <c r="NZ23" s="1882"/>
      <c r="OB23" s="1887"/>
      <c r="OC23" s="1888"/>
      <c r="OD23" s="1882"/>
      <c r="OE23" s="1882"/>
      <c r="OF23" s="1882"/>
      <c r="OH23" s="1887"/>
      <c r="OI23" s="1888"/>
      <c r="OJ23" s="1882"/>
      <c r="OK23" s="1882"/>
      <c r="OL23" s="1882"/>
      <c r="ON23" s="1887"/>
      <c r="OO23" s="1888"/>
      <c r="OP23" s="1882"/>
      <c r="OQ23" s="1882"/>
      <c r="OR23" s="1882"/>
      <c r="OT23" s="1887"/>
      <c r="OU23" s="1888"/>
      <c r="OV23" s="1882"/>
      <c r="OW23" s="1882"/>
      <c r="OX23" s="1882"/>
      <c r="OZ23" s="1887"/>
      <c r="PA23" s="1888"/>
      <c r="PB23" s="1882"/>
      <c r="PC23" s="1882"/>
      <c r="PD23" s="1882"/>
      <c r="PF23" s="1887"/>
      <c r="PG23" s="1888"/>
      <c r="PH23" s="1882"/>
      <c r="PI23" s="1882"/>
      <c r="PJ23" s="1882"/>
      <c r="PL23" s="1887"/>
      <c r="PM23" s="1888"/>
      <c r="PN23" s="1882"/>
      <c r="PO23" s="1882"/>
      <c r="PP23" s="1882"/>
      <c r="PR23" s="1887"/>
      <c r="PS23" s="1888"/>
      <c r="PT23" s="1882"/>
      <c r="PU23" s="1882"/>
      <c r="PV23" s="1882"/>
      <c r="PX23" s="1887"/>
      <c r="PY23" s="1888"/>
      <c r="PZ23" s="1882"/>
      <c r="QA23" s="1882"/>
      <c r="QB23" s="1882"/>
      <c r="QD23" s="1887"/>
      <c r="QE23" s="1888"/>
      <c r="QF23" s="1882"/>
      <c r="QG23" s="1882"/>
      <c r="QH23" s="1882"/>
      <c r="QJ23" s="1887"/>
      <c r="QK23" s="1888"/>
      <c r="QL23" s="1882"/>
      <c r="QM23" s="1882"/>
      <c r="QN23" s="1882"/>
      <c r="QP23" s="1887"/>
      <c r="QQ23" s="1888"/>
      <c r="QR23" s="1882"/>
      <c r="QS23" s="1882"/>
      <c r="QT23" s="1882"/>
      <c r="QV23" s="1887"/>
      <c r="QW23" s="1888"/>
      <c r="QX23" s="1882"/>
      <c r="QY23" s="1882"/>
      <c r="QZ23" s="1882"/>
      <c r="RB23" s="1887"/>
      <c r="RC23" s="1888"/>
      <c r="RD23" s="1882"/>
      <c r="RE23" s="1882"/>
      <c r="RF23" s="1882"/>
      <c r="RH23" s="1887"/>
      <c r="RI23" s="1888"/>
      <c r="RJ23" s="1882"/>
      <c r="RK23" s="1882"/>
      <c r="RL23" s="1882"/>
      <c r="RN23" s="1887"/>
      <c r="RO23" s="1888"/>
      <c r="RP23" s="1882"/>
      <c r="RQ23" s="1882"/>
      <c r="RR23" s="1882"/>
      <c r="RT23" s="1887"/>
      <c r="RU23" s="1888"/>
      <c r="RV23" s="1882"/>
      <c r="RW23" s="1882"/>
      <c r="RX23" s="1882"/>
      <c r="RZ23" s="1887"/>
      <c r="SA23" s="1888"/>
      <c r="SB23" s="1882"/>
      <c r="SC23" s="1882"/>
      <c r="SD23" s="1882"/>
      <c r="SF23" s="1887"/>
      <c r="SG23" s="1888"/>
      <c r="SH23" s="1882"/>
      <c r="SI23" s="1882"/>
      <c r="SJ23" s="1882"/>
      <c r="SL23" s="1887"/>
      <c r="SM23" s="1888"/>
      <c r="SN23" s="1882"/>
      <c r="SO23" s="1882"/>
      <c r="SP23" s="1882"/>
      <c r="SR23" s="1887"/>
      <c r="SS23" s="1888"/>
      <c r="ST23" s="1882"/>
      <c r="SU23" s="1882"/>
      <c r="SV23" s="1882"/>
      <c r="SX23" s="1887"/>
      <c r="SY23" s="1888"/>
      <c r="SZ23" s="1882"/>
      <c r="TA23" s="1882"/>
      <c r="TB23" s="1882"/>
      <c r="TD23" s="1887"/>
      <c r="TE23" s="1888"/>
      <c r="TF23" s="1882"/>
      <c r="TG23" s="1882"/>
      <c r="TH23" s="1882"/>
      <c r="TJ23" s="1887"/>
      <c r="TK23" s="1888"/>
      <c r="TL23" s="1882"/>
      <c r="TM23" s="1882"/>
      <c r="TN23" s="1882"/>
      <c r="TP23" s="1887"/>
      <c r="TQ23" s="1888"/>
      <c r="TR23" s="1882"/>
      <c r="TS23" s="1882"/>
      <c r="TT23" s="1882"/>
      <c r="TV23" s="1887"/>
      <c r="TW23" s="1888"/>
      <c r="TX23" s="1882"/>
      <c r="TY23" s="1882"/>
      <c r="TZ23" s="1882"/>
      <c r="UB23" s="1887"/>
      <c r="UC23" s="1888"/>
      <c r="UD23" s="1882"/>
      <c r="UE23" s="1882"/>
      <c r="UF23" s="1882"/>
      <c r="UH23" s="1887"/>
      <c r="UI23" s="1888"/>
      <c r="UJ23" s="1882"/>
      <c r="UK23" s="1882"/>
      <c r="UL23" s="1882"/>
      <c r="UN23" s="1887"/>
      <c r="UO23" s="1888"/>
      <c r="UP23" s="1882"/>
      <c r="UQ23" s="1882"/>
      <c r="UR23" s="1882"/>
      <c r="UT23" s="1887"/>
      <c r="UU23" s="1888"/>
      <c r="UV23" s="1882"/>
      <c r="UW23" s="1882"/>
      <c r="UX23" s="1882"/>
      <c r="UZ23" s="1887"/>
      <c r="VA23" s="1888"/>
      <c r="VB23" s="1882"/>
      <c r="VC23" s="1882"/>
      <c r="VD23" s="1882"/>
      <c r="VF23" s="1887"/>
      <c r="VG23" s="1888"/>
      <c r="VH23" s="1882"/>
      <c r="VI23" s="1882"/>
      <c r="VJ23" s="1882"/>
      <c r="VL23" s="1887"/>
      <c r="VM23" s="1888"/>
      <c r="VN23" s="1882"/>
      <c r="VO23" s="1882"/>
      <c r="VP23" s="1882"/>
      <c r="VR23" s="1887"/>
      <c r="VS23" s="1888"/>
      <c r="VT23" s="1882"/>
      <c r="VU23" s="1882"/>
      <c r="VV23" s="1882"/>
      <c r="VX23" s="1887"/>
      <c r="VY23" s="1888"/>
      <c r="VZ23" s="1882"/>
      <c r="WA23" s="1882"/>
      <c r="WB23" s="1882"/>
      <c r="WD23" s="1887"/>
      <c r="WE23" s="1888"/>
      <c r="WF23" s="1882"/>
      <c r="WG23" s="1882"/>
      <c r="WH23" s="1882"/>
      <c r="WJ23" s="1887"/>
      <c r="WK23" s="1888"/>
      <c r="WL23" s="1882"/>
      <c r="WM23" s="1882"/>
      <c r="WN23" s="1882"/>
      <c r="WP23" s="1887"/>
      <c r="WQ23" s="1888"/>
      <c r="WR23" s="1882"/>
      <c r="WS23" s="1882"/>
      <c r="WT23" s="1882"/>
      <c r="WV23" s="1887"/>
      <c r="WW23" s="1888"/>
      <c r="WX23" s="1882"/>
      <c r="WY23" s="1882"/>
      <c r="WZ23" s="1882"/>
      <c r="XB23" s="1887"/>
      <c r="XC23" s="1888"/>
      <c r="XD23" s="1882"/>
      <c r="XE23" s="1882"/>
      <c r="XF23" s="1882"/>
      <c r="XH23" s="1887"/>
      <c r="XI23" s="1888"/>
      <c r="XJ23" s="1882"/>
      <c r="XK23" s="1882"/>
      <c r="XL23" s="1882"/>
      <c r="XN23" s="1887"/>
      <c r="XO23" s="1888"/>
      <c r="XP23" s="1882"/>
      <c r="XQ23" s="1882"/>
      <c r="XR23" s="1882"/>
      <c r="XT23" s="1887"/>
      <c r="XU23" s="1888"/>
      <c r="XV23" s="1882"/>
      <c r="XW23" s="1882"/>
      <c r="XX23" s="1882"/>
      <c r="XZ23" s="1887"/>
      <c r="YA23" s="1888"/>
      <c r="YB23" s="1882"/>
      <c r="YC23" s="1882"/>
      <c r="YD23" s="1882"/>
      <c r="YF23" s="1887"/>
      <c r="YG23" s="1888"/>
      <c r="YH23" s="1882"/>
      <c r="YI23" s="1882"/>
      <c r="YJ23" s="1882"/>
      <c r="YL23" s="1887"/>
      <c r="YM23" s="1888"/>
      <c r="YN23" s="1882"/>
      <c r="YO23" s="1882"/>
      <c r="YP23" s="1882"/>
      <c r="YR23" s="1887"/>
      <c r="YS23" s="1888"/>
      <c r="YT23" s="1882"/>
      <c r="YU23" s="1882"/>
      <c r="YV23" s="1882"/>
      <c r="YX23" s="1887"/>
      <c r="YY23" s="1888"/>
      <c r="YZ23" s="1882"/>
      <c r="ZA23" s="1882"/>
      <c r="ZB23" s="1882"/>
      <c r="ZD23" s="1887"/>
      <c r="ZE23" s="1888"/>
      <c r="ZF23" s="1882"/>
      <c r="ZG23" s="1882"/>
      <c r="ZH23" s="1882"/>
      <c r="ZJ23" s="1887"/>
      <c r="ZK23" s="1888"/>
      <c r="ZL23" s="1882"/>
      <c r="ZM23" s="1882"/>
      <c r="ZN23" s="1882"/>
      <c r="ZP23" s="1887"/>
      <c r="ZQ23" s="1888"/>
      <c r="ZR23" s="1882"/>
      <c r="ZS23" s="1882"/>
      <c r="ZT23" s="1882"/>
      <c r="ZV23" s="1887"/>
      <c r="ZW23" s="1888"/>
      <c r="ZX23" s="1882"/>
      <c r="ZY23" s="1882"/>
      <c r="ZZ23" s="1882"/>
      <c r="AAB23" s="1887"/>
      <c r="AAC23" s="1888"/>
      <c r="AAD23" s="1882"/>
      <c r="AAE23" s="1882"/>
      <c r="AAF23" s="1882"/>
      <c r="AAH23" s="1887"/>
      <c r="AAI23" s="1888"/>
      <c r="AAJ23" s="1882"/>
      <c r="AAK23" s="1882"/>
      <c r="AAL23" s="1882"/>
      <c r="AAN23" s="1887"/>
      <c r="AAO23" s="1888"/>
      <c r="AAP23" s="1882"/>
      <c r="AAQ23" s="1882"/>
      <c r="AAR23" s="1882"/>
      <c r="AAT23" s="1887"/>
      <c r="AAU23" s="1888"/>
      <c r="AAV23" s="1882"/>
      <c r="AAW23" s="1882"/>
      <c r="AAX23" s="1882"/>
      <c r="AAZ23" s="1887"/>
      <c r="ABA23" s="1888"/>
      <c r="ABB23" s="1882"/>
      <c r="ABC23" s="1882"/>
      <c r="ABD23" s="1882"/>
      <c r="ABF23" s="1887"/>
      <c r="ABG23" s="1888"/>
      <c r="ABH23" s="1882"/>
      <c r="ABI23" s="1882"/>
      <c r="ABJ23" s="1882"/>
      <c r="ABL23" s="1887"/>
      <c r="ABM23" s="1888"/>
      <c r="ABN23" s="1882"/>
      <c r="ABO23" s="1882"/>
      <c r="ABP23" s="1882"/>
      <c r="ABR23" s="1887"/>
      <c r="ABS23" s="1888"/>
      <c r="ABT23" s="1882"/>
      <c r="ABU23" s="1882"/>
      <c r="ABV23" s="1882"/>
      <c r="ABX23" s="1887"/>
      <c r="ABY23" s="1888"/>
      <c r="ABZ23" s="1882"/>
      <c r="ACA23" s="1882"/>
      <c r="ACB23" s="1882"/>
      <c r="ACD23" s="1887"/>
      <c r="ACE23" s="1888"/>
      <c r="ACF23" s="1882"/>
      <c r="ACG23" s="1882"/>
      <c r="ACH23" s="1882"/>
      <c r="ACJ23" s="1887"/>
      <c r="ACK23" s="1888"/>
      <c r="ACL23" s="1882"/>
      <c r="ACM23" s="1882"/>
      <c r="ACN23" s="1882"/>
      <c r="ACP23" s="1887"/>
      <c r="ACQ23" s="1888"/>
      <c r="ACR23" s="1882"/>
      <c r="ACS23" s="1882"/>
      <c r="ACT23" s="1882"/>
      <c r="ACV23" s="1887"/>
      <c r="ACW23" s="1888"/>
      <c r="ACX23" s="1882"/>
      <c r="ACY23" s="1882"/>
      <c r="ACZ23" s="1882"/>
      <c r="ADB23" s="1887"/>
      <c r="ADC23" s="1888"/>
      <c r="ADD23" s="1882"/>
      <c r="ADE23" s="1882"/>
      <c r="ADF23" s="1882"/>
      <c r="ADH23" s="1887"/>
      <c r="ADI23" s="1888"/>
      <c r="ADJ23" s="1882"/>
      <c r="ADK23" s="1882"/>
      <c r="ADL23" s="1882"/>
      <c r="ADN23" s="1887"/>
      <c r="ADO23" s="1888"/>
      <c r="ADP23" s="1882"/>
      <c r="ADQ23" s="1882"/>
      <c r="ADR23" s="1882"/>
      <c r="ADT23" s="1887"/>
      <c r="ADU23" s="1888"/>
      <c r="ADV23" s="1882"/>
      <c r="ADW23" s="1882"/>
      <c r="ADX23" s="1882"/>
      <c r="ADZ23" s="1887"/>
      <c r="AEA23" s="1888"/>
      <c r="AEB23" s="1882"/>
      <c r="AEC23" s="1882"/>
      <c r="AED23" s="1882"/>
      <c r="AEF23" s="1887"/>
      <c r="AEG23" s="1888"/>
      <c r="AEH23" s="1882"/>
      <c r="AEI23" s="1882"/>
      <c r="AEJ23" s="1882"/>
      <c r="AEL23" s="1887"/>
      <c r="AEM23" s="1888"/>
      <c r="AEN23" s="1882"/>
      <c r="AEO23" s="1882"/>
      <c r="AEP23" s="1882"/>
      <c r="AER23" s="1887"/>
      <c r="AES23" s="1888"/>
      <c r="AET23" s="1882"/>
      <c r="AEU23" s="1882"/>
      <c r="AEV23" s="1882"/>
      <c r="AEX23" s="1887"/>
      <c r="AEY23" s="1888"/>
      <c r="AEZ23" s="1882"/>
      <c r="AFA23" s="1882"/>
      <c r="AFB23" s="1882"/>
      <c r="AFD23" s="1887"/>
      <c r="AFE23" s="1888"/>
      <c r="AFF23" s="1882"/>
      <c r="AFG23" s="1882"/>
      <c r="AFH23" s="1882"/>
      <c r="AFJ23" s="1887"/>
      <c r="AFK23" s="1888"/>
      <c r="AFL23" s="1882"/>
      <c r="AFM23" s="1882"/>
      <c r="AFN23" s="1882"/>
      <c r="AFP23" s="1887"/>
      <c r="AFQ23" s="1888"/>
      <c r="AFR23" s="1882"/>
      <c r="AFS23" s="1882"/>
      <c r="AFT23" s="1882"/>
      <c r="AFV23" s="1887"/>
      <c r="AFW23" s="1888"/>
      <c r="AFX23" s="1882"/>
      <c r="AFY23" s="1882"/>
      <c r="AFZ23" s="1882"/>
      <c r="AGB23" s="1887"/>
      <c r="AGC23" s="1888"/>
      <c r="AGD23" s="1882"/>
      <c r="AGE23" s="1882"/>
      <c r="AGF23" s="1882"/>
      <c r="AGH23" s="1887"/>
      <c r="AGI23" s="1888"/>
      <c r="AGJ23" s="1882"/>
      <c r="AGK23" s="1882"/>
      <c r="AGL23" s="1882"/>
      <c r="AGN23" s="1887"/>
      <c r="AGO23" s="1888"/>
      <c r="AGP23" s="1882"/>
      <c r="AGQ23" s="1882"/>
      <c r="AGR23" s="1882"/>
      <c r="AGT23" s="1887"/>
      <c r="AGU23" s="1888"/>
      <c r="AGV23" s="1882"/>
      <c r="AGW23" s="1882"/>
      <c r="AGX23" s="1882"/>
      <c r="AGZ23" s="1887"/>
      <c r="AHA23" s="1888"/>
      <c r="AHB23" s="1882"/>
      <c r="AHC23" s="1882"/>
      <c r="AHD23" s="1882"/>
      <c r="AHF23" s="1887"/>
      <c r="AHG23" s="1888"/>
      <c r="AHH23" s="1882"/>
      <c r="AHI23" s="1882"/>
      <c r="AHJ23" s="1882"/>
      <c r="AHL23" s="1887"/>
      <c r="AHM23" s="1888"/>
      <c r="AHN23" s="1882"/>
      <c r="AHO23" s="1882"/>
      <c r="AHP23" s="1882"/>
      <c r="AHR23" s="1887"/>
      <c r="AHS23" s="1888"/>
      <c r="AHT23" s="1882"/>
      <c r="AHU23" s="1882"/>
      <c r="AHV23" s="1882"/>
      <c r="AHX23" s="1887"/>
      <c r="AHY23" s="1888"/>
      <c r="AHZ23" s="1882"/>
      <c r="AIA23" s="1882"/>
      <c r="AIB23" s="1882"/>
      <c r="AID23" s="1887"/>
      <c r="AIE23" s="1888"/>
      <c r="AIF23" s="1882"/>
      <c r="AIG23" s="1882"/>
      <c r="AIH23" s="1882"/>
      <c r="AIJ23" s="1887"/>
      <c r="AIK23" s="1888"/>
      <c r="AIL23" s="1882"/>
      <c r="AIM23" s="1882"/>
      <c r="AIN23" s="1882"/>
      <c r="AIP23" s="1887"/>
      <c r="AIQ23" s="1888"/>
      <c r="AIR23" s="1882"/>
      <c r="AIS23" s="1882"/>
      <c r="AIT23" s="1882"/>
      <c r="AIV23" s="1887"/>
      <c r="AIW23" s="1888"/>
      <c r="AIX23" s="1882"/>
      <c r="AIY23" s="1882"/>
      <c r="AIZ23" s="1882"/>
      <c r="AJB23" s="1887"/>
      <c r="AJC23" s="1888"/>
      <c r="AJD23" s="1882"/>
      <c r="AJE23" s="1882"/>
      <c r="AJF23" s="1882"/>
      <c r="AJH23" s="1887"/>
      <c r="AJI23" s="1888"/>
      <c r="AJJ23" s="1882"/>
      <c r="AJK23" s="1882"/>
      <c r="AJL23" s="1882"/>
      <c r="AJN23" s="1887"/>
      <c r="AJO23" s="1888"/>
      <c r="AJP23" s="1882"/>
      <c r="AJQ23" s="1882"/>
      <c r="AJR23" s="1882"/>
      <c r="AJT23" s="1887"/>
      <c r="AJU23" s="1888"/>
      <c r="AJV23" s="1882"/>
      <c r="AJW23" s="1882"/>
      <c r="AJX23" s="1882"/>
      <c r="AJZ23" s="1887"/>
      <c r="AKA23" s="1888"/>
      <c r="AKB23" s="1882"/>
      <c r="AKC23" s="1882"/>
      <c r="AKD23" s="1882"/>
      <c r="AKF23" s="1887"/>
      <c r="AKG23" s="1888"/>
      <c r="AKH23" s="1882"/>
      <c r="AKI23" s="1882"/>
      <c r="AKJ23" s="1882"/>
      <c r="AKL23" s="1887"/>
      <c r="AKM23" s="1888"/>
      <c r="AKN23" s="1882"/>
      <c r="AKO23" s="1882"/>
      <c r="AKP23" s="1882"/>
      <c r="AKR23" s="1887"/>
      <c r="AKS23" s="1888"/>
      <c r="AKT23" s="1882"/>
      <c r="AKU23" s="1882"/>
      <c r="AKV23" s="1882"/>
      <c r="AKX23" s="1887"/>
      <c r="AKY23" s="1888"/>
      <c r="AKZ23" s="1882"/>
      <c r="ALA23" s="1882"/>
      <c r="ALB23" s="1882"/>
      <c r="ALD23" s="1887"/>
      <c r="ALE23" s="1888"/>
      <c r="ALF23" s="1882"/>
      <c r="ALG23" s="1882"/>
      <c r="ALH23" s="1882"/>
      <c r="ALJ23" s="1887"/>
      <c r="ALK23" s="1888"/>
      <c r="ALL23" s="1882"/>
      <c r="ALM23" s="1882"/>
      <c r="ALN23" s="1882"/>
      <c r="ALP23" s="1887"/>
      <c r="ALQ23" s="1888"/>
      <c r="ALR23" s="1882"/>
      <c r="ALS23" s="1882"/>
      <c r="ALT23" s="1882"/>
      <c r="ALV23" s="1887"/>
      <c r="ALW23" s="1888"/>
      <c r="ALX23" s="1882"/>
      <c r="ALY23" s="1882"/>
      <c r="ALZ23" s="1882"/>
      <c r="AMB23" s="1887"/>
      <c r="AMC23" s="1888"/>
      <c r="AMD23" s="1882"/>
      <c r="AME23" s="1882"/>
      <c r="AMF23" s="1882"/>
      <c r="AMH23" s="1887"/>
      <c r="AMI23" s="1888"/>
      <c r="AMJ23" s="1882"/>
      <c r="AMK23" s="1882"/>
      <c r="AML23" s="1882"/>
      <c r="AMN23" s="1887"/>
      <c r="AMO23" s="1888"/>
      <c r="AMP23" s="1882"/>
      <c r="AMQ23" s="1882"/>
      <c r="AMR23" s="1882"/>
      <c r="AMT23" s="1887"/>
      <c r="AMU23" s="1888"/>
      <c r="AMV23" s="1882"/>
      <c r="AMW23" s="1882"/>
      <c r="AMX23" s="1882"/>
      <c r="AMZ23" s="1887"/>
      <c r="ANA23" s="1888"/>
      <c r="ANB23" s="1882"/>
      <c r="ANC23" s="1882"/>
      <c r="AND23" s="1882"/>
      <c r="ANF23" s="1887"/>
      <c r="ANG23" s="1888"/>
      <c r="ANH23" s="1882"/>
      <c r="ANI23" s="1882"/>
      <c r="ANJ23" s="1882"/>
      <c r="ANL23" s="1887"/>
      <c r="ANM23" s="1888"/>
      <c r="ANN23" s="1882"/>
      <c r="ANO23" s="1882"/>
      <c r="ANP23" s="1882"/>
      <c r="ANR23" s="1887"/>
      <c r="ANS23" s="1888"/>
      <c r="ANT23" s="1882"/>
      <c r="ANU23" s="1882"/>
      <c r="ANV23" s="1882"/>
      <c r="ANX23" s="1887"/>
      <c r="ANY23" s="1888"/>
      <c r="ANZ23" s="1882"/>
      <c r="AOA23" s="1882"/>
      <c r="AOB23" s="1882"/>
      <c r="AOD23" s="1887"/>
      <c r="AOE23" s="1888"/>
      <c r="AOF23" s="1882"/>
      <c r="AOG23" s="1882"/>
      <c r="AOH23" s="1882"/>
      <c r="AOJ23" s="1887"/>
      <c r="AOK23" s="1888"/>
      <c r="AOL23" s="1882"/>
      <c r="AOM23" s="1882"/>
      <c r="AON23" s="1882"/>
      <c r="AOP23" s="1887"/>
      <c r="AOQ23" s="1888"/>
      <c r="AOR23" s="1882"/>
      <c r="AOS23" s="1882"/>
      <c r="AOT23" s="1882"/>
      <c r="AOV23" s="1887"/>
      <c r="AOW23" s="1888"/>
      <c r="AOX23" s="1882"/>
      <c r="AOY23" s="1882"/>
      <c r="AOZ23" s="1882"/>
      <c r="APB23" s="1887"/>
      <c r="APC23" s="1888"/>
      <c r="APD23" s="1882"/>
      <c r="APE23" s="1882"/>
      <c r="APF23" s="1882"/>
      <c r="APH23" s="1887"/>
      <c r="API23" s="1888"/>
      <c r="APJ23" s="1882"/>
      <c r="APK23" s="1882"/>
      <c r="APL23" s="1882"/>
      <c r="APN23" s="1887"/>
      <c r="APO23" s="1888"/>
      <c r="APP23" s="1882"/>
      <c r="APQ23" s="1882"/>
      <c r="APR23" s="1882"/>
      <c r="APT23" s="1887"/>
      <c r="APU23" s="1888"/>
      <c r="APV23" s="1882"/>
      <c r="APW23" s="1882"/>
      <c r="APX23" s="1882"/>
      <c r="APZ23" s="1887"/>
      <c r="AQA23" s="1888"/>
      <c r="AQB23" s="1882"/>
      <c r="AQC23" s="1882"/>
      <c r="AQD23" s="1882"/>
      <c r="AQF23" s="1887"/>
      <c r="AQG23" s="1888"/>
      <c r="AQH23" s="1882"/>
      <c r="AQI23" s="1882"/>
      <c r="AQJ23" s="1882"/>
      <c r="AQL23" s="1887"/>
      <c r="AQM23" s="1888"/>
      <c r="AQN23" s="1882"/>
      <c r="AQO23" s="1882"/>
      <c r="AQP23" s="1882"/>
      <c r="AQR23" s="1887"/>
      <c r="AQS23" s="1888"/>
      <c r="AQT23" s="1882"/>
      <c r="AQU23" s="1882"/>
      <c r="AQV23" s="1882"/>
      <c r="AQX23" s="1887"/>
      <c r="AQY23" s="1888"/>
      <c r="AQZ23" s="1882"/>
      <c r="ARA23" s="1882"/>
      <c r="ARB23" s="1882"/>
      <c r="ARD23" s="1887"/>
      <c r="ARE23" s="1888"/>
      <c r="ARF23" s="1882"/>
      <c r="ARG23" s="1882"/>
      <c r="ARH23" s="1882"/>
      <c r="ARJ23" s="1887"/>
      <c r="ARK23" s="1888"/>
      <c r="ARL23" s="1882"/>
      <c r="ARM23" s="1882"/>
      <c r="ARN23" s="1882"/>
      <c r="ARP23" s="1887"/>
      <c r="ARQ23" s="1888"/>
      <c r="ARR23" s="1882"/>
      <c r="ARS23" s="1882"/>
      <c r="ART23" s="1882"/>
      <c r="ARV23" s="1887"/>
      <c r="ARW23" s="1888"/>
      <c r="ARX23" s="1882"/>
      <c r="ARY23" s="1882"/>
      <c r="ARZ23" s="1882"/>
      <c r="ASB23" s="1887"/>
      <c r="ASC23" s="1888"/>
      <c r="ASD23" s="1882"/>
      <c r="ASE23" s="1882"/>
      <c r="ASF23" s="1882"/>
      <c r="ASH23" s="1887"/>
      <c r="ASI23" s="1888"/>
      <c r="ASJ23" s="1882"/>
      <c r="ASK23" s="1882"/>
      <c r="ASL23" s="1882"/>
      <c r="ASN23" s="1887"/>
      <c r="ASO23" s="1888"/>
      <c r="ASP23" s="1882"/>
      <c r="ASQ23" s="1882"/>
      <c r="ASR23" s="1882"/>
      <c r="AST23" s="1887"/>
      <c r="ASU23" s="1888"/>
      <c r="ASV23" s="1882"/>
      <c r="ASW23" s="1882"/>
      <c r="ASX23" s="1882"/>
      <c r="ASZ23" s="1887"/>
      <c r="ATA23" s="1888"/>
      <c r="ATB23" s="1882"/>
      <c r="ATC23" s="1882"/>
      <c r="ATD23" s="1882"/>
      <c r="ATF23" s="1887"/>
      <c r="ATG23" s="1888"/>
      <c r="ATH23" s="1882"/>
      <c r="ATI23" s="1882"/>
      <c r="ATJ23" s="1882"/>
      <c r="ATL23" s="1887"/>
      <c r="ATM23" s="1888"/>
      <c r="ATN23" s="1882"/>
      <c r="ATO23" s="1882"/>
      <c r="ATP23" s="1882"/>
      <c r="ATR23" s="1887"/>
      <c r="ATS23" s="1888"/>
      <c r="ATT23" s="1882"/>
      <c r="ATU23" s="1882"/>
      <c r="ATV23" s="1882"/>
      <c r="ATX23" s="1887"/>
      <c r="ATY23" s="1888"/>
      <c r="ATZ23" s="1882"/>
      <c r="AUA23" s="1882"/>
      <c r="AUB23" s="1882"/>
      <c r="AUD23" s="1887"/>
      <c r="AUE23" s="1888"/>
      <c r="AUF23" s="1882"/>
      <c r="AUG23" s="1882"/>
      <c r="AUH23" s="1882"/>
      <c r="AUJ23" s="1887"/>
      <c r="AUK23" s="1888"/>
      <c r="AUL23" s="1882"/>
      <c r="AUM23" s="1882"/>
      <c r="AUN23" s="1882"/>
      <c r="AUP23" s="1887"/>
      <c r="AUQ23" s="1888"/>
      <c r="AUR23" s="1882"/>
      <c r="AUS23" s="1882"/>
      <c r="AUT23" s="1882"/>
      <c r="AUV23" s="1887"/>
      <c r="AUW23" s="1888"/>
      <c r="AUX23" s="1882"/>
      <c r="AUY23" s="1882"/>
      <c r="AUZ23" s="1882"/>
      <c r="AVB23" s="1887"/>
      <c r="AVC23" s="1888"/>
      <c r="AVD23" s="1882"/>
      <c r="AVE23" s="1882"/>
      <c r="AVF23" s="1882"/>
      <c r="AVH23" s="1887"/>
      <c r="AVI23" s="1888"/>
      <c r="AVJ23" s="1882"/>
      <c r="AVK23" s="1882"/>
      <c r="AVL23" s="1882"/>
      <c r="AVN23" s="1887"/>
      <c r="AVO23" s="1888"/>
      <c r="AVP23" s="1882"/>
      <c r="AVQ23" s="1882"/>
      <c r="AVR23" s="1882"/>
      <c r="AVT23" s="1887"/>
      <c r="AVU23" s="1888"/>
      <c r="AVV23" s="1882"/>
      <c r="AVW23" s="1882"/>
      <c r="AVX23" s="1882"/>
      <c r="AVZ23" s="1887"/>
      <c r="AWA23" s="1888"/>
      <c r="AWB23" s="1882"/>
      <c r="AWC23" s="1882"/>
      <c r="AWD23" s="1882"/>
      <c r="AWF23" s="1887"/>
      <c r="AWG23" s="1888"/>
      <c r="AWH23" s="1882"/>
      <c r="AWI23" s="1882"/>
      <c r="AWJ23" s="1882"/>
      <c r="AWL23" s="1887"/>
      <c r="AWM23" s="1888"/>
      <c r="AWN23" s="1882"/>
      <c r="AWO23" s="1882"/>
      <c r="AWP23" s="1882"/>
      <c r="AWR23" s="1887"/>
      <c r="AWS23" s="1888"/>
      <c r="AWT23" s="1882"/>
      <c r="AWU23" s="1882"/>
      <c r="AWV23" s="1882"/>
      <c r="AWX23" s="1887"/>
      <c r="AWY23" s="1888"/>
      <c r="AWZ23" s="1882"/>
      <c r="AXA23" s="1882"/>
      <c r="AXB23" s="1882"/>
      <c r="AXD23" s="1887"/>
      <c r="AXE23" s="1888"/>
      <c r="AXF23" s="1882"/>
      <c r="AXG23" s="1882"/>
      <c r="AXH23" s="1882"/>
      <c r="AXJ23" s="1887"/>
      <c r="AXK23" s="1888"/>
      <c r="AXL23" s="1882"/>
      <c r="AXM23" s="1882"/>
      <c r="AXN23" s="1882"/>
      <c r="AXP23" s="1887"/>
      <c r="AXQ23" s="1888"/>
      <c r="AXR23" s="1882"/>
      <c r="AXS23" s="1882"/>
      <c r="AXT23" s="1882"/>
      <c r="AXV23" s="1887"/>
      <c r="AXW23" s="1888"/>
      <c r="AXX23" s="1882"/>
      <c r="AXY23" s="1882"/>
      <c r="AXZ23" s="1882"/>
      <c r="AYB23" s="1887"/>
      <c r="AYC23" s="1888"/>
      <c r="AYD23" s="1882"/>
      <c r="AYE23" s="1882"/>
      <c r="AYF23" s="1882"/>
      <c r="AYH23" s="1887"/>
      <c r="AYI23" s="1888"/>
      <c r="AYJ23" s="1882"/>
      <c r="AYK23" s="1882"/>
      <c r="AYL23" s="1882"/>
      <c r="AYN23" s="1887"/>
      <c r="AYO23" s="1888"/>
      <c r="AYP23" s="1882"/>
      <c r="AYQ23" s="1882"/>
      <c r="AYR23" s="1882"/>
      <c r="AYT23" s="1887"/>
      <c r="AYU23" s="1888"/>
      <c r="AYV23" s="1882"/>
      <c r="AYW23" s="1882"/>
      <c r="AYX23" s="1882"/>
      <c r="AYZ23" s="1887"/>
      <c r="AZA23" s="1888"/>
      <c r="AZB23" s="1882"/>
      <c r="AZC23" s="1882"/>
      <c r="AZD23" s="1882"/>
      <c r="AZF23" s="1887"/>
      <c r="AZG23" s="1888"/>
      <c r="AZH23" s="1882"/>
      <c r="AZI23" s="1882"/>
      <c r="AZJ23" s="1882"/>
      <c r="AZL23" s="1887"/>
      <c r="AZM23" s="1888"/>
      <c r="AZN23" s="1882"/>
      <c r="AZO23" s="1882"/>
      <c r="AZP23" s="1882"/>
      <c r="AZR23" s="1887"/>
      <c r="AZS23" s="1888"/>
      <c r="AZT23" s="1882"/>
      <c r="AZU23" s="1882"/>
      <c r="AZV23" s="1882"/>
      <c r="AZX23" s="1887"/>
      <c r="AZY23" s="1888"/>
      <c r="AZZ23" s="1882"/>
      <c r="BAA23" s="1882"/>
      <c r="BAB23" s="1882"/>
      <c r="BAD23" s="1887"/>
      <c r="BAE23" s="1888"/>
      <c r="BAF23" s="1882"/>
      <c r="BAG23" s="1882"/>
      <c r="BAH23" s="1882"/>
      <c r="BAJ23" s="1887"/>
      <c r="BAK23" s="1888"/>
      <c r="BAL23" s="1882"/>
      <c r="BAM23" s="1882"/>
      <c r="BAN23" s="1882"/>
      <c r="BAP23" s="1887"/>
      <c r="BAQ23" s="1888"/>
      <c r="BAR23" s="1882"/>
      <c r="BAS23" s="1882"/>
      <c r="BAT23" s="1882"/>
      <c r="BAV23" s="1887"/>
      <c r="BAW23" s="1888"/>
      <c r="BAX23" s="1882"/>
      <c r="BAY23" s="1882"/>
      <c r="BAZ23" s="1882"/>
      <c r="BBB23" s="1887"/>
      <c r="BBC23" s="1888"/>
      <c r="BBD23" s="1882"/>
      <c r="BBE23" s="1882"/>
      <c r="BBF23" s="1882"/>
      <c r="BBH23" s="1887"/>
      <c r="BBI23" s="1888"/>
      <c r="BBJ23" s="1882"/>
      <c r="BBK23" s="1882"/>
      <c r="BBL23" s="1882"/>
      <c r="BBN23" s="1887"/>
      <c r="BBO23" s="1888"/>
      <c r="BBP23" s="1882"/>
      <c r="BBQ23" s="1882"/>
      <c r="BBR23" s="1882"/>
      <c r="BBT23" s="1887"/>
      <c r="BBU23" s="1888"/>
      <c r="BBV23" s="1882"/>
      <c r="BBW23" s="1882"/>
      <c r="BBX23" s="1882"/>
      <c r="BBZ23" s="1887"/>
      <c r="BCA23" s="1888"/>
      <c r="BCB23" s="1882"/>
      <c r="BCC23" s="1882"/>
      <c r="BCD23" s="1882"/>
      <c r="BCF23" s="1887"/>
      <c r="BCG23" s="1888"/>
      <c r="BCH23" s="1882"/>
      <c r="BCI23" s="1882"/>
      <c r="BCJ23" s="1882"/>
      <c r="BCL23" s="1887"/>
      <c r="BCM23" s="1888"/>
      <c r="BCN23" s="1882"/>
      <c r="BCO23" s="1882"/>
      <c r="BCP23" s="1882"/>
      <c r="BCR23" s="1887"/>
      <c r="BCS23" s="1888"/>
      <c r="BCT23" s="1882"/>
      <c r="BCU23" s="1882"/>
      <c r="BCV23" s="1882"/>
      <c r="BCX23" s="1887"/>
      <c r="BCY23" s="1888"/>
      <c r="BCZ23" s="1882"/>
      <c r="BDA23" s="1882"/>
      <c r="BDB23" s="1882"/>
      <c r="BDD23" s="1887"/>
      <c r="BDE23" s="1888"/>
      <c r="BDF23" s="1882"/>
      <c r="BDG23" s="1882"/>
      <c r="BDH23" s="1882"/>
      <c r="BDJ23" s="1887"/>
      <c r="BDK23" s="1888"/>
      <c r="BDL23" s="1882"/>
      <c r="BDM23" s="1882"/>
      <c r="BDN23" s="1882"/>
      <c r="BDP23" s="1887"/>
      <c r="BDQ23" s="1888"/>
      <c r="BDR23" s="1882"/>
      <c r="BDS23" s="1882"/>
      <c r="BDT23" s="1882"/>
      <c r="BDV23" s="1887"/>
      <c r="BDW23" s="1888"/>
      <c r="BDX23" s="1882"/>
      <c r="BDY23" s="1882"/>
      <c r="BDZ23" s="1882"/>
      <c r="BEB23" s="1887"/>
      <c r="BEC23" s="1888"/>
      <c r="BED23" s="1882"/>
      <c r="BEE23" s="1882"/>
      <c r="BEF23" s="1882"/>
      <c r="BEH23" s="1887"/>
      <c r="BEI23" s="1888"/>
      <c r="BEJ23" s="1882"/>
      <c r="BEK23" s="1882"/>
      <c r="BEL23" s="1882"/>
      <c r="BEN23" s="1887"/>
      <c r="BEO23" s="1888"/>
      <c r="BEP23" s="1882"/>
      <c r="BEQ23" s="1882"/>
      <c r="BER23" s="1882"/>
      <c r="BET23" s="1887"/>
      <c r="BEU23" s="1888"/>
      <c r="BEV23" s="1882"/>
      <c r="BEW23" s="1882"/>
      <c r="BEX23" s="1882"/>
      <c r="BEZ23" s="1887"/>
      <c r="BFA23" s="1888"/>
      <c r="BFB23" s="1882"/>
      <c r="BFC23" s="1882"/>
      <c r="BFD23" s="1882"/>
      <c r="BFF23" s="1887"/>
      <c r="BFG23" s="1888"/>
      <c r="BFH23" s="1882"/>
      <c r="BFI23" s="1882"/>
      <c r="BFJ23" s="1882"/>
      <c r="BFL23" s="1887"/>
      <c r="BFM23" s="1888"/>
      <c r="BFN23" s="1882"/>
      <c r="BFO23" s="1882"/>
      <c r="BFP23" s="1882"/>
      <c r="BFR23" s="1887"/>
      <c r="BFS23" s="1888"/>
      <c r="BFT23" s="1882"/>
      <c r="BFU23" s="1882"/>
      <c r="BFV23" s="1882"/>
      <c r="BFX23" s="1887"/>
      <c r="BFY23" s="1888"/>
      <c r="BFZ23" s="1882"/>
      <c r="BGA23" s="1882"/>
      <c r="BGB23" s="1882"/>
      <c r="BGD23" s="1887"/>
      <c r="BGE23" s="1888"/>
      <c r="BGF23" s="1882"/>
      <c r="BGG23" s="1882"/>
      <c r="BGH23" s="1882"/>
      <c r="BGJ23" s="1887"/>
      <c r="BGK23" s="1888"/>
      <c r="BGL23" s="1882"/>
      <c r="BGM23" s="1882"/>
      <c r="BGN23" s="1882"/>
      <c r="BGP23" s="1887"/>
      <c r="BGQ23" s="1888"/>
      <c r="BGR23" s="1882"/>
      <c r="BGS23" s="1882"/>
      <c r="BGT23" s="1882"/>
      <c r="BGV23" s="1887"/>
      <c r="BGW23" s="1888"/>
      <c r="BGX23" s="1882"/>
      <c r="BGY23" s="1882"/>
      <c r="BGZ23" s="1882"/>
      <c r="BHB23" s="1887"/>
      <c r="BHC23" s="1888"/>
      <c r="BHD23" s="1882"/>
      <c r="BHE23" s="1882"/>
      <c r="BHF23" s="1882"/>
      <c r="BHH23" s="1887"/>
      <c r="BHI23" s="1888"/>
      <c r="BHJ23" s="1882"/>
      <c r="BHK23" s="1882"/>
      <c r="BHL23" s="1882"/>
      <c r="BHN23" s="1887"/>
      <c r="BHO23" s="1888"/>
      <c r="BHP23" s="1882"/>
      <c r="BHQ23" s="1882"/>
      <c r="BHR23" s="1882"/>
      <c r="BHT23" s="1887"/>
      <c r="BHU23" s="1888"/>
      <c r="BHV23" s="1882"/>
      <c r="BHW23" s="1882"/>
      <c r="BHX23" s="1882"/>
      <c r="BHZ23" s="1887"/>
      <c r="BIA23" s="1888"/>
      <c r="BIB23" s="1882"/>
      <c r="BIC23" s="1882"/>
      <c r="BID23" s="1882"/>
      <c r="BIF23" s="1887"/>
      <c r="BIG23" s="1888"/>
      <c r="BIH23" s="1882"/>
      <c r="BII23" s="1882"/>
      <c r="BIJ23" s="1882"/>
      <c r="BIL23" s="1887"/>
      <c r="BIM23" s="1888"/>
      <c r="BIN23" s="1882"/>
      <c r="BIO23" s="1882"/>
      <c r="BIP23" s="1882"/>
      <c r="BIR23" s="1887"/>
      <c r="BIS23" s="1888"/>
      <c r="BIT23" s="1882"/>
      <c r="BIU23" s="1882"/>
      <c r="BIV23" s="1882"/>
      <c r="BIX23" s="1887"/>
      <c r="BIY23" s="1888"/>
      <c r="BIZ23" s="1882"/>
      <c r="BJA23" s="1882"/>
      <c r="BJB23" s="1882"/>
      <c r="BJD23" s="1887"/>
      <c r="BJE23" s="1888"/>
      <c r="BJF23" s="1882"/>
      <c r="BJG23" s="1882"/>
      <c r="BJH23" s="1882"/>
      <c r="BJJ23" s="1887"/>
      <c r="BJK23" s="1888"/>
      <c r="BJL23" s="1882"/>
      <c r="BJM23" s="1882"/>
      <c r="BJN23" s="1882"/>
      <c r="BJP23" s="1887"/>
      <c r="BJQ23" s="1888"/>
      <c r="BJR23" s="1882"/>
      <c r="BJS23" s="1882"/>
      <c r="BJT23" s="1882"/>
      <c r="BJV23" s="1887"/>
      <c r="BJW23" s="1888"/>
      <c r="BJX23" s="1882"/>
      <c r="BJY23" s="1882"/>
      <c r="BJZ23" s="1882"/>
      <c r="BKB23" s="1887"/>
      <c r="BKC23" s="1888"/>
      <c r="BKD23" s="1882"/>
      <c r="BKE23" s="1882"/>
      <c r="BKF23" s="1882"/>
      <c r="BKH23" s="1887"/>
      <c r="BKI23" s="1888"/>
      <c r="BKJ23" s="1882"/>
      <c r="BKK23" s="1882"/>
      <c r="BKL23" s="1882"/>
      <c r="BKN23" s="1887"/>
      <c r="BKO23" s="1888"/>
      <c r="BKP23" s="1882"/>
      <c r="BKQ23" s="1882"/>
      <c r="BKR23" s="1882"/>
      <c r="BKT23" s="1887"/>
      <c r="BKU23" s="1888"/>
      <c r="BKV23" s="1882"/>
      <c r="BKW23" s="1882"/>
      <c r="BKX23" s="1882"/>
      <c r="BKZ23" s="1887"/>
      <c r="BLA23" s="1888"/>
      <c r="BLB23" s="1882"/>
      <c r="BLC23" s="1882"/>
      <c r="BLD23" s="1882"/>
      <c r="BLF23" s="1887"/>
      <c r="BLG23" s="1888"/>
      <c r="BLH23" s="1882"/>
      <c r="BLI23" s="1882"/>
      <c r="BLJ23" s="1882"/>
      <c r="BLL23" s="1887"/>
      <c r="BLM23" s="1888"/>
      <c r="BLN23" s="1882"/>
      <c r="BLO23" s="1882"/>
      <c r="BLP23" s="1882"/>
      <c r="BLR23" s="1887"/>
      <c r="BLS23" s="1888"/>
      <c r="BLT23" s="1882"/>
      <c r="BLU23" s="1882"/>
      <c r="BLV23" s="1882"/>
      <c r="BLX23" s="1887"/>
      <c r="BLY23" s="1888"/>
      <c r="BLZ23" s="1882"/>
      <c r="BMA23" s="1882"/>
      <c r="BMB23" s="1882"/>
      <c r="BMD23" s="1887"/>
      <c r="BME23" s="1888"/>
      <c r="BMF23" s="1882"/>
      <c r="BMG23" s="1882"/>
      <c r="BMH23" s="1882"/>
      <c r="BMJ23" s="1887"/>
      <c r="BMK23" s="1888"/>
      <c r="BML23" s="1882"/>
      <c r="BMM23" s="1882"/>
      <c r="BMN23" s="1882"/>
      <c r="BMP23" s="1887"/>
      <c r="BMQ23" s="1888"/>
      <c r="BMR23" s="1882"/>
      <c r="BMS23" s="1882"/>
      <c r="BMT23" s="1882"/>
      <c r="BMV23" s="1887"/>
      <c r="BMW23" s="1888"/>
      <c r="BMX23" s="1882"/>
      <c r="BMY23" s="1882"/>
      <c r="BMZ23" s="1882"/>
      <c r="BNB23" s="1887"/>
      <c r="BNC23" s="1888"/>
      <c r="BND23" s="1882"/>
      <c r="BNE23" s="1882"/>
      <c r="BNF23" s="1882"/>
      <c r="BNH23" s="1887"/>
      <c r="BNI23" s="1888"/>
      <c r="BNJ23" s="1882"/>
      <c r="BNK23" s="1882"/>
      <c r="BNL23" s="1882"/>
      <c r="BNN23" s="1887"/>
      <c r="BNO23" s="1888"/>
      <c r="BNP23" s="1882"/>
      <c r="BNQ23" s="1882"/>
      <c r="BNR23" s="1882"/>
      <c r="BNT23" s="1887"/>
      <c r="BNU23" s="1888"/>
      <c r="BNV23" s="1882"/>
      <c r="BNW23" s="1882"/>
      <c r="BNX23" s="1882"/>
      <c r="BNZ23" s="1887"/>
      <c r="BOA23" s="1888"/>
      <c r="BOB23" s="1882"/>
      <c r="BOC23" s="1882"/>
      <c r="BOD23" s="1882"/>
      <c r="BOF23" s="1887"/>
      <c r="BOG23" s="1888"/>
      <c r="BOH23" s="1882"/>
      <c r="BOI23" s="1882"/>
      <c r="BOJ23" s="1882"/>
      <c r="BOL23" s="1887"/>
      <c r="BOM23" s="1888"/>
      <c r="BON23" s="1882"/>
      <c r="BOO23" s="1882"/>
      <c r="BOP23" s="1882"/>
      <c r="BOR23" s="1887"/>
      <c r="BOS23" s="1888"/>
      <c r="BOT23" s="1882"/>
      <c r="BOU23" s="1882"/>
      <c r="BOV23" s="1882"/>
      <c r="BOX23" s="1887"/>
      <c r="BOY23" s="1888"/>
      <c r="BOZ23" s="1882"/>
      <c r="BPA23" s="1882"/>
      <c r="BPB23" s="1882"/>
      <c r="BPD23" s="1887"/>
      <c r="BPE23" s="1888"/>
      <c r="BPF23" s="1882"/>
      <c r="BPG23" s="1882"/>
      <c r="BPH23" s="1882"/>
      <c r="BPJ23" s="1887"/>
      <c r="BPK23" s="1888"/>
      <c r="BPL23" s="1882"/>
      <c r="BPM23" s="1882"/>
      <c r="BPN23" s="1882"/>
      <c r="BPP23" s="1887"/>
      <c r="BPQ23" s="1888"/>
      <c r="BPR23" s="1882"/>
      <c r="BPS23" s="1882"/>
      <c r="BPT23" s="1882"/>
      <c r="BPV23" s="1887"/>
      <c r="BPW23" s="1888"/>
      <c r="BPX23" s="1882"/>
      <c r="BPY23" s="1882"/>
      <c r="BPZ23" s="1882"/>
      <c r="BQB23" s="1887"/>
      <c r="BQC23" s="1888"/>
      <c r="BQD23" s="1882"/>
      <c r="BQE23" s="1882"/>
      <c r="BQF23" s="1882"/>
      <c r="BQH23" s="1887"/>
      <c r="BQI23" s="1888"/>
      <c r="BQJ23" s="1882"/>
      <c r="BQK23" s="1882"/>
      <c r="BQL23" s="1882"/>
      <c r="BQN23" s="1887"/>
      <c r="BQO23" s="1888"/>
      <c r="BQP23" s="1882"/>
      <c r="BQQ23" s="1882"/>
      <c r="BQR23" s="1882"/>
      <c r="BQT23" s="1887"/>
      <c r="BQU23" s="1888"/>
      <c r="BQV23" s="1882"/>
      <c r="BQW23" s="1882"/>
      <c r="BQX23" s="1882"/>
      <c r="BQZ23" s="1887"/>
      <c r="BRA23" s="1888"/>
      <c r="BRB23" s="1882"/>
      <c r="BRC23" s="1882"/>
      <c r="BRD23" s="1882"/>
      <c r="BRF23" s="1887"/>
      <c r="BRG23" s="1888"/>
      <c r="BRH23" s="1882"/>
      <c r="BRI23" s="1882"/>
      <c r="BRJ23" s="1882"/>
      <c r="BRL23" s="1887"/>
      <c r="BRM23" s="1888"/>
      <c r="BRN23" s="1882"/>
      <c r="BRO23" s="1882"/>
      <c r="BRP23" s="1882"/>
      <c r="BRR23" s="1887"/>
      <c r="BRS23" s="1888"/>
      <c r="BRT23" s="1882"/>
      <c r="BRU23" s="1882"/>
      <c r="BRV23" s="1882"/>
      <c r="BRX23" s="1887"/>
      <c r="BRY23" s="1888"/>
      <c r="BRZ23" s="1882"/>
      <c r="BSA23" s="1882"/>
      <c r="BSB23" s="1882"/>
      <c r="BSD23" s="1887"/>
      <c r="BSE23" s="1888"/>
      <c r="BSF23" s="1882"/>
      <c r="BSG23" s="1882"/>
      <c r="BSH23" s="1882"/>
      <c r="BSJ23" s="1887"/>
      <c r="BSK23" s="1888"/>
      <c r="BSL23" s="1882"/>
      <c r="BSM23" s="1882"/>
      <c r="BSN23" s="1882"/>
      <c r="BSP23" s="1887"/>
      <c r="BSQ23" s="1888"/>
      <c r="BSR23" s="1882"/>
      <c r="BSS23" s="1882"/>
      <c r="BST23" s="1882"/>
      <c r="BSV23" s="1887"/>
      <c r="BSW23" s="1888"/>
      <c r="BSX23" s="1882"/>
      <c r="BSY23" s="1882"/>
      <c r="BSZ23" s="1882"/>
      <c r="BTB23" s="1887"/>
      <c r="BTC23" s="1888"/>
      <c r="BTD23" s="1882"/>
      <c r="BTE23" s="1882"/>
      <c r="BTF23" s="1882"/>
      <c r="BTH23" s="1887"/>
      <c r="BTI23" s="1888"/>
      <c r="BTJ23" s="1882"/>
      <c r="BTK23" s="1882"/>
      <c r="BTL23" s="1882"/>
      <c r="BTN23" s="1887"/>
      <c r="BTO23" s="1888"/>
      <c r="BTP23" s="1882"/>
      <c r="BTQ23" s="1882"/>
      <c r="BTR23" s="1882"/>
      <c r="BTT23" s="1887"/>
      <c r="BTU23" s="1888"/>
      <c r="BTV23" s="1882"/>
      <c r="BTW23" s="1882"/>
      <c r="BTX23" s="1882"/>
      <c r="BTZ23" s="1887"/>
      <c r="BUA23" s="1888"/>
      <c r="BUB23" s="1882"/>
      <c r="BUC23" s="1882"/>
      <c r="BUD23" s="1882"/>
      <c r="BUF23" s="1887"/>
      <c r="BUG23" s="1888"/>
      <c r="BUH23" s="1882"/>
      <c r="BUI23" s="1882"/>
      <c r="BUJ23" s="1882"/>
      <c r="BUL23" s="1887"/>
      <c r="BUM23" s="1888"/>
      <c r="BUN23" s="1882"/>
      <c r="BUO23" s="1882"/>
      <c r="BUP23" s="1882"/>
      <c r="BUR23" s="1887"/>
      <c r="BUS23" s="1888"/>
      <c r="BUT23" s="1882"/>
      <c r="BUU23" s="1882"/>
      <c r="BUV23" s="1882"/>
      <c r="BUX23" s="1887"/>
      <c r="BUY23" s="1888"/>
      <c r="BUZ23" s="1882"/>
      <c r="BVA23" s="1882"/>
      <c r="BVB23" s="1882"/>
      <c r="BVD23" s="1887"/>
      <c r="BVE23" s="1888"/>
      <c r="BVF23" s="1882"/>
      <c r="BVG23" s="1882"/>
      <c r="BVH23" s="1882"/>
      <c r="BVJ23" s="1887"/>
      <c r="BVK23" s="1888"/>
      <c r="BVL23" s="1882"/>
      <c r="BVM23" s="1882"/>
      <c r="BVN23" s="1882"/>
      <c r="BVP23" s="1887"/>
      <c r="BVQ23" s="1888"/>
      <c r="BVR23" s="1882"/>
      <c r="BVS23" s="1882"/>
      <c r="BVT23" s="1882"/>
      <c r="BVV23" s="1887"/>
      <c r="BVW23" s="1888"/>
      <c r="BVX23" s="1882"/>
      <c r="BVY23" s="1882"/>
      <c r="BVZ23" s="1882"/>
      <c r="BWB23" s="1887"/>
      <c r="BWC23" s="1888"/>
      <c r="BWD23" s="1882"/>
      <c r="BWE23" s="1882"/>
      <c r="BWF23" s="1882"/>
      <c r="BWH23" s="1887"/>
      <c r="BWI23" s="1888"/>
      <c r="BWJ23" s="1882"/>
      <c r="BWK23" s="1882"/>
      <c r="BWL23" s="1882"/>
      <c r="BWN23" s="1887"/>
      <c r="BWO23" s="1888"/>
      <c r="BWP23" s="1882"/>
      <c r="BWQ23" s="1882"/>
      <c r="BWR23" s="1882"/>
      <c r="BWT23" s="1887"/>
      <c r="BWU23" s="1888"/>
      <c r="BWV23" s="1882"/>
      <c r="BWW23" s="1882"/>
      <c r="BWX23" s="1882"/>
      <c r="BWZ23" s="1887"/>
      <c r="BXA23" s="1888"/>
      <c r="BXB23" s="1882"/>
      <c r="BXC23" s="1882"/>
      <c r="BXD23" s="1882"/>
      <c r="BXF23" s="1887"/>
      <c r="BXG23" s="1888"/>
      <c r="BXH23" s="1882"/>
      <c r="BXI23" s="1882"/>
      <c r="BXJ23" s="1882"/>
      <c r="BXL23" s="1887"/>
      <c r="BXM23" s="1888"/>
      <c r="BXN23" s="1882"/>
      <c r="BXO23" s="1882"/>
      <c r="BXP23" s="1882"/>
      <c r="BXR23" s="1887"/>
      <c r="BXS23" s="1888"/>
      <c r="BXT23" s="1882"/>
      <c r="BXU23" s="1882"/>
      <c r="BXV23" s="1882"/>
      <c r="BXX23" s="1887"/>
      <c r="BXY23" s="1888"/>
      <c r="BXZ23" s="1882"/>
      <c r="BYA23" s="1882"/>
      <c r="BYB23" s="1882"/>
      <c r="BYD23" s="1887"/>
      <c r="BYE23" s="1888"/>
      <c r="BYF23" s="1882"/>
      <c r="BYG23" s="1882"/>
      <c r="BYH23" s="1882"/>
      <c r="BYJ23" s="1887"/>
      <c r="BYK23" s="1888"/>
      <c r="BYL23" s="1882"/>
      <c r="BYM23" s="1882"/>
      <c r="BYN23" s="1882"/>
      <c r="BYP23" s="1887"/>
      <c r="BYQ23" s="1888"/>
      <c r="BYR23" s="1882"/>
      <c r="BYS23" s="1882"/>
      <c r="BYT23" s="1882"/>
      <c r="BYV23" s="1887"/>
      <c r="BYW23" s="1888"/>
      <c r="BYX23" s="1882"/>
      <c r="BYY23" s="1882"/>
      <c r="BYZ23" s="1882"/>
      <c r="BZB23" s="1887"/>
      <c r="BZC23" s="1888"/>
      <c r="BZD23" s="1882"/>
      <c r="BZE23" s="1882"/>
      <c r="BZF23" s="1882"/>
      <c r="BZH23" s="1887"/>
      <c r="BZI23" s="1888"/>
      <c r="BZJ23" s="1882"/>
      <c r="BZK23" s="1882"/>
      <c r="BZL23" s="1882"/>
      <c r="BZN23" s="1887"/>
      <c r="BZO23" s="1888"/>
      <c r="BZP23" s="1882"/>
      <c r="BZQ23" s="1882"/>
      <c r="BZR23" s="1882"/>
      <c r="BZT23" s="1887"/>
      <c r="BZU23" s="1888"/>
      <c r="BZV23" s="1882"/>
      <c r="BZW23" s="1882"/>
      <c r="BZX23" s="1882"/>
      <c r="BZZ23" s="1887"/>
      <c r="CAA23" s="1888"/>
      <c r="CAB23" s="1882"/>
      <c r="CAC23" s="1882"/>
      <c r="CAD23" s="1882"/>
      <c r="CAF23" s="1887"/>
      <c r="CAG23" s="1888"/>
      <c r="CAH23" s="1882"/>
      <c r="CAI23" s="1882"/>
      <c r="CAJ23" s="1882"/>
      <c r="CAL23" s="1887"/>
      <c r="CAM23" s="1888"/>
      <c r="CAN23" s="1882"/>
      <c r="CAO23" s="1882"/>
      <c r="CAP23" s="1882"/>
      <c r="CAR23" s="1887"/>
      <c r="CAS23" s="1888"/>
      <c r="CAT23" s="1882"/>
      <c r="CAU23" s="1882"/>
      <c r="CAV23" s="1882"/>
      <c r="CAX23" s="1887"/>
      <c r="CAY23" s="1888"/>
      <c r="CAZ23" s="1882"/>
      <c r="CBA23" s="1882"/>
      <c r="CBB23" s="1882"/>
      <c r="CBD23" s="1887"/>
      <c r="CBE23" s="1888"/>
      <c r="CBF23" s="1882"/>
      <c r="CBG23" s="1882"/>
      <c r="CBH23" s="1882"/>
      <c r="CBJ23" s="1887"/>
      <c r="CBK23" s="1888"/>
      <c r="CBL23" s="1882"/>
      <c r="CBM23" s="1882"/>
      <c r="CBN23" s="1882"/>
      <c r="CBP23" s="1887"/>
      <c r="CBQ23" s="1888"/>
      <c r="CBR23" s="1882"/>
      <c r="CBS23" s="1882"/>
      <c r="CBT23" s="1882"/>
      <c r="CBV23" s="1887"/>
      <c r="CBW23" s="1888"/>
      <c r="CBX23" s="1882"/>
      <c r="CBY23" s="1882"/>
      <c r="CBZ23" s="1882"/>
      <c r="CCB23" s="1887"/>
      <c r="CCC23" s="1888"/>
      <c r="CCD23" s="1882"/>
      <c r="CCE23" s="1882"/>
      <c r="CCF23" s="1882"/>
      <c r="CCH23" s="1887"/>
      <c r="CCI23" s="1888"/>
      <c r="CCJ23" s="1882"/>
      <c r="CCK23" s="1882"/>
      <c r="CCL23" s="1882"/>
      <c r="CCN23" s="1887"/>
      <c r="CCO23" s="1888"/>
      <c r="CCP23" s="1882"/>
      <c r="CCQ23" s="1882"/>
      <c r="CCR23" s="1882"/>
      <c r="CCT23" s="1887"/>
      <c r="CCU23" s="1888"/>
      <c r="CCV23" s="1882"/>
      <c r="CCW23" s="1882"/>
      <c r="CCX23" s="1882"/>
      <c r="CCZ23" s="1887"/>
      <c r="CDA23" s="1888"/>
      <c r="CDB23" s="1882"/>
      <c r="CDC23" s="1882"/>
      <c r="CDD23" s="1882"/>
      <c r="CDF23" s="1887"/>
      <c r="CDG23" s="1888"/>
      <c r="CDH23" s="1882"/>
      <c r="CDI23" s="1882"/>
      <c r="CDJ23" s="1882"/>
      <c r="CDL23" s="1887"/>
      <c r="CDM23" s="1888"/>
      <c r="CDN23" s="1882"/>
      <c r="CDO23" s="1882"/>
      <c r="CDP23" s="1882"/>
      <c r="CDR23" s="1887"/>
      <c r="CDS23" s="1888"/>
      <c r="CDT23" s="1882"/>
      <c r="CDU23" s="1882"/>
      <c r="CDV23" s="1882"/>
      <c r="CDX23" s="1887"/>
      <c r="CDY23" s="1888"/>
      <c r="CDZ23" s="1882"/>
      <c r="CEA23" s="1882"/>
      <c r="CEB23" s="1882"/>
      <c r="CED23" s="1887"/>
      <c r="CEE23" s="1888"/>
      <c r="CEF23" s="1882"/>
      <c r="CEG23" s="1882"/>
      <c r="CEH23" s="1882"/>
      <c r="CEJ23" s="1887"/>
      <c r="CEK23" s="1888"/>
      <c r="CEL23" s="1882"/>
      <c r="CEM23" s="1882"/>
      <c r="CEN23" s="1882"/>
      <c r="CEP23" s="1887"/>
      <c r="CEQ23" s="1888"/>
      <c r="CER23" s="1882"/>
      <c r="CES23" s="1882"/>
      <c r="CET23" s="1882"/>
      <c r="CEV23" s="1887"/>
      <c r="CEW23" s="1888"/>
      <c r="CEX23" s="1882"/>
      <c r="CEY23" s="1882"/>
      <c r="CEZ23" s="1882"/>
      <c r="CFB23" s="1887"/>
      <c r="CFC23" s="1888"/>
      <c r="CFD23" s="1882"/>
      <c r="CFE23" s="1882"/>
      <c r="CFF23" s="1882"/>
      <c r="CFH23" s="1887"/>
      <c r="CFI23" s="1888"/>
      <c r="CFJ23" s="1882"/>
      <c r="CFK23" s="1882"/>
      <c r="CFL23" s="1882"/>
      <c r="CFN23" s="1887"/>
      <c r="CFO23" s="1888"/>
      <c r="CFP23" s="1882"/>
      <c r="CFQ23" s="1882"/>
      <c r="CFR23" s="1882"/>
      <c r="CFT23" s="1887"/>
      <c r="CFU23" s="1888"/>
      <c r="CFV23" s="1882"/>
      <c r="CFW23" s="1882"/>
      <c r="CFX23" s="1882"/>
      <c r="CFZ23" s="1887"/>
      <c r="CGA23" s="1888"/>
      <c r="CGB23" s="1882"/>
      <c r="CGC23" s="1882"/>
      <c r="CGD23" s="1882"/>
      <c r="CGF23" s="1887"/>
      <c r="CGG23" s="1888"/>
      <c r="CGH23" s="1882"/>
      <c r="CGI23" s="1882"/>
      <c r="CGJ23" s="1882"/>
      <c r="CGL23" s="1887"/>
      <c r="CGM23" s="1888"/>
      <c r="CGN23" s="1882"/>
      <c r="CGO23" s="1882"/>
      <c r="CGP23" s="1882"/>
      <c r="CGR23" s="1887"/>
      <c r="CGS23" s="1888"/>
      <c r="CGT23" s="1882"/>
      <c r="CGU23" s="1882"/>
      <c r="CGV23" s="1882"/>
      <c r="CGX23" s="1887"/>
      <c r="CGY23" s="1888"/>
      <c r="CGZ23" s="1882"/>
      <c r="CHA23" s="1882"/>
      <c r="CHB23" s="1882"/>
      <c r="CHD23" s="1887"/>
      <c r="CHE23" s="1888"/>
      <c r="CHF23" s="1882"/>
      <c r="CHG23" s="1882"/>
      <c r="CHH23" s="1882"/>
      <c r="CHJ23" s="1887"/>
      <c r="CHK23" s="1888"/>
      <c r="CHL23" s="1882"/>
      <c r="CHM23" s="1882"/>
      <c r="CHN23" s="1882"/>
      <c r="CHP23" s="1887"/>
      <c r="CHQ23" s="1888"/>
      <c r="CHR23" s="1882"/>
      <c r="CHS23" s="1882"/>
      <c r="CHT23" s="1882"/>
      <c r="CHV23" s="1887"/>
      <c r="CHW23" s="1888"/>
      <c r="CHX23" s="1882"/>
      <c r="CHY23" s="1882"/>
      <c r="CHZ23" s="1882"/>
      <c r="CIB23" s="1887"/>
      <c r="CIC23" s="1888"/>
      <c r="CID23" s="1882"/>
      <c r="CIE23" s="1882"/>
      <c r="CIF23" s="1882"/>
      <c r="CIH23" s="1887"/>
      <c r="CII23" s="1888"/>
      <c r="CIJ23" s="1882"/>
      <c r="CIK23" s="1882"/>
      <c r="CIL23" s="1882"/>
      <c r="CIN23" s="1887"/>
      <c r="CIO23" s="1888"/>
      <c r="CIP23" s="1882"/>
      <c r="CIQ23" s="1882"/>
      <c r="CIR23" s="1882"/>
      <c r="CIT23" s="1887"/>
      <c r="CIU23" s="1888"/>
      <c r="CIV23" s="1882"/>
      <c r="CIW23" s="1882"/>
      <c r="CIX23" s="1882"/>
      <c r="CIZ23" s="1887"/>
      <c r="CJA23" s="1888"/>
      <c r="CJB23" s="1882"/>
      <c r="CJC23" s="1882"/>
      <c r="CJD23" s="1882"/>
      <c r="CJF23" s="1887"/>
      <c r="CJG23" s="1888"/>
      <c r="CJH23" s="1882"/>
      <c r="CJI23" s="1882"/>
      <c r="CJJ23" s="1882"/>
      <c r="CJL23" s="1887"/>
      <c r="CJM23" s="1888"/>
      <c r="CJN23" s="1882"/>
      <c r="CJO23" s="1882"/>
      <c r="CJP23" s="1882"/>
      <c r="CJR23" s="1887"/>
      <c r="CJS23" s="1888"/>
      <c r="CJT23" s="1882"/>
      <c r="CJU23" s="1882"/>
      <c r="CJV23" s="1882"/>
      <c r="CJX23" s="1887"/>
      <c r="CJY23" s="1888"/>
      <c r="CJZ23" s="1882"/>
      <c r="CKA23" s="1882"/>
      <c r="CKB23" s="1882"/>
      <c r="CKD23" s="1887"/>
      <c r="CKE23" s="1888"/>
      <c r="CKF23" s="1882"/>
      <c r="CKG23" s="1882"/>
      <c r="CKH23" s="1882"/>
      <c r="CKJ23" s="1887"/>
      <c r="CKK23" s="1888"/>
      <c r="CKL23" s="1882"/>
      <c r="CKM23" s="1882"/>
      <c r="CKN23" s="1882"/>
      <c r="CKP23" s="1887"/>
      <c r="CKQ23" s="1888"/>
      <c r="CKR23" s="1882"/>
      <c r="CKS23" s="1882"/>
      <c r="CKT23" s="1882"/>
      <c r="CKV23" s="1887"/>
      <c r="CKW23" s="1888"/>
      <c r="CKX23" s="1882"/>
      <c r="CKY23" s="1882"/>
      <c r="CKZ23" s="1882"/>
      <c r="CLB23" s="1887"/>
      <c r="CLC23" s="1888"/>
      <c r="CLD23" s="1882"/>
      <c r="CLE23" s="1882"/>
      <c r="CLF23" s="1882"/>
      <c r="CLH23" s="1887"/>
      <c r="CLI23" s="1888"/>
      <c r="CLJ23" s="1882"/>
      <c r="CLK23" s="1882"/>
      <c r="CLL23" s="1882"/>
      <c r="CLN23" s="1887"/>
      <c r="CLO23" s="1888"/>
      <c r="CLP23" s="1882"/>
      <c r="CLQ23" s="1882"/>
      <c r="CLR23" s="1882"/>
      <c r="CLT23" s="1887"/>
      <c r="CLU23" s="1888"/>
      <c r="CLV23" s="1882"/>
      <c r="CLW23" s="1882"/>
      <c r="CLX23" s="1882"/>
      <c r="CLZ23" s="1887"/>
      <c r="CMA23" s="1888"/>
      <c r="CMB23" s="1882"/>
      <c r="CMC23" s="1882"/>
      <c r="CMD23" s="1882"/>
      <c r="CMF23" s="1887"/>
      <c r="CMG23" s="1888"/>
      <c r="CMH23" s="1882"/>
      <c r="CMI23" s="1882"/>
      <c r="CMJ23" s="1882"/>
      <c r="CML23" s="1887"/>
      <c r="CMM23" s="1888"/>
      <c r="CMN23" s="1882"/>
      <c r="CMO23" s="1882"/>
      <c r="CMP23" s="1882"/>
      <c r="CMR23" s="1887"/>
      <c r="CMS23" s="1888"/>
      <c r="CMT23" s="1882"/>
      <c r="CMU23" s="1882"/>
      <c r="CMV23" s="1882"/>
      <c r="CMX23" s="1887"/>
      <c r="CMY23" s="1888"/>
      <c r="CMZ23" s="1882"/>
      <c r="CNA23" s="1882"/>
      <c r="CNB23" s="1882"/>
      <c r="CND23" s="1887"/>
      <c r="CNE23" s="1888"/>
      <c r="CNF23" s="1882"/>
      <c r="CNG23" s="1882"/>
      <c r="CNH23" s="1882"/>
      <c r="CNJ23" s="1887"/>
      <c r="CNK23" s="1888"/>
      <c r="CNL23" s="1882"/>
      <c r="CNM23" s="1882"/>
      <c r="CNN23" s="1882"/>
      <c r="CNP23" s="1887"/>
      <c r="CNQ23" s="1888"/>
      <c r="CNR23" s="1882"/>
      <c r="CNS23" s="1882"/>
      <c r="CNT23" s="1882"/>
      <c r="CNV23" s="1887"/>
      <c r="CNW23" s="1888"/>
      <c r="CNX23" s="1882"/>
      <c r="CNY23" s="1882"/>
      <c r="CNZ23" s="1882"/>
      <c r="COB23" s="1887"/>
      <c r="COC23" s="1888"/>
      <c r="COD23" s="1882"/>
      <c r="COE23" s="1882"/>
      <c r="COF23" s="1882"/>
      <c r="COH23" s="1887"/>
      <c r="COI23" s="1888"/>
      <c r="COJ23" s="1882"/>
      <c r="COK23" s="1882"/>
      <c r="COL23" s="1882"/>
      <c r="CON23" s="1887"/>
      <c r="COO23" s="1888"/>
      <c r="COP23" s="1882"/>
      <c r="COQ23" s="1882"/>
      <c r="COR23" s="1882"/>
      <c r="COT23" s="1887"/>
      <c r="COU23" s="1888"/>
      <c r="COV23" s="1882"/>
      <c r="COW23" s="1882"/>
      <c r="COX23" s="1882"/>
      <c r="COZ23" s="1887"/>
      <c r="CPA23" s="1888"/>
      <c r="CPB23" s="1882"/>
      <c r="CPC23" s="1882"/>
      <c r="CPD23" s="1882"/>
      <c r="CPF23" s="1887"/>
      <c r="CPG23" s="1888"/>
      <c r="CPH23" s="1882"/>
      <c r="CPI23" s="1882"/>
      <c r="CPJ23" s="1882"/>
      <c r="CPL23" s="1887"/>
      <c r="CPM23" s="1888"/>
      <c r="CPN23" s="1882"/>
      <c r="CPO23" s="1882"/>
      <c r="CPP23" s="1882"/>
      <c r="CPR23" s="1887"/>
      <c r="CPS23" s="1888"/>
      <c r="CPT23" s="1882"/>
      <c r="CPU23" s="1882"/>
      <c r="CPV23" s="1882"/>
      <c r="CPX23" s="1887"/>
      <c r="CPY23" s="1888"/>
      <c r="CPZ23" s="1882"/>
      <c r="CQA23" s="1882"/>
      <c r="CQB23" s="1882"/>
      <c r="CQD23" s="1887"/>
      <c r="CQE23" s="1888"/>
      <c r="CQF23" s="1882"/>
      <c r="CQG23" s="1882"/>
      <c r="CQH23" s="1882"/>
      <c r="CQJ23" s="1887"/>
      <c r="CQK23" s="1888"/>
      <c r="CQL23" s="1882"/>
      <c r="CQM23" s="1882"/>
      <c r="CQN23" s="1882"/>
      <c r="CQP23" s="1887"/>
      <c r="CQQ23" s="1888"/>
      <c r="CQR23" s="1882"/>
      <c r="CQS23" s="1882"/>
      <c r="CQT23" s="1882"/>
      <c r="CQV23" s="1887"/>
      <c r="CQW23" s="1888"/>
      <c r="CQX23" s="1882"/>
      <c r="CQY23" s="1882"/>
      <c r="CQZ23" s="1882"/>
      <c r="CRB23" s="1887"/>
      <c r="CRC23" s="1888"/>
      <c r="CRD23" s="1882"/>
      <c r="CRE23" s="1882"/>
      <c r="CRF23" s="1882"/>
      <c r="CRH23" s="1887"/>
      <c r="CRI23" s="1888"/>
      <c r="CRJ23" s="1882"/>
      <c r="CRK23" s="1882"/>
      <c r="CRL23" s="1882"/>
      <c r="CRN23" s="1887"/>
      <c r="CRO23" s="1888"/>
      <c r="CRP23" s="1882"/>
      <c r="CRQ23" s="1882"/>
      <c r="CRR23" s="1882"/>
      <c r="CRT23" s="1887"/>
      <c r="CRU23" s="1888"/>
      <c r="CRV23" s="1882"/>
      <c r="CRW23" s="1882"/>
      <c r="CRX23" s="1882"/>
      <c r="CRZ23" s="1887"/>
      <c r="CSA23" s="1888"/>
      <c r="CSB23" s="1882"/>
      <c r="CSC23" s="1882"/>
      <c r="CSD23" s="1882"/>
      <c r="CSF23" s="1887"/>
      <c r="CSG23" s="1888"/>
      <c r="CSH23" s="1882"/>
      <c r="CSI23" s="1882"/>
      <c r="CSJ23" s="1882"/>
      <c r="CSL23" s="1887"/>
      <c r="CSM23" s="1888"/>
      <c r="CSN23" s="1882"/>
      <c r="CSO23" s="1882"/>
      <c r="CSP23" s="1882"/>
      <c r="CSR23" s="1887"/>
      <c r="CSS23" s="1888"/>
      <c r="CST23" s="1882"/>
      <c r="CSU23" s="1882"/>
      <c r="CSV23" s="1882"/>
      <c r="CSX23" s="1887"/>
      <c r="CSY23" s="1888"/>
      <c r="CSZ23" s="1882"/>
      <c r="CTA23" s="1882"/>
      <c r="CTB23" s="1882"/>
      <c r="CTD23" s="1887"/>
      <c r="CTE23" s="1888"/>
      <c r="CTF23" s="1882"/>
      <c r="CTG23" s="1882"/>
      <c r="CTH23" s="1882"/>
      <c r="CTJ23" s="1887"/>
      <c r="CTK23" s="1888"/>
      <c r="CTL23" s="1882"/>
      <c r="CTM23" s="1882"/>
      <c r="CTN23" s="1882"/>
      <c r="CTP23" s="1887"/>
      <c r="CTQ23" s="1888"/>
      <c r="CTR23" s="1882"/>
      <c r="CTS23" s="1882"/>
      <c r="CTT23" s="1882"/>
      <c r="CTV23" s="1887"/>
      <c r="CTW23" s="1888"/>
      <c r="CTX23" s="1882"/>
      <c r="CTY23" s="1882"/>
      <c r="CTZ23" s="1882"/>
      <c r="CUB23" s="1887"/>
      <c r="CUC23" s="1888"/>
      <c r="CUD23" s="1882"/>
      <c r="CUE23" s="1882"/>
      <c r="CUF23" s="1882"/>
      <c r="CUH23" s="1887"/>
      <c r="CUI23" s="1888"/>
      <c r="CUJ23" s="1882"/>
      <c r="CUK23" s="1882"/>
      <c r="CUL23" s="1882"/>
      <c r="CUN23" s="1887"/>
      <c r="CUO23" s="1888"/>
      <c r="CUP23" s="1882"/>
      <c r="CUQ23" s="1882"/>
      <c r="CUR23" s="1882"/>
      <c r="CUT23" s="1887"/>
      <c r="CUU23" s="1888"/>
      <c r="CUV23" s="1882"/>
      <c r="CUW23" s="1882"/>
      <c r="CUX23" s="1882"/>
      <c r="CUZ23" s="1887"/>
      <c r="CVA23" s="1888"/>
      <c r="CVB23" s="1882"/>
      <c r="CVC23" s="1882"/>
      <c r="CVD23" s="1882"/>
      <c r="CVF23" s="1887"/>
      <c r="CVG23" s="1888"/>
      <c r="CVH23" s="1882"/>
      <c r="CVI23" s="1882"/>
      <c r="CVJ23" s="1882"/>
      <c r="CVL23" s="1887"/>
      <c r="CVM23" s="1888"/>
      <c r="CVN23" s="1882"/>
      <c r="CVO23" s="1882"/>
      <c r="CVP23" s="1882"/>
      <c r="CVR23" s="1887"/>
      <c r="CVS23" s="1888"/>
      <c r="CVT23" s="1882"/>
      <c r="CVU23" s="1882"/>
      <c r="CVV23" s="1882"/>
      <c r="CVX23" s="1887"/>
      <c r="CVY23" s="1888"/>
      <c r="CVZ23" s="1882"/>
      <c r="CWA23" s="1882"/>
      <c r="CWB23" s="1882"/>
      <c r="CWD23" s="1887"/>
      <c r="CWE23" s="1888"/>
      <c r="CWF23" s="1882"/>
      <c r="CWG23" s="1882"/>
      <c r="CWH23" s="1882"/>
      <c r="CWJ23" s="1887"/>
      <c r="CWK23" s="1888"/>
      <c r="CWL23" s="1882"/>
      <c r="CWM23" s="1882"/>
      <c r="CWN23" s="1882"/>
      <c r="CWP23" s="1887"/>
      <c r="CWQ23" s="1888"/>
      <c r="CWR23" s="1882"/>
      <c r="CWS23" s="1882"/>
      <c r="CWT23" s="1882"/>
      <c r="CWV23" s="1887"/>
      <c r="CWW23" s="1888"/>
      <c r="CWX23" s="1882"/>
      <c r="CWY23" s="1882"/>
      <c r="CWZ23" s="1882"/>
      <c r="CXB23" s="1887"/>
      <c r="CXC23" s="1888"/>
      <c r="CXD23" s="1882"/>
      <c r="CXE23" s="1882"/>
      <c r="CXF23" s="1882"/>
      <c r="CXH23" s="1887"/>
      <c r="CXI23" s="1888"/>
      <c r="CXJ23" s="1882"/>
      <c r="CXK23" s="1882"/>
      <c r="CXL23" s="1882"/>
      <c r="CXN23" s="1887"/>
      <c r="CXO23" s="1888"/>
      <c r="CXP23" s="1882"/>
      <c r="CXQ23" s="1882"/>
      <c r="CXR23" s="1882"/>
      <c r="CXT23" s="1887"/>
      <c r="CXU23" s="1888"/>
      <c r="CXV23" s="1882"/>
      <c r="CXW23" s="1882"/>
      <c r="CXX23" s="1882"/>
      <c r="CXZ23" s="1887"/>
      <c r="CYA23" s="1888"/>
      <c r="CYB23" s="1882"/>
      <c r="CYC23" s="1882"/>
      <c r="CYD23" s="1882"/>
      <c r="CYF23" s="1887"/>
      <c r="CYG23" s="1888"/>
      <c r="CYH23" s="1882"/>
      <c r="CYI23" s="1882"/>
      <c r="CYJ23" s="1882"/>
      <c r="CYL23" s="1887"/>
      <c r="CYM23" s="1888"/>
      <c r="CYN23" s="1882"/>
      <c r="CYO23" s="1882"/>
      <c r="CYP23" s="1882"/>
      <c r="CYR23" s="1887"/>
      <c r="CYS23" s="1888"/>
      <c r="CYT23" s="1882"/>
      <c r="CYU23" s="1882"/>
      <c r="CYV23" s="1882"/>
      <c r="CYX23" s="1887"/>
      <c r="CYY23" s="1888"/>
      <c r="CYZ23" s="1882"/>
      <c r="CZA23" s="1882"/>
      <c r="CZB23" s="1882"/>
      <c r="CZD23" s="1887"/>
      <c r="CZE23" s="1888"/>
      <c r="CZF23" s="1882"/>
      <c r="CZG23" s="1882"/>
      <c r="CZH23" s="1882"/>
      <c r="CZJ23" s="1887"/>
      <c r="CZK23" s="1888"/>
      <c r="CZL23" s="1882"/>
      <c r="CZM23" s="1882"/>
      <c r="CZN23" s="1882"/>
      <c r="CZP23" s="1887"/>
      <c r="CZQ23" s="1888"/>
      <c r="CZR23" s="1882"/>
      <c r="CZS23" s="1882"/>
      <c r="CZT23" s="1882"/>
      <c r="CZV23" s="1887"/>
      <c r="CZW23" s="1888"/>
      <c r="CZX23" s="1882"/>
      <c r="CZY23" s="1882"/>
      <c r="CZZ23" s="1882"/>
      <c r="DAB23" s="1887"/>
      <c r="DAC23" s="1888"/>
      <c r="DAD23" s="1882"/>
      <c r="DAE23" s="1882"/>
      <c r="DAF23" s="1882"/>
      <c r="DAH23" s="1887"/>
      <c r="DAI23" s="1888"/>
      <c r="DAJ23" s="1882"/>
      <c r="DAK23" s="1882"/>
      <c r="DAL23" s="1882"/>
      <c r="DAN23" s="1887"/>
      <c r="DAO23" s="1888"/>
      <c r="DAP23" s="1882"/>
      <c r="DAQ23" s="1882"/>
      <c r="DAR23" s="1882"/>
      <c r="DAT23" s="1887"/>
      <c r="DAU23" s="1888"/>
      <c r="DAV23" s="1882"/>
      <c r="DAW23" s="1882"/>
      <c r="DAX23" s="1882"/>
      <c r="DAZ23" s="1887"/>
      <c r="DBA23" s="1888"/>
      <c r="DBB23" s="1882"/>
      <c r="DBC23" s="1882"/>
      <c r="DBD23" s="1882"/>
      <c r="DBF23" s="1887"/>
      <c r="DBG23" s="1888"/>
      <c r="DBH23" s="1882"/>
      <c r="DBI23" s="1882"/>
      <c r="DBJ23" s="1882"/>
      <c r="DBL23" s="1887"/>
      <c r="DBM23" s="1888"/>
      <c r="DBN23" s="1882"/>
      <c r="DBO23" s="1882"/>
      <c r="DBP23" s="1882"/>
      <c r="DBR23" s="1887"/>
      <c r="DBS23" s="1888"/>
      <c r="DBT23" s="1882"/>
      <c r="DBU23" s="1882"/>
      <c r="DBV23" s="1882"/>
      <c r="DBX23" s="1887"/>
      <c r="DBY23" s="1888"/>
      <c r="DBZ23" s="1882"/>
      <c r="DCA23" s="1882"/>
      <c r="DCB23" s="1882"/>
      <c r="DCD23" s="1887"/>
      <c r="DCE23" s="1888"/>
      <c r="DCF23" s="1882"/>
      <c r="DCG23" s="1882"/>
      <c r="DCH23" s="1882"/>
      <c r="DCJ23" s="1887"/>
      <c r="DCK23" s="1888"/>
      <c r="DCL23" s="1882"/>
      <c r="DCM23" s="1882"/>
      <c r="DCN23" s="1882"/>
      <c r="DCP23" s="1887"/>
      <c r="DCQ23" s="1888"/>
      <c r="DCR23" s="1882"/>
      <c r="DCS23" s="1882"/>
      <c r="DCT23" s="1882"/>
      <c r="DCV23" s="1887"/>
      <c r="DCW23" s="1888"/>
      <c r="DCX23" s="1882"/>
      <c r="DCY23" s="1882"/>
      <c r="DCZ23" s="1882"/>
      <c r="DDB23" s="1887"/>
      <c r="DDC23" s="1888"/>
      <c r="DDD23" s="1882"/>
      <c r="DDE23" s="1882"/>
      <c r="DDF23" s="1882"/>
      <c r="DDH23" s="1887"/>
      <c r="DDI23" s="1888"/>
      <c r="DDJ23" s="1882"/>
      <c r="DDK23" s="1882"/>
      <c r="DDL23" s="1882"/>
      <c r="DDN23" s="1887"/>
      <c r="DDO23" s="1888"/>
      <c r="DDP23" s="1882"/>
      <c r="DDQ23" s="1882"/>
      <c r="DDR23" s="1882"/>
      <c r="DDT23" s="1887"/>
      <c r="DDU23" s="1888"/>
      <c r="DDV23" s="1882"/>
      <c r="DDW23" s="1882"/>
      <c r="DDX23" s="1882"/>
      <c r="DDZ23" s="1887"/>
      <c r="DEA23" s="1888"/>
      <c r="DEB23" s="1882"/>
      <c r="DEC23" s="1882"/>
      <c r="DED23" s="1882"/>
      <c r="DEF23" s="1887"/>
      <c r="DEG23" s="1888"/>
      <c r="DEH23" s="1882"/>
      <c r="DEI23" s="1882"/>
      <c r="DEJ23" s="1882"/>
      <c r="DEL23" s="1887"/>
      <c r="DEM23" s="1888"/>
      <c r="DEN23" s="1882"/>
      <c r="DEO23" s="1882"/>
      <c r="DEP23" s="1882"/>
      <c r="DER23" s="1887"/>
      <c r="DES23" s="1888"/>
      <c r="DET23" s="1882"/>
      <c r="DEU23" s="1882"/>
      <c r="DEV23" s="1882"/>
      <c r="DEX23" s="1887"/>
      <c r="DEY23" s="1888"/>
      <c r="DEZ23" s="1882"/>
      <c r="DFA23" s="1882"/>
      <c r="DFB23" s="1882"/>
      <c r="DFD23" s="1887"/>
      <c r="DFE23" s="1888"/>
      <c r="DFF23" s="1882"/>
      <c r="DFG23" s="1882"/>
      <c r="DFH23" s="1882"/>
      <c r="DFJ23" s="1887"/>
      <c r="DFK23" s="1888"/>
      <c r="DFL23" s="1882"/>
      <c r="DFM23" s="1882"/>
      <c r="DFN23" s="1882"/>
      <c r="DFP23" s="1887"/>
      <c r="DFQ23" s="1888"/>
      <c r="DFR23" s="1882"/>
      <c r="DFS23" s="1882"/>
      <c r="DFT23" s="1882"/>
      <c r="DFV23" s="1887"/>
      <c r="DFW23" s="1888"/>
      <c r="DFX23" s="1882"/>
      <c r="DFY23" s="1882"/>
      <c r="DFZ23" s="1882"/>
      <c r="DGB23" s="1887"/>
      <c r="DGC23" s="1888"/>
      <c r="DGD23" s="1882"/>
      <c r="DGE23" s="1882"/>
      <c r="DGF23" s="1882"/>
      <c r="DGH23" s="1887"/>
      <c r="DGI23" s="1888"/>
      <c r="DGJ23" s="1882"/>
      <c r="DGK23" s="1882"/>
      <c r="DGL23" s="1882"/>
      <c r="DGN23" s="1887"/>
      <c r="DGO23" s="1888"/>
      <c r="DGP23" s="1882"/>
      <c r="DGQ23" s="1882"/>
      <c r="DGR23" s="1882"/>
      <c r="DGT23" s="1887"/>
      <c r="DGU23" s="1888"/>
      <c r="DGV23" s="1882"/>
      <c r="DGW23" s="1882"/>
      <c r="DGX23" s="1882"/>
      <c r="DGZ23" s="1887"/>
      <c r="DHA23" s="1888"/>
      <c r="DHB23" s="1882"/>
      <c r="DHC23" s="1882"/>
      <c r="DHD23" s="1882"/>
      <c r="DHF23" s="1887"/>
      <c r="DHG23" s="1888"/>
      <c r="DHH23" s="1882"/>
      <c r="DHI23" s="1882"/>
      <c r="DHJ23" s="1882"/>
      <c r="DHL23" s="1887"/>
      <c r="DHM23" s="1888"/>
      <c r="DHN23" s="1882"/>
      <c r="DHO23" s="1882"/>
      <c r="DHP23" s="1882"/>
      <c r="DHR23" s="1887"/>
      <c r="DHS23" s="1888"/>
      <c r="DHT23" s="1882"/>
      <c r="DHU23" s="1882"/>
      <c r="DHV23" s="1882"/>
      <c r="DHX23" s="1887"/>
      <c r="DHY23" s="1888"/>
      <c r="DHZ23" s="1882"/>
      <c r="DIA23" s="1882"/>
      <c r="DIB23" s="1882"/>
      <c r="DID23" s="1887"/>
      <c r="DIE23" s="1888"/>
      <c r="DIF23" s="1882"/>
      <c r="DIG23" s="1882"/>
      <c r="DIH23" s="1882"/>
      <c r="DIJ23" s="1887"/>
      <c r="DIK23" s="1888"/>
      <c r="DIL23" s="1882"/>
      <c r="DIM23" s="1882"/>
      <c r="DIN23" s="1882"/>
      <c r="DIP23" s="1887"/>
      <c r="DIQ23" s="1888"/>
      <c r="DIR23" s="1882"/>
      <c r="DIS23" s="1882"/>
      <c r="DIT23" s="1882"/>
      <c r="DIV23" s="1887"/>
      <c r="DIW23" s="1888"/>
      <c r="DIX23" s="1882"/>
      <c r="DIY23" s="1882"/>
      <c r="DIZ23" s="1882"/>
      <c r="DJB23" s="1887"/>
      <c r="DJC23" s="1888"/>
      <c r="DJD23" s="1882"/>
      <c r="DJE23" s="1882"/>
      <c r="DJF23" s="1882"/>
      <c r="DJH23" s="1887"/>
      <c r="DJI23" s="1888"/>
      <c r="DJJ23" s="1882"/>
      <c r="DJK23" s="1882"/>
      <c r="DJL23" s="1882"/>
      <c r="DJN23" s="1887"/>
      <c r="DJO23" s="1888"/>
      <c r="DJP23" s="1882"/>
      <c r="DJQ23" s="1882"/>
      <c r="DJR23" s="1882"/>
      <c r="DJT23" s="1887"/>
      <c r="DJU23" s="1888"/>
      <c r="DJV23" s="1882"/>
      <c r="DJW23" s="1882"/>
      <c r="DJX23" s="1882"/>
      <c r="DJZ23" s="1887"/>
      <c r="DKA23" s="1888"/>
      <c r="DKB23" s="1882"/>
      <c r="DKC23" s="1882"/>
      <c r="DKD23" s="1882"/>
      <c r="DKF23" s="1887"/>
      <c r="DKG23" s="1888"/>
      <c r="DKH23" s="1882"/>
      <c r="DKI23" s="1882"/>
      <c r="DKJ23" s="1882"/>
      <c r="DKL23" s="1887"/>
      <c r="DKM23" s="1888"/>
      <c r="DKN23" s="1882"/>
      <c r="DKO23" s="1882"/>
      <c r="DKP23" s="1882"/>
      <c r="DKR23" s="1887"/>
      <c r="DKS23" s="1888"/>
      <c r="DKT23" s="1882"/>
      <c r="DKU23" s="1882"/>
      <c r="DKV23" s="1882"/>
      <c r="DKX23" s="1887"/>
      <c r="DKY23" s="1888"/>
      <c r="DKZ23" s="1882"/>
      <c r="DLA23" s="1882"/>
      <c r="DLB23" s="1882"/>
      <c r="DLD23" s="1887"/>
      <c r="DLE23" s="1888"/>
      <c r="DLF23" s="1882"/>
      <c r="DLG23" s="1882"/>
      <c r="DLH23" s="1882"/>
      <c r="DLJ23" s="1887"/>
      <c r="DLK23" s="1888"/>
      <c r="DLL23" s="1882"/>
      <c r="DLM23" s="1882"/>
      <c r="DLN23" s="1882"/>
      <c r="DLP23" s="1887"/>
      <c r="DLQ23" s="1888"/>
      <c r="DLR23" s="1882"/>
      <c r="DLS23" s="1882"/>
      <c r="DLT23" s="1882"/>
      <c r="DLV23" s="1887"/>
      <c r="DLW23" s="1888"/>
      <c r="DLX23" s="1882"/>
      <c r="DLY23" s="1882"/>
      <c r="DLZ23" s="1882"/>
      <c r="DMB23" s="1887"/>
      <c r="DMC23" s="1888"/>
      <c r="DMD23" s="1882"/>
      <c r="DME23" s="1882"/>
      <c r="DMF23" s="1882"/>
      <c r="DMH23" s="1887"/>
      <c r="DMI23" s="1888"/>
      <c r="DMJ23" s="1882"/>
      <c r="DMK23" s="1882"/>
      <c r="DML23" s="1882"/>
      <c r="DMN23" s="1887"/>
      <c r="DMO23" s="1888"/>
      <c r="DMP23" s="1882"/>
      <c r="DMQ23" s="1882"/>
      <c r="DMR23" s="1882"/>
      <c r="DMT23" s="1887"/>
      <c r="DMU23" s="1888"/>
      <c r="DMV23" s="1882"/>
      <c r="DMW23" s="1882"/>
      <c r="DMX23" s="1882"/>
      <c r="DMZ23" s="1887"/>
      <c r="DNA23" s="1888"/>
      <c r="DNB23" s="1882"/>
      <c r="DNC23" s="1882"/>
      <c r="DND23" s="1882"/>
      <c r="DNF23" s="1887"/>
      <c r="DNG23" s="1888"/>
      <c r="DNH23" s="1882"/>
      <c r="DNI23" s="1882"/>
      <c r="DNJ23" s="1882"/>
      <c r="DNL23" s="1887"/>
      <c r="DNM23" s="1888"/>
      <c r="DNN23" s="1882"/>
      <c r="DNO23" s="1882"/>
      <c r="DNP23" s="1882"/>
      <c r="DNR23" s="1887"/>
      <c r="DNS23" s="1888"/>
      <c r="DNT23" s="1882"/>
      <c r="DNU23" s="1882"/>
      <c r="DNV23" s="1882"/>
      <c r="DNX23" s="1887"/>
      <c r="DNY23" s="1888"/>
      <c r="DNZ23" s="1882"/>
      <c r="DOA23" s="1882"/>
      <c r="DOB23" s="1882"/>
      <c r="DOD23" s="1887"/>
      <c r="DOE23" s="1888"/>
      <c r="DOF23" s="1882"/>
      <c r="DOG23" s="1882"/>
      <c r="DOH23" s="1882"/>
      <c r="DOJ23" s="1887"/>
      <c r="DOK23" s="1888"/>
      <c r="DOL23" s="1882"/>
      <c r="DOM23" s="1882"/>
      <c r="DON23" s="1882"/>
      <c r="DOP23" s="1887"/>
      <c r="DOQ23" s="1888"/>
      <c r="DOR23" s="1882"/>
      <c r="DOS23" s="1882"/>
      <c r="DOT23" s="1882"/>
      <c r="DOV23" s="1887"/>
      <c r="DOW23" s="1888"/>
      <c r="DOX23" s="1882"/>
      <c r="DOY23" s="1882"/>
      <c r="DOZ23" s="1882"/>
      <c r="DPB23" s="1887"/>
      <c r="DPC23" s="1888"/>
      <c r="DPD23" s="1882"/>
      <c r="DPE23" s="1882"/>
      <c r="DPF23" s="1882"/>
      <c r="DPH23" s="1887"/>
      <c r="DPI23" s="1888"/>
      <c r="DPJ23" s="1882"/>
      <c r="DPK23" s="1882"/>
      <c r="DPL23" s="1882"/>
      <c r="DPN23" s="1887"/>
      <c r="DPO23" s="1888"/>
      <c r="DPP23" s="1882"/>
      <c r="DPQ23" s="1882"/>
      <c r="DPR23" s="1882"/>
      <c r="DPT23" s="1887"/>
      <c r="DPU23" s="1888"/>
      <c r="DPV23" s="1882"/>
      <c r="DPW23" s="1882"/>
      <c r="DPX23" s="1882"/>
      <c r="DPZ23" s="1887"/>
      <c r="DQA23" s="1888"/>
      <c r="DQB23" s="1882"/>
      <c r="DQC23" s="1882"/>
      <c r="DQD23" s="1882"/>
      <c r="DQF23" s="1887"/>
      <c r="DQG23" s="1888"/>
      <c r="DQH23" s="1882"/>
      <c r="DQI23" s="1882"/>
      <c r="DQJ23" s="1882"/>
      <c r="DQL23" s="1887"/>
      <c r="DQM23" s="1888"/>
      <c r="DQN23" s="1882"/>
      <c r="DQO23" s="1882"/>
      <c r="DQP23" s="1882"/>
      <c r="DQR23" s="1887"/>
      <c r="DQS23" s="1888"/>
      <c r="DQT23" s="1882"/>
      <c r="DQU23" s="1882"/>
      <c r="DQV23" s="1882"/>
      <c r="DQX23" s="1887"/>
      <c r="DQY23" s="1888"/>
      <c r="DQZ23" s="1882"/>
      <c r="DRA23" s="1882"/>
      <c r="DRB23" s="1882"/>
      <c r="DRD23" s="1887"/>
      <c r="DRE23" s="1888"/>
      <c r="DRF23" s="1882"/>
      <c r="DRG23" s="1882"/>
      <c r="DRH23" s="1882"/>
      <c r="DRJ23" s="1887"/>
      <c r="DRK23" s="1888"/>
      <c r="DRL23" s="1882"/>
      <c r="DRM23" s="1882"/>
      <c r="DRN23" s="1882"/>
      <c r="DRP23" s="1887"/>
      <c r="DRQ23" s="1888"/>
      <c r="DRR23" s="1882"/>
      <c r="DRS23" s="1882"/>
      <c r="DRT23" s="1882"/>
      <c r="DRV23" s="1887"/>
      <c r="DRW23" s="1888"/>
      <c r="DRX23" s="1882"/>
      <c r="DRY23" s="1882"/>
      <c r="DRZ23" s="1882"/>
      <c r="DSB23" s="1887"/>
      <c r="DSC23" s="1888"/>
      <c r="DSD23" s="1882"/>
      <c r="DSE23" s="1882"/>
      <c r="DSF23" s="1882"/>
      <c r="DSH23" s="1887"/>
      <c r="DSI23" s="1888"/>
      <c r="DSJ23" s="1882"/>
      <c r="DSK23" s="1882"/>
      <c r="DSL23" s="1882"/>
      <c r="DSN23" s="1887"/>
      <c r="DSO23" s="1888"/>
      <c r="DSP23" s="1882"/>
      <c r="DSQ23" s="1882"/>
      <c r="DSR23" s="1882"/>
      <c r="DST23" s="1887"/>
      <c r="DSU23" s="1888"/>
      <c r="DSV23" s="1882"/>
      <c r="DSW23" s="1882"/>
      <c r="DSX23" s="1882"/>
      <c r="DSZ23" s="1887"/>
      <c r="DTA23" s="1888"/>
      <c r="DTB23" s="1882"/>
      <c r="DTC23" s="1882"/>
      <c r="DTD23" s="1882"/>
      <c r="DTF23" s="1887"/>
      <c r="DTG23" s="1888"/>
      <c r="DTH23" s="1882"/>
      <c r="DTI23" s="1882"/>
      <c r="DTJ23" s="1882"/>
      <c r="DTL23" s="1887"/>
      <c r="DTM23" s="1888"/>
      <c r="DTN23" s="1882"/>
      <c r="DTO23" s="1882"/>
      <c r="DTP23" s="1882"/>
      <c r="DTR23" s="1887"/>
      <c r="DTS23" s="1888"/>
      <c r="DTT23" s="1882"/>
      <c r="DTU23" s="1882"/>
      <c r="DTV23" s="1882"/>
      <c r="DTX23" s="1887"/>
      <c r="DTY23" s="1888"/>
      <c r="DTZ23" s="1882"/>
      <c r="DUA23" s="1882"/>
      <c r="DUB23" s="1882"/>
      <c r="DUD23" s="1887"/>
      <c r="DUE23" s="1888"/>
      <c r="DUF23" s="1882"/>
      <c r="DUG23" s="1882"/>
      <c r="DUH23" s="1882"/>
      <c r="DUJ23" s="1887"/>
      <c r="DUK23" s="1888"/>
      <c r="DUL23" s="1882"/>
      <c r="DUM23" s="1882"/>
      <c r="DUN23" s="1882"/>
      <c r="DUP23" s="1887"/>
      <c r="DUQ23" s="1888"/>
      <c r="DUR23" s="1882"/>
      <c r="DUS23" s="1882"/>
      <c r="DUT23" s="1882"/>
      <c r="DUV23" s="1887"/>
      <c r="DUW23" s="1888"/>
      <c r="DUX23" s="1882"/>
      <c r="DUY23" s="1882"/>
      <c r="DUZ23" s="1882"/>
      <c r="DVB23" s="1887"/>
      <c r="DVC23" s="1888"/>
      <c r="DVD23" s="1882"/>
      <c r="DVE23" s="1882"/>
      <c r="DVF23" s="1882"/>
      <c r="DVH23" s="1887"/>
      <c r="DVI23" s="1888"/>
      <c r="DVJ23" s="1882"/>
      <c r="DVK23" s="1882"/>
      <c r="DVL23" s="1882"/>
      <c r="DVN23" s="1887"/>
      <c r="DVO23" s="1888"/>
      <c r="DVP23" s="1882"/>
      <c r="DVQ23" s="1882"/>
      <c r="DVR23" s="1882"/>
      <c r="DVT23" s="1887"/>
      <c r="DVU23" s="1888"/>
      <c r="DVV23" s="1882"/>
      <c r="DVW23" s="1882"/>
      <c r="DVX23" s="1882"/>
      <c r="DVZ23" s="1887"/>
      <c r="DWA23" s="1888"/>
      <c r="DWB23" s="1882"/>
      <c r="DWC23" s="1882"/>
      <c r="DWD23" s="1882"/>
      <c r="DWF23" s="1887"/>
      <c r="DWG23" s="1888"/>
      <c r="DWH23" s="1882"/>
      <c r="DWI23" s="1882"/>
      <c r="DWJ23" s="1882"/>
      <c r="DWL23" s="1887"/>
      <c r="DWM23" s="1888"/>
      <c r="DWN23" s="1882"/>
      <c r="DWO23" s="1882"/>
      <c r="DWP23" s="1882"/>
      <c r="DWR23" s="1887"/>
      <c r="DWS23" s="1888"/>
      <c r="DWT23" s="1882"/>
      <c r="DWU23" s="1882"/>
      <c r="DWV23" s="1882"/>
      <c r="DWX23" s="1887"/>
      <c r="DWY23" s="1888"/>
      <c r="DWZ23" s="1882"/>
      <c r="DXA23" s="1882"/>
      <c r="DXB23" s="1882"/>
      <c r="DXD23" s="1887"/>
      <c r="DXE23" s="1888"/>
      <c r="DXF23" s="1882"/>
      <c r="DXG23" s="1882"/>
      <c r="DXH23" s="1882"/>
      <c r="DXJ23" s="1887"/>
      <c r="DXK23" s="1888"/>
      <c r="DXL23" s="1882"/>
      <c r="DXM23" s="1882"/>
      <c r="DXN23" s="1882"/>
      <c r="DXP23" s="1887"/>
      <c r="DXQ23" s="1888"/>
      <c r="DXR23" s="1882"/>
      <c r="DXS23" s="1882"/>
      <c r="DXT23" s="1882"/>
      <c r="DXV23" s="1887"/>
      <c r="DXW23" s="1888"/>
      <c r="DXX23" s="1882"/>
      <c r="DXY23" s="1882"/>
      <c r="DXZ23" s="1882"/>
      <c r="DYB23" s="1887"/>
      <c r="DYC23" s="1888"/>
      <c r="DYD23" s="1882"/>
      <c r="DYE23" s="1882"/>
      <c r="DYF23" s="1882"/>
      <c r="DYH23" s="1887"/>
      <c r="DYI23" s="1888"/>
      <c r="DYJ23" s="1882"/>
      <c r="DYK23" s="1882"/>
      <c r="DYL23" s="1882"/>
      <c r="DYN23" s="1887"/>
      <c r="DYO23" s="1888"/>
      <c r="DYP23" s="1882"/>
      <c r="DYQ23" s="1882"/>
      <c r="DYR23" s="1882"/>
      <c r="DYT23" s="1887"/>
      <c r="DYU23" s="1888"/>
      <c r="DYV23" s="1882"/>
      <c r="DYW23" s="1882"/>
      <c r="DYX23" s="1882"/>
      <c r="DYZ23" s="1887"/>
      <c r="DZA23" s="1888"/>
      <c r="DZB23" s="1882"/>
      <c r="DZC23" s="1882"/>
      <c r="DZD23" s="1882"/>
      <c r="DZF23" s="1887"/>
      <c r="DZG23" s="1888"/>
      <c r="DZH23" s="1882"/>
      <c r="DZI23" s="1882"/>
      <c r="DZJ23" s="1882"/>
      <c r="DZL23" s="1887"/>
      <c r="DZM23" s="1888"/>
      <c r="DZN23" s="1882"/>
      <c r="DZO23" s="1882"/>
      <c r="DZP23" s="1882"/>
      <c r="DZR23" s="1887"/>
      <c r="DZS23" s="1888"/>
      <c r="DZT23" s="1882"/>
      <c r="DZU23" s="1882"/>
      <c r="DZV23" s="1882"/>
      <c r="DZX23" s="1887"/>
      <c r="DZY23" s="1888"/>
      <c r="DZZ23" s="1882"/>
      <c r="EAA23" s="1882"/>
      <c r="EAB23" s="1882"/>
      <c r="EAD23" s="1887"/>
      <c r="EAE23" s="1888"/>
      <c r="EAF23" s="1882"/>
      <c r="EAG23" s="1882"/>
      <c r="EAH23" s="1882"/>
      <c r="EAJ23" s="1887"/>
      <c r="EAK23" s="1888"/>
      <c r="EAL23" s="1882"/>
      <c r="EAM23" s="1882"/>
      <c r="EAN23" s="1882"/>
      <c r="EAP23" s="1887"/>
      <c r="EAQ23" s="1888"/>
      <c r="EAR23" s="1882"/>
      <c r="EAS23" s="1882"/>
      <c r="EAT23" s="1882"/>
      <c r="EAV23" s="1887"/>
      <c r="EAW23" s="1888"/>
      <c r="EAX23" s="1882"/>
      <c r="EAY23" s="1882"/>
      <c r="EAZ23" s="1882"/>
      <c r="EBB23" s="1887"/>
      <c r="EBC23" s="1888"/>
      <c r="EBD23" s="1882"/>
      <c r="EBE23" s="1882"/>
      <c r="EBF23" s="1882"/>
      <c r="EBH23" s="1887"/>
      <c r="EBI23" s="1888"/>
      <c r="EBJ23" s="1882"/>
      <c r="EBK23" s="1882"/>
      <c r="EBL23" s="1882"/>
      <c r="EBN23" s="1887"/>
      <c r="EBO23" s="1888"/>
      <c r="EBP23" s="1882"/>
      <c r="EBQ23" s="1882"/>
      <c r="EBR23" s="1882"/>
      <c r="EBT23" s="1887"/>
      <c r="EBU23" s="1888"/>
      <c r="EBV23" s="1882"/>
      <c r="EBW23" s="1882"/>
      <c r="EBX23" s="1882"/>
      <c r="EBZ23" s="1887"/>
      <c r="ECA23" s="1888"/>
      <c r="ECB23" s="1882"/>
      <c r="ECC23" s="1882"/>
      <c r="ECD23" s="1882"/>
      <c r="ECF23" s="1887"/>
      <c r="ECG23" s="1888"/>
      <c r="ECH23" s="1882"/>
      <c r="ECI23" s="1882"/>
      <c r="ECJ23" s="1882"/>
      <c r="ECL23" s="1887"/>
      <c r="ECM23" s="1888"/>
      <c r="ECN23" s="1882"/>
      <c r="ECO23" s="1882"/>
      <c r="ECP23" s="1882"/>
      <c r="ECR23" s="1887"/>
      <c r="ECS23" s="1888"/>
      <c r="ECT23" s="1882"/>
      <c r="ECU23" s="1882"/>
      <c r="ECV23" s="1882"/>
      <c r="ECX23" s="1887"/>
      <c r="ECY23" s="1888"/>
      <c r="ECZ23" s="1882"/>
      <c r="EDA23" s="1882"/>
      <c r="EDB23" s="1882"/>
      <c r="EDD23" s="1887"/>
      <c r="EDE23" s="1888"/>
      <c r="EDF23" s="1882"/>
      <c r="EDG23" s="1882"/>
      <c r="EDH23" s="1882"/>
      <c r="EDJ23" s="1887"/>
      <c r="EDK23" s="1888"/>
      <c r="EDL23" s="1882"/>
      <c r="EDM23" s="1882"/>
      <c r="EDN23" s="1882"/>
      <c r="EDP23" s="1887"/>
      <c r="EDQ23" s="1888"/>
      <c r="EDR23" s="1882"/>
      <c r="EDS23" s="1882"/>
      <c r="EDT23" s="1882"/>
      <c r="EDV23" s="1887"/>
      <c r="EDW23" s="1888"/>
      <c r="EDX23" s="1882"/>
      <c r="EDY23" s="1882"/>
      <c r="EDZ23" s="1882"/>
      <c r="EEB23" s="1887"/>
      <c r="EEC23" s="1888"/>
      <c r="EED23" s="1882"/>
      <c r="EEE23" s="1882"/>
      <c r="EEF23" s="1882"/>
      <c r="EEH23" s="1887"/>
      <c r="EEI23" s="1888"/>
      <c r="EEJ23" s="1882"/>
      <c r="EEK23" s="1882"/>
      <c r="EEL23" s="1882"/>
      <c r="EEN23" s="1887"/>
      <c r="EEO23" s="1888"/>
      <c r="EEP23" s="1882"/>
      <c r="EEQ23" s="1882"/>
      <c r="EER23" s="1882"/>
      <c r="EET23" s="1887"/>
      <c r="EEU23" s="1888"/>
      <c r="EEV23" s="1882"/>
      <c r="EEW23" s="1882"/>
      <c r="EEX23" s="1882"/>
      <c r="EEZ23" s="1887"/>
      <c r="EFA23" s="1888"/>
      <c r="EFB23" s="1882"/>
      <c r="EFC23" s="1882"/>
      <c r="EFD23" s="1882"/>
      <c r="EFF23" s="1887"/>
      <c r="EFG23" s="1888"/>
      <c r="EFH23" s="1882"/>
      <c r="EFI23" s="1882"/>
      <c r="EFJ23" s="1882"/>
      <c r="EFL23" s="1887"/>
      <c r="EFM23" s="1888"/>
      <c r="EFN23" s="1882"/>
      <c r="EFO23" s="1882"/>
      <c r="EFP23" s="1882"/>
      <c r="EFR23" s="1887"/>
      <c r="EFS23" s="1888"/>
      <c r="EFT23" s="1882"/>
      <c r="EFU23" s="1882"/>
      <c r="EFV23" s="1882"/>
      <c r="EFX23" s="1887"/>
      <c r="EFY23" s="1888"/>
      <c r="EFZ23" s="1882"/>
      <c r="EGA23" s="1882"/>
      <c r="EGB23" s="1882"/>
      <c r="EGD23" s="1887"/>
      <c r="EGE23" s="1888"/>
      <c r="EGF23" s="1882"/>
      <c r="EGG23" s="1882"/>
      <c r="EGH23" s="1882"/>
      <c r="EGJ23" s="1887"/>
      <c r="EGK23" s="1888"/>
      <c r="EGL23" s="1882"/>
      <c r="EGM23" s="1882"/>
      <c r="EGN23" s="1882"/>
      <c r="EGP23" s="1887"/>
      <c r="EGQ23" s="1888"/>
      <c r="EGR23" s="1882"/>
      <c r="EGS23" s="1882"/>
      <c r="EGT23" s="1882"/>
      <c r="EGV23" s="1887"/>
      <c r="EGW23" s="1888"/>
      <c r="EGX23" s="1882"/>
      <c r="EGY23" s="1882"/>
      <c r="EGZ23" s="1882"/>
      <c r="EHB23" s="1887"/>
      <c r="EHC23" s="1888"/>
      <c r="EHD23" s="1882"/>
      <c r="EHE23" s="1882"/>
      <c r="EHF23" s="1882"/>
      <c r="EHH23" s="1887"/>
      <c r="EHI23" s="1888"/>
      <c r="EHJ23" s="1882"/>
      <c r="EHK23" s="1882"/>
      <c r="EHL23" s="1882"/>
      <c r="EHN23" s="1887"/>
      <c r="EHO23" s="1888"/>
      <c r="EHP23" s="1882"/>
      <c r="EHQ23" s="1882"/>
      <c r="EHR23" s="1882"/>
      <c r="EHT23" s="1887"/>
      <c r="EHU23" s="1888"/>
      <c r="EHV23" s="1882"/>
      <c r="EHW23" s="1882"/>
      <c r="EHX23" s="1882"/>
      <c r="EHZ23" s="1887"/>
      <c r="EIA23" s="1888"/>
      <c r="EIB23" s="1882"/>
      <c r="EIC23" s="1882"/>
      <c r="EID23" s="1882"/>
      <c r="EIF23" s="1887"/>
      <c r="EIG23" s="1888"/>
      <c r="EIH23" s="1882"/>
      <c r="EII23" s="1882"/>
      <c r="EIJ23" s="1882"/>
      <c r="EIL23" s="1887"/>
      <c r="EIM23" s="1888"/>
      <c r="EIN23" s="1882"/>
      <c r="EIO23" s="1882"/>
      <c r="EIP23" s="1882"/>
      <c r="EIR23" s="1887"/>
      <c r="EIS23" s="1888"/>
      <c r="EIT23" s="1882"/>
      <c r="EIU23" s="1882"/>
      <c r="EIV23" s="1882"/>
      <c r="EIX23" s="1887"/>
      <c r="EIY23" s="1888"/>
      <c r="EIZ23" s="1882"/>
      <c r="EJA23" s="1882"/>
      <c r="EJB23" s="1882"/>
      <c r="EJD23" s="1887"/>
      <c r="EJE23" s="1888"/>
      <c r="EJF23" s="1882"/>
      <c r="EJG23" s="1882"/>
      <c r="EJH23" s="1882"/>
      <c r="EJJ23" s="1887"/>
      <c r="EJK23" s="1888"/>
      <c r="EJL23" s="1882"/>
      <c r="EJM23" s="1882"/>
      <c r="EJN23" s="1882"/>
      <c r="EJP23" s="1887"/>
      <c r="EJQ23" s="1888"/>
      <c r="EJR23" s="1882"/>
      <c r="EJS23" s="1882"/>
      <c r="EJT23" s="1882"/>
      <c r="EJV23" s="1887"/>
      <c r="EJW23" s="1888"/>
      <c r="EJX23" s="1882"/>
      <c r="EJY23" s="1882"/>
      <c r="EJZ23" s="1882"/>
      <c r="EKB23" s="1887"/>
      <c r="EKC23" s="1888"/>
      <c r="EKD23" s="1882"/>
      <c r="EKE23" s="1882"/>
      <c r="EKF23" s="1882"/>
      <c r="EKH23" s="1887"/>
      <c r="EKI23" s="1888"/>
      <c r="EKJ23" s="1882"/>
      <c r="EKK23" s="1882"/>
      <c r="EKL23" s="1882"/>
      <c r="EKN23" s="1887"/>
      <c r="EKO23" s="1888"/>
      <c r="EKP23" s="1882"/>
      <c r="EKQ23" s="1882"/>
      <c r="EKR23" s="1882"/>
      <c r="EKT23" s="1887"/>
      <c r="EKU23" s="1888"/>
      <c r="EKV23" s="1882"/>
      <c r="EKW23" s="1882"/>
      <c r="EKX23" s="1882"/>
      <c r="EKZ23" s="1887"/>
      <c r="ELA23" s="1888"/>
      <c r="ELB23" s="1882"/>
      <c r="ELC23" s="1882"/>
      <c r="ELD23" s="1882"/>
      <c r="ELF23" s="1887"/>
      <c r="ELG23" s="1888"/>
      <c r="ELH23" s="1882"/>
      <c r="ELI23" s="1882"/>
      <c r="ELJ23" s="1882"/>
      <c r="ELL23" s="1887"/>
      <c r="ELM23" s="1888"/>
      <c r="ELN23" s="1882"/>
      <c r="ELO23" s="1882"/>
      <c r="ELP23" s="1882"/>
      <c r="ELR23" s="1887"/>
      <c r="ELS23" s="1888"/>
      <c r="ELT23" s="1882"/>
      <c r="ELU23" s="1882"/>
      <c r="ELV23" s="1882"/>
      <c r="ELX23" s="1887"/>
      <c r="ELY23" s="1888"/>
      <c r="ELZ23" s="1882"/>
      <c r="EMA23" s="1882"/>
      <c r="EMB23" s="1882"/>
      <c r="EMD23" s="1887"/>
      <c r="EME23" s="1888"/>
      <c r="EMF23" s="1882"/>
      <c r="EMG23" s="1882"/>
      <c r="EMH23" s="1882"/>
      <c r="EMJ23" s="1887"/>
      <c r="EMK23" s="1888"/>
      <c r="EML23" s="1882"/>
      <c r="EMM23" s="1882"/>
      <c r="EMN23" s="1882"/>
      <c r="EMP23" s="1887"/>
      <c r="EMQ23" s="1888"/>
      <c r="EMR23" s="1882"/>
      <c r="EMS23" s="1882"/>
      <c r="EMT23" s="1882"/>
      <c r="EMV23" s="1887"/>
      <c r="EMW23" s="1888"/>
      <c r="EMX23" s="1882"/>
      <c r="EMY23" s="1882"/>
      <c r="EMZ23" s="1882"/>
      <c r="ENB23" s="1887"/>
      <c r="ENC23" s="1888"/>
      <c r="END23" s="1882"/>
      <c r="ENE23" s="1882"/>
      <c r="ENF23" s="1882"/>
      <c r="ENH23" s="1887"/>
      <c r="ENI23" s="1888"/>
      <c r="ENJ23" s="1882"/>
      <c r="ENK23" s="1882"/>
      <c r="ENL23" s="1882"/>
      <c r="ENN23" s="1887"/>
      <c r="ENO23" s="1888"/>
      <c r="ENP23" s="1882"/>
      <c r="ENQ23" s="1882"/>
      <c r="ENR23" s="1882"/>
      <c r="ENT23" s="1887"/>
      <c r="ENU23" s="1888"/>
      <c r="ENV23" s="1882"/>
      <c r="ENW23" s="1882"/>
      <c r="ENX23" s="1882"/>
      <c r="ENZ23" s="1887"/>
      <c r="EOA23" s="1888"/>
      <c r="EOB23" s="1882"/>
      <c r="EOC23" s="1882"/>
      <c r="EOD23" s="1882"/>
      <c r="EOF23" s="1887"/>
      <c r="EOG23" s="1888"/>
      <c r="EOH23" s="1882"/>
      <c r="EOI23" s="1882"/>
      <c r="EOJ23" s="1882"/>
      <c r="EOL23" s="1887"/>
      <c r="EOM23" s="1888"/>
      <c r="EON23" s="1882"/>
      <c r="EOO23" s="1882"/>
      <c r="EOP23" s="1882"/>
      <c r="EOR23" s="1887"/>
      <c r="EOS23" s="1888"/>
      <c r="EOT23" s="1882"/>
      <c r="EOU23" s="1882"/>
      <c r="EOV23" s="1882"/>
      <c r="EOX23" s="1887"/>
      <c r="EOY23" s="1888"/>
      <c r="EOZ23" s="1882"/>
      <c r="EPA23" s="1882"/>
      <c r="EPB23" s="1882"/>
      <c r="EPD23" s="1887"/>
      <c r="EPE23" s="1888"/>
      <c r="EPF23" s="1882"/>
      <c r="EPG23" s="1882"/>
      <c r="EPH23" s="1882"/>
      <c r="EPJ23" s="1887"/>
      <c r="EPK23" s="1888"/>
      <c r="EPL23" s="1882"/>
      <c r="EPM23" s="1882"/>
      <c r="EPN23" s="1882"/>
      <c r="EPP23" s="1887"/>
      <c r="EPQ23" s="1888"/>
      <c r="EPR23" s="1882"/>
      <c r="EPS23" s="1882"/>
      <c r="EPT23" s="1882"/>
      <c r="EPV23" s="1887"/>
      <c r="EPW23" s="1888"/>
      <c r="EPX23" s="1882"/>
      <c r="EPY23" s="1882"/>
      <c r="EPZ23" s="1882"/>
      <c r="EQB23" s="1887"/>
      <c r="EQC23" s="1888"/>
      <c r="EQD23" s="1882"/>
      <c r="EQE23" s="1882"/>
      <c r="EQF23" s="1882"/>
      <c r="EQH23" s="1887"/>
      <c r="EQI23" s="1888"/>
      <c r="EQJ23" s="1882"/>
      <c r="EQK23" s="1882"/>
      <c r="EQL23" s="1882"/>
      <c r="EQN23" s="1887"/>
      <c r="EQO23" s="1888"/>
      <c r="EQP23" s="1882"/>
      <c r="EQQ23" s="1882"/>
      <c r="EQR23" s="1882"/>
      <c r="EQT23" s="1887"/>
      <c r="EQU23" s="1888"/>
      <c r="EQV23" s="1882"/>
      <c r="EQW23" s="1882"/>
      <c r="EQX23" s="1882"/>
      <c r="EQZ23" s="1887"/>
      <c r="ERA23" s="1888"/>
      <c r="ERB23" s="1882"/>
      <c r="ERC23" s="1882"/>
      <c r="ERD23" s="1882"/>
      <c r="ERF23" s="1887"/>
      <c r="ERG23" s="1888"/>
      <c r="ERH23" s="1882"/>
      <c r="ERI23" s="1882"/>
      <c r="ERJ23" s="1882"/>
      <c r="ERL23" s="1887"/>
      <c r="ERM23" s="1888"/>
      <c r="ERN23" s="1882"/>
      <c r="ERO23" s="1882"/>
      <c r="ERP23" s="1882"/>
      <c r="ERR23" s="1887"/>
      <c r="ERS23" s="1888"/>
      <c r="ERT23" s="1882"/>
      <c r="ERU23" s="1882"/>
      <c r="ERV23" s="1882"/>
      <c r="ERX23" s="1887"/>
      <c r="ERY23" s="1888"/>
      <c r="ERZ23" s="1882"/>
      <c r="ESA23" s="1882"/>
      <c r="ESB23" s="1882"/>
      <c r="ESD23" s="1887"/>
      <c r="ESE23" s="1888"/>
      <c r="ESF23" s="1882"/>
      <c r="ESG23" s="1882"/>
      <c r="ESH23" s="1882"/>
      <c r="ESJ23" s="1887"/>
      <c r="ESK23" s="1888"/>
      <c r="ESL23" s="1882"/>
      <c r="ESM23" s="1882"/>
      <c r="ESN23" s="1882"/>
      <c r="ESP23" s="1887"/>
      <c r="ESQ23" s="1888"/>
      <c r="ESR23" s="1882"/>
      <c r="ESS23" s="1882"/>
      <c r="EST23" s="1882"/>
      <c r="ESV23" s="1887"/>
      <c r="ESW23" s="1888"/>
      <c r="ESX23" s="1882"/>
      <c r="ESY23" s="1882"/>
      <c r="ESZ23" s="1882"/>
      <c r="ETB23" s="1887"/>
      <c r="ETC23" s="1888"/>
      <c r="ETD23" s="1882"/>
      <c r="ETE23" s="1882"/>
      <c r="ETF23" s="1882"/>
      <c r="ETH23" s="1887"/>
      <c r="ETI23" s="1888"/>
      <c r="ETJ23" s="1882"/>
      <c r="ETK23" s="1882"/>
      <c r="ETL23" s="1882"/>
      <c r="ETN23" s="1887"/>
      <c r="ETO23" s="1888"/>
      <c r="ETP23" s="1882"/>
      <c r="ETQ23" s="1882"/>
      <c r="ETR23" s="1882"/>
      <c r="ETT23" s="1887"/>
      <c r="ETU23" s="1888"/>
      <c r="ETV23" s="1882"/>
      <c r="ETW23" s="1882"/>
      <c r="ETX23" s="1882"/>
      <c r="ETZ23" s="1887"/>
      <c r="EUA23" s="1888"/>
      <c r="EUB23" s="1882"/>
      <c r="EUC23" s="1882"/>
      <c r="EUD23" s="1882"/>
      <c r="EUF23" s="1887"/>
      <c r="EUG23" s="1888"/>
      <c r="EUH23" s="1882"/>
      <c r="EUI23" s="1882"/>
      <c r="EUJ23" s="1882"/>
      <c r="EUL23" s="1887"/>
      <c r="EUM23" s="1888"/>
      <c r="EUN23" s="1882"/>
      <c r="EUO23" s="1882"/>
      <c r="EUP23" s="1882"/>
      <c r="EUR23" s="1887"/>
      <c r="EUS23" s="1888"/>
      <c r="EUT23" s="1882"/>
      <c r="EUU23" s="1882"/>
      <c r="EUV23" s="1882"/>
      <c r="EUX23" s="1887"/>
      <c r="EUY23" s="1888"/>
      <c r="EUZ23" s="1882"/>
      <c r="EVA23" s="1882"/>
      <c r="EVB23" s="1882"/>
      <c r="EVD23" s="1887"/>
      <c r="EVE23" s="1888"/>
      <c r="EVF23" s="1882"/>
      <c r="EVG23" s="1882"/>
      <c r="EVH23" s="1882"/>
      <c r="EVJ23" s="1887"/>
      <c r="EVK23" s="1888"/>
      <c r="EVL23" s="1882"/>
      <c r="EVM23" s="1882"/>
      <c r="EVN23" s="1882"/>
      <c r="EVP23" s="1887"/>
      <c r="EVQ23" s="1888"/>
      <c r="EVR23" s="1882"/>
      <c r="EVS23" s="1882"/>
      <c r="EVT23" s="1882"/>
      <c r="EVV23" s="1887"/>
      <c r="EVW23" s="1888"/>
      <c r="EVX23" s="1882"/>
      <c r="EVY23" s="1882"/>
      <c r="EVZ23" s="1882"/>
      <c r="EWB23" s="1887"/>
      <c r="EWC23" s="1888"/>
      <c r="EWD23" s="1882"/>
      <c r="EWE23" s="1882"/>
      <c r="EWF23" s="1882"/>
      <c r="EWH23" s="1887"/>
      <c r="EWI23" s="1888"/>
      <c r="EWJ23" s="1882"/>
      <c r="EWK23" s="1882"/>
      <c r="EWL23" s="1882"/>
      <c r="EWN23" s="1887"/>
      <c r="EWO23" s="1888"/>
      <c r="EWP23" s="1882"/>
      <c r="EWQ23" s="1882"/>
      <c r="EWR23" s="1882"/>
      <c r="EWT23" s="1887"/>
      <c r="EWU23" s="1888"/>
      <c r="EWV23" s="1882"/>
      <c r="EWW23" s="1882"/>
      <c r="EWX23" s="1882"/>
      <c r="EWZ23" s="1887"/>
      <c r="EXA23" s="1888"/>
      <c r="EXB23" s="1882"/>
      <c r="EXC23" s="1882"/>
      <c r="EXD23" s="1882"/>
      <c r="EXF23" s="1887"/>
      <c r="EXG23" s="1888"/>
      <c r="EXH23" s="1882"/>
      <c r="EXI23" s="1882"/>
      <c r="EXJ23" s="1882"/>
      <c r="EXL23" s="1887"/>
      <c r="EXM23" s="1888"/>
      <c r="EXN23" s="1882"/>
      <c r="EXO23" s="1882"/>
      <c r="EXP23" s="1882"/>
      <c r="EXR23" s="1887"/>
      <c r="EXS23" s="1888"/>
      <c r="EXT23" s="1882"/>
      <c r="EXU23" s="1882"/>
      <c r="EXV23" s="1882"/>
      <c r="EXX23" s="1887"/>
      <c r="EXY23" s="1888"/>
      <c r="EXZ23" s="1882"/>
      <c r="EYA23" s="1882"/>
      <c r="EYB23" s="1882"/>
      <c r="EYD23" s="1887"/>
      <c r="EYE23" s="1888"/>
      <c r="EYF23" s="1882"/>
      <c r="EYG23" s="1882"/>
      <c r="EYH23" s="1882"/>
      <c r="EYJ23" s="1887"/>
      <c r="EYK23" s="1888"/>
      <c r="EYL23" s="1882"/>
      <c r="EYM23" s="1882"/>
      <c r="EYN23" s="1882"/>
      <c r="EYP23" s="1887"/>
      <c r="EYQ23" s="1888"/>
      <c r="EYR23" s="1882"/>
      <c r="EYS23" s="1882"/>
      <c r="EYT23" s="1882"/>
      <c r="EYV23" s="1887"/>
      <c r="EYW23" s="1888"/>
      <c r="EYX23" s="1882"/>
      <c r="EYY23" s="1882"/>
      <c r="EYZ23" s="1882"/>
      <c r="EZB23" s="1887"/>
      <c r="EZC23" s="1888"/>
      <c r="EZD23" s="1882"/>
      <c r="EZE23" s="1882"/>
      <c r="EZF23" s="1882"/>
      <c r="EZH23" s="1887"/>
      <c r="EZI23" s="1888"/>
      <c r="EZJ23" s="1882"/>
      <c r="EZK23" s="1882"/>
      <c r="EZL23" s="1882"/>
      <c r="EZN23" s="1887"/>
      <c r="EZO23" s="1888"/>
      <c r="EZP23" s="1882"/>
      <c r="EZQ23" s="1882"/>
      <c r="EZR23" s="1882"/>
      <c r="EZT23" s="1887"/>
      <c r="EZU23" s="1888"/>
      <c r="EZV23" s="1882"/>
      <c r="EZW23" s="1882"/>
      <c r="EZX23" s="1882"/>
      <c r="EZZ23" s="1887"/>
      <c r="FAA23" s="1888"/>
      <c r="FAB23" s="1882"/>
      <c r="FAC23" s="1882"/>
      <c r="FAD23" s="1882"/>
      <c r="FAF23" s="1887"/>
      <c r="FAG23" s="1888"/>
      <c r="FAH23" s="1882"/>
      <c r="FAI23" s="1882"/>
      <c r="FAJ23" s="1882"/>
      <c r="FAL23" s="1887"/>
      <c r="FAM23" s="1888"/>
      <c r="FAN23" s="1882"/>
      <c r="FAO23" s="1882"/>
      <c r="FAP23" s="1882"/>
      <c r="FAR23" s="1887"/>
      <c r="FAS23" s="1888"/>
      <c r="FAT23" s="1882"/>
      <c r="FAU23" s="1882"/>
      <c r="FAV23" s="1882"/>
      <c r="FAX23" s="1887"/>
      <c r="FAY23" s="1888"/>
      <c r="FAZ23" s="1882"/>
      <c r="FBA23" s="1882"/>
      <c r="FBB23" s="1882"/>
      <c r="FBD23" s="1887"/>
      <c r="FBE23" s="1888"/>
      <c r="FBF23" s="1882"/>
      <c r="FBG23" s="1882"/>
      <c r="FBH23" s="1882"/>
      <c r="FBJ23" s="1887"/>
      <c r="FBK23" s="1888"/>
      <c r="FBL23" s="1882"/>
      <c r="FBM23" s="1882"/>
      <c r="FBN23" s="1882"/>
      <c r="FBP23" s="1887"/>
      <c r="FBQ23" s="1888"/>
      <c r="FBR23" s="1882"/>
      <c r="FBS23" s="1882"/>
      <c r="FBT23" s="1882"/>
      <c r="FBV23" s="1887"/>
      <c r="FBW23" s="1888"/>
      <c r="FBX23" s="1882"/>
      <c r="FBY23" s="1882"/>
      <c r="FBZ23" s="1882"/>
      <c r="FCB23" s="1887"/>
      <c r="FCC23" s="1888"/>
      <c r="FCD23" s="1882"/>
      <c r="FCE23" s="1882"/>
      <c r="FCF23" s="1882"/>
      <c r="FCH23" s="1887"/>
      <c r="FCI23" s="1888"/>
      <c r="FCJ23" s="1882"/>
      <c r="FCK23" s="1882"/>
      <c r="FCL23" s="1882"/>
      <c r="FCN23" s="1887"/>
      <c r="FCO23" s="1888"/>
      <c r="FCP23" s="1882"/>
      <c r="FCQ23" s="1882"/>
      <c r="FCR23" s="1882"/>
      <c r="FCT23" s="1887"/>
      <c r="FCU23" s="1888"/>
      <c r="FCV23" s="1882"/>
      <c r="FCW23" s="1882"/>
      <c r="FCX23" s="1882"/>
      <c r="FCZ23" s="1887"/>
      <c r="FDA23" s="1888"/>
      <c r="FDB23" s="1882"/>
      <c r="FDC23" s="1882"/>
      <c r="FDD23" s="1882"/>
      <c r="FDF23" s="1887"/>
      <c r="FDG23" s="1888"/>
      <c r="FDH23" s="1882"/>
      <c r="FDI23" s="1882"/>
      <c r="FDJ23" s="1882"/>
      <c r="FDL23" s="1887"/>
      <c r="FDM23" s="1888"/>
      <c r="FDN23" s="1882"/>
      <c r="FDO23" s="1882"/>
      <c r="FDP23" s="1882"/>
      <c r="FDR23" s="1887"/>
      <c r="FDS23" s="1888"/>
      <c r="FDT23" s="1882"/>
      <c r="FDU23" s="1882"/>
      <c r="FDV23" s="1882"/>
      <c r="FDX23" s="1887"/>
      <c r="FDY23" s="1888"/>
      <c r="FDZ23" s="1882"/>
      <c r="FEA23" s="1882"/>
      <c r="FEB23" s="1882"/>
      <c r="FED23" s="1887"/>
      <c r="FEE23" s="1888"/>
      <c r="FEF23" s="1882"/>
      <c r="FEG23" s="1882"/>
      <c r="FEH23" s="1882"/>
      <c r="FEJ23" s="1887"/>
      <c r="FEK23" s="1888"/>
      <c r="FEL23" s="1882"/>
      <c r="FEM23" s="1882"/>
      <c r="FEN23" s="1882"/>
      <c r="FEP23" s="1887"/>
      <c r="FEQ23" s="1888"/>
      <c r="FER23" s="1882"/>
      <c r="FES23" s="1882"/>
      <c r="FET23" s="1882"/>
      <c r="FEV23" s="1887"/>
      <c r="FEW23" s="1888"/>
      <c r="FEX23" s="1882"/>
      <c r="FEY23" s="1882"/>
      <c r="FEZ23" s="1882"/>
      <c r="FFB23" s="1887"/>
      <c r="FFC23" s="1888"/>
      <c r="FFD23" s="1882"/>
      <c r="FFE23" s="1882"/>
      <c r="FFF23" s="1882"/>
      <c r="FFH23" s="1887"/>
      <c r="FFI23" s="1888"/>
      <c r="FFJ23" s="1882"/>
      <c r="FFK23" s="1882"/>
      <c r="FFL23" s="1882"/>
      <c r="FFN23" s="1887"/>
      <c r="FFO23" s="1888"/>
      <c r="FFP23" s="1882"/>
      <c r="FFQ23" s="1882"/>
      <c r="FFR23" s="1882"/>
      <c r="FFT23" s="1887"/>
      <c r="FFU23" s="1888"/>
      <c r="FFV23" s="1882"/>
      <c r="FFW23" s="1882"/>
      <c r="FFX23" s="1882"/>
      <c r="FFZ23" s="1887"/>
      <c r="FGA23" s="1888"/>
      <c r="FGB23" s="1882"/>
      <c r="FGC23" s="1882"/>
      <c r="FGD23" s="1882"/>
      <c r="FGF23" s="1887"/>
      <c r="FGG23" s="1888"/>
      <c r="FGH23" s="1882"/>
      <c r="FGI23" s="1882"/>
      <c r="FGJ23" s="1882"/>
      <c r="FGL23" s="1887"/>
      <c r="FGM23" s="1888"/>
      <c r="FGN23" s="1882"/>
      <c r="FGO23" s="1882"/>
      <c r="FGP23" s="1882"/>
      <c r="FGR23" s="1887"/>
      <c r="FGS23" s="1888"/>
      <c r="FGT23" s="1882"/>
      <c r="FGU23" s="1882"/>
      <c r="FGV23" s="1882"/>
      <c r="FGX23" s="1887"/>
      <c r="FGY23" s="1888"/>
      <c r="FGZ23" s="1882"/>
      <c r="FHA23" s="1882"/>
      <c r="FHB23" s="1882"/>
      <c r="FHD23" s="1887"/>
      <c r="FHE23" s="1888"/>
      <c r="FHF23" s="1882"/>
      <c r="FHG23" s="1882"/>
      <c r="FHH23" s="1882"/>
      <c r="FHJ23" s="1887"/>
      <c r="FHK23" s="1888"/>
      <c r="FHL23" s="1882"/>
      <c r="FHM23" s="1882"/>
      <c r="FHN23" s="1882"/>
      <c r="FHP23" s="1887"/>
      <c r="FHQ23" s="1888"/>
      <c r="FHR23" s="1882"/>
      <c r="FHS23" s="1882"/>
      <c r="FHT23" s="1882"/>
      <c r="FHV23" s="1887"/>
      <c r="FHW23" s="1888"/>
      <c r="FHX23" s="1882"/>
      <c r="FHY23" s="1882"/>
      <c r="FHZ23" s="1882"/>
      <c r="FIB23" s="1887"/>
      <c r="FIC23" s="1888"/>
      <c r="FID23" s="1882"/>
      <c r="FIE23" s="1882"/>
      <c r="FIF23" s="1882"/>
      <c r="FIH23" s="1887"/>
      <c r="FII23" s="1888"/>
      <c r="FIJ23" s="1882"/>
      <c r="FIK23" s="1882"/>
      <c r="FIL23" s="1882"/>
      <c r="FIN23" s="1887"/>
      <c r="FIO23" s="1888"/>
      <c r="FIP23" s="1882"/>
      <c r="FIQ23" s="1882"/>
      <c r="FIR23" s="1882"/>
      <c r="FIT23" s="1887"/>
      <c r="FIU23" s="1888"/>
      <c r="FIV23" s="1882"/>
      <c r="FIW23" s="1882"/>
      <c r="FIX23" s="1882"/>
      <c r="FIZ23" s="1887"/>
      <c r="FJA23" s="1888"/>
      <c r="FJB23" s="1882"/>
      <c r="FJC23" s="1882"/>
      <c r="FJD23" s="1882"/>
      <c r="FJF23" s="1887"/>
      <c r="FJG23" s="1888"/>
      <c r="FJH23" s="1882"/>
      <c r="FJI23" s="1882"/>
      <c r="FJJ23" s="1882"/>
      <c r="FJL23" s="1887"/>
      <c r="FJM23" s="1888"/>
      <c r="FJN23" s="1882"/>
      <c r="FJO23" s="1882"/>
      <c r="FJP23" s="1882"/>
      <c r="FJR23" s="1887"/>
      <c r="FJS23" s="1888"/>
      <c r="FJT23" s="1882"/>
      <c r="FJU23" s="1882"/>
      <c r="FJV23" s="1882"/>
      <c r="FJX23" s="1887"/>
      <c r="FJY23" s="1888"/>
      <c r="FJZ23" s="1882"/>
      <c r="FKA23" s="1882"/>
      <c r="FKB23" s="1882"/>
      <c r="FKD23" s="1887"/>
      <c r="FKE23" s="1888"/>
      <c r="FKF23" s="1882"/>
      <c r="FKG23" s="1882"/>
      <c r="FKH23" s="1882"/>
      <c r="FKJ23" s="1887"/>
      <c r="FKK23" s="1888"/>
      <c r="FKL23" s="1882"/>
      <c r="FKM23" s="1882"/>
      <c r="FKN23" s="1882"/>
      <c r="FKP23" s="1887"/>
      <c r="FKQ23" s="1888"/>
      <c r="FKR23" s="1882"/>
      <c r="FKS23" s="1882"/>
      <c r="FKT23" s="1882"/>
      <c r="FKV23" s="1887"/>
      <c r="FKW23" s="1888"/>
      <c r="FKX23" s="1882"/>
      <c r="FKY23" s="1882"/>
      <c r="FKZ23" s="1882"/>
      <c r="FLB23" s="1887"/>
      <c r="FLC23" s="1888"/>
      <c r="FLD23" s="1882"/>
      <c r="FLE23" s="1882"/>
      <c r="FLF23" s="1882"/>
      <c r="FLH23" s="1887"/>
      <c r="FLI23" s="1888"/>
      <c r="FLJ23" s="1882"/>
      <c r="FLK23" s="1882"/>
      <c r="FLL23" s="1882"/>
      <c r="FLN23" s="1887"/>
      <c r="FLO23" s="1888"/>
      <c r="FLP23" s="1882"/>
      <c r="FLQ23" s="1882"/>
      <c r="FLR23" s="1882"/>
      <c r="FLT23" s="1887"/>
      <c r="FLU23" s="1888"/>
      <c r="FLV23" s="1882"/>
      <c r="FLW23" s="1882"/>
      <c r="FLX23" s="1882"/>
      <c r="FLZ23" s="1887"/>
      <c r="FMA23" s="1888"/>
      <c r="FMB23" s="1882"/>
      <c r="FMC23" s="1882"/>
      <c r="FMD23" s="1882"/>
      <c r="FMF23" s="1887"/>
      <c r="FMG23" s="1888"/>
      <c r="FMH23" s="1882"/>
      <c r="FMI23" s="1882"/>
      <c r="FMJ23" s="1882"/>
      <c r="FML23" s="1887"/>
      <c r="FMM23" s="1888"/>
      <c r="FMN23" s="1882"/>
      <c r="FMO23" s="1882"/>
      <c r="FMP23" s="1882"/>
      <c r="FMR23" s="1887"/>
      <c r="FMS23" s="1888"/>
      <c r="FMT23" s="1882"/>
      <c r="FMU23" s="1882"/>
      <c r="FMV23" s="1882"/>
      <c r="FMX23" s="1887"/>
      <c r="FMY23" s="1888"/>
      <c r="FMZ23" s="1882"/>
      <c r="FNA23" s="1882"/>
      <c r="FNB23" s="1882"/>
      <c r="FND23" s="1887"/>
      <c r="FNE23" s="1888"/>
      <c r="FNF23" s="1882"/>
      <c r="FNG23" s="1882"/>
      <c r="FNH23" s="1882"/>
      <c r="FNJ23" s="1887"/>
      <c r="FNK23" s="1888"/>
      <c r="FNL23" s="1882"/>
      <c r="FNM23" s="1882"/>
      <c r="FNN23" s="1882"/>
      <c r="FNP23" s="1887"/>
      <c r="FNQ23" s="1888"/>
      <c r="FNR23" s="1882"/>
      <c r="FNS23" s="1882"/>
      <c r="FNT23" s="1882"/>
      <c r="FNV23" s="1887"/>
      <c r="FNW23" s="1888"/>
      <c r="FNX23" s="1882"/>
      <c r="FNY23" s="1882"/>
      <c r="FNZ23" s="1882"/>
      <c r="FOB23" s="1887"/>
      <c r="FOC23" s="1888"/>
      <c r="FOD23" s="1882"/>
      <c r="FOE23" s="1882"/>
      <c r="FOF23" s="1882"/>
      <c r="FOH23" s="1887"/>
      <c r="FOI23" s="1888"/>
      <c r="FOJ23" s="1882"/>
      <c r="FOK23" s="1882"/>
      <c r="FOL23" s="1882"/>
      <c r="FON23" s="1887"/>
      <c r="FOO23" s="1888"/>
      <c r="FOP23" s="1882"/>
      <c r="FOQ23" s="1882"/>
      <c r="FOR23" s="1882"/>
      <c r="FOT23" s="1887"/>
      <c r="FOU23" s="1888"/>
      <c r="FOV23" s="1882"/>
      <c r="FOW23" s="1882"/>
      <c r="FOX23" s="1882"/>
      <c r="FOZ23" s="1887"/>
      <c r="FPA23" s="1888"/>
      <c r="FPB23" s="1882"/>
      <c r="FPC23" s="1882"/>
      <c r="FPD23" s="1882"/>
      <c r="FPF23" s="1887"/>
      <c r="FPG23" s="1888"/>
      <c r="FPH23" s="1882"/>
      <c r="FPI23" s="1882"/>
      <c r="FPJ23" s="1882"/>
      <c r="FPL23" s="1887"/>
      <c r="FPM23" s="1888"/>
      <c r="FPN23" s="1882"/>
      <c r="FPO23" s="1882"/>
      <c r="FPP23" s="1882"/>
      <c r="FPR23" s="1887"/>
      <c r="FPS23" s="1888"/>
      <c r="FPT23" s="1882"/>
      <c r="FPU23" s="1882"/>
      <c r="FPV23" s="1882"/>
      <c r="FPX23" s="1887"/>
      <c r="FPY23" s="1888"/>
      <c r="FPZ23" s="1882"/>
      <c r="FQA23" s="1882"/>
      <c r="FQB23" s="1882"/>
      <c r="FQD23" s="1887"/>
      <c r="FQE23" s="1888"/>
      <c r="FQF23" s="1882"/>
      <c r="FQG23" s="1882"/>
      <c r="FQH23" s="1882"/>
      <c r="FQJ23" s="1887"/>
      <c r="FQK23" s="1888"/>
      <c r="FQL23" s="1882"/>
      <c r="FQM23" s="1882"/>
      <c r="FQN23" s="1882"/>
      <c r="FQP23" s="1887"/>
      <c r="FQQ23" s="1888"/>
      <c r="FQR23" s="1882"/>
      <c r="FQS23" s="1882"/>
      <c r="FQT23" s="1882"/>
      <c r="FQV23" s="1887"/>
      <c r="FQW23" s="1888"/>
      <c r="FQX23" s="1882"/>
      <c r="FQY23" s="1882"/>
      <c r="FQZ23" s="1882"/>
      <c r="FRB23" s="1887"/>
      <c r="FRC23" s="1888"/>
      <c r="FRD23" s="1882"/>
      <c r="FRE23" s="1882"/>
      <c r="FRF23" s="1882"/>
      <c r="FRH23" s="1887"/>
      <c r="FRI23" s="1888"/>
      <c r="FRJ23" s="1882"/>
      <c r="FRK23" s="1882"/>
      <c r="FRL23" s="1882"/>
      <c r="FRN23" s="1887"/>
      <c r="FRO23" s="1888"/>
      <c r="FRP23" s="1882"/>
      <c r="FRQ23" s="1882"/>
      <c r="FRR23" s="1882"/>
      <c r="FRT23" s="1887"/>
      <c r="FRU23" s="1888"/>
      <c r="FRV23" s="1882"/>
      <c r="FRW23" s="1882"/>
      <c r="FRX23" s="1882"/>
      <c r="FRZ23" s="1887"/>
      <c r="FSA23" s="1888"/>
      <c r="FSB23" s="1882"/>
      <c r="FSC23" s="1882"/>
      <c r="FSD23" s="1882"/>
      <c r="FSF23" s="1887"/>
      <c r="FSG23" s="1888"/>
      <c r="FSH23" s="1882"/>
      <c r="FSI23" s="1882"/>
      <c r="FSJ23" s="1882"/>
      <c r="FSL23" s="1887"/>
      <c r="FSM23" s="1888"/>
      <c r="FSN23" s="1882"/>
      <c r="FSO23" s="1882"/>
      <c r="FSP23" s="1882"/>
      <c r="FSR23" s="1887"/>
      <c r="FSS23" s="1888"/>
      <c r="FST23" s="1882"/>
      <c r="FSU23" s="1882"/>
      <c r="FSV23" s="1882"/>
      <c r="FSX23" s="1887"/>
      <c r="FSY23" s="1888"/>
      <c r="FSZ23" s="1882"/>
      <c r="FTA23" s="1882"/>
      <c r="FTB23" s="1882"/>
      <c r="FTD23" s="1887"/>
      <c r="FTE23" s="1888"/>
      <c r="FTF23" s="1882"/>
      <c r="FTG23" s="1882"/>
      <c r="FTH23" s="1882"/>
      <c r="FTJ23" s="1887"/>
      <c r="FTK23" s="1888"/>
      <c r="FTL23" s="1882"/>
      <c r="FTM23" s="1882"/>
      <c r="FTN23" s="1882"/>
      <c r="FTP23" s="1887"/>
      <c r="FTQ23" s="1888"/>
      <c r="FTR23" s="1882"/>
      <c r="FTS23" s="1882"/>
      <c r="FTT23" s="1882"/>
      <c r="FTV23" s="1887"/>
      <c r="FTW23" s="1888"/>
      <c r="FTX23" s="1882"/>
      <c r="FTY23" s="1882"/>
      <c r="FTZ23" s="1882"/>
      <c r="FUB23" s="1887"/>
      <c r="FUC23" s="1888"/>
      <c r="FUD23" s="1882"/>
      <c r="FUE23" s="1882"/>
      <c r="FUF23" s="1882"/>
      <c r="FUH23" s="1887"/>
      <c r="FUI23" s="1888"/>
      <c r="FUJ23" s="1882"/>
      <c r="FUK23" s="1882"/>
      <c r="FUL23" s="1882"/>
      <c r="FUN23" s="1887"/>
      <c r="FUO23" s="1888"/>
      <c r="FUP23" s="1882"/>
      <c r="FUQ23" s="1882"/>
      <c r="FUR23" s="1882"/>
      <c r="FUT23" s="1887"/>
      <c r="FUU23" s="1888"/>
      <c r="FUV23" s="1882"/>
      <c r="FUW23" s="1882"/>
      <c r="FUX23" s="1882"/>
      <c r="FUZ23" s="1887"/>
      <c r="FVA23" s="1888"/>
      <c r="FVB23" s="1882"/>
      <c r="FVC23" s="1882"/>
      <c r="FVD23" s="1882"/>
      <c r="FVF23" s="1887"/>
      <c r="FVG23" s="1888"/>
      <c r="FVH23" s="1882"/>
      <c r="FVI23" s="1882"/>
      <c r="FVJ23" s="1882"/>
      <c r="FVL23" s="1887"/>
      <c r="FVM23" s="1888"/>
      <c r="FVN23" s="1882"/>
      <c r="FVO23" s="1882"/>
      <c r="FVP23" s="1882"/>
      <c r="FVR23" s="1887"/>
      <c r="FVS23" s="1888"/>
      <c r="FVT23" s="1882"/>
      <c r="FVU23" s="1882"/>
      <c r="FVV23" s="1882"/>
      <c r="FVX23" s="1887"/>
      <c r="FVY23" s="1888"/>
      <c r="FVZ23" s="1882"/>
      <c r="FWA23" s="1882"/>
      <c r="FWB23" s="1882"/>
      <c r="FWD23" s="1887"/>
      <c r="FWE23" s="1888"/>
      <c r="FWF23" s="1882"/>
      <c r="FWG23" s="1882"/>
      <c r="FWH23" s="1882"/>
      <c r="FWJ23" s="1887"/>
      <c r="FWK23" s="1888"/>
      <c r="FWL23" s="1882"/>
      <c r="FWM23" s="1882"/>
      <c r="FWN23" s="1882"/>
      <c r="FWP23" s="1887"/>
      <c r="FWQ23" s="1888"/>
      <c r="FWR23" s="1882"/>
      <c r="FWS23" s="1882"/>
      <c r="FWT23" s="1882"/>
      <c r="FWV23" s="1887"/>
      <c r="FWW23" s="1888"/>
      <c r="FWX23" s="1882"/>
      <c r="FWY23" s="1882"/>
      <c r="FWZ23" s="1882"/>
      <c r="FXB23" s="1887"/>
      <c r="FXC23" s="1888"/>
      <c r="FXD23" s="1882"/>
      <c r="FXE23" s="1882"/>
      <c r="FXF23" s="1882"/>
      <c r="FXH23" s="1887"/>
      <c r="FXI23" s="1888"/>
      <c r="FXJ23" s="1882"/>
      <c r="FXK23" s="1882"/>
      <c r="FXL23" s="1882"/>
      <c r="FXN23" s="1887"/>
      <c r="FXO23" s="1888"/>
      <c r="FXP23" s="1882"/>
      <c r="FXQ23" s="1882"/>
      <c r="FXR23" s="1882"/>
      <c r="FXT23" s="1887"/>
      <c r="FXU23" s="1888"/>
      <c r="FXV23" s="1882"/>
      <c r="FXW23" s="1882"/>
      <c r="FXX23" s="1882"/>
      <c r="FXZ23" s="1887"/>
      <c r="FYA23" s="1888"/>
      <c r="FYB23" s="1882"/>
      <c r="FYC23" s="1882"/>
      <c r="FYD23" s="1882"/>
      <c r="FYF23" s="1887"/>
      <c r="FYG23" s="1888"/>
      <c r="FYH23" s="1882"/>
      <c r="FYI23" s="1882"/>
      <c r="FYJ23" s="1882"/>
      <c r="FYL23" s="1887"/>
      <c r="FYM23" s="1888"/>
      <c r="FYN23" s="1882"/>
      <c r="FYO23" s="1882"/>
      <c r="FYP23" s="1882"/>
      <c r="FYR23" s="1887"/>
      <c r="FYS23" s="1888"/>
      <c r="FYT23" s="1882"/>
      <c r="FYU23" s="1882"/>
      <c r="FYV23" s="1882"/>
      <c r="FYX23" s="1887"/>
      <c r="FYY23" s="1888"/>
      <c r="FYZ23" s="1882"/>
      <c r="FZA23" s="1882"/>
      <c r="FZB23" s="1882"/>
      <c r="FZD23" s="1887"/>
      <c r="FZE23" s="1888"/>
      <c r="FZF23" s="1882"/>
      <c r="FZG23" s="1882"/>
      <c r="FZH23" s="1882"/>
      <c r="FZJ23" s="1887"/>
      <c r="FZK23" s="1888"/>
      <c r="FZL23" s="1882"/>
      <c r="FZM23" s="1882"/>
      <c r="FZN23" s="1882"/>
      <c r="FZP23" s="1887"/>
      <c r="FZQ23" s="1888"/>
      <c r="FZR23" s="1882"/>
      <c r="FZS23" s="1882"/>
      <c r="FZT23" s="1882"/>
      <c r="FZV23" s="1887"/>
      <c r="FZW23" s="1888"/>
      <c r="FZX23" s="1882"/>
      <c r="FZY23" s="1882"/>
      <c r="FZZ23" s="1882"/>
      <c r="GAB23" s="1887"/>
      <c r="GAC23" s="1888"/>
      <c r="GAD23" s="1882"/>
      <c r="GAE23" s="1882"/>
      <c r="GAF23" s="1882"/>
      <c r="GAH23" s="1887"/>
      <c r="GAI23" s="1888"/>
      <c r="GAJ23" s="1882"/>
      <c r="GAK23" s="1882"/>
      <c r="GAL23" s="1882"/>
      <c r="GAN23" s="1887"/>
      <c r="GAO23" s="1888"/>
      <c r="GAP23" s="1882"/>
      <c r="GAQ23" s="1882"/>
      <c r="GAR23" s="1882"/>
      <c r="GAT23" s="1887"/>
      <c r="GAU23" s="1888"/>
      <c r="GAV23" s="1882"/>
      <c r="GAW23" s="1882"/>
      <c r="GAX23" s="1882"/>
      <c r="GAZ23" s="1887"/>
      <c r="GBA23" s="1888"/>
      <c r="GBB23" s="1882"/>
      <c r="GBC23" s="1882"/>
      <c r="GBD23" s="1882"/>
      <c r="GBF23" s="1887"/>
      <c r="GBG23" s="1888"/>
      <c r="GBH23" s="1882"/>
      <c r="GBI23" s="1882"/>
      <c r="GBJ23" s="1882"/>
      <c r="GBL23" s="1887"/>
      <c r="GBM23" s="1888"/>
      <c r="GBN23" s="1882"/>
      <c r="GBO23" s="1882"/>
      <c r="GBP23" s="1882"/>
      <c r="GBR23" s="1887"/>
      <c r="GBS23" s="1888"/>
      <c r="GBT23" s="1882"/>
      <c r="GBU23" s="1882"/>
      <c r="GBV23" s="1882"/>
      <c r="GBX23" s="1887"/>
      <c r="GBY23" s="1888"/>
      <c r="GBZ23" s="1882"/>
      <c r="GCA23" s="1882"/>
      <c r="GCB23" s="1882"/>
      <c r="GCD23" s="1887"/>
      <c r="GCE23" s="1888"/>
      <c r="GCF23" s="1882"/>
      <c r="GCG23" s="1882"/>
      <c r="GCH23" s="1882"/>
      <c r="GCJ23" s="1887"/>
      <c r="GCK23" s="1888"/>
      <c r="GCL23" s="1882"/>
      <c r="GCM23" s="1882"/>
      <c r="GCN23" s="1882"/>
      <c r="GCP23" s="1887"/>
      <c r="GCQ23" s="1888"/>
      <c r="GCR23" s="1882"/>
      <c r="GCS23" s="1882"/>
      <c r="GCT23" s="1882"/>
      <c r="GCV23" s="1887"/>
      <c r="GCW23" s="1888"/>
      <c r="GCX23" s="1882"/>
      <c r="GCY23" s="1882"/>
      <c r="GCZ23" s="1882"/>
      <c r="GDB23" s="1887"/>
      <c r="GDC23" s="1888"/>
      <c r="GDD23" s="1882"/>
      <c r="GDE23" s="1882"/>
      <c r="GDF23" s="1882"/>
      <c r="GDH23" s="1887"/>
      <c r="GDI23" s="1888"/>
      <c r="GDJ23" s="1882"/>
      <c r="GDK23" s="1882"/>
      <c r="GDL23" s="1882"/>
      <c r="GDN23" s="1887"/>
      <c r="GDO23" s="1888"/>
      <c r="GDP23" s="1882"/>
      <c r="GDQ23" s="1882"/>
      <c r="GDR23" s="1882"/>
      <c r="GDT23" s="1887"/>
      <c r="GDU23" s="1888"/>
      <c r="GDV23" s="1882"/>
      <c r="GDW23" s="1882"/>
      <c r="GDX23" s="1882"/>
      <c r="GDZ23" s="1887"/>
      <c r="GEA23" s="1888"/>
      <c r="GEB23" s="1882"/>
      <c r="GEC23" s="1882"/>
      <c r="GED23" s="1882"/>
      <c r="GEF23" s="1887"/>
      <c r="GEG23" s="1888"/>
      <c r="GEH23" s="1882"/>
      <c r="GEI23" s="1882"/>
      <c r="GEJ23" s="1882"/>
      <c r="GEL23" s="1887"/>
      <c r="GEM23" s="1888"/>
      <c r="GEN23" s="1882"/>
      <c r="GEO23" s="1882"/>
      <c r="GEP23" s="1882"/>
      <c r="GER23" s="1887"/>
      <c r="GES23" s="1888"/>
      <c r="GET23" s="1882"/>
      <c r="GEU23" s="1882"/>
      <c r="GEV23" s="1882"/>
      <c r="GEX23" s="1887"/>
      <c r="GEY23" s="1888"/>
      <c r="GEZ23" s="1882"/>
      <c r="GFA23" s="1882"/>
      <c r="GFB23" s="1882"/>
      <c r="GFD23" s="1887"/>
      <c r="GFE23" s="1888"/>
      <c r="GFF23" s="1882"/>
      <c r="GFG23" s="1882"/>
      <c r="GFH23" s="1882"/>
      <c r="GFJ23" s="1887"/>
      <c r="GFK23" s="1888"/>
      <c r="GFL23" s="1882"/>
      <c r="GFM23" s="1882"/>
      <c r="GFN23" s="1882"/>
      <c r="GFP23" s="1887"/>
      <c r="GFQ23" s="1888"/>
      <c r="GFR23" s="1882"/>
      <c r="GFS23" s="1882"/>
      <c r="GFT23" s="1882"/>
      <c r="GFV23" s="1887"/>
      <c r="GFW23" s="1888"/>
      <c r="GFX23" s="1882"/>
      <c r="GFY23" s="1882"/>
      <c r="GFZ23" s="1882"/>
      <c r="GGB23" s="1887"/>
      <c r="GGC23" s="1888"/>
      <c r="GGD23" s="1882"/>
      <c r="GGE23" s="1882"/>
      <c r="GGF23" s="1882"/>
      <c r="GGH23" s="1887"/>
      <c r="GGI23" s="1888"/>
      <c r="GGJ23" s="1882"/>
      <c r="GGK23" s="1882"/>
      <c r="GGL23" s="1882"/>
      <c r="GGN23" s="1887"/>
      <c r="GGO23" s="1888"/>
      <c r="GGP23" s="1882"/>
      <c r="GGQ23" s="1882"/>
      <c r="GGR23" s="1882"/>
      <c r="GGT23" s="1887"/>
      <c r="GGU23" s="1888"/>
      <c r="GGV23" s="1882"/>
      <c r="GGW23" s="1882"/>
      <c r="GGX23" s="1882"/>
      <c r="GGZ23" s="1887"/>
      <c r="GHA23" s="1888"/>
      <c r="GHB23" s="1882"/>
      <c r="GHC23" s="1882"/>
      <c r="GHD23" s="1882"/>
      <c r="GHF23" s="1887"/>
      <c r="GHG23" s="1888"/>
      <c r="GHH23" s="1882"/>
      <c r="GHI23" s="1882"/>
      <c r="GHJ23" s="1882"/>
      <c r="GHL23" s="1887"/>
      <c r="GHM23" s="1888"/>
      <c r="GHN23" s="1882"/>
      <c r="GHO23" s="1882"/>
      <c r="GHP23" s="1882"/>
      <c r="GHR23" s="1887"/>
      <c r="GHS23" s="1888"/>
      <c r="GHT23" s="1882"/>
      <c r="GHU23" s="1882"/>
      <c r="GHV23" s="1882"/>
      <c r="GHX23" s="1887"/>
      <c r="GHY23" s="1888"/>
      <c r="GHZ23" s="1882"/>
      <c r="GIA23" s="1882"/>
      <c r="GIB23" s="1882"/>
      <c r="GID23" s="1887"/>
      <c r="GIE23" s="1888"/>
      <c r="GIF23" s="1882"/>
      <c r="GIG23" s="1882"/>
      <c r="GIH23" s="1882"/>
      <c r="GIJ23" s="1887"/>
      <c r="GIK23" s="1888"/>
      <c r="GIL23" s="1882"/>
      <c r="GIM23" s="1882"/>
      <c r="GIN23" s="1882"/>
      <c r="GIP23" s="1887"/>
      <c r="GIQ23" s="1888"/>
      <c r="GIR23" s="1882"/>
      <c r="GIS23" s="1882"/>
      <c r="GIT23" s="1882"/>
      <c r="GIV23" s="1887"/>
      <c r="GIW23" s="1888"/>
      <c r="GIX23" s="1882"/>
      <c r="GIY23" s="1882"/>
      <c r="GIZ23" s="1882"/>
      <c r="GJB23" s="1887"/>
      <c r="GJC23" s="1888"/>
      <c r="GJD23" s="1882"/>
      <c r="GJE23" s="1882"/>
      <c r="GJF23" s="1882"/>
      <c r="GJH23" s="1887"/>
      <c r="GJI23" s="1888"/>
      <c r="GJJ23" s="1882"/>
      <c r="GJK23" s="1882"/>
      <c r="GJL23" s="1882"/>
      <c r="GJN23" s="1887"/>
      <c r="GJO23" s="1888"/>
      <c r="GJP23" s="1882"/>
      <c r="GJQ23" s="1882"/>
      <c r="GJR23" s="1882"/>
      <c r="GJT23" s="1887"/>
      <c r="GJU23" s="1888"/>
      <c r="GJV23" s="1882"/>
      <c r="GJW23" s="1882"/>
      <c r="GJX23" s="1882"/>
      <c r="GJZ23" s="1887"/>
      <c r="GKA23" s="1888"/>
      <c r="GKB23" s="1882"/>
      <c r="GKC23" s="1882"/>
      <c r="GKD23" s="1882"/>
      <c r="GKF23" s="1887"/>
      <c r="GKG23" s="1888"/>
      <c r="GKH23" s="1882"/>
      <c r="GKI23" s="1882"/>
      <c r="GKJ23" s="1882"/>
      <c r="GKL23" s="1887"/>
      <c r="GKM23" s="1888"/>
      <c r="GKN23" s="1882"/>
      <c r="GKO23" s="1882"/>
      <c r="GKP23" s="1882"/>
      <c r="GKR23" s="1887"/>
      <c r="GKS23" s="1888"/>
      <c r="GKT23" s="1882"/>
      <c r="GKU23" s="1882"/>
      <c r="GKV23" s="1882"/>
      <c r="GKX23" s="1887"/>
      <c r="GKY23" s="1888"/>
      <c r="GKZ23" s="1882"/>
      <c r="GLA23" s="1882"/>
      <c r="GLB23" s="1882"/>
      <c r="GLD23" s="1887"/>
      <c r="GLE23" s="1888"/>
      <c r="GLF23" s="1882"/>
      <c r="GLG23" s="1882"/>
      <c r="GLH23" s="1882"/>
      <c r="GLJ23" s="1887"/>
      <c r="GLK23" s="1888"/>
      <c r="GLL23" s="1882"/>
      <c r="GLM23" s="1882"/>
      <c r="GLN23" s="1882"/>
      <c r="GLP23" s="1887"/>
      <c r="GLQ23" s="1888"/>
      <c r="GLR23" s="1882"/>
      <c r="GLS23" s="1882"/>
      <c r="GLT23" s="1882"/>
      <c r="GLV23" s="1887"/>
      <c r="GLW23" s="1888"/>
      <c r="GLX23" s="1882"/>
      <c r="GLY23" s="1882"/>
      <c r="GLZ23" s="1882"/>
      <c r="GMB23" s="1887"/>
      <c r="GMC23" s="1888"/>
      <c r="GMD23" s="1882"/>
      <c r="GME23" s="1882"/>
      <c r="GMF23" s="1882"/>
      <c r="GMH23" s="1887"/>
      <c r="GMI23" s="1888"/>
      <c r="GMJ23" s="1882"/>
      <c r="GMK23" s="1882"/>
      <c r="GML23" s="1882"/>
      <c r="GMN23" s="1887"/>
      <c r="GMO23" s="1888"/>
      <c r="GMP23" s="1882"/>
      <c r="GMQ23" s="1882"/>
      <c r="GMR23" s="1882"/>
      <c r="GMT23" s="1887"/>
      <c r="GMU23" s="1888"/>
      <c r="GMV23" s="1882"/>
      <c r="GMW23" s="1882"/>
      <c r="GMX23" s="1882"/>
      <c r="GMZ23" s="1887"/>
      <c r="GNA23" s="1888"/>
      <c r="GNB23" s="1882"/>
      <c r="GNC23" s="1882"/>
      <c r="GND23" s="1882"/>
      <c r="GNF23" s="1887"/>
      <c r="GNG23" s="1888"/>
      <c r="GNH23" s="1882"/>
      <c r="GNI23" s="1882"/>
      <c r="GNJ23" s="1882"/>
      <c r="GNL23" s="1887"/>
      <c r="GNM23" s="1888"/>
      <c r="GNN23" s="1882"/>
      <c r="GNO23" s="1882"/>
      <c r="GNP23" s="1882"/>
      <c r="GNR23" s="1887"/>
      <c r="GNS23" s="1888"/>
      <c r="GNT23" s="1882"/>
      <c r="GNU23" s="1882"/>
      <c r="GNV23" s="1882"/>
      <c r="GNX23" s="1887"/>
      <c r="GNY23" s="1888"/>
      <c r="GNZ23" s="1882"/>
      <c r="GOA23" s="1882"/>
      <c r="GOB23" s="1882"/>
      <c r="GOD23" s="1887"/>
      <c r="GOE23" s="1888"/>
      <c r="GOF23" s="1882"/>
      <c r="GOG23" s="1882"/>
      <c r="GOH23" s="1882"/>
      <c r="GOJ23" s="1887"/>
      <c r="GOK23" s="1888"/>
      <c r="GOL23" s="1882"/>
      <c r="GOM23" s="1882"/>
      <c r="GON23" s="1882"/>
      <c r="GOP23" s="1887"/>
      <c r="GOQ23" s="1888"/>
      <c r="GOR23" s="1882"/>
      <c r="GOS23" s="1882"/>
      <c r="GOT23" s="1882"/>
      <c r="GOV23" s="1887"/>
      <c r="GOW23" s="1888"/>
      <c r="GOX23" s="1882"/>
      <c r="GOY23" s="1882"/>
      <c r="GOZ23" s="1882"/>
      <c r="GPB23" s="1887"/>
      <c r="GPC23" s="1888"/>
      <c r="GPD23" s="1882"/>
      <c r="GPE23" s="1882"/>
      <c r="GPF23" s="1882"/>
      <c r="GPH23" s="1887"/>
      <c r="GPI23" s="1888"/>
      <c r="GPJ23" s="1882"/>
      <c r="GPK23" s="1882"/>
      <c r="GPL23" s="1882"/>
      <c r="GPN23" s="1887"/>
      <c r="GPO23" s="1888"/>
      <c r="GPP23" s="1882"/>
      <c r="GPQ23" s="1882"/>
      <c r="GPR23" s="1882"/>
      <c r="GPT23" s="1887"/>
      <c r="GPU23" s="1888"/>
      <c r="GPV23" s="1882"/>
      <c r="GPW23" s="1882"/>
      <c r="GPX23" s="1882"/>
      <c r="GPZ23" s="1887"/>
      <c r="GQA23" s="1888"/>
      <c r="GQB23" s="1882"/>
      <c r="GQC23" s="1882"/>
      <c r="GQD23" s="1882"/>
      <c r="GQF23" s="1887"/>
      <c r="GQG23" s="1888"/>
      <c r="GQH23" s="1882"/>
      <c r="GQI23" s="1882"/>
      <c r="GQJ23" s="1882"/>
      <c r="GQL23" s="1887"/>
      <c r="GQM23" s="1888"/>
      <c r="GQN23" s="1882"/>
      <c r="GQO23" s="1882"/>
      <c r="GQP23" s="1882"/>
      <c r="GQR23" s="1887"/>
      <c r="GQS23" s="1888"/>
      <c r="GQT23" s="1882"/>
      <c r="GQU23" s="1882"/>
      <c r="GQV23" s="1882"/>
      <c r="GQX23" s="1887"/>
      <c r="GQY23" s="1888"/>
      <c r="GQZ23" s="1882"/>
      <c r="GRA23" s="1882"/>
      <c r="GRB23" s="1882"/>
      <c r="GRD23" s="1887"/>
      <c r="GRE23" s="1888"/>
      <c r="GRF23" s="1882"/>
      <c r="GRG23" s="1882"/>
      <c r="GRH23" s="1882"/>
      <c r="GRJ23" s="1887"/>
      <c r="GRK23" s="1888"/>
      <c r="GRL23" s="1882"/>
      <c r="GRM23" s="1882"/>
      <c r="GRN23" s="1882"/>
      <c r="GRP23" s="1887"/>
      <c r="GRQ23" s="1888"/>
      <c r="GRR23" s="1882"/>
      <c r="GRS23" s="1882"/>
      <c r="GRT23" s="1882"/>
      <c r="GRV23" s="1887"/>
      <c r="GRW23" s="1888"/>
      <c r="GRX23" s="1882"/>
      <c r="GRY23" s="1882"/>
      <c r="GRZ23" s="1882"/>
      <c r="GSB23" s="1887"/>
      <c r="GSC23" s="1888"/>
      <c r="GSD23" s="1882"/>
      <c r="GSE23" s="1882"/>
      <c r="GSF23" s="1882"/>
      <c r="GSH23" s="1887"/>
      <c r="GSI23" s="1888"/>
      <c r="GSJ23" s="1882"/>
      <c r="GSK23" s="1882"/>
      <c r="GSL23" s="1882"/>
      <c r="GSN23" s="1887"/>
      <c r="GSO23" s="1888"/>
      <c r="GSP23" s="1882"/>
      <c r="GSQ23" s="1882"/>
      <c r="GSR23" s="1882"/>
      <c r="GST23" s="1887"/>
      <c r="GSU23" s="1888"/>
      <c r="GSV23" s="1882"/>
      <c r="GSW23" s="1882"/>
      <c r="GSX23" s="1882"/>
      <c r="GSZ23" s="1887"/>
      <c r="GTA23" s="1888"/>
      <c r="GTB23" s="1882"/>
      <c r="GTC23" s="1882"/>
      <c r="GTD23" s="1882"/>
      <c r="GTF23" s="1887"/>
      <c r="GTG23" s="1888"/>
      <c r="GTH23" s="1882"/>
      <c r="GTI23" s="1882"/>
      <c r="GTJ23" s="1882"/>
      <c r="GTL23" s="1887"/>
      <c r="GTM23" s="1888"/>
      <c r="GTN23" s="1882"/>
      <c r="GTO23" s="1882"/>
      <c r="GTP23" s="1882"/>
      <c r="GTR23" s="1887"/>
      <c r="GTS23" s="1888"/>
      <c r="GTT23" s="1882"/>
      <c r="GTU23" s="1882"/>
      <c r="GTV23" s="1882"/>
      <c r="GTX23" s="1887"/>
      <c r="GTY23" s="1888"/>
      <c r="GTZ23" s="1882"/>
      <c r="GUA23" s="1882"/>
      <c r="GUB23" s="1882"/>
      <c r="GUD23" s="1887"/>
      <c r="GUE23" s="1888"/>
      <c r="GUF23" s="1882"/>
      <c r="GUG23" s="1882"/>
      <c r="GUH23" s="1882"/>
      <c r="GUJ23" s="1887"/>
      <c r="GUK23" s="1888"/>
      <c r="GUL23" s="1882"/>
      <c r="GUM23" s="1882"/>
      <c r="GUN23" s="1882"/>
      <c r="GUP23" s="1887"/>
      <c r="GUQ23" s="1888"/>
      <c r="GUR23" s="1882"/>
      <c r="GUS23" s="1882"/>
      <c r="GUT23" s="1882"/>
      <c r="GUV23" s="1887"/>
      <c r="GUW23" s="1888"/>
      <c r="GUX23" s="1882"/>
      <c r="GUY23" s="1882"/>
      <c r="GUZ23" s="1882"/>
      <c r="GVB23" s="1887"/>
      <c r="GVC23" s="1888"/>
      <c r="GVD23" s="1882"/>
      <c r="GVE23" s="1882"/>
      <c r="GVF23" s="1882"/>
      <c r="GVH23" s="1887"/>
      <c r="GVI23" s="1888"/>
      <c r="GVJ23" s="1882"/>
      <c r="GVK23" s="1882"/>
      <c r="GVL23" s="1882"/>
      <c r="GVN23" s="1887"/>
      <c r="GVO23" s="1888"/>
      <c r="GVP23" s="1882"/>
      <c r="GVQ23" s="1882"/>
      <c r="GVR23" s="1882"/>
      <c r="GVT23" s="1887"/>
      <c r="GVU23" s="1888"/>
      <c r="GVV23" s="1882"/>
      <c r="GVW23" s="1882"/>
      <c r="GVX23" s="1882"/>
      <c r="GVZ23" s="1887"/>
      <c r="GWA23" s="1888"/>
      <c r="GWB23" s="1882"/>
      <c r="GWC23" s="1882"/>
      <c r="GWD23" s="1882"/>
      <c r="GWF23" s="1887"/>
      <c r="GWG23" s="1888"/>
      <c r="GWH23" s="1882"/>
      <c r="GWI23" s="1882"/>
      <c r="GWJ23" s="1882"/>
      <c r="GWL23" s="1887"/>
      <c r="GWM23" s="1888"/>
      <c r="GWN23" s="1882"/>
      <c r="GWO23" s="1882"/>
      <c r="GWP23" s="1882"/>
      <c r="GWR23" s="1887"/>
      <c r="GWS23" s="1888"/>
      <c r="GWT23" s="1882"/>
      <c r="GWU23" s="1882"/>
      <c r="GWV23" s="1882"/>
      <c r="GWX23" s="1887"/>
      <c r="GWY23" s="1888"/>
      <c r="GWZ23" s="1882"/>
      <c r="GXA23" s="1882"/>
      <c r="GXB23" s="1882"/>
      <c r="GXD23" s="1887"/>
      <c r="GXE23" s="1888"/>
      <c r="GXF23" s="1882"/>
      <c r="GXG23" s="1882"/>
      <c r="GXH23" s="1882"/>
      <c r="GXJ23" s="1887"/>
      <c r="GXK23" s="1888"/>
      <c r="GXL23" s="1882"/>
      <c r="GXM23" s="1882"/>
      <c r="GXN23" s="1882"/>
      <c r="GXP23" s="1887"/>
      <c r="GXQ23" s="1888"/>
      <c r="GXR23" s="1882"/>
      <c r="GXS23" s="1882"/>
      <c r="GXT23" s="1882"/>
      <c r="GXV23" s="1887"/>
      <c r="GXW23" s="1888"/>
      <c r="GXX23" s="1882"/>
      <c r="GXY23" s="1882"/>
      <c r="GXZ23" s="1882"/>
      <c r="GYB23" s="1887"/>
      <c r="GYC23" s="1888"/>
      <c r="GYD23" s="1882"/>
      <c r="GYE23" s="1882"/>
      <c r="GYF23" s="1882"/>
      <c r="GYH23" s="1887"/>
      <c r="GYI23" s="1888"/>
      <c r="GYJ23" s="1882"/>
      <c r="GYK23" s="1882"/>
      <c r="GYL23" s="1882"/>
      <c r="GYN23" s="1887"/>
      <c r="GYO23" s="1888"/>
      <c r="GYP23" s="1882"/>
      <c r="GYQ23" s="1882"/>
      <c r="GYR23" s="1882"/>
      <c r="GYT23" s="1887"/>
      <c r="GYU23" s="1888"/>
      <c r="GYV23" s="1882"/>
      <c r="GYW23" s="1882"/>
      <c r="GYX23" s="1882"/>
      <c r="GYZ23" s="1887"/>
      <c r="GZA23" s="1888"/>
      <c r="GZB23" s="1882"/>
      <c r="GZC23" s="1882"/>
      <c r="GZD23" s="1882"/>
      <c r="GZF23" s="1887"/>
      <c r="GZG23" s="1888"/>
      <c r="GZH23" s="1882"/>
      <c r="GZI23" s="1882"/>
      <c r="GZJ23" s="1882"/>
      <c r="GZL23" s="1887"/>
      <c r="GZM23" s="1888"/>
      <c r="GZN23" s="1882"/>
      <c r="GZO23" s="1882"/>
      <c r="GZP23" s="1882"/>
      <c r="GZR23" s="1887"/>
      <c r="GZS23" s="1888"/>
      <c r="GZT23" s="1882"/>
      <c r="GZU23" s="1882"/>
      <c r="GZV23" s="1882"/>
      <c r="GZX23" s="1887"/>
      <c r="GZY23" s="1888"/>
      <c r="GZZ23" s="1882"/>
      <c r="HAA23" s="1882"/>
      <c r="HAB23" s="1882"/>
      <c r="HAD23" s="1887"/>
      <c r="HAE23" s="1888"/>
      <c r="HAF23" s="1882"/>
      <c r="HAG23" s="1882"/>
      <c r="HAH23" s="1882"/>
      <c r="HAJ23" s="1887"/>
      <c r="HAK23" s="1888"/>
      <c r="HAL23" s="1882"/>
      <c r="HAM23" s="1882"/>
      <c r="HAN23" s="1882"/>
      <c r="HAP23" s="1887"/>
      <c r="HAQ23" s="1888"/>
      <c r="HAR23" s="1882"/>
      <c r="HAS23" s="1882"/>
      <c r="HAT23" s="1882"/>
      <c r="HAV23" s="1887"/>
      <c r="HAW23" s="1888"/>
      <c r="HAX23" s="1882"/>
      <c r="HAY23" s="1882"/>
      <c r="HAZ23" s="1882"/>
      <c r="HBB23" s="1887"/>
      <c r="HBC23" s="1888"/>
      <c r="HBD23" s="1882"/>
      <c r="HBE23" s="1882"/>
      <c r="HBF23" s="1882"/>
      <c r="HBH23" s="1887"/>
      <c r="HBI23" s="1888"/>
      <c r="HBJ23" s="1882"/>
      <c r="HBK23" s="1882"/>
      <c r="HBL23" s="1882"/>
      <c r="HBN23" s="1887"/>
      <c r="HBO23" s="1888"/>
      <c r="HBP23" s="1882"/>
      <c r="HBQ23" s="1882"/>
      <c r="HBR23" s="1882"/>
      <c r="HBT23" s="1887"/>
      <c r="HBU23" s="1888"/>
      <c r="HBV23" s="1882"/>
      <c r="HBW23" s="1882"/>
      <c r="HBX23" s="1882"/>
      <c r="HBZ23" s="1887"/>
      <c r="HCA23" s="1888"/>
      <c r="HCB23" s="1882"/>
      <c r="HCC23" s="1882"/>
      <c r="HCD23" s="1882"/>
      <c r="HCF23" s="1887"/>
      <c r="HCG23" s="1888"/>
      <c r="HCH23" s="1882"/>
      <c r="HCI23" s="1882"/>
      <c r="HCJ23" s="1882"/>
      <c r="HCL23" s="1887"/>
      <c r="HCM23" s="1888"/>
      <c r="HCN23" s="1882"/>
      <c r="HCO23" s="1882"/>
      <c r="HCP23" s="1882"/>
      <c r="HCR23" s="1887"/>
      <c r="HCS23" s="1888"/>
      <c r="HCT23" s="1882"/>
      <c r="HCU23" s="1882"/>
      <c r="HCV23" s="1882"/>
      <c r="HCX23" s="1887"/>
      <c r="HCY23" s="1888"/>
      <c r="HCZ23" s="1882"/>
      <c r="HDA23" s="1882"/>
      <c r="HDB23" s="1882"/>
      <c r="HDD23" s="1887"/>
      <c r="HDE23" s="1888"/>
      <c r="HDF23" s="1882"/>
      <c r="HDG23" s="1882"/>
      <c r="HDH23" s="1882"/>
      <c r="HDJ23" s="1887"/>
      <c r="HDK23" s="1888"/>
      <c r="HDL23" s="1882"/>
      <c r="HDM23" s="1882"/>
      <c r="HDN23" s="1882"/>
      <c r="HDP23" s="1887"/>
      <c r="HDQ23" s="1888"/>
      <c r="HDR23" s="1882"/>
      <c r="HDS23" s="1882"/>
      <c r="HDT23" s="1882"/>
      <c r="HDV23" s="1887"/>
      <c r="HDW23" s="1888"/>
      <c r="HDX23" s="1882"/>
      <c r="HDY23" s="1882"/>
      <c r="HDZ23" s="1882"/>
      <c r="HEB23" s="1887"/>
      <c r="HEC23" s="1888"/>
      <c r="HED23" s="1882"/>
      <c r="HEE23" s="1882"/>
      <c r="HEF23" s="1882"/>
      <c r="HEH23" s="1887"/>
      <c r="HEI23" s="1888"/>
      <c r="HEJ23" s="1882"/>
      <c r="HEK23" s="1882"/>
      <c r="HEL23" s="1882"/>
      <c r="HEN23" s="1887"/>
      <c r="HEO23" s="1888"/>
      <c r="HEP23" s="1882"/>
      <c r="HEQ23" s="1882"/>
      <c r="HER23" s="1882"/>
      <c r="HET23" s="1887"/>
      <c r="HEU23" s="1888"/>
      <c r="HEV23" s="1882"/>
      <c r="HEW23" s="1882"/>
      <c r="HEX23" s="1882"/>
      <c r="HEZ23" s="1887"/>
      <c r="HFA23" s="1888"/>
      <c r="HFB23" s="1882"/>
      <c r="HFC23" s="1882"/>
      <c r="HFD23" s="1882"/>
      <c r="HFF23" s="1887"/>
      <c r="HFG23" s="1888"/>
      <c r="HFH23" s="1882"/>
      <c r="HFI23" s="1882"/>
      <c r="HFJ23" s="1882"/>
      <c r="HFL23" s="1887"/>
      <c r="HFM23" s="1888"/>
      <c r="HFN23" s="1882"/>
      <c r="HFO23" s="1882"/>
      <c r="HFP23" s="1882"/>
      <c r="HFR23" s="1887"/>
      <c r="HFS23" s="1888"/>
      <c r="HFT23" s="1882"/>
      <c r="HFU23" s="1882"/>
      <c r="HFV23" s="1882"/>
      <c r="HFX23" s="1887"/>
      <c r="HFY23" s="1888"/>
      <c r="HFZ23" s="1882"/>
      <c r="HGA23" s="1882"/>
      <c r="HGB23" s="1882"/>
      <c r="HGD23" s="1887"/>
      <c r="HGE23" s="1888"/>
      <c r="HGF23" s="1882"/>
      <c r="HGG23" s="1882"/>
      <c r="HGH23" s="1882"/>
      <c r="HGJ23" s="1887"/>
      <c r="HGK23" s="1888"/>
      <c r="HGL23" s="1882"/>
      <c r="HGM23" s="1882"/>
      <c r="HGN23" s="1882"/>
      <c r="HGP23" s="1887"/>
      <c r="HGQ23" s="1888"/>
      <c r="HGR23" s="1882"/>
      <c r="HGS23" s="1882"/>
      <c r="HGT23" s="1882"/>
      <c r="HGV23" s="1887"/>
      <c r="HGW23" s="1888"/>
      <c r="HGX23" s="1882"/>
      <c r="HGY23" s="1882"/>
      <c r="HGZ23" s="1882"/>
      <c r="HHB23" s="1887"/>
      <c r="HHC23" s="1888"/>
      <c r="HHD23" s="1882"/>
      <c r="HHE23" s="1882"/>
      <c r="HHF23" s="1882"/>
      <c r="HHH23" s="1887"/>
      <c r="HHI23" s="1888"/>
      <c r="HHJ23" s="1882"/>
      <c r="HHK23" s="1882"/>
      <c r="HHL23" s="1882"/>
      <c r="HHN23" s="1887"/>
      <c r="HHO23" s="1888"/>
      <c r="HHP23" s="1882"/>
      <c r="HHQ23" s="1882"/>
      <c r="HHR23" s="1882"/>
      <c r="HHT23" s="1887"/>
      <c r="HHU23" s="1888"/>
      <c r="HHV23" s="1882"/>
      <c r="HHW23" s="1882"/>
      <c r="HHX23" s="1882"/>
      <c r="HHZ23" s="1887"/>
      <c r="HIA23" s="1888"/>
      <c r="HIB23" s="1882"/>
      <c r="HIC23" s="1882"/>
      <c r="HID23" s="1882"/>
      <c r="HIF23" s="1887"/>
      <c r="HIG23" s="1888"/>
      <c r="HIH23" s="1882"/>
      <c r="HII23" s="1882"/>
      <c r="HIJ23" s="1882"/>
      <c r="HIL23" s="1887"/>
      <c r="HIM23" s="1888"/>
      <c r="HIN23" s="1882"/>
      <c r="HIO23" s="1882"/>
      <c r="HIP23" s="1882"/>
      <c r="HIR23" s="1887"/>
      <c r="HIS23" s="1888"/>
      <c r="HIT23" s="1882"/>
      <c r="HIU23" s="1882"/>
      <c r="HIV23" s="1882"/>
      <c r="HIX23" s="1887"/>
      <c r="HIY23" s="1888"/>
      <c r="HIZ23" s="1882"/>
      <c r="HJA23" s="1882"/>
      <c r="HJB23" s="1882"/>
      <c r="HJD23" s="1887"/>
      <c r="HJE23" s="1888"/>
      <c r="HJF23" s="1882"/>
      <c r="HJG23" s="1882"/>
      <c r="HJH23" s="1882"/>
      <c r="HJJ23" s="1887"/>
      <c r="HJK23" s="1888"/>
      <c r="HJL23" s="1882"/>
      <c r="HJM23" s="1882"/>
      <c r="HJN23" s="1882"/>
      <c r="HJP23" s="1887"/>
      <c r="HJQ23" s="1888"/>
      <c r="HJR23" s="1882"/>
      <c r="HJS23" s="1882"/>
      <c r="HJT23" s="1882"/>
      <c r="HJV23" s="1887"/>
      <c r="HJW23" s="1888"/>
      <c r="HJX23" s="1882"/>
      <c r="HJY23" s="1882"/>
      <c r="HJZ23" s="1882"/>
      <c r="HKB23" s="1887"/>
      <c r="HKC23" s="1888"/>
      <c r="HKD23" s="1882"/>
      <c r="HKE23" s="1882"/>
      <c r="HKF23" s="1882"/>
      <c r="HKH23" s="1887"/>
      <c r="HKI23" s="1888"/>
      <c r="HKJ23" s="1882"/>
      <c r="HKK23" s="1882"/>
      <c r="HKL23" s="1882"/>
      <c r="HKN23" s="1887"/>
      <c r="HKO23" s="1888"/>
      <c r="HKP23" s="1882"/>
      <c r="HKQ23" s="1882"/>
      <c r="HKR23" s="1882"/>
      <c r="HKT23" s="1887"/>
      <c r="HKU23" s="1888"/>
      <c r="HKV23" s="1882"/>
      <c r="HKW23" s="1882"/>
      <c r="HKX23" s="1882"/>
      <c r="HKZ23" s="1887"/>
      <c r="HLA23" s="1888"/>
      <c r="HLB23" s="1882"/>
      <c r="HLC23" s="1882"/>
      <c r="HLD23" s="1882"/>
      <c r="HLF23" s="1887"/>
      <c r="HLG23" s="1888"/>
      <c r="HLH23" s="1882"/>
      <c r="HLI23" s="1882"/>
      <c r="HLJ23" s="1882"/>
      <c r="HLL23" s="1887"/>
      <c r="HLM23" s="1888"/>
      <c r="HLN23" s="1882"/>
      <c r="HLO23" s="1882"/>
      <c r="HLP23" s="1882"/>
      <c r="HLR23" s="1887"/>
      <c r="HLS23" s="1888"/>
      <c r="HLT23" s="1882"/>
      <c r="HLU23" s="1882"/>
      <c r="HLV23" s="1882"/>
      <c r="HLX23" s="1887"/>
      <c r="HLY23" s="1888"/>
      <c r="HLZ23" s="1882"/>
      <c r="HMA23" s="1882"/>
      <c r="HMB23" s="1882"/>
      <c r="HMD23" s="1887"/>
      <c r="HME23" s="1888"/>
      <c r="HMF23" s="1882"/>
      <c r="HMG23" s="1882"/>
      <c r="HMH23" s="1882"/>
      <c r="HMJ23" s="1887"/>
      <c r="HMK23" s="1888"/>
      <c r="HML23" s="1882"/>
      <c r="HMM23" s="1882"/>
      <c r="HMN23" s="1882"/>
      <c r="HMP23" s="1887"/>
      <c r="HMQ23" s="1888"/>
      <c r="HMR23" s="1882"/>
      <c r="HMS23" s="1882"/>
      <c r="HMT23" s="1882"/>
      <c r="HMV23" s="1887"/>
      <c r="HMW23" s="1888"/>
      <c r="HMX23" s="1882"/>
      <c r="HMY23" s="1882"/>
      <c r="HMZ23" s="1882"/>
      <c r="HNB23" s="1887"/>
      <c r="HNC23" s="1888"/>
      <c r="HND23" s="1882"/>
      <c r="HNE23" s="1882"/>
      <c r="HNF23" s="1882"/>
      <c r="HNH23" s="1887"/>
      <c r="HNI23" s="1888"/>
      <c r="HNJ23" s="1882"/>
      <c r="HNK23" s="1882"/>
      <c r="HNL23" s="1882"/>
      <c r="HNN23" s="1887"/>
      <c r="HNO23" s="1888"/>
      <c r="HNP23" s="1882"/>
      <c r="HNQ23" s="1882"/>
      <c r="HNR23" s="1882"/>
      <c r="HNT23" s="1887"/>
      <c r="HNU23" s="1888"/>
      <c r="HNV23" s="1882"/>
      <c r="HNW23" s="1882"/>
      <c r="HNX23" s="1882"/>
      <c r="HNZ23" s="1887"/>
      <c r="HOA23" s="1888"/>
      <c r="HOB23" s="1882"/>
      <c r="HOC23" s="1882"/>
      <c r="HOD23" s="1882"/>
      <c r="HOF23" s="1887"/>
      <c r="HOG23" s="1888"/>
      <c r="HOH23" s="1882"/>
      <c r="HOI23" s="1882"/>
      <c r="HOJ23" s="1882"/>
      <c r="HOL23" s="1887"/>
      <c r="HOM23" s="1888"/>
      <c r="HON23" s="1882"/>
      <c r="HOO23" s="1882"/>
      <c r="HOP23" s="1882"/>
      <c r="HOR23" s="1887"/>
      <c r="HOS23" s="1888"/>
      <c r="HOT23" s="1882"/>
      <c r="HOU23" s="1882"/>
      <c r="HOV23" s="1882"/>
      <c r="HOX23" s="1887"/>
      <c r="HOY23" s="1888"/>
      <c r="HOZ23" s="1882"/>
      <c r="HPA23" s="1882"/>
      <c r="HPB23" s="1882"/>
      <c r="HPD23" s="1887"/>
      <c r="HPE23" s="1888"/>
      <c r="HPF23" s="1882"/>
      <c r="HPG23" s="1882"/>
      <c r="HPH23" s="1882"/>
      <c r="HPJ23" s="1887"/>
      <c r="HPK23" s="1888"/>
      <c r="HPL23" s="1882"/>
      <c r="HPM23" s="1882"/>
      <c r="HPN23" s="1882"/>
      <c r="HPP23" s="1887"/>
      <c r="HPQ23" s="1888"/>
      <c r="HPR23" s="1882"/>
      <c r="HPS23" s="1882"/>
      <c r="HPT23" s="1882"/>
      <c r="HPV23" s="1887"/>
      <c r="HPW23" s="1888"/>
      <c r="HPX23" s="1882"/>
      <c r="HPY23" s="1882"/>
      <c r="HPZ23" s="1882"/>
      <c r="HQB23" s="1887"/>
      <c r="HQC23" s="1888"/>
      <c r="HQD23" s="1882"/>
      <c r="HQE23" s="1882"/>
      <c r="HQF23" s="1882"/>
      <c r="HQH23" s="1887"/>
      <c r="HQI23" s="1888"/>
      <c r="HQJ23" s="1882"/>
      <c r="HQK23" s="1882"/>
      <c r="HQL23" s="1882"/>
      <c r="HQN23" s="1887"/>
      <c r="HQO23" s="1888"/>
      <c r="HQP23" s="1882"/>
      <c r="HQQ23" s="1882"/>
      <c r="HQR23" s="1882"/>
      <c r="HQT23" s="1887"/>
      <c r="HQU23" s="1888"/>
      <c r="HQV23" s="1882"/>
      <c r="HQW23" s="1882"/>
      <c r="HQX23" s="1882"/>
      <c r="HQZ23" s="1887"/>
      <c r="HRA23" s="1888"/>
      <c r="HRB23" s="1882"/>
      <c r="HRC23" s="1882"/>
      <c r="HRD23" s="1882"/>
      <c r="HRF23" s="1887"/>
      <c r="HRG23" s="1888"/>
      <c r="HRH23" s="1882"/>
      <c r="HRI23" s="1882"/>
      <c r="HRJ23" s="1882"/>
      <c r="HRL23" s="1887"/>
      <c r="HRM23" s="1888"/>
      <c r="HRN23" s="1882"/>
      <c r="HRO23" s="1882"/>
      <c r="HRP23" s="1882"/>
      <c r="HRR23" s="1887"/>
      <c r="HRS23" s="1888"/>
      <c r="HRT23" s="1882"/>
      <c r="HRU23" s="1882"/>
      <c r="HRV23" s="1882"/>
      <c r="HRX23" s="1887"/>
      <c r="HRY23" s="1888"/>
      <c r="HRZ23" s="1882"/>
      <c r="HSA23" s="1882"/>
      <c r="HSB23" s="1882"/>
      <c r="HSD23" s="1887"/>
      <c r="HSE23" s="1888"/>
      <c r="HSF23" s="1882"/>
      <c r="HSG23" s="1882"/>
      <c r="HSH23" s="1882"/>
      <c r="HSJ23" s="1887"/>
      <c r="HSK23" s="1888"/>
      <c r="HSL23" s="1882"/>
      <c r="HSM23" s="1882"/>
      <c r="HSN23" s="1882"/>
      <c r="HSP23" s="1887"/>
      <c r="HSQ23" s="1888"/>
      <c r="HSR23" s="1882"/>
      <c r="HSS23" s="1882"/>
      <c r="HST23" s="1882"/>
      <c r="HSV23" s="1887"/>
      <c r="HSW23" s="1888"/>
      <c r="HSX23" s="1882"/>
      <c r="HSY23" s="1882"/>
      <c r="HSZ23" s="1882"/>
      <c r="HTB23" s="1887"/>
      <c r="HTC23" s="1888"/>
      <c r="HTD23" s="1882"/>
      <c r="HTE23" s="1882"/>
      <c r="HTF23" s="1882"/>
      <c r="HTH23" s="1887"/>
      <c r="HTI23" s="1888"/>
      <c r="HTJ23" s="1882"/>
      <c r="HTK23" s="1882"/>
      <c r="HTL23" s="1882"/>
      <c r="HTN23" s="1887"/>
      <c r="HTO23" s="1888"/>
      <c r="HTP23" s="1882"/>
      <c r="HTQ23" s="1882"/>
      <c r="HTR23" s="1882"/>
      <c r="HTT23" s="1887"/>
      <c r="HTU23" s="1888"/>
      <c r="HTV23" s="1882"/>
      <c r="HTW23" s="1882"/>
      <c r="HTX23" s="1882"/>
      <c r="HTZ23" s="1887"/>
      <c r="HUA23" s="1888"/>
      <c r="HUB23" s="1882"/>
      <c r="HUC23" s="1882"/>
      <c r="HUD23" s="1882"/>
      <c r="HUF23" s="1887"/>
      <c r="HUG23" s="1888"/>
      <c r="HUH23" s="1882"/>
      <c r="HUI23" s="1882"/>
      <c r="HUJ23" s="1882"/>
      <c r="HUL23" s="1887"/>
      <c r="HUM23" s="1888"/>
      <c r="HUN23" s="1882"/>
      <c r="HUO23" s="1882"/>
      <c r="HUP23" s="1882"/>
      <c r="HUR23" s="1887"/>
      <c r="HUS23" s="1888"/>
      <c r="HUT23" s="1882"/>
      <c r="HUU23" s="1882"/>
      <c r="HUV23" s="1882"/>
      <c r="HUX23" s="1887"/>
      <c r="HUY23" s="1888"/>
      <c r="HUZ23" s="1882"/>
      <c r="HVA23" s="1882"/>
      <c r="HVB23" s="1882"/>
      <c r="HVD23" s="1887"/>
      <c r="HVE23" s="1888"/>
      <c r="HVF23" s="1882"/>
      <c r="HVG23" s="1882"/>
      <c r="HVH23" s="1882"/>
      <c r="HVJ23" s="1887"/>
      <c r="HVK23" s="1888"/>
      <c r="HVL23" s="1882"/>
      <c r="HVM23" s="1882"/>
      <c r="HVN23" s="1882"/>
      <c r="HVP23" s="1887"/>
      <c r="HVQ23" s="1888"/>
      <c r="HVR23" s="1882"/>
      <c r="HVS23" s="1882"/>
      <c r="HVT23" s="1882"/>
      <c r="HVV23" s="1887"/>
      <c r="HVW23" s="1888"/>
      <c r="HVX23" s="1882"/>
      <c r="HVY23" s="1882"/>
      <c r="HVZ23" s="1882"/>
      <c r="HWB23" s="1887"/>
      <c r="HWC23" s="1888"/>
      <c r="HWD23" s="1882"/>
      <c r="HWE23" s="1882"/>
      <c r="HWF23" s="1882"/>
      <c r="HWH23" s="1887"/>
      <c r="HWI23" s="1888"/>
      <c r="HWJ23" s="1882"/>
      <c r="HWK23" s="1882"/>
      <c r="HWL23" s="1882"/>
      <c r="HWN23" s="1887"/>
      <c r="HWO23" s="1888"/>
      <c r="HWP23" s="1882"/>
      <c r="HWQ23" s="1882"/>
      <c r="HWR23" s="1882"/>
      <c r="HWT23" s="1887"/>
      <c r="HWU23" s="1888"/>
      <c r="HWV23" s="1882"/>
      <c r="HWW23" s="1882"/>
      <c r="HWX23" s="1882"/>
      <c r="HWZ23" s="1887"/>
      <c r="HXA23" s="1888"/>
      <c r="HXB23" s="1882"/>
      <c r="HXC23" s="1882"/>
      <c r="HXD23" s="1882"/>
      <c r="HXF23" s="1887"/>
      <c r="HXG23" s="1888"/>
      <c r="HXH23" s="1882"/>
      <c r="HXI23" s="1882"/>
      <c r="HXJ23" s="1882"/>
      <c r="HXL23" s="1887"/>
      <c r="HXM23" s="1888"/>
      <c r="HXN23" s="1882"/>
      <c r="HXO23" s="1882"/>
      <c r="HXP23" s="1882"/>
      <c r="HXR23" s="1887"/>
      <c r="HXS23" s="1888"/>
      <c r="HXT23" s="1882"/>
      <c r="HXU23" s="1882"/>
      <c r="HXV23" s="1882"/>
      <c r="HXX23" s="1887"/>
      <c r="HXY23" s="1888"/>
      <c r="HXZ23" s="1882"/>
      <c r="HYA23" s="1882"/>
      <c r="HYB23" s="1882"/>
      <c r="HYD23" s="1887"/>
      <c r="HYE23" s="1888"/>
      <c r="HYF23" s="1882"/>
      <c r="HYG23" s="1882"/>
      <c r="HYH23" s="1882"/>
      <c r="HYJ23" s="1887"/>
      <c r="HYK23" s="1888"/>
      <c r="HYL23" s="1882"/>
      <c r="HYM23" s="1882"/>
      <c r="HYN23" s="1882"/>
      <c r="HYP23" s="1887"/>
      <c r="HYQ23" s="1888"/>
      <c r="HYR23" s="1882"/>
      <c r="HYS23" s="1882"/>
      <c r="HYT23" s="1882"/>
      <c r="HYV23" s="1887"/>
      <c r="HYW23" s="1888"/>
      <c r="HYX23" s="1882"/>
      <c r="HYY23" s="1882"/>
      <c r="HYZ23" s="1882"/>
      <c r="HZB23" s="1887"/>
      <c r="HZC23" s="1888"/>
      <c r="HZD23" s="1882"/>
      <c r="HZE23" s="1882"/>
      <c r="HZF23" s="1882"/>
      <c r="HZH23" s="1887"/>
      <c r="HZI23" s="1888"/>
      <c r="HZJ23" s="1882"/>
      <c r="HZK23" s="1882"/>
      <c r="HZL23" s="1882"/>
      <c r="HZN23" s="1887"/>
      <c r="HZO23" s="1888"/>
      <c r="HZP23" s="1882"/>
      <c r="HZQ23" s="1882"/>
      <c r="HZR23" s="1882"/>
      <c r="HZT23" s="1887"/>
      <c r="HZU23" s="1888"/>
      <c r="HZV23" s="1882"/>
      <c r="HZW23" s="1882"/>
      <c r="HZX23" s="1882"/>
      <c r="HZZ23" s="1887"/>
      <c r="IAA23" s="1888"/>
      <c r="IAB23" s="1882"/>
      <c r="IAC23" s="1882"/>
      <c r="IAD23" s="1882"/>
      <c r="IAF23" s="1887"/>
      <c r="IAG23" s="1888"/>
      <c r="IAH23" s="1882"/>
      <c r="IAI23" s="1882"/>
      <c r="IAJ23" s="1882"/>
      <c r="IAL23" s="1887"/>
      <c r="IAM23" s="1888"/>
      <c r="IAN23" s="1882"/>
      <c r="IAO23" s="1882"/>
      <c r="IAP23" s="1882"/>
      <c r="IAR23" s="1887"/>
      <c r="IAS23" s="1888"/>
      <c r="IAT23" s="1882"/>
      <c r="IAU23" s="1882"/>
      <c r="IAV23" s="1882"/>
      <c r="IAX23" s="1887"/>
      <c r="IAY23" s="1888"/>
      <c r="IAZ23" s="1882"/>
      <c r="IBA23" s="1882"/>
      <c r="IBB23" s="1882"/>
      <c r="IBD23" s="1887"/>
      <c r="IBE23" s="1888"/>
      <c r="IBF23" s="1882"/>
      <c r="IBG23" s="1882"/>
      <c r="IBH23" s="1882"/>
      <c r="IBJ23" s="1887"/>
      <c r="IBK23" s="1888"/>
      <c r="IBL23" s="1882"/>
      <c r="IBM23" s="1882"/>
      <c r="IBN23" s="1882"/>
      <c r="IBP23" s="1887"/>
      <c r="IBQ23" s="1888"/>
      <c r="IBR23" s="1882"/>
      <c r="IBS23" s="1882"/>
      <c r="IBT23" s="1882"/>
      <c r="IBV23" s="1887"/>
      <c r="IBW23" s="1888"/>
      <c r="IBX23" s="1882"/>
      <c r="IBY23" s="1882"/>
      <c r="IBZ23" s="1882"/>
      <c r="ICB23" s="1887"/>
      <c r="ICC23" s="1888"/>
      <c r="ICD23" s="1882"/>
      <c r="ICE23" s="1882"/>
      <c r="ICF23" s="1882"/>
      <c r="ICH23" s="1887"/>
      <c r="ICI23" s="1888"/>
      <c r="ICJ23" s="1882"/>
      <c r="ICK23" s="1882"/>
      <c r="ICL23" s="1882"/>
      <c r="ICN23" s="1887"/>
      <c r="ICO23" s="1888"/>
      <c r="ICP23" s="1882"/>
      <c r="ICQ23" s="1882"/>
      <c r="ICR23" s="1882"/>
      <c r="ICT23" s="1887"/>
      <c r="ICU23" s="1888"/>
      <c r="ICV23" s="1882"/>
      <c r="ICW23" s="1882"/>
      <c r="ICX23" s="1882"/>
      <c r="ICZ23" s="1887"/>
      <c r="IDA23" s="1888"/>
      <c r="IDB23" s="1882"/>
      <c r="IDC23" s="1882"/>
      <c r="IDD23" s="1882"/>
      <c r="IDF23" s="1887"/>
      <c r="IDG23" s="1888"/>
      <c r="IDH23" s="1882"/>
      <c r="IDI23" s="1882"/>
      <c r="IDJ23" s="1882"/>
      <c r="IDL23" s="1887"/>
      <c r="IDM23" s="1888"/>
      <c r="IDN23" s="1882"/>
      <c r="IDO23" s="1882"/>
      <c r="IDP23" s="1882"/>
      <c r="IDR23" s="1887"/>
      <c r="IDS23" s="1888"/>
      <c r="IDT23" s="1882"/>
      <c r="IDU23" s="1882"/>
      <c r="IDV23" s="1882"/>
      <c r="IDX23" s="1887"/>
      <c r="IDY23" s="1888"/>
      <c r="IDZ23" s="1882"/>
      <c r="IEA23" s="1882"/>
      <c r="IEB23" s="1882"/>
      <c r="IED23" s="1887"/>
      <c r="IEE23" s="1888"/>
      <c r="IEF23" s="1882"/>
      <c r="IEG23" s="1882"/>
      <c r="IEH23" s="1882"/>
      <c r="IEJ23" s="1887"/>
      <c r="IEK23" s="1888"/>
      <c r="IEL23" s="1882"/>
      <c r="IEM23" s="1882"/>
      <c r="IEN23" s="1882"/>
      <c r="IEP23" s="1887"/>
      <c r="IEQ23" s="1888"/>
      <c r="IER23" s="1882"/>
      <c r="IES23" s="1882"/>
      <c r="IET23" s="1882"/>
      <c r="IEV23" s="1887"/>
      <c r="IEW23" s="1888"/>
      <c r="IEX23" s="1882"/>
      <c r="IEY23" s="1882"/>
      <c r="IEZ23" s="1882"/>
      <c r="IFB23" s="1887"/>
      <c r="IFC23" s="1888"/>
      <c r="IFD23" s="1882"/>
      <c r="IFE23" s="1882"/>
      <c r="IFF23" s="1882"/>
      <c r="IFH23" s="1887"/>
      <c r="IFI23" s="1888"/>
      <c r="IFJ23" s="1882"/>
      <c r="IFK23" s="1882"/>
      <c r="IFL23" s="1882"/>
      <c r="IFN23" s="1887"/>
      <c r="IFO23" s="1888"/>
      <c r="IFP23" s="1882"/>
      <c r="IFQ23" s="1882"/>
      <c r="IFR23" s="1882"/>
      <c r="IFT23" s="1887"/>
      <c r="IFU23" s="1888"/>
      <c r="IFV23" s="1882"/>
      <c r="IFW23" s="1882"/>
      <c r="IFX23" s="1882"/>
      <c r="IFZ23" s="1887"/>
      <c r="IGA23" s="1888"/>
      <c r="IGB23" s="1882"/>
      <c r="IGC23" s="1882"/>
      <c r="IGD23" s="1882"/>
      <c r="IGF23" s="1887"/>
      <c r="IGG23" s="1888"/>
      <c r="IGH23" s="1882"/>
      <c r="IGI23" s="1882"/>
      <c r="IGJ23" s="1882"/>
      <c r="IGL23" s="1887"/>
      <c r="IGM23" s="1888"/>
      <c r="IGN23" s="1882"/>
      <c r="IGO23" s="1882"/>
      <c r="IGP23" s="1882"/>
      <c r="IGR23" s="1887"/>
      <c r="IGS23" s="1888"/>
      <c r="IGT23" s="1882"/>
      <c r="IGU23" s="1882"/>
      <c r="IGV23" s="1882"/>
      <c r="IGX23" s="1887"/>
      <c r="IGY23" s="1888"/>
      <c r="IGZ23" s="1882"/>
      <c r="IHA23" s="1882"/>
      <c r="IHB23" s="1882"/>
      <c r="IHD23" s="1887"/>
      <c r="IHE23" s="1888"/>
      <c r="IHF23" s="1882"/>
      <c r="IHG23" s="1882"/>
      <c r="IHH23" s="1882"/>
      <c r="IHJ23" s="1887"/>
      <c r="IHK23" s="1888"/>
      <c r="IHL23" s="1882"/>
      <c r="IHM23" s="1882"/>
      <c r="IHN23" s="1882"/>
      <c r="IHP23" s="1887"/>
      <c r="IHQ23" s="1888"/>
      <c r="IHR23" s="1882"/>
      <c r="IHS23" s="1882"/>
      <c r="IHT23" s="1882"/>
      <c r="IHV23" s="1887"/>
      <c r="IHW23" s="1888"/>
      <c r="IHX23" s="1882"/>
      <c r="IHY23" s="1882"/>
      <c r="IHZ23" s="1882"/>
      <c r="IIB23" s="1887"/>
      <c r="IIC23" s="1888"/>
      <c r="IID23" s="1882"/>
      <c r="IIE23" s="1882"/>
      <c r="IIF23" s="1882"/>
      <c r="IIH23" s="1887"/>
      <c r="III23" s="1888"/>
      <c r="IIJ23" s="1882"/>
      <c r="IIK23" s="1882"/>
      <c r="IIL23" s="1882"/>
      <c r="IIN23" s="1887"/>
      <c r="IIO23" s="1888"/>
      <c r="IIP23" s="1882"/>
      <c r="IIQ23" s="1882"/>
      <c r="IIR23" s="1882"/>
      <c r="IIT23" s="1887"/>
      <c r="IIU23" s="1888"/>
      <c r="IIV23" s="1882"/>
      <c r="IIW23" s="1882"/>
      <c r="IIX23" s="1882"/>
      <c r="IIZ23" s="1887"/>
      <c r="IJA23" s="1888"/>
      <c r="IJB23" s="1882"/>
      <c r="IJC23" s="1882"/>
      <c r="IJD23" s="1882"/>
      <c r="IJF23" s="1887"/>
      <c r="IJG23" s="1888"/>
      <c r="IJH23" s="1882"/>
      <c r="IJI23" s="1882"/>
      <c r="IJJ23" s="1882"/>
      <c r="IJL23" s="1887"/>
      <c r="IJM23" s="1888"/>
      <c r="IJN23" s="1882"/>
      <c r="IJO23" s="1882"/>
      <c r="IJP23" s="1882"/>
      <c r="IJR23" s="1887"/>
      <c r="IJS23" s="1888"/>
      <c r="IJT23" s="1882"/>
      <c r="IJU23" s="1882"/>
      <c r="IJV23" s="1882"/>
      <c r="IJX23" s="1887"/>
      <c r="IJY23" s="1888"/>
      <c r="IJZ23" s="1882"/>
      <c r="IKA23" s="1882"/>
      <c r="IKB23" s="1882"/>
      <c r="IKD23" s="1887"/>
      <c r="IKE23" s="1888"/>
      <c r="IKF23" s="1882"/>
      <c r="IKG23" s="1882"/>
      <c r="IKH23" s="1882"/>
      <c r="IKJ23" s="1887"/>
      <c r="IKK23" s="1888"/>
      <c r="IKL23" s="1882"/>
      <c r="IKM23" s="1882"/>
      <c r="IKN23" s="1882"/>
      <c r="IKP23" s="1887"/>
      <c r="IKQ23" s="1888"/>
      <c r="IKR23" s="1882"/>
      <c r="IKS23" s="1882"/>
      <c r="IKT23" s="1882"/>
      <c r="IKV23" s="1887"/>
      <c r="IKW23" s="1888"/>
      <c r="IKX23" s="1882"/>
      <c r="IKY23" s="1882"/>
      <c r="IKZ23" s="1882"/>
      <c r="ILB23" s="1887"/>
      <c r="ILC23" s="1888"/>
      <c r="ILD23" s="1882"/>
      <c r="ILE23" s="1882"/>
      <c r="ILF23" s="1882"/>
      <c r="ILH23" s="1887"/>
      <c r="ILI23" s="1888"/>
      <c r="ILJ23" s="1882"/>
      <c r="ILK23" s="1882"/>
      <c r="ILL23" s="1882"/>
      <c r="ILN23" s="1887"/>
      <c r="ILO23" s="1888"/>
      <c r="ILP23" s="1882"/>
      <c r="ILQ23" s="1882"/>
      <c r="ILR23" s="1882"/>
      <c r="ILT23" s="1887"/>
      <c r="ILU23" s="1888"/>
      <c r="ILV23" s="1882"/>
      <c r="ILW23" s="1882"/>
      <c r="ILX23" s="1882"/>
      <c r="ILZ23" s="1887"/>
      <c r="IMA23" s="1888"/>
      <c r="IMB23" s="1882"/>
      <c r="IMC23" s="1882"/>
      <c r="IMD23" s="1882"/>
      <c r="IMF23" s="1887"/>
      <c r="IMG23" s="1888"/>
      <c r="IMH23" s="1882"/>
      <c r="IMI23" s="1882"/>
      <c r="IMJ23" s="1882"/>
      <c r="IML23" s="1887"/>
      <c r="IMM23" s="1888"/>
      <c r="IMN23" s="1882"/>
      <c r="IMO23" s="1882"/>
      <c r="IMP23" s="1882"/>
      <c r="IMR23" s="1887"/>
      <c r="IMS23" s="1888"/>
      <c r="IMT23" s="1882"/>
      <c r="IMU23" s="1882"/>
      <c r="IMV23" s="1882"/>
      <c r="IMX23" s="1887"/>
      <c r="IMY23" s="1888"/>
      <c r="IMZ23" s="1882"/>
      <c r="INA23" s="1882"/>
      <c r="INB23" s="1882"/>
      <c r="IND23" s="1887"/>
      <c r="INE23" s="1888"/>
      <c r="INF23" s="1882"/>
      <c r="ING23" s="1882"/>
      <c r="INH23" s="1882"/>
      <c r="INJ23" s="1887"/>
      <c r="INK23" s="1888"/>
      <c r="INL23" s="1882"/>
      <c r="INM23" s="1882"/>
      <c r="INN23" s="1882"/>
      <c r="INP23" s="1887"/>
      <c r="INQ23" s="1888"/>
      <c r="INR23" s="1882"/>
      <c r="INS23" s="1882"/>
      <c r="INT23" s="1882"/>
      <c r="INV23" s="1887"/>
      <c r="INW23" s="1888"/>
      <c r="INX23" s="1882"/>
      <c r="INY23" s="1882"/>
      <c r="INZ23" s="1882"/>
      <c r="IOB23" s="1887"/>
      <c r="IOC23" s="1888"/>
      <c r="IOD23" s="1882"/>
      <c r="IOE23" s="1882"/>
      <c r="IOF23" s="1882"/>
      <c r="IOH23" s="1887"/>
      <c r="IOI23" s="1888"/>
      <c r="IOJ23" s="1882"/>
      <c r="IOK23" s="1882"/>
      <c r="IOL23" s="1882"/>
      <c r="ION23" s="1887"/>
      <c r="IOO23" s="1888"/>
      <c r="IOP23" s="1882"/>
      <c r="IOQ23" s="1882"/>
      <c r="IOR23" s="1882"/>
      <c r="IOT23" s="1887"/>
      <c r="IOU23" s="1888"/>
      <c r="IOV23" s="1882"/>
      <c r="IOW23" s="1882"/>
      <c r="IOX23" s="1882"/>
      <c r="IOZ23" s="1887"/>
      <c r="IPA23" s="1888"/>
      <c r="IPB23" s="1882"/>
      <c r="IPC23" s="1882"/>
      <c r="IPD23" s="1882"/>
      <c r="IPF23" s="1887"/>
      <c r="IPG23" s="1888"/>
      <c r="IPH23" s="1882"/>
      <c r="IPI23" s="1882"/>
      <c r="IPJ23" s="1882"/>
      <c r="IPL23" s="1887"/>
      <c r="IPM23" s="1888"/>
      <c r="IPN23" s="1882"/>
      <c r="IPO23" s="1882"/>
      <c r="IPP23" s="1882"/>
      <c r="IPR23" s="1887"/>
      <c r="IPS23" s="1888"/>
      <c r="IPT23" s="1882"/>
      <c r="IPU23" s="1882"/>
      <c r="IPV23" s="1882"/>
      <c r="IPX23" s="1887"/>
      <c r="IPY23" s="1888"/>
      <c r="IPZ23" s="1882"/>
      <c r="IQA23" s="1882"/>
      <c r="IQB23" s="1882"/>
      <c r="IQD23" s="1887"/>
      <c r="IQE23" s="1888"/>
      <c r="IQF23" s="1882"/>
      <c r="IQG23" s="1882"/>
      <c r="IQH23" s="1882"/>
      <c r="IQJ23" s="1887"/>
      <c r="IQK23" s="1888"/>
      <c r="IQL23" s="1882"/>
      <c r="IQM23" s="1882"/>
      <c r="IQN23" s="1882"/>
      <c r="IQP23" s="1887"/>
      <c r="IQQ23" s="1888"/>
      <c r="IQR23" s="1882"/>
      <c r="IQS23" s="1882"/>
      <c r="IQT23" s="1882"/>
      <c r="IQV23" s="1887"/>
      <c r="IQW23" s="1888"/>
      <c r="IQX23" s="1882"/>
      <c r="IQY23" s="1882"/>
      <c r="IQZ23" s="1882"/>
      <c r="IRB23" s="1887"/>
      <c r="IRC23" s="1888"/>
      <c r="IRD23" s="1882"/>
      <c r="IRE23" s="1882"/>
      <c r="IRF23" s="1882"/>
      <c r="IRH23" s="1887"/>
      <c r="IRI23" s="1888"/>
      <c r="IRJ23" s="1882"/>
      <c r="IRK23" s="1882"/>
      <c r="IRL23" s="1882"/>
      <c r="IRN23" s="1887"/>
      <c r="IRO23" s="1888"/>
      <c r="IRP23" s="1882"/>
      <c r="IRQ23" s="1882"/>
      <c r="IRR23" s="1882"/>
      <c r="IRT23" s="1887"/>
      <c r="IRU23" s="1888"/>
      <c r="IRV23" s="1882"/>
      <c r="IRW23" s="1882"/>
      <c r="IRX23" s="1882"/>
      <c r="IRZ23" s="1887"/>
      <c r="ISA23" s="1888"/>
      <c r="ISB23" s="1882"/>
      <c r="ISC23" s="1882"/>
      <c r="ISD23" s="1882"/>
      <c r="ISF23" s="1887"/>
      <c r="ISG23" s="1888"/>
      <c r="ISH23" s="1882"/>
      <c r="ISI23" s="1882"/>
      <c r="ISJ23" s="1882"/>
      <c r="ISL23" s="1887"/>
      <c r="ISM23" s="1888"/>
      <c r="ISN23" s="1882"/>
      <c r="ISO23" s="1882"/>
      <c r="ISP23" s="1882"/>
      <c r="ISR23" s="1887"/>
      <c r="ISS23" s="1888"/>
      <c r="IST23" s="1882"/>
      <c r="ISU23" s="1882"/>
      <c r="ISV23" s="1882"/>
      <c r="ISX23" s="1887"/>
      <c r="ISY23" s="1888"/>
      <c r="ISZ23" s="1882"/>
      <c r="ITA23" s="1882"/>
      <c r="ITB23" s="1882"/>
      <c r="ITD23" s="1887"/>
      <c r="ITE23" s="1888"/>
      <c r="ITF23" s="1882"/>
      <c r="ITG23" s="1882"/>
      <c r="ITH23" s="1882"/>
      <c r="ITJ23" s="1887"/>
      <c r="ITK23" s="1888"/>
      <c r="ITL23" s="1882"/>
      <c r="ITM23" s="1882"/>
      <c r="ITN23" s="1882"/>
      <c r="ITP23" s="1887"/>
      <c r="ITQ23" s="1888"/>
      <c r="ITR23" s="1882"/>
      <c r="ITS23" s="1882"/>
      <c r="ITT23" s="1882"/>
      <c r="ITV23" s="1887"/>
      <c r="ITW23" s="1888"/>
      <c r="ITX23" s="1882"/>
      <c r="ITY23" s="1882"/>
      <c r="ITZ23" s="1882"/>
      <c r="IUB23" s="1887"/>
      <c r="IUC23" s="1888"/>
      <c r="IUD23" s="1882"/>
      <c r="IUE23" s="1882"/>
      <c r="IUF23" s="1882"/>
      <c r="IUH23" s="1887"/>
      <c r="IUI23" s="1888"/>
      <c r="IUJ23" s="1882"/>
      <c r="IUK23" s="1882"/>
      <c r="IUL23" s="1882"/>
      <c r="IUN23" s="1887"/>
      <c r="IUO23" s="1888"/>
      <c r="IUP23" s="1882"/>
      <c r="IUQ23" s="1882"/>
      <c r="IUR23" s="1882"/>
      <c r="IUT23" s="1887"/>
      <c r="IUU23" s="1888"/>
      <c r="IUV23" s="1882"/>
      <c r="IUW23" s="1882"/>
      <c r="IUX23" s="1882"/>
      <c r="IUZ23" s="1887"/>
      <c r="IVA23" s="1888"/>
      <c r="IVB23" s="1882"/>
      <c r="IVC23" s="1882"/>
      <c r="IVD23" s="1882"/>
      <c r="IVF23" s="1887"/>
      <c r="IVG23" s="1888"/>
      <c r="IVH23" s="1882"/>
      <c r="IVI23" s="1882"/>
      <c r="IVJ23" s="1882"/>
      <c r="IVL23" s="1887"/>
      <c r="IVM23" s="1888"/>
      <c r="IVN23" s="1882"/>
      <c r="IVO23" s="1882"/>
      <c r="IVP23" s="1882"/>
      <c r="IVR23" s="1887"/>
      <c r="IVS23" s="1888"/>
      <c r="IVT23" s="1882"/>
      <c r="IVU23" s="1882"/>
      <c r="IVV23" s="1882"/>
      <c r="IVX23" s="1887"/>
      <c r="IVY23" s="1888"/>
      <c r="IVZ23" s="1882"/>
      <c r="IWA23" s="1882"/>
      <c r="IWB23" s="1882"/>
      <c r="IWD23" s="1887"/>
      <c r="IWE23" s="1888"/>
      <c r="IWF23" s="1882"/>
      <c r="IWG23" s="1882"/>
      <c r="IWH23" s="1882"/>
      <c r="IWJ23" s="1887"/>
      <c r="IWK23" s="1888"/>
      <c r="IWL23" s="1882"/>
      <c r="IWM23" s="1882"/>
      <c r="IWN23" s="1882"/>
      <c r="IWP23" s="1887"/>
      <c r="IWQ23" s="1888"/>
      <c r="IWR23" s="1882"/>
      <c r="IWS23" s="1882"/>
      <c r="IWT23" s="1882"/>
      <c r="IWV23" s="1887"/>
      <c r="IWW23" s="1888"/>
      <c r="IWX23" s="1882"/>
      <c r="IWY23" s="1882"/>
      <c r="IWZ23" s="1882"/>
      <c r="IXB23" s="1887"/>
      <c r="IXC23" s="1888"/>
      <c r="IXD23" s="1882"/>
      <c r="IXE23" s="1882"/>
      <c r="IXF23" s="1882"/>
      <c r="IXH23" s="1887"/>
      <c r="IXI23" s="1888"/>
      <c r="IXJ23" s="1882"/>
      <c r="IXK23" s="1882"/>
      <c r="IXL23" s="1882"/>
      <c r="IXN23" s="1887"/>
      <c r="IXO23" s="1888"/>
      <c r="IXP23" s="1882"/>
      <c r="IXQ23" s="1882"/>
      <c r="IXR23" s="1882"/>
      <c r="IXT23" s="1887"/>
      <c r="IXU23" s="1888"/>
      <c r="IXV23" s="1882"/>
      <c r="IXW23" s="1882"/>
      <c r="IXX23" s="1882"/>
      <c r="IXZ23" s="1887"/>
      <c r="IYA23" s="1888"/>
      <c r="IYB23" s="1882"/>
      <c r="IYC23" s="1882"/>
      <c r="IYD23" s="1882"/>
      <c r="IYF23" s="1887"/>
      <c r="IYG23" s="1888"/>
      <c r="IYH23" s="1882"/>
      <c r="IYI23" s="1882"/>
      <c r="IYJ23" s="1882"/>
      <c r="IYL23" s="1887"/>
      <c r="IYM23" s="1888"/>
      <c r="IYN23" s="1882"/>
      <c r="IYO23" s="1882"/>
      <c r="IYP23" s="1882"/>
      <c r="IYR23" s="1887"/>
      <c r="IYS23" s="1888"/>
      <c r="IYT23" s="1882"/>
      <c r="IYU23" s="1882"/>
      <c r="IYV23" s="1882"/>
      <c r="IYX23" s="1887"/>
      <c r="IYY23" s="1888"/>
      <c r="IYZ23" s="1882"/>
      <c r="IZA23" s="1882"/>
      <c r="IZB23" s="1882"/>
      <c r="IZD23" s="1887"/>
      <c r="IZE23" s="1888"/>
      <c r="IZF23" s="1882"/>
      <c r="IZG23" s="1882"/>
      <c r="IZH23" s="1882"/>
      <c r="IZJ23" s="1887"/>
      <c r="IZK23" s="1888"/>
      <c r="IZL23" s="1882"/>
      <c r="IZM23" s="1882"/>
      <c r="IZN23" s="1882"/>
      <c r="IZP23" s="1887"/>
      <c r="IZQ23" s="1888"/>
      <c r="IZR23" s="1882"/>
      <c r="IZS23" s="1882"/>
      <c r="IZT23" s="1882"/>
      <c r="IZV23" s="1887"/>
      <c r="IZW23" s="1888"/>
      <c r="IZX23" s="1882"/>
      <c r="IZY23" s="1882"/>
      <c r="IZZ23" s="1882"/>
      <c r="JAB23" s="1887"/>
      <c r="JAC23" s="1888"/>
      <c r="JAD23" s="1882"/>
      <c r="JAE23" s="1882"/>
      <c r="JAF23" s="1882"/>
      <c r="JAH23" s="1887"/>
      <c r="JAI23" s="1888"/>
      <c r="JAJ23" s="1882"/>
      <c r="JAK23" s="1882"/>
      <c r="JAL23" s="1882"/>
      <c r="JAN23" s="1887"/>
      <c r="JAO23" s="1888"/>
      <c r="JAP23" s="1882"/>
      <c r="JAQ23" s="1882"/>
      <c r="JAR23" s="1882"/>
      <c r="JAT23" s="1887"/>
      <c r="JAU23" s="1888"/>
      <c r="JAV23" s="1882"/>
      <c r="JAW23" s="1882"/>
      <c r="JAX23" s="1882"/>
      <c r="JAZ23" s="1887"/>
      <c r="JBA23" s="1888"/>
      <c r="JBB23" s="1882"/>
      <c r="JBC23" s="1882"/>
      <c r="JBD23" s="1882"/>
      <c r="JBF23" s="1887"/>
      <c r="JBG23" s="1888"/>
      <c r="JBH23" s="1882"/>
      <c r="JBI23" s="1882"/>
      <c r="JBJ23" s="1882"/>
      <c r="JBL23" s="1887"/>
      <c r="JBM23" s="1888"/>
      <c r="JBN23" s="1882"/>
      <c r="JBO23" s="1882"/>
      <c r="JBP23" s="1882"/>
      <c r="JBR23" s="1887"/>
      <c r="JBS23" s="1888"/>
      <c r="JBT23" s="1882"/>
      <c r="JBU23" s="1882"/>
      <c r="JBV23" s="1882"/>
      <c r="JBX23" s="1887"/>
      <c r="JBY23" s="1888"/>
      <c r="JBZ23" s="1882"/>
      <c r="JCA23" s="1882"/>
      <c r="JCB23" s="1882"/>
      <c r="JCD23" s="1887"/>
      <c r="JCE23" s="1888"/>
      <c r="JCF23" s="1882"/>
      <c r="JCG23" s="1882"/>
      <c r="JCH23" s="1882"/>
      <c r="JCJ23" s="1887"/>
      <c r="JCK23" s="1888"/>
      <c r="JCL23" s="1882"/>
      <c r="JCM23" s="1882"/>
      <c r="JCN23" s="1882"/>
      <c r="JCP23" s="1887"/>
      <c r="JCQ23" s="1888"/>
      <c r="JCR23" s="1882"/>
      <c r="JCS23" s="1882"/>
      <c r="JCT23" s="1882"/>
      <c r="JCV23" s="1887"/>
      <c r="JCW23" s="1888"/>
      <c r="JCX23" s="1882"/>
      <c r="JCY23" s="1882"/>
      <c r="JCZ23" s="1882"/>
      <c r="JDB23" s="1887"/>
      <c r="JDC23" s="1888"/>
      <c r="JDD23" s="1882"/>
      <c r="JDE23" s="1882"/>
      <c r="JDF23" s="1882"/>
      <c r="JDH23" s="1887"/>
      <c r="JDI23" s="1888"/>
      <c r="JDJ23" s="1882"/>
      <c r="JDK23" s="1882"/>
      <c r="JDL23" s="1882"/>
      <c r="JDN23" s="1887"/>
      <c r="JDO23" s="1888"/>
      <c r="JDP23" s="1882"/>
      <c r="JDQ23" s="1882"/>
      <c r="JDR23" s="1882"/>
      <c r="JDT23" s="1887"/>
      <c r="JDU23" s="1888"/>
      <c r="JDV23" s="1882"/>
      <c r="JDW23" s="1882"/>
      <c r="JDX23" s="1882"/>
      <c r="JDZ23" s="1887"/>
      <c r="JEA23" s="1888"/>
      <c r="JEB23" s="1882"/>
      <c r="JEC23" s="1882"/>
      <c r="JED23" s="1882"/>
      <c r="JEF23" s="1887"/>
      <c r="JEG23" s="1888"/>
      <c r="JEH23" s="1882"/>
      <c r="JEI23" s="1882"/>
      <c r="JEJ23" s="1882"/>
      <c r="JEL23" s="1887"/>
      <c r="JEM23" s="1888"/>
      <c r="JEN23" s="1882"/>
      <c r="JEO23" s="1882"/>
      <c r="JEP23" s="1882"/>
      <c r="JER23" s="1887"/>
      <c r="JES23" s="1888"/>
      <c r="JET23" s="1882"/>
      <c r="JEU23" s="1882"/>
      <c r="JEV23" s="1882"/>
      <c r="JEX23" s="1887"/>
      <c r="JEY23" s="1888"/>
      <c r="JEZ23" s="1882"/>
      <c r="JFA23" s="1882"/>
      <c r="JFB23" s="1882"/>
      <c r="JFD23" s="1887"/>
      <c r="JFE23" s="1888"/>
      <c r="JFF23" s="1882"/>
      <c r="JFG23" s="1882"/>
      <c r="JFH23" s="1882"/>
      <c r="JFJ23" s="1887"/>
      <c r="JFK23" s="1888"/>
      <c r="JFL23" s="1882"/>
      <c r="JFM23" s="1882"/>
      <c r="JFN23" s="1882"/>
      <c r="JFP23" s="1887"/>
      <c r="JFQ23" s="1888"/>
      <c r="JFR23" s="1882"/>
      <c r="JFS23" s="1882"/>
      <c r="JFT23" s="1882"/>
      <c r="JFV23" s="1887"/>
      <c r="JFW23" s="1888"/>
      <c r="JFX23" s="1882"/>
      <c r="JFY23" s="1882"/>
      <c r="JFZ23" s="1882"/>
      <c r="JGB23" s="1887"/>
      <c r="JGC23" s="1888"/>
      <c r="JGD23" s="1882"/>
      <c r="JGE23" s="1882"/>
      <c r="JGF23" s="1882"/>
      <c r="JGH23" s="1887"/>
      <c r="JGI23" s="1888"/>
      <c r="JGJ23" s="1882"/>
      <c r="JGK23" s="1882"/>
      <c r="JGL23" s="1882"/>
      <c r="JGN23" s="1887"/>
      <c r="JGO23" s="1888"/>
      <c r="JGP23" s="1882"/>
      <c r="JGQ23" s="1882"/>
      <c r="JGR23" s="1882"/>
      <c r="JGT23" s="1887"/>
      <c r="JGU23" s="1888"/>
      <c r="JGV23" s="1882"/>
      <c r="JGW23" s="1882"/>
      <c r="JGX23" s="1882"/>
      <c r="JGZ23" s="1887"/>
      <c r="JHA23" s="1888"/>
      <c r="JHB23" s="1882"/>
      <c r="JHC23" s="1882"/>
      <c r="JHD23" s="1882"/>
      <c r="JHF23" s="1887"/>
      <c r="JHG23" s="1888"/>
      <c r="JHH23" s="1882"/>
      <c r="JHI23" s="1882"/>
      <c r="JHJ23" s="1882"/>
      <c r="JHL23" s="1887"/>
      <c r="JHM23" s="1888"/>
      <c r="JHN23" s="1882"/>
      <c r="JHO23" s="1882"/>
      <c r="JHP23" s="1882"/>
      <c r="JHR23" s="1887"/>
      <c r="JHS23" s="1888"/>
      <c r="JHT23" s="1882"/>
      <c r="JHU23" s="1882"/>
      <c r="JHV23" s="1882"/>
      <c r="JHX23" s="1887"/>
      <c r="JHY23" s="1888"/>
      <c r="JHZ23" s="1882"/>
      <c r="JIA23" s="1882"/>
      <c r="JIB23" s="1882"/>
      <c r="JID23" s="1887"/>
      <c r="JIE23" s="1888"/>
      <c r="JIF23" s="1882"/>
      <c r="JIG23" s="1882"/>
      <c r="JIH23" s="1882"/>
      <c r="JIJ23" s="1887"/>
      <c r="JIK23" s="1888"/>
      <c r="JIL23" s="1882"/>
      <c r="JIM23" s="1882"/>
      <c r="JIN23" s="1882"/>
      <c r="JIP23" s="1887"/>
      <c r="JIQ23" s="1888"/>
      <c r="JIR23" s="1882"/>
      <c r="JIS23" s="1882"/>
      <c r="JIT23" s="1882"/>
      <c r="JIV23" s="1887"/>
      <c r="JIW23" s="1888"/>
      <c r="JIX23" s="1882"/>
      <c r="JIY23" s="1882"/>
      <c r="JIZ23" s="1882"/>
      <c r="JJB23" s="1887"/>
      <c r="JJC23" s="1888"/>
      <c r="JJD23" s="1882"/>
      <c r="JJE23" s="1882"/>
      <c r="JJF23" s="1882"/>
      <c r="JJH23" s="1887"/>
      <c r="JJI23" s="1888"/>
      <c r="JJJ23" s="1882"/>
      <c r="JJK23" s="1882"/>
      <c r="JJL23" s="1882"/>
      <c r="JJN23" s="1887"/>
      <c r="JJO23" s="1888"/>
      <c r="JJP23" s="1882"/>
      <c r="JJQ23" s="1882"/>
      <c r="JJR23" s="1882"/>
      <c r="JJT23" s="1887"/>
      <c r="JJU23" s="1888"/>
      <c r="JJV23" s="1882"/>
      <c r="JJW23" s="1882"/>
      <c r="JJX23" s="1882"/>
      <c r="JJZ23" s="1887"/>
      <c r="JKA23" s="1888"/>
      <c r="JKB23" s="1882"/>
      <c r="JKC23" s="1882"/>
      <c r="JKD23" s="1882"/>
      <c r="JKF23" s="1887"/>
      <c r="JKG23" s="1888"/>
      <c r="JKH23" s="1882"/>
      <c r="JKI23" s="1882"/>
      <c r="JKJ23" s="1882"/>
      <c r="JKL23" s="1887"/>
      <c r="JKM23" s="1888"/>
      <c r="JKN23" s="1882"/>
      <c r="JKO23" s="1882"/>
      <c r="JKP23" s="1882"/>
      <c r="JKR23" s="1887"/>
      <c r="JKS23" s="1888"/>
      <c r="JKT23" s="1882"/>
      <c r="JKU23" s="1882"/>
      <c r="JKV23" s="1882"/>
      <c r="JKX23" s="1887"/>
      <c r="JKY23" s="1888"/>
      <c r="JKZ23" s="1882"/>
      <c r="JLA23" s="1882"/>
      <c r="JLB23" s="1882"/>
      <c r="JLD23" s="1887"/>
      <c r="JLE23" s="1888"/>
      <c r="JLF23" s="1882"/>
      <c r="JLG23" s="1882"/>
      <c r="JLH23" s="1882"/>
      <c r="JLJ23" s="1887"/>
      <c r="JLK23" s="1888"/>
      <c r="JLL23" s="1882"/>
      <c r="JLM23" s="1882"/>
      <c r="JLN23" s="1882"/>
      <c r="JLP23" s="1887"/>
      <c r="JLQ23" s="1888"/>
      <c r="JLR23" s="1882"/>
      <c r="JLS23" s="1882"/>
      <c r="JLT23" s="1882"/>
      <c r="JLV23" s="1887"/>
      <c r="JLW23" s="1888"/>
      <c r="JLX23" s="1882"/>
      <c r="JLY23" s="1882"/>
      <c r="JLZ23" s="1882"/>
      <c r="JMB23" s="1887"/>
      <c r="JMC23" s="1888"/>
      <c r="JMD23" s="1882"/>
      <c r="JME23" s="1882"/>
      <c r="JMF23" s="1882"/>
      <c r="JMH23" s="1887"/>
      <c r="JMI23" s="1888"/>
      <c r="JMJ23" s="1882"/>
      <c r="JMK23" s="1882"/>
      <c r="JML23" s="1882"/>
      <c r="JMN23" s="1887"/>
      <c r="JMO23" s="1888"/>
      <c r="JMP23" s="1882"/>
      <c r="JMQ23" s="1882"/>
      <c r="JMR23" s="1882"/>
      <c r="JMT23" s="1887"/>
      <c r="JMU23" s="1888"/>
      <c r="JMV23" s="1882"/>
      <c r="JMW23" s="1882"/>
      <c r="JMX23" s="1882"/>
      <c r="JMZ23" s="1887"/>
      <c r="JNA23" s="1888"/>
      <c r="JNB23" s="1882"/>
      <c r="JNC23" s="1882"/>
      <c r="JND23" s="1882"/>
      <c r="JNF23" s="1887"/>
      <c r="JNG23" s="1888"/>
      <c r="JNH23" s="1882"/>
      <c r="JNI23" s="1882"/>
      <c r="JNJ23" s="1882"/>
      <c r="JNL23" s="1887"/>
      <c r="JNM23" s="1888"/>
      <c r="JNN23" s="1882"/>
      <c r="JNO23" s="1882"/>
      <c r="JNP23" s="1882"/>
      <c r="JNR23" s="1887"/>
      <c r="JNS23" s="1888"/>
      <c r="JNT23" s="1882"/>
      <c r="JNU23" s="1882"/>
      <c r="JNV23" s="1882"/>
      <c r="JNX23" s="1887"/>
      <c r="JNY23" s="1888"/>
      <c r="JNZ23" s="1882"/>
      <c r="JOA23" s="1882"/>
      <c r="JOB23" s="1882"/>
      <c r="JOD23" s="1887"/>
      <c r="JOE23" s="1888"/>
      <c r="JOF23" s="1882"/>
      <c r="JOG23" s="1882"/>
      <c r="JOH23" s="1882"/>
      <c r="JOJ23" s="1887"/>
      <c r="JOK23" s="1888"/>
      <c r="JOL23" s="1882"/>
      <c r="JOM23" s="1882"/>
      <c r="JON23" s="1882"/>
      <c r="JOP23" s="1887"/>
      <c r="JOQ23" s="1888"/>
      <c r="JOR23" s="1882"/>
      <c r="JOS23" s="1882"/>
      <c r="JOT23" s="1882"/>
      <c r="JOV23" s="1887"/>
      <c r="JOW23" s="1888"/>
      <c r="JOX23" s="1882"/>
      <c r="JOY23" s="1882"/>
      <c r="JOZ23" s="1882"/>
      <c r="JPB23" s="1887"/>
      <c r="JPC23" s="1888"/>
      <c r="JPD23" s="1882"/>
      <c r="JPE23" s="1882"/>
      <c r="JPF23" s="1882"/>
      <c r="JPH23" s="1887"/>
      <c r="JPI23" s="1888"/>
      <c r="JPJ23" s="1882"/>
      <c r="JPK23" s="1882"/>
      <c r="JPL23" s="1882"/>
      <c r="JPN23" s="1887"/>
      <c r="JPO23" s="1888"/>
      <c r="JPP23" s="1882"/>
      <c r="JPQ23" s="1882"/>
      <c r="JPR23" s="1882"/>
      <c r="JPT23" s="1887"/>
      <c r="JPU23" s="1888"/>
      <c r="JPV23" s="1882"/>
      <c r="JPW23" s="1882"/>
      <c r="JPX23" s="1882"/>
      <c r="JPZ23" s="1887"/>
      <c r="JQA23" s="1888"/>
      <c r="JQB23" s="1882"/>
      <c r="JQC23" s="1882"/>
      <c r="JQD23" s="1882"/>
      <c r="JQF23" s="1887"/>
      <c r="JQG23" s="1888"/>
      <c r="JQH23" s="1882"/>
      <c r="JQI23" s="1882"/>
      <c r="JQJ23" s="1882"/>
      <c r="JQL23" s="1887"/>
      <c r="JQM23" s="1888"/>
      <c r="JQN23" s="1882"/>
      <c r="JQO23" s="1882"/>
      <c r="JQP23" s="1882"/>
      <c r="JQR23" s="1887"/>
      <c r="JQS23" s="1888"/>
      <c r="JQT23" s="1882"/>
      <c r="JQU23" s="1882"/>
      <c r="JQV23" s="1882"/>
      <c r="JQX23" s="1887"/>
      <c r="JQY23" s="1888"/>
      <c r="JQZ23" s="1882"/>
      <c r="JRA23" s="1882"/>
      <c r="JRB23" s="1882"/>
      <c r="JRD23" s="1887"/>
      <c r="JRE23" s="1888"/>
      <c r="JRF23" s="1882"/>
      <c r="JRG23" s="1882"/>
      <c r="JRH23" s="1882"/>
      <c r="JRJ23" s="1887"/>
      <c r="JRK23" s="1888"/>
      <c r="JRL23" s="1882"/>
      <c r="JRM23" s="1882"/>
      <c r="JRN23" s="1882"/>
      <c r="JRP23" s="1887"/>
      <c r="JRQ23" s="1888"/>
      <c r="JRR23" s="1882"/>
      <c r="JRS23" s="1882"/>
      <c r="JRT23" s="1882"/>
      <c r="JRV23" s="1887"/>
      <c r="JRW23" s="1888"/>
      <c r="JRX23" s="1882"/>
      <c r="JRY23" s="1882"/>
      <c r="JRZ23" s="1882"/>
      <c r="JSB23" s="1887"/>
      <c r="JSC23" s="1888"/>
      <c r="JSD23" s="1882"/>
      <c r="JSE23" s="1882"/>
      <c r="JSF23" s="1882"/>
      <c r="JSH23" s="1887"/>
      <c r="JSI23" s="1888"/>
      <c r="JSJ23" s="1882"/>
      <c r="JSK23" s="1882"/>
      <c r="JSL23" s="1882"/>
      <c r="JSN23" s="1887"/>
      <c r="JSO23" s="1888"/>
      <c r="JSP23" s="1882"/>
      <c r="JSQ23" s="1882"/>
      <c r="JSR23" s="1882"/>
      <c r="JST23" s="1887"/>
      <c r="JSU23" s="1888"/>
      <c r="JSV23" s="1882"/>
      <c r="JSW23" s="1882"/>
      <c r="JSX23" s="1882"/>
      <c r="JSZ23" s="1887"/>
      <c r="JTA23" s="1888"/>
      <c r="JTB23" s="1882"/>
      <c r="JTC23" s="1882"/>
      <c r="JTD23" s="1882"/>
      <c r="JTF23" s="1887"/>
      <c r="JTG23" s="1888"/>
      <c r="JTH23" s="1882"/>
      <c r="JTI23" s="1882"/>
      <c r="JTJ23" s="1882"/>
      <c r="JTL23" s="1887"/>
      <c r="JTM23" s="1888"/>
      <c r="JTN23" s="1882"/>
      <c r="JTO23" s="1882"/>
      <c r="JTP23" s="1882"/>
      <c r="JTR23" s="1887"/>
      <c r="JTS23" s="1888"/>
      <c r="JTT23" s="1882"/>
      <c r="JTU23" s="1882"/>
      <c r="JTV23" s="1882"/>
      <c r="JTX23" s="1887"/>
      <c r="JTY23" s="1888"/>
      <c r="JTZ23" s="1882"/>
      <c r="JUA23" s="1882"/>
      <c r="JUB23" s="1882"/>
      <c r="JUD23" s="1887"/>
      <c r="JUE23" s="1888"/>
      <c r="JUF23" s="1882"/>
      <c r="JUG23" s="1882"/>
      <c r="JUH23" s="1882"/>
      <c r="JUJ23" s="1887"/>
      <c r="JUK23" s="1888"/>
      <c r="JUL23" s="1882"/>
      <c r="JUM23" s="1882"/>
      <c r="JUN23" s="1882"/>
      <c r="JUP23" s="1887"/>
      <c r="JUQ23" s="1888"/>
      <c r="JUR23" s="1882"/>
      <c r="JUS23" s="1882"/>
      <c r="JUT23" s="1882"/>
      <c r="JUV23" s="1887"/>
      <c r="JUW23" s="1888"/>
      <c r="JUX23" s="1882"/>
      <c r="JUY23" s="1882"/>
      <c r="JUZ23" s="1882"/>
      <c r="JVB23" s="1887"/>
      <c r="JVC23" s="1888"/>
      <c r="JVD23" s="1882"/>
      <c r="JVE23" s="1882"/>
      <c r="JVF23" s="1882"/>
      <c r="JVH23" s="1887"/>
      <c r="JVI23" s="1888"/>
      <c r="JVJ23" s="1882"/>
      <c r="JVK23" s="1882"/>
      <c r="JVL23" s="1882"/>
      <c r="JVN23" s="1887"/>
      <c r="JVO23" s="1888"/>
      <c r="JVP23" s="1882"/>
      <c r="JVQ23" s="1882"/>
      <c r="JVR23" s="1882"/>
      <c r="JVT23" s="1887"/>
      <c r="JVU23" s="1888"/>
      <c r="JVV23" s="1882"/>
      <c r="JVW23" s="1882"/>
      <c r="JVX23" s="1882"/>
      <c r="JVZ23" s="1887"/>
      <c r="JWA23" s="1888"/>
      <c r="JWB23" s="1882"/>
      <c r="JWC23" s="1882"/>
      <c r="JWD23" s="1882"/>
      <c r="JWF23" s="1887"/>
      <c r="JWG23" s="1888"/>
      <c r="JWH23" s="1882"/>
      <c r="JWI23" s="1882"/>
      <c r="JWJ23" s="1882"/>
      <c r="JWL23" s="1887"/>
      <c r="JWM23" s="1888"/>
      <c r="JWN23" s="1882"/>
      <c r="JWO23" s="1882"/>
      <c r="JWP23" s="1882"/>
      <c r="JWR23" s="1887"/>
      <c r="JWS23" s="1888"/>
      <c r="JWT23" s="1882"/>
      <c r="JWU23" s="1882"/>
      <c r="JWV23" s="1882"/>
      <c r="JWX23" s="1887"/>
      <c r="JWY23" s="1888"/>
      <c r="JWZ23" s="1882"/>
      <c r="JXA23" s="1882"/>
      <c r="JXB23" s="1882"/>
      <c r="JXD23" s="1887"/>
      <c r="JXE23" s="1888"/>
      <c r="JXF23" s="1882"/>
      <c r="JXG23" s="1882"/>
      <c r="JXH23" s="1882"/>
      <c r="JXJ23" s="1887"/>
      <c r="JXK23" s="1888"/>
      <c r="JXL23" s="1882"/>
      <c r="JXM23" s="1882"/>
      <c r="JXN23" s="1882"/>
      <c r="JXP23" s="1887"/>
      <c r="JXQ23" s="1888"/>
      <c r="JXR23" s="1882"/>
      <c r="JXS23" s="1882"/>
      <c r="JXT23" s="1882"/>
      <c r="JXV23" s="1887"/>
      <c r="JXW23" s="1888"/>
      <c r="JXX23" s="1882"/>
      <c r="JXY23" s="1882"/>
      <c r="JXZ23" s="1882"/>
      <c r="JYB23" s="1887"/>
      <c r="JYC23" s="1888"/>
      <c r="JYD23" s="1882"/>
      <c r="JYE23" s="1882"/>
      <c r="JYF23" s="1882"/>
      <c r="JYH23" s="1887"/>
      <c r="JYI23" s="1888"/>
      <c r="JYJ23" s="1882"/>
      <c r="JYK23" s="1882"/>
      <c r="JYL23" s="1882"/>
      <c r="JYN23" s="1887"/>
      <c r="JYO23" s="1888"/>
      <c r="JYP23" s="1882"/>
      <c r="JYQ23" s="1882"/>
      <c r="JYR23" s="1882"/>
      <c r="JYT23" s="1887"/>
      <c r="JYU23" s="1888"/>
      <c r="JYV23" s="1882"/>
      <c r="JYW23" s="1882"/>
      <c r="JYX23" s="1882"/>
      <c r="JYZ23" s="1887"/>
      <c r="JZA23" s="1888"/>
      <c r="JZB23" s="1882"/>
      <c r="JZC23" s="1882"/>
      <c r="JZD23" s="1882"/>
      <c r="JZF23" s="1887"/>
      <c r="JZG23" s="1888"/>
      <c r="JZH23" s="1882"/>
      <c r="JZI23" s="1882"/>
      <c r="JZJ23" s="1882"/>
      <c r="JZL23" s="1887"/>
      <c r="JZM23" s="1888"/>
      <c r="JZN23" s="1882"/>
      <c r="JZO23" s="1882"/>
      <c r="JZP23" s="1882"/>
      <c r="JZR23" s="1887"/>
      <c r="JZS23" s="1888"/>
      <c r="JZT23" s="1882"/>
      <c r="JZU23" s="1882"/>
      <c r="JZV23" s="1882"/>
      <c r="JZX23" s="1887"/>
      <c r="JZY23" s="1888"/>
      <c r="JZZ23" s="1882"/>
      <c r="KAA23" s="1882"/>
      <c r="KAB23" s="1882"/>
      <c r="KAD23" s="1887"/>
      <c r="KAE23" s="1888"/>
      <c r="KAF23" s="1882"/>
      <c r="KAG23" s="1882"/>
      <c r="KAH23" s="1882"/>
      <c r="KAJ23" s="1887"/>
      <c r="KAK23" s="1888"/>
      <c r="KAL23" s="1882"/>
      <c r="KAM23" s="1882"/>
      <c r="KAN23" s="1882"/>
      <c r="KAP23" s="1887"/>
      <c r="KAQ23" s="1888"/>
      <c r="KAR23" s="1882"/>
      <c r="KAS23" s="1882"/>
      <c r="KAT23" s="1882"/>
      <c r="KAV23" s="1887"/>
      <c r="KAW23" s="1888"/>
      <c r="KAX23" s="1882"/>
      <c r="KAY23" s="1882"/>
      <c r="KAZ23" s="1882"/>
      <c r="KBB23" s="1887"/>
      <c r="KBC23" s="1888"/>
      <c r="KBD23" s="1882"/>
      <c r="KBE23" s="1882"/>
      <c r="KBF23" s="1882"/>
      <c r="KBH23" s="1887"/>
      <c r="KBI23" s="1888"/>
      <c r="KBJ23" s="1882"/>
      <c r="KBK23" s="1882"/>
      <c r="KBL23" s="1882"/>
      <c r="KBN23" s="1887"/>
      <c r="KBO23" s="1888"/>
      <c r="KBP23" s="1882"/>
      <c r="KBQ23" s="1882"/>
      <c r="KBR23" s="1882"/>
      <c r="KBT23" s="1887"/>
      <c r="KBU23" s="1888"/>
      <c r="KBV23" s="1882"/>
      <c r="KBW23" s="1882"/>
      <c r="KBX23" s="1882"/>
      <c r="KBZ23" s="1887"/>
      <c r="KCA23" s="1888"/>
      <c r="KCB23" s="1882"/>
      <c r="KCC23" s="1882"/>
      <c r="KCD23" s="1882"/>
      <c r="KCF23" s="1887"/>
      <c r="KCG23" s="1888"/>
      <c r="KCH23" s="1882"/>
      <c r="KCI23" s="1882"/>
      <c r="KCJ23" s="1882"/>
      <c r="KCL23" s="1887"/>
      <c r="KCM23" s="1888"/>
      <c r="KCN23" s="1882"/>
      <c r="KCO23" s="1882"/>
      <c r="KCP23" s="1882"/>
      <c r="KCR23" s="1887"/>
      <c r="KCS23" s="1888"/>
      <c r="KCT23" s="1882"/>
      <c r="KCU23" s="1882"/>
      <c r="KCV23" s="1882"/>
      <c r="KCX23" s="1887"/>
      <c r="KCY23" s="1888"/>
      <c r="KCZ23" s="1882"/>
      <c r="KDA23" s="1882"/>
      <c r="KDB23" s="1882"/>
      <c r="KDD23" s="1887"/>
      <c r="KDE23" s="1888"/>
      <c r="KDF23" s="1882"/>
      <c r="KDG23" s="1882"/>
      <c r="KDH23" s="1882"/>
      <c r="KDJ23" s="1887"/>
      <c r="KDK23" s="1888"/>
      <c r="KDL23" s="1882"/>
      <c r="KDM23" s="1882"/>
      <c r="KDN23" s="1882"/>
      <c r="KDP23" s="1887"/>
      <c r="KDQ23" s="1888"/>
      <c r="KDR23" s="1882"/>
      <c r="KDS23" s="1882"/>
      <c r="KDT23" s="1882"/>
      <c r="KDV23" s="1887"/>
      <c r="KDW23" s="1888"/>
      <c r="KDX23" s="1882"/>
      <c r="KDY23" s="1882"/>
      <c r="KDZ23" s="1882"/>
      <c r="KEB23" s="1887"/>
      <c r="KEC23" s="1888"/>
      <c r="KED23" s="1882"/>
      <c r="KEE23" s="1882"/>
      <c r="KEF23" s="1882"/>
      <c r="KEH23" s="1887"/>
      <c r="KEI23" s="1888"/>
      <c r="KEJ23" s="1882"/>
      <c r="KEK23" s="1882"/>
      <c r="KEL23" s="1882"/>
      <c r="KEN23" s="1887"/>
      <c r="KEO23" s="1888"/>
      <c r="KEP23" s="1882"/>
      <c r="KEQ23" s="1882"/>
      <c r="KER23" s="1882"/>
      <c r="KET23" s="1887"/>
      <c r="KEU23" s="1888"/>
      <c r="KEV23" s="1882"/>
      <c r="KEW23" s="1882"/>
      <c r="KEX23" s="1882"/>
      <c r="KEZ23" s="1887"/>
      <c r="KFA23" s="1888"/>
      <c r="KFB23" s="1882"/>
      <c r="KFC23" s="1882"/>
      <c r="KFD23" s="1882"/>
      <c r="KFF23" s="1887"/>
      <c r="KFG23" s="1888"/>
      <c r="KFH23" s="1882"/>
      <c r="KFI23" s="1882"/>
      <c r="KFJ23" s="1882"/>
      <c r="KFL23" s="1887"/>
      <c r="KFM23" s="1888"/>
      <c r="KFN23" s="1882"/>
      <c r="KFO23" s="1882"/>
      <c r="KFP23" s="1882"/>
      <c r="KFR23" s="1887"/>
      <c r="KFS23" s="1888"/>
      <c r="KFT23" s="1882"/>
      <c r="KFU23" s="1882"/>
      <c r="KFV23" s="1882"/>
      <c r="KFX23" s="1887"/>
      <c r="KFY23" s="1888"/>
      <c r="KFZ23" s="1882"/>
      <c r="KGA23" s="1882"/>
      <c r="KGB23" s="1882"/>
      <c r="KGD23" s="1887"/>
      <c r="KGE23" s="1888"/>
      <c r="KGF23" s="1882"/>
      <c r="KGG23" s="1882"/>
      <c r="KGH23" s="1882"/>
      <c r="KGJ23" s="1887"/>
      <c r="KGK23" s="1888"/>
      <c r="KGL23" s="1882"/>
      <c r="KGM23" s="1882"/>
      <c r="KGN23" s="1882"/>
      <c r="KGP23" s="1887"/>
      <c r="KGQ23" s="1888"/>
      <c r="KGR23" s="1882"/>
      <c r="KGS23" s="1882"/>
      <c r="KGT23" s="1882"/>
      <c r="KGV23" s="1887"/>
      <c r="KGW23" s="1888"/>
      <c r="KGX23" s="1882"/>
      <c r="KGY23" s="1882"/>
      <c r="KGZ23" s="1882"/>
      <c r="KHB23" s="1887"/>
      <c r="KHC23" s="1888"/>
      <c r="KHD23" s="1882"/>
      <c r="KHE23" s="1882"/>
      <c r="KHF23" s="1882"/>
      <c r="KHH23" s="1887"/>
      <c r="KHI23" s="1888"/>
      <c r="KHJ23" s="1882"/>
      <c r="KHK23" s="1882"/>
      <c r="KHL23" s="1882"/>
      <c r="KHN23" s="1887"/>
      <c r="KHO23" s="1888"/>
      <c r="KHP23" s="1882"/>
      <c r="KHQ23" s="1882"/>
      <c r="KHR23" s="1882"/>
      <c r="KHT23" s="1887"/>
      <c r="KHU23" s="1888"/>
      <c r="KHV23" s="1882"/>
      <c r="KHW23" s="1882"/>
      <c r="KHX23" s="1882"/>
      <c r="KHZ23" s="1887"/>
      <c r="KIA23" s="1888"/>
      <c r="KIB23" s="1882"/>
      <c r="KIC23" s="1882"/>
      <c r="KID23" s="1882"/>
      <c r="KIF23" s="1887"/>
      <c r="KIG23" s="1888"/>
      <c r="KIH23" s="1882"/>
      <c r="KII23" s="1882"/>
      <c r="KIJ23" s="1882"/>
      <c r="KIL23" s="1887"/>
      <c r="KIM23" s="1888"/>
      <c r="KIN23" s="1882"/>
      <c r="KIO23" s="1882"/>
      <c r="KIP23" s="1882"/>
      <c r="KIR23" s="1887"/>
      <c r="KIS23" s="1888"/>
      <c r="KIT23" s="1882"/>
      <c r="KIU23" s="1882"/>
      <c r="KIV23" s="1882"/>
      <c r="KIX23" s="1887"/>
      <c r="KIY23" s="1888"/>
      <c r="KIZ23" s="1882"/>
      <c r="KJA23" s="1882"/>
      <c r="KJB23" s="1882"/>
      <c r="KJD23" s="1887"/>
      <c r="KJE23" s="1888"/>
      <c r="KJF23" s="1882"/>
      <c r="KJG23" s="1882"/>
      <c r="KJH23" s="1882"/>
      <c r="KJJ23" s="1887"/>
      <c r="KJK23" s="1888"/>
      <c r="KJL23" s="1882"/>
      <c r="KJM23" s="1882"/>
      <c r="KJN23" s="1882"/>
      <c r="KJP23" s="1887"/>
      <c r="KJQ23" s="1888"/>
      <c r="KJR23" s="1882"/>
      <c r="KJS23" s="1882"/>
      <c r="KJT23" s="1882"/>
      <c r="KJV23" s="1887"/>
      <c r="KJW23" s="1888"/>
      <c r="KJX23" s="1882"/>
      <c r="KJY23" s="1882"/>
      <c r="KJZ23" s="1882"/>
      <c r="KKB23" s="1887"/>
      <c r="KKC23" s="1888"/>
      <c r="KKD23" s="1882"/>
      <c r="KKE23" s="1882"/>
      <c r="KKF23" s="1882"/>
      <c r="KKH23" s="1887"/>
      <c r="KKI23" s="1888"/>
      <c r="KKJ23" s="1882"/>
      <c r="KKK23" s="1882"/>
      <c r="KKL23" s="1882"/>
      <c r="KKN23" s="1887"/>
      <c r="KKO23" s="1888"/>
      <c r="KKP23" s="1882"/>
      <c r="KKQ23" s="1882"/>
      <c r="KKR23" s="1882"/>
      <c r="KKT23" s="1887"/>
      <c r="KKU23" s="1888"/>
      <c r="KKV23" s="1882"/>
      <c r="KKW23" s="1882"/>
      <c r="KKX23" s="1882"/>
      <c r="KKZ23" s="1887"/>
      <c r="KLA23" s="1888"/>
      <c r="KLB23" s="1882"/>
      <c r="KLC23" s="1882"/>
      <c r="KLD23" s="1882"/>
      <c r="KLF23" s="1887"/>
      <c r="KLG23" s="1888"/>
      <c r="KLH23" s="1882"/>
      <c r="KLI23" s="1882"/>
      <c r="KLJ23" s="1882"/>
      <c r="KLL23" s="1887"/>
      <c r="KLM23" s="1888"/>
      <c r="KLN23" s="1882"/>
      <c r="KLO23" s="1882"/>
      <c r="KLP23" s="1882"/>
      <c r="KLR23" s="1887"/>
      <c r="KLS23" s="1888"/>
      <c r="KLT23" s="1882"/>
      <c r="KLU23" s="1882"/>
      <c r="KLV23" s="1882"/>
      <c r="KLX23" s="1887"/>
      <c r="KLY23" s="1888"/>
      <c r="KLZ23" s="1882"/>
      <c r="KMA23" s="1882"/>
      <c r="KMB23" s="1882"/>
      <c r="KMD23" s="1887"/>
      <c r="KME23" s="1888"/>
      <c r="KMF23" s="1882"/>
      <c r="KMG23" s="1882"/>
      <c r="KMH23" s="1882"/>
      <c r="KMJ23" s="1887"/>
      <c r="KMK23" s="1888"/>
      <c r="KML23" s="1882"/>
      <c r="KMM23" s="1882"/>
      <c r="KMN23" s="1882"/>
      <c r="KMP23" s="1887"/>
      <c r="KMQ23" s="1888"/>
      <c r="KMR23" s="1882"/>
      <c r="KMS23" s="1882"/>
      <c r="KMT23" s="1882"/>
      <c r="KMV23" s="1887"/>
      <c r="KMW23" s="1888"/>
      <c r="KMX23" s="1882"/>
      <c r="KMY23" s="1882"/>
      <c r="KMZ23" s="1882"/>
      <c r="KNB23" s="1887"/>
      <c r="KNC23" s="1888"/>
      <c r="KND23" s="1882"/>
      <c r="KNE23" s="1882"/>
      <c r="KNF23" s="1882"/>
      <c r="KNH23" s="1887"/>
      <c r="KNI23" s="1888"/>
      <c r="KNJ23" s="1882"/>
      <c r="KNK23" s="1882"/>
      <c r="KNL23" s="1882"/>
      <c r="KNN23" s="1887"/>
      <c r="KNO23" s="1888"/>
      <c r="KNP23" s="1882"/>
      <c r="KNQ23" s="1882"/>
      <c r="KNR23" s="1882"/>
      <c r="KNT23" s="1887"/>
      <c r="KNU23" s="1888"/>
      <c r="KNV23" s="1882"/>
      <c r="KNW23" s="1882"/>
      <c r="KNX23" s="1882"/>
      <c r="KNZ23" s="1887"/>
      <c r="KOA23" s="1888"/>
      <c r="KOB23" s="1882"/>
      <c r="KOC23" s="1882"/>
      <c r="KOD23" s="1882"/>
      <c r="KOF23" s="1887"/>
      <c r="KOG23" s="1888"/>
      <c r="KOH23" s="1882"/>
      <c r="KOI23" s="1882"/>
      <c r="KOJ23" s="1882"/>
      <c r="KOL23" s="1887"/>
      <c r="KOM23" s="1888"/>
      <c r="KON23" s="1882"/>
      <c r="KOO23" s="1882"/>
      <c r="KOP23" s="1882"/>
      <c r="KOR23" s="1887"/>
      <c r="KOS23" s="1888"/>
      <c r="KOT23" s="1882"/>
      <c r="KOU23" s="1882"/>
      <c r="KOV23" s="1882"/>
      <c r="KOX23" s="1887"/>
      <c r="KOY23" s="1888"/>
      <c r="KOZ23" s="1882"/>
      <c r="KPA23" s="1882"/>
      <c r="KPB23" s="1882"/>
      <c r="KPD23" s="1887"/>
      <c r="KPE23" s="1888"/>
      <c r="KPF23" s="1882"/>
      <c r="KPG23" s="1882"/>
      <c r="KPH23" s="1882"/>
      <c r="KPJ23" s="1887"/>
      <c r="KPK23" s="1888"/>
      <c r="KPL23" s="1882"/>
      <c r="KPM23" s="1882"/>
      <c r="KPN23" s="1882"/>
      <c r="KPP23" s="1887"/>
      <c r="KPQ23" s="1888"/>
      <c r="KPR23" s="1882"/>
      <c r="KPS23" s="1882"/>
      <c r="KPT23" s="1882"/>
      <c r="KPV23" s="1887"/>
      <c r="KPW23" s="1888"/>
      <c r="KPX23" s="1882"/>
      <c r="KPY23" s="1882"/>
      <c r="KPZ23" s="1882"/>
      <c r="KQB23" s="1887"/>
      <c r="KQC23" s="1888"/>
      <c r="KQD23" s="1882"/>
      <c r="KQE23" s="1882"/>
      <c r="KQF23" s="1882"/>
      <c r="KQH23" s="1887"/>
      <c r="KQI23" s="1888"/>
      <c r="KQJ23" s="1882"/>
      <c r="KQK23" s="1882"/>
      <c r="KQL23" s="1882"/>
      <c r="KQN23" s="1887"/>
      <c r="KQO23" s="1888"/>
      <c r="KQP23" s="1882"/>
      <c r="KQQ23" s="1882"/>
      <c r="KQR23" s="1882"/>
      <c r="KQT23" s="1887"/>
      <c r="KQU23" s="1888"/>
      <c r="KQV23" s="1882"/>
      <c r="KQW23" s="1882"/>
      <c r="KQX23" s="1882"/>
      <c r="KQZ23" s="1887"/>
      <c r="KRA23" s="1888"/>
      <c r="KRB23" s="1882"/>
      <c r="KRC23" s="1882"/>
      <c r="KRD23" s="1882"/>
      <c r="KRF23" s="1887"/>
      <c r="KRG23" s="1888"/>
      <c r="KRH23" s="1882"/>
      <c r="KRI23" s="1882"/>
      <c r="KRJ23" s="1882"/>
      <c r="KRL23" s="1887"/>
      <c r="KRM23" s="1888"/>
      <c r="KRN23" s="1882"/>
      <c r="KRO23" s="1882"/>
      <c r="KRP23" s="1882"/>
      <c r="KRR23" s="1887"/>
      <c r="KRS23" s="1888"/>
      <c r="KRT23" s="1882"/>
      <c r="KRU23" s="1882"/>
      <c r="KRV23" s="1882"/>
      <c r="KRX23" s="1887"/>
      <c r="KRY23" s="1888"/>
      <c r="KRZ23" s="1882"/>
      <c r="KSA23" s="1882"/>
      <c r="KSB23" s="1882"/>
      <c r="KSD23" s="1887"/>
      <c r="KSE23" s="1888"/>
      <c r="KSF23" s="1882"/>
      <c r="KSG23" s="1882"/>
      <c r="KSH23" s="1882"/>
      <c r="KSJ23" s="1887"/>
      <c r="KSK23" s="1888"/>
      <c r="KSL23" s="1882"/>
      <c r="KSM23" s="1882"/>
      <c r="KSN23" s="1882"/>
      <c r="KSP23" s="1887"/>
      <c r="KSQ23" s="1888"/>
      <c r="KSR23" s="1882"/>
      <c r="KSS23" s="1882"/>
      <c r="KST23" s="1882"/>
      <c r="KSV23" s="1887"/>
      <c r="KSW23" s="1888"/>
      <c r="KSX23" s="1882"/>
      <c r="KSY23" s="1882"/>
      <c r="KSZ23" s="1882"/>
      <c r="KTB23" s="1887"/>
      <c r="KTC23" s="1888"/>
      <c r="KTD23" s="1882"/>
      <c r="KTE23" s="1882"/>
      <c r="KTF23" s="1882"/>
      <c r="KTH23" s="1887"/>
      <c r="KTI23" s="1888"/>
      <c r="KTJ23" s="1882"/>
      <c r="KTK23" s="1882"/>
      <c r="KTL23" s="1882"/>
      <c r="KTN23" s="1887"/>
      <c r="KTO23" s="1888"/>
      <c r="KTP23" s="1882"/>
      <c r="KTQ23" s="1882"/>
      <c r="KTR23" s="1882"/>
      <c r="KTT23" s="1887"/>
      <c r="KTU23" s="1888"/>
      <c r="KTV23" s="1882"/>
      <c r="KTW23" s="1882"/>
      <c r="KTX23" s="1882"/>
      <c r="KTZ23" s="1887"/>
      <c r="KUA23" s="1888"/>
      <c r="KUB23" s="1882"/>
      <c r="KUC23" s="1882"/>
      <c r="KUD23" s="1882"/>
      <c r="KUF23" s="1887"/>
      <c r="KUG23" s="1888"/>
      <c r="KUH23" s="1882"/>
      <c r="KUI23" s="1882"/>
      <c r="KUJ23" s="1882"/>
      <c r="KUL23" s="1887"/>
      <c r="KUM23" s="1888"/>
      <c r="KUN23" s="1882"/>
      <c r="KUO23" s="1882"/>
      <c r="KUP23" s="1882"/>
      <c r="KUR23" s="1887"/>
      <c r="KUS23" s="1888"/>
      <c r="KUT23" s="1882"/>
      <c r="KUU23" s="1882"/>
      <c r="KUV23" s="1882"/>
      <c r="KUX23" s="1887"/>
      <c r="KUY23" s="1888"/>
      <c r="KUZ23" s="1882"/>
      <c r="KVA23" s="1882"/>
      <c r="KVB23" s="1882"/>
      <c r="KVD23" s="1887"/>
      <c r="KVE23" s="1888"/>
      <c r="KVF23" s="1882"/>
      <c r="KVG23" s="1882"/>
      <c r="KVH23" s="1882"/>
      <c r="KVJ23" s="1887"/>
      <c r="KVK23" s="1888"/>
      <c r="KVL23" s="1882"/>
      <c r="KVM23" s="1882"/>
      <c r="KVN23" s="1882"/>
      <c r="KVP23" s="1887"/>
      <c r="KVQ23" s="1888"/>
      <c r="KVR23" s="1882"/>
      <c r="KVS23" s="1882"/>
      <c r="KVT23" s="1882"/>
      <c r="KVV23" s="1887"/>
      <c r="KVW23" s="1888"/>
      <c r="KVX23" s="1882"/>
      <c r="KVY23" s="1882"/>
      <c r="KVZ23" s="1882"/>
      <c r="KWB23" s="1887"/>
      <c r="KWC23" s="1888"/>
      <c r="KWD23" s="1882"/>
      <c r="KWE23" s="1882"/>
      <c r="KWF23" s="1882"/>
      <c r="KWH23" s="1887"/>
      <c r="KWI23" s="1888"/>
      <c r="KWJ23" s="1882"/>
      <c r="KWK23" s="1882"/>
      <c r="KWL23" s="1882"/>
      <c r="KWN23" s="1887"/>
      <c r="KWO23" s="1888"/>
      <c r="KWP23" s="1882"/>
      <c r="KWQ23" s="1882"/>
      <c r="KWR23" s="1882"/>
      <c r="KWT23" s="1887"/>
      <c r="KWU23" s="1888"/>
      <c r="KWV23" s="1882"/>
      <c r="KWW23" s="1882"/>
      <c r="KWX23" s="1882"/>
      <c r="KWZ23" s="1887"/>
      <c r="KXA23" s="1888"/>
      <c r="KXB23" s="1882"/>
      <c r="KXC23" s="1882"/>
      <c r="KXD23" s="1882"/>
      <c r="KXF23" s="1887"/>
      <c r="KXG23" s="1888"/>
      <c r="KXH23" s="1882"/>
      <c r="KXI23" s="1882"/>
      <c r="KXJ23" s="1882"/>
      <c r="KXL23" s="1887"/>
      <c r="KXM23" s="1888"/>
      <c r="KXN23" s="1882"/>
      <c r="KXO23" s="1882"/>
      <c r="KXP23" s="1882"/>
      <c r="KXR23" s="1887"/>
      <c r="KXS23" s="1888"/>
      <c r="KXT23" s="1882"/>
      <c r="KXU23" s="1882"/>
      <c r="KXV23" s="1882"/>
      <c r="KXX23" s="1887"/>
      <c r="KXY23" s="1888"/>
      <c r="KXZ23" s="1882"/>
      <c r="KYA23" s="1882"/>
      <c r="KYB23" s="1882"/>
      <c r="KYD23" s="1887"/>
      <c r="KYE23" s="1888"/>
      <c r="KYF23" s="1882"/>
      <c r="KYG23" s="1882"/>
      <c r="KYH23" s="1882"/>
      <c r="KYJ23" s="1887"/>
      <c r="KYK23" s="1888"/>
      <c r="KYL23" s="1882"/>
      <c r="KYM23" s="1882"/>
      <c r="KYN23" s="1882"/>
      <c r="KYP23" s="1887"/>
      <c r="KYQ23" s="1888"/>
      <c r="KYR23" s="1882"/>
      <c r="KYS23" s="1882"/>
      <c r="KYT23" s="1882"/>
      <c r="KYV23" s="1887"/>
      <c r="KYW23" s="1888"/>
      <c r="KYX23" s="1882"/>
      <c r="KYY23" s="1882"/>
      <c r="KYZ23" s="1882"/>
      <c r="KZB23" s="1887"/>
      <c r="KZC23" s="1888"/>
      <c r="KZD23" s="1882"/>
      <c r="KZE23" s="1882"/>
      <c r="KZF23" s="1882"/>
      <c r="KZH23" s="1887"/>
      <c r="KZI23" s="1888"/>
      <c r="KZJ23" s="1882"/>
      <c r="KZK23" s="1882"/>
      <c r="KZL23" s="1882"/>
      <c r="KZN23" s="1887"/>
      <c r="KZO23" s="1888"/>
      <c r="KZP23" s="1882"/>
      <c r="KZQ23" s="1882"/>
      <c r="KZR23" s="1882"/>
      <c r="KZT23" s="1887"/>
      <c r="KZU23" s="1888"/>
      <c r="KZV23" s="1882"/>
      <c r="KZW23" s="1882"/>
      <c r="KZX23" s="1882"/>
      <c r="KZZ23" s="1887"/>
      <c r="LAA23" s="1888"/>
      <c r="LAB23" s="1882"/>
      <c r="LAC23" s="1882"/>
      <c r="LAD23" s="1882"/>
      <c r="LAF23" s="1887"/>
      <c r="LAG23" s="1888"/>
      <c r="LAH23" s="1882"/>
      <c r="LAI23" s="1882"/>
      <c r="LAJ23" s="1882"/>
      <c r="LAL23" s="1887"/>
      <c r="LAM23" s="1888"/>
      <c r="LAN23" s="1882"/>
      <c r="LAO23" s="1882"/>
      <c r="LAP23" s="1882"/>
      <c r="LAR23" s="1887"/>
      <c r="LAS23" s="1888"/>
      <c r="LAT23" s="1882"/>
      <c r="LAU23" s="1882"/>
      <c r="LAV23" s="1882"/>
      <c r="LAX23" s="1887"/>
      <c r="LAY23" s="1888"/>
      <c r="LAZ23" s="1882"/>
      <c r="LBA23" s="1882"/>
      <c r="LBB23" s="1882"/>
      <c r="LBD23" s="1887"/>
      <c r="LBE23" s="1888"/>
      <c r="LBF23" s="1882"/>
      <c r="LBG23" s="1882"/>
      <c r="LBH23" s="1882"/>
      <c r="LBJ23" s="1887"/>
      <c r="LBK23" s="1888"/>
      <c r="LBL23" s="1882"/>
      <c r="LBM23" s="1882"/>
      <c r="LBN23" s="1882"/>
      <c r="LBP23" s="1887"/>
      <c r="LBQ23" s="1888"/>
      <c r="LBR23" s="1882"/>
      <c r="LBS23" s="1882"/>
      <c r="LBT23" s="1882"/>
      <c r="LBV23" s="1887"/>
      <c r="LBW23" s="1888"/>
      <c r="LBX23" s="1882"/>
      <c r="LBY23" s="1882"/>
      <c r="LBZ23" s="1882"/>
      <c r="LCB23" s="1887"/>
      <c r="LCC23" s="1888"/>
      <c r="LCD23" s="1882"/>
      <c r="LCE23" s="1882"/>
      <c r="LCF23" s="1882"/>
      <c r="LCH23" s="1887"/>
      <c r="LCI23" s="1888"/>
      <c r="LCJ23" s="1882"/>
      <c r="LCK23" s="1882"/>
      <c r="LCL23" s="1882"/>
      <c r="LCN23" s="1887"/>
      <c r="LCO23" s="1888"/>
      <c r="LCP23" s="1882"/>
      <c r="LCQ23" s="1882"/>
      <c r="LCR23" s="1882"/>
      <c r="LCT23" s="1887"/>
      <c r="LCU23" s="1888"/>
      <c r="LCV23" s="1882"/>
      <c r="LCW23" s="1882"/>
      <c r="LCX23" s="1882"/>
      <c r="LCZ23" s="1887"/>
      <c r="LDA23" s="1888"/>
      <c r="LDB23" s="1882"/>
      <c r="LDC23" s="1882"/>
      <c r="LDD23" s="1882"/>
      <c r="LDF23" s="1887"/>
      <c r="LDG23" s="1888"/>
      <c r="LDH23" s="1882"/>
      <c r="LDI23" s="1882"/>
      <c r="LDJ23" s="1882"/>
      <c r="LDL23" s="1887"/>
      <c r="LDM23" s="1888"/>
      <c r="LDN23" s="1882"/>
      <c r="LDO23" s="1882"/>
      <c r="LDP23" s="1882"/>
      <c r="LDR23" s="1887"/>
      <c r="LDS23" s="1888"/>
      <c r="LDT23" s="1882"/>
      <c r="LDU23" s="1882"/>
      <c r="LDV23" s="1882"/>
      <c r="LDX23" s="1887"/>
      <c r="LDY23" s="1888"/>
      <c r="LDZ23" s="1882"/>
      <c r="LEA23" s="1882"/>
      <c r="LEB23" s="1882"/>
      <c r="LED23" s="1887"/>
      <c r="LEE23" s="1888"/>
      <c r="LEF23" s="1882"/>
      <c r="LEG23" s="1882"/>
      <c r="LEH23" s="1882"/>
      <c r="LEJ23" s="1887"/>
      <c r="LEK23" s="1888"/>
      <c r="LEL23" s="1882"/>
      <c r="LEM23" s="1882"/>
      <c r="LEN23" s="1882"/>
      <c r="LEP23" s="1887"/>
      <c r="LEQ23" s="1888"/>
      <c r="LER23" s="1882"/>
      <c r="LES23" s="1882"/>
      <c r="LET23" s="1882"/>
      <c r="LEV23" s="1887"/>
      <c r="LEW23" s="1888"/>
      <c r="LEX23" s="1882"/>
      <c r="LEY23" s="1882"/>
      <c r="LEZ23" s="1882"/>
      <c r="LFB23" s="1887"/>
      <c r="LFC23" s="1888"/>
      <c r="LFD23" s="1882"/>
      <c r="LFE23" s="1882"/>
      <c r="LFF23" s="1882"/>
      <c r="LFH23" s="1887"/>
      <c r="LFI23" s="1888"/>
      <c r="LFJ23" s="1882"/>
      <c r="LFK23" s="1882"/>
      <c r="LFL23" s="1882"/>
      <c r="LFN23" s="1887"/>
      <c r="LFO23" s="1888"/>
      <c r="LFP23" s="1882"/>
      <c r="LFQ23" s="1882"/>
      <c r="LFR23" s="1882"/>
      <c r="LFT23" s="1887"/>
      <c r="LFU23" s="1888"/>
      <c r="LFV23" s="1882"/>
      <c r="LFW23" s="1882"/>
      <c r="LFX23" s="1882"/>
      <c r="LFZ23" s="1887"/>
      <c r="LGA23" s="1888"/>
      <c r="LGB23" s="1882"/>
      <c r="LGC23" s="1882"/>
      <c r="LGD23" s="1882"/>
      <c r="LGF23" s="1887"/>
      <c r="LGG23" s="1888"/>
      <c r="LGH23" s="1882"/>
      <c r="LGI23" s="1882"/>
      <c r="LGJ23" s="1882"/>
      <c r="LGL23" s="1887"/>
      <c r="LGM23" s="1888"/>
      <c r="LGN23" s="1882"/>
      <c r="LGO23" s="1882"/>
      <c r="LGP23" s="1882"/>
      <c r="LGR23" s="1887"/>
      <c r="LGS23" s="1888"/>
      <c r="LGT23" s="1882"/>
      <c r="LGU23" s="1882"/>
      <c r="LGV23" s="1882"/>
      <c r="LGX23" s="1887"/>
      <c r="LGY23" s="1888"/>
      <c r="LGZ23" s="1882"/>
      <c r="LHA23" s="1882"/>
      <c r="LHB23" s="1882"/>
      <c r="LHD23" s="1887"/>
      <c r="LHE23" s="1888"/>
      <c r="LHF23" s="1882"/>
      <c r="LHG23" s="1882"/>
      <c r="LHH23" s="1882"/>
      <c r="LHJ23" s="1887"/>
      <c r="LHK23" s="1888"/>
      <c r="LHL23" s="1882"/>
      <c r="LHM23" s="1882"/>
      <c r="LHN23" s="1882"/>
      <c r="LHP23" s="1887"/>
      <c r="LHQ23" s="1888"/>
      <c r="LHR23" s="1882"/>
      <c r="LHS23" s="1882"/>
      <c r="LHT23" s="1882"/>
      <c r="LHV23" s="1887"/>
      <c r="LHW23" s="1888"/>
      <c r="LHX23" s="1882"/>
      <c r="LHY23" s="1882"/>
      <c r="LHZ23" s="1882"/>
      <c r="LIB23" s="1887"/>
      <c r="LIC23" s="1888"/>
      <c r="LID23" s="1882"/>
      <c r="LIE23" s="1882"/>
      <c r="LIF23" s="1882"/>
      <c r="LIH23" s="1887"/>
      <c r="LII23" s="1888"/>
      <c r="LIJ23" s="1882"/>
      <c r="LIK23" s="1882"/>
      <c r="LIL23" s="1882"/>
      <c r="LIN23" s="1887"/>
      <c r="LIO23" s="1888"/>
      <c r="LIP23" s="1882"/>
      <c r="LIQ23" s="1882"/>
      <c r="LIR23" s="1882"/>
      <c r="LIT23" s="1887"/>
      <c r="LIU23" s="1888"/>
      <c r="LIV23" s="1882"/>
      <c r="LIW23" s="1882"/>
      <c r="LIX23" s="1882"/>
      <c r="LIZ23" s="1887"/>
      <c r="LJA23" s="1888"/>
      <c r="LJB23" s="1882"/>
      <c r="LJC23" s="1882"/>
      <c r="LJD23" s="1882"/>
      <c r="LJF23" s="1887"/>
      <c r="LJG23" s="1888"/>
      <c r="LJH23" s="1882"/>
      <c r="LJI23" s="1882"/>
      <c r="LJJ23" s="1882"/>
      <c r="LJL23" s="1887"/>
      <c r="LJM23" s="1888"/>
      <c r="LJN23" s="1882"/>
      <c r="LJO23" s="1882"/>
      <c r="LJP23" s="1882"/>
      <c r="LJR23" s="1887"/>
      <c r="LJS23" s="1888"/>
      <c r="LJT23" s="1882"/>
      <c r="LJU23" s="1882"/>
      <c r="LJV23" s="1882"/>
      <c r="LJX23" s="1887"/>
      <c r="LJY23" s="1888"/>
      <c r="LJZ23" s="1882"/>
      <c r="LKA23" s="1882"/>
      <c r="LKB23" s="1882"/>
      <c r="LKD23" s="1887"/>
      <c r="LKE23" s="1888"/>
      <c r="LKF23" s="1882"/>
      <c r="LKG23" s="1882"/>
      <c r="LKH23" s="1882"/>
      <c r="LKJ23" s="1887"/>
      <c r="LKK23" s="1888"/>
      <c r="LKL23" s="1882"/>
      <c r="LKM23" s="1882"/>
      <c r="LKN23" s="1882"/>
      <c r="LKP23" s="1887"/>
      <c r="LKQ23" s="1888"/>
      <c r="LKR23" s="1882"/>
      <c r="LKS23" s="1882"/>
      <c r="LKT23" s="1882"/>
      <c r="LKV23" s="1887"/>
      <c r="LKW23" s="1888"/>
      <c r="LKX23" s="1882"/>
      <c r="LKY23" s="1882"/>
      <c r="LKZ23" s="1882"/>
      <c r="LLB23" s="1887"/>
      <c r="LLC23" s="1888"/>
      <c r="LLD23" s="1882"/>
      <c r="LLE23" s="1882"/>
      <c r="LLF23" s="1882"/>
      <c r="LLH23" s="1887"/>
      <c r="LLI23" s="1888"/>
      <c r="LLJ23" s="1882"/>
      <c r="LLK23" s="1882"/>
      <c r="LLL23" s="1882"/>
      <c r="LLN23" s="1887"/>
      <c r="LLO23" s="1888"/>
      <c r="LLP23" s="1882"/>
      <c r="LLQ23" s="1882"/>
      <c r="LLR23" s="1882"/>
      <c r="LLT23" s="1887"/>
      <c r="LLU23" s="1888"/>
      <c r="LLV23" s="1882"/>
      <c r="LLW23" s="1882"/>
      <c r="LLX23" s="1882"/>
      <c r="LLZ23" s="1887"/>
      <c r="LMA23" s="1888"/>
      <c r="LMB23" s="1882"/>
      <c r="LMC23" s="1882"/>
      <c r="LMD23" s="1882"/>
      <c r="LMF23" s="1887"/>
      <c r="LMG23" s="1888"/>
      <c r="LMH23" s="1882"/>
      <c r="LMI23" s="1882"/>
      <c r="LMJ23" s="1882"/>
      <c r="LML23" s="1887"/>
      <c r="LMM23" s="1888"/>
      <c r="LMN23" s="1882"/>
      <c r="LMO23" s="1882"/>
      <c r="LMP23" s="1882"/>
      <c r="LMR23" s="1887"/>
      <c r="LMS23" s="1888"/>
      <c r="LMT23" s="1882"/>
      <c r="LMU23" s="1882"/>
      <c r="LMV23" s="1882"/>
      <c r="LMX23" s="1887"/>
      <c r="LMY23" s="1888"/>
      <c r="LMZ23" s="1882"/>
      <c r="LNA23" s="1882"/>
      <c r="LNB23" s="1882"/>
      <c r="LND23" s="1887"/>
      <c r="LNE23" s="1888"/>
      <c r="LNF23" s="1882"/>
      <c r="LNG23" s="1882"/>
      <c r="LNH23" s="1882"/>
      <c r="LNJ23" s="1887"/>
      <c r="LNK23" s="1888"/>
      <c r="LNL23" s="1882"/>
      <c r="LNM23" s="1882"/>
      <c r="LNN23" s="1882"/>
      <c r="LNP23" s="1887"/>
      <c r="LNQ23" s="1888"/>
      <c r="LNR23" s="1882"/>
      <c r="LNS23" s="1882"/>
      <c r="LNT23" s="1882"/>
      <c r="LNV23" s="1887"/>
      <c r="LNW23" s="1888"/>
      <c r="LNX23" s="1882"/>
      <c r="LNY23" s="1882"/>
      <c r="LNZ23" s="1882"/>
      <c r="LOB23" s="1887"/>
      <c r="LOC23" s="1888"/>
      <c r="LOD23" s="1882"/>
      <c r="LOE23" s="1882"/>
      <c r="LOF23" s="1882"/>
      <c r="LOH23" s="1887"/>
      <c r="LOI23" s="1888"/>
      <c r="LOJ23" s="1882"/>
      <c r="LOK23" s="1882"/>
      <c r="LOL23" s="1882"/>
      <c r="LON23" s="1887"/>
      <c r="LOO23" s="1888"/>
      <c r="LOP23" s="1882"/>
      <c r="LOQ23" s="1882"/>
      <c r="LOR23" s="1882"/>
      <c r="LOT23" s="1887"/>
      <c r="LOU23" s="1888"/>
      <c r="LOV23" s="1882"/>
      <c r="LOW23" s="1882"/>
      <c r="LOX23" s="1882"/>
      <c r="LOZ23" s="1887"/>
      <c r="LPA23" s="1888"/>
      <c r="LPB23" s="1882"/>
      <c r="LPC23" s="1882"/>
      <c r="LPD23" s="1882"/>
      <c r="LPF23" s="1887"/>
      <c r="LPG23" s="1888"/>
      <c r="LPH23" s="1882"/>
      <c r="LPI23" s="1882"/>
      <c r="LPJ23" s="1882"/>
      <c r="LPL23" s="1887"/>
      <c r="LPM23" s="1888"/>
      <c r="LPN23" s="1882"/>
      <c r="LPO23" s="1882"/>
      <c r="LPP23" s="1882"/>
      <c r="LPR23" s="1887"/>
      <c r="LPS23" s="1888"/>
      <c r="LPT23" s="1882"/>
      <c r="LPU23" s="1882"/>
      <c r="LPV23" s="1882"/>
      <c r="LPX23" s="1887"/>
      <c r="LPY23" s="1888"/>
      <c r="LPZ23" s="1882"/>
      <c r="LQA23" s="1882"/>
      <c r="LQB23" s="1882"/>
      <c r="LQD23" s="1887"/>
      <c r="LQE23" s="1888"/>
      <c r="LQF23" s="1882"/>
      <c r="LQG23" s="1882"/>
      <c r="LQH23" s="1882"/>
      <c r="LQJ23" s="1887"/>
      <c r="LQK23" s="1888"/>
      <c r="LQL23" s="1882"/>
      <c r="LQM23" s="1882"/>
      <c r="LQN23" s="1882"/>
      <c r="LQP23" s="1887"/>
      <c r="LQQ23" s="1888"/>
      <c r="LQR23" s="1882"/>
      <c r="LQS23" s="1882"/>
      <c r="LQT23" s="1882"/>
      <c r="LQV23" s="1887"/>
      <c r="LQW23" s="1888"/>
      <c r="LQX23" s="1882"/>
      <c r="LQY23" s="1882"/>
      <c r="LQZ23" s="1882"/>
      <c r="LRB23" s="1887"/>
      <c r="LRC23" s="1888"/>
      <c r="LRD23" s="1882"/>
      <c r="LRE23" s="1882"/>
      <c r="LRF23" s="1882"/>
      <c r="LRH23" s="1887"/>
      <c r="LRI23" s="1888"/>
      <c r="LRJ23" s="1882"/>
      <c r="LRK23" s="1882"/>
      <c r="LRL23" s="1882"/>
      <c r="LRN23" s="1887"/>
      <c r="LRO23" s="1888"/>
      <c r="LRP23" s="1882"/>
      <c r="LRQ23" s="1882"/>
      <c r="LRR23" s="1882"/>
      <c r="LRT23" s="1887"/>
      <c r="LRU23" s="1888"/>
      <c r="LRV23" s="1882"/>
      <c r="LRW23" s="1882"/>
      <c r="LRX23" s="1882"/>
      <c r="LRZ23" s="1887"/>
      <c r="LSA23" s="1888"/>
      <c r="LSB23" s="1882"/>
      <c r="LSC23" s="1882"/>
      <c r="LSD23" s="1882"/>
      <c r="LSF23" s="1887"/>
      <c r="LSG23" s="1888"/>
      <c r="LSH23" s="1882"/>
      <c r="LSI23" s="1882"/>
      <c r="LSJ23" s="1882"/>
      <c r="LSL23" s="1887"/>
      <c r="LSM23" s="1888"/>
      <c r="LSN23" s="1882"/>
      <c r="LSO23" s="1882"/>
      <c r="LSP23" s="1882"/>
      <c r="LSR23" s="1887"/>
      <c r="LSS23" s="1888"/>
      <c r="LST23" s="1882"/>
      <c r="LSU23" s="1882"/>
      <c r="LSV23" s="1882"/>
      <c r="LSX23" s="1887"/>
      <c r="LSY23" s="1888"/>
      <c r="LSZ23" s="1882"/>
      <c r="LTA23" s="1882"/>
      <c r="LTB23" s="1882"/>
      <c r="LTD23" s="1887"/>
      <c r="LTE23" s="1888"/>
      <c r="LTF23" s="1882"/>
      <c r="LTG23" s="1882"/>
      <c r="LTH23" s="1882"/>
      <c r="LTJ23" s="1887"/>
      <c r="LTK23" s="1888"/>
      <c r="LTL23" s="1882"/>
      <c r="LTM23" s="1882"/>
      <c r="LTN23" s="1882"/>
      <c r="LTP23" s="1887"/>
      <c r="LTQ23" s="1888"/>
      <c r="LTR23" s="1882"/>
      <c r="LTS23" s="1882"/>
      <c r="LTT23" s="1882"/>
      <c r="LTV23" s="1887"/>
      <c r="LTW23" s="1888"/>
      <c r="LTX23" s="1882"/>
      <c r="LTY23" s="1882"/>
      <c r="LTZ23" s="1882"/>
      <c r="LUB23" s="1887"/>
      <c r="LUC23" s="1888"/>
      <c r="LUD23" s="1882"/>
      <c r="LUE23" s="1882"/>
      <c r="LUF23" s="1882"/>
      <c r="LUH23" s="1887"/>
      <c r="LUI23" s="1888"/>
      <c r="LUJ23" s="1882"/>
      <c r="LUK23" s="1882"/>
      <c r="LUL23" s="1882"/>
      <c r="LUN23" s="1887"/>
      <c r="LUO23" s="1888"/>
      <c r="LUP23" s="1882"/>
      <c r="LUQ23" s="1882"/>
      <c r="LUR23" s="1882"/>
      <c r="LUT23" s="1887"/>
      <c r="LUU23" s="1888"/>
      <c r="LUV23" s="1882"/>
      <c r="LUW23" s="1882"/>
      <c r="LUX23" s="1882"/>
      <c r="LUZ23" s="1887"/>
      <c r="LVA23" s="1888"/>
      <c r="LVB23" s="1882"/>
      <c r="LVC23" s="1882"/>
      <c r="LVD23" s="1882"/>
      <c r="LVF23" s="1887"/>
      <c r="LVG23" s="1888"/>
      <c r="LVH23" s="1882"/>
      <c r="LVI23" s="1882"/>
      <c r="LVJ23" s="1882"/>
      <c r="LVL23" s="1887"/>
      <c r="LVM23" s="1888"/>
      <c r="LVN23" s="1882"/>
      <c r="LVO23" s="1882"/>
      <c r="LVP23" s="1882"/>
      <c r="LVR23" s="1887"/>
      <c r="LVS23" s="1888"/>
      <c r="LVT23" s="1882"/>
      <c r="LVU23" s="1882"/>
      <c r="LVV23" s="1882"/>
      <c r="LVX23" s="1887"/>
      <c r="LVY23" s="1888"/>
      <c r="LVZ23" s="1882"/>
      <c r="LWA23" s="1882"/>
      <c r="LWB23" s="1882"/>
      <c r="LWD23" s="1887"/>
      <c r="LWE23" s="1888"/>
      <c r="LWF23" s="1882"/>
      <c r="LWG23" s="1882"/>
      <c r="LWH23" s="1882"/>
      <c r="LWJ23" s="1887"/>
      <c r="LWK23" s="1888"/>
      <c r="LWL23" s="1882"/>
      <c r="LWM23" s="1882"/>
      <c r="LWN23" s="1882"/>
      <c r="LWP23" s="1887"/>
      <c r="LWQ23" s="1888"/>
      <c r="LWR23" s="1882"/>
      <c r="LWS23" s="1882"/>
      <c r="LWT23" s="1882"/>
      <c r="LWV23" s="1887"/>
      <c r="LWW23" s="1888"/>
      <c r="LWX23" s="1882"/>
      <c r="LWY23" s="1882"/>
      <c r="LWZ23" s="1882"/>
      <c r="LXB23" s="1887"/>
      <c r="LXC23" s="1888"/>
      <c r="LXD23" s="1882"/>
      <c r="LXE23" s="1882"/>
      <c r="LXF23" s="1882"/>
      <c r="LXH23" s="1887"/>
      <c r="LXI23" s="1888"/>
      <c r="LXJ23" s="1882"/>
      <c r="LXK23" s="1882"/>
      <c r="LXL23" s="1882"/>
      <c r="LXN23" s="1887"/>
      <c r="LXO23" s="1888"/>
      <c r="LXP23" s="1882"/>
      <c r="LXQ23" s="1882"/>
      <c r="LXR23" s="1882"/>
      <c r="LXT23" s="1887"/>
      <c r="LXU23" s="1888"/>
      <c r="LXV23" s="1882"/>
      <c r="LXW23" s="1882"/>
      <c r="LXX23" s="1882"/>
      <c r="LXZ23" s="1887"/>
      <c r="LYA23" s="1888"/>
      <c r="LYB23" s="1882"/>
      <c r="LYC23" s="1882"/>
      <c r="LYD23" s="1882"/>
      <c r="LYF23" s="1887"/>
      <c r="LYG23" s="1888"/>
      <c r="LYH23" s="1882"/>
      <c r="LYI23" s="1882"/>
      <c r="LYJ23" s="1882"/>
      <c r="LYL23" s="1887"/>
      <c r="LYM23" s="1888"/>
      <c r="LYN23" s="1882"/>
      <c r="LYO23" s="1882"/>
      <c r="LYP23" s="1882"/>
      <c r="LYR23" s="1887"/>
      <c r="LYS23" s="1888"/>
      <c r="LYT23" s="1882"/>
      <c r="LYU23" s="1882"/>
      <c r="LYV23" s="1882"/>
      <c r="LYX23" s="1887"/>
      <c r="LYY23" s="1888"/>
      <c r="LYZ23" s="1882"/>
      <c r="LZA23" s="1882"/>
      <c r="LZB23" s="1882"/>
      <c r="LZD23" s="1887"/>
      <c r="LZE23" s="1888"/>
      <c r="LZF23" s="1882"/>
      <c r="LZG23" s="1882"/>
      <c r="LZH23" s="1882"/>
      <c r="LZJ23" s="1887"/>
      <c r="LZK23" s="1888"/>
      <c r="LZL23" s="1882"/>
      <c r="LZM23" s="1882"/>
      <c r="LZN23" s="1882"/>
      <c r="LZP23" s="1887"/>
      <c r="LZQ23" s="1888"/>
      <c r="LZR23" s="1882"/>
      <c r="LZS23" s="1882"/>
      <c r="LZT23" s="1882"/>
      <c r="LZV23" s="1887"/>
      <c r="LZW23" s="1888"/>
      <c r="LZX23" s="1882"/>
      <c r="LZY23" s="1882"/>
      <c r="LZZ23" s="1882"/>
      <c r="MAB23" s="1887"/>
      <c r="MAC23" s="1888"/>
      <c r="MAD23" s="1882"/>
      <c r="MAE23" s="1882"/>
      <c r="MAF23" s="1882"/>
      <c r="MAH23" s="1887"/>
      <c r="MAI23" s="1888"/>
      <c r="MAJ23" s="1882"/>
      <c r="MAK23" s="1882"/>
      <c r="MAL23" s="1882"/>
      <c r="MAN23" s="1887"/>
      <c r="MAO23" s="1888"/>
      <c r="MAP23" s="1882"/>
      <c r="MAQ23" s="1882"/>
      <c r="MAR23" s="1882"/>
      <c r="MAT23" s="1887"/>
      <c r="MAU23" s="1888"/>
      <c r="MAV23" s="1882"/>
      <c r="MAW23" s="1882"/>
      <c r="MAX23" s="1882"/>
      <c r="MAZ23" s="1887"/>
      <c r="MBA23" s="1888"/>
      <c r="MBB23" s="1882"/>
      <c r="MBC23" s="1882"/>
      <c r="MBD23" s="1882"/>
      <c r="MBF23" s="1887"/>
      <c r="MBG23" s="1888"/>
      <c r="MBH23" s="1882"/>
      <c r="MBI23" s="1882"/>
      <c r="MBJ23" s="1882"/>
      <c r="MBL23" s="1887"/>
      <c r="MBM23" s="1888"/>
      <c r="MBN23" s="1882"/>
      <c r="MBO23" s="1882"/>
      <c r="MBP23" s="1882"/>
      <c r="MBR23" s="1887"/>
      <c r="MBS23" s="1888"/>
      <c r="MBT23" s="1882"/>
      <c r="MBU23" s="1882"/>
      <c r="MBV23" s="1882"/>
      <c r="MBX23" s="1887"/>
      <c r="MBY23" s="1888"/>
      <c r="MBZ23" s="1882"/>
      <c r="MCA23" s="1882"/>
      <c r="MCB23" s="1882"/>
      <c r="MCD23" s="1887"/>
      <c r="MCE23" s="1888"/>
      <c r="MCF23" s="1882"/>
      <c r="MCG23" s="1882"/>
      <c r="MCH23" s="1882"/>
      <c r="MCJ23" s="1887"/>
      <c r="MCK23" s="1888"/>
      <c r="MCL23" s="1882"/>
      <c r="MCM23" s="1882"/>
      <c r="MCN23" s="1882"/>
      <c r="MCP23" s="1887"/>
      <c r="MCQ23" s="1888"/>
      <c r="MCR23" s="1882"/>
      <c r="MCS23" s="1882"/>
      <c r="MCT23" s="1882"/>
      <c r="MCV23" s="1887"/>
      <c r="MCW23" s="1888"/>
      <c r="MCX23" s="1882"/>
      <c r="MCY23" s="1882"/>
      <c r="MCZ23" s="1882"/>
      <c r="MDB23" s="1887"/>
      <c r="MDC23" s="1888"/>
      <c r="MDD23" s="1882"/>
      <c r="MDE23" s="1882"/>
      <c r="MDF23" s="1882"/>
      <c r="MDH23" s="1887"/>
      <c r="MDI23" s="1888"/>
      <c r="MDJ23" s="1882"/>
      <c r="MDK23" s="1882"/>
      <c r="MDL23" s="1882"/>
      <c r="MDN23" s="1887"/>
      <c r="MDO23" s="1888"/>
      <c r="MDP23" s="1882"/>
      <c r="MDQ23" s="1882"/>
      <c r="MDR23" s="1882"/>
      <c r="MDT23" s="1887"/>
      <c r="MDU23" s="1888"/>
      <c r="MDV23" s="1882"/>
      <c r="MDW23" s="1882"/>
      <c r="MDX23" s="1882"/>
      <c r="MDZ23" s="1887"/>
      <c r="MEA23" s="1888"/>
      <c r="MEB23" s="1882"/>
      <c r="MEC23" s="1882"/>
      <c r="MED23" s="1882"/>
      <c r="MEF23" s="1887"/>
      <c r="MEG23" s="1888"/>
      <c r="MEH23" s="1882"/>
      <c r="MEI23" s="1882"/>
      <c r="MEJ23" s="1882"/>
      <c r="MEL23" s="1887"/>
      <c r="MEM23" s="1888"/>
      <c r="MEN23" s="1882"/>
      <c r="MEO23" s="1882"/>
      <c r="MEP23" s="1882"/>
      <c r="MER23" s="1887"/>
      <c r="MES23" s="1888"/>
      <c r="MET23" s="1882"/>
      <c r="MEU23" s="1882"/>
      <c r="MEV23" s="1882"/>
      <c r="MEX23" s="1887"/>
      <c r="MEY23" s="1888"/>
      <c r="MEZ23" s="1882"/>
      <c r="MFA23" s="1882"/>
      <c r="MFB23" s="1882"/>
      <c r="MFD23" s="1887"/>
      <c r="MFE23" s="1888"/>
      <c r="MFF23" s="1882"/>
      <c r="MFG23" s="1882"/>
      <c r="MFH23" s="1882"/>
      <c r="MFJ23" s="1887"/>
      <c r="MFK23" s="1888"/>
      <c r="MFL23" s="1882"/>
      <c r="MFM23" s="1882"/>
      <c r="MFN23" s="1882"/>
      <c r="MFP23" s="1887"/>
      <c r="MFQ23" s="1888"/>
      <c r="MFR23" s="1882"/>
      <c r="MFS23" s="1882"/>
      <c r="MFT23" s="1882"/>
      <c r="MFV23" s="1887"/>
      <c r="MFW23" s="1888"/>
      <c r="MFX23" s="1882"/>
      <c r="MFY23" s="1882"/>
      <c r="MFZ23" s="1882"/>
      <c r="MGB23" s="1887"/>
      <c r="MGC23" s="1888"/>
      <c r="MGD23" s="1882"/>
      <c r="MGE23" s="1882"/>
      <c r="MGF23" s="1882"/>
      <c r="MGH23" s="1887"/>
      <c r="MGI23" s="1888"/>
      <c r="MGJ23" s="1882"/>
      <c r="MGK23" s="1882"/>
      <c r="MGL23" s="1882"/>
      <c r="MGN23" s="1887"/>
      <c r="MGO23" s="1888"/>
      <c r="MGP23" s="1882"/>
      <c r="MGQ23" s="1882"/>
      <c r="MGR23" s="1882"/>
      <c r="MGT23" s="1887"/>
      <c r="MGU23" s="1888"/>
      <c r="MGV23" s="1882"/>
      <c r="MGW23" s="1882"/>
      <c r="MGX23" s="1882"/>
      <c r="MGZ23" s="1887"/>
      <c r="MHA23" s="1888"/>
      <c r="MHB23" s="1882"/>
      <c r="MHC23" s="1882"/>
      <c r="MHD23" s="1882"/>
      <c r="MHF23" s="1887"/>
      <c r="MHG23" s="1888"/>
      <c r="MHH23" s="1882"/>
      <c r="MHI23" s="1882"/>
      <c r="MHJ23" s="1882"/>
      <c r="MHL23" s="1887"/>
      <c r="MHM23" s="1888"/>
      <c r="MHN23" s="1882"/>
      <c r="MHO23" s="1882"/>
      <c r="MHP23" s="1882"/>
      <c r="MHR23" s="1887"/>
      <c r="MHS23" s="1888"/>
      <c r="MHT23" s="1882"/>
      <c r="MHU23" s="1882"/>
      <c r="MHV23" s="1882"/>
      <c r="MHX23" s="1887"/>
      <c r="MHY23" s="1888"/>
      <c r="MHZ23" s="1882"/>
      <c r="MIA23" s="1882"/>
      <c r="MIB23" s="1882"/>
      <c r="MID23" s="1887"/>
      <c r="MIE23" s="1888"/>
      <c r="MIF23" s="1882"/>
      <c r="MIG23" s="1882"/>
      <c r="MIH23" s="1882"/>
      <c r="MIJ23" s="1887"/>
      <c r="MIK23" s="1888"/>
      <c r="MIL23" s="1882"/>
      <c r="MIM23" s="1882"/>
      <c r="MIN23" s="1882"/>
      <c r="MIP23" s="1887"/>
      <c r="MIQ23" s="1888"/>
      <c r="MIR23" s="1882"/>
      <c r="MIS23" s="1882"/>
      <c r="MIT23" s="1882"/>
      <c r="MIV23" s="1887"/>
      <c r="MIW23" s="1888"/>
      <c r="MIX23" s="1882"/>
      <c r="MIY23" s="1882"/>
      <c r="MIZ23" s="1882"/>
      <c r="MJB23" s="1887"/>
      <c r="MJC23" s="1888"/>
      <c r="MJD23" s="1882"/>
      <c r="MJE23" s="1882"/>
      <c r="MJF23" s="1882"/>
      <c r="MJH23" s="1887"/>
      <c r="MJI23" s="1888"/>
      <c r="MJJ23" s="1882"/>
      <c r="MJK23" s="1882"/>
      <c r="MJL23" s="1882"/>
      <c r="MJN23" s="1887"/>
      <c r="MJO23" s="1888"/>
      <c r="MJP23" s="1882"/>
      <c r="MJQ23" s="1882"/>
      <c r="MJR23" s="1882"/>
      <c r="MJT23" s="1887"/>
      <c r="MJU23" s="1888"/>
      <c r="MJV23" s="1882"/>
      <c r="MJW23" s="1882"/>
      <c r="MJX23" s="1882"/>
      <c r="MJZ23" s="1887"/>
      <c r="MKA23" s="1888"/>
      <c r="MKB23" s="1882"/>
      <c r="MKC23" s="1882"/>
      <c r="MKD23" s="1882"/>
      <c r="MKF23" s="1887"/>
      <c r="MKG23" s="1888"/>
      <c r="MKH23" s="1882"/>
      <c r="MKI23" s="1882"/>
      <c r="MKJ23" s="1882"/>
      <c r="MKL23" s="1887"/>
      <c r="MKM23" s="1888"/>
      <c r="MKN23" s="1882"/>
      <c r="MKO23" s="1882"/>
      <c r="MKP23" s="1882"/>
      <c r="MKR23" s="1887"/>
      <c r="MKS23" s="1888"/>
      <c r="MKT23" s="1882"/>
      <c r="MKU23" s="1882"/>
      <c r="MKV23" s="1882"/>
      <c r="MKX23" s="1887"/>
      <c r="MKY23" s="1888"/>
      <c r="MKZ23" s="1882"/>
      <c r="MLA23" s="1882"/>
      <c r="MLB23" s="1882"/>
      <c r="MLD23" s="1887"/>
      <c r="MLE23" s="1888"/>
      <c r="MLF23" s="1882"/>
      <c r="MLG23" s="1882"/>
      <c r="MLH23" s="1882"/>
      <c r="MLJ23" s="1887"/>
      <c r="MLK23" s="1888"/>
      <c r="MLL23" s="1882"/>
      <c r="MLM23" s="1882"/>
      <c r="MLN23" s="1882"/>
      <c r="MLP23" s="1887"/>
      <c r="MLQ23" s="1888"/>
      <c r="MLR23" s="1882"/>
      <c r="MLS23" s="1882"/>
      <c r="MLT23" s="1882"/>
      <c r="MLV23" s="1887"/>
      <c r="MLW23" s="1888"/>
      <c r="MLX23" s="1882"/>
      <c r="MLY23" s="1882"/>
      <c r="MLZ23" s="1882"/>
      <c r="MMB23" s="1887"/>
      <c r="MMC23" s="1888"/>
      <c r="MMD23" s="1882"/>
      <c r="MME23" s="1882"/>
      <c r="MMF23" s="1882"/>
      <c r="MMH23" s="1887"/>
      <c r="MMI23" s="1888"/>
      <c r="MMJ23" s="1882"/>
      <c r="MMK23" s="1882"/>
      <c r="MML23" s="1882"/>
      <c r="MMN23" s="1887"/>
      <c r="MMO23" s="1888"/>
      <c r="MMP23" s="1882"/>
      <c r="MMQ23" s="1882"/>
      <c r="MMR23" s="1882"/>
      <c r="MMT23" s="1887"/>
      <c r="MMU23" s="1888"/>
      <c r="MMV23" s="1882"/>
      <c r="MMW23" s="1882"/>
      <c r="MMX23" s="1882"/>
      <c r="MMZ23" s="1887"/>
      <c r="MNA23" s="1888"/>
      <c r="MNB23" s="1882"/>
      <c r="MNC23" s="1882"/>
      <c r="MND23" s="1882"/>
      <c r="MNF23" s="1887"/>
      <c r="MNG23" s="1888"/>
      <c r="MNH23" s="1882"/>
      <c r="MNI23" s="1882"/>
      <c r="MNJ23" s="1882"/>
      <c r="MNL23" s="1887"/>
      <c r="MNM23" s="1888"/>
      <c r="MNN23" s="1882"/>
      <c r="MNO23" s="1882"/>
      <c r="MNP23" s="1882"/>
      <c r="MNR23" s="1887"/>
      <c r="MNS23" s="1888"/>
      <c r="MNT23" s="1882"/>
      <c r="MNU23" s="1882"/>
      <c r="MNV23" s="1882"/>
      <c r="MNX23" s="1887"/>
      <c r="MNY23" s="1888"/>
      <c r="MNZ23" s="1882"/>
      <c r="MOA23" s="1882"/>
      <c r="MOB23" s="1882"/>
      <c r="MOD23" s="1887"/>
      <c r="MOE23" s="1888"/>
      <c r="MOF23" s="1882"/>
      <c r="MOG23" s="1882"/>
      <c r="MOH23" s="1882"/>
      <c r="MOJ23" s="1887"/>
      <c r="MOK23" s="1888"/>
      <c r="MOL23" s="1882"/>
      <c r="MOM23" s="1882"/>
      <c r="MON23" s="1882"/>
      <c r="MOP23" s="1887"/>
      <c r="MOQ23" s="1888"/>
      <c r="MOR23" s="1882"/>
      <c r="MOS23" s="1882"/>
      <c r="MOT23" s="1882"/>
      <c r="MOV23" s="1887"/>
      <c r="MOW23" s="1888"/>
      <c r="MOX23" s="1882"/>
      <c r="MOY23" s="1882"/>
      <c r="MOZ23" s="1882"/>
      <c r="MPB23" s="1887"/>
      <c r="MPC23" s="1888"/>
      <c r="MPD23" s="1882"/>
      <c r="MPE23" s="1882"/>
      <c r="MPF23" s="1882"/>
      <c r="MPH23" s="1887"/>
      <c r="MPI23" s="1888"/>
      <c r="MPJ23" s="1882"/>
      <c r="MPK23" s="1882"/>
      <c r="MPL23" s="1882"/>
      <c r="MPN23" s="1887"/>
      <c r="MPO23" s="1888"/>
      <c r="MPP23" s="1882"/>
      <c r="MPQ23" s="1882"/>
      <c r="MPR23" s="1882"/>
      <c r="MPT23" s="1887"/>
      <c r="MPU23" s="1888"/>
      <c r="MPV23" s="1882"/>
      <c r="MPW23" s="1882"/>
      <c r="MPX23" s="1882"/>
      <c r="MPZ23" s="1887"/>
      <c r="MQA23" s="1888"/>
      <c r="MQB23" s="1882"/>
      <c r="MQC23" s="1882"/>
      <c r="MQD23" s="1882"/>
      <c r="MQF23" s="1887"/>
      <c r="MQG23" s="1888"/>
      <c r="MQH23" s="1882"/>
      <c r="MQI23" s="1882"/>
      <c r="MQJ23" s="1882"/>
      <c r="MQL23" s="1887"/>
      <c r="MQM23" s="1888"/>
      <c r="MQN23" s="1882"/>
      <c r="MQO23" s="1882"/>
      <c r="MQP23" s="1882"/>
      <c r="MQR23" s="1887"/>
      <c r="MQS23" s="1888"/>
      <c r="MQT23" s="1882"/>
      <c r="MQU23" s="1882"/>
      <c r="MQV23" s="1882"/>
      <c r="MQX23" s="1887"/>
      <c r="MQY23" s="1888"/>
      <c r="MQZ23" s="1882"/>
      <c r="MRA23" s="1882"/>
      <c r="MRB23" s="1882"/>
      <c r="MRD23" s="1887"/>
      <c r="MRE23" s="1888"/>
      <c r="MRF23" s="1882"/>
      <c r="MRG23" s="1882"/>
      <c r="MRH23" s="1882"/>
      <c r="MRJ23" s="1887"/>
      <c r="MRK23" s="1888"/>
      <c r="MRL23" s="1882"/>
      <c r="MRM23" s="1882"/>
      <c r="MRN23" s="1882"/>
      <c r="MRP23" s="1887"/>
      <c r="MRQ23" s="1888"/>
      <c r="MRR23" s="1882"/>
      <c r="MRS23" s="1882"/>
      <c r="MRT23" s="1882"/>
      <c r="MRV23" s="1887"/>
      <c r="MRW23" s="1888"/>
      <c r="MRX23" s="1882"/>
      <c r="MRY23" s="1882"/>
      <c r="MRZ23" s="1882"/>
      <c r="MSB23" s="1887"/>
      <c r="MSC23" s="1888"/>
      <c r="MSD23" s="1882"/>
      <c r="MSE23" s="1882"/>
      <c r="MSF23" s="1882"/>
      <c r="MSH23" s="1887"/>
      <c r="MSI23" s="1888"/>
      <c r="MSJ23" s="1882"/>
      <c r="MSK23" s="1882"/>
      <c r="MSL23" s="1882"/>
      <c r="MSN23" s="1887"/>
      <c r="MSO23" s="1888"/>
      <c r="MSP23" s="1882"/>
      <c r="MSQ23" s="1882"/>
      <c r="MSR23" s="1882"/>
      <c r="MST23" s="1887"/>
      <c r="MSU23" s="1888"/>
      <c r="MSV23" s="1882"/>
      <c r="MSW23" s="1882"/>
      <c r="MSX23" s="1882"/>
      <c r="MSZ23" s="1887"/>
      <c r="MTA23" s="1888"/>
      <c r="MTB23" s="1882"/>
      <c r="MTC23" s="1882"/>
      <c r="MTD23" s="1882"/>
      <c r="MTF23" s="1887"/>
      <c r="MTG23" s="1888"/>
      <c r="MTH23" s="1882"/>
      <c r="MTI23" s="1882"/>
      <c r="MTJ23" s="1882"/>
      <c r="MTL23" s="1887"/>
      <c r="MTM23" s="1888"/>
      <c r="MTN23" s="1882"/>
      <c r="MTO23" s="1882"/>
      <c r="MTP23" s="1882"/>
      <c r="MTR23" s="1887"/>
      <c r="MTS23" s="1888"/>
      <c r="MTT23" s="1882"/>
      <c r="MTU23" s="1882"/>
      <c r="MTV23" s="1882"/>
      <c r="MTX23" s="1887"/>
      <c r="MTY23" s="1888"/>
      <c r="MTZ23" s="1882"/>
      <c r="MUA23" s="1882"/>
      <c r="MUB23" s="1882"/>
      <c r="MUD23" s="1887"/>
      <c r="MUE23" s="1888"/>
      <c r="MUF23" s="1882"/>
      <c r="MUG23" s="1882"/>
      <c r="MUH23" s="1882"/>
      <c r="MUJ23" s="1887"/>
      <c r="MUK23" s="1888"/>
      <c r="MUL23" s="1882"/>
      <c r="MUM23" s="1882"/>
      <c r="MUN23" s="1882"/>
      <c r="MUP23" s="1887"/>
      <c r="MUQ23" s="1888"/>
      <c r="MUR23" s="1882"/>
      <c r="MUS23" s="1882"/>
      <c r="MUT23" s="1882"/>
      <c r="MUV23" s="1887"/>
      <c r="MUW23" s="1888"/>
      <c r="MUX23" s="1882"/>
      <c r="MUY23" s="1882"/>
      <c r="MUZ23" s="1882"/>
      <c r="MVB23" s="1887"/>
      <c r="MVC23" s="1888"/>
      <c r="MVD23" s="1882"/>
      <c r="MVE23" s="1882"/>
      <c r="MVF23" s="1882"/>
      <c r="MVH23" s="1887"/>
      <c r="MVI23" s="1888"/>
      <c r="MVJ23" s="1882"/>
      <c r="MVK23" s="1882"/>
      <c r="MVL23" s="1882"/>
      <c r="MVN23" s="1887"/>
      <c r="MVO23" s="1888"/>
      <c r="MVP23" s="1882"/>
      <c r="MVQ23" s="1882"/>
      <c r="MVR23" s="1882"/>
      <c r="MVT23" s="1887"/>
      <c r="MVU23" s="1888"/>
      <c r="MVV23" s="1882"/>
      <c r="MVW23" s="1882"/>
      <c r="MVX23" s="1882"/>
      <c r="MVZ23" s="1887"/>
      <c r="MWA23" s="1888"/>
      <c r="MWB23" s="1882"/>
      <c r="MWC23" s="1882"/>
      <c r="MWD23" s="1882"/>
      <c r="MWF23" s="1887"/>
      <c r="MWG23" s="1888"/>
      <c r="MWH23" s="1882"/>
      <c r="MWI23" s="1882"/>
      <c r="MWJ23" s="1882"/>
      <c r="MWL23" s="1887"/>
      <c r="MWM23" s="1888"/>
      <c r="MWN23" s="1882"/>
      <c r="MWO23" s="1882"/>
      <c r="MWP23" s="1882"/>
      <c r="MWR23" s="1887"/>
      <c r="MWS23" s="1888"/>
      <c r="MWT23" s="1882"/>
      <c r="MWU23" s="1882"/>
      <c r="MWV23" s="1882"/>
      <c r="MWX23" s="1887"/>
      <c r="MWY23" s="1888"/>
      <c r="MWZ23" s="1882"/>
      <c r="MXA23" s="1882"/>
      <c r="MXB23" s="1882"/>
      <c r="MXD23" s="1887"/>
      <c r="MXE23" s="1888"/>
      <c r="MXF23" s="1882"/>
      <c r="MXG23" s="1882"/>
      <c r="MXH23" s="1882"/>
      <c r="MXJ23" s="1887"/>
      <c r="MXK23" s="1888"/>
      <c r="MXL23" s="1882"/>
      <c r="MXM23" s="1882"/>
      <c r="MXN23" s="1882"/>
      <c r="MXP23" s="1887"/>
      <c r="MXQ23" s="1888"/>
      <c r="MXR23" s="1882"/>
      <c r="MXS23" s="1882"/>
      <c r="MXT23" s="1882"/>
      <c r="MXV23" s="1887"/>
      <c r="MXW23" s="1888"/>
      <c r="MXX23" s="1882"/>
      <c r="MXY23" s="1882"/>
      <c r="MXZ23" s="1882"/>
      <c r="MYB23" s="1887"/>
      <c r="MYC23" s="1888"/>
      <c r="MYD23" s="1882"/>
      <c r="MYE23" s="1882"/>
      <c r="MYF23" s="1882"/>
      <c r="MYH23" s="1887"/>
      <c r="MYI23" s="1888"/>
      <c r="MYJ23" s="1882"/>
      <c r="MYK23" s="1882"/>
      <c r="MYL23" s="1882"/>
      <c r="MYN23" s="1887"/>
      <c r="MYO23" s="1888"/>
      <c r="MYP23" s="1882"/>
      <c r="MYQ23" s="1882"/>
      <c r="MYR23" s="1882"/>
      <c r="MYT23" s="1887"/>
      <c r="MYU23" s="1888"/>
      <c r="MYV23" s="1882"/>
      <c r="MYW23" s="1882"/>
      <c r="MYX23" s="1882"/>
      <c r="MYZ23" s="1887"/>
      <c r="MZA23" s="1888"/>
      <c r="MZB23" s="1882"/>
      <c r="MZC23" s="1882"/>
      <c r="MZD23" s="1882"/>
      <c r="MZF23" s="1887"/>
      <c r="MZG23" s="1888"/>
      <c r="MZH23" s="1882"/>
      <c r="MZI23" s="1882"/>
      <c r="MZJ23" s="1882"/>
      <c r="MZL23" s="1887"/>
      <c r="MZM23" s="1888"/>
      <c r="MZN23" s="1882"/>
      <c r="MZO23" s="1882"/>
      <c r="MZP23" s="1882"/>
      <c r="MZR23" s="1887"/>
      <c r="MZS23" s="1888"/>
      <c r="MZT23" s="1882"/>
      <c r="MZU23" s="1882"/>
      <c r="MZV23" s="1882"/>
      <c r="MZX23" s="1887"/>
      <c r="MZY23" s="1888"/>
      <c r="MZZ23" s="1882"/>
      <c r="NAA23" s="1882"/>
      <c r="NAB23" s="1882"/>
      <c r="NAD23" s="1887"/>
      <c r="NAE23" s="1888"/>
      <c r="NAF23" s="1882"/>
      <c r="NAG23" s="1882"/>
      <c r="NAH23" s="1882"/>
      <c r="NAJ23" s="1887"/>
      <c r="NAK23" s="1888"/>
      <c r="NAL23" s="1882"/>
      <c r="NAM23" s="1882"/>
      <c r="NAN23" s="1882"/>
      <c r="NAP23" s="1887"/>
      <c r="NAQ23" s="1888"/>
      <c r="NAR23" s="1882"/>
      <c r="NAS23" s="1882"/>
      <c r="NAT23" s="1882"/>
      <c r="NAV23" s="1887"/>
      <c r="NAW23" s="1888"/>
      <c r="NAX23" s="1882"/>
      <c r="NAY23" s="1882"/>
      <c r="NAZ23" s="1882"/>
      <c r="NBB23" s="1887"/>
      <c r="NBC23" s="1888"/>
      <c r="NBD23" s="1882"/>
      <c r="NBE23" s="1882"/>
      <c r="NBF23" s="1882"/>
      <c r="NBH23" s="1887"/>
      <c r="NBI23" s="1888"/>
      <c r="NBJ23" s="1882"/>
      <c r="NBK23" s="1882"/>
      <c r="NBL23" s="1882"/>
      <c r="NBN23" s="1887"/>
      <c r="NBO23" s="1888"/>
      <c r="NBP23" s="1882"/>
      <c r="NBQ23" s="1882"/>
      <c r="NBR23" s="1882"/>
      <c r="NBT23" s="1887"/>
      <c r="NBU23" s="1888"/>
      <c r="NBV23" s="1882"/>
      <c r="NBW23" s="1882"/>
      <c r="NBX23" s="1882"/>
      <c r="NBZ23" s="1887"/>
      <c r="NCA23" s="1888"/>
      <c r="NCB23" s="1882"/>
      <c r="NCC23" s="1882"/>
      <c r="NCD23" s="1882"/>
      <c r="NCF23" s="1887"/>
      <c r="NCG23" s="1888"/>
      <c r="NCH23" s="1882"/>
      <c r="NCI23" s="1882"/>
      <c r="NCJ23" s="1882"/>
      <c r="NCL23" s="1887"/>
      <c r="NCM23" s="1888"/>
      <c r="NCN23" s="1882"/>
      <c r="NCO23" s="1882"/>
      <c r="NCP23" s="1882"/>
      <c r="NCR23" s="1887"/>
      <c r="NCS23" s="1888"/>
      <c r="NCT23" s="1882"/>
      <c r="NCU23" s="1882"/>
      <c r="NCV23" s="1882"/>
      <c r="NCX23" s="1887"/>
      <c r="NCY23" s="1888"/>
      <c r="NCZ23" s="1882"/>
      <c r="NDA23" s="1882"/>
      <c r="NDB23" s="1882"/>
      <c r="NDD23" s="1887"/>
      <c r="NDE23" s="1888"/>
      <c r="NDF23" s="1882"/>
      <c r="NDG23" s="1882"/>
      <c r="NDH23" s="1882"/>
      <c r="NDJ23" s="1887"/>
      <c r="NDK23" s="1888"/>
      <c r="NDL23" s="1882"/>
      <c r="NDM23" s="1882"/>
      <c r="NDN23" s="1882"/>
      <c r="NDP23" s="1887"/>
      <c r="NDQ23" s="1888"/>
      <c r="NDR23" s="1882"/>
      <c r="NDS23" s="1882"/>
      <c r="NDT23" s="1882"/>
      <c r="NDV23" s="1887"/>
      <c r="NDW23" s="1888"/>
      <c r="NDX23" s="1882"/>
      <c r="NDY23" s="1882"/>
      <c r="NDZ23" s="1882"/>
      <c r="NEB23" s="1887"/>
      <c r="NEC23" s="1888"/>
      <c r="NED23" s="1882"/>
      <c r="NEE23" s="1882"/>
      <c r="NEF23" s="1882"/>
      <c r="NEH23" s="1887"/>
      <c r="NEI23" s="1888"/>
      <c r="NEJ23" s="1882"/>
      <c r="NEK23" s="1882"/>
      <c r="NEL23" s="1882"/>
      <c r="NEN23" s="1887"/>
      <c r="NEO23" s="1888"/>
      <c r="NEP23" s="1882"/>
      <c r="NEQ23" s="1882"/>
      <c r="NER23" s="1882"/>
      <c r="NET23" s="1887"/>
      <c r="NEU23" s="1888"/>
      <c r="NEV23" s="1882"/>
      <c r="NEW23" s="1882"/>
      <c r="NEX23" s="1882"/>
      <c r="NEZ23" s="1887"/>
      <c r="NFA23" s="1888"/>
      <c r="NFB23" s="1882"/>
      <c r="NFC23" s="1882"/>
      <c r="NFD23" s="1882"/>
      <c r="NFF23" s="1887"/>
      <c r="NFG23" s="1888"/>
      <c r="NFH23" s="1882"/>
      <c r="NFI23" s="1882"/>
      <c r="NFJ23" s="1882"/>
      <c r="NFL23" s="1887"/>
      <c r="NFM23" s="1888"/>
      <c r="NFN23" s="1882"/>
      <c r="NFO23" s="1882"/>
      <c r="NFP23" s="1882"/>
      <c r="NFR23" s="1887"/>
      <c r="NFS23" s="1888"/>
      <c r="NFT23" s="1882"/>
      <c r="NFU23" s="1882"/>
      <c r="NFV23" s="1882"/>
      <c r="NFX23" s="1887"/>
      <c r="NFY23" s="1888"/>
      <c r="NFZ23" s="1882"/>
      <c r="NGA23" s="1882"/>
      <c r="NGB23" s="1882"/>
      <c r="NGD23" s="1887"/>
      <c r="NGE23" s="1888"/>
      <c r="NGF23" s="1882"/>
      <c r="NGG23" s="1882"/>
      <c r="NGH23" s="1882"/>
      <c r="NGJ23" s="1887"/>
      <c r="NGK23" s="1888"/>
      <c r="NGL23" s="1882"/>
      <c r="NGM23" s="1882"/>
      <c r="NGN23" s="1882"/>
      <c r="NGP23" s="1887"/>
      <c r="NGQ23" s="1888"/>
      <c r="NGR23" s="1882"/>
      <c r="NGS23" s="1882"/>
      <c r="NGT23" s="1882"/>
      <c r="NGV23" s="1887"/>
      <c r="NGW23" s="1888"/>
      <c r="NGX23" s="1882"/>
      <c r="NGY23" s="1882"/>
      <c r="NGZ23" s="1882"/>
      <c r="NHB23" s="1887"/>
      <c r="NHC23" s="1888"/>
      <c r="NHD23" s="1882"/>
      <c r="NHE23" s="1882"/>
      <c r="NHF23" s="1882"/>
      <c r="NHH23" s="1887"/>
      <c r="NHI23" s="1888"/>
      <c r="NHJ23" s="1882"/>
      <c r="NHK23" s="1882"/>
      <c r="NHL23" s="1882"/>
      <c r="NHN23" s="1887"/>
      <c r="NHO23" s="1888"/>
      <c r="NHP23" s="1882"/>
      <c r="NHQ23" s="1882"/>
      <c r="NHR23" s="1882"/>
      <c r="NHT23" s="1887"/>
      <c r="NHU23" s="1888"/>
      <c r="NHV23" s="1882"/>
      <c r="NHW23" s="1882"/>
      <c r="NHX23" s="1882"/>
      <c r="NHZ23" s="1887"/>
      <c r="NIA23" s="1888"/>
      <c r="NIB23" s="1882"/>
      <c r="NIC23" s="1882"/>
      <c r="NID23" s="1882"/>
      <c r="NIF23" s="1887"/>
      <c r="NIG23" s="1888"/>
      <c r="NIH23" s="1882"/>
      <c r="NII23" s="1882"/>
      <c r="NIJ23" s="1882"/>
      <c r="NIL23" s="1887"/>
      <c r="NIM23" s="1888"/>
      <c r="NIN23" s="1882"/>
      <c r="NIO23" s="1882"/>
      <c r="NIP23" s="1882"/>
      <c r="NIR23" s="1887"/>
      <c r="NIS23" s="1888"/>
      <c r="NIT23" s="1882"/>
      <c r="NIU23" s="1882"/>
      <c r="NIV23" s="1882"/>
      <c r="NIX23" s="1887"/>
      <c r="NIY23" s="1888"/>
      <c r="NIZ23" s="1882"/>
      <c r="NJA23" s="1882"/>
      <c r="NJB23" s="1882"/>
      <c r="NJD23" s="1887"/>
      <c r="NJE23" s="1888"/>
      <c r="NJF23" s="1882"/>
      <c r="NJG23" s="1882"/>
      <c r="NJH23" s="1882"/>
      <c r="NJJ23" s="1887"/>
      <c r="NJK23" s="1888"/>
      <c r="NJL23" s="1882"/>
      <c r="NJM23" s="1882"/>
      <c r="NJN23" s="1882"/>
      <c r="NJP23" s="1887"/>
      <c r="NJQ23" s="1888"/>
      <c r="NJR23" s="1882"/>
      <c r="NJS23" s="1882"/>
      <c r="NJT23" s="1882"/>
      <c r="NJV23" s="1887"/>
      <c r="NJW23" s="1888"/>
      <c r="NJX23" s="1882"/>
      <c r="NJY23" s="1882"/>
      <c r="NJZ23" s="1882"/>
      <c r="NKB23" s="1887"/>
      <c r="NKC23" s="1888"/>
      <c r="NKD23" s="1882"/>
      <c r="NKE23" s="1882"/>
      <c r="NKF23" s="1882"/>
      <c r="NKH23" s="1887"/>
      <c r="NKI23" s="1888"/>
      <c r="NKJ23" s="1882"/>
      <c r="NKK23" s="1882"/>
      <c r="NKL23" s="1882"/>
      <c r="NKN23" s="1887"/>
      <c r="NKO23" s="1888"/>
      <c r="NKP23" s="1882"/>
      <c r="NKQ23" s="1882"/>
      <c r="NKR23" s="1882"/>
      <c r="NKT23" s="1887"/>
      <c r="NKU23" s="1888"/>
      <c r="NKV23" s="1882"/>
      <c r="NKW23" s="1882"/>
      <c r="NKX23" s="1882"/>
      <c r="NKZ23" s="1887"/>
      <c r="NLA23" s="1888"/>
      <c r="NLB23" s="1882"/>
      <c r="NLC23" s="1882"/>
      <c r="NLD23" s="1882"/>
      <c r="NLF23" s="1887"/>
      <c r="NLG23" s="1888"/>
      <c r="NLH23" s="1882"/>
      <c r="NLI23" s="1882"/>
      <c r="NLJ23" s="1882"/>
      <c r="NLL23" s="1887"/>
      <c r="NLM23" s="1888"/>
      <c r="NLN23" s="1882"/>
      <c r="NLO23" s="1882"/>
      <c r="NLP23" s="1882"/>
      <c r="NLR23" s="1887"/>
      <c r="NLS23" s="1888"/>
      <c r="NLT23" s="1882"/>
      <c r="NLU23" s="1882"/>
      <c r="NLV23" s="1882"/>
      <c r="NLX23" s="1887"/>
      <c r="NLY23" s="1888"/>
      <c r="NLZ23" s="1882"/>
      <c r="NMA23" s="1882"/>
      <c r="NMB23" s="1882"/>
      <c r="NMD23" s="1887"/>
      <c r="NME23" s="1888"/>
      <c r="NMF23" s="1882"/>
      <c r="NMG23" s="1882"/>
      <c r="NMH23" s="1882"/>
      <c r="NMJ23" s="1887"/>
      <c r="NMK23" s="1888"/>
      <c r="NML23" s="1882"/>
      <c r="NMM23" s="1882"/>
      <c r="NMN23" s="1882"/>
      <c r="NMP23" s="1887"/>
      <c r="NMQ23" s="1888"/>
      <c r="NMR23" s="1882"/>
      <c r="NMS23" s="1882"/>
      <c r="NMT23" s="1882"/>
      <c r="NMV23" s="1887"/>
      <c r="NMW23" s="1888"/>
      <c r="NMX23" s="1882"/>
      <c r="NMY23" s="1882"/>
      <c r="NMZ23" s="1882"/>
      <c r="NNB23" s="1887"/>
      <c r="NNC23" s="1888"/>
      <c r="NND23" s="1882"/>
      <c r="NNE23" s="1882"/>
      <c r="NNF23" s="1882"/>
      <c r="NNH23" s="1887"/>
      <c r="NNI23" s="1888"/>
      <c r="NNJ23" s="1882"/>
      <c r="NNK23" s="1882"/>
      <c r="NNL23" s="1882"/>
      <c r="NNN23" s="1887"/>
      <c r="NNO23" s="1888"/>
      <c r="NNP23" s="1882"/>
      <c r="NNQ23" s="1882"/>
      <c r="NNR23" s="1882"/>
      <c r="NNT23" s="1887"/>
      <c r="NNU23" s="1888"/>
      <c r="NNV23" s="1882"/>
      <c r="NNW23" s="1882"/>
      <c r="NNX23" s="1882"/>
      <c r="NNZ23" s="1887"/>
      <c r="NOA23" s="1888"/>
      <c r="NOB23" s="1882"/>
      <c r="NOC23" s="1882"/>
      <c r="NOD23" s="1882"/>
      <c r="NOF23" s="1887"/>
      <c r="NOG23" s="1888"/>
      <c r="NOH23" s="1882"/>
      <c r="NOI23" s="1882"/>
      <c r="NOJ23" s="1882"/>
      <c r="NOL23" s="1887"/>
      <c r="NOM23" s="1888"/>
      <c r="NON23" s="1882"/>
      <c r="NOO23" s="1882"/>
      <c r="NOP23" s="1882"/>
      <c r="NOR23" s="1887"/>
      <c r="NOS23" s="1888"/>
      <c r="NOT23" s="1882"/>
      <c r="NOU23" s="1882"/>
      <c r="NOV23" s="1882"/>
      <c r="NOX23" s="1887"/>
      <c r="NOY23" s="1888"/>
      <c r="NOZ23" s="1882"/>
      <c r="NPA23" s="1882"/>
      <c r="NPB23" s="1882"/>
      <c r="NPD23" s="1887"/>
      <c r="NPE23" s="1888"/>
      <c r="NPF23" s="1882"/>
      <c r="NPG23" s="1882"/>
      <c r="NPH23" s="1882"/>
      <c r="NPJ23" s="1887"/>
      <c r="NPK23" s="1888"/>
      <c r="NPL23" s="1882"/>
      <c r="NPM23" s="1882"/>
      <c r="NPN23" s="1882"/>
      <c r="NPP23" s="1887"/>
      <c r="NPQ23" s="1888"/>
      <c r="NPR23" s="1882"/>
      <c r="NPS23" s="1882"/>
      <c r="NPT23" s="1882"/>
      <c r="NPV23" s="1887"/>
      <c r="NPW23" s="1888"/>
      <c r="NPX23" s="1882"/>
      <c r="NPY23" s="1882"/>
      <c r="NPZ23" s="1882"/>
      <c r="NQB23" s="1887"/>
      <c r="NQC23" s="1888"/>
      <c r="NQD23" s="1882"/>
      <c r="NQE23" s="1882"/>
      <c r="NQF23" s="1882"/>
      <c r="NQH23" s="1887"/>
      <c r="NQI23" s="1888"/>
      <c r="NQJ23" s="1882"/>
      <c r="NQK23" s="1882"/>
      <c r="NQL23" s="1882"/>
      <c r="NQN23" s="1887"/>
      <c r="NQO23" s="1888"/>
      <c r="NQP23" s="1882"/>
      <c r="NQQ23" s="1882"/>
      <c r="NQR23" s="1882"/>
      <c r="NQT23" s="1887"/>
      <c r="NQU23" s="1888"/>
      <c r="NQV23" s="1882"/>
      <c r="NQW23" s="1882"/>
      <c r="NQX23" s="1882"/>
      <c r="NQZ23" s="1887"/>
      <c r="NRA23" s="1888"/>
      <c r="NRB23" s="1882"/>
      <c r="NRC23" s="1882"/>
      <c r="NRD23" s="1882"/>
      <c r="NRF23" s="1887"/>
      <c r="NRG23" s="1888"/>
      <c r="NRH23" s="1882"/>
      <c r="NRI23" s="1882"/>
      <c r="NRJ23" s="1882"/>
      <c r="NRL23" s="1887"/>
      <c r="NRM23" s="1888"/>
      <c r="NRN23" s="1882"/>
      <c r="NRO23" s="1882"/>
      <c r="NRP23" s="1882"/>
      <c r="NRR23" s="1887"/>
      <c r="NRS23" s="1888"/>
      <c r="NRT23" s="1882"/>
      <c r="NRU23" s="1882"/>
      <c r="NRV23" s="1882"/>
      <c r="NRX23" s="1887"/>
      <c r="NRY23" s="1888"/>
      <c r="NRZ23" s="1882"/>
      <c r="NSA23" s="1882"/>
      <c r="NSB23" s="1882"/>
      <c r="NSD23" s="1887"/>
      <c r="NSE23" s="1888"/>
      <c r="NSF23" s="1882"/>
      <c r="NSG23" s="1882"/>
      <c r="NSH23" s="1882"/>
      <c r="NSJ23" s="1887"/>
      <c r="NSK23" s="1888"/>
      <c r="NSL23" s="1882"/>
      <c r="NSM23" s="1882"/>
      <c r="NSN23" s="1882"/>
      <c r="NSP23" s="1887"/>
      <c r="NSQ23" s="1888"/>
      <c r="NSR23" s="1882"/>
      <c r="NSS23" s="1882"/>
      <c r="NST23" s="1882"/>
      <c r="NSV23" s="1887"/>
      <c r="NSW23" s="1888"/>
      <c r="NSX23" s="1882"/>
      <c r="NSY23" s="1882"/>
      <c r="NSZ23" s="1882"/>
      <c r="NTB23" s="1887"/>
      <c r="NTC23" s="1888"/>
      <c r="NTD23" s="1882"/>
      <c r="NTE23" s="1882"/>
      <c r="NTF23" s="1882"/>
      <c r="NTH23" s="1887"/>
      <c r="NTI23" s="1888"/>
      <c r="NTJ23" s="1882"/>
      <c r="NTK23" s="1882"/>
      <c r="NTL23" s="1882"/>
      <c r="NTN23" s="1887"/>
      <c r="NTO23" s="1888"/>
      <c r="NTP23" s="1882"/>
      <c r="NTQ23" s="1882"/>
      <c r="NTR23" s="1882"/>
      <c r="NTT23" s="1887"/>
      <c r="NTU23" s="1888"/>
      <c r="NTV23" s="1882"/>
      <c r="NTW23" s="1882"/>
      <c r="NTX23" s="1882"/>
      <c r="NTZ23" s="1887"/>
      <c r="NUA23" s="1888"/>
      <c r="NUB23" s="1882"/>
      <c r="NUC23" s="1882"/>
      <c r="NUD23" s="1882"/>
      <c r="NUF23" s="1887"/>
      <c r="NUG23" s="1888"/>
      <c r="NUH23" s="1882"/>
      <c r="NUI23" s="1882"/>
      <c r="NUJ23" s="1882"/>
      <c r="NUL23" s="1887"/>
      <c r="NUM23" s="1888"/>
      <c r="NUN23" s="1882"/>
      <c r="NUO23" s="1882"/>
      <c r="NUP23" s="1882"/>
      <c r="NUR23" s="1887"/>
      <c r="NUS23" s="1888"/>
      <c r="NUT23" s="1882"/>
      <c r="NUU23" s="1882"/>
      <c r="NUV23" s="1882"/>
      <c r="NUX23" s="1887"/>
      <c r="NUY23" s="1888"/>
      <c r="NUZ23" s="1882"/>
      <c r="NVA23" s="1882"/>
      <c r="NVB23" s="1882"/>
      <c r="NVD23" s="1887"/>
      <c r="NVE23" s="1888"/>
      <c r="NVF23" s="1882"/>
      <c r="NVG23" s="1882"/>
      <c r="NVH23" s="1882"/>
      <c r="NVJ23" s="1887"/>
      <c r="NVK23" s="1888"/>
      <c r="NVL23" s="1882"/>
      <c r="NVM23" s="1882"/>
      <c r="NVN23" s="1882"/>
      <c r="NVP23" s="1887"/>
      <c r="NVQ23" s="1888"/>
      <c r="NVR23" s="1882"/>
      <c r="NVS23" s="1882"/>
      <c r="NVT23" s="1882"/>
      <c r="NVV23" s="1887"/>
      <c r="NVW23" s="1888"/>
      <c r="NVX23" s="1882"/>
      <c r="NVY23" s="1882"/>
      <c r="NVZ23" s="1882"/>
      <c r="NWB23" s="1887"/>
      <c r="NWC23" s="1888"/>
      <c r="NWD23" s="1882"/>
      <c r="NWE23" s="1882"/>
      <c r="NWF23" s="1882"/>
      <c r="NWH23" s="1887"/>
      <c r="NWI23" s="1888"/>
      <c r="NWJ23" s="1882"/>
      <c r="NWK23" s="1882"/>
      <c r="NWL23" s="1882"/>
      <c r="NWN23" s="1887"/>
      <c r="NWO23" s="1888"/>
      <c r="NWP23" s="1882"/>
      <c r="NWQ23" s="1882"/>
      <c r="NWR23" s="1882"/>
      <c r="NWT23" s="1887"/>
      <c r="NWU23" s="1888"/>
      <c r="NWV23" s="1882"/>
      <c r="NWW23" s="1882"/>
      <c r="NWX23" s="1882"/>
      <c r="NWZ23" s="1887"/>
      <c r="NXA23" s="1888"/>
      <c r="NXB23" s="1882"/>
      <c r="NXC23" s="1882"/>
      <c r="NXD23" s="1882"/>
      <c r="NXF23" s="1887"/>
      <c r="NXG23" s="1888"/>
      <c r="NXH23" s="1882"/>
      <c r="NXI23" s="1882"/>
      <c r="NXJ23" s="1882"/>
      <c r="NXL23" s="1887"/>
      <c r="NXM23" s="1888"/>
      <c r="NXN23" s="1882"/>
      <c r="NXO23" s="1882"/>
      <c r="NXP23" s="1882"/>
      <c r="NXR23" s="1887"/>
      <c r="NXS23" s="1888"/>
      <c r="NXT23" s="1882"/>
      <c r="NXU23" s="1882"/>
      <c r="NXV23" s="1882"/>
      <c r="NXX23" s="1887"/>
      <c r="NXY23" s="1888"/>
      <c r="NXZ23" s="1882"/>
      <c r="NYA23" s="1882"/>
      <c r="NYB23" s="1882"/>
      <c r="NYD23" s="1887"/>
      <c r="NYE23" s="1888"/>
      <c r="NYF23" s="1882"/>
      <c r="NYG23" s="1882"/>
      <c r="NYH23" s="1882"/>
      <c r="NYJ23" s="1887"/>
      <c r="NYK23" s="1888"/>
      <c r="NYL23" s="1882"/>
      <c r="NYM23" s="1882"/>
      <c r="NYN23" s="1882"/>
      <c r="NYP23" s="1887"/>
      <c r="NYQ23" s="1888"/>
      <c r="NYR23" s="1882"/>
      <c r="NYS23" s="1882"/>
      <c r="NYT23" s="1882"/>
      <c r="NYV23" s="1887"/>
      <c r="NYW23" s="1888"/>
      <c r="NYX23" s="1882"/>
      <c r="NYY23" s="1882"/>
      <c r="NYZ23" s="1882"/>
      <c r="NZB23" s="1887"/>
      <c r="NZC23" s="1888"/>
      <c r="NZD23" s="1882"/>
      <c r="NZE23" s="1882"/>
      <c r="NZF23" s="1882"/>
      <c r="NZH23" s="1887"/>
      <c r="NZI23" s="1888"/>
      <c r="NZJ23" s="1882"/>
      <c r="NZK23" s="1882"/>
      <c r="NZL23" s="1882"/>
      <c r="NZN23" s="1887"/>
      <c r="NZO23" s="1888"/>
      <c r="NZP23" s="1882"/>
      <c r="NZQ23" s="1882"/>
      <c r="NZR23" s="1882"/>
      <c r="NZT23" s="1887"/>
      <c r="NZU23" s="1888"/>
      <c r="NZV23" s="1882"/>
      <c r="NZW23" s="1882"/>
      <c r="NZX23" s="1882"/>
      <c r="NZZ23" s="1887"/>
      <c r="OAA23" s="1888"/>
      <c r="OAB23" s="1882"/>
      <c r="OAC23" s="1882"/>
      <c r="OAD23" s="1882"/>
      <c r="OAF23" s="1887"/>
      <c r="OAG23" s="1888"/>
      <c r="OAH23" s="1882"/>
      <c r="OAI23" s="1882"/>
      <c r="OAJ23" s="1882"/>
      <c r="OAL23" s="1887"/>
      <c r="OAM23" s="1888"/>
      <c r="OAN23" s="1882"/>
      <c r="OAO23" s="1882"/>
      <c r="OAP23" s="1882"/>
      <c r="OAR23" s="1887"/>
      <c r="OAS23" s="1888"/>
      <c r="OAT23" s="1882"/>
      <c r="OAU23" s="1882"/>
      <c r="OAV23" s="1882"/>
      <c r="OAX23" s="1887"/>
      <c r="OAY23" s="1888"/>
      <c r="OAZ23" s="1882"/>
      <c r="OBA23" s="1882"/>
      <c r="OBB23" s="1882"/>
      <c r="OBD23" s="1887"/>
      <c r="OBE23" s="1888"/>
      <c r="OBF23" s="1882"/>
      <c r="OBG23" s="1882"/>
      <c r="OBH23" s="1882"/>
      <c r="OBJ23" s="1887"/>
      <c r="OBK23" s="1888"/>
      <c r="OBL23" s="1882"/>
      <c r="OBM23" s="1882"/>
      <c r="OBN23" s="1882"/>
      <c r="OBP23" s="1887"/>
      <c r="OBQ23" s="1888"/>
      <c r="OBR23" s="1882"/>
      <c r="OBS23" s="1882"/>
      <c r="OBT23" s="1882"/>
      <c r="OBV23" s="1887"/>
      <c r="OBW23" s="1888"/>
      <c r="OBX23" s="1882"/>
      <c r="OBY23" s="1882"/>
      <c r="OBZ23" s="1882"/>
      <c r="OCB23" s="1887"/>
      <c r="OCC23" s="1888"/>
      <c r="OCD23" s="1882"/>
      <c r="OCE23" s="1882"/>
      <c r="OCF23" s="1882"/>
      <c r="OCH23" s="1887"/>
      <c r="OCI23" s="1888"/>
      <c r="OCJ23" s="1882"/>
      <c r="OCK23" s="1882"/>
      <c r="OCL23" s="1882"/>
      <c r="OCN23" s="1887"/>
      <c r="OCO23" s="1888"/>
      <c r="OCP23" s="1882"/>
      <c r="OCQ23" s="1882"/>
      <c r="OCR23" s="1882"/>
      <c r="OCT23" s="1887"/>
      <c r="OCU23" s="1888"/>
      <c r="OCV23" s="1882"/>
      <c r="OCW23" s="1882"/>
      <c r="OCX23" s="1882"/>
      <c r="OCZ23" s="1887"/>
      <c r="ODA23" s="1888"/>
      <c r="ODB23" s="1882"/>
      <c r="ODC23" s="1882"/>
      <c r="ODD23" s="1882"/>
      <c r="ODF23" s="1887"/>
      <c r="ODG23" s="1888"/>
      <c r="ODH23" s="1882"/>
      <c r="ODI23" s="1882"/>
      <c r="ODJ23" s="1882"/>
      <c r="ODL23" s="1887"/>
      <c r="ODM23" s="1888"/>
      <c r="ODN23" s="1882"/>
      <c r="ODO23" s="1882"/>
      <c r="ODP23" s="1882"/>
      <c r="ODR23" s="1887"/>
      <c r="ODS23" s="1888"/>
      <c r="ODT23" s="1882"/>
      <c r="ODU23" s="1882"/>
      <c r="ODV23" s="1882"/>
      <c r="ODX23" s="1887"/>
      <c r="ODY23" s="1888"/>
      <c r="ODZ23" s="1882"/>
      <c r="OEA23" s="1882"/>
      <c r="OEB23" s="1882"/>
      <c r="OED23" s="1887"/>
      <c r="OEE23" s="1888"/>
      <c r="OEF23" s="1882"/>
      <c r="OEG23" s="1882"/>
      <c r="OEH23" s="1882"/>
      <c r="OEJ23" s="1887"/>
      <c r="OEK23" s="1888"/>
      <c r="OEL23" s="1882"/>
      <c r="OEM23" s="1882"/>
      <c r="OEN23" s="1882"/>
      <c r="OEP23" s="1887"/>
      <c r="OEQ23" s="1888"/>
      <c r="OER23" s="1882"/>
      <c r="OES23" s="1882"/>
      <c r="OET23" s="1882"/>
      <c r="OEV23" s="1887"/>
      <c r="OEW23" s="1888"/>
      <c r="OEX23" s="1882"/>
      <c r="OEY23" s="1882"/>
      <c r="OEZ23" s="1882"/>
      <c r="OFB23" s="1887"/>
      <c r="OFC23" s="1888"/>
      <c r="OFD23" s="1882"/>
      <c r="OFE23" s="1882"/>
      <c r="OFF23" s="1882"/>
      <c r="OFH23" s="1887"/>
      <c r="OFI23" s="1888"/>
      <c r="OFJ23" s="1882"/>
      <c r="OFK23" s="1882"/>
      <c r="OFL23" s="1882"/>
      <c r="OFN23" s="1887"/>
      <c r="OFO23" s="1888"/>
      <c r="OFP23" s="1882"/>
      <c r="OFQ23" s="1882"/>
      <c r="OFR23" s="1882"/>
      <c r="OFT23" s="1887"/>
      <c r="OFU23" s="1888"/>
      <c r="OFV23" s="1882"/>
      <c r="OFW23" s="1882"/>
      <c r="OFX23" s="1882"/>
      <c r="OFZ23" s="1887"/>
      <c r="OGA23" s="1888"/>
      <c r="OGB23" s="1882"/>
      <c r="OGC23" s="1882"/>
      <c r="OGD23" s="1882"/>
      <c r="OGF23" s="1887"/>
      <c r="OGG23" s="1888"/>
      <c r="OGH23" s="1882"/>
      <c r="OGI23" s="1882"/>
      <c r="OGJ23" s="1882"/>
      <c r="OGL23" s="1887"/>
      <c r="OGM23" s="1888"/>
      <c r="OGN23" s="1882"/>
      <c r="OGO23" s="1882"/>
      <c r="OGP23" s="1882"/>
      <c r="OGR23" s="1887"/>
      <c r="OGS23" s="1888"/>
      <c r="OGT23" s="1882"/>
      <c r="OGU23" s="1882"/>
      <c r="OGV23" s="1882"/>
      <c r="OGX23" s="1887"/>
      <c r="OGY23" s="1888"/>
      <c r="OGZ23" s="1882"/>
      <c r="OHA23" s="1882"/>
      <c r="OHB23" s="1882"/>
      <c r="OHD23" s="1887"/>
      <c r="OHE23" s="1888"/>
      <c r="OHF23" s="1882"/>
      <c r="OHG23" s="1882"/>
      <c r="OHH23" s="1882"/>
      <c r="OHJ23" s="1887"/>
      <c r="OHK23" s="1888"/>
      <c r="OHL23" s="1882"/>
      <c r="OHM23" s="1882"/>
      <c r="OHN23" s="1882"/>
      <c r="OHP23" s="1887"/>
      <c r="OHQ23" s="1888"/>
      <c r="OHR23" s="1882"/>
      <c r="OHS23" s="1882"/>
      <c r="OHT23" s="1882"/>
      <c r="OHV23" s="1887"/>
      <c r="OHW23" s="1888"/>
      <c r="OHX23" s="1882"/>
      <c r="OHY23" s="1882"/>
      <c r="OHZ23" s="1882"/>
      <c r="OIB23" s="1887"/>
      <c r="OIC23" s="1888"/>
      <c r="OID23" s="1882"/>
      <c r="OIE23" s="1882"/>
      <c r="OIF23" s="1882"/>
      <c r="OIH23" s="1887"/>
      <c r="OII23" s="1888"/>
      <c r="OIJ23" s="1882"/>
      <c r="OIK23" s="1882"/>
      <c r="OIL23" s="1882"/>
      <c r="OIN23" s="1887"/>
      <c r="OIO23" s="1888"/>
      <c r="OIP23" s="1882"/>
      <c r="OIQ23" s="1882"/>
      <c r="OIR23" s="1882"/>
      <c r="OIT23" s="1887"/>
      <c r="OIU23" s="1888"/>
      <c r="OIV23" s="1882"/>
      <c r="OIW23" s="1882"/>
      <c r="OIX23" s="1882"/>
      <c r="OIZ23" s="1887"/>
      <c r="OJA23" s="1888"/>
      <c r="OJB23" s="1882"/>
      <c r="OJC23" s="1882"/>
      <c r="OJD23" s="1882"/>
      <c r="OJF23" s="1887"/>
      <c r="OJG23" s="1888"/>
      <c r="OJH23" s="1882"/>
      <c r="OJI23" s="1882"/>
      <c r="OJJ23" s="1882"/>
      <c r="OJL23" s="1887"/>
      <c r="OJM23" s="1888"/>
      <c r="OJN23" s="1882"/>
      <c r="OJO23" s="1882"/>
      <c r="OJP23" s="1882"/>
      <c r="OJR23" s="1887"/>
      <c r="OJS23" s="1888"/>
      <c r="OJT23" s="1882"/>
      <c r="OJU23" s="1882"/>
      <c r="OJV23" s="1882"/>
      <c r="OJX23" s="1887"/>
      <c r="OJY23" s="1888"/>
      <c r="OJZ23" s="1882"/>
      <c r="OKA23" s="1882"/>
      <c r="OKB23" s="1882"/>
      <c r="OKD23" s="1887"/>
      <c r="OKE23" s="1888"/>
      <c r="OKF23" s="1882"/>
      <c r="OKG23" s="1882"/>
      <c r="OKH23" s="1882"/>
      <c r="OKJ23" s="1887"/>
      <c r="OKK23" s="1888"/>
      <c r="OKL23" s="1882"/>
      <c r="OKM23" s="1882"/>
      <c r="OKN23" s="1882"/>
      <c r="OKP23" s="1887"/>
      <c r="OKQ23" s="1888"/>
      <c r="OKR23" s="1882"/>
      <c r="OKS23" s="1882"/>
      <c r="OKT23" s="1882"/>
      <c r="OKV23" s="1887"/>
      <c r="OKW23" s="1888"/>
      <c r="OKX23" s="1882"/>
      <c r="OKY23" s="1882"/>
      <c r="OKZ23" s="1882"/>
      <c r="OLB23" s="1887"/>
      <c r="OLC23" s="1888"/>
      <c r="OLD23" s="1882"/>
      <c r="OLE23" s="1882"/>
      <c r="OLF23" s="1882"/>
      <c r="OLH23" s="1887"/>
      <c r="OLI23" s="1888"/>
      <c r="OLJ23" s="1882"/>
      <c r="OLK23" s="1882"/>
      <c r="OLL23" s="1882"/>
      <c r="OLN23" s="1887"/>
      <c r="OLO23" s="1888"/>
      <c r="OLP23" s="1882"/>
      <c r="OLQ23" s="1882"/>
      <c r="OLR23" s="1882"/>
      <c r="OLT23" s="1887"/>
      <c r="OLU23" s="1888"/>
      <c r="OLV23" s="1882"/>
      <c r="OLW23" s="1882"/>
      <c r="OLX23" s="1882"/>
      <c r="OLZ23" s="1887"/>
      <c r="OMA23" s="1888"/>
      <c r="OMB23" s="1882"/>
      <c r="OMC23" s="1882"/>
      <c r="OMD23" s="1882"/>
      <c r="OMF23" s="1887"/>
      <c r="OMG23" s="1888"/>
      <c r="OMH23" s="1882"/>
      <c r="OMI23" s="1882"/>
      <c r="OMJ23" s="1882"/>
      <c r="OML23" s="1887"/>
      <c r="OMM23" s="1888"/>
      <c r="OMN23" s="1882"/>
      <c r="OMO23" s="1882"/>
      <c r="OMP23" s="1882"/>
      <c r="OMR23" s="1887"/>
      <c r="OMS23" s="1888"/>
      <c r="OMT23" s="1882"/>
      <c r="OMU23" s="1882"/>
      <c r="OMV23" s="1882"/>
      <c r="OMX23" s="1887"/>
      <c r="OMY23" s="1888"/>
      <c r="OMZ23" s="1882"/>
      <c r="ONA23" s="1882"/>
      <c r="ONB23" s="1882"/>
      <c r="OND23" s="1887"/>
      <c r="ONE23" s="1888"/>
      <c r="ONF23" s="1882"/>
      <c r="ONG23" s="1882"/>
      <c r="ONH23" s="1882"/>
      <c r="ONJ23" s="1887"/>
      <c r="ONK23" s="1888"/>
      <c r="ONL23" s="1882"/>
      <c r="ONM23" s="1882"/>
      <c r="ONN23" s="1882"/>
      <c r="ONP23" s="1887"/>
      <c r="ONQ23" s="1888"/>
      <c r="ONR23" s="1882"/>
      <c r="ONS23" s="1882"/>
      <c r="ONT23" s="1882"/>
      <c r="ONV23" s="1887"/>
      <c r="ONW23" s="1888"/>
      <c r="ONX23" s="1882"/>
      <c r="ONY23" s="1882"/>
      <c r="ONZ23" s="1882"/>
      <c r="OOB23" s="1887"/>
      <c r="OOC23" s="1888"/>
      <c r="OOD23" s="1882"/>
      <c r="OOE23" s="1882"/>
      <c r="OOF23" s="1882"/>
      <c r="OOH23" s="1887"/>
      <c r="OOI23" s="1888"/>
      <c r="OOJ23" s="1882"/>
      <c r="OOK23" s="1882"/>
      <c r="OOL23" s="1882"/>
      <c r="OON23" s="1887"/>
      <c r="OOO23" s="1888"/>
      <c r="OOP23" s="1882"/>
      <c r="OOQ23" s="1882"/>
      <c r="OOR23" s="1882"/>
      <c r="OOT23" s="1887"/>
      <c r="OOU23" s="1888"/>
      <c r="OOV23" s="1882"/>
      <c r="OOW23" s="1882"/>
      <c r="OOX23" s="1882"/>
      <c r="OOZ23" s="1887"/>
      <c r="OPA23" s="1888"/>
      <c r="OPB23" s="1882"/>
      <c r="OPC23" s="1882"/>
      <c r="OPD23" s="1882"/>
      <c r="OPF23" s="1887"/>
      <c r="OPG23" s="1888"/>
      <c r="OPH23" s="1882"/>
      <c r="OPI23" s="1882"/>
      <c r="OPJ23" s="1882"/>
      <c r="OPL23" s="1887"/>
      <c r="OPM23" s="1888"/>
      <c r="OPN23" s="1882"/>
      <c r="OPO23" s="1882"/>
      <c r="OPP23" s="1882"/>
      <c r="OPR23" s="1887"/>
      <c r="OPS23" s="1888"/>
      <c r="OPT23" s="1882"/>
      <c r="OPU23" s="1882"/>
      <c r="OPV23" s="1882"/>
      <c r="OPX23" s="1887"/>
      <c r="OPY23" s="1888"/>
      <c r="OPZ23" s="1882"/>
      <c r="OQA23" s="1882"/>
      <c r="OQB23" s="1882"/>
      <c r="OQD23" s="1887"/>
      <c r="OQE23" s="1888"/>
      <c r="OQF23" s="1882"/>
      <c r="OQG23" s="1882"/>
      <c r="OQH23" s="1882"/>
      <c r="OQJ23" s="1887"/>
      <c r="OQK23" s="1888"/>
      <c r="OQL23" s="1882"/>
      <c r="OQM23" s="1882"/>
      <c r="OQN23" s="1882"/>
      <c r="OQP23" s="1887"/>
      <c r="OQQ23" s="1888"/>
      <c r="OQR23" s="1882"/>
      <c r="OQS23" s="1882"/>
      <c r="OQT23" s="1882"/>
      <c r="OQV23" s="1887"/>
      <c r="OQW23" s="1888"/>
      <c r="OQX23" s="1882"/>
      <c r="OQY23" s="1882"/>
      <c r="OQZ23" s="1882"/>
      <c r="ORB23" s="1887"/>
      <c r="ORC23" s="1888"/>
      <c r="ORD23" s="1882"/>
      <c r="ORE23" s="1882"/>
      <c r="ORF23" s="1882"/>
      <c r="ORH23" s="1887"/>
      <c r="ORI23" s="1888"/>
      <c r="ORJ23" s="1882"/>
      <c r="ORK23" s="1882"/>
      <c r="ORL23" s="1882"/>
      <c r="ORN23" s="1887"/>
      <c r="ORO23" s="1888"/>
      <c r="ORP23" s="1882"/>
      <c r="ORQ23" s="1882"/>
      <c r="ORR23" s="1882"/>
      <c r="ORT23" s="1887"/>
      <c r="ORU23" s="1888"/>
      <c r="ORV23" s="1882"/>
      <c r="ORW23" s="1882"/>
      <c r="ORX23" s="1882"/>
      <c r="ORZ23" s="1887"/>
      <c r="OSA23" s="1888"/>
      <c r="OSB23" s="1882"/>
      <c r="OSC23" s="1882"/>
      <c r="OSD23" s="1882"/>
      <c r="OSF23" s="1887"/>
      <c r="OSG23" s="1888"/>
      <c r="OSH23" s="1882"/>
      <c r="OSI23" s="1882"/>
      <c r="OSJ23" s="1882"/>
      <c r="OSL23" s="1887"/>
      <c r="OSM23" s="1888"/>
      <c r="OSN23" s="1882"/>
      <c r="OSO23" s="1882"/>
      <c r="OSP23" s="1882"/>
      <c r="OSR23" s="1887"/>
      <c r="OSS23" s="1888"/>
      <c r="OST23" s="1882"/>
      <c r="OSU23" s="1882"/>
      <c r="OSV23" s="1882"/>
      <c r="OSX23" s="1887"/>
      <c r="OSY23" s="1888"/>
      <c r="OSZ23" s="1882"/>
      <c r="OTA23" s="1882"/>
      <c r="OTB23" s="1882"/>
      <c r="OTD23" s="1887"/>
      <c r="OTE23" s="1888"/>
      <c r="OTF23" s="1882"/>
      <c r="OTG23" s="1882"/>
      <c r="OTH23" s="1882"/>
      <c r="OTJ23" s="1887"/>
      <c r="OTK23" s="1888"/>
      <c r="OTL23" s="1882"/>
      <c r="OTM23" s="1882"/>
      <c r="OTN23" s="1882"/>
      <c r="OTP23" s="1887"/>
      <c r="OTQ23" s="1888"/>
      <c r="OTR23" s="1882"/>
      <c r="OTS23" s="1882"/>
      <c r="OTT23" s="1882"/>
      <c r="OTV23" s="1887"/>
      <c r="OTW23" s="1888"/>
      <c r="OTX23" s="1882"/>
      <c r="OTY23" s="1882"/>
      <c r="OTZ23" s="1882"/>
      <c r="OUB23" s="1887"/>
      <c r="OUC23" s="1888"/>
      <c r="OUD23" s="1882"/>
      <c r="OUE23" s="1882"/>
      <c r="OUF23" s="1882"/>
      <c r="OUH23" s="1887"/>
      <c r="OUI23" s="1888"/>
      <c r="OUJ23" s="1882"/>
      <c r="OUK23" s="1882"/>
      <c r="OUL23" s="1882"/>
      <c r="OUN23" s="1887"/>
      <c r="OUO23" s="1888"/>
      <c r="OUP23" s="1882"/>
      <c r="OUQ23" s="1882"/>
      <c r="OUR23" s="1882"/>
      <c r="OUT23" s="1887"/>
      <c r="OUU23" s="1888"/>
      <c r="OUV23" s="1882"/>
      <c r="OUW23" s="1882"/>
      <c r="OUX23" s="1882"/>
      <c r="OUZ23" s="1887"/>
      <c r="OVA23" s="1888"/>
      <c r="OVB23" s="1882"/>
      <c r="OVC23" s="1882"/>
      <c r="OVD23" s="1882"/>
      <c r="OVF23" s="1887"/>
      <c r="OVG23" s="1888"/>
      <c r="OVH23" s="1882"/>
      <c r="OVI23" s="1882"/>
      <c r="OVJ23" s="1882"/>
      <c r="OVL23" s="1887"/>
      <c r="OVM23" s="1888"/>
      <c r="OVN23" s="1882"/>
      <c r="OVO23" s="1882"/>
      <c r="OVP23" s="1882"/>
      <c r="OVR23" s="1887"/>
      <c r="OVS23" s="1888"/>
      <c r="OVT23" s="1882"/>
      <c r="OVU23" s="1882"/>
      <c r="OVV23" s="1882"/>
      <c r="OVX23" s="1887"/>
      <c r="OVY23" s="1888"/>
      <c r="OVZ23" s="1882"/>
      <c r="OWA23" s="1882"/>
      <c r="OWB23" s="1882"/>
      <c r="OWD23" s="1887"/>
      <c r="OWE23" s="1888"/>
      <c r="OWF23" s="1882"/>
      <c r="OWG23" s="1882"/>
      <c r="OWH23" s="1882"/>
      <c r="OWJ23" s="1887"/>
      <c r="OWK23" s="1888"/>
      <c r="OWL23" s="1882"/>
      <c r="OWM23" s="1882"/>
      <c r="OWN23" s="1882"/>
      <c r="OWP23" s="1887"/>
      <c r="OWQ23" s="1888"/>
      <c r="OWR23" s="1882"/>
      <c r="OWS23" s="1882"/>
      <c r="OWT23" s="1882"/>
      <c r="OWV23" s="1887"/>
      <c r="OWW23" s="1888"/>
      <c r="OWX23" s="1882"/>
      <c r="OWY23" s="1882"/>
      <c r="OWZ23" s="1882"/>
      <c r="OXB23" s="1887"/>
      <c r="OXC23" s="1888"/>
      <c r="OXD23" s="1882"/>
      <c r="OXE23" s="1882"/>
      <c r="OXF23" s="1882"/>
      <c r="OXH23" s="1887"/>
      <c r="OXI23" s="1888"/>
      <c r="OXJ23" s="1882"/>
      <c r="OXK23" s="1882"/>
      <c r="OXL23" s="1882"/>
      <c r="OXN23" s="1887"/>
      <c r="OXO23" s="1888"/>
      <c r="OXP23" s="1882"/>
      <c r="OXQ23" s="1882"/>
      <c r="OXR23" s="1882"/>
      <c r="OXT23" s="1887"/>
      <c r="OXU23" s="1888"/>
      <c r="OXV23" s="1882"/>
      <c r="OXW23" s="1882"/>
      <c r="OXX23" s="1882"/>
      <c r="OXZ23" s="1887"/>
      <c r="OYA23" s="1888"/>
      <c r="OYB23" s="1882"/>
      <c r="OYC23" s="1882"/>
      <c r="OYD23" s="1882"/>
      <c r="OYF23" s="1887"/>
      <c r="OYG23" s="1888"/>
      <c r="OYH23" s="1882"/>
      <c r="OYI23" s="1882"/>
      <c r="OYJ23" s="1882"/>
      <c r="OYL23" s="1887"/>
      <c r="OYM23" s="1888"/>
      <c r="OYN23" s="1882"/>
      <c r="OYO23" s="1882"/>
      <c r="OYP23" s="1882"/>
      <c r="OYR23" s="1887"/>
      <c r="OYS23" s="1888"/>
      <c r="OYT23" s="1882"/>
      <c r="OYU23" s="1882"/>
      <c r="OYV23" s="1882"/>
      <c r="OYX23" s="1887"/>
      <c r="OYY23" s="1888"/>
      <c r="OYZ23" s="1882"/>
      <c r="OZA23" s="1882"/>
      <c r="OZB23" s="1882"/>
      <c r="OZD23" s="1887"/>
      <c r="OZE23" s="1888"/>
      <c r="OZF23" s="1882"/>
      <c r="OZG23" s="1882"/>
      <c r="OZH23" s="1882"/>
      <c r="OZJ23" s="1887"/>
      <c r="OZK23" s="1888"/>
      <c r="OZL23" s="1882"/>
      <c r="OZM23" s="1882"/>
      <c r="OZN23" s="1882"/>
      <c r="OZP23" s="1887"/>
      <c r="OZQ23" s="1888"/>
      <c r="OZR23" s="1882"/>
      <c r="OZS23" s="1882"/>
      <c r="OZT23" s="1882"/>
      <c r="OZV23" s="1887"/>
      <c r="OZW23" s="1888"/>
      <c r="OZX23" s="1882"/>
      <c r="OZY23" s="1882"/>
      <c r="OZZ23" s="1882"/>
      <c r="PAB23" s="1887"/>
      <c r="PAC23" s="1888"/>
      <c r="PAD23" s="1882"/>
      <c r="PAE23" s="1882"/>
      <c r="PAF23" s="1882"/>
      <c r="PAH23" s="1887"/>
      <c r="PAI23" s="1888"/>
      <c r="PAJ23" s="1882"/>
      <c r="PAK23" s="1882"/>
      <c r="PAL23" s="1882"/>
      <c r="PAN23" s="1887"/>
      <c r="PAO23" s="1888"/>
      <c r="PAP23" s="1882"/>
      <c r="PAQ23" s="1882"/>
      <c r="PAR23" s="1882"/>
      <c r="PAT23" s="1887"/>
      <c r="PAU23" s="1888"/>
      <c r="PAV23" s="1882"/>
      <c r="PAW23" s="1882"/>
      <c r="PAX23" s="1882"/>
      <c r="PAZ23" s="1887"/>
      <c r="PBA23" s="1888"/>
      <c r="PBB23" s="1882"/>
      <c r="PBC23" s="1882"/>
      <c r="PBD23" s="1882"/>
      <c r="PBF23" s="1887"/>
      <c r="PBG23" s="1888"/>
      <c r="PBH23" s="1882"/>
      <c r="PBI23" s="1882"/>
      <c r="PBJ23" s="1882"/>
      <c r="PBL23" s="1887"/>
      <c r="PBM23" s="1888"/>
      <c r="PBN23" s="1882"/>
      <c r="PBO23" s="1882"/>
      <c r="PBP23" s="1882"/>
      <c r="PBR23" s="1887"/>
      <c r="PBS23" s="1888"/>
      <c r="PBT23" s="1882"/>
      <c r="PBU23" s="1882"/>
      <c r="PBV23" s="1882"/>
      <c r="PBX23" s="1887"/>
      <c r="PBY23" s="1888"/>
      <c r="PBZ23" s="1882"/>
      <c r="PCA23" s="1882"/>
      <c r="PCB23" s="1882"/>
      <c r="PCD23" s="1887"/>
      <c r="PCE23" s="1888"/>
      <c r="PCF23" s="1882"/>
      <c r="PCG23" s="1882"/>
      <c r="PCH23" s="1882"/>
      <c r="PCJ23" s="1887"/>
      <c r="PCK23" s="1888"/>
      <c r="PCL23" s="1882"/>
      <c r="PCM23" s="1882"/>
      <c r="PCN23" s="1882"/>
      <c r="PCP23" s="1887"/>
      <c r="PCQ23" s="1888"/>
      <c r="PCR23" s="1882"/>
      <c r="PCS23" s="1882"/>
      <c r="PCT23" s="1882"/>
      <c r="PCV23" s="1887"/>
      <c r="PCW23" s="1888"/>
      <c r="PCX23" s="1882"/>
      <c r="PCY23" s="1882"/>
      <c r="PCZ23" s="1882"/>
      <c r="PDB23" s="1887"/>
      <c r="PDC23" s="1888"/>
      <c r="PDD23" s="1882"/>
      <c r="PDE23" s="1882"/>
      <c r="PDF23" s="1882"/>
      <c r="PDH23" s="1887"/>
      <c r="PDI23" s="1888"/>
      <c r="PDJ23" s="1882"/>
      <c r="PDK23" s="1882"/>
      <c r="PDL23" s="1882"/>
      <c r="PDN23" s="1887"/>
      <c r="PDO23" s="1888"/>
      <c r="PDP23" s="1882"/>
      <c r="PDQ23" s="1882"/>
      <c r="PDR23" s="1882"/>
      <c r="PDT23" s="1887"/>
      <c r="PDU23" s="1888"/>
      <c r="PDV23" s="1882"/>
      <c r="PDW23" s="1882"/>
      <c r="PDX23" s="1882"/>
      <c r="PDZ23" s="1887"/>
      <c r="PEA23" s="1888"/>
      <c r="PEB23" s="1882"/>
      <c r="PEC23" s="1882"/>
      <c r="PED23" s="1882"/>
      <c r="PEF23" s="1887"/>
      <c r="PEG23" s="1888"/>
      <c r="PEH23" s="1882"/>
      <c r="PEI23" s="1882"/>
      <c r="PEJ23" s="1882"/>
      <c r="PEL23" s="1887"/>
      <c r="PEM23" s="1888"/>
      <c r="PEN23" s="1882"/>
      <c r="PEO23" s="1882"/>
      <c r="PEP23" s="1882"/>
      <c r="PER23" s="1887"/>
      <c r="PES23" s="1888"/>
      <c r="PET23" s="1882"/>
      <c r="PEU23" s="1882"/>
      <c r="PEV23" s="1882"/>
      <c r="PEX23" s="1887"/>
      <c r="PEY23" s="1888"/>
      <c r="PEZ23" s="1882"/>
      <c r="PFA23" s="1882"/>
      <c r="PFB23" s="1882"/>
      <c r="PFD23" s="1887"/>
      <c r="PFE23" s="1888"/>
      <c r="PFF23" s="1882"/>
      <c r="PFG23" s="1882"/>
      <c r="PFH23" s="1882"/>
      <c r="PFJ23" s="1887"/>
      <c r="PFK23" s="1888"/>
      <c r="PFL23" s="1882"/>
      <c r="PFM23" s="1882"/>
      <c r="PFN23" s="1882"/>
      <c r="PFP23" s="1887"/>
      <c r="PFQ23" s="1888"/>
      <c r="PFR23" s="1882"/>
      <c r="PFS23" s="1882"/>
      <c r="PFT23" s="1882"/>
      <c r="PFV23" s="1887"/>
      <c r="PFW23" s="1888"/>
      <c r="PFX23" s="1882"/>
      <c r="PFY23" s="1882"/>
      <c r="PFZ23" s="1882"/>
      <c r="PGB23" s="1887"/>
      <c r="PGC23" s="1888"/>
      <c r="PGD23" s="1882"/>
      <c r="PGE23" s="1882"/>
      <c r="PGF23" s="1882"/>
      <c r="PGH23" s="1887"/>
      <c r="PGI23" s="1888"/>
      <c r="PGJ23" s="1882"/>
      <c r="PGK23" s="1882"/>
      <c r="PGL23" s="1882"/>
      <c r="PGN23" s="1887"/>
      <c r="PGO23" s="1888"/>
      <c r="PGP23" s="1882"/>
      <c r="PGQ23" s="1882"/>
      <c r="PGR23" s="1882"/>
      <c r="PGT23" s="1887"/>
      <c r="PGU23" s="1888"/>
      <c r="PGV23" s="1882"/>
      <c r="PGW23" s="1882"/>
      <c r="PGX23" s="1882"/>
      <c r="PGZ23" s="1887"/>
      <c r="PHA23" s="1888"/>
      <c r="PHB23" s="1882"/>
      <c r="PHC23" s="1882"/>
      <c r="PHD23" s="1882"/>
      <c r="PHF23" s="1887"/>
      <c r="PHG23" s="1888"/>
      <c r="PHH23" s="1882"/>
      <c r="PHI23" s="1882"/>
      <c r="PHJ23" s="1882"/>
      <c r="PHL23" s="1887"/>
      <c r="PHM23" s="1888"/>
      <c r="PHN23" s="1882"/>
      <c r="PHO23" s="1882"/>
      <c r="PHP23" s="1882"/>
      <c r="PHR23" s="1887"/>
      <c r="PHS23" s="1888"/>
      <c r="PHT23" s="1882"/>
      <c r="PHU23" s="1882"/>
      <c r="PHV23" s="1882"/>
      <c r="PHX23" s="1887"/>
      <c r="PHY23" s="1888"/>
      <c r="PHZ23" s="1882"/>
      <c r="PIA23" s="1882"/>
      <c r="PIB23" s="1882"/>
      <c r="PID23" s="1887"/>
      <c r="PIE23" s="1888"/>
      <c r="PIF23" s="1882"/>
      <c r="PIG23" s="1882"/>
      <c r="PIH23" s="1882"/>
      <c r="PIJ23" s="1887"/>
      <c r="PIK23" s="1888"/>
      <c r="PIL23" s="1882"/>
      <c r="PIM23" s="1882"/>
      <c r="PIN23" s="1882"/>
      <c r="PIP23" s="1887"/>
      <c r="PIQ23" s="1888"/>
      <c r="PIR23" s="1882"/>
      <c r="PIS23" s="1882"/>
      <c r="PIT23" s="1882"/>
      <c r="PIV23" s="1887"/>
      <c r="PIW23" s="1888"/>
      <c r="PIX23" s="1882"/>
      <c r="PIY23" s="1882"/>
      <c r="PIZ23" s="1882"/>
      <c r="PJB23" s="1887"/>
      <c r="PJC23" s="1888"/>
      <c r="PJD23" s="1882"/>
      <c r="PJE23" s="1882"/>
      <c r="PJF23" s="1882"/>
      <c r="PJH23" s="1887"/>
      <c r="PJI23" s="1888"/>
      <c r="PJJ23" s="1882"/>
      <c r="PJK23" s="1882"/>
      <c r="PJL23" s="1882"/>
      <c r="PJN23" s="1887"/>
      <c r="PJO23" s="1888"/>
      <c r="PJP23" s="1882"/>
      <c r="PJQ23" s="1882"/>
      <c r="PJR23" s="1882"/>
      <c r="PJT23" s="1887"/>
      <c r="PJU23" s="1888"/>
      <c r="PJV23" s="1882"/>
      <c r="PJW23" s="1882"/>
      <c r="PJX23" s="1882"/>
      <c r="PJZ23" s="1887"/>
      <c r="PKA23" s="1888"/>
      <c r="PKB23" s="1882"/>
      <c r="PKC23" s="1882"/>
      <c r="PKD23" s="1882"/>
      <c r="PKF23" s="1887"/>
      <c r="PKG23" s="1888"/>
      <c r="PKH23" s="1882"/>
      <c r="PKI23" s="1882"/>
      <c r="PKJ23" s="1882"/>
      <c r="PKL23" s="1887"/>
      <c r="PKM23" s="1888"/>
      <c r="PKN23" s="1882"/>
      <c r="PKO23" s="1882"/>
      <c r="PKP23" s="1882"/>
      <c r="PKR23" s="1887"/>
      <c r="PKS23" s="1888"/>
      <c r="PKT23" s="1882"/>
      <c r="PKU23" s="1882"/>
      <c r="PKV23" s="1882"/>
      <c r="PKX23" s="1887"/>
      <c r="PKY23" s="1888"/>
      <c r="PKZ23" s="1882"/>
      <c r="PLA23" s="1882"/>
      <c r="PLB23" s="1882"/>
      <c r="PLD23" s="1887"/>
      <c r="PLE23" s="1888"/>
      <c r="PLF23" s="1882"/>
      <c r="PLG23" s="1882"/>
      <c r="PLH23" s="1882"/>
      <c r="PLJ23" s="1887"/>
      <c r="PLK23" s="1888"/>
      <c r="PLL23" s="1882"/>
      <c r="PLM23" s="1882"/>
      <c r="PLN23" s="1882"/>
      <c r="PLP23" s="1887"/>
      <c r="PLQ23" s="1888"/>
      <c r="PLR23" s="1882"/>
      <c r="PLS23" s="1882"/>
      <c r="PLT23" s="1882"/>
      <c r="PLV23" s="1887"/>
      <c r="PLW23" s="1888"/>
      <c r="PLX23" s="1882"/>
      <c r="PLY23" s="1882"/>
      <c r="PLZ23" s="1882"/>
      <c r="PMB23" s="1887"/>
      <c r="PMC23" s="1888"/>
      <c r="PMD23" s="1882"/>
      <c r="PME23" s="1882"/>
      <c r="PMF23" s="1882"/>
      <c r="PMH23" s="1887"/>
      <c r="PMI23" s="1888"/>
      <c r="PMJ23" s="1882"/>
      <c r="PMK23" s="1882"/>
      <c r="PML23" s="1882"/>
      <c r="PMN23" s="1887"/>
      <c r="PMO23" s="1888"/>
      <c r="PMP23" s="1882"/>
      <c r="PMQ23" s="1882"/>
      <c r="PMR23" s="1882"/>
      <c r="PMT23" s="1887"/>
      <c r="PMU23" s="1888"/>
      <c r="PMV23" s="1882"/>
      <c r="PMW23" s="1882"/>
      <c r="PMX23" s="1882"/>
      <c r="PMZ23" s="1887"/>
      <c r="PNA23" s="1888"/>
      <c r="PNB23" s="1882"/>
      <c r="PNC23" s="1882"/>
      <c r="PND23" s="1882"/>
      <c r="PNF23" s="1887"/>
      <c r="PNG23" s="1888"/>
      <c r="PNH23" s="1882"/>
      <c r="PNI23" s="1882"/>
      <c r="PNJ23" s="1882"/>
      <c r="PNL23" s="1887"/>
      <c r="PNM23" s="1888"/>
      <c r="PNN23" s="1882"/>
      <c r="PNO23" s="1882"/>
      <c r="PNP23" s="1882"/>
      <c r="PNR23" s="1887"/>
      <c r="PNS23" s="1888"/>
      <c r="PNT23" s="1882"/>
      <c r="PNU23" s="1882"/>
      <c r="PNV23" s="1882"/>
      <c r="PNX23" s="1887"/>
      <c r="PNY23" s="1888"/>
      <c r="PNZ23" s="1882"/>
      <c r="POA23" s="1882"/>
      <c r="POB23" s="1882"/>
      <c r="POD23" s="1887"/>
      <c r="POE23" s="1888"/>
      <c r="POF23" s="1882"/>
      <c r="POG23" s="1882"/>
      <c r="POH23" s="1882"/>
      <c r="POJ23" s="1887"/>
      <c r="POK23" s="1888"/>
      <c r="POL23" s="1882"/>
      <c r="POM23" s="1882"/>
      <c r="PON23" s="1882"/>
      <c r="POP23" s="1887"/>
      <c r="POQ23" s="1888"/>
      <c r="POR23" s="1882"/>
      <c r="POS23" s="1882"/>
      <c r="POT23" s="1882"/>
      <c r="POV23" s="1887"/>
      <c r="POW23" s="1888"/>
      <c r="POX23" s="1882"/>
      <c r="POY23" s="1882"/>
      <c r="POZ23" s="1882"/>
      <c r="PPB23" s="1887"/>
      <c r="PPC23" s="1888"/>
      <c r="PPD23" s="1882"/>
      <c r="PPE23" s="1882"/>
      <c r="PPF23" s="1882"/>
      <c r="PPH23" s="1887"/>
      <c r="PPI23" s="1888"/>
      <c r="PPJ23" s="1882"/>
      <c r="PPK23" s="1882"/>
      <c r="PPL23" s="1882"/>
      <c r="PPN23" s="1887"/>
      <c r="PPO23" s="1888"/>
      <c r="PPP23" s="1882"/>
      <c r="PPQ23" s="1882"/>
      <c r="PPR23" s="1882"/>
      <c r="PPT23" s="1887"/>
      <c r="PPU23" s="1888"/>
      <c r="PPV23" s="1882"/>
      <c r="PPW23" s="1882"/>
      <c r="PPX23" s="1882"/>
      <c r="PPZ23" s="1887"/>
      <c r="PQA23" s="1888"/>
      <c r="PQB23" s="1882"/>
      <c r="PQC23" s="1882"/>
      <c r="PQD23" s="1882"/>
      <c r="PQF23" s="1887"/>
      <c r="PQG23" s="1888"/>
      <c r="PQH23" s="1882"/>
      <c r="PQI23" s="1882"/>
      <c r="PQJ23" s="1882"/>
      <c r="PQL23" s="1887"/>
      <c r="PQM23" s="1888"/>
      <c r="PQN23" s="1882"/>
      <c r="PQO23" s="1882"/>
      <c r="PQP23" s="1882"/>
      <c r="PQR23" s="1887"/>
      <c r="PQS23" s="1888"/>
      <c r="PQT23" s="1882"/>
      <c r="PQU23" s="1882"/>
      <c r="PQV23" s="1882"/>
      <c r="PQX23" s="1887"/>
      <c r="PQY23" s="1888"/>
      <c r="PQZ23" s="1882"/>
      <c r="PRA23" s="1882"/>
      <c r="PRB23" s="1882"/>
      <c r="PRD23" s="1887"/>
      <c r="PRE23" s="1888"/>
      <c r="PRF23" s="1882"/>
      <c r="PRG23" s="1882"/>
      <c r="PRH23" s="1882"/>
      <c r="PRJ23" s="1887"/>
      <c r="PRK23" s="1888"/>
      <c r="PRL23" s="1882"/>
      <c r="PRM23" s="1882"/>
      <c r="PRN23" s="1882"/>
      <c r="PRP23" s="1887"/>
      <c r="PRQ23" s="1888"/>
      <c r="PRR23" s="1882"/>
      <c r="PRS23" s="1882"/>
      <c r="PRT23" s="1882"/>
      <c r="PRV23" s="1887"/>
      <c r="PRW23" s="1888"/>
      <c r="PRX23" s="1882"/>
      <c r="PRY23" s="1882"/>
      <c r="PRZ23" s="1882"/>
      <c r="PSB23" s="1887"/>
      <c r="PSC23" s="1888"/>
      <c r="PSD23" s="1882"/>
      <c r="PSE23" s="1882"/>
      <c r="PSF23" s="1882"/>
      <c r="PSH23" s="1887"/>
      <c r="PSI23" s="1888"/>
      <c r="PSJ23" s="1882"/>
      <c r="PSK23" s="1882"/>
      <c r="PSL23" s="1882"/>
      <c r="PSN23" s="1887"/>
      <c r="PSO23" s="1888"/>
      <c r="PSP23" s="1882"/>
      <c r="PSQ23" s="1882"/>
      <c r="PSR23" s="1882"/>
      <c r="PST23" s="1887"/>
      <c r="PSU23" s="1888"/>
      <c r="PSV23" s="1882"/>
      <c r="PSW23" s="1882"/>
      <c r="PSX23" s="1882"/>
      <c r="PSZ23" s="1887"/>
      <c r="PTA23" s="1888"/>
      <c r="PTB23" s="1882"/>
      <c r="PTC23" s="1882"/>
      <c r="PTD23" s="1882"/>
      <c r="PTF23" s="1887"/>
      <c r="PTG23" s="1888"/>
      <c r="PTH23" s="1882"/>
      <c r="PTI23" s="1882"/>
      <c r="PTJ23" s="1882"/>
      <c r="PTL23" s="1887"/>
      <c r="PTM23" s="1888"/>
      <c r="PTN23" s="1882"/>
      <c r="PTO23" s="1882"/>
      <c r="PTP23" s="1882"/>
      <c r="PTR23" s="1887"/>
      <c r="PTS23" s="1888"/>
      <c r="PTT23" s="1882"/>
      <c r="PTU23" s="1882"/>
      <c r="PTV23" s="1882"/>
      <c r="PTX23" s="1887"/>
      <c r="PTY23" s="1888"/>
      <c r="PTZ23" s="1882"/>
      <c r="PUA23" s="1882"/>
      <c r="PUB23" s="1882"/>
      <c r="PUD23" s="1887"/>
      <c r="PUE23" s="1888"/>
      <c r="PUF23" s="1882"/>
      <c r="PUG23" s="1882"/>
      <c r="PUH23" s="1882"/>
      <c r="PUJ23" s="1887"/>
      <c r="PUK23" s="1888"/>
      <c r="PUL23" s="1882"/>
      <c r="PUM23" s="1882"/>
      <c r="PUN23" s="1882"/>
      <c r="PUP23" s="1887"/>
      <c r="PUQ23" s="1888"/>
      <c r="PUR23" s="1882"/>
      <c r="PUS23" s="1882"/>
      <c r="PUT23" s="1882"/>
      <c r="PUV23" s="1887"/>
      <c r="PUW23" s="1888"/>
      <c r="PUX23" s="1882"/>
      <c r="PUY23" s="1882"/>
      <c r="PUZ23" s="1882"/>
      <c r="PVB23" s="1887"/>
      <c r="PVC23" s="1888"/>
      <c r="PVD23" s="1882"/>
      <c r="PVE23" s="1882"/>
      <c r="PVF23" s="1882"/>
      <c r="PVH23" s="1887"/>
      <c r="PVI23" s="1888"/>
      <c r="PVJ23" s="1882"/>
      <c r="PVK23" s="1882"/>
      <c r="PVL23" s="1882"/>
      <c r="PVN23" s="1887"/>
      <c r="PVO23" s="1888"/>
      <c r="PVP23" s="1882"/>
      <c r="PVQ23" s="1882"/>
      <c r="PVR23" s="1882"/>
      <c r="PVT23" s="1887"/>
      <c r="PVU23" s="1888"/>
      <c r="PVV23" s="1882"/>
      <c r="PVW23" s="1882"/>
      <c r="PVX23" s="1882"/>
      <c r="PVZ23" s="1887"/>
      <c r="PWA23" s="1888"/>
      <c r="PWB23" s="1882"/>
      <c r="PWC23" s="1882"/>
      <c r="PWD23" s="1882"/>
      <c r="PWF23" s="1887"/>
      <c r="PWG23" s="1888"/>
      <c r="PWH23" s="1882"/>
      <c r="PWI23" s="1882"/>
      <c r="PWJ23" s="1882"/>
      <c r="PWL23" s="1887"/>
      <c r="PWM23" s="1888"/>
      <c r="PWN23" s="1882"/>
      <c r="PWO23" s="1882"/>
      <c r="PWP23" s="1882"/>
      <c r="PWR23" s="1887"/>
      <c r="PWS23" s="1888"/>
      <c r="PWT23" s="1882"/>
      <c r="PWU23" s="1882"/>
      <c r="PWV23" s="1882"/>
      <c r="PWX23" s="1887"/>
      <c r="PWY23" s="1888"/>
      <c r="PWZ23" s="1882"/>
      <c r="PXA23" s="1882"/>
      <c r="PXB23" s="1882"/>
      <c r="PXD23" s="1887"/>
      <c r="PXE23" s="1888"/>
      <c r="PXF23" s="1882"/>
      <c r="PXG23" s="1882"/>
      <c r="PXH23" s="1882"/>
      <c r="PXJ23" s="1887"/>
      <c r="PXK23" s="1888"/>
      <c r="PXL23" s="1882"/>
      <c r="PXM23" s="1882"/>
      <c r="PXN23" s="1882"/>
      <c r="PXP23" s="1887"/>
      <c r="PXQ23" s="1888"/>
      <c r="PXR23" s="1882"/>
      <c r="PXS23" s="1882"/>
      <c r="PXT23" s="1882"/>
      <c r="PXV23" s="1887"/>
      <c r="PXW23" s="1888"/>
      <c r="PXX23" s="1882"/>
      <c r="PXY23" s="1882"/>
      <c r="PXZ23" s="1882"/>
      <c r="PYB23" s="1887"/>
      <c r="PYC23" s="1888"/>
      <c r="PYD23" s="1882"/>
      <c r="PYE23" s="1882"/>
      <c r="PYF23" s="1882"/>
      <c r="PYH23" s="1887"/>
      <c r="PYI23" s="1888"/>
      <c r="PYJ23" s="1882"/>
      <c r="PYK23" s="1882"/>
      <c r="PYL23" s="1882"/>
      <c r="PYN23" s="1887"/>
      <c r="PYO23" s="1888"/>
      <c r="PYP23" s="1882"/>
      <c r="PYQ23" s="1882"/>
      <c r="PYR23" s="1882"/>
      <c r="PYT23" s="1887"/>
      <c r="PYU23" s="1888"/>
      <c r="PYV23" s="1882"/>
      <c r="PYW23" s="1882"/>
      <c r="PYX23" s="1882"/>
      <c r="PYZ23" s="1887"/>
      <c r="PZA23" s="1888"/>
      <c r="PZB23" s="1882"/>
      <c r="PZC23" s="1882"/>
      <c r="PZD23" s="1882"/>
      <c r="PZF23" s="1887"/>
      <c r="PZG23" s="1888"/>
      <c r="PZH23" s="1882"/>
      <c r="PZI23" s="1882"/>
      <c r="PZJ23" s="1882"/>
      <c r="PZL23" s="1887"/>
      <c r="PZM23" s="1888"/>
      <c r="PZN23" s="1882"/>
      <c r="PZO23" s="1882"/>
      <c r="PZP23" s="1882"/>
      <c r="PZR23" s="1887"/>
      <c r="PZS23" s="1888"/>
      <c r="PZT23" s="1882"/>
      <c r="PZU23" s="1882"/>
      <c r="PZV23" s="1882"/>
      <c r="PZX23" s="1887"/>
      <c r="PZY23" s="1888"/>
      <c r="PZZ23" s="1882"/>
      <c r="QAA23" s="1882"/>
      <c r="QAB23" s="1882"/>
      <c r="QAD23" s="1887"/>
      <c r="QAE23" s="1888"/>
      <c r="QAF23" s="1882"/>
      <c r="QAG23" s="1882"/>
      <c r="QAH23" s="1882"/>
      <c r="QAJ23" s="1887"/>
      <c r="QAK23" s="1888"/>
      <c r="QAL23" s="1882"/>
      <c r="QAM23" s="1882"/>
      <c r="QAN23" s="1882"/>
      <c r="QAP23" s="1887"/>
      <c r="QAQ23" s="1888"/>
      <c r="QAR23" s="1882"/>
      <c r="QAS23" s="1882"/>
      <c r="QAT23" s="1882"/>
      <c r="QAV23" s="1887"/>
      <c r="QAW23" s="1888"/>
      <c r="QAX23" s="1882"/>
      <c r="QAY23" s="1882"/>
      <c r="QAZ23" s="1882"/>
      <c r="QBB23" s="1887"/>
      <c r="QBC23" s="1888"/>
      <c r="QBD23" s="1882"/>
      <c r="QBE23" s="1882"/>
      <c r="QBF23" s="1882"/>
      <c r="QBH23" s="1887"/>
      <c r="QBI23" s="1888"/>
      <c r="QBJ23" s="1882"/>
      <c r="QBK23" s="1882"/>
      <c r="QBL23" s="1882"/>
      <c r="QBN23" s="1887"/>
      <c r="QBO23" s="1888"/>
      <c r="QBP23" s="1882"/>
      <c r="QBQ23" s="1882"/>
      <c r="QBR23" s="1882"/>
      <c r="QBT23" s="1887"/>
      <c r="QBU23" s="1888"/>
      <c r="QBV23" s="1882"/>
      <c r="QBW23" s="1882"/>
      <c r="QBX23" s="1882"/>
      <c r="QBZ23" s="1887"/>
      <c r="QCA23" s="1888"/>
      <c r="QCB23" s="1882"/>
      <c r="QCC23" s="1882"/>
      <c r="QCD23" s="1882"/>
      <c r="QCF23" s="1887"/>
      <c r="QCG23" s="1888"/>
      <c r="QCH23" s="1882"/>
      <c r="QCI23" s="1882"/>
      <c r="QCJ23" s="1882"/>
      <c r="QCL23" s="1887"/>
      <c r="QCM23" s="1888"/>
      <c r="QCN23" s="1882"/>
      <c r="QCO23" s="1882"/>
      <c r="QCP23" s="1882"/>
      <c r="QCR23" s="1887"/>
      <c r="QCS23" s="1888"/>
      <c r="QCT23" s="1882"/>
      <c r="QCU23" s="1882"/>
      <c r="QCV23" s="1882"/>
      <c r="QCX23" s="1887"/>
      <c r="QCY23" s="1888"/>
      <c r="QCZ23" s="1882"/>
      <c r="QDA23" s="1882"/>
      <c r="QDB23" s="1882"/>
      <c r="QDD23" s="1887"/>
      <c r="QDE23" s="1888"/>
      <c r="QDF23" s="1882"/>
      <c r="QDG23" s="1882"/>
      <c r="QDH23" s="1882"/>
      <c r="QDJ23" s="1887"/>
      <c r="QDK23" s="1888"/>
      <c r="QDL23" s="1882"/>
      <c r="QDM23" s="1882"/>
      <c r="QDN23" s="1882"/>
      <c r="QDP23" s="1887"/>
      <c r="QDQ23" s="1888"/>
      <c r="QDR23" s="1882"/>
      <c r="QDS23" s="1882"/>
      <c r="QDT23" s="1882"/>
      <c r="QDV23" s="1887"/>
      <c r="QDW23" s="1888"/>
      <c r="QDX23" s="1882"/>
      <c r="QDY23" s="1882"/>
      <c r="QDZ23" s="1882"/>
      <c r="QEB23" s="1887"/>
      <c r="QEC23" s="1888"/>
      <c r="QED23" s="1882"/>
      <c r="QEE23" s="1882"/>
      <c r="QEF23" s="1882"/>
      <c r="QEH23" s="1887"/>
      <c r="QEI23" s="1888"/>
      <c r="QEJ23" s="1882"/>
      <c r="QEK23" s="1882"/>
      <c r="QEL23" s="1882"/>
      <c r="QEN23" s="1887"/>
      <c r="QEO23" s="1888"/>
      <c r="QEP23" s="1882"/>
      <c r="QEQ23" s="1882"/>
      <c r="QER23" s="1882"/>
      <c r="QET23" s="1887"/>
      <c r="QEU23" s="1888"/>
      <c r="QEV23" s="1882"/>
      <c r="QEW23" s="1882"/>
      <c r="QEX23" s="1882"/>
      <c r="QEZ23" s="1887"/>
      <c r="QFA23" s="1888"/>
      <c r="QFB23" s="1882"/>
      <c r="QFC23" s="1882"/>
      <c r="QFD23" s="1882"/>
      <c r="QFF23" s="1887"/>
      <c r="QFG23" s="1888"/>
      <c r="QFH23" s="1882"/>
      <c r="QFI23" s="1882"/>
      <c r="QFJ23" s="1882"/>
      <c r="QFL23" s="1887"/>
      <c r="QFM23" s="1888"/>
      <c r="QFN23" s="1882"/>
      <c r="QFO23" s="1882"/>
      <c r="QFP23" s="1882"/>
      <c r="QFR23" s="1887"/>
      <c r="QFS23" s="1888"/>
      <c r="QFT23" s="1882"/>
      <c r="QFU23" s="1882"/>
      <c r="QFV23" s="1882"/>
      <c r="QFX23" s="1887"/>
      <c r="QFY23" s="1888"/>
      <c r="QFZ23" s="1882"/>
      <c r="QGA23" s="1882"/>
      <c r="QGB23" s="1882"/>
      <c r="QGD23" s="1887"/>
      <c r="QGE23" s="1888"/>
      <c r="QGF23" s="1882"/>
      <c r="QGG23" s="1882"/>
      <c r="QGH23" s="1882"/>
      <c r="QGJ23" s="1887"/>
      <c r="QGK23" s="1888"/>
      <c r="QGL23" s="1882"/>
      <c r="QGM23" s="1882"/>
      <c r="QGN23" s="1882"/>
      <c r="QGP23" s="1887"/>
      <c r="QGQ23" s="1888"/>
      <c r="QGR23" s="1882"/>
      <c r="QGS23" s="1882"/>
      <c r="QGT23" s="1882"/>
      <c r="QGV23" s="1887"/>
      <c r="QGW23" s="1888"/>
      <c r="QGX23" s="1882"/>
      <c r="QGY23" s="1882"/>
      <c r="QGZ23" s="1882"/>
      <c r="QHB23" s="1887"/>
      <c r="QHC23" s="1888"/>
      <c r="QHD23" s="1882"/>
      <c r="QHE23" s="1882"/>
      <c r="QHF23" s="1882"/>
      <c r="QHH23" s="1887"/>
      <c r="QHI23" s="1888"/>
      <c r="QHJ23" s="1882"/>
      <c r="QHK23" s="1882"/>
      <c r="QHL23" s="1882"/>
      <c r="QHN23" s="1887"/>
      <c r="QHO23" s="1888"/>
      <c r="QHP23" s="1882"/>
      <c r="QHQ23" s="1882"/>
      <c r="QHR23" s="1882"/>
      <c r="QHT23" s="1887"/>
      <c r="QHU23" s="1888"/>
      <c r="QHV23" s="1882"/>
      <c r="QHW23" s="1882"/>
      <c r="QHX23" s="1882"/>
      <c r="QHZ23" s="1887"/>
      <c r="QIA23" s="1888"/>
      <c r="QIB23" s="1882"/>
      <c r="QIC23" s="1882"/>
      <c r="QID23" s="1882"/>
      <c r="QIF23" s="1887"/>
      <c r="QIG23" s="1888"/>
      <c r="QIH23" s="1882"/>
      <c r="QII23" s="1882"/>
      <c r="QIJ23" s="1882"/>
      <c r="QIL23" s="1887"/>
      <c r="QIM23" s="1888"/>
      <c r="QIN23" s="1882"/>
      <c r="QIO23" s="1882"/>
      <c r="QIP23" s="1882"/>
      <c r="QIR23" s="1887"/>
      <c r="QIS23" s="1888"/>
      <c r="QIT23" s="1882"/>
      <c r="QIU23" s="1882"/>
      <c r="QIV23" s="1882"/>
      <c r="QIX23" s="1887"/>
      <c r="QIY23" s="1888"/>
      <c r="QIZ23" s="1882"/>
      <c r="QJA23" s="1882"/>
      <c r="QJB23" s="1882"/>
      <c r="QJD23" s="1887"/>
      <c r="QJE23" s="1888"/>
      <c r="QJF23" s="1882"/>
      <c r="QJG23" s="1882"/>
      <c r="QJH23" s="1882"/>
      <c r="QJJ23" s="1887"/>
      <c r="QJK23" s="1888"/>
      <c r="QJL23" s="1882"/>
      <c r="QJM23" s="1882"/>
      <c r="QJN23" s="1882"/>
      <c r="QJP23" s="1887"/>
      <c r="QJQ23" s="1888"/>
      <c r="QJR23" s="1882"/>
      <c r="QJS23" s="1882"/>
      <c r="QJT23" s="1882"/>
      <c r="QJV23" s="1887"/>
      <c r="QJW23" s="1888"/>
      <c r="QJX23" s="1882"/>
      <c r="QJY23" s="1882"/>
      <c r="QJZ23" s="1882"/>
      <c r="QKB23" s="1887"/>
      <c r="QKC23" s="1888"/>
      <c r="QKD23" s="1882"/>
      <c r="QKE23" s="1882"/>
      <c r="QKF23" s="1882"/>
      <c r="QKH23" s="1887"/>
      <c r="QKI23" s="1888"/>
      <c r="QKJ23" s="1882"/>
      <c r="QKK23" s="1882"/>
      <c r="QKL23" s="1882"/>
      <c r="QKN23" s="1887"/>
      <c r="QKO23" s="1888"/>
      <c r="QKP23" s="1882"/>
      <c r="QKQ23" s="1882"/>
      <c r="QKR23" s="1882"/>
      <c r="QKT23" s="1887"/>
      <c r="QKU23" s="1888"/>
      <c r="QKV23" s="1882"/>
      <c r="QKW23" s="1882"/>
      <c r="QKX23" s="1882"/>
      <c r="QKZ23" s="1887"/>
      <c r="QLA23" s="1888"/>
      <c r="QLB23" s="1882"/>
      <c r="QLC23" s="1882"/>
      <c r="QLD23" s="1882"/>
      <c r="QLF23" s="1887"/>
      <c r="QLG23" s="1888"/>
      <c r="QLH23" s="1882"/>
      <c r="QLI23" s="1882"/>
      <c r="QLJ23" s="1882"/>
      <c r="QLL23" s="1887"/>
      <c r="QLM23" s="1888"/>
      <c r="QLN23" s="1882"/>
      <c r="QLO23" s="1882"/>
      <c r="QLP23" s="1882"/>
      <c r="QLR23" s="1887"/>
      <c r="QLS23" s="1888"/>
      <c r="QLT23" s="1882"/>
      <c r="QLU23" s="1882"/>
      <c r="QLV23" s="1882"/>
      <c r="QLX23" s="1887"/>
      <c r="QLY23" s="1888"/>
      <c r="QLZ23" s="1882"/>
      <c r="QMA23" s="1882"/>
      <c r="QMB23" s="1882"/>
      <c r="QMD23" s="1887"/>
      <c r="QME23" s="1888"/>
      <c r="QMF23" s="1882"/>
      <c r="QMG23" s="1882"/>
      <c r="QMH23" s="1882"/>
      <c r="QMJ23" s="1887"/>
      <c r="QMK23" s="1888"/>
      <c r="QML23" s="1882"/>
      <c r="QMM23" s="1882"/>
      <c r="QMN23" s="1882"/>
      <c r="QMP23" s="1887"/>
      <c r="QMQ23" s="1888"/>
      <c r="QMR23" s="1882"/>
      <c r="QMS23" s="1882"/>
      <c r="QMT23" s="1882"/>
      <c r="QMV23" s="1887"/>
      <c r="QMW23" s="1888"/>
      <c r="QMX23" s="1882"/>
      <c r="QMY23" s="1882"/>
      <c r="QMZ23" s="1882"/>
      <c r="QNB23" s="1887"/>
      <c r="QNC23" s="1888"/>
      <c r="QND23" s="1882"/>
      <c r="QNE23" s="1882"/>
      <c r="QNF23" s="1882"/>
      <c r="QNH23" s="1887"/>
      <c r="QNI23" s="1888"/>
      <c r="QNJ23" s="1882"/>
      <c r="QNK23" s="1882"/>
      <c r="QNL23" s="1882"/>
      <c r="QNN23" s="1887"/>
      <c r="QNO23" s="1888"/>
      <c r="QNP23" s="1882"/>
      <c r="QNQ23" s="1882"/>
      <c r="QNR23" s="1882"/>
      <c r="QNT23" s="1887"/>
      <c r="QNU23" s="1888"/>
      <c r="QNV23" s="1882"/>
      <c r="QNW23" s="1882"/>
      <c r="QNX23" s="1882"/>
      <c r="QNZ23" s="1887"/>
      <c r="QOA23" s="1888"/>
      <c r="QOB23" s="1882"/>
      <c r="QOC23" s="1882"/>
      <c r="QOD23" s="1882"/>
      <c r="QOF23" s="1887"/>
      <c r="QOG23" s="1888"/>
      <c r="QOH23" s="1882"/>
      <c r="QOI23" s="1882"/>
      <c r="QOJ23" s="1882"/>
      <c r="QOL23" s="1887"/>
      <c r="QOM23" s="1888"/>
      <c r="QON23" s="1882"/>
      <c r="QOO23" s="1882"/>
      <c r="QOP23" s="1882"/>
      <c r="QOR23" s="1887"/>
      <c r="QOS23" s="1888"/>
      <c r="QOT23" s="1882"/>
      <c r="QOU23" s="1882"/>
      <c r="QOV23" s="1882"/>
      <c r="QOX23" s="1887"/>
      <c r="QOY23" s="1888"/>
      <c r="QOZ23" s="1882"/>
      <c r="QPA23" s="1882"/>
      <c r="QPB23" s="1882"/>
      <c r="QPD23" s="1887"/>
      <c r="QPE23" s="1888"/>
      <c r="QPF23" s="1882"/>
      <c r="QPG23" s="1882"/>
      <c r="QPH23" s="1882"/>
      <c r="QPJ23" s="1887"/>
      <c r="QPK23" s="1888"/>
      <c r="QPL23" s="1882"/>
      <c r="QPM23" s="1882"/>
      <c r="QPN23" s="1882"/>
      <c r="QPP23" s="1887"/>
      <c r="QPQ23" s="1888"/>
      <c r="QPR23" s="1882"/>
      <c r="QPS23" s="1882"/>
      <c r="QPT23" s="1882"/>
      <c r="QPV23" s="1887"/>
      <c r="QPW23" s="1888"/>
      <c r="QPX23" s="1882"/>
      <c r="QPY23" s="1882"/>
      <c r="QPZ23" s="1882"/>
      <c r="QQB23" s="1887"/>
      <c r="QQC23" s="1888"/>
      <c r="QQD23" s="1882"/>
      <c r="QQE23" s="1882"/>
      <c r="QQF23" s="1882"/>
      <c r="QQH23" s="1887"/>
      <c r="QQI23" s="1888"/>
      <c r="QQJ23" s="1882"/>
      <c r="QQK23" s="1882"/>
      <c r="QQL23" s="1882"/>
      <c r="QQN23" s="1887"/>
      <c r="QQO23" s="1888"/>
      <c r="QQP23" s="1882"/>
      <c r="QQQ23" s="1882"/>
      <c r="QQR23" s="1882"/>
      <c r="QQT23" s="1887"/>
      <c r="QQU23" s="1888"/>
      <c r="QQV23" s="1882"/>
      <c r="QQW23" s="1882"/>
      <c r="QQX23" s="1882"/>
      <c r="QQZ23" s="1887"/>
      <c r="QRA23" s="1888"/>
      <c r="QRB23" s="1882"/>
      <c r="QRC23" s="1882"/>
      <c r="QRD23" s="1882"/>
      <c r="QRF23" s="1887"/>
      <c r="QRG23" s="1888"/>
      <c r="QRH23" s="1882"/>
      <c r="QRI23" s="1882"/>
      <c r="QRJ23" s="1882"/>
      <c r="QRL23" s="1887"/>
      <c r="QRM23" s="1888"/>
      <c r="QRN23" s="1882"/>
      <c r="QRO23" s="1882"/>
      <c r="QRP23" s="1882"/>
      <c r="QRR23" s="1887"/>
      <c r="QRS23" s="1888"/>
      <c r="QRT23" s="1882"/>
      <c r="QRU23" s="1882"/>
      <c r="QRV23" s="1882"/>
      <c r="QRX23" s="1887"/>
      <c r="QRY23" s="1888"/>
      <c r="QRZ23" s="1882"/>
      <c r="QSA23" s="1882"/>
      <c r="QSB23" s="1882"/>
      <c r="QSD23" s="1887"/>
      <c r="QSE23" s="1888"/>
      <c r="QSF23" s="1882"/>
      <c r="QSG23" s="1882"/>
      <c r="QSH23" s="1882"/>
      <c r="QSJ23" s="1887"/>
      <c r="QSK23" s="1888"/>
      <c r="QSL23" s="1882"/>
      <c r="QSM23" s="1882"/>
      <c r="QSN23" s="1882"/>
      <c r="QSP23" s="1887"/>
      <c r="QSQ23" s="1888"/>
      <c r="QSR23" s="1882"/>
      <c r="QSS23" s="1882"/>
      <c r="QST23" s="1882"/>
      <c r="QSV23" s="1887"/>
      <c r="QSW23" s="1888"/>
      <c r="QSX23" s="1882"/>
      <c r="QSY23" s="1882"/>
      <c r="QSZ23" s="1882"/>
      <c r="QTB23" s="1887"/>
      <c r="QTC23" s="1888"/>
      <c r="QTD23" s="1882"/>
      <c r="QTE23" s="1882"/>
      <c r="QTF23" s="1882"/>
      <c r="QTH23" s="1887"/>
      <c r="QTI23" s="1888"/>
      <c r="QTJ23" s="1882"/>
      <c r="QTK23" s="1882"/>
      <c r="QTL23" s="1882"/>
      <c r="QTN23" s="1887"/>
      <c r="QTO23" s="1888"/>
      <c r="QTP23" s="1882"/>
      <c r="QTQ23" s="1882"/>
      <c r="QTR23" s="1882"/>
      <c r="QTT23" s="1887"/>
      <c r="QTU23" s="1888"/>
      <c r="QTV23" s="1882"/>
      <c r="QTW23" s="1882"/>
      <c r="QTX23" s="1882"/>
      <c r="QTZ23" s="1887"/>
      <c r="QUA23" s="1888"/>
      <c r="QUB23" s="1882"/>
      <c r="QUC23" s="1882"/>
      <c r="QUD23" s="1882"/>
      <c r="QUF23" s="1887"/>
      <c r="QUG23" s="1888"/>
      <c r="QUH23" s="1882"/>
      <c r="QUI23" s="1882"/>
      <c r="QUJ23" s="1882"/>
      <c r="QUL23" s="1887"/>
      <c r="QUM23" s="1888"/>
      <c r="QUN23" s="1882"/>
      <c r="QUO23" s="1882"/>
      <c r="QUP23" s="1882"/>
      <c r="QUR23" s="1887"/>
      <c r="QUS23" s="1888"/>
      <c r="QUT23" s="1882"/>
      <c r="QUU23" s="1882"/>
      <c r="QUV23" s="1882"/>
      <c r="QUX23" s="1887"/>
      <c r="QUY23" s="1888"/>
      <c r="QUZ23" s="1882"/>
      <c r="QVA23" s="1882"/>
      <c r="QVB23" s="1882"/>
      <c r="QVD23" s="1887"/>
      <c r="QVE23" s="1888"/>
      <c r="QVF23" s="1882"/>
      <c r="QVG23" s="1882"/>
      <c r="QVH23" s="1882"/>
      <c r="QVJ23" s="1887"/>
      <c r="QVK23" s="1888"/>
      <c r="QVL23" s="1882"/>
      <c r="QVM23" s="1882"/>
      <c r="QVN23" s="1882"/>
      <c r="QVP23" s="1887"/>
      <c r="QVQ23" s="1888"/>
      <c r="QVR23" s="1882"/>
      <c r="QVS23" s="1882"/>
      <c r="QVT23" s="1882"/>
      <c r="QVV23" s="1887"/>
      <c r="QVW23" s="1888"/>
      <c r="QVX23" s="1882"/>
      <c r="QVY23" s="1882"/>
      <c r="QVZ23" s="1882"/>
      <c r="QWB23" s="1887"/>
      <c r="QWC23" s="1888"/>
      <c r="QWD23" s="1882"/>
      <c r="QWE23" s="1882"/>
      <c r="QWF23" s="1882"/>
      <c r="QWH23" s="1887"/>
      <c r="QWI23" s="1888"/>
      <c r="QWJ23" s="1882"/>
      <c r="QWK23" s="1882"/>
      <c r="QWL23" s="1882"/>
      <c r="QWN23" s="1887"/>
      <c r="QWO23" s="1888"/>
      <c r="QWP23" s="1882"/>
      <c r="QWQ23" s="1882"/>
      <c r="QWR23" s="1882"/>
      <c r="QWT23" s="1887"/>
      <c r="QWU23" s="1888"/>
      <c r="QWV23" s="1882"/>
      <c r="QWW23" s="1882"/>
      <c r="QWX23" s="1882"/>
      <c r="QWZ23" s="1887"/>
      <c r="QXA23" s="1888"/>
      <c r="QXB23" s="1882"/>
      <c r="QXC23" s="1882"/>
      <c r="QXD23" s="1882"/>
      <c r="QXF23" s="1887"/>
      <c r="QXG23" s="1888"/>
      <c r="QXH23" s="1882"/>
      <c r="QXI23" s="1882"/>
      <c r="QXJ23" s="1882"/>
      <c r="QXL23" s="1887"/>
      <c r="QXM23" s="1888"/>
      <c r="QXN23" s="1882"/>
      <c r="QXO23" s="1882"/>
      <c r="QXP23" s="1882"/>
      <c r="QXR23" s="1887"/>
      <c r="QXS23" s="1888"/>
      <c r="QXT23" s="1882"/>
      <c r="QXU23" s="1882"/>
      <c r="QXV23" s="1882"/>
      <c r="QXX23" s="1887"/>
      <c r="QXY23" s="1888"/>
      <c r="QXZ23" s="1882"/>
      <c r="QYA23" s="1882"/>
      <c r="QYB23" s="1882"/>
      <c r="QYD23" s="1887"/>
      <c r="QYE23" s="1888"/>
      <c r="QYF23" s="1882"/>
      <c r="QYG23" s="1882"/>
      <c r="QYH23" s="1882"/>
      <c r="QYJ23" s="1887"/>
      <c r="QYK23" s="1888"/>
      <c r="QYL23" s="1882"/>
      <c r="QYM23" s="1882"/>
      <c r="QYN23" s="1882"/>
      <c r="QYP23" s="1887"/>
      <c r="QYQ23" s="1888"/>
      <c r="QYR23" s="1882"/>
      <c r="QYS23" s="1882"/>
      <c r="QYT23" s="1882"/>
      <c r="QYV23" s="1887"/>
      <c r="QYW23" s="1888"/>
      <c r="QYX23" s="1882"/>
      <c r="QYY23" s="1882"/>
      <c r="QYZ23" s="1882"/>
      <c r="QZB23" s="1887"/>
      <c r="QZC23" s="1888"/>
      <c r="QZD23" s="1882"/>
      <c r="QZE23" s="1882"/>
      <c r="QZF23" s="1882"/>
      <c r="QZH23" s="1887"/>
      <c r="QZI23" s="1888"/>
      <c r="QZJ23" s="1882"/>
      <c r="QZK23" s="1882"/>
      <c r="QZL23" s="1882"/>
      <c r="QZN23" s="1887"/>
      <c r="QZO23" s="1888"/>
      <c r="QZP23" s="1882"/>
      <c r="QZQ23" s="1882"/>
      <c r="QZR23" s="1882"/>
      <c r="QZT23" s="1887"/>
      <c r="QZU23" s="1888"/>
      <c r="QZV23" s="1882"/>
      <c r="QZW23" s="1882"/>
      <c r="QZX23" s="1882"/>
      <c r="QZZ23" s="1887"/>
      <c r="RAA23" s="1888"/>
      <c r="RAB23" s="1882"/>
      <c r="RAC23" s="1882"/>
      <c r="RAD23" s="1882"/>
      <c r="RAF23" s="1887"/>
      <c r="RAG23" s="1888"/>
      <c r="RAH23" s="1882"/>
      <c r="RAI23" s="1882"/>
      <c r="RAJ23" s="1882"/>
      <c r="RAL23" s="1887"/>
      <c r="RAM23" s="1888"/>
      <c r="RAN23" s="1882"/>
      <c r="RAO23" s="1882"/>
      <c r="RAP23" s="1882"/>
      <c r="RAR23" s="1887"/>
      <c r="RAS23" s="1888"/>
      <c r="RAT23" s="1882"/>
      <c r="RAU23" s="1882"/>
      <c r="RAV23" s="1882"/>
      <c r="RAX23" s="1887"/>
      <c r="RAY23" s="1888"/>
      <c r="RAZ23" s="1882"/>
      <c r="RBA23" s="1882"/>
      <c r="RBB23" s="1882"/>
      <c r="RBD23" s="1887"/>
      <c r="RBE23" s="1888"/>
      <c r="RBF23" s="1882"/>
      <c r="RBG23" s="1882"/>
      <c r="RBH23" s="1882"/>
      <c r="RBJ23" s="1887"/>
      <c r="RBK23" s="1888"/>
      <c r="RBL23" s="1882"/>
      <c r="RBM23" s="1882"/>
      <c r="RBN23" s="1882"/>
      <c r="RBP23" s="1887"/>
      <c r="RBQ23" s="1888"/>
      <c r="RBR23" s="1882"/>
      <c r="RBS23" s="1882"/>
      <c r="RBT23" s="1882"/>
      <c r="RBV23" s="1887"/>
      <c r="RBW23" s="1888"/>
      <c r="RBX23" s="1882"/>
      <c r="RBY23" s="1882"/>
      <c r="RBZ23" s="1882"/>
      <c r="RCB23" s="1887"/>
      <c r="RCC23" s="1888"/>
      <c r="RCD23" s="1882"/>
      <c r="RCE23" s="1882"/>
      <c r="RCF23" s="1882"/>
      <c r="RCH23" s="1887"/>
      <c r="RCI23" s="1888"/>
      <c r="RCJ23" s="1882"/>
      <c r="RCK23" s="1882"/>
      <c r="RCL23" s="1882"/>
      <c r="RCN23" s="1887"/>
      <c r="RCO23" s="1888"/>
      <c r="RCP23" s="1882"/>
      <c r="RCQ23" s="1882"/>
      <c r="RCR23" s="1882"/>
      <c r="RCT23" s="1887"/>
      <c r="RCU23" s="1888"/>
      <c r="RCV23" s="1882"/>
      <c r="RCW23" s="1882"/>
      <c r="RCX23" s="1882"/>
      <c r="RCZ23" s="1887"/>
      <c r="RDA23" s="1888"/>
      <c r="RDB23" s="1882"/>
      <c r="RDC23" s="1882"/>
      <c r="RDD23" s="1882"/>
      <c r="RDF23" s="1887"/>
      <c r="RDG23" s="1888"/>
      <c r="RDH23" s="1882"/>
      <c r="RDI23" s="1882"/>
      <c r="RDJ23" s="1882"/>
      <c r="RDL23" s="1887"/>
      <c r="RDM23" s="1888"/>
      <c r="RDN23" s="1882"/>
      <c r="RDO23" s="1882"/>
      <c r="RDP23" s="1882"/>
      <c r="RDR23" s="1887"/>
      <c r="RDS23" s="1888"/>
      <c r="RDT23" s="1882"/>
      <c r="RDU23" s="1882"/>
      <c r="RDV23" s="1882"/>
      <c r="RDX23" s="1887"/>
      <c r="RDY23" s="1888"/>
      <c r="RDZ23" s="1882"/>
      <c r="REA23" s="1882"/>
      <c r="REB23" s="1882"/>
      <c r="RED23" s="1887"/>
      <c r="REE23" s="1888"/>
      <c r="REF23" s="1882"/>
      <c r="REG23" s="1882"/>
      <c r="REH23" s="1882"/>
      <c r="REJ23" s="1887"/>
      <c r="REK23" s="1888"/>
      <c r="REL23" s="1882"/>
      <c r="REM23" s="1882"/>
      <c r="REN23" s="1882"/>
      <c r="REP23" s="1887"/>
      <c r="REQ23" s="1888"/>
      <c r="RER23" s="1882"/>
      <c r="RES23" s="1882"/>
      <c r="RET23" s="1882"/>
      <c r="REV23" s="1887"/>
      <c r="REW23" s="1888"/>
      <c r="REX23" s="1882"/>
      <c r="REY23" s="1882"/>
      <c r="REZ23" s="1882"/>
      <c r="RFB23" s="1887"/>
      <c r="RFC23" s="1888"/>
      <c r="RFD23" s="1882"/>
      <c r="RFE23" s="1882"/>
      <c r="RFF23" s="1882"/>
      <c r="RFH23" s="1887"/>
      <c r="RFI23" s="1888"/>
      <c r="RFJ23" s="1882"/>
      <c r="RFK23" s="1882"/>
      <c r="RFL23" s="1882"/>
      <c r="RFN23" s="1887"/>
      <c r="RFO23" s="1888"/>
      <c r="RFP23" s="1882"/>
      <c r="RFQ23" s="1882"/>
      <c r="RFR23" s="1882"/>
      <c r="RFT23" s="1887"/>
      <c r="RFU23" s="1888"/>
      <c r="RFV23" s="1882"/>
      <c r="RFW23" s="1882"/>
      <c r="RFX23" s="1882"/>
      <c r="RFZ23" s="1887"/>
      <c r="RGA23" s="1888"/>
      <c r="RGB23" s="1882"/>
      <c r="RGC23" s="1882"/>
      <c r="RGD23" s="1882"/>
      <c r="RGF23" s="1887"/>
      <c r="RGG23" s="1888"/>
      <c r="RGH23" s="1882"/>
      <c r="RGI23" s="1882"/>
      <c r="RGJ23" s="1882"/>
      <c r="RGL23" s="1887"/>
      <c r="RGM23" s="1888"/>
      <c r="RGN23" s="1882"/>
      <c r="RGO23" s="1882"/>
      <c r="RGP23" s="1882"/>
      <c r="RGR23" s="1887"/>
      <c r="RGS23" s="1888"/>
      <c r="RGT23" s="1882"/>
      <c r="RGU23" s="1882"/>
      <c r="RGV23" s="1882"/>
      <c r="RGX23" s="1887"/>
      <c r="RGY23" s="1888"/>
      <c r="RGZ23" s="1882"/>
      <c r="RHA23" s="1882"/>
      <c r="RHB23" s="1882"/>
      <c r="RHD23" s="1887"/>
      <c r="RHE23" s="1888"/>
      <c r="RHF23" s="1882"/>
      <c r="RHG23" s="1882"/>
      <c r="RHH23" s="1882"/>
      <c r="RHJ23" s="1887"/>
      <c r="RHK23" s="1888"/>
      <c r="RHL23" s="1882"/>
      <c r="RHM23" s="1882"/>
      <c r="RHN23" s="1882"/>
      <c r="RHP23" s="1887"/>
      <c r="RHQ23" s="1888"/>
      <c r="RHR23" s="1882"/>
      <c r="RHS23" s="1882"/>
      <c r="RHT23" s="1882"/>
      <c r="RHV23" s="1887"/>
      <c r="RHW23" s="1888"/>
      <c r="RHX23" s="1882"/>
      <c r="RHY23" s="1882"/>
      <c r="RHZ23" s="1882"/>
      <c r="RIB23" s="1887"/>
      <c r="RIC23" s="1888"/>
      <c r="RID23" s="1882"/>
      <c r="RIE23" s="1882"/>
      <c r="RIF23" s="1882"/>
      <c r="RIH23" s="1887"/>
      <c r="RII23" s="1888"/>
      <c r="RIJ23" s="1882"/>
      <c r="RIK23" s="1882"/>
      <c r="RIL23" s="1882"/>
      <c r="RIN23" s="1887"/>
      <c r="RIO23" s="1888"/>
      <c r="RIP23" s="1882"/>
      <c r="RIQ23" s="1882"/>
      <c r="RIR23" s="1882"/>
      <c r="RIT23" s="1887"/>
      <c r="RIU23" s="1888"/>
      <c r="RIV23" s="1882"/>
      <c r="RIW23" s="1882"/>
      <c r="RIX23" s="1882"/>
      <c r="RIZ23" s="1887"/>
      <c r="RJA23" s="1888"/>
      <c r="RJB23" s="1882"/>
      <c r="RJC23" s="1882"/>
      <c r="RJD23" s="1882"/>
      <c r="RJF23" s="1887"/>
      <c r="RJG23" s="1888"/>
      <c r="RJH23" s="1882"/>
      <c r="RJI23" s="1882"/>
      <c r="RJJ23" s="1882"/>
      <c r="RJL23" s="1887"/>
      <c r="RJM23" s="1888"/>
      <c r="RJN23" s="1882"/>
      <c r="RJO23" s="1882"/>
      <c r="RJP23" s="1882"/>
      <c r="RJR23" s="1887"/>
      <c r="RJS23" s="1888"/>
      <c r="RJT23" s="1882"/>
      <c r="RJU23" s="1882"/>
      <c r="RJV23" s="1882"/>
      <c r="RJX23" s="1887"/>
      <c r="RJY23" s="1888"/>
      <c r="RJZ23" s="1882"/>
      <c r="RKA23" s="1882"/>
      <c r="RKB23" s="1882"/>
      <c r="RKD23" s="1887"/>
      <c r="RKE23" s="1888"/>
      <c r="RKF23" s="1882"/>
      <c r="RKG23" s="1882"/>
      <c r="RKH23" s="1882"/>
      <c r="RKJ23" s="1887"/>
      <c r="RKK23" s="1888"/>
      <c r="RKL23" s="1882"/>
      <c r="RKM23" s="1882"/>
      <c r="RKN23" s="1882"/>
      <c r="RKP23" s="1887"/>
      <c r="RKQ23" s="1888"/>
      <c r="RKR23" s="1882"/>
      <c r="RKS23" s="1882"/>
      <c r="RKT23" s="1882"/>
      <c r="RKV23" s="1887"/>
      <c r="RKW23" s="1888"/>
      <c r="RKX23" s="1882"/>
      <c r="RKY23" s="1882"/>
      <c r="RKZ23" s="1882"/>
      <c r="RLB23" s="1887"/>
      <c r="RLC23" s="1888"/>
      <c r="RLD23" s="1882"/>
      <c r="RLE23" s="1882"/>
      <c r="RLF23" s="1882"/>
      <c r="RLH23" s="1887"/>
      <c r="RLI23" s="1888"/>
      <c r="RLJ23" s="1882"/>
      <c r="RLK23" s="1882"/>
      <c r="RLL23" s="1882"/>
      <c r="RLN23" s="1887"/>
      <c r="RLO23" s="1888"/>
      <c r="RLP23" s="1882"/>
      <c r="RLQ23" s="1882"/>
      <c r="RLR23" s="1882"/>
      <c r="RLT23" s="1887"/>
      <c r="RLU23" s="1888"/>
      <c r="RLV23" s="1882"/>
      <c r="RLW23" s="1882"/>
      <c r="RLX23" s="1882"/>
      <c r="RLZ23" s="1887"/>
      <c r="RMA23" s="1888"/>
      <c r="RMB23" s="1882"/>
      <c r="RMC23" s="1882"/>
      <c r="RMD23" s="1882"/>
      <c r="RMF23" s="1887"/>
      <c r="RMG23" s="1888"/>
      <c r="RMH23" s="1882"/>
      <c r="RMI23" s="1882"/>
      <c r="RMJ23" s="1882"/>
      <c r="RML23" s="1887"/>
      <c r="RMM23" s="1888"/>
      <c r="RMN23" s="1882"/>
      <c r="RMO23" s="1882"/>
      <c r="RMP23" s="1882"/>
      <c r="RMR23" s="1887"/>
      <c r="RMS23" s="1888"/>
      <c r="RMT23" s="1882"/>
      <c r="RMU23" s="1882"/>
      <c r="RMV23" s="1882"/>
      <c r="RMX23" s="1887"/>
      <c r="RMY23" s="1888"/>
      <c r="RMZ23" s="1882"/>
      <c r="RNA23" s="1882"/>
      <c r="RNB23" s="1882"/>
      <c r="RND23" s="1887"/>
      <c r="RNE23" s="1888"/>
      <c r="RNF23" s="1882"/>
      <c r="RNG23" s="1882"/>
      <c r="RNH23" s="1882"/>
      <c r="RNJ23" s="1887"/>
      <c r="RNK23" s="1888"/>
      <c r="RNL23" s="1882"/>
      <c r="RNM23" s="1882"/>
      <c r="RNN23" s="1882"/>
      <c r="RNP23" s="1887"/>
      <c r="RNQ23" s="1888"/>
      <c r="RNR23" s="1882"/>
      <c r="RNS23" s="1882"/>
      <c r="RNT23" s="1882"/>
      <c r="RNV23" s="1887"/>
      <c r="RNW23" s="1888"/>
      <c r="RNX23" s="1882"/>
      <c r="RNY23" s="1882"/>
      <c r="RNZ23" s="1882"/>
      <c r="ROB23" s="1887"/>
      <c r="ROC23" s="1888"/>
      <c r="ROD23" s="1882"/>
      <c r="ROE23" s="1882"/>
      <c r="ROF23" s="1882"/>
      <c r="ROH23" s="1887"/>
      <c r="ROI23" s="1888"/>
      <c r="ROJ23" s="1882"/>
      <c r="ROK23" s="1882"/>
      <c r="ROL23" s="1882"/>
      <c r="RON23" s="1887"/>
      <c r="ROO23" s="1888"/>
      <c r="ROP23" s="1882"/>
      <c r="ROQ23" s="1882"/>
      <c r="ROR23" s="1882"/>
      <c r="ROT23" s="1887"/>
      <c r="ROU23" s="1888"/>
      <c r="ROV23" s="1882"/>
      <c r="ROW23" s="1882"/>
      <c r="ROX23" s="1882"/>
      <c r="ROZ23" s="1887"/>
      <c r="RPA23" s="1888"/>
      <c r="RPB23" s="1882"/>
      <c r="RPC23" s="1882"/>
      <c r="RPD23" s="1882"/>
      <c r="RPF23" s="1887"/>
      <c r="RPG23" s="1888"/>
      <c r="RPH23" s="1882"/>
      <c r="RPI23" s="1882"/>
      <c r="RPJ23" s="1882"/>
      <c r="RPL23" s="1887"/>
      <c r="RPM23" s="1888"/>
      <c r="RPN23" s="1882"/>
      <c r="RPO23" s="1882"/>
      <c r="RPP23" s="1882"/>
      <c r="RPR23" s="1887"/>
      <c r="RPS23" s="1888"/>
      <c r="RPT23" s="1882"/>
      <c r="RPU23" s="1882"/>
      <c r="RPV23" s="1882"/>
      <c r="RPX23" s="1887"/>
      <c r="RPY23" s="1888"/>
      <c r="RPZ23" s="1882"/>
      <c r="RQA23" s="1882"/>
      <c r="RQB23" s="1882"/>
      <c r="RQD23" s="1887"/>
      <c r="RQE23" s="1888"/>
      <c r="RQF23" s="1882"/>
      <c r="RQG23" s="1882"/>
      <c r="RQH23" s="1882"/>
      <c r="RQJ23" s="1887"/>
      <c r="RQK23" s="1888"/>
      <c r="RQL23" s="1882"/>
      <c r="RQM23" s="1882"/>
      <c r="RQN23" s="1882"/>
      <c r="RQP23" s="1887"/>
      <c r="RQQ23" s="1888"/>
      <c r="RQR23" s="1882"/>
      <c r="RQS23" s="1882"/>
      <c r="RQT23" s="1882"/>
      <c r="RQV23" s="1887"/>
      <c r="RQW23" s="1888"/>
      <c r="RQX23" s="1882"/>
      <c r="RQY23" s="1882"/>
      <c r="RQZ23" s="1882"/>
      <c r="RRB23" s="1887"/>
      <c r="RRC23" s="1888"/>
      <c r="RRD23" s="1882"/>
      <c r="RRE23" s="1882"/>
      <c r="RRF23" s="1882"/>
      <c r="RRH23" s="1887"/>
      <c r="RRI23" s="1888"/>
      <c r="RRJ23" s="1882"/>
      <c r="RRK23" s="1882"/>
      <c r="RRL23" s="1882"/>
      <c r="RRN23" s="1887"/>
      <c r="RRO23" s="1888"/>
      <c r="RRP23" s="1882"/>
      <c r="RRQ23" s="1882"/>
      <c r="RRR23" s="1882"/>
      <c r="RRT23" s="1887"/>
      <c r="RRU23" s="1888"/>
      <c r="RRV23" s="1882"/>
      <c r="RRW23" s="1882"/>
      <c r="RRX23" s="1882"/>
      <c r="RRZ23" s="1887"/>
      <c r="RSA23" s="1888"/>
      <c r="RSB23" s="1882"/>
      <c r="RSC23" s="1882"/>
      <c r="RSD23" s="1882"/>
      <c r="RSF23" s="1887"/>
      <c r="RSG23" s="1888"/>
      <c r="RSH23" s="1882"/>
      <c r="RSI23" s="1882"/>
      <c r="RSJ23" s="1882"/>
      <c r="RSL23" s="1887"/>
      <c r="RSM23" s="1888"/>
      <c r="RSN23" s="1882"/>
      <c r="RSO23" s="1882"/>
      <c r="RSP23" s="1882"/>
      <c r="RSR23" s="1887"/>
      <c r="RSS23" s="1888"/>
      <c r="RST23" s="1882"/>
      <c r="RSU23" s="1882"/>
      <c r="RSV23" s="1882"/>
      <c r="RSX23" s="1887"/>
      <c r="RSY23" s="1888"/>
      <c r="RSZ23" s="1882"/>
      <c r="RTA23" s="1882"/>
      <c r="RTB23" s="1882"/>
      <c r="RTD23" s="1887"/>
      <c r="RTE23" s="1888"/>
      <c r="RTF23" s="1882"/>
      <c r="RTG23" s="1882"/>
      <c r="RTH23" s="1882"/>
      <c r="RTJ23" s="1887"/>
      <c r="RTK23" s="1888"/>
      <c r="RTL23" s="1882"/>
      <c r="RTM23" s="1882"/>
      <c r="RTN23" s="1882"/>
      <c r="RTP23" s="1887"/>
      <c r="RTQ23" s="1888"/>
      <c r="RTR23" s="1882"/>
      <c r="RTS23" s="1882"/>
      <c r="RTT23" s="1882"/>
      <c r="RTV23" s="1887"/>
      <c r="RTW23" s="1888"/>
      <c r="RTX23" s="1882"/>
      <c r="RTY23" s="1882"/>
      <c r="RTZ23" s="1882"/>
      <c r="RUB23" s="1887"/>
      <c r="RUC23" s="1888"/>
      <c r="RUD23" s="1882"/>
      <c r="RUE23" s="1882"/>
      <c r="RUF23" s="1882"/>
      <c r="RUH23" s="1887"/>
      <c r="RUI23" s="1888"/>
      <c r="RUJ23" s="1882"/>
      <c r="RUK23" s="1882"/>
      <c r="RUL23" s="1882"/>
      <c r="RUN23" s="1887"/>
      <c r="RUO23" s="1888"/>
      <c r="RUP23" s="1882"/>
      <c r="RUQ23" s="1882"/>
      <c r="RUR23" s="1882"/>
      <c r="RUT23" s="1887"/>
      <c r="RUU23" s="1888"/>
      <c r="RUV23" s="1882"/>
      <c r="RUW23" s="1882"/>
      <c r="RUX23" s="1882"/>
      <c r="RUZ23" s="1887"/>
      <c r="RVA23" s="1888"/>
      <c r="RVB23" s="1882"/>
      <c r="RVC23" s="1882"/>
      <c r="RVD23" s="1882"/>
      <c r="RVF23" s="1887"/>
      <c r="RVG23" s="1888"/>
      <c r="RVH23" s="1882"/>
      <c r="RVI23" s="1882"/>
      <c r="RVJ23" s="1882"/>
      <c r="RVL23" s="1887"/>
      <c r="RVM23" s="1888"/>
      <c r="RVN23" s="1882"/>
      <c r="RVO23" s="1882"/>
      <c r="RVP23" s="1882"/>
      <c r="RVR23" s="1887"/>
      <c r="RVS23" s="1888"/>
      <c r="RVT23" s="1882"/>
      <c r="RVU23" s="1882"/>
      <c r="RVV23" s="1882"/>
      <c r="RVX23" s="1887"/>
      <c r="RVY23" s="1888"/>
      <c r="RVZ23" s="1882"/>
      <c r="RWA23" s="1882"/>
      <c r="RWB23" s="1882"/>
      <c r="RWD23" s="1887"/>
      <c r="RWE23" s="1888"/>
      <c r="RWF23" s="1882"/>
      <c r="RWG23" s="1882"/>
      <c r="RWH23" s="1882"/>
      <c r="RWJ23" s="1887"/>
      <c r="RWK23" s="1888"/>
      <c r="RWL23" s="1882"/>
      <c r="RWM23" s="1882"/>
      <c r="RWN23" s="1882"/>
      <c r="RWP23" s="1887"/>
      <c r="RWQ23" s="1888"/>
      <c r="RWR23" s="1882"/>
      <c r="RWS23" s="1882"/>
      <c r="RWT23" s="1882"/>
      <c r="RWV23" s="1887"/>
      <c r="RWW23" s="1888"/>
      <c r="RWX23" s="1882"/>
      <c r="RWY23" s="1882"/>
      <c r="RWZ23" s="1882"/>
      <c r="RXB23" s="1887"/>
      <c r="RXC23" s="1888"/>
      <c r="RXD23" s="1882"/>
      <c r="RXE23" s="1882"/>
      <c r="RXF23" s="1882"/>
      <c r="RXH23" s="1887"/>
      <c r="RXI23" s="1888"/>
      <c r="RXJ23" s="1882"/>
      <c r="RXK23" s="1882"/>
      <c r="RXL23" s="1882"/>
      <c r="RXN23" s="1887"/>
      <c r="RXO23" s="1888"/>
      <c r="RXP23" s="1882"/>
      <c r="RXQ23" s="1882"/>
      <c r="RXR23" s="1882"/>
      <c r="RXT23" s="1887"/>
      <c r="RXU23" s="1888"/>
      <c r="RXV23" s="1882"/>
      <c r="RXW23" s="1882"/>
      <c r="RXX23" s="1882"/>
      <c r="RXZ23" s="1887"/>
      <c r="RYA23" s="1888"/>
      <c r="RYB23" s="1882"/>
      <c r="RYC23" s="1882"/>
      <c r="RYD23" s="1882"/>
      <c r="RYF23" s="1887"/>
      <c r="RYG23" s="1888"/>
      <c r="RYH23" s="1882"/>
      <c r="RYI23" s="1882"/>
      <c r="RYJ23" s="1882"/>
      <c r="RYL23" s="1887"/>
      <c r="RYM23" s="1888"/>
      <c r="RYN23" s="1882"/>
      <c r="RYO23" s="1882"/>
      <c r="RYP23" s="1882"/>
      <c r="RYR23" s="1887"/>
      <c r="RYS23" s="1888"/>
      <c r="RYT23" s="1882"/>
      <c r="RYU23" s="1882"/>
      <c r="RYV23" s="1882"/>
      <c r="RYX23" s="1887"/>
      <c r="RYY23" s="1888"/>
      <c r="RYZ23" s="1882"/>
      <c r="RZA23" s="1882"/>
      <c r="RZB23" s="1882"/>
      <c r="RZD23" s="1887"/>
      <c r="RZE23" s="1888"/>
      <c r="RZF23" s="1882"/>
      <c r="RZG23" s="1882"/>
      <c r="RZH23" s="1882"/>
      <c r="RZJ23" s="1887"/>
      <c r="RZK23" s="1888"/>
      <c r="RZL23" s="1882"/>
      <c r="RZM23" s="1882"/>
      <c r="RZN23" s="1882"/>
      <c r="RZP23" s="1887"/>
      <c r="RZQ23" s="1888"/>
      <c r="RZR23" s="1882"/>
      <c r="RZS23" s="1882"/>
      <c r="RZT23" s="1882"/>
      <c r="RZV23" s="1887"/>
      <c r="RZW23" s="1888"/>
      <c r="RZX23" s="1882"/>
      <c r="RZY23" s="1882"/>
      <c r="RZZ23" s="1882"/>
      <c r="SAB23" s="1887"/>
      <c r="SAC23" s="1888"/>
      <c r="SAD23" s="1882"/>
      <c r="SAE23" s="1882"/>
      <c r="SAF23" s="1882"/>
      <c r="SAH23" s="1887"/>
      <c r="SAI23" s="1888"/>
      <c r="SAJ23" s="1882"/>
      <c r="SAK23" s="1882"/>
      <c r="SAL23" s="1882"/>
      <c r="SAN23" s="1887"/>
      <c r="SAO23" s="1888"/>
      <c r="SAP23" s="1882"/>
      <c r="SAQ23" s="1882"/>
      <c r="SAR23" s="1882"/>
      <c r="SAT23" s="1887"/>
      <c r="SAU23" s="1888"/>
      <c r="SAV23" s="1882"/>
      <c r="SAW23" s="1882"/>
      <c r="SAX23" s="1882"/>
      <c r="SAZ23" s="1887"/>
      <c r="SBA23" s="1888"/>
      <c r="SBB23" s="1882"/>
      <c r="SBC23" s="1882"/>
      <c r="SBD23" s="1882"/>
      <c r="SBF23" s="1887"/>
      <c r="SBG23" s="1888"/>
      <c r="SBH23" s="1882"/>
      <c r="SBI23" s="1882"/>
      <c r="SBJ23" s="1882"/>
      <c r="SBL23" s="1887"/>
      <c r="SBM23" s="1888"/>
      <c r="SBN23" s="1882"/>
      <c r="SBO23" s="1882"/>
      <c r="SBP23" s="1882"/>
      <c r="SBR23" s="1887"/>
      <c r="SBS23" s="1888"/>
      <c r="SBT23" s="1882"/>
      <c r="SBU23" s="1882"/>
      <c r="SBV23" s="1882"/>
      <c r="SBX23" s="1887"/>
      <c r="SBY23" s="1888"/>
      <c r="SBZ23" s="1882"/>
      <c r="SCA23" s="1882"/>
      <c r="SCB23" s="1882"/>
      <c r="SCD23" s="1887"/>
      <c r="SCE23" s="1888"/>
      <c r="SCF23" s="1882"/>
      <c r="SCG23" s="1882"/>
      <c r="SCH23" s="1882"/>
      <c r="SCJ23" s="1887"/>
      <c r="SCK23" s="1888"/>
      <c r="SCL23" s="1882"/>
      <c r="SCM23" s="1882"/>
      <c r="SCN23" s="1882"/>
      <c r="SCP23" s="1887"/>
      <c r="SCQ23" s="1888"/>
      <c r="SCR23" s="1882"/>
      <c r="SCS23" s="1882"/>
      <c r="SCT23" s="1882"/>
      <c r="SCV23" s="1887"/>
      <c r="SCW23" s="1888"/>
      <c r="SCX23" s="1882"/>
      <c r="SCY23" s="1882"/>
      <c r="SCZ23" s="1882"/>
      <c r="SDB23" s="1887"/>
      <c r="SDC23" s="1888"/>
      <c r="SDD23" s="1882"/>
      <c r="SDE23" s="1882"/>
      <c r="SDF23" s="1882"/>
      <c r="SDH23" s="1887"/>
      <c r="SDI23" s="1888"/>
      <c r="SDJ23" s="1882"/>
      <c r="SDK23" s="1882"/>
      <c r="SDL23" s="1882"/>
      <c r="SDN23" s="1887"/>
      <c r="SDO23" s="1888"/>
      <c r="SDP23" s="1882"/>
      <c r="SDQ23" s="1882"/>
      <c r="SDR23" s="1882"/>
      <c r="SDT23" s="1887"/>
      <c r="SDU23" s="1888"/>
      <c r="SDV23" s="1882"/>
      <c r="SDW23" s="1882"/>
      <c r="SDX23" s="1882"/>
      <c r="SDZ23" s="1887"/>
      <c r="SEA23" s="1888"/>
      <c r="SEB23" s="1882"/>
      <c r="SEC23" s="1882"/>
      <c r="SED23" s="1882"/>
      <c r="SEF23" s="1887"/>
      <c r="SEG23" s="1888"/>
      <c r="SEH23" s="1882"/>
      <c r="SEI23" s="1882"/>
      <c r="SEJ23" s="1882"/>
      <c r="SEL23" s="1887"/>
      <c r="SEM23" s="1888"/>
      <c r="SEN23" s="1882"/>
      <c r="SEO23" s="1882"/>
      <c r="SEP23" s="1882"/>
      <c r="SER23" s="1887"/>
      <c r="SES23" s="1888"/>
      <c r="SET23" s="1882"/>
      <c r="SEU23" s="1882"/>
      <c r="SEV23" s="1882"/>
      <c r="SEX23" s="1887"/>
      <c r="SEY23" s="1888"/>
      <c r="SEZ23" s="1882"/>
      <c r="SFA23" s="1882"/>
      <c r="SFB23" s="1882"/>
      <c r="SFD23" s="1887"/>
      <c r="SFE23" s="1888"/>
      <c r="SFF23" s="1882"/>
      <c r="SFG23" s="1882"/>
      <c r="SFH23" s="1882"/>
      <c r="SFJ23" s="1887"/>
      <c r="SFK23" s="1888"/>
      <c r="SFL23" s="1882"/>
      <c r="SFM23" s="1882"/>
      <c r="SFN23" s="1882"/>
      <c r="SFP23" s="1887"/>
      <c r="SFQ23" s="1888"/>
      <c r="SFR23" s="1882"/>
      <c r="SFS23" s="1882"/>
      <c r="SFT23" s="1882"/>
      <c r="SFV23" s="1887"/>
      <c r="SFW23" s="1888"/>
      <c r="SFX23" s="1882"/>
      <c r="SFY23" s="1882"/>
      <c r="SFZ23" s="1882"/>
      <c r="SGB23" s="1887"/>
      <c r="SGC23" s="1888"/>
      <c r="SGD23" s="1882"/>
      <c r="SGE23" s="1882"/>
      <c r="SGF23" s="1882"/>
      <c r="SGH23" s="1887"/>
      <c r="SGI23" s="1888"/>
      <c r="SGJ23" s="1882"/>
      <c r="SGK23" s="1882"/>
      <c r="SGL23" s="1882"/>
      <c r="SGN23" s="1887"/>
      <c r="SGO23" s="1888"/>
      <c r="SGP23" s="1882"/>
      <c r="SGQ23" s="1882"/>
      <c r="SGR23" s="1882"/>
      <c r="SGT23" s="1887"/>
      <c r="SGU23" s="1888"/>
      <c r="SGV23" s="1882"/>
      <c r="SGW23" s="1882"/>
      <c r="SGX23" s="1882"/>
      <c r="SGZ23" s="1887"/>
      <c r="SHA23" s="1888"/>
      <c r="SHB23" s="1882"/>
      <c r="SHC23" s="1882"/>
      <c r="SHD23" s="1882"/>
      <c r="SHF23" s="1887"/>
      <c r="SHG23" s="1888"/>
      <c r="SHH23" s="1882"/>
      <c r="SHI23" s="1882"/>
      <c r="SHJ23" s="1882"/>
      <c r="SHL23" s="1887"/>
      <c r="SHM23" s="1888"/>
      <c r="SHN23" s="1882"/>
      <c r="SHO23" s="1882"/>
      <c r="SHP23" s="1882"/>
      <c r="SHR23" s="1887"/>
      <c r="SHS23" s="1888"/>
      <c r="SHT23" s="1882"/>
      <c r="SHU23" s="1882"/>
      <c r="SHV23" s="1882"/>
      <c r="SHX23" s="1887"/>
      <c r="SHY23" s="1888"/>
      <c r="SHZ23" s="1882"/>
      <c r="SIA23" s="1882"/>
      <c r="SIB23" s="1882"/>
      <c r="SID23" s="1887"/>
      <c r="SIE23" s="1888"/>
      <c r="SIF23" s="1882"/>
      <c r="SIG23" s="1882"/>
      <c r="SIH23" s="1882"/>
      <c r="SIJ23" s="1887"/>
      <c r="SIK23" s="1888"/>
      <c r="SIL23" s="1882"/>
      <c r="SIM23" s="1882"/>
      <c r="SIN23" s="1882"/>
      <c r="SIP23" s="1887"/>
      <c r="SIQ23" s="1888"/>
      <c r="SIR23" s="1882"/>
      <c r="SIS23" s="1882"/>
      <c r="SIT23" s="1882"/>
      <c r="SIV23" s="1887"/>
      <c r="SIW23" s="1888"/>
      <c r="SIX23" s="1882"/>
      <c r="SIY23" s="1882"/>
      <c r="SIZ23" s="1882"/>
      <c r="SJB23" s="1887"/>
      <c r="SJC23" s="1888"/>
      <c r="SJD23" s="1882"/>
      <c r="SJE23" s="1882"/>
      <c r="SJF23" s="1882"/>
      <c r="SJH23" s="1887"/>
      <c r="SJI23" s="1888"/>
      <c r="SJJ23" s="1882"/>
      <c r="SJK23" s="1882"/>
      <c r="SJL23" s="1882"/>
      <c r="SJN23" s="1887"/>
      <c r="SJO23" s="1888"/>
      <c r="SJP23" s="1882"/>
      <c r="SJQ23" s="1882"/>
      <c r="SJR23" s="1882"/>
      <c r="SJT23" s="1887"/>
      <c r="SJU23" s="1888"/>
      <c r="SJV23" s="1882"/>
      <c r="SJW23" s="1882"/>
      <c r="SJX23" s="1882"/>
      <c r="SJZ23" s="1887"/>
      <c r="SKA23" s="1888"/>
      <c r="SKB23" s="1882"/>
      <c r="SKC23" s="1882"/>
      <c r="SKD23" s="1882"/>
      <c r="SKF23" s="1887"/>
      <c r="SKG23" s="1888"/>
      <c r="SKH23" s="1882"/>
      <c r="SKI23" s="1882"/>
      <c r="SKJ23" s="1882"/>
      <c r="SKL23" s="1887"/>
      <c r="SKM23" s="1888"/>
      <c r="SKN23" s="1882"/>
      <c r="SKO23" s="1882"/>
      <c r="SKP23" s="1882"/>
      <c r="SKR23" s="1887"/>
      <c r="SKS23" s="1888"/>
      <c r="SKT23" s="1882"/>
      <c r="SKU23" s="1882"/>
      <c r="SKV23" s="1882"/>
      <c r="SKX23" s="1887"/>
      <c r="SKY23" s="1888"/>
      <c r="SKZ23" s="1882"/>
      <c r="SLA23" s="1882"/>
      <c r="SLB23" s="1882"/>
      <c r="SLD23" s="1887"/>
      <c r="SLE23" s="1888"/>
      <c r="SLF23" s="1882"/>
      <c r="SLG23" s="1882"/>
      <c r="SLH23" s="1882"/>
      <c r="SLJ23" s="1887"/>
      <c r="SLK23" s="1888"/>
      <c r="SLL23" s="1882"/>
      <c r="SLM23" s="1882"/>
      <c r="SLN23" s="1882"/>
      <c r="SLP23" s="1887"/>
      <c r="SLQ23" s="1888"/>
      <c r="SLR23" s="1882"/>
      <c r="SLS23" s="1882"/>
      <c r="SLT23" s="1882"/>
      <c r="SLV23" s="1887"/>
      <c r="SLW23" s="1888"/>
      <c r="SLX23" s="1882"/>
      <c r="SLY23" s="1882"/>
      <c r="SLZ23" s="1882"/>
      <c r="SMB23" s="1887"/>
      <c r="SMC23" s="1888"/>
      <c r="SMD23" s="1882"/>
      <c r="SME23" s="1882"/>
      <c r="SMF23" s="1882"/>
      <c r="SMH23" s="1887"/>
      <c r="SMI23" s="1888"/>
      <c r="SMJ23" s="1882"/>
      <c r="SMK23" s="1882"/>
      <c r="SML23" s="1882"/>
      <c r="SMN23" s="1887"/>
      <c r="SMO23" s="1888"/>
      <c r="SMP23" s="1882"/>
      <c r="SMQ23" s="1882"/>
      <c r="SMR23" s="1882"/>
      <c r="SMT23" s="1887"/>
      <c r="SMU23" s="1888"/>
      <c r="SMV23" s="1882"/>
      <c r="SMW23" s="1882"/>
      <c r="SMX23" s="1882"/>
      <c r="SMZ23" s="1887"/>
      <c r="SNA23" s="1888"/>
      <c r="SNB23" s="1882"/>
      <c r="SNC23" s="1882"/>
      <c r="SND23" s="1882"/>
      <c r="SNF23" s="1887"/>
      <c r="SNG23" s="1888"/>
      <c r="SNH23" s="1882"/>
      <c r="SNI23" s="1882"/>
      <c r="SNJ23" s="1882"/>
      <c r="SNL23" s="1887"/>
      <c r="SNM23" s="1888"/>
      <c r="SNN23" s="1882"/>
      <c r="SNO23" s="1882"/>
      <c r="SNP23" s="1882"/>
      <c r="SNR23" s="1887"/>
      <c r="SNS23" s="1888"/>
      <c r="SNT23" s="1882"/>
      <c r="SNU23" s="1882"/>
      <c r="SNV23" s="1882"/>
      <c r="SNX23" s="1887"/>
      <c r="SNY23" s="1888"/>
      <c r="SNZ23" s="1882"/>
      <c r="SOA23" s="1882"/>
      <c r="SOB23" s="1882"/>
      <c r="SOD23" s="1887"/>
      <c r="SOE23" s="1888"/>
      <c r="SOF23" s="1882"/>
      <c r="SOG23" s="1882"/>
      <c r="SOH23" s="1882"/>
      <c r="SOJ23" s="1887"/>
      <c r="SOK23" s="1888"/>
      <c r="SOL23" s="1882"/>
      <c r="SOM23" s="1882"/>
      <c r="SON23" s="1882"/>
      <c r="SOP23" s="1887"/>
      <c r="SOQ23" s="1888"/>
      <c r="SOR23" s="1882"/>
      <c r="SOS23" s="1882"/>
      <c r="SOT23" s="1882"/>
      <c r="SOV23" s="1887"/>
      <c r="SOW23" s="1888"/>
      <c r="SOX23" s="1882"/>
      <c r="SOY23" s="1882"/>
      <c r="SOZ23" s="1882"/>
      <c r="SPB23" s="1887"/>
      <c r="SPC23" s="1888"/>
      <c r="SPD23" s="1882"/>
      <c r="SPE23" s="1882"/>
      <c r="SPF23" s="1882"/>
      <c r="SPH23" s="1887"/>
      <c r="SPI23" s="1888"/>
      <c r="SPJ23" s="1882"/>
      <c r="SPK23" s="1882"/>
      <c r="SPL23" s="1882"/>
      <c r="SPN23" s="1887"/>
      <c r="SPO23" s="1888"/>
      <c r="SPP23" s="1882"/>
      <c r="SPQ23" s="1882"/>
      <c r="SPR23" s="1882"/>
      <c r="SPT23" s="1887"/>
      <c r="SPU23" s="1888"/>
      <c r="SPV23" s="1882"/>
      <c r="SPW23" s="1882"/>
      <c r="SPX23" s="1882"/>
      <c r="SPZ23" s="1887"/>
      <c r="SQA23" s="1888"/>
      <c r="SQB23" s="1882"/>
      <c r="SQC23" s="1882"/>
      <c r="SQD23" s="1882"/>
      <c r="SQF23" s="1887"/>
      <c r="SQG23" s="1888"/>
      <c r="SQH23" s="1882"/>
      <c r="SQI23" s="1882"/>
      <c r="SQJ23" s="1882"/>
      <c r="SQL23" s="1887"/>
      <c r="SQM23" s="1888"/>
      <c r="SQN23" s="1882"/>
      <c r="SQO23" s="1882"/>
      <c r="SQP23" s="1882"/>
      <c r="SQR23" s="1887"/>
      <c r="SQS23" s="1888"/>
      <c r="SQT23" s="1882"/>
      <c r="SQU23" s="1882"/>
      <c r="SQV23" s="1882"/>
      <c r="SQX23" s="1887"/>
      <c r="SQY23" s="1888"/>
      <c r="SQZ23" s="1882"/>
      <c r="SRA23" s="1882"/>
      <c r="SRB23" s="1882"/>
      <c r="SRD23" s="1887"/>
      <c r="SRE23" s="1888"/>
      <c r="SRF23" s="1882"/>
      <c r="SRG23" s="1882"/>
      <c r="SRH23" s="1882"/>
      <c r="SRJ23" s="1887"/>
      <c r="SRK23" s="1888"/>
      <c r="SRL23" s="1882"/>
      <c r="SRM23" s="1882"/>
      <c r="SRN23" s="1882"/>
      <c r="SRP23" s="1887"/>
      <c r="SRQ23" s="1888"/>
      <c r="SRR23" s="1882"/>
      <c r="SRS23" s="1882"/>
      <c r="SRT23" s="1882"/>
      <c r="SRV23" s="1887"/>
      <c r="SRW23" s="1888"/>
      <c r="SRX23" s="1882"/>
      <c r="SRY23" s="1882"/>
      <c r="SRZ23" s="1882"/>
      <c r="SSB23" s="1887"/>
      <c r="SSC23" s="1888"/>
      <c r="SSD23" s="1882"/>
      <c r="SSE23" s="1882"/>
      <c r="SSF23" s="1882"/>
      <c r="SSH23" s="1887"/>
      <c r="SSI23" s="1888"/>
      <c r="SSJ23" s="1882"/>
      <c r="SSK23" s="1882"/>
      <c r="SSL23" s="1882"/>
      <c r="SSN23" s="1887"/>
      <c r="SSO23" s="1888"/>
      <c r="SSP23" s="1882"/>
      <c r="SSQ23" s="1882"/>
      <c r="SSR23" s="1882"/>
      <c r="SST23" s="1887"/>
      <c r="SSU23" s="1888"/>
      <c r="SSV23" s="1882"/>
      <c r="SSW23" s="1882"/>
      <c r="SSX23" s="1882"/>
      <c r="SSZ23" s="1887"/>
      <c r="STA23" s="1888"/>
      <c r="STB23" s="1882"/>
      <c r="STC23" s="1882"/>
      <c r="STD23" s="1882"/>
      <c r="STF23" s="1887"/>
      <c r="STG23" s="1888"/>
      <c r="STH23" s="1882"/>
      <c r="STI23" s="1882"/>
      <c r="STJ23" s="1882"/>
      <c r="STL23" s="1887"/>
      <c r="STM23" s="1888"/>
      <c r="STN23" s="1882"/>
      <c r="STO23" s="1882"/>
      <c r="STP23" s="1882"/>
      <c r="STR23" s="1887"/>
      <c r="STS23" s="1888"/>
      <c r="STT23" s="1882"/>
      <c r="STU23" s="1882"/>
      <c r="STV23" s="1882"/>
      <c r="STX23" s="1887"/>
      <c r="STY23" s="1888"/>
      <c r="STZ23" s="1882"/>
      <c r="SUA23" s="1882"/>
      <c r="SUB23" s="1882"/>
      <c r="SUD23" s="1887"/>
      <c r="SUE23" s="1888"/>
      <c r="SUF23" s="1882"/>
      <c r="SUG23" s="1882"/>
      <c r="SUH23" s="1882"/>
      <c r="SUJ23" s="1887"/>
      <c r="SUK23" s="1888"/>
      <c r="SUL23" s="1882"/>
      <c r="SUM23" s="1882"/>
      <c r="SUN23" s="1882"/>
      <c r="SUP23" s="1887"/>
      <c r="SUQ23" s="1888"/>
      <c r="SUR23" s="1882"/>
      <c r="SUS23" s="1882"/>
      <c r="SUT23" s="1882"/>
      <c r="SUV23" s="1887"/>
      <c r="SUW23" s="1888"/>
      <c r="SUX23" s="1882"/>
      <c r="SUY23" s="1882"/>
      <c r="SUZ23" s="1882"/>
      <c r="SVB23" s="1887"/>
      <c r="SVC23" s="1888"/>
      <c r="SVD23" s="1882"/>
      <c r="SVE23" s="1882"/>
      <c r="SVF23" s="1882"/>
      <c r="SVH23" s="1887"/>
      <c r="SVI23" s="1888"/>
      <c r="SVJ23" s="1882"/>
      <c r="SVK23" s="1882"/>
      <c r="SVL23" s="1882"/>
      <c r="SVN23" s="1887"/>
      <c r="SVO23" s="1888"/>
      <c r="SVP23" s="1882"/>
      <c r="SVQ23" s="1882"/>
      <c r="SVR23" s="1882"/>
      <c r="SVT23" s="1887"/>
      <c r="SVU23" s="1888"/>
      <c r="SVV23" s="1882"/>
      <c r="SVW23" s="1882"/>
      <c r="SVX23" s="1882"/>
      <c r="SVZ23" s="1887"/>
      <c r="SWA23" s="1888"/>
      <c r="SWB23" s="1882"/>
      <c r="SWC23" s="1882"/>
      <c r="SWD23" s="1882"/>
      <c r="SWF23" s="1887"/>
      <c r="SWG23" s="1888"/>
      <c r="SWH23" s="1882"/>
      <c r="SWI23" s="1882"/>
      <c r="SWJ23" s="1882"/>
      <c r="SWL23" s="1887"/>
      <c r="SWM23" s="1888"/>
      <c r="SWN23" s="1882"/>
      <c r="SWO23" s="1882"/>
      <c r="SWP23" s="1882"/>
      <c r="SWR23" s="1887"/>
      <c r="SWS23" s="1888"/>
      <c r="SWT23" s="1882"/>
      <c r="SWU23" s="1882"/>
      <c r="SWV23" s="1882"/>
      <c r="SWX23" s="1887"/>
      <c r="SWY23" s="1888"/>
      <c r="SWZ23" s="1882"/>
      <c r="SXA23" s="1882"/>
      <c r="SXB23" s="1882"/>
      <c r="SXD23" s="1887"/>
      <c r="SXE23" s="1888"/>
      <c r="SXF23" s="1882"/>
      <c r="SXG23" s="1882"/>
      <c r="SXH23" s="1882"/>
      <c r="SXJ23" s="1887"/>
      <c r="SXK23" s="1888"/>
      <c r="SXL23" s="1882"/>
      <c r="SXM23" s="1882"/>
      <c r="SXN23" s="1882"/>
      <c r="SXP23" s="1887"/>
      <c r="SXQ23" s="1888"/>
      <c r="SXR23" s="1882"/>
      <c r="SXS23" s="1882"/>
      <c r="SXT23" s="1882"/>
      <c r="SXV23" s="1887"/>
      <c r="SXW23" s="1888"/>
      <c r="SXX23" s="1882"/>
      <c r="SXY23" s="1882"/>
      <c r="SXZ23" s="1882"/>
      <c r="SYB23" s="1887"/>
      <c r="SYC23" s="1888"/>
      <c r="SYD23" s="1882"/>
      <c r="SYE23" s="1882"/>
      <c r="SYF23" s="1882"/>
      <c r="SYH23" s="1887"/>
      <c r="SYI23" s="1888"/>
      <c r="SYJ23" s="1882"/>
      <c r="SYK23" s="1882"/>
      <c r="SYL23" s="1882"/>
      <c r="SYN23" s="1887"/>
      <c r="SYO23" s="1888"/>
      <c r="SYP23" s="1882"/>
      <c r="SYQ23" s="1882"/>
      <c r="SYR23" s="1882"/>
      <c r="SYT23" s="1887"/>
      <c r="SYU23" s="1888"/>
      <c r="SYV23" s="1882"/>
      <c r="SYW23" s="1882"/>
      <c r="SYX23" s="1882"/>
      <c r="SYZ23" s="1887"/>
      <c r="SZA23" s="1888"/>
      <c r="SZB23" s="1882"/>
      <c r="SZC23" s="1882"/>
      <c r="SZD23" s="1882"/>
      <c r="SZF23" s="1887"/>
      <c r="SZG23" s="1888"/>
      <c r="SZH23" s="1882"/>
      <c r="SZI23" s="1882"/>
      <c r="SZJ23" s="1882"/>
      <c r="SZL23" s="1887"/>
      <c r="SZM23" s="1888"/>
      <c r="SZN23" s="1882"/>
      <c r="SZO23" s="1882"/>
      <c r="SZP23" s="1882"/>
      <c r="SZR23" s="1887"/>
      <c r="SZS23" s="1888"/>
      <c r="SZT23" s="1882"/>
      <c r="SZU23" s="1882"/>
      <c r="SZV23" s="1882"/>
      <c r="SZX23" s="1887"/>
      <c r="SZY23" s="1888"/>
      <c r="SZZ23" s="1882"/>
      <c r="TAA23" s="1882"/>
      <c r="TAB23" s="1882"/>
      <c r="TAD23" s="1887"/>
      <c r="TAE23" s="1888"/>
      <c r="TAF23" s="1882"/>
      <c r="TAG23" s="1882"/>
      <c r="TAH23" s="1882"/>
      <c r="TAJ23" s="1887"/>
      <c r="TAK23" s="1888"/>
      <c r="TAL23" s="1882"/>
      <c r="TAM23" s="1882"/>
      <c r="TAN23" s="1882"/>
      <c r="TAP23" s="1887"/>
      <c r="TAQ23" s="1888"/>
      <c r="TAR23" s="1882"/>
      <c r="TAS23" s="1882"/>
      <c r="TAT23" s="1882"/>
      <c r="TAV23" s="1887"/>
      <c r="TAW23" s="1888"/>
      <c r="TAX23" s="1882"/>
      <c r="TAY23" s="1882"/>
      <c r="TAZ23" s="1882"/>
      <c r="TBB23" s="1887"/>
      <c r="TBC23" s="1888"/>
      <c r="TBD23" s="1882"/>
      <c r="TBE23" s="1882"/>
      <c r="TBF23" s="1882"/>
      <c r="TBH23" s="1887"/>
      <c r="TBI23" s="1888"/>
      <c r="TBJ23" s="1882"/>
      <c r="TBK23" s="1882"/>
      <c r="TBL23" s="1882"/>
      <c r="TBN23" s="1887"/>
      <c r="TBO23" s="1888"/>
      <c r="TBP23" s="1882"/>
      <c r="TBQ23" s="1882"/>
      <c r="TBR23" s="1882"/>
      <c r="TBT23" s="1887"/>
      <c r="TBU23" s="1888"/>
      <c r="TBV23" s="1882"/>
      <c r="TBW23" s="1882"/>
      <c r="TBX23" s="1882"/>
      <c r="TBZ23" s="1887"/>
      <c r="TCA23" s="1888"/>
      <c r="TCB23" s="1882"/>
      <c r="TCC23" s="1882"/>
      <c r="TCD23" s="1882"/>
      <c r="TCF23" s="1887"/>
      <c r="TCG23" s="1888"/>
      <c r="TCH23" s="1882"/>
      <c r="TCI23" s="1882"/>
      <c r="TCJ23" s="1882"/>
      <c r="TCL23" s="1887"/>
      <c r="TCM23" s="1888"/>
      <c r="TCN23" s="1882"/>
      <c r="TCO23" s="1882"/>
      <c r="TCP23" s="1882"/>
      <c r="TCR23" s="1887"/>
      <c r="TCS23" s="1888"/>
      <c r="TCT23" s="1882"/>
      <c r="TCU23" s="1882"/>
      <c r="TCV23" s="1882"/>
      <c r="TCX23" s="1887"/>
      <c r="TCY23" s="1888"/>
      <c r="TCZ23" s="1882"/>
      <c r="TDA23" s="1882"/>
      <c r="TDB23" s="1882"/>
      <c r="TDD23" s="1887"/>
      <c r="TDE23" s="1888"/>
      <c r="TDF23" s="1882"/>
      <c r="TDG23" s="1882"/>
      <c r="TDH23" s="1882"/>
      <c r="TDJ23" s="1887"/>
      <c r="TDK23" s="1888"/>
      <c r="TDL23" s="1882"/>
      <c r="TDM23" s="1882"/>
      <c r="TDN23" s="1882"/>
      <c r="TDP23" s="1887"/>
      <c r="TDQ23" s="1888"/>
      <c r="TDR23" s="1882"/>
      <c r="TDS23" s="1882"/>
      <c r="TDT23" s="1882"/>
      <c r="TDV23" s="1887"/>
      <c r="TDW23" s="1888"/>
      <c r="TDX23" s="1882"/>
      <c r="TDY23" s="1882"/>
      <c r="TDZ23" s="1882"/>
      <c r="TEB23" s="1887"/>
      <c r="TEC23" s="1888"/>
      <c r="TED23" s="1882"/>
      <c r="TEE23" s="1882"/>
      <c r="TEF23" s="1882"/>
      <c r="TEH23" s="1887"/>
      <c r="TEI23" s="1888"/>
      <c r="TEJ23" s="1882"/>
      <c r="TEK23" s="1882"/>
      <c r="TEL23" s="1882"/>
      <c r="TEN23" s="1887"/>
      <c r="TEO23" s="1888"/>
      <c r="TEP23" s="1882"/>
      <c r="TEQ23" s="1882"/>
      <c r="TER23" s="1882"/>
      <c r="TET23" s="1887"/>
      <c r="TEU23" s="1888"/>
      <c r="TEV23" s="1882"/>
      <c r="TEW23" s="1882"/>
      <c r="TEX23" s="1882"/>
      <c r="TEZ23" s="1887"/>
      <c r="TFA23" s="1888"/>
      <c r="TFB23" s="1882"/>
      <c r="TFC23" s="1882"/>
      <c r="TFD23" s="1882"/>
      <c r="TFF23" s="1887"/>
      <c r="TFG23" s="1888"/>
      <c r="TFH23" s="1882"/>
      <c r="TFI23" s="1882"/>
      <c r="TFJ23" s="1882"/>
      <c r="TFL23" s="1887"/>
      <c r="TFM23" s="1888"/>
      <c r="TFN23" s="1882"/>
      <c r="TFO23" s="1882"/>
      <c r="TFP23" s="1882"/>
      <c r="TFR23" s="1887"/>
      <c r="TFS23" s="1888"/>
      <c r="TFT23" s="1882"/>
      <c r="TFU23" s="1882"/>
      <c r="TFV23" s="1882"/>
      <c r="TFX23" s="1887"/>
      <c r="TFY23" s="1888"/>
      <c r="TFZ23" s="1882"/>
      <c r="TGA23" s="1882"/>
      <c r="TGB23" s="1882"/>
      <c r="TGD23" s="1887"/>
      <c r="TGE23" s="1888"/>
      <c r="TGF23" s="1882"/>
      <c r="TGG23" s="1882"/>
      <c r="TGH23" s="1882"/>
      <c r="TGJ23" s="1887"/>
      <c r="TGK23" s="1888"/>
      <c r="TGL23" s="1882"/>
      <c r="TGM23" s="1882"/>
      <c r="TGN23" s="1882"/>
      <c r="TGP23" s="1887"/>
      <c r="TGQ23" s="1888"/>
      <c r="TGR23" s="1882"/>
      <c r="TGS23" s="1882"/>
      <c r="TGT23" s="1882"/>
      <c r="TGV23" s="1887"/>
      <c r="TGW23" s="1888"/>
      <c r="TGX23" s="1882"/>
      <c r="TGY23" s="1882"/>
      <c r="TGZ23" s="1882"/>
      <c r="THB23" s="1887"/>
      <c r="THC23" s="1888"/>
      <c r="THD23" s="1882"/>
      <c r="THE23" s="1882"/>
      <c r="THF23" s="1882"/>
      <c r="THH23" s="1887"/>
      <c r="THI23" s="1888"/>
      <c r="THJ23" s="1882"/>
      <c r="THK23" s="1882"/>
      <c r="THL23" s="1882"/>
      <c r="THN23" s="1887"/>
      <c r="THO23" s="1888"/>
      <c r="THP23" s="1882"/>
      <c r="THQ23" s="1882"/>
      <c r="THR23" s="1882"/>
      <c r="THT23" s="1887"/>
      <c r="THU23" s="1888"/>
      <c r="THV23" s="1882"/>
      <c r="THW23" s="1882"/>
      <c r="THX23" s="1882"/>
      <c r="THZ23" s="1887"/>
      <c r="TIA23" s="1888"/>
      <c r="TIB23" s="1882"/>
      <c r="TIC23" s="1882"/>
      <c r="TID23" s="1882"/>
      <c r="TIF23" s="1887"/>
      <c r="TIG23" s="1888"/>
      <c r="TIH23" s="1882"/>
      <c r="TII23" s="1882"/>
      <c r="TIJ23" s="1882"/>
      <c r="TIL23" s="1887"/>
      <c r="TIM23" s="1888"/>
      <c r="TIN23" s="1882"/>
      <c r="TIO23" s="1882"/>
      <c r="TIP23" s="1882"/>
      <c r="TIR23" s="1887"/>
      <c r="TIS23" s="1888"/>
      <c r="TIT23" s="1882"/>
      <c r="TIU23" s="1882"/>
      <c r="TIV23" s="1882"/>
      <c r="TIX23" s="1887"/>
      <c r="TIY23" s="1888"/>
      <c r="TIZ23" s="1882"/>
      <c r="TJA23" s="1882"/>
      <c r="TJB23" s="1882"/>
      <c r="TJD23" s="1887"/>
      <c r="TJE23" s="1888"/>
      <c r="TJF23" s="1882"/>
      <c r="TJG23" s="1882"/>
      <c r="TJH23" s="1882"/>
      <c r="TJJ23" s="1887"/>
      <c r="TJK23" s="1888"/>
      <c r="TJL23" s="1882"/>
      <c r="TJM23" s="1882"/>
      <c r="TJN23" s="1882"/>
      <c r="TJP23" s="1887"/>
      <c r="TJQ23" s="1888"/>
      <c r="TJR23" s="1882"/>
      <c r="TJS23" s="1882"/>
      <c r="TJT23" s="1882"/>
      <c r="TJV23" s="1887"/>
      <c r="TJW23" s="1888"/>
      <c r="TJX23" s="1882"/>
      <c r="TJY23" s="1882"/>
      <c r="TJZ23" s="1882"/>
      <c r="TKB23" s="1887"/>
      <c r="TKC23" s="1888"/>
      <c r="TKD23" s="1882"/>
      <c r="TKE23" s="1882"/>
      <c r="TKF23" s="1882"/>
      <c r="TKH23" s="1887"/>
      <c r="TKI23" s="1888"/>
      <c r="TKJ23" s="1882"/>
      <c r="TKK23" s="1882"/>
      <c r="TKL23" s="1882"/>
      <c r="TKN23" s="1887"/>
      <c r="TKO23" s="1888"/>
      <c r="TKP23" s="1882"/>
      <c r="TKQ23" s="1882"/>
      <c r="TKR23" s="1882"/>
      <c r="TKT23" s="1887"/>
      <c r="TKU23" s="1888"/>
      <c r="TKV23" s="1882"/>
      <c r="TKW23" s="1882"/>
      <c r="TKX23" s="1882"/>
      <c r="TKZ23" s="1887"/>
      <c r="TLA23" s="1888"/>
      <c r="TLB23" s="1882"/>
      <c r="TLC23" s="1882"/>
      <c r="TLD23" s="1882"/>
      <c r="TLF23" s="1887"/>
      <c r="TLG23" s="1888"/>
      <c r="TLH23" s="1882"/>
      <c r="TLI23" s="1882"/>
      <c r="TLJ23" s="1882"/>
      <c r="TLL23" s="1887"/>
      <c r="TLM23" s="1888"/>
      <c r="TLN23" s="1882"/>
      <c r="TLO23" s="1882"/>
      <c r="TLP23" s="1882"/>
      <c r="TLR23" s="1887"/>
      <c r="TLS23" s="1888"/>
      <c r="TLT23" s="1882"/>
      <c r="TLU23" s="1882"/>
      <c r="TLV23" s="1882"/>
      <c r="TLX23" s="1887"/>
      <c r="TLY23" s="1888"/>
      <c r="TLZ23" s="1882"/>
      <c r="TMA23" s="1882"/>
      <c r="TMB23" s="1882"/>
      <c r="TMD23" s="1887"/>
      <c r="TME23" s="1888"/>
      <c r="TMF23" s="1882"/>
      <c r="TMG23" s="1882"/>
      <c r="TMH23" s="1882"/>
      <c r="TMJ23" s="1887"/>
      <c r="TMK23" s="1888"/>
      <c r="TML23" s="1882"/>
      <c r="TMM23" s="1882"/>
      <c r="TMN23" s="1882"/>
      <c r="TMP23" s="1887"/>
      <c r="TMQ23" s="1888"/>
      <c r="TMR23" s="1882"/>
      <c r="TMS23" s="1882"/>
      <c r="TMT23" s="1882"/>
      <c r="TMV23" s="1887"/>
      <c r="TMW23" s="1888"/>
      <c r="TMX23" s="1882"/>
      <c r="TMY23" s="1882"/>
      <c r="TMZ23" s="1882"/>
      <c r="TNB23" s="1887"/>
      <c r="TNC23" s="1888"/>
      <c r="TND23" s="1882"/>
      <c r="TNE23" s="1882"/>
      <c r="TNF23" s="1882"/>
      <c r="TNH23" s="1887"/>
      <c r="TNI23" s="1888"/>
      <c r="TNJ23" s="1882"/>
      <c r="TNK23" s="1882"/>
      <c r="TNL23" s="1882"/>
      <c r="TNN23" s="1887"/>
      <c r="TNO23" s="1888"/>
      <c r="TNP23" s="1882"/>
      <c r="TNQ23" s="1882"/>
      <c r="TNR23" s="1882"/>
      <c r="TNT23" s="1887"/>
      <c r="TNU23" s="1888"/>
      <c r="TNV23" s="1882"/>
      <c r="TNW23" s="1882"/>
      <c r="TNX23" s="1882"/>
      <c r="TNZ23" s="1887"/>
      <c r="TOA23" s="1888"/>
      <c r="TOB23" s="1882"/>
      <c r="TOC23" s="1882"/>
      <c r="TOD23" s="1882"/>
      <c r="TOF23" s="1887"/>
      <c r="TOG23" s="1888"/>
      <c r="TOH23" s="1882"/>
      <c r="TOI23" s="1882"/>
      <c r="TOJ23" s="1882"/>
      <c r="TOL23" s="1887"/>
      <c r="TOM23" s="1888"/>
      <c r="TON23" s="1882"/>
      <c r="TOO23" s="1882"/>
      <c r="TOP23" s="1882"/>
      <c r="TOR23" s="1887"/>
      <c r="TOS23" s="1888"/>
      <c r="TOT23" s="1882"/>
      <c r="TOU23" s="1882"/>
      <c r="TOV23" s="1882"/>
      <c r="TOX23" s="1887"/>
      <c r="TOY23" s="1888"/>
      <c r="TOZ23" s="1882"/>
      <c r="TPA23" s="1882"/>
      <c r="TPB23" s="1882"/>
      <c r="TPD23" s="1887"/>
      <c r="TPE23" s="1888"/>
      <c r="TPF23" s="1882"/>
      <c r="TPG23" s="1882"/>
      <c r="TPH23" s="1882"/>
      <c r="TPJ23" s="1887"/>
      <c r="TPK23" s="1888"/>
      <c r="TPL23" s="1882"/>
      <c r="TPM23" s="1882"/>
      <c r="TPN23" s="1882"/>
      <c r="TPP23" s="1887"/>
      <c r="TPQ23" s="1888"/>
      <c r="TPR23" s="1882"/>
      <c r="TPS23" s="1882"/>
      <c r="TPT23" s="1882"/>
      <c r="TPV23" s="1887"/>
      <c r="TPW23" s="1888"/>
      <c r="TPX23" s="1882"/>
      <c r="TPY23" s="1882"/>
      <c r="TPZ23" s="1882"/>
      <c r="TQB23" s="1887"/>
      <c r="TQC23" s="1888"/>
      <c r="TQD23" s="1882"/>
      <c r="TQE23" s="1882"/>
      <c r="TQF23" s="1882"/>
      <c r="TQH23" s="1887"/>
      <c r="TQI23" s="1888"/>
      <c r="TQJ23" s="1882"/>
      <c r="TQK23" s="1882"/>
      <c r="TQL23" s="1882"/>
      <c r="TQN23" s="1887"/>
      <c r="TQO23" s="1888"/>
      <c r="TQP23" s="1882"/>
      <c r="TQQ23" s="1882"/>
      <c r="TQR23" s="1882"/>
      <c r="TQT23" s="1887"/>
      <c r="TQU23" s="1888"/>
      <c r="TQV23" s="1882"/>
      <c r="TQW23" s="1882"/>
      <c r="TQX23" s="1882"/>
      <c r="TQZ23" s="1887"/>
      <c r="TRA23" s="1888"/>
      <c r="TRB23" s="1882"/>
      <c r="TRC23" s="1882"/>
      <c r="TRD23" s="1882"/>
      <c r="TRF23" s="1887"/>
      <c r="TRG23" s="1888"/>
      <c r="TRH23" s="1882"/>
      <c r="TRI23" s="1882"/>
      <c r="TRJ23" s="1882"/>
      <c r="TRL23" s="1887"/>
      <c r="TRM23" s="1888"/>
      <c r="TRN23" s="1882"/>
      <c r="TRO23" s="1882"/>
      <c r="TRP23" s="1882"/>
      <c r="TRR23" s="1887"/>
      <c r="TRS23" s="1888"/>
      <c r="TRT23" s="1882"/>
      <c r="TRU23" s="1882"/>
      <c r="TRV23" s="1882"/>
      <c r="TRX23" s="1887"/>
      <c r="TRY23" s="1888"/>
      <c r="TRZ23" s="1882"/>
      <c r="TSA23" s="1882"/>
      <c r="TSB23" s="1882"/>
      <c r="TSD23" s="1887"/>
      <c r="TSE23" s="1888"/>
      <c r="TSF23" s="1882"/>
      <c r="TSG23" s="1882"/>
      <c r="TSH23" s="1882"/>
      <c r="TSJ23" s="1887"/>
      <c r="TSK23" s="1888"/>
      <c r="TSL23" s="1882"/>
      <c r="TSM23" s="1882"/>
      <c r="TSN23" s="1882"/>
      <c r="TSP23" s="1887"/>
      <c r="TSQ23" s="1888"/>
      <c r="TSR23" s="1882"/>
      <c r="TSS23" s="1882"/>
      <c r="TST23" s="1882"/>
      <c r="TSV23" s="1887"/>
      <c r="TSW23" s="1888"/>
      <c r="TSX23" s="1882"/>
      <c r="TSY23" s="1882"/>
      <c r="TSZ23" s="1882"/>
      <c r="TTB23" s="1887"/>
      <c r="TTC23" s="1888"/>
      <c r="TTD23" s="1882"/>
      <c r="TTE23" s="1882"/>
      <c r="TTF23" s="1882"/>
      <c r="TTH23" s="1887"/>
      <c r="TTI23" s="1888"/>
      <c r="TTJ23" s="1882"/>
      <c r="TTK23" s="1882"/>
      <c r="TTL23" s="1882"/>
      <c r="TTN23" s="1887"/>
      <c r="TTO23" s="1888"/>
      <c r="TTP23" s="1882"/>
      <c r="TTQ23" s="1882"/>
      <c r="TTR23" s="1882"/>
      <c r="TTT23" s="1887"/>
      <c r="TTU23" s="1888"/>
      <c r="TTV23" s="1882"/>
      <c r="TTW23" s="1882"/>
      <c r="TTX23" s="1882"/>
      <c r="TTZ23" s="1887"/>
      <c r="TUA23" s="1888"/>
      <c r="TUB23" s="1882"/>
      <c r="TUC23" s="1882"/>
      <c r="TUD23" s="1882"/>
      <c r="TUF23" s="1887"/>
      <c r="TUG23" s="1888"/>
      <c r="TUH23" s="1882"/>
      <c r="TUI23" s="1882"/>
      <c r="TUJ23" s="1882"/>
      <c r="TUL23" s="1887"/>
      <c r="TUM23" s="1888"/>
      <c r="TUN23" s="1882"/>
      <c r="TUO23" s="1882"/>
      <c r="TUP23" s="1882"/>
      <c r="TUR23" s="1887"/>
      <c r="TUS23" s="1888"/>
      <c r="TUT23" s="1882"/>
      <c r="TUU23" s="1882"/>
      <c r="TUV23" s="1882"/>
      <c r="TUX23" s="1887"/>
      <c r="TUY23" s="1888"/>
      <c r="TUZ23" s="1882"/>
      <c r="TVA23" s="1882"/>
      <c r="TVB23" s="1882"/>
      <c r="TVD23" s="1887"/>
      <c r="TVE23" s="1888"/>
      <c r="TVF23" s="1882"/>
      <c r="TVG23" s="1882"/>
      <c r="TVH23" s="1882"/>
      <c r="TVJ23" s="1887"/>
      <c r="TVK23" s="1888"/>
      <c r="TVL23" s="1882"/>
      <c r="TVM23" s="1882"/>
      <c r="TVN23" s="1882"/>
      <c r="TVP23" s="1887"/>
      <c r="TVQ23" s="1888"/>
      <c r="TVR23" s="1882"/>
      <c r="TVS23" s="1882"/>
      <c r="TVT23" s="1882"/>
      <c r="TVV23" s="1887"/>
      <c r="TVW23" s="1888"/>
      <c r="TVX23" s="1882"/>
      <c r="TVY23" s="1882"/>
      <c r="TVZ23" s="1882"/>
      <c r="TWB23" s="1887"/>
      <c r="TWC23" s="1888"/>
      <c r="TWD23" s="1882"/>
      <c r="TWE23" s="1882"/>
      <c r="TWF23" s="1882"/>
      <c r="TWH23" s="1887"/>
      <c r="TWI23" s="1888"/>
      <c r="TWJ23" s="1882"/>
      <c r="TWK23" s="1882"/>
      <c r="TWL23" s="1882"/>
      <c r="TWN23" s="1887"/>
      <c r="TWO23" s="1888"/>
      <c r="TWP23" s="1882"/>
      <c r="TWQ23" s="1882"/>
      <c r="TWR23" s="1882"/>
      <c r="TWT23" s="1887"/>
      <c r="TWU23" s="1888"/>
      <c r="TWV23" s="1882"/>
      <c r="TWW23" s="1882"/>
      <c r="TWX23" s="1882"/>
      <c r="TWZ23" s="1887"/>
      <c r="TXA23" s="1888"/>
      <c r="TXB23" s="1882"/>
      <c r="TXC23" s="1882"/>
      <c r="TXD23" s="1882"/>
      <c r="TXF23" s="1887"/>
      <c r="TXG23" s="1888"/>
      <c r="TXH23" s="1882"/>
      <c r="TXI23" s="1882"/>
      <c r="TXJ23" s="1882"/>
      <c r="TXL23" s="1887"/>
      <c r="TXM23" s="1888"/>
      <c r="TXN23" s="1882"/>
      <c r="TXO23" s="1882"/>
      <c r="TXP23" s="1882"/>
      <c r="TXR23" s="1887"/>
      <c r="TXS23" s="1888"/>
      <c r="TXT23" s="1882"/>
      <c r="TXU23" s="1882"/>
      <c r="TXV23" s="1882"/>
      <c r="TXX23" s="1887"/>
      <c r="TXY23" s="1888"/>
      <c r="TXZ23" s="1882"/>
      <c r="TYA23" s="1882"/>
      <c r="TYB23" s="1882"/>
      <c r="TYD23" s="1887"/>
      <c r="TYE23" s="1888"/>
      <c r="TYF23" s="1882"/>
      <c r="TYG23" s="1882"/>
      <c r="TYH23" s="1882"/>
      <c r="TYJ23" s="1887"/>
      <c r="TYK23" s="1888"/>
      <c r="TYL23" s="1882"/>
      <c r="TYM23" s="1882"/>
      <c r="TYN23" s="1882"/>
      <c r="TYP23" s="1887"/>
      <c r="TYQ23" s="1888"/>
      <c r="TYR23" s="1882"/>
      <c r="TYS23" s="1882"/>
      <c r="TYT23" s="1882"/>
      <c r="TYV23" s="1887"/>
      <c r="TYW23" s="1888"/>
      <c r="TYX23" s="1882"/>
      <c r="TYY23" s="1882"/>
      <c r="TYZ23" s="1882"/>
      <c r="TZB23" s="1887"/>
      <c r="TZC23" s="1888"/>
      <c r="TZD23" s="1882"/>
      <c r="TZE23" s="1882"/>
      <c r="TZF23" s="1882"/>
      <c r="TZH23" s="1887"/>
      <c r="TZI23" s="1888"/>
      <c r="TZJ23" s="1882"/>
      <c r="TZK23" s="1882"/>
      <c r="TZL23" s="1882"/>
      <c r="TZN23" s="1887"/>
      <c r="TZO23" s="1888"/>
      <c r="TZP23" s="1882"/>
      <c r="TZQ23" s="1882"/>
      <c r="TZR23" s="1882"/>
      <c r="TZT23" s="1887"/>
      <c r="TZU23" s="1888"/>
      <c r="TZV23" s="1882"/>
      <c r="TZW23" s="1882"/>
      <c r="TZX23" s="1882"/>
      <c r="TZZ23" s="1887"/>
      <c r="UAA23" s="1888"/>
      <c r="UAB23" s="1882"/>
      <c r="UAC23" s="1882"/>
      <c r="UAD23" s="1882"/>
      <c r="UAF23" s="1887"/>
      <c r="UAG23" s="1888"/>
      <c r="UAH23" s="1882"/>
      <c r="UAI23" s="1882"/>
      <c r="UAJ23" s="1882"/>
      <c r="UAL23" s="1887"/>
      <c r="UAM23" s="1888"/>
      <c r="UAN23" s="1882"/>
      <c r="UAO23" s="1882"/>
      <c r="UAP23" s="1882"/>
      <c r="UAR23" s="1887"/>
      <c r="UAS23" s="1888"/>
      <c r="UAT23" s="1882"/>
      <c r="UAU23" s="1882"/>
      <c r="UAV23" s="1882"/>
      <c r="UAX23" s="1887"/>
      <c r="UAY23" s="1888"/>
      <c r="UAZ23" s="1882"/>
      <c r="UBA23" s="1882"/>
      <c r="UBB23" s="1882"/>
      <c r="UBD23" s="1887"/>
      <c r="UBE23" s="1888"/>
      <c r="UBF23" s="1882"/>
      <c r="UBG23" s="1882"/>
      <c r="UBH23" s="1882"/>
      <c r="UBJ23" s="1887"/>
      <c r="UBK23" s="1888"/>
      <c r="UBL23" s="1882"/>
      <c r="UBM23" s="1882"/>
      <c r="UBN23" s="1882"/>
      <c r="UBP23" s="1887"/>
      <c r="UBQ23" s="1888"/>
      <c r="UBR23" s="1882"/>
      <c r="UBS23" s="1882"/>
      <c r="UBT23" s="1882"/>
      <c r="UBV23" s="1887"/>
      <c r="UBW23" s="1888"/>
      <c r="UBX23" s="1882"/>
      <c r="UBY23" s="1882"/>
      <c r="UBZ23" s="1882"/>
      <c r="UCB23" s="1887"/>
      <c r="UCC23" s="1888"/>
      <c r="UCD23" s="1882"/>
      <c r="UCE23" s="1882"/>
      <c r="UCF23" s="1882"/>
      <c r="UCH23" s="1887"/>
      <c r="UCI23" s="1888"/>
      <c r="UCJ23" s="1882"/>
      <c r="UCK23" s="1882"/>
      <c r="UCL23" s="1882"/>
      <c r="UCN23" s="1887"/>
      <c r="UCO23" s="1888"/>
      <c r="UCP23" s="1882"/>
      <c r="UCQ23" s="1882"/>
      <c r="UCR23" s="1882"/>
      <c r="UCT23" s="1887"/>
      <c r="UCU23" s="1888"/>
      <c r="UCV23" s="1882"/>
      <c r="UCW23" s="1882"/>
      <c r="UCX23" s="1882"/>
      <c r="UCZ23" s="1887"/>
      <c r="UDA23" s="1888"/>
      <c r="UDB23" s="1882"/>
      <c r="UDC23" s="1882"/>
      <c r="UDD23" s="1882"/>
      <c r="UDF23" s="1887"/>
      <c r="UDG23" s="1888"/>
      <c r="UDH23" s="1882"/>
      <c r="UDI23" s="1882"/>
      <c r="UDJ23" s="1882"/>
      <c r="UDL23" s="1887"/>
      <c r="UDM23" s="1888"/>
      <c r="UDN23" s="1882"/>
      <c r="UDO23" s="1882"/>
      <c r="UDP23" s="1882"/>
      <c r="UDR23" s="1887"/>
      <c r="UDS23" s="1888"/>
      <c r="UDT23" s="1882"/>
      <c r="UDU23" s="1882"/>
      <c r="UDV23" s="1882"/>
      <c r="UDX23" s="1887"/>
      <c r="UDY23" s="1888"/>
      <c r="UDZ23" s="1882"/>
      <c r="UEA23" s="1882"/>
      <c r="UEB23" s="1882"/>
      <c r="UED23" s="1887"/>
      <c r="UEE23" s="1888"/>
      <c r="UEF23" s="1882"/>
      <c r="UEG23" s="1882"/>
      <c r="UEH23" s="1882"/>
      <c r="UEJ23" s="1887"/>
      <c r="UEK23" s="1888"/>
      <c r="UEL23" s="1882"/>
      <c r="UEM23" s="1882"/>
      <c r="UEN23" s="1882"/>
      <c r="UEP23" s="1887"/>
      <c r="UEQ23" s="1888"/>
      <c r="UER23" s="1882"/>
      <c r="UES23" s="1882"/>
      <c r="UET23" s="1882"/>
      <c r="UEV23" s="1887"/>
      <c r="UEW23" s="1888"/>
      <c r="UEX23" s="1882"/>
      <c r="UEY23" s="1882"/>
      <c r="UEZ23" s="1882"/>
      <c r="UFB23" s="1887"/>
      <c r="UFC23" s="1888"/>
      <c r="UFD23" s="1882"/>
      <c r="UFE23" s="1882"/>
      <c r="UFF23" s="1882"/>
      <c r="UFH23" s="1887"/>
      <c r="UFI23" s="1888"/>
      <c r="UFJ23" s="1882"/>
      <c r="UFK23" s="1882"/>
      <c r="UFL23" s="1882"/>
      <c r="UFN23" s="1887"/>
      <c r="UFO23" s="1888"/>
      <c r="UFP23" s="1882"/>
      <c r="UFQ23" s="1882"/>
      <c r="UFR23" s="1882"/>
      <c r="UFT23" s="1887"/>
      <c r="UFU23" s="1888"/>
      <c r="UFV23" s="1882"/>
      <c r="UFW23" s="1882"/>
      <c r="UFX23" s="1882"/>
      <c r="UFZ23" s="1887"/>
      <c r="UGA23" s="1888"/>
      <c r="UGB23" s="1882"/>
      <c r="UGC23" s="1882"/>
      <c r="UGD23" s="1882"/>
      <c r="UGF23" s="1887"/>
      <c r="UGG23" s="1888"/>
      <c r="UGH23" s="1882"/>
      <c r="UGI23" s="1882"/>
      <c r="UGJ23" s="1882"/>
      <c r="UGL23" s="1887"/>
      <c r="UGM23" s="1888"/>
      <c r="UGN23" s="1882"/>
      <c r="UGO23" s="1882"/>
      <c r="UGP23" s="1882"/>
      <c r="UGR23" s="1887"/>
      <c r="UGS23" s="1888"/>
      <c r="UGT23" s="1882"/>
      <c r="UGU23" s="1882"/>
      <c r="UGV23" s="1882"/>
      <c r="UGX23" s="1887"/>
      <c r="UGY23" s="1888"/>
      <c r="UGZ23" s="1882"/>
      <c r="UHA23" s="1882"/>
      <c r="UHB23" s="1882"/>
      <c r="UHD23" s="1887"/>
      <c r="UHE23" s="1888"/>
      <c r="UHF23" s="1882"/>
      <c r="UHG23" s="1882"/>
      <c r="UHH23" s="1882"/>
      <c r="UHJ23" s="1887"/>
      <c r="UHK23" s="1888"/>
      <c r="UHL23" s="1882"/>
      <c r="UHM23" s="1882"/>
      <c r="UHN23" s="1882"/>
      <c r="UHP23" s="1887"/>
      <c r="UHQ23" s="1888"/>
      <c r="UHR23" s="1882"/>
      <c r="UHS23" s="1882"/>
      <c r="UHT23" s="1882"/>
      <c r="UHV23" s="1887"/>
      <c r="UHW23" s="1888"/>
      <c r="UHX23" s="1882"/>
      <c r="UHY23" s="1882"/>
      <c r="UHZ23" s="1882"/>
      <c r="UIB23" s="1887"/>
      <c r="UIC23" s="1888"/>
      <c r="UID23" s="1882"/>
      <c r="UIE23" s="1882"/>
      <c r="UIF23" s="1882"/>
      <c r="UIH23" s="1887"/>
      <c r="UII23" s="1888"/>
      <c r="UIJ23" s="1882"/>
      <c r="UIK23" s="1882"/>
      <c r="UIL23" s="1882"/>
      <c r="UIN23" s="1887"/>
      <c r="UIO23" s="1888"/>
      <c r="UIP23" s="1882"/>
      <c r="UIQ23" s="1882"/>
      <c r="UIR23" s="1882"/>
      <c r="UIT23" s="1887"/>
      <c r="UIU23" s="1888"/>
      <c r="UIV23" s="1882"/>
      <c r="UIW23" s="1882"/>
      <c r="UIX23" s="1882"/>
      <c r="UIZ23" s="1887"/>
      <c r="UJA23" s="1888"/>
      <c r="UJB23" s="1882"/>
      <c r="UJC23" s="1882"/>
      <c r="UJD23" s="1882"/>
      <c r="UJF23" s="1887"/>
      <c r="UJG23" s="1888"/>
      <c r="UJH23" s="1882"/>
      <c r="UJI23" s="1882"/>
      <c r="UJJ23" s="1882"/>
      <c r="UJL23" s="1887"/>
      <c r="UJM23" s="1888"/>
      <c r="UJN23" s="1882"/>
      <c r="UJO23" s="1882"/>
      <c r="UJP23" s="1882"/>
      <c r="UJR23" s="1887"/>
      <c r="UJS23" s="1888"/>
      <c r="UJT23" s="1882"/>
      <c r="UJU23" s="1882"/>
      <c r="UJV23" s="1882"/>
      <c r="UJX23" s="1887"/>
      <c r="UJY23" s="1888"/>
      <c r="UJZ23" s="1882"/>
      <c r="UKA23" s="1882"/>
      <c r="UKB23" s="1882"/>
      <c r="UKD23" s="1887"/>
      <c r="UKE23" s="1888"/>
      <c r="UKF23" s="1882"/>
      <c r="UKG23" s="1882"/>
      <c r="UKH23" s="1882"/>
      <c r="UKJ23" s="1887"/>
      <c r="UKK23" s="1888"/>
      <c r="UKL23" s="1882"/>
      <c r="UKM23" s="1882"/>
      <c r="UKN23" s="1882"/>
      <c r="UKP23" s="1887"/>
      <c r="UKQ23" s="1888"/>
      <c r="UKR23" s="1882"/>
      <c r="UKS23" s="1882"/>
      <c r="UKT23" s="1882"/>
      <c r="UKV23" s="1887"/>
      <c r="UKW23" s="1888"/>
      <c r="UKX23" s="1882"/>
      <c r="UKY23" s="1882"/>
      <c r="UKZ23" s="1882"/>
      <c r="ULB23" s="1887"/>
      <c r="ULC23" s="1888"/>
      <c r="ULD23" s="1882"/>
      <c r="ULE23" s="1882"/>
      <c r="ULF23" s="1882"/>
      <c r="ULH23" s="1887"/>
      <c r="ULI23" s="1888"/>
      <c r="ULJ23" s="1882"/>
      <c r="ULK23" s="1882"/>
      <c r="ULL23" s="1882"/>
      <c r="ULN23" s="1887"/>
      <c r="ULO23" s="1888"/>
      <c r="ULP23" s="1882"/>
      <c r="ULQ23" s="1882"/>
      <c r="ULR23" s="1882"/>
      <c r="ULT23" s="1887"/>
      <c r="ULU23" s="1888"/>
      <c r="ULV23" s="1882"/>
      <c r="ULW23" s="1882"/>
      <c r="ULX23" s="1882"/>
      <c r="ULZ23" s="1887"/>
      <c r="UMA23" s="1888"/>
      <c r="UMB23" s="1882"/>
      <c r="UMC23" s="1882"/>
      <c r="UMD23" s="1882"/>
      <c r="UMF23" s="1887"/>
      <c r="UMG23" s="1888"/>
      <c r="UMH23" s="1882"/>
      <c r="UMI23" s="1882"/>
      <c r="UMJ23" s="1882"/>
      <c r="UML23" s="1887"/>
      <c r="UMM23" s="1888"/>
      <c r="UMN23" s="1882"/>
      <c r="UMO23" s="1882"/>
      <c r="UMP23" s="1882"/>
      <c r="UMR23" s="1887"/>
      <c r="UMS23" s="1888"/>
      <c r="UMT23" s="1882"/>
      <c r="UMU23" s="1882"/>
      <c r="UMV23" s="1882"/>
      <c r="UMX23" s="1887"/>
      <c r="UMY23" s="1888"/>
      <c r="UMZ23" s="1882"/>
      <c r="UNA23" s="1882"/>
      <c r="UNB23" s="1882"/>
      <c r="UND23" s="1887"/>
      <c r="UNE23" s="1888"/>
      <c r="UNF23" s="1882"/>
      <c r="UNG23" s="1882"/>
      <c r="UNH23" s="1882"/>
      <c r="UNJ23" s="1887"/>
      <c r="UNK23" s="1888"/>
      <c r="UNL23" s="1882"/>
      <c r="UNM23" s="1882"/>
      <c r="UNN23" s="1882"/>
      <c r="UNP23" s="1887"/>
      <c r="UNQ23" s="1888"/>
      <c r="UNR23" s="1882"/>
      <c r="UNS23" s="1882"/>
      <c r="UNT23" s="1882"/>
      <c r="UNV23" s="1887"/>
      <c r="UNW23" s="1888"/>
      <c r="UNX23" s="1882"/>
      <c r="UNY23" s="1882"/>
      <c r="UNZ23" s="1882"/>
      <c r="UOB23" s="1887"/>
      <c r="UOC23" s="1888"/>
      <c r="UOD23" s="1882"/>
      <c r="UOE23" s="1882"/>
      <c r="UOF23" s="1882"/>
      <c r="UOH23" s="1887"/>
      <c r="UOI23" s="1888"/>
      <c r="UOJ23" s="1882"/>
      <c r="UOK23" s="1882"/>
      <c r="UOL23" s="1882"/>
      <c r="UON23" s="1887"/>
      <c r="UOO23" s="1888"/>
      <c r="UOP23" s="1882"/>
      <c r="UOQ23" s="1882"/>
      <c r="UOR23" s="1882"/>
      <c r="UOT23" s="1887"/>
      <c r="UOU23" s="1888"/>
      <c r="UOV23" s="1882"/>
      <c r="UOW23" s="1882"/>
      <c r="UOX23" s="1882"/>
      <c r="UOZ23" s="1887"/>
      <c r="UPA23" s="1888"/>
      <c r="UPB23" s="1882"/>
      <c r="UPC23" s="1882"/>
      <c r="UPD23" s="1882"/>
      <c r="UPF23" s="1887"/>
      <c r="UPG23" s="1888"/>
      <c r="UPH23" s="1882"/>
      <c r="UPI23" s="1882"/>
      <c r="UPJ23" s="1882"/>
      <c r="UPL23" s="1887"/>
      <c r="UPM23" s="1888"/>
      <c r="UPN23" s="1882"/>
      <c r="UPO23" s="1882"/>
      <c r="UPP23" s="1882"/>
      <c r="UPR23" s="1887"/>
      <c r="UPS23" s="1888"/>
      <c r="UPT23" s="1882"/>
      <c r="UPU23" s="1882"/>
      <c r="UPV23" s="1882"/>
      <c r="UPX23" s="1887"/>
      <c r="UPY23" s="1888"/>
      <c r="UPZ23" s="1882"/>
      <c r="UQA23" s="1882"/>
      <c r="UQB23" s="1882"/>
      <c r="UQD23" s="1887"/>
      <c r="UQE23" s="1888"/>
      <c r="UQF23" s="1882"/>
      <c r="UQG23" s="1882"/>
      <c r="UQH23" s="1882"/>
      <c r="UQJ23" s="1887"/>
      <c r="UQK23" s="1888"/>
      <c r="UQL23" s="1882"/>
      <c r="UQM23" s="1882"/>
      <c r="UQN23" s="1882"/>
      <c r="UQP23" s="1887"/>
      <c r="UQQ23" s="1888"/>
      <c r="UQR23" s="1882"/>
      <c r="UQS23" s="1882"/>
      <c r="UQT23" s="1882"/>
      <c r="UQV23" s="1887"/>
      <c r="UQW23" s="1888"/>
      <c r="UQX23" s="1882"/>
      <c r="UQY23" s="1882"/>
      <c r="UQZ23" s="1882"/>
      <c r="URB23" s="1887"/>
      <c r="URC23" s="1888"/>
      <c r="URD23" s="1882"/>
      <c r="URE23" s="1882"/>
      <c r="URF23" s="1882"/>
      <c r="URH23" s="1887"/>
      <c r="URI23" s="1888"/>
      <c r="URJ23" s="1882"/>
      <c r="URK23" s="1882"/>
      <c r="URL23" s="1882"/>
      <c r="URN23" s="1887"/>
      <c r="URO23" s="1888"/>
      <c r="URP23" s="1882"/>
      <c r="URQ23" s="1882"/>
      <c r="URR23" s="1882"/>
      <c r="URT23" s="1887"/>
      <c r="URU23" s="1888"/>
      <c r="URV23" s="1882"/>
      <c r="URW23" s="1882"/>
      <c r="URX23" s="1882"/>
      <c r="URZ23" s="1887"/>
      <c r="USA23" s="1888"/>
      <c r="USB23" s="1882"/>
      <c r="USC23" s="1882"/>
      <c r="USD23" s="1882"/>
      <c r="USF23" s="1887"/>
      <c r="USG23" s="1888"/>
      <c r="USH23" s="1882"/>
      <c r="USI23" s="1882"/>
      <c r="USJ23" s="1882"/>
      <c r="USL23" s="1887"/>
      <c r="USM23" s="1888"/>
      <c r="USN23" s="1882"/>
      <c r="USO23" s="1882"/>
      <c r="USP23" s="1882"/>
      <c r="USR23" s="1887"/>
      <c r="USS23" s="1888"/>
      <c r="UST23" s="1882"/>
      <c r="USU23" s="1882"/>
      <c r="USV23" s="1882"/>
      <c r="USX23" s="1887"/>
      <c r="USY23" s="1888"/>
      <c r="USZ23" s="1882"/>
      <c r="UTA23" s="1882"/>
      <c r="UTB23" s="1882"/>
      <c r="UTD23" s="1887"/>
      <c r="UTE23" s="1888"/>
      <c r="UTF23" s="1882"/>
      <c r="UTG23" s="1882"/>
      <c r="UTH23" s="1882"/>
      <c r="UTJ23" s="1887"/>
      <c r="UTK23" s="1888"/>
      <c r="UTL23" s="1882"/>
      <c r="UTM23" s="1882"/>
      <c r="UTN23" s="1882"/>
      <c r="UTP23" s="1887"/>
      <c r="UTQ23" s="1888"/>
      <c r="UTR23" s="1882"/>
      <c r="UTS23" s="1882"/>
      <c r="UTT23" s="1882"/>
      <c r="UTV23" s="1887"/>
      <c r="UTW23" s="1888"/>
      <c r="UTX23" s="1882"/>
      <c r="UTY23" s="1882"/>
      <c r="UTZ23" s="1882"/>
      <c r="UUB23" s="1887"/>
      <c r="UUC23" s="1888"/>
      <c r="UUD23" s="1882"/>
      <c r="UUE23" s="1882"/>
      <c r="UUF23" s="1882"/>
      <c r="UUH23" s="1887"/>
      <c r="UUI23" s="1888"/>
      <c r="UUJ23" s="1882"/>
      <c r="UUK23" s="1882"/>
      <c r="UUL23" s="1882"/>
      <c r="UUN23" s="1887"/>
      <c r="UUO23" s="1888"/>
      <c r="UUP23" s="1882"/>
      <c r="UUQ23" s="1882"/>
      <c r="UUR23" s="1882"/>
      <c r="UUT23" s="1887"/>
      <c r="UUU23" s="1888"/>
      <c r="UUV23" s="1882"/>
      <c r="UUW23" s="1882"/>
      <c r="UUX23" s="1882"/>
      <c r="UUZ23" s="1887"/>
      <c r="UVA23" s="1888"/>
      <c r="UVB23" s="1882"/>
      <c r="UVC23" s="1882"/>
      <c r="UVD23" s="1882"/>
      <c r="UVF23" s="1887"/>
      <c r="UVG23" s="1888"/>
      <c r="UVH23" s="1882"/>
      <c r="UVI23" s="1882"/>
      <c r="UVJ23" s="1882"/>
      <c r="UVL23" s="1887"/>
      <c r="UVM23" s="1888"/>
      <c r="UVN23" s="1882"/>
      <c r="UVO23" s="1882"/>
      <c r="UVP23" s="1882"/>
      <c r="UVR23" s="1887"/>
      <c r="UVS23" s="1888"/>
      <c r="UVT23" s="1882"/>
      <c r="UVU23" s="1882"/>
      <c r="UVV23" s="1882"/>
      <c r="UVX23" s="1887"/>
      <c r="UVY23" s="1888"/>
      <c r="UVZ23" s="1882"/>
      <c r="UWA23" s="1882"/>
      <c r="UWB23" s="1882"/>
      <c r="UWD23" s="1887"/>
      <c r="UWE23" s="1888"/>
      <c r="UWF23" s="1882"/>
      <c r="UWG23" s="1882"/>
      <c r="UWH23" s="1882"/>
      <c r="UWJ23" s="1887"/>
      <c r="UWK23" s="1888"/>
      <c r="UWL23" s="1882"/>
      <c r="UWM23" s="1882"/>
      <c r="UWN23" s="1882"/>
      <c r="UWP23" s="1887"/>
      <c r="UWQ23" s="1888"/>
      <c r="UWR23" s="1882"/>
      <c r="UWS23" s="1882"/>
      <c r="UWT23" s="1882"/>
      <c r="UWV23" s="1887"/>
      <c r="UWW23" s="1888"/>
      <c r="UWX23" s="1882"/>
      <c r="UWY23" s="1882"/>
      <c r="UWZ23" s="1882"/>
      <c r="UXB23" s="1887"/>
      <c r="UXC23" s="1888"/>
      <c r="UXD23" s="1882"/>
      <c r="UXE23" s="1882"/>
      <c r="UXF23" s="1882"/>
      <c r="UXH23" s="1887"/>
      <c r="UXI23" s="1888"/>
      <c r="UXJ23" s="1882"/>
      <c r="UXK23" s="1882"/>
      <c r="UXL23" s="1882"/>
      <c r="UXN23" s="1887"/>
      <c r="UXO23" s="1888"/>
      <c r="UXP23" s="1882"/>
      <c r="UXQ23" s="1882"/>
      <c r="UXR23" s="1882"/>
      <c r="UXT23" s="1887"/>
      <c r="UXU23" s="1888"/>
      <c r="UXV23" s="1882"/>
      <c r="UXW23" s="1882"/>
      <c r="UXX23" s="1882"/>
      <c r="UXZ23" s="1887"/>
      <c r="UYA23" s="1888"/>
      <c r="UYB23" s="1882"/>
      <c r="UYC23" s="1882"/>
      <c r="UYD23" s="1882"/>
      <c r="UYF23" s="1887"/>
      <c r="UYG23" s="1888"/>
      <c r="UYH23" s="1882"/>
      <c r="UYI23" s="1882"/>
      <c r="UYJ23" s="1882"/>
      <c r="UYL23" s="1887"/>
      <c r="UYM23" s="1888"/>
      <c r="UYN23" s="1882"/>
      <c r="UYO23" s="1882"/>
      <c r="UYP23" s="1882"/>
      <c r="UYR23" s="1887"/>
      <c r="UYS23" s="1888"/>
      <c r="UYT23" s="1882"/>
      <c r="UYU23" s="1882"/>
      <c r="UYV23" s="1882"/>
      <c r="UYX23" s="1887"/>
      <c r="UYY23" s="1888"/>
      <c r="UYZ23" s="1882"/>
      <c r="UZA23" s="1882"/>
      <c r="UZB23" s="1882"/>
      <c r="UZD23" s="1887"/>
      <c r="UZE23" s="1888"/>
      <c r="UZF23" s="1882"/>
      <c r="UZG23" s="1882"/>
      <c r="UZH23" s="1882"/>
      <c r="UZJ23" s="1887"/>
      <c r="UZK23" s="1888"/>
      <c r="UZL23" s="1882"/>
      <c r="UZM23" s="1882"/>
      <c r="UZN23" s="1882"/>
      <c r="UZP23" s="1887"/>
      <c r="UZQ23" s="1888"/>
      <c r="UZR23" s="1882"/>
      <c r="UZS23" s="1882"/>
      <c r="UZT23" s="1882"/>
      <c r="UZV23" s="1887"/>
      <c r="UZW23" s="1888"/>
      <c r="UZX23" s="1882"/>
      <c r="UZY23" s="1882"/>
      <c r="UZZ23" s="1882"/>
      <c r="VAB23" s="1887"/>
      <c r="VAC23" s="1888"/>
      <c r="VAD23" s="1882"/>
      <c r="VAE23" s="1882"/>
      <c r="VAF23" s="1882"/>
      <c r="VAH23" s="1887"/>
      <c r="VAI23" s="1888"/>
      <c r="VAJ23" s="1882"/>
      <c r="VAK23" s="1882"/>
      <c r="VAL23" s="1882"/>
      <c r="VAN23" s="1887"/>
      <c r="VAO23" s="1888"/>
      <c r="VAP23" s="1882"/>
      <c r="VAQ23" s="1882"/>
      <c r="VAR23" s="1882"/>
      <c r="VAT23" s="1887"/>
      <c r="VAU23" s="1888"/>
      <c r="VAV23" s="1882"/>
      <c r="VAW23" s="1882"/>
      <c r="VAX23" s="1882"/>
      <c r="VAZ23" s="1887"/>
      <c r="VBA23" s="1888"/>
      <c r="VBB23" s="1882"/>
      <c r="VBC23" s="1882"/>
      <c r="VBD23" s="1882"/>
      <c r="VBF23" s="1887"/>
      <c r="VBG23" s="1888"/>
      <c r="VBH23" s="1882"/>
      <c r="VBI23" s="1882"/>
      <c r="VBJ23" s="1882"/>
      <c r="VBL23" s="1887"/>
      <c r="VBM23" s="1888"/>
      <c r="VBN23" s="1882"/>
      <c r="VBO23" s="1882"/>
      <c r="VBP23" s="1882"/>
      <c r="VBR23" s="1887"/>
      <c r="VBS23" s="1888"/>
      <c r="VBT23" s="1882"/>
      <c r="VBU23" s="1882"/>
      <c r="VBV23" s="1882"/>
      <c r="VBX23" s="1887"/>
      <c r="VBY23" s="1888"/>
      <c r="VBZ23" s="1882"/>
      <c r="VCA23" s="1882"/>
      <c r="VCB23" s="1882"/>
      <c r="VCD23" s="1887"/>
      <c r="VCE23" s="1888"/>
      <c r="VCF23" s="1882"/>
      <c r="VCG23" s="1882"/>
      <c r="VCH23" s="1882"/>
      <c r="VCJ23" s="1887"/>
      <c r="VCK23" s="1888"/>
      <c r="VCL23" s="1882"/>
      <c r="VCM23" s="1882"/>
      <c r="VCN23" s="1882"/>
      <c r="VCP23" s="1887"/>
      <c r="VCQ23" s="1888"/>
      <c r="VCR23" s="1882"/>
      <c r="VCS23" s="1882"/>
      <c r="VCT23" s="1882"/>
      <c r="VCV23" s="1887"/>
      <c r="VCW23" s="1888"/>
      <c r="VCX23" s="1882"/>
      <c r="VCY23" s="1882"/>
      <c r="VCZ23" s="1882"/>
      <c r="VDB23" s="1887"/>
      <c r="VDC23" s="1888"/>
      <c r="VDD23" s="1882"/>
      <c r="VDE23" s="1882"/>
      <c r="VDF23" s="1882"/>
      <c r="VDH23" s="1887"/>
      <c r="VDI23" s="1888"/>
      <c r="VDJ23" s="1882"/>
      <c r="VDK23" s="1882"/>
      <c r="VDL23" s="1882"/>
      <c r="VDN23" s="1887"/>
      <c r="VDO23" s="1888"/>
      <c r="VDP23" s="1882"/>
      <c r="VDQ23" s="1882"/>
      <c r="VDR23" s="1882"/>
      <c r="VDT23" s="1887"/>
      <c r="VDU23" s="1888"/>
      <c r="VDV23" s="1882"/>
      <c r="VDW23" s="1882"/>
      <c r="VDX23" s="1882"/>
      <c r="VDZ23" s="1887"/>
      <c r="VEA23" s="1888"/>
      <c r="VEB23" s="1882"/>
      <c r="VEC23" s="1882"/>
      <c r="VED23" s="1882"/>
      <c r="VEF23" s="1887"/>
      <c r="VEG23" s="1888"/>
      <c r="VEH23" s="1882"/>
      <c r="VEI23" s="1882"/>
      <c r="VEJ23" s="1882"/>
      <c r="VEL23" s="1887"/>
      <c r="VEM23" s="1888"/>
      <c r="VEN23" s="1882"/>
      <c r="VEO23" s="1882"/>
      <c r="VEP23" s="1882"/>
      <c r="VER23" s="1887"/>
      <c r="VES23" s="1888"/>
      <c r="VET23" s="1882"/>
      <c r="VEU23" s="1882"/>
      <c r="VEV23" s="1882"/>
      <c r="VEX23" s="1887"/>
      <c r="VEY23" s="1888"/>
      <c r="VEZ23" s="1882"/>
      <c r="VFA23" s="1882"/>
      <c r="VFB23" s="1882"/>
      <c r="VFD23" s="1887"/>
      <c r="VFE23" s="1888"/>
      <c r="VFF23" s="1882"/>
      <c r="VFG23" s="1882"/>
      <c r="VFH23" s="1882"/>
      <c r="VFJ23" s="1887"/>
      <c r="VFK23" s="1888"/>
      <c r="VFL23" s="1882"/>
      <c r="VFM23" s="1882"/>
      <c r="VFN23" s="1882"/>
      <c r="VFP23" s="1887"/>
      <c r="VFQ23" s="1888"/>
      <c r="VFR23" s="1882"/>
      <c r="VFS23" s="1882"/>
      <c r="VFT23" s="1882"/>
      <c r="VFV23" s="1887"/>
      <c r="VFW23" s="1888"/>
      <c r="VFX23" s="1882"/>
      <c r="VFY23" s="1882"/>
      <c r="VFZ23" s="1882"/>
      <c r="VGB23" s="1887"/>
      <c r="VGC23" s="1888"/>
      <c r="VGD23" s="1882"/>
      <c r="VGE23" s="1882"/>
      <c r="VGF23" s="1882"/>
      <c r="VGH23" s="1887"/>
      <c r="VGI23" s="1888"/>
      <c r="VGJ23" s="1882"/>
      <c r="VGK23" s="1882"/>
      <c r="VGL23" s="1882"/>
      <c r="VGN23" s="1887"/>
      <c r="VGO23" s="1888"/>
      <c r="VGP23" s="1882"/>
      <c r="VGQ23" s="1882"/>
      <c r="VGR23" s="1882"/>
      <c r="VGT23" s="1887"/>
      <c r="VGU23" s="1888"/>
      <c r="VGV23" s="1882"/>
      <c r="VGW23" s="1882"/>
      <c r="VGX23" s="1882"/>
      <c r="VGZ23" s="1887"/>
      <c r="VHA23" s="1888"/>
      <c r="VHB23" s="1882"/>
      <c r="VHC23" s="1882"/>
      <c r="VHD23" s="1882"/>
      <c r="VHF23" s="1887"/>
      <c r="VHG23" s="1888"/>
      <c r="VHH23" s="1882"/>
      <c r="VHI23" s="1882"/>
      <c r="VHJ23" s="1882"/>
      <c r="VHL23" s="1887"/>
      <c r="VHM23" s="1888"/>
      <c r="VHN23" s="1882"/>
      <c r="VHO23" s="1882"/>
      <c r="VHP23" s="1882"/>
      <c r="VHR23" s="1887"/>
      <c r="VHS23" s="1888"/>
      <c r="VHT23" s="1882"/>
      <c r="VHU23" s="1882"/>
      <c r="VHV23" s="1882"/>
      <c r="VHX23" s="1887"/>
      <c r="VHY23" s="1888"/>
      <c r="VHZ23" s="1882"/>
      <c r="VIA23" s="1882"/>
      <c r="VIB23" s="1882"/>
      <c r="VID23" s="1887"/>
      <c r="VIE23" s="1888"/>
      <c r="VIF23" s="1882"/>
      <c r="VIG23" s="1882"/>
      <c r="VIH23" s="1882"/>
      <c r="VIJ23" s="1887"/>
      <c r="VIK23" s="1888"/>
      <c r="VIL23" s="1882"/>
      <c r="VIM23" s="1882"/>
      <c r="VIN23" s="1882"/>
      <c r="VIP23" s="1887"/>
      <c r="VIQ23" s="1888"/>
      <c r="VIR23" s="1882"/>
      <c r="VIS23" s="1882"/>
      <c r="VIT23" s="1882"/>
      <c r="VIV23" s="1887"/>
      <c r="VIW23" s="1888"/>
      <c r="VIX23" s="1882"/>
      <c r="VIY23" s="1882"/>
      <c r="VIZ23" s="1882"/>
      <c r="VJB23" s="1887"/>
      <c r="VJC23" s="1888"/>
      <c r="VJD23" s="1882"/>
      <c r="VJE23" s="1882"/>
      <c r="VJF23" s="1882"/>
      <c r="VJH23" s="1887"/>
      <c r="VJI23" s="1888"/>
      <c r="VJJ23" s="1882"/>
      <c r="VJK23" s="1882"/>
      <c r="VJL23" s="1882"/>
      <c r="VJN23" s="1887"/>
      <c r="VJO23" s="1888"/>
      <c r="VJP23" s="1882"/>
      <c r="VJQ23" s="1882"/>
      <c r="VJR23" s="1882"/>
      <c r="VJT23" s="1887"/>
      <c r="VJU23" s="1888"/>
      <c r="VJV23" s="1882"/>
      <c r="VJW23" s="1882"/>
      <c r="VJX23" s="1882"/>
      <c r="VJZ23" s="1887"/>
      <c r="VKA23" s="1888"/>
      <c r="VKB23" s="1882"/>
      <c r="VKC23" s="1882"/>
      <c r="VKD23" s="1882"/>
      <c r="VKF23" s="1887"/>
      <c r="VKG23" s="1888"/>
      <c r="VKH23" s="1882"/>
      <c r="VKI23" s="1882"/>
      <c r="VKJ23" s="1882"/>
      <c r="VKL23" s="1887"/>
      <c r="VKM23" s="1888"/>
      <c r="VKN23" s="1882"/>
      <c r="VKO23" s="1882"/>
      <c r="VKP23" s="1882"/>
      <c r="VKR23" s="1887"/>
      <c r="VKS23" s="1888"/>
      <c r="VKT23" s="1882"/>
      <c r="VKU23" s="1882"/>
      <c r="VKV23" s="1882"/>
      <c r="VKX23" s="1887"/>
      <c r="VKY23" s="1888"/>
      <c r="VKZ23" s="1882"/>
      <c r="VLA23" s="1882"/>
      <c r="VLB23" s="1882"/>
      <c r="VLD23" s="1887"/>
      <c r="VLE23" s="1888"/>
      <c r="VLF23" s="1882"/>
      <c r="VLG23" s="1882"/>
      <c r="VLH23" s="1882"/>
      <c r="VLJ23" s="1887"/>
      <c r="VLK23" s="1888"/>
      <c r="VLL23" s="1882"/>
      <c r="VLM23" s="1882"/>
      <c r="VLN23" s="1882"/>
      <c r="VLP23" s="1887"/>
      <c r="VLQ23" s="1888"/>
      <c r="VLR23" s="1882"/>
      <c r="VLS23" s="1882"/>
      <c r="VLT23" s="1882"/>
      <c r="VLV23" s="1887"/>
      <c r="VLW23" s="1888"/>
      <c r="VLX23" s="1882"/>
      <c r="VLY23" s="1882"/>
      <c r="VLZ23" s="1882"/>
      <c r="VMB23" s="1887"/>
      <c r="VMC23" s="1888"/>
      <c r="VMD23" s="1882"/>
      <c r="VME23" s="1882"/>
      <c r="VMF23" s="1882"/>
      <c r="VMH23" s="1887"/>
      <c r="VMI23" s="1888"/>
      <c r="VMJ23" s="1882"/>
      <c r="VMK23" s="1882"/>
      <c r="VML23" s="1882"/>
      <c r="VMN23" s="1887"/>
      <c r="VMO23" s="1888"/>
      <c r="VMP23" s="1882"/>
      <c r="VMQ23" s="1882"/>
      <c r="VMR23" s="1882"/>
      <c r="VMT23" s="1887"/>
      <c r="VMU23" s="1888"/>
      <c r="VMV23" s="1882"/>
      <c r="VMW23" s="1882"/>
      <c r="VMX23" s="1882"/>
      <c r="VMZ23" s="1887"/>
      <c r="VNA23" s="1888"/>
      <c r="VNB23" s="1882"/>
      <c r="VNC23" s="1882"/>
      <c r="VND23" s="1882"/>
      <c r="VNF23" s="1887"/>
      <c r="VNG23" s="1888"/>
      <c r="VNH23" s="1882"/>
      <c r="VNI23" s="1882"/>
      <c r="VNJ23" s="1882"/>
      <c r="VNL23" s="1887"/>
      <c r="VNM23" s="1888"/>
      <c r="VNN23" s="1882"/>
      <c r="VNO23" s="1882"/>
      <c r="VNP23" s="1882"/>
      <c r="VNR23" s="1887"/>
      <c r="VNS23" s="1888"/>
      <c r="VNT23" s="1882"/>
      <c r="VNU23" s="1882"/>
      <c r="VNV23" s="1882"/>
      <c r="VNX23" s="1887"/>
      <c r="VNY23" s="1888"/>
      <c r="VNZ23" s="1882"/>
      <c r="VOA23" s="1882"/>
      <c r="VOB23" s="1882"/>
      <c r="VOD23" s="1887"/>
      <c r="VOE23" s="1888"/>
      <c r="VOF23" s="1882"/>
      <c r="VOG23" s="1882"/>
      <c r="VOH23" s="1882"/>
      <c r="VOJ23" s="1887"/>
      <c r="VOK23" s="1888"/>
      <c r="VOL23" s="1882"/>
      <c r="VOM23" s="1882"/>
      <c r="VON23" s="1882"/>
      <c r="VOP23" s="1887"/>
      <c r="VOQ23" s="1888"/>
      <c r="VOR23" s="1882"/>
      <c r="VOS23" s="1882"/>
      <c r="VOT23" s="1882"/>
      <c r="VOV23" s="1887"/>
      <c r="VOW23" s="1888"/>
      <c r="VOX23" s="1882"/>
      <c r="VOY23" s="1882"/>
      <c r="VOZ23" s="1882"/>
      <c r="VPB23" s="1887"/>
      <c r="VPC23" s="1888"/>
      <c r="VPD23" s="1882"/>
      <c r="VPE23" s="1882"/>
      <c r="VPF23" s="1882"/>
      <c r="VPH23" s="1887"/>
      <c r="VPI23" s="1888"/>
      <c r="VPJ23" s="1882"/>
      <c r="VPK23" s="1882"/>
      <c r="VPL23" s="1882"/>
      <c r="VPN23" s="1887"/>
      <c r="VPO23" s="1888"/>
      <c r="VPP23" s="1882"/>
      <c r="VPQ23" s="1882"/>
      <c r="VPR23" s="1882"/>
      <c r="VPT23" s="1887"/>
      <c r="VPU23" s="1888"/>
      <c r="VPV23" s="1882"/>
      <c r="VPW23" s="1882"/>
      <c r="VPX23" s="1882"/>
      <c r="VPZ23" s="1887"/>
      <c r="VQA23" s="1888"/>
      <c r="VQB23" s="1882"/>
      <c r="VQC23" s="1882"/>
      <c r="VQD23" s="1882"/>
      <c r="VQF23" s="1887"/>
      <c r="VQG23" s="1888"/>
      <c r="VQH23" s="1882"/>
      <c r="VQI23" s="1882"/>
      <c r="VQJ23" s="1882"/>
      <c r="VQL23" s="1887"/>
      <c r="VQM23" s="1888"/>
      <c r="VQN23" s="1882"/>
      <c r="VQO23" s="1882"/>
      <c r="VQP23" s="1882"/>
      <c r="VQR23" s="1887"/>
      <c r="VQS23" s="1888"/>
      <c r="VQT23" s="1882"/>
      <c r="VQU23" s="1882"/>
      <c r="VQV23" s="1882"/>
      <c r="VQX23" s="1887"/>
      <c r="VQY23" s="1888"/>
      <c r="VQZ23" s="1882"/>
      <c r="VRA23" s="1882"/>
      <c r="VRB23" s="1882"/>
      <c r="VRD23" s="1887"/>
      <c r="VRE23" s="1888"/>
      <c r="VRF23" s="1882"/>
      <c r="VRG23" s="1882"/>
      <c r="VRH23" s="1882"/>
      <c r="VRJ23" s="1887"/>
      <c r="VRK23" s="1888"/>
      <c r="VRL23" s="1882"/>
      <c r="VRM23" s="1882"/>
      <c r="VRN23" s="1882"/>
      <c r="VRP23" s="1887"/>
      <c r="VRQ23" s="1888"/>
      <c r="VRR23" s="1882"/>
      <c r="VRS23" s="1882"/>
      <c r="VRT23" s="1882"/>
      <c r="VRV23" s="1887"/>
      <c r="VRW23" s="1888"/>
      <c r="VRX23" s="1882"/>
      <c r="VRY23" s="1882"/>
      <c r="VRZ23" s="1882"/>
      <c r="VSB23" s="1887"/>
      <c r="VSC23" s="1888"/>
      <c r="VSD23" s="1882"/>
      <c r="VSE23" s="1882"/>
      <c r="VSF23" s="1882"/>
      <c r="VSH23" s="1887"/>
      <c r="VSI23" s="1888"/>
      <c r="VSJ23" s="1882"/>
      <c r="VSK23" s="1882"/>
      <c r="VSL23" s="1882"/>
      <c r="VSN23" s="1887"/>
      <c r="VSO23" s="1888"/>
      <c r="VSP23" s="1882"/>
      <c r="VSQ23" s="1882"/>
      <c r="VSR23" s="1882"/>
      <c r="VST23" s="1887"/>
      <c r="VSU23" s="1888"/>
      <c r="VSV23" s="1882"/>
      <c r="VSW23" s="1882"/>
      <c r="VSX23" s="1882"/>
      <c r="VSZ23" s="1887"/>
      <c r="VTA23" s="1888"/>
      <c r="VTB23" s="1882"/>
      <c r="VTC23" s="1882"/>
      <c r="VTD23" s="1882"/>
      <c r="VTF23" s="1887"/>
      <c r="VTG23" s="1888"/>
      <c r="VTH23" s="1882"/>
      <c r="VTI23" s="1882"/>
      <c r="VTJ23" s="1882"/>
      <c r="VTL23" s="1887"/>
      <c r="VTM23" s="1888"/>
      <c r="VTN23" s="1882"/>
      <c r="VTO23" s="1882"/>
      <c r="VTP23" s="1882"/>
      <c r="VTR23" s="1887"/>
      <c r="VTS23" s="1888"/>
      <c r="VTT23" s="1882"/>
      <c r="VTU23" s="1882"/>
      <c r="VTV23" s="1882"/>
      <c r="VTX23" s="1887"/>
      <c r="VTY23" s="1888"/>
      <c r="VTZ23" s="1882"/>
      <c r="VUA23" s="1882"/>
      <c r="VUB23" s="1882"/>
      <c r="VUD23" s="1887"/>
      <c r="VUE23" s="1888"/>
      <c r="VUF23" s="1882"/>
      <c r="VUG23" s="1882"/>
      <c r="VUH23" s="1882"/>
      <c r="VUJ23" s="1887"/>
      <c r="VUK23" s="1888"/>
      <c r="VUL23" s="1882"/>
      <c r="VUM23" s="1882"/>
      <c r="VUN23" s="1882"/>
      <c r="VUP23" s="1887"/>
      <c r="VUQ23" s="1888"/>
      <c r="VUR23" s="1882"/>
      <c r="VUS23" s="1882"/>
      <c r="VUT23" s="1882"/>
      <c r="VUV23" s="1887"/>
      <c r="VUW23" s="1888"/>
      <c r="VUX23" s="1882"/>
      <c r="VUY23" s="1882"/>
      <c r="VUZ23" s="1882"/>
      <c r="VVB23" s="1887"/>
      <c r="VVC23" s="1888"/>
      <c r="VVD23" s="1882"/>
      <c r="VVE23" s="1882"/>
      <c r="VVF23" s="1882"/>
      <c r="VVH23" s="1887"/>
      <c r="VVI23" s="1888"/>
      <c r="VVJ23" s="1882"/>
      <c r="VVK23" s="1882"/>
      <c r="VVL23" s="1882"/>
      <c r="VVN23" s="1887"/>
      <c r="VVO23" s="1888"/>
      <c r="VVP23" s="1882"/>
      <c r="VVQ23" s="1882"/>
      <c r="VVR23" s="1882"/>
      <c r="VVT23" s="1887"/>
      <c r="VVU23" s="1888"/>
      <c r="VVV23" s="1882"/>
      <c r="VVW23" s="1882"/>
      <c r="VVX23" s="1882"/>
      <c r="VVZ23" s="1887"/>
      <c r="VWA23" s="1888"/>
      <c r="VWB23" s="1882"/>
      <c r="VWC23" s="1882"/>
      <c r="VWD23" s="1882"/>
      <c r="VWF23" s="1887"/>
      <c r="VWG23" s="1888"/>
      <c r="VWH23" s="1882"/>
      <c r="VWI23" s="1882"/>
      <c r="VWJ23" s="1882"/>
      <c r="VWL23" s="1887"/>
      <c r="VWM23" s="1888"/>
      <c r="VWN23" s="1882"/>
      <c r="VWO23" s="1882"/>
      <c r="VWP23" s="1882"/>
      <c r="VWR23" s="1887"/>
      <c r="VWS23" s="1888"/>
      <c r="VWT23" s="1882"/>
      <c r="VWU23" s="1882"/>
      <c r="VWV23" s="1882"/>
      <c r="VWX23" s="1887"/>
      <c r="VWY23" s="1888"/>
      <c r="VWZ23" s="1882"/>
      <c r="VXA23" s="1882"/>
      <c r="VXB23" s="1882"/>
      <c r="VXD23" s="1887"/>
      <c r="VXE23" s="1888"/>
      <c r="VXF23" s="1882"/>
      <c r="VXG23" s="1882"/>
      <c r="VXH23" s="1882"/>
      <c r="VXJ23" s="1887"/>
      <c r="VXK23" s="1888"/>
      <c r="VXL23" s="1882"/>
      <c r="VXM23" s="1882"/>
      <c r="VXN23" s="1882"/>
      <c r="VXP23" s="1887"/>
      <c r="VXQ23" s="1888"/>
      <c r="VXR23" s="1882"/>
      <c r="VXS23" s="1882"/>
      <c r="VXT23" s="1882"/>
      <c r="VXV23" s="1887"/>
      <c r="VXW23" s="1888"/>
      <c r="VXX23" s="1882"/>
      <c r="VXY23" s="1882"/>
      <c r="VXZ23" s="1882"/>
      <c r="VYB23" s="1887"/>
      <c r="VYC23" s="1888"/>
      <c r="VYD23" s="1882"/>
      <c r="VYE23" s="1882"/>
      <c r="VYF23" s="1882"/>
      <c r="VYH23" s="1887"/>
      <c r="VYI23" s="1888"/>
      <c r="VYJ23" s="1882"/>
      <c r="VYK23" s="1882"/>
      <c r="VYL23" s="1882"/>
      <c r="VYN23" s="1887"/>
      <c r="VYO23" s="1888"/>
      <c r="VYP23" s="1882"/>
      <c r="VYQ23" s="1882"/>
      <c r="VYR23" s="1882"/>
      <c r="VYT23" s="1887"/>
      <c r="VYU23" s="1888"/>
      <c r="VYV23" s="1882"/>
      <c r="VYW23" s="1882"/>
      <c r="VYX23" s="1882"/>
      <c r="VYZ23" s="1887"/>
      <c r="VZA23" s="1888"/>
      <c r="VZB23" s="1882"/>
      <c r="VZC23" s="1882"/>
      <c r="VZD23" s="1882"/>
      <c r="VZF23" s="1887"/>
      <c r="VZG23" s="1888"/>
      <c r="VZH23" s="1882"/>
      <c r="VZI23" s="1882"/>
      <c r="VZJ23" s="1882"/>
      <c r="VZL23" s="1887"/>
      <c r="VZM23" s="1888"/>
      <c r="VZN23" s="1882"/>
      <c r="VZO23" s="1882"/>
      <c r="VZP23" s="1882"/>
      <c r="VZR23" s="1887"/>
      <c r="VZS23" s="1888"/>
      <c r="VZT23" s="1882"/>
      <c r="VZU23" s="1882"/>
      <c r="VZV23" s="1882"/>
      <c r="VZX23" s="1887"/>
      <c r="VZY23" s="1888"/>
      <c r="VZZ23" s="1882"/>
      <c r="WAA23" s="1882"/>
      <c r="WAB23" s="1882"/>
      <c r="WAD23" s="1887"/>
      <c r="WAE23" s="1888"/>
      <c r="WAF23" s="1882"/>
      <c r="WAG23" s="1882"/>
      <c r="WAH23" s="1882"/>
      <c r="WAJ23" s="1887"/>
      <c r="WAK23" s="1888"/>
      <c r="WAL23" s="1882"/>
      <c r="WAM23" s="1882"/>
      <c r="WAN23" s="1882"/>
      <c r="WAP23" s="1887"/>
      <c r="WAQ23" s="1888"/>
      <c r="WAR23" s="1882"/>
      <c r="WAS23" s="1882"/>
      <c r="WAT23" s="1882"/>
      <c r="WAV23" s="1887"/>
      <c r="WAW23" s="1888"/>
      <c r="WAX23" s="1882"/>
      <c r="WAY23" s="1882"/>
      <c r="WAZ23" s="1882"/>
      <c r="WBB23" s="1887"/>
      <c r="WBC23" s="1888"/>
      <c r="WBD23" s="1882"/>
      <c r="WBE23" s="1882"/>
      <c r="WBF23" s="1882"/>
      <c r="WBH23" s="1887"/>
      <c r="WBI23" s="1888"/>
      <c r="WBJ23" s="1882"/>
      <c r="WBK23" s="1882"/>
      <c r="WBL23" s="1882"/>
      <c r="WBN23" s="1887"/>
      <c r="WBO23" s="1888"/>
      <c r="WBP23" s="1882"/>
      <c r="WBQ23" s="1882"/>
      <c r="WBR23" s="1882"/>
      <c r="WBT23" s="1887"/>
      <c r="WBU23" s="1888"/>
      <c r="WBV23" s="1882"/>
      <c r="WBW23" s="1882"/>
      <c r="WBX23" s="1882"/>
      <c r="WBZ23" s="1887"/>
      <c r="WCA23" s="1888"/>
      <c r="WCB23" s="1882"/>
      <c r="WCC23" s="1882"/>
      <c r="WCD23" s="1882"/>
      <c r="WCF23" s="1887"/>
      <c r="WCG23" s="1888"/>
      <c r="WCH23" s="1882"/>
      <c r="WCI23" s="1882"/>
      <c r="WCJ23" s="1882"/>
      <c r="WCL23" s="1887"/>
      <c r="WCM23" s="1888"/>
      <c r="WCN23" s="1882"/>
      <c r="WCO23" s="1882"/>
      <c r="WCP23" s="1882"/>
      <c r="WCR23" s="1887"/>
      <c r="WCS23" s="1888"/>
      <c r="WCT23" s="1882"/>
      <c r="WCU23" s="1882"/>
      <c r="WCV23" s="1882"/>
      <c r="WCX23" s="1887"/>
      <c r="WCY23" s="1888"/>
      <c r="WCZ23" s="1882"/>
      <c r="WDA23" s="1882"/>
      <c r="WDB23" s="1882"/>
      <c r="WDD23" s="1887"/>
      <c r="WDE23" s="1888"/>
      <c r="WDF23" s="1882"/>
      <c r="WDG23" s="1882"/>
      <c r="WDH23" s="1882"/>
      <c r="WDJ23" s="1887"/>
      <c r="WDK23" s="1888"/>
      <c r="WDL23" s="1882"/>
      <c r="WDM23" s="1882"/>
      <c r="WDN23" s="1882"/>
      <c r="WDP23" s="1887"/>
      <c r="WDQ23" s="1888"/>
      <c r="WDR23" s="1882"/>
      <c r="WDS23" s="1882"/>
      <c r="WDT23" s="1882"/>
      <c r="WDV23" s="1887"/>
      <c r="WDW23" s="1888"/>
      <c r="WDX23" s="1882"/>
      <c r="WDY23" s="1882"/>
      <c r="WDZ23" s="1882"/>
      <c r="WEB23" s="1887"/>
      <c r="WEC23" s="1888"/>
      <c r="WED23" s="1882"/>
      <c r="WEE23" s="1882"/>
      <c r="WEF23" s="1882"/>
      <c r="WEH23" s="1887"/>
      <c r="WEI23" s="1888"/>
      <c r="WEJ23" s="1882"/>
      <c r="WEK23" s="1882"/>
      <c r="WEL23" s="1882"/>
      <c r="WEN23" s="1887"/>
      <c r="WEO23" s="1888"/>
      <c r="WEP23" s="1882"/>
      <c r="WEQ23" s="1882"/>
      <c r="WER23" s="1882"/>
      <c r="WET23" s="1887"/>
      <c r="WEU23" s="1888"/>
      <c r="WEV23" s="1882"/>
      <c r="WEW23" s="1882"/>
      <c r="WEX23" s="1882"/>
      <c r="WEZ23" s="1887"/>
      <c r="WFA23" s="1888"/>
      <c r="WFB23" s="1882"/>
      <c r="WFC23" s="1882"/>
      <c r="WFD23" s="1882"/>
      <c r="WFF23" s="1887"/>
      <c r="WFG23" s="1888"/>
      <c r="WFH23" s="1882"/>
      <c r="WFI23" s="1882"/>
      <c r="WFJ23" s="1882"/>
      <c r="WFL23" s="1887"/>
      <c r="WFM23" s="1888"/>
      <c r="WFN23" s="1882"/>
      <c r="WFO23" s="1882"/>
      <c r="WFP23" s="1882"/>
      <c r="WFR23" s="1887"/>
      <c r="WFS23" s="1888"/>
      <c r="WFT23" s="1882"/>
      <c r="WFU23" s="1882"/>
      <c r="WFV23" s="1882"/>
      <c r="WFX23" s="1887"/>
      <c r="WFY23" s="1888"/>
      <c r="WFZ23" s="1882"/>
      <c r="WGA23" s="1882"/>
      <c r="WGB23" s="1882"/>
      <c r="WGD23" s="1887"/>
      <c r="WGE23" s="1888"/>
      <c r="WGF23" s="1882"/>
      <c r="WGG23" s="1882"/>
      <c r="WGH23" s="1882"/>
      <c r="WGJ23" s="1887"/>
      <c r="WGK23" s="1888"/>
      <c r="WGL23" s="1882"/>
      <c r="WGM23" s="1882"/>
      <c r="WGN23" s="1882"/>
      <c r="WGP23" s="1887"/>
      <c r="WGQ23" s="1888"/>
      <c r="WGR23" s="1882"/>
      <c r="WGS23" s="1882"/>
      <c r="WGT23" s="1882"/>
      <c r="WGV23" s="1887"/>
      <c r="WGW23" s="1888"/>
      <c r="WGX23" s="1882"/>
      <c r="WGY23" s="1882"/>
      <c r="WGZ23" s="1882"/>
      <c r="WHB23" s="1887"/>
      <c r="WHC23" s="1888"/>
      <c r="WHD23" s="1882"/>
      <c r="WHE23" s="1882"/>
      <c r="WHF23" s="1882"/>
      <c r="WHH23" s="1887"/>
      <c r="WHI23" s="1888"/>
      <c r="WHJ23" s="1882"/>
      <c r="WHK23" s="1882"/>
      <c r="WHL23" s="1882"/>
      <c r="WHN23" s="1887"/>
      <c r="WHO23" s="1888"/>
      <c r="WHP23" s="1882"/>
      <c r="WHQ23" s="1882"/>
      <c r="WHR23" s="1882"/>
      <c r="WHT23" s="1887"/>
      <c r="WHU23" s="1888"/>
      <c r="WHV23" s="1882"/>
      <c r="WHW23" s="1882"/>
      <c r="WHX23" s="1882"/>
      <c r="WHZ23" s="1887"/>
      <c r="WIA23" s="1888"/>
      <c r="WIB23" s="1882"/>
      <c r="WIC23" s="1882"/>
      <c r="WID23" s="1882"/>
      <c r="WIF23" s="1887"/>
      <c r="WIG23" s="1888"/>
      <c r="WIH23" s="1882"/>
      <c r="WII23" s="1882"/>
      <c r="WIJ23" s="1882"/>
      <c r="WIL23" s="1887"/>
      <c r="WIM23" s="1888"/>
      <c r="WIN23" s="1882"/>
      <c r="WIO23" s="1882"/>
      <c r="WIP23" s="1882"/>
      <c r="WIR23" s="1887"/>
      <c r="WIS23" s="1888"/>
      <c r="WIT23" s="1882"/>
      <c r="WIU23" s="1882"/>
      <c r="WIV23" s="1882"/>
      <c r="WIX23" s="1887"/>
      <c r="WIY23" s="1888"/>
      <c r="WIZ23" s="1882"/>
      <c r="WJA23" s="1882"/>
      <c r="WJB23" s="1882"/>
      <c r="WJD23" s="1887"/>
      <c r="WJE23" s="1888"/>
      <c r="WJF23" s="1882"/>
      <c r="WJG23" s="1882"/>
      <c r="WJH23" s="1882"/>
      <c r="WJJ23" s="1887"/>
      <c r="WJK23" s="1888"/>
      <c r="WJL23" s="1882"/>
      <c r="WJM23" s="1882"/>
      <c r="WJN23" s="1882"/>
      <c r="WJP23" s="1887"/>
      <c r="WJQ23" s="1888"/>
      <c r="WJR23" s="1882"/>
      <c r="WJS23" s="1882"/>
      <c r="WJT23" s="1882"/>
      <c r="WJV23" s="1887"/>
      <c r="WJW23" s="1888"/>
      <c r="WJX23" s="1882"/>
      <c r="WJY23" s="1882"/>
      <c r="WJZ23" s="1882"/>
      <c r="WKB23" s="1887"/>
      <c r="WKC23" s="1888"/>
      <c r="WKD23" s="1882"/>
      <c r="WKE23" s="1882"/>
      <c r="WKF23" s="1882"/>
      <c r="WKH23" s="1887"/>
      <c r="WKI23" s="1888"/>
      <c r="WKJ23" s="1882"/>
      <c r="WKK23" s="1882"/>
      <c r="WKL23" s="1882"/>
      <c r="WKN23" s="1887"/>
      <c r="WKO23" s="1888"/>
      <c r="WKP23" s="1882"/>
      <c r="WKQ23" s="1882"/>
      <c r="WKR23" s="1882"/>
      <c r="WKT23" s="1887"/>
      <c r="WKU23" s="1888"/>
      <c r="WKV23" s="1882"/>
      <c r="WKW23" s="1882"/>
      <c r="WKX23" s="1882"/>
      <c r="WKZ23" s="1887"/>
      <c r="WLA23" s="1888"/>
      <c r="WLB23" s="1882"/>
      <c r="WLC23" s="1882"/>
      <c r="WLD23" s="1882"/>
      <c r="WLF23" s="1887"/>
      <c r="WLG23" s="1888"/>
      <c r="WLH23" s="1882"/>
      <c r="WLI23" s="1882"/>
      <c r="WLJ23" s="1882"/>
      <c r="WLL23" s="1887"/>
      <c r="WLM23" s="1888"/>
      <c r="WLN23" s="1882"/>
      <c r="WLO23" s="1882"/>
      <c r="WLP23" s="1882"/>
      <c r="WLR23" s="1887"/>
      <c r="WLS23" s="1888"/>
      <c r="WLT23" s="1882"/>
      <c r="WLU23" s="1882"/>
      <c r="WLV23" s="1882"/>
      <c r="WLX23" s="1887"/>
      <c r="WLY23" s="1888"/>
      <c r="WLZ23" s="1882"/>
      <c r="WMA23" s="1882"/>
      <c r="WMB23" s="1882"/>
      <c r="WMD23" s="1887"/>
      <c r="WME23" s="1888"/>
      <c r="WMF23" s="1882"/>
      <c r="WMG23" s="1882"/>
      <c r="WMH23" s="1882"/>
      <c r="WMJ23" s="1887"/>
      <c r="WMK23" s="1888"/>
      <c r="WML23" s="1882"/>
      <c r="WMM23" s="1882"/>
      <c r="WMN23" s="1882"/>
      <c r="WMP23" s="1887"/>
      <c r="WMQ23" s="1888"/>
      <c r="WMR23" s="1882"/>
      <c r="WMS23" s="1882"/>
      <c r="WMT23" s="1882"/>
      <c r="WMV23" s="1887"/>
      <c r="WMW23" s="1888"/>
      <c r="WMX23" s="1882"/>
      <c r="WMY23" s="1882"/>
      <c r="WMZ23" s="1882"/>
      <c r="WNB23" s="1887"/>
      <c r="WNC23" s="1888"/>
      <c r="WND23" s="1882"/>
      <c r="WNE23" s="1882"/>
      <c r="WNF23" s="1882"/>
      <c r="WNH23" s="1887"/>
      <c r="WNI23" s="1888"/>
      <c r="WNJ23" s="1882"/>
      <c r="WNK23" s="1882"/>
      <c r="WNL23" s="1882"/>
      <c r="WNN23" s="1887"/>
      <c r="WNO23" s="1888"/>
      <c r="WNP23" s="1882"/>
      <c r="WNQ23" s="1882"/>
      <c r="WNR23" s="1882"/>
      <c r="WNT23" s="1887"/>
      <c r="WNU23" s="1888"/>
      <c r="WNV23" s="1882"/>
      <c r="WNW23" s="1882"/>
      <c r="WNX23" s="1882"/>
      <c r="WNZ23" s="1887"/>
      <c r="WOA23" s="1888"/>
      <c r="WOB23" s="1882"/>
      <c r="WOC23" s="1882"/>
      <c r="WOD23" s="1882"/>
      <c r="WOF23" s="1887"/>
      <c r="WOG23" s="1888"/>
      <c r="WOH23" s="1882"/>
      <c r="WOI23" s="1882"/>
      <c r="WOJ23" s="1882"/>
      <c r="WOL23" s="1887"/>
      <c r="WOM23" s="1888"/>
      <c r="WON23" s="1882"/>
      <c r="WOO23" s="1882"/>
      <c r="WOP23" s="1882"/>
      <c r="WOR23" s="1887"/>
      <c r="WOS23" s="1888"/>
      <c r="WOT23" s="1882"/>
      <c r="WOU23" s="1882"/>
      <c r="WOV23" s="1882"/>
      <c r="WOX23" s="1887"/>
      <c r="WOY23" s="1888"/>
      <c r="WOZ23" s="1882"/>
      <c r="WPA23" s="1882"/>
      <c r="WPB23" s="1882"/>
      <c r="WPD23" s="1887"/>
      <c r="WPE23" s="1888"/>
      <c r="WPF23" s="1882"/>
      <c r="WPG23" s="1882"/>
      <c r="WPH23" s="1882"/>
      <c r="WPJ23" s="1887"/>
      <c r="WPK23" s="1888"/>
      <c r="WPL23" s="1882"/>
      <c r="WPM23" s="1882"/>
      <c r="WPN23" s="1882"/>
      <c r="WPP23" s="1887"/>
      <c r="WPQ23" s="1888"/>
      <c r="WPR23" s="1882"/>
      <c r="WPS23" s="1882"/>
      <c r="WPT23" s="1882"/>
      <c r="WPV23" s="1887"/>
      <c r="WPW23" s="1888"/>
      <c r="WPX23" s="1882"/>
      <c r="WPY23" s="1882"/>
      <c r="WPZ23" s="1882"/>
      <c r="WQB23" s="1887"/>
      <c r="WQC23" s="1888"/>
      <c r="WQD23" s="1882"/>
      <c r="WQE23" s="1882"/>
      <c r="WQF23" s="1882"/>
      <c r="WQH23" s="1887"/>
      <c r="WQI23" s="1888"/>
      <c r="WQJ23" s="1882"/>
      <c r="WQK23" s="1882"/>
      <c r="WQL23" s="1882"/>
      <c r="WQN23" s="1887"/>
      <c r="WQO23" s="1888"/>
      <c r="WQP23" s="1882"/>
      <c r="WQQ23" s="1882"/>
      <c r="WQR23" s="1882"/>
      <c r="WQT23" s="1887"/>
      <c r="WQU23" s="1888"/>
      <c r="WQV23" s="1882"/>
      <c r="WQW23" s="1882"/>
      <c r="WQX23" s="1882"/>
      <c r="WQZ23" s="1887"/>
      <c r="WRA23" s="1888"/>
      <c r="WRB23" s="1882"/>
      <c r="WRC23" s="1882"/>
      <c r="WRD23" s="1882"/>
      <c r="WRF23" s="1887"/>
      <c r="WRG23" s="1888"/>
      <c r="WRH23" s="1882"/>
      <c r="WRI23" s="1882"/>
      <c r="WRJ23" s="1882"/>
      <c r="WRL23" s="1887"/>
      <c r="WRM23" s="1888"/>
      <c r="WRN23" s="1882"/>
      <c r="WRO23" s="1882"/>
      <c r="WRP23" s="1882"/>
      <c r="WRR23" s="1887"/>
      <c r="WRS23" s="1888"/>
      <c r="WRT23" s="1882"/>
      <c r="WRU23" s="1882"/>
      <c r="WRV23" s="1882"/>
      <c r="WRX23" s="1887"/>
      <c r="WRY23" s="1888"/>
      <c r="WRZ23" s="1882"/>
      <c r="WSA23" s="1882"/>
      <c r="WSB23" s="1882"/>
      <c r="WSD23" s="1887"/>
      <c r="WSE23" s="1888"/>
      <c r="WSF23" s="1882"/>
      <c r="WSG23" s="1882"/>
      <c r="WSH23" s="1882"/>
      <c r="WSJ23" s="1887"/>
      <c r="WSK23" s="1888"/>
      <c r="WSL23" s="1882"/>
      <c r="WSM23" s="1882"/>
      <c r="WSN23" s="1882"/>
      <c r="WSP23" s="1887"/>
      <c r="WSQ23" s="1888"/>
      <c r="WSR23" s="1882"/>
      <c r="WSS23" s="1882"/>
      <c r="WST23" s="1882"/>
      <c r="WSV23" s="1887"/>
      <c r="WSW23" s="1888"/>
      <c r="WSX23" s="1882"/>
      <c r="WSY23" s="1882"/>
      <c r="WSZ23" s="1882"/>
      <c r="WTB23" s="1887"/>
      <c r="WTC23" s="1888"/>
      <c r="WTD23" s="1882"/>
      <c r="WTE23" s="1882"/>
      <c r="WTF23" s="1882"/>
      <c r="WTH23" s="1887"/>
      <c r="WTI23" s="1888"/>
      <c r="WTJ23" s="1882"/>
      <c r="WTK23" s="1882"/>
      <c r="WTL23" s="1882"/>
      <c r="WTN23" s="1887"/>
      <c r="WTO23" s="1888"/>
      <c r="WTP23" s="1882"/>
      <c r="WTQ23" s="1882"/>
      <c r="WTR23" s="1882"/>
      <c r="WTT23" s="1887"/>
      <c r="WTU23" s="1888"/>
      <c r="WTV23" s="1882"/>
      <c r="WTW23" s="1882"/>
      <c r="WTX23" s="1882"/>
      <c r="WTZ23" s="1887"/>
      <c r="WUA23" s="1888"/>
      <c r="WUB23" s="1882"/>
      <c r="WUC23" s="1882"/>
      <c r="WUD23" s="1882"/>
      <c r="WUF23" s="1887"/>
      <c r="WUG23" s="1888"/>
      <c r="WUH23" s="1882"/>
      <c r="WUI23" s="1882"/>
      <c r="WUJ23" s="1882"/>
      <c r="WUL23" s="1887"/>
      <c r="WUM23" s="1888"/>
      <c r="WUN23" s="1882"/>
      <c r="WUO23" s="1882"/>
      <c r="WUP23" s="1882"/>
      <c r="WUR23" s="1887"/>
      <c r="WUS23" s="1888"/>
      <c r="WUT23" s="1882"/>
      <c r="WUU23" s="1882"/>
      <c r="WUV23" s="1882"/>
      <c r="WUX23" s="1887"/>
      <c r="WUY23" s="1888"/>
      <c r="WUZ23" s="1882"/>
      <c r="WVA23" s="1882"/>
      <c r="WVB23" s="1882"/>
      <c r="WVD23" s="1887"/>
      <c r="WVE23" s="1888"/>
      <c r="WVF23" s="1882"/>
      <c r="WVG23" s="1882"/>
      <c r="WVH23" s="1882"/>
      <c r="WVJ23" s="1887"/>
      <c r="WVK23" s="1888"/>
      <c r="WVL23" s="1882"/>
      <c r="WVM23" s="1882"/>
      <c r="WVN23" s="1882"/>
      <c r="WVP23" s="1887"/>
      <c r="WVQ23" s="1888"/>
      <c r="WVR23" s="1882"/>
      <c r="WVS23" s="1882"/>
      <c r="WVT23" s="1882"/>
      <c r="WVV23" s="1887"/>
      <c r="WVW23" s="1888"/>
      <c r="WVX23" s="1882"/>
      <c r="WVY23" s="1882"/>
      <c r="WVZ23" s="1882"/>
      <c r="WWB23" s="1887"/>
      <c r="WWC23" s="1888"/>
      <c r="WWD23" s="1882"/>
      <c r="WWE23" s="1882"/>
      <c r="WWF23" s="1882"/>
      <c r="WWH23" s="1887"/>
      <c r="WWI23" s="1888"/>
      <c r="WWJ23" s="1882"/>
      <c r="WWK23" s="1882"/>
      <c r="WWL23" s="1882"/>
      <c r="WWN23" s="1887"/>
      <c r="WWO23" s="1888"/>
      <c r="WWP23" s="1882"/>
      <c r="WWQ23" s="1882"/>
      <c r="WWR23" s="1882"/>
      <c r="WWT23" s="1887"/>
      <c r="WWU23" s="1888"/>
      <c r="WWV23" s="1882"/>
      <c r="WWW23" s="1882"/>
      <c r="WWX23" s="1882"/>
      <c r="WWZ23" s="1887"/>
      <c r="WXA23" s="1888"/>
      <c r="WXB23" s="1882"/>
      <c r="WXC23" s="1882"/>
      <c r="WXD23" s="1882"/>
      <c r="WXF23" s="1887"/>
      <c r="WXG23" s="1888"/>
      <c r="WXH23" s="1882"/>
      <c r="WXI23" s="1882"/>
      <c r="WXJ23" s="1882"/>
      <c r="WXL23" s="1887"/>
      <c r="WXM23" s="1888"/>
      <c r="WXN23" s="1882"/>
      <c r="WXO23" s="1882"/>
      <c r="WXP23" s="1882"/>
      <c r="WXR23" s="1887"/>
      <c r="WXS23" s="1888"/>
      <c r="WXT23" s="1882"/>
      <c r="WXU23" s="1882"/>
      <c r="WXV23" s="1882"/>
      <c r="WXX23" s="1887"/>
      <c r="WXY23" s="1888"/>
      <c r="WXZ23" s="1882"/>
      <c r="WYA23" s="1882"/>
      <c r="WYB23" s="1882"/>
      <c r="WYD23" s="1887"/>
      <c r="WYE23" s="1888"/>
      <c r="WYF23" s="1882"/>
      <c r="WYG23" s="1882"/>
      <c r="WYH23" s="1882"/>
      <c r="WYJ23" s="1887"/>
      <c r="WYK23" s="1888"/>
      <c r="WYL23" s="1882"/>
      <c r="WYM23" s="1882"/>
      <c r="WYN23" s="1882"/>
      <c r="WYP23" s="1887"/>
      <c r="WYQ23" s="1888"/>
      <c r="WYR23" s="1882"/>
      <c r="WYS23" s="1882"/>
      <c r="WYT23" s="1882"/>
      <c r="WYV23" s="1887"/>
      <c r="WYW23" s="1888"/>
      <c r="WYX23" s="1882"/>
      <c r="WYY23" s="1882"/>
      <c r="WYZ23" s="1882"/>
      <c r="WZB23" s="1887"/>
      <c r="WZC23" s="1888"/>
      <c r="WZD23" s="1882"/>
      <c r="WZE23" s="1882"/>
      <c r="WZF23" s="1882"/>
      <c r="WZH23" s="1887"/>
      <c r="WZI23" s="1888"/>
      <c r="WZJ23" s="1882"/>
      <c r="WZK23" s="1882"/>
      <c r="WZL23" s="1882"/>
      <c r="WZN23" s="1887"/>
      <c r="WZO23" s="1888"/>
      <c r="WZP23" s="1882"/>
      <c r="WZQ23" s="1882"/>
      <c r="WZR23" s="1882"/>
      <c r="WZT23" s="1887"/>
      <c r="WZU23" s="1888"/>
      <c r="WZV23" s="1882"/>
      <c r="WZW23" s="1882"/>
      <c r="WZX23" s="1882"/>
      <c r="WZZ23" s="1887"/>
      <c r="XAA23" s="1888"/>
      <c r="XAB23" s="1882"/>
      <c r="XAC23" s="1882"/>
      <c r="XAD23" s="1882"/>
      <c r="XAF23" s="1887"/>
      <c r="XAG23" s="1888"/>
      <c r="XAH23" s="1882"/>
      <c r="XAI23" s="1882"/>
      <c r="XAJ23" s="1882"/>
      <c r="XAL23" s="1887"/>
      <c r="XAM23" s="1888"/>
      <c r="XAN23" s="1882"/>
      <c r="XAO23" s="1882"/>
      <c r="XAP23" s="1882"/>
      <c r="XAR23" s="1887"/>
      <c r="XAS23" s="1888"/>
      <c r="XAT23" s="1882"/>
      <c r="XAU23" s="1882"/>
      <c r="XAV23" s="1882"/>
      <c r="XAX23" s="1887"/>
      <c r="XAY23" s="1888"/>
      <c r="XAZ23" s="1882"/>
      <c r="XBA23" s="1882"/>
      <c r="XBB23" s="1882"/>
      <c r="XBD23" s="1887"/>
      <c r="XBE23" s="1888"/>
      <c r="XBF23" s="1882"/>
      <c r="XBG23" s="1882"/>
      <c r="XBH23" s="1882"/>
      <c r="XBJ23" s="1887"/>
      <c r="XBK23" s="1888"/>
      <c r="XBL23" s="1882"/>
      <c r="XBM23" s="1882"/>
      <c r="XBN23" s="1882"/>
      <c r="XBP23" s="1887"/>
      <c r="XBQ23" s="1888"/>
      <c r="XBR23" s="1882"/>
      <c r="XBS23" s="1882"/>
      <c r="XBT23" s="1882"/>
      <c r="XBV23" s="1887"/>
      <c r="XBW23" s="1888"/>
      <c r="XBX23" s="1882"/>
      <c r="XBY23" s="1882"/>
      <c r="XBZ23" s="1882"/>
      <c r="XCB23" s="1887"/>
      <c r="XCC23" s="1888"/>
      <c r="XCD23" s="1882"/>
      <c r="XCE23" s="1882"/>
      <c r="XCF23" s="1882"/>
      <c r="XCH23" s="1887"/>
      <c r="XCI23" s="1888"/>
      <c r="XCJ23" s="1882"/>
      <c r="XCK23" s="1882"/>
      <c r="XCL23" s="1882"/>
      <c r="XCN23" s="1887"/>
      <c r="XCO23" s="1888"/>
      <c r="XCP23" s="1882"/>
      <c r="XCQ23" s="1882"/>
      <c r="XCR23" s="1882"/>
      <c r="XCT23" s="1887"/>
      <c r="XCU23" s="1888"/>
      <c r="XCV23" s="1882"/>
      <c r="XCW23" s="1882"/>
      <c r="XCX23" s="1882"/>
      <c r="XCZ23" s="1887"/>
      <c r="XDA23" s="1888"/>
      <c r="XDB23" s="1882"/>
      <c r="XDC23" s="1882"/>
      <c r="XDD23" s="1882"/>
      <c r="XDF23" s="1887"/>
      <c r="XDG23" s="1888"/>
      <c r="XDH23" s="1882"/>
      <c r="XDI23" s="1882"/>
      <c r="XDJ23" s="1882"/>
      <c r="XDL23" s="1887"/>
      <c r="XDM23" s="1888"/>
      <c r="XDN23" s="1882"/>
      <c r="XDO23" s="1882"/>
      <c r="XDP23" s="1882"/>
      <c r="XDR23" s="1887"/>
      <c r="XDS23" s="1888"/>
      <c r="XDT23" s="1882"/>
      <c r="XDU23" s="1882"/>
      <c r="XDV23" s="1882"/>
      <c r="XDX23" s="1887"/>
      <c r="XDY23" s="1888"/>
      <c r="XDZ23" s="1882"/>
      <c r="XEA23" s="1882"/>
      <c r="XEB23" s="1882"/>
      <c r="XED23" s="1887"/>
      <c r="XEE23" s="1888"/>
      <c r="XEF23" s="1882"/>
      <c r="XEG23" s="1882"/>
      <c r="XEH23" s="1882"/>
      <c r="XEJ23" s="1887"/>
      <c r="XEK23" s="1888"/>
      <c r="XEL23" s="1882"/>
      <c r="XEM23" s="1882"/>
      <c r="XEN23" s="1882"/>
      <c r="XEP23" s="1887"/>
      <c r="XEQ23" s="1888"/>
      <c r="XER23" s="1882"/>
      <c r="XES23" s="1882"/>
      <c r="XET23" s="1882"/>
      <c r="XEV23" s="1887"/>
      <c r="XEW23" s="1888"/>
      <c r="XEX23" s="1882"/>
      <c r="XEY23" s="1882"/>
      <c r="XEZ23" s="1882"/>
      <c r="XFB23" s="1887"/>
      <c r="XFC23" s="1888"/>
      <c r="XFD23" s="1882"/>
    </row>
    <row r="24" spans="1:3072 3074:6144 6146:9216 9218:12288 12290:15360 15362:16384" ht="12.75" customHeight="1" thickBot="1">
      <c r="D24" s="1882"/>
      <c r="E24" s="1882"/>
      <c r="F24" s="1882"/>
      <c r="H24" s="1887"/>
      <c r="I24" s="1888"/>
      <c r="J24" s="1882"/>
      <c r="K24" s="1882"/>
      <c r="L24" s="1882"/>
      <c r="N24" s="1887"/>
      <c r="O24" s="1888"/>
      <c r="P24" s="1882"/>
      <c r="Q24" s="1882"/>
      <c r="R24" s="1882"/>
      <c r="T24" s="1887"/>
      <c r="U24" s="1888"/>
      <c r="V24" s="1882"/>
      <c r="W24" s="1882"/>
      <c r="X24" s="1882"/>
      <c r="Z24" s="1887"/>
      <c r="AA24" s="1888"/>
      <c r="AB24" s="1882"/>
      <c r="AC24" s="1882"/>
      <c r="AD24" s="1882"/>
      <c r="AF24" s="1887"/>
      <c r="AG24" s="1888"/>
      <c r="AH24" s="1882"/>
      <c r="AI24" s="1882"/>
      <c r="AJ24" s="1882"/>
      <c r="AL24" s="1887"/>
      <c r="AM24" s="1888"/>
      <c r="AN24" s="1882"/>
      <c r="AO24" s="1882"/>
      <c r="AP24" s="1882"/>
      <c r="AR24" s="1887"/>
      <c r="AS24" s="1888"/>
      <c r="AT24" s="1882"/>
      <c r="AU24" s="1882"/>
      <c r="AV24" s="1882"/>
      <c r="AX24" s="1887"/>
      <c r="AY24" s="1888"/>
      <c r="AZ24" s="1882"/>
      <c r="BA24" s="1882"/>
      <c r="BB24" s="1882"/>
      <c r="BD24" s="1887"/>
      <c r="BE24" s="1888"/>
      <c r="BF24" s="1882"/>
      <c r="BG24" s="1882"/>
      <c r="BH24" s="1882"/>
      <c r="BJ24" s="1887"/>
      <c r="BK24" s="1888"/>
      <c r="BL24" s="1882"/>
      <c r="BM24" s="1882"/>
      <c r="BN24" s="1882"/>
      <c r="BP24" s="1887"/>
      <c r="BQ24" s="1888"/>
      <c r="BR24" s="1882"/>
      <c r="BS24" s="1882"/>
      <c r="BT24" s="1882"/>
      <c r="BV24" s="1887"/>
      <c r="BW24" s="1888"/>
      <c r="BX24" s="1882"/>
      <c r="BY24" s="1882"/>
      <c r="BZ24" s="1882"/>
      <c r="CB24" s="1887"/>
      <c r="CC24" s="1888"/>
      <c r="CD24" s="1882"/>
      <c r="CE24" s="1882"/>
      <c r="CF24" s="1882"/>
      <c r="CH24" s="1887"/>
      <c r="CI24" s="1888"/>
      <c r="CJ24" s="1882"/>
      <c r="CK24" s="1882"/>
      <c r="CL24" s="1882"/>
      <c r="CN24" s="1887"/>
      <c r="CO24" s="1888"/>
      <c r="CP24" s="1882"/>
      <c r="CQ24" s="1882"/>
      <c r="CR24" s="1882"/>
      <c r="CT24" s="1887"/>
      <c r="CU24" s="1888"/>
      <c r="CV24" s="1882"/>
      <c r="CW24" s="1882"/>
      <c r="CX24" s="1882"/>
      <c r="CZ24" s="1887"/>
      <c r="DA24" s="1888"/>
      <c r="DB24" s="1882"/>
      <c r="DC24" s="1882"/>
      <c r="DD24" s="1882"/>
      <c r="DF24" s="1887"/>
      <c r="DG24" s="1888"/>
      <c r="DH24" s="1882"/>
      <c r="DI24" s="1882"/>
      <c r="DJ24" s="1882"/>
      <c r="DL24" s="1887"/>
      <c r="DM24" s="1888"/>
      <c r="DN24" s="1882"/>
      <c r="DO24" s="1882"/>
      <c r="DP24" s="1882"/>
      <c r="DR24" s="1887"/>
      <c r="DS24" s="1888"/>
      <c r="DT24" s="1882"/>
      <c r="DU24" s="1882"/>
      <c r="DV24" s="1882"/>
      <c r="DX24" s="1887"/>
      <c r="DY24" s="1888"/>
      <c r="DZ24" s="1882"/>
      <c r="EA24" s="1882"/>
      <c r="EB24" s="1882"/>
      <c r="ED24" s="1887"/>
      <c r="EE24" s="1888"/>
      <c r="EF24" s="1882"/>
      <c r="EG24" s="1882"/>
      <c r="EH24" s="1882"/>
      <c r="EJ24" s="1887"/>
      <c r="EK24" s="1888"/>
      <c r="EL24" s="1882"/>
      <c r="EM24" s="1882"/>
      <c r="EN24" s="1882"/>
      <c r="EP24" s="1887"/>
      <c r="EQ24" s="1888"/>
      <c r="ER24" s="1882"/>
      <c r="ES24" s="1882"/>
      <c r="ET24" s="1882"/>
      <c r="EV24" s="1887"/>
      <c r="EW24" s="1888"/>
      <c r="EX24" s="1882"/>
      <c r="EY24" s="1882"/>
      <c r="EZ24" s="1882"/>
      <c r="FB24" s="1887"/>
      <c r="FC24" s="1888"/>
      <c r="FD24" s="1882"/>
      <c r="FE24" s="1882"/>
      <c r="FF24" s="1882"/>
      <c r="FH24" s="1887"/>
      <c r="FI24" s="1888"/>
      <c r="FJ24" s="1882"/>
      <c r="FK24" s="1882"/>
      <c r="FL24" s="1882"/>
      <c r="FN24" s="1887"/>
      <c r="FO24" s="1888"/>
      <c r="FP24" s="1882"/>
      <c r="FQ24" s="1882"/>
      <c r="FR24" s="1882"/>
      <c r="FT24" s="1887"/>
      <c r="FU24" s="1888"/>
      <c r="FV24" s="1882"/>
      <c r="FW24" s="1882"/>
      <c r="FX24" s="1882"/>
      <c r="FZ24" s="1887"/>
      <c r="GA24" s="1888"/>
      <c r="GB24" s="1882"/>
      <c r="GC24" s="1882"/>
      <c r="GD24" s="1882"/>
      <c r="GF24" s="1887"/>
      <c r="GG24" s="1888"/>
      <c r="GH24" s="1882"/>
      <c r="GI24" s="1882"/>
      <c r="GJ24" s="1882"/>
      <c r="GL24" s="1887"/>
      <c r="GM24" s="1888"/>
      <c r="GN24" s="1882"/>
      <c r="GO24" s="1882"/>
      <c r="GP24" s="1882"/>
      <c r="GR24" s="1887"/>
      <c r="GS24" s="1888"/>
      <c r="GT24" s="1882"/>
      <c r="GU24" s="1882"/>
      <c r="GV24" s="1882"/>
      <c r="GX24" s="1887"/>
      <c r="GY24" s="1888"/>
      <c r="GZ24" s="1882"/>
      <c r="HA24" s="1882"/>
      <c r="HB24" s="1882"/>
      <c r="HD24" s="1887"/>
      <c r="HE24" s="1888"/>
      <c r="HF24" s="1882"/>
      <c r="HG24" s="1882"/>
      <c r="HH24" s="1882"/>
      <c r="HJ24" s="1887"/>
      <c r="HK24" s="1888"/>
      <c r="HL24" s="1882"/>
      <c r="HM24" s="1882"/>
      <c r="HN24" s="1882"/>
      <c r="HP24" s="1887"/>
      <c r="HQ24" s="1888"/>
      <c r="HR24" s="1882"/>
      <c r="HS24" s="1882"/>
      <c r="HT24" s="1882"/>
      <c r="HV24" s="1887"/>
      <c r="HW24" s="1888"/>
      <c r="HX24" s="1882"/>
      <c r="HY24" s="1882"/>
      <c r="HZ24" s="1882"/>
      <c r="IB24" s="1887"/>
      <c r="IC24" s="1888"/>
      <c r="ID24" s="1882"/>
      <c r="IE24" s="1882"/>
      <c r="IF24" s="1882"/>
      <c r="IH24" s="1887"/>
      <c r="II24" s="1888"/>
      <c r="IJ24" s="1882"/>
      <c r="IK24" s="1882"/>
      <c r="IL24" s="1882"/>
      <c r="IN24" s="1887"/>
      <c r="IO24" s="1888"/>
      <c r="IP24" s="1882"/>
      <c r="IQ24" s="1882"/>
      <c r="IR24" s="1882"/>
      <c r="IT24" s="1887"/>
      <c r="IU24" s="1888"/>
      <c r="IV24" s="1882"/>
      <c r="IW24" s="1882"/>
      <c r="IX24" s="1882"/>
      <c r="IZ24" s="1887"/>
      <c r="JA24" s="1888"/>
      <c r="JB24" s="1882"/>
      <c r="JC24" s="1882"/>
      <c r="JD24" s="1882"/>
      <c r="JF24" s="1887"/>
      <c r="JG24" s="1888"/>
      <c r="JH24" s="1882"/>
      <c r="JI24" s="1882"/>
      <c r="JJ24" s="1882"/>
      <c r="JL24" s="1887"/>
      <c r="JM24" s="1888"/>
      <c r="JN24" s="1882"/>
      <c r="JO24" s="1882"/>
      <c r="JP24" s="1882"/>
      <c r="JR24" s="1887"/>
      <c r="JS24" s="1888"/>
      <c r="JT24" s="1882"/>
      <c r="JU24" s="1882"/>
      <c r="JV24" s="1882"/>
      <c r="JX24" s="1887"/>
      <c r="JY24" s="1888"/>
      <c r="JZ24" s="1882"/>
      <c r="KA24" s="1882"/>
      <c r="KB24" s="1882"/>
      <c r="KD24" s="1887"/>
      <c r="KE24" s="1888"/>
      <c r="KF24" s="1882"/>
      <c r="KG24" s="1882"/>
      <c r="KH24" s="1882"/>
      <c r="KJ24" s="1887"/>
      <c r="KK24" s="1888"/>
      <c r="KL24" s="1882"/>
      <c r="KM24" s="1882"/>
      <c r="KN24" s="1882"/>
      <c r="KP24" s="1887"/>
      <c r="KQ24" s="1888"/>
      <c r="KR24" s="1882"/>
      <c r="KS24" s="1882"/>
      <c r="KT24" s="1882"/>
      <c r="KV24" s="1887"/>
      <c r="KW24" s="1888"/>
      <c r="KX24" s="1882"/>
      <c r="KY24" s="1882"/>
      <c r="KZ24" s="1882"/>
      <c r="LB24" s="1887"/>
      <c r="LC24" s="1888"/>
      <c r="LD24" s="1882"/>
      <c r="LE24" s="1882"/>
      <c r="LF24" s="1882"/>
      <c r="LH24" s="1887"/>
      <c r="LI24" s="1888"/>
      <c r="LJ24" s="1882"/>
      <c r="LK24" s="1882"/>
      <c r="LL24" s="1882"/>
      <c r="LN24" s="1887"/>
      <c r="LO24" s="1888"/>
      <c r="LP24" s="1882"/>
      <c r="LQ24" s="1882"/>
      <c r="LR24" s="1882"/>
      <c r="LT24" s="1887"/>
      <c r="LU24" s="1888"/>
      <c r="LV24" s="1882"/>
      <c r="LW24" s="1882"/>
      <c r="LX24" s="1882"/>
      <c r="LZ24" s="1887"/>
      <c r="MA24" s="1888"/>
      <c r="MB24" s="1882"/>
      <c r="MC24" s="1882"/>
      <c r="MD24" s="1882"/>
      <c r="MF24" s="1887"/>
      <c r="MG24" s="1888"/>
      <c r="MH24" s="1882"/>
      <c r="MI24" s="1882"/>
      <c r="MJ24" s="1882"/>
      <c r="ML24" s="1887"/>
      <c r="MM24" s="1888"/>
      <c r="MN24" s="1882"/>
      <c r="MO24" s="1882"/>
      <c r="MP24" s="1882"/>
      <c r="MR24" s="1887"/>
      <c r="MS24" s="1888"/>
      <c r="MT24" s="1882"/>
      <c r="MU24" s="1882"/>
      <c r="MV24" s="1882"/>
      <c r="MX24" s="1887"/>
      <c r="MY24" s="1888"/>
      <c r="MZ24" s="1882"/>
      <c r="NA24" s="1882"/>
      <c r="NB24" s="1882"/>
      <c r="ND24" s="1887"/>
      <c r="NE24" s="1888"/>
      <c r="NF24" s="1882"/>
      <c r="NG24" s="1882"/>
      <c r="NH24" s="1882"/>
      <c r="NJ24" s="1887"/>
      <c r="NK24" s="1888"/>
      <c r="NL24" s="1882"/>
      <c r="NM24" s="1882"/>
      <c r="NN24" s="1882"/>
      <c r="NP24" s="1887"/>
      <c r="NQ24" s="1888"/>
      <c r="NR24" s="1882"/>
      <c r="NS24" s="1882"/>
      <c r="NT24" s="1882"/>
      <c r="NV24" s="1887"/>
      <c r="NW24" s="1888"/>
      <c r="NX24" s="1882"/>
      <c r="NY24" s="1882"/>
      <c r="NZ24" s="1882"/>
      <c r="OB24" s="1887"/>
      <c r="OC24" s="1888"/>
      <c r="OD24" s="1882"/>
      <c r="OE24" s="1882"/>
      <c r="OF24" s="1882"/>
      <c r="OH24" s="1887"/>
      <c r="OI24" s="1888"/>
      <c r="OJ24" s="1882"/>
      <c r="OK24" s="1882"/>
      <c r="OL24" s="1882"/>
      <c r="ON24" s="1887"/>
      <c r="OO24" s="1888"/>
      <c r="OP24" s="1882"/>
      <c r="OQ24" s="1882"/>
      <c r="OR24" s="1882"/>
      <c r="OT24" s="1887"/>
      <c r="OU24" s="1888"/>
      <c r="OV24" s="1882"/>
      <c r="OW24" s="1882"/>
      <c r="OX24" s="1882"/>
      <c r="OZ24" s="1887"/>
      <c r="PA24" s="1888"/>
      <c r="PB24" s="1882"/>
      <c r="PC24" s="1882"/>
      <c r="PD24" s="1882"/>
      <c r="PF24" s="1887"/>
      <c r="PG24" s="1888"/>
      <c r="PH24" s="1882"/>
      <c r="PI24" s="1882"/>
      <c r="PJ24" s="1882"/>
      <c r="PL24" s="1887"/>
      <c r="PM24" s="1888"/>
      <c r="PN24" s="1882"/>
      <c r="PO24" s="1882"/>
      <c r="PP24" s="1882"/>
      <c r="PR24" s="1887"/>
      <c r="PS24" s="1888"/>
      <c r="PT24" s="1882"/>
      <c r="PU24" s="1882"/>
      <c r="PV24" s="1882"/>
      <c r="PX24" s="1887"/>
      <c r="PY24" s="1888"/>
      <c r="PZ24" s="1882"/>
      <c r="QA24" s="1882"/>
      <c r="QB24" s="1882"/>
      <c r="QD24" s="1887"/>
      <c r="QE24" s="1888"/>
      <c r="QF24" s="1882"/>
      <c r="QG24" s="1882"/>
      <c r="QH24" s="1882"/>
      <c r="QJ24" s="1887"/>
      <c r="QK24" s="1888"/>
      <c r="QL24" s="1882"/>
      <c r="QM24" s="1882"/>
      <c r="QN24" s="1882"/>
      <c r="QP24" s="1887"/>
      <c r="QQ24" s="1888"/>
      <c r="QR24" s="1882"/>
      <c r="QS24" s="1882"/>
      <c r="QT24" s="1882"/>
      <c r="QV24" s="1887"/>
      <c r="QW24" s="1888"/>
      <c r="QX24" s="1882"/>
      <c r="QY24" s="1882"/>
      <c r="QZ24" s="1882"/>
      <c r="RB24" s="1887"/>
      <c r="RC24" s="1888"/>
      <c r="RD24" s="1882"/>
      <c r="RE24" s="1882"/>
      <c r="RF24" s="1882"/>
      <c r="RH24" s="1887"/>
      <c r="RI24" s="1888"/>
      <c r="RJ24" s="1882"/>
      <c r="RK24" s="1882"/>
      <c r="RL24" s="1882"/>
      <c r="RN24" s="1887"/>
      <c r="RO24" s="1888"/>
      <c r="RP24" s="1882"/>
      <c r="RQ24" s="1882"/>
      <c r="RR24" s="1882"/>
      <c r="RT24" s="1887"/>
      <c r="RU24" s="1888"/>
      <c r="RV24" s="1882"/>
      <c r="RW24" s="1882"/>
      <c r="RX24" s="1882"/>
      <c r="RZ24" s="1887"/>
      <c r="SA24" s="1888"/>
      <c r="SB24" s="1882"/>
      <c r="SC24" s="1882"/>
      <c r="SD24" s="1882"/>
      <c r="SF24" s="1887"/>
      <c r="SG24" s="1888"/>
      <c r="SH24" s="1882"/>
      <c r="SI24" s="1882"/>
      <c r="SJ24" s="1882"/>
      <c r="SL24" s="1887"/>
      <c r="SM24" s="1888"/>
      <c r="SN24" s="1882"/>
      <c r="SO24" s="1882"/>
      <c r="SP24" s="1882"/>
      <c r="SR24" s="1887"/>
      <c r="SS24" s="1888"/>
      <c r="ST24" s="1882"/>
      <c r="SU24" s="1882"/>
      <c r="SV24" s="1882"/>
      <c r="SX24" s="1887"/>
      <c r="SY24" s="1888"/>
      <c r="SZ24" s="1882"/>
      <c r="TA24" s="1882"/>
      <c r="TB24" s="1882"/>
      <c r="TD24" s="1887"/>
      <c r="TE24" s="1888"/>
      <c r="TF24" s="1882"/>
      <c r="TG24" s="1882"/>
      <c r="TH24" s="1882"/>
      <c r="TJ24" s="1887"/>
      <c r="TK24" s="1888"/>
      <c r="TL24" s="1882"/>
      <c r="TM24" s="1882"/>
      <c r="TN24" s="1882"/>
      <c r="TP24" s="1887"/>
      <c r="TQ24" s="1888"/>
      <c r="TR24" s="1882"/>
      <c r="TS24" s="1882"/>
      <c r="TT24" s="1882"/>
      <c r="TV24" s="1887"/>
      <c r="TW24" s="1888"/>
      <c r="TX24" s="1882"/>
      <c r="TY24" s="1882"/>
      <c r="TZ24" s="1882"/>
      <c r="UB24" s="1887"/>
      <c r="UC24" s="1888"/>
      <c r="UD24" s="1882"/>
      <c r="UE24" s="1882"/>
      <c r="UF24" s="1882"/>
      <c r="UH24" s="1887"/>
      <c r="UI24" s="1888"/>
      <c r="UJ24" s="1882"/>
      <c r="UK24" s="1882"/>
      <c r="UL24" s="1882"/>
      <c r="UN24" s="1887"/>
      <c r="UO24" s="1888"/>
      <c r="UP24" s="1882"/>
      <c r="UQ24" s="1882"/>
      <c r="UR24" s="1882"/>
      <c r="UT24" s="1887"/>
      <c r="UU24" s="1888"/>
      <c r="UV24" s="1882"/>
      <c r="UW24" s="1882"/>
      <c r="UX24" s="1882"/>
      <c r="UZ24" s="1887"/>
      <c r="VA24" s="1888"/>
      <c r="VB24" s="1882"/>
      <c r="VC24" s="1882"/>
      <c r="VD24" s="1882"/>
      <c r="VF24" s="1887"/>
      <c r="VG24" s="1888"/>
      <c r="VH24" s="1882"/>
      <c r="VI24" s="1882"/>
      <c r="VJ24" s="1882"/>
      <c r="VL24" s="1887"/>
      <c r="VM24" s="1888"/>
      <c r="VN24" s="1882"/>
      <c r="VO24" s="1882"/>
      <c r="VP24" s="1882"/>
      <c r="VR24" s="1887"/>
      <c r="VS24" s="1888"/>
      <c r="VT24" s="1882"/>
      <c r="VU24" s="1882"/>
      <c r="VV24" s="1882"/>
      <c r="VX24" s="1887"/>
      <c r="VY24" s="1888"/>
      <c r="VZ24" s="1882"/>
      <c r="WA24" s="1882"/>
      <c r="WB24" s="1882"/>
      <c r="WD24" s="1887"/>
      <c r="WE24" s="1888"/>
      <c r="WF24" s="1882"/>
      <c r="WG24" s="1882"/>
      <c r="WH24" s="1882"/>
      <c r="WJ24" s="1887"/>
      <c r="WK24" s="1888"/>
      <c r="WL24" s="1882"/>
      <c r="WM24" s="1882"/>
      <c r="WN24" s="1882"/>
      <c r="WP24" s="1887"/>
      <c r="WQ24" s="1888"/>
      <c r="WR24" s="1882"/>
      <c r="WS24" s="1882"/>
      <c r="WT24" s="1882"/>
      <c r="WV24" s="1887"/>
      <c r="WW24" s="1888"/>
      <c r="WX24" s="1882"/>
      <c r="WY24" s="1882"/>
      <c r="WZ24" s="1882"/>
      <c r="XB24" s="1887"/>
      <c r="XC24" s="1888"/>
      <c r="XD24" s="1882"/>
      <c r="XE24" s="1882"/>
      <c r="XF24" s="1882"/>
      <c r="XH24" s="1887"/>
      <c r="XI24" s="1888"/>
      <c r="XJ24" s="1882"/>
      <c r="XK24" s="1882"/>
      <c r="XL24" s="1882"/>
      <c r="XN24" s="1887"/>
      <c r="XO24" s="1888"/>
      <c r="XP24" s="1882"/>
      <c r="XQ24" s="1882"/>
      <c r="XR24" s="1882"/>
      <c r="XT24" s="1887"/>
      <c r="XU24" s="1888"/>
      <c r="XV24" s="1882"/>
      <c r="XW24" s="1882"/>
      <c r="XX24" s="1882"/>
      <c r="XZ24" s="1887"/>
      <c r="YA24" s="1888"/>
      <c r="YB24" s="1882"/>
      <c r="YC24" s="1882"/>
      <c r="YD24" s="1882"/>
      <c r="YF24" s="1887"/>
      <c r="YG24" s="1888"/>
      <c r="YH24" s="1882"/>
      <c r="YI24" s="1882"/>
      <c r="YJ24" s="1882"/>
      <c r="YL24" s="1887"/>
      <c r="YM24" s="1888"/>
      <c r="YN24" s="1882"/>
      <c r="YO24" s="1882"/>
      <c r="YP24" s="1882"/>
      <c r="YR24" s="1887"/>
      <c r="YS24" s="1888"/>
      <c r="YT24" s="1882"/>
      <c r="YU24" s="1882"/>
      <c r="YV24" s="1882"/>
      <c r="YX24" s="1887"/>
      <c r="YY24" s="1888"/>
      <c r="YZ24" s="1882"/>
      <c r="ZA24" s="1882"/>
      <c r="ZB24" s="1882"/>
      <c r="ZD24" s="1887"/>
      <c r="ZE24" s="1888"/>
      <c r="ZF24" s="1882"/>
      <c r="ZG24" s="1882"/>
      <c r="ZH24" s="1882"/>
      <c r="ZJ24" s="1887"/>
      <c r="ZK24" s="1888"/>
      <c r="ZL24" s="1882"/>
      <c r="ZM24" s="1882"/>
      <c r="ZN24" s="1882"/>
      <c r="ZP24" s="1887"/>
      <c r="ZQ24" s="1888"/>
      <c r="ZR24" s="1882"/>
      <c r="ZS24" s="1882"/>
      <c r="ZT24" s="1882"/>
      <c r="ZV24" s="1887"/>
      <c r="ZW24" s="1888"/>
      <c r="ZX24" s="1882"/>
      <c r="ZY24" s="1882"/>
      <c r="ZZ24" s="1882"/>
      <c r="AAB24" s="1887"/>
      <c r="AAC24" s="1888"/>
      <c r="AAD24" s="1882"/>
      <c r="AAE24" s="1882"/>
      <c r="AAF24" s="1882"/>
      <c r="AAH24" s="1887"/>
      <c r="AAI24" s="1888"/>
      <c r="AAJ24" s="1882"/>
      <c r="AAK24" s="1882"/>
      <c r="AAL24" s="1882"/>
      <c r="AAN24" s="1887"/>
      <c r="AAO24" s="1888"/>
      <c r="AAP24" s="1882"/>
      <c r="AAQ24" s="1882"/>
      <c r="AAR24" s="1882"/>
      <c r="AAT24" s="1887"/>
      <c r="AAU24" s="1888"/>
      <c r="AAV24" s="1882"/>
      <c r="AAW24" s="1882"/>
      <c r="AAX24" s="1882"/>
      <c r="AAZ24" s="1887"/>
      <c r="ABA24" s="1888"/>
      <c r="ABB24" s="1882"/>
      <c r="ABC24" s="1882"/>
      <c r="ABD24" s="1882"/>
      <c r="ABF24" s="1887"/>
      <c r="ABG24" s="1888"/>
      <c r="ABH24" s="1882"/>
      <c r="ABI24" s="1882"/>
      <c r="ABJ24" s="1882"/>
      <c r="ABL24" s="1887"/>
      <c r="ABM24" s="1888"/>
      <c r="ABN24" s="1882"/>
      <c r="ABO24" s="1882"/>
      <c r="ABP24" s="1882"/>
      <c r="ABR24" s="1887"/>
      <c r="ABS24" s="1888"/>
      <c r="ABT24" s="1882"/>
      <c r="ABU24" s="1882"/>
      <c r="ABV24" s="1882"/>
      <c r="ABX24" s="1887"/>
      <c r="ABY24" s="1888"/>
      <c r="ABZ24" s="1882"/>
      <c r="ACA24" s="1882"/>
      <c r="ACB24" s="1882"/>
      <c r="ACD24" s="1887"/>
      <c r="ACE24" s="1888"/>
      <c r="ACF24" s="1882"/>
      <c r="ACG24" s="1882"/>
      <c r="ACH24" s="1882"/>
      <c r="ACJ24" s="1887"/>
      <c r="ACK24" s="1888"/>
      <c r="ACL24" s="1882"/>
      <c r="ACM24" s="1882"/>
      <c r="ACN24" s="1882"/>
      <c r="ACP24" s="1887"/>
      <c r="ACQ24" s="1888"/>
      <c r="ACR24" s="1882"/>
      <c r="ACS24" s="1882"/>
      <c r="ACT24" s="1882"/>
      <c r="ACV24" s="1887"/>
      <c r="ACW24" s="1888"/>
      <c r="ACX24" s="1882"/>
      <c r="ACY24" s="1882"/>
      <c r="ACZ24" s="1882"/>
      <c r="ADB24" s="1887"/>
      <c r="ADC24" s="1888"/>
      <c r="ADD24" s="1882"/>
      <c r="ADE24" s="1882"/>
      <c r="ADF24" s="1882"/>
      <c r="ADH24" s="1887"/>
      <c r="ADI24" s="1888"/>
      <c r="ADJ24" s="1882"/>
      <c r="ADK24" s="1882"/>
      <c r="ADL24" s="1882"/>
      <c r="ADN24" s="1887"/>
      <c r="ADO24" s="1888"/>
      <c r="ADP24" s="1882"/>
      <c r="ADQ24" s="1882"/>
      <c r="ADR24" s="1882"/>
      <c r="ADT24" s="1887"/>
      <c r="ADU24" s="1888"/>
      <c r="ADV24" s="1882"/>
      <c r="ADW24" s="1882"/>
      <c r="ADX24" s="1882"/>
      <c r="ADZ24" s="1887"/>
      <c r="AEA24" s="1888"/>
      <c r="AEB24" s="1882"/>
      <c r="AEC24" s="1882"/>
      <c r="AED24" s="1882"/>
      <c r="AEF24" s="1887"/>
      <c r="AEG24" s="1888"/>
      <c r="AEH24" s="1882"/>
      <c r="AEI24" s="1882"/>
      <c r="AEJ24" s="1882"/>
      <c r="AEL24" s="1887"/>
      <c r="AEM24" s="1888"/>
      <c r="AEN24" s="1882"/>
      <c r="AEO24" s="1882"/>
      <c r="AEP24" s="1882"/>
      <c r="AER24" s="1887"/>
      <c r="AES24" s="1888"/>
      <c r="AET24" s="1882"/>
      <c r="AEU24" s="1882"/>
      <c r="AEV24" s="1882"/>
      <c r="AEX24" s="1887"/>
      <c r="AEY24" s="1888"/>
      <c r="AEZ24" s="1882"/>
      <c r="AFA24" s="1882"/>
      <c r="AFB24" s="1882"/>
      <c r="AFD24" s="1887"/>
      <c r="AFE24" s="1888"/>
      <c r="AFF24" s="1882"/>
      <c r="AFG24" s="1882"/>
      <c r="AFH24" s="1882"/>
      <c r="AFJ24" s="1887"/>
      <c r="AFK24" s="1888"/>
      <c r="AFL24" s="1882"/>
      <c r="AFM24" s="1882"/>
      <c r="AFN24" s="1882"/>
      <c r="AFP24" s="1887"/>
      <c r="AFQ24" s="1888"/>
      <c r="AFR24" s="1882"/>
      <c r="AFS24" s="1882"/>
      <c r="AFT24" s="1882"/>
      <c r="AFV24" s="1887"/>
      <c r="AFW24" s="1888"/>
      <c r="AFX24" s="1882"/>
      <c r="AFY24" s="1882"/>
      <c r="AFZ24" s="1882"/>
      <c r="AGB24" s="1887"/>
      <c r="AGC24" s="1888"/>
      <c r="AGD24" s="1882"/>
      <c r="AGE24" s="1882"/>
      <c r="AGF24" s="1882"/>
      <c r="AGH24" s="1887"/>
      <c r="AGI24" s="1888"/>
      <c r="AGJ24" s="1882"/>
      <c r="AGK24" s="1882"/>
      <c r="AGL24" s="1882"/>
      <c r="AGN24" s="1887"/>
      <c r="AGO24" s="1888"/>
      <c r="AGP24" s="1882"/>
      <c r="AGQ24" s="1882"/>
      <c r="AGR24" s="1882"/>
      <c r="AGT24" s="1887"/>
      <c r="AGU24" s="1888"/>
      <c r="AGV24" s="1882"/>
      <c r="AGW24" s="1882"/>
      <c r="AGX24" s="1882"/>
      <c r="AGZ24" s="1887"/>
      <c r="AHA24" s="1888"/>
      <c r="AHB24" s="1882"/>
      <c r="AHC24" s="1882"/>
      <c r="AHD24" s="1882"/>
      <c r="AHF24" s="1887"/>
      <c r="AHG24" s="1888"/>
      <c r="AHH24" s="1882"/>
      <c r="AHI24" s="1882"/>
      <c r="AHJ24" s="1882"/>
      <c r="AHL24" s="1887"/>
      <c r="AHM24" s="1888"/>
      <c r="AHN24" s="1882"/>
      <c r="AHO24" s="1882"/>
      <c r="AHP24" s="1882"/>
      <c r="AHR24" s="1887"/>
      <c r="AHS24" s="1888"/>
      <c r="AHT24" s="1882"/>
      <c r="AHU24" s="1882"/>
      <c r="AHV24" s="1882"/>
      <c r="AHX24" s="1887"/>
      <c r="AHY24" s="1888"/>
      <c r="AHZ24" s="1882"/>
      <c r="AIA24" s="1882"/>
      <c r="AIB24" s="1882"/>
      <c r="AID24" s="1887"/>
      <c r="AIE24" s="1888"/>
      <c r="AIF24" s="1882"/>
      <c r="AIG24" s="1882"/>
      <c r="AIH24" s="1882"/>
      <c r="AIJ24" s="1887"/>
      <c r="AIK24" s="1888"/>
      <c r="AIL24" s="1882"/>
      <c r="AIM24" s="1882"/>
      <c r="AIN24" s="1882"/>
      <c r="AIP24" s="1887"/>
      <c r="AIQ24" s="1888"/>
      <c r="AIR24" s="1882"/>
      <c r="AIS24" s="1882"/>
      <c r="AIT24" s="1882"/>
      <c r="AIV24" s="1887"/>
      <c r="AIW24" s="1888"/>
      <c r="AIX24" s="1882"/>
      <c r="AIY24" s="1882"/>
      <c r="AIZ24" s="1882"/>
      <c r="AJB24" s="1887"/>
      <c r="AJC24" s="1888"/>
      <c r="AJD24" s="1882"/>
      <c r="AJE24" s="1882"/>
      <c r="AJF24" s="1882"/>
      <c r="AJH24" s="1887"/>
      <c r="AJI24" s="1888"/>
      <c r="AJJ24" s="1882"/>
      <c r="AJK24" s="1882"/>
      <c r="AJL24" s="1882"/>
      <c r="AJN24" s="1887"/>
      <c r="AJO24" s="1888"/>
      <c r="AJP24" s="1882"/>
      <c r="AJQ24" s="1882"/>
      <c r="AJR24" s="1882"/>
      <c r="AJT24" s="1887"/>
      <c r="AJU24" s="1888"/>
      <c r="AJV24" s="1882"/>
      <c r="AJW24" s="1882"/>
      <c r="AJX24" s="1882"/>
      <c r="AJZ24" s="1887"/>
      <c r="AKA24" s="1888"/>
      <c r="AKB24" s="1882"/>
      <c r="AKC24" s="1882"/>
      <c r="AKD24" s="1882"/>
      <c r="AKF24" s="1887"/>
      <c r="AKG24" s="1888"/>
      <c r="AKH24" s="1882"/>
      <c r="AKI24" s="1882"/>
      <c r="AKJ24" s="1882"/>
      <c r="AKL24" s="1887"/>
      <c r="AKM24" s="1888"/>
      <c r="AKN24" s="1882"/>
      <c r="AKO24" s="1882"/>
      <c r="AKP24" s="1882"/>
      <c r="AKR24" s="1887"/>
      <c r="AKS24" s="1888"/>
      <c r="AKT24" s="1882"/>
      <c r="AKU24" s="1882"/>
      <c r="AKV24" s="1882"/>
      <c r="AKX24" s="1887"/>
      <c r="AKY24" s="1888"/>
      <c r="AKZ24" s="1882"/>
      <c r="ALA24" s="1882"/>
      <c r="ALB24" s="1882"/>
      <c r="ALD24" s="1887"/>
      <c r="ALE24" s="1888"/>
      <c r="ALF24" s="1882"/>
      <c r="ALG24" s="1882"/>
      <c r="ALH24" s="1882"/>
      <c r="ALJ24" s="1887"/>
      <c r="ALK24" s="1888"/>
      <c r="ALL24" s="1882"/>
      <c r="ALM24" s="1882"/>
      <c r="ALN24" s="1882"/>
      <c r="ALP24" s="1887"/>
      <c r="ALQ24" s="1888"/>
      <c r="ALR24" s="1882"/>
      <c r="ALS24" s="1882"/>
      <c r="ALT24" s="1882"/>
      <c r="ALV24" s="1887"/>
      <c r="ALW24" s="1888"/>
      <c r="ALX24" s="1882"/>
      <c r="ALY24" s="1882"/>
      <c r="ALZ24" s="1882"/>
      <c r="AMB24" s="1887"/>
      <c r="AMC24" s="1888"/>
      <c r="AMD24" s="1882"/>
      <c r="AME24" s="1882"/>
      <c r="AMF24" s="1882"/>
      <c r="AMH24" s="1887"/>
      <c r="AMI24" s="1888"/>
      <c r="AMJ24" s="1882"/>
      <c r="AMK24" s="1882"/>
      <c r="AML24" s="1882"/>
      <c r="AMN24" s="1887"/>
      <c r="AMO24" s="1888"/>
      <c r="AMP24" s="1882"/>
      <c r="AMQ24" s="1882"/>
      <c r="AMR24" s="1882"/>
      <c r="AMT24" s="1887"/>
      <c r="AMU24" s="1888"/>
      <c r="AMV24" s="1882"/>
      <c r="AMW24" s="1882"/>
      <c r="AMX24" s="1882"/>
      <c r="AMZ24" s="1887"/>
      <c r="ANA24" s="1888"/>
      <c r="ANB24" s="1882"/>
      <c r="ANC24" s="1882"/>
      <c r="AND24" s="1882"/>
      <c r="ANF24" s="1887"/>
      <c r="ANG24" s="1888"/>
      <c r="ANH24" s="1882"/>
      <c r="ANI24" s="1882"/>
      <c r="ANJ24" s="1882"/>
      <c r="ANL24" s="1887"/>
      <c r="ANM24" s="1888"/>
      <c r="ANN24" s="1882"/>
      <c r="ANO24" s="1882"/>
      <c r="ANP24" s="1882"/>
      <c r="ANR24" s="1887"/>
      <c r="ANS24" s="1888"/>
      <c r="ANT24" s="1882"/>
      <c r="ANU24" s="1882"/>
      <c r="ANV24" s="1882"/>
      <c r="ANX24" s="1887"/>
      <c r="ANY24" s="1888"/>
      <c r="ANZ24" s="1882"/>
      <c r="AOA24" s="1882"/>
      <c r="AOB24" s="1882"/>
      <c r="AOD24" s="1887"/>
      <c r="AOE24" s="1888"/>
      <c r="AOF24" s="1882"/>
      <c r="AOG24" s="1882"/>
      <c r="AOH24" s="1882"/>
      <c r="AOJ24" s="1887"/>
      <c r="AOK24" s="1888"/>
      <c r="AOL24" s="1882"/>
      <c r="AOM24" s="1882"/>
      <c r="AON24" s="1882"/>
      <c r="AOP24" s="1887"/>
      <c r="AOQ24" s="1888"/>
      <c r="AOR24" s="1882"/>
      <c r="AOS24" s="1882"/>
      <c r="AOT24" s="1882"/>
      <c r="AOV24" s="1887"/>
      <c r="AOW24" s="1888"/>
      <c r="AOX24" s="1882"/>
      <c r="AOY24" s="1882"/>
      <c r="AOZ24" s="1882"/>
      <c r="APB24" s="1887"/>
      <c r="APC24" s="1888"/>
      <c r="APD24" s="1882"/>
      <c r="APE24" s="1882"/>
      <c r="APF24" s="1882"/>
      <c r="APH24" s="1887"/>
      <c r="API24" s="1888"/>
      <c r="APJ24" s="1882"/>
      <c r="APK24" s="1882"/>
      <c r="APL24" s="1882"/>
      <c r="APN24" s="1887"/>
      <c r="APO24" s="1888"/>
      <c r="APP24" s="1882"/>
      <c r="APQ24" s="1882"/>
      <c r="APR24" s="1882"/>
      <c r="APT24" s="1887"/>
      <c r="APU24" s="1888"/>
      <c r="APV24" s="1882"/>
      <c r="APW24" s="1882"/>
      <c r="APX24" s="1882"/>
      <c r="APZ24" s="1887"/>
      <c r="AQA24" s="1888"/>
      <c r="AQB24" s="1882"/>
      <c r="AQC24" s="1882"/>
      <c r="AQD24" s="1882"/>
      <c r="AQF24" s="1887"/>
      <c r="AQG24" s="1888"/>
      <c r="AQH24" s="1882"/>
      <c r="AQI24" s="1882"/>
      <c r="AQJ24" s="1882"/>
      <c r="AQL24" s="1887"/>
      <c r="AQM24" s="1888"/>
      <c r="AQN24" s="1882"/>
      <c r="AQO24" s="1882"/>
      <c r="AQP24" s="1882"/>
      <c r="AQR24" s="1887"/>
      <c r="AQS24" s="1888"/>
      <c r="AQT24" s="1882"/>
      <c r="AQU24" s="1882"/>
      <c r="AQV24" s="1882"/>
      <c r="AQX24" s="1887"/>
      <c r="AQY24" s="1888"/>
      <c r="AQZ24" s="1882"/>
      <c r="ARA24" s="1882"/>
      <c r="ARB24" s="1882"/>
      <c r="ARD24" s="1887"/>
      <c r="ARE24" s="1888"/>
      <c r="ARF24" s="1882"/>
      <c r="ARG24" s="1882"/>
      <c r="ARH24" s="1882"/>
      <c r="ARJ24" s="1887"/>
      <c r="ARK24" s="1888"/>
      <c r="ARL24" s="1882"/>
      <c r="ARM24" s="1882"/>
      <c r="ARN24" s="1882"/>
      <c r="ARP24" s="1887"/>
      <c r="ARQ24" s="1888"/>
      <c r="ARR24" s="1882"/>
      <c r="ARS24" s="1882"/>
      <c r="ART24" s="1882"/>
      <c r="ARV24" s="1887"/>
      <c r="ARW24" s="1888"/>
      <c r="ARX24" s="1882"/>
      <c r="ARY24" s="1882"/>
      <c r="ARZ24" s="1882"/>
      <c r="ASB24" s="1887"/>
      <c r="ASC24" s="1888"/>
      <c r="ASD24" s="1882"/>
      <c r="ASE24" s="1882"/>
      <c r="ASF24" s="1882"/>
      <c r="ASH24" s="1887"/>
      <c r="ASI24" s="1888"/>
      <c r="ASJ24" s="1882"/>
      <c r="ASK24" s="1882"/>
      <c r="ASL24" s="1882"/>
      <c r="ASN24" s="1887"/>
      <c r="ASO24" s="1888"/>
      <c r="ASP24" s="1882"/>
      <c r="ASQ24" s="1882"/>
      <c r="ASR24" s="1882"/>
      <c r="AST24" s="1887"/>
      <c r="ASU24" s="1888"/>
      <c r="ASV24" s="1882"/>
      <c r="ASW24" s="1882"/>
      <c r="ASX24" s="1882"/>
      <c r="ASZ24" s="1887"/>
      <c r="ATA24" s="1888"/>
      <c r="ATB24" s="1882"/>
      <c r="ATC24" s="1882"/>
      <c r="ATD24" s="1882"/>
      <c r="ATF24" s="1887"/>
      <c r="ATG24" s="1888"/>
      <c r="ATH24" s="1882"/>
      <c r="ATI24" s="1882"/>
      <c r="ATJ24" s="1882"/>
      <c r="ATL24" s="1887"/>
      <c r="ATM24" s="1888"/>
      <c r="ATN24" s="1882"/>
      <c r="ATO24" s="1882"/>
      <c r="ATP24" s="1882"/>
      <c r="ATR24" s="1887"/>
      <c r="ATS24" s="1888"/>
      <c r="ATT24" s="1882"/>
      <c r="ATU24" s="1882"/>
      <c r="ATV24" s="1882"/>
      <c r="ATX24" s="1887"/>
      <c r="ATY24" s="1888"/>
      <c r="ATZ24" s="1882"/>
      <c r="AUA24" s="1882"/>
      <c r="AUB24" s="1882"/>
      <c r="AUD24" s="1887"/>
      <c r="AUE24" s="1888"/>
      <c r="AUF24" s="1882"/>
      <c r="AUG24" s="1882"/>
      <c r="AUH24" s="1882"/>
      <c r="AUJ24" s="1887"/>
      <c r="AUK24" s="1888"/>
      <c r="AUL24" s="1882"/>
      <c r="AUM24" s="1882"/>
      <c r="AUN24" s="1882"/>
      <c r="AUP24" s="1887"/>
      <c r="AUQ24" s="1888"/>
      <c r="AUR24" s="1882"/>
      <c r="AUS24" s="1882"/>
      <c r="AUT24" s="1882"/>
      <c r="AUV24" s="1887"/>
      <c r="AUW24" s="1888"/>
      <c r="AUX24" s="1882"/>
      <c r="AUY24" s="1882"/>
      <c r="AUZ24" s="1882"/>
      <c r="AVB24" s="1887"/>
      <c r="AVC24" s="1888"/>
      <c r="AVD24" s="1882"/>
      <c r="AVE24" s="1882"/>
      <c r="AVF24" s="1882"/>
      <c r="AVH24" s="1887"/>
      <c r="AVI24" s="1888"/>
      <c r="AVJ24" s="1882"/>
      <c r="AVK24" s="1882"/>
      <c r="AVL24" s="1882"/>
      <c r="AVN24" s="1887"/>
      <c r="AVO24" s="1888"/>
      <c r="AVP24" s="1882"/>
      <c r="AVQ24" s="1882"/>
      <c r="AVR24" s="1882"/>
      <c r="AVT24" s="1887"/>
      <c r="AVU24" s="1888"/>
      <c r="AVV24" s="1882"/>
      <c r="AVW24" s="1882"/>
      <c r="AVX24" s="1882"/>
      <c r="AVZ24" s="1887"/>
      <c r="AWA24" s="1888"/>
      <c r="AWB24" s="1882"/>
      <c r="AWC24" s="1882"/>
      <c r="AWD24" s="1882"/>
      <c r="AWF24" s="1887"/>
      <c r="AWG24" s="1888"/>
      <c r="AWH24" s="1882"/>
      <c r="AWI24" s="1882"/>
      <c r="AWJ24" s="1882"/>
      <c r="AWL24" s="1887"/>
      <c r="AWM24" s="1888"/>
      <c r="AWN24" s="1882"/>
      <c r="AWO24" s="1882"/>
      <c r="AWP24" s="1882"/>
      <c r="AWR24" s="1887"/>
      <c r="AWS24" s="1888"/>
      <c r="AWT24" s="1882"/>
      <c r="AWU24" s="1882"/>
      <c r="AWV24" s="1882"/>
      <c r="AWX24" s="1887"/>
      <c r="AWY24" s="1888"/>
      <c r="AWZ24" s="1882"/>
      <c r="AXA24" s="1882"/>
      <c r="AXB24" s="1882"/>
      <c r="AXD24" s="1887"/>
      <c r="AXE24" s="1888"/>
      <c r="AXF24" s="1882"/>
      <c r="AXG24" s="1882"/>
      <c r="AXH24" s="1882"/>
      <c r="AXJ24" s="1887"/>
      <c r="AXK24" s="1888"/>
      <c r="AXL24" s="1882"/>
      <c r="AXM24" s="1882"/>
      <c r="AXN24" s="1882"/>
      <c r="AXP24" s="1887"/>
      <c r="AXQ24" s="1888"/>
      <c r="AXR24" s="1882"/>
      <c r="AXS24" s="1882"/>
      <c r="AXT24" s="1882"/>
      <c r="AXV24" s="1887"/>
      <c r="AXW24" s="1888"/>
      <c r="AXX24" s="1882"/>
      <c r="AXY24" s="1882"/>
      <c r="AXZ24" s="1882"/>
      <c r="AYB24" s="1887"/>
      <c r="AYC24" s="1888"/>
      <c r="AYD24" s="1882"/>
      <c r="AYE24" s="1882"/>
      <c r="AYF24" s="1882"/>
      <c r="AYH24" s="1887"/>
      <c r="AYI24" s="1888"/>
      <c r="AYJ24" s="1882"/>
      <c r="AYK24" s="1882"/>
      <c r="AYL24" s="1882"/>
      <c r="AYN24" s="1887"/>
      <c r="AYO24" s="1888"/>
      <c r="AYP24" s="1882"/>
      <c r="AYQ24" s="1882"/>
      <c r="AYR24" s="1882"/>
      <c r="AYT24" s="1887"/>
      <c r="AYU24" s="1888"/>
      <c r="AYV24" s="1882"/>
      <c r="AYW24" s="1882"/>
      <c r="AYX24" s="1882"/>
      <c r="AYZ24" s="1887"/>
      <c r="AZA24" s="1888"/>
      <c r="AZB24" s="1882"/>
      <c r="AZC24" s="1882"/>
      <c r="AZD24" s="1882"/>
      <c r="AZF24" s="1887"/>
      <c r="AZG24" s="1888"/>
      <c r="AZH24" s="1882"/>
      <c r="AZI24" s="1882"/>
      <c r="AZJ24" s="1882"/>
      <c r="AZL24" s="1887"/>
      <c r="AZM24" s="1888"/>
      <c r="AZN24" s="1882"/>
      <c r="AZO24" s="1882"/>
      <c r="AZP24" s="1882"/>
      <c r="AZR24" s="1887"/>
      <c r="AZS24" s="1888"/>
      <c r="AZT24" s="1882"/>
      <c r="AZU24" s="1882"/>
      <c r="AZV24" s="1882"/>
      <c r="AZX24" s="1887"/>
      <c r="AZY24" s="1888"/>
      <c r="AZZ24" s="1882"/>
      <c r="BAA24" s="1882"/>
      <c r="BAB24" s="1882"/>
      <c r="BAD24" s="1887"/>
      <c r="BAE24" s="1888"/>
      <c r="BAF24" s="1882"/>
      <c r="BAG24" s="1882"/>
      <c r="BAH24" s="1882"/>
      <c r="BAJ24" s="1887"/>
      <c r="BAK24" s="1888"/>
      <c r="BAL24" s="1882"/>
      <c r="BAM24" s="1882"/>
      <c r="BAN24" s="1882"/>
      <c r="BAP24" s="1887"/>
      <c r="BAQ24" s="1888"/>
      <c r="BAR24" s="1882"/>
      <c r="BAS24" s="1882"/>
      <c r="BAT24" s="1882"/>
      <c r="BAV24" s="1887"/>
      <c r="BAW24" s="1888"/>
      <c r="BAX24" s="1882"/>
      <c r="BAY24" s="1882"/>
      <c r="BAZ24" s="1882"/>
      <c r="BBB24" s="1887"/>
      <c r="BBC24" s="1888"/>
      <c r="BBD24" s="1882"/>
      <c r="BBE24" s="1882"/>
      <c r="BBF24" s="1882"/>
      <c r="BBH24" s="1887"/>
      <c r="BBI24" s="1888"/>
      <c r="BBJ24" s="1882"/>
      <c r="BBK24" s="1882"/>
      <c r="BBL24" s="1882"/>
      <c r="BBN24" s="1887"/>
      <c r="BBO24" s="1888"/>
      <c r="BBP24" s="1882"/>
      <c r="BBQ24" s="1882"/>
      <c r="BBR24" s="1882"/>
      <c r="BBT24" s="1887"/>
      <c r="BBU24" s="1888"/>
      <c r="BBV24" s="1882"/>
      <c r="BBW24" s="1882"/>
      <c r="BBX24" s="1882"/>
      <c r="BBZ24" s="1887"/>
      <c r="BCA24" s="1888"/>
      <c r="BCB24" s="1882"/>
      <c r="BCC24" s="1882"/>
      <c r="BCD24" s="1882"/>
      <c r="BCF24" s="1887"/>
      <c r="BCG24" s="1888"/>
      <c r="BCH24" s="1882"/>
      <c r="BCI24" s="1882"/>
      <c r="BCJ24" s="1882"/>
      <c r="BCL24" s="1887"/>
      <c r="BCM24" s="1888"/>
      <c r="BCN24" s="1882"/>
      <c r="BCO24" s="1882"/>
      <c r="BCP24" s="1882"/>
      <c r="BCR24" s="1887"/>
      <c r="BCS24" s="1888"/>
      <c r="BCT24" s="1882"/>
      <c r="BCU24" s="1882"/>
      <c r="BCV24" s="1882"/>
      <c r="BCX24" s="1887"/>
      <c r="BCY24" s="1888"/>
      <c r="BCZ24" s="1882"/>
      <c r="BDA24" s="1882"/>
      <c r="BDB24" s="1882"/>
      <c r="BDD24" s="1887"/>
      <c r="BDE24" s="1888"/>
      <c r="BDF24" s="1882"/>
      <c r="BDG24" s="1882"/>
      <c r="BDH24" s="1882"/>
      <c r="BDJ24" s="1887"/>
      <c r="BDK24" s="1888"/>
      <c r="BDL24" s="1882"/>
      <c r="BDM24" s="1882"/>
      <c r="BDN24" s="1882"/>
      <c r="BDP24" s="1887"/>
      <c r="BDQ24" s="1888"/>
      <c r="BDR24" s="1882"/>
      <c r="BDS24" s="1882"/>
      <c r="BDT24" s="1882"/>
      <c r="BDV24" s="1887"/>
      <c r="BDW24" s="1888"/>
      <c r="BDX24" s="1882"/>
      <c r="BDY24" s="1882"/>
      <c r="BDZ24" s="1882"/>
      <c r="BEB24" s="1887"/>
      <c r="BEC24" s="1888"/>
      <c r="BED24" s="1882"/>
      <c r="BEE24" s="1882"/>
      <c r="BEF24" s="1882"/>
      <c r="BEH24" s="1887"/>
      <c r="BEI24" s="1888"/>
      <c r="BEJ24" s="1882"/>
      <c r="BEK24" s="1882"/>
      <c r="BEL24" s="1882"/>
      <c r="BEN24" s="1887"/>
      <c r="BEO24" s="1888"/>
      <c r="BEP24" s="1882"/>
      <c r="BEQ24" s="1882"/>
      <c r="BER24" s="1882"/>
      <c r="BET24" s="1887"/>
      <c r="BEU24" s="1888"/>
      <c r="BEV24" s="1882"/>
      <c r="BEW24" s="1882"/>
      <c r="BEX24" s="1882"/>
      <c r="BEZ24" s="1887"/>
      <c r="BFA24" s="1888"/>
      <c r="BFB24" s="1882"/>
      <c r="BFC24" s="1882"/>
      <c r="BFD24" s="1882"/>
      <c r="BFF24" s="1887"/>
      <c r="BFG24" s="1888"/>
      <c r="BFH24" s="1882"/>
      <c r="BFI24" s="1882"/>
      <c r="BFJ24" s="1882"/>
      <c r="BFL24" s="1887"/>
      <c r="BFM24" s="1888"/>
      <c r="BFN24" s="1882"/>
      <c r="BFO24" s="1882"/>
      <c r="BFP24" s="1882"/>
      <c r="BFR24" s="1887"/>
      <c r="BFS24" s="1888"/>
      <c r="BFT24" s="1882"/>
      <c r="BFU24" s="1882"/>
      <c r="BFV24" s="1882"/>
      <c r="BFX24" s="1887"/>
      <c r="BFY24" s="1888"/>
      <c r="BFZ24" s="1882"/>
      <c r="BGA24" s="1882"/>
      <c r="BGB24" s="1882"/>
      <c r="BGD24" s="1887"/>
      <c r="BGE24" s="1888"/>
      <c r="BGF24" s="1882"/>
      <c r="BGG24" s="1882"/>
      <c r="BGH24" s="1882"/>
      <c r="BGJ24" s="1887"/>
      <c r="BGK24" s="1888"/>
      <c r="BGL24" s="1882"/>
      <c r="BGM24" s="1882"/>
      <c r="BGN24" s="1882"/>
      <c r="BGP24" s="1887"/>
      <c r="BGQ24" s="1888"/>
      <c r="BGR24" s="1882"/>
      <c r="BGS24" s="1882"/>
      <c r="BGT24" s="1882"/>
      <c r="BGV24" s="1887"/>
      <c r="BGW24" s="1888"/>
      <c r="BGX24" s="1882"/>
      <c r="BGY24" s="1882"/>
      <c r="BGZ24" s="1882"/>
      <c r="BHB24" s="1887"/>
      <c r="BHC24" s="1888"/>
      <c r="BHD24" s="1882"/>
      <c r="BHE24" s="1882"/>
      <c r="BHF24" s="1882"/>
      <c r="BHH24" s="1887"/>
      <c r="BHI24" s="1888"/>
      <c r="BHJ24" s="1882"/>
      <c r="BHK24" s="1882"/>
      <c r="BHL24" s="1882"/>
      <c r="BHN24" s="1887"/>
      <c r="BHO24" s="1888"/>
      <c r="BHP24" s="1882"/>
      <c r="BHQ24" s="1882"/>
      <c r="BHR24" s="1882"/>
      <c r="BHT24" s="1887"/>
      <c r="BHU24" s="1888"/>
      <c r="BHV24" s="1882"/>
      <c r="BHW24" s="1882"/>
      <c r="BHX24" s="1882"/>
      <c r="BHZ24" s="1887"/>
      <c r="BIA24" s="1888"/>
      <c r="BIB24" s="1882"/>
      <c r="BIC24" s="1882"/>
      <c r="BID24" s="1882"/>
      <c r="BIF24" s="1887"/>
      <c r="BIG24" s="1888"/>
      <c r="BIH24" s="1882"/>
      <c r="BII24" s="1882"/>
      <c r="BIJ24" s="1882"/>
      <c r="BIL24" s="1887"/>
      <c r="BIM24" s="1888"/>
      <c r="BIN24" s="1882"/>
      <c r="BIO24" s="1882"/>
      <c r="BIP24" s="1882"/>
      <c r="BIR24" s="1887"/>
      <c r="BIS24" s="1888"/>
      <c r="BIT24" s="1882"/>
      <c r="BIU24" s="1882"/>
      <c r="BIV24" s="1882"/>
      <c r="BIX24" s="1887"/>
      <c r="BIY24" s="1888"/>
      <c r="BIZ24" s="1882"/>
      <c r="BJA24" s="1882"/>
      <c r="BJB24" s="1882"/>
      <c r="BJD24" s="1887"/>
      <c r="BJE24" s="1888"/>
      <c r="BJF24" s="1882"/>
      <c r="BJG24" s="1882"/>
      <c r="BJH24" s="1882"/>
      <c r="BJJ24" s="1887"/>
      <c r="BJK24" s="1888"/>
      <c r="BJL24" s="1882"/>
      <c r="BJM24" s="1882"/>
      <c r="BJN24" s="1882"/>
      <c r="BJP24" s="1887"/>
      <c r="BJQ24" s="1888"/>
      <c r="BJR24" s="1882"/>
      <c r="BJS24" s="1882"/>
      <c r="BJT24" s="1882"/>
      <c r="BJV24" s="1887"/>
      <c r="BJW24" s="1888"/>
      <c r="BJX24" s="1882"/>
      <c r="BJY24" s="1882"/>
      <c r="BJZ24" s="1882"/>
      <c r="BKB24" s="1887"/>
      <c r="BKC24" s="1888"/>
      <c r="BKD24" s="1882"/>
      <c r="BKE24" s="1882"/>
      <c r="BKF24" s="1882"/>
      <c r="BKH24" s="1887"/>
      <c r="BKI24" s="1888"/>
      <c r="BKJ24" s="1882"/>
      <c r="BKK24" s="1882"/>
      <c r="BKL24" s="1882"/>
      <c r="BKN24" s="1887"/>
      <c r="BKO24" s="1888"/>
      <c r="BKP24" s="1882"/>
      <c r="BKQ24" s="1882"/>
      <c r="BKR24" s="1882"/>
      <c r="BKT24" s="1887"/>
      <c r="BKU24" s="1888"/>
      <c r="BKV24" s="1882"/>
      <c r="BKW24" s="1882"/>
      <c r="BKX24" s="1882"/>
      <c r="BKZ24" s="1887"/>
      <c r="BLA24" s="1888"/>
      <c r="BLB24" s="1882"/>
      <c r="BLC24" s="1882"/>
      <c r="BLD24" s="1882"/>
      <c r="BLF24" s="1887"/>
      <c r="BLG24" s="1888"/>
      <c r="BLH24" s="1882"/>
      <c r="BLI24" s="1882"/>
      <c r="BLJ24" s="1882"/>
      <c r="BLL24" s="1887"/>
      <c r="BLM24" s="1888"/>
      <c r="BLN24" s="1882"/>
      <c r="BLO24" s="1882"/>
      <c r="BLP24" s="1882"/>
      <c r="BLR24" s="1887"/>
      <c r="BLS24" s="1888"/>
      <c r="BLT24" s="1882"/>
      <c r="BLU24" s="1882"/>
      <c r="BLV24" s="1882"/>
      <c r="BLX24" s="1887"/>
      <c r="BLY24" s="1888"/>
      <c r="BLZ24" s="1882"/>
      <c r="BMA24" s="1882"/>
      <c r="BMB24" s="1882"/>
      <c r="BMD24" s="1887"/>
      <c r="BME24" s="1888"/>
      <c r="BMF24" s="1882"/>
      <c r="BMG24" s="1882"/>
      <c r="BMH24" s="1882"/>
      <c r="BMJ24" s="1887"/>
      <c r="BMK24" s="1888"/>
      <c r="BML24" s="1882"/>
      <c r="BMM24" s="1882"/>
      <c r="BMN24" s="1882"/>
      <c r="BMP24" s="1887"/>
      <c r="BMQ24" s="1888"/>
      <c r="BMR24" s="1882"/>
      <c r="BMS24" s="1882"/>
      <c r="BMT24" s="1882"/>
      <c r="BMV24" s="1887"/>
      <c r="BMW24" s="1888"/>
      <c r="BMX24" s="1882"/>
      <c r="BMY24" s="1882"/>
      <c r="BMZ24" s="1882"/>
      <c r="BNB24" s="1887"/>
      <c r="BNC24" s="1888"/>
      <c r="BND24" s="1882"/>
      <c r="BNE24" s="1882"/>
      <c r="BNF24" s="1882"/>
      <c r="BNH24" s="1887"/>
      <c r="BNI24" s="1888"/>
      <c r="BNJ24" s="1882"/>
      <c r="BNK24" s="1882"/>
      <c r="BNL24" s="1882"/>
      <c r="BNN24" s="1887"/>
      <c r="BNO24" s="1888"/>
      <c r="BNP24" s="1882"/>
      <c r="BNQ24" s="1882"/>
      <c r="BNR24" s="1882"/>
      <c r="BNT24" s="1887"/>
      <c r="BNU24" s="1888"/>
      <c r="BNV24" s="1882"/>
      <c r="BNW24" s="1882"/>
      <c r="BNX24" s="1882"/>
      <c r="BNZ24" s="1887"/>
      <c r="BOA24" s="1888"/>
      <c r="BOB24" s="1882"/>
      <c r="BOC24" s="1882"/>
      <c r="BOD24" s="1882"/>
      <c r="BOF24" s="1887"/>
      <c r="BOG24" s="1888"/>
      <c r="BOH24" s="1882"/>
      <c r="BOI24" s="1882"/>
      <c r="BOJ24" s="1882"/>
      <c r="BOL24" s="1887"/>
      <c r="BOM24" s="1888"/>
      <c r="BON24" s="1882"/>
      <c r="BOO24" s="1882"/>
      <c r="BOP24" s="1882"/>
      <c r="BOR24" s="1887"/>
      <c r="BOS24" s="1888"/>
      <c r="BOT24" s="1882"/>
      <c r="BOU24" s="1882"/>
      <c r="BOV24" s="1882"/>
      <c r="BOX24" s="1887"/>
      <c r="BOY24" s="1888"/>
      <c r="BOZ24" s="1882"/>
      <c r="BPA24" s="1882"/>
      <c r="BPB24" s="1882"/>
      <c r="BPD24" s="1887"/>
      <c r="BPE24" s="1888"/>
      <c r="BPF24" s="1882"/>
      <c r="BPG24" s="1882"/>
      <c r="BPH24" s="1882"/>
      <c r="BPJ24" s="1887"/>
      <c r="BPK24" s="1888"/>
      <c r="BPL24" s="1882"/>
      <c r="BPM24" s="1882"/>
      <c r="BPN24" s="1882"/>
      <c r="BPP24" s="1887"/>
      <c r="BPQ24" s="1888"/>
      <c r="BPR24" s="1882"/>
      <c r="BPS24" s="1882"/>
      <c r="BPT24" s="1882"/>
      <c r="BPV24" s="1887"/>
      <c r="BPW24" s="1888"/>
      <c r="BPX24" s="1882"/>
      <c r="BPY24" s="1882"/>
      <c r="BPZ24" s="1882"/>
      <c r="BQB24" s="1887"/>
      <c r="BQC24" s="1888"/>
      <c r="BQD24" s="1882"/>
      <c r="BQE24" s="1882"/>
      <c r="BQF24" s="1882"/>
      <c r="BQH24" s="1887"/>
      <c r="BQI24" s="1888"/>
      <c r="BQJ24" s="1882"/>
      <c r="BQK24" s="1882"/>
      <c r="BQL24" s="1882"/>
      <c r="BQN24" s="1887"/>
      <c r="BQO24" s="1888"/>
      <c r="BQP24" s="1882"/>
      <c r="BQQ24" s="1882"/>
      <c r="BQR24" s="1882"/>
      <c r="BQT24" s="1887"/>
      <c r="BQU24" s="1888"/>
      <c r="BQV24" s="1882"/>
      <c r="BQW24" s="1882"/>
      <c r="BQX24" s="1882"/>
      <c r="BQZ24" s="1887"/>
      <c r="BRA24" s="1888"/>
      <c r="BRB24" s="1882"/>
      <c r="BRC24" s="1882"/>
      <c r="BRD24" s="1882"/>
      <c r="BRF24" s="1887"/>
      <c r="BRG24" s="1888"/>
      <c r="BRH24" s="1882"/>
      <c r="BRI24" s="1882"/>
      <c r="BRJ24" s="1882"/>
      <c r="BRL24" s="1887"/>
      <c r="BRM24" s="1888"/>
      <c r="BRN24" s="1882"/>
      <c r="BRO24" s="1882"/>
      <c r="BRP24" s="1882"/>
      <c r="BRR24" s="1887"/>
      <c r="BRS24" s="1888"/>
      <c r="BRT24" s="1882"/>
      <c r="BRU24" s="1882"/>
      <c r="BRV24" s="1882"/>
      <c r="BRX24" s="1887"/>
      <c r="BRY24" s="1888"/>
      <c r="BRZ24" s="1882"/>
      <c r="BSA24" s="1882"/>
      <c r="BSB24" s="1882"/>
      <c r="BSD24" s="1887"/>
      <c r="BSE24" s="1888"/>
      <c r="BSF24" s="1882"/>
      <c r="BSG24" s="1882"/>
      <c r="BSH24" s="1882"/>
      <c r="BSJ24" s="1887"/>
      <c r="BSK24" s="1888"/>
      <c r="BSL24" s="1882"/>
      <c r="BSM24" s="1882"/>
      <c r="BSN24" s="1882"/>
      <c r="BSP24" s="1887"/>
      <c r="BSQ24" s="1888"/>
      <c r="BSR24" s="1882"/>
      <c r="BSS24" s="1882"/>
      <c r="BST24" s="1882"/>
      <c r="BSV24" s="1887"/>
      <c r="BSW24" s="1888"/>
      <c r="BSX24" s="1882"/>
      <c r="BSY24" s="1882"/>
      <c r="BSZ24" s="1882"/>
      <c r="BTB24" s="1887"/>
      <c r="BTC24" s="1888"/>
      <c r="BTD24" s="1882"/>
      <c r="BTE24" s="1882"/>
      <c r="BTF24" s="1882"/>
      <c r="BTH24" s="1887"/>
      <c r="BTI24" s="1888"/>
      <c r="BTJ24" s="1882"/>
      <c r="BTK24" s="1882"/>
      <c r="BTL24" s="1882"/>
      <c r="BTN24" s="1887"/>
      <c r="BTO24" s="1888"/>
      <c r="BTP24" s="1882"/>
      <c r="BTQ24" s="1882"/>
      <c r="BTR24" s="1882"/>
      <c r="BTT24" s="1887"/>
      <c r="BTU24" s="1888"/>
      <c r="BTV24" s="1882"/>
      <c r="BTW24" s="1882"/>
      <c r="BTX24" s="1882"/>
      <c r="BTZ24" s="1887"/>
      <c r="BUA24" s="1888"/>
      <c r="BUB24" s="1882"/>
      <c r="BUC24" s="1882"/>
      <c r="BUD24" s="1882"/>
      <c r="BUF24" s="1887"/>
      <c r="BUG24" s="1888"/>
      <c r="BUH24" s="1882"/>
      <c r="BUI24" s="1882"/>
      <c r="BUJ24" s="1882"/>
      <c r="BUL24" s="1887"/>
      <c r="BUM24" s="1888"/>
      <c r="BUN24" s="1882"/>
      <c r="BUO24" s="1882"/>
      <c r="BUP24" s="1882"/>
      <c r="BUR24" s="1887"/>
      <c r="BUS24" s="1888"/>
      <c r="BUT24" s="1882"/>
      <c r="BUU24" s="1882"/>
      <c r="BUV24" s="1882"/>
      <c r="BUX24" s="1887"/>
      <c r="BUY24" s="1888"/>
      <c r="BUZ24" s="1882"/>
      <c r="BVA24" s="1882"/>
      <c r="BVB24" s="1882"/>
      <c r="BVD24" s="1887"/>
      <c r="BVE24" s="1888"/>
      <c r="BVF24" s="1882"/>
      <c r="BVG24" s="1882"/>
      <c r="BVH24" s="1882"/>
      <c r="BVJ24" s="1887"/>
      <c r="BVK24" s="1888"/>
      <c r="BVL24" s="1882"/>
      <c r="BVM24" s="1882"/>
      <c r="BVN24" s="1882"/>
      <c r="BVP24" s="1887"/>
      <c r="BVQ24" s="1888"/>
      <c r="BVR24" s="1882"/>
      <c r="BVS24" s="1882"/>
      <c r="BVT24" s="1882"/>
      <c r="BVV24" s="1887"/>
      <c r="BVW24" s="1888"/>
      <c r="BVX24" s="1882"/>
      <c r="BVY24" s="1882"/>
      <c r="BVZ24" s="1882"/>
      <c r="BWB24" s="1887"/>
      <c r="BWC24" s="1888"/>
      <c r="BWD24" s="1882"/>
      <c r="BWE24" s="1882"/>
      <c r="BWF24" s="1882"/>
      <c r="BWH24" s="1887"/>
      <c r="BWI24" s="1888"/>
      <c r="BWJ24" s="1882"/>
      <c r="BWK24" s="1882"/>
      <c r="BWL24" s="1882"/>
      <c r="BWN24" s="1887"/>
      <c r="BWO24" s="1888"/>
      <c r="BWP24" s="1882"/>
      <c r="BWQ24" s="1882"/>
      <c r="BWR24" s="1882"/>
      <c r="BWT24" s="1887"/>
      <c r="BWU24" s="1888"/>
      <c r="BWV24" s="1882"/>
      <c r="BWW24" s="1882"/>
      <c r="BWX24" s="1882"/>
      <c r="BWZ24" s="1887"/>
      <c r="BXA24" s="1888"/>
      <c r="BXB24" s="1882"/>
      <c r="BXC24" s="1882"/>
      <c r="BXD24" s="1882"/>
      <c r="BXF24" s="1887"/>
      <c r="BXG24" s="1888"/>
      <c r="BXH24" s="1882"/>
      <c r="BXI24" s="1882"/>
      <c r="BXJ24" s="1882"/>
      <c r="BXL24" s="1887"/>
      <c r="BXM24" s="1888"/>
      <c r="BXN24" s="1882"/>
      <c r="BXO24" s="1882"/>
      <c r="BXP24" s="1882"/>
      <c r="BXR24" s="1887"/>
      <c r="BXS24" s="1888"/>
      <c r="BXT24" s="1882"/>
      <c r="BXU24" s="1882"/>
      <c r="BXV24" s="1882"/>
      <c r="BXX24" s="1887"/>
      <c r="BXY24" s="1888"/>
      <c r="BXZ24" s="1882"/>
      <c r="BYA24" s="1882"/>
      <c r="BYB24" s="1882"/>
      <c r="BYD24" s="1887"/>
      <c r="BYE24" s="1888"/>
      <c r="BYF24" s="1882"/>
      <c r="BYG24" s="1882"/>
      <c r="BYH24" s="1882"/>
      <c r="BYJ24" s="1887"/>
      <c r="BYK24" s="1888"/>
      <c r="BYL24" s="1882"/>
      <c r="BYM24" s="1882"/>
      <c r="BYN24" s="1882"/>
      <c r="BYP24" s="1887"/>
      <c r="BYQ24" s="1888"/>
      <c r="BYR24" s="1882"/>
      <c r="BYS24" s="1882"/>
      <c r="BYT24" s="1882"/>
      <c r="BYV24" s="1887"/>
      <c r="BYW24" s="1888"/>
      <c r="BYX24" s="1882"/>
      <c r="BYY24" s="1882"/>
      <c r="BYZ24" s="1882"/>
      <c r="BZB24" s="1887"/>
      <c r="BZC24" s="1888"/>
      <c r="BZD24" s="1882"/>
      <c r="BZE24" s="1882"/>
      <c r="BZF24" s="1882"/>
      <c r="BZH24" s="1887"/>
      <c r="BZI24" s="1888"/>
      <c r="BZJ24" s="1882"/>
      <c r="BZK24" s="1882"/>
      <c r="BZL24" s="1882"/>
      <c r="BZN24" s="1887"/>
      <c r="BZO24" s="1888"/>
      <c r="BZP24" s="1882"/>
      <c r="BZQ24" s="1882"/>
      <c r="BZR24" s="1882"/>
      <c r="BZT24" s="1887"/>
      <c r="BZU24" s="1888"/>
      <c r="BZV24" s="1882"/>
      <c r="BZW24" s="1882"/>
      <c r="BZX24" s="1882"/>
      <c r="BZZ24" s="1887"/>
      <c r="CAA24" s="1888"/>
      <c r="CAB24" s="1882"/>
      <c r="CAC24" s="1882"/>
      <c r="CAD24" s="1882"/>
      <c r="CAF24" s="1887"/>
      <c r="CAG24" s="1888"/>
      <c r="CAH24" s="1882"/>
      <c r="CAI24" s="1882"/>
      <c r="CAJ24" s="1882"/>
      <c r="CAL24" s="1887"/>
      <c r="CAM24" s="1888"/>
      <c r="CAN24" s="1882"/>
      <c r="CAO24" s="1882"/>
      <c r="CAP24" s="1882"/>
      <c r="CAR24" s="1887"/>
      <c r="CAS24" s="1888"/>
      <c r="CAT24" s="1882"/>
      <c r="CAU24" s="1882"/>
      <c r="CAV24" s="1882"/>
      <c r="CAX24" s="1887"/>
      <c r="CAY24" s="1888"/>
      <c r="CAZ24" s="1882"/>
      <c r="CBA24" s="1882"/>
      <c r="CBB24" s="1882"/>
      <c r="CBD24" s="1887"/>
      <c r="CBE24" s="1888"/>
      <c r="CBF24" s="1882"/>
      <c r="CBG24" s="1882"/>
      <c r="CBH24" s="1882"/>
      <c r="CBJ24" s="1887"/>
      <c r="CBK24" s="1888"/>
      <c r="CBL24" s="1882"/>
      <c r="CBM24" s="1882"/>
      <c r="CBN24" s="1882"/>
      <c r="CBP24" s="1887"/>
      <c r="CBQ24" s="1888"/>
      <c r="CBR24" s="1882"/>
      <c r="CBS24" s="1882"/>
      <c r="CBT24" s="1882"/>
      <c r="CBV24" s="1887"/>
      <c r="CBW24" s="1888"/>
      <c r="CBX24" s="1882"/>
      <c r="CBY24" s="1882"/>
      <c r="CBZ24" s="1882"/>
      <c r="CCB24" s="1887"/>
      <c r="CCC24" s="1888"/>
      <c r="CCD24" s="1882"/>
      <c r="CCE24" s="1882"/>
      <c r="CCF24" s="1882"/>
      <c r="CCH24" s="1887"/>
      <c r="CCI24" s="1888"/>
      <c r="CCJ24" s="1882"/>
      <c r="CCK24" s="1882"/>
      <c r="CCL24" s="1882"/>
      <c r="CCN24" s="1887"/>
      <c r="CCO24" s="1888"/>
      <c r="CCP24" s="1882"/>
      <c r="CCQ24" s="1882"/>
      <c r="CCR24" s="1882"/>
      <c r="CCT24" s="1887"/>
      <c r="CCU24" s="1888"/>
      <c r="CCV24" s="1882"/>
      <c r="CCW24" s="1882"/>
      <c r="CCX24" s="1882"/>
      <c r="CCZ24" s="1887"/>
      <c r="CDA24" s="1888"/>
      <c r="CDB24" s="1882"/>
      <c r="CDC24" s="1882"/>
      <c r="CDD24" s="1882"/>
      <c r="CDF24" s="1887"/>
      <c r="CDG24" s="1888"/>
      <c r="CDH24" s="1882"/>
      <c r="CDI24" s="1882"/>
      <c r="CDJ24" s="1882"/>
      <c r="CDL24" s="1887"/>
      <c r="CDM24" s="1888"/>
      <c r="CDN24" s="1882"/>
      <c r="CDO24" s="1882"/>
      <c r="CDP24" s="1882"/>
      <c r="CDR24" s="1887"/>
      <c r="CDS24" s="1888"/>
      <c r="CDT24" s="1882"/>
      <c r="CDU24" s="1882"/>
      <c r="CDV24" s="1882"/>
      <c r="CDX24" s="1887"/>
      <c r="CDY24" s="1888"/>
      <c r="CDZ24" s="1882"/>
      <c r="CEA24" s="1882"/>
      <c r="CEB24" s="1882"/>
      <c r="CED24" s="1887"/>
      <c r="CEE24" s="1888"/>
      <c r="CEF24" s="1882"/>
      <c r="CEG24" s="1882"/>
      <c r="CEH24" s="1882"/>
      <c r="CEJ24" s="1887"/>
      <c r="CEK24" s="1888"/>
      <c r="CEL24" s="1882"/>
      <c r="CEM24" s="1882"/>
      <c r="CEN24" s="1882"/>
      <c r="CEP24" s="1887"/>
      <c r="CEQ24" s="1888"/>
      <c r="CER24" s="1882"/>
      <c r="CES24" s="1882"/>
      <c r="CET24" s="1882"/>
      <c r="CEV24" s="1887"/>
      <c r="CEW24" s="1888"/>
      <c r="CEX24" s="1882"/>
      <c r="CEY24" s="1882"/>
      <c r="CEZ24" s="1882"/>
      <c r="CFB24" s="1887"/>
      <c r="CFC24" s="1888"/>
      <c r="CFD24" s="1882"/>
      <c r="CFE24" s="1882"/>
      <c r="CFF24" s="1882"/>
      <c r="CFH24" s="1887"/>
      <c r="CFI24" s="1888"/>
      <c r="CFJ24" s="1882"/>
      <c r="CFK24" s="1882"/>
      <c r="CFL24" s="1882"/>
      <c r="CFN24" s="1887"/>
      <c r="CFO24" s="1888"/>
      <c r="CFP24" s="1882"/>
      <c r="CFQ24" s="1882"/>
      <c r="CFR24" s="1882"/>
      <c r="CFT24" s="1887"/>
      <c r="CFU24" s="1888"/>
      <c r="CFV24" s="1882"/>
      <c r="CFW24" s="1882"/>
      <c r="CFX24" s="1882"/>
      <c r="CFZ24" s="1887"/>
      <c r="CGA24" s="1888"/>
      <c r="CGB24" s="1882"/>
      <c r="CGC24" s="1882"/>
      <c r="CGD24" s="1882"/>
      <c r="CGF24" s="1887"/>
      <c r="CGG24" s="1888"/>
      <c r="CGH24" s="1882"/>
      <c r="CGI24" s="1882"/>
      <c r="CGJ24" s="1882"/>
      <c r="CGL24" s="1887"/>
      <c r="CGM24" s="1888"/>
      <c r="CGN24" s="1882"/>
      <c r="CGO24" s="1882"/>
      <c r="CGP24" s="1882"/>
      <c r="CGR24" s="1887"/>
      <c r="CGS24" s="1888"/>
      <c r="CGT24" s="1882"/>
      <c r="CGU24" s="1882"/>
      <c r="CGV24" s="1882"/>
      <c r="CGX24" s="1887"/>
      <c r="CGY24" s="1888"/>
      <c r="CGZ24" s="1882"/>
      <c r="CHA24" s="1882"/>
      <c r="CHB24" s="1882"/>
      <c r="CHD24" s="1887"/>
      <c r="CHE24" s="1888"/>
      <c r="CHF24" s="1882"/>
      <c r="CHG24" s="1882"/>
      <c r="CHH24" s="1882"/>
      <c r="CHJ24" s="1887"/>
      <c r="CHK24" s="1888"/>
      <c r="CHL24" s="1882"/>
      <c r="CHM24" s="1882"/>
      <c r="CHN24" s="1882"/>
      <c r="CHP24" s="1887"/>
      <c r="CHQ24" s="1888"/>
      <c r="CHR24" s="1882"/>
      <c r="CHS24" s="1882"/>
      <c r="CHT24" s="1882"/>
      <c r="CHV24" s="1887"/>
      <c r="CHW24" s="1888"/>
      <c r="CHX24" s="1882"/>
      <c r="CHY24" s="1882"/>
      <c r="CHZ24" s="1882"/>
      <c r="CIB24" s="1887"/>
      <c r="CIC24" s="1888"/>
      <c r="CID24" s="1882"/>
      <c r="CIE24" s="1882"/>
      <c r="CIF24" s="1882"/>
      <c r="CIH24" s="1887"/>
      <c r="CII24" s="1888"/>
      <c r="CIJ24" s="1882"/>
      <c r="CIK24" s="1882"/>
      <c r="CIL24" s="1882"/>
      <c r="CIN24" s="1887"/>
      <c r="CIO24" s="1888"/>
      <c r="CIP24" s="1882"/>
      <c r="CIQ24" s="1882"/>
      <c r="CIR24" s="1882"/>
      <c r="CIT24" s="1887"/>
      <c r="CIU24" s="1888"/>
      <c r="CIV24" s="1882"/>
      <c r="CIW24" s="1882"/>
      <c r="CIX24" s="1882"/>
      <c r="CIZ24" s="1887"/>
      <c r="CJA24" s="1888"/>
      <c r="CJB24" s="1882"/>
      <c r="CJC24" s="1882"/>
      <c r="CJD24" s="1882"/>
      <c r="CJF24" s="1887"/>
      <c r="CJG24" s="1888"/>
      <c r="CJH24" s="1882"/>
      <c r="CJI24" s="1882"/>
      <c r="CJJ24" s="1882"/>
      <c r="CJL24" s="1887"/>
      <c r="CJM24" s="1888"/>
      <c r="CJN24" s="1882"/>
      <c r="CJO24" s="1882"/>
      <c r="CJP24" s="1882"/>
      <c r="CJR24" s="1887"/>
      <c r="CJS24" s="1888"/>
      <c r="CJT24" s="1882"/>
      <c r="CJU24" s="1882"/>
      <c r="CJV24" s="1882"/>
      <c r="CJX24" s="1887"/>
      <c r="CJY24" s="1888"/>
      <c r="CJZ24" s="1882"/>
      <c r="CKA24" s="1882"/>
      <c r="CKB24" s="1882"/>
      <c r="CKD24" s="1887"/>
      <c r="CKE24" s="1888"/>
      <c r="CKF24" s="1882"/>
      <c r="CKG24" s="1882"/>
      <c r="CKH24" s="1882"/>
      <c r="CKJ24" s="1887"/>
      <c r="CKK24" s="1888"/>
      <c r="CKL24" s="1882"/>
      <c r="CKM24" s="1882"/>
      <c r="CKN24" s="1882"/>
      <c r="CKP24" s="1887"/>
      <c r="CKQ24" s="1888"/>
      <c r="CKR24" s="1882"/>
      <c r="CKS24" s="1882"/>
      <c r="CKT24" s="1882"/>
      <c r="CKV24" s="1887"/>
      <c r="CKW24" s="1888"/>
      <c r="CKX24" s="1882"/>
      <c r="CKY24" s="1882"/>
      <c r="CKZ24" s="1882"/>
      <c r="CLB24" s="1887"/>
      <c r="CLC24" s="1888"/>
      <c r="CLD24" s="1882"/>
      <c r="CLE24" s="1882"/>
      <c r="CLF24" s="1882"/>
      <c r="CLH24" s="1887"/>
      <c r="CLI24" s="1888"/>
      <c r="CLJ24" s="1882"/>
      <c r="CLK24" s="1882"/>
      <c r="CLL24" s="1882"/>
      <c r="CLN24" s="1887"/>
      <c r="CLO24" s="1888"/>
      <c r="CLP24" s="1882"/>
      <c r="CLQ24" s="1882"/>
      <c r="CLR24" s="1882"/>
      <c r="CLT24" s="1887"/>
      <c r="CLU24" s="1888"/>
      <c r="CLV24" s="1882"/>
      <c r="CLW24" s="1882"/>
      <c r="CLX24" s="1882"/>
      <c r="CLZ24" s="1887"/>
      <c r="CMA24" s="1888"/>
      <c r="CMB24" s="1882"/>
      <c r="CMC24" s="1882"/>
      <c r="CMD24" s="1882"/>
      <c r="CMF24" s="1887"/>
      <c r="CMG24" s="1888"/>
      <c r="CMH24" s="1882"/>
      <c r="CMI24" s="1882"/>
      <c r="CMJ24" s="1882"/>
      <c r="CML24" s="1887"/>
      <c r="CMM24" s="1888"/>
      <c r="CMN24" s="1882"/>
      <c r="CMO24" s="1882"/>
      <c r="CMP24" s="1882"/>
      <c r="CMR24" s="1887"/>
      <c r="CMS24" s="1888"/>
      <c r="CMT24" s="1882"/>
      <c r="CMU24" s="1882"/>
      <c r="CMV24" s="1882"/>
      <c r="CMX24" s="1887"/>
      <c r="CMY24" s="1888"/>
      <c r="CMZ24" s="1882"/>
      <c r="CNA24" s="1882"/>
      <c r="CNB24" s="1882"/>
      <c r="CND24" s="1887"/>
      <c r="CNE24" s="1888"/>
      <c r="CNF24" s="1882"/>
      <c r="CNG24" s="1882"/>
      <c r="CNH24" s="1882"/>
      <c r="CNJ24" s="1887"/>
      <c r="CNK24" s="1888"/>
      <c r="CNL24" s="1882"/>
      <c r="CNM24" s="1882"/>
      <c r="CNN24" s="1882"/>
      <c r="CNP24" s="1887"/>
      <c r="CNQ24" s="1888"/>
      <c r="CNR24" s="1882"/>
      <c r="CNS24" s="1882"/>
      <c r="CNT24" s="1882"/>
      <c r="CNV24" s="1887"/>
      <c r="CNW24" s="1888"/>
      <c r="CNX24" s="1882"/>
      <c r="CNY24" s="1882"/>
      <c r="CNZ24" s="1882"/>
      <c r="COB24" s="1887"/>
      <c r="COC24" s="1888"/>
      <c r="COD24" s="1882"/>
      <c r="COE24" s="1882"/>
      <c r="COF24" s="1882"/>
      <c r="COH24" s="1887"/>
      <c r="COI24" s="1888"/>
      <c r="COJ24" s="1882"/>
      <c r="COK24" s="1882"/>
      <c r="COL24" s="1882"/>
      <c r="CON24" s="1887"/>
      <c r="COO24" s="1888"/>
      <c r="COP24" s="1882"/>
      <c r="COQ24" s="1882"/>
      <c r="COR24" s="1882"/>
      <c r="COT24" s="1887"/>
      <c r="COU24" s="1888"/>
      <c r="COV24" s="1882"/>
      <c r="COW24" s="1882"/>
      <c r="COX24" s="1882"/>
      <c r="COZ24" s="1887"/>
      <c r="CPA24" s="1888"/>
      <c r="CPB24" s="1882"/>
      <c r="CPC24" s="1882"/>
      <c r="CPD24" s="1882"/>
      <c r="CPF24" s="1887"/>
      <c r="CPG24" s="1888"/>
      <c r="CPH24" s="1882"/>
      <c r="CPI24" s="1882"/>
      <c r="CPJ24" s="1882"/>
      <c r="CPL24" s="1887"/>
      <c r="CPM24" s="1888"/>
      <c r="CPN24" s="1882"/>
      <c r="CPO24" s="1882"/>
      <c r="CPP24" s="1882"/>
      <c r="CPR24" s="1887"/>
      <c r="CPS24" s="1888"/>
      <c r="CPT24" s="1882"/>
      <c r="CPU24" s="1882"/>
      <c r="CPV24" s="1882"/>
      <c r="CPX24" s="1887"/>
      <c r="CPY24" s="1888"/>
      <c r="CPZ24" s="1882"/>
      <c r="CQA24" s="1882"/>
      <c r="CQB24" s="1882"/>
      <c r="CQD24" s="1887"/>
      <c r="CQE24" s="1888"/>
      <c r="CQF24" s="1882"/>
      <c r="CQG24" s="1882"/>
      <c r="CQH24" s="1882"/>
      <c r="CQJ24" s="1887"/>
      <c r="CQK24" s="1888"/>
      <c r="CQL24" s="1882"/>
      <c r="CQM24" s="1882"/>
      <c r="CQN24" s="1882"/>
      <c r="CQP24" s="1887"/>
      <c r="CQQ24" s="1888"/>
      <c r="CQR24" s="1882"/>
      <c r="CQS24" s="1882"/>
      <c r="CQT24" s="1882"/>
      <c r="CQV24" s="1887"/>
      <c r="CQW24" s="1888"/>
      <c r="CQX24" s="1882"/>
      <c r="CQY24" s="1882"/>
      <c r="CQZ24" s="1882"/>
      <c r="CRB24" s="1887"/>
      <c r="CRC24" s="1888"/>
      <c r="CRD24" s="1882"/>
      <c r="CRE24" s="1882"/>
      <c r="CRF24" s="1882"/>
      <c r="CRH24" s="1887"/>
      <c r="CRI24" s="1888"/>
      <c r="CRJ24" s="1882"/>
      <c r="CRK24" s="1882"/>
      <c r="CRL24" s="1882"/>
      <c r="CRN24" s="1887"/>
      <c r="CRO24" s="1888"/>
      <c r="CRP24" s="1882"/>
      <c r="CRQ24" s="1882"/>
      <c r="CRR24" s="1882"/>
      <c r="CRT24" s="1887"/>
      <c r="CRU24" s="1888"/>
      <c r="CRV24" s="1882"/>
      <c r="CRW24" s="1882"/>
      <c r="CRX24" s="1882"/>
      <c r="CRZ24" s="1887"/>
      <c r="CSA24" s="1888"/>
      <c r="CSB24" s="1882"/>
      <c r="CSC24" s="1882"/>
      <c r="CSD24" s="1882"/>
      <c r="CSF24" s="1887"/>
      <c r="CSG24" s="1888"/>
      <c r="CSH24" s="1882"/>
      <c r="CSI24" s="1882"/>
      <c r="CSJ24" s="1882"/>
      <c r="CSL24" s="1887"/>
      <c r="CSM24" s="1888"/>
      <c r="CSN24" s="1882"/>
      <c r="CSO24" s="1882"/>
      <c r="CSP24" s="1882"/>
      <c r="CSR24" s="1887"/>
      <c r="CSS24" s="1888"/>
      <c r="CST24" s="1882"/>
      <c r="CSU24" s="1882"/>
      <c r="CSV24" s="1882"/>
      <c r="CSX24" s="1887"/>
      <c r="CSY24" s="1888"/>
      <c r="CSZ24" s="1882"/>
      <c r="CTA24" s="1882"/>
      <c r="CTB24" s="1882"/>
      <c r="CTD24" s="1887"/>
      <c r="CTE24" s="1888"/>
      <c r="CTF24" s="1882"/>
      <c r="CTG24" s="1882"/>
      <c r="CTH24" s="1882"/>
      <c r="CTJ24" s="1887"/>
      <c r="CTK24" s="1888"/>
      <c r="CTL24" s="1882"/>
      <c r="CTM24" s="1882"/>
      <c r="CTN24" s="1882"/>
      <c r="CTP24" s="1887"/>
      <c r="CTQ24" s="1888"/>
      <c r="CTR24" s="1882"/>
      <c r="CTS24" s="1882"/>
      <c r="CTT24" s="1882"/>
      <c r="CTV24" s="1887"/>
      <c r="CTW24" s="1888"/>
      <c r="CTX24" s="1882"/>
      <c r="CTY24" s="1882"/>
      <c r="CTZ24" s="1882"/>
      <c r="CUB24" s="1887"/>
      <c r="CUC24" s="1888"/>
      <c r="CUD24" s="1882"/>
      <c r="CUE24" s="1882"/>
      <c r="CUF24" s="1882"/>
      <c r="CUH24" s="1887"/>
      <c r="CUI24" s="1888"/>
      <c r="CUJ24" s="1882"/>
      <c r="CUK24" s="1882"/>
      <c r="CUL24" s="1882"/>
      <c r="CUN24" s="1887"/>
      <c r="CUO24" s="1888"/>
      <c r="CUP24" s="1882"/>
      <c r="CUQ24" s="1882"/>
      <c r="CUR24" s="1882"/>
      <c r="CUT24" s="1887"/>
      <c r="CUU24" s="1888"/>
      <c r="CUV24" s="1882"/>
      <c r="CUW24" s="1882"/>
      <c r="CUX24" s="1882"/>
      <c r="CUZ24" s="1887"/>
      <c r="CVA24" s="1888"/>
      <c r="CVB24" s="1882"/>
      <c r="CVC24" s="1882"/>
      <c r="CVD24" s="1882"/>
      <c r="CVF24" s="1887"/>
      <c r="CVG24" s="1888"/>
      <c r="CVH24" s="1882"/>
      <c r="CVI24" s="1882"/>
      <c r="CVJ24" s="1882"/>
      <c r="CVL24" s="1887"/>
      <c r="CVM24" s="1888"/>
      <c r="CVN24" s="1882"/>
      <c r="CVO24" s="1882"/>
      <c r="CVP24" s="1882"/>
      <c r="CVR24" s="1887"/>
      <c r="CVS24" s="1888"/>
      <c r="CVT24" s="1882"/>
      <c r="CVU24" s="1882"/>
      <c r="CVV24" s="1882"/>
      <c r="CVX24" s="1887"/>
      <c r="CVY24" s="1888"/>
      <c r="CVZ24" s="1882"/>
      <c r="CWA24" s="1882"/>
      <c r="CWB24" s="1882"/>
      <c r="CWD24" s="1887"/>
      <c r="CWE24" s="1888"/>
      <c r="CWF24" s="1882"/>
      <c r="CWG24" s="1882"/>
      <c r="CWH24" s="1882"/>
      <c r="CWJ24" s="1887"/>
      <c r="CWK24" s="1888"/>
      <c r="CWL24" s="1882"/>
      <c r="CWM24" s="1882"/>
      <c r="CWN24" s="1882"/>
      <c r="CWP24" s="1887"/>
      <c r="CWQ24" s="1888"/>
      <c r="CWR24" s="1882"/>
      <c r="CWS24" s="1882"/>
      <c r="CWT24" s="1882"/>
      <c r="CWV24" s="1887"/>
      <c r="CWW24" s="1888"/>
      <c r="CWX24" s="1882"/>
      <c r="CWY24" s="1882"/>
      <c r="CWZ24" s="1882"/>
      <c r="CXB24" s="1887"/>
      <c r="CXC24" s="1888"/>
      <c r="CXD24" s="1882"/>
      <c r="CXE24" s="1882"/>
      <c r="CXF24" s="1882"/>
      <c r="CXH24" s="1887"/>
      <c r="CXI24" s="1888"/>
      <c r="CXJ24" s="1882"/>
      <c r="CXK24" s="1882"/>
      <c r="CXL24" s="1882"/>
      <c r="CXN24" s="1887"/>
      <c r="CXO24" s="1888"/>
      <c r="CXP24" s="1882"/>
      <c r="CXQ24" s="1882"/>
      <c r="CXR24" s="1882"/>
      <c r="CXT24" s="1887"/>
      <c r="CXU24" s="1888"/>
      <c r="CXV24" s="1882"/>
      <c r="CXW24" s="1882"/>
      <c r="CXX24" s="1882"/>
      <c r="CXZ24" s="1887"/>
      <c r="CYA24" s="1888"/>
      <c r="CYB24" s="1882"/>
      <c r="CYC24" s="1882"/>
      <c r="CYD24" s="1882"/>
      <c r="CYF24" s="1887"/>
      <c r="CYG24" s="1888"/>
      <c r="CYH24" s="1882"/>
      <c r="CYI24" s="1882"/>
      <c r="CYJ24" s="1882"/>
      <c r="CYL24" s="1887"/>
      <c r="CYM24" s="1888"/>
      <c r="CYN24" s="1882"/>
      <c r="CYO24" s="1882"/>
      <c r="CYP24" s="1882"/>
      <c r="CYR24" s="1887"/>
      <c r="CYS24" s="1888"/>
      <c r="CYT24" s="1882"/>
      <c r="CYU24" s="1882"/>
      <c r="CYV24" s="1882"/>
      <c r="CYX24" s="1887"/>
      <c r="CYY24" s="1888"/>
      <c r="CYZ24" s="1882"/>
      <c r="CZA24" s="1882"/>
      <c r="CZB24" s="1882"/>
      <c r="CZD24" s="1887"/>
      <c r="CZE24" s="1888"/>
      <c r="CZF24" s="1882"/>
      <c r="CZG24" s="1882"/>
      <c r="CZH24" s="1882"/>
      <c r="CZJ24" s="1887"/>
      <c r="CZK24" s="1888"/>
      <c r="CZL24" s="1882"/>
      <c r="CZM24" s="1882"/>
      <c r="CZN24" s="1882"/>
      <c r="CZP24" s="1887"/>
      <c r="CZQ24" s="1888"/>
      <c r="CZR24" s="1882"/>
      <c r="CZS24" s="1882"/>
      <c r="CZT24" s="1882"/>
      <c r="CZV24" s="1887"/>
      <c r="CZW24" s="1888"/>
      <c r="CZX24" s="1882"/>
      <c r="CZY24" s="1882"/>
      <c r="CZZ24" s="1882"/>
      <c r="DAB24" s="1887"/>
      <c r="DAC24" s="1888"/>
      <c r="DAD24" s="1882"/>
      <c r="DAE24" s="1882"/>
      <c r="DAF24" s="1882"/>
      <c r="DAH24" s="1887"/>
      <c r="DAI24" s="1888"/>
      <c r="DAJ24" s="1882"/>
      <c r="DAK24" s="1882"/>
      <c r="DAL24" s="1882"/>
      <c r="DAN24" s="1887"/>
      <c r="DAO24" s="1888"/>
      <c r="DAP24" s="1882"/>
      <c r="DAQ24" s="1882"/>
      <c r="DAR24" s="1882"/>
      <c r="DAT24" s="1887"/>
      <c r="DAU24" s="1888"/>
      <c r="DAV24" s="1882"/>
      <c r="DAW24" s="1882"/>
      <c r="DAX24" s="1882"/>
      <c r="DAZ24" s="1887"/>
      <c r="DBA24" s="1888"/>
      <c r="DBB24" s="1882"/>
      <c r="DBC24" s="1882"/>
      <c r="DBD24" s="1882"/>
      <c r="DBF24" s="1887"/>
      <c r="DBG24" s="1888"/>
      <c r="DBH24" s="1882"/>
      <c r="DBI24" s="1882"/>
      <c r="DBJ24" s="1882"/>
      <c r="DBL24" s="1887"/>
      <c r="DBM24" s="1888"/>
      <c r="DBN24" s="1882"/>
      <c r="DBO24" s="1882"/>
      <c r="DBP24" s="1882"/>
      <c r="DBR24" s="1887"/>
      <c r="DBS24" s="1888"/>
      <c r="DBT24" s="1882"/>
      <c r="DBU24" s="1882"/>
      <c r="DBV24" s="1882"/>
      <c r="DBX24" s="1887"/>
      <c r="DBY24" s="1888"/>
      <c r="DBZ24" s="1882"/>
      <c r="DCA24" s="1882"/>
      <c r="DCB24" s="1882"/>
      <c r="DCD24" s="1887"/>
      <c r="DCE24" s="1888"/>
      <c r="DCF24" s="1882"/>
      <c r="DCG24" s="1882"/>
      <c r="DCH24" s="1882"/>
      <c r="DCJ24" s="1887"/>
      <c r="DCK24" s="1888"/>
      <c r="DCL24" s="1882"/>
      <c r="DCM24" s="1882"/>
      <c r="DCN24" s="1882"/>
      <c r="DCP24" s="1887"/>
      <c r="DCQ24" s="1888"/>
      <c r="DCR24" s="1882"/>
      <c r="DCS24" s="1882"/>
      <c r="DCT24" s="1882"/>
      <c r="DCV24" s="1887"/>
      <c r="DCW24" s="1888"/>
      <c r="DCX24" s="1882"/>
      <c r="DCY24" s="1882"/>
      <c r="DCZ24" s="1882"/>
      <c r="DDB24" s="1887"/>
      <c r="DDC24" s="1888"/>
      <c r="DDD24" s="1882"/>
      <c r="DDE24" s="1882"/>
      <c r="DDF24" s="1882"/>
      <c r="DDH24" s="1887"/>
      <c r="DDI24" s="1888"/>
      <c r="DDJ24" s="1882"/>
      <c r="DDK24" s="1882"/>
      <c r="DDL24" s="1882"/>
      <c r="DDN24" s="1887"/>
      <c r="DDO24" s="1888"/>
      <c r="DDP24" s="1882"/>
      <c r="DDQ24" s="1882"/>
      <c r="DDR24" s="1882"/>
      <c r="DDT24" s="1887"/>
      <c r="DDU24" s="1888"/>
      <c r="DDV24" s="1882"/>
      <c r="DDW24" s="1882"/>
      <c r="DDX24" s="1882"/>
      <c r="DDZ24" s="1887"/>
      <c r="DEA24" s="1888"/>
      <c r="DEB24" s="1882"/>
      <c r="DEC24" s="1882"/>
      <c r="DED24" s="1882"/>
      <c r="DEF24" s="1887"/>
      <c r="DEG24" s="1888"/>
      <c r="DEH24" s="1882"/>
      <c r="DEI24" s="1882"/>
      <c r="DEJ24" s="1882"/>
      <c r="DEL24" s="1887"/>
      <c r="DEM24" s="1888"/>
      <c r="DEN24" s="1882"/>
      <c r="DEO24" s="1882"/>
      <c r="DEP24" s="1882"/>
      <c r="DER24" s="1887"/>
      <c r="DES24" s="1888"/>
      <c r="DET24" s="1882"/>
      <c r="DEU24" s="1882"/>
      <c r="DEV24" s="1882"/>
      <c r="DEX24" s="1887"/>
      <c r="DEY24" s="1888"/>
      <c r="DEZ24" s="1882"/>
      <c r="DFA24" s="1882"/>
      <c r="DFB24" s="1882"/>
      <c r="DFD24" s="1887"/>
      <c r="DFE24" s="1888"/>
      <c r="DFF24" s="1882"/>
      <c r="DFG24" s="1882"/>
      <c r="DFH24" s="1882"/>
      <c r="DFJ24" s="1887"/>
      <c r="DFK24" s="1888"/>
      <c r="DFL24" s="1882"/>
      <c r="DFM24" s="1882"/>
      <c r="DFN24" s="1882"/>
      <c r="DFP24" s="1887"/>
      <c r="DFQ24" s="1888"/>
      <c r="DFR24" s="1882"/>
      <c r="DFS24" s="1882"/>
      <c r="DFT24" s="1882"/>
      <c r="DFV24" s="1887"/>
      <c r="DFW24" s="1888"/>
      <c r="DFX24" s="1882"/>
      <c r="DFY24" s="1882"/>
      <c r="DFZ24" s="1882"/>
      <c r="DGB24" s="1887"/>
      <c r="DGC24" s="1888"/>
      <c r="DGD24" s="1882"/>
      <c r="DGE24" s="1882"/>
      <c r="DGF24" s="1882"/>
      <c r="DGH24" s="1887"/>
      <c r="DGI24" s="1888"/>
      <c r="DGJ24" s="1882"/>
      <c r="DGK24" s="1882"/>
      <c r="DGL24" s="1882"/>
      <c r="DGN24" s="1887"/>
      <c r="DGO24" s="1888"/>
      <c r="DGP24" s="1882"/>
      <c r="DGQ24" s="1882"/>
      <c r="DGR24" s="1882"/>
      <c r="DGT24" s="1887"/>
      <c r="DGU24" s="1888"/>
      <c r="DGV24" s="1882"/>
      <c r="DGW24" s="1882"/>
      <c r="DGX24" s="1882"/>
      <c r="DGZ24" s="1887"/>
      <c r="DHA24" s="1888"/>
      <c r="DHB24" s="1882"/>
      <c r="DHC24" s="1882"/>
      <c r="DHD24" s="1882"/>
      <c r="DHF24" s="1887"/>
      <c r="DHG24" s="1888"/>
      <c r="DHH24" s="1882"/>
      <c r="DHI24" s="1882"/>
      <c r="DHJ24" s="1882"/>
      <c r="DHL24" s="1887"/>
      <c r="DHM24" s="1888"/>
      <c r="DHN24" s="1882"/>
      <c r="DHO24" s="1882"/>
      <c r="DHP24" s="1882"/>
      <c r="DHR24" s="1887"/>
      <c r="DHS24" s="1888"/>
      <c r="DHT24" s="1882"/>
      <c r="DHU24" s="1882"/>
      <c r="DHV24" s="1882"/>
      <c r="DHX24" s="1887"/>
      <c r="DHY24" s="1888"/>
      <c r="DHZ24" s="1882"/>
      <c r="DIA24" s="1882"/>
      <c r="DIB24" s="1882"/>
      <c r="DID24" s="1887"/>
      <c r="DIE24" s="1888"/>
      <c r="DIF24" s="1882"/>
      <c r="DIG24" s="1882"/>
      <c r="DIH24" s="1882"/>
      <c r="DIJ24" s="1887"/>
      <c r="DIK24" s="1888"/>
      <c r="DIL24" s="1882"/>
      <c r="DIM24" s="1882"/>
      <c r="DIN24" s="1882"/>
      <c r="DIP24" s="1887"/>
      <c r="DIQ24" s="1888"/>
      <c r="DIR24" s="1882"/>
      <c r="DIS24" s="1882"/>
      <c r="DIT24" s="1882"/>
      <c r="DIV24" s="1887"/>
      <c r="DIW24" s="1888"/>
      <c r="DIX24" s="1882"/>
      <c r="DIY24" s="1882"/>
      <c r="DIZ24" s="1882"/>
      <c r="DJB24" s="1887"/>
      <c r="DJC24" s="1888"/>
      <c r="DJD24" s="1882"/>
      <c r="DJE24" s="1882"/>
      <c r="DJF24" s="1882"/>
      <c r="DJH24" s="1887"/>
      <c r="DJI24" s="1888"/>
      <c r="DJJ24" s="1882"/>
      <c r="DJK24" s="1882"/>
      <c r="DJL24" s="1882"/>
      <c r="DJN24" s="1887"/>
      <c r="DJO24" s="1888"/>
      <c r="DJP24" s="1882"/>
      <c r="DJQ24" s="1882"/>
      <c r="DJR24" s="1882"/>
      <c r="DJT24" s="1887"/>
      <c r="DJU24" s="1888"/>
      <c r="DJV24" s="1882"/>
      <c r="DJW24" s="1882"/>
      <c r="DJX24" s="1882"/>
      <c r="DJZ24" s="1887"/>
      <c r="DKA24" s="1888"/>
      <c r="DKB24" s="1882"/>
      <c r="DKC24" s="1882"/>
      <c r="DKD24" s="1882"/>
      <c r="DKF24" s="1887"/>
      <c r="DKG24" s="1888"/>
      <c r="DKH24" s="1882"/>
      <c r="DKI24" s="1882"/>
      <c r="DKJ24" s="1882"/>
      <c r="DKL24" s="1887"/>
      <c r="DKM24" s="1888"/>
      <c r="DKN24" s="1882"/>
      <c r="DKO24" s="1882"/>
      <c r="DKP24" s="1882"/>
      <c r="DKR24" s="1887"/>
      <c r="DKS24" s="1888"/>
      <c r="DKT24" s="1882"/>
      <c r="DKU24" s="1882"/>
      <c r="DKV24" s="1882"/>
      <c r="DKX24" s="1887"/>
      <c r="DKY24" s="1888"/>
      <c r="DKZ24" s="1882"/>
      <c r="DLA24" s="1882"/>
      <c r="DLB24" s="1882"/>
      <c r="DLD24" s="1887"/>
      <c r="DLE24" s="1888"/>
      <c r="DLF24" s="1882"/>
      <c r="DLG24" s="1882"/>
      <c r="DLH24" s="1882"/>
      <c r="DLJ24" s="1887"/>
      <c r="DLK24" s="1888"/>
      <c r="DLL24" s="1882"/>
      <c r="DLM24" s="1882"/>
      <c r="DLN24" s="1882"/>
      <c r="DLP24" s="1887"/>
      <c r="DLQ24" s="1888"/>
      <c r="DLR24" s="1882"/>
      <c r="DLS24" s="1882"/>
      <c r="DLT24" s="1882"/>
      <c r="DLV24" s="1887"/>
      <c r="DLW24" s="1888"/>
      <c r="DLX24" s="1882"/>
      <c r="DLY24" s="1882"/>
      <c r="DLZ24" s="1882"/>
      <c r="DMB24" s="1887"/>
      <c r="DMC24" s="1888"/>
      <c r="DMD24" s="1882"/>
      <c r="DME24" s="1882"/>
      <c r="DMF24" s="1882"/>
      <c r="DMH24" s="1887"/>
      <c r="DMI24" s="1888"/>
      <c r="DMJ24" s="1882"/>
      <c r="DMK24" s="1882"/>
      <c r="DML24" s="1882"/>
      <c r="DMN24" s="1887"/>
      <c r="DMO24" s="1888"/>
      <c r="DMP24" s="1882"/>
      <c r="DMQ24" s="1882"/>
      <c r="DMR24" s="1882"/>
      <c r="DMT24" s="1887"/>
      <c r="DMU24" s="1888"/>
      <c r="DMV24" s="1882"/>
      <c r="DMW24" s="1882"/>
      <c r="DMX24" s="1882"/>
      <c r="DMZ24" s="1887"/>
      <c r="DNA24" s="1888"/>
      <c r="DNB24" s="1882"/>
      <c r="DNC24" s="1882"/>
      <c r="DND24" s="1882"/>
      <c r="DNF24" s="1887"/>
      <c r="DNG24" s="1888"/>
      <c r="DNH24" s="1882"/>
      <c r="DNI24" s="1882"/>
      <c r="DNJ24" s="1882"/>
      <c r="DNL24" s="1887"/>
      <c r="DNM24" s="1888"/>
      <c r="DNN24" s="1882"/>
      <c r="DNO24" s="1882"/>
      <c r="DNP24" s="1882"/>
      <c r="DNR24" s="1887"/>
      <c r="DNS24" s="1888"/>
      <c r="DNT24" s="1882"/>
      <c r="DNU24" s="1882"/>
      <c r="DNV24" s="1882"/>
      <c r="DNX24" s="1887"/>
      <c r="DNY24" s="1888"/>
      <c r="DNZ24" s="1882"/>
      <c r="DOA24" s="1882"/>
      <c r="DOB24" s="1882"/>
      <c r="DOD24" s="1887"/>
      <c r="DOE24" s="1888"/>
      <c r="DOF24" s="1882"/>
      <c r="DOG24" s="1882"/>
      <c r="DOH24" s="1882"/>
      <c r="DOJ24" s="1887"/>
      <c r="DOK24" s="1888"/>
      <c r="DOL24" s="1882"/>
      <c r="DOM24" s="1882"/>
      <c r="DON24" s="1882"/>
      <c r="DOP24" s="1887"/>
      <c r="DOQ24" s="1888"/>
      <c r="DOR24" s="1882"/>
      <c r="DOS24" s="1882"/>
      <c r="DOT24" s="1882"/>
      <c r="DOV24" s="1887"/>
      <c r="DOW24" s="1888"/>
      <c r="DOX24" s="1882"/>
      <c r="DOY24" s="1882"/>
      <c r="DOZ24" s="1882"/>
      <c r="DPB24" s="1887"/>
      <c r="DPC24" s="1888"/>
      <c r="DPD24" s="1882"/>
      <c r="DPE24" s="1882"/>
      <c r="DPF24" s="1882"/>
      <c r="DPH24" s="1887"/>
      <c r="DPI24" s="1888"/>
      <c r="DPJ24" s="1882"/>
      <c r="DPK24" s="1882"/>
      <c r="DPL24" s="1882"/>
      <c r="DPN24" s="1887"/>
      <c r="DPO24" s="1888"/>
      <c r="DPP24" s="1882"/>
      <c r="DPQ24" s="1882"/>
      <c r="DPR24" s="1882"/>
      <c r="DPT24" s="1887"/>
      <c r="DPU24" s="1888"/>
      <c r="DPV24" s="1882"/>
      <c r="DPW24" s="1882"/>
      <c r="DPX24" s="1882"/>
      <c r="DPZ24" s="1887"/>
      <c r="DQA24" s="1888"/>
      <c r="DQB24" s="1882"/>
      <c r="DQC24" s="1882"/>
      <c r="DQD24" s="1882"/>
      <c r="DQF24" s="1887"/>
      <c r="DQG24" s="1888"/>
      <c r="DQH24" s="1882"/>
      <c r="DQI24" s="1882"/>
      <c r="DQJ24" s="1882"/>
      <c r="DQL24" s="1887"/>
      <c r="DQM24" s="1888"/>
      <c r="DQN24" s="1882"/>
      <c r="DQO24" s="1882"/>
      <c r="DQP24" s="1882"/>
      <c r="DQR24" s="1887"/>
      <c r="DQS24" s="1888"/>
      <c r="DQT24" s="1882"/>
      <c r="DQU24" s="1882"/>
      <c r="DQV24" s="1882"/>
      <c r="DQX24" s="1887"/>
      <c r="DQY24" s="1888"/>
      <c r="DQZ24" s="1882"/>
      <c r="DRA24" s="1882"/>
      <c r="DRB24" s="1882"/>
      <c r="DRD24" s="1887"/>
      <c r="DRE24" s="1888"/>
      <c r="DRF24" s="1882"/>
      <c r="DRG24" s="1882"/>
      <c r="DRH24" s="1882"/>
      <c r="DRJ24" s="1887"/>
      <c r="DRK24" s="1888"/>
      <c r="DRL24" s="1882"/>
      <c r="DRM24" s="1882"/>
      <c r="DRN24" s="1882"/>
      <c r="DRP24" s="1887"/>
      <c r="DRQ24" s="1888"/>
      <c r="DRR24" s="1882"/>
      <c r="DRS24" s="1882"/>
      <c r="DRT24" s="1882"/>
      <c r="DRV24" s="1887"/>
      <c r="DRW24" s="1888"/>
      <c r="DRX24" s="1882"/>
      <c r="DRY24" s="1882"/>
      <c r="DRZ24" s="1882"/>
      <c r="DSB24" s="1887"/>
      <c r="DSC24" s="1888"/>
      <c r="DSD24" s="1882"/>
      <c r="DSE24" s="1882"/>
      <c r="DSF24" s="1882"/>
      <c r="DSH24" s="1887"/>
      <c r="DSI24" s="1888"/>
      <c r="DSJ24" s="1882"/>
      <c r="DSK24" s="1882"/>
      <c r="DSL24" s="1882"/>
      <c r="DSN24" s="1887"/>
      <c r="DSO24" s="1888"/>
      <c r="DSP24" s="1882"/>
      <c r="DSQ24" s="1882"/>
      <c r="DSR24" s="1882"/>
      <c r="DST24" s="1887"/>
      <c r="DSU24" s="1888"/>
      <c r="DSV24" s="1882"/>
      <c r="DSW24" s="1882"/>
      <c r="DSX24" s="1882"/>
      <c r="DSZ24" s="1887"/>
      <c r="DTA24" s="1888"/>
      <c r="DTB24" s="1882"/>
      <c r="DTC24" s="1882"/>
      <c r="DTD24" s="1882"/>
      <c r="DTF24" s="1887"/>
      <c r="DTG24" s="1888"/>
      <c r="DTH24" s="1882"/>
      <c r="DTI24" s="1882"/>
      <c r="DTJ24" s="1882"/>
      <c r="DTL24" s="1887"/>
      <c r="DTM24" s="1888"/>
      <c r="DTN24" s="1882"/>
      <c r="DTO24" s="1882"/>
      <c r="DTP24" s="1882"/>
      <c r="DTR24" s="1887"/>
      <c r="DTS24" s="1888"/>
      <c r="DTT24" s="1882"/>
      <c r="DTU24" s="1882"/>
      <c r="DTV24" s="1882"/>
      <c r="DTX24" s="1887"/>
      <c r="DTY24" s="1888"/>
      <c r="DTZ24" s="1882"/>
      <c r="DUA24" s="1882"/>
      <c r="DUB24" s="1882"/>
      <c r="DUD24" s="1887"/>
      <c r="DUE24" s="1888"/>
      <c r="DUF24" s="1882"/>
      <c r="DUG24" s="1882"/>
      <c r="DUH24" s="1882"/>
      <c r="DUJ24" s="1887"/>
      <c r="DUK24" s="1888"/>
      <c r="DUL24" s="1882"/>
      <c r="DUM24" s="1882"/>
      <c r="DUN24" s="1882"/>
      <c r="DUP24" s="1887"/>
      <c r="DUQ24" s="1888"/>
      <c r="DUR24" s="1882"/>
      <c r="DUS24" s="1882"/>
      <c r="DUT24" s="1882"/>
      <c r="DUV24" s="1887"/>
      <c r="DUW24" s="1888"/>
      <c r="DUX24" s="1882"/>
      <c r="DUY24" s="1882"/>
      <c r="DUZ24" s="1882"/>
      <c r="DVB24" s="1887"/>
      <c r="DVC24" s="1888"/>
      <c r="DVD24" s="1882"/>
      <c r="DVE24" s="1882"/>
      <c r="DVF24" s="1882"/>
      <c r="DVH24" s="1887"/>
      <c r="DVI24" s="1888"/>
      <c r="DVJ24" s="1882"/>
      <c r="DVK24" s="1882"/>
      <c r="DVL24" s="1882"/>
      <c r="DVN24" s="1887"/>
      <c r="DVO24" s="1888"/>
      <c r="DVP24" s="1882"/>
      <c r="DVQ24" s="1882"/>
      <c r="DVR24" s="1882"/>
      <c r="DVT24" s="1887"/>
      <c r="DVU24" s="1888"/>
      <c r="DVV24" s="1882"/>
      <c r="DVW24" s="1882"/>
      <c r="DVX24" s="1882"/>
      <c r="DVZ24" s="1887"/>
      <c r="DWA24" s="1888"/>
      <c r="DWB24" s="1882"/>
      <c r="DWC24" s="1882"/>
      <c r="DWD24" s="1882"/>
      <c r="DWF24" s="1887"/>
      <c r="DWG24" s="1888"/>
      <c r="DWH24" s="1882"/>
      <c r="DWI24" s="1882"/>
      <c r="DWJ24" s="1882"/>
      <c r="DWL24" s="1887"/>
      <c r="DWM24" s="1888"/>
      <c r="DWN24" s="1882"/>
      <c r="DWO24" s="1882"/>
      <c r="DWP24" s="1882"/>
      <c r="DWR24" s="1887"/>
      <c r="DWS24" s="1888"/>
      <c r="DWT24" s="1882"/>
      <c r="DWU24" s="1882"/>
      <c r="DWV24" s="1882"/>
      <c r="DWX24" s="1887"/>
      <c r="DWY24" s="1888"/>
      <c r="DWZ24" s="1882"/>
      <c r="DXA24" s="1882"/>
      <c r="DXB24" s="1882"/>
      <c r="DXD24" s="1887"/>
      <c r="DXE24" s="1888"/>
      <c r="DXF24" s="1882"/>
      <c r="DXG24" s="1882"/>
      <c r="DXH24" s="1882"/>
      <c r="DXJ24" s="1887"/>
      <c r="DXK24" s="1888"/>
      <c r="DXL24" s="1882"/>
      <c r="DXM24" s="1882"/>
      <c r="DXN24" s="1882"/>
      <c r="DXP24" s="1887"/>
      <c r="DXQ24" s="1888"/>
      <c r="DXR24" s="1882"/>
      <c r="DXS24" s="1882"/>
      <c r="DXT24" s="1882"/>
      <c r="DXV24" s="1887"/>
      <c r="DXW24" s="1888"/>
      <c r="DXX24" s="1882"/>
      <c r="DXY24" s="1882"/>
      <c r="DXZ24" s="1882"/>
      <c r="DYB24" s="1887"/>
      <c r="DYC24" s="1888"/>
      <c r="DYD24" s="1882"/>
      <c r="DYE24" s="1882"/>
      <c r="DYF24" s="1882"/>
      <c r="DYH24" s="1887"/>
      <c r="DYI24" s="1888"/>
      <c r="DYJ24" s="1882"/>
      <c r="DYK24" s="1882"/>
      <c r="DYL24" s="1882"/>
      <c r="DYN24" s="1887"/>
      <c r="DYO24" s="1888"/>
      <c r="DYP24" s="1882"/>
      <c r="DYQ24" s="1882"/>
      <c r="DYR24" s="1882"/>
      <c r="DYT24" s="1887"/>
      <c r="DYU24" s="1888"/>
      <c r="DYV24" s="1882"/>
      <c r="DYW24" s="1882"/>
      <c r="DYX24" s="1882"/>
      <c r="DYZ24" s="1887"/>
      <c r="DZA24" s="1888"/>
      <c r="DZB24" s="1882"/>
      <c r="DZC24" s="1882"/>
      <c r="DZD24" s="1882"/>
      <c r="DZF24" s="1887"/>
      <c r="DZG24" s="1888"/>
      <c r="DZH24" s="1882"/>
      <c r="DZI24" s="1882"/>
      <c r="DZJ24" s="1882"/>
      <c r="DZL24" s="1887"/>
      <c r="DZM24" s="1888"/>
      <c r="DZN24" s="1882"/>
      <c r="DZO24" s="1882"/>
      <c r="DZP24" s="1882"/>
      <c r="DZR24" s="1887"/>
      <c r="DZS24" s="1888"/>
      <c r="DZT24" s="1882"/>
      <c r="DZU24" s="1882"/>
      <c r="DZV24" s="1882"/>
      <c r="DZX24" s="1887"/>
      <c r="DZY24" s="1888"/>
      <c r="DZZ24" s="1882"/>
      <c r="EAA24" s="1882"/>
      <c r="EAB24" s="1882"/>
      <c r="EAD24" s="1887"/>
      <c r="EAE24" s="1888"/>
      <c r="EAF24" s="1882"/>
      <c r="EAG24" s="1882"/>
      <c r="EAH24" s="1882"/>
      <c r="EAJ24" s="1887"/>
      <c r="EAK24" s="1888"/>
      <c r="EAL24" s="1882"/>
      <c r="EAM24" s="1882"/>
      <c r="EAN24" s="1882"/>
      <c r="EAP24" s="1887"/>
      <c r="EAQ24" s="1888"/>
      <c r="EAR24" s="1882"/>
      <c r="EAS24" s="1882"/>
      <c r="EAT24" s="1882"/>
      <c r="EAV24" s="1887"/>
      <c r="EAW24" s="1888"/>
      <c r="EAX24" s="1882"/>
      <c r="EAY24" s="1882"/>
      <c r="EAZ24" s="1882"/>
      <c r="EBB24" s="1887"/>
      <c r="EBC24" s="1888"/>
      <c r="EBD24" s="1882"/>
      <c r="EBE24" s="1882"/>
      <c r="EBF24" s="1882"/>
      <c r="EBH24" s="1887"/>
      <c r="EBI24" s="1888"/>
      <c r="EBJ24" s="1882"/>
      <c r="EBK24" s="1882"/>
      <c r="EBL24" s="1882"/>
      <c r="EBN24" s="1887"/>
      <c r="EBO24" s="1888"/>
      <c r="EBP24" s="1882"/>
      <c r="EBQ24" s="1882"/>
      <c r="EBR24" s="1882"/>
      <c r="EBT24" s="1887"/>
      <c r="EBU24" s="1888"/>
      <c r="EBV24" s="1882"/>
      <c r="EBW24" s="1882"/>
      <c r="EBX24" s="1882"/>
      <c r="EBZ24" s="1887"/>
      <c r="ECA24" s="1888"/>
      <c r="ECB24" s="1882"/>
      <c r="ECC24" s="1882"/>
      <c r="ECD24" s="1882"/>
      <c r="ECF24" s="1887"/>
      <c r="ECG24" s="1888"/>
      <c r="ECH24" s="1882"/>
      <c r="ECI24" s="1882"/>
      <c r="ECJ24" s="1882"/>
      <c r="ECL24" s="1887"/>
      <c r="ECM24" s="1888"/>
      <c r="ECN24" s="1882"/>
      <c r="ECO24" s="1882"/>
      <c r="ECP24" s="1882"/>
      <c r="ECR24" s="1887"/>
      <c r="ECS24" s="1888"/>
      <c r="ECT24" s="1882"/>
      <c r="ECU24" s="1882"/>
      <c r="ECV24" s="1882"/>
      <c r="ECX24" s="1887"/>
      <c r="ECY24" s="1888"/>
      <c r="ECZ24" s="1882"/>
      <c r="EDA24" s="1882"/>
      <c r="EDB24" s="1882"/>
      <c r="EDD24" s="1887"/>
      <c r="EDE24" s="1888"/>
      <c r="EDF24" s="1882"/>
      <c r="EDG24" s="1882"/>
      <c r="EDH24" s="1882"/>
      <c r="EDJ24" s="1887"/>
      <c r="EDK24" s="1888"/>
      <c r="EDL24" s="1882"/>
      <c r="EDM24" s="1882"/>
      <c r="EDN24" s="1882"/>
      <c r="EDP24" s="1887"/>
      <c r="EDQ24" s="1888"/>
      <c r="EDR24" s="1882"/>
      <c r="EDS24" s="1882"/>
      <c r="EDT24" s="1882"/>
      <c r="EDV24" s="1887"/>
      <c r="EDW24" s="1888"/>
      <c r="EDX24" s="1882"/>
      <c r="EDY24" s="1882"/>
      <c r="EDZ24" s="1882"/>
      <c r="EEB24" s="1887"/>
      <c r="EEC24" s="1888"/>
      <c r="EED24" s="1882"/>
      <c r="EEE24" s="1882"/>
      <c r="EEF24" s="1882"/>
      <c r="EEH24" s="1887"/>
      <c r="EEI24" s="1888"/>
      <c r="EEJ24" s="1882"/>
      <c r="EEK24" s="1882"/>
      <c r="EEL24" s="1882"/>
      <c r="EEN24" s="1887"/>
      <c r="EEO24" s="1888"/>
      <c r="EEP24" s="1882"/>
      <c r="EEQ24" s="1882"/>
      <c r="EER24" s="1882"/>
      <c r="EET24" s="1887"/>
      <c r="EEU24" s="1888"/>
      <c r="EEV24" s="1882"/>
      <c r="EEW24" s="1882"/>
      <c r="EEX24" s="1882"/>
      <c r="EEZ24" s="1887"/>
      <c r="EFA24" s="1888"/>
      <c r="EFB24" s="1882"/>
      <c r="EFC24" s="1882"/>
      <c r="EFD24" s="1882"/>
      <c r="EFF24" s="1887"/>
      <c r="EFG24" s="1888"/>
      <c r="EFH24" s="1882"/>
      <c r="EFI24" s="1882"/>
      <c r="EFJ24" s="1882"/>
      <c r="EFL24" s="1887"/>
      <c r="EFM24" s="1888"/>
      <c r="EFN24" s="1882"/>
      <c r="EFO24" s="1882"/>
      <c r="EFP24" s="1882"/>
      <c r="EFR24" s="1887"/>
      <c r="EFS24" s="1888"/>
      <c r="EFT24" s="1882"/>
      <c r="EFU24" s="1882"/>
      <c r="EFV24" s="1882"/>
      <c r="EFX24" s="1887"/>
      <c r="EFY24" s="1888"/>
      <c r="EFZ24" s="1882"/>
      <c r="EGA24" s="1882"/>
      <c r="EGB24" s="1882"/>
      <c r="EGD24" s="1887"/>
      <c r="EGE24" s="1888"/>
      <c r="EGF24" s="1882"/>
      <c r="EGG24" s="1882"/>
      <c r="EGH24" s="1882"/>
      <c r="EGJ24" s="1887"/>
      <c r="EGK24" s="1888"/>
      <c r="EGL24" s="1882"/>
      <c r="EGM24" s="1882"/>
      <c r="EGN24" s="1882"/>
      <c r="EGP24" s="1887"/>
      <c r="EGQ24" s="1888"/>
      <c r="EGR24" s="1882"/>
      <c r="EGS24" s="1882"/>
      <c r="EGT24" s="1882"/>
      <c r="EGV24" s="1887"/>
      <c r="EGW24" s="1888"/>
      <c r="EGX24" s="1882"/>
      <c r="EGY24" s="1882"/>
      <c r="EGZ24" s="1882"/>
      <c r="EHB24" s="1887"/>
      <c r="EHC24" s="1888"/>
      <c r="EHD24" s="1882"/>
      <c r="EHE24" s="1882"/>
      <c r="EHF24" s="1882"/>
      <c r="EHH24" s="1887"/>
      <c r="EHI24" s="1888"/>
      <c r="EHJ24" s="1882"/>
      <c r="EHK24" s="1882"/>
      <c r="EHL24" s="1882"/>
      <c r="EHN24" s="1887"/>
      <c r="EHO24" s="1888"/>
      <c r="EHP24" s="1882"/>
      <c r="EHQ24" s="1882"/>
      <c r="EHR24" s="1882"/>
      <c r="EHT24" s="1887"/>
      <c r="EHU24" s="1888"/>
      <c r="EHV24" s="1882"/>
      <c r="EHW24" s="1882"/>
      <c r="EHX24" s="1882"/>
      <c r="EHZ24" s="1887"/>
      <c r="EIA24" s="1888"/>
      <c r="EIB24" s="1882"/>
      <c r="EIC24" s="1882"/>
      <c r="EID24" s="1882"/>
      <c r="EIF24" s="1887"/>
      <c r="EIG24" s="1888"/>
      <c r="EIH24" s="1882"/>
      <c r="EII24" s="1882"/>
      <c r="EIJ24" s="1882"/>
      <c r="EIL24" s="1887"/>
      <c r="EIM24" s="1888"/>
      <c r="EIN24" s="1882"/>
      <c r="EIO24" s="1882"/>
      <c r="EIP24" s="1882"/>
      <c r="EIR24" s="1887"/>
      <c r="EIS24" s="1888"/>
      <c r="EIT24" s="1882"/>
      <c r="EIU24" s="1882"/>
      <c r="EIV24" s="1882"/>
      <c r="EIX24" s="1887"/>
      <c r="EIY24" s="1888"/>
      <c r="EIZ24" s="1882"/>
      <c r="EJA24" s="1882"/>
      <c r="EJB24" s="1882"/>
      <c r="EJD24" s="1887"/>
      <c r="EJE24" s="1888"/>
      <c r="EJF24" s="1882"/>
      <c r="EJG24" s="1882"/>
      <c r="EJH24" s="1882"/>
      <c r="EJJ24" s="1887"/>
      <c r="EJK24" s="1888"/>
      <c r="EJL24" s="1882"/>
      <c r="EJM24" s="1882"/>
      <c r="EJN24" s="1882"/>
      <c r="EJP24" s="1887"/>
      <c r="EJQ24" s="1888"/>
      <c r="EJR24" s="1882"/>
      <c r="EJS24" s="1882"/>
      <c r="EJT24" s="1882"/>
      <c r="EJV24" s="1887"/>
      <c r="EJW24" s="1888"/>
      <c r="EJX24" s="1882"/>
      <c r="EJY24" s="1882"/>
      <c r="EJZ24" s="1882"/>
      <c r="EKB24" s="1887"/>
      <c r="EKC24" s="1888"/>
      <c r="EKD24" s="1882"/>
      <c r="EKE24" s="1882"/>
      <c r="EKF24" s="1882"/>
      <c r="EKH24" s="1887"/>
      <c r="EKI24" s="1888"/>
      <c r="EKJ24" s="1882"/>
      <c r="EKK24" s="1882"/>
      <c r="EKL24" s="1882"/>
      <c r="EKN24" s="1887"/>
      <c r="EKO24" s="1888"/>
      <c r="EKP24" s="1882"/>
      <c r="EKQ24" s="1882"/>
      <c r="EKR24" s="1882"/>
      <c r="EKT24" s="1887"/>
      <c r="EKU24" s="1888"/>
      <c r="EKV24" s="1882"/>
      <c r="EKW24" s="1882"/>
      <c r="EKX24" s="1882"/>
      <c r="EKZ24" s="1887"/>
      <c r="ELA24" s="1888"/>
      <c r="ELB24" s="1882"/>
      <c r="ELC24" s="1882"/>
      <c r="ELD24" s="1882"/>
      <c r="ELF24" s="1887"/>
      <c r="ELG24" s="1888"/>
      <c r="ELH24" s="1882"/>
      <c r="ELI24" s="1882"/>
      <c r="ELJ24" s="1882"/>
      <c r="ELL24" s="1887"/>
      <c r="ELM24" s="1888"/>
      <c r="ELN24" s="1882"/>
      <c r="ELO24" s="1882"/>
      <c r="ELP24" s="1882"/>
      <c r="ELR24" s="1887"/>
      <c r="ELS24" s="1888"/>
      <c r="ELT24" s="1882"/>
      <c r="ELU24" s="1882"/>
      <c r="ELV24" s="1882"/>
      <c r="ELX24" s="1887"/>
      <c r="ELY24" s="1888"/>
      <c r="ELZ24" s="1882"/>
      <c r="EMA24" s="1882"/>
      <c r="EMB24" s="1882"/>
      <c r="EMD24" s="1887"/>
      <c r="EME24" s="1888"/>
      <c r="EMF24" s="1882"/>
      <c r="EMG24" s="1882"/>
      <c r="EMH24" s="1882"/>
      <c r="EMJ24" s="1887"/>
      <c r="EMK24" s="1888"/>
      <c r="EML24" s="1882"/>
      <c r="EMM24" s="1882"/>
      <c r="EMN24" s="1882"/>
      <c r="EMP24" s="1887"/>
      <c r="EMQ24" s="1888"/>
      <c r="EMR24" s="1882"/>
      <c r="EMS24" s="1882"/>
      <c r="EMT24" s="1882"/>
      <c r="EMV24" s="1887"/>
      <c r="EMW24" s="1888"/>
      <c r="EMX24" s="1882"/>
      <c r="EMY24" s="1882"/>
      <c r="EMZ24" s="1882"/>
      <c r="ENB24" s="1887"/>
      <c r="ENC24" s="1888"/>
      <c r="END24" s="1882"/>
      <c r="ENE24" s="1882"/>
      <c r="ENF24" s="1882"/>
      <c r="ENH24" s="1887"/>
      <c r="ENI24" s="1888"/>
      <c r="ENJ24" s="1882"/>
      <c r="ENK24" s="1882"/>
      <c r="ENL24" s="1882"/>
      <c r="ENN24" s="1887"/>
      <c r="ENO24" s="1888"/>
      <c r="ENP24" s="1882"/>
      <c r="ENQ24" s="1882"/>
      <c r="ENR24" s="1882"/>
      <c r="ENT24" s="1887"/>
      <c r="ENU24" s="1888"/>
      <c r="ENV24" s="1882"/>
      <c r="ENW24" s="1882"/>
      <c r="ENX24" s="1882"/>
      <c r="ENZ24" s="1887"/>
      <c r="EOA24" s="1888"/>
      <c r="EOB24" s="1882"/>
      <c r="EOC24" s="1882"/>
      <c r="EOD24" s="1882"/>
      <c r="EOF24" s="1887"/>
      <c r="EOG24" s="1888"/>
      <c r="EOH24" s="1882"/>
      <c r="EOI24" s="1882"/>
      <c r="EOJ24" s="1882"/>
      <c r="EOL24" s="1887"/>
      <c r="EOM24" s="1888"/>
      <c r="EON24" s="1882"/>
      <c r="EOO24" s="1882"/>
      <c r="EOP24" s="1882"/>
      <c r="EOR24" s="1887"/>
      <c r="EOS24" s="1888"/>
      <c r="EOT24" s="1882"/>
      <c r="EOU24" s="1882"/>
      <c r="EOV24" s="1882"/>
      <c r="EOX24" s="1887"/>
      <c r="EOY24" s="1888"/>
      <c r="EOZ24" s="1882"/>
      <c r="EPA24" s="1882"/>
      <c r="EPB24" s="1882"/>
      <c r="EPD24" s="1887"/>
      <c r="EPE24" s="1888"/>
      <c r="EPF24" s="1882"/>
      <c r="EPG24" s="1882"/>
      <c r="EPH24" s="1882"/>
      <c r="EPJ24" s="1887"/>
      <c r="EPK24" s="1888"/>
      <c r="EPL24" s="1882"/>
      <c r="EPM24" s="1882"/>
      <c r="EPN24" s="1882"/>
      <c r="EPP24" s="1887"/>
      <c r="EPQ24" s="1888"/>
      <c r="EPR24" s="1882"/>
      <c r="EPS24" s="1882"/>
      <c r="EPT24" s="1882"/>
      <c r="EPV24" s="1887"/>
      <c r="EPW24" s="1888"/>
      <c r="EPX24" s="1882"/>
      <c r="EPY24" s="1882"/>
      <c r="EPZ24" s="1882"/>
      <c r="EQB24" s="1887"/>
      <c r="EQC24" s="1888"/>
      <c r="EQD24" s="1882"/>
      <c r="EQE24" s="1882"/>
      <c r="EQF24" s="1882"/>
      <c r="EQH24" s="1887"/>
      <c r="EQI24" s="1888"/>
      <c r="EQJ24" s="1882"/>
      <c r="EQK24" s="1882"/>
      <c r="EQL24" s="1882"/>
      <c r="EQN24" s="1887"/>
      <c r="EQO24" s="1888"/>
      <c r="EQP24" s="1882"/>
      <c r="EQQ24" s="1882"/>
      <c r="EQR24" s="1882"/>
      <c r="EQT24" s="1887"/>
      <c r="EQU24" s="1888"/>
      <c r="EQV24" s="1882"/>
      <c r="EQW24" s="1882"/>
      <c r="EQX24" s="1882"/>
      <c r="EQZ24" s="1887"/>
      <c r="ERA24" s="1888"/>
      <c r="ERB24" s="1882"/>
      <c r="ERC24" s="1882"/>
      <c r="ERD24" s="1882"/>
      <c r="ERF24" s="1887"/>
      <c r="ERG24" s="1888"/>
      <c r="ERH24" s="1882"/>
      <c r="ERI24" s="1882"/>
      <c r="ERJ24" s="1882"/>
      <c r="ERL24" s="1887"/>
      <c r="ERM24" s="1888"/>
      <c r="ERN24" s="1882"/>
      <c r="ERO24" s="1882"/>
      <c r="ERP24" s="1882"/>
      <c r="ERR24" s="1887"/>
      <c r="ERS24" s="1888"/>
      <c r="ERT24" s="1882"/>
      <c r="ERU24" s="1882"/>
      <c r="ERV24" s="1882"/>
      <c r="ERX24" s="1887"/>
      <c r="ERY24" s="1888"/>
      <c r="ERZ24" s="1882"/>
      <c r="ESA24" s="1882"/>
      <c r="ESB24" s="1882"/>
      <c r="ESD24" s="1887"/>
      <c r="ESE24" s="1888"/>
      <c r="ESF24" s="1882"/>
      <c r="ESG24" s="1882"/>
      <c r="ESH24" s="1882"/>
      <c r="ESJ24" s="1887"/>
      <c r="ESK24" s="1888"/>
      <c r="ESL24" s="1882"/>
      <c r="ESM24" s="1882"/>
      <c r="ESN24" s="1882"/>
      <c r="ESP24" s="1887"/>
      <c r="ESQ24" s="1888"/>
      <c r="ESR24" s="1882"/>
      <c r="ESS24" s="1882"/>
      <c r="EST24" s="1882"/>
      <c r="ESV24" s="1887"/>
      <c r="ESW24" s="1888"/>
      <c r="ESX24" s="1882"/>
      <c r="ESY24" s="1882"/>
      <c r="ESZ24" s="1882"/>
      <c r="ETB24" s="1887"/>
      <c r="ETC24" s="1888"/>
      <c r="ETD24" s="1882"/>
      <c r="ETE24" s="1882"/>
      <c r="ETF24" s="1882"/>
      <c r="ETH24" s="1887"/>
      <c r="ETI24" s="1888"/>
      <c r="ETJ24" s="1882"/>
      <c r="ETK24" s="1882"/>
      <c r="ETL24" s="1882"/>
      <c r="ETN24" s="1887"/>
      <c r="ETO24" s="1888"/>
      <c r="ETP24" s="1882"/>
      <c r="ETQ24" s="1882"/>
      <c r="ETR24" s="1882"/>
      <c r="ETT24" s="1887"/>
      <c r="ETU24" s="1888"/>
      <c r="ETV24" s="1882"/>
      <c r="ETW24" s="1882"/>
      <c r="ETX24" s="1882"/>
      <c r="ETZ24" s="1887"/>
      <c r="EUA24" s="1888"/>
      <c r="EUB24" s="1882"/>
      <c r="EUC24" s="1882"/>
      <c r="EUD24" s="1882"/>
      <c r="EUF24" s="1887"/>
      <c r="EUG24" s="1888"/>
      <c r="EUH24" s="1882"/>
      <c r="EUI24" s="1882"/>
      <c r="EUJ24" s="1882"/>
      <c r="EUL24" s="1887"/>
      <c r="EUM24" s="1888"/>
      <c r="EUN24" s="1882"/>
      <c r="EUO24" s="1882"/>
      <c r="EUP24" s="1882"/>
      <c r="EUR24" s="1887"/>
      <c r="EUS24" s="1888"/>
      <c r="EUT24" s="1882"/>
      <c r="EUU24" s="1882"/>
      <c r="EUV24" s="1882"/>
      <c r="EUX24" s="1887"/>
      <c r="EUY24" s="1888"/>
      <c r="EUZ24" s="1882"/>
      <c r="EVA24" s="1882"/>
      <c r="EVB24" s="1882"/>
      <c r="EVD24" s="1887"/>
      <c r="EVE24" s="1888"/>
      <c r="EVF24" s="1882"/>
      <c r="EVG24" s="1882"/>
      <c r="EVH24" s="1882"/>
      <c r="EVJ24" s="1887"/>
      <c r="EVK24" s="1888"/>
      <c r="EVL24" s="1882"/>
      <c r="EVM24" s="1882"/>
      <c r="EVN24" s="1882"/>
      <c r="EVP24" s="1887"/>
      <c r="EVQ24" s="1888"/>
      <c r="EVR24" s="1882"/>
      <c r="EVS24" s="1882"/>
      <c r="EVT24" s="1882"/>
      <c r="EVV24" s="1887"/>
      <c r="EVW24" s="1888"/>
      <c r="EVX24" s="1882"/>
      <c r="EVY24" s="1882"/>
      <c r="EVZ24" s="1882"/>
      <c r="EWB24" s="1887"/>
      <c r="EWC24" s="1888"/>
      <c r="EWD24" s="1882"/>
      <c r="EWE24" s="1882"/>
      <c r="EWF24" s="1882"/>
      <c r="EWH24" s="1887"/>
      <c r="EWI24" s="1888"/>
      <c r="EWJ24" s="1882"/>
      <c r="EWK24" s="1882"/>
      <c r="EWL24" s="1882"/>
      <c r="EWN24" s="1887"/>
      <c r="EWO24" s="1888"/>
      <c r="EWP24" s="1882"/>
      <c r="EWQ24" s="1882"/>
      <c r="EWR24" s="1882"/>
      <c r="EWT24" s="1887"/>
      <c r="EWU24" s="1888"/>
      <c r="EWV24" s="1882"/>
      <c r="EWW24" s="1882"/>
      <c r="EWX24" s="1882"/>
      <c r="EWZ24" s="1887"/>
      <c r="EXA24" s="1888"/>
      <c r="EXB24" s="1882"/>
      <c r="EXC24" s="1882"/>
      <c r="EXD24" s="1882"/>
      <c r="EXF24" s="1887"/>
      <c r="EXG24" s="1888"/>
      <c r="EXH24" s="1882"/>
      <c r="EXI24" s="1882"/>
      <c r="EXJ24" s="1882"/>
      <c r="EXL24" s="1887"/>
      <c r="EXM24" s="1888"/>
      <c r="EXN24" s="1882"/>
      <c r="EXO24" s="1882"/>
      <c r="EXP24" s="1882"/>
      <c r="EXR24" s="1887"/>
      <c r="EXS24" s="1888"/>
      <c r="EXT24" s="1882"/>
      <c r="EXU24" s="1882"/>
      <c r="EXV24" s="1882"/>
      <c r="EXX24" s="1887"/>
      <c r="EXY24" s="1888"/>
      <c r="EXZ24" s="1882"/>
      <c r="EYA24" s="1882"/>
      <c r="EYB24" s="1882"/>
      <c r="EYD24" s="1887"/>
      <c r="EYE24" s="1888"/>
      <c r="EYF24" s="1882"/>
      <c r="EYG24" s="1882"/>
      <c r="EYH24" s="1882"/>
      <c r="EYJ24" s="1887"/>
      <c r="EYK24" s="1888"/>
      <c r="EYL24" s="1882"/>
      <c r="EYM24" s="1882"/>
      <c r="EYN24" s="1882"/>
      <c r="EYP24" s="1887"/>
      <c r="EYQ24" s="1888"/>
      <c r="EYR24" s="1882"/>
      <c r="EYS24" s="1882"/>
      <c r="EYT24" s="1882"/>
      <c r="EYV24" s="1887"/>
      <c r="EYW24" s="1888"/>
      <c r="EYX24" s="1882"/>
      <c r="EYY24" s="1882"/>
      <c r="EYZ24" s="1882"/>
      <c r="EZB24" s="1887"/>
      <c r="EZC24" s="1888"/>
      <c r="EZD24" s="1882"/>
      <c r="EZE24" s="1882"/>
      <c r="EZF24" s="1882"/>
      <c r="EZH24" s="1887"/>
      <c r="EZI24" s="1888"/>
      <c r="EZJ24" s="1882"/>
      <c r="EZK24" s="1882"/>
      <c r="EZL24" s="1882"/>
      <c r="EZN24" s="1887"/>
      <c r="EZO24" s="1888"/>
      <c r="EZP24" s="1882"/>
      <c r="EZQ24" s="1882"/>
      <c r="EZR24" s="1882"/>
      <c r="EZT24" s="1887"/>
      <c r="EZU24" s="1888"/>
      <c r="EZV24" s="1882"/>
      <c r="EZW24" s="1882"/>
      <c r="EZX24" s="1882"/>
      <c r="EZZ24" s="1887"/>
      <c r="FAA24" s="1888"/>
      <c r="FAB24" s="1882"/>
      <c r="FAC24" s="1882"/>
      <c r="FAD24" s="1882"/>
      <c r="FAF24" s="1887"/>
      <c r="FAG24" s="1888"/>
      <c r="FAH24" s="1882"/>
      <c r="FAI24" s="1882"/>
      <c r="FAJ24" s="1882"/>
      <c r="FAL24" s="1887"/>
      <c r="FAM24" s="1888"/>
      <c r="FAN24" s="1882"/>
      <c r="FAO24" s="1882"/>
      <c r="FAP24" s="1882"/>
      <c r="FAR24" s="1887"/>
      <c r="FAS24" s="1888"/>
      <c r="FAT24" s="1882"/>
      <c r="FAU24" s="1882"/>
      <c r="FAV24" s="1882"/>
      <c r="FAX24" s="1887"/>
      <c r="FAY24" s="1888"/>
      <c r="FAZ24" s="1882"/>
      <c r="FBA24" s="1882"/>
      <c r="FBB24" s="1882"/>
      <c r="FBD24" s="1887"/>
      <c r="FBE24" s="1888"/>
      <c r="FBF24" s="1882"/>
      <c r="FBG24" s="1882"/>
      <c r="FBH24" s="1882"/>
      <c r="FBJ24" s="1887"/>
      <c r="FBK24" s="1888"/>
      <c r="FBL24" s="1882"/>
      <c r="FBM24" s="1882"/>
      <c r="FBN24" s="1882"/>
      <c r="FBP24" s="1887"/>
      <c r="FBQ24" s="1888"/>
      <c r="FBR24" s="1882"/>
      <c r="FBS24" s="1882"/>
      <c r="FBT24" s="1882"/>
      <c r="FBV24" s="1887"/>
      <c r="FBW24" s="1888"/>
      <c r="FBX24" s="1882"/>
      <c r="FBY24" s="1882"/>
      <c r="FBZ24" s="1882"/>
      <c r="FCB24" s="1887"/>
      <c r="FCC24" s="1888"/>
      <c r="FCD24" s="1882"/>
      <c r="FCE24" s="1882"/>
      <c r="FCF24" s="1882"/>
      <c r="FCH24" s="1887"/>
      <c r="FCI24" s="1888"/>
      <c r="FCJ24" s="1882"/>
      <c r="FCK24" s="1882"/>
      <c r="FCL24" s="1882"/>
      <c r="FCN24" s="1887"/>
      <c r="FCO24" s="1888"/>
      <c r="FCP24" s="1882"/>
      <c r="FCQ24" s="1882"/>
      <c r="FCR24" s="1882"/>
      <c r="FCT24" s="1887"/>
      <c r="FCU24" s="1888"/>
      <c r="FCV24" s="1882"/>
      <c r="FCW24" s="1882"/>
      <c r="FCX24" s="1882"/>
      <c r="FCZ24" s="1887"/>
      <c r="FDA24" s="1888"/>
      <c r="FDB24" s="1882"/>
      <c r="FDC24" s="1882"/>
      <c r="FDD24" s="1882"/>
      <c r="FDF24" s="1887"/>
      <c r="FDG24" s="1888"/>
      <c r="FDH24" s="1882"/>
      <c r="FDI24" s="1882"/>
      <c r="FDJ24" s="1882"/>
      <c r="FDL24" s="1887"/>
      <c r="FDM24" s="1888"/>
      <c r="FDN24" s="1882"/>
      <c r="FDO24" s="1882"/>
      <c r="FDP24" s="1882"/>
      <c r="FDR24" s="1887"/>
      <c r="FDS24" s="1888"/>
      <c r="FDT24" s="1882"/>
      <c r="FDU24" s="1882"/>
      <c r="FDV24" s="1882"/>
      <c r="FDX24" s="1887"/>
      <c r="FDY24" s="1888"/>
      <c r="FDZ24" s="1882"/>
      <c r="FEA24" s="1882"/>
      <c r="FEB24" s="1882"/>
      <c r="FED24" s="1887"/>
      <c r="FEE24" s="1888"/>
      <c r="FEF24" s="1882"/>
      <c r="FEG24" s="1882"/>
      <c r="FEH24" s="1882"/>
      <c r="FEJ24" s="1887"/>
      <c r="FEK24" s="1888"/>
      <c r="FEL24" s="1882"/>
      <c r="FEM24" s="1882"/>
      <c r="FEN24" s="1882"/>
      <c r="FEP24" s="1887"/>
      <c r="FEQ24" s="1888"/>
      <c r="FER24" s="1882"/>
      <c r="FES24" s="1882"/>
      <c r="FET24" s="1882"/>
      <c r="FEV24" s="1887"/>
      <c r="FEW24" s="1888"/>
      <c r="FEX24" s="1882"/>
      <c r="FEY24" s="1882"/>
      <c r="FEZ24" s="1882"/>
      <c r="FFB24" s="1887"/>
      <c r="FFC24" s="1888"/>
      <c r="FFD24" s="1882"/>
      <c r="FFE24" s="1882"/>
      <c r="FFF24" s="1882"/>
      <c r="FFH24" s="1887"/>
      <c r="FFI24" s="1888"/>
      <c r="FFJ24" s="1882"/>
      <c r="FFK24" s="1882"/>
      <c r="FFL24" s="1882"/>
      <c r="FFN24" s="1887"/>
      <c r="FFO24" s="1888"/>
      <c r="FFP24" s="1882"/>
      <c r="FFQ24" s="1882"/>
      <c r="FFR24" s="1882"/>
      <c r="FFT24" s="1887"/>
      <c r="FFU24" s="1888"/>
      <c r="FFV24" s="1882"/>
      <c r="FFW24" s="1882"/>
      <c r="FFX24" s="1882"/>
      <c r="FFZ24" s="1887"/>
      <c r="FGA24" s="1888"/>
      <c r="FGB24" s="1882"/>
      <c r="FGC24" s="1882"/>
      <c r="FGD24" s="1882"/>
      <c r="FGF24" s="1887"/>
      <c r="FGG24" s="1888"/>
      <c r="FGH24" s="1882"/>
      <c r="FGI24" s="1882"/>
      <c r="FGJ24" s="1882"/>
      <c r="FGL24" s="1887"/>
      <c r="FGM24" s="1888"/>
      <c r="FGN24" s="1882"/>
      <c r="FGO24" s="1882"/>
      <c r="FGP24" s="1882"/>
      <c r="FGR24" s="1887"/>
      <c r="FGS24" s="1888"/>
      <c r="FGT24" s="1882"/>
      <c r="FGU24" s="1882"/>
      <c r="FGV24" s="1882"/>
      <c r="FGX24" s="1887"/>
      <c r="FGY24" s="1888"/>
      <c r="FGZ24" s="1882"/>
      <c r="FHA24" s="1882"/>
      <c r="FHB24" s="1882"/>
      <c r="FHD24" s="1887"/>
      <c r="FHE24" s="1888"/>
      <c r="FHF24" s="1882"/>
      <c r="FHG24" s="1882"/>
      <c r="FHH24" s="1882"/>
      <c r="FHJ24" s="1887"/>
      <c r="FHK24" s="1888"/>
      <c r="FHL24" s="1882"/>
      <c r="FHM24" s="1882"/>
      <c r="FHN24" s="1882"/>
      <c r="FHP24" s="1887"/>
      <c r="FHQ24" s="1888"/>
      <c r="FHR24" s="1882"/>
      <c r="FHS24" s="1882"/>
      <c r="FHT24" s="1882"/>
      <c r="FHV24" s="1887"/>
      <c r="FHW24" s="1888"/>
      <c r="FHX24" s="1882"/>
      <c r="FHY24" s="1882"/>
      <c r="FHZ24" s="1882"/>
      <c r="FIB24" s="1887"/>
      <c r="FIC24" s="1888"/>
      <c r="FID24" s="1882"/>
      <c r="FIE24" s="1882"/>
      <c r="FIF24" s="1882"/>
      <c r="FIH24" s="1887"/>
      <c r="FII24" s="1888"/>
      <c r="FIJ24" s="1882"/>
      <c r="FIK24" s="1882"/>
      <c r="FIL24" s="1882"/>
      <c r="FIN24" s="1887"/>
      <c r="FIO24" s="1888"/>
      <c r="FIP24" s="1882"/>
      <c r="FIQ24" s="1882"/>
      <c r="FIR24" s="1882"/>
      <c r="FIT24" s="1887"/>
      <c r="FIU24" s="1888"/>
      <c r="FIV24" s="1882"/>
      <c r="FIW24" s="1882"/>
      <c r="FIX24" s="1882"/>
      <c r="FIZ24" s="1887"/>
      <c r="FJA24" s="1888"/>
      <c r="FJB24" s="1882"/>
      <c r="FJC24" s="1882"/>
      <c r="FJD24" s="1882"/>
      <c r="FJF24" s="1887"/>
      <c r="FJG24" s="1888"/>
      <c r="FJH24" s="1882"/>
      <c r="FJI24" s="1882"/>
      <c r="FJJ24" s="1882"/>
      <c r="FJL24" s="1887"/>
      <c r="FJM24" s="1888"/>
      <c r="FJN24" s="1882"/>
      <c r="FJO24" s="1882"/>
      <c r="FJP24" s="1882"/>
      <c r="FJR24" s="1887"/>
      <c r="FJS24" s="1888"/>
      <c r="FJT24" s="1882"/>
      <c r="FJU24" s="1882"/>
      <c r="FJV24" s="1882"/>
      <c r="FJX24" s="1887"/>
      <c r="FJY24" s="1888"/>
      <c r="FJZ24" s="1882"/>
      <c r="FKA24" s="1882"/>
      <c r="FKB24" s="1882"/>
      <c r="FKD24" s="1887"/>
      <c r="FKE24" s="1888"/>
      <c r="FKF24" s="1882"/>
      <c r="FKG24" s="1882"/>
      <c r="FKH24" s="1882"/>
      <c r="FKJ24" s="1887"/>
      <c r="FKK24" s="1888"/>
      <c r="FKL24" s="1882"/>
      <c r="FKM24" s="1882"/>
      <c r="FKN24" s="1882"/>
      <c r="FKP24" s="1887"/>
      <c r="FKQ24" s="1888"/>
      <c r="FKR24" s="1882"/>
      <c r="FKS24" s="1882"/>
      <c r="FKT24" s="1882"/>
      <c r="FKV24" s="1887"/>
      <c r="FKW24" s="1888"/>
      <c r="FKX24" s="1882"/>
      <c r="FKY24" s="1882"/>
      <c r="FKZ24" s="1882"/>
      <c r="FLB24" s="1887"/>
      <c r="FLC24" s="1888"/>
      <c r="FLD24" s="1882"/>
      <c r="FLE24" s="1882"/>
      <c r="FLF24" s="1882"/>
      <c r="FLH24" s="1887"/>
      <c r="FLI24" s="1888"/>
      <c r="FLJ24" s="1882"/>
      <c r="FLK24" s="1882"/>
      <c r="FLL24" s="1882"/>
      <c r="FLN24" s="1887"/>
      <c r="FLO24" s="1888"/>
      <c r="FLP24" s="1882"/>
      <c r="FLQ24" s="1882"/>
      <c r="FLR24" s="1882"/>
      <c r="FLT24" s="1887"/>
      <c r="FLU24" s="1888"/>
      <c r="FLV24" s="1882"/>
      <c r="FLW24" s="1882"/>
      <c r="FLX24" s="1882"/>
      <c r="FLZ24" s="1887"/>
      <c r="FMA24" s="1888"/>
      <c r="FMB24" s="1882"/>
      <c r="FMC24" s="1882"/>
      <c r="FMD24" s="1882"/>
      <c r="FMF24" s="1887"/>
      <c r="FMG24" s="1888"/>
      <c r="FMH24" s="1882"/>
      <c r="FMI24" s="1882"/>
      <c r="FMJ24" s="1882"/>
      <c r="FML24" s="1887"/>
      <c r="FMM24" s="1888"/>
      <c r="FMN24" s="1882"/>
      <c r="FMO24" s="1882"/>
      <c r="FMP24" s="1882"/>
      <c r="FMR24" s="1887"/>
      <c r="FMS24" s="1888"/>
      <c r="FMT24" s="1882"/>
      <c r="FMU24" s="1882"/>
      <c r="FMV24" s="1882"/>
      <c r="FMX24" s="1887"/>
      <c r="FMY24" s="1888"/>
      <c r="FMZ24" s="1882"/>
      <c r="FNA24" s="1882"/>
      <c r="FNB24" s="1882"/>
      <c r="FND24" s="1887"/>
      <c r="FNE24" s="1888"/>
      <c r="FNF24" s="1882"/>
      <c r="FNG24" s="1882"/>
      <c r="FNH24" s="1882"/>
      <c r="FNJ24" s="1887"/>
      <c r="FNK24" s="1888"/>
      <c r="FNL24" s="1882"/>
      <c r="FNM24" s="1882"/>
      <c r="FNN24" s="1882"/>
      <c r="FNP24" s="1887"/>
      <c r="FNQ24" s="1888"/>
      <c r="FNR24" s="1882"/>
      <c r="FNS24" s="1882"/>
      <c r="FNT24" s="1882"/>
      <c r="FNV24" s="1887"/>
      <c r="FNW24" s="1888"/>
      <c r="FNX24" s="1882"/>
      <c r="FNY24" s="1882"/>
      <c r="FNZ24" s="1882"/>
      <c r="FOB24" s="1887"/>
      <c r="FOC24" s="1888"/>
      <c r="FOD24" s="1882"/>
      <c r="FOE24" s="1882"/>
      <c r="FOF24" s="1882"/>
      <c r="FOH24" s="1887"/>
      <c r="FOI24" s="1888"/>
      <c r="FOJ24" s="1882"/>
      <c r="FOK24" s="1882"/>
      <c r="FOL24" s="1882"/>
      <c r="FON24" s="1887"/>
      <c r="FOO24" s="1888"/>
      <c r="FOP24" s="1882"/>
      <c r="FOQ24" s="1882"/>
      <c r="FOR24" s="1882"/>
      <c r="FOT24" s="1887"/>
      <c r="FOU24" s="1888"/>
      <c r="FOV24" s="1882"/>
      <c r="FOW24" s="1882"/>
      <c r="FOX24" s="1882"/>
      <c r="FOZ24" s="1887"/>
      <c r="FPA24" s="1888"/>
      <c r="FPB24" s="1882"/>
      <c r="FPC24" s="1882"/>
      <c r="FPD24" s="1882"/>
      <c r="FPF24" s="1887"/>
      <c r="FPG24" s="1888"/>
      <c r="FPH24" s="1882"/>
      <c r="FPI24" s="1882"/>
      <c r="FPJ24" s="1882"/>
      <c r="FPL24" s="1887"/>
      <c r="FPM24" s="1888"/>
      <c r="FPN24" s="1882"/>
      <c r="FPO24" s="1882"/>
      <c r="FPP24" s="1882"/>
      <c r="FPR24" s="1887"/>
      <c r="FPS24" s="1888"/>
      <c r="FPT24" s="1882"/>
      <c r="FPU24" s="1882"/>
      <c r="FPV24" s="1882"/>
      <c r="FPX24" s="1887"/>
      <c r="FPY24" s="1888"/>
      <c r="FPZ24" s="1882"/>
      <c r="FQA24" s="1882"/>
      <c r="FQB24" s="1882"/>
      <c r="FQD24" s="1887"/>
      <c r="FQE24" s="1888"/>
      <c r="FQF24" s="1882"/>
      <c r="FQG24" s="1882"/>
      <c r="FQH24" s="1882"/>
      <c r="FQJ24" s="1887"/>
      <c r="FQK24" s="1888"/>
      <c r="FQL24" s="1882"/>
      <c r="FQM24" s="1882"/>
      <c r="FQN24" s="1882"/>
      <c r="FQP24" s="1887"/>
      <c r="FQQ24" s="1888"/>
      <c r="FQR24" s="1882"/>
      <c r="FQS24" s="1882"/>
      <c r="FQT24" s="1882"/>
      <c r="FQV24" s="1887"/>
      <c r="FQW24" s="1888"/>
      <c r="FQX24" s="1882"/>
      <c r="FQY24" s="1882"/>
      <c r="FQZ24" s="1882"/>
      <c r="FRB24" s="1887"/>
      <c r="FRC24" s="1888"/>
      <c r="FRD24" s="1882"/>
      <c r="FRE24" s="1882"/>
      <c r="FRF24" s="1882"/>
      <c r="FRH24" s="1887"/>
      <c r="FRI24" s="1888"/>
      <c r="FRJ24" s="1882"/>
      <c r="FRK24" s="1882"/>
      <c r="FRL24" s="1882"/>
      <c r="FRN24" s="1887"/>
      <c r="FRO24" s="1888"/>
      <c r="FRP24" s="1882"/>
      <c r="FRQ24" s="1882"/>
      <c r="FRR24" s="1882"/>
      <c r="FRT24" s="1887"/>
      <c r="FRU24" s="1888"/>
      <c r="FRV24" s="1882"/>
      <c r="FRW24" s="1882"/>
      <c r="FRX24" s="1882"/>
      <c r="FRZ24" s="1887"/>
      <c r="FSA24" s="1888"/>
      <c r="FSB24" s="1882"/>
      <c r="FSC24" s="1882"/>
      <c r="FSD24" s="1882"/>
      <c r="FSF24" s="1887"/>
      <c r="FSG24" s="1888"/>
      <c r="FSH24" s="1882"/>
      <c r="FSI24" s="1882"/>
      <c r="FSJ24" s="1882"/>
      <c r="FSL24" s="1887"/>
      <c r="FSM24" s="1888"/>
      <c r="FSN24" s="1882"/>
      <c r="FSO24" s="1882"/>
      <c r="FSP24" s="1882"/>
      <c r="FSR24" s="1887"/>
      <c r="FSS24" s="1888"/>
      <c r="FST24" s="1882"/>
      <c r="FSU24" s="1882"/>
      <c r="FSV24" s="1882"/>
      <c r="FSX24" s="1887"/>
      <c r="FSY24" s="1888"/>
      <c r="FSZ24" s="1882"/>
      <c r="FTA24" s="1882"/>
      <c r="FTB24" s="1882"/>
      <c r="FTD24" s="1887"/>
      <c r="FTE24" s="1888"/>
      <c r="FTF24" s="1882"/>
      <c r="FTG24" s="1882"/>
      <c r="FTH24" s="1882"/>
      <c r="FTJ24" s="1887"/>
      <c r="FTK24" s="1888"/>
      <c r="FTL24" s="1882"/>
      <c r="FTM24" s="1882"/>
      <c r="FTN24" s="1882"/>
      <c r="FTP24" s="1887"/>
      <c r="FTQ24" s="1888"/>
      <c r="FTR24" s="1882"/>
      <c r="FTS24" s="1882"/>
      <c r="FTT24" s="1882"/>
      <c r="FTV24" s="1887"/>
      <c r="FTW24" s="1888"/>
      <c r="FTX24" s="1882"/>
      <c r="FTY24" s="1882"/>
      <c r="FTZ24" s="1882"/>
      <c r="FUB24" s="1887"/>
      <c r="FUC24" s="1888"/>
      <c r="FUD24" s="1882"/>
      <c r="FUE24" s="1882"/>
      <c r="FUF24" s="1882"/>
      <c r="FUH24" s="1887"/>
      <c r="FUI24" s="1888"/>
      <c r="FUJ24" s="1882"/>
      <c r="FUK24" s="1882"/>
      <c r="FUL24" s="1882"/>
      <c r="FUN24" s="1887"/>
      <c r="FUO24" s="1888"/>
      <c r="FUP24" s="1882"/>
      <c r="FUQ24" s="1882"/>
      <c r="FUR24" s="1882"/>
      <c r="FUT24" s="1887"/>
      <c r="FUU24" s="1888"/>
      <c r="FUV24" s="1882"/>
      <c r="FUW24" s="1882"/>
      <c r="FUX24" s="1882"/>
      <c r="FUZ24" s="1887"/>
      <c r="FVA24" s="1888"/>
      <c r="FVB24" s="1882"/>
      <c r="FVC24" s="1882"/>
      <c r="FVD24" s="1882"/>
      <c r="FVF24" s="1887"/>
      <c r="FVG24" s="1888"/>
      <c r="FVH24" s="1882"/>
      <c r="FVI24" s="1882"/>
      <c r="FVJ24" s="1882"/>
      <c r="FVL24" s="1887"/>
      <c r="FVM24" s="1888"/>
      <c r="FVN24" s="1882"/>
      <c r="FVO24" s="1882"/>
      <c r="FVP24" s="1882"/>
      <c r="FVR24" s="1887"/>
      <c r="FVS24" s="1888"/>
      <c r="FVT24" s="1882"/>
      <c r="FVU24" s="1882"/>
      <c r="FVV24" s="1882"/>
      <c r="FVX24" s="1887"/>
      <c r="FVY24" s="1888"/>
      <c r="FVZ24" s="1882"/>
      <c r="FWA24" s="1882"/>
      <c r="FWB24" s="1882"/>
      <c r="FWD24" s="1887"/>
      <c r="FWE24" s="1888"/>
      <c r="FWF24" s="1882"/>
      <c r="FWG24" s="1882"/>
      <c r="FWH24" s="1882"/>
      <c r="FWJ24" s="1887"/>
      <c r="FWK24" s="1888"/>
      <c r="FWL24" s="1882"/>
      <c r="FWM24" s="1882"/>
      <c r="FWN24" s="1882"/>
      <c r="FWP24" s="1887"/>
      <c r="FWQ24" s="1888"/>
      <c r="FWR24" s="1882"/>
      <c r="FWS24" s="1882"/>
      <c r="FWT24" s="1882"/>
      <c r="FWV24" s="1887"/>
      <c r="FWW24" s="1888"/>
      <c r="FWX24" s="1882"/>
      <c r="FWY24" s="1882"/>
      <c r="FWZ24" s="1882"/>
      <c r="FXB24" s="1887"/>
      <c r="FXC24" s="1888"/>
      <c r="FXD24" s="1882"/>
      <c r="FXE24" s="1882"/>
      <c r="FXF24" s="1882"/>
      <c r="FXH24" s="1887"/>
      <c r="FXI24" s="1888"/>
      <c r="FXJ24" s="1882"/>
      <c r="FXK24" s="1882"/>
      <c r="FXL24" s="1882"/>
      <c r="FXN24" s="1887"/>
      <c r="FXO24" s="1888"/>
      <c r="FXP24" s="1882"/>
      <c r="FXQ24" s="1882"/>
      <c r="FXR24" s="1882"/>
      <c r="FXT24" s="1887"/>
      <c r="FXU24" s="1888"/>
      <c r="FXV24" s="1882"/>
      <c r="FXW24" s="1882"/>
      <c r="FXX24" s="1882"/>
      <c r="FXZ24" s="1887"/>
      <c r="FYA24" s="1888"/>
      <c r="FYB24" s="1882"/>
      <c r="FYC24" s="1882"/>
      <c r="FYD24" s="1882"/>
      <c r="FYF24" s="1887"/>
      <c r="FYG24" s="1888"/>
      <c r="FYH24" s="1882"/>
      <c r="FYI24" s="1882"/>
      <c r="FYJ24" s="1882"/>
      <c r="FYL24" s="1887"/>
      <c r="FYM24" s="1888"/>
      <c r="FYN24" s="1882"/>
      <c r="FYO24" s="1882"/>
      <c r="FYP24" s="1882"/>
      <c r="FYR24" s="1887"/>
      <c r="FYS24" s="1888"/>
      <c r="FYT24" s="1882"/>
      <c r="FYU24" s="1882"/>
      <c r="FYV24" s="1882"/>
      <c r="FYX24" s="1887"/>
      <c r="FYY24" s="1888"/>
      <c r="FYZ24" s="1882"/>
      <c r="FZA24" s="1882"/>
      <c r="FZB24" s="1882"/>
      <c r="FZD24" s="1887"/>
      <c r="FZE24" s="1888"/>
      <c r="FZF24" s="1882"/>
      <c r="FZG24" s="1882"/>
      <c r="FZH24" s="1882"/>
      <c r="FZJ24" s="1887"/>
      <c r="FZK24" s="1888"/>
      <c r="FZL24" s="1882"/>
      <c r="FZM24" s="1882"/>
      <c r="FZN24" s="1882"/>
      <c r="FZP24" s="1887"/>
      <c r="FZQ24" s="1888"/>
      <c r="FZR24" s="1882"/>
      <c r="FZS24" s="1882"/>
      <c r="FZT24" s="1882"/>
      <c r="FZV24" s="1887"/>
      <c r="FZW24" s="1888"/>
      <c r="FZX24" s="1882"/>
      <c r="FZY24" s="1882"/>
      <c r="FZZ24" s="1882"/>
      <c r="GAB24" s="1887"/>
      <c r="GAC24" s="1888"/>
      <c r="GAD24" s="1882"/>
      <c r="GAE24" s="1882"/>
      <c r="GAF24" s="1882"/>
      <c r="GAH24" s="1887"/>
      <c r="GAI24" s="1888"/>
      <c r="GAJ24" s="1882"/>
      <c r="GAK24" s="1882"/>
      <c r="GAL24" s="1882"/>
      <c r="GAN24" s="1887"/>
      <c r="GAO24" s="1888"/>
      <c r="GAP24" s="1882"/>
      <c r="GAQ24" s="1882"/>
      <c r="GAR24" s="1882"/>
      <c r="GAT24" s="1887"/>
      <c r="GAU24" s="1888"/>
      <c r="GAV24" s="1882"/>
      <c r="GAW24" s="1882"/>
      <c r="GAX24" s="1882"/>
      <c r="GAZ24" s="1887"/>
      <c r="GBA24" s="1888"/>
      <c r="GBB24" s="1882"/>
      <c r="GBC24" s="1882"/>
      <c r="GBD24" s="1882"/>
      <c r="GBF24" s="1887"/>
      <c r="GBG24" s="1888"/>
      <c r="GBH24" s="1882"/>
      <c r="GBI24" s="1882"/>
      <c r="GBJ24" s="1882"/>
      <c r="GBL24" s="1887"/>
      <c r="GBM24" s="1888"/>
      <c r="GBN24" s="1882"/>
      <c r="GBO24" s="1882"/>
      <c r="GBP24" s="1882"/>
      <c r="GBR24" s="1887"/>
      <c r="GBS24" s="1888"/>
      <c r="GBT24" s="1882"/>
      <c r="GBU24" s="1882"/>
      <c r="GBV24" s="1882"/>
      <c r="GBX24" s="1887"/>
      <c r="GBY24" s="1888"/>
      <c r="GBZ24" s="1882"/>
      <c r="GCA24" s="1882"/>
      <c r="GCB24" s="1882"/>
      <c r="GCD24" s="1887"/>
      <c r="GCE24" s="1888"/>
      <c r="GCF24" s="1882"/>
      <c r="GCG24" s="1882"/>
      <c r="GCH24" s="1882"/>
      <c r="GCJ24" s="1887"/>
      <c r="GCK24" s="1888"/>
      <c r="GCL24" s="1882"/>
      <c r="GCM24" s="1882"/>
      <c r="GCN24" s="1882"/>
      <c r="GCP24" s="1887"/>
      <c r="GCQ24" s="1888"/>
      <c r="GCR24" s="1882"/>
      <c r="GCS24" s="1882"/>
      <c r="GCT24" s="1882"/>
      <c r="GCV24" s="1887"/>
      <c r="GCW24" s="1888"/>
      <c r="GCX24" s="1882"/>
      <c r="GCY24" s="1882"/>
      <c r="GCZ24" s="1882"/>
      <c r="GDB24" s="1887"/>
      <c r="GDC24" s="1888"/>
      <c r="GDD24" s="1882"/>
      <c r="GDE24" s="1882"/>
      <c r="GDF24" s="1882"/>
      <c r="GDH24" s="1887"/>
      <c r="GDI24" s="1888"/>
      <c r="GDJ24" s="1882"/>
      <c r="GDK24" s="1882"/>
      <c r="GDL24" s="1882"/>
      <c r="GDN24" s="1887"/>
      <c r="GDO24" s="1888"/>
      <c r="GDP24" s="1882"/>
      <c r="GDQ24" s="1882"/>
      <c r="GDR24" s="1882"/>
      <c r="GDT24" s="1887"/>
      <c r="GDU24" s="1888"/>
      <c r="GDV24" s="1882"/>
      <c r="GDW24" s="1882"/>
      <c r="GDX24" s="1882"/>
      <c r="GDZ24" s="1887"/>
      <c r="GEA24" s="1888"/>
      <c r="GEB24" s="1882"/>
      <c r="GEC24" s="1882"/>
      <c r="GED24" s="1882"/>
      <c r="GEF24" s="1887"/>
      <c r="GEG24" s="1888"/>
      <c r="GEH24" s="1882"/>
      <c r="GEI24" s="1882"/>
      <c r="GEJ24" s="1882"/>
      <c r="GEL24" s="1887"/>
      <c r="GEM24" s="1888"/>
      <c r="GEN24" s="1882"/>
      <c r="GEO24" s="1882"/>
      <c r="GEP24" s="1882"/>
      <c r="GER24" s="1887"/>
      <c r="GES24" s="1888"/>
      <c r="GET24" s="1882"/>
      <c r="GEU24" s="1882"/>
      <c r="GEV24" s="1882"/>
      <c r="GEX24" s="1887"/>
      <c r="GEY24" s="1888"/>
      <c r="GEZ24" s="1882"/>
      <c r="GFA24" s="1882"/>
      <c r="GFB24" s="1882"/>
      <c r="GFD24" s="1887"/>
      <c r="GFE24" s="1888"/>
      <c r="GFF24" s="1882"/>
      <c r="GFG24" s="1882"/>
      <c r="GFH24" s="1882"/>
      <c r="GFJ24" s="1887"/>
      <c r="GFK24" s="1888"/>
      <c r="GFL24" s="1882"/>
      <c r="GFM24" s="1882"/>
      <c r="GFN24" s="1882"/>
      <c r="GFP24" s="1887"/>
      <c r="GFQ24" s="1888"/>
      <c r="GFR24" s="1882"/>
      <c r="GFS24" s="1882"/>
      <c r="GFT24" s="1882"/>
      <c r="GFV24" s="1887"/>
      <c r="GFW24" s="1888"/>
      <c r="GFX24" s="1882"/>
      <c r="GFY24" s="1882"/>
      <c r="GFZ24" s="1882"/>
      <c r="GGB24" s="1887"/>
      <c r="GGC24" s="1888"/>
      <c r="GGD24" s="1882"/>
      <c r="GGE24" s="1882"/>
      <c r="GGF24" s="1882"/>
      <c r="GGH24" s="1887"/>
      <c r="GGI24" s="1888"/>
      <c r="GGJ24" s="1882"/>
      <c r="GGK24" s="1882"/>
      <c r="GGL24" s="1882"/>
      <c r="GGN24" s="1887"/>
      <c r="GGO24" s="1888"/>
      <c r="GGP24" s="1882"/>
      <c r="GGQ24" s="1882"/>
      <c r="GGR24" s="1882"/>
      <c r="GGT24" s="1887"/>
      <c r="GGU24" s="1888"/>
      <c r="GGV24" s="1882"/>
      <c r="GGW24" s="1882"/>
      <c r="GGX24" s="1882"/>
      <c r="GGZ24" s="1887"/>
      <c r="GHA24" s="1888"/>
      <c r="GHB24" s="1882"/>
      <c r="GHC24" s="1882"/>
      <c r="GHD24" s="1882"/>
      <c r="GHF24" s="1887"/>
      <c r="GHG24" s="1888"/>
      <c r="GHH24" s="1882"/>
      <c r="GHI24" s="1882"/>
      <c r="GHJ24" s="1882"/>
      <c r="GHL24" s="1887"/>
      <c r="GHM24" s="1888"/>
      <c r="GHN24" s="1882"/>
      <c r="GHO24" s="1882"/>
      <c r="GHP24" s="1882"/>
      <c r="GHR24" s="1887"/>
      <c r="GHS24" s="1888"/>
      <c r="GHT24" s="1882"/>
      <c r="GHU24" s="1882"/>
      <c r="GHV24" s="1882"/>
      <c r="GHX24" s="1887"/>
      <c r="GHY24" s="1888"/>
      <c r="GHZ24" s="1882"/>
      <c r="GIA24" s="1882"/>
      <c r="GIB24" s="1882"/>
      <c r="GID24" s="1887"/>
      <c r="GIE24" s="1888"/>
      <c r="GIF24" s="1882"/>
      <c r="GIG24" s="1882"/>
      <c r="GIH24" s="1882"/>
      <c r="GIJ24" s="1887"/>
      <c r="GIK24" s="1888"/>
      <c r="GIL24" s="1882"/>
      <c r="GIM24" s="1882"/>
      <c r="GIN24" s="1882"/>
      <c r="GIP24" s="1887"/>
      <c r="GIQ24" s="1888"/>
      <c r="GIR24" s="1882"/>
      <c r="GIS24" s="1882"/>
      <c r="GIT24" s="1882"/>
      <c r="GIV24" s="1887"/>
      <c r="GIW24" s="1888"/>
      <c r="GIX24" s="1882"/>
      <c r="GIY24" s="1882"/>
      <c r="GIZ24" s="1882"/>
      <c r="GJB24" s="1887"/>
      <c r="GJC24" s="1888"/>
      <c r="GJD24" s="1882"/>
      <c r="GJE24" s="1882"/>
      <c r="GJF24" s="1882"/>
      <c r="GJH24" s="1887"/>
      <c r="GJI24" s="1888"/>
      <c r="GJJ24" s="1882"/>
      <c r="GJK24" s="1882"/>
      <c r="GJL24" s="1882"/>
      <c r="GJN24" s="1887"/>
      <c r="GJO24" s="1888"/>
      <c r="GJP24" s="1882"/>
      <c r="GJQ24" s="1882"/>
      <c r="GJR24" s="1882"/>
      <c r="GJT24" s="1887"/>
      <c r="GJU24" s="1888"/>
      <c r="GJV24" s="1882"/>
      <c r="GJW24" s="1882"/>
      <c r="GJX24" s="1882"/>
      <c r="GJZ24" s="1887"/>
      <c r="GKA24" s="1888"/>
      <c r="GKB24" s="1882"/>
      <c r="GKC24" s="1882"/>
      <c r="GKD24" s="1882"/>
      <c r="GKF24" s="1887"/>
      <c r="GKG24" s="1888"/>
      <c r="GKH24" s="1882"/>
      <c r="GKI24" s="1882"/>
      <c r="GKJ24" s="1882"/>
      <c r="GKL24" s="1887"/>
      <c r="GKM24" s="1888"/>
      <c r="GKN24" s="1882"/>
      <c r="GKO24" s="1882"/>
      <c r="GKP24" s="1882"/>
      <c r="GKR24" s="1887"/>
      <c r="GKS24" s="1888"/>
      <c r="GKT24" s="1882"/>
      <c r="GKU24" s="1882"/>
      <c r="GKV24" s="1882"/>
      <c r="GKX24" s="1887"/>
      <c r="GKY24" s="1888"/>
      <c r="GKZ24" s="1882"/>
      <c r="GLA24" s="1882"/>
      <c r="GLB24" s="1882"/>
      <c r="GLD24" s="1887"/>
      <c r="GLE24" s="1888"/>
      <c r="GLF24" s="1882"/>
      <c r="GLG24" s="1882"/>
      <c r="GLH24" s="1882"/>
      <c r="GLJ24" s="1887"/>
      <c r="GLK24" s="1888"/>
      <c r="GLL24" s="1882"/>
      <c r="GLM24" s="1882"/>
      <c r="GLN24" s="1882"/>
      <c r="GLP24" s="1887"/>
      <c r="GLQ24" s="1888"/>
      <c r="GLR24" s="1882"/>
      <c r="GLS24" s="1882"/>
      <c r="GLT24" s="1882"/>
      <c r="GLV24" s="1887"/>
      <c r="GLW24" s="1888"/>
      <c r="GLX24" s="1882"/>
      <c r="GLY24" s="1882"/>
      <c r="GLZ24" s="1882"/>
      <c r="GMB24" s="1887"/>
      <c r="GMC24" s="1888"/>
      <c r="GMD24" s="1882"/>
      <c r="GME24" s="1882"/>
      <c r="GMF24" s="1882"/>
      <c r="GMH24" s="1887"/>
      <c r="GMI24" s="1888"/>
      <c r="GMJ24" s="1882"/>
      <c r="GMK24" s="1882"/>
      <c r="GML24" s="1882"/>
      <c r="GMN24" s="1887"/>
      <c r="GMO24" s="1888"/>
      <c r="GMP24" s="1882"/>
      <c r="GMQ24" s="1882"/>
      <c r="GMR24" s="1882"/>
      <c r="GMT24" s="1887"/>
      <c r="GMU24" s="1888"/>
      <c r="GMV24" s="1882"/>
      <c r="GMW24" s="1882"/>
      <c r="GMX24" s="1882"/>
      <c r="GMZ24" s="1887"/>
      <c r="GNA24" s="1888"/>
      <c r="GNB24" s="1882"/>
      <c r="GNC24" s="1882"/>
      <c r="GND24" s="1882"/>
      <c r="GNF24" s="1887"/>
      <c r="GNG24" s="1888"/>
      <c r="GNH24" s="1882"/>
      <c r="GNI24" s="1882"/>
      <c r="GNJ24" s="1882"/>
      <c r="GNL24" s="1887"/>
      <c r="GNM24" s="1888"/>
      <c r="GNN24" s="1882"/>
      <c r="GNO24" s="1882"/>
      <c r="GNP24" s="1882"/>
      <c r="GNR24" s="1887"/>
      <c r="GNS24" s="1888"/>
      <c r="GNT24" s="1882"/>
      <c r="GNU24" s="1882"/>
      <c r="GNV24" s="1882"/>
      <c r="GNX24" s="1887"/>
      <c r="GNY24" s="1888"/>
      <c r="GNZ24" s="1882"/>
      <c r="GOA24" s="1882"/>
      <c r="GOB24" s="1882"/>
      <c r="GOD24" s="1887"/>
      <c r="GOE24" s="1888"/>
      <c r="GOF24" s="1882"/>
      <c r="GOG24" s="1882"/>
      <c r="GOH24" s="1882"/>
      <c r="GOJ24" s="1887"/>
      <c r="GOK24" s="1888"/>
      <c r="GOL24" s="1882"/>
      <c r="GOM24" s="1882"/>
      <c r="GON24" s="1882"/>
      <c r="GOP24" s="1887"/>
      <c r="GOQ24" s="1888"/>
      <c r="GOR24" s="1882"/>
      <c r="GOS24" s="1882"/>
      <c r="GOT24" s="1882"/>
      <c r="GOV24" s="1887"/>
      <c r="GOW24" s="1888"/>
      <c r="GOX24" s="1882"/>
      <c r="GOY24" s="1882"/>
      <c r="GOZ24" s="1882"/>
      <c r="GPB24" s="1887"/>
      <c r="GPC24" s="1888"/>
      <c r="GPD24" s="1882"/>
      <c r="GPE24" s="1882"/>
      <c r="GPF24" s="1882"/>
      <c r="GPH24" s="1887"/>
      <c r="GPI24" s="1888"/>
      <c r="GPJ24" s="1882"/>
      <c r="GPK24" s="1882"/>
      <c r="GPL24" s="1882"/>
      <c r="GPN24" s="1887"/>
      <c r="GPO24" s="1888"/>
      <c r="GPP24" s="1882"/>
      <c r="GPQ24" s="1882"/>
      <c r="GPR24" s="1882"/>
      <c r="GPT24" s="1887"/>
      <c r="GPU24" s="1888"/>
      <c r="GPV24" s="1882"/>
      <c r="GPW24" s="1882"/>
      <c r="GPX24" s="1882"/>
      <c r="GPZ24" s="1887"/>
      <c r="GQA24" s="1888"/>
      <c r="GQB24" s="1882"/>
      <c r="GQC24" s="1882"/>
      <c r="GQD24" s="1882"/>
      <c r="GQF24" s="1887"/>
      <c r="GQG24" s="1888"/>
      <c r="GQH24" s="1882"/>
      <c r="GQI24" s="1882"/>
      <c r="GQJ24" s="1882"/>
      <c r="GQL24" s="1887"/>
      <c r="GQM24" s="1888"/>
      <c r="GQN24" s="1882"/>
      <c r="GQO24" s="1882"/>
      <c r="GQP24" s="1882"/>
      <c r="GQR24" s="1887"/>
      <c r="GQS24" s="1888"/>
      <c r="GQT24" s="1882"/>
      <c r="GQU24" s="1882"/>
      <c r="GQV24" s="1882"/>
      <c r="GQX24" s="1887"/>
      <c r="GQY24" s="1888"/>
      <c r="GQZ24" s="1882"/>
      <c r="GRA24" s="1882"/>
      <c r="GRB24" s="1882"/>
      <c r="GRD24" s="1887"/>
      <c r="GRE24" s="1888"/>
      <c r="GRF24" s="1882"/>
      <c r="GRG24" s="1882"/>
      <c r="GRH24" s="1882"/>
      <c r="GRJ24" s="1887"/>
      <c r="GRK24" s="1888"/>
      <c r="GRL24" s="1882"/>
      <c r="GRM24" s="1882"/>
      <c r="GRN24" s="1882"/>
      <c r="GRP24" s="1887"/>
      <c r="GRQ24" s="1888"/>
      <c r="GRR24" s="1882"/>
      <c r="GRS24" s="1882"/>
      <c r="GRT24" s="1882"/>
      <c r="GRV24" s="1887"/>
      <c r="GRW24" s="1888"/>
      <c r="GRX24" s="1882"/>
      <c r="GRY24" s="1882"/>
      <c r="GRZ24" s="1882"/>
      <c r="GSB24" s="1887"/>
      <c r="GSC24" s="1888"/>
      <c r="GSD24" s="1882"/>
      <c r="GSE24" s="1882"/>
      <c r="GSF24" s="1882"/>
      <c r="GSH24" s="1887"/>
      <c r="GSI24" s="1888"/>
      <c r="GSJ24" s="1882"/>
      <c r="GSK24" s="1882"/>
      <c r="GSL24" s="1882"/>
      <c r="GSN24" s="1887"/>
      <c r="GSO24" s="1888"/>
      <c r="GSP24" s="1882"/>
      <c r="GSQ24" s="1882"/>
      <c r="GSR24" s="1882"/>
      <c r="GST24" s="1887"/>
      <c r="GSU24" s="1888"/>
      <c r="GSV24" s="1882"/>
      <c r="GSW24" s="1882"/>
      <c r="GSX24" s="1882"/>
      <c r="GSZ24" s="1887"/>
      <c r="GTA24" s="1888"/>
      <c r="GTB24" s="1882"/>
      <c r="GTC24" s="1882"/>
      <c r="GTD24" s="1882"/>
      <c r="GTF24" s="1887"/>
      <c r="GTG24" s="1888"/>
      <c r="GTH24" s="1882"/>
      <c r="GTI24" s="1882"/>
      <c r="GTJ24" s="1882"/>
      <c r="GTL24" s="1887"/>
      <c r="GTM24" s="1888"/>
      <c r="GTN24" s="1882"/>
      <c r="GTO24" s="1882"/>
      <c r="GTP24" s="1882"/>
      <c r="GTR24" s="1887"/>
      <c r="GTS24" s="1888"/>
      <c r="GTT24" s="1882"/>
      <c r="GTU24" s="1882"/>
      <c r="GTV24" s="1882"/>
      <c r="GTX24" s="1887"/>
      <c r="GTY24" s="1888"/>
      <c r="GTZ24" s="1882"/>
      <c r="GUA24" s="1882"/>
      <c r="GUB24" s="1882"/>
      <c r="GUD24" s="1887"/>
      <c r="GUE24" s="1888"/>
      <c r="GUF24" s="1882"/>
      <c r="GUG24" s="1882"/>
      <c r="GUH24" s="1882"/>
      <c r="GUJ24" s="1887"/>
      <c r="GUK24" s="1888"/>
      <c r="GUL24" s="1882"/>
      <c r="GUM24" s="1882"/>
      <c r="GUN24" s="1882"/>
      <c r="GUP24" s="1887"/>
      <c r="GUQ24" s="1888"/>
      <c r="GUR24" s="1882"/>
      <c r="GUS24" s="1882"/>
      <c r="GUT24" s="1882"/>
      <c r="GUV24" s="1887"/>
      <c r="GUW24" s="1888"/>
      <c r="GUX24" s="1882"/>
      <c r="GUY24" s="1882"/>
      <c r="GUZ24" s="1882"/>
      <c r="GVB24" s="1887"/>
      <c r="GVC24" s="1888"/>
      <c r="GVD24" s="1882"/>
      <c r="GVE24" s="1882"/>
      <c r="GVF24" s="1882"/>
      <c r="GVH24" s="1887"/>
      <c r="GVI24" s="1888"/>
      <c r="GVJ24" s="1882"/>
      <c r="GVK24" s="1882"/>
      <c r="GVL24" s="1882"/>
      <c r="GVN24" s="1887"/>
      <c r="GVO24" s="1888"/>
      <c r="GVP24" s="1882"/>
      <c r="GVQ24" s="1882"/>
      <c r="GVR24" s="1882"/>
      <c r="GVT24" s="1887"/>
      <c r="GVU24" s="1888"/>
      <c r="GVV24" s="1882"/>
      <c r="GVW24" s="1882"/>
      <c r="GVX24" s="1882"/>
      <c r="GVZ24" s="1887"/>
      <c r="GWA24" s="1888"/>
      <c r="GWB24" s="1882"/>
      <c r="GWC24" s="1882"/>
      <c r="GWD24" s="1882"/>
      <c r="GWF24" s="1887"/>
      <c r="GWG24" s="1888"/>
      <c r="GWH24" s="1882"/>
      <c r="GWI24" s="1882"/>
      <c r="GWJ24" s="1882"/>
      <c r="GWL24" s="1887"/>
      <c r="GWM24" s="1888"/>
      <c r="GWN24" s="1882"/>
      <c r="GWO24" s="1882"/>
      <c r="GWP24" s="1882"/>
      <c r="GWR24" s="1887"/>
      <c r="GWS24" s="1888"/>
      <c r="GWT24" s="1882"/>
      <c r="GWU24" s="1882"/>
      <c r="GWV24" s="1882"/>
      <c r="GWX24" s="1887"/>
      <c r="GWY24" s="1888"/>
      <c r="GWZ24" s="1882"/>
      <c r="GXA24" s="1882"/>
      <c r="GXB24" s="1882"/>
      <c r="GXD24" s="1887"/>
      <c r="GXE24" s="1888"/>
      <c r="GXF24" s="1882"/>
      <c r="GXG24" s="1882"/>
      <c r="GXH24" s="1882"/>
      <c r="GXJ24" s="1887"/>
      <c r="GXK24" s="1888"/>
      <c r="GXL24" s="1882"/>
      <c r="GXM24" s="1882"/>
      <c r="GXN24" s="1882"/>
      <c r="GXP24" s="1887"/>
      <c r="GXQ24" s="1888"/>
      <c r="GXR24" s="1882"/>
      <c r="GXS24" s="1882"/>
      <c r="GXT24" s="1882"/>
      <c r="GXV24" s="1887"/>
      <c r="GXW24" s="1888"/>
      <c r="GXX24" s="1882"/>
      <c r="GXY24" s="1882"/>
      <c r="GXZ24" s="1882"/>
      <c r="GYB24" s="1887"/>
      <c r="GYC24" s="1888"/>
      <c r="GYD24" s="1882"/>
      <c r="GYE24" s="1882"/>
      <c r="GYF24" s="1882"/>
      <c r="GYH24" s="1887"/>
      <c r="GYI24" s="1888"/>
      <c r="GYJ24" s="1882"/>
      <c r="GYK24" s="1882"/>
      <c r="GYL24" s="1882"/>
      <c r="GYN24" s="1887"/>
      <c r="GYO24" s="1888"/>
      <c r="GYP24" s="1882"/>
      <c r="GYQ24" s="1882"/>
      <c r="GYR24" s="1882"/>
      <c r="GYT24" s="1887"/>
      <c r="GYU24" s="1888"/>
      <c r="GYV24" s="1882"/>
      <c r="GYW24" s="1882"/>
      <c r="GYX24" s="1882"/>
      <c r="GYZ24" s="1887"/>
      <c r="GZA24" s="1888"/>
      <c r="GZB24" s="1882"/>
      <c r="GZC24" s="1882"/>
      <c r="GZD24" s="1882"/>
      <c r="GZF24" s="1887"/>
      <c r="GZG24" s="1888"/>
      <c r="GZH24" s="1882"/>
      <c r="GZI24" s="1882"/>
      <c r="GZJ24" s="1882"/>
      <c r="GZL24" s="1887"/>
      <c r="GZM24" s="1888"/>
      <c r="GZN24" s="1882"/>
      <c r="GZO24" s="1882"/>
      <c r="GZP24" s="1882"/>
      <c r="GZR24" s="1887"/>
      <c r="GZS24" s="1888"/>
      <c r="GZT24" s="1882"/>
      <c r="GZU24" s="1882"/>
      <c r="GZV24" s="1882"/>
      <c r="GZX24" s="1887"/>
      <c r="GZY24" s="1888"/>
      <c r="GZZ24" s="1882"/>
      <c r="HAA24" s="1882"/>
      <c r="HAB24" s="1882"/>
      <c r="HAD24" s="1887"/>
      <c r="HAE24" s="1888"/>
      <c r="HAF24" s="1882"/>
      <c r="HAG24" s="1882"/>
      <c r="HAH24" s="1882"/>
      <c r="HAJ24" s="1887"/>
      <c r="HAK24" s="1888"/>
      <c r="HAL24" s="1882"/>
      <c r="HAM24" s="1882"/>
      <c r="HAN24" s="1882"/>
      <c r="HAP24" s="1887"/>
      <c r="HAQ24" s="1888"/>
      <c r="HAR24" s="1882"/>
      <c r="HAS24" s="1882"/>
      <c r="HAT24" s="1882"/>
      <c r="HAV24" s="1887"/>
      <c r="HAW24" s="1888"/>
      <c r="HAX24" s="1882"/>
      <c r="HAY24" s="1882"/>
      <c r="HAZ24" s="1882"/>
      <c r="HBB24" s="1887"/>
      <c r="HBC24" s="1888"/>
      <c r="HBD24" s="1882"/>
      <c r="HBE24" s="1882"/>
      <c r="HBF24" s="1882"/>
      <c r="HBH24" s="1887"/>
      <c r="HBI24" s="1888"/>
      <c r="HBJ24" s="1882"/>
      <c r="HBK24" s="1882"/>
      <c r="HBL24" s="1882"/>
      <c r="HBN24" s="1887"/>
      <c r="HBO24" s="1888"/>
      <c r="HBP24" s="1882"/>
      <c r="HBQ24" s="1882"/>
      <c r="HBR24" s="1882"/>
      <c r="HBT24" s="1887"/>
      <c r="HBU24" s="1888"/>
      <c r="HBV24" s="1882"/>
      <c r="HBW24" s="1882"/>
      <c r="HBX24" s="1882"/>
      <c r="HBZ24" s="1887"/>
      <c r="HCA24" s="1888"/>
      <c r="HCB24" s="1882"/>
      <c r="HCC24" s="1882"/>
      <c r="HCD24" s="1882"/>
      <c r="HCF24" s="1887"/>
      <c r="HCG24" s="1888"/>
      <c r="HCH24" s="1882"/>
      <c r="HCI24" s="1882"/>
      <c r="HCJ24" s="1882"/>
      <c r="HCL24" s="1887"/>
      <c r="HCM24" s="1888"/>
      <c r="HCN24" s="1882"/>
      <c r="HCO24" s="1882"/>
      <c r="HCP24" s="1882"/>
      <c r="HCR24" s="1887"/>
      <c r="HCS24" s="1888"/>
      <c r="HCT24" s="1882"/>
      <c r="HCU24" s="1882"/>
      <c r="HCV24" s="1882"/>
      <c r="HCX24" s="1887"/>
      <c r="HCY24" s="1888"/>
      <c r="HCZ24" s="1882"/>
      <c r="HDA24" s="1882"/>
      <c r="HDB24" s="1882"/>
      <c r="HDD24" s="1887"/>
      <c r="HDE24" s="1888"/>
      <c r="HDF24" s="1882"/>
      <c r="HDG24" s="1882"/>
      <c r="HDH24" s="1882"/>
      <c r="HDJ24" s="1887"/>
      <c r="HDK24" s="1888"/>
      <c r="HDL24" s="1882"/>
      <c r="HDM24" s="1882"/>
      <c r="HDN24" s="1882"/>
      <c r="HDP24" s="1887"/>
      <c r="HDQ24" s="1888"/>
      <c r="HDR24" s="1882"/>
      <c r="HDS24" s="1882"/>
      <c r="HDT24" s="1882"/>
      <c r="HDV24" s="1887"/>
      <c r="HDW24" s="1888"/>
      <c r="HDX24" s="1882"/>
      <c r="HDY24" s="1882"/>
      <c r="HDZ24" s="1882"/>
      <c r="HEB24" s="1887"/>
      <c r="HEC24" s="1888"/>
      <c r="HED24" s="1882"/>
      <c r="HEE24" s="1882"/>
      <c r="HEF24" s="1882"/>
      <c r="HEH24" s="1887"/>
      <c r="HEI24" s="1888"/>
      <c r="HEJ24" s="1882"/>
      <c r="HEK24" s="1882"/>
      <c r="HEL24" s="1882"/>
      <c r="HEN24" s="1887"/>
      <c r="HEO24" s="1888"/>
      <c r="HEP24" s="1882"/>
      <c r="HEQ24" s="1882"/>
      <c r="HER24" s="1882"/>
      <c r="HET24" s="1887"/>
      <c r="HEU24" s="1888"/>
      <c r="HEV24" s="1882"/>
      <c r="HEW24" s="1882"/>
      <c r="HEX24" s="1882"/>
      <c r="HEZ24" s="1887"/>
      <c r="HFA24" s="1888"/>
      <c r="HFB24" s="1882"/>
      <c r="HFC24" s="1882"/>
      <c r="HFD24" s="1882"/>
      <c r="HFF24" s="1887"/>
      <c r="HFG24" s="1888"/>
      <c r="HFH24" s="1882"/>
      <c r="HFI24" s="1882"/>
      <c r="HFJ24" s="1882"/>
      <c r="HFL24" s="1887"/>
      <c r="HFM24" s="1888"/>
      <c r="HFN24" s="1882"/>
      <c r="HFO24" s="1882"/>
      <c r="HFP24" s="1882"/>
      <c r="HFR24" s="1887"/>
      <c r="HFS24" s="1888"/>
      <c r="HFT24" s="1882"/>
      <c r="HFU24" s="1882"/>
      <c r="HFV24" s="1882"/>
      <c r="HFX24" s="1887"/>
      <c r="HFY24" s="1888"/>
      <c r="HFZ24" s="1882"/>
      <c r="HGA24" s="1882"/>
      <c r="HGB24" s="1882"/>
      <c r="HGD24" s="1887"/>
      <c r="HGE24" s="1888"/>
      <c r="HGF24" s="1882"/>
      <c r="HGG24" s="1882"/>
      <c r="HGH24" s="1882"/>
      <c r="HGJ24" s="1887"/>
      <c r="HGK24" s="1888"/>
      <c r="HGL24" s="1882"/>
      <c r="HGM24" s="1882"/>
      <c r="HGN24" s="1882"/>
      <c r="HGP24" s="1887"/>
      <c r="HGQ24" s="1888"/>
      <c r="HGR24" s="1882"/>
      <c r="HGS24" s="1882"/>
      <c r="HGT24" s="1882"/>
      <c r="HGV24" s="1887"/>
      <c r="HGW24" s="1888"/>
      <c r="HGX24" s="1882"/>
      <c r="HGY24" s="1882"/>
      <c r="HGZ24" s="1882"/>
      <c r="HHB24" s="1887"/>
      <c r="HHC24" s="1888"/>
      <c r="HHD24" s="1882"/>
      <c r="HHE24" s="1882"/>
      <c r="HHF24" s="1882"/>
      <c r="HHH24" s="1887"/>
      <c r="HHI24" s="1888"/>
      <c r="HHJ24" s="1882"/>
      <c r="HHK24" s="1882"/>
      <c r="HHL24" s="1882"/>
      <c r="HHN24" s="1887"/>
      <c r="HHO24" s="1888"/>
      <c r="HHP24" s="1882"/>
      <c r="HHQ24" s="1882"/>
      <c r="HHR24" s="1882"/>
      <c r="HHT24" s="1887"/>
      <c r="HHU24" s="1888"/>
      <c r="HHV24" s="1882"/>
      <c r="HHW24" s="1882"/>
      <c r="HHX24" s="1882"/>
      <c r="HHZ24" s="1887"/>
      <c r="HIA24" s="1888"/>
      <c r="HIB24" s="1882"/>
      <c r="HIC24" s="1882"/>
      <c r="HID24" s="1882"/>
      <c r="HIF24" s="1887"/>
      <c r="HIG24" s="1888"/>
      <c r="HIH24" s="1882"/>
      <c r="HII24" s="1882"/>
      <c r="HIJ24" s="1882"/>
      <c r="HIL24" s="1887"/>
      <c r="HIM24" s="1888"/>
      <c r="HIN24" s="1882"/>
      <c r="HIO24" s="1882"/>
      <c r="HIP24" s="1882"/>
      <c r="HIR24" s="1887"/>
      <c r="HIS24" s="1888"/>
      <c r="HIT24" s="1882"/>
      <c r="HIU24" s="1882"/>
      <c r="HIV24" s="1882"/>
      <c r="HIX24" s="1887"/>
      <c r="HIY24" s="1888"/>
      <c r="HIZ24" s="1882"/>
      <c r="HJA24" s="1882"/>
      <c r="HJB24" s="1882"/>
      <c r="HJD24" s="1887"/>
      <c r="HJE24" s="1888"/>
      <c r="HJF24" s="1882"/>
      <c r="HJG24" s="1882"/>
      <c r="HJH24" s="1882"/>
      <c r="HJJ24" s="1887"/>
      <c r="HJK24" s="1888"/>
      <c r="HJL24" s="1882"/>
      <c r="HJM24" s="1882"/>
      <c r="HJN24" s="1882"/>
      <c r="HJP24" s="1887"/>
      <c r="HJQ24" s="1888"/>
      <c r="HJR24" s="1882"/>
      <c r="HJS24" s="1882"/>
      <c r="HJT24" s="1882"/>
      <c r="HJV24" s="1887"/>
      <c r="HJW24" s="1888"/>
      <c r="HJX24" s="1882"/>
      <c r="HJY24" s="1882"/>
      <c r="HJZ24" s="1882"/>
      <c r="HKB24" s="1887"/>
      <c r="HKC24" s="1888"/>
      <c r="HKD24" s="1882"/>
      <c r="HKE24" s="1882"/>
      <c r="HKF24" s="1882"/>
      <c r="HKH24" s="1887"/>
      <c r="HKI24" s="1888"/>
      <c r="HKJ24" s="1882"/>
      <c r="HKK24" s="1882"/>
      <c r="HKL24" s="1882"/>
      <c r="HKN24" s="1887"/>
      <c r="HKO24" s="1888"/>
      <c r="HKP24" s="1882"/>
      <c r="HKQ24" s="1882"/>
      <c r="HKR24" s="1882"/>
      <c r="HKT24" s="1887"/>
      <c r="HKU24" s="1888"/>
      <c r="HKV24" s="1882"/>
      <c r="HKW24" s="1882"/>
      <c r="HKX24" s="1882"/>
      <c r="HKZ24" s="1887"/>
      <c r="HLA24" s="1888"/>
      <c r="HLB24" s="1882"/>
      <c r="HLC24" s="1882"/>
      <c r="HLD24" s="1882"/>
      <c r="HLF24" s="1887"/>
      <c r="HLG24" s="1888"/>
      <c r="HLH24" s="1882"/>
      <c r="HLI24" s="1882"/>
      <c r="HLJ24" s="1882"/>
      <c r="HLL24" s="1887"/>
      <c r="HLM24" s="1888"/>
      <c r="HLN24" s="1882"/>
      <c r="HLO24" s="1882"/>
      <c r="HLP24" s="1882"/>
      <c r="HLR24" s="1887"/>
      <c r="HLS24" s="1888"/>
      <c r="HLT24" s="1882"/>
      <c r="HLU24" s="1882"/>
      <c r="HLV24" s="1882"/>
      <c r="HLX24" s="1887"/>
      <c r="HLY24" s="1888"/>
      <c r="HLZ24" s="1882"/>
      <c r="HMA24" s="1882"/>
      <c r="HMB24" s="1882"/>
      <c r="HMD24" s="1887"/>
      <c r="HME24" s="1888"/>
      <c r="HMF24" s="1882"/>
      <c r="HMG24" s="1882"/>
      <c r="HMH24" s="1882"/>
      <c r="HMJ24" s="1887"/>
      <c r="HMK24" s="1888"/>
      <c r="HML24" s="1882"/>
      <c r="HMM24" s="1882"/>
      <c r="HMN24" s="1882"/>
      <c r="HMP24" s="1887"/>
      <c r="HMQ24" s="1888"/>
      <c r="HMR24" s="1882"/>
      <c r="HMS24" s="1882"/>
      <c r="HMT24" s="1882"/>
      <c r="HMV24" s="1887"/>
      <c r="HMW24" s="1888"/>
      <c r="HMX24" s="1882"/>
      <c r="HMY24" s="1882"/>
      <c r="HMZ24" s="1882"/>
      <c r="HNB24" s="1887"/>
      <c r="HNC24" s="1888"/>
      <c r="HND24" s="1882"/>
      <c r="HNE24" s="1882"/>
      <c r="HNF24" s="1882"/>
      <c r="HNH24" s="1887"/>
      <c r="HNI24" s="1888"/>
      <c r="HNJ24" s="1882"/>
      <c r="HNK24" s="1882"/>
      <c r="HNL24" s="1882"/>
      <c r="HNN24" s="1887"/>
      <c r="HNO24" s="1888"/>
      <c r="HNP24" s="1882"/>
      <c r="HNQ24" s="1882"/>
      <c r="HNR24" s="1882"/>
      <c r="HNT24" s="1887"/>
      <c r="HNU24" s="1888"/>
      <c r="HNV24" s="1882"/>
      <c r="HNW24" s="1882"/>
      <c r="HNX24" s="1882"/>
      <c r="HNZ24" s="1887"/>
      <c r="HOA24" s="1888"/>
      <c r="HOB24" s="1882"/>
      <c r="HOC24" s="1882"/>
      <c r="HOD24" s="1882"/>
      <c r="HOF24" s="1887"/>
      <c r="HOG24" s="1888"/>
      <c r="HOH24" s="1882"/>
      <c r="HOI24" s="1882"/>
      <c r="HOJ24" s="1882"/>
      <c r="HOL24" s="1887"/>
      <c r="HOM24" s="1888"/>
      <c r="HON24" s="1882"/>
      <c r="HOO24" s="1882"/>
      <c r="HOP24" s="1882"/>
      <c r="HOR24" s="1887"/>
      <c r="HOS24" s="1888"/>
      <c r="HOT24" s="1882"/>
      <c r="HOU24" s="1882"/>
      <c r="HOV24" s="1882"/>
      <c r="HOX24" s="1887"/>
      <c r="HOY24" s="1888"/>
      <c r="HOZ24" s="1882"/>
      <c r="HPA24" s="1882"/>
      <c r="HPB24" s="1882"/>
      <c r="HPD24" s="1887"/>
      <c r="HPE24" s="1888"/>
      <c r="HPF24" s="1882"/>
      <c r="HPG24" s="1882"/>
      <c r="HPH24" s="1882"/>
      <c r="HPJ24" s="1887"/>
      <c r="HPK24" s="1888"/>
      <c r="HPL24" s="1882"/>
      <c r="HPM24" s="1882"/>
      <c r="HPN24" s="1882"/>
      <c r="HPP24" s="1887"/>
      <c r="HPQ24" s="1888"/>
      <c r="HPR24" s="1882"/>
      <c r="HPS24" s="1882"/>
      <c r="HPT24" s="1882"/>
      <c r="HPV24" s="1887"/>
      <c r="HPW24" s="1888"/>
      <c r="HPX24" s="1882"/>
      <c r="HPY24" s="1882"/>
      <c r="HPZ24" s="1882"/>
      <c r="HQB24" s="1887"/>
      <c r="HQC24" s="1888"/>
      <c r="HQD24" s="1882"/>
      <c r="HQE24" s="1882"/>
      <c r="HQF24" s="1882"/>
      <c r="HQH24" s="1887"/>
      <c r="HQI24" s="1888"/>
      <c r="HQJ24" s="1882"/>
      <c r="HQK24" s="1882"/>
      <c r="HQL24" s="1882"/>
      <c r="HQN24" s="1887"/>
      <c r="HQO24" s="1888"/>
      <c r="HQP24" s="1882"/>
      <c r="HQQ24" s="1882"/>
      <c r="HQR24" s="1882"/>
      <c r="HQT24" s="1887"/>
      <c r="HQU24" s="1888"/>
      <c r="HQV24" s="1882"/>
      <c r="HQW24" s="1882"/>
      <c r="HQX24" s="1882"/>
      <c r="HQZ24" s="1887"/>
      <c r="HRA24" s="1888"/>
      <c r="HRB24" s="1882"/>
      <c r="HRC24" s="1882"/>
      <c r="HRD24" s="1882"/>
      <c r="HRF24" s="1887"/>
      <c r="HRG24" s="1888"/>
      <c r="HRH24" s="1882"/>
      <c r="HRI24" s="1882"/>
      <c r="HRJ24" s="1882"/>
      <c r="HRL24" s="1887"/>
      <c r="HRM24" s="1888"/>
      <c r="HRN24" s="1882"/>
      <c r="HRO24" s="1882"/>
      <c r="HRP24" s="1882"/>
      <c r="HRR24" s="1887"/>
      <c r="HRS24" s="1888"/>
      <c r="HRT24" s="1882"/>
      <c r="HRU24" s="1882"/>
      <c r="HRV24" s="1882"/>
      <c r="HRX24" s="1887"/>
      <c r="HRY24" s="1888"/>
      <c r="HRZ24" s="1882"/>
      <c r="HSA24" s="1882"/>
      <c r="HSB24" s="1882"/>
      <c r="HSD24" s="1887"/>
      <c r="HSE24" s="1888"/>
      <c r="HSF24" s="1882"/>
      <c r="HSG24" s="1882"/>
      <c r="HSH24" s="1882"/>
      <c r="HSJ24" s="1887"/>
      <c r="HSK24" s="1888"/>
      <c r="HSL24" s="1882"/>
      <c r="HSM24" s="1882"/>
      <c r="HSN24" s="1882"/>
      <c r="HSP24" s="1887"/>
      <c r="HSQ24" s="1888"/>
      <c r="HSR24" s="1882"/>
      <c r="HSS24" s="1882"/>
      <c r="HST24" s="1882"/>
      <c r="HSV24" s="1887"/>
      <c r="HSW24" s="1888"/>
      <c r="HSX24" s="1882"/>
      <c r="HSY24" s="1882"/>
      <c r="HSZ24" s="1882"/>
      <c r="HTB24" s="1887"/>
      <c r="HTC24" s="1888"/>
      <c r="HTD24" s="1882"/>
      <c r="HTE24" s="1882"/>
      <c r="HTF24" s="1882"/>
      <c r="HTH24" s="1887"/>
      <c r="HTI24" s="1888"/>
      <c r="HTJ24" s="1882"/>
      <c r="HTK24" s="1882"/>
      <c r="HTL24" s="1882"/>
      <c r="HTN24" s="1887"/>
      <c r="HTO24" s="1888"/>
      <c r="HTP24" s="1882"/>
      <c r="HTQ24" s="1882"/>
      <c r="HTR24" s="1882"/>
      <c r="HTT24" s="1887"/>
      <c r="HTU24" s="1888"/>
      <c r="HTV24" s="1882"/>
      <c r="HTW24" s="1882"/>
      <c r="HTX24" s="1882"/>
      <c r="HTZ24" s="1887"/>
      <c r="HUA24" s="1888"/>
      <c r="HUB24" s="1882"/>
      <c r="HUC24" s="1882"/>
      <c r="HUD24" s="1882"/>
      <c r="HUF24" s="1887"/>
      <c r="HUG24" s="1888"/>
      <c r="HUH24" s="1882"/>
      <c r="HUI24" s="1882"/>
      <c r="HUJ24" s="1882"/>
      <c r="HUL24" s="1887"/>
      <c r="HUM24" s="1888"/>
      <c r="HUN24" s="1882"/>
      <c r="HUO24" s="1882"/>
      <c r="HUP24" s="1882"/>
      <c r="HUR24" s="1887"/>
      <c r="HUS24" s="1888"/>
      <c r="HUT24" s="1882"/>
      <c r="HUU24" s="1882"/>
      <c r="HUV24" s="1882"/>
      <c r="HUX24" s="1887"/>
      <c r="HUY24" s="1888"/>
      <c r="HUZ24" s="1882"/>
      <c r="HVA24" s="1882"/>
      <c r="HVB24" s="1882"/>
      <c r="HVD24" s="1887"/>
      <c r="HVE24" s="1888"/>
      <c r="HVF24" s="1882"/>
      <c r="HVG24" s="1882"/>
      <c r="HVH24" s="1882"/>
      <c r="HVJ24" s="1887"/>
      <c r="HVK24" s="1888"/>
      <c r="HVL24" s="1882"/>
      <c r="HVM24" s="1882"/>
      <c r="HVN24" s="1882"/>
      <c r="HVP24" s="1887"/>
      <c r="HVQ24" s="1888"/>
      <c r="HVR24" s="1882"/>
      <c r="HVS24" s="1882"/>
      <c r="HVT24" s="1882"/>
      <c r="HVV24" s="1887"/>
      <c r="HVW24" s="1888"/>
      <c r="HVX24" s="1882"/>
      <c r="HVY24" s="1882"/>
      <c r="HVZ24" s="1882"/>
      <c r="HWB24" s="1887"/>
      <c r="HWC24" s="1888"/>
      <c r="HWD24" s="1882"/>
      <c r="HWE24" s="1882"/>
      <c r="HWF24" s="1882"/>
      <c r="HWH24" s="1887"/>
      <c r="HWI24" s="1888"/>
      <c r="HWJ24" s="1882"/>
      <c r="HWK24" s="1882"/>
      <c r="HWL24" s="1882"/>
      <c r="HWN24" s="1887"/>
      <c r="HWO24" s="1888"/>
      <c r="HWP24" s="1882"/>
      <c r="HWQ24" s="1882"/>
      <c r="HWR24" s="1882"/>
      <c r="HWT24" s="1887"/>
      <c r="HWU24" s="1888"/>
      <c r="HWV24" s="1882"/>
      <c r="HWW24" s="1882"/>
      <c r="HWX24" s="1882"/>
      <c r="HWZ24" s="1887"/>
      <c r="HXA24" s="1888"/>
      <c r="HXB24" s="1882"/>
      <c r="HXC24" s="1882"/>
      <c r="HXD24" s="1882"/>
      <c r="HXF24" s="1887"/>
      <c r="HXG24" s="1888"/>
      <c r="HXH24" s="1882"/>
      <c r="HXI24" s="1882"/>
      <c r="HXJ24" s="1882"/>
      <c r="HXL24" s="1887"/>
      <c r="HXM24" s="1888"/>
      <c r="HXN24" s="1882"/>
      <c r="HXO24" s="1882"/>
      <c r="HXP24" s="1882"/>
      <c r="HXR24" s="1887"/>
      <c r="HXS24" s="1888"/>
      <c r="HXT24" s="1882"/>
      <c r="HXU24" s="1882"/>
      <c r="HXV24" s="1882"/>
      <c r="HXX24" s="1887"/>
      <c r="HXY24" s="1888"/>
      <c r="HXZ24" s="1882"/>
      <c r="HYA24" s="1882"/>
      <c r="HYB24" s="1882"/>
      <c r="HYD24" s="1887"/>
      <c r="HYE24" s="1888"/>
      <c r="HYF24" s="1882"/>
      <c r="HYG24" s="1882"/>
      <c r="HYH24" s="1882"/>
      <c r="HYJ24" s="1887"/>
      <c r="HYK24" s="1888"/>
      <c r="HYL24" s="1882"/>
      <c r="HYM24" s="1882"/>
      <c r="HYN24" s="1882"/>
      <c r="HYP24" s="1887"/>
      <c r="HYQ24" s="1888"/>
      <c r="HYR24" s="1882"/>
      <c r="HYS24" s="1882"/>
      <c r="HYT24" s="1882"/>
      <c r="HYV24" s="1887"/>
      <c r="HYW24" s="1888"/>
      <c r="HYX24" s="1882"/>
      <c r="HYY24" s="1882"/>
      <c r="HYZ24" s="1882"/>
      <c r="HZB24" s="1887"/>
      <c r="HZC24" s="1888"/>
      <c r="HZD24" s="1882"/>
      <c r="HZE24" s="1882"/>
      <c r="HZF24" s="1882"/>
      <c r="HZH24" s="1887"/>
      <c r="HZI24" s="1888"/>
      <c r="HZJ24" s="1882"/>
      <c r="HZK24" s="1882"/>
      <c r="HZL24" s="1882"/>
      <c r="HZN24" s="1887"/>
      <c r="HZO24" s="1888"/>
      <c r="HZP24" s="1882"/>
      <c r="HZQ24" s="1882"/>
      <c r="HZR24" s="1882"/>
      <c r="HZT24" s="1887"/>
      <c r="HZU24" s="1888"/>
      <c r="HZV24" s="1882"/>
      <c r="HZW24" s="1882"/>
      <c r="HZX24" s="1882"/>
      <c r="HZZ24" s="1887"/>
      <c r="IAA24" s="1888"/>
      <c r="IAB24" s="1882"/>
      <c r="IAC24" s="1882"/>
      <c r="IAD24" s="1882"/>
      <c r="IAF24" s="1887"/>
      <c r="IAG24" s="1888"/>
      <c r="IAH24" s="1882"/>
      <c r="IAI24" s="1882"/>
      <c r="IAJ24" s="1882"/>
      <c r="IAL24" s="1887"/>
      <c r="IAM24" s="1888"/>
      <c r="IAN24" s="1882"/>
      <c r="IAO24" s="1882"/>
      <c r="IAP24" s="1882"/>
      <c r="IAR24" s="1887"/>
      <c r="IAS24" s="1888"/>
      <c r="IAT24" s="1882"/>
      <c r="IAU24" s="1882"/>
      <c r="IAV24" s="1882"/>
      <c r="IAX24" s="1887"/>
      <c r="IAY24" s="1888"/>
      <c r="IAZ24" s="1882"/>
      <c r="IBA24" s="1882"/>
      <c r="IBB24" s="1882"/>
      <c r="IBD24" s="1887"/>
      <c r="IBE24" s="1888"/>
      <c r="IBF24" s="1882"/>
      <c r="IBG24" s="1882"/>
      <c r="IBH24" s="1882"/>
      <c r="IBJ24" s="1887"/>
      <c r="IBK24" s="1888"/>
      <c r="IBL24" s="1882"/>
      <c r="IBM24" s="1882"/>
      <c r="IBN24" s="1882"/>
      <c r="IBP24" s="1887"/>
      <c r="IBQ24" s="1888"/>
      <c r="IBR24" s="1882"/>
      <c r="IBS24" s="1882"/>
      <c r="IBT24" s="1882"/>
      <c r="IBV24" s="1887"/>
      <c r="IBW24" s="1888"/>
      <c r="IBX24" s="1882"/>
      <c r="IBY24" s="1882"/>
      <c r="IBZ24" s="1882"/>
      <c r="ICB24" s="1887"/>
      <c r="ICC24" s="1888"/>
      <c r="ICD24" s="1882"/>
      <c r="ICE24" s="1882"/>
      <c r="ICF24" s="1882"/>
      <c r="ICH24" s="1887"/>
      <c r="ICI24" s="1888"/>
      <c r="ICJ24" s="1882"/>
      <c r="ICK24" s="1882"/>
      <c r="ICL24" s="1882"/>
      <c r="ICN24" s="1887"/>
      <c r="ICO24" s="1888"/>
      <c r="ICP24" s="1882"/>
      <c r="ICQ24" s="1882"/>
      <c r="ICR24" s="1882"/>
      <c r="ICT24" s="1887"/>
      <c r="ICU24" s="1888"/>
      <c r="ICV24" s="1882"/>
      <c r="ICW24" s="1882"/>
      <c r="ICX24" s="1882"/>
      <c r="ICZ24" s="1887"/>
      <c r="IDA24" s="1888"/>
      <c r="IDB24" s="1882"/>
      <c r="IDC24" s="1882"/>
      <c r="IDD24" s="1882"/>
      <c r="IDF24" s="1887"/>
      <c r="IDG24" s="1888"/>
      <c r="IDH24" s="1882"/>
      <c r="IDI24" s="1882"/>
      <c r="IDJ24" s="1882"/>
      <c r="IDL24" s="1887"/>
      <c r="IDM24" s="1888"/>
      <c r="IDN24" s="1882"/>
      <c r="IDO24" s="1882"/>
      <c r="IDP24" s="1882"/>
      <c r="IDR24" s="1887"/>
      <c r="IDS24" s="1888"/>
      <c r="IDT24" s="1882"/>
      <c r="IDU24" s="1882"/>
      <c r="IDV24" s="1882"/>
      <c r="IDX24" s="1887"/>
      <c r="IDY24" s="1888"/>
      <c r="IDZ24" s="1882"/>
      <c r="IEA24" s="1882"/>
      <c r="IEB24" s="1882"/>
      <c r="IED24" s="1887"/>
      <c r="IEE24" s="1888"/>
      <c r="IEF24" s="1882"/>
      <c r="IEG24" s="1882"/>
      <c r="IEH24" s="1882"/>
      <c r="IEJ24" s="1887"/>
      <c r="IEK24" s="1888"/>
      <c r="IEL24" s="1882"/>
      <c r="IEM24" s="1882"/>
      <c r="IEN24" s="1882"/>
      <c r="IEP24" s="1887"/>
      <c r="IEQ24" s="1888"/>
      <c r="IER24" s="1882"/>
      <c r="IES24" s="1882"/>
      <c r="IET24" s="1882"/>
      <c r="IEV24" s="1887"/>
      <c r="IEW24" s="1888"/>
      <c r="IEX24" s="1882"/>
      <c r="IEY24" s="1882"/>
      <c r="IEZ24" s="1882"/>
      <c r="IFB24" s="1887"/>
      <c r="IFC24" s="1888"/>
      <c r="IFD24" s="1882"/>
      <c r="IFE24" s="1882"/>
      <c r="IFF24" s="1882"/>
      <c r="IFH24" s="1887"/>
      <c r="IFI24" s="1888"/>
      <c r="IFJ24" s="1882"/>
      <c r="IFK24" s="1882"/>
      <c r="IFL24" s="1882"/>
      <c r="IFN24" s="1887"/>
      <c r="IFO24" s="1888"/>
      <c r="IFP24" s="1882"/>
      <c r="IFQ24" s="1882"/>
      <c r="IFR24" s="1882"/>
      <c r="IFT24" s="1887"/>
      <c r="IFU24" s="1888"/>
      <c r="IFV24" s="1882"/>
      <c r="IFW24" s="1882"/>
      <c r="IFX24" s="1882"/>
      <c r="IFZ24" s="1887"/>
      <c r="IGA24" s="1888"/>
      <c r="IGB24" s="1882"/>
      <c r="IGC24" s="1882"/>
      <c r="IGD24" s="1882"/>
      <c r="IGF24" s="1887"/>
      <c r="IGG24" s="1888"/>
      <c r="IGH24" s="1882"/>
      <c r="IGI24" s="1882"/>
      <c r="IGJ24" s="1882"/>
      <c r="IGL24" s="1887"/>
      <c r="IGM24" s="1888"/>
      <c r="IGN24" s="1882"/>
      <c r="IGO24" s="1882"/>
      <c r="IGP24" s="1882"/>
      <c r="IGR24" s="1887"/>
      <c r="IGS24" s="1888"/>
      <c r="IGT24" s="1882"/>
      <c r="IGU24" s="1882"/>
      <c r="IGV24" s="1882"/>
      <c r="IGX24" s="1887"/>
      <c r="IGY24" s="1888"/>
      <c r="IGZ24" s="1882"/>
      <c r="IHA24" s="1882"/>
      <c r="IHB24" s="1882"/>
      <c r="IHD24" s="1887"/>
      <c r="IHE24" s="1888"/>
      <c r="IHF24" s="1882"/>
      <c r="IHG24" s="1882"/>
      <c r="IHH24" s="1882"/>
      <c r="IHJ24" s="1887"/>
      <c r="IHK24" s="1888"/>
      <c r="IHL24" s="1882"/>
      <c r="IHM24" s="1882"/>
      <c r="IHN24" s="1882"/>
      <c r="IHP24" s="1887"/>
      <c r="IHQ24" s="1888"/>
      <c r="IHR24" s="1882"/>
      <c r="IHS24" s="1882"/>
      <c r="IHT24" s="1882"/>
      <c r="IHV24" s="1887"/>
      <c r="IHW24" s="1888"/>
      <c r="IHX24" s="1882"/>
      <c r="IHY24" s="1882"/>
      <c r="IHZ24" s="1882"/>
      <c r="IIB24" s="1887"/>
      <c r="IIC24" s="1888"/>
      <c r="IID24" s="1882"/>
      <c r="IIE24" s="1882"/>
      <c r="IIF24" s="1882"/>
      <c r="IIH24" s="1887"/>
      <c r="III24" s="1888"/>
      <c r="IIJ24" s="1882"/>
      <c r="IIK24" s="1882"/>
      <c r="IIL24" s="1882"/>
      <c r="IIN24" s="1887"/>
      <c r="IIO24" s="1888"/>
      <c r="IIP24" s="1882"/>
      <c r="IIQ24" s="1882"/>
      <c r="IIR24" s="1882"/>
      <c r="IIT24" s="1887"/>
      <c r="IIU24" s="1888"/>
      <c r="IIV24" s="1882"/>
      <c r="IIW24" s="1882"/>
      <c r="IIX24" s="1882"/>
      <c r="IIZ24" s="1887"/>
      <c r="IJA24" s="1888"/>
      <c r="IJB24" s="1882"/>
      <c r="IJC24" s="1882"/>
      <c r="IJD24" s="1882"/>
      <c r="IJF24" s="1887"/>
      <c r="IJG24" s="1888"/>
      <c r="IJH24" s="1882"/>
      <c r="IJI24" s="1882"/>
      <c r="IJJ24" s="1882"/>
      <c r="IJL24" s="1887"/>
      <c r="IJM24" s="1888"/>
      <c r="IJN24" s="1882"/>
      <c r="IJO24" s="1882"/>
      <c r="IJP24" s="1882"/>
      <c r="IJR24" s="1887"/>
      <c r="IJS24" s="1888"/>
      <c r="IJT24" s="1882"/>
      <c r="IJU24" s="1882"/>
      <c r="IJV24" s="1882"/>
      <c r="IJX24" s="1887"/>
      <c r="IJY24" s="1888"/>
      <c r="IJZ24" s="1882"/>
      <c r="IKA24" s="1882"/>
      <c r="IKB24" s="1882"/>
      <c r="IKD24" s="1887"/>
      <c r="IKE24" s="1888"/>
      <c r="IKF24" s="1882"/>
      <c r="IKG24" s="1882"/>
      <c r="IKH24" s="1882"/>
      <c r="IKJ24" s="1887"/>
      <c r="IKK24" s="1888"/>
      <c r="IKL24" s="1882"/>
      <c r="IKM24" s="1882"/>
      <c r="IKN24" s="1882"/>
      <c r="IKP24" s="1887"/>
      <c r="IKQ24" s="1888"/>
      <c r="IKR24" s="1882"/>
      <c r="IKS24" s="1882"/>
      <c r="IKT24" s="1882"/>
      <c r="IKV24" s="1887"/>
      <c r="IKW24" s="1888"/>
      <c r="IKX24" s="1882"/>
      <c r="IKY24" s="1882"/>
      <c r="IKZ24" s="1882"/>
      <c r="ILB24" s="1887"/>
      <c r="ILC24" s="1888"/>
      <c r="ILD24" s="1882"/>
      <c r="ILE24" s="1882"/>
      <c r="ILF24" s="1882"/>
      <c r="ILH24" s="1887"/>
      <c r="ILI24" s="1888"/>
      <c r="ILJ24" s="1882"/>
      <c r="ILK24" s="1882"/>
      <c r="ILL24" s="1882"/>
      <c r="ILN24" s="1887"/>
      <c r="ILO24" s="1888"/>
      <c r="ILP24" s="1882"/>
      <c r="ILQ24" s="1882"/>
      <c r="ILR24" s="1882"/>
      <c r="ILT24" s="1887"/>
      <c r="ILU24" s="1888"/>
      <c r="ILV24" s="1882"/>
      <c r="ILW24" s="1882"/>
      <c r="ILX24" s="1882"/>
      <c r="ILZ24" s="1887"/>
      <c r="IMA24" s="1888"/>
      <c r="IMB24" s="1882"/>
      <c r="IMC24" s="1882"/>
      <c r="IMD24" s="1882"/>
      <c r="IMF24" s="1887"/>
      <c r="IMG24" s="1888"/>
      <c r="IMH24" s="1882"/>
      <c r="IMI24" s="1882"/>
      <c r="IMJ24" s="1882"/>
      <c r="IML24" s="1887"/>
      <c r="IMM24" s="1888"/>
      <c r="IMN24" s="1882"/>
      <c r="IMO24" s="1882"/>
      <c r="IMP24" s="1882"/>
      <c r="IMR24" s="1887"/>
      <c r="IMS24" s="1888"/>
      <c r="IMT24" s="1882"/>
      <c r="IMU24" s="1882"/>
      <c r="IMV24" s="1882"/>
      <c r="IMX24" s="1887"/>
      <c r="IMY24" s="1888"/>
      <c r="IMZ24" s="1882"/>
      <c r="INA24" s="1882"/>
      <c r="INB24" s="1882"/>
      <c r="IND24" s="1887"/>
      <c r="INE24" s="1888"/>
      <c r="INF24" s="1882"/>
      <c r="ING24" s="1882"/>
      <c r="INH24" s="1882"/>
      <c r="INJ24" s="1887"/>
      <c r="INK24" s="1888"/>
      <c r="INL24" s="1882"/>
      <c r="INM24" s="1882"/>
      <c r="INN24" s="1882"/>
      <c r="INP24" s="1887"/>
      <c r="INQ24" s="1888"/>
      <c r="INR24" s="1882"/>
      <c r="INS24" s="1882"/>
      <c r="INT24" s="1882"/>
      <c r="INV24" s="1887"/>
      <c r="INW24" s="1888"/>
      <c r="INX24" s="1882"/>
      <c r="INY24" s="1882"/>
      <c r="INZ24" s="1882"/>
      <c r="IOB24" s="1887"/>
      <c r="IOC24" s="1888"/>
      <c r="IOD24" s="1882"/>
      <c r="IOE24" s="1882"/>
      <c r="IOF24" s="1882"/>
      <c r="IOH24" s="1887"/>
      <c r="IOI24" s="1888"/>
      <c r="IOJ24" s="1882"/>
      <c r="IOK24" s="1882"/>
      <c r="IOL24" s="1882"/>
      <c r="ION24" s="1887"/>
      <c r="IOO24" s="1888"/>
      <c r="IOP24" s="1882"/>
      <c r="IOQ24" s="1882"/>
      <c r="IOR24" s="1882"/>
      <c r="IOT24" s="1887"/>
      <c r="IOU24" s="1888"/>
      <c r="IOV24" s="1882"/>
      <c r="IOW24" s="1882"/>
      <c r="IOX24" s="1882"/>
      <c r="IOZ24" s="1887"/>
      <c r="IPA24" s="1888"/>
      <c r="IPB24" s="1882"/>
      <c r="IPC24" s="1882"/>
      <c r="IPD24" s="1882"/>
      <c r="IPF24" s="1887"/>
      <c r="IPG24" s="1888"/>
      <c r="IPH24" s="1882"/>
      <c r="IPI24" s="1882"/>
      <c r="IPJ24" s="1882"/>
      <c r="IPL24" s="1887"/>
      <c r="IPM24" s="1888"/>
      <c r="IPN24" s="1882"/>
      <c r="IPO24" s="1882"/>
      <c r="IPP24" s="1882"/>
      <c r="IPR24" s="1887"/>
      <c r="IPS24" s="1888"/>
      <c r="IPT24" s="1882"/>
      <c r="IPU24" s="1882"/>
      <c r="IPV24" s="1882"/>
      <c r="IPX24" s="1887"/>
      <c r="IPY24" s="1888"/>
      <c r="IPZ24" s="1882"/>
      <c r="IQA24" s="1882"/>
      <c r="IQB24" s="1882"/>
      <c r="IQD24" s="1887"/>
      <c r="IQE24" s="1888"/>
      <c r="IQF24" s="1882"/>
      <c r="IQG24" s="1882"/>
      <c r="IQH24" s="1882"/>
      <c r="IQJ24" s="1887"/>
      <c r="IQK24" s="1888"/>
      <c r="IQL24" s="1882"/>
      <c r="IQM24" s="1882"/>
      <c r="IQN24" s="1882"/>
      <c r="IQP24" s="1887"/>
      <c r="IQQ24" s="1888"/>
      <c r="IQR24" s="1882"/>
      <c r="IQS24" s="1882"/>
      <c r="IQT24" s="1882"/>
      <c r="IQV24" s="1887"/>
      <c r="IQW24" s="1888"/>
      <c r="IQX24" s="1882"/>
      <c r="IQY24" s="1882"/>
      <c r="IQZ24" s="1882"/>
      <c r="IRB24" s="1887"/>
      <c r="IRC24" s="1888"/>
      <c r="IRD24" s="1882"/>
      <c r="IRE24" s="1882"/>
      <c r="IRF24" s="1882"/>
      <c r="IRH24" s="1887"/>
      <c r="IRI24" s="1888"/>
      <c r="IRJ24" s="1882"/>
      <c r="IRK24" s="1882"/>
      <c r="IRL24" s="1882"/>
      <c r="IRN24" s="1887"/>
      <c r="IRO24" s="1888"/>
      <c r="IRP24" s="1882"/>
      <c r="IRQ24" s="1882"/>
      <c r="IRR24" s="1882"/>
      <c r="IRT24" s="1887"/>
      <c r="IRU24" s="1888"/>
      <c r="IRV24" s="1882"/>
      <c r="IRW24" s="1882"/>
      <c r="IRX24" s="1882"/>
      <c r="IRZ24" s="1887"/>
      <c r="ISA24" s="1888"/>
      <c r="ISB24" s="1882"/>
      <c r="ISC24" s="1882"/>
      <c r="ISD24" s="1882"/>
      <c r="ISF24" s="1887"/>
      <c r="ISG24" s="1888"/>
      <c r="ISH24" s="1882"/>
      <c r="ISI24" s="1882"/>
      <c r="ISJ24" s="1882"/>
      <c r="ISL24" s="1887"/>
      <c r="ISM24" s="1888"/>
      <c r="ISN24" s="1882"/>
      <c r="ISO24" s="1882"/>
      <c r="ISP24" s="1882"/>
      <c r="ISR24" s="1887"/>
      <c r="ISS24" s="1888"/>
      <c r="IST24" s="1882"/>
      <c r="ISU24" s="1882"/>
      <c r="ISV24" s="1882"/>
      <c r="ISX24" s="1887"/>
      <c r="ISY24" s="1888"/>
      <c r="ISZ24" s="1882"/>
      <c r="ITA24" s="1882"/>
      <c r="ITB24" s="1882"/>
      <c r="ITD24" s="1887"/>
      <c r="ITE24" s="1888"/>
      <c r="ITF24" s="1882"/>
      <c r="ITG24" s="1882"/>
      <c r="ITH24" s="1882"/>
      <c r="ITJ24" s="1887"/>
      <c r="ITK24" s="1888"/>
      <c r="ITL24" s="1882"/>
      <c r="ITM24" s="1882"/>
      <c r="ITN24" s="1882"/>
      <c r="ITP24" s="1887"/>
      <c r="ITQ24" s="1888"/>
      <c r="ITR24" s="1882"/>
      <c r="ITS24" s="1882"/>
      <c r="ITT24" s="1882"/>
      <c r="ITV24" s="1887"/>
      <c r="ITW24" s="1888"/>
      <c r="ITX24" s="1882"/>
      <c r="ITY24" s="1882"/>
      <c r="ITZ24" s="1882"/>
      <c r="IUB24" s="1887"/>
      <c r="IUC24" s="1888"/>
      <c r="IUD24" s="1882"/>
      <c r="IUE24" s="1882"/>
      <c r="IUF24" s="1882"/>
      <c r="IUH24" s="1887"/>
      <c r="IUI24" s="1888"/>
      <c r="IUJ24" s="1882"/>
      <c r="IUK24" s="1882"/>
      <c r="IUL24" s="1882"/>
      <c r="IUN24" s="1887"/>
      <c r="IUO24" s="1888"/>
      <c r="IUP24" s="1882"/>
      <c r="IUQ24" s="1882"/>
      <c r="IUR24" s="1882"/>
      <c r="IUT24" s="1887"/>
      <c r="IUU24" s="1888"/>
      <c r="IUV24" s="1882"/>
      <c r="IUW24" s="1882"/>
      <c r="IUX24" s="1882"/>
      <c r="IUZ24" s="1887"/>
      <c r="IVA24" s="1888"/>
      <c r="IVB24" s="1882"/>
      <c r="IVC24" s="1882"/>
      <c r="IVD24" s="1882"/>
      <c r="IVF24" s="1887"/>
      <c r="IVG24" s="1888"/>
      <c r="IVH24" s="1882"/>
      <c r="IVI24" s="1882"/>
      <c r="IVJ24" s="1882"/>
      <c r="IVL24" s="1887"/>
      <c r="IVM24" s="1888"/>
      <c r="IVN24" s="1882"/>
      <c r="IVO24" s="1882"/>
      <c r="IVP24" s="1882"/>
      <c r="IVR24" s="1887"/>
      <c r="IVS24" s="1888"/>
      <c r="IVT24" s="1882"/>
      <c r="IVU24" s="1882"/>
      <c r="IVV24" s="1882"/>
      <c r="IVX24" s="1887"/>
      <c r="IVY24" s="1888"/>
      <c r="IVZ24" s="1882"/>
      <c r="IWA24" s="1882"/>
      <c r="IWB24" s="1882"/>
      <c r="IWD24" s="1887"/>
      <c r="IWE24" s="1888"/>
      <c r="IWF24" s="1882"/>
      <c r="IWG24" s="1882"/>
      <c r="IWH24" s="1882"/>
      <c r="IWJ24" s="1887"/>
      <c r="IWK24" s="1888"/>
      <c r="IWL24" s="1882"/>
      <c r="IWM24" s="1882"/>
      <c r="IWN24" s="1882"/>
      <c r="IWP24" s="1887"/>
      <c r="IWQ24" s="1888"/>
      <c r="IWR24" s="1882"/>
      <c r="IWS24" s="1882"/>
      <c r="IWT24" s="1882"/>
      <c r="IWV24" s="1887"/>
      <c r="IWW24" s="1888"/>
      <c r="IWX24" s="1882"/>
      <c r="IWY24" s="1882"/>
      <c r="IWZ24" s="1882"/>
      <c r="IXB24" s="1887"/>
      <c r="IXC24" s="1888"/>
      <c r="IXD24" s="1882"/>
      <c r="IXE24" s="1882"/>
      <c r="IXF24" s="1882"/>
      <c r="IXH24" s="1887"/>
      <c r="IXI24" s="1888"/>
      <c r="IXJ24" s="1882"/>
      <c r="IXK24" s="1882"/>
      <c r="IXL24" s="1882"/>
      <c r="IXN24" s="1887"/>
      <c r="IXO24" s="1888"/>
      <c r="IXP24" s="1882"/>
      <c r="IXQ24" s="1882"/>
      <c r="IXR24" s="1882"/>
      <c r="IXT24" s="1887"/>
      <c r="IXU24" s="1888"/>
      <c r="IXV24" s="1882"/>
      <c r="IXW24" s="1882"/>
      <c r="IXX24" s="1882"/>
      <c r="IXZ24" s="1887"/>
      <c r="IYA24" s="1888"/>
      <c r="IYB24" s="1882"/>
      <c r="IYC24" s="1882"/>
      <c r="IYD24" s="1882"/>
      <c r="IYF24" s="1887"/>
      <c r="IYG24" s="1888"/>
      <c r="IYH24" s="1882"/>
      <c r="IYI24" s="1882"/>
      <c r="IYJ24" s="1882"/>
      <c r="IYL24" s="1887"/>
      <c r="IYM24" s="1888"/>
      <c r="IYN24" s="1882"/>
      <c r="IYO24" s="1882"/>
      <c r="IYP24" s="1882"/>
      <c r="IYR24" s="1887"/>
      <c r="IYS24" s="1888"/>
      <c r="IYT24" s="1882"/>
      <c r="IYU24" s="1882"/>
      <c r="IYV24" s="1882"/>
      <c r="IYX24" s="1887"/>
      <c r="IYY24" s="1888"/>
      <c r="IYZ24" s="1882"/>
      <c r="IZA24" s="1882"/>
      <c r="IZB24" s="1882"/>
      <c r="IZD24" s="1887"/>
      <c r="IZE24" s="1888"/>
      <c r="IZF24" s="1882"/>
      <c r="IZG24" s="1882"/>
      <c r="IZH24" s="1882"/>
      <c r="IZJ24" s="1887"/>
      <c r="IZK24" s="1888"/>
      <c r="IZL24" s="1882"/>
      <c r="IZM24" s="1882"/>
      <c r="IZN24" s="1882"/>
      <c r="IZP24" s="1887"/>
      <c r="IZQ24" s="1888"/>
      <c r="IZR24" s="1882"/>
      <c r="IZS24" s="1882"/>
      <c r="IZT24" s="1882"/>
      <c r="IZV24" s="1887"/>
      <c r="IZW24" s="1888"/>
      <c r="IZX24" s="1882"/>
      <c r="IZY24" s="1882"/>
      <c r="IZZ24" s="1882"/>
      <c r="JAB24" s="1887"/>
      <c r="JAC24" s="1888"/>
      <c r="JAD24" s="1882"/>
      <c r="JAE24" s="1882"/>
      <c r="JAF24" s="1882"/>
      <c r="JAH24" s="1887"/>
      <c r="JAI24" s="1888"/>
      <c r="JAJ24" s="1882"/>
      <c r="JAK24" s="1882"/>
      <c r="JAL24" s="1882"/>
      <c r="JAN24" s="1887"/>
      <c r="JAO24" s="1888"/>
      <c r="JAP24" s="1882"/>
      <c r="JAQ24" s="1882"/>
      <c r="JAR24" s="1882"/>
      <c r="JAT24" s="1887"/>
      <c r="JAU24" s="1888"/>
      <c r="JAV24" s="1882"/>
      <c r="JAW24" s="1882"/>
      <c r="JAX24" s="1882"/>
      <c r="JAZ24" s="1887"/>
      <c r="JBA24" s="1888"/>
      <c r="JBB24" s="1882"/>
      <c r="JBC24" s="1882"/>
      <c r="JBD24" s="1882"/>
      <c r="JBF24" s="1887"/>
      <c r="JBG24" s="1888"/>
      <c r="JBH24" s="1882"/>
      <c r="JBI24" s="1882"/>
      <c r="JBJ24" s="1882"/>
      <c r="JBL24" s="1887"/>
      <c r="JBM24" s="1888"/>
      <c r="JBN24" s="1882"/>
      <c r="JBO24" s="1882"/>
      <c r="JBP24" s="1882"/>
      <c r="JBR24" s="1887"/>
      <c r="JBS24" s="1888"/>
      <c r="JBT24" s="1882"/>
      <c r="JBU24" s="1882"/>
      <c r="JBV24" s="1882"/>
      <c r="JBX24" s="1887"/>
      <c r="JBY24" s="1888"/>
      <c r="JBZ24" s="1882"/>
      <c r="JCA24" s="1882"/>
      <c r="JCB24" s="1882"/>
      <c r="JCD24" s="1887"/>
      <c r="JCE24" s="1888"/>
      <c r="JCF24" s="1882"/>
      <c r="JCG24" s="1882"/>
      <c r="JCH24" s="1882"/>
      <c r="JCJ24" s="1887"/>
      <c r="JCK24" s="1888"/>
      <c r="JCL24" s="1882"/>
      <c r="JCM24" s="1882"/>
      <c r="JCN24" s="1882"/>
      <c r="JCP24" s="1887"/>
      <c r="JCQ24" s="1888"/>
      <c r="JCR24" s="1882"/>
      <c r="JCS24" s="1882"/>
      <c r="JCT24" s="1882"/>
      <c r="JCV24" s="1887"/>
      <c r="JCW24" s="1888"/>
      <c r="JCX24" s="1882"/>
      <c r="JCY24" s="1882"/>
      <c r="JCZ24" s="1882"/>
      <c r="JDB24" s="1887"/>
      <c r="JDC24" s="1888"/>
      <c r="JDD24" s="1882"/>
      <c r="JDE24" s="1882"/>
      <c r="JDF24" s="1882"/>
      <c r="JDH24" s="1887"/>
      <c r="JDI24" s="1888"/>
      <c r="JDJ24" s="1882"/>
      <c r="JDK24" s="1882"/>
      <c r="JDL24" s="1882"/>
      <c r="JDN24" s="1887"/>
      <c r="JDO24" s="1888"/>
      <c r="JDP24" s="1882"/>
      <c r="JDQ24" s="1882"/>
      <c r="JDR24" s="1882"/>
      <c r="JDT24" s="1887"/>
      <c r="JDU24" s="1888"/>
      <c r="JDV24" s="1882"/>
      <c r="JDW24" s="1882"/>
      <c r="JDX24" s="1882"/>
      <c r="JDZ24" s="1887"/>
      <c r="JEA24" s="1888"/>
      <c r="JEB24" s="1882"/>
      <c r="JEC24" s="1882"/>
      <c r="JED24" s="1882"/>
      <c r="JEF24" s="1887"/>
      <c r="JEG24" s="1888"/>
      <c r="JEH24" s="1882"/>
      <c r="JEI24" s="1882"/>
      <c r="JEJ24" s="1882"/>
      <c r="JEL24" s="1887"/>
      <c r="JEM24" s="1888"/>
      <c r="JEN24" s="1882"/>
      <c r="JEO24" s="1882"/>
      <c r="JEP24" s="1882"/>
      <c r="JER24" s="1887"/>
      <c r="JES24" s="1888"/>
      <c r="JET24" s="1882"/>
      <c r="JEU24" s="1882"/>
      <c r="JEV24" s="1882"/>
      <c r="JEX24" s="1887"/>
      <c r="JEY24" s="1888"/>
      <c r="JEZ24" s="1882"/>
      <c r="JFA24" s="1882"/>
      <c r="JFB24" s="1882"/>
      <c r="JFD24" s="1887"/>
      <c r="JFE24" s="1888"/>
      <c r="JFF24" s="1882"/>
      <c r="JFG24" s="1882"/>
      <c r="JFH24" s="1882"/>
      <c r="JFJ24" s="1887"/>
      <c r="JFK24" s="1888"/>
      <c r="JFL24" s="1882"/>
      <c r="JFM24" s="1882"/>
      <c r="JFN24" s="1882"/>
      <c r="JFP24" s="1887"/>
      <c r="JFQ24" s="1888"/>
      <c r="JFR24" s="1882"/>
      <c r="JFS24" s="1882"/>
      <c r="JFT24" s="1882"/>
      <c r="JFV24" s="1887"/>
      <c r="JFW24" s="1888"/>
      <c r="JFX24" s="1882"/>
      <c r="JFY24" s="1882"/>
      <c r="JFZ24" s="1882"/>
      <c r="JGB24" s="1887"/>
      <c r="JGC24" s="1888"/>
      <c r="JGD24" s="1882"/>
      <c r="JGE24" s="1882"/>
      <c r="JGF24" s="1882"/>
      <c r="JGH24" s="1887"/>
      <c r="JGI24" s="1888"/>
      <c r="JGJ24" s="1882"/>
      <c r="JGK24" s="1882"/>
      <c r="JGL24" s="1882"/>
      <c r="JGN24" s="1887"/>
      <c r="JGO24" s="1888"/>
      <c r="JGP24" s="1882"/>
      <c r="JGQ24" s="1882"/>
      <c r="JGR24" s="1882"/>
      <c r="JGT24" s="1887"/>
      <c r="JGU24" s="1888"/>
      <c r="JGV24" s="1882"/>
      <c r="JGW24" s="1882"/>
      <c r="JGX24" s="1882"/>
      <c r="JGZ24" s="1887"/>
      <c r="JHA24" s="1888"/>
      <c r="JHB24" s="1882"/>
      <c r="JHC24" s="1882"/>
      <c r="JHD24" s="1882"/>
      <c r="JHF24" s="1887"/>
      <c r="JHG24" s="1888"/>
      <c r="JHH24" s="1882"/>
      <c r="JHI24" s="1882"/>
      <c r="JHJ24" s="1882"/>
      <c r="JHL24" s="1887"/>
      <c r="JHM24" s="1888"/>
      <c r="JHN24" s="1882"/>
      <c r="JHO24" s="1882"/>
      <c r="JHP24" s="1882"/>
      <c r="JHR24" s="1887"/>
      <c r="JHS24" s="1888"/>
      <c r="JHT24" s="1882"/>
      <c r="JHU24" s="1882"/>
      <c r="JHV24" s="1882"/>
      <c r="JHX24" s="1887"/>
      <c r="JHY24" s="1888"/>
      <c r="JHZ24" s="1882"/>
      <c r="JIA24" s="1882"/>
      <c r="JIB24" s="1882"/>
      <c r="JID24" s="1887"/>
      <c r="JIE24" s="1888"/>
      <c r="JIF24" s="1882"/>
      <c r="JIG24" s="1882"/>
      <c r="JIH24" s="1882"/>
      <c r="JIJ24" s="1887"/>
      <c r="JIK24" s="1888"/>
      <c r="JIL24" s="1882"/>
      <c r="JIM24" s="1882"/>
      <c r="JIN24" s="1882"/>
      <c r="JIP24" s="1887"/>
      <c r="JIQ24" s="1888"/>
      <c r="JIR24" s="1882"/>
      <c r="JIS24" s="1882"/>
      <c r="JIT24" s="1882"/>
      <c r="JIV24" s="1887"/>
      <c r="JIW24" s="1888"/>
      <c r="JIX24" s="1882"/>
      <c r="JIY24" s="1882"/>
      <c r="JIZ24" s="1882"/>
      <c r="JJB24" s="1887"/>
      <c r="JJC24" s="1888"/>
      <c r="JJD24" s="1882"/>
      <c r="JJE24" s="1882"/>
      <c r="JJF24" s="1882"/>
      <c r="JJH24" s="1887"/>
      <c r="JJI24" s="1888"/>
      <c r="JJJ24" s="1882"/>
      <c r="JJK24" s="1882"/>
      <c r="JJL24" s="1882"/>
      <c r="JJN24" s="1887"/>
      <c r="JJO24" s="1888"/>
      <c r="JJP24" s="1882"/>
      <c r="JJQ24" s="1882"/>
      <c r="JJR24" s="1882"/>
      <c r="JJT24" s="1887"/>
      <c r="JJU24" s="1888"/>
      <c r="JJV24" s="1882"/>
      <c r="JJW24" s="1882"/>
      <c r="JJX24" s="1882"/>
      <c r="JJZ24" s="1887"/>
      <c r="JKA24" s="1888"/>
      <c r="JKB24" s="1882"/>
      <c r="JKC24" s="1882"/>
      <c r="JKD24" s="1882"/>
      <c r="JKF24" s="1887"/>
      <c r="JKG24" s="1888"/>
      <c r="JKH24" s="1882"/>
      <c r="JKI24" s="1882"/>
      <c r="JKJ24" s="1882"/>
      <c r="JKL24" s="1887"/>
      <c r="JKM24" s="1888"/>
      <c r="JKN24" s="1882"/>
      <c r="JKO24" s="1882"/>
      <c r="JKP24" s="1882"/>
      <c r="JKR24" s="1887"/>
      <c r="JKS24" s="1888"/>
      <c r="JKT24" s="1882"/>
      <c r="JKU24" s="1882"/>
      <c r="JKV24" s="1882"/>
      <c r="JKX24" s="1887"/>
      <c r="JKY24" s="1888"/>
      <c r="JKZ24" s="1882"/>
      <c r="JLA24" s="1882"/>
      <c r="JLB24" s="1882"/>
      <c r="JLD24" s="1887"/>
      <c r="JLE24" s="1888"/>
      <c r="JLF24" s="1882"/>
      <c r="JLG24" s="1882"/>
      <c r="JLH24" s="1882"/>
      <c r="JLJ24" s="1887"/>
      <c r="JLK24" s="1888"/>
      <c r="JLL24" s="1882"/>
      <c r="JLM24" s="1882"/>
      <c r="JLN24" s="1882"/>
      <c r="JLP24" s="1887"/>
      <c r="JLQ24" s="1888"/>
      <c r="JLR24" s="1882"/>
      <c r="JLS24" s="1882"/>
      <c r="JLT24" s="1882"/>
      <c r="JLV24" s="1887"/>
      <c r="JLW24" s="1888"/>
      <c r="JLX24" s="1882"/>
      <c r="JLY24" s="1882"/>
      <c r="JLZ24" s="1882"/>
      <c r="JMB24" s="1887"/>
      <c r="JMC24" s="1888"/>
      <c r="JMD24" s="1882"/>
      <c r="JME24" s="1882"/>
      <c r="JMF24" s="1882"/>
      <c r="JMH24" s="1887"/>
      <c r="JMI24" s="1888"/>
      <c r="JMJ24" s="1882"/>
      <c r="JMK24" s="1882"/>
      <c r="JML24" s="1882"/>
      <c r="JMN24" s="1887"/>
      <c r="JMO24" s="1888"/>
      <c r="JMP24" s="1882"/>
      <c r="JMQ24" s="1882"/>
      <c r="JMR24" s="1882"/>
      <c r="JMT24" s="1887"/>
      <c r="JMU24" s="1888"/>
      <c r="JMV24" s="1882"/>
      <c r="JMW24" s="1882"/>
      <c r="JMX24" s="1882"/>
      <c r="JMZ24" s="1887"/>
      <c r="JNA24" s="1888"/>
      <c r="JNB24" s="1882"/>
      <c r="JNC24" s="1882"/>
      <c r="JND24" s="1882"/>
      <c r="JNF24" s="1887"/>
      <c r="JNG24" s="1888"/>
      <c r="JNH24" s="1882"/>
      <c r="JNI24" s="1882"/>
      <c r="JNJ24" s="1882"/>
      <c r="JNL24" s="1887"/>
      <c r="JNM24" s="1888"/>
      <c r="JNN24" s="1882"/>
      <c r="JNO24" s="1882"/>
      <c r="JNP24" s="1882"/>
      <c r="JNR24" s="1887"/>
      <c r="JNS24" s="1888"/>
      <c r="JNT24" s="1882"/>
      <c r="JNU24" s="1882"/>
      <c r="JNV24" s="1882"/>
      <c r="JNX24" s="1887"/>
      <c r="JNY24" s="1888"/>
      <c r="JNZ24" s="1882"/>
      <c r="JOA24" s="1882"/>
      <c r="JOB24" s="1882"/>
      <c r="JOD24" s="1887"/>
      <c r="JOE24" s="1888"/>
      <c r="JOF24" s="1882"/>
      <c r="JOG24" s="1882"/>
      <c r="JOH24" s="1882"/>
      <c r="JOJ24" s="1887"/>
      <c r="JOK24" s="1888"/>
      <c r="JOL24" s="1882"/>
      <c r="JOM24" s="1882"/>
      <c r="JON24" s="1882"/>
      <c r="JOP24" s="1887"/>
      <c r="JOQ24" s="1888"/>
      <c r="JOR24" s="1882"/>
      <c r="JOS24" s="1882"/>
      <c r="JOT24" s="1882"/>
      <c r="JOV24" s="1887"/>
      <c r="JOW24" s="1888"/>
      <c r="JOX24" s="1882"/>
      <c r="JOY24" s="1882"/>
      <c r="JOZ24" s="1882"/>
      <c r="JPB24" s="1887"/>
      <c r="JPC24" s="1888"/>
      <c r="JPD24" s="1882"/>
      <c r="JPE24" s="1882"/>
      <c r="JPF24" s="1882"/>
      <c r="JPH24" s="1887"/>
      <c r="JPI24" s="1888"/>
      <c r="JPJ24" s="1882"/>
      <c r="JPK24" s="1882"/>
      <c r="JPL24" s="1882"/>
      <c r="JPN24" s="1887"/>
      <c r="JPO24" s="1888"/>
      <c r="JPP24" s="1882"/>
      <c r="JPQ24" s="1882"/>
      <c r="JPR24" s="1882"/>
      <c r="JPT24" s="1887"/>
      <c r="JPU24" s="1888"/>
      <c r="JPV24" s="1882"/>
      <c r="JPW24" s="1882"/>
      <c r="JPX24" s="1882"/>
      <c r="JPZ24" s="1887"/>
      <c r="JQA24" s="1888"/>
      <c r="JQB24" s="1882"/>
      <c r="JQC24" s="1882"/>
      <c r="JQD24" s="1882"/>
      <c r="JQF24" s="1887"/>
      <c r="JQG24" s="1888"/>
      <c r="JQH24" s="1882"/>
      <c r="JQI24" s="1882"/>
      <c r="JQJ24" s="1882"/>
      <c r="JQL24" s="1887"/>
      <c r="JQM24" s="1888"/>
      <c r="JQN24" s="1882"/>
      <c r="JQO24" s="1882"/>
      <c r="JQP24" s="1882"/>
      <c r="JQR24" s="1887"/>
      <c r="JQS24" s="1888"/>
      <c r="JQT24" s="1882"/>
      <c r="JQU24" s="1882"/>
      <c r="JQV24" s="1882"/>
      <c r="JQX24" s="1887"/>
      <c r="JQY24" s="1888"/>
      <c r="JQZ24" s="1882"/>
      <c r="JRA24" s="1882"/>
      <c r="JRB24" s="1882"/>
      <c r="JRD24" s="1887"/>
      <c r="JRE24" s="1888"/>
      <c r="JRF24" s="1882"/>
      <c r="JRG24" s="1882"/>
      <c r="JRH24" s="1882"/>
      <c r="JRJ24" s="1887"/>
      <c r="JRK24" s="1888"/>
      <c r="JRL24" s="1882"/>
      <c r="JRM24" s="1882"/>
      <c r="JRN24" s="1882"/>
      <c r="JRP24" s="1887"/>
      <c r="JRQ24" s="1888"/>
      <c r="JRR24" s="1882"/>
      <c r="JRS24" s="1882"/>
      <c r="JRT24" s="1882"/>
      <c r="JRV24" s="1887"/>
      <c r="JRW24" s="1888"/>
      <c r="JRX24" s="1882"/>
      <c r="JRY24" s="1882"/>
      <c r="JRZ24" s="1882"/>
      <c r="JSB24" s="1887"/>
      <c r="JSC24" s="1888"/>
      <c r="JSD24" s="1882"/>
      <c r="JSE24" s="1882"/>
      <c r="JSF24" s="1882"/>
      <c r="JSH24" s="1887"/>
      <c r="JSI24" s="1888"/>
      <c r="JSJ24" s="1882"/>
      <c r="JSK24" s="1882"/>
      <c r="JSL24" s="1882"/>
      <c r="JSN24" s="1887"/>
      <c r="JSO24" s="1888"/>
      <c r="JSP24" s="1882"/>
      <c r="JSQ24" s="1882"/>
      <c r="JSR24" s="1882"/>
      <c r="JST24" s="1887"/>
      <c r="JSU24" s="1888"/>
      <c r="JSV24" s="1882"/>
      <c r="JSW24" s="1882"/>
      <c r="JSX24" s="1882"/>
      <c r="JSZ24" s="1887"/>
      <c r="JTA24" s="1888"/>
      <c r="JTB24" s="1882"/>
      <c r="JTC24" s="1882"/>
      <c r="JTD24" s="1882"/>
      <c r="JTF24" s="1887"/>
      <c r="JTG24" s="1888"/>
      <c r="JTH24" s="1882"/>
      <c r="JTI24" s="1882"/>
      <c r="JTJ24" s="1882"/>
      <c r="JTL24" s="1887"/>
      <c r="JTM24" s="1888"/>
      <c r="JTN24" s="1882"/>
      <c r="JTO24" s="1882"/>
      <c r="JTP24" s="1882"/>
      <c r="JTR24" s="1887"/>
      <c r="JTS24" s="1888"/>
      <c r="JTT24" s="1882"/>
      <c r="JTU24" s="1882"/>
      <c r="JTV24" s="1882"/>
      <c r="JTX24" s="1887"/>
      <c r="JTY24" s="1888"/>
      <c r="JTZ24" s="1882"/>
      <c r="JUA24" s="1882"/>
      <c r="JUB24" s="1882"/>
      <c r="JUD24" s="1887"/>
      <c r="JUE24" s="1888"/>
      <c r="JUF24" s="1882"/>
      <c r="JUG24" s="1882"/>
      <c r="JUH24" s="1882"/>
      <c r="JUJ24" s="1887"/>
      <c r="JUK24" s="1888"/>
      <c r="JUL24" s="1882"/>
      <c r="JUM24" s="1882"/>
      <c r="JUN24" s="1882"/>
      <c r="JUP24" s="1887"/>
      <c r="JUQ24" s="1888"/>
      <c r="JUR24" s="1882"/>
      <c r="JUS24" s="1882"/>
      <c r="JUT24" s="1882"/>
      <c r="JUV24" s="1887"/>
      <c r="JUW24" s="1888"/>
      <c r="JUX24" s="1882"/>
      <c r="JUY24" s="1882"/>
      <c r="JUZ24" s="1882"/>
      <c r="JVB24" s="1887"/>
      <c r="JVC24" s="1888"/>
      <c r="JVD24" s="1882"/>
      <c r="JVE24" s="1882"/>
      <c r="JVF24" s="1882"/>
      <c r="JVH24" s="1887"/>
      <c r="JVI24" s="1888"/>
      <c r="JVJ24" s="1882"/>
      <c r="JVK24" s="1882"/>
      <c r="JVL24" s="1882"/>
      <c r="JVN24" s="1887"/>
      <c r="JVO24" s="1888"/>
      <c r="JVP24" s="1882"/>
      <c r="JVQ24" s="1882"/>
      <c r="JVR24" s="1882"/>
      <c r="JVT24" s="1887"/>
      <c r="JVU24" s="1888"/>
      <c r="JVV24" s="1882"/>
      <c r="JVW24" s="1882"/>
      <c r="JVX24" s="1882"/>
      <c r="JVZ24" s="1887"/>
      <c r="JWA24" s="1888"/>
      <c r="JWB24" s="1882"/>
      <c r="JWC24" s="1882"/>
      <c r="JWD24" s="1882"/>
      <c r="JWF24" s="1887"/>
      <c r="JWG24" s="1888"/>
      <c r="JWH24" s="1882"/>
      <c r="JWI24" s="1882"/>
      <c r="JWJ24" s="1882"/>
      <c r="JWL24" s="1887"/>
      <c r="JWM24" s="1888"/>
      <c r="JWN24" s="1882"/>
      <c r="JWO24" s="1882"/>
      <c r="JWP24" s="1882"/>
      <c r="JWR24" s="1887"/>
      <c r="JWS24" s="1888"/>
      <c r="JWT24" s="1882"/>
      <c r="JWU24" s="1882"/>
      <c r="JWV24" s="1882"/>
      <c r="JWX24" s="1887"/>
      <c r="JWY24" s="1888"/>
      <c r="JWZ24" s="1882"/>
      <c r="JXA24" s="1882"/>
      <c r="JXB24" s="1882"/>
      <c r="JXD24" s="1887"/>
      <c r="JXE24" s="1888"/>
      <c r="JXF24" s="1882"/>
      <c r="JXG24" s="1882"/>
      <c r="JXH24" s="1882"/>
      <c r="JXJ24" s="1887"/>
      <c r="JXK24" s="1888"/>
      <c r="JXL24" s="1882"/>
      <c r="JXM24" s="1882"/>
      <c r="JXN24" s="1882"/>
      <c r="JXP24" s="1887"/>
      <c r="JXQ24" s="1888"/>
      <c r="JXR24" s="1882"/>
      <c r="JXS24" s="1882"/>
      <c r="JXT24" s="1882"/>
      <c r="JXV24" s="1887"/>
      <c r="JXW24" s="1888"/>
      <c r="JXX24" s="1882"/>
      <c r="JXY24" s="1882"/>
      <c r="JXZ24" s="1882"/>
      <c r="JYB24" s="1887"/>
      <c r="JYC24" s="1888"/>
      <c r="JYD24" s="1882"/>
      <c r="JYE24" s="1882"/>
      <c r="JYF24" s="1882"/>
      <c r="JYH24" s="1887"/>
      <c r="JYI24" s="1888"/>
      <c r="JYJ24" s="1882"/>
      <c r="JYK24" s="1882"/>
      <c r="JYL24" s="1882"/>
      <c r="JYN24" s="1887"/>
      <c r="JYO24" s="1888"/>
      <c r="JYP24" s="1882"/>
      <c r="JYQ24" s="1882"/>
      <c r="JYR24" s="1882"/>
      <c r="JYT24" s="1887"/>
      <c r="JYU24" s="1888"/>
      <c r="JYV24" s="1882"/>
      <c r="JYW24" s="1882"/>
      <c r="JYX24" s="1882"/>
      <c r="JYZ24" s="1887"/>
      <c r="JZA24" s="1888"/>
      <c r="JZB24" s="1882"/>
      <c r="JZC24" s="1882"/>
      <c r="JZD24" s="1882"/>
      <c r="JZF24" s="1887"/>
      <c r="JZG24" s="1888"/>
      <c r="JZH24" s="1882"/>
      <c r="JZI24" s="1882"/>
      <c r="JZJ24" s="1882"/>
      <c r="JZL24" s="1887"/>
      <c r="JZM24" s="1888"/>
      <c r="JZN24" s="1882"/>
      <c r="JZO24" s="1882"/>
      <c r="JZP24" s="1882"/>
      <c r="JZR24" s="1887"/>
      <c r="JZS24" s="1888"/>
      <c r="JZT24" s="1882"/>
      <c r="JZU24" s="1882"/>
      <c r="JZV24" s="1882"/>
      <c r="JZX24" s="1887"/>
      <c r="JZY24" s="1888"/>
      <c r="JZZ24" s="1882"/>
      <c r="KAA24" s="1882"/>
      <c r="KAB24" s="1882"/>
      <c r="KAD24" s="1887"/>
      <c r="KAE24" s="1888"/>
      <c r="KAF24" s="1882"/>
      <c r="KAG24" s="1882"/>
      <c r="KAH24" s="1882"/>
      <c r="KAJ24" s="1887"/>
      <c r="KAK24" s="1888"/>
      <c r="KAL24" s="1882"/>
      <c r="KAM24" s="1882"/>
      <c r="KAN24" s="1882"/>
      <c r="KAP24" s="1887"/>
      <c r="KAQ24" s="1888"/>
      <c r="KAR24" s="1882"/>
      <c r="KAS24" s="1882"/>
      <c r="KAT24" s="1882"/>
      <c r="KAV24" s="1887"/>
      <c r="KAW24" s="1888"/>
      <c r="KAX24" s="1882"/>
      <c r="KAY24" s="1882"/>
      <c r="KAZ24" s="1882"/>
      <c r="KBB24" s="1887"/>
      <c r="KBC24" s="1888"/>
      <c r="KBD24" s="1882"/>
      <c r="KBE24" s="1882"/>
      <c r="KBF24" s="1882"/>
      <c r="KBH24" s="1887"/>
      <c r="KBI24" s="1888"/>
      <c r="KBJ24" s="1882"/>
      <c r="KBK24" s="1882"/>
      <c r="KBL24" s="1882"/>
      <c r="KBN24" s="1887"/>
      <c r="KBO24" s="1888"/>
      <c r="KBP24" s="1882"/>
      <c r="KBQ24" s="1882"/>
      <c r="KBR24" s="1882"/>
      <c r="KBT24" s="1887"/>
      <c r="KBU24" s="1888"/>
      <c r="KBV24" s="1882"/>
      <c r="KBW24" s="1882"/>
      <c r="KBX24" s="1882"/>
      <c r="KBZ24" s="1887"/>
      <c r="KCA24" s="1888"/>
      <c r="KCB24" s="1882"/>
      <c r="KCC24" s="1882"/>
      <c r="KCD24" s="1882"/>
      <c r="KCF24" s="1887"/>
      <c r="KCG24" s="1888"/>
      <c r="KCH24" s="1882"/>
      <c r="KCI24" s="1882"/>
      <c r="KCJ24" s="1882"/>
      <c r="KCL24" s="1887"/>
      <c r="KCM24" s="1888"/>
      <c r="KCN24" s="1882"/>
      <c r="KCO24" s="1882"/>
      <c r="KCP24" s="1882"/>
      <c r="KCR24" s="1887"/>
      <c r="KCS24" s="1888"/>
      <c r="KCT24" s="1882"/>
      <c r="KCU24" s="1882"/>
      <c r="KCV24" s="1882"/>
      <c r="KCX24" s="1887"/>
      <c r="KCY24" s="1888"/>
      <c r="KCZ24" s="1882"/>
      <c r="KDA24" s="1882"/>
      <c r="KDB24" s="1882"/>
      <c r="KDD24" s="1887"/>
      <c r="KDE24" s="1888"/>
      <c r="KDF24" s="1882"/>
      <c r="KDG24" s="1882"/>
      <c r="KDH24" s="1882"/>
      <c r="KDJ24" s="1887"/>
      <c r="KDK24" s="1888"/>
      <c r="KDL24" s="1882"/>
      <c r="KDM24" s="1882"/>
      <c r="KDN24" s="1882"/>
      <c r="KDP24" s="1887"/>
      <c r="KDQ24" s="1888"/>
      <c r="KDR24" s="1882"/>
      <c r="KDS24" s="1882"/>
      <c r="KDT24" s="1882"/>
      <c r="KDV24" s="1887"/>
      <c r="KDW24" s="1888"/>
      <c r="KDX24" s="1882"/>
      <c r="KDY24" s="1882"/>
      <c r="KDZ24" s="1882"/>
      <c r="KEB24" s="1887"/>
      <c r="KEC24" s="1888"/>
      <c r="KED24" s="1882"/>
      <c r="KEE24" s="1882"/>
      <c r="KEF24" s="1882"/>
      <c r="KEH24" s="1887"/>
      <c r="KEI24" s="1888"/>
      <c r="KEJ24" s="1882"/>
      <c r="KEK24" s="1882"/>
      <c r="KEL24" s="1882"/>
      <c r="KEN24" s="1887"/>
      <c r="KEO24" s="1888"/>
      <c r="KEP24" s="1882"/>
      <c r="KEQ24" s="1882"/>
      <c r="KER24" s="1882"/>
      <c r="KET24" s="1887"/>
      <c r="KEU24" s="1888"/>
      <c r="KEV24" s="1882"/>
      <c r="KEW24" s="1882"/>
      <c r="KEX24" s="1882"/>
      <c r="KEZ24" s="1887"/>
      <c r="KFA24" s="1888"/>
      <c r="KFB24" s="1882"/>
      <c r="KFC24" s="1882"/>
      <c r="KFD24" s="1882"/>
      <c r="KFF24" s="1887"/>
      <c r="KFG24" s="1888"/>
      <c r="KFH24" s="1882"/>
      <c r="KFI24" s="1882"/>
      <c r="KFJ24" s="1882"/>
      <c r="KFL24" s="1887"/>
      <c r="KFM24" s="1888"/>
      <c r="KFN24" s="1882"/>
      <c r="KFO24" s="1882"/>
      <c r="KFP24" s="1882"/>
      <c r="KFR24" s="1887"/>
      <c r="KFS24" s="1888"/>
      <c r="KFT24" s="1882"/>
      <c r="KFU24" s="1882"/>
      <c r="KFV24" s="1882"/>
      <c r="KFX24" s="1887"/>
      <c r="KFY24" s="1888"/>
      <c r="KFZ24" s="1882"/>
      <c r="KGA24" s="1882"/>
      <c r="KGB24" s="1882"/>
      <c r="KGD24" s="1887"/>
      <c r="KGE24" s="1888"/>
      <c r="KGF24" s="1882"/>
      <c r="KGG24" s="1882"/>
      <c r="KGH24" s="1882"/>
      <c r="KGJ24" s="1887"/>
      <c r="KGK24" s="1888"/>
      <c r="KGL24" s="1882"/>
      <c r="KGM24" s="1882"/>
      <c r="KGN24" s="1882"/>
      <c r="KGP24" s="1887"/>
      <c r="KGQ24" s="1888"/>
      <c r="KGR24" s="1882"/>
      <c r="KGS24" s="1882"/>
      <c r="KGT24" s="1882"/>
      <c r="KGV24" s="1887"/>
      <c r="KGW24" s="1888"/>
      <c r="KGX24" s="1882"/>
      <c r="KGY24" s="1882"/>
      <c r="KGZ24" s="1882"/>
      <c r="KHB24" s="1887"/>
      <c r="KHC24" s="1888"/>
      <c r="KHD24" s="1882"/>
      <c r="KHE24" s="1882"/>
      <c r="KHF24" s="1882"/>
      <c r="KHH24" s="1887"/>
      <c r="KHI24" s="1888"/>
      <c r="KHJ24" s="1882"/>
      <c r="KHK24" s="1882"/>
      <c r="KHL24" s="1882"/>
      <c r="KHN24" s="1887"/>
      <c r="KHO24" s="1888"/>
      <c r="KHP24" s="1882"/>
      <c r="KHQ24" s="1882"/>
      <c r="KHR24" s="1882"/>
      <c r="KHT24" s="1887"/>
      <c r="KHU24" s="1888"/>
      <c r="KHV24" s="1882"/>
      <c r="KHW24" s="1882"/>
      <c r="KHX24" s="1882"/>
      <c r="KHZ24" s="1887"/>
      <c r="KIA24" s="1888"/>
      <c r="KIB24" s="1882"/>
      <c r="KIC24" s="1882"/>
      <c r="KID24" s="1882"/>
      <c r="KIF24" s="1887"/>
      <c r="KIG24" s="1888"/>
      <c r="KIH24" s="1882"/>
      <c r="KII24" s="1882"/>
      <c r="KIJ24" s="1882"/>
      <c r="KIL24" s="1887"/>
      <c r="KIM24" s="1888"/>
      <c r="KIN24" s="1882"/>
      <c r="KIO24" s="1882"/>
      <c r="KIP24" s="1882"/>
      <c r="KIR24" s="1887"/>
      <c r="KIS24" s="1888"/>
      <c r="KIT24" s="1882"/>
      <c r="KIU24" s="1882"/>
      <c r="KIV24" s="1882"/>
      <c r="KIX24" s="1887"/>
      <c r="KIY24" s="1888"/>
      <c r="KIZ24" s="1882"/>
      <c r="KJA24" s="1882"/>
      <c r="KJB24" s="1882"/>
      <c r="KJD24" s="1887"/>
      <c r="KJE24" s="1888"/>
      <c r="KJF24" s="1882"/>
      <c r="KJG24" s="1882"/>
      <c r="KJH24" s="1882"/>
      <c r="KJJ24" s="1887"/>
      <c r="KJK24" s="1888"/>
      <c r="KJL24" s="1882"/>
      <c r="KJM24" s="1882"/>
      <c r="KJN24" s="1882"/>
      <c r="KJP24" s="1887"/>
      <c r="KJQ24" s="1888"/>
      <c r="KJR24" s="1882"/>
      <c r="KJS24" s="1882"/>
      <c r="KJT24" s="1882"/>
      <c r="KJV24" s="1887"/>
      <c r="KJW24" s="1888"/>
      <c r="KJX24" s="1882"/>
      <c r="KJY24" s="1882"/>
      <c r="KJZ24" s="1882"/>
      <c r="KKB24" s="1887"/>
      <c r="KKC24" s="1888"/>
      <c r="KKD24" s="1882"/>
      <c r="KKE24" s="1882"/>
      <c r="KKF24" s="1882"/>
      <c r="KKH24" s="1887"/>
      <c r="KKI24" s="1888"/>
      <c r="KKJ24" s="1882"/>
      <c r="KKK24" s="1882"/>
      <c r="KKL24" s="1882"/>
      <c r="KKN24" s="1887"/>
      <c r="KKO24" s="1888"/>
      <c r="KKP24" s="1882"/>
      <c r="KKQ24" s="1882"/>
      <c r="KKR24" s="1882"/>
      <c r="KKT24" s="1887"/>
      <c r="KKU24" s="1888"/>
      <c r="KKV24" s="1882"/>
      <c r="KKW24" s="1882"/>
      <c r="KKX24" s="1882"/>
      <c r="KKZ24" s="1887"/>
      <c r="KLA24" s="1888"/>
      <c r="KLB24" s="1882"/>
      <c r="KLC24" s="1882"/>
      <c r="KLD24" s="1882"/>
      <c r="KLF24" s="1887"/>
      <c r="KLG24" s="1888"/>
      <c r="KLH24" s="1882"/>
      <c r="KLI24" s="1882"/>
      <c r="KLJ24" s="1882"/>
      <c r="KLL24" s="1887"/>
      <c r="KLM24" s="1888"/>
      <c r="KLN24" s="1882"/>
      <c r="KLO24" s="1882"/>
      <c r="KLP24" s="1882"/>
      <c r="KLR24" s="1887"/>
      <c r="KLS24" s="1888"/>
      <c r="KLT24" s="1882"/>
      <c r="KLU24" s="1882"/>
      <c r="KLV24" s="1882"/>
      <c r="KLX24" s="1887"/>
      <c r="KLY24" s="1888"/>
      <c r="KLZ24" s="1882"/>
      <c r="KMA24" s="1882"/>
      <c r="KMB24" s="1882"/>
      <c r="KMD24" s="1887"/>
      <c r="KME24" s="1888"/>
      <c r="KMF24" s="1882"/>
      <c r="KMG24" s="1882"/>
      <c r="KMH24" s="1882"/>
      <c r="KMJ24" s="1887"/>
      <c r="KMK24" s="1888"/>
      <c r="KML24" s="1882"/>
      <c r="KMM24" s="1882"/>
      <c r="KMN24" s="1882"/>
      <c r="KMP24" s="1887"/>
      <c r="KMQ24" s="1888"/>
      <c r="KMR24" s="1882"/>
      <c r="KMS24" s="1882"/>
      <c r="KMT24" s="1882"/>
      <c r="KMV24" s="1887"/>
      <c r="KMW24" s="1888"/>
      <c r="KMX24" s="1882"/>
      <c r="KMY24" s="1882"/>
      <c r="KMZ24" s="1882"/>
      <c r="KNB24" s="1887"/>
      <c r="KNC24" s="1888"/>
      <c r="KND24" s="1882"/>
      <c r="KNE24" s="1882"/>
      <c r="KNF24" s="1882"/>
      <c r="KNH24" s="1887"/>
      <c r="KNI24" s="1888"/>
      <c r="KNJ24" s="1882"/>
      <c r="KNK24" s="1882"/>
      <c r="KNL24" s="1882"/>
      <c r="KNN24" s="1887"/>
      <c r="KNO24" s="1888"/>
      <c r="KNP24" s="1882"/>
      <c r="KNQ24" s="1882"/>
      <c r="KNR24" s="1882"/>
      <c r="KNT24" s="1887"/>
      <c r="KNU24" s="1888"/>
      <c r="KNV24" s="1882"/>
      <c r="KNW24" s="1882"/>
      <c r="KNX24" s="1882"/>
      <c r="KNZ24" s="1887"/>
      <c r="KOA24" s="1888"/>
      <c r="KOB24" s="1882"/>
      <c r="KOC24" s="1882"/>
      <c r="KOD24" s="1882"/>
      <c r="KOF24" s="1887"/>
      <c r="KOG24" s="1888"/>
      <c r="KOH24" s="1882"/>
      <c r="KOI24" s="1882"/>
      <c r="KOJ24" s="1882"/>
      <c r="KOL24" s="1887"/>
      <c r="KOM24" s="1888"/>
      <c r="KON24" s="1882"/>
      <c r="KOO24" s="1882"/>
      <c r="KOP24" s="1882"/>
      <c r="KOR24" s="1887"/>
      <c r="KOS24" s="1888"/>
      <c r="KOT24" s="1882"/>
      <c r="KOU24" s="1882"/>
      <c r="KOV24" s="1882"/>
      <c r="KOX24" s="1887"/>
      <c r="KOY24" s="1888"/>
      <c r="KOZ24" s="1882"/>
      <c r="KPA24" s="1882"/>
      <c r="KPB24" s="1882"/>
      <c r="KPD24" s="1887"/>
      <c r="KPE24" s="1888"/>
      <c r="KPF24" s="1882"/>
      <c r="KPG24" s="1882"/>
      <c r="KPH24" s="1882"/>
      <c r="KPJ24" s="1887"/>
      <c r="KPK24" s="1888"/>
      <c r="KPL24" s="1882"/>
      <c r="KPM24" s="1882"/>
      <c r="KPN24" s="1882"/>
      <c r="KPP24" s="1887"/>
      <c r="KPQ24" s="1888"/>
      <c r="KPR24" s="1882"/>
      <c r="KPS24" s="1882"/>
      <c r="KPT24" s="1882"/>
      <c r="KPV24" s="1887"/>
      <c r="KPW24" s="1888"/>
      <c r="KPX24" s="1882"/>
      <c r="KPY24" s="1882"/>
      <c r="KPZ24" s="1882"/>
      <c r="KQB24" s="1887"/>
      <c r="KQC24" s="1888"/>
      <c r="KQD24" s="1882"/>
      <c r="KQE24" s="1882"/>
      <c r="KQF24" s="1882"/>
      <c r="KQH24" s="1887"/>
      <c r="KQI24" s="1888"/>
      <c r="KQJ24" s="1882"/>
      <c r="KQK24" s="1882"/>
      <c r="KQL24" s="1882"/>
      <c r="KQN24" s="1887"/>
      <c r="KQO24" s="1888"/>
      <c r="KQP24" s="1882"/>
      <c r="KQQ24" s="1882"/>
      <c r="KQR24" s="1882"/>
      <c r="KQT24" s="1887"/>
      <c r="KQU24" s="1888"/>
      <c r="KQV24" s="1882"/>
      <c r="KQW24" s="1882"/>
      <c r="KQX24" s="1882"/>
      <c r="KQZ24" s="1887"/>
      <c r="KRA24" s="1888"/>
      <c r="KRB24" s="1882"/>
      <c r="KRC24" s="1882"/>
      <c r="KRD24" s="1882"/>
      <c r="KRF24" s="1887"/>
      <c r="KRG24" s="1888"/>
      <c r="KRH24" s="1882"/>
      <c r="KRI24" s="1882"/>
      <c r="KRJ24" s="1882"/>
      <c r="KRL24" s="1887"/>
      <c r="KRM24" s="1888"/>
      <c r="KRN24" s="1882"/>
      <c r="KRO24" s="1882"/>
      <c r="KRP24" s="1882"/>
      <c r="KRR24" s="1887"/>
      <c r="KRS24" s="1888"/>
      <c r="KRT24" s="1882"/>
      <c r="KRU24" s="1882"/>
      <c r="KRV24" s="1882"/>
      <c r="KRX24" s="1887"/>
      <c r="KRY24" s="1888"/>
      <c r="KRZ24" s="1882"/>
      <c r="KSA24" s="1882"/>
      <c r="KSB24" s="1882"/>
      <c r="KSD24" s="1887"/>
      <c r="KSE24" s="1888"/>
      <c r="KSF24" s="1882"/>
      <c r="KSG24" s="1882"/>
      <c r="KSH24" s="1882"/>
      <c r="KSJ24" s="1887"/>
      <c r="KSK24" s="1888"/>
      <c r="KSL24" s="1882"/>
      <c r="KSM24" s="1882"/>
      <c r="KSN24" s="1882"/>
      <c r="KSP24" s="1887"/>
      <c r="KSQ24" s="1888"/>
      <c r="KSR24" s="1882"/>
      <c r="KSS24" s="1882"/>
      <c r="KST24" s="1882"/>
      <c r="KSV24" s="1887"/>
      <c r="KSW24" s="1888"/>
      <c r="KSX24" s="1882"/>
      <c r="KSY24" s="1882"/>
      <c r="KSZ24" s="1882"/>
      <c r="KTB24" s="1887"/>
      <c r="KTC24" s="1888"/>
      <c r="KTD24" s="1882"/>
      <c r="KTE24" s="1882"/>
      <c r="KTF24" s="1882"/>
      <c r="KTH24" s="1887"/>
      <c r="KTI24" s="1888"/>
      <c r="KTJ24" s="1882"/>
      <c r="KTK24" s="1882"/>
      <c r="KTL24" s="1882"/>
      <c r="KTN24" s="1887"/>
      <c r="KTO24" s="1888"/>
      <c r="KTP24" s="1882"/>
      <c r="KTQ24" s="1882"/>
      <c r="KTR24" s="1882"/>
      <c r="KTT24" s="1887"/>
      <c r="KTU24" s="1888"/>
      <c r="KTV24" s="1882"/>
      <c r="KTW24" s="1882"/>
      <c r="KTX24" s="1882"/>
      <c r="KTZ24" s="1887"/>
      <c r="KUA24" s="1888"/>
      <c r="KUB24" s="1882"/>
      <c r="KUC24" s="1882"/>
      <c r="KUD24" s="1882"/>
      <c r="KUF24" s="1887"/>
      <c r="KUG24" s="1888"/>
      <c r="KUH24" s="1882"/>
      <c r="KUI24" s="1882"/>
      <c r="KUJ24" s="1882"/>
      <c r="KUL24" s="1887"/>
      <c r="KUM24" s="1888"/>
      <c r="KUN24" s="1882"/>
      <c r="KUO24" s="1882"/>
      <c r="KUP24" s="1882"/>
      <c r="KUR24" s="1887"/>
      <c r="KUS24" s="1888"/>
      <c r="KUT24" s="1882"/>
      <c r="KUU24" s="1882"/>
      <c r="KUV24" s="1882"/>
      <c r="KUX24" s="1887"/>
      <c r="KUY24" s="1888"/>
      <c r="KUZ24" s="1882"/>
      <c r="KVA24" s="1882"/>
      <c r="KVB24" s="1882"/>
      <c r="KVD24" s="1887"/>
      <c r="KVE24" s="1888"/>
      <c r="KVF24" s="1882"/>
      <c r="KVG24" s="1882"/>
      <c r="KVH24" s="1882"/>
      <c r="KVJ24" s="1887"/>
      <c r="KVK24" s="1888"/>
      <c r="KVL24" s="1882"/>
      <c r="KVM24" s="1882"/>
      <c r="KVN24" s="1882"/>
      <c r="KVP24" s="1887"/>
      <c r="KVQ24" s="1888"/>
      <c r="KVR24" s="1882"/>
      <c r="KVS24" s="1882"/>
      <c r="KVT24" s="1882"/>
      <c r="KVV24" s="1887"/>
      <c r="KVW24" s="1888"/>
      <c r="KVX24" s="1882"/>
      <c r="KVY24" s="1882"/>
      <c r="KVZ24" s="1882"/>
      <c r="KWB24" s="1887"/>
      <c r="KWC24" s="1888"/>
      <c r="KWD24" s="1882"/>
      <c r="KWE24" s="1882"/>
      <c r="KWF24" s="1882"/>
      <c r="KWH24" s="1887"/>
      <c r="KWI24" s="1888"/>
      <c r="KWJ24" s="1882"/>
      <c r="KWK24" s="1882"/>
      <c r="KWL24" s="1882"/>
      <c r="KWN24" s="1887"/>
      <c r="KWO24" s="1888"/>
      <c r="KWP24" s="1882"/>
      <c r="KWQ24" s="1882"/>
      <c r="KWR24" s="1882"/>
      <c r="KWT24" s="1887"/>
      <c r="KWU24" s="1888"/>
      <c r="KWV24" s="1882"/>
      <c r="KWW24" s="1882"/>
      <c r="KWX24" s="1882"/>
      <c r="KWZ24" s="1887"/>
      <c r="KXA24" s="1888"/>
      <c r="KXB24" s="1882"/>
      <c r="KXC24" s="1882"/>
      <c r="KXD24" s="1882"/>
      <c r="KXF24" s="1887"/>
      <c r="KXG24" s="1888"/>
      <c r="KXH24" s="1882"/>
      <c r="KXI24" s="1882"/>
      <c r="KXJ24" s="1882"/>
      <c r="KXL24" s="1887"/>
      <c r="KXM24" s="1888"/>
      <c r="KXN24" s="1882"/>
      <c r="KXO24" s="1882"/>
      <c r="KXP24" s="1882"/>
      <c r="KXR24" s="1887"/>
      <c r="KXS24" s="1888"/>
      <c r="KXT24" s="1882"/>
      <c r="KXU24" s="1882"/>
      <c r="KXV24" s="1882"/>
      <c r="KXX24" s="1887"/>
      <c r="KXY24" s="1888"/>
      <c r="KXZ24" s="1882"/>
      <c r="KYA24" s="1882"/>
      <c r="KYB24" s="1882"/>
      <c r="KYD24" s="1887"/>
      <c r="KYE24" s="1888"/>
      <c r="KYF24" s="1882"/>
      <c r="KYG24" s="1882"/>
      <c r="KYH24" s="1882"/>
      <c r="KYJ24" s="1887"/>
      <c r="KYK24" s="1888"/>
      <c r="KYL24" s="1882"/>
      <c r="KYM24" s="1882"/>
      <c r="KYN24" s="1882"/>
      <c r="KYP24" s="1887"/>
      <c r="KYQ24" s="1888"/>
      <c r="KYR24" s="1882"/>
      <c r="KYS24" s="1882"/>
      <c r="KYT24" s="1882"/>
      <c r="KYV24" s="1887"/>
      <c r="KYW24" s="1888"/>
      <c r="KYX24" s="1882"/>
      <c r="KYY24" s="1882"/>
      <c r="KYZ24" s="1882"/>
      <c r="KZB24" s="1887"/>
      <c r="KZC24" s="1888"/>
      <c r="KZD24" s="1882"/>
      <c r="KZE24" s="1882"/>
      <c r="KZF24" s="1882"/>
      <c r="KZH24" s="1887"/>
      <c r="KZI24" s="1888"/>
      <c r="KZJ24" s="1882"/>
      <c r="KZK24" s="1882"/>
      <c r="KZL24" s="1882"/>
      <c r="KZN24" s="1887"/>
      <c r="KZO24" s="1888"/>
      <c r="KZP24" s="1882"/>
      <c r="KZQ24" s="1882"/>
      <c r="KZR24" s="1882"/>
      <c r="KZT24" s="1887"/>
      <c r="KZU24" s="1888"/>
      <c r="KZV24" s="1882"/>
      <c r="KZW24" s="1882"/>
      <c r="KZX24" s="1882"/>
      <c r="KZZ24" s="1887"/>
      <c r="LAA24" s="1888"/>
      <c r="LAB24" s="1882"/>
      <c r="LAC24" s="1882"/>
      <c r="LAD24" s="1882"/>
      <c r="LAF24" s="1887"/>
      <c r="LAG24" s="1888"/>
      <c r="LAH24" s="1882"/>
      <c r="LAI24" s="1882"/>
      <c r="LAJ24" s="1882"/>
      <c r="LAL24" s="1887"/>
      <c r="LAM24" s="1888"/>
      <c r="LAN24" s="1882"/>
      <c r="LAO24" s="1882"/>
      <c r="LAP24" s="1882"/>
      <c r="LAR24" s="1887"/>
      <c r="LAS24" s="1888"/>
      <c r="LAT24" s="1882"/>
      <c r="LAU24" s="1882"/>
      <c r="LAV24" s="1882"/>
      <c r="LAX24" s="1887"/>
      <c r="LAY24" s="1888"/>
      <c r="LAZ24" s="1882"/>
      <c r="LBA24" s="1882"/>
      <c r="LBB24" s="1882"/>
      <c r="LBD24" s="1887"/>
      <c r="LBE24" s="1888"/>
      <c r="LBF24" s="1882"/>
      <c r="LBG24" s="1882"/>
      <c r="LBH24" s="1882"/>
      <c r="LBJ24" s="1887"/>
      <c r="LBK24" s="1888"/>
      <c r="LBL24" s="1882"/>
      <c r="LBM24" s="1882"/>
      <c r="LBN24" s="1882"/>
      <c r="LBP24" s="1887"/>
      <c r="LBQ24" s="1888"/>
      <c r="LBR24" s="1882"/>
      <c r="LBS24" s="1882"/>
      <c r="LBT24" s="1882"/>
      <c r="LBV24" s="1887"/>
      <c r="LBW24" s="1888"/>
      <c r="LBX24" s="1882"/>
      <c r="LBY24" s="1882"/>
      <c r="LBZ24" s="1882"/>
      <c r="LCB24" s="1887"/>
      <c r="LCC24" s="1888"/>
      <c r="LCD24" s="1882"/>
      <c r="LCE24" s="1882"/>
      <c r="LCF24" s="1882"/>
      <c r="LCH24" s="1887"/>
      <c r="LCI24" s="1888"/>
      <c r="LCJ24" s="1882"/>
      <c r="LCK24" s="1882"/>
      <c r="LCL24" s="1882"/>
      <c r="LCN24" s="1887"/>
      <c r="LCO24" s="1888"/>
      <c r="LCP24" s="1882"/>
      <c r="LCQ24" s="1882"/>
      <c r="LCR24" s="1882"/>
      <c r="LCT24" s="1887"/>
      <c r="LCU24" s="1888"/>
      <c r="LCV24" s="1882"/>
      <c r="LCW24" s="1882"/>
      <c r="LCX24" s="1882"/>
      <c r="LCZ24" s="1887"/>
      <c r="LDA24" s="1888"/>
      <c r="LDB24" s="1882"/>
      <c r="LDC24" s="1882"/>
      <c r="LDD24" s="1882"/>
      <c r="LDF24" s="1887"/>
      <c r="LDG24" s="1888"/>
      <c r="LDH24" s="1882"/>
      <c r="LDI24" s="1882"/>
      <c r="LDJ24" s="1882"/>
      <c r="LDL24" s="1887"/>
      <c r="LDM24" s="1888"/>
      <c r="LDN24" s="1882"/>
      <c r="LDO24" s="1882"/>
      <c r="LDP24" s="1882"/>
      <c r="LDR24" s="1887"/>
      <c r="LDS24" s="1888"/>
      <c r="LDT24" s="1882"/>
      <c r="LDU24" s="1882"/>
      <c r="LDV24" s="1882"/>
      <c r="LDX24" s="1887"/>
      <c r="LDY24" s="1888"/>
      <c r="LDZ24" s="1882"/>
      <c r="LEA24" s="1882"/>
      <c r="LEB24" s="1882"/>
      <c r="LED24" s="1887"/>
      <c r="LEE24" s="1888"/>
      <c r="LEF24" s="1882"/>
      <c r="LEG24" s="1882"/>
      <c r="LEH24" s="1882"/>
      <c r="LEJ24" s="1887"/>
      <c r="LEK24" s="1888"/>
      <c r="LEL24" s="1882"/>
      <c r="LEM24" s="1882"/>
      <c r="LEN24" s="1882"/>
      <c r="LEP24" s="1887"/>
      <c r="LEQ24" s="1888"/>
      <c r="LER24" s="1882"/>
      <c r="LES24" s="1882"/>
      <c r="LET24" s="1882"/>
      <c r="LEV24" s="1887"/>
      <c r="LEW24" s="1888"/>
      <c r="LEX24" s="1882"/>
      <c r="LEY24" s="1882"/>
      <c r="LEZ24" s="1882"/>
      <c r="LFB24" s="1887"/>
      <c r="LFC24" s="1888"/>
      <c r="LFD24" s="1882"/>
      <c r="LFE24" s="1882"/>
      <c r="LFF24" s="1882"/>
      <c r="LFH24" s="1887"/>
      <c r="LFI24" s="1888"/>
      <c r="LFJ24" s="1882"/>
      <c r="LFK24" s="1882"/>
      <c r="LFL24" s="1882"/>
      <c r="LFN24" s="1887"/>
      <c r="LFO24" s="1888"/>
      <c r="LFP24" s="1882"/>
      <c r="LFQ24" s="1882"/>
      <c r="LFR24" s="1882"/>
      <c r="LFT24" s="1887"/>
      <c r="LFU24" s="1888"/>
      <c r="LFV24" s="1882"/>
      <c r="LFW24" s="1882"/>
      <c r="LFX24" s="1882"/>
      <c r="LFZ24" s="1887"/>
      <c r="LGA24" s="1888"/>
      <c r="LGB24" s="1882"/>
      <c r="LGC24" s="1882"/>
      <c r="LGD24" s="1882"/>
      <c r="LGF24" s="1887"/>
      <c r="LGG24" s="1888"/>
      <c r="LGH24" s="1882"/>
      <c r="LGI24" s="1882"/>
      <c r="LGJ24" s="1882"/>
      <c r="LGL24" s="1887"/>
      <c r="LGM24" s="1888"/>
      <c r="LGN24" s="1882"/>
      <c r="LGO24" s="1882"/>
      <c r="LGP24" s="1882"/>
      <c r="LGR24" s="1887"/>
      <c r="LGS24" s="1888"/>
      <c r="LGT24" s="1882"/>
      <c r="LGU24" s="1882"/>
      <c r="LGV24" s="1882"/>
      <c r="LGX24" s="1887"/>
      <c r="LGY24" s="1888"/>
      <c r="LGZ24" s="1882"/>
      <c r="LHA24" s="1882"/>
      <c r="LHB24" s="1882"/>
      <c r="LHD24" s="1887"/>
      <c r="LHE24" s="1888"/>
      <c r="LHF24" s="1882"/>
      <c r="LHG24" s="1882"/>
      <c r="LHH24" s="1882"/>
      <c r="LHJ24" s="1887"/>
      <c r="LHK24" s="1888"/>
      <c r="LHL24" s="1882"/>
      <c r="LHM24" s="1882"/>
      <c r="LHN24" s="1882"/>
      <c r="LHP24" s="1887"/>
      <c r="LHQ24" s="1888"/>
      <c r="LHR24" s="1882"/>
      <c r="LHS24" s="1882"/>
      <c r="LHT24" s="1882"/>
      <c r="LHV24" s="1887"/>
      <c r="LHW24" s="1888"/>
      <c r="LHX24" s="1882"/>
      <c r="LHY24" s="1882"/>
      <c r="LHZ24" s="1882"/>
      <c r="LIB24" s="1887"/>
      <c r="LIC24" s="1888"/>
      <c r="LID24" s="1882"/>
      <c r="LIE24" s="1882"/>
      <c r="LIF24" s="1882"/>
      <c r="LIH24" s="1887"/>
      <c r="LII24" s="1888"/>
      <c r="LIJ24" s="1882"/>
      <c r="LIK24" s="1882"/>
      <c r="LIL24" s="1882"/>
      <c r="LIN24" s="1887"/>
      <c r="LIO24" s="1888"/>
      <c r="LIP24" s="1882"/>
      <c r="LIQ24" s="1882"/>
      <c r="LIR24" s="1882"/>
      <c r="LIT24" s="1887"/>
      <c r="LIU24" s="1888"/>
      <c r="LIV24" s="1882"/>
      <c r="LIW24" s="1882"/>
      <c r="LIX24" s="1882"/>
      <c r="LIZ24" s="1887"/>
      <c r="LJA24" s="1888"/>
      <c r="LJB24" s="1882"/>
      <c r="LJC24" s="1882"/>
      <c r="LJD24" s="1882"/>
      <c r="LJF24" s="1887"/>
      <c r="LJG24" s="1888"/>
      <c r="LJH24" s="1882"/>
      <c r="LJI24" s="1882"/>
      <c r="LJJ24" s="1882"/>
      <c r="LJL24" s="1887"/>
      <c r="LJM24" s="1888"/>
      <c r="LJN24" s="1882"/>
      <c r="LJO24" s="1882"/>
      <c r="LJP24" s="1882"/>
      <c r="LJR24" s="1887"/>
      <c r="LJS24" s="1888"/>
      <c r="LJT24" s="1882"/>
      <c r="LJU24" s="1882"/>
      <c r="LJV24" s="1882"/>
      <c r="LJX24" s="1887"/>
      <c r="LJY24" s="1888"/>
      <c r="LJZ24" s="1882"/>
      <c r="LKA24" s="1882"/>
      <c r="LKB24" s="1882"/>
      <c r="LKD24" s="1887"/>
      <c r="LKE24" s="1888"/>
      <c r="LKF24" s="1882"/>
      <c r="LKG24" s="1882"/>
      <c r="LKH24" s="1882"/>
      <c r="LKJ24" s="1887"/>
      <c r="LKK24" s="1888"/>
      <c r="LKL24" s="1882"/>
      <c r="LKM24" s="1882"/>
      <c r="LKN24" s="1882"/>
      <c r="LKP24" s="1887"/>
      <c r="LKQ24" s="1888"/>
      <c r="LKR24" s="1882"/>
      <c r="LKS24" s="1882"/>
      <c r="LKT24" s="1882"/>
      <c r="LKV24" s="1887"/>
      <c r="LKW24" s="1888"/>
      <c r="LKX24" s="1882"/>
      <c r="LKY24" s="1882"/>
      <c r="LKZ24" s="1882"/>
      <c r="LLB24" s="1887"/>
      <c r="LLC24" s="1888"/>
      <c r="LLD24" s="1882"/>
      <c r="LLE24" s="1882"/>
      <c r="LLF24" s="1882"/>
      <c r="LLH24" s="1887"/>
      <c r="LLI24" s="1888"/>
      <c r="LLJ24" s="1882"/>
      <c r="LLK24" s="1882"/>
      <c r="LLL24" s="1882"/>
      <c r="LLN24" s="1887"/>
      <c r="LLO24" s="1888"/>
      <c r="LLP24" s="1882"/>
      <c r="LLQ24" s="1882"/>
      <c r="LLR24" s="1882"/>
      <c r="LLT24" s="1887"/>
      <c r="LLU24" s="1888"/>
      <c r="LLV24" s="1882"/>
      <c r="LLW24" s="1882"/>
      <c r="LLX24" s="1882"/>
      <c r="LLZ24" s="1887"/>
      <c r="LMA24" s="1888"/>
      <c r="LMB24" s="1882"/>
      <c r="LMC24" s="1882"/>
      <c r="LMD24" s="1882"/>
      <c r="LMF24" s="1887"/>
      <c r="LMG24" s="1888"/>
      <c r="LMH24" s="1882"/>
      <c r="LMI24" s="1882"/>
      <c r="LMJ24" s="1882"/>
      <c r="LML24" s="1887"/>
      <c r="LMM24" s="1888"/>
      <c r="LMN24" s="1882"/>
      <c r="LMO24" s="1882"/>
      <c r="LMP24" s="1882"/>
      <c r="LMR24" s="1887"/>
      <c r="LMS24" s="1888"/>
      <c r="LMT24" s="1882"/>
      <c r="LMU24" s="1882"/>
      <c r="LMV24" s="1882"/>
      <c r="LMX24" s="1887"/>
      <c r="LMY24" s="1888"/>
      <c r="LMZ24" s="1882"/>
      <c r="LNA24" s="1882"/>
      <c r="LNB24" s="1882"/>
      <c r="LND24" s="1887"/>
      <c r="LNE24" s="1888"/>
      <c r="LNF24" s="1882"/>
      <c r="LNG24" s="1882"/>
      <c r="LNH24" s="1882"/>
      <c r="LNJ24" s="1887"/>
      <c r="LNK24" s="1888"/>
      <c r="LNL24" s="1882"/>
      <c r="LNM24" s="1882"/>
      <c r="LNN24" s="1882"/>
      <c r="LNP24" s="1887"/>
      <c r="LNQ24" s="1888"/>
      <c r="LNR24" s="1882"/>
      <c r="LNS24" s="1882"/>
      <c r="LNT24" s="1882"/>
      <c r="LNV24" s="1887"/>
      <c r="LNW24" s="1888"/>
      <c r="LNX24" s="1882"/>
      <c r="LNY24" s="1882"/>
      <c r="LNZ24" s="1882"/>
      <c r="LOB24" s="1887"/>
      <c r="LOC24" s="1888"/>
      <c r="LOD24" s="1882"/>
      <c r="LOE24" s="1882"/>
      <c r="LOF24" s="1882"/>
      <c r="LOH24" s="1887"/>
      <c r="LOI24" s="1888"/>
      <c r="LOJ24" s="1882"/>
      <c r="LOK24" s="1882"/>
      <c r="LOL24" s="1882"/>
      <c r="LON24" s="1887"/>
      <c r="LOO24" s="1888"/>
      <c r="LOP24" s="1882"/>
      <c r="LOQ24" s="1882"/>
      <c r="LOR24" s="1882"/>
      <c r="LOT24" s="1887"/>
      <c r="LOU24" s="1888"/>
      <c r="LOV24" s="1882"/>
      <c r="LOW24" s="1882"/>
      <c r="LOX24" s="1882"/>
      <c r="LOZ24" s="1887"/>
      <c r="LPA24" s="1888"/>
      <c r="LPB24" s="1882"/>
      <c r="LPC24" s="1882"/>
      <c r="LPD24" s="1882"/>
      <c r="LPF24" s="1887"/>
      <c r="LPG24" s="1888"/>
      <c r="LPH24" s="1882"/>
      <c r="LPI24" s="1882"/>
      <c r="LPJ24" s="1882"/>
      <c r="LPL24" s="1887"/>
      <c r="LPM24" s="1888"/>
      <c r="LPN24" s="1882"/>
      <c r="LPO24" s="1882"/>
      <c r="LPP24" s="1882"/>
      <c r="LPR24" s="1887"/>
      <c r="LPS24" s="1888"/>
      <c r="LPT24" s="1882"/>
      <c r="LPU24" s="1882"/>
      <c r="LPV24" s="1882"/>
      <c r="LPX24" s="1887"/>
      <c r="LPY24" s="1888"/>
      <c r="LPZ24" s="1882"/>
      <c r="LQA24" s="1882"/>
      <c r="LQB24" s="1882"/>
      <c r="LQD24" s="1887"/>
      <c r="LQE24" s="1888"/>
      <c r="LQF24" s="1882"/>
      <c r="LQG24" s="1882"/>
      <c r="LQH24" s="1882"/>
      <c r="LQJ24" s="1887"/>
      <c r="LQK24" s="1888"/>
      <c r="LQL24" s="1882"/>
      <c r="LQM24" s="1882"/>
      <c r="LQN24" s="1882"/>
      <c r="LQP24" s="1887"/>
      <c r="LQQ24" s="1888"/>
      <c r="LQR24" s="1882"/>
      <c r="LQS24" s="1882"/>
      <c r="LQT24" s="1882"/>
      <c r="LQV24" s="1887"/>
      <c r="LQW24" s="1888"/>
      <c r="LQX24" s="1882"/>
      <c r="LQY24" s="1882"/>
      <c r="LQZ24" s="1882"/>
      <c r="LRB24" s="1887"/>
      <c r="LRC24" s="1888"/>
      <c r="LRD24" s="1882"/>
      <c r="LRE24" s="1882"/>
      <c r="LRF24" s="1882"/>
      <c r="LRH24" s="1887"/>
      <c r="LRI24" s="1888"/>
      <c r="LRJ24" s="1882"/>
      <c r="LRK24" s="1882"/>
      <c r="LRL24" s="1882"/>
      <c r="LRN24" s="1887"/>
      <c r="LRO24" s="1888"/>
      <c r="LRP24" s="1882"/>
      <c r="LRQ24" s="1882"/>
      <c r="LRR24" s="1882"/>
      <c r="LRT24" s="1887"/>
      <c r="LRU24" s="1888"/>
      <c r="LRV24" s="1882"/>
      <c r="LRW24" s="1882"/>
      <c r="LRX24" s="1882"/>
      <c r="LRZ24" s="1887"/>
      <c r="LSA24" s="1888"/>
      <c r="LSB24" s="1882"/>
      <c r="LSC24" s="1882"/>
      <c r="LSD24" s="1882"/>
      <c r="LSF24" s="1887"/>
      <c r="LSG24" s="1888"/>
      <c r="LSH24" s="1882"/>
      <c r="LSI24" s="1882"/>
      <c r="LSJ24" s="1882"/>
      <c r="LSL24" s="1887"/>
      <c r="LSM24" s="1888"/>
      <c r="LSN24" s="1882"/>
      <c r="LSO24" s="1882"/>
      <c r="LSP24" s="1882"/>
      <c r="LSR24" s="1887"/>
      <c r="LSS24" s="1888"/>
      <c r="LST24" s="1882"/>
      <c r="LSU24" s="1882"/>
      <c r="LSV24" s="1882"/>
      <c r="LSX24" s="1887"/>
      <c r="LSY24" s="1888"/>
      <c r="LSZ24" s="1882"/>
      <c r="LTA24" s="1882"/>
      <c r="LTB24" s="1882"/>
      <c r="LTD24" s="1887"/>
      <c r="LTE24" s="1888"/>
      <c r="LTF24" s="1882"/>
      <c r="LTG24" s="1882"/>
      <c r="LTH24" s="1882"/>
      <c r="LTJ24" s="1887"/>
      <c r="LTK24" s="1888"/>
      <c r="LTL24" s="1882"/>
      <c r="LTM24" s="1882"/>
      <c r="LTN24" s="1882"/>
      <c r="LTP24" s="1887"/>
      <c r="LTQ24" s="1888"/>
      <c r="LTR24" s="1882"/>
      <c r="LTS24" s="1882"/>
      <c r="LTT24" s="1882"/>
      <c r="LTV24" s="1887"/>
      <c r="LTW24" s="1888"/>
      <c r="LTX24" s="1882"/>
      <c r="LTY24" s="1882"/>
      <c r="LTZ24" s="1882"/>
      <c r="LUB24" s="1887"/>
      <c r="LUC24" s="1888"/>
      <c r="LUD24" s="1882"/>
      <c r="LUE24" s="1882"/>
      <c r="LUF24" s="1882"/>
      <c r="LUH24" s="1887"/>
      <c r="LUI24" s="1888"/>
      <c r="LUJ24" s="1882"/>
      <c r="LUK24" s="1882"/>
      <c r="LUL24" s="1882"/>
      <c r="LUN24" s="1887"/>
      <c r="LUO24" s="1888"/>
      <c r="LUP24" s="1882"/>
      <c r="LUQ24" s="1882"/>
      <c r="LUR24" s="1882"/>
      <c r="LUT24" s="1887"/>
      <c r="LUU24" s="1888"/>
      <c r="LUV24" s="1882"/>
      <c r="LUW24" s="1882"/>
      <c r="LUX24" s="1882"/>
      <c r="LUZ24" s="1887"/>
      <c r="LVA24" s="1888"/>
      <c r="LVB24" s="1882"/>
      <c r="LVC24" s="1882"/>
      <c r="LVD24" s="1882"/>
      <c r="LVF24" s="1887"/>
      <c r="LVG24" s="1888"/>
      <c r="LVH24" s="1882"/>
      <c r="LVI24" s="1882"/>
      <c r="LVJ24" s="1882"/>
      <c r="LVL24" s="1887"/>
      <c r="LVM24" s="1888"/>
      <c r="LVN24" s="1882"/>
      <c r="LVO24" s="1882"/>
      <c r="LVP24" s="1882"/>
      <c r="LVR24" s="1887"/>
      <c r="LVS24" s="1888"/>
      <c r="LVT24" s="1882"/>
      <c r="LVU24" s="1882"/>
      <c r="LVV24" s="1882"/>
      <c r="LVX24" s="1887"/>
      <c r="LVY24" s="1888"/>
      <c r="LVZ24" s="1882"/>
      <c r="LWA24" s="1882"/>
      <c r="LWB24" s="1882"/>
      <c r="LWD24" s="1887"/>
      <c r="LWE24" s="1888"/>
      <c r="LWF24" s="1882"/>
      <c r="LWG24" s="1882"/>
      <c r="LWH24" s="1882"/>
      <c r="LWJ24" s="1887"/>
      <c r="LWK24" s="1888"/>
      <c r="LWL24" s="1882"/>
      <c r="LWM24" s="1882"/>
      <c r="LWN24" s="1882"/>
      <c r="LWP24" s="1887"/>
      <c r="LWQ24" s="1888"/>
      <c r="LWR24" s="1882"/>
      <c r="LWS24" s="1882"/>
      <c r="LWT24" s="1882"/>
      <c r="LWV24" s="1887"/>
      <c r="LWW24" s="1888"/>
      <c r="LWX24" s="1882"/>
      <c r="LWY24" s="1882"/>
      <c r="LWZ24" s="1882"/>
      <c r="LXB24" s="1887"/>
      <c r="LXC24" s="1888"/>
      <c r="LXD24" s="1882"/>
      <c r="LXE24" s="1882"/>
      <c r="LXF24" s="1882"/>
      <c r="LXH24" s="1887"/>
      <c r="LXI24" s="1888"/>
      <c r="LXJ24" s="1882"/>
      <c r="LXK24" s="1882"/>
      <c r="LXL24" s="1882"/>
      <c r="LXN24" s="1887"/>
      <c r="LXO24" s="1888"/>
      <c r="LXP24" s="1882"/>
      <c r="LXQ24" s="1882"/>
      <c r="LXR24" s="1882"/>
      <c r="LXT24" s="1887"/>
      <c r="LXU24" s="1888"/>
      <c r="LXV24" s="1882"/>
      <c r="LXW24" s="1882"/>
      <c r="LXX24" s="1882"/>
      <c r="LXZ24" s="1887"/>
      <c r="LYA24" s="1888"/>
      <c r="LYB24" s="1882"/>
      <c r="LYC24" s="1882"/>
      <c r="LYD24" s="1882"/>
      <c r="LYF24" s="1887"/>
      <c r="LYG24" s="1888"/>
      <c r="LYH24" s="1882"/>
      <c r="LYI24" s="1882"/>
      <c r="LYJ24" s="1882"/>
      <c r="LYL24" s="1887"/>
      <c r="LYM24" s="1888"/>
      <c r="LYN24" s="1882"/>
      <c r="LYO24" s="1882"/>
      <c r="LYP24" s="1882"/>
      <c r="LYR24" s="1887"/>
      <c r="LYS24" s="1888"/>
      <c r="LYT24" s="1882"/>
      <c r="LYU24" s="1882"/>
      <c r="LYV24" s="1882"/>
      <c r="LYX24" s="1887"/>
      <c r="LYY24" s="1888"/>
      <c r="LYZ24" s="1882"/>
      <c r="LZA24" s="1882"/>
      <c r="LZB24" s="1882"/>
      <c r="LZD24" s="1887"/>
      <c r="LZE24" s="1888"/>
      <c r="LZF24" s="1882"/>
      <c r="LZG24" s="1882"/>
      <c r="LZH24" s="1882"/>
      <c r="LZJ24" s="1887"/>
      <c r="LZK24" s="1888"/>
      <c r="LZL24" s="1882"/>
      <c r="LZM24" s="1882"/>
      <c r="LZN24" s="1882"/>
      <c r="LZP24" s="1887"/>
      <c r="LZQ24" s="1888"/>
      <c r="LZR24" s="1882"/>
      <c r="LZS24" s="1882"/>
      <c r="LZT24" s="1882"/>
      <c r="LZV24" s="1887"/>
      <c r="LZW24" s="1888"/>
      <c r="LZX24" s="1882"/>
      <c r="LZY24" s="1882"/>
      <c r="LZZ24" s="1882"/>
      <c r="MAB24" s="1887"/>
      <c r="MAC24" s="1888"/>
      <c r="MAD24" s="1882"/>
      <c r="MAE24" s="1882"/>
      <c r="MAF24" s="1882"/>
      <c r="MAH24" s="1887"/>
      <c r="MAI24" s="1888"/>
      <c r="MAJ24" s="1882"/>
      <c r="MAK24" s="1882"/>
      <c r="MAL24" s="1882"/>
      <c r="MAN24" s="1887"/>
      <c r="MAO24" s="1888"/>
      <c r="MAP24" s="1882"/>
      <c r="MAQ24" s="1882"/>
      <c r="MAR24" s="1882"/>
      <c r="MAT24" s="1887"/>
      <c r="MAU24" s="1888"/>
      <c r="MAV24" s="1882"/>
      <c r="MAW24" s="1882"/>
      <c r="MAX24" s="1882"/>
      <c r="MAZ24" s="1887"/>
      <c r="MBA24" s="1888"/>
      <c r="MBB24" s="1882"/>
      <c r="MBC24" s="1882"/>
      <c r="MBD24" s="1882"/>
      <c r="MBF24" s="1887"/>
      <c r="MBG24" s="1888"/>
      <c r="MBH24" s="1882"/>
      <c r="MBI24" s="1882"/>
      <c r="MBJ24" s="1882"/>
      <c r="MBL24" s="1887"/>
      <c r="MBM24" s="1888"/>
      <c r="MBN24" s="1882"/>
      <c r="MBO24" s="1882"/>
      <c r="MBP24" s="1882"/>
      <c r="MBR24" s="1887"/>
      <c r="MBS24" s="1888"/>
      <c r="MBT24" s="1882"/>
      <c r="MBU24" s="1882"/>
      <c r="MBV24" s="1882"/>
      <c r="MBX24" s="1887"/>
      <c r="MBY24" s="1888"/>
      <c r="MBZ24" s="1882"/>
      <c r="MCA24" s="1882"/>
      <c r="MCB24" s="1882"/>
      <c r="MCD24" s="1887"/>
      <c r="MCE24" s="1888"/>
      <c r="MCF24" s="1882"/>
      <c r="MCG24" s="1882"/>
      <c r="MCH24" s="1882"/>
      <c r="MCJ24" s="1887"/>
      <c r="MCK24" s="1888"/>
      <c r="MCL24" s="1882"/>
      <c r="MCM24" s="1882"/>
      <c r="MCN24" s="1882"/>
      <c r="MCP24" s="1887"/>
      <c r="MCQ24" s="1888"/>
      <c r="MCR24" s="1882"/>
      <c r="MCS24" s="1882"/>
      <c r="MCT24" s="1882"/>
      <c r="MCV24" s="1887"/>
      <c r="MCW24" s="1888"/>
      <c r="MCX24" s="1882"/>
      <c r="MCY24" s="1882"/>
      <c r="MCZ24" s="1882"/>
      <c r="MDB24" s="1887"/>
      <c r="MDC24" s="1888"/>
      <c r="MDD24" s="1882"/>
      <c r="MDE24" s="1882"/>
      <c r="MDF24" s="1882"/>
      <c r="MDH24" s="1887"/>
      <c r="MDI24" s="1888"/>
      <c r="MDJ24" s="1882"/>
      <c r="MDK24" s="1882"/>
      <c r="MDL24" s="1882"/>
      <c r="MDN24" s="1887"/>
      <c r="MDO24" s="1888"/>
      <c r="MDP24" s="1882"/>
      <c r="MDQ24" s="1882"/>
      <c r="MDR24" s="1882"/>
      <c r="MDT24" s="1887"/>
      <c r="MDU24" s="1888"/>
      <c r="MDV24" s="1882"/>
      <c r="MDW24" s="1882"/>
      <c r="MDX24" s="1882"/>
      <c r="MDZ24" s="1887"/>
      <c r="MEA24" s="1888"/>
      <c r="MEB24" s="1882"/>
      <c r="MEC24" s="1882"/>
      <c r="MED24" s="1882"/>
      <c r="MEF24" s="1887"/>
      <c r="MEG24" s="1888"/>
      <c r="MEH24" s="1882"/>
      <c r="MEI24" s="1882"/>
      <c r="MEJ24" s="1882"/>
      <c r="MEL24" s="1887"/>
      <c r="MEM24" s="1888"/>
      <c r="MEN24" s="1882"/>
      <c r="MEO24" s="1882"/>
      <c r="MEP24" s="1882"/>
      <c r="MER24" s="1887"/>
      <c r="MES24" s="1888"/>
      <c r="MET24" s="1882"/>
      <c r="MEU24" s="1882"/>
      <c r="MEV24" s="1882"/>
      <c r="MEX24" s="1887"/>
      <c r="MEY24" s="1888"/>
      <c r="MEZ24" s="1882"/>
      <c r="MFA24" s="1882"/>
      <c r="MFB24" s="1882"/>
      <c r="MFD24" s="1887"/>
      <c r="MFE24" s="1888"/>
      <c r="MFF24" s="1882"/>
      <c r="MFG24" s="1882"/>
      <c r="MFH24" s="1882"/>
      <c r="MFJ24" s="1887"/>
      <c r="MFK24" s="1888"/>
      <c r="MFL24" s="1882"/>
      <c r="MFM24" s="1882"/>
      <c r="MFN24" s="1882"/>
      <c r="MFP24" s="1887"/>
      <c r="MFQ24" s="1888"/>
      <c r="MFR24" s="1882"/>
      <c r="MFS24" s="1882"/>
      <c r="MFT24" s="1882"/>
      <c r="MFV24" s="1887"/>
      <c r="MFW24" s="1888"/>
      <c r="MFX24" s="1882"/>
      <c r="MFY24" s="1882"/>
      <c r="MFZ24" s="1882"/>
      <c r="MGB24" s="1887"/>
      <c r="MGC24" s="1888"/>
      <c r="MGD24" s="1882"/>
      <c r="MGE24" s="1882"/>
      <c r="MGF24" s="1882"/>
      <c r="MGH24" s="1887"/>
      <c r="MGI24" s="1888"/>
      <c r="MGJ24" s="1882"/>
      <c r="MGK24" s="1882"/>
      <c r="MGL24" s="1882"/>
      <c r="MGN24" s="1887"/>
      <c r="MGO24" s="1888"/>
      <c r="MGP24" s="1882"/>
      <c r="MGQ24" s="1882"/>
      <c r="MGR24" s="1882"/>
      <c r="MGT24" s="1887"/>
      <c r="MGU24" s="1888"/>
      <c r="MGV24" s="1882"/>
      <c r="MGW24" s="1882"/>
      <c r="MGX24" s="1882"/>
      <c r="MGZ24" s="1887"/>
      <c r="MHA24" s="1888"/>
      <c r="MHB24" s="1882"/>
      <c r="MHC24" s="1882"/>
      <c r="MHD24" s="1882"/>
      <c r="MHF24" s="1887"/>
      <c r="MHG24" s="1888"/>
      <c r="MHH24" s="1882"/>
      <c r="MHI24" s="1882"/>
      <c r="MHJ24" s="1882"/>
      <c r="MHL24" s="1887"/>
      <c r="MHM24" s="1888"/>
      <c r="MHN24" s="1882"/>
      <c r="MHO24" s="1882"/>
      <c r="MHP24" s="1882"/>
      <c r="MHR24" s="1887"/>
      <c r="MHS24" s="1888"/>
      <c r="MHT24" s="1882"/>
      <c r="MHU24" s="1882"/>
      <c r="MHV24" s="1882"/>
      <c r="MHX24" s="1887"/>
      <c r="MHY24" s="1888"/>
      <c r="MHZ24" s="1882"/>
      <c r="MIA24" s="1882"/>
      <c r="MIB24" s="1882"/>
      <c r="MID24" s="1887"/>
      <c r="MIE24" s="1888"/>
      <c r="MIF24" s="1882"/>
      <c r="MIG24" s="1882"/>
      <c r="MIH24" s="1882"/>
      <c r="MIJ24" s="1887"/>
      <c r="MIK24" s="1888"/>
      <c r="MIL24" s="1882"/>
      <c r="MIM24" s="1882"/>
      <c r="MIN24" s="1882"/>
      <c r="MIP24" s="1887"/>
      <c r="MIQ24" s="1888"/>
      <c r="MIR24" s="1882"/>
      <c r="MIS24" s="1882"/>
      <c r="MIT24" s="1882"/>
      <c r="MIV24" s="1887"/>
      <c r="MIW24" s="1888"/>
      <c r="MIX24" s="1882"/>
      <c r="MIY24" s="1882"/>
      <c r="MIZ24" s="1882"/>
      <c r="MJB24" s="1887"/>
      <c r="MJC24" s="1888"/>
      <c r="MJD24" s="1882"/>
      <c r="MJE24" s="1882"/>
      <c r="MJF24" s="1882"/>
      <c r="MJH24" s="1887"/>
      <c r="MJI24" s="1888"/>
      <c r="MJJ24" s="1882"/>
      <c r="MJK24" s="1882"/>
      <c r="MJL24" s="1882"/>
      <c r="MJN24" s="1887"/>
      <c r="MJO24" s="1888"/>
      <c r="MJP24" s="1882"/>
      <c r="MJQ24" s="1882"/>
      <c r="MJR24" s="1882"/>
      <c r="MJT24" s="1887"/>
      <c r="MJU24" s="1888"/>
      <c r="MJV24" s="1882"/>
      <c r="MJW24" s="1882"/>
      <c r="MJX24" s="1882"/>
      <c r="MJZ24" s="1887"/>
      <c r="MKA24" s="1888"/>
      <c r="MKB24" s="1882"/>
      <c r="MKC24" s="1882"/>
      <c r="MKD24" s="1882"/>
      <c r="MKF24" s="1887"/>
      <c r="MKG24" s="1888"/>
      <c r="MKH24" s="1882"/>
      <c r="MKI24" s="1882"/>
      <c r="MKJ24" s="1882"/>
      <c r="MKL24" s="1887"/>
      <c r="MKM24" s="1888"/>
      <c r="MKN24" s="1882"/>
      <c r="MKO24" s="1882"/>
      <c r="MKP24" s="1882"/>
      <c r="MKR24" s="1887"/>
      <c r="MKS24" s="1888"/>
      <c r="MKT24" s="1882"/>
      <c r="MKU24" s="1882"/>
      <c r="MKV24" s="1882"/>
      <c r="MKX24" s="1887"/>
      <c r="MKY24" s="1888"/>
      <c r="MKZ24" s="1882"/>
      <c r="MLA24" s="1882"/>
      <c r="MLB24" s="1882"/>
      <c r="MLD24" s="1887"/>
      <c r="MLE24" s="1888"/>
      <c r="MLF24" s="1882"/>
      <c r="MLG24" s="1882"/>
      <c r="MLH24" s="1882"/>
      <c r="MLJ24" s="1887"/>
      <c r="MLK24" s="1888"/>
      <c r="MLL24" s="1882"/>
      <c r="MLM24" s="1882"/>
      <c r="MLN24" s="1882"/>
      <c r="MLP24" s="1887"/>
      <c r="MLQ24" s="1888"/>
      <c r="MLR24" s="1882"/>
      <c r="MLS24" s="1882"/>
      <c r="MLT24" s="1882"/>
      <c r="MLV24" s="1887"/>
      <c r="MLW24" s="1888"/>
      <c r="MLX24" s="1882"/>
      <c r="MLY24" s="1882"/>
      <c r="MLZ24" s="1882"/>
      <c r="MMB24" s="1887"/>
      <c r="MMC24" s="1888"/>
      <c r="MMD24" s="1882"/>
      <c r="MME24" s="1882"/>
      <c r="MMF24" s="1882"/>
      <c r="MMH24" s="1887"/>
      <c r="MMI24" s="1888"/>
      <c r="MMJ24" s="1882"/>
      <c r="MMK24" s="1882"/>
      <c r="MML24" s="1882"/>
      <c r="MMN24" s="1887"/>
      <c r="MMO24" s="1888"/>
      <c r="MMP24" s="1882"/>
      <c r="MMQ24" s="1882"/>
      <c r="MMR24" s="1882"/>
      <c r="MMT24" s="1887"/>
      <c r="MMU24" s="1888"/>
      <c r="MMV24" s="1882"/>
      <c r="MMW24" s="1882"/>
      <c r="MMX24" s="1882"/>
      <c r="MMZ24" s="1887"/>
      <c r="MNA24" s="1888"/>
      <c r="MNB24" s="1882"/>
      <c r="MNC24" s="1882"/>
      <c r="MND24" s="1882"/>
      <c r="MNF24" s="1887"/>
      <c r="MNG24" s="1888"/>
      <c r="MNH24" s="1882"/>
      <c r="MNI24" s="1882"/>
      <c r="MNJ24" s="1882"/>
      <c r="MNL24" s="1887"/>
      <c r="MNM24" s="1888"/>
      <c r="MNN24" s="1882"/>
      <c r="MNO24" s="1882"/>
      <c r="MNP24" s="1882"/>
      <c r="MNR24" s="1887"/>
      <c r="MNS24" s="1888"/>
      <c r="MNT24" s="1882"/>
      <c r="MNU24" s="1882"/>
      <c r="MNV24" s="1882"/>
      <c r="MNX24" s="1887"/>
      <c r="MNY24" s="1888"/>
      <c r="MNZ24" s="1882"/>
      <c r="MOA24" s="1882"/>
      <c r="MOB24" s="1882"/>
      <c r="MOD24" s="1887"/>
      <c r="MOE24" s="1888"/>
      <c r="MOF24" s="1882"/>
      <c r="MOG24" s="1882"/>
      <c r="MOH24" s="1882"/>
      <c r="MOJ24" s="1887"/>
      <c r="MOK24" s="1888"/>
      <c r="MOL24" s="1882"/>
      <c r="MOM24" s="1882"/>
      <c r="MON24" s="1882"/>
      <c r="MOP24" s="1887"/>
      <c r="MOQ24" s="1888"/>
      <c r="MOR24" s="1882"/>
      <c r="MOS24" s="1882"/>
      <c r="MOT24" s="1882"/>
      <c r="MOV24" s="1887"/>
      <c r="MOW24" s="1888"/>
      <c r="MOX24" s="1882"/>
      <c r="MOY24" s="1882"/>
      <c r="MOZ24" s="1882"/>
      <c r="MPB24" s="1887"/>
      <c r="MPC24" s="1888"/>
      <c r="MPD24" s="1882"/>
      <c r="MPE24" s="1882"/>
      <c r="MPF24" s="1882"/>
      <c r="MPH24" s="1887"/>
      <c r="MPI24" s="1888"/>
      <c r="MPJ24" s="1882"/>
      <c r="MPK24" s="1882"/>
      <c r="MPL24" s="1882"/>
      <c r="MPN24" s="1887"/>
      <c r="MPO24" s="1888"/>
      <c r="MPP24" s="1882"/>
      <c r="MPQ24" s="1882"/>
      <c r="MPR24" s="1882"/>
      <c r="MPT24" s="1887"/>
      <c r="MPU24" s="1888"/>
      <c r="MPV24" s="1882"/>
      <c r="MPW24" s="1882"/>
      <c r="MPX24" s="1882"/>
      <c r="MPZ24" s="1887"/>
      <c r="MQA24" s="1888"/>
      <c r="MQB24" s="1882"/>
      <c r="MQC24" s="1882"/>
      <c r="MQD24" s="1882"/>
      <c r="MQF24" s="1887"/>
      <c r="MQG24" s="1888"/>
      <c r="MQH24" s="1882"/>
      <c r="MQI24" s="1882"/>
      <c r="MQJ24" s="1882"/>
      <c r="MQL24" s="1887"/>
      <c r="MQM24" s="1888"/>
      <c r="MQN24" s="1882"/>
      <c r="MQO24" s="1882"/>
      <c r="MQP24" s="1882"/>
      <c r="MQR24" s="1887"/>
      <c r="MQS24" s="1888"/>
      <c r="MQT24" s="1882"/>
      <c r="MQU24" s="1882"/>
      <c r="MQV24" s="1882"/>
      <c r="MQX24" s="1887"/>
      <c r="MQY24" s="1888"/>
      <c r="MQZ24" s="1882"/>
      <c r="MRA24" s="1882"/>
      <c r="MRB24" s="1882"/>
      <c r="MRD24" s="1887"/>
      <c r="MRE24" s="1888"/>
      <c r="MRF24" s="1882"/>
      <c r="MRG24" s="1882"/>
      <c r="MRH24" s="1882"/>
      <c r="MRJ24" s="1887"/>
      <c r="MRK24" s="1888"/>
      <c r="MRL24" s="1882"/>
      <c r="MRM24" s="1882"/>
      <c r="MRN24" s="1882"/>
      <c r="MRP24" s="1887"/>
      <c r="MRQ24" s="1888"/>
      <c r="MRR24" s="1882"/>
      <c r="MRS24" s="1882"/>
      <c r="MRT24" s="1882"/>
      <c r="MRV24" s="1887"/>
      <c r="MRW24" s="1888"/>
      <c r="MRX24" s="1882"/>
      <c r="MRY24" s="1882"/>
      <c r="MRZ24" s="1882"/>
      <c r="MSB24" s="1887"/>
      <c r="MSC24" s="1888"/>
      <c r="MSD24" s="1882"/>
      <c r="MSE24" s="1882"/>
      <c r="MSF24" s="1882"/>
      <c r="MSH24" s="1887"/>
      <c r="MSI24" s="1888"/>
      <c r="MSJ24" s="1882"/>
      <c r="MSK24" s="1882"/>
      <c r="MSL24" s="1882"/>
      <c r="MSN24" s="1887"/>
      <c r="MSO24" s="1888"/>
      <c r="MSP24" s="1882"/>
      <c r="MSQ24" s="1882"/>
      <c r="MSR24" s="1882"/>
      <c r="MST24" s="1887"/>
      <c r="MSU24" s="1888"/>
      <c r="MSV24" s="1882"/>
      <c r="MSW24" s="1882"/>
      <c r="MSX24" s="1882"/>
      <c r="MSZ24" s="1887"/>
      <c r="MTA24" s="1888"/>
      <c r="MTB24" s="1882"/>
      <c r="MTC24" s="1882"/>
      <c r="MTD24" s="1882"/>
      <c r="MTF24" s="1887"/>
      <c r="MTG24" s="1888"/>
      <c r="MTH24" s="1882"/>
      <c r="MTI24" s="1882"/>
      <c r="MTJ24" s="1882"/>
      <c r="MTL24" s="1887"/>
      <c r="MTM24" s="1888"/>
      <c r="MTN24" s="1882"/>
      <c r="MTO24" s="1882"/>
      <c r="MTP24" s="1882"/>
      <c r="MTR24" s="1887"/>
      <c r="MTS24" s="1888"/>
      <c r="MTT24" s="1882"/>
      <c r="MTU24" s="1882"/>
      <c r="MTV24" s="1882"/>
      <c r="MTX24" s="1887"/>
      <c r="MTY24" s="1888"/>
      <c r="MTZ24" s="1882"/>
      <c r="MUA24" s="1882"/>
      <c r="MUB24" s="1882"/>
      <c r="MUD24" s="1887"/>
      <c r="MUE24" s="1888"/>
      <c r="MUF24" s="1882"/>
      <c r="MUG24" s="1882"/>
      <c r="MUH24" s="1882"/>
      <c r="MUJ24" s="1887"/>
      <c r="MUK24" s="1888"/>
      <c r="MUL24" s="1882"/>
      <c r="MUM24" s="1882"/>
      <c r="MUN24" s="1882"/>
      <c r="MUP24" s="1887"/>
      <c r="MUQ24" s="1888"/>
      <c r="MUR24" s="1882"/>
      <c r="MUS24" s="1882"/>
      <c r="MUT24" s="1882"/>
      <c r="MUV24" s="1887"/>
      <c r="MUW24" s="1888"/>
      <c r="MUX24" s="1882"/>
      <c r="MUY24" s="1882"/>
      <c r="MUZ24" s="1882"/>
      <c r="MVB24" s="1887"/>
      <c r="MVC24" s="1888"/>
      <c r="MVD24" s="1882"/>
      <c r="MVE24" s="1882"/>
      <c r="MVF24" s="1882"/>
      <c r="MVH24" s="1887"/>
      <c r="MVI24" s="1888"/>
      <c r="MVJ24" s="1882"/>
      <c r="MVK24" s="1882"/>
      <c r="MVL24" s="1882"/>
      <c r="MVN24" s="1887"/>
      <c r="MVO24" s="1888"/>
      <c r="MVP24" s="1882"/>
      <c r="MVQ24" s="1882"/>
      <c r="MVR24" s="1882"/>
      <c r="MVT24" s="1887"/>
      <c r="MVU24" s="1888"/>
      <c r="MVV24" s="1882"/>
      <c r="MVW24" s="1882"/>
      <c r="MVX24" s="1882"/>
      <c r="MVZ24" s="1887"/>
      <c r="MWA24" s="1888"/>
      <c r="MWB24" s="1882"/>
      <c r="MWC24" s="1882"/>
      <c r="MWD24" s="1882"/>
      <c r="MWF24" s="1887"/>
      <c r="MWG24" s="1888"/>
      <c r="MWH24" s="1882"/>
      <c r="MWI24" s="1882"/>
      <c r="MWJ24" s="1882"/>
      <c r="MWL24" s="1887"/>
      <c r="MWM24" s="1888"/>
      <c r="MWN24" s="1882"/>
      <c r="MWO24" s="1882"/>
      <c r="MWP24" s="1882"/>
      <c r="MWR24" s="1887"/>
      <c r="MWS24" s="1888"/>
      <c r="MWT24" s="1882"/>
      <c r="MWU24" s="1882"/>
      <c r="MWV24" s="1882"/>
      <c r="MWX24" s="1887"/>
      <c r="MWY24" s="1888"/>
      <c r="MWZ24" s="1882"/>
      <c r="MXA24" s="1882"/>
      <c r="MXB24" s="1882"/>
      <c r="MXD24" s="1887"/>
      <c r="MXE24" s="1888"/>
      <c r="MXF24" s="1882"/>
      <c r="MXG24" s="1882"/>
      <c r="MXH24" s="1882"/>
      <c r="MXJ24" s="1887"/>
      <c r="MXK24" s="1888"/>
      <c r="MXL24" s="1882"/>
      <c r="MXM24" s="1882"/>
      <c r="MXN24" s="1882"/>
      <c r="MXP24" s="1887"/>
      <c r="MXQ24" s="1888"/>
      <c r="MXR24" s="1882"/>
      <c r="MXS24" s="1882"/>
      <c r="MXT24" s="1882"/>
      <c r="MXV24" s="1887"/>
      <c r="MXW24" s="1888"/>
      <c r="MXX24" s="1882"/>
      <c r="MXY24" s="1882"/>
      <c r="MXZ24" s="1882"/>
      <c r="MYB24" s="1887"/>
      <c r="MYC24" s="1888"/>
      <c r="MYD24" s="1882"/>
      <c r="MYE24" s="1882"/>
      <c r="MYF24" s="1882"/>
      <c r="MYH24" s="1887"/>
      <c r="MYI24" s="1888"/>
      <c r="MYJ24" s="1882"/>
      <c r="MYK24" s="1882"/>
      <c r="MYL24" s="1882"/>
      <c r="MYN24" s="1887"/>
      <c r="MYO24" s="1888"/>
      <c r="MYP24" s="1882"/>
      <c r="MYQ24" s="1882"/>
      <c r="MYR24" s="1882"/>
      <c r="MYT24" s="1887"/>
      <c r="MYU24" s="1888"/>
      <c r="MYV24" s="1882"/>
      <c r="MYW24" s="1882"/>
      <c r="MYX24" s="1882"/>
      <c r="MYZ24" s="1887"/>
      <c r="MZA24" s="1888"/>
      <c r="MZB24" s="1882"/>
      <c r="MZC24" s="1882"/>
      <c r="MZD24" s="1882"/>
      <c r="MZF24" s="1887"/>
      <c r="MZG24" s="1888"/>
      <c r="MZH24" s="1882"/>
      <c r="MZI24" s="1882"/>
      <c r="MZJ24" s="1882"/>
      <c r="MZL24" s="1887"/>
      <c r="MZM24" s="1888"/>
      <c r="MZN24" s="1882"/>
      <c r="MZO24" s="1882"/>
      <c r="MZP24" s="1882"/>
      <c r="MZR24" s="1887"/>
      <c r="MZS24" s="1888"/>
      <c r="MZT24" s="1882"/>
      <c r="MZU24" s="1882"/>
      <c r="MZV24" s="1882"/>
      <c r="MZX24" s="1887"/>
      <c r="MZY24" s="1888"/>
      <c r="MZZ24" s="1882"/>
      <c r="NAA24" s="1882"/>
      <c r="NAB24" s="1882"/>
      <c r="NAD24" s="1887"/>
      <c r="NAE24" s="1888"/>
      <c r="NAF24" s="1882"/>
      <c r="NAG24" s="1882"/>
      <c r="NAH24" s="1882"/>
      <c r="NAJ24" s="1887"/>
      <c r="NAK24" s="1888"/>
      <c r="NAL24" s="1882"/>
      <c r="NAM24" s="1882"/>
      <c r="NAN24" s="1882"/>
      <c r="NAP24" s="1887"/>
      <c r="NAQ24" s="1888"/>
      <c r="NAR24" s="1882"/>
      <c r="NAS24" s="1882"/>
      <c r="NAT24" s="1882"/>
      <c r="NAV24" s="1887"/>
      <c r="NAW24" s="1888"/>
      <c r="NAX24" s="1882"/>
      <c r="NAY24" s="1882"/>
      <c r="NAZ24" s="1882"/>
      <c r="NBB24" s="1887"/>
      <c r="NBC24" s="1888"/>
      <c r="NBD24" s="1882"/>
      <c r="NBE24" s="1882"/>
      <c r="NBF24" s="1882"/>
      <c r="NBH24" s="1887"/>
      <c r="NBI24" s="1888"/>
      <c r="NBJ24" s="1882"/>
      <c r="NBK24" s="1882"/>
      <c r="NBL24" s="1882"/>
      <c r="NBN24" s="1887"/>
      <c r="NBO24" s="1888"/>
      <c r="NBP24" s="1882"/>
      <c r="NBQ24" s="1882"/>
      <c r="NBR24" s="1882"/>
      <c r="NBT24" s="1887"/>
      <c r="NBU24" s="1888"/>
      <c r="NBV24" s="1882"/>
      <c r="NBW24" s="1882"/>
      <c r="NBX24" s="1882"/>
      <c r="NBZ24" s="1887"/>
      <c r="NCA24" s="1888"/>
      <c r="NCB24" s="1882"/>
      <c r="NCC24" s="1882"/>
      <c r="NCD24" s="1882"/>
      <c r="NCF24" s="1887"/>
      <c r="NCG24" s="1888"/>
      <c r="NCH24" s="1882"/>
      <c r="NCI24" s="1882"/>
      <c r="NCJ24" s="1882"/>
      <c r="NCL24" s="1887"/>
      <c r="NCM24" s="1888"/>
      <c r="NCN24" s="1882"/>
      <c r="NCO24" s="1882"/>
      <c r="NCP24" s="1882"/>
      <c r="NCR24" s="1887"/>
      <c r="NCS24" s="1888"/>
      <c r="NCT24" s="1882"/>
      <c r="NCU24" s="1882"/>
      <c r="NCV24" s="1882"/>
      <c r="NCX24" s="1887"/>
      <c r="NCY24" s="1888"/>
      <c r="NCZ24" s="1882"/>
      <c r="NDA24" s="1882"/>
      <c r="NDB24" s="1882"/>
      <c r="NDD24" s="1887"/>
      <c r="NDE24" s="1888"/>
      <c r="NDF24" s="1882"/>
      <c r="NDG24" s="1882"/>
      <c r="NDH24" s="1882"/>
      <c r="NDJ24" s="1887"/>
      <c r="NDK24" s="1888"/>
      <c r="NDL24" s="1882"/>
      <c r="NDM24" s="1882"/>
      <c r="NDN24" s="1882"/>
      <c r="NDP24" s="1887"/>
      <c r="NDQ24" s="1888"/>
      <c r="NDR24" s="1882"/>
      <c r="NDS24" s="1882"/>
      <c r="NDT24" s="1882"/>
      <c r="NDV24" s="1887"/>
      <c r="NDW24" s="1888"/>
      <c r="NDX24" s="1882"/>
      <c r="NDY24" s="1882"/>
      <c r="NDZ24" s="1882"/>
      <c r="NEB24" s="1887"/>
      <c r="NEC24" s="1888"/>
      <c r="NED24" s="1882"/>
      <c r="NEE24" s="1882"/>
      <c r="NEF24" s="1882"/>
      <c r="NEH24" s="1887"/>
      <c r="NEI24" s="1888"/>
      <c r="NEJ24" s="1882"/>
      <c r="NEK24" s="1882"/>
      <c r="NEL24" s="1882"/>
      <c r="NEN24" s="1887"/>
      <c r="NEO24" s="1888"/>
      <c r="NEP24" s="1882"/>
      <c r="NEQ24" s="1882"/>
      <c r="NER24" s="1882"/>
      <c r="NET24" s="1887"/>
      <c r="NEU24" s="1888"/>
      <c r="NEV24" s="1882"/>
      <c r="NEW24" s="1882"/>
      <c r="NEX24" s="1882"/>
      <c r="NEZ24" s="1887"/>
      <c r="NFA24" s="1888"/>
      <c r="NFB24" s="1882"/>
      <c r="NFC24" s="1882"/>
      <c r="NFD24" s="1882"/>
      <c r="NFF24" s="1887"/>
      <c r="NFG24" s="1888"/>
      <c r="NFH24" s="1882"/>
      <c r="NFI24" s="1882"/>
      <c r="NFJ24" s="1882"/>
      <c r="NFL24" s="1887"/>
      <c r="NFM24" s="1888"/>
      <c r="NFN24" s="1882"/>
      <c r="NFO24" s="1882"/>
      <c r="NFP24" s="1882"/>
      <c r="NFR24" s="1887"/>
      <c r="NFS24" s="1888"/>
      <c r="NFT24" s="1882"/>
      <c r="NFU24" s="1882"/>
      <c r="NFV24" s="1882"/>
      <c r="NFX24" s="1887"/>
      <c r="NFY24" s="1888"/>
      <c r="NFZ24" s="1882"/>
      <c r="NGA24" s="1882"/>
      <c r="NGB24" s="1882"/>
      <c r="NGD24" s="1887"/>
      <c r="NGE24" s="1888"/>
      <c r="NGF24" s="1882"/>
      <c r="NGG24" s="1882"/>
      <c r="NGH24" s="1882"/>
      <c r="NGJ24" s="1887"/>
      <c r="NGK24" s="1888"/>
      <c r="NGL24" s="1882"/>
      <c r="NGM24" s="1882"/>
      <c r="NGN24" s="1882"/>
      <c r="NGP24" s="1887"/>
      <c r="NGQ24" s="1888"/>
      <c r="NGR24" s="1882"/>
      <c r="NGS24" s="1882"/>
      <c r="NGT24" s="1882"/>
      <c r="NGV24" s="1887"/>
      <c r="NGW24" s="1888"/>
      <c r="NGX24" s="1882"/>
      <c r="NGY24" s="1882"/>
      <c r="NGZ24" s="1882"/>
      <c r="NHB24" s="1887"/>
      <c r="NHC24" s="1888"/>
      <c r="NHD24" s="1882"/>
      <c r="NHE24" s="1882"/>
      <c r="NHF24" s="1882"/>
      <c r="NHH24" s="1887"/>
      <c r="NHI24" s="1888"/>
      <c r="NHJ24" s="1882"/>
      <c r="NHK24" s="1882"/>
      <c r="NHL24" s="1882"/>
      <c r="NHN24" s="1887"/>
      <c r="NHO24" s="1888"/>
      <c r="NHP24" s="1882"/>
      <c r="NHQ24" s="1882"/>
      <c r="NHR24" s="1882"/>
      <c r="NHT24" s="1887"/>
      <c r="NHU24" s="1888"/>
      <c r="NHV24" s="1882"/>
      <c r="NHW24" s="1882"/>
      <c r="NHX24" s="1882"/>
      <c r="NHZ24" s="1887"/>
      <c r="NIA24" s="1888"/>
      <c r="NIB24" s="1882"/>
      <c r="NIC24" s="1882"/>
      <c r="NID24" s="1882"/>
      <c r="NIF24" s="1887"/>
      <c r="NIG24" s="1888"/>
      <c r="NIH24" s="1882"/>
      <c r="NII24" s="1882"/>
      <c r="NIJ24" s="1882"/>
      <c r="NIL24" s="1887"/>
      <c r="NIM24" s="1888"/>
      <c r="NIN24" s="1882"/>
      <c r="NIO24" s="1882"/>
      <c r="NIP24" s="1882"/>
      <c r="NIR24" s="1887"/>
      <c r="NIS24" s="1888"/>
      <c r="NIT24" s="1882"/>
      <c r="NIU24" s="1882"/>
      <c r="NIV24" s="1882"/>
      <c r="NIX24" s="1887"/>
      <c r="NIY24" s="1888"/>
      <c r="NIZ24" s="1882"/>
      <c r="NJA24" s="1882"/>
      <c r="NJB24" s="1882"/>
      <c r="NJD24" s="1887"/>
      <c r="NJE24" s="1888"/>
      <c r="NJF24" s="1882"/>
      <c r="NJG24" s="1882"/>
      <c r="NJH24" s="1882"/>
      <c r="NJJ24" s="1887"/>
      <c r="NJK24" s="1888"/>
      <c r="NJL24" s="1882"/>
      <c r="NJM24" s="1882"/>
      <c r="NJN24" s="1882"/>
      <c r="NJP24" s="1887"/>
      <c r="NJQ24" s="1888"/>
      <c r="NJR24" s="1882"/>
      <c r="NJS24" s="1882"/>
      <c r="NJT24" s="1882"/>
      <c r="NJV24" s="1887"/>
      <c r="NJW24" s="1888"/>
      <c r="NJX24" s="1882"/>
      <c r="NJY24" s="1882"/>
      <c r="NJZ24" s="1882"/>
      <c r="NKB24" s="1887"/>
      <c r="NKC24" s="1888"/>
      <c r="NKD24" s="1882"/>
      <c r="NKE24" s="1882"/>
      <c r="NKF24" s="1882"/>
      <c r="NKH24" s="1887"/>
      <c r="NKI24" s="1888"/>
      <c r="NKJ24" s="1882"/>
      <c r="NKK24" s="1882"/>
      <c r="NKL24" s="1882"/>
      <c r="NKN24" s="1887"/>
      <c r="NKO24" s="1888"/>
      <c r="NKP24" s="1882"/>
      <c r="NKQ24" s="1882"/>
      <c r="NKR24" s="1882"/>
      <c r="NKT24" s="1887"/>
      <c r="NKU24" s="1888"/>
      <c r="NKV24" s="1882"/>
      <c r="NKW24" s="1882"/>
      <c r="NKX24" s="1882"/>
      <c r="NKZ24" s="1887"/>
      <c r="NLA24" s="1888"/>
      <c r="NLB24" s="1882"/>
      <c r="NLC24" s="1882"/>
      <c r="NLD24" s="1882"/>
      <c r="NLF24" s="1887"/>
      <c r="NLG24" s="1888"/>
      <c r="NLH24" s="1882"/>
      <c r="NLI24" s="1882"/>
      <c r="NLJ24" s="1882"/>
      <c r="NLL24" s="1887"/>
      <c r="NLM24" s="1888"/>
      <c r="NLN24" s="1882"/>
      <c r="NLO24" s="1882"/>
      <c r="NLP24" s="1882"/>
      <c r="NLR24" s="1887"/>
      <c r="NLS24" s="1888"/>
      <c r="NLT24" s="1882"/>
      <c r="NLU24" s="1882"/>
      <c r="NLV24" s="1882"/>
      <c r="NLX24" s="1887"/>
      <c r="NLY24" s="1888"/>
      <c r="NLZ24" s="1882"/>
      <c r="NMA24" s="1882"/>
      <c r="NMB24" s="1882"/>
      <c r="NMD24" s="1887"/>
      <c r="NME24" s="1888"/>
      <c r="NMF24" s="1882"/>
      <c r="NMG24" s="1882"/>
      <c r="NMH24" s="1882"/>
      <c r="NMJ24" s="1887"/>
      <c r="NMK24" s="1888"/>
      <c r="NML24" s="1882"/>
      <c r="NMM24" s="1882"/>
      <c r="NMN24" s="1882"/>
      <c r="NMP24" s="1887"/>
      <c r="NMQ24" s="1888"/>
      <c r="NMR24" s="1882"/>
      <c r="NMS24" s="1882"/>
      <c r="NMT24" s="1882"/>
      <c r="NMV24" s="1887"/>
      <c r="NMW24" s="1888"/>
      <c r="NMX24" s="1882"/>
      <c r="NMY24" s="1882"/>
      <c r="NMZ24" s="1882"/>
      <c r="NNB24" s="1887"/>
      <c r="NNC24" s="1888"/>
      <c r="NND24" s="1882"/>
      <c r="NNE24" s="1882"/>
      <c r="NNF24" s="1882"/>
      <c r="NNH24" s="1887"/>
      <c r="NNI24" s="1888"/>
      <c r="NNJ24" s="1882"/>
      <c r="NNK24" s="1882"/>
      <c r="NNL24" s="1882"/>
      <c r="NNN24" s="1887"/>
      <c r="NNO24" s="1888"/>
      <c r="NNP24" s="1882"/>
      <c r="NNQ24" s="1882"/>
      <c r="NNR24" s="1882"/>
      <c r="NNT24" s="1887"/>
      <c r="NNU24" s="1888"/>
      <c r="NNV24" s="1882"/>
      <c r="NNW24" s="1882"/>
      <c r="NNX24" s="1882"/>
      <c r="NNZ24" s="1887"/>
      <c r="NOA24" s="1888"/>
      <c r="NOB24" s="1882"/>
      <c r="NOC24" s="1882"/>
      <c r="NOD24" s="1882"/>
      <c r="NOF24" s="1887"/>
      <c r="NOG24" s="1888"/>
      <c r="NOH24" s="1882"/>
      <c r="NOI24" s="1882"/>
      <c r="NOJ24" s="1882"/>
      <c r="NOL24" s="1887"/>
      <c r="NOM24" s="1888"/>
      <c r="NON24" s="1882"/>
      <c r="NOO24" s="1882"/>
      <c r="NOP24" s="1882"/>
      <c r="NOR24" s="1887"/>
      <c r="NOS24" s="1888"/>
      <c r="NOT24" s="1882"/>
      <c r="NOU24" s="1882"/>
      <c r="NOV24" s="1882"/>
      <c r="NOX24" s="1887"/>
      <c r="NOY24" s="1888"/>
      <c r="NOZ24" s="1882"/>
      <c r="NPA24" s="1882"/>
      <c r="NPB24" s="1882"/>
      <c r="NPD24" s="1887"/>
      <c r="NPE24" s="1888"/>
      <c r="NPF24" s="1882"/>
      <c r="NPG24" s="1882"/>
      <c r="NPH24" s="1882"/>
      <c r="NPJ24" s="1887"/>
      <c r="NPK24" s="1888"/>
      <c r="NPL24" s="1882"/>
      <c r="NPM24" s="1882"/>
      <c r="NPN24" s="1882"/>
      <c r="NPP24" s="1887"/>
      <c r="NPQ24" s="1888"/>
      <c r="NPR24" s="1882"/>
      <c r="NPS24" s="1882"/>
      <c r="NPT24" s="1882"/>
      <c r="NPV24" s="1887"/>
      <c r="NPW24" s="1888"/>
      <c r="NPX24" s="1882"/>
      <c r="NPY24" s="1882"/>
      <c r="NPZ24" s="1882"/>
      <c r="NQB24" s="1887"/>
      <c r="NQC24" s="1888"/>
      <c r="NQD24" s="1882"/>
      <c r="NQE24" s="1882"/>
      <c r="NQF24" s="1882"/>
      <c r="NQH24" s="1887"/>
      <c r="NQI24" s="1888"/>
      <c r="NQJ24" s="1882"/>
      <c r="NQK24" s="1882"/>
      <c r="NQL24" s="1882"/>
      <c r="NQN24" s="1887"/>
      <c r="NQO24" s="1888"/>
      <c r="NQP24" s="1882"/>
      <c r="NQQ24" s="1882"/>
      <c r="NQR24" s="1882"/>
      <c r="NQT24" s="1887"/>
      <c r="NQU24" s="1888"/>
      <c r="NQV24" s="1882"/>
      <c r="NQW24" s="1882"/>
      <c r="NQX24" s="1882"/>
      <c r="NQZ24" s="1887"/>
      <c r="NRA24" s="1888"/>
      <c r="NRB24" s="1882"/>
      <c r="NRC24" s="1882"/>
      <c r="NRD24" s="1882"/>
      <c r="NRF24" s="1887"/>
      <c r="NRG24" s="1888"/>
      <c r="NRH24" s="1882"/>
      <c r="NRI24" s="1882"/>
      <c r="NRJ24" s="1882"/>
      <c r="NRL24" s="1887"/>
      <c r="NRM24" s="1888"/>
      <c r="NRN24" s="1882"/>
      <c r="NRO24" s="1882"/>
      <c r="NRP24" s="1882"/>
      <c r="NRR24" s="1887"/>
      <c r="NRS24" s="1888"/>
      <c r="NRT24" s="1882"/>
      <c r="NRU24" s="1882"/>
      <c r="NRV24" s="1882"/>
      <c r="NRX24" s="1887"/>
      <c r="NRY24" s="1888"/>
      <c r="NRZ24" s="1882"/>
      <c r="NSA24" s="1882"/>
      <c r="NSB24" s="1882"/>
      <c r="NSD24" s="1887"/>
      <c r="NSE24" s="1888"/>
      <c r="NSF24" s="1882"/>
      <c r="NSG24" s="1882"/>
      <c r="NSH24" s="1882"/>
      <c r="NSJ24" s="1887"/>
      <c r="NSK24" s="1888"/>
      <c r="NSL24" s="1882"/>
      <c r="NSM24" s="1882"/>
      <c r="NSN24" s="1882"/>
      <c r="NSP24" s="1887"/>
      <c r="NSQ24" s="1888"/>
      <c r="NSR24" s="1882"/>
      <c r="NSS24" s="1882"/>
      <c r="NST24" s="1882"/>
      <c r="NSV24" s="1887"/>
      <c r="NSW24" s="1888"/>
      <c r="NSX24" s="1882"/>
      <c r="NSY24" s="1882"/>
      <c r="NSZ24" s="1882"/>
      <c r="NTB24" s="1887"/>
      <c r="NTC24" s="1888"/>
      <c r="NTD24" s="1882"/>
      <c r="NTE24" s="1882"/>
      <c r="NTF24" s="1882"/>
      <c r="NTH24" s="1887"/>
      <c r="NTI24" s="1888"/>
      <c r="NTJ24" s="1882"/>
      <c r="NTK24" s="1882"/>
      <c r="NTL24" s="1882"/>
      <c r="NTN24" s="1887"/>
      <c r="NTO24" s="1888"/>
      <c r="NTP24" s="1882"/>
      <c r="NTQ24" s="1882"/>
      <c r="NTR24" s="1882"/>
      <c r="NTT24" s="1887"/>
      <c r="NTU24" s="1888"/>
      <c r="NTV24" s="1882"/>
      <c r="NTW24" s="1882"/>
      <c r="NTX24" s="1882"/>
      <c r="NTZ24" s="1887"/>
      <c r="NUA24" s="1888"/>
      <c r="NUB24" s="1882"/>
      <c r="NUC24" s="1882"/>
      <c r="NUD24" s="1882"/>
      <c r="NUF24" s="1887"/>
      <c r="NUG24" s="1888"/>
      <c r="NUH24" s="1882"/>
      <c r="NUI24" s="1882"/>
      <c r="NUJ24" s="1882"/>
      <c r="NUL24" s="1887"/>
      <c r="NUM24" s="1888"/>
      <c r="NUN24" s="1882"/>
      <c r="NUO24" s="1882"/>
      <c r="NUP24" s="1882"/>
      <c r="NUR24" s="1887"/>
      <c r="NUS24" s="1888"/>
      <c r="NUT24" s="1882"/>
      <c r="NUU24" s="1882"/>
      <c r="NUV24" s="1882"/>
      <c r="NUX24" s="1887"/>
      <c r="NUY24" s="1888"/>
      <c r="NUZ24" s="1882"/>
      <c r="NVA24" s="1882"/>
      <c r="NVB24" s="1882"/>
      <c r="NVD24" s="1887"/>
      <c r="NVE24" s="1888"/>
      <c r="NVF24" s="1882"/>
      <c r="NVG24" s="1882"/>
      <c r="NVH24" s="1882"/>
      <c r="NVJ24" s="1887"/>
      <c r="NVK24" s="1888"/>
      <c r="NVL24" s="1882"/>
      <c r="NVM24" s="1882"/>
      <c r="NVN24" s="1882"/>
      <c r="NVP24" s="1887"/>
      <c r="NVQ24" s="1888"/>
      <c r="NVR24" s="1882"/>
      <c r="NVS24" s="1882"/>
      <c r="NVT24" s="1882"/>
      <c r="NVV24" s="1887"/>
      <c r="NVW24" s="1888"/>
      <c r="NVX24" s="1882"/>
      <c r="NVY24" s="1882"/>
      <c r="NVZ24" s="1882"/>
      <c r="NWB24" s="1887"/>
      <c r="NWC24" s="1888"/>
      <c r="NWD24" s="1882"/>
      <c r="NWE24" s="1882"/>
      <c r="NWF24" s="1882"/>
      <c r="NWH24" s="1887"/>
      <c r="NWI24" s="1888"/>
      <c r="NWJ24" s="1882"/>
      <c r="NWK24" s="1882"/>
      <c r="NWL24" s="1882"/>
      <c r="NWN24" s="1887"/>
      <c r="NWO24" s="1888"/>
      <c r="NWP24" s="1882"/>
      <c r="NWQ24" s="1882"/>
      <c r="NWR24" s="1882"/>
      <c r="NWT24" s="1887"/>
      <c r="NWU24" s="1888"/>
      <c r="NWV24" s="1882"/>
      <c r="NWW24" s="1882"/>
      <c r="NWX24" s="1882"/>
      <c r="NWZ24" s="1887"/>
      <c r="NXA24" s="1888"/>
      <c r="NXB24" s="1882"/>
      <c r="NXC24" s="1882"/>
      <c r="NXD24" s="1882"/>
      <c r="NXF24" s="1887"/>
      <c r="NXG24" s="1888"/>
      <c r="NXH24" s="1882"/>
      <c r="NXI24" s="1882"/>
      <c r="NXJ24" s="1882"/>
      <c r="NXL24" s="1887"/>
      <c r="NXM24" s="1888"/>
      <c r="NXN24" s="1882"/>
      <c r="NXO24" s="1882"/>
      <c r="NXP24" s="1882"/>
      <c r="NXR24" s="1887"/>
      <c r="NXS24" s="1888"/>
      <c r="NXT24" s="1882"/>
      <c r="NXU24" s="1882"/>
      <c r="NXV24" s="1882"/>
      <c r="NXX24" s="1887"/>
      <c r="NXY24" s="1888"/>
      <c r="NXZ24" s="1882"/>
      <c r="NYA24" s="1882"/>
      <c r="NYB24" s="1882"/>
      <c r="NYD24" s="1887"/>
      <c r="NYE24" s="1888"/>
      <c r="NYF24" s="1882"/>
      <c r="NYG24" s="1882"/>
      <c r="NYH24" s="1882"/>
      <c r="NYJ24" s="1887"/>
      <c r="NYK24" s="1888"/>
      <c r="NYL24" s="1882"/>
      <c r="NYM24" s="1882"/>
      <c r="NYN24" s="1882"/>
      <c r="NYP24" s="1887"/>
      <c r="NYQ24" s="1888"/>
      <c r="NYR24" s="1882"/>
      <c r="NYS24" s="1882"/>
      <c r="NYT24" s="1882"/>
      <c r="NYV24" s="1887"/>
      <c r="NYW24" s="1888"/>
      <c r="NYX24" s="1882"/>
      <c r="NYY24" s="1882"/>
      <c r="NYZ24" s="1882"/>
      <c r="NZB24" s="1887"/>
      <c r="NZC24" s="1888"/>
      <c r="NZD24" s="1882"/>
      <c r="NZE24" s="1882"/>
      <c r="NZF24" s="1882"/>
      <c r="NZH24" s="1887"/>
      <c r="NZI24" s="1888"/>
      <c r="NZJ24" s="1882"/>
      <c r="NZK24" s="1882"/>
      <c r="NZL24" s="1882"/>
      <c r="NZN24" s="1887"/>
      <c r="NZO24" s="1888"/>
      <c r="NZP24" s="1882"/>
      <c r="NZQ24" s="1882"/>
      <c r="NZR24" s="1882"/>
      <c r="NZT24" s="1887"/>
      <c r="NZU24" s="1888"/>
      <c r="NZV24" s="1882"/>
      <c r="NZW24" s="1882"/>
      <c r="NZX24" s="1882"/>
      <c r="NZZ24" s="1887"/>
      <c r="OAA24" s="1888"/>
      <c r="OAB24" s="1882"/>
      <c r="OAC24" s="1882"/>
      <c r="OAD24" s="1882"/>
      <c r="OAF24" s="1887"/>
      <c r="OAG24" s="1888"/>
      <c r="OAH24" s="1882"/>
      <c r="OAI24" s="1882"/>
      <c r="OAJ24" s="1882"/>
      <c r="OAL24" s="1887"/>
      <c r="OAM24" s="1888"/>
      <c r="OAN24" s="1882"/>
      <c r="OAO24" s="1882"/>
      <c r="OAP24" s="1882"/>
      <c r="OAR24" s="1887"/>
      <c r="OAS24" s="1888"/>
      <c r="OAT24" s="1882"/>
      <c r="OAU24" s="1882"/>
      <c r="OAV24" s="1882"/>
      <c r="OAX24" s="1887"/>
      <c r="OAY24" s="1888"/>
      <c r="OAZ24" s="1882"/>
      <c r="OBA24" s="1882"/>
      <c r="OBB24" s="1882"/>
      <c r="OBD24" s="1887"/>
      <c r="OBE24" s="1888"/>
      <c r="OBF24" s="1882"/>
      <c r="OBG24" s="1882"/>
      <c r="OBH24" s="1882"/>
      <c r="OBJ24" s="1887"/>
      <c r="OBK24" s="1888"/>
      <c r="OBL24" s="1882"/>
      <c r="OBM24" s="1882"/>
      <c r="OBN24" s="1882"/>
      <c r="OBP24" s="1887"/>
      <c r="OBQ24" s="1888"/>
      <c r="OBR24" s="1882"/>
      <c r="OBS24" s="1882"/>
      <c r="OBT24" s="1882"/>
      <c r="OBV24" s="1887"/>
      <c r="OBW24" s="1888"/>
      <c r="OBX24" s="1882"/>
      <c r="OBY24" s="1882"/>
      <c r="OBZ24" s="1882"/>
      <c r="OCB24" s="1887"/>
      <c r="OCC24" s="1888"/>
      <c r="OCD24" s="1882"/>
      <c r="OCE24" s="1882"/>
      <c r="OCF24" s="1882"/>
      <c r="OCH24" s="1887"/>
      <c r="OCI24" s="1888"/>
      <c r="OCJ24" s="1882"/>
      <c r="OCK24" s="1882"/>
      <c r="OCL24" s="1882"/>
      <c r="OCN24" s="1887"/>
      <c r="OCO24" s="1888"/>
      <c r="OCP24" s="1882"/>
      <c r="OCQ24" s="1882"/>
      <c r="OCR24" s="1882"/>
      <c r="OCT24" s="1887"/>
      <c r="OCU24" s="1888"/>
      <c r="OCV24" s="1882"/>
      <c r="OCW24" s="1882"/>
      <c r="OCX24" s="1882"/>
      <c r="OCZ24" s="1887"/>
      <c r="ODA24" s="1888"/>
      <c r="ODB24" s="1882"/>
      <c r="ODC24" s="1882"/>
      <c r="ODD24" s="1882"/>
      <c r="ODF24" s="1887"/>
      <c r="ODG24" s="1888"/>
      <c r="ODH24" s="1882"/>
      <c r="ODI24" s="1882"/>
      <c r="ODJ24" s="1882"/>
      <c r="ODL24" s="1887"/>
      <c r="ODM24" s="1888"/>
      <c r="ODN24" s="1882"/>
      <c r="ODO24" s="1882"/>
      <c r="ODP24" s="1882"/>
      <c r="ODR24" s="1887"/>
      <c r="ODS24" s="1888"/>
      <c r="ODT24" s="1882"/>
      <c r="ODU24" s="1882"/>
      <c r="ODV24" s="1882"/>
      <c r="ODX24" s="1887"/>
      <c r="ODY24" s="1888"/>
      <c r="ODZ24" s="1882"/>
      <c r="OEA24" s="1882"/>
      <c r="OEB24" s="1882"/>
      <c r="OED24" s="1887"/>
      <c r="OEE24" s="1888"/>
      <c r="OEF24" s="1882"/>
      <c r="OEG24" s="1882"/>
      <c r="OEH24" s="1882"/>
      <c r="OEJ24" s="1887"/>
      <c r="OEK24" s="1888"/>
      <c r="OEL24" s="1882"/>
      <c r="OEM24" s="1882"/>
      <c r="OEN24" s="1882"/>
      <c r="OEP24" s="1887"/>
      <c r="OEQ24" s="1888"/>
      <c r="OER24" s="1882"/>
      <c r="OES24" s="1882"/>
      <c r="OET24" s="1882"/>
      <c r="OEV24" s="1887"/>
      <c r="OEW24" s="1888"/>
      <c r="OEX24" s="1882"/>
      <c r="OEY24" s="1882"/>
      <c r="OEZ24" s="1882"/>
      <c r="OFB24" s="1887"/>
      <c r="OFC24" s="1888"/>
      <c r="OFD24" s="1882"/>
      <c r="OFE24" s="1882"/>
      <c r="OFF24" s="1882"/>
      <c r="OFH24" s="1887"/>
      <c r="OFI24" s="1888"/>
      <c r="OFJ24" s="1882"/>
      <c r="OFK24" s="1882"/>
      <c r="OFL24" s="1882"/>
      <c r="OFN24" s="1887"/>
      <c r="OFO24" s="1888"/>
      <c r="OFP24" s="1882"/>
      <c r="OFQ24" s="1882"/>
      <c r="OFR24" s="1882"/>
      <c r="OFT24" s="1887"/>
      <c r="OFU24" s="1888"/>
      <c r="OFV24" s="1882"/>
      <c r="OFW24" s="1882"/>
      <c r="OFX24" s="1882"/>
      <c r="OFZ24" s="1887"/>
      <c r="OGA24" s="1888"/>
      <c r="OGB24" s="1882"/>
      <c r="OGC24" s="1882"/>
      <c r="OGD24" s="1882"/>
      <c r="OGF24" s="1887"/>
      <c r="OGG24" s="1888"/>
      <c r="OGH24" s="1882"/>
      <c r="OGI24" s="1882"/>
      <c r="OGJ24" s="1882"/>
      <c r="OGL24" s="1887"/>
      <c r="OGM24" s="1888"/>
      <c r="OGN24" s="1882"/>
      <c r="OGO24" s="1882"/>
      <c r="OGP24" s="1882"/>
      <c r="OGR24" s="1887"/>
      <c r="OGS24" s="1888"/>
      <c r="OGT24" s="1882"/>
      <c r="OGU24" s="1882"/>
      <c r="OGV24" s="1882"/>
      <c r="OGX24" s="1887"/>
      <c r="OGY24" s="1888"/>
      <c r="OGZ24" s="1882"/>
      <c r="OHA24" s="1882"/>
      <c r="OHB24" s="1882"/>
      <c r="OHD24" s="1887"/>
      <c r="OHE24" s="1888"/>
      <c r="OHF24" s="1882"/>
      <c r="OHG24" s="1882"/>
      <c r="OHH24" s="1882"/>
      <c r="OHJ24" s="1887"/>
      <c r="OHK24" s="1888"/>
      <c r="OHL24" s="1882"/>
      <c r="OHM24" s="1882"/>
      <c r="OHN24" s="1882"/>
      <c r="OHP24" s="1887"/>
      <c r="OHQ24" s="1888"/>
      <c r="OHR24" s="1882"/>
      <c r="OHS24" s="1882"/>
      <c r="OHT24" s="1882"/>
      <c r="OHV24" s="1887"/>
      <c r="OHW24" s="1888"/>
      <c r="OHX24" s="1882"/>
      <c r="OHY24" s="1882"/>
      <c r="OHZ24" s="1882"/>
      <c r="OIB24" s="1887"/>
      <c r="OIC24" s="1888"/>
      <c r="OID24" s="1882"/>
      <c r="OIE24" s="1882"/>
      <c r="OIF24" s="1882"/>
      <c r="OIH24" s="1887"/>
      <c r="OII24" s="1888"/>
      <c r="OIJ24" s="1882"/>
      <c r="OIK24" s="1882"/>
      <c r="OIL24" s="1882"/>
      <c r="OIN24" s="1887"/>
      <c r="OIO24" s="1888"/>
      <c r="OIP24" s="1882"/>
      <c r="OIQ24" s="1882"/>
      <c r="OIR24" s="1882"/>
      <c r="OIT24" s="1887"/>
      <c r="OIU24" s="1888"/>
      <c r="OIV24" s="1882"/>
      <c r="OIW24" s="1882"/>
      <c r="OIX24" s="1882"/>
      <c r="OIZ24" s="1887"/>
      <c r="OJA24" s="1888"/>
      <c r="OJB24" s="1882"/>
      <c r="OJC24" s="1882"/>
      <c r="OJD24" s="1882"/>
      <c r="OJF24" s="1887"/>
      <c r="OJG24" s="1888"/>
      <c r="OJH24" s="1882"/>
      <c r="OJI24" s="1882"/>
      <c r="OJJ24" s="1882"/>
      <c r="OJL24" s="1887"/>
      <c r="OJM24" s="1888"/>
      <c r="OJN24" s="1882"/>
      <c r="OJO24" s="1882"/>
      <c r="OJP24" s="1882"/>
      <c r="OJR24" s="1887"/>
      <c r="OJS24" s="1888"/>
      <c r="OJT24" s="1882"/>
      <c r="OJU24" s="1882"/>
      <c r="OJV24" s="1882"/>
      <c r="OJX24" s="1887"/>
      <c r="OJY24" s="1888"/>
      <c r="OJZ24" s="1882"/>
      <c r="OKA24" s="1882"/>
      <c r="OKB24" s="1882"/>
      <c r="OKD24" s="1887"/>
      <c r="OKE24" s="1888"/>
      <c r="OKF24" s="1882"/>
      <c r="OKG24" s="1882"/>
      <c r="OKH24" s="1882"/>
      <c r="OKJ24" s="1887"/>
      <c r="OKK24" s="1888"/>
      <c r="OKL24" s="1882"/>
      <c r="OKM24" s="1882"/>
      <c r="OKN24" s="1882"/>
      <c r="OKP24" s="1887"/>
      <c r="OKQ24" s="1888"/>
      <c r="OKR24" s="1882"/>
      <c r="OKS24" s="1882"/>
      <c r="OKT24" s="1882"/>
      <c r="OKV24" s="1887"/>
      <c r="OKW24" s="1888"/>
      <c r="OKX24" s="1882"/>
      <c r="OKY24" s="1882"/>
      <c r="OKZ24" s="1882"/>
      <c r="OLB24" s="1887"/>
      <c r="OLC24" s="1888"/>
      <c r="OLD24" s="1882"/>
      <c r="OLE24" s="1882"/>
      <c r="OLF24" s="1882"/>
      <c r="OLH24" s="1887"/>
      <c r="OLI24" s="1888"/>
      <c r="OLJ24" s="1882"/>
      <c r="OLK24" s="1882"/>
      <c r="OLL24" s="1882"/>
      <c r="OLN24" s="1887"/>
      <c r="OLO24" s="1888"/>
      <c r="OLP24" s="1882"/>
      <c r="OLQ24" s="1882"/>
      <c r="OLR24" s="1882"/>
      <c r="OLT24" s="1887"/>
      <c r="OLU24" s="1888"/>
      <c r="OLV24" s="1882"/>
      <c r="OLW24" s="1882"/>
      <c r="OLX24" s="1882"/>
      <c r="OLZ24" s="1887"/>
      <c r="OMA24" s="1888"/>
      <c r="OMB24" s="1882"/>
      <c r="OMC24" s="1882"/>
      <c r="OMD24" s="1882"/>
      <c r="OMF24" s="1887"/>
      <c r="OMG24" s="1888"/>
      <c r="OMH24" s="1882"/>
      <c r="OMI24" s="1882"/>
      <c r="OMJ24" s="1882"/>
      <c r="OML24" s="1887"/>
      <c r="OMM24" s="1888"/>
      <c r="OMN24" s="1882"/>
      <c r="OMO24" s="1882"/>
      <c r="OMP24" s="1882"/>
      <c r="OMR24" s="1887"/>
      <c r="OMS24" s="1888"/>
      <c r="OMT24" s="1882"/>
      <c r="OMU24" s="1882"/>
      <c r="OMV24" s="1882"/>
      <c r="OMX24" s="1887"/>
      <c r="OMY24" s="1888"/>
      <c r="OMZ24" s="1882"/>
      <c r="ONA24" s="1882"/>
      <c r="ONB24" s="1882"/>
      <c r="OND24" s="1887"/>
      <c r="ONE24" s="1888"/>
      <c r="ONF24" s="1882"/>
      <c r="ONG24" s="1882"/>
      <c r="ONH24" s="1882"/>
      <c r="ONJ24" s="1887"/>
      <c r="ONK24" s="1888"/>
      <c r="ONL24" s="1882"/>
      <c r="ONM24" s="1882"/>
      <c r="ONN24" s="1882"/>
      <c r="ONP24" s="1887"/>
      <c r="ONQ24" s="1888"/>
      <c r="ONR24" s="1882"/>
      <c r="ONS24" s="1882"/>
      <c r="ONT24" s="1882"/>
      <c r="ONV24" s="1887"/>
      <c r="ONW24" s="1888"/>
      <c r="ONX24" s="1882"/>
      <c r="ONY24" s="1882"/>
      <c r="ONZ24" s="1882"/>
      <c r="OOB24" s="1887"/>
      <c r="OOC24" s="1888"/>
      <c r="OOD24" s="1882"/>
      <c r="OOE24" s="1882"/>
      <c r="OOF24" s="1882"/>
      <c r="OOH24" s="1887"/>
      <c r="OOI24" s="1888"/>
      <c r="OOJ24" s="1882"/>
      <c r="OOK24" s="1882"/>
      <c r="OOL24" s="1882"/>
      <c r="OON24" s="1887"/>
      <c r="OOO24" s="1888"/>
      <c r="OOP24" s="1882"/>
      <c r="OOQ24" s="1882"/>
      <c r="OOR24" s="1882"/>
      <c r="OOT24" s="1887"/>
      <c r="OOU24" s="1888"/>
      <c r="OOV24" s="1882"/>
      <c r="OOW24" s="1882"/>
      <c r="OOX24" s="1882"/>
      <c r="OOZ24" s="1887"/>
      <c r="OPA24" s="1888"/>
      <c r="OPB24" s="1882"/>
      <c r="OPC24" s="1882"/>
      <c r="OPD24" s="1882"/>
      <c r="OPF24" s="1887"/>
      <c r="OPG24" s="1888"/>
      <c r="OPH24" s="1882"/>
      <c r="OPI24" s="1882"/>
      <c r="OPJ24" s="1882"/>
      <c r="OPL24" s="1887"/>
      <c r="OPM24" s="1888"/>
      <c r="OPN24" s="1882"/>
      <c r="OPO24" s="1882"/>
      <c r="OPP24" s="1882"/>
      <c r="OPR24" s="1887"/>
      <c r="OPS24" s="1888"/>
      <c r="OPT24" s="1882"/>
      <c r="OPU24" s="1882"/>
      <c r="OPV24" s="1882"/>
      <c r="OPX24" s="1887"/>
      <c r="OPY24" s="1888"/>
      <c r="OPZ24" s="1882"/>
      <c r="OQA24" s="1882"/>
      <c r="OQB24" s="1882"/>
      <c r="OQD24" s="1887"/>
      <c r="OQE24" s="1888"/>
      <c r="OQF24" s="1882"/>
      <c r="OQG24" s="1882"/>
      <c r="OQH24" s="1882"/>
      <c r="OQJ24" s="1887"/>
      <c r="OQK24" s="1888"/>
      <c r="OQL24" s="1882"/>
      <c r="OQM24" s="1882"/>
      <c r="OQN24" s="1882"/>
      <c r="OQP24" s="1887"/>
      <c r="OQQ24" s="1888"/>
      <c r="OQR24" s="1882"/>
      <c r="OQS24" s="1882"/>
      <c r="OQT24" s="1882"/>
      <c r="OQV24" s="1887"/>
      <c r="OQW24" s="1888"/>
      <c r="OQX24" s="1882"/>
      <c r="OQY24" s="1882"/>
      <c r="OQZ24" s="1882"/>
      <c r="ORB24" s="1887"/>
      <c r="ORC24" s="1888"/>
      <c r="ORD24" s="1882"/>
      <c r="ORE24" s="1882"/>
      <c r="ORF24" s="1882"/>
      <c r="ORH24" s="1887"/>
      <c r="ORI24" s="1888"/>
      <c r="ORJ24" s="1882"/>
      <c r="ORK24" s="1882"/>
      <c r="ORL24" s="1882"/>
      <c r="ORN24" s="1887"/>
      <c r="ORO24" s="1888"/>
      <c r="ORP24" s="1882"/>
      <c r="ORQ24" s="1882"/>
      <c r="ORR24" s="1882"/>
      <c r="ORT24" s="1887"/>
      <c r="ORU24" s="1888"/>
      <c r="ORV24" s="1882"/>
      <c r="ORW24" s="1882"/>
      <c r="ORX24" s="1882"/>
      <c r="ORZ24" s="1887"/>
      <c r="OSA24" s="1888"/>
      <c r="OSB24" s="1882"/>
      <c r="OSC24" s="1882"/>
      <c r="OSD24" s="1882"/>
      <c r="OSF24" s="1887"/>
      <c r="OSG24" s="1888"/>
      <c r="OSH24" s="1882"/>
      <c r="OSI24" s="1882"/>
      <c r="OSJ24" s="1882"/>
      <c r="OSL24" s="1887"/>
      <c r="OSM24" s="1888"/>
      <c r="OSN24" s="1882"/>
      <c r="OSO24" s="1882"/>
      <c r="OSP24" s="1882"/>
      <c r="OSR24" s="1887"/>
      <c r="OSS24" s="1888"/>
      <c r="OST24" s="1882"/>
      <c r="OSU24" s="1882"/>
      <c r="OSV24" s="1882"/>
      <c r="OSX24" s="1887"/>
      <c r="OSY24" s="1888"/>
      <c r="OSZ24" s="1882"/>
      <c r="OTA24" s="1882"/>
      <c r="OTB24" s="1882"/>
      <c r="OTD24" s="1887"/>
      <c r="OTE24" s="1888"/>
      <c r="OTF24" s="1882"/>
      <c r="OTG24" s="1882"/>
      <c r="OTH24" s="1882"/>
      <c r="OTJ24" s="1887"/>
      <c r="OTK24" s="1888"/>
      <c r="OTL24" s="1882"/>
      <c r="OTM24" s="1882"/>
      <c r="OTN24" s="1882"/>
      <c r="OTP24" s="1887"/>
      <c r="OTQ24" s="1888"/>
      <c r="OTR24" s="1882"/>
      <c r="OTS24" s="1882"/>
      <c r="OTT24" s="1882"/>
      <c r="OTV24" s="1887"/>
      <c r="OTW24" s="1888"/>
      <c r="OTX24" s="1882"/>
      <c r="OTY24" s="1882"/>
      <c r="OTZ24" s="1882"/>
      <c r="OUB24" s="1887"/>
      <c r="OUC24" s="1888"/>
      <c r="OUD24" s="1882"/>
      <c r="OUE24" s="1882"/>
      <c r="OUF24" s="1882"/>
      <c r="OUH24" s="1887"/>
      <c r="OUI24" s="1888"/>
      <c r="OUJ24" s="1882"/>
      <c r="OUK24" s="1882"/>
      <c r="OUL24" s="1882"/>
      <c r="OUN24" s="1887"/>
      <c r="OUO24" s="1888"/>
      <c r="OUP24" s="1882"/>
      <c r="OUQ24" s="1882"/>
      <c r="OUR24" s="1882"/>
      <c r="OUT24" s="1887"/>
      <c r="OUU24" s="1888"/>
      <c r="OUV24" s="1882"/>
      <c r="OUW24" s="1882"/>
      <c r="OUX24" s="1882"/>
      <c r="OUZ24" s="1887"/>
      <c r="OVA24" s="1888"/>
      <c r="OVB24" s="1882"/>
      <c r="OVC24" s="1882"/>
      <c r="OVD24" s="1882"/>
      <c r="OVF24" s="1887"/>
      <c r="OVG24" s="1888"/>
      <c r="OVH24" s="1882"/>
      <c r="OVI24" s="1882"/>
      <c r="OVJ24" s="1882"/>
      <c r="OVL24" s="1887"/>
      <c r="OVM24" s="1888"/>
      <c r="OVN24" s="1882"/>
      <c r="OVO24" s="1882"/>
      <c r="OVP24" s="1882"/>
      <c r="OVR24" s="1887"/>
      <c r="OVS24" s="1888"/>
      <c r="OVT24" s="1882"/>
      <c r="OVU24" s="1882"/>
      <c r="OVV24" s="1882"/>
      <c r="OVX24" s="1887"/>
      <c r="OVY24" s="1888"/>
      <c r="OVZ24" s="1882"/>
      <c r="OWA24" s="1882"/>
      <c r="OWB24" s="1882"/>
      <c r="OWD24" s="1887"/>
      <c r="OWE24" s="1888"/>
      <c r="OWF24" s="1882"/>
      <c r="OWG24" s="1882"/>
      <c r="OWH24" s="1882"/>
      <c r="OWJ24" s="1887"/>
      <c r="OWK24" s="1888"/>
      <c r="OWL24" s="1882"/>
      <c r="OWM24" s="1882"/>
      <c r="OWN24" s="1882"/>
      <c r="OWP24" s="1887"/>
      <c r="OWQ24" s="1888"/>
      <c r="OWR24" s="1882"/>
      <c r="OWS24" s="1882"/>
      <c r="OWT24" s="1882"/>
      <c r="OWV24" s="1887"/>
      <c r="OWW24" s="1888"/>
      <c r="OWX24" s="1882"/>
      <c r="OWY24" s="1882"/>
      <c r="OWZ24" s="1882"/>
      <c r="OXB24" s="1887"/>
      <c r="OXC24" s="1888"/>
      <c r="OXD24" s="1882"/>
      <c r="OXE24" s="1882"/>
      <c r="OXF24" s="1882"/>
      <c r="OXH24" s="1887"/>
      <c r="OXI24" s="1888"/>
      <c r="OXJ24" s="1882"/>
      <c r="OXK24" s="1882"/>
      <c r="OXL24" s="1882"/>
      <c r="OXN24" s="1887"/>
      <c r="OXO24" s="1888"/>
      <c r="OXP24" s="1882"/>
      <c r="OXQ24" s="1882"/>
      <c r="OXR24" s="1882"/>
      <c r="OXT24" s="1887"/>
      <c r="OXU24" s="1888"/>
      <c r="OXV24" s="1882"/>
      <c r="OXW24" s="1882"/>
      <c r="OXX24" s="1882"/>
      <c r="OXZ24" s="1887"/>
      <c r="OYA24" s="1888"/>
      <c r="OYB24" s="1882"/>
      <c r="OYC24" s="1882"/>
      <c r="OYD24" s="1882"/>
      <c r="OYF24" s="1887"/>
      <c r="OYG24" s="1888"/>
      <c r="OYH24" s="1882"/>
      <c r="OYI24" s="1882"/>
      <c r="OYJ24" s="1882"/>
      <c r="OYL24" s="1887"/>
      <c r="OYM24" s="1888"/>
      <c r="OYN24" s="1882"/>
      <c r="OYO24" s="1882"/>
      <c r="OYP24" s="1882"/>
      <c r="OYR24" s="1887"/>
      <c r="OYS24" s="1888"/>
      <c r="OYT24" s="1882"/>
      <c r="OYU24" s="1882"/>
      <c r="OYV24" s="1882"/>
      <c r="OYX24" s="1887"/>
      <c r="OYY24" s="1888"/>
      <c r="OYZ24" s="1882"/>
      <c r="OZA24" s="1882"/>
      <c r="OZB24" s="1882"/>
      <c r="OZD24" s="1887"/>
      <c r="OZE24" s="1888"/>
      <c r="OZF24" s="1882"/>
      <c r="OZG24" s="1882"/>
      <c r="OZH24" s="1882"/>
      <c r="OZJ24" s="1887"/>
      <c r="OZK24" s="1888"/>
      <c r="OZL24" s="1882"/>
      <c r="OZM24" s="1882"/>
      <c r="OZN24" s="1882"/>
      <c r="OZP24" s="1887"/>
      <c r="OZQ24" s="1888"/>
      <c r="OZR24" s="1882"/>
      <c r="OZS24" s="1882"/>
      <c r="OZT24" s="1882"/>
      <c r="OZV24" s="1887"/>
      <c r="OZW24" s="1888"/>
      <c r="OZX24" s="1882"/>
      <c r="OZY24" s="1882"/>
      <c r="OZZ24" s="1882"/>
      <c r="PAB24" s="1887"/>
      <c r="PAC24" s="1888"/>
      <c r="PAD24" s="1882"/>
      <c r="PAE24" s="1882"/>
      <c r="PAF24" s="1882"/>
      <c r="PAH24" s="1887"/>
      <c r="PAI24" s="1888"/>
      <c r="PAJ24" s="1882"/>
      <c r="PAK24" s="1882"/>
      <c r="PAL24" s="1882"/>
      <c r="PAN24" s="1887"/>
      <c r="PAO24" s="1888"/>
      <c r="PAP24" s="1882"/>
      <c r="PAQ24" s="1882"/>
      <c r="PAR24" s="1882"/>
      <c r="PAT24" s="1887"/>
      <c r="PAU24" s="1888"/>
      <c r="PAV24" s="1882"/>
      <c r="PAW24" s="1882"/>
      <c r="PAX24" s="1882"/>
      <c r="PAZ24" s="1887"/>
      <c r="PBA24" s="1888"/>
      <c r="PBB24" s="1882"/>
      <c r="PBC24" s="1882"/>
      <c r="PBD24" s="1882"/>
      <c r="PBF24" s="1887"/>
      <c r="PBG24" s="1888"/>
      <c r="PBH24" s="1882"/>
      <c r="PBI24" s="1882"/>
      <c r="PBJ24" s="1882"/>
      <c r="PBL24" s="1887"/>
      <c r="PBM24" s="1888"/>
      <c r="PBN24" s="1882"/>
      <c r="PBO24" s="1882"/>
      <c r="PBP24" s="1882"/>
      <c r="PBR24" s="1887"/>
      <c r="PBS24" s="1888"/>
      <c r="PBT24" s="1882"/>
      <c r="PBU24" s="1882"/>
      <c r="PBV24" s="1882"/>
      <c r="PBX24" s="1887"/>
      <c r="PBY24" s="1888"/>
      <c r="PBZ24" s="1882"/>
      <c r="PCA24" s="1882"/>
      <c r="PCB24" s="1882"/>
      <c r="PCD24" s="1887"/>
      <c r="PCE24" s="1888"/>
      <c r="PCF24" s="1882"/>
      <c r="PCG24" s="1882"/>
      <c r="PCH24" s="1882"/>
      <c r="PCJ24" s="1887"/>
      <c r="PCK24" s="1888"/>
      <c r="PCL24" s="1882"/>
      <c r="PCM24" s="1882"/>
      <c r="PCN24" s="1882"/>
      <c r="PCP24" s="1887"/>
      <c r="PCQ24" s="1888"/>
      <c r="PCR24" s="1882"/>
      <c r="PCS24" s="1882"/>
      <c r="PCT24" s="1882"/>
      <c r="PCV24" s="1887"/>
      <c r="PCW24" s="1888"/>
      <c r="PCX24" s="1882"/>
      <c r="PCY24" s="1882"/>
      <c r="PCZ24" s="1882"/>
      <c r="PDB24" s="1887"/>
      <c r="PDC24" s="1888"/>
      <c r="PDD24" s="1882"/>
      <c r="PDE24" s="1882"/>
      <c r="PDF24" s="1882"/>
      <c r="PDH24" s="1887"/>
      <c r="PDI24" s="1888"/>
      <c r="PDJ24" s="1882"/>
      <c r="PDK24" s="1882"/>
      <c r="PDL24" s="1882"/>
      <c r="PDN24" s="1887"/>
      <c r="PDO24" s="1888"/>
      <c r="PDP24" s="1882"/>
      <c r="PDQ24" s="1882"/>
      <c r="PDR24" s="1882"/>
      <c r="PDT24" s="1887"/>
      <c r="PDU24" s="1888"/>
      <c r="PDV24" s="1882"/>
      <c r="PDW24" s="1882"/>
      <c r="PDX24" s="1882"/>
      <c r="PDZ24" s="1887"/>
      <c r="PEA24" s="1888"/>
      <c r="PEB24" s="1882"/>
      <c r="PEC24" s="1882"/>
      <c r="PED24" s="1882"/>
      <c r="PEF24" s="1887"/>
      <c r="PEG24" s="1888"/>
      <c r="PEH24" s="1882"/>
      <c r="PEI24" s="1882"/>
      <c r="PEJ24" s="1882"/>
      <c r="PEL24" s="1887"/>
      <c r="PEM24" s="1888"/>
      <c r="PEN24" s="1882"/>
      <c r="PEO24" s="1882"/>
      <c r="PEP24" s="1882"/>
      <c r="PER24" s="1887"/>
      <c r="PES24" s="1888"/>
      <c r="PET24" s="1882"/>
      <c r="PEU24" s="1882"/>
      <c r="PEV24" s="1882"/>
      <c r="PEX24" s="1887"/>
      <c r="PEY24" s="1888"/>
      <c r="PEZ24" s="1882"/>
      <c r="PFA24" s="1882"/>
      <c r="PFB24" s="1882"/>
      <c r="PFD24" s="1887"/>
      <c r="PFE24" s="1888"/>
      <c r="PFF24" s="1882"/>
      <c r="PFG24" s="1882"/>
      <c r="PFH24" s="1882"/>
      <c r="PFJ24" s="1887"/>
      <c r="PFK24" s="1888"/>
      <c r="PFL24" s="1882"/>
      <c r="PFM24" s="1882"/>
      <c r="PFN24" s="1882"/>
      <c r="PFP24" s="1887"/>
      <c r="PFQ24" s="1888"/>
      <c r="PFR24" s="1882"/>
      <c r="PFS24" s="1882"/>
      <c r="PFT24" s="1882"/>
      <c r="PFV24" s="1887"/>
      <c r="PFW24" s="1888"/>
      <c r="PFX24" s="1882"/>
      <c r="PFY24" s="1882"/>
      <c r="PFZ24" s="1882"/>
      <c r="PGB24" s="1887"/>
      <c r="PGC24" s="1888"/>
      <c r="PGD24" s="1882"/>
      <c r="PGE24" s="1882"/>
      <c r="PGF24" s="1882"/>
      <c r="PGH24" s="1887"/>
      <c r="PGI24" s="1888"/>
      <c r="PGJ24" s="1882"/>
      <c r="PGK24" s="1882"/>
      <c r="PGL24" s="1882"/>
      <c r="PGN24" s="1887"/>
      <c r="PGO24" s="1888"/>
      <c r="PGP24" s="1882"/>
      <c r="PGQ24" s="1882"/>
      <c r="PGR24" s="1882"/>
      <c r="PGT24" s="1887"/>
      <c r="PGU24" s="1888"/>
      <c r="PGV24" s="1882"/>
      <c r="PGW24" s="1882"/>
      <c r="PGX24" s="1882"/>
      <c r="PGZ24" s="1887"/>
      <c r="PHA24" s="1888"/>
      <c r="PHB24" s="1882"/>
      <c r="PHC24" s="1882"/>
      <c r="PHD24" s="1882"/>
      <c r="PHF24" s="1887"/>
      <c r="PHG24" s="1888"/>
      <c r="PHH24" s="1882"/>
      <c r="PHI24" s="1882"/>
      <c r="PHJ24" s="1882"/>
      <c r="PHL24" s="1887"/>
      <c r="PHM24" s="1888"/>
      <c r="PHN24" s="1882"/>
      <c r="PHO24" s="1882"/>
      <c r="PHP24" s="1882"/>
      <c r="PHR24" s="1887"/>
      <c r="PHS24" s="1888"/>
      <c r="PHT24" s="1882"/>
      <c r="PHU24" s="1882"/>
      <c r="PHV24" s="1882"/>
      <c r="PHX24" s="1887"/>
      <c r="PHY24" s="1888"/>
      <c r="PHZ24" s="1882"/>
      <c r="PIA24" s="1882"/>
      <c r="PIB24" s="1882"/>
      <c r="PID24" s="1887"/>
      <c r="PIE24" s="1888"/>
      <c r="PIF24" s="1882"/>
      <c r="PIG24" s="1882"/>
      <c r="PIH24" s="1882"/>
      <c r="PIJ24" s="1887"/>
      <c r="PIK24" s="1888"/>
      <c r="PIL24" s="1882"/>
      <c r="PIM24" s="1882"/>
      <c r="PIN24" s="1882"/>
      <c r="PIP24" s="1887"/>
      <c r="PIQ24" s="1888"/>
      <c r="PIR24" s="1882"/>
      <c r="PIS24" s="1882"/>
      <c r="PIT24" s="1882"/>
      <c r="PIV24" s="1887"/>
      <c r="PIW24" s="1888"/>
      <c r="PIX24" s="1882"/>
      <c r="PIY24" s="1882"/>
      <c r="PIZ24" s="1882"/>
      <c r="PJB24" s="1887"/>
      <c r="PJC24" s="1888"/>
      <c r="PJD24" s="1882"/>
      <c r="PJE24" s="1882"/>
      <c r="PJF24" s="1882"/>
      <c r="PJH24" s="1887"/>
      <c r="PJI24" s="1888"/>
      <c r="PJJ24" s="1882"/>
      <c r="PJK24" s="1882"/>
      <c r="PJL24" s="1882"/>
      <c r="PJN24" s="1887"/>
      <c r="PJO24" s="1888"/>
      <c r="PJP24" s="1882"/>
      <c r="PJQ24" s="1882"/>
      <c r="PJR24" s="1882"/>
      <c r="PJT24" s="1887"/>
      <c r="PJU24" s="1888"/>
      <c r="PJV24" s="1882"/>
      <c r="PJW24" s="1882"/>
      <c r="PJX24" s="1882"/>
      <c r="PJZ24" s="1887"/>
      <c r="PKA24" s="1888"/>
      <c r="PKB24" s="1882"/>
      <c r="PKC24" s="1882"/>
      <c r="PKD24" s="1882"/>
      <c r="PKF24" s="1887"/>
      <c r="PKG24" s="1888"/>
      <c r="PKH24" s="1882"/>
      <c r="PKI24" s="1882"/>
      <c r="PKJ24" s="1882"/>
      <c r="PKL24" s="1887"/>
      <c r="PKM24" s="1888"/>
      <c r="PKN24" s="1882"/>
      <c r="PKO24" s="1882"/>
      <c r="PKP24" s="1882"/>
      <c r="PKR24" s="1887"/>
      <c r="PKS24" s="1888"/>
      <c r="PKT24" s="1882"/>
      <c r="PKU24" s="1882"/>
      <c r="PKV24" s="1882"/>
      <c r="PKX24" s="1887"/>
      <c r="PKY24" s="1888"/>
      <c r="PKZ24" s="1882"/>
      <c r="PLA24" s="1882"/>
      <c r="PLB24" s="1882"/>
      <c r="PLD24" s="1887"/>
      <c r="PLE24" s="1888"/>
      <c r="PLF24" s="1882"/>
      <c r="PLG24" s="1882"/>
      <c r="PLH24" s="1882"/>
      <c r="PLJ24" s="1887"/>
      <c r="PLK24" s="1888"/>
      <c r="PLL24" s="1882"/>
      <c r="PLM24" s="1882"/>
      <c r="PLN24" s="1882"/>
      <c r="PLP24" s="1887"/>
      <c r="PLQ24" s="1888"/>
      <c r="PLR24" s="1882"/>
      <c r="PLS24" s="1882"/>
      <c r="PLT24" s="1882"/>
      <c r="PLV24" s="1887"/>
      <c r="PLW24" s="1888"/>
      <c r="PLX24" s="1882"/>
      <c r="PLY24" s="1882"/>
      <c r="PLZ24" s="1882"/>
      <c r="PMB24" s="1887"/>
      <c r="PMC24" s="1888"/>
      <c r="PMD24" s="1882"/>
      <c r="PME24" s="1882"/>
      <c r="PMF24" s="1882"/>
      <c r="PMH24" s="1887"/>
      <c r="PMI24" s="1888"/>
      <c r="PMJ24" s="1882"/>
      <c r="PMK24" s="1882"/>
      <c r="PML24" s="1882"/>
      <c r="PMN24" s="1887"/>
      <c r="PMO24" s="1888"/>
      <c r="PMP24" s="1882"/>
      <c r="PMQ24" s="1882"/>
      <c r="PMR24" s="1882"/>
      <c r="PMT24" s="1887"/>
      <c r="PMU24" s="1888"/>
      <c r="PMV24" s="1882"/>
      <c r="PMW24" s="1882"/>
      <c r="PMX24" s="1882"/>
      <c r="PMZ24" s="1887"/>
      <c r="PNA24" s="1888"/>
      <c r="PNB24" s="1882"/>
      <c r="PNC24" s="1882"/>
      <c r="PND24" s="1882"/>
      <c r="PNF24" s="1887"/>
      <c r="PNG24" s="1888"/>
      <c r="PNH24" s="1882"/>
      <c r="PNI24" s="1882"/>
      <c r="PNJ24" s="1882"/>
      <c r="PNL24" s="1887"/>
      <c r="PNM24" s="1888"/>
      <c r="PNN24" s="1882"/>
      <c r="PNO24" s="1882"/>
      <c r="PNP24" s="1882"/>
      <c r="PNR24" s="1887"/>
      <c r="PNS24" s="1888"/>
      <c r="PNT24" s="1882"/>
      <c r="PNU24" s="1882"/>
      <c r="PNV24" s="1882"/>
      <c r="PNX24" s="1887"/>
      <c r="PNY24" s="1888"/>
      <c r="PNZ24" s="1882"/>
      <c r="POA24" s="1882"/>
      <c r="POB24" s="1882"/>
      <c r="POD24" s="1887"/>
      <c r="POE24" s="1888"/>
      <c r="POF24" s="1882"/>
      <c r="POG24" s="1882"/>
      <c r="POH24" s="1882"/>
      <c r="POJ24" s="1887"/>
      <c r="POK24" s="1888"/>
      <c r="POL24" s="1882"/>
      <c r="POM24" s="1882"/>
      <c r="PON24" s="1882"/>
      <c r="POP24" s="1887"/>
      <c r="POQ24" s="1888"/>
      <c r="POR24" s="1882"/>
      <c r="POS24" s="1882"/>
      <c r="POT24" s="1882"/>
      <c r="POV24" s="1887"/>
      <c r="POW24" s="1888"/>
      <c r="POX24" s="1882"/>
      <c r="POY24" s="1882"/>
      <c r="POZ24" s="1882"/>
      <c r="PPB24" s="1887"/>
      <c r="PPC24" s="1888"/>
      <c r="PPD24" s="1882"/>
      <c r="PPE24" s="1882"/>
      <c r="PPF24" s="1882"/>
      <c r="PPH24" s="1887"/>
      <c r="PPI24" s="1888"/>
      <c r="PPJ24" s="1882"/>
      <c r="PPK24" s="1882"/>
      <c r="PPL24" s="1882"/>
      <c r="PPN24" s="1887"/>
      <c r="PPO24" s="1888"/>
      <c r="PPP24" s="1882"/>
      <c r="PPQ24" s="1882"/>
      <c r="PPR24" s="1882"/>
      <c r="PPT24" s="1887"/>
      <c r="PPU24" s="1888"/>
      <c r="PPV24" s="1882"/>
      <c r="PPW24" s="1882"/>
      <c r="PPX24" s="1882"/>
      <c r="PPZ24" s="1887"/>
      <c r="PQA24" s="1888"/>
      <c r="PQB24" s="1882"/>
      <c r="PQC24" s="1882"/>
      <c r="PQD24" s="1882"/>
      <c r="PQF24" s="1887"/>
      <c r="PQG24" s="1888"/>
      <c r="PQH24" s="1882"/>
      <c r="PQI24" s="1882"/>
      <c r="PQJ24" s="1882"/>
      <c r="PQL24" s="1887"/>
      <c r="PQM24" s="1888"/>
      <c r="PQN24" s="1882"/>
      <c r="PQO24" s="1882"/>
      <c r="PQP24" s="1882"/>
      <c r="PQR24" s="1887"/>
      <c r="PQS24" s="1888"/>
      <c r="PQT24" s="1882"/>
      <c r="PQU24" s="1882"/>
      <c r="PQV24" s="1882"/>
      <c r="PQX24" s="1887"/>
      <c r="PQY24" s="1888"/>
      <c r="PQZ24" s="1882"/>
      <c r="PRA24" s="1882"/>
      <c r="PRB24" s="1882"/>
      <c r="PRD24" s="1887"/>
      <c r="PRE24" s="1888"/>
      <c r="PRF24" s="1882"/>
      <c r="PRG24" s="1882"/>
      <c r="PRH24" s="1882"/>
      <c r="PRJ24" s="1887"/>
      <c r="PRK24" s="1888"/>
      <c r="PRL24" s="1882"/>
      <c r="PRM24" s="1882"/>
      <c r="PRN24" s="1882"/>
      <c r="PRP24" s="1887"/>
      <c r="PRQ24" s="1888"/>
      <c r="PRR24" s="1882"/>
      <c r="PRS24" s="1882"/>
      <c r="PRT24" s="1882"/>
      <c r="PRV24" s="1887"/>
      <c r="PRW24" s="1888"/>
      <c r="PRX24" s="1882"/>
      <c r="PRY24" s="1882"/>
      <c r="PRZ24" s="1882"/>
      <c r="PSB24" s="1887"/>
      <c r="PSC24" s="1888"/>
      <c r="PSD24" s="1882"/>
      <c r="PSE24" s="1882"/>
      <c r="PSF24" s="1882"/>
      <c r="PSH24" s="1887"/>
      <c r="PSI24" s="1888"/>
      <c r="PSJ24" s="1882"/>
      <c r="PSK24" s="1882"/>
      <c r="PSL24" s="1882"/>
      <c r="PSN24" s="1887"/>
      <c r="PSO24" s="1888"/>
      <c r="PSP24" s="1882"/>
      <c r="PSQ24" s="1882"/>
      <c r="PSR24" s="1882"/>
      <c r="PST24" s="1887"/>
      <c r="PSU24" s="1888"/>
      <c r="PSV24" s="1882"/>
      <c r="PSW24" s="1882"/>
      <c r="PSX24" s="1882"/>
      <c r="PSZ24" s="1887"/>
      <c r="PTA24" s="1888"/>
      <c r="PTB24" s="1882"/>
      <c r="PTC24" s="1882"/>
      <c r="PTD24" s="1882"/>
      <c r="PTF24" s="1887"/>
      <c r="PTG24" s="1888"/>
      <c r="PTH24" s="1882"/>
      <c r="PTI24" s="1882"/>
      <c r="PTJ24" s="1882"/>
      <c r="PTL24" s="1887"/>
      <c r="PTM24" s="1888"/>
      <c r="PTN24" s="1882"/>
      <c r="PTO24" s="1882"/>
      <c r="PTP24" s="1882"/>
      <c r="PTR24" s="1887"/>
      <c r="PTS24" s="1888"/>
      <c r="PTT24" s="1882"/>
      <c r="PTU24" s="1882"/>
      <c r="PTV24" s="1882"/>
      <c r="PTX24" s="1887"/>
      <c r="PTY24" s="1888"/>
      <c r="PTZ24" s="1882"/>
      <c r="PUA24" s="1882"/>
      <c r="PUB24" s="1882"/>
      <c r="PUD24" s="1887"/>
      <c r="PUE24" s="1888"/>
      <c r="PUF24" s="1882"/>
      <c r="PUG24" s="1882"/>
      <c r="PUH24" s="1882"/>
      <c r="PUJ24" s="1887"/>
      <c r="PUK24" s="1888"/>
      <c r="PUL24" s="1882"/>
      <c r="PUM24" s="1882"/>
      <c r="PUN24" s="1882"/>
      <c r="PUP24" s="1887"/>
      <c r="PUQ24" s="1888"/>
      <c r="PUR24" s="1882"/>
      <c r="PUS24" s="1882"/>
      <c r="PUT24" s="1882"/>
      <c r="PUV24" s="1887"/>
      <c r="PUW24" s="1888"/>
      <c r="PUX24" s="1882"/>
      <c r="PUY24" s="1882"/>
      <c r="PUZ24" s="1882"/>
      <c r="PVB24" s="1887"/>
      <c r="PVC24" s="1888"/>
      <c r="PVD24" s="1882"/>
      <c r="PVE24" s="1882"/>
      <c r="PVF24" s="1882"/>
      <c r="PVH24" s="1887"/>
      <c r="PVI24" s="1888"/>
      <c r="PVJ24" s="1882"/>
      <c r="PVK24" s="1882"/>
      <c r="PVL24" s="1882"/>
      <c r="PVN24" s="1887"/>
      <c r="PVO24" s="1888"/>
      <c r="PVP24" s="1882"/>
      <c r="PVQ24" s="1882"/>
      <c r="PVR24" s="1882"/>
      <c r="PVT24" s="1887"/>
      <c r="PVU24" s="1888"/>
      <c r="PVV24" s="1882"/>
      <c r="PVW24" s="1882"/>
      <c r="PVX24" s="1882"/>
      <c r="PVZ24" s="1887"/>
      <c r="PWA24" s="1888"/>
      <c r="PWB24" s="1882"/>
      <c r="PWC24" s="1882"/>
      <c r="PWD24" s="1882"/>
      <c r="PWF24" s="1887"/>
      <c r="PWG24" s="1888"/>
      <c r="PWH24" s="1882"/>
      <c r="PWI24" s="1882"/>
      <c r="PWJ24" s="1882"/>
      <c r="PWL24" s="1887"/>
      <c r="PWM24" s="1888"/>
      <c r="PWN24" s="1882"/>
      <c r="PWO24" s="1882"/>
      <c r="PWP24" s="1882"/>
      <c r="PWR24" s="1887"/>
      <c r="PWS24" s="1888"/>
      <c r="PWT24" s="1882"/>
      <c r="PWU24" s="1882"/>
      <c r="PWV24" s="1882"/>
      <c r="PWX24" s="1887"/>
      <c r="PWY24" s="1888"/>
      <c r="PWZ24" s="1882"/>
      <c r="PXA24" s="1882"/>
      <c r="PXB24" s="1882"/>
      <c r="PXD24" s="1887"/>
      <c r="PXE24" s="1888"/>
      <c r="PXF24" s="1882"/>
      <c r="PXG24" s="1882"/>
      <c r="PXH24" s="1882"/>
      <c r="PXJ24" s="1887"/>
      <c r="PXK24" s="1888"/>
      <c r="PXL24" s="1882"/>
      <c r="PXM24" s="1882"/>
      <c r="PXN24" s="1882"/>
      <c r="PXP24" s="1887"/>
      <c r="PXQ24" s="1888"/>
      <c r="PXR24" s="1882"/>
      <c r="PXS24" s="1882"/>
      <c r="PXT24" s="1882"/>
      <c r="PXV24" s="1887"/>
      <c r="PXW24" s="1888"/>
      <c r="PXX24" s="1882"/>
      <c r="PXY24" s="1882"/>
      <c r="PXZ24" s="1882"/>
      <c r="PYB24" s="1887"/>
      <c r="PYC24" s="1888"/>
      <c r="PYD24" s="1882"/>
      <c r="PYE24" s="1882"/>
      <c r="PYF24" s="1882"/>
      <c r="PYH24" s="1887"/>
      <c r="PYI24" s="1888"/>
      <c r="PYJ24" s="1882"/>
      <c r="PYK24" s="1882"/>
      <c r="PYL24" s="1882"/>
      <c r="PYN24" s="1887"/>
      <c r="PYO24" s="1888"/>
      <c r="PYP24" s="1882"/>
      <c r="PYQ24" s="1882"/>
      <c r="PYR24" s="1882"/>
      <c r="PYT24" s="1887"/>
      <c r="PYU24" s="1888"/>
      <c r="PYV24" s="1882"/>
      <c r="PYW24" s="1882"/>
      <c r="PYX24" s="1882"/>
      <c r="PYZ24" s="1887"/>
      <c r="PZA24" s="1888"/>
      <c r="PZB24" s="1882"/>
      <c r="PZC24" s="1882"/>
      <c r="PZD24" s="1882"/>
      <c r="PZF24" s="1887"/>
      <c r="PZG24" s="1888"/>
      <c r="PZH24" s="1882"/>
      <c r="PZI24" s="1882"/>
      <c r="PZJ24" s="1882"/>
      <c r="PZL24" s="1887"/>
      <c r="PZM24" s="1888"/>
      <c r="PZN24" s="1882"/>
      <c r="PZO24" s="1882"/>
      <c r="PZP24" s="1882"/>
      <c r="PZR24" s="1887"/>
      <c r="PZS24" s="1888"/>
      <c r="PZT24" s="1882"/>
      <c r="PZU24" s="1882"/>
      <c r="PZV24" s="1882"/>
      <c r="PZX24" s="1887"/>
      <c r="PZY24" s="1888"/>
      <c r="PZZ24" s="1882"/>
      <c r="QAA24" s="1882"/>
      <c r="QAB24" s="1882"/>
      <c r="QAD24" s="1887"/>
      <c r="QAE24" s="1888"/>
      <c r="QAF24" s="1882"/>
      <c r="QAG24" s="1882"/>
      <c r="QAH24" s="1882"/>
      <c r="QAJ24" s="1887"/>
      <c r="QAK24" s="1888"/>
      <c r="QAL24" s="1882"/>
      <c r="QAM24" s="1882"/>
      <c r="QAN24" s="1882"/>
      <c r="QAP24" s="1887"/>
      <c r="QAQ24" s="1888"/>
      <c r="QAR24" s="1882"/>
      <c r="QAS24" s="1882"/>
      <c r="QAT24" s="1882"/>
      <c r="QAV24" s="1887"/>
      <c r="QAW24" s="1888"/>
      <c r="QAX24" s="1882"/>
      <c r="QAY24" s="1882"/>
      <c r="QAZ24" s="1882"/>
      <c r="QBB24" s="1887"/>
      <c r="QBC24" s="1888"/>
      <c r="QBD24" s="1882"/>
      <c r="QBE24" s="1882"/>
      <c r="QBF24" s="1882"/>
      <c r="QBH24" s="1887"/>
      <c r="QBI24" s="1888"/>
      <c r="QBJ24" s="1882"/>
      <c r="QBK24" s="1882"/>
      <c r="QBL24" s="1882"/>
      <c r="QBN24" s="1887"/>
      <c r="QBO24" s="1888"/>
      <c r="QBP24" s="1882"/>
      <c r="QBQ24" s="1882"/>
      <c r="QBR24" s="1882"/>
      <c r="QBT24" s="1887"/>
      <c r="QBU24" s="1888"/>
      <c r="QBV24" s="1882"/>
      <c r="QBW24" s="1882"/>
      <c r="QBX24" s="1882"/>
      <c r="QBZ24" s="1887"/>
      <c r="QCA24" s="1888"/>
      <c r="QCB24" s="1882"/>
      <c r="QCC24" s="1882"/>
      <c r="QCD24" s="1882"/>
      <c r="QCF24" s="1887"/>
      <c r="QCG24" s="1888"/>
      <c r="QCH24" s="1882"/>
      <c r="QCI24" s="1882"/>
      <c r="QCJ24" s="1882"/>
      <c r="QCL24" s="1887"/>
      <c r="QCM24" s="1888"/>
      <c r="QCN24" s="1882"/>
      <c r="QCO24" s="1882"/>
      <c r="QCP24" s="1882"/>
      <c r="QCR24" s="1887"/>
      <c r="QCS24" s="1888"/>
      <c r="QCT24" s="1882"/>
      <c r="QCU24" s="1882"/>
      <c r="QCV24" s="1882"/>
      <c r="QCX24" s="1887"/>
      <c r="QCY24" s="1888"/>
      <c r="QCZ24" s="1882"/>
      <c r="QDA24" s="1882"/>
      <c r="QDB24" s="1882"/>
      <c r="QDD24" s="1887"/>
      <c r="QDE24" s="1888"/>
      <c r="QDF24" s="1882"/>
      <c r="QDG24" s="1882"/>
      <c r="QDH24" s="1882"/>
      <c r="QDJ24" s="1887"/>
      <c r="QDK24" s="1888"/>
      <c r="QDL24" s="1882"/>
      <c r="QDM24" s="1882"/>
      <c r="QDN24" s="1882"/>
      <c r="QDP24" s="1887"/>
      <c r="QDQ24" s="1888"/>
      <c r="QDR24" s="1882"/>
      <c r="QDS24" s="1882"/>
      <c r="QDT24" s="1882"/>
      <c r="QDV24" s="1887"/>
      <c r="QDW24" s="1888"/>
      <c r="QDX24" s="1882"/>
      <c r="QDY24" s="1882"/>
      <c r="QDZ24" s="1882"/>
      <c r="QEB24" s="1887"/>
      <c r="QEC24" s="1888"/>
      <c r="QED24" s="1882"/>
      <c r="QEE24" s="1882"/>
      <c r="QEF24" s="1882"/>
      <c r="QEH24" s="1887"/>
      <c r="QEI24" s="1888"/>
      <c r="QEJ24" s="1882"/>
      <c r="QEK24" s="1882"/>
      <c r="QEL24" s="1882"/>
      <c r="QEN24" s="1887"/>
      <c r="QEO24" s="1888"/>
      <c r="QEP24" s="1882"/>
      <c r="QEQ24" s="1882"/>
      <c r="QER24" s="1882"/>
      <c r="QET24" s="1887"/>
      <c r="QEU24" s="1888"/>
      <c r="QEV24" s="1882"/>
      <c r="QEW24" s="1882"/>
      <c r="QEX24" s="1882"/>
      <c r="QEZ24" s="1887"/>
      <c r="QFA24" s="1888"/>
      <c r="QFB24" s="1882"/>
      <c r="QFC24" s="1882"/>
      <c r="QFD24" s="1882"/>
      <c r="QFF24" s="1887"/>
      <c r="QFG24" s="1888"/>
      <c r="QFH24" s="1882"/>
      <c r="QFI24" s="1882"/>
      <c r="QFJ24" s="1882"/>
      <c r="QFL24" s="1887"/>
      <c r="QFM24" s="1888"/>
      <c r="QFN24" s="1882"/>
      <c r="QFO24" s="1882"/>
      <c r="QFP24" s="1882"/>
      <c r="QFR24" s="1887"/>
      <c r="QFS24" s="1888"/>
      <c r="QFT24" s="1882"/>
      <c r="QFU24" s="1882"/>
      <c r="QFV24" s="1882"/>
      <c r="QFX24" s="1887"/>
      <c r="QFY24" s="1888"/>
      <c r="QFZ24" s="1882"/>
      <c r="QGA24" s="1882"/>
      <c r="QGB24" s="1882"/>
      <c r="QGD24" s="1887"/>
      <c r="QGE24" s="1888"/>
      <c r="QGF24" s="1882"/>
      <c r="QGG24" s="1882"/>
      <c r="QGH24" s="1882"/>
      <c r="QGJ24" s="1887"/>
      <c r="QGK24" s="1888"/>
      <c r="QGL24" s="1882"/>
      <c r="QGM24" s="1882"/>
      <c r="QGN24" s="1882"/>
      <c r="QGP24" s="1887"/>
      <c r="QGQ24" s="1888"/>
      <c r="QGR24" s="1882"/>
      <c r="QGS24" s="1882"/>
      <c r="QGT24" s="1882"/>
      <c r="QGV24" s="1887"/>
      <c r="QGW24" s="1888"/>
      <c r="QGX24" s="1882"/>
      <c r="QGY24" s="1882"/>
      <c r="QGZ24" s="1882"/>
      <c r="QHB24" s="1887"/>
      <c r="QHC24" s="1888"/>
      <c r="QHD24" s="1882"/>
      <c r="QHE24" s="1882"/>
      <c r="QHF24" s="1882"/>
      <c r="QHH24" s="1887"/>
      <c r="QHI24" s="1888"/>
      <c r="QHJ24" s="1882"/>
      <c r="QHK24" s="1882"/>
      <c r="QHL24" s="1882"/>
      <c r="QHN24" s="1887"/>
      <c r="QHO24" s="1888"/>
      <c r="QHP24" s="1882"/>
      <c r="QHQ24" s="1882"/>
      <c r="QHR24" s="1882"/>
      <c r="QHT24" s="1887"/>
      <c r="QHU24" s="1888"/>
      <c r="QHV24" s="1882"/>
      <c r="QHW24" s="1882"/>
      <c r="QHX24" s="1882"/>
      <c r="QHZ24" s="1887"/>
      <c r="QIA24" s="1888"/>
      <c r="QIB24" s="1882"/>
      <c r="QIC24" s="1882"/>
      <c r="QID24" s="1882"/>
      <c r="QIF24" s="1887"/>
      <c r="QIG24" s="1888"/>
      <c r="QIH24" s="1882"/>
      <c r="QII24" s="1882"/>
      <c r="QIJ24" s="1882"/>
      <c r="QIL24" s="1887"/>
      <c r="QIM24" s="1888"/>
      <c r="QIN24" s="1882"/>
      <c r="QIO24" s="1882"/>
      <c r="QIP24" s="1882"/>
      <c r="QIR24" s="1887"/>
      <c r="QIS24" s="1888"/>
      <c r="QIT24" s="1882"/>
      <c r="QIU24" s="1882"/>
      <c r="QIV24" s="1882"/>
      <c r="QIX24" s="1887"/>
      <c r="QIY24" s="1888"/>
      <c r="QIZ24" s="1882"/>
      <c r="QJA24" s="1882"/>
      <c r="QJB24" s="1882"/>
      <c r="QJD24" s="1887"/>
      <c r="QJE24" s="1888"/>
      <c r="QJF24" s="1882"/>
      <c r="QJG24" s="1882"/>
      <c r="QJH24" s="1882"/>
      <c r="QJJ24" s="1887"/>
      <c r="QJK24" s="1888"/>
      <c r="QJL24" s="1882"/>
      <c r="QJM24" s="1882"/>
      <c r="QJN24" s="1882"/>
      <c r="QJP24" s="1887"/>
      <c r="QJQ24" s="1888"/>
      <c r="QJR24" s="1882"/>
      <c r="QJS24" s="1882"/>
      <c r="QJT24" s="1882"/>
      <c r="QJV24" s="1887"/>
      <c r="QJW24" s="1888"/>
      <c r="QJX24" s="1882"/>
      <c r="QJY24" s="1882"/>
      <c r="QJZ24" s="1882"/>
      <c r="QKB24" s="1887"/>
      <c r="QKC24" s="1888"/>
      <c r="QKD24" s="1882"/>
      <c r="QKE24" s="1882"/>
      <c r="QKF24" s="1882"/>
      <c r="QKH24" s="1887"/>
      <c r="QKI24" s="1888"/>
      <c r="QKJ24" s="1882"/>
      <c r="QKK24" s="1882"/>
      <c r="QKL24" s="1882"/>
      <c r="QKN24" s="1887"/>
      <c r="QKO24" s="1888"/>
      <c r="QKP24" s="1882"/>
      <c r="QKQ24" s="1882"/>
      <c r="QKR24" s="1882"/>
      <c r="QKT24" s="1887"/>
      <c r="QKU24" s="1888"/>
      <c r="QKV24" s="1882"/>
      <c r="QKW24" s="1882"/>
      <c r="QKX24" s="1882"/>
      <c r="QKZ24" s="1887"/>
      <c r="QLA24" s="1888"/>
      <c r="QLB24" s="1882"/>
      <c r="QLC24" s="1882"/>
      <c r="QLD24" s="1882"/>
      <c r="QLF24" s="1887"/>
      <c r="QLG24" s="1888"/>
      <c r="QLH24" s="1882"/>
      <c r="QLI24" s="1882"/>
      <c r="QLJ24" s="1882"/>
      <c r="QLL24" s="1887"/>
      <c r="QLM24" s="1888"/>
      <c r="QLN24" s="1882"/>
      <c r="QLO24" s="1882"/>
      <c r="QLP24" s="1882"/>
      <c r="QLR24" s="1887"/>
      <c r="QLS24" s="1888"/>
      <c r="QLT24" s="1882"/>
      <c r="QLU24" s="1882"/>
      <c r="QLV24" s="1882"/>
      <c r="QLX24" s="1887"/>
      <c r="QLY24" s="1888"/>
      <c r="QLZ24" s="1882"/>
      <c r="QMA24" s="1882"/>
      <c r="QMB24" s="1882"/>
      <c r="QMD24" s="1887"/>
      <c r="QME24" s="1888"/>
      <c r="QMF24" s="1882"/>
      <c r="QMG24" s="1882"/>
      <c r="QMH24" s="1882"/>
      <c r="QMJ24" s="1887"/>
      <c r="QMK24" s="1888"/>
      <c r="QML24" s="1882"/>
      <c r="QMM24" s="1882"/>
      <c r="QMN24" s="1882"/>
      <c r="QMP24" s="1887"/>
      <c r="QMQ24" s="1888"/>
      <c r="QMR24" s="1882"/>
      <c r="QMS24" s="1882"/>
      <c r="QMT24" s="1882"/>
      <c r="QMV24" s="1887"/>
      <c r="QMW24" s="1888"/>
      <c r="QMX24" s="1882"/>
      <c r="QMY24" s="1882"/>
      <c r="QMZ24" s="1882"/>
      <c r="QNB24" s="1887"/>
      <c r="QNC24" s="1888"/>
      <c r="QND24" s="1882"/>
      <c r="QNE24" s="1882"/>
      <c r="QNF24" s="1882"/>
      <c r="QNH24" s="1887"/>
      <c r="QNI24" s="1888"/>
      <c r="QNJ24" s="1882"/>
      <c r="QNK24" s="1882"/>
      <c r="QNL24" s="1882"/>
      <c r="QNN24" s="1887"/>
      <c r="QNO24" s="1888"/>
      <c r="QNP24" s="1882"/>
      <c r="QNQ24" s="1882"/>
      <c r="QNR24" s="1882"/>
      <c r="QNT24" s="1887"/>
      <c r="QNU24" s="1888"/>
      <c r="QNV24" s="1882"/>
      <c r="QNW24" s="1882"/>
      <c r="QNX24" s="1882"/>
      <c r="QNZ24" s="1887"/>
      <c r="QOA24" s="1888"/>
      <c r="QOB24" s="1882"/>
      <c r="QOC24" s="1882"/>
      <c r="QOD24" s="1882"/>
      <c r="QOF24" s="1887"/>
      <c r="QOG24" s="1888"/>
      <c r="QOH24" s="1882"/>
      <c r="QOI24" s="1882"/>
      <c r="QOJ24" s="1882"/>
      <c r="QOL24" s="1887"/>
      <c r="QOM24" s="1888"/>
      <c r="QON24" s="1882"/>
      <c r="QOO24" s="1882"/>
      <c r="QOP24" s="1882"/>
      <c r="QOR24" s="1887"/>
      <c r="QOS24" s="1888"/>
      <c r="QOT24" s="1882"/>
      <c r="QOU24" s="1882"/>
      <c r="QOV24" s="1882"/>
      <c r="QOX24" s="1887"/>
      <c r="QOY24" s="1888"/>
      <c r="QOZ24" s="1882"/>
      <c r="QPA24" s="1882"/>
      <c r="QPB24" s="1882"/>
      <c r="QPD24" s="1887"/>
      <c r="QPE24" s="1888"/>
      <c r="QPF24" s="1882"/>
      <c r="QPG24" s="1882"/>
      <c r="QPH24" s="1882"/>
      <c r="QPJ24" s="1887"/>
      <c r="QPK24" s="1888"/>
      <c r="QPL24" s="1882"/>
      <c r="QPM24" s="1882"/>
      <c r="QPN24" s="1882"/>
      <c r="QPP24" s="1887"/>
      <c r="QPQ24" s="1888"/>
      <c r="QPR24" s="1882"/>
      <c r="QPS24" s="1882"/>
      <c r="QPT24" s="1882"/>
      <c r="QPV24" s="1887"/>
      <c r="QPW24" s="1888"/>
      <c r="QPX24" s="1882"/>
      <c r="QPY24" s="1882"/>
      <c r="QPZ24" s="1882"/>
      <c r="QQB24" s="1887"/>
      <c r="QQC24" s="1888"/>
      <c r="QQD24" s="1882"/>
      <c r="QQE24" s="1882"/>
      <c r="QQF24" s="1882"/>
      <c r="QQH24" s="1887"/>
      <c r="QQI24" s="1888"/>
      <c r="QQJ24" s="1882"/>
      <c r="QQK24" s="1882"/>
      <c r="QQL24" s="1882"/>
      <c r="QQN24" s="1887"/>
      <c r="QQO24" s="1888"/>
      <c r="QQP24" s="1882"/>
      <c r="QQQ24" s="1882"/>
      <c r="QQR24" s="1882"/>
      <c r="QQT24" s="1887"/>
      <c r="QQU24" s="1888"/>
      <c r="QQV24" s="1882"/>
      <c r="QQW24" s="1882"/>
      <c r="QQX24" s="1882"/>
      <c r="QQZ24" s="1887"/>
      <c r="QRA24" s="1888"/>
      <c r="QRB24" s="1882"/>
      <c r="QRC24" s="1882"/>
      <c r="QRD24" s="1882"/>
      <c r="QRF24" s="1887"/>
      <c r="QRG24" s="1888"/>
      <c r="QRH24" s="1882"/>
      <c r="QRI24" s="1882"/>
      <c r="QRJ24" s="1882"/>
      <c r="QRL24" s="1887"/>
      <c r="QRM24" s="1888"/>
      <c r="QRN24" s="1882"/>
      <c r="QRO24" s="1882"/>
      <c r="QRP24" s="1882"/>
      <c r="QRR24" s="1887"/>
      <c r="QRS24" s="1888"/>
      <c r="QRT24" s="1882"/>
      <c r="QRU24" s="1882"/>
      <c r="QRV24" s="1882"/>
      <c r="QRX24" s="1887"/>
      <c r="QRY24" s="1888"/>
      <c r="QRZ24" s="1882"/>
      <c r="QSA24" s="1882"/>
      <c r="QSB24" s="1882"/>
      <c r="QSD24" s="1887"/>
      <c r="QSE24" s="1888"/>
      <c r="QSF24" s="1882"/>
      <c r="QSG24" s="1882"/>
      <c r="QSH24" s="1882"/>
      <c r="QSJ24" s="1887"/>
      <c r="QSK24" s="1888"/>
      <c r="QSL24" s="1882"/>
      <c r="QSM24" s="1882"/>
      <c r="QSN24" s="1882"/>
      <c r="QSP24" s="1887"/>
      <c r="QSQ24" s="1888"/>
      <c r="QSR24" s="1882"/>
      <c r="QSS24" s="1882"/>
      <c r="QST24" s="1882"/>
      <c r="QSV24" s="1887"/>
      <c r="QSW24" s="1888"/>
      <c r="QSX24" s="1882"/>
      <c r="QSY24" s="1882"/>
      <c r="QSZ24" s="1882"/>
      <c r="QTB24" s="1887"/>
      <c r="QTC24" s="1888"/>
      <c r="QTD24" s="1882"/>
      <c r="QTE24" s="1882"/>
      <c r="QTF24" s="1882"/>
      <c r="QTH24" s="1887"/>
      <c r="QTI24" s="1888"/>
      <c r="QTJ24" s="1882"/>
      <c r="QTK24" s="1882"/>
      <c r="QTL24" s="1882"/>
      <c r="QTN24" s="1887"/>
      <c r="QTO24" s="1888"/>
      <c r="QTP24" s="1882"/>
      <c r="QTQ24" s="1882"/>
      <c r="QTR24" s="1882"/>
      <c r="QTT24" s="1887"/>
      <c r="QTU24" s="1888"/>
      <c r="QTV24" s="1882"/>
      <c r="QTW24" s="1882"/>
      <c r="QTX24" s="1882"/>
      <c r="QTZ24" s="1887"/>
      <c r="QUA24" s="1888"/>
      <c r="QUB24" s="1882"/>
      <c r="QUC24" s="1882"/>
      <c r="QUD24" s="1882"/>
      <c r="QUF24" s="1887"/>
      <c r="QUG24" s="1888"/>
      <c r="QUH24" s="1882"/>
      <c r="QUI24" s="1882"/>
      <c r="QUJ24" s="1882"/>
      <c r="QUL24" s="1887"/>
      <c r="QUM24" s="1888"/>
      <c r="QUN24" s="1882"/>
      <c r="QUO24" s="1882"/>
      <c r="QUP24" s="1882"/>
      <c r="QUR24" s="1887"/>
      <c r="QUS24" s="1888"/>
      <c r="QUT24" s="1882"/>
      <c r="QUU24" s="1882"/>
      <c r="QUV24" s="1882"/>
      <c r="QUX24" s="1887"/>
      <c r="QUY24" s="1888"/>
      <c r="QUZ24" s="1882"/>
      <c r="QVA24" s="1882"/>
      <c r="QVB24" s="1882"/>
      <c r="QVD24" s="1887"/>
      <c r="QVE24" s="1888"/>
      <c r="QVF24" s="1882"/>
      <c r="QVG24" s="1882"/>
      <c r="QVH24" s="1882"/>
      <c r="QVJ24" s="1887"/>
      <c r="QVK24" s="1888"/>
      <c r="QVL24" s="1882"/>
      <c r="QVM24" s="1882"/>
      <c r="QVN24" s="1882"/>
      <c r="QVP24" s="1887"/>
      <c r="QVQ24" s="1888"/>
      <c r="QVR24" s="1882"/>
      <c r="QVS24" s="1882"/>
      <c r="QVT24" s="1882"/>
      <c r="QVV24" s="1887"/>
      <c r="QVW24" s="1888"/>
      <c r="QVX24" s="1882"/>
      <c r="QVY24" s="1882"/>
      <c r="QVZ24" s="1882"/>
      <c r="QWB24" s="1887"/>
      <c r="QWC24" s="1888"/>
      <c r="QWD24" s="1882"/>
      <c r="QWE24" s="1882"/>
      <c r="QWF24" s="1882"/>
      <c r="QWH24" s="1887"/>
      <c r="QWI24" s="1888"/>
      <c r="QWJ24" s="1882"/>
      <c r="QWK24" s="1882"/>
      <c r="QWL24" s="1882"/>
      <c r="QWN24" s="1887"/>
      <c r="QWO24" s="1888"/>
      <c r="QWP24" s="1882"/>
      <c r="QWQ24" s="1882"/>
      <c r="QWR24" s="1882"/>
      <c r="QWT24" s="1887"/>
      <c r="QWU24" s="1888"/>
      <c r="QWV24" s="1882"/>
      <c r="QWW24" s="1882"/>
      <c r="QWX24" s="1882"/>
      <c r="QWZ24" s="1887"/>
      <c r="QXA24" s="1888"/>
      <c r="QXB24" s="1882"/>
      <c r="QXC24" s="1882"/>
      <c r="QXD24" s="1882"/>
      <c r="QXF24" s="1887"/>
      <c r="QXG24" s="1888"/>
      <c r="QXH24" s="1882"/>
      <c r="QXI24" s="1882"/>
      <c r="QXJ24" s="1882"/>
      <c r="QXL24" s="1887"/>
      <c r="QXM24" s="1888"/>
      <c r="QXN24" s="1882"/>
      <c r="QXO24" s="1882"/>
      <c r="QXP24" s="1882"/>
      <c r="QXR24" s="1887"/>
      <c r="QXS24" s="1888"/>
      <c r="QXT24" s="1882"/>
      <c r="QXU24" s="1882"/>
      <c r="QXV24" s="1882"/>
      <c r="QXX24" s="1887"/>
      <c r="QXY24" s="1888"/>
      <c r="QXZ24" s="1882"/>
      <c r="QYA24" s="1882"/>
      <c r="QYB24" s="1882"/>
      <c r="QYD24" s="1887"/>
      <c r="QYE24" s="1888"/>
      <c r="QYF24" s="1882"/>
      <c r="QYG24" s="1882"/>
      <c r="QYH24" s="1882"/>
      <c r="QYJ24" s="1887"/>
      <c r="QYK24" s="1888"/>
      <c r="QYL24" s="1882"/>
      <c r="QYM24" s="1882"/>
      <c r="QYN24" s="1882"/>
      <c r="QYP24" s="1887"/>
      <c r="QYQ24" s="1888"/>
      <c r="QYR24" s="1882"/>
      <c r="QYS24" s="1882"/>
      <c r="QYT24" s="1882"/>
      <c r="QYV24" s="1887"/>
      <c r="QYW24" s="1888"/>
      <c r="QYX24" s="1882"/>
      <c r="QYY24" s="1882"/>
      <c r="QYZ24" s="1882"/>
      <c r="QZB24" s="1887"/>
      <c r="QZC24" s="1888"/>
      <c r="QZD24" s="1882"/>
      <c r="QZE24" s="1882"/>
      <c r="QZF24" s="1882"/>
      <c r="QZH24" s="1887"/>
      <c r="QZI24" s="1888"/>
      <c r="QZJ24" s="1882"/>
      <c r="QZK24" s="1882"/>
      <c r="QZL24" s="1882"/>
      <c r="QZN24" s="1887"/>
      <c r="QZO24" s="1888"/>
      <c r="QZP24" s="1882"/>
      <c r="QZQ24" s="1882"/>
      <c r="QZR24" s="1882"/>
      <c r="QZT24" s="1887"/>
      <c r="QZU24" s="1888"/>
      <c r="QZV24" s="1882"/>
      <c r="QZW24" s="1882"/>
      <c r="QZX24" s="1882"/>
      <c r="QZZ24" s="1887"/>
      <c r="RAA24" s="1888"/>
      <c r="RAB24" s="1882"/>
      <c r="RAC24" s="1882"/>
      <c r="RAD24" s="1882"/>
      <c r="RAF24" s="1887"/>
      <c r="RAG24" s="1888"/>
      <c r="RAH24" s="1882"/>
      <c r="RAI24" s="1882"/>
      <c r="RAJ24" s="1882"/>
      <c r="RAL24" s="1887"/>
      <c r="RAM24" s="1888"/>
      <c r="RAN24" s="1882"/>
      <c r="RAO24" s="1882"/>
      <c r="RAP24" s="1882"/>
      <c r="RAR24" s="1887"/>
      <c r="RAS24" s="1888"/>
      <c r="RAT24" s="1882"/>
      <c r="RAU24" s="1882"/>
      <c r="RAV24" s="1882"/>
      <c r="RAX24" s="1887"/>
      <c r="RAY24" s="1888"/>
      <c r="RAZ24" s="1882"/>
      <c r="RBA24" s="1882"/>
      <c r="RBB24" s="1882"/>
      <c r="RBD24" s="1887"/>
      <c r="RBE24" s="1888"/>
      <c r="RBF24" s="1882"/>
      <c r="RBG24" s="1882"/>
      <c r="RBH24" s="1882"/>
      <c r="RBJ24" s="1887"/>
      <c r="RBK24" s="1888"/>
      <c r="RBL24" s="1882"/>
      <c r="RBM24" s="1882"/>
      <c r="RBN24" s="1882"/>
      <c r="RBP24" s="1887"/>
      <c r="RBQ24" s="1888"/>
      <c r="RBR24" s="1882"/>
      <c r="RBS24" s="1882"/>
      <c r="RBT24" s="1882"/>
      <c r="RBV24" s="1887"/>
      <c r="RBW24" s="1888"/>
      <c r="RBX24" s="1882"/>
      <c r="RBY24" s="1882"/>
      <c r="RBZ24" s="1882"/>
      <c r="RCB24" s="1887"/>
      <c r="RCC24" s="1888"/>
      <c r="RCD24" s="1882"/>
      <c r="RCE24" s="1882"/>
      <c r="RCF24" s="1882"/>
      <c r="RCH24" s="1887"/>
      <c r="RCI24" s="1888"/>
      <c r="RCJ24" s="1882"/>
      <c r="RCK24" s="1882"/>
      <c r="RCL24" s="1882"/>
      <c r="RCN24" s="1887"/>
      <c r="RCO24" s="1888"/>
      <c r="RCP24" s="1882"/>
      <c r="RCQ24" s="1882"/>
      <c r="RCR24" s="1882"/>
      <c r="RCT24" s="1887"/>
      <c r="RCU24" s="1888"/>
      <c r="RCV24" s="1882"/>
      <c r="RCW24" s="1882"/>
      <c r="RCX24" s="1882"/>
      <c r="RCZ24" s="1887"/>
      <c r="RDA24" s="1888"/>
      <c r="RDB24" s="1882"/>
      <c r="RDC24" s="1882"/>
      <c r="RDD24" s="1882"/>
      <c r="RDF24" s="1887"/>
      <c r="RDG24" s="1888"/>
      <c r="RDH24" s="1882"/>
      <c r="RDI24" s="1882"/>
      <c r="RDJ24" s="1882"/>
      <c r="RDL24" s="1887"/>
      <c r="RDM24" s="1888"/>
      <c r="RDN24" s="1882"/>
      <c r="RDO24" s="1882"/>
      <c r="RDP24" s="1882"/>
      <c r="RDR24" s="1887"/>
      <c r="RDS24" s="1888"/>
      <c r="RDT24" s="1882"/>
      <c r="RDU24" s="1882"/>
      <c r="RDV24" s="1882"/>
      <c r="RDX24" s="1887"/>
      <c r="RDY24" s="1888"/>
      <c r="RDZ24" s="1882"/>
      <c r="REA24" s="1882"/>
      <c r="REB24" s="1882"/>
      <c r="RED24" s="1887"/>
      <c r="REE24" s="1888"/>
      <c r="REF24" s="1882"/>
      <c r="REG24" s="1882"/>
      <c r="REH24" s="1882"/>
      <c r="REJ24" s="1887"/>
      <c r="REK24" s="1888"/>
      <c r="REL24" s="1882"/>
      <c r="REM24" s="1882"/>
      <c r="REN24" s="1882"/>
      <c r="REP24" s="1887"/>
      <c r="REQ24" s="1888"/>
      <c r="RER24" s="1882"/>
      <c r="RES24" s="1882"/>
      <c r="RET24" s="1882"/>
      <c r="REV24" s="1887"/>
      <c r="REW24" s="1888"/>
      <c r="REX24" s="1882"/>
      <c r="REY24" s="1882"/>
      <c r="REZ24" s="1882"/>
      <c r="RFB24" s="1887"/>
      <c r="RFC24" s="1888"/>
      <c r="RFD24" s="1882"/>
      <c r="RFE24" s="1882"/>
      <c r="RFF24" s="1882"/>
      <c r="RFH24" s="1887"/>
      <c r="RFI24" s="1888"/>
      <c r="RFJ24" s="1882"/>
      <c r="RFK24" s="1882"/>
      <c r="RFL24" s="1882"/>
      <c r="RFN24" s="1887"/>
      <c r="RFO24" s="1888"/>
      <c r="RFP24" s="1882"/>
      <c r="RFQ24" s="1882"/>
      <c r="RFR24" s="1882"/>
      <c r="RFT24" s="1887"/>
      <c r="RFU24" s="1888"/>
      <c r="RFV24" s="1882"/>
      <c r="RFW24" s="1882"/>
      <c r="RFX24" s="1882"/>
      <c r="RFZ24" s="1887"/>
      <c r="RGA24" s="1888"/>
      <c r="RGB24" s="1882"/>
      <c r="RGC24" s="1882"/>
      <c r="RGD24" s="1882"/>
      <c r="RGF24" s="1887"/>
      <c r="RGG24" s="1888"/>
      <c r="RGH24" s="1882"/>
      <c r="RGI24" s="1882"/>
      <c r="RGJ24" s="1882"/>
      <c r="RGL24" s="1887"/>
      <c r="RGM24" s="1888"/>
      <c r="RGN24" s="1882"/>
      <c r="RGO24" s="1882"/>
      <c r="RGP24" s="1882"/>
      <c r="RGR24" s="1887"/>
      <c r="RGS24" s="1888"/>
      <c r="RGT24" s="1882"/>
      <c r="RGU24" s="1882"/>
      <c r="RGV24" s="1882"/>
      <c r="RGX24" s="1887"/>
      <c r="RGY24" s="1888"/>
      <c r="RGZ24" s="1882"/>
      <c r="RHA24" s="1882"/>
      <c r="RHB24" s="1882"/>
      <c r="RHD24" s="1887"/>
      <c r="RHE24" s="1888"/>
      <c r="RHF24" s="1882"/>
      <c r="RHG24" s="1882"/>
      <c r="RHH24" s="1882"/>
      <c r="RHJ24" s="1887"/>
      <c r="RHK24" s="1888"/>
      <c r="RHL24" s="1882"/>
      <c r="RHM24" s="1882"/>
      <c r="RHN24" s="1882"/>
      <c r="RHP24" s="1887"/>
      <c r="RHQ24" s="1888"/>
      <c r="RHR24" s="1882"/>
      <c r="RHS24" s="1882"/>
      <c r="RHT24" s="1882"/>
      <c r="RHV24" s="1887"/>
      <c r="RHW24" s="1888"/>
      <c r="RHX24" s="1882"/>
      <c r="RHY24" s="1882"/>
      <c r="RHZ24" s="1882"/>
      <c r="RIB24" s="1887"/>
      <c r="RIC24" s="1888"/>
      <c r="RID24" s="1882"/>
      <c r="RIE24" s="1882"/>
      <c r="RIF24" s="1882"/>
      <c r="RIH24" s="1887"/>
      <c r="RII24" s="1888"/>
      <c r="RIJ24" s="1882"/>
      <c r="RIK24" s="1882"/>
      <c r="RIL24" s="1882"/>
      <c r="RIN24" s="1887"/>
      <c r="RIO24" s="1888"/>
      <c r="RIP24" s="1882"/>
      <c r="RIQ24" s="1882"/>
      <c r="RIR24" s="1882"/>
      <c r="RIT24" s="1887"/>
      <c r="RIU24" s="1888"/>
      <c r="RIV24" s="1882"/>
      <c r="RIW24" s="1882"/>
      <c r="RIX24" s="1882"/>
      <c r="RIZ24" s="1887"/>
      <c r="RJA24" s="1888"/>
      <c r="RJB24" s="1882"/>
      <c r="RJC24" s="1882"/>
      <c r="RJD24" s="1882"/>
      <c r="RJF24" s="1887"/>
      <c r="RJG24" s="1888"/>
      <c r="RJH24" s="1882"/>
      <c r="RJI24" s="1882"/>
      <c r="RJJ24" s="1882"/>
      <c r="RJL24" s="1887"/>
      <c r="RJM24" s="1888"/>
      <c r="RJN24" s="1882"/>
      <c r="RJO24" s="1882"/>
      <c r="RJP24" s="1882"/>
      <c r="RJR24" s="1887"/>
      <c r="RJS24" s="1888"/>
      <c r="RJT24" s="1882"/>
      <c r="RJU24" s="1882"/>
      <c r="RJV24" s="1882"/>
      <c r="RJX24" s="1887"/>
      <c r="RJY24" s="1888"/>
      <c r="RJZ24" s="1882"/>
      <c r="RKA24" s="1882"/>
      <c r="RKB24" s="1882"/>
      <c r="RKD24" s="1887"/>
      <c r="RKE24" s="1888"/>
      <c r="RKF24" s="1882"/>
      <c r="RKG24" s="1882"/>
      <c r="RKH24" s="1882"/>
      <c r="RKJ24" s="1887"/>
      <c r="RKK24" s="1888"/>
      <c r="RKL24" s="1882"/>
      <c r="RKM24" s="1882"/>
      <c r="RKN24" s="1882"/>
      <c r="RKP24" s="1887"/>
      <c r="RKQ24" s="1888"/>
      <c r="RKR24" s="1882"/>
      <c r="RKS24" s="1882"/>
      <c r="RKT24" s="1882"/>
      <c r="RKV24" s="1887"/>
      <c r="RKW24" s="1888"/>
      <c r="RKX24" s="1882"/>
      <c r="RKY24" s="1882"/>
      <c r="RKZ24" s="1882"/>
      <c r="RLB24" s="1887"/>
      <c r="RLC24" s="1888"/>
      <c r="RLD24" s="1882"/>
      <c r="RLE24" s="1882"/>
      <c r="RLF24" s="1882"/>
      <c r="RLH24" s="1887"/>
      <c r="RLI24" s="1888"/>
      <c r="RLJ24" s="1882"/>
      <c r="RLK24" s="1882"/>
      <c r="RLL24" s="1882"/>
      <c r="RLN24" s="1887"/>
      <c r="RLO24" s="1888"/>
      <c r="RLP24" s="1882"/>
      <c r="RLQ24" s="1882"/>
      <c r="RLR24" s="1882"/>
      <c r="RLT24" s="1887"/>
      <c r="RLU24" s="1888"/>
      <c r="RLV24" s="1882"/>
      <c r="RLW24" s="1882"/>
      <c r="RLX24" s="1882"/>
      <c r="RLZ24" s="1887"/>
      <c r="RMA24" s="1888"/>
      <c r="RMB24" s="1882"/>
      <c r="RMC24" s="1882"/>
      <c r="RMD24" s="1882"/>
      <c r="RMF24" s="1887"/>
      <c r="RMG24" s="1888"/>
      <c r="RMH24" s="1882"/>
      <c r="RMI24" s="1882"/>
      <c r="RMJ24" s="1882"/>
      <c r="RML24" s="1887"/>
      <c r="RMM24" s="1888"/>
      <c r="RMN24" s="1882"/>
      <c r="RMO24" s="1882"/>
      <c r="RMP24" s="1882"/>
      <c r="RMR24" s="1887"/>
      <c r="RMS24" s="1888"/>
      <c r="RMT24" s="1882"/>
      <c r="RMU24" s="1882"/>
      <c r="RMV24" s="1882"/>
      <c r="RMX24" s="1887"/>
      <c r="RMY24" s="1888"/>
      <c r="RMZ24" s="1882"/>
      <c r="RNA24" s="1882"/>
      <c r="RNB24" s="1882"/>
      <c r="RND24" s="1887"/>
      <c r="RNE24" s="1888"/>
      <c r="RNF24" s="1882"/>
      <c r="RNG24" s="1882"/>
      <c r="RNH24" s="1882"/>
      <c r="RNJ24" s="1887"/>
      <c r="RNK24" s="1888"/>
      <c r="RNL24" s="1882"/>
      <c r="RNM24" s="1882"/>
      <c r="RNN24" s="1882"/>
      <c r="RNP24" s="1887"/>
      <c r="RNQ24" s="1888"/>
      <c r="RNR24" s="1882"/>
      <c r="RNS24" s="1882"/>
      <c r="RNT24" s="1882"/>
      <c r="RNV24" s="1887"/>
      <c r="RNW24" s="1888"/>
      <c r="RNX24" s="1882"/>
      <c r="RNY24" s="1882"/>
      <c r="RNZ24" s="1882"/>
      <c r="ROB24" s="1887"/>
      <c r="ROC24" s="1888"/>
      <c r="ROD24" s="1882"/>
      <c r="ROE24" s="1882"/>
      <c r="ROF24" s="1882"/>
      <c r="ROH24" s="1887"/>
      <c r="ROI24" s="1888"/>
      <c r="ROJ24" s="1882"/>
      <c r="ROK24" s="1882"/>
      <c r="ROL24" s="1882"/>
      <c r="RON24" s="1887"/>
      <c r="ROO24" s="1888"/>
      <c r="ROP24" s="1882"/>
      <c r="ROQ24" s="1882"/>
      <c r="ROR24" s="1882"/>
      <c r="ROT24" s="1887"/>
      <c r="ROU24" s="1888"/>
      <c r="ROV24" s="1882"/>
      <c r="ROW24" s="1882"/>
      <c r="ROX24" s="1882"/>
      <c r="ROZ24" s="1887"/>
      <c r="RPA24" s="1888"/>
      <c r="RPB24" s="1882"/>
      <c r="RPC24" s="1882"/>
      <c r="RPD24" s="1882"/>
      <c r="RPF24" s="1887"/>
      <c r="RPG24" s="1888"/>
      <c r="RPH24" s="1882"/>
      <c r="RPI24" s="1882"/>
      <c r="RPJ24" s="1882"/>
      <c r="RPL24" s="1887"/>
      <c r="RPM24" s="1888"/>
      <c r="RPN24" s="1882"/>
      <c r="RPO24" s="1882"/>
      <c r="RPP24" s="1882"/>
      <c r="RPR24" s="1887"/>
      <c r="RPS24" s="1888"/>
      <c r="RPT24" s="1882"/>
      <c r="RPU24" s="1882"/>
      <c r="RPV24" s="1882"/>
      <c r="RPX24" s="1887"/>
      <c r="RPY24" s="1888"/>
      <c r="RPZ24" s="1882"/>
      <c r="RQA24" s="1882"/>
      <c r="RQB24" s="1882"/>
      <c r="RQD24" s="1887"/>
      <c r="RQE24" s="1888"/>
      <c r="RQF24" s="1882"/>
      <c r="RQG24" s="1882"/>
      <c r="RQH24" s="1882"/>
      <c r="RQJ24" s="1887"/>
      <c r="RQK24" s="1888"/>
      <c r="RQL24" s="1882"/>
      <c r="RQM24" s="1882"/>
      <c r="RQN24" s="1882"/>
      <c r="RQP24" s="1887"/>
      <c r="RQQ24" s="1888"/>
      <c r="RQR24" s="1882"/>
      <c r="RQS24" s="1882"/>
      <c r="RQT24" s="1882"/>
      <c r="RQV24" s="1887"/>
      <c r="RQW24" s="1888"/>
      <c r="RQX24" s="1882"/>
      <c r="RQY24" s="1882"/>
      <c r="RQZ24" s="1882"/>
      <c r="RRB24" s="1887"/>
      <c r="RRC24" s="1888"/>
      <c r="RRD24" s="1882"/>
      <c r="RRE24" s="1882"/>
      <c r="RRF24" s="1882"/>
      <c r="RRH24" s="1887"/>
      <c r="RRI24" s="1888"/>
      <c r="RRJ24" s="1882"/>
      <c r="RRK24" s="1882"/>
      <c r="RRL24" s="1882"/>
      <c r="RRN24" s="1887"/>
      <c r="RRO24" s="1888"/>
      <c r="RRP24" s="1882"/>
      <c r="RRQ24" s="1882"/>
      <c r="RRR24" s="1882"/>
      <c r="RRT24" s="1887"/>
      <c r="RRU24" s="1888"/>
      <c r="RRV24" s="1882"/>
      <c r="RRW24" s="1882"/>
      <c r="RRX24" s="1882"/>
      <c r="RRZ24" s="1887"/>
      <c r="RSA24" s="1888"/>
      <c r="RSB24" s="1882"/>
      <c r="RSC24" s="1882"/>
      <c r="RSD24" s="1882"/>
      <c r="RSF24" s="1887"/>
      <c r="RSG24" s="1888"/>
      <c r="RSH24" s="1882"/>
      <c r="RSI24" s="1882"/>
      <c r="RSJ24" s="1882"/>
      <c r="RSL24" s="1887"/>
      <c r="RSM24" s="1888"/>
      <c r="RSN24" s="1882"/>
      <c r="RSO24" s="1882"/>
      <c r="RSP24" s="1882"/>
      <c r="RSR24" s="1887"/>
      <c r="RSS24" s="1888"/>
      <c r="RST24" s="1882"/>
      <c r="RSU24" s="1882"/>
      <c r="RSV24" s="1882"/>
      <c r="RSX24" s="1887"/>
      <c r="RSY24" s="1888"/>
      <c r="RSZ24" s="1882"/>
      <c r="RTA24" s="1882"/>
      <c r="RTB24" s="1882"/>
      <c r="RTD24" s="1887"/>
      <c r="RTE24" s="1888"/>
      <c r="RTF24" s="1882"/>
      <c r="RTG24" s="1882"/>
      <c r="RTH24" s="1882"/>
      <c r="RTJ24" s="1887"/>
      <c r="RTK24" s="1888"/>
      <c r="RTL24" s="1882"/>
      <c r="RTM24" s="1882"/>
      <c r="RTN24" s="1882"/>
      <c r="RTP24" s="1887"/>
      <c r="RTQ24" s="1888"/>
      <c r="RTR24" s="1882"/>
      <c r="RTS24" s="1882"/>
      <c r="RTT24" s="1882"/>
      <c r="RTV24" s="1887"/>
      <c r="RTW24" s="1888"/>
      <c r="RTX24" s="1882"/>
      <c r="RTY24" s="1882"/>
      <c r="RTZ24" s="1882"/>
      <c r="RUB24" s="1887"/>
      <c r="RUC24" s="1888"/>
      <c r="RUD24" s="1882"/>
      <c r="RUE24" s="1882"/>
      <c r="RUF24" s="1882"/>
      <c r="RUH24" s="1887"/>
      <c r="RUI24" s="1888"/>
      <c r="RUJ24" s="1882"/>
      <c r="RUK24" s="1882"/>
      <c r="RUL24" s="1882"/>
      <c r="RUN24" s="1887"/>
      <c r="RUO24" s="1888"/>
      <c r="RUP24" s="1882"/>
      <c r="RUQ24" s="1882"/>
      <c r="RUR24" s="1882"/>
      <c r="RUT24" s="1887"/>
      <c r="RUU24" s="1888"/>
      <c r="RUV24" s="1882"/>
      <c r="RUW24" s="1882"/>
      <c r="RUX24" s="1882"/>
      <c r="RUZ24" s="1887"/>
      <c r="RVA24" s="1888"/>
      <c r="RVB24" s="1882"/>
      <c r="RVC24" s="1882"/>
      <c r="RVD24" s="1882"/>
      <c r="RVF24" s="1887"/>
      <c r="RVG24" s="1888"/>
      <c r="RVH24" s="1882"/>
      <c r="RVI24" s="1882"/>
      <c r="RVJ24" s="1882"/>
      <c r="RVL24" s="1887"/>
      <c r="RVM24" s="1888"/>
      <c r="RVN24" s="1882"/>
      <c r="RVO24" s="1882"/>
      <c r="RVP24" s="1882"/>
      <c r="RVR24" s="1887"/>
      <c r="RVS24" s="1888"/>
      <c r="RVT24" s="1882"/>
      <c r="RVU24" s="1882"/>
      <c r="RVV24" s="1882"/>
      <c r="RVX24" s="1887"/>
      <c r="RVY24" s="1888"/>
      <c r="RVZ24" s="1882"/>
      <c r="RWA24" s="1882"/>
      <c r="RWB24" s="1882"/>
      <c r="RWD24" s="1887"/>
      <c r="RWE24" s="1888"/>
      <c r="RWF24" s="1882"/>
      <c r="RWG24" s="1882"/>
      <c r="RWH24" s="1882"/>
      <c r="RWJ24" s="1887"/>
      <c r="RWK24" s="1888"/>
      <c r="RWL24" s="1882"/>
      <c r="RWM24" s="1882"/>
      <c r="RWN24" s="1882"/>
      <c r="RWP24" s="1887"/>
      <c r="RWQ24" s="1888"/>
      <c r="RWR24" s="1882"/>
      <c r="RWS24" s="1882"/>
      <c r="RWT24" s="1882"/>
      <c r="RWV24" s="1887"/>
      <c r="RWW24" s="1888"/>
      <c r="RWX24" s="1882"/>
      <c r="RWY24" s="1882"/>
      <c r="RWZ24" s="1882"/>
      <c r="RXB24" s="1887"/>
      <c r="RXC24" s="1888"/>
      <c r="RXD24" s="1882"/>
      <c r="RXE24" s="1882"/>
      <c r="RXF24" s="1882"/>
      <c r="RXH24" s="1887"/>
      <c r="RXI24" s="1888"/>
      <c r="RXJ24" s="1882"/>
      <c r="RXK24" s="1882"/>
      <c r="RXL24" s="1882"/>
      <c r="RXN24" s="1887"/>
      <c r="RXO24" s="1888"/>
      <c r="RXP24" s="1882"/>
      <c r="RXQ24" s="1882"/>
      <c r="RXR24" s="1882"/>
      <c r="RXT24" s="1887"/>
      <c r="RXU24" s="1888"/>
      <c r="RXV24" s="1882"/>
      <c r="RXW24" s="1882"/>
      <c r="RXX24" s="1882"/>
      <c r="RXZ24" s="1887"/>
      <c r="RYA24" s="1888"/>
      <c r="RYB24" s="1882"/>
      <c r="RYC24" s="1882"/>
      <c r="RYD24" s="1882"/>
      <c r="RYF24" s="1887"/>
      <c r="RYG24" s="1888"/>
      <c r="RYH24" s="1882"/>
      <c r="RYI24" s="1882"/>
      <c r="RYJ24" s="1882"/>
      <c r="RYL24" s="1887"/>
      <c r="RYM24" s="1888"/>
      <c r="RYN24" s="1882"/>
      <c r="RYO24" s="1882"/>
      <c r="RYP24" s="1882"/>
      <c r="RYR24" s="1887"/>
      <c r="RYS24" s="1888"/>
      <c r="RYT24" s="1882"/>
      <c r="RYU24" s="1882"/>
      <c r="RYV24" s="1882"/>
      <c r="RYX24" s="1887"/>
      <c r="RYY24" s="1888"/>
      <c r="RYZ24" s="1882"/>
      <c r="RZA24" s="1882"/>
      <c r="RZB24" s="1882"/>
      <c r="RZD24" s="1887"/>
      <c r="RZE24" s="1888"/>
      <c r="RZF24" s="1882"/>
      <c r="RZG24" s="1882"/>
      <c r="RZH24" s="1882"/>
      <c r="RZJ24" s="1887"/>
      <c r="RZK24" s="1888"/>
      <c r="RZL24" s="1882"/>
      <c r="RZM24" s="1882"/>
      <c r="RZN24" s="1882"/>
      <c r="RZP24" s="1887"/>
      <c r="RZQ24" s="1888"/>
      <c r="RZR24" s="1882"/>
      <c r="RZS24" s="1882"/>
      <c r="RZT24" s="1882"/>
      <c r="RZV24" s="1887"/>
      <c r="RZW24" s="1888"/>
      <c r="RZX24" s="1882"/>
      <c r="RZY24" s="1882"/>
      <c r="RZZ24" s="1882"/>
      <c r="SAB24" s="1887"/>
      <c r="SAC24" s="1888"/>
      <c r="SAD24" s="1882"/>
      <c r="SAE24" s="1882"/>
      <c r="SAF24" s="1882"/>
      <c r="SAH24" s="1887"/>
      <c r="SAI24" s="1888"/>
      <c r="SAJ24" s="1882"/>
      <c r="SAK24" s="1882"/>
      <c r="SAL24" s="1882"/>
      <c r="SAN24" s="1887"/>
      <c r="SAO24" s="1888"/>
      <c r="SAP24" s="1882"/>
      <c r="SAQ24" s="1882"/>
      <c r="SAR24" s="1882"/>
      <c r="SAT24" s="1887"/>
      <c r="SAU24" s="1888"/>
      <c r="SAV24" s="1882"/>
      <c r="SAW24" s="1882"/>
      <c r="SAX24" s="1882"/>
      <c r="SAZ24" s="1887"/>
      <c r="SBA24" s="1888"/>
      <c r="SBB24" s="1882"/>
      <c r="SBC24" s="1882"/>
      <c r="SBD24" s="1882"/>
      <c r="SBF24" s="1887"/>
      <c r="SBG24" s="1888"/>
      <c r="SBH24" s="1882"/>
      <c r="SBI24" s="1882"/>
      <c r="SBJ24" s="1882"/>
      <c r="SBL24" s="1887"/>
      <c r="SBM24" s="1888"/>
      <c r="SBN24" s="1882"/>
      <c r="SBO24" s="1882"/>
      <c r="SBP24" s="1882"/>
      <c r="SBR24" s="1887"/>
      <c r="SBS24" s="1888"/>
      <c r="SBT24" s="1882"/>
      <c r="SBU24" s="1882"/>
      <c r="SBV24" s="1882"/>
      <c r="SBX24" s="1887"/>
      <c r="SBY24" s="1888"/>
      <c r="SBZ24" s="1882"/>
      <c r="SCA24" s="1882"/>
      <c r="SCB24" s="1882"/>
      <c r="SCD24" s="1887"/>
      <c r="SCE24" s="1888"/>
      <c r="SCF24" s="1882"/>
      <c r="SCG24" s="1882"/>
      <c r="SCH24" s="1882"/>
      <c r="SCJ24" s="1887"/>
      <c r="SCK24" s="1888"/>
      <c r="SCL24" s="1882"/>
      <c r="SCM24" s="1882"/>
      <c r="SCN24" s="1882"/>
      <c r="SCP24" s="1887"/>
      <c r="SCQ24" s="1888"/>
      <c r="SCR24" s="1882"/>
      <c r="SCS24" s="1882"/>
      <c r="SCT24" s="1882"/>
      <c r="SCV24" s="1887"/>
      <c r="SCW24" s="1888"/>
      <c r="SCX24" s="1882"/>
      <c r="SCY24" s="1882"/>
      <c r="SCZ24" s="1882"/>
      <c r="SDB24" s="1887"/>
      <c r="SDC24" s="1888"/>
      <c r="SDD24" s="1882"/>
      <c r="SDE24" s="1882"/>
      <c r="SDF24" s="1882"/>
      <c r="SDH24" s="1887"/>
      <c r="SDI24" s="1888"/>
      <c r="SDJ24" s="1882"/>
      <c r="SDK24" s="1882"/>
      <c r="SDL24" s="1882"/>
      <c r="SDN24" s="1887"/>
      <c r="SDO24" s="1888"/>
      <c r="SDP24" s="1882"/>
      <c r="SDQ24" s="1882"/>
      <c r="SDR24" s="1882"/>
      <c r="SDT24" s="1887"/>
      <c r="SDU24" s="1888"/>
      <c r="SDV24" s="1882"/>
      <c r="SDW24" s="1882"/>
      <c r="SDX24" s="1882"/>
      <c r="SDZ24" s="1887"/>
      <c r="SEA24" s="1888"/>
      <c r="SEB24" s="1882"/>
      <c r="SEC24" s="1882"/>
      <c r="SED24" s="1882"/>
      <c r="SEF24" s="1887"/>
      <c r="SEG24" s="1888"/>
      <c r="SEH24" s="1882"/>
      <c r="SEI24" s="1882"/>
      <c r="SEJ24" s="1882"/>
      <c r="SEL24" s="1887"/>
      <c r="SEM24" s="1888"/>
      <c r="SEN24" s="1882"/>
      <c r="SEO24" s="1882"/>
      <c r="SEP24" s="1882"/>
      <c r="SER24" s="1887"/>
      <c r="SES24" s="1888"/>
      <c r="SET24" s="1882"/>
      <c r="SEU24" s="1882"/>
      <c r="SEV24" s="1882"/>
      <c r="SEX24" s="1887"/>
      <c r="SEY24" s="1888"/>
      <c r="SEZ24" s="1882"/>
      <c r="SFA24" s="1882"/>
      <c r="SFB24" s="1882"/>
      <c r="SFD24" s="1887"/>
      <c r="SFE24" s="1888"/>
      <c r="SFF24" s="1882"/>
      <c r="SFG24" s="1882"/>
      <c r="SFH24" s="1882"/>
      <c r="SFJ24" s="1887"/>
      <c r="SFK24" s="1888"/>
      <c r="SFL24" s="1882"/>
      <c r="SFM24" s="1882"/>
      <c r="SFN24" s="1882"/>
      <c r="SFP24" s="1887"/>
      <c r="SFQ24" s="1888"/>
      <c r="SFR24" s="1882"/>
      <c r="SFS24" s="1882"/>
      <c r="SFT24" s="1882"/>
      <c r="SFV24" s="1887"/>
      <c r="SFW24" s="1888"/>
      <c r="SFX24" s="1882"/>
      <c r="SFY24" s="1882"/>
      <c r="SFZ24" s="1882"/>
      <c r="SGB24" s="1887"/>
      <c r="SGC24" s="1888"/>
      <c r="SGD24" s="1882"/>
      <c r="SGE24" s="1882"/>
      <c r="SGF24" s="1882"/>
      <c r="SGH24" s="1887"/>
      <c r="SGI24" s="1888"/>
      <c r="SGJ24" s="1882"/>
      <c r="SGK24" s="1882"/>
      <c r="SGL24" s="1882"/>
      <c r="SGN24" s="1887"/>
      <c r="SGO24" s="1888"/>
      <c r="SGP24" s="1882"/>
      <c r="SGQ24" s="1882"/>
      <c r="SGR24" s="1882"/>
      <c r="SGT24" s="1887"/>
      <c r="SGU24" s="1888"/>
      <c r="SGV24" s="1882"/>
      <c r="SGW24" s="1882"/>
      <c r="SGX24" s="1882"/>
      <c r="SGZ24" s="1887"/>
      <c r="SHA24" s="1888"/>
      <c r="SHB24" s="1882"/>
      <c r="SHC24" s="1882"/>
      <c r="SHD24" s="1882"/>
      <c r="SHF24" s="1887"/>
      <c r="SHG24" s="1888"/>
      <c r="SHH24" s="1882"/>
      <c r="SHI24" s="1882"/>
      <c r="SHJ24" s="1882"/>
      <c r="SHL24" s="1887"/>
      <c r="SHM24" s="1888"/>
      <c r="SHN24" s="1882"/>
      <c r="SHO24" s="1882"/>
      <c r="SHP24" s="1882"/>
      <c r="SHR24" s="1887"/>
      <c r="SHS24" s="1888"/>
      <c r="SHT24" s="1882"/>
      <c r="SHU24" s="1882"/>
      <c r="SHV24" s="1882"/>
      <c r="SHX24" s="1887"/>
      <c r="SHY24" s="1888"/>
      <c r="SHZ24" s="1882"/>
      <c r="SIA24" s="1882"/>
      <c r="SIB24" s="1882"/>
      <c r="SID24" s="1887"/>
      <c r="SIE24" s="1888"/>
      <c r="SIF24" s="1882"/>
      <c r="SIG24" s="1882"/>
      <c r="SIH24" s="1882"/>
      <c r="SIJ24" s="1887"/>
      <c r="SIK24" s="1888"/>
      <c r="SIL24" s="1882"/>
      <c r="SIM24" s="1882"/>
      <c r="SIN24" s="1882"/>
      <c r="SIP24" s="1887"/>
      <c r="SIQ24" s="1888"/>
      <c r="SIR24" s="1882"/>
      <c r="SIS24" s="1882"/>
      <c r="SIT24" s="1882"/>
      <c r="SIV24" s="1887"/>
      <c r="SIW24" s="1888"/>
      <c r="SIX24" s="1882"/>
      <c r="SIY24" s="1882"/>
      <c r="SIZ24" s="1882"/>
      <c r="SJB24" s="1887"/>
      <c r="SJC24" s="1888"/>
      <c r="SJD24" s="1882"/>
      <c r="SJE24" s="1882"/>
      <c r="SJF24" s="1882"/>
      <c r="SJH24" s="1887"/>
      <c r="SJI24" s="1888"/>
      <c r="SJJ24" s="1882"/>
      <c r="SJK24" s="1882"/>
      <c r="SJL24" s="1882"/>
      <c r="SJN24" s="1887"/>
      <c r="SJO24" s="1888"/>
      <c r="SJP24" s="1882"/>
      <c r="SJQ24" s="1882"/>
      <c r="SJR24" s="1882"/>
      <c r="SJT24" s="1887"/>
      <c r="SJU24" s="1888"/>
      <c r="SJV24" s="1882"/>
      <c r="SJW24" s="1882"/>
      <c r="SJX24" s="1882"/>
      <c r="SJZ24" s="1887"/>
      <c r="SKA24" s="1888"/>
      <c r="SKB24" s="1882"/>
      <c r="SKC24" s="1882"/>
      <c r="SKD24" s="1882"/>
      <c r="SKF24" s="1887"/>
      <c r="SKG24" s="1888"/>
      <c r="SKH24" s="1882"/>
      <c r="SKI24" s="1882"/>
      <c r="SKJ24" s="1882"/>
      <c r="SKL24" s="1887"/>
      <c r="SKM24" s="1888"/>
      <c r="SKN24" s="1882"/>
      <c r="SKO24" s="1882"/>
      <c r="SKP24" s="1882"/>
      <c r="SKR24" s="1887"/>
      <c r="SKS24" s="1888"/>
      <c r="SKT24" s="1882"/>
      <c r="SKU24" s="1882"/>
      <c r="SKV24" s="1882"/>
      <c r="SKX24" s="1887"/>
      <c r="SKY24" s="1888"/>
      <c r="SKZ24" s="1882"/>
      <c r="SLA24" s="1882"/>
      <c r="SLB24" s="1882"/>
      <c r="SLD24" s="1887"/>
      <c r="SLE24" s="1888"/>
      <c r="SLF24" s="1882"/>
      <c r="SLG24" s="1882"/>
      <c r="SLH24" s="1882"/>
      <c r="SLJ24" s="1887"/>
      <c r="SLK24" s="1888"/>
      <c r="SLL24" s="1882"/>
      <c r="SLM24" s="1882"/>
      <c r="SLN24" s="1882"/>
      <c r="SLP24" s="1887"/>
      <c r="SLQ24" s="1888"/>
      <c r="SLR24" s="1882"/>
      <c r="SLS24" s="1882"/>
      <c r="SLT24" s="1882"/>
      <c r="SLV24" s="1887"/>
      <c r="SLW24" s="1888"/>
      <c r="SLX24" s="1882"/>
      <c r="SLY24" s="1882"/>
      <c r="SLZ24" s="1882"/>
      <c r="SMB24" s="1887"/>
      <c r="SMC24" s="1888"/>
      <c r="SMD24" s="1882"/>
      <c r="SME24" s="1882"/>
      <c r="SMF24" s="1882"/>
      <c r="SMH24" s="1887"/>
      <c r="SMI24" s="1888"/>
      <c r="SMJ24" s="1882"/>
      <c r="SMK24" s="1882"/>
      <c r="SML24" s="1882"/>
      <c r="SMN24" s="1887"/>
      <c r="SMO24" s="1888"/>
      <c r="SMP24" s="1882"/>
      <c r="SMQ24" s="1882"/>
      <c r="SMR24" s="1882"/>
      <c r="SMT24" s="1887"/>
      <c r="SMU24" s="1888"/>
      <c r="SMV24" s="1882"/>
      <c r="SMW24" s="1882"/>
      <c r="SMX24" s="1882"/>
      <c r="SMZ24" s="1887"/>
      <c r="SNA24" s="1888"/>
      <c r="SNB24" s="1882"/>
      <c r="SNC24" s="1882"/>
      <c r="SND24" s="1882"/>
      <c r="SNF24" s="1887"/>
      <c r="SNG24" s="1888"/>
      <c r="SNH24" s="1882"/>
      <c r="SNI24" s="1882"/>
      <c r="SNJ24" s="1882"/>
      <c r="SNL24" s="1887"/>
      <c r="SNM24" s="1888"/>
      <c r="SNN24" s="1882"/>
      <c r="SNO24" s="1882"/>
      <c r="SNP24" s="1882"/>
      <c r="SNR24" s="1887"/>
      <c r="SNS24" s="1888"/>
      <c r="SNT24" s="1882"/>
      <c r="SNU24" s="1882"/>
      <c r="SNV24" s="1882"/>
      <c r="SNX24" s="1887"/>
      <c r="SNY24" s="1888"/>
      <c r="SNZ24" s="1882"/>
      <c r="SOA24" s="1882"/>
      <c r="SOB24" s="1882"/>
      <c r="SOD24" s="1887"/>
      <c r="SOE24" s="1888"/>
      <c r="SOF24" s="1882"/>
      <c r="SOG24" s="1882"/>
      <c r="SOH24" s="1882"/>
      <c r="SOJ24" s="1887"/>
      <c r="SOK24" s="1888"/>
      <c r="SOL24" s="1882"/>
      <c r="SOM24" s="1882"/>
      <c r="SON24" s="1882"/>
      <c r="SOP24" s="1887"/>
      <c r="SOQ24" s="1888"/>
      <c r="SOR24" s="1882"/>
      <c r="SOS24" s="1882"/>
      <c r="SOT24" s="1882"/>
      <c r="SOV24" s="1887"/>
      <c r="SOW24" s="1888"/>
      <c r="SOX24" s="1882"/>
      <c r="SOY24" s="1882"/>
      <c r="SOZ24" s="1882"/>
      <c r="SPB24" s="1887"/>
      <c r="SPC24" s="1888"/>
      <c r="SPD24" s="1882"/>
      <c r="SPE24" s="1882"/>
      <c r="SPF24" s="1882"/>
      <c r="SPH24" s="1887"/>
      <c r="SPI24" s="1888"/>
      <c r="SPJ24" s="1882"/>
      <c r="SPK24" s="1882"/>
      <c r="SPL24" s="1882"/>
      <c r="SPN24" s="1887"/>
      <c r="SPO24" s="1888"/>
      <c r="SPP24" s="1882"/>
      <c r="SPQ24" s="1882"/>
      <c r="SPR24" s="1882"/>
      <c r="SPT24" s="1887"/>
      <c r="SPU24" s="1888"/>
      <c r="SPV24" s="1882"/>
      <c r="SPW24" s="1882"/>
      <c r="SPX24" s="1882"/>
      <c r="SPZ24" s="1887"/>
      <c r="SQA24" s="1888"/>
      <c r="SQB24" s="1882"/>
      <c r="SQC24" s="1882"/>
      <c r="SQD24" s="1882"/>
      <c r="SQF24" s="1887"/>
      <c r="SQG24" s="1888"/>
      <c r="SQH24" s="1882"/>
      <c r="SQI24" s="1882"/>
      <c r="SQJ24" s="1882"/>
      <c r="SQL24" s="1887"/>
      <c r="SQM24" s="1888"/>
      <c r="SQN24" s="1882"/>
      <c r="SQO24" s="1882"/>
      <c r="SQP24" s="1882"/>
      <c r="SQR24" s="1887"/>
      <c r="SQS24" s="1888"/>
      <c r="SQT24" s="1882"/>
      <c r="SQU24" s="1882"/>
      <c r="SQV24" s="1882"/>
      <c r="SQX24" s="1887"/>
      <c r="SQY24" s="1888"/>
      <c r="SQZ24" s="1882"/>
      <c r="SRA24" s="1882"/>
      <c r="SRB24" s="1882"/>
      <c r="SRD24" s="1887"/>
      <c r="SRE24" s="1888"/>
      <c r="SRF24" s="1882"/>
      <c r="SRG24" s="1882"/>
      <c r="SRH24" s="1882"/>
      <c r="SRJ24" s="1887"/>
      <c r="SRK24" s="1888"/>
      <c r="SRL24" s="1882"/>
      <c r="SRM24" s="1882"/>
      <c r="SRN24" s="1882"/>
      <c r="SRP24" s="1887"/>
      <c r="SRQ24" s="1888"/>
      <c r="SRR24" s="1882"/>
      <c r="SRS24" s="1882"/>
      <c r="SRT24" s="1882"/>
      <c r="SRV24" s="1887"/>
      <c r="SRW24" s="1888"/>
      <c r="SRX24" s="1882"/>
      <c r="SRY24" s="1882"/>
      <c r="SRZ24" s="1882"/>
      <c r="SSB24" s="1887"/>
      <c r="SSC24" s="1888"/>
      <c r="SSD24" s="1882"/>
      <c r="SSE24" s="1882"/>
      <c r="SSF24" s="1882"/>
      <c r="SSH24" s="1887"/>
      <c r="SSI24" s="1888"/>
      <c r="SSJ24" s="1882"/>
      <c r="SSK24" s="1882"/>
      <c r="SSL24" s="1882"/>
      <c r="SSN24" s="1887"/>
      <c r="SSO24" s="1888"/>
      <c r="SSP24" s="1882"/>
      <c r="SSQ24" s="1882"/>
      <c r="SSR24" s="1882"/>
      <c r="SST24" s="1887"/>
      <c r="SSU24" s="1888"/>
      <c r="SSV24" s="1882"/>
      <c r="SSW24" s="1882"/>
      <c r="SSX24" s="1882"/>
      <c r="SSZ24" s="1887"/>
      <c r="STA24" s="1888"/>
      <c r="STB24" s="1882"/>
      <c r="STC24" s="1882"/>
      <c r="STD24" s="1882"/>
      <c r="STF24" s="1887"/>
      <c r="STG24" s="1888"/>
      <c r="STH24" s="1882"/>
      <c r="STI24" s="1882"/>
      <c r="STJ24" s="1882"/>
      <c r="STL24" s="1887"/>
      <c r="STM24" s="1888"/>
      <c r="STN24" s="1882"/>
      <c r="STO24" s="1882"/>
      <c r="STP24" s="1882"/>
      <c r="STR24" s="1887"/>
      <c r="STS24" s="1888"/>
      <c r="STT24" s="1882"/>
      <c r="STU24" s="1882"/>
      <c r="STV24" s="1882"/>
      <c r="STX24" s="1887"/>
      <c r="STY24" s="1888"/>
      <c r="STZ24" s="1882"/>
      <c r="SUA24" s="1882"/>
      <c r="SUB24" s="1882"/>
      <c r="SUD24" s="1887"/>
      <c r="SUE24" s="1888"/>
      <c r="SUF24" s="1882"/>
      <c r="SUG24" s="1882"/>
      <c r="SUH24" s="1882"/>
      <c r="SUJ24" s="1887"/>
      <c r="SUK24" s="1888"/>
      <c r="SUL24" s="1882"/>
      <c r="SUM24" s="1882"/>
      <c r="SUN24" s="1882"/>
      <c r="SUP24" s="1887"/>
      <c r="SUQ24" s="1888"/>
      <c r="SUR24" s="1882"/>
      <c r="SUS24" s="1882"/>
      <c r="SUT24" s="1882"/>
      <c r="SUV24" s="1887"/>
      <c r="SUW24" s="1888"/>
      <c r="SUX24" s="1882"/>
      <c r="SUY24" s="1882"/>
      <c r="SUZ24" s="1882"/>
      <c r="SVB24" s="1887"/>
      <c r="SVC24" s="1888"/>
      <c r="SVD24" s="1882"/>
      <c r="SVE24" s="1882"/>
      <c r="SVF24" s="1882"/>
      <c r="SVH24" s="1887"/>
      <c r="SVI24" s="1888"/>
      <c r="SVJ24" s="1882"/>
      <c r="SVK24" s="1882"/>
      <c r="SVL24" s="1882"/>
      <c r="SVN24" s="1887"/>
      <c r="SVO24" s="1888"/>
      <c r="SVP24" s="1882"/>
      <c r="SVQ24" s="1882"/>
      <c r="SVR24" s="1882"/>
      <c r="SVT24" s="1887"/>
      <c r="SVU24" s="1888"/>
      <c r="SVV24" s="1882"/>
      <c r="SVW24" s="1882"/>
      <c r="SVX24" s="1882"/>
      <c r="SVZ24" s="1887"/>
      <c r="SWA24" s="1888"/>
      <c r="SWB24" s="1882"/>
      <c r="SWC24" s="1882"/>
      <c r="SWD24" s="1882"/>
      <c r="SWF24" s="1887"/>
      <c r="SWG24" s="1888"/>
      <c r="SWH24" s="1882"/>
      <c r="SWI24" s="1882"/>
      <c r="SWJ24" s="1882"/>
      <c r="SWL24" s="1887"/>
      <c r="SWM24" s="1888"/>
      <c r="SWN24" s="1882"/>
      <c r="SWO24" s="1882"/>
      <c r="SWP24" s="1882"/>
      <c r="SWR24" s="1887"/>
      <c r="SWS24" s="1888"/>
      <c r="SWT24" s="1882"/>
      <c r="SWU24" s="1882"/>
      <c r="SWV24" s="1882"/>
      <c r="SWX24" s="1887"/>
      <c r="SWY24" s="1888"/>
      <c r="SWZ24" s="1882"/>
      <c r="SXA24" s="1882"/>
      <c r="SXB24" s="1882"/>
      <c r="SXD24" s="1887"/>
      <c r="SXE24" s="1888"/>
      <c r="SXF24" s="1882"/>
      <c r="SXG24" s="1882"/>
      <c r="SXH24" s="1882"/>
      <c r="SXJ24" s="1887"/>
      <c r="SXK24" s="1888"/>
      <c r="SXL24" s="1882"/>
      <c r="SXM24" s="1882"/>
      <c r="SXN24" s="1882"/>
      <c r="SXP24" s="1887"/>
      <c r="SXQ24" s="1888"/>
      <c r="SXR24" s="1882"/>
      <c r="SXS24" s="1882"/>
      <c r="SXT24" s="1882"/>
      <c r="SXV24" s="1887"/>
      <c r="SXW24" s="1888"/>
      <c r="SXX24" s="1882"/>
      <c r="SXY24" s="1882"/>
      <c r="SXZ24" s="1882"/>
      <c r="SYB24" s="1887"/>
      <c r="SYC24" s="1888"/>
      <c r="SYD24" s="1882"/>
      <c r="SYE24" s="1882"/>
      <c r="SYF24" s="1882"/>
      <c r="SYH24" s="1887"/>
      <c r="SYI24" s="1888"/>
      <c r="SYJ24" s="1882"/>
      <c r="SYK24" s="1882"/>
      <c r="SYL24" s="1882"/>
      <c r="SYN24" s="1887"/>
      <c r="SYO24" s="1888"/>
      <c r="SYP24" s="1882"/>
      <c r="SYQ24" s="1882"/>
      <c r="SYR24" s="1882"/>
      <c r="SYT24" s="1887"/>
      <c r="SYU24" s="1888"/>
      <c r="SYV24" s="1882"/>
      <c r="SYW24" s="1882"/>
      <c r="SYX24" s="1882"/>
      <c r="SYZ24" s="1887"/>
      <c r="SZA24" s="1888"/>
      <c r="SZB24" s="1882"/>
      <c r="SZC24" s="1882"/>
      <c r="SZD24" s="1882"/>
      <c r="SZF24" s="1887"/>
      <c r="SZG24" s="1888"/>
      <c r="SZH24" s="1882"/>
      <c r="SZI24" s="1882"/>
      <c r="SZJ24" s="1882"/>
      <c r="SZL24" s="1887"/>
      <c r="SZM24" s="1888"/>
      <c r="SZN24" s="1882"/>
      <c r="SZO24" s="1882"/>
      <c r="SZP24" s="1882"/>
      <c r="SZR24" s="1887"/>
      <c r="SZS24" s="1888"/>
      <c r="SZT24" s="1882"/>
      <c r="SZU24" s="1882"/>
      <c r="SZV24" s="1882"/>
      <c r="SZX24" s="1887"/>
      <c r="SZY24" s="1888"/>
      <c r="SZZ24" s="1882"/>
      <c r="TAA24" s="1882"/>
      <c r="TAB24" s="1882"/>
      <c r="TAD24" s="1887"/>
      <c r="TAE24" s="1888"/>
      <c r="TAF24" s="1882"/>
      <c r="TAG24" s="1882"/>
      <c r="TAH24" s="1882"/>
      <c r="TAJ24" s="1887"/>
      <c r="TAK24" s="1888"/>
      <c r="TAL24" s="1882"/>
      <c r="TAM24" s="1882"/>
      <c r="TAN24" s="1882"/>
      <c r="TAP24" s="1887"/>
      <c r="TAQ24" s="1888"/>
      <c r="TAR24" s="1882"/>
      <c r="TAS24" s="1882"/>
      <c r="TAT24" s="1882"/>
      <c r="TAV24" s="1887"/>
      <c r="TAW24" s="1888"/>
      <c r="TAX24" s="1882"/>
      <c r="TAY24" s="1882"/>
      <c r="TAZ24" s="1882"/>
      <c r="TBB24" s="1887"/>
      <c r="TBC24" s="1888"/>
      <c r="TBD24" s="1882"/>
      <c r="TBE24" s="1882"/>
      <c r="TBF24" s="1882"/>
      <c r="TBH24" s="1887"/>
      <c r="TBI24" s="1888"/>
      <c r="TBJ24" s="1882"/>
      <c r="TBK24" s="1882"/>
      <c r="TBL24" s="1882"/>
      <c r="TBN24" s="1887"/>
      <c r="TBO24" s="1888"/>
      <c r="TBP24" s="1882"/>
      <c r="TBQ24" s="1882"/>
      <c r="TBR24" s="1882"/>
      <c r="TBT24" s="1887"/>
      <c r="TBU24" s="1888"/>
      <c r="TBV24" s="1882"/>
      <c r="TBW24" s="1882"/>
      <c r="TBX24" s="1882"/>
      <c r="TBZ24" s="1887"/>
      <c r="TCA24" s="1888"/>
      <c r="TCB24" s="1882"/>
      <c r="TCC24" s="1882"/>
      <c r="TCD24" s="1882"/>
      <c r="TCF24" s="1887"/>
      <c r="TCG24" s="1888"/>
      <c r="TCH24" s="1882"/>
      <c r="TCI24" s="1882"/>
      <c r="TCJ24" s="1882"/>
      <c r="TCL24" s="1887"/>
      <c r="TCM24" s="1888"/>
      <c r="TCN24" s="1882"/>
      <c r="TCO24" s="1882"/>
      <c r="TCP24" s="1882"/>
      <c r="TCR24" s="1887"/>
      <c r="TCS24" s="1888"/>
      <c r="TCT24" s="1882"/>
      <c r="TCU24" s="1882"/>
      <c r="TCV24" s="1882"/>
      <c r="TCX24" s="1887"/>
      <c r="TCY24" s="1888"/>
      <c r="TCZ24" s="1882"/>
      <c r="TDA24" s="1882"/>
      <c r="TDB24" s="1882"/>
      <c r="TDD24" s="1887"/>
      <c r="TDE24" s="1888"/>
      <c r="TDF24" s="1882"/>
      <c r="TDG24" s="1882"/>
      <c r="TDH24" s="1882"/>
      <c r="TDJ24" s="1887"/>
      <c r="TDK24" s="1888"/>
      <c r="TDL24" s="1882"/>
      <c r="TDM24" s="1882"/>
      <c r="TDN24" s="1882"/>
      <c r="TDP24" s="1887"/>
      <c r="TDQ24" s="1888"/>
      <c r="TDR24" s="1882"/>
      <c r="TDS24" s="1882"/>
      <c r="TDT24" s="1882"/>
      <c r="TDV24" s="1887"/>
      <c r="TDW24" s="1888"/>
      <c r="TDX24" s="1882"/>
      <c r="TDY24" s="1882"/>
      <c r="TDZ24" s="1882"/>
      <c r="TEB24" s="1887"/>
      <c r="TEC24" s="1888"/>
      <c r="TED24" s="1882"/>
      <c r="TEE24" s="1882"/>
      <c r="TEF24" s="1882"/>
      <c r="TEH24" s="1887"/>
      <c r="TEI24" s="1888"/>
      <c r="TEJ24" s="1882"/>
      <c r="TEK24" s="1882"/>
      <c r="TEL24" s="1882"/>
      <c r="TEN24" s="1887"/>
      <c r="TEO24" s="1888"/>
      <c r="TEP24" s="1882"/>
      <c r="TEQ24" s="1882"/>
      <c r="TER24" s="1882"/>
      <c r="TET24" s="1887"/>
      <c r="TEU24" s="1888"/>
      <c r="TEV24" s="1882"/>
      <c r="TEW24" s="1882"/>
      <c r="TEX24" s="1882"/>
      <c r="TEZ24" s="1887"/>
      <c r="TFA24" s="1888"/>
      <c r="TFB24" s="1882"/>
      <c r="TFC24" s="1882"/>
      <c r="TFD24" s="1882"/>
      <c r="TFF24" s="1887"/>
      <c r="TFG24" s="1888"/>
      <c r="TFH24" s="1882"/>
      <c r="TFI24" s="1882"/>
      <c r="TFJ24" s="1882"/>
      <c r="TFL24" s="1887"/>
      <c r="TFM24" s="1888"/>
      <c r="TFN24" s="1882"/>
      <c r="TFO24" s="1882"/>
      <c r="TFP24" s="1882"/>
      <c r="TFR24" s="1887"/>
      <c r="TFS24" s="1888"/>
      <c r="TFT24" s="1882"/>
      <c r="TFU24" s="1882"/>
      <c r="TFV24" s="1882"/>
      <c r="TFX24" s="1887"/>
      <c r="TFY24" s="1888"/>
      <c r="TFZ24" s="1882"/>
      <c r="TGA24" s="1882"/>
      <c r="TGB24" s="1882"/>
      <c r="TGD24" s="1887"/>
      <c r="TGE24" s="1888"/>
      <c r="TGF24" s="1882"/>
      <c r="TGG24" s="1882"/>
      <c r="TGH24" s="1882"/>
      <c r="TGJ24" s="1887"/>
      <c r="TGK24" s="1888"/>
      <c r="TGL24" s="1882"/>
      <c r="TGM24" s="1882"/>
      <c r="TGN24" s="1882"/>
      <c r="TGP24" s="1887"/>
      <c r="TGQ24" s="1888"/>
      <c r="TGR24" s="1882"/>
      <c r="TGS24" s="1882"/>
      <c r="TGT24" s="1882"/>
      <c r="TGV24" s="1887"/>
      <c r="TGW24" s="1888"/>
      <c r="TGX24" s="1882"/>
      <c r="TGY24" s="1882"/>
      <c r="TGZ24" s="1882"/>
      <c r="THB24" s="1887"/>
      <c r="THC24" s="1888"/>
      <c r="THD24" s="1882"/>
      <c r="THE24" s="1882"/>
      <c r="THF24" s="1882"/>
      <c r="THH24" s="1887"/>
      <c r="THI24" s="1888"/>
      <c r="THJ24" s="1882"/>
      <c r="THK24" s="1882"/>
      <c r="THL24" s="1882"/>
      <c r="THN24" s="1887"/>
      <c r="THO24" s="1888"/>
      <c r="THP24" s="1882"/>
      <c r="THQ24" s="1882"/>
      <c r="THR24" s="1882"/>
      <c r="THT24" s="1887"/>
      <c r="THU24" s="1888"/>
      <c r="THV24" s="1882"/>
      <c r="THW24" s="1882"/>
      <c r="THX24" s="1882"/>
      <c r="THZ24" s="1887"/>
      <c r="TIA24" s="1888"/>
      <c r="TIB24" s="1882"/>
      <c r="TIC24" s="1882"/>
      <c r="TID24" s="1882"/>
      <c r="TIF24" s="1887"/>
      <c r="TIG24" s="1888"/>
      <c r="TIH24" s="1882"/>
      <c r="TII24" s="1882"/>
      <c r="TIJ24" s="1882"/>
      <c r="TIL24" s="1887"/>
      <c r="TIM24" s="1888"/>
      <c r="TIN24" s="1882"/>
      <c r="TIO24" s="1882"/>
      <c r="TIP24" s="1882"/>
      <c r="TIR24" s="1887"/>
      <c r="TIS24" s="1888"/>
      <c r="TIT24" s="1882"/>
      <c r="TIU24" s="1882"/>
      <c r="TIV24" s="1882"/>
      <c r="TIX24" s="1887"/>
      <c r="TIY24" s="1888"/>
      <c r="TIZ24" s="1882"/>
      <c r="TJA24" s="1882"/>
      <c r="TJB24" s="1882"/>
      <c r="TJD24" s="1887"/>
      <c r="TJE24" s="1888"/>
      <c r="TJF24" s="1882"/>
      <c r="TJG24" s="1882"/>
      <c r="TJH24" s="1882"/>
      <c r="TJJ24" s="1887"/>
      <c r="TJK24" s="1888"/>
      <c r="TJL24" s="1882"/>
      <c r="TJM24" s="1882"/>
      <c r="TJN24" s="1882"/>
      <c r="TJP24" s="1887"/>
      <c r="TJQ24" s="1888"/>
      <c r="TJR24" s="1882"/>
      <c r="TJS24" s="1882"/>
      <c r="TJT24" s="1882"/>
      <c r="TJV24" s="1887"/>
      <c r="TJW24" s="1888"/>
      <c r="TJX24" s="1882"/>
      <c r="TJY24" s="1882"/>
      <c r="TJZ24" s="1882"/>
      <c r="TKB24" s="1887"/>
      <c r="TKC24" s="1888"/>
      <c r="TKD24" s="1882"/>
      <c r="TKE24" s="1882"/>
      <c r="TKF24" s="1882"/>
      <c r="TKH24" s="1887"/>
      <c r="TKI24" s="1888"/>
      <c r="TKJ24" s="1882"/>
      <c r="TKK24" s="1882"/>
      <c r="TKL24" s="1882"/>
      <c r="TKN24" s="1887"/>
      <c r="TKO24" s="1888"/>
      <c r="TKP24" s="1882"/>
      <c r="TKQ24" s="1882"/>
      <c r="TKR24" s="1882"/>
      <c r="TKT24" s="1887"/>
      <c r="TKU24" s="1888"/>
      <c r="TKV24" s="1882"/>
      <c r="TKW24" s="1882"/>
      <c r="TKX24" s="1882"/>
      <c r="TKZ24" s="1887"/>
      <c r="TLA24" s="1888"/>
      <c r="TLB24" s="1882"/>
      <c r="TLC24" s="1882"/>
      <c r="TLD24" s="1882"/>
      <c r="TLF24" s="1887"/>
      <c r="TLG24" s="1888"/>
      <c r="TLH24" s="1882"/>
      <c r="TLI24" s="1882"/>
      <c r="TLJ24" s="1882"/>
      <c r="TLL24" s="1887"/>
      <c r="TLM24" s="1888"/>
      <c r="TLN24" s="1882"/>
      <c r="TLO24" s="1882"/>
      <c r="TLP24" s="1882"/>
      <c r="TLR24" s="1887"/>
      <c r="TLS24" s="1888"/>
      <c r="TLT24" s="1882"/>
      <c r="TLU24" s="1882"/>
      <c r="TLV24" s="1882"/>
      <c r="TLX24" s="1887"/>
      <c r="TLY24" s="1888"/>
      <c r="TLZ24" s="1882"/>
      <c r="TMA24" s="1882"/>
      <c r="TMB24" s="1882"/>
      <c r="TMD24" s="1887"/>
      <c r="TME24" s="1888"/>
      <c r="TMF24" s="1882"/>
      <c r="TMG24" s="1882"/>
      <c r="TMH24" s="1882"/>
      <c r="TMJ24" s="1887"/>
      <c r="TMK24" s="1888"/>
      <c r="TML24" s="1882"/>
      <c r="TMM24" s="1882"/>
      <c r="TMN24" s="1882"/>
      <c r="TMP24" s="1887"/>
      <c r="TMQ24" s="1888"/>
      <c r="TMR24" s="1882"/>
      <c r="TMS24" s="1882"/>
      <c r="TMT24" s="1882"/>
      <c r="TMV24" s="1887"/>
      <c r="TMW24" s="1888"/>
      <c r="TMX24" s="1882"/>
      <c r="TMY24" s="1882"/>
      <c r="TMZ24" s="1882"/>
      <c r="TNB24" s="1887"/>
      <c r="TNC24" s="1888"/>
      <c r="TND24" s="1882"/>
      <c r="TNE24" s="1882"/>
      <c r="TNF24" s="1882"/>
      <c r="TNH24" s="1887"/>
      <c r="TNI24" s="1888"/>
      <c r="TNJ24" s="1882"/>
      <c r="TNK24" s="1882"/>
      <c r="TNL24" s="1882"/>
      <c r="TNN24" s="1887"/>
      <c r="TNO24" s="1888"/>
      <c r="TNP24" s="1882"/>
      <c r="TNQ24" s="1882"/>
      <c r="TNR24" s="1882"/>
      <c r="TNT24" s="1887"/>
      <c r="TNU24" s="1888"/>
      <c r="TNV24" s="1882"/>
      <c r="TNW24" s="1882"/>
      <c r="TNX24" s="1882"/>
      <c r="TNZ24" s="1887"/>
      <c r="TOA24" s="1888"/>
      <c r="TOB24" s="1882"/>
      <c r="TOC24" s="1882"/>
      <c r="TOD24" s="1882"/>
      <c r="TOF24" s="1887"/>
      <c r="TOG24" s="1888"/>
      <c r="TOH24" s="1882"/>
      <c r="TOI24" s="1882"/>
      <c r="TOJ24" s="1882"/>
      <c r="TOL24" s="1887"/>
      <c r="TOM24" s="1888"/>
      <c r="TON24" s="1882"/>
      <c r="TOO24" s="1882"/>
      <c r="TOP24" s="1882"/>
      <c r="TOR24" s="1887"/>
      <c r="TOS24" s="1888"/>
      <c r="TOT24" s="1882"/>
      <c r="TOU24" s="1882"/>
      <c r="TOV24" s="1882"/>
      <c r="TOX24" s="1887"/>
      <c r="TOY24" s="1888"/>
      <c r="TOZ24" s="1882"/>
      <c r="TPA24" s="1882"/>
      <c r="TPB24" s="1882"/>
      <c r="TPD24" s="1887"/>
      <c r="TPE24" s="1888"/>
      <c r="TPF24" s="1882"/>
      <c r="TPG24" s="1882"/>
      <c r="TPH24" s="1882"/>
      <c r="TPJ24" s="1887"/>
      <c r="TPK24" s="1888"/>
      <c r="TPL24" s="1882"/>
      <c r="TPM24" s="1882"/>
      <c r="TPN24" s="1882"/>
      <c r="TPP24" s="1887"/>
      <c r="TPQ24" s="1888"/>
      <c r="TPR24" s="1882"/>
      <c r="TPS24" s="1882"/>
      <c r="TPT24" s="1882"/>
      <c r="TPV24" s="1887"/>
      <c r="TPW24" s="1888"/>
      <c r="TPX24" s="1882"/>
      <c r="TPY24" s="1882"/>
      <c r="TPZ24" s="1882"/>
      <c r="TQB24" s="1887"/>
      <c r="TQC24" s="1888"/>
      <c r="TQD24" s="1882"/>
      <c r="TQE24" s="1882"/>
      <c r="TQF24" s="1882"/>
      <c r="TQH24" s="1887"/>
      <c r="TQI24" s="1888"/>
      <c r="TQJ24" s="1882"/>
      <c r="TQK24" s="1882"/>
      <c r="TQL24" s="1882"/>
      <c r="TQN24" s="1887"/>
      <c r="TQO24" s="1888"/>
      <c r="TQP24" s="1882"/>
      <c r="TQQ24" s="1882"/>
      <c r="TQR24" s="1882"/>
      <c r="TQT24" s="1887"/>
      <c r="TQU24" s="1888"/>
      <c r="TQV24" s="1882"/>
      <c r="TQW24" s="1882"/>
      <c r="TQX24" s="1882"/>
      <c r="TQZ24" s="1887"/>
      <c r="TRA24" s="1888"/>
      <c r="TRB24" s="1882"/>
      <c r="TRC24" s="1882"/>
      <c r="TRD24" s="1882"/>
      <c r="TRF24" s="1887"/>
      <c r="TRG24" s="1888"/>
      <c r="TRH24" s="1882"/>
      <c r="TRI24" s="1882"/>
      <c r="TRJ24" s="1882"/>
      <c r="TRL24" s="1887"/>
      <c r="TRM24" s="1888"/>
      <c r="TRN24" s="1882"/>
      <c r="TRO24" s="1882"/>
      <c r="TRP24" s="1882"/>
      <c r="TRR24" s="1887"/>
      <c r="TRS24" s="1888"/>
      <c r="TRT24" s="1882"/>
      <c r="TRU24" s="1882"/>
      <c r="TRV24" s="1882"/>
      <c r="TRX24" s="1887"/>
      <c r="TRY24" s="1888"/>
      <c r="TRZ24" s="1882"/>
      <c r="TSA24" s="1882"/>
      <c r="TSB24" s="1882"/>
      <c r="TSD24" s="1887"/>
      <c r="TSE24" s="1888"/>
      <c r="TSF24" s="1882"/>
      <c r="TSG24" s="1882"/>
      <c r="TSH24" s="1882"/>
      <c r="TSJ24" s="1887"/>
      <c r="TSK24" s="1888"/>
      <c r="TSL24" s="1882"/>
      <c r="TSM24" s="1882"/>
      <c r="TSN24" s="1882"/>
      <c r="TSP24" s="1887"/>
      <c r="TSQ24" s="1888"/>
      <c r="TSR24" s="1882"/>
      <c r="TSS24" s="1882"/>
      <c r="TST24" s="1882"/>
      <c r="TSV24" s="1887"/>
      <c r="TSW24" s="1888"/>
      <c r="TSX24" s="1882"/>
      <c r="TSY24" s="1882"/>
      <c r="TSZ24" s="1882"/>
      <c r="TTB24" s="1887"/>
      <c r="TTC24" s="1888"/>
      <c r="TTD24" s="1882"/>
      <c r="TTE24" s="1882"/>
      <c r="TTF24" s="1882"/>
      <c r="TTH24" s="1887"/>
      <c r="TTI24" s="1888"/>
      <c r="TTJ24" s="1882"/>
      <c r="TTK24" s="1882"/>
      <c r="TTL24" s="1882"/>
      <c r="TTN24" s="1887"/>
      <c r="TTO24" s="1888"/>
      <c r="TTP24" s="1882"/>
      <c r="TTQ24" s="1882"/>
      <c r="TTR24" s="1882"/>
      <c r="TTT24" s="1887"/>
      <c r="TTU24" s="1888"/>
      <c r="TTV24" s="1882"/>
      <c r="TTW24" s="1882"/>
      <c r="TTX24" s="1882"/>
      <c r="TTZ24" s="1887"/>
      <c r="TUA24" s="1888"/>
      <c r="TUB24" s="1882"/>
      <c r="TUC24" s="1882"/>
      <c r="TUD24" s="1882"/>
      <c r="TUF24" s="1887"/>
      <c r="TUG24" s="1888"/>
      <c r="TUH24" s="1882"/>
      <c r="TUI24" s="1882"/>
      <c r="TUJ24" s="1882"/>
      <c r="TUL24" s="1887"/>
      <c r="TUM24" s="1888"/>
      <c r="TUN24" s="1882"/>
      <c r="TUO24" s="1882"/>
      <c r="TUP24" s="1882"/>
      <c r="TUR24" s="1887"/>
      <c r="TUS24" s="1888"/>
      <c r="TUT24" s="1882"/>
      <c r="TUU24" s="1882"/>
      <c r="TUV24" s="1882"/>
      <c r="TUX24" s="1887"/>
      <c r="TUY24" s="1888"/>
      <c r="TUZ24" s="1882"/>
      <c r="TVA24" s="1882"/>
      <c r="TVB24" s="1882"/>
      <c r="TVD24" s="1887"/>
      <c r="TVE24" s="1888"/>
      <c r="TVF24" s="1882"/>
      <c r="TVG24" s="1882"/>
      <c r="TVH24" s="1882"/>
      <c r="TVJ24" s="1887"/>
      <c r="TVK24" s="1888"/>
      <c r="TVL24" s="1882"/>
      <c r="TVM24" s="1882"/>
      <c r="TVN24" s="1882"/>
      <c r="TVP24" s="1887"/>
      <c r="TVQ24" s="1888"/>
      <c r="TVR24" s="1882"/>
      <c r="TVS24" s="1882"/>
      <c r="TVT24" s="1882"/>
      <c r="TVV24" s="1887"/>
      <c r="TVW24" s="1888"/>
      <c r="TVX24" s="1882"/>
      <c r="TVY24" s="1882"/>
      <c r="TVZ24" s="1882"/>
      <c r="TWB24" s="1887"/>
      <c r="TWC24" s="1888"/>
      <c r="TWD24" s="1882"/>
      <c r="TWE24" s="1882"/>
      <c r="TWF24" s="1882"/>
      <c r="TWH24" s="1887"/>
      <c r="TWI24" s="1888"/>
      <c r="TWJ24" s="1882"/>
      <c r="TWK24" s="1882"/>
      <c r="TWL24" s="1882"/>
      <c r="TWN24" s="1887"/>
      <c r="TWO24" s="1888"/>
      <c r="TWP24" s="1882"/>
      <c r="TWQ24" s="1882"/>
      <c r="TWR24" s="1882"/>
      <c r="TWT24" s="1887"/>
      <c r="TWU24" s="1888"/>
      <c r="TWV24" s="1882"/>
      <c r="TWW24" s="1882"/>
      <c r="TWX24" s="1882"/>
      <c r="TWZ24" s="1887"/>
      <c r="TXA24" s="1888"/>
      <c r="TXB24" s="1882"/>
      <c r="TXC24" s="1882"/>
      <c r="TXD24" s="1882"/>
      <c r="TXF24" s="1887"/>
      <c r="TXG24" s="1888"/>
      <c r="TXH24" s="1882"/>
      <c r="TXI24" s="1882"/>
      <c r="TXJ24" s="1882"/>
      <c r="TXL24" s="1887"/>
      <c r="TXM24" s="1888"/>
      <c r="TXN24" s="1882"/>
      <c r="TXO24" s="1882"/>
      <c r="TXP24" s="1882"/>
      <c r="TXR24" s="1887"/>
      <c r="TXS24" s="1888"/>
      <c r="TXT24" s="1882"/>
      <c r="TXU24" s="1882"/>
      <c r="TXV24" s="1882"/>
      <c r="TXX24" s="1887"/>
      <c r="TXY24" s="1888"/>
      <c r="TXZ24" s="1882"/>
      <c r="TYA24" s="1882"/>
      <c r="TYB24" s="1882"/>
      <c r="TYD24" s="1887"/>
      <c r="TYE24" s="1888"/>
      <c r="TYF24" s="1882"/>
      <c r="TYG24" s="1882"/>
      <c r="TYH24" s="1882"/>
      <c r="TYJ24" s="1887"/>
      <c r="TYK24" s="1888"/>
      <c r="TYL24" s="1882"/>
      <c r="TYM24" s="1882"/>
      <c r="TYN24" s="1882"/>
      <c r="TYP24" s="1887"/>
      <c r="TYQ24" s="1888"/>
      <c r="TYR24" s="1882"/>
      <c r="TYS24" s="1882"/>
      <c r="TYT24" s="1882"/>
      <c r="TYV24" s="1887"/>
      <c r="TYW24" s="1888"/>
      <c r="TYX24" s="1882"/>
      <c r="TYY24" s="1882"/>
      <c r="TYZ24" s="1882"/>
      <c r="TZB24" s="1887"/>
      <c r="TZC24" s="1888"/>
      <c r="TZD24" s="1882"/>
      <c r="TZE24" s="1882"/>
      <c r="TZF24" s="1882"/>
      <c r="TZH24" s="1887"/>
      <c r="TZI24" s="1888"/>
      <c r="TZJ24" s="1882"/>
      <c r="TZK24" s="1882"/>
      <c r="TZL24" s="1882"/>
      <c r="TZN24" s="1887"/>
      <c r="TZO24" s="1888"/>
      <c r="TZP24" s="1882"/>
      <c r="TZQ24" s="1882"/>
      <c r="TZR24" s="1882"/>
      <c r="TZT24" s="1887"/>
      <c r="TZU24" s="1888"/>
      <c r="TZV24" s="1882"/>
      <c r="TZW24" s="1882"/>
      <c r="TZX24" s="1882"/>
      <c r="TZZ24" s="1887"/>
      <c r="UAA24" s="1888"/>
      <c r="UAB24" s="1882"/>
      <c r="UAC24" s="1882"/>
      <c r="UAD24" s="1882"/>
      <c r="UAF24" s="1887"/>
      <c r="UAG24" s="1888"/>
      <c r="UAH24" s="1882"/>
      <c r="UAI24" s="1882"/>
      <c r="UAJ24" s="1882"/>
      <c r="UAL24" s="1887"/>
      <c r="UAM24" s="1888"/>
      <c r="UAN24" s="1882"/>
      <c r="UAO24" s="1882"/>
      <c r="UAP24" s="1882"/>
      <c r="UAR24" s="1887"/>
      <c r="UAS24" s="1888"/>
      <c r="UAT24" s="1882"/>
      <c r="UAU24" s="1882"/>
      <c r="UAV24" s="1882"/>
      <c r="UAX24" s="1887"/>
      <c r="UAY24" s="1888"/>
      <c r="UAZ24" s="1882"/>
      <c r="UBA24" s="1882"/>
      <c r="UBB24" s="1882"/>
      <c r="UBD24" s="1887"/>
      <c r="UBE24" s="1888"/>
      <c r="UBF24" s="1882"/>
      <c r="UBG24" s="1882"/>
      <c r="UBH24" s="1882"/>
      <c r="UBJ24" s="1887"/>
      <c r="UBK24" s="1888"/>
      <c r="UBL24" s="1882"/>
      <c r="UBM24" s="1882"/>
      <c r="UBN24" s="1882"/>
      <c r="UBP24" s="1887"/>
      <c r="UBQ24" s="1888"/>
      <c r="UBR24" s="1882"/>
      <c r="UBS24" s="1882"/>
      <c r="UBT24" s="1882"/>
      <c r="UBV24" s="1887"/>
      <c r="UBW24" s="1888"/>
      <c r="UBX24" s="1882"/>
      <c r="UBY24" s="1882"/>
      <c r="UBZ24" s="1882"/>
      <c r="UCB24" s="1887"/>
      <c r="UCC24" s="1888"/>
      <c r="UCD24" s="1882"/>
      <c r="UCE24" s="1882"/>
      <c r="UCF24" s="1882"/>
      <c r="UCH24" s="1887"/>
      <c r="UCI24" s="1888"/>
      <c r="UCJ24" s="1882"/>
      <c r="UCK24" s="1882"/>
      <c r="UCL24" s="1882"/>
      <c r="UCN24" s="1887"/>
      <c r="UCO24" s="1888"/>
      <c r="UCP24" s="1882"/>
      <c r="UCQ24" s="1882"/>
      <c r="UCR24" s="1882"/>
      <c r="UCT24" s="1887"/>
      <c r="UCU24" s="1888"/>
      <c r="UCV24" s="1882"/>
      <c r="UCW24" s="1882"/>
      <c r="UCX24" s="1882"/>
      <c r="UCZ24" s="1887"/>
      <c r="UDA24" s="1888"/>
      <c r="UDB24" s="1882"/>
      <c r="UDC24" s="1882"/>
      <c r="UDD24" s="1882"/>
      <c r="UDF24" s="1887"/>
      <c r="UDG24" s="1888"/>
      <c r="UDH24" s="1882"/>
      <c r="UDI24" s="1882"/>
      <c r="UDJ24" s="1882"/>
      <c r="UDL24" s="1887"/>
      <c r="UDM24" s="1888"/>
      <c r="UDN24" s="1882"/>
      <c r="UDO24" s="1882"/>
      <c r="UDP24" s="1882"/>
      <c r="UDR24" s="1887"/>
      <c r="UDS24" s="1888"/>
      <c r="UDT24" s="1882"/>
      <c r="UDU24" s="1882"/>
      <c r="UDV24" s="1882"/>
      <c r="UDX24" s="1887"/>
      <c r="UDY24" s="1888"/>
      <c r="UDZ24" s="1882"/>
      <c r="UEA24" s="1882"/>
      <c r="UEB24" s="1882"/>
      <c r="UED24" s="1887"/>
      <c r="UEE24" s="1888"/>
      <c r="UEF24" s="1882"/>
      <c r="UEG24" s="1882"/>
      <c r="UEH24" s="1882"/>
      <c r="UEJ24" s="1887"/>
      <c r="UEK24" s="1888"/>
      <c r="UEL24" s="1882"/>
      <c r="UEM24" s="1882"/>
      <c r="UEN24" s="1882"/>
      <c r="UEP24" s="1887"/>
      <c r="UEQ24" s="1888"/>
      <c r="UER24" s="1882"/>
      <c r="UES24" s="1882"/>
      <c r="UET24" s="1882"/>
      <c r="UEV24" s="1887"/>
      <c r="UEW24" s="1888"/>
      <c r="UEX24" s="1882"/>
      <c r="UEY24" s="1882"/>
      <c r="UEZ24" s="1882"/>
      <c r="UFB24" s="1887"/>
      <c r="UFC24" s="1888"/>
      <c r="UFD24" s="1882"/>
      <c r="UFE24" s="1882"/>
      <c r="UFF24" s="1882"/>
      <c r="UFH24" s="1887"/>
      <c r="UFI24" s="1888"/>
      <c r="UFJ24" s="1882"/>
      <c r="UFK24" s="1882"/>
      <c r="UFL24" s="1882"/>
      <c r="UFN24" s="1887"/>
      <c r="UFO24" s="1888"/>
      <c r="UFP24" s="1882"/>
      <c r="UFQ24" s="1882"/>
      <c r="UFR24" s="1882"/>
      <c r="UFT24" s="1887"/>
      <c r="UFU24" s="1888"/>
      <c r="UFV24" s="1882"/>
      <c r="UFW24" s="1882"/>
      <c r="UFX24" s="1882"/>
      <c r="UFZ24" s="1887"/>
      <c r="UGA24" s="1888"/>
      <c r="UGB24" s="1882"/>
      <c r="UGC24" s="1882"/>
      <c r="UGD24" s="1882"/>
      <c r="UGF24" s="1887"/>
      <c r="UGG24" s="1888"/>
      <c r="UGH24" s="1882"/>
      <c r="UGI24" s="1882"/>
      <c r="UGJ24" s="1882"/>
      <c r="UGL24" s="1887"/>
      <c r="UGM24" s="1888"/>
      <c r="UGN24" s="1882"/>
      <c r="UGO24" s="1882"/>
      <c r="UGP24" s="1882"/>
      <c r="UGR24" s="1887"/>
      <c r="UGS24" s="1888"/>
      <c r="UGT24" s="1882"/>
      <c r="UGU24" s="1882"/>
      <c r="UGV24" s="1882"/>
      <c r="UGX24" s="1887"/>
      <c r="UGY24" s="1888"/>
      <c r="UGZ24" s="1882"/>
      <c r="UHA24" s="1882"/>
      <c r="UHB24" s="1882"/>
      <c r="UHD24" s="1887"/>
      <c r="UHE24" s="1888"/>
      <c r="UHF24" s="1882"/>
      <c r="UHG24" s="1882"/>
      <c r="UHH24" s="1882"/>
      <c r="UHJ24" s="1887"/>
      <c r="UHK24" s="1888"/>
      <c r="UHL24" s="1882"/>
      <c r="UHM24" s="1882"/>
      <c r="UHN24" s="1882"/>
      <c r="UHP24" s="1887"/>
      <c r="UHQ24" s="1888"/>
      <c r="UHR24" s="1882"/>
      <c r="UHS24" s="1882"/>
      <c r="UHT24" s="1882"/>
      <c r="UHV24" s="1887"/>
      <c r="UHW24" s="1888"/>
      <c r="UHX24" s="1882"/>
      <c r="UHY24" s="1882"/>
      <c r="UHZ24" s="1882"/>
      <c r="UIB24" s="1887"/>
      <c r="UIC24" s="1888"/>
      <c r="UID24" s="1882"/>
      <c r="UIE24" s="1882"/>
      <c r="UIF24" s="1882"/>
      <c r="UIH24" s="1887"/>
      <c r="UII24" s="1888"/>
      <c r="UIJ24" s="1882"/>
      <c r="UIK24" s="1882"/>
      <c r="UIL24" s="1882"/>
      <c r="UIN24" s="1887"/>
      <c r="UIO24" s="1888"/>
      <c r="UIP24" s="1882"/>
      <c r="UIQ24" s="1882"/>
      <c r="UIR24" s="1882"/>
      <c r="UIT24" s="1887"/>
      <c r="UIU24" s="1888"/>
      <c r="UIV24" s="1882"/>
      <c r="UIW24" s="1882"/>
      <c r="UIX24" s="1882"/>
      <c r="UIZ24" s="1887"/>
      <c r="UJA24" s="1888"/>
      <c r="UJB24" s="1882"/>
      <c r="UJC24" s="1882"/>
      <c r="UJD24" s="1882"/>
      <c r="UJF24" s="1887"/>
      <c r="UJG24" s="1888"/>
      <c r="UJH24" s="1882"/>
      <c r="UJI24" s="1882"/>
      <c r="UJJ24" s="1882"/>
      <c r="UJL24" s="1887"/>
      <c r="UJM24" s="1888"/>
      <c r="UJN24" s="1882"/>
      <c r="UJO24" s="1882"/>
      <c r="UJP24" s="1882"/>
      <c r="UJR24" s="1887"/>
      <c r="UJS24" s="1888"/>
      <c r="UJT24" s="1882"/>
      <c r="UJU24" s="1882"/>
      <c r="UJV24" s="1882"/>
      <c r="UJX24" s="1887"/>
      <c r="UJY24" s="1888"/>
      <c r="UJZ24" s="1882"/>
      <c r="UKA24" s="1882"/>
      <c r="UKB24" s="1882"/>
      <c r="UKD24" s="1887"/>
      <c r="UKE24" s="1888"/>
      <c r="UKF24" s="1882"/>
      <c r="UKG24" s="1882"/>
      <c r="UKH24" s="1882"/>
      <c r="UKJ24" s="1887"/>
      <c r="UKK24" s="1888"/>
      <c r="UKL24" s="1882"/>
      <c r="UKM24" s="1882"/>
      <c r="UKN24" s="1882"/>
      <c r="UKP24" s="1887"/>
      <c r="UKQ24" s="1888"/>
      <c r="UKR24" s="1882"/>
      <c r="UKS24" s="1882"/>
      <c r="UKT24" s="1882"/>
      <c r="UKV24" s="1887"/>
      <c r="UKW24" s="1888"/>
      <c r="UKX24" s="1882"/>
      <c r="UKY24" s="1882"/>
      <c r="UKZ24" s="1882"/>
      <c r="ULB24" s="1887"/>
      <c r="ULC24" s="1888"/>
      <c r="ULD24" s="1882"/>
      <c r="ULE24" s="1882"/>
      <c r="ULF24" s="1882"/>
      <c r="ULH24" s="1887"/>
      <c r="ULI24" s="1888"/>
      <c r="ULJ24" s="1882"/>
      <c r="ULK24" s="1882"/>
      <c r="ULL24" s="1882"/>
      <c r="ULN24" s="1887"/>
      <c r="ULO24" s="1888"/>
      <c r="ULP24" s="1882"/>
      <c r="ULQ24" s="1882"/>
      <c r="ULR24" s="1882"/>
      <c r="ULT24" s="1887"/>
      <c r="ULU24" s="1888"/>
      <c r="ULV24" s="1882"/>
      <c r="ULW24" s="1882"/>
      <c r="ULX24" s="1882"/>
      <c r="ULZ24" s="1887"/>
      <c r="UMA24" s="1888"/>
      <c r="UMB24" s="1882"/>
      <c r="UMC24" s="1882"/>
      <c r="UMD24" s="1882"/>
      <c r="UMF24" s="1887"/>
      <c r="UMG24" s="1888"/>
      <c r="UMH24" s="1882"/>
      <c r="UMI24" s="1882"/>
      <c r="UMJ24" s="1882"/>
      <c r="UML24" s="1887"/>
      <c r="UMM24" s="1888"/>
      <c r="UMN24" s="1882"/>
      <c r="UMO24" s="1882"/>
      <c r="UMP24" s="1882"/>
      <c r="UMR24" s="1887"/>
      <c r="UMS24" s="1888"/>
      <c r="UMT24" s="1882"/>
      <c r="UMU24" s="1882"/>
      <c r="UMV24" s="1882"/>
      <c r="UMX24" s="1887"/>
      <c r="UMY24" s="1888"/>
      <c r="UMZ24" s="1882"/>
      <c r="UNA24" s="1882"/>
      <c r="UNB24" s="1882"/>
      <c r="UND24" s="1887"/>
      <c r="UNE24" s="1888"/>
      <c r="UNF24" s="1882"/>
      <c r="UNG24" s="1882"/>
      <c r="UNH24" s="1882"/>
      <c r="UNJ24" s="1887"/>
      <c r="UNK24" s="1888"/>
      <c r="UNL24" s="1882"/>
      <c r="UNM24" s="1882"/>
      <c r="UNN24" s="1882"/>
      <c r="UNP24" s="1887"/>
      <c r="UNQ24" s="1888"/>
      <c r="UNR24" s="1882"/>
      <c r="UNS24" s="1882"/>
      <c r="UNT24" s="1882"/>
      <c r="UNV24" s="1887"/>
      <c r="UNW24" s="1888"/>
      <c r="UNX24" s="1882"/>
      <c r="UNY24" s="1882"/>
      <c r="UNZ24" s="1882"/>
      <c r="UOB24" s="1887"/>
      <c r="UOC24" s="1888"/>
      <c r="UOD24" s="1882"/>
      <c r="UOE24" s="1882"/>
      <c r="UOF24" s="1882"/>
      <c r="UOH24" s="1887"/>
      <c r="UOI24" s="1888"/>
      <c r="UOJ24" s="1882"/>
      <c r="UOK24" s="1882"/>
      <c r="UOL24" s="1882"/>
      <c r="UON24" s="1887"/>
      <c r="UOO24" s="1888"/>
      <c r="UOP24" s="1882"/>
      <c r="UOQ24" s="1882"/>
      <c r="UOR24" s="1882"/>
      <c r="UOT24" s="1887"/>
      <c r="UOU24" s="1888"/>
      <c r="UOV24" s="1882"/>
      <c r="UOW24" s="1882"/>
      <c r="UOX24" s="1882"/>
      <c r="UOZ24" s="1887"/>
      <c r="UPA24" s="1888"/>
      <c r="UPB24" s="1882"/>
      <c r="UPC24" s="1882"/>
      <c r="UPD24" s="1882"/>
      <c r="UPF24" s="1887"/>
      <c r="UPG24" s="1888"/>
      <c r="UPH24" s="1882"/>
      <c r="UPI24" s="1882"/>
      <c r="UPJ24" s="1882"/>
      <c r="UPL24" s="1887"/>
      <c r="UPM24" s="1888"/>
      <c r="UPN24" s="1882"/>
      <c r="UPO24" s="1882"/>
      <c r="UPP24" s="1882"/>
      <c r="UPR24" s="1887"/>
      <c r="UPS24" s="1888"/>
      <c r="UPT24" s="1882"/>
      <c r="UPU24" s="1882"/>
      <c r="UPV24" s="1882"/>
      <c r="UPX24" s="1887"/>
      <c r="UPY24" s="1888"/>
      <c r="UPZ24" s="1882"/>
      <c r="UQA24" s="1882"/>
      <c r="UQB24" s="1882"/>
      <c r="UQD24" s="1887"/>
      <c r="UQE24" s="1888"/>
      <c r="UQF24" s="1882"/>
      <c r="UQG24" s="1882"/>
      <c r="UQH24" s="1882"/>
      <c r="UQJ24" s="1887"/>
      <c r="UQK24" s="1888"/>
      <c r="UQL24" s="1882"/>
      <c r="UQM24" s="1882"/>
      <c r="UQN24" s="1882"/>
      <c r="UQP24" s="1887"/>
      <c r="UQQ24" s="1888"/>
      <c r="UQR24" s="1882"/>
      <c r="UQS24" s="1882"/>
      <c r="UQT24" s="1882"/>
      <c r="UQV24" s="1887"/>
      <c r="UQW24" s="1888"/>
      <c r="UQX24" s="1882"/>
      <c r="UQY24" s="1882"/>
      <c r="UQZ24" s="1882"/>
      <c r="URB24" s="1887"/>
      <c r="URC24" s="1888"/>
      <c r="URD24" s="1882"/>
      <c r="URE24" s="1882"/>
      <c r="URF24" s="1882"/>
      <c r="URH24" s="1887"/>
      <c r="URI24" s="1888"/>
      <c r="URJ24" s="1882"/>
      <c r="URK24" s="1882"/>
      <c r="URL24" s="1882"/>
      <c r="URN24" s="1887"/>
      <c r="URO24" s="1888"/>
      <c r="URP24" s="1882"/>
      <c r="URQ24" s="1882"/>
      <c r="URR24" s="1882"/>
      <c r="URT24" s="1887"/>
      <c r="URU24" s="1888"/>
      <c r="URV24" s="1882"/>
      <c r="URW24" s="1882"/>
      <c r="URX24" s="1882"/>
      <c r="URZ24" s="1887"/>
      <c r="USA24" s="1888"/>
      <c r="USB24" s="1882"/>
      <c r="USC24" s="1882"/>
      <c r="USD24" s="1882"/>
      <c r="USF24" s="1887"/>
      <c r="USG24" s="1888"/>
      <c r="USH24" s="1882"/>
      <c r="USI24" s="1882"/>
      <c r="USJ24" s="1882"/>
      <c r="USL24" s="1887"/>
      <c r="USM24" s="1888"/>
      <c r="USN24" s="1882"/>
      <c r="USO24" s="1882"/>
      <c r="USP24" s="1882"/>
      <c r="USR24" s="1887"/>
      <c r="USS24" s="1888"/>
      <c r="UST24" s="1882"/>
      <c r="USU24" s="1882"/>
      <c r="USV24" s="1882"/>
      <c r="USX24" s="1887"/>
      <c r="USY24" s="1888"/>
      <c r="USZ24" s="1882"/>
      <c r="UTA24" s="1882"/>
      <c r="UTB24" s="1882"/>
      <c r="UTD24" s="1887"/>
      <c r="UTE24" s="1888"/>
      <c r="UTF24" s="1882"/>
      <c r="UTG24" s="1882"/>
      <c r="UTH24" s="1882"/>
      <c r="UTJ24" s="1887"/>
      <c r="UTK24" s="1888"/>
      <c r="UTL24" s="1882"/>
      <c r="UTM24" s="1882"/>
      <c r="UTN24" s="1882"/>
      <c r="UTP24" s="1887"/>
      <c r="UTQ24" s="1888"/>
      <c r="UTR24" s="1882"/>
      <c r="UTS24" s="1882"/>
      <c r="UTT24" s="1882"/>
      <c r="UTV24" s="1887"/>
      <c r="UTW24" s="1888"/>
      <c r="UTX24" s="1882"/>
      <c r="UTY24" s="1882"/>
      <c r="UTZ24" s="1882"/>
      <c r="UUB24" s="1887"/>
      <c r="UUC24" s="1888"/>
      <c r="UUD24" s="1882"/>
      <c r="UUE24" s="1882"/>
      <c r="UUF24" s="1882"/>
      <c r="UUH24" s="1887"/>
      <c r="UUI24" s="1888"/>
      <c r="UUJ24" s="1882"/>
      <c r="UUK24" s="1882"/>
      <c r="UUL24" s="1882"/>
      <c r="UUN24" s="1887"/>
      <c r="UUO24" s="1888"/>
      <c r="UUP24" s="1882"/>
      <c r="UUQ24" s="1882"/>
      <c r="UUR24" s="1882"/>
      <c r="UUT24" s="1887"/>
      <c r="UUU24" s="1888"/>
      <c r="UUV24" s="1882"/>
      <c r="UUW24" s="1882"/>
      <c r="UUX24" s="1882"/>
      <c r="UUZ24" s="1887"/>
      <c r="UVA24" s="1888"/>
      <c r="UVB24" s="1882"/>
      <c r="UVC24" s="1882"/>
      <c r="UVD24" s="1882"/>
      <c r="UVF24" s="1887"/>
      <c r="UVG24" s="1888"/>
      <c r="UVH24" s="1882"/>
      <c r="UVI24" s="1882"/>
      <c r="UVJ24" s="1882"/>
      <c r="UVL24" s="1887"/>
      <c r="UVM24" s="1888"/>
      <c r="UVN24" s="1882"/>
      <c r="UVO24" s="1882"/>
      <c r="UVP24" s="1882"/>
      <c r="UVR24" s="1887"/>
      <c r="UVS24" s="1888"/>
      <c r="UVT24" s="1882"/>
      <c r="UVU24" s="1882"/>
      <c r="UVV24" s="1882"/>
      <c r="UVX24" s="1887"/>
      <c r="UVY24" s="1888"/>
      <c r="UVZ24" s="1882"/>
      <c r="UWA24" s="1882"/>
      <c r="UWB24" s="1882"/>
      <c r="UWD24" s="1887"/>
      <c r="UWE24" s="1888"/>
      <c r="UWF24" s="1882"/>
      <c r="UWG24" s="1882"/>
      <c r="UWH24" s="1882"/>
      <c r="UWJ24" s="1887"/>
      <c r="UWK24" s="1888"/>
      <c r="UWL24" s="1882"/>
      <c r="UWM24" s="1882"/>
      <c r="UWN24" s="1882"/>
      <c r="UWP24" s="1887"/>
      <c r="UWQ24" s="1888"/>
      <c r="UWR24" s="1882"/>
      <c r="UWS24" s="1882"/>
      <c r="UWT24" s="1882"/>
      <c r="UWV24" s="1887"/>
      <c r="UWW24" s="1888"/>
      <c r="UWX24" s="1882"/>
      <c r="UWY24" s="1882"/>
      <c r="UWZ24" s="1882"/>
      <c r="UXB24" s="1887"/>
      <c r="UXC24" s="1888"/>
      <c r="UXD24" s="1882"/>
      <c r="UXE24" s="1882"/>
      <c r="UXF24" s="1882"/>
      <c r="UXH24" s="1887"/>
      <c r="UXI24" s="1888"/>
      <c r="UXJ24" s="1882"/>
      <c r="UXK24" s="1882"/>
      <c r="UXL24" s="1882"/>
      <c r="UXN24" s="1887"/>
      <c r="UXO24" s="1888"/>
      <c r="UXP24" s="1882"/>
      <c r="UXQ24" s="1882"/>
      <c r="UXR24" s="1882"/>
      <c r="UXT24" s="1887"/>
      <c r="UXU24" s="1888"/>
      <c r="UXV24" s="1882"/>
      <c r="UXW24" s="1882"/>
      <c r="UXX24" s="1882"/>
      <c r="UXZ24" s="1887"/>
      <c r="UYA24" s="1888"/>
      <c r="UYB24" s="1882"/>
      <c r="UYC24" s="1882"/>
      <c r="UYD24" s="1882"/>
      <c r="UYF24" s="1887"/>
      <c r="UYG24" s="1888"/>
      <c r="UYH24" s="1882"/>
      <c r="UYI24" s="1882"/>
      <c r="UYJ24" s="1882"/>
      <c r="UYL24" s="1887"/>
      <c r="UYM24" s="1888"/>
      <c r="UYN24" s="1882"/>
      <c r="UYO24" s="1882"/>
      <c r="UYP24" s="1882"/>
      <c r="UYR24" s="1887"/>
      <c r="UYS24" s="1888"/>
      <c r="UYT24" s="1882"/>
      <c r="UYU24" s="1882"/>
      <c r="UYV24" s="1882"/>
      <c r="UYX24" s="1887"/>
      <c r="UYY24" s="1888"/>
      <c r="UYZ24" s="1882"/>
      <c r="UZA24" s="1882"/>
      <c r="UZB24" s="1882"/>
      <c r="UZD24" s="1887"/>
      <c r="UZE24" s="1888"/>
      <c r="UZF24" s="1882"/>
      <c r="UZG24" s="1882"/>
      <c r="UZH24" s="1882"/>
      <c r="UZJ24" s="1887"/>
      <c r="UZK24" s="1888"/>
      <c r="UZL24" s="1882"/>
      <c r="UZM24" s="1882"/>
      <c r="UZN24" s="1882"/>
      <c r="UZP24" s="1887"/>
      <c r="UZQ24" s="1888"/>
      <c r="UZR24" s="1882"/>
      <c r="UZS24" s="1882"/>
      <c r="UZT24" s="1882"/>
      <c r="UZV24" s="1887"/>
      <c r="UZW24" s="1888"/>
      <c r="UZX24" s="1882"/>
      <c r="UZY24" s="1882"/>
      <c r="UZZ24" s="1882"/>
      <c r="VAB24" s="1887"/>
      <c r="VAC24" s="1888"/>
      <c r="VAD24" s="1882"/>
      <c r="VAE24" s="1882"/>
      <c r="VAF24" s="1882"/>
      <c r="VAH24" s="1887"/>
      <c r="VAI24" s="1888"/>
      <c r="VAJ24" s="1882"/>
      <c r="VAK24" s="1882"/>
      <c r="VAL24" s="1882"/>
      <c r="VAN24" s="1887"/>
      <c r="VAO24" s="1888"/>
      <c r="VAP24" s="1882"/>
      <c r="VAQ24" s="1882"/>
      <c r="VAR24" s="1882"/>
      <c r="VAT24" s="1887"/>
      <c r="VAU24" s="1888"/>
      <c r="VAV24" s="1882"/>
      <c r="VAW24" s="1882"/>
      <c r="VAX24" s="1882"/>
      <c r="VAZ24" s="1887"/>
      <c r="VBA24" s="1888"/>
      <c r="VBB24" s="1882"/>
      <c r="VBC24" s="1882"/>
      <c r="VBD24" s="1882"/>
      <c r="VBF24" s="1887"/>
      <c r="VBG24" s="1888"/>
      <c r="VBH24" s="1882"/>
      <c r="VBI24" s="1882"/>
      <c r="VBJ24" s="1882"/>
      <c r="VBL24" s="1887"/>
      <c r="VBM24" s="1888"/>
      <c r="VBN24" s="1882"/>
      <c r="VBO24" s="1882"/>
      <c r="VBP24" s="1882"/>
      <c r="VBR24" s="1887"/>
      <c r="VBS24" s="1888"/>
      <c r="VBT24" s="1882"/>
      <c r="VBU24" s="1882"/>
      <c r="VBV24" s="1882"/>
      <c r="VBX24" s="1887"/>
      <c r="VBY24" s="1888"/>
      <c r="VBZ24" s="1882"/>
      <c r="VCA24" s="1882"/>
      <c r="VCB24" s="1882"/>
      <c r="VCD24" s="1887"/>
      <c r="VCE24" s="1888"/>
      <c r="VCF24" s="1882"/>
      <c r="VCG24" s="1882"/>
      <c r="VCH24" s="1882"/>
      <c r="VCJ24" s="1887"/>
      <c r="VCK24" s="1888"/>
      <c r="VCL24" s="1882"/>
      <c r="VCM24" s="1882"/>
      <c r="VCN24" s="1882"/>
      <c r="VCP24" s="1887"/>
      <c r="VCQ24" s="1888"/>
      <c r="VCR24" s="1882"/>
      <c r="VCS24" s="1882"/>
      <c r="VCT24" s="1882"/>
      <c r="VCV24" s="1887"/>
      <c r="VCW24" s="1888"/>
      <c r="VCX24" s="1882"/>
      <c r="VCY24" s="1882"/>
      <c r="VCZ24" s="1882"/>
      <c r="VDB24" s="1887"/>
      <c r="VDC24" s="1888"/>
      <c r="VDD24" s="1882"/>
      <c r="VDE24" s="1882"/>
      <c r="VDF24" s="1882"/>
      <c r="VDH24" s="1887"/>
      <c r="VDI24" s="1888"/>
      <c r="VDJ24" s="1882"/>
      <c r="VDK24" s="1882"/>
      <c r="VDL24" s="1882"/>
      <c r="VDN24" s="1887"/>
      <c r="VDO24" s="1888"/>
      <c r="VDP24" s="1882"/>
      <c r="VDQ24" s="1882"/>
      <c r="VDR24" s="1882"/>
      <c r="VDT24" s="1887"/>
      <c r="VDU24" s="1888"/>
      <c r="VDV24" s="1882"/>
      <c r="VDW24" s="1882"/>
      <c r="VDX24" s="1882"/>
      <c r="VDZ24" s="1887"/>
      <c r="VEA24" s="1888"/>
      <c r="VEB24" s="1882"/>
      <c r="VEC24" s="1882"/>
      <c r="VED24" s="1882"/>
      <c r="VEF24" s="1887"/>
      <c r="VEG24" s="1888"/>
      <c r="VEH24" s="1882"/>
      <c r="VEI24" s="1882"/>
      <c r="VEJ24" s="1882"/>
      <c r="VEL24" s="1887"/>
      <c r="VEM24" s="1888"/>
      <c r="VEN24" s="1882"/>
      <c r="VEO24" s="1882"/>
      <c r="VEP24" s="1882"/>
      <c r="VER24" s="1887"/>
      <c r="VES24" s="1888"/>
      <c r="VET24" s="1882"/>
      <c r="VEU24" s="1882"/>
      <c r="VEV24" s="1882"/>
      <c r="VEX24" s="1887"/>
      <c r="VEY24" s="1888"/>
      <c r="VEZ24" s="1882"/>
      <c r="VFA24" s="1882"/>
      <c r="VFB24" s="1882"/>
      <c r="VFD24" s="1887"/>
      <c r="VFE24" s="1888"/>
      <c r="VFF24" s="1882"/>
      <c r="VFG24" s="1882"/>
      <c r="VFH24" s="1882"/>
      <c r="VFJ24" s="1887"/>
      <c r="VFK24" s="1888"/>
      <c r="VFL24" s="1882"/>
      <c r="VFM24" s="1882"/>
      <c r="VFN24" s="1882"/>
      <c r="VFP24" s="1887"/>
      <c r="VFQ24" s="1888"/>
      <c r="VFR24" s="1882"/>
      <c r="VFS24" s="1882"/>
      <c r="VFT24" s="1882"/>
      <c r="VFV24" s="1887"/>
      <c r="VFW24" s="1888"/>
      <c r="VFX24" s="1882"/>
      <c r="VFY24" s="1882"/>
      <c r="VFZ24" s="1882"/>
      <c r="VGB24" s="1887"/>
      <c r="VGC24" s="1888"/>
      <c r="VGD24" s="1882"/>
      <c r="VGE24" s="1882"/>
      <c r="VGF24" s="1882"/>
      <c r="VGH24" s="1887"/>
      <c r="VGI24" s="1888"/>
      <c r="VGJ24" s="1882"/>
      <c r="VGK24" s="1882"/>
      <c r="VGL24" s="1882"/>
      <c r="VGN24" s="1887"/>
      <c r="VGO24" s="1888"/>
      <c r="VGP24" s="1882"/>
      <c r="VGQ24" s="1882"/>
      <c r="VGR24" s="1882"/>
      <c r="VGT24" s="1887"/>
      <c r="VGU24" s="1888"/>
      <c r="VGV24" s="1882"/>
      <c r="VGW24" s="1882"/>
      <c r="VGX24" s="1882"/>
      <c r="VGZ24" s="1887"/>
      <c r="VHA24" s="1888"/>
      <c r="VHB24" s="1882"/>
      <c r="VHC24" s="1882"/>
      <c r="VHD24" s="1882"/>
      <c r="VHF24" s="1887"/>
      <c r="VHG24" s="1888"/>
      <c r="VHH24" s="1882"/>
      <c r="VHI24" s="1882"/>
      <c r="VHJ24" s="1882"/>
      <c r="VHL24" s="1887"/>
      <c r="VHM24" s="1888"/>
      <c r="VHN24" s="1882"/>
      <c r="VHO24" s="1882"/>
      <c r="VHP24" s="1882"/>
      <c r="VHR24" s="1887"/>
      <c r="VHS24" s="1888"/>
      <c r="VHT24" s="1882"/>
      <c r="VHU24" s="1882"/>
      <c r="VHV24" s="1882"/>
      <c r="VHX24" s="1887"/>
      <c r="VHY24" s="1888"/>
      <c r="VHZ24" s="1882"/>
      <c r="VIA24" s="1882"/>
      <c r="VIB24" s="1882"/>
      <c r="VID24" s="1887"/>
      <c r="VIE24" s="1888"/>
      <c r="VIF24" s="1882"/>
      <c r="VIG24" s="1882"/>
      <c r="VIH24" s="1882"/>
      <c r="VIJ24" s="1887"/>
      <c r="VIK24" s="1888"/>
      <c r="VIL24" s="1882"/>
      <c r="VIM24" s="1882"/>
      <c r="VIN24" s="1882"/>
      <c r="VIP24" s="1887"/>
      <c r="VIQ24" s="1888"/>
      <c r="VIR24" s="1882"/>
      <c r="VIS24" s="1882"/>
      <c r="VIT24" s="1882"/>
      <c r="VIV24" s="1887"/>
      <c r="VIW24" s="1888"/>
      <c r="VIX24" s="1882"/>
      <c r="VIY24" s="1882"/>
      <c r="VIZ24" s="1882"/>
      <c r="VJB24" s="1887"/>
      <c r="VJC24" s="1888"/>
      <c r="VJD24" s="1882"/>
      <c r="VJE24" s="1882"/>
      <c r="VJF24" s="1882"/>
      <c r="VJH24" s="1887"/>
      <c r="VJI24" s="1888"/>
      <c r="VJJ24" s="1882"/>
      <c r="VJK24" s="1882"/>
      <c r="VJL24" s="1882"/>
      <c r="VJN24" s="1887"/>
      <c r="VJO24" s="1888"/>
      <c r="VJP24" s="1882"/>
      <c r="VJQ24" s="1882"/>
      <c r="VJR24" s="1882"/>
      <c r="VJT24" s="1887"/>
      <c r="VJU24" s="1888"/>
      <c r="VJV24" s="1882"/>
      <c r="VJW24" s="1882"/>
      <c r="VJX24" s="1882"/>
      <c r="VJZ24" s="1887"/>
      <c r="VKA24" s="1888"/>
      <c r="VKB24" s="1882"/>
      <c r="VKC24" s="1882"/>
      <c r="VKD24" s="1882"/>
      <c r="VKF24" s="1887"/>
      <c r="VKG24" s="1888"/>
      <c r="VKH24" s="1882"/>
      <c r="VKI24" s="1882"/>
      <c r="VKJ24" s="1882"/>
      <c r="VKL24" s="1887"/>
      <c r="VKM24" s="1888"/>
      <c r="VKN24" s="1882"/>
      <c r="VKO24" s="1882"/>
      <c r="VKP24" s="1882"/>
      <c r="VKR24" s="1887"/>
      <c r="VKS24" s="1888"/>
      <c r="VKT24" s="1882"/>
      <c r="VKU24" s="1882"/>
      <c r="VKV24" s="1882"/>
      <c r="VKX24" s="1887"/>
      <c r="VKY24" s="1888"/>
      <c r="VKZ24" s="1882"/>
      <c r="VLA24" s="1882"/>
      <c r="VLB24" s="1882"/>
      <c r="VLD24" s="1887"/>
      <c r="VLE24" s="1888"/>
      <c r="VLF24" s="1882"/>
      <c r="VLG24" s="1882"/>
      <c r="VLH24" s="1882"/>
      <c r="VLJ24" s="1887"/>
      <c r="VLK24" s="1888"/>
      <c r="VLL24" s="1882"/>
      <c r="VLM24" s="1882"/>
      <c r="VLN24" s="1882"/>
      <c r="VLP24" s="1887"/>
      <c r="VLQ24" s="1888"/>
      <c r="VLR24" s="1882"/>
      <c r="VLS24" s="1882"/>
      <c r="VLT24" s="1882"/>
      <c r="VLV24" s="1887"/>
      <c r="VLW24" s="1888"/>
      <c r="VLX24" s="1882"/>
      <c r="VLY24" s="1882"/>
      <c r="VLZ24" s="1882"/>
      <c r="VMB24" s="1887"/>
      <c r="VMC24" s="1888"/>
      <c r="VMD24" s="1882"/>
      <c r="VME24" s="1882"/>
      <c r="VMF24" s="1882"/>
      <c r="VMH24" s="1887"/>
      <c r="VMI24" s="1888"/>
      <c r="VMJ24" s="1882"/>
      <c r="VMK24" s="1882"/>
      <c r="VML24" s="1882"/>
      <c r="VMN24" s="1887"/>
      <c r="VMO24" s="1888"/>
      <c r="VMP24" s="1882"/>
      <c r="VMQ24" s="1882"/>
      <c r="VMR24" s="1882"/>
      <c r="VMT24" s="1887"/>
      <c r="VMU24" s="1888"/>
      <c r="VMV24" s="1882"/>
      <c r="VMW24" s="1882"/>
      <c r="VMX24" s="1882"/>
      <c r="VMZ24" s="1887"/>
      <c r="VNA24" s="1888"/>
      <c r="VNB24" s="1882"/>
      <c r="VNC24" s="1882"/>
      <c r="VND24" s="1882"/>
      <c r="VNF24" s="1887"/>
      <c r="VNG24" s="1888"/>
      <c r="VNH24" s="1882"/>
      <c r="VNI24" s="1882"/>
      <c r="VNJ24" s="1882"/>
      <c r="VNL24" s="1887"/>
      <c r="VNM24" s="1888"/>
      <c r="VNN24" s="1882"/>
      <c r="VNO24" s="1882"/>
      <c r="VNP24" s="1882"/>
      <c r="VNR24" s="1887"/>
      <c r="VNS24" s="1888"/>
      <c r="VNT24" s="1882"/>
      <c r="VNU24" s="1882"/>
      <c r="VNV24" s="1882"/>
      <c r="VNX24" s="1887"/>
      <c r="VNY24" s="1888"/>
      <c r="VNZ24" s="1882"/>
      <c r="VOA24" s="1882"/>
      <c r="VOB24" s="1882"/>
      <c r="VOD24" s="1887"/>
      <c r="VOE24" s="1888"/>
      <c r="VOF24" s="1882"/>
      <c r="VOG24" s="1882"/>
      <c r="VOH24" s="1882"/>
      <c r="VOJ24" s="1887"/>
      <c r="VOK24" s="1888"/>
      <c r="VOL24" s="1882"/>
      <c r="VOM24" s="1882"/>
      <c r="VON24" s="1882"/>
      <c r="VOP24" s="1887"/>
      <c r="VOQ24" s="1888"/>
      <c r="VOR24" s="1882"/>
      <c r="VOS24" s="1882"/>
      <c r="VOT24" s="1882"/>
      <c r="VOV24" s="1887"/>
      <c r="VOW24" s="1888"/>
      <c r="VOX24" s="1882"/>
      <c r="VOY24" s="1882"/>
      <c r="VOZ24" s="1882"/>
      <c r="VPB24" s="1887"/>
      <c r="VPC24" s="1888"/>
      <c r="VPD24" s="1882"/>
      <c r="VPE24" s="1882"/>
      <c r="VPF24" s="1882"/>
      <c r="VPH24" s="1887"/>
      <c r="VPI24" s="1888"/>
      <c r="VPJ24" s="1882"/>
      <c r="VPK24" s="1882"/>
      <c r="VPL24" s="1882"/>
      <c r="VPN24" s="1887"/>
      <c r="VPO24" s="1888"/>
      <c r="VPP24" s="1882"/>
      <c r="VPQ24" s="1882"/>
      <c r="VPR24" s="1882"/>
      <c r="VPT24" s="1887"/>
      <c r="VPU24" s="1888"/>
      <c r="VPV24" s="1882"/>
      <c r="VPW24" s="1882"/>
      <c r="VPX24" s="1882"/>
      <c r="VPZ24" s="1887"/>
      <c r="VQA24" s="1888"/>
      <c r="VQB24" s="1882"/>
      <c r="VQC24" s="1882"/>
      <c r="VQD24" s="1882"/>
      <c r="VQF24" s="1887"/>
      <c r="VQG24" s="1888"/>
      <c r="VQH24" s="1882"/>
      <c r="VQI24" s="1882"/>
      <c r="VQJ24" s="1882"/>
      <c r="VQL24" s="1887"/>
      <c r="VQM24" s="1888"/>
      <c r="VQN24" s="1882"/>
      <c r="VQO24" s="1882"/>
      <c r="VQP24" s="1882"/>
      <c r="VQR24" s="1887"/>
      <c r="VQS24" s="1888"/>
      <c r="VQT24" s="1882"/>
      <c r="VQU24" s="1882"/>
      <c r="VQV24" s="1882"/>
      <c r="VQX24" s="1887"/>
      <c r="VQY24" s="1888"/>
      <c r="VQZ24" s="1882"/>
      <c r="VRA24" s="1882"/>
      <c r="VRB24" s="1882"/>
      <c r="VRD24" s="1887"/>
      <c r="VRE24" s="1888"/>
      <c r="VRF24" s="1882"/>
      <c r="VRG24" s="1882"/>
      <c r="VRH24" s="1882"/>
      <c r="VRJ24" s="1887"/>
      <c r="VRK24" s="1888"/>
      <c r="VRL24" s="1882"/>
      <c r="VRM24" s="1882"/>
      <c r="VRN24" s="1882"/>
      <c r="VRP24" s="1887"/>
      <c r="VRQ24" s="1888"/>
      <c r="VRR24" s="1882"/>
      <c r="VRS24" s="1882"/>
      <c r="VRT24" s="1882"/>
      <c r="VRV24" s="1887"/>
      <c r="VRW24" s="1888"/>
      <c r="VRX24" s="1882"/>
      <c r="VRY24" s="1882"/>
      <c r="VRZ24" s="1882"/>
      <c r="VSB24" s="1887"/>
      <c r="VSC24" s="1888"/>
      <c r="VSD24" s="1882"/>
      <c r="VSE24" s="1882"/>
      <c r="VSF24" s="1882"/>
      <c r="VSH24" s="1887"/>
      <c r="VSI24" s="1888"/>
      <c r="VSJ24" s="1882"/>
      <c r="VSK24" s="1882"/>
      <c r="VSL24" s="1882"/>
      <c r="VSN24" s="1887"/>
      <c r="VSO24" s="1888"/>
      <c r="VSP24" s="1882"/>
      <c r="VSQ24" s="1882"/>
      <c r="VSR24" s="1882"/>
      <c r="VST24" s="1887"/>
      <c r="VSU24" s="1888"/>
      <c r="VSV24" s="1882"/>
      <c r="VSW24" s="1882"/>
      <c r="VSX24" s="1882"/>
      <c r="VSZ24" s="1887"/>
      <c r="VTA24" s="1888"/>
      <c r="VTB24" s="1882"/>
      <c r="VTC24" s="1882"/>
      <c r="VTD24" s="1882"/>
      <c r="VTF24" s="1887"/>
      <c r="VTG24" s="1888"/>
      <c r="VTH24" s="1882"/>
      <c r="VTI24" s="1882"/>
      <c r="VTJ24" s="1882"/>
      <c r="VTL24" s="1887"/>
      <c r="VTM24" s="1888"/>
      <c r="VTN24" s="1882"/>
      <c r="VTO24" s="1882"/>
      <c r="VTP24" s="1882"/>
      <c r="VTR24" s="1887"/>
      <c r="VTS24" s="1888"/>
      <c r="VTT24" s="1882"/>
      <c r="VTU24" s="1882"/>
      <c r="VTV24" s="1882"/>
      <c r="VTX24" s="1887"/>
      <c r="VTY24" s="1888"/>
      <c r="VTZ24" s="1882"/>
      <c r="VUA24" s="1882"/>
      <c r="VUB24" s="1882"/>
      <c r="VUD24" s="1887"/>
      <c r="VUE24" s="1888"/>
      <c r="VUF24" s="1882"/>
      <c r="VUG24" s="1882"/>
      <c r="VUH24" s="1882"/>
      <c r="VUJ24" s="1887"/>
      <c r="VUK24" s="1888"/>
      <c r="VUL24" s="1882"/>
      <c r="VUM24" s="1882"/>
      <c r="VUN24" s="1882"/>
      <c r="VUP24" s="1887"/>
      <c r="VUQ24" s="1888"/>
      <c r="VUR24" s="1882"/>
      <c r="VUS24" s="1882"/>
      <c r="VUT24" s="1882"/>
      <c r="VUV24" s="1887"/>
      <c r="VUW24" s="1888"/>
      <c r="VUX24" s="1882"/>
      <c r="VUY24" s="1882"/>
      <c r="VUZ24" s="1882"/>
      <c r="VVB24" s="1887"/>
      <c r="VVC24" s="1888"/>
      <c r="VVD24" s="1882"/>
      <c r="VVE24" s="1882"/>
      <c r="VVF24" s="1882"/>
      <c r="VVH24" s="1887"/>
      <c r="VVI24" s="1888"/>
      <c r="VVJ24" s="1882"/>
      <c r="VVK24" s="1882"/>
      <c r="VVL24" s="1882"/>
      <c r="VVN24" s="1887"/>
      <c r="VVO24" s="1888"/>
      <c r="VVP24" s="1882"/>
      <c r="VVQ24" s="1882"/>
      <c r="VVR24" s="1882"/>
      <c r="VVT24" s="1887"/>
      <c r="VVU24" s="1888"/>
      <c r="VVV24" s="1882"/>
      <c r="VVW24" s="1882"/>
      <c r="VVX24" s="1882"/>
      <c r="VVZ24" s="1887"/>
      <c r="VWA24" s="1888"/>
      <c r="VWB24" s="1882"/>
      <c r="VWC24" s="1882"/>
      <c r="VWD24" s="1882"/>
      <c r="VWF24" s="1887"/>
      <c r="VWG24" s="1888"/>
      <c r="VWH24" s="1882"/>
      <c r="VWI24" s="1882"/>
      <c r="VWJ24" s="1882"/>
      <c r="VWL24" s="1887"/>
      <c r="VWM24" s="1888"/>
      <c r="VWN24" s="1882"/>
      <c r="VWO24" s="1882"/>
      <c r="VWP24" s="1882"/>
      <c r="VWR24" s="1887"/>
      <c r="VWS24" s="1888"/>
      <c r="VWT24" s="1882"/>
      <c r="VWU24" s="1882"/>
      <c r="VWV24" s="1882"/>
      <c r="VWX24" s="1887"/>
      <c r="VWY24" s="1888"/>
      <c r="VWZ24" s="1882"/>
      <c r="VXA24" s="1882"/>
      <c r="VXB24" s="1882"/>
      <c r="VXD24" s="1887"/>
      <c r="VXE24" s="1888"/>
      <c r="VXF24" s="1882"/>
      <c r="VXG24" s="1882"/>
      <c r="VXH24" s="1882"/>
      <c r="VXJ24" s="1887"/>
      <c r="VXK24" s="1888"/>
      <c r="VXL24" s="1882"/>
      <c r="VXM24" s="1882"/>
      <c r="VXN24" s="1882"/>
      <c r="VXP24" s="1887"/>
      <c r="VXQ24" s="1888"/>
      <c r="VXR24" s="1882"/>
      <c r="VXS24" s="1882"/>
      <c r="VXT24" s="1882"/>
      <c r="VXV24" s="1887"/>
      <c r="VXW24" s="1888"/>
      <c r="VXX24" s="1882"/>
      <c r="VXY24" s="1882"/>
      <c r="VXZ24" s="1882"/>
      <c r="VYB24" s="1887"/>
      <c r="VYC24" s="1888"/>
      <c r="VYD24" s="1882"/>
      <c r="VYE24" s="1882"/>
      <c r="VYF24" s="1882"/>
      <c r="VYH24" s="1887"/>
      <c r="VYI24" s="1888"/>
      <c r="VYJ24" s="1882"/>
      <c r="VYK24" s="1882"/>
      <c r="VYL24" s="1882"/>
      <c r="VYN24" s="1887"/>
      <c r="VYO24" s="1888"/>
      <c r="VYP24" s="1882"/>
      <c r="VYQ24" s="1882"/>
      <c r="VYR24" s="1882"/>
      <c r="VYT24" s="1887"/>
      <c r="VYU24" s="1888"/>
      <c r="VYV24" s="1882"/>
      <c r="VYW24" s="1882"/>
      <c r="VYX24" s="1882"/>
      <c r="VYZ24" s="1887"/>
      <c r="VZA24" s="1888"/>
      <c r="VZB24" s="1882"/>
      <c r="VZC24" s="1882"/>
      <c r="VZD24" s="1882"/>
      <c r="VZF24" s="1887"/>
      <c r="VZG24" s="1888"/>
      <c r="VZH24" s="1882"/>
      <c r="VZI24" s="1882"/>
      <c r="VZJ24" s="1882"/>
      <c r="VZL24" s="1887"/>
      <c r="VZM24" s="1888"/>
      <c r="VZN24" s="1882"/>
      <c r="VZO24" s="1882"/>
      <c r="VZP24" s="1882"/>
      <c r="VZR24" s="1887"/>
      <c r="VZS24" s="1888"/>
      <c r="VZT24" s="1882"/>
      <c r="VZU24" s="1882"/>
      <c r="VZV24" s="1882"/>
      <c r="VZX24" s="1887"/>
      <c r="VZY24" s="1888"/>
      <c r="VZZ24" s="1882"/>
      <c r="WAA24" s="1882"/>
      <c r="WAB24" s="1882"/>
      <c r="WAD24" s="1887"/>
      <c r="WAE24" s="1888"/>
      <c r="WAF24" s="1882"/>
      <c r="WAG24" s="1882"/>
      <c r="WAH24" s="1882"/>
      <c r="WAJ24" s="1887"/>
      <c r="WAK24" s="1888"/>
      <c r="WAL24" s="1882"/>
      <c r="WAM24" s="1882"/>
      <c r="WAN24" s="1882"/>
      <c r="WAP24" s="1887"/>
      <c r="WAQ24" s="1888"/>
      <c r="WAR24" s="1882"/>
      <c r="WAS24" s="1882"/>
      <c r="WAT24" s="1882"/>
      <c r="WAV24" s="1887"/>
      <c r="WAW24" s="1888"/>
      <c r="WAX24" s="1882"/>
      <c r="WAY24" s="1882"/>
      <c r="WAZ24" s="1882"/>
      <c r="WBB24" s="1887"/>
      <c r="WBC24" s="1888"/>
      <c r="WBD24" s="1882"/>
      <c r="WBE24" s="1882"/>
      <c r="WBF24" s="1882"/>
      <c r="WBH24" s="1887"/>
      <c r="WBI24" s="1888"/>
      <c r="WBJ24" s="1882"/>
      <c r="WBK24" s="1882"/>
      <c r="WBL24" s="1882"/>
      <c r="WBN24" s="1887"/>
      <c r="WBO24" s="1888"/>
      <c r="WBP24" s="1882"/>
      <c r="WBQ24" s="1882"/>
      <c r="WBR24" s="1882"/>
      <c r="WBT24" s="1887"/>
      <c r="WBU24" s="1888"/>
      <c r="WBV24" s="1882"/>
      <c r="WBW24" s="1882"/>
      <c r="WBX24" s="1882"/>
      <c r="WBZ24" s="1887"/>
      <c r="WCA24" s="1888"/>
      <c r="WCB24" s="1882"/>
      <c r="WCC24" s="1882"/>
      <c r="WCD24" s="1882"/>
      <c r="WCF24" s="1887"/>
      <c r="WCG24" s="1888"/>
      <c r="WCH24" s="1882"/>
      <c r="WCI24" s="1882"/>
      <c r="WCJ24" s="1882"/>
      <c r="WCL24" s="1887"/>
      <c r="WCM24" s="1888"/>
      <c r="WCN24" s="1882"/>
      <c r="WCO24" s="1882"/>
      <c r="WCP24" s="1882"/>
      <c r="WCR24" s="1887"/>
      <c r="WCS24" s="1888"/>
      <c r="WCT24" s="1882"/>
      <c r="WCU24" s="1882"/>
      <c r="WCV24" s="1882"/>
      <c r="WCX24" s="1887"/>
      <c r="WCY24" s="1888"/>
      <c r="WCZ24" s="1882"/>
      <c r="WDA24" s="1882"/>
      <c r="WDB24" s="1882"/>
      <c r="WDD24" s="1887"/>
      <c r="WDE24" s="1888"/>
      <c r="WDF24" s="1882"/>
      <c r="WDG24" s="1882"/>
      <c r="WDH24" s="1882"/>
      <c r="WDJ24" s="1887"/>
      <c r="WDK24" s="1888"/>
      <c r="WDL24" s="1882"/>
      <c r="WDM24" s="1882"/>
      <c r="WDN24" s="1882"/>
      <c r="WDP24" s="1887"/>
      <c r="WDQ24" s="1888"/>
      <c r="WDR24" s="1882"/>
      <c r="WDS24" s="1882"/>
      <c r="WDT24" s="1882"/>
      <c r="WDV24" s="1887"/>
      <c r="WDW24" s="1888"/>
      <c r="WDX24" s="1882"/>
      <c r="WDY24" s="1882"/>
      <c r="WDZ24" s="1882"/>
      <c r="WEB24" s="1887"/>
      <c r="WEC24" s="1888"/>
      <c r="WED24" s="1882"/>
      <c r="WEE24" s="1882"/>
      <c r="WEF24" s="1882"/>
      <c r="WEH24" s="1887"/>
      <c r="WEI24" s="1888"/>
      <c r="WEJ24" s="1882"/>
      <c r="WEK24" s="1882"/>
      <c r="WEL24" s="1882"/>
      <c r="WEN24" s="1887"/>
      <c r="WEO24" s="1888"/>
      <c r="WEP24" s="1882"/>
      <c r="WEQ24" s="1882"/>
      <c r="WER24" s="1882"/>
      <c r="WET24" s="1887"/>
      <c r="WEU24" s="1888"/>
      <c r="WEV24" s="1882"/>
      <c r="WEW24" s="1882"/>
      <c r="WEX24" s="1882"/>
      <c r="WEZ24" s="1887"/>
      <c r="WFA24" s="1888"/>
      <c r="WFB24" s="1882"/>
      <c r="WFC24" s="1882"/>
      <c r="WFD24" s="1882"/>
      <c r="WFF24" s="1887"/>
      <c r="WFG24" s="1888"/>
      <c r="WFH24" s="1882"/>
      <c r="WFI24" s="1882"/>
      <c r="WFJ24" s="1882"/>
      <c r="WFL24" s="1887"/>
      <c r="WFM24" s="1888"/>
      <c r="WFN24" s="1882"/>
      <c r="WFO24" s="1882"/>
      <c r="WFP24" s="1882"/>
      <c r="WFR24" s="1887"/>
      <c r="WFS24" s="1888"/>
      <c r="WFT24" s="1882"/>
      <c r="WFU24" s="1882"/>
      <c r="WFV24" s="1882"/>
      <c r="WFX24" s="1887"/>
      <c r="WFY24" s="1888"/>
      <c r="WFZ24" s="1882"/>
      <c r="WGA24" s="1882"/>
      <c r="WGB24" s="1882"/>
      <c r="WGD24" s="1887"/>
      <c r="WGE24" s="1888"/>
      <c r="WGF24" s="1882"/>
      <c r="WGG24" s="1882"/>
      <c r="WGH24" s="1882"/>
      <c r="WGJ24" s="1887"/>
      <c r="WGK24" s="1888"/>
      <c r="WGL24" s="1882"/>
      <c r="WGM24" s="1882"/>
      <c r="WGN24" s="1882"/>
      <c r="WGP24" s="1887"/>
      <c r="WGQ24" s="1888"/>
      <c r="WGR24" s="1882"/>
      <c r="WGS24" s="1882"/>
      <c r="WGT24" s="1882"/>
      <c r="WGV24" s="1887"/>
      <c r="WGW24" s="1888"/>
      <c r="WGX24" s="1882"/>
      <c r="WGY24" s="1882"/>
      <c r="WGZ24" s="1882"/>
      <c r="WHB24" s="1887"/>
      <c r="WHC24" s="1888"/>
      <c r="WHD24" s="1882"/>
      <c r="WHE24" s="1882"/>
      <c r="WHF24" s="1882"/>
      <c r="WHH24" s="1887"/>
      <c r="WHI24" s="1888"/>
      <c r="WHJ24" s="1882"/>
      <c r="WHK24" s="1882"/>
      <c r="WHL24" s="1882"/>
      <c r="WHN24" s="1887"/>
      <c r="WHO24" s="1888"/>
      <c r="WHP24" s="1882"/>
      <c r="WHQ24" s="1882"/>
      <c r="WHR24" s="1882"/>
      <c r="WHT24" s="1887"/>
      <c r="WHU24" s="1888"/>
      <c r="WHV24" s="1882"/>
      <c r="WHW24" s="1882"/>
      <c r="WHX24" s="1882"/>
      <c r="WHZ24" s="1887"/>
      <c r="WIA24" s="1888"/>
      <c r="WIB24" s="1882"/>
      <c r="WIC24" s="1882"/>
      <c r="WID24" s="1882"/>
      <c r="WIF24" s="1887"/>
      <c r="WIG24" s="1888"/>
      <c r="WIH24" s="1882"/>
      <c r="WII24" s="1882"/>
      <c r="WIJ24" s="1882"/>
      <c r="WIL24" s="1887"/>
      <c r="WIM24" s="1888"/>
      <c r="WIN24" s="1882"/>
      <c r="WIO24" s="1882"/>
      <c r="WIP24" s="1882"/>
      <c r="WIR24" s="1887"/>
      <c r="WIS24" s="1888"/>
      <c r="WIT24" s="1882"/>
      <c r="WIU24" s="1882"/>
      <c r="WIV24" s="1882"/>
      <c r="WIX24" s="1887"/>
      <c r="WIY24" s="1888"/>
      <c r="WIZ24" s="1882"/>
      <c r="WJA24" s="1882"/>
      <c r="WJB24" s="1882"/>
      <c r="WJD24" s="1887"/>
      <c r="WJE24" s="1888"/>
      <c r="WJF24" s="1882"/>
      <c r="WJG24" s="1882"/>
      <c r="WJH24" s="1882"/>
      <c r="WJJ24" s="1887"/>
      <c r="WJK24" s="1888"/>
      <c r="WJL24" s="1882"/>
      <c r="WJM24" s="1882"/>
      <c r="WJN24" s="1882"/>
      <c r="WJP24" s="1887"/>
      <c r="WJQ24" s="1888"/>
      <c r="WJR24" s="1882"/>
      <c r="WJS24" s="1882"/>
      <c r="WJT24" s="1882"/>
      <c r="WJV24" s="1887"/>
      <c r="WJW24" s="1888"/>
      <c r="WJX24" s="1882"/>
      <c r="WJY24" s="1882"/>
      <c r="WJZ24" s="1882"/>
      <c r="WKB24" s="1887"/>
      <c r="WKC24" s="1888"/>
      <c r="WKD24" s="1882"/>
      <c r="WKE24" s="1882"/>
      <c r="WKF24" s="1882"/>
      <c r="WKH24" s="1887"/>
      <c r="WKI24" s="1888"/>
      <c r="WKJ24" s="1882"/>
      <c r="WKK24" s="1882"/>
      <c r="WKL24" s="1882"/>
      <c r="WKN24" s="1887"/>
      <c r="WKO24" s="1888"/>
      <c r="WKP24" s="1882"/>
      <c r="WKQ24" s="1882"/>
      <c r="WKR24" s="1882"/>
      <c r="WKT24" s="1887"/>
      <c r="WKU24" s="1888"/>
      <c r="WKV24" s="1882"/>
      <c r="WKW24" s="1882"/>
      <c r="WKX24" s="1882"/>
      <c r="WKZ24" s="1887"/>
      <c r="WLA24" s="1888"/>
      <c r="WLB24" s="1882"/>
      <c r="WLC24" s="1882"/>
      <c r="WLD24" s="1882"/>
      <c r="WLF24" s="1887"/>
      <c r="WLG24" s="1888"/>
      <c r="WLH24" s="1882"/>
      <c r="WLI24" s="1882"/>
      <c r="WLJ24" s="1882"/>
      <c r="WLL24" s="1887"/>
      <c r="WLM24" s="1888"/>
      <c r="WLN24" s="1882"/>
      <c r="WLO24" s="1882"/>
      <c r="WLP24" s="1882"/>
      <c r="WLR24" s="1887"/>
      <c r="WLS24" s="1888"/>
      <c r="WLT24" s="1882"/>
      <c r="WLU24" s="1882"/>
      <c r="WLV24" s="1882"/>
      <c r="WLX24" s="1887"/>
      <c r="WLY24" s="1888"/>
      <c r="WLZ24" s="1882"/>
      <c r="WMA24" s="1882"/>
      <c r="WMB24" s="1882"/>
      <c r="WMD24" s="1887"/>
      <c r="WME24" s="1888"/>
      <c r="WMF24" s="1882"/>
      <c r="WMG24" s="1882"/>
      <c r="WMH24" s="1882"/>
      <c r="WMJ24" s="1887"/>
      <c r="WMK24" s="1888"/>
      <c r="WML24" s="1882"/>
      <c r="WMM24" s="1882"/>
      <c r="WMN24" s="1882"/>
      <c r="WMP24" s="1887"/>
      <c r="WMQ24" s="1888"/>
      <c r="WMR24" s="1882"/>
      <c r="WMS24" s="1882"/>
      <c r="WMT24" s="1882"/>
      <c r="WMV24" s="1887"/>
      <c r="WMW24" s="1888"/>
      <c r="WMX24" s="1882"/>
      <c r="WMY24" s="1882"/>
      <c r="WMZ24" s="1882"/>
      <c r="WNB24" s="1887"/>
      <c r="WNC24" s="1888"/>
      <c r="WND24" s="1882"/>
      <c r="WNE24" s="1882"/>
      <c r="WNF24" s="1882"/>
      <c r="WNH24" s="1887"/>
      <c r="WNI24" s="1888"/>
      <c r="WNJ24" s="1882"/>
      <c r="WNK24" s="1882"/>
      <c r="WNL24" s="1882"/>
      <c r="WNN24" s="1887"/>
      <c r="WNO24" s="1888"/>
      <c r="WNP24" s="1882"/>
      <c r="WNQ24" s="1882"/>
      <c r="WNR24" s="1882"/>
      <c r="WNT24" s="1887"/>
      <c r="WNU24" s="1888"/>
      <c r="WNV24" s="1882"/>
      <c r="WNW24" s="1882"/>
      <c r="WNX24" s="1882"/>
      <c r="WNZ24" s="1887"/>
      <c r="WOA24" s="1888"/>
      <c r="WOB24" s="1882"/>
      <c r="WOC24" s="1882"/>
      <c r="WOD24" s="1882"/>
      <c r="WOF24" s="1887"/>
      <c r="WOG24" s="1888"/>
      <c r="WOH24" s="1882"/>
      <c r="WOI24" s="1882"/>
      <c r="WOJ24" s="1882"/>
      <c r="WOL24" s="1887"/>
      <c r="WOM24" s="1888"/>
      <c r="WON24" s="1882"/>
      <c r="WOO24" s="1882"/>
      <c r="WOP24" s="1882"/>
      <c r="WOR24" s="1887"/>
      <c r="WOS24" s="1888"/>
      <c r="WOT24" s="1882"/>
      <c r="WOU24" s="1882"/>
      <c r="WOV24" s="1882"/>
      <c r="WOX24" s="1887"/>
      <c r="WOY24" s="1888"/>
      <c r="WOZ24" s="1882"/>
      <c r="WPA24" s="1882"/>
      <c r="WPB24" s="1882"/>
      <c r="WPD24" s="1887"/>
      <c r="WPE24" s="1888"/>
      <c r="WPF24" s="1882"/>
      <c r="WPG24" s="1882"/>
      <c r="WPH24" s="1882"/>
      <c r="WPJ24" s="1887"/>
      <c r="WPK24" s="1888"/>
      <c r="WPL24" s="1882"/>
      <c r="WPM24" s="1882"/>
      <c r="WPN24" s="1882"/>
      <c r="WPP24" s="1887"/>
      <c r="WPQ24" s="1888"/>
      <c r="WPR24" s="1882"/>
      <c r="WPS24" s="1882"/>
      <c r="WPT24" s="1882"/>
      <c r="WPV24" s="1887"/>
      <c r="WPW24" s="1888"/>
      <c r="WPX24" s="1882"/>
      <c r="WPY24" s="1882"/>
      <c r="WPZ24" s="1882"/>
      <c r="WQB24" s="1887"/>
      <c r="WQC24" s="1888"/>
      <c r="WQD24" s="1882"/>
      <c r="WQE24" s="1882"/>
      <c r="WQF24" s="1882"/>
      <c r="WQH24" s="1887"/>
      <c r="WQI24" s="1888"/>
      <c r="WQJ24" s="1882"/>
      <c r="WQK24" s="1882"/>
      <c r="WQL24" s="1882"/>
      <c r="WQN24" s="1887"/>
      <c r="WQO24" s="1888"/>
      <c r="WQP24" s="1882"/>
      <c r="WQQ24" s="1882"/>
      <c r="WQR24" s="1882"/>
      <c r="WQT24" s="1887"/>
      <c r="WQU24" s="1888"/>
      <c r="WQV24" s="1882"/>
      <c r="WQW24" s="1882"/>
      <c r="WQX24" s="1882"/>
      <c r="WQZ24" s="1887"/>
      <c r="WRA24" s="1888"/>
      <c r="WRB24" s="1882"/>
      <c r="WRC24" s="1882"/>
      <c r="WRD24" s="1882"/>
      <c r="WRF24" s="1887"/>
      <c r="WRG24" s="1888"/>
      <c r="WRH24" s="1882"/>
      <c r="WRI24" s="1882"/>
      <c r="WRJ24" s="1882"/>
      <c r="WRL24" s="1887"/>
      <c r="WRM24" s="1888"/>
      <c r="WRN24" s="1882"/>
      <c r="WRO24" s="1882"/>
      <c r="WRP24" s="1882"/>
      <c r="WRR24" s="1887"/>
      <c r="WRS24" s="1888"/>
      <c r="WRT24" s="1882"/>
      <c r="WRU24" s="1882"/>
      <c r="WRV24" s="1882"/>
      <c r="WRX24" s="1887"/>
      <c r="WRY24" s="1888"/>
      <c r="WRZ24" s="1882"/>
      <c r="WSA24" s="1882"/>
      <c r="WSB24" s="1882"/>
      <c r="WSD24" s="1887"/>
      <c r="WSE24" s="1888"/>
      <c r="WSF24" s="1882"/>
      <c r="WSG24" s="1882"/>
      <c r="WSH24" s="1882"/>
      <c r="WSJ24" s="1887"/>
      <c r="WSK24" s="1888"/>
      <c r="WSL24" s="1882"/>
      <c r="WSM24" s="1882"/>
      <c r="WSN24" s="1882"/>
      <c r="WSP24" s="1887"/>
      <c r="WSQ24" s="1888"/>
      <c r="WSR24" s="1882"/>
      <c r="WSS24" s="1882"/>
      <c r="WST24" s="1882"/>
      <c r="WSV24" s="1887"/>
      <c r="WSW24" s="1888"/>
      <c r="WSX24" s="1882"/>
      <c r="WSY24" s="1882"/>
      <c r="WSZ24" s="1882"/>
      <c r="WTB24" s="1887"/>
      <c r="WTC24" s="1888"/>
      <c r="WTD24" s="1882"/>
      <c r="WTE24" s="1882"/>
      <c r="WTF24" s="1882"/>
      <c r="WTH24" s="1887"/>
      <c r="WTI24" s="1888"/>
      <c r="WTJ24" s="1882"/>
      <c r="WTK24" s="1882"/>
      <c r="WTL24" s="1882"/>
      <c r="WTN24" s="1887"/>
      <c r="WTO24" s="1888"/>
      <c r="WTP24" s="1882"/>
      <c r="WTQ24" s="1882"/>
      <c r="WTR24" s="1882"/>
      <c r="WTT24" s="1887"/>
      <c r="WTU24" s="1888"/>
      <c r="WTV24" s="1882"/>
      <c r="WTW24" s="1882"/>
      <c r="WTX24" s="1882"/>
      <c r="WTZ24" s="1887"/>
      <c r="WUA24" s="1888"/>
      <c r="WUB24" s="1882"/>
      <c r="WUC24" s="1882"/>
      <c r="WUD24" s="1882"/>
      <c r="WUF24" s="1887"/>
      <c r="WUG24" s="1888"/>
      <c r="WUH24" s="1882"/>
      <c r="WUI24" s="1882"/>
      <c r="WUJ24" s="1882"/>
      <c r="WUL24" s="1887"/>
      <c r="WUM24" s="1888"/>
      <c r="WUN24" s="1882"/>
      <c r="WUO24" s="1882"/>
      <c r="WUP24" s="1882"/>
      <c r="WUR24" s="1887"/>
      <c r="WUS24" s="1888"/>
      <c r="WUT24" s="1882"/>
      <c r="WUU24" s="1882"/>
      <c r="WUV24" s="1882"/>
      <c r="WUX24" s="1887"/>
      <c r="WUY24" s="1888"/>
      <c r="WUZ24" s="1882"/>
      <c r="WVA24" s="1882"/>
      <c r="WVB24" s="1882"/>
      <c r="WVD24" s="1887"/>
      <c r="WVE24" s="1888"/>
      <c r="WVF24" s="1882"/>
      <c r="WVG24" s="1882"/>
      <c r="WVH24" s="1882"/>
      <c r="WVJ24" s="1887"/>
      <c r="WVK24" s="1888"/>
      <c r="WVL24" s="1882"/>
      <c r="WVM24" s="1882"/>
      <c r="WVN24" s="1882"/>
      <c r="WVP24" s="1887"/>
      <c r="WVQ24" s="1888"/>
      <c r="WVR24" s="1882"/>
      <c r="WVS24" s="1882"/>
      <c r="WVT24" s="1882"/>
      <c r="WVV24" s="1887"/>
      <c r="WVW24" s="1888"/>
      <c r="WVX24" s="1882"/>
      <c r="WVY24" s="1882"/>
      <c r="WVZ24" s="1882"/>
      <c r="WWB24" s="1887"/>
      <c r="WWC24" s="1888"/>
      <c r="WWD24" s="1882"/>
      <c r="WWE24" s="1882"/>
      <c r="WWF24" s="1882"/>
      <c r="WWH24" s="1887"/>
      <c r="WWI24" s="1888"/>
      <c r="WWJ24" s="1882"/>
      <c r="WWK24" s="1882"/>
      <c r="WWL24" s="1882"/>
      <c r="WWN24" s="1887"/>
      <c r="WWO24" s="1888"/>
      <c r="WWP24" s="1882"/>
      <c r="WWQ24" s="1882"/>
      <c r="WWR24" s="1882"/>
      <c r="WWT24" s="1887"/>
      <c r="WWU24" s="1888"/>
      <c r="WWV24" s="1882"/>
      <c r="WWW24" s="1882"/>
      <c r="WWX24" s="1882"/>
      <c r="WWZ24" s="1887"/>
      <c r="WXA24" s="1888"/>
      <c r="WXB24" s="1882"/>
      <c r="WXC24" s="1882"/>
      <c r="WXD24" s="1882"/>
      <c r="WXF24" s="1887"/>
      <c r="WXG24" s="1888"/>
      <c r="WXH24" s="1882"/>
      <c r="WXI24" s="1882"/>
      <c r="WXJ24" s="1882"/>
      <c r="WXL24" s="1887"/>
      <c r="WXM24" s="1888"/>
      <c r="WXN24" s="1882"/>
      <c r="WXO24" s="1882"/>
      <c r="WXP24" s="1882"/>
      <c r="WXR24" s="1887"/>
      <c r="WXS24" s="1888"/>
      <c r="WXT24" s="1882"/>
      <c r="WXU24" s="1882"/>
      <c r="WXV24" s="1882"/>
      <c r="WXX24" s="1887"/>
      <c r="WXY24" s="1888"/>
      <c r="WXZ24" s="1882"/>
      <c r="WYA24" s="1882"/>
      <c r="WYB24" s="1882"/>
      <c r="WYD24" s="1887"/>
      <c r="WYE24" s="1888"/>
      <c r="WYF24" s="1882"/>
      <c r="WYG24" s="1882"/>
      <c r="WYH24" s="1882"/>
      <c r="WYJ24" s="1887"/>
      <c r="WYK24" s="1888"/>
      <c r="WYL24" s="1882"/>
      <c r="WYM24" s="1882"/>
      <c r="WYN24" s="1882"/>
      <c r="WYP24" s="1887"/>
      <c r="WYQ24" s="1888"/>
      <c r="WYR24" s="1882"/>
      <c r="WYS24" s="1882"/>
      <c r="WYT24" s="1882"/>
      <c r="WYV24" s="1887"/>
      <c r="WYW24" s="1888"/>
      <c r="WYX24" s="1882"/>
      <c r="WYY24" s="1882"/>
      <c r="WYZ24" s="1882"/>
      <c r="WZB24" s="1887"/>
      <c r="WZC24" s="1888"/>
      <c r="WZD24" s="1882"/>
      <c r="WZE24" s="1882"/>
      <c r="WZF24" s="1882"/>
      <c r="WZH24" s="1887"/>
      <c r="WZI24" s="1888"/>
      <c r="WZJ24" s="1882"/>
      <c r="WZK24" s="1882"/>
      <c r="WZL24" s="1882"/>
      <c r="WZN24" s="1887"/>
      <c r="WZO24" s="1888"/>
      <c r="WZP24" s="1882"/>
      <c r="WZQ24" s="1882"/>
      <c r="WZR24" s="1882"/>
      <c r="WZT24" s="1887"/>
      <c r="WZU24" s="1888"/>
      <c r="WZV24" s="1882"/>
      <c r="WZW24" s="1882"/>
      <c r="WZX24" s="1882"/>
      <c r="WZZ24" s="1887"/>
      <c r="XAA24" s="1888"/>
      <c r="XAB24" s="1882"/>
      <c r="XAC24" s="1882"/>
      <c r="XAD24" s="1882"/>
      <c r="XAF24" s="1887"/>
      <c r="XAG24" s="1888"/>
      <c r="XAH24" s="1882"/>
      <c r="XAI24" s="1882"/>
      <c r="XAJ24" s="1882"/>
      <c r="XAL24" s="1887"/>
      <c r="XAM24" s="1888"/>
      <c r="XAN24" s="1882"/>
      <c r="XAO24" s="1882"/>
      <c r="XAP24" s="1882"/>
      <c r="XAR24" s="1887"/>
      <c r="XAS24" s="1888"/>
      <c r="XAT24" s="1882"/>
      <c r="XAU24" s="1882"/>
      <c r="XAV24" s="1882"/>
      <c r="XAX24" s="1887"/>
      <c r="XAY24" s="1888"/>
      <c r="XAZ24" s="1882"/>
      <c r="XBA24" s="1882"/>
      <c r="XBB24" s="1882"/>
      <c r="XBD24" s="1887"/>
      <c r="XBE24" s="1888"/>
      <c r="XBF24" s="1882"/>
      <c r="XBG24" s="1882"/>
      <c r="XBH24" s="1882"/>
      <c r="XBJ24" s="1887"/>
      <c r="XBK24" s="1888"/>
      <c r="XBL24" s="1882"/>
      <c r="XBM24" s="1882"/>
      <c r="XBN24" s="1882"/>
      <c r="XBP24" s="1887"/>
      <c r="XBQ24" s="1888"/>
      <c r="XBR24" s="1882"/>
      <c r="XBS24" s="1882"/>
      <c r="XBT24" s="1882"/>
      <c r="XBV24" s="1887"/>
      <c r="XBW24" s="1888"/>
      <c r="XBX24" s="1882"/>
      <c r="XBY24" s="1882"/>
      <c r="XBZ24" s="1882"/>
      <c r="XCB24" s="1887"/>
      <c r="XCC24" s="1888"/>
      <c r="XCD24" s="1882"/>
      <c r="XCE24" s="1882"/>
      <c r="XCF24" s="1882"/>
      <c r="XCH24" s="1887"/>
      <c r="XCI24" s="1888"/>
      <c r="XCJ24" s="1882"/>
      <c r="XCK24" s="1882"/>
      <c r="XCL24" s="1882"/>
      <c r="XCN24" s="1887"/>
      <c r="XCO24" s="1888"/>
      <c r="XCP24" s="1882"/>
      <c r="XCQ24" s="1882"/>
      <c r="XCR24" s="1882"/>
      <c r="XCT24" s="1887"/>
      <c r="XCU24" s="1888"/>
      <c r="XCV24" s="1882"/>
      <c r="XCW24" s="1882"/>
      <c r="XCX24" s="1882"/>
      <c r="XCZ24" s="1887"/>
      <c r="XDA24" s="1888"/>
      <c r="XDB24" s="1882"/>
      <c r="XDC24" s="1882"/>
      <c r="XDD24" s="1882"/>
      <c r="XDF24" s="1887"/>
      <c r="XDG24" s="1888"/>
      <c r="XDH24" s="1882"/>
      <c r="XDI24" s="1882"/>
      <c r="XDJ24" s="1882"/>
      <c r="XDL24" s="1887"/>
      <c r="XDM24" s="1888"/>
      <c r="XDN24" s="1882"/>
      <c r="XDO24" s="1882"/>
      <c r="XDP24" s="1882"/>
      <c r="XDR24" s="1887"/>
      <c r="XDS24" s="1888"/>
      <c r="XDT24" s="1882"/>
      <c r="XDU24" s="1882"/>
      <c r="XDV24" s="1882"/>
      <c r="XDX24" s="1887"/>
      <c r="XDY24" s="1888"/>
      <c r="XDZ24" s="1882"/>
      <c r="XEA24" s="1882"/>
      <c r="XEB24" s="1882"/>
      <c r="XED24" s="1887"/>
      <c r="XEE24" s="1888"/>
      <c r="XEF24" s="1882"/>
      <c r="XEG24" s="1882"/>
      <c r="XEH24" s="1882"/>
      <c r="XEJ24" s="1887"/>
      <c r="XEK24" s="1888"/>
      <c r="XEL24" s="1882"/>
      <c r="XEM24" s="1882"/>
      <c r="XEN24" s="1882"/>
      <c r="XEP24" s="1887"/>
      <c r="XEQ24" s="1888"/>
      <c r="XER24" s="1882"/>
      <c r="XES24" s="1882"/>
      <c r="XET24" s="1882"/>
      <c r="XEV24" s="1887"/>
      <c r="XEW24" s="1888"/>
      <c r="XEX24" s="1882"/>
      <c r="XEY24" s="1882"/>
      <c r="XEZ24" s="1882"/>
      <c r="XFB24" s="1887"/>
      <c r="XFC24" s="1888"/>
      <c r="XFD24" s="1882"/>
    </row>
    <row r="25" spans="1:3072 3074:6144 6146:9216 9218:12288 12290:15360 15362:16384" ht="12.75" customHeight="1">
      <c r="A25" s="1877" t="s">
        <v>1155</v>
      </c>
      <c r="B25" s="1878" t="s">
        <v>1517</v>
      </c>
      <c r="C25" s="4900" t="s">
        <v>1544</v>
      </c>
      <c r="D25" s="4901"/>
      <c r="E25" s="4901"/>
      <c r="F25" s="4902"/>
      <c r="H25" s="1887"/>
      <c r="I25" s="1888"/>
      <c r="J25" s="1882"/>
      <c r="K25" s="1882"/>
      <c r="L25" s="1882"/>
      <c r="N25" s="1887"/>
      <c r="O25" s="1888"/>
      <c r="P25" s="1882"/>
      <c r="Q25" s="1882"/>
      <c r="R25" s="1882"/>
      <c r="T25" s="1887"/>
      <c r="U25" s="1888"/>
      <c r="V25" s="1882"/>
      <c r="W25" s="1882"/>
      <c r="X25" s="1882"/>
      <c r="Z25" s="1887"/>
      <c r="AA25" s="1888"/>
      <c r="AB25" s="1882"/>
      <c r="AC25" s="1882"/>
      <c r="AD25" s="1882"/>
      <c r="AF25" s="1887"/>
      <c r="AG25" s="1888"/>
      <c r="AH25" s="1882"/>
      <c r="AI25" s="1882"/>
      <c r="AJ25" s="1882"/>
      <c r="AL25" s="1887"/>
      <c r="AM25" s="1888"/>
      <c r="AN25" s="1882"/>
      <c r="AO25" s="1882"/>
      <c r="AP25" s="1882"/>
      <c r="AR25" s="1887"/>
      <c r="AS25" s="1888"/>
      <c r="AT25" s="1882"/>
      <c r="AU25" s="1882"/>
      <c r="AV25" s="1882"/>
      <c r="AX25" s="1887"/>
      <c r="AY25" s="1888"/>
      <c r="AZ25" s="1882"/>
      <c r="BA25" s="1882"/>
      <c r="BB25" s="1882"/>
      <c r="BD25" s="1887"/>
      <c r="BE25" s="1888"/>
      <c r="BF25" s="1882"/>
      <c r="BG25" s="1882"/>
      <c r="BH25" s="1882"/>
      <c r="BJ25" s="1887"/>
      <c r="BK25" s="1888"/>
      <c r="BL25" s="1882"/>
      <c r="BM25" s="1882"/>
      <c r="BN25" s="1882"/>
      <c r="BP25" s="1887"/>
      <c r="BQ25" s="1888"/>
      <c r="BR25" s="1882"/>
      <c r="BS25" s="1882"/>
      <c r="BT25" s="1882"/>
      <c r="BV25" s="1887"/>
      <c r="BW25" s="1888"/>
      <c r="BX25" s="1882"/>
      <c r="BY25" s="1882"/>
      <c r="BZ25" s="1882"/>
      <c r="CB25" s="1887"/>
      <c r="CC25" s="1888"/>
      <c r="CD25" s="1882"/>
      <c r="CE25" s="1882"/>
      <c r="CF25" s="1882"/>
      <c r="CH25" s="1887"/>
      <c r="CI25" s="1888"/>
      <c r="CJ25" s="1882"/>
      <c r="CK25" s="1882"/>
      <c r="CL25" s="1882"/>
      <c r="CN25" s="1887"/>
      <c r="CO25" s="1888"/>
      <c r="CP25" s="1882"/>
      <c r="CQ25" s="1882"/>
      <c r="CR25" s="1882"/>
      <c r="CT25" s="1887"/>
      <c r="CU25" s="1888"/>
      <c r="CV25" s="1882"/>
      <c r="CW25" s="1882"/>
      <c r="CX25" s="1882"/>
      <c r="CZ25" s="1887"/>
      <c r="DA25" s="1888"/>
      <c r="DB25" s="1882"/>
      <c r="DC25" s="1882"/>
      <c r="DD25" s="1882"/>
      <c r="DF25" s="1887"/>
      <c r="DG25" s="1888"/>
      <c r="DH25" s="1882"/>
      <c r="DI25" s="1882"/>
      <c r="DJ25" s="1882"/>
      <c r="DL25" s="1887"/>
      <c r="DM25" s="1888"/>
      <c r="DN25" s="1882"/>
      <c r="DO25" s="1882"/>
      <c r="DP25" s="1882"/>
      <c r="DR25" s="1887"/>
      <c r="DS25" s="1888"/>
      <c r="DT25" s="1882"/>
      <c r="DU25" s="1882"/>
      <c r="DV25" s="1882"/>
      <c r="DX25" s="1887"/>
      <c r="DY25" s="1888"/>
      <c r="DZ25" s="1882"/>
      <c r="EA25" s="1882"/>
      <c r="EB25" s="1882"/>
      <c r="ED25" s="1887"/>
      <c r="EE25" s="1888"/>
      <c r="EF25" s="1882"/>
      <c r="EG25" s="1882"/>
      <c r="EH25" s="1882"/>
      <c r="EJ25" s="1887"/>
      <c r="EK25" s="1888"/>
      <c r="EL25" s="1882"/>
      <c r="EM25" s="1882"/>
      <c r="EN25" s="1882"/>
      <c r="EP25" s="1887"/>
      <c r="EQ25" s="1888"/>
      <c r="ER25" s="1882"/>
      <c r="ES25" s="1882"/>
      <c r="ET25" s="1882"/>
      <c r="EV25" s="1887"/>
      <c r="EW25" s="1888"/>
      <c r="EX25" s="1882"/>
      <c r="EY25" s="1882"/>
      <c r="EZ25" s="1882"/>
      <c r="FB25" s="1887"/>
      <c r="FC25" s="1888"/>
      <c r="FD25" s="1882"/>
      <c r="FE25" s="1882"/>
      <c r="FF25" s="1882"/>
      <c r="FH25" s="1887"/>
      <c r="FI25" s="1888"/>
      <c r="FJ25" s="1882"/>
      <c r="FK25" s="1882"/>
      <c r="FL25" s="1882"/>
      <c r="FN25" s="1887"/>
      <c r="FO25" s="1888"/>
      <c r="FP25" s="1882"/>
      <c r="FQ25" s="1882"/>
      <c r="FR25" s="1882"/>
      <c r="FT25" s="1887"/>
      <c r="FU25" s="1888"/>
      <c r="FV25" s="1882"/>
      <c r="FW25" s="1882"/>
      <c r="FX25" s="1882"/>
      <c r="FZ25" s="1887"/>
      <c r="GA25" s="1888"/>
      <c r="GB25" s="1882"/>
      <c r="GC25" s="1882"/>
      <c r="GD25" s="1882"/>
      <c r="GF25" s="1887"/>
      <c r="GG25" s="1888"/>
      <c r="GH25" s="1882"/>
      <c r="GI25" s="1882"/>
      <c r="GJ25" s="1882"/>
      <c r="GL25" s="1887"/>
      <c r="GM25" s="1888"/>
      <c r="GN25" s="1882"/>
      <c r="GO25" s="1882"/>
      <c r="GP25" s="1882"/>
      <c r="GR25" s="1887"/>
      <c r="GS25" s="1888"/>
      <c r="GT25" s="1882"/>
      <c r="GU25" s="1882"/>
      <c r="GV25" s="1882"/>
      <c r="GX25" s="1887"/>
      <c r="GY25" s="1888"/>
      <c r="GZ25" s="1882"/>
      <c r="HA25" s="1882"/>
      <c r="HB25" s="1882"/>
      <c r="HD25" s="1887"/>
      <c r="HE25" s="1888"/>
      <c r="HF25" s="1882"/>
      <c r="HG25" s="1882"/>
      <c r="HH25" s="1882"/>
      <c r="HJ25" s="1887"/>
      <c r="HK25" s="1888"/>
      <c r="HL25" s="1882"/>
      <c r="HM25" s="1882"/>
      <c r="HN25" s="1882"/>
      <c r="HP25" s="1887"/>
      <c r="HQ25" s="1888"/>
      <c r="HR25" s="1882"/>
      <c r="HS25" s="1882"/>
      <c r="HT25" s="1882"/>
      <c r="HV25" s="1887"/>
      <c r="HW25" s="1888"/>
      <c r="HX25" s="1882"/>
      <c r="HY25" s="1882"/>
      <c r="HZ25" s="1882"/>
      <c r="IB25" s="1887"/>
      <c r="IC25" s="1888"/>
      <c r="ID25" s="1882"/>
      <c r="IE25" s="1882"/>
      <c r="IF25" s="1882"/>
      <c r="IH25" s="1887"/>
      <c r="II25" s="1888"/>
      <c r="IJ25" s="1882"/>
      <c r="IK25" s="1882"/>
      <c r="IL25" s="1882"/>
      <c r="IN25" s="1887"/>
      <c r="IO25" s="1888"/>
      <c r="IP25" s="1882"/>
      <c r="IQ25" s="1882"/>
      <c r="IR25" s="1882"/>
      <c r="IT25" s="1887"/>
      <c r="IU25" s="1888"/>
      <c r="IV25" s="1882"/>
      <c r="IW25" s="1882"/>
      <c r="IX25" s="1882"/>
      <c r="IZ25" s="1887"/>
      <c r="JA25" s="1888"/>
      <c r="JB25" s="1882"/>
      <c r="JC25" s="1882"/>
      <c r="JD25" s="1882"/>
      <c r="JF25" s="1887"/>
      <c r="JG25" s="1888"/>
      <c r="JH25" s="1882"/>
      <c r="JI25" s="1882"/>
      <c r="JJ25" s="1882"/>
      <c r="JL25" s="1887"/>
      <c r="JM25" s="1888"/>
      <c r="JN25" s="1882"/>
      <c r="JO25" s="1882"/>
      <c r="JP25" s="1882"/>
      <c r="JR25" s="1887"/>
      <c r="JS25" s="1888"/>
      <c r="JT25" s="1882"/>
      <c r="JU25" s="1882"/>
      <c r="JV25" s="1882"/>
      <c r="JX25" s="1887"/>
      <c r="JY25" s="1888"/>
      <c r="JZ25" s="1882"/>
      <c r="KA25" s="1882"/>
      <c r="KB25" s="1882"/>
      <c r="KD25" s="1887"/>
      <c r="KE25" s="1888"/>
      <c r="KF25" s="1882"/>
      <c r="KG25" s="1882"/>
      <c r="KH25" s="1882"/>
      <c r="KJ25" s="1887"/>
      <c r="KK25" s="1888"/>
      <c r="KL25" s="1882"/>
      <c r="KM25" s="1882"/>
      <c r="KN25" s="1882"/>
      <c r="KP25" s="1887"/>
      <c r="KQ25" s="1888"/>
      <c r="KR25" s="1882"/>
      <c r="KS25" s="1882"/>
      <c r="KT25" s="1882"/>
      <c r="KV25" s="1887"/>
      <c r="KW25" s="1888"/>
      <c r="KX25" s="1882"/>
      <c r="KY25" s="1882"/>
      <c r="KZ25" s="1882"/>
      <c r="LB25" s="1887"/>
      <c r="LC25" s="1888"/>
      <c r="LD25" s="1882"/>
      <c r="LE25" s="1882"/>
      <c r="LF25" s="1882"/>
      <c r="LH25" s="1887"/>
      <c r="LI25" s="1888"/>
      <c r="LJ25" s="1882"/>
      <c r="LK25" s="1882"/>
      <c r="LL25" s="1882"/>
      <c r="LN25" s="1887"/>
      <c r="LO25" s="1888"/>
      <c r="LP25" s="1882"/>
      <c r="LQ25" s="1882"/>
      <c r="LR25" s="1882"/>
      <c r="LT25" s="1887"/>
      <c r="LU25" s="1888"/>
      <c r="LV25" s="1882"/>
      <c r="LW25" s="1882"/>
      <c r="LX25" s="1882"/>
      <c r="LZ25" s="1887"/>
      <c r="MA25" s="1888"/>
      <c r="MB25" s="1882"/>
      <c r="MC25" s="1882"/>
      <c r="MD25" s="1882"/>
      <c r="MF25" s="1887"/>
      <c r="MG25" s="1888"/>
      <c r="MH25" s="1882"/>
      <c r="MI25" s="1882"/>
      <c r="MJ25" s="1882"/>
      <c r="ML25" s="1887"/>
      <c r="MM25" s="1888"/>
      <c r="MN25" s="1882"/>
      <c r="MO25" s="1882"/>
      <c r="MP25" s="1882"/>
      <c r="MR25" s="1887"/>
      <c r="MS25" s="1888"/>
      <c r="MT25" s="1882"/>
      <c r="MU25" s="1882"/>
      <c r="MV25" s="1882"/>
      <c r="MX25" s="1887"/>
      <c r="MY25" s="1888"/>
      <c r="MZ25" s="1882"/>
      <c r="NA25" s="1882"/>
      <c r="NB25" s="1882"/>
      <c r="ND25" s="1887"/>
      <c r="NE25" s="1888"/>
      <c r="NF25" s="1882"/>
      <c r="NG25" s="1882"/>
      <c r="NH25" s="1882"/>
      <c r="NJ25" s="1887"/>
      <c r="NK25" s="1888"/>
      <c r="NL25" s="1882"/>
      <c r="NM25" s="1882"/>
      <c r="NN25" s="1882"/>
      <c r="NP25" s="1887"/>
      <c r="NQ25" s="1888"/>
      <c r="NR25" s="1882"/>
      <c r="NS25" s="1882"/>
      <c r="NT25" s="1882"/>
      <c r="NV25" s="1887"/>
      <c r="NW25" s="1888"/>
      <c r="NX25" s="1882"/>
      <c r="NY25" s="1882"/>
      <c r="NZ25" s="1882"/>
      <c r="OB25" s="1887"/>
      <c r="OC25" s="1888"/>
      <c r="OD25" s="1882"/>
      <c r="OE25" s="1882"/>
      <c r="OF25" s="1882"/>
      <c r="OH25" s="1887"/>
      <c r="OI25" s="1888"/>
      <c r="OJ25" s="1882"/>
      <c r="OK25" s="1882"/>
      <c r="OL25" s="1882"/>
      <c r="ON25" s="1887"/>
      <c r="OO25" s="1888"/>
      <c r="OP25" s="1882"/>
      <c r="OQ25" s="1882"/>
      <c r="OR25" s="1882"/>
      <c r="OT25" s="1887"/>
      <c r="OU25" s="1888"/>
      <c r="OV25" s="1882"/>
      <c r="OW25" s="1882"/>
      <c r="OX25" s="1882"/>
      <c r="OZ25" s="1887"/>
      <c r="PA25" s="1888"/>
      <c r="PB25" s="1882"/>
      <c r="PC25" s="1882"/>
      <c r="PD25" s="1882"/>
      <c r="PF25" s="1887"/>
      <c r="PG25" s="1888"/>
      <c r="PH25" s="1882"/>
      <c r="PI25" s="1882"/>
      <c r="PJ25" s="1882"/>
      <c r="PL25" s="1887"/>
      <c r="PM25" s="1888"/>
      <c r="PN25" s="1882"/>
      <c r="PO25" s="1882"/>
      <c r="PP25" s="1882"/>
      <c r="PR25" s="1887"/>
      <c r="PS25" s="1888"/>
      <c r="PT25" s="1882"/>
      <c r="PU25" s="1882"/>
      <c r="PV25" s="1882"/>
      <c r="PX25" s="1887"/>
      <c r="PY25" s="1888"/>
      <c r="PZ25" s="1882"/>
      <c r="QA25" s="1882"/>
      <c r="QB25" s="1882"/>
      <c r="QD25" s="1887"/>
      <c r="QE25" s="1888"/>
      <c r="QF25" s="1882"/>
      <c r="QG25" s="1882"/>
      <c r="QH25" s="1882"/>
      <c r="QJ25" s="1887"/>
      <c r="QK25" s="1888"/>
      <c r="QL25" s="1882"/>
      <c r="QM25" s="1882"/>
      <c r="QN25" s="1882"/>
      <c r="QP25" s="1887"/>
      <c r="QQ25" s="1888"/>
      <c r="QR25" s="1882"/>
      <c r="QS25" s="1882"/>
      <c r="QT25" s="1882"/>
      <c r="QV25" s="1887"/>
      <c r="QW25" s="1888"/>
      <c r="QX25" s="1882"/>
      <c r="QY25" s="1882"/>
      <c r="QZ25" s="1882"/>
      <c r="RB25" s="1887"/>
      <c r="RC25" s="1888"/>
      <c r="RD25" s="1882"/>
      <c r="RE25" s="1882"/>
      <c r="RF25" s="1882"/>
      <c r="RH25" s="1887"/>
      <c r="RI25" s="1888"/>
      <c r="RJ25" s="1882"/>
      <c r="RK25" s="1882"/>
      <c r="RL25" s="1882"/>
      <c r="RN25" s="1887"/>
      <c r="RO25" s="1888"/>
      <c r="RP25" s="1882"/>
      <c r="RQ25" s="1882"/>
      <c r="RR25" s="1882"/>
      <c r="RT25" s="1887"/>
      <c r="RU25" s="1888"/>
      <c r="RV25" s="1882"/>
      <c r="RW25" s="1882"/>
      <c r="RX25" s="1882"/>
      <c r="RZ25" s="1887"/>
      <c r="SA25" s="1888"/>
      <c r="SB25" s="1882"/>
      <c r="SC25" s="1882"/>
      <c r="SD25" s="1882"/>
      <c r="SF25" s="1887"/>
      <c r="SG25" s="1888"/>
      <c r="SH25" s="1882"/>
      <c r="SI25" s="1882"/>
      <c r="SJ25" s="1882"/>
      <c r="SL25" s="1887"/>
      <c r="SM25" s="1888"/>
      <c r="SN25" s="1882"/>
      <c r="SO25" s="1882"/>
      <c r="SP25" s="1882"/>
      <c r="SR25" s="1887"/>
      <c r="SS25" s="1888"/>
      <c r="ST25" s="1882"/>
      <c r="SU25" s="1882"/>
      <c r="SV25" s="1882"/>
      <c r="SX25" s="1887"/>
      <c r="SY25" s="1888"/>
      <c r="SZ25" s="1882"/>
      <c r="TA25" s="1882"/>
      <c r="TB25" s="1882"/>
      <c r="TD25" s="1887"/>
      <c r="TE25" s="1888"/>
      <c r="TF25" s="1882"/>
      <c r="TG25" s="1882"/>
      <c r="TH25" s="1882"/>
      <c r="TJ25" s="1887"/>
      <c r="TK25" s="1888"/>
      <c r="TL25" s="1882"/>
      <c r="TM25" s="1882"/>
      <c r="TN25" s="1882"/>
      <c r="TP25" s="1887"/>
      <c r="TQ25" s="1888"/>
      <c r="TR25" s="1882"/>
      <c r="TS25" s="1882"/>
      <c r="TT25" s="1882"/>
      <c r="TV25" s="1887"/>
      <c r="TW25" s="1888"/>
      <c r="TX25" s="1882"/>
      <c r="TY25" s="1882"/>
      <c r="TZ25" s="1882"/>
      <c r="UB25" s="1887"/>
      <c r="UC25" s="1888"/>
      <c r="UD25" s="1882"/>
      <c r="UE25" s="1882"/>
      <c r="UF25" s="1882"/>
      <c r="UH25" s="1887"/>
      <c r="UI25" s="1888"/>
      <c r="UJ25" s="1882"/>
      <c r="UK25" s="1882"/>
      <c r="UL25" s="1882"/>
      <c r="UN25" s="1887"/>
      <c r="UO25" s="1888"/>
      <c r="UP25" s="1882"/>
      <c r="UQ25" s="1882"/>
      <c r="UR25" s="1882"/>
      <c r="UT25" s="1887"/>
      <c r="UU25" s="1888"/>
      <c r="UV25" s="1882"/>
      <c r="UW25" s="1882"/>
      <c r="UX25" s="1882"/>
      <c r="UZ25" s="1887"/>
      <c r="VA25" s="1888"/>
      <c r="VB25" s="1882"/>
      <c r="VC25" s="1882"/>
      <c r="VD25" s="1882"/>
      <c r="VF25" s="1887"/>
      <c r="VG25" s="1888"/>
      <c r="VH25" s="1882"/>
      <c r="VI25" s="1882"/>
      <c r="VJ25" s="1882"/>
      <c r="VL25" s="1887"/>
      <c r="VM25" s="1888"/>
      <c r="VN25" s="1882"/>
      <c r="VO25" s="1882"/>
      <c r="VP25" s="1882"/>
      <c r="VR25" s="1887"/>
      <c r="VS25" s="1888"/>
      <c r="VT25" s="1882"/>
      <c r="VU25" s="1882"/>
      <c r="VV25" s="1882"/>
      <c r="VX25" s="1887"/>
      <c r="VY25" s="1888"/>
      <c r="VZ25" s="1882"/>
      <c r="WA25" s="1882"/>
      <c r="WB25" s="1882"/>
      <c r="WD25" s="1887"/>
      <c r="WE25" s="1888"/>
      <c r="WF25" s="1882"/>
      <c r="WG25" s="1882"/>
      <c r="WH25" s="1882"/>
      <c r="WJ25" s="1887"/>
      <c r="WK25" s="1888"/>
      <c r="WL25" s="1882"/>
      <c r="WM25" s="1882"/>
      <c r="WN25" s="1882"/>
      <c r="WP25" s="1887"/>
      <c r="WQ25" s="1888"/>
      <c r="WR25" s="1882"/>
      <c r="WS25" s="1882"/>
      <c r="WT25" s="1882"/>
      <c r="WV25" s="1887"/>
      <c r="WW25" s="1888"/>
      <c r="WX25" s="1882"/>
      <c r="WY25" s="1882"/>
      <c r="WZ25" s="1882"/>
      <c r="XB25" s="1887"/>
      <c r="XC25" s="1888"/>
      <c r="XD25" s="1882"/>
      <c r="XE25" s="1882"/>
      <c r="XF25" s="1882"/>
      <c r="XH25" s="1887"/>
      <c r="XI25" s="1888"/>
      <c r="XJ25" s="1882"/>
      <c r="XK25" s="1882"/>
      <c r="XL25" s="1882"/>
      <c r="XN25" s="1887"/>
      <c r="XO25" s="1888"/>
      <c r="XP25" s="1882"/>
      <c r="XQ25" s="1882"/>
      <c r="XR25" s="1882"/>
      <c r="XT25" s="1887"/>
      <c r="XU25" s="1888"/>
      <c r="XV25" s="1882"/>
      <c r="XW25" s="1882"/>
      <c r="XX25" s="1882"/>
      <c r="XZ25" s="1887"/>
      <c r="YA25" s="1888"/>
      <c r="YB25" s="1882"/>
      <c r="YC25" s="1882"/>
      <c r="YD25" s="1882"/>
      <c r="YF25" s="1887"/>
      <c r="YG25" s="1888"/>
      <c r="YH25" s="1882"/>
      <c r="YI25" s="1882"/>
      <c r="YJ25" s="1882"/>
      <c r="YL25" s="1887"/>
      <c r="YM25" s="1888"/>
      <c r="YN25" s="1882"/>
      <c r="YO25" s="1882"/>
      <c r="YP25" s="1882"/>
      <c r="YR25" s="1887"/>
      <c r="YS25" s="1888"/>
      <c r="YT25" s="1882"/>
      <c r="YU25" s="1882"/>
      <c r="YV25" s="1882"/>
      <c r="YX25" s="1887"/>
      <c r="YY25" s="1888"/>
      <c r="YZ25" s="1882"/>
      <c r="ZA25" s="1882"/>
      <c r="ZB25" s="1882"/>
      <c r="ZD25" s="1887"/>
      <c r="ZE25" s="1888"/>
      <c r="ZF25" s="1882"/>
      <c r="ZG25" s="1882"/>
      <c r="ZH25" s="1882"/>
      <c r="ZJ25" s="1887"/>
      <c r="ZK25" s="1888"/>
      <c r="ZL25" s="1882"/>
      <c r="ZM25" s="1882"/>
      <c r="ZN25" s="1882"/>
      <c r="ZP25" s="1887"/>
      <c r="ZQ25" s="1888"/>
      <c r="ZR25" s="1882"/>
      <c r="ZS25" s="1882"/>
      <c r="ZT25" s="1882"/>
      <c r="ZV25" s="1887"/>
      <c r="ZW25" s="1888"/>
      <c r="ZX25" s="1882"/>
      <c r="ZY25" s="1882"/>
      <c r="ZZ25" s="1882"/>
      <c r="AAB25" s="1887"/>
      <c r="AAC25" s="1888"/>
      <c r="AAD25" s="1882"/>
      <c r="AAE25" s="1882"/>
      <c r="AAF25" s="1882"/>
      <c r="AAH25" s="1887"/>
      <c r="AAI25" s="1888"/>
      <c r="AAJ25" s="1882"/>
      <c r="AAK25" s="1882"/>
      <c r="AAL25" s="1882"/>
      <c r="AAN25" s="1887"/>
      <c r="AAO25" s="1888"/>
      <c r="AAP25" s="1882"/>
      <c r="AAQ25" s="1882"/>
      <c r="AAR25" s="1882"/>
      <c r="AAT25" s="1887"/>
      <c r="AAU25" s="1888"/>
      <c r="AAV25" s="1882"/>
      <c r="AAW25" s="1882"/>
      <c r="AAX25" s="1882"/>
      <c r="AAZ25" s="1887"/>
      <c r="ABA25" s="1888"/>
      <c r="ABB25" s="1882"/>
      <c r="ABC25" s="1882"/>
      <c r="ABD25" s="1882"/>
      <c r="ABF25" s="1887"/>
      <c r="ABG25" s="1888"/>
      <c r="ABH25" s="1882"/>
      <c r="ABI25" s="1882"/>
      <c r="ABJ25" s="1882"/>
      <c r="ABL25" s="1887"/>
      <c r="ABM25" s="1888"/>
      <c r="ABN25" s="1882"/>
      <c r="ABO25" s="1882"/>
      <c r="ABP25" s="1882"/>
      <c r="ABR25" s="1887"/>
      <c r="ABS25" s="1888"/>
      <c r="ABT25" s="1882"/>
      <c r="ABU25" s="1882"/>
      <c r="ABV25" s="1882"/>
      <c r="ABX25" s="1887"/>
      <c r="ABY25" s="1888"/>
      <c r="ABZ25" s="1882"/>
      <c r="ACA25" s="1882"/>
      <c r="ACB25" s="1882"/>
      <c r="ACD25" s="1887"/>
      <c r="ACE25" s="1888"/>
      <c r="ACF25" s="1882"/>
      <c r="ACG25" s="1882"/>
      <c r="ACH25" s="1882"/>
      <c r="ACJ25" s="1887"/>
      <c r="ACK25" s="1888"/>
      <c r="ACL25" s="1882"/>
      <c r="ACM25" s="1882"/>
      <c r="ACN25" s="1882"/>
      <c r="ACP25" s="1887"/>
      <c r="ACQ25" s="1888"/>
      <c r="ACR25" s="1882"/>
      <c r="ACS25" s="1882"/>
      <c r="ACT25" s="1882"/>
      <c r="ACV25" s="1887"/>
      <c r="ACW25" s="1888"/>
      <c r="ACX25" s="1882"/>
      <c r="ACY25" s="1882"/>
      <c r="ACZ25" s="1882"/>
      <c r="ADB25" s="1887"/>
      <c r="ADC25" s="1888"/>
      <c r="ADD25" s="1882"/>
      <c r="ADE25" s="1882"/>
      <c r="ADF25" s="1882"/>
      <c r="ADH25" s="1887"/>
      <c r="ADI25" s="1888"/>
      <c r="ADJ25" s="1882"/>
      <c r="ADK25" s="1882"/>
      <c r="ADL25" s="1882"/>
      <c r="ADN25" s="1887"/>
      <c r="ADO25" s="1888"/>
      <c r="ADP25" s="1882"/>
      <c r="ADQ25" s="1882"/>
      <c r="ADR25" s="1882"/>
      <c r="ADT25" s="1887"/>
      <c r="ADU25" s="1888"/>
      <c r="ADV25" s="1882"/>
      <c r="ADW25" s="1882"/>
      <c r="ADX25" s="1882"/>
      <c r="ADZ25" s="1887"/>
      <c r="AEA25" s="1888"/>
      <c r="AEB25" s="1882"/>
      <c r="AEC25" s="1882"/>
      <c r="AED25" s="1882"/>
      <c r="AEF25" s="1887"/>
      <c r="AEG25" s="1888"/>
      <c r="AEH25" s="1882"/>
      <c r="AEI25" s="1882"/>
      <c r="AEJ25" s="1882"/>
      <c r="AEL25" s="1887"/>
      <c r="AEM25" s="1888"/>
      <c r="AEN25" s="1882"/>
      <c r="AEO25" s="1882"/>
      <c r="AEP25" s="1882"/>
      <c r="AER25" s="1887"/>
      <c r="AES25" s="1888"/>
      <c r="AET25" s="1882"/>
      <c r="AEU25" s="1882"/>
      <c r="AEV25" s="1882"/>
      <c r="AEX25" s="1887"/>
      <c r="AEY25" s="1888"/>
      <c r="AEZ25" s="1882"/>
      <c r="AFA25" s="1882"/>
      <c r="AFB25" s="1882"/>
      <c r="AFD25" s="1887"/>
      <c r="AFE25" s="1888"/>
      <c r="AFF25" s="1882"/>
      <c r="AFG25" s="1882"/>
      <c r="AFH25" s="1882"/>
      <c r="AFJ25" s="1887"/>
      <c r="AFK25" s="1888"/>
      <c r="AFL25" s="1882"/>
      <c r="AFM25" s="1882"/>
      <c r="AFN25" s="1882"/>
      <c r="AFP25" s="1887"/>
      <c r="AFQ25" s="1888"/>
      <c r="AFR25" s="1882"/>
      <c r="AFS25" s="1882"/>
      <c r="AFT25" s="1882"/>
      <c r="AFV25" s="1887"/>
      <c r="AFW25" s="1888"/>
      <c r="AFX25" s="1882"/>
      <c r="AFY25" s="1882"/>
      <c r="AFZ25" s="1882"/>
      <c r="AGB25" s="1887"/>
      <c r="AGC25" s="1888"/>
      <c r="AGD25" s="1882"/>
      <c r="AGE25" s="1882"/>
      <c r="AGF25" s="1882"/>
      <c r="AGH25" s="1887"/>
      <c r="AGI25" s="1888"/>
      <c r="AGJ25" s="1882"/>
      <c r="AGK25" s="1882"/>
      <c r="AGL25" s="1882"/>
      <c r="AGN25" s="1887"/>
      <c r="AGO25" s="1888"/>
      <c r="AGP25" s="1882"/>
      <c r="AGQ25" s="1882"/>
      <c r="AGR25" s="1882"/>
      <c r="AGT25" s="1887"/>
      <c r="AGU25" s="1888"/>
      <c r="AGV25" s="1882"/>
      <c r="AGW25" s="1882"/>
      <c r="AGX25" s="1882"/>
      <c r="AGZ25" s="1887"/>
      <c r="AHA25" s="1888"/>
      <c r="AHB25" s="1882"/>
      <c r="AHC25" s="1882"/>
      <c r="AHD25" s="1882"/>
      <c r="AHF25" s="1887"/>
      <c r="AHG25" s="1888"/>
      <c r="AHH25" s="1882"/>
      <c r="AHI25" s="1882"/>
      <c r="AHJ25" s="1882"/>
      <c r="AHL25" s="1887"/>
      <c r="AHM25" s="1888"/>
      <c r="AHN25" s="1882"/>
      <c r="AHO25" s="1882"/>
      <c r="AHP25" s="1882"/>
      <c r="AHR25" s="1887"/>
      <c r="AHS25" s="1888"/>
      <c r="AHT25" s="1882"/>
      <c r="AHU25" s="1882"/>
      <c r="AHV25" s="1882"/>
      <c r="AHX25" s="1887"/>
      <c r="AHY25" s="1888"/>
      <c r="AHZ25" s="1882"/>
      <c r="AIA25" s="1882"/>
      <c r="AIB25" s="1882"/>
      <c r="AID25" s="1887"/>
      <c r="AIE25" s="1888"/>
      <c r="AIF25" s="1882"/>
      <c r="AIG25" s="1882"/>
      <c r="AIH25" s="1882"/>
      <c r="AIJ25" s="1887"/>
      <c r="AIK25" s="1888"/>
      <c r="AIL25" s="1882"/>
      <c r="AIM25" s="1882"/>
      <c r="AIN25" s="1882"/>
      <c r="AIP25" s="1887"/>
      <c r="AIQ25" s="1888"/>
      <c r="AIR25" s="1882"/>
      <c r="AIS25" s="1882"/>
      <c r="AIT25" s="1882"/>
      <c r="AIV25" s="1887"/>
      <c r="AIW25" s="1888"/>
      <c r="AIX25" s="1882"/>
      <c r="AIY25" s="1882"/>
      <c r="AIZ25" s="1882"/>
      <c r="AJB25" s="1887"/>
      <c r="AJC25" s="1888"/>
      <c r="AJD25" s="1882"/>
      <c r="AJE25" s="1882"/>
      <c r="AJF25" s="1882"/>
      <c r="AJH25" s="1887"/>
      <c r="AJI25" s="1888"/>
      <c r="AJJ25" s="1882"/>
      <c r="AJK25" s="1882"/>
      <c r="AJL25" s="1882"/>
      <c r="AJN25" s="1887"/>
      <c r="AJO25" s="1888"/>
      <c r="AJP25" s="1882"/>
      <c r="AJQ25" s="1882"/>
      <c r="AJR25" s="1882"/>
      <c r="AJT25" s="1887"/>
      <c r="AJU25" s="1888"/>
      <c r="AJV25" s="1882"/>
      <c r="AJW25" s="1882"/>
      <c r="AJX25" s="1882"/>
      <c r="AJZ25" s="1887"/>
      <c r="AKA25" s="1888"/>
      <c r="AKB25" s="1882"/>
      <c r="AKC25" s="1882"/>
      <c r="AKD25" s="1882"/>
      <c r="AKF25" s="1887"/>
      <c r="AKG25" s="1888"/>
      <c r="AKH25" s="1882"/>
      <c r="AKI25" s="1882"/>
      <c r="AKJ25" s="1882"/>
      <c r="AKL25" s="1887"/>
      <c r="AKM25" s="1888"/>
      <c r="AKN25" s="1882"/>
      <c r="AKO25" s="1882"/>
      <c r="AKP25" s="1882"/>
      <c r="AKR25" s="1887"/>
      <c r="AKS25" s="1888"/>
      <c r="AKT25" s="1882"/>
      <c r="AKU25" s="1882"/>
      <c r="AKV25" s="1882"/>
      <c r="AKX25" s="1887"/>
      <c r="AKY25" s="1888"/>
      <c r="AKZ25" s="1882"/>
      <c r="ALA25" s="1882"/>
      <c r="ALB25" s="1882"/>
      <c r="ALD25" s="1887"/>
      <c r="ALE25" s="1888"/>
      <c r="ALF25" s="1882"/>
      <c r="ALG25" s="1882"/>
      <c r="ALH25" s="1882"/>
      <c r="ALJ25" s="1887"/>
      <c r="ALK25" s="1888"/>
      <c r="ALL25" s="1882"/>
      <c r="ALM25" s="1882"/>
      <c r="ALN25" s="1882"/>
      <c r="ALP25" s="1887"/>
      <c r="ALQ25" s="1888"/>
      <c r="ALR25" s="1882"/>
      <c r="ALS25" s="1882"/>
      <c r="ALT25" s="1882"/>
      <c r="ALV25" s="1887"/>
      <c r="ALW25" s="1888"/>
      <c r="ALX25" s="1882"/>
      <c r="ALY25" s="1882"/>
      <c r="ALZ25" s="1882"/>
      <c r="AMB25" s="1887"/>
      <c r="AMC25" s="1888"/>
      <c r="AMD25" s="1882"/>
      <c r="AME25" s="1882"/>
      <c r="AMF25" s="1882"/>
      <c r="AMH25" s="1887"/>
      <c r="AMI25" s="1888"/>
      <c r="AMJ25" s="1882"/>
      <c r="AMK25" s="1882"/>
      <c r="AML25" s="1882"/>
      <c r="AMN25" s="1887"/>
      <c r="AMO25" s="1888"/>
      <c r="AMP25" s="1882"/>
      <c r="AMQ25" s="1882"/>
      <c r="AMR25" s="1882"/>
      <c r="AMT25" s="1887"/>
      <c r="AMU25" s="1888"/>
      <c r="AMV25" s="1882"/>
      <c r="AMW25" s="1882"/>
      <c r="AMX25" s="1882"/>
      <c r="AMZ25" s="1887"/>
      <c r="ANA25" s="1888"/>
      <c r="ANB25" s="1882"/>
      <c r="ANC25" s="1882"/>
      <c r="AND25" s="1882"/>
      <c r="ANF25" s="1887"/>
      <c r="ANG25" s="1888"/>
      <c r="ANH25" s="1882"/>
      <c r="ANI25" s="1882"/>
      <c r="ANJ25" s="1882"/>
      <c r="ANL25" s="1887"/>
      <c r="ANM25" s="1888"/>
      <c r="ANN25" s="1882"/>
      <c r="ANO25" s="1882"/>
      <c r="ANP25" s="1882"/>
      <c r="ANR25" s="1887"/>
      <c r="ANS25" s="1888"/>
      <c r="ANT25" s="1882"/>
      <c r="ANU25" s="1882"/>
      <c r="ANV25" s="1882"/>
      <c r="ANX25" s="1887"/>
      <c r="ANY25" s="1888"/>
      <c r="ANZ25" s="1882"/>
      <c r="AOA25" s="1882"/>
      <c r="AOB25" s="1882"/>
      <c r="AOD25" s="1887"/>
      <c r="AOE25" s="1888"/>
      <c r="AOF25" s="1882"/>
      <c r="AOG25" s="1882"/>
      <c r="AOH25" s="1882"/>
      <c r="AOJ25" s="1887"/>
      <c r="AOK25" s="1888"/>
      <c r="AOL25" s="1882"/>
      <c r="AOM25" s="1882"/>
      <c r="AON25" s="1882"/>
      <c r="AOP25" s="1887"/>
      <c r="AOQ25" s="1888"/>
      <c r="AOR25" s="1882"/>
      <c r="AOS25" s="1882"/>
      <c r="AOT25" s="1882"/>
      <c r="AOV25" s="1887"/>
      <c r="AOW25" s="1888"/>
      <c r="AOX25" s="1882"/>
      <c r="AOY25" s="1882"/>
      <c r="AOZ25" s="1882"/>
      <c r="APB25" s="1887"/>
      <c r="APC25" s="1888"/>
      <c r="APD25" s="1882"/>
      <c r="APE25" s="1882"/>
      <c r="APF25" s="1882"/>
      <c r="APH25" s="1887"/>
      <c r="API25" s="1888"/>
      <c r="APJ25" s="1882"/>
      <c r="APK25" s="1882"/>
      <c r="APL25" s="1882"/>
      <c r="APN25" s="1887"/>
      <c r="APO25" s="1888"/>
      <c r="APP25" s="1882"/>
      <c r="APQ25" s="1882"/>
      <c r="APR25" s="1882"/>
      <c r="APT25" s="1887"/>
      <c r="APU25" s="1888"/>
      <c r="APV25" s="1882"/>
      <c r="APW25" s="1882"/>
      <c r="APX25" s="1882"/>
      <c r="APZ25" s="1887"/>
      <c r="AQA25" s="1888"/>
      <c r="AQB25" s="1882"/>
      <c r="AQC25" s="1882"/>
      <c r="AQD25" s="1882"/>
      <c r="AQF25" s="1887"/>
      <c r="AQG25" s="1888"/>
      <c r="AQH25" s="1882"/>
      <c r="AQI25" s="1882"/>
      <c r="AQJ25" s="1882"/>
      <c r="AQL25" s="1887"/>
      <c r="AQM25" s="1888"/>
      <c r="AQN25" s="1882"/>
      <c r="AQO25" s="1882"/>
      <c r="AQP25" s="1882"/>
      <c r="AQR25" s="1887"/>
      <c r="AQS25" s="1888"/>
      <c r="AQT25" s="1882"/>
      <c r="AQU25" s="1882"/>
      <c r="AQV25" s="1882"/>
      <c r="AQX25" s="1887"/>
      <c r="AQY25" s="1888"/>
      <c r="AQZ25" s="1882"/>
      <c r="ARA25" s="1882"/>
      <c r="ARB25" s="1882"/>
      <c r="ARD25" s="1887"/>
      <c r="ARE25" s="1888"/>
      <c r="ARF25" s="1882"/>
      <c r="ARG25" s="1882"/>
      <c r="ARH25" s="1882"/>
      <c r="ARJ25" s="1887"/>
      <c r="ARK25" s="1888"/>
      <c r="ARL25" s="1882"/>
      <c r="ARM25" s="1882"/>
      <c r="ARN25" s="1882"/>
      <c r="ARP25" s="1887"/>
      <c r="ARQ25" s="1888"/>
      <c r="ARR25" s="1882"/>
      <c r="ARS25" s="1882"/>
      <c r="ART25" s="1882"/>
      <c r="ARV25" s="1887"/>
      <c r="ARW25" s="1888"/>
      <c r="ARX25" s="1882"/>
      <c r="ARY25" s="1882"/>
      <c r="ARZ25" s="1882"/>
      <c r="ASB25" s="1887"/>
      <c r="ASC25" s="1888"/>
      <c r="ASD25" s="1882"/>
      <c r="ASE25" s="1882"/>
      <c r="ASF25" s="1882"/>
      <c r="ASH25" s="1887"/>
      <c r="ASI25" s="1888"/>
      <c r="ASJ25" s="1882"/>
      <c r="ASK25" s="1882"/>
      <c r="ASL25" s="1882"/>
      <c r="ASN25" s="1887"/>
      <c r="ASO25" s="1888"/>
      <c r="ASP25" s="1882"/>
      <c r="ASQ25" s="1882"/>
      <c r="ASR25" s="1882"/>
      <c r="AST25" s="1887"/>
      <c r="ASU25" s="1888"/>
      <c r="ASV25" s="1882"/>
      <c r="ASW25" s="1882"/>
      <c r="ASX25" s="1882"/>
      <c r="ASZ25" s="1887"/>
      <c r="ATA25" s="1888"/>
      <c r="ATB25" s="1882"/>
      <c r="ATC25" s="1882"/>
      <c r="ATD25" s="1882"/>
      <c r="ATF25" s="1887"/>
      <c r="ATG25" s="1888"/>
      <c r="ATH25" s="1882"/>
      <c r="ATI25" s="1882"/>
      <c r="ATJ25" s="1882"/>
      <c r="ATL25" s="1887"/>
      <c r="ATM25" s="1888"/>
      <c r="ATN25" s="1882"/>
      <c r="ATO25" s="1882"/>
      <c r="ATP25" s="1882"/>
      <c r="ATR25" s="1887"/>
      <c r="ATS25" s="1888"/>
      <c r="ATT25" s="1882"/>
      <c r="ATU25" s="1882"/>
      <c r="ATV25" s="1882"/>
      <c r="ATX25" s="1887"/>
      <c r="ATY25" s="1888"/>
      <c r="ATZ25" s="1882"/>
      <c r="AUA25" s="1882"/>
      <c r="AUB25" s="1882"/>
      <c r="AUD25" s="1887"/>
      <c r="AUE25" s="1888"/>
      <c r="AUF25" s="1882"/>
      <c r="AUG25" s="1882"/>
      <c r="AUH25" s="1882"/>
      <c r="AUJ25" s="1887"/>
      <c r="AUK25" s="1888"/>
      <c r="AUL25" s="1882"/>
      <c r="AUM25" s="1882"/>
      <c r="AUN25" s="1882"/>
      <c r="AUP25" s="1887"/>
      <c r="AUQ25" s="1888"/>
      <c r="AUR25" s="1882"/>
      <c r="AUS25" s="1882"/>
      <c r="AUT25" s="1882"/>
      <c r="AUV25" s="1887"/>
      <c r="AUW25" s="1888"/>
      <c r="AUX25" s="1882"/>
      <c r="AUY25" s="1882"/>
      <c r="AUZ25" s="1882"/>
      <c r="AVB25" s="1887"/>
      <c r="AVC25" s="1888"/>
      <c r="AVD25" s="1882"/>
      <c r="AVE25" s="1882"/>
      <c r="AVF25" s="1882"/>
      <c r="AVH25" s="1887"/>
      <c r="AVI25" s="1888"/>
      <c r="AVJ25" s="1882"/>
      <c r="AVK25" s="1882"/>
      <c r="AVL25" s="1882"/>
      <c r="AVN25" s="1887"/>
      <c r="AVO25" s="1888"/>
      <c r="AVP25" s="1882"/>
      <c r="AVQ25" s="1882"/>
      <c r="AVR25" s="1882"/>
      <c r="AVT25" s="1887"/>
      <c r="AVU25" s="1888"/>
      <c r="AVV25" s="1882"/>
      <c r="AVW25" s="1882"/>
      <c r="AVX25" s="1882"/>
      <c r="AVZ25" s="1887"/>
      <c r="AWA25" s="1888"/>
      <c r="AWB25" s="1882"/>
      <c r="AWC25" s="1882"/>
      <c r="AWD25" s="1882"/>
      <c r="AWF25" s="1887"/>
      <c r="AWG25" s="1888"/>
      <c r="AWH25" s="1882"/>
      <c r="AWI25" s="1882"/>
      <c r="AWJ25" s="1882"/>
      <c r="AWL25" s="1887"/>
      <c r="AWM25" s="1888"/>
      <c r="AWN25" s="1882"/>
      <c r="AWO25" s="1882"/>
      <c r="AWP25" s="1882"/>
      <c r="AWR25" s="1887"/>
      <c r="AWS25" s="1888"/>
      <c r="AWT25" s="1882"/>
      <c r="AWU25" s="1882"/>
      <c r="AWV25" s="1882"/>
      <c r="AWX25" s="1887"/>
      <c r="AWY25" s="1888"/>
      <c r="AWZ25" s="1882"/>
      <c r="AXA25" s="1882"/>
      <c r="AXB25" s="1882"/>
      <c r="AXD25" s="1887"/>
      <c r="AXE25" s="1888"/>
      <c r="AXF25" s="1882"/>
      <c r="AXG25" s="1882"/>
      <c r="AXH25" s="1882"/>
      <c r="AXJ25" s="1887"/>
      <c r="AXK25" s="1888"/>
      <c r="AXL25" s="1882"/>
      <c r="AXM25" s="1882"/>
      <c r="AXN25" s="1882"/>
      <c r="AXP25" s="1887"/>
      <c r="AXQ25" s="1888"/>
      <c r="AXR25" s="1882"/>
      <c r="AXS25" s="1882"/>
      <c r="AXT25" s="1882"/>
      <c r="AXV25" s="1887"/>
      <c r="AXW25" s="1888"/>
      <c r="AXX25" s="1882"/>
      <c r="AXY25" s="1882"/>
      <c r="AXZ25" s="1882"/>
      <c r="AYB25" s="1887"/>
      <c r="AYC25" s="1888"/>
      <c r="AYD25" s="1882"/>
      <c r="AYE25" s="1882"/>
      <c r="AYF25" s="1882"/>
      <c r="AYH25" s="1887"/>
      <c r="AYI25" s="1888"/>
      <c r="AYJ25" s="1882"/>
      <c r="AYK25" s="1882"/>
      <c r="AYL25" s="1882"/>
      <c r="AYN25" s="1887"/>
      <c r="AYO25" s="1888"/>
      <c r="AYP25" s="1882"/>
      <c r="AYQ25" s="1882"/>
      <c r="AYR25" s="1882"/>
      <c r="AYT25" s="1887"/>
      <c r="AYU25" s="1888"/>
      <c r="AYV25" s="1882"/>
      <c r="AYW25" s="1882"/>
      <c r="AYX25" s="1882"/>
      <c r="AYZ25" s="1887"/>
      <c r="AZA25" s="1888"/>
      <c r="AZB25" s="1882"/>
      <c r="AZC25" s="1882"/>
      <c r="AZD25" s="1882"/>
      <c r="AZF25" s="1887"/>
      <c r="AZG25" s="1888"/>
      <c r="AZH25" s="1882"/>
      <c r="AZI25" s="1882"/>
      <c r="AZJ25" s="1882"/>
      <c r="AZL25" s="1887"/>
      <c r="AZM25" s="1888"/>
      <c r="AZN25" s="1882"/>
      <c r="AZO25" s="1882"/>
      <c r="AZP25" s="1882"/>
      <c r="AZR25" s="1887"/>
      <c r="AZS25" s="1888"/>
      <c r="AZT25" s="1882"/>
      <c r="AZU25" s="1882"/>
      <c r="AZV25" s="1882"/>
      <c r="AZX25" s="1887"/>
      <c r="AZY25" s="1888"/>
      <c r="AZZ25" s="1882"/>
      <c r="BAA25" s="1882"/>
      <c r="BAB25" s="1882"/>
      <c r="BAD25" s="1887"/>
      <c r="BAE25" s="1888"/>
      <c r="BAF25" s="1882"/>
      <c r="BAG25" s="1882"/>
      <c r="BAH25" s="1882"/>
      <c r="BAJ25" s="1887"/>
      <c r="BAK25" s="1888"/>
      <c r="BAL25" s="1882"/>
      <c r="BAM25" s="1882"/>
      <c r="BAN25" s="1882"/>
      <c r="BAP25" s="1887"/>
      <c r="BAQ25" s="1888"/>
      <c r="BAR25" s="1882"/>
      <c r="BAS25" s="1882"/>
      <c r="BAT25" s="1882"/>
      <c r="BAV25" s="1887"/>
      <c r="BAW25" s="1888"/>
      <c r="BAX25" s="1882"/>
      <c r="BAY25" s="1882"/>
      <c r="BAZ25" s="1882"/>
      <c r="BBB25" s="1887"/>
      <c r="BBC25" s="1888"/>
      <c r="BBD25" s="1882"/>
      <c r="BBE25" s="1882"/>
      <c r="BBF25" s="1882"/>
      <c r="BBH25" s="1887"/>
      <c r="BBI25" s="1888"/>
      <c r="BBJ25" s="1882"/>
      <c r="BBK25" s="1882"/>
      <c r="BBL25" s="1882"/>
      <c r="BBN25" s="1887"/>
      <c r="BBO25" s="1888"/>
      <c r="BBP25" s="1882"/>
      <c r="BBQ25" s="1882"/>
      <c r="BBR25" s="1882"/>
      <c r="BBT25" s="1887"/>
      <c r="BBU25" s="1888"/>
      <c r="BBV25" s="1882"/>
      <c r="BBW25" s="1882"/>
      <c r="BBX25" s="1882"/>
      <c r="BBZ25" s="1887"/>
      <c r="BCA25" s="1888"/>
      <c r="BCB25" s="1882"/>
      <c r="BCC25" s="1882"/>
      <c r="BCD25" s="1882"/>
      <c r="BCF25" s="1887"/>
      <c r="BCG25" s="1888"/>
      <c r="BCH25" s="1882"/>
      <c r="BCI25" s="1882"/>
      <c r="BCJ25" s="1882"/>
      <c r="BCL25" s="1887"/>
      <c r="BCM25" s="1888"/>
      <c r="BCN25" s="1882"/>
      <c r="BCO25" s="1882"/>
      <c r="BCP25" s="1882"/>
      <c r="BCR25" s="1887"/>
      <c r="BCS25" s="1888"/>
      <c r="BCT25" s="1882"/>
      <c r="BCU25" s="1882"/>
      <c r="BCV25" s="1882"/>
      <c r="BCX25" s="1887"/>
      <c r="BCY25" s="1888"/>
      <c r="BCZ25" s="1882"/>
      <c r="BDA25" s="1882"/>
      <c r="BDB25" s="1882"/>
      <c r="BDD25" s="1887"/>
      <c r="BDE25" s="1888"/>
      <c r="BDF25" s="1882"/>
      <c r="BDG25" s="1882"/>
      <c r="BDH25" s="1882"/>
      <c r="BDJ25" s="1887"/>
      <c r="BDK25" s="1888"/>
      <c r="BDL25" s="1882"/>
      <c r="BDM25" s="1882"/>
      <c r="BDN25" s="1882"/>
      <c r="BDP25" s="1887"/>
      <c r="BDQ25" s="1888"/>
      <c r="BDR25" s="1882"/>
      <c r="BDS25" s="1882"/>
      <c r="BDT25" s="1882"/>
      <c r="BDV25" s="1887"/>
      <c r="BDW25" s="1888"/>
      <c r="BDX25" s="1882"/>
      <c r="BDY25" s="1882"/>
      <c r="BDZ25" s="1882"/>
      <c r="BEB25" s="1887"/>
      <c r="BEC25" s="1888"/>
      <c r="BED25" s="1882"/>
      <c r="BEE25" s="1882"/>
      <c r="BEF25" s="1882"/>
      <c r="BEH25" s="1887"/>
      <c r="BEI25" s="1888"/>
      <c r="BEJ25" s="1882"/>
      <c r="BEK25" s="1882"/>
      <c r="BEL25" s="1882"/>
      <c r="BEN25" s="1887"/>
      <c r="BEO25" s="1888"/>
      <c r="BEP25" s="1882"/>
      <c r="BEQ25" s="1882"/>
      <c r="BER25" s="1882"/>
      <c r="BET25" s="1887"/>
      <c r="BEU25" s="1888"/>
      <c r="BEV25" s="1882"/>
      <c r="BEW25" s="1882"/>
      <c r="BEX25" s="1882"/>
      <c r="BEZ25" s="1887"/>
      <c r="BFA25" s="1888"/>
      <c r="BFB25" s="1882"/>
      <c r="BFC25" s="1882"/>
      <c r="BFD25" s="1882"/>
      <c r="BFF25" s="1887"/>
      <c r="BFG25" s="1888"/>
      <c r="BFH25" s="1882"/>
      <c r="BFI25" s="1882"/>
      <c r="BFJ25" s="1882"/>
      <c r="BFL25" s="1887"/>
      <c r="BFM25" s="1888"/>
      <c r="BFN25" s="1882"/>
      <c r="BFO25" s="1882"/>
      <c r="BFP25" s="1882"/>
      <c r="BFR25" s="1887"/>
      <c r="BFS25" s="1888"/>
      <c r="BFT25" s="1882"/>
      <c r="BFU25" s="1882"/>
      <c r="BFV25" s="1882"/>
      <c r="BFX25" s="1887"/>
      <c r="BFY25" s="1888"/>
      <c r="BFZ25" s="1882"/>
      <c r="BGA25" s="1882"/>
      <c r="BGB25" s="1882"/>
      <c r="BGD25" s="1887"/>
      <c r="BGE25" s="1888"/>
      <c r="BGF25" s="1882"/>
      <c r="BGG25" s="1882"/>
      <c r="BGH25" s="1882"/>
      <c r="BGJ25" s="1887"/>
      <c r="BGK25" s="1888"/>
      <c r="BGL25" s="1882"/>
      <c r="BGM25" s="1882"/>
      <c r="BGN25" s="1882"/>
      <c r="BGP25" s="1887"/>
      <c r="BGQ25" s="1888"/>
      <c r="BGR25" s="1882"/>
      <c r="BGS25" s="1882"/>
      <c r="BGT25" s="1882"/>
      <c r="BGV25" s="1887"/>
      <c r="BGW25" s="1888"/>
      <c r="BGX25" s="1882"/>
      <c r="BGY25" s="1882"/>
      <c r="BGZ25" s="1882"/>
      <c r="BHB25" s="1887"/>
      <c r="BHC25" s="1888"/>
      <c r="BHD25" s="1882"/>
      <c r="BHE25" s="1882"/>
      <c r="BHF25" s="1882"/>
      <c r="BHH25" s="1887"/>
      <c r="BHI25" s="1888"/>
      <c r="BHJ25" s="1882"/>
      <c r="BHK25" s="1882"/>
      <c r="BHL25" s="1882"/>
      <c r="BHN25" s="1887"/>
      <c r="BHO25" s="1888"/>
      <c r="BHP25" s="1882"/>
      <c r="BHQ25" s="1882"/>
      <c r="BHR25" s="1882"/>
      <c r="BHT25" s="1887"/>
      <c r="BHU25" s="1888"/>
      <c r="BHV25" s="1882"/>
      <c r="BHW25" s="1882"/>
      <c r="BHX25" s="1882"/>
      <c r="BHZ25" s="1887"/>
      <c r="BIA25" s="1888"/>
      <c r="BIB25" s="1882"/>
      <c r="BIC25" s="1882"/>
      <c r="BID25" s="1882"/>
      <c r="BIF25" s="1887"/>
      <c r="BIG25" s="1888"/>
      <c r="BIH25" s="1882"/>
      <c r="BII25" s="1882"/>
      <c r="BIJ25" s="1882"/>
      <c r="BIL25" s="1887"/>
      <c r="BIM25" s="1888"/>
      <c r="BIN25" s="1882"/>
      <c r="BIO25" s="1882"/>
      <c r="BIP25" s="1882"/>
      <c r="BIR25" s="1887"/>
      <c r="BIS25" s="1888"/>
      <c r="BIT25" s="1882"/>
      <c r="BIU25" s="1882"/>
      <c r="BIV25" s="1882"/>
      <c r="BIX25" s="1887"/>
      <c r="BIY25" s="1888"/>
      <c r="BIZ25" s="1882"/>
      <c r="BJA25" s="1882"/>
      <c r="BJB25" s="1882"/>
      <c r="BJD25" s="1887"/>
      <c r="BJE25" s="1888"/>
      <c r="BJF25" s="1882"/>
      <c r="BJG25" s="1882"/>
      <c r="BJH25" s="1882"/>
      <c r="BJJ25" s="1887"/>
      <c r="BJK25" s="1888"/>
      <c r="BJL25" s="1882"/>
      <c r="BJM25" s="1882"/>
      <c r="BJN25" s="1882"/>
      <c r="BJP25" s="1887"/>
      <c r="BJQ25" s="1888"/>
      <c r="BJR25" s="1882"/>
      <c r="BJS25" s="1882"/>
      <c r="BJT25" s="1882"/>
      <c r="BJV25" s="1887"/>
      <c r="BJW25" s="1888"/>
      <c r="BJX25" s="1882"/>
      <c r="BJY25" s="1882"/>
      <c r="BJZ25" s="1882"/>
      <c r="BKB25" s="1887"/>
      <c r="BKC25" s="1888"/>
      <c r="BKD25" s="1882"/>
      <c r="BKE25" s="1882"/>
      <c r="BKF25" s="1882"/>
      <c r="BKH25" s="1887"/>
      <c r="BKI25" s="1888"/>
      <c r="BKJ25" s="1882"/>
      <c r="BKK25" s="1882"/>
      <c r="BKL25" s="1882"/>
      <c r="BKN25" s="1887"/>
      <c r="BKO25" s="1888"/>
      <c r="BKP25" s="1882"/>
      <c r="BKQ25" s="1882"/>
      <c r="BKR25" s="1882"/>
      <c r="BKT25" s="1887"/>
      <c r="BKU25" s="1888"/>
      <c r="BKV25" s="1882"/>
      <c r="BKW25" s="1882"/>
      <c r="BKX25" s="1882"/>
      <c r="BKZ25" s="1887"/>
      <c r="BLA25" s="1888"/>
      <c r="BLB25" s="1882"/>
      <c r="BLC25" s="1882"/>
      <c r="BLD25" s="1882"/>
      <c r="BLF25" s="1887"/>
      <c r="BLG25" s="1888"/>
      <c r="BLH25" s="1882"/>
      <c r="BLI25" s="1882"/>
      <c r="BLJ25" s="1882"/>
      <c r="BLL25" s="1887"/>
      <c r="BLM25" s="1888"/>
      <c r="BLN25" s="1882"/>
      <c r="BLO25" s="1882"/>
      <c r="BLP25" s="1882"/>
      <c r="BLR25" s="1887"/>
      <c r="BLS25" s="1888"/>
      <c r="BLT25" s="1882"/>
      <c r="BLU25" s="1882"/>
      <c r="BLV25" s="1882"/>
      <c r="BLX25" s="1887"/>
      <c r="BLY25" s="1888"/>
      <c r="BLZ25" s="1882"/>
      <c r="BMA25" s="1882"/>
      <c r="BMB25" s="1882"/>
      <c r="BMD25" s="1887"/>
      <c r="BME25" s="1888"/>
      <c r="BMF25" s="1882"/>
      <c r="BMG25" s="1882"/>
      <c r="BMH25" s="1882"/>
      <c r="BMJ25" s="1887"/>
      <c r="BMK25" s="1888"/>
      <c r="BML25" s="1882"/>
      <c r="BMM25" s="1882"/>
      <c r="BMN25" s="1882"/>
      <c r="BMP25" s="1887"/>
      <c r="BMQ25" s="1888"/>
      <c r="BMR25" s="1882"/>
      <c r="BMS25" s="1882"/>
      <c r="BMT25" s="1882"/>
      <c r="BMV25" s="1887"/>
      <c r="BMW25" s="1888"/>
      <c r="BMX25" s="1882"/>
      <c r="BMY25" s="1882"/>
      <c r="BMZ25" s="1882"/>
      <c r="BNB25" s="1887"/>
      <c r="BNC25" s="1888"/>
      <c r="BND25" s="1882"/>
      <c r="BNE25" s="1882"/>
      <c r="BNF25" s="1882"/>
      <c r="BNH25" s="1887"/>
      <c r="BNI25" s="1888"/>
      <c r="BNJ25" s="1882"/>
      <c r="BNK25" s="1882"/>
      <c r="BNL25" s="1882"/>
      <c r="BNN25" s="1887"/>
      <c r="BNO25" s="1888"/>
      <c r="BNP25" s="1882"/>
      <c r="BNQ25" s="1882"/>
      <c r="BNR25" s="1882"/>
      <c r="BNT25" s="1887"/>
      <c r="BNU25" s="1888"/>
      <c r="BNV25" s="1882"/>
      <c r="BNW25" s="1882"/>
      <c r="BNX25" s="1882"/>
      <c r="BNZ25" s="1887"/>
      <c r="BOA25" s="1888"/>
      <c r="BOB25" s="1882"/>
      <c r="BOC25" s="1882"/>
      <c r="BOD25" s="1882"/>
      <c r="BOF25" s="1887"/>
      <c r="BOG25" s="1888"/>
      <c r="BOH25" s="1882"/>
      <c r="BOI25" s="1882"/>
      <c r="BOJ25" s="1882"/>
      <c r="BOL25" s="1887"/>
      <c r="BOM25" s="1888"/>
      <c r="BON25" s="1882"/>
      <c r="BOO25" s="1882"/>
      <c r="BOP25" s="1882"/>
      <c r="BOR25" s="1887"/>
      <c r="BOS25" s="1888"/>
      <c r="BOT25" s="1882"/>
      <c r="BOU25" s="1882"/>
      <c r="BOV25" s="1882"/>
      <c r="BOX25" s="1887"/>
      <c r="BOY25" s="1888"/>
      <c r="BOZ25" s="1882"/>
      <c r="BPA25" s="1882"/>
      <c r="BPB25" s="1882"/>
      <c r="BPD25" s="1887"/>
      <c r="BPE25" s="1888"/>
      <c r="BPF25" s="1882"/>
      <c r="BPG25" s="1882"/>
      <c r="BPH25" s="1882"/>
      <c r="BPJ25" s="1887"/>
      <c r="BPK25" s="1888"/>
      <c r="BPL25" s="1882"/>
      <c r="BPM25" s="1882"/>
      <c r="BPN25" s="1882"/>
      <c r="BPP25" s="1887"/>
      <c r="BPQ25" s="1888"/>
      <c r="BPR25" s="1882"/>
      <c r="BPS25" s="1882"/>
      <c r="BPT25" s="1882"/>
      <c r="BPV25" s="1887"/>
      <c r="BPW25" s="1888"/>
      <c r="BPX25" s="1882"/>
      <c r="BPY25" s="1882"/>
      <c r="BPZ25" s="1882"/>
      <c r="BQB25" s="1887"/>
      <c r="BQC25" s="1888"/>
      <c r="BQD25" s="1882"/>
      <c r="BQE25" s="1882"/>
      <c r="BQF25" s="1882"/>
      <c r="BQH25" s="1887"/>
      <c r="BQI25" s="1888"/>
      <c r="BQJ25" s="1882"/>
      <c r="BQK25" s="1882"/>
      <c r="BQL25" s="1882"/>
      <c r="BQN25" s="1887"/>
      <c r="BQO25" s="1888"/>
      <c r="BQP25" s="1882"/>
      <c r="BQQ25" s="1882"/>
      <c r="BQR25" s="1882"/>
      <c r="BQT25" s="1887"/>
      <c r="BQU25" s="1888"/>
      <c r="BQV25" s="1882"/>
      <c r="BQW25" s="1882"/>
      <c r="BQX25" s="1882"/>
      <c r="BQZ25" s="1887"/>
      <c r="BRA25" s="1888"/>
      <c r="BRB25" s="1882"/>
      <c r="BRC25" s="1882"/>
      <c r="BRD25" s="1882"/>
      <c r="BRF25" s="1887"/>
      <c r="BRG25" s="1888"/>
      <c r="BRH25" s="1882"/>
      <c r="BRI25" s="1882"/>
      <c r="BRJ25" s="1882"/>
      <c r="BRL25" s="1887"/>
      <c r="BRM25" s="1888"/>
      <c r="BRN25" s="1882"/>
      <c r="BRO25" s="1882"/>
      <c r="BRP25" s="1882"/>
      <c r="BRR25" s="1887"/>
      <c r="BRS25" s="1888"/>
      <c r="BRT25" s="1882"/>
      <c r="BRU25" s="1882"/>
      <c r="BRV25" s="1882"/>
      <c r="BRX25" s="1887"/>
      <c r="BRY25" s="1888"/>
      <c r="BRZ25" s="1882"/>
      <c r="BSA25" s="1882"/>
      <c r="BSB25" s="1882"/>
      <c r="BSD25" s="1887"/>
      <c r="BSE25" s="1888"/>
      <c r="BSF25" s="1882"/>
      <c r="BSG25" s="1882"/>
      <c r="BSH25" s="1882"/>
      <c r="BSJ25" s="1887"/>
      <c r="BSK25" s="1888"/>
      <c r="BSL25" s="1882"/>
      <c r="BSM25" s="1882"/>
      <c r="BSN25" s="1882"/>
      <c r="BSP25" s="1887"/>
      <c r="BSQ25" s="1888"/>
      <c r="BSR25" s="1882"/>
      <c r="BSS25" s="1882"/>
      <c r="BST25" s="1882"/>
      <c r="BSV25" s="1887"/>
      <c r="BSW25" s="1888"/>
      <c r="BSX25" s="1882"/>
      <c r="BSY25" s="1882"/>
      <c r="BSZ25" s="1882"/>
      <c r="BTB25" s="1887"/>
      <c r="BTC25" s="1888"/>
      <c r="BTD25" s="1882"/>
      <c r="BTE25" s="1882"/>
      <c r="BTF25" s="1882"/>
      <c r="BTH25" s="1887"/>
      <c r="BTI25" s="1888"/>
      <c r="BTJ25" s="1882"/>
      <c r="BTK25" s="1882"/>
      <c r="BTL25" s="1882"/>
      <c r="BTN25" s="1887"/>
      <c r="BTO25" s="1888"/>
      <c r="BTP25" s="1882"/>
      <c r="BTQ25" s="1882"/>
      <c r="BTR25" s="1882"/>
      <c r="BTT25" s="1887"/>
      <c r="BTU25" s="1888"/>
      <c r="BTV25" s="1882"/>
      <c r="BTW25" s="1882"/>
      <c r="BTX25" s="1882"/>
      <c r="BTZ25" s="1887"/>
      <c r="BUA25" s="1888"/>
      <c r="BUB25" s="1882"/>
      <c r="BUC25" s="1882"/>
      <c r="BUD25" s="1882"/>
      <c r="BUF25" s="1887"/>
      <c r="BUG25" s="1888"/>
      <c r="BUH25" s="1882"/>
      <c r="BUI25" s="1882"/>
      <c r="BUJ25" s="1882"/>
      <c r="BUL25" s="1887"/>
      <c r="BUM25" s="1888"/>
      <c r="BUN25" s="1882"/>
      <c r="BUO25" s="1882"/>
      <c r="BUP25" s="1882"/>
      <c r="BUR25" s="1887"/>
      <c r="BUS25" s="1888"/>
      <c r="BUT25" s="1882"/>
      <c r="BUU25" s="1882"/>
      <c r="BUV25" s="1882"/>
      <c r="BUX25" s="1887"/>
      <c r="BUY25" s="1888"/>
      <c r="BUZ25" s="1882"/>
      <c r="BVA25" s="1882"/>
      <c r="BVB25" s="1882"/>
      <c r="BVD25" s="1887"/>
      <c r="BVE25" s="1888"/>
      <c r="BVF25" s="1882"/>
      <c r="BVG25" s="1882"/>
      <c r="BVH25" s="1882"/>
      <c r="BVJ25" s="1887"/>
      <c r="BVK25" s="1888"/>
      <c r="BVL25" s="1882"/>
      <c r="BVM25" s="1882"/>
      <c r="BVN25" s="1882"/>
      <c r="BVP25" s="1887"/>
      <c r="BVQ25" s="1888"/>
      <c r="BVR25" s="1882"/>
      <c r="BVS25" s="1882"/>
      <c r="BVT25" s="1882"/>
      <c r="BVV25" s="1887"/>
      <c r="BVW25" s="1888"/>
      <c r="BVX25" s="1882"/>
      <c r="BVY25" s="1882"/>
      <c r="BVZ25" s="1882"/>
      <c r="BWB25" s="1887"/>
      <c r="BWC25" s="1888"/>
      <c r="BWD25" s="1882"/>
      <c r="BWE25" s="1882"/>
      <c r="BWF25" s="1882"/>
      <c r="BWH25" s="1887"/>
      <c r="BWI25" s="1888"/>
      <c r="BWJ25" s="1882"/>
      <c r="BWK25" s="1882"/>
      <c r="BWL25" s="1882"/>
      <c r="BWN25" s="1887"/>
      <c r="BWO25" s="1888"/>
      <c r="BWP25" s="1882"/>
      <c r="BWQ25" s="1882"/>
      <c r="BWR25" s="1882"/>
      <c r="BWT25" s="1887"/>
      <c r="BWU25" s="1888"/>
      <c r="BWV25" s="1882"/>
      <c r="BWW25" s="1882"/>
      <c r="BWX25" s="1882"/>
      <c r="BWZ25" s="1887"/>
      <c r="BXA25" s="1888"/>
      <c r="BXB25" s="1882"/>
      <c r="BXC25" s="1882"/>
      <c r="BXD25" s="1882"/>
      <c r="BXF25" s="1887"/>
      <c r="BXG25" s="1888"/>
      <c r="BXH25" s="1882"/>
      <c r="BXI25" s="1882"/>
      <c r="BXJ25" s="1882"/>
      <c r="BXL25" s="1887"/>
      <c r="BXM25" s="1888"/>
      <c r="BXN25" s="1882"/>
      <c r="BXO25" s="1882"/>
      <c r="BXP25" s="1882"/>
      <c r="BXR25" s="1887"/>
      <c r="BXS25" s="1888"/>
      <c r="BXT25" s="1882"/>
      <c r="BXU25" s="1882"/>
      <c r="BXV25" s="1882"/>
      <c r="BXX25" s="1887"/>
      <c r="BXY25" s="1888"/>
      <c r="BXZ25" s="1882"/>
      <c r="BYA25" s="1882"/>
      <c r="BYB25" s="1882"/>
      <c r="BYD25" s="1887"/>
      <c r="BYE25" s="1888"/>
      <c r="BYF25" s="1882"/>
      <c r="BYG25" s="1882"/>
      <c r="BYH25" s="1882"/>
      <c r="BYJ25" s="1887"/>
      <c r="BYK25" s="1888"/>
      <c r="BYL25" s="1882"/>
      <c r="BYM25" s="1882"/>
      <c r="BYN25" s="1882"/>
      <c r="BYP25" s="1887"/>
      <c r="BYQ25" s="1888"/>
      <c r="BYR25" s="1882"/>
      <c r="BYS25" s="1882"/>
      <c r="BYT25" s="1882"/>
      <c r="BYV25" s="1887"/>
      <c r="BYW25" s="1888"/>
      <c r="BYX25" s="1882"/>
      <c r="BYY25" s="1882"/>
      <c r="BYZ25" s="1882"/>
      <c r="BZB25" s="1887"/>
      <c r="BZC25" s="1888"/>
      <c r="BZD25" s="1882"/>
      <c r="BZE25" s="1882"/>
      <c r="BZF25" s="1882"/>
      <c r="BZH25" s="1887"/>
      <c r="BZI25" s="1888"/>
      <c r="BZJ25" s="1882"/>
      <c r="BZK25" s="1882"/>
      <c r="BZL25" s="1882"/>
      <c r="BZN25" s="1887"/>
      <c r="BZO25" s="1888"/>
      <c r="BZP25" s="1882"/>
      <c r="BZQ25" s="1882"/>
      <c r="BZR25" s="1882"/>
      <c r="BZT25" s="1887"/>
      <c r="BZU25" s="1888"/>
      <c r="BZV25" s="1882"/>
      <c r="BZW25" s="1882"/>
      <c r="BZX25" s="1882"/>
      <c r="BZZ25" s="1887"/>
      <c r="CAA25" s="1888"/>
      <c r="CAB25" s="1882"/>
      <c r="CAC25" s="1882"/>
      <c r="CAD25" s="1882"/>
      <c r="CAF25" s="1887"/>
      <c r="CAG25" s="1888"/>
      <c r="CAH25" s="1882"/>
      <c r="CAI25" s="1882"/>
      <c r="CAJ25" s="1882"/>
      <c r="CAL25" s="1887"/>
      <c r="CAM25" s="1888"/>
      <c r="CAN25" s="1882"/>
      <c r="CAO25" s="1882"/>
      <c r="CAP25" s="1882"/>
      <c r="CAR25" s="1887"/>
      <c r="CAS25" s="1888"/>
      <c r="CAT25" s="1882"/>
      <c r="CAU25" s="1882"/>
      <c r="CAV25" s="1882"/>
      <c r="CAX25" s="1887"/>
      <c r="CAY25" s="1888"/>
      <c r="CAZ25" s="1882"/>
      <c r="CBA25" s="1882"/>
      <c r="CBB25" s="1882"/>
      <c r="CBD25" s="1887"/>
      <c r="CBE25" s="1888"/>
      <c r="CBF25" s="1882"/>
      <c r="CBG25" s="1882"/>
      <c r="CBH25" s="1882"/>
      <c r="CBJ25" s="1887"/>
      <c r="CBK25" s="1888"/>
      <c r="CBL25" s="1882"/>
      <c r="CBM25" s="1882"/>
      <c r="CBN25" s="1882"/>
      <c r="CBP25" s="1887"/>
      <c r="CBQ25" s="1888"/>
      <c r="CBR25" s="1882"/>
      <c r="CBS25" s="1882"/>
      <c r="CBT25" s="1882"/>
      <c r="CBV25" s="1887"/>
      <c r="CBW25" s="1888"/>
      <c r="CBX25" s="1882"/>
      <c r="CBY25" s="1882"/>
      <c r="CBZ25" s="1882"/>
      <c r="CCB25" s="1887"/>
      <c r="CCC25" s="1888"/>
      <c r="CCD25" s="1882"/>
      <c r="CCE25" s="1882"/>
      <c r="CCF25" s="1882"/>
      <c r="CCH25" s="1887"/>
      <c r="CCI25" s="1888"/>
      <c r="CCJ25" s="1882"/>
      <c r="CCK25" s="1882"/>
      <c r="CCL25" s="1882"/>
      <c r="CCN25" s="1887"/>
      <c r="CCO25" s="1888"/>
      <c r="CCP25" s="1882"/>
      <c r="CCQ25" s="1882"/>
      <c r="CCR25" s="1882"/>
      <c r="CCT25" s="1887"/>
      <c r="CCU25" s="1888"/>
      <c r="CCV25" s="1882"/>
      <c r="CCW25" s="1882"/>
      <c r="CCX25" s="1882"/>
      <c r="CCZ25" s="1887"/>
      <c r="CDA25" s="1888"/>
      <c r="CDB25" s="1882"/>
      <c r="CDC25" s="1882"/>
      <c r="CDD25" s="1882"/>
      <c r="CDF25" s="1887"/>
      <c r="CDG25" s="1888"/>
      <c r="CDH25" s="1882"/>
      <c r="CDI25" s="1882"/>
      <c r="CDJ25" s="1882"/>
      <c r="CDL25" s="1887"/>
      <c r="CDM25" s="1888"/>
      <c r="CDN25" s="1882"/>
      <c r="CDO25" s="1882"/>
      <c r="CDP25" s="1882"/>
      <c r="CDR25" s="1887"/>
      <c r="CDS25" s="1888"/>
      <c r="CDT25" s="1882"/>
      <c r="CDU25" s="1882"/>
      <c r="CDV25" s="1882"/>
      <c r="CDX25" s="1887"/>
      <c r="CDY25" s="1888"/>
      <c r="CDZ25" s="1882"/>
      <c r="CEA25" s="1882"/>
      <c r="CEB25" s="1882"/>
      <c r="CED25" s="1887"/>
      <c r="CEE25" s="1888"/>
      <c r="CEF25" s="1882"/>
      <c r="CEG25" s="1882"/>
      <c r="CEH25" s="1882"/>
      <c r="CEJ25" s="1887"/>
      <c r="CEK25" s="1888"/>
      <c r="CEL25" s="1882"/>
      <c r="CEM25" s="1882"/>
      <c r="CEN25" s="1882"/>
      <c r="CEP25" s="1887"/>
      <c r="CEQ25" s="1888"/>
      <c r="CER25" s="1882"/>
      <c r="CES25" s="1882"/>
      <c r="CET25" s="1882"/>
      <c r="CEV25" s="1887"/>
      <c r="CEW25" s="1888"/>
      <c r="CEX25" s="1882"/>
      <c r="CEY25" s="1882"/>
      <c r="CEZ25" s="1882"/>
      <c r="CFB25" s="1887"/>
      <c r="CFC25" s="1888"/>
      <c r="CFD25" s="1882"/>
      <c r="CFE25" s="1882"/>
      <c r="CFF25" s="1882"/>
      <c r="CFH25" s="1887"/>
      <c r="CFI25" s="1888"/>
      <c r="CFJ25" s="1882"/>
      <c r="CFK25" s="1882"/>
      <c r="CFL25" s="1882"/>
      <c r="CFN25" s="1887"/>
      <c r="CFO25" s="1888"/>
      <c r="CFP25" s="1882"/>
      <c r="CFQ25" s="1882"/>
      <c r="CFR25" s="1882"/>
      <c r="CFT25" s="1887"/>
      <c r="CFU25" s="1888"/>
      <c r="CFV25" s="1882"/>
      <c r="CFW25" s="1882"/>
      <c r="CFX25" s="1882"/>
      <c r="CFZ25" s="1887"/>
      <c r="CGA25" s="1888"/>
      <c r="CGB25" s="1882"/>
      <c r="CGC25" s="1882"/>
      <c r="CGD25" s="1882"/>
      <c r="CGF25" s="1887"/>
      <c r="CGG25" s="1888"/>
      <c r="CGH25" s="1882"/>
      <c r="CGI25" s="1882"/>
      <c r="CGJ25" s="1882"/>
      <c r="CGL25" s="1887"/>
      <c r="CGM25" s="1888"/>
      <c r="CGN25" s="1882"/>
      <c r="CGO25" s="1882"/>
      <c r="CGP25" s="1882"/>
      <c r="CGR25" s="1887"/>
      <c r="CGS25" s="1888"/>
      <c r="CGT25" s="1882"/>
      <c r="CGU25" s="1882"/>
      <c r="CGV25" s="1882"/>
      <c r="CGX25" s="1887"/>
      <c r="CGY25" s="1888"/>
      <c r="CGZ25" s="1882"/>
      <c r="CHA25" s="1882"/>
      <c r="CHB25" s="1882"/>
      <c r="CHD25" s="1887"/>
      <c r="CHE25" s="1888"/>
      <c r="CHF25" s="1882"/>
      <c r="CHG25" s="1882"/>
      <c r="CHH25" s="1882"/>
      <c r="CHJ25" s="1887"/>
      <c r="CHK25" s="1888"/>
      <c r="CHL25" s="1882"/>
      <c r="CHM25" s="1882"/>
      <c r="CHN25" s="1882"/>
      <c r="CHP25" s="1887"/>
      <c r="CHQ25" s="1888"/>
      <c r="CHR25" s="1882"/>
      <c r="CHS25" s="1882"/>
      <c r="CHT25" s="1882"/>
      <c r="CHV25" s="1887"/>
      <c r="CHW25" s="1888"/>
      <c r="CHX25" s="1882"/>
      <c r="CHY25" s="1882"/>
      <c r="CHZ25" s="1882"/>
      <c r="CIB25" s="1887"/>
      <c r="CIC25" s="1888"/>
      <c r="CID25" s="1882"/>
      <c r="CIE25" s="1882"/>
      <c r="CIF25" s="1882"/>
      <c r="CIH25" s="1887"/>
      <c r="CII25" s="1888"/>
      <c r="CIJ25" s="1882"/>
      <c r="CIK25" s="1882"/>
      <c r="CIL25" s="1882"/>
      <c r="CIN25" s="1887"/>
      <c r="CIO25" s="1888"/>
      <c r="CIP25" s="1882"/>
      <c r="CIQ25" s="1882"/>
      <c r="CIR25" s="1882"/>
      <c r="CIT25" s="1887"/>
      <c r="CIU25" s="1888"/>
      <c r="CIV25" s="1882"/>
      <c r="CIW25" s="1882"/>
      <c r="CIX25" s="1882"/>
      <c r="CIZ25" s="1887"/>
      <c r="CJA25" s="1888"/>
      <c r="CJB25" s="1882"/>
      <c r="CJC25" s="1882"/>
      <c r="CJD25" s="1882"/>
      <c r="CJF25" s="1887"/>
      <c r="CJG25" s="1888"/>
      <c r="CJH25" s="1882"/>
      <c r="CJI25" s="1882"/>
      <c r="CJJ25" s="1882"/>
      <c r="CJL25" s="1887"/>
      <c r="CJM25" s="1888"/>
      <c r="CJN25" s="1882"/>
      <c r="CJO25" s="1882"/>
      <c r="CJP25" s="1882"/>
      <c r="CJR25" s="1887"/>
      <c r="CJS25" s="1888"/>
      <c r="CJT25" s="1882"/>
      <c r="CJU25" s="1882"/>
      <c r="CJV25" s="1882"/>
      <c r="CJX25" s="1887"/>
      <c r="CJY25" s="1888"/>
      <c r="CJZ25" s="1882"/>
      <c r="CKA25" s="1882"/>
      <c r="CKB25" s="1882"/>
      <c r="CKD25" s="1887"/>
      <c r="CKE25" s="1888"/>
      <c r="CKF25" s="1882"/>
      <c r="CKG25" s="1882"/>
      <c r="CKH25" s="1882"/>
      <c r="CKJ25" s="1887"/>
      <c r="CKK25" s="1888"/>
      <c r="CKL25" s="1882"/>
      <c r="CKM25" s="1882"/>
      <c r="CKN25" s="1882"/>
      <c r="CKP25" s="1887"/>
      <c r="CKQ25" s="1888"/>
      <c r="CKR25" s="1882"/>
      <c r="CKS25" s="1882"/>
      <c r="CKT25" s="1882"/>
      <c r="CKV25" s="1887"/>
      <c r="CKW25" s="1888"/>
      <c r="CKX25" s="1882"/>
      <c r="CKY25" s="1882"/>
      <c r="CKZ25" s="1882"/>
      <c r="CLB25" s="1887"/>
      <c r="CLC25" s="1888"/>
      <c r="CLD25" s="1882"/>
      <c r="CLE25" s="1882"/>
      <c r="CLF25" s="1882"/>
      <c r="CLH25" s="1887"/>
      <c r="CLI25" s="1888"/>
      <c r="CLJ25" s="1882"/>
      <c r="CLK25" s="1882"/>
      <c r="CLL25" s="1882"/>
      <c r="CLN25" s="1887"/>
      <c r="CLO25" s="1888"/>
      <c r="CLP25" s="1882"/>
      <c r="CLQ25" s="1882"/>
      <c r="CLR25" s="1882"/>
      <c r="CLT25" s="1887"/>
      <c r="CLU25" s="1888"/>
      <c r="CLV25" s="1882"/>
      <c r="CLW25" s="1882"/>
      <c r="CLX25" s="1882"/>
      <c r="CLZ25" s="1887"/>
      <c r="CMA25" s="1888"/>
      <c r="CMB25" s="1882"/>
      <c r="CMC25" s="1882"/>
      <c r="CMD25" s="1882"/>
      <c r="CMF25" s="1887"/>
      <c r="CMG25" s="1888"/>
      <c r="CMH25" s="1882"/>
      <c r="CMI25" s="1882"/>
      <c r="CMJ25" s="1882"/>
      <c r="CML25" s="1887"/>
      <c r="CMM25" s="1888"/>
      <c r="CMN25" s="1882"/>
      <c r="CMO25" s="1882"/>
      <c r="CMP25" s="1882"/>
      <c r="CMR25" s="1887"/>
      <c r="CMS25" s="1888"/>
      <c r="CMT25" s="1882"/>
      <c r="CMU25" s="1882"/>
      <c r="CMV25" s="1882"/>
      <c r="CMX25" s="1887"/>
      <c r="CMY25" s="1888"/>
      <c r="CMZ25" s="1882"/>
      <c r="CNA25" s="1882"/>
      <c r="CNB25" s="1882"/>
      <c r="CND25" s="1887"/>
      <c r="CNE25" s="1888"/>
      <c r="CNF25" s="1882"/>
      <c r="CNG25" s="1882"/>
      <c r="CNH25" s="1882"/>
      <c r="CNJ25" s="1887"/>
      <c r="CNK25" s="1888"/>
      <c r="CNL25" s="1882"/>
      <c r="CNM25" s="1882"/>
      <c r="CNN25" s="1882"/>
      <c r="CNP25" s="1887"/>
      <c r="CNQ25" s="1888"/>
      <c r="CNR25" s="1882"/>
      <c r="CNS25" s="1882"/>
      <c r="CNT25" s="1882"/>
      <c r="CNV25" s="1887"/>
      <c r="CNW25" s="1888"/>
      <c r="CNX25" s="1882"/>
      <c r="CNY25" s="1882"/>
      <c r="CNZ25" s="1882"/>
      <c r="COB25" s="1887"/>
      <c r="COC25" s="1888"/>
      <c r="COD25" s="1882"/>
      <c r="COE25" s="1882"/>
      <c r="COF25" s="1882"/>
      <c r="COH25" s="1887"/>
      <c r="COI25" s="1888"/>
      <c r="COJ25" s="1882"/>
      <c r="COK25" s="1882"/>
      <c r="COL25" s="1882"/>
      <c r="CON25" s="1887"/>
      <c r="COO25" s="1888"/>
      <c r="COP25" s="1882"/>
      <c r="COQ25" s="1882"/>
      <c r="COR25" s="1882"/>
      <c r="COT25" s="1887"/>
      <c r="COU25" s="1888"/>
      <c r="COV25" s="1882"/>
      <c r="COW25" s="1882"/>
      <c r="COX25" s="1882"/>
      <c r="COZ25" s="1887"/>
      <c r="CPA25" s="1888"/>
      <c r="CPB25" s="1882"/>
      <c r="CPC25" s="1882"/>
      <c r="CPD25" s="1882"/>
      <c r="CPF25" s="1887"/>
      <c r="CPG25" s="1888"/>
      <c r="CPH25" s="1882"/>
      <c r="CPI25" s="1882"/>
      <c r="CPJ25" s="1882"/>
      <c r="CPL25" s="1887"/>
      <c r="CPM25" s="1888"/>
      <c r="CPN25" s="1882"/>
      <c r="CPO25" s="1882"/>
      <c r="CPP25" s="1882"/>
      <c r="CPR25" s="1887"/>
      <c r="CPS25" s="1888"/>
      <c r="CPT25" s="1882"/>
      <c r="CPU25" s="1882"/>
      <c r="CPV25" s="1882"/>
      <c r="CPX25" s="1887"/>
      <c r="CPY25" s="1888"/>
      <c r="CPZ25" s="1882"/>
      <c r="CQA25" s="1882"/>
      <c r="CQB25" s="1882"/>
      <c r="CQD25" s="1887"/>
      <c r="CQE25" s="1888"/>
      <c r="CQF25" s="1882"/>
      <c r="CQG25" s="1882"/>
      <c r="CQH25" s="1882"/>
      <c r="CQJ25" s="1887"/>
      <c r="CQK25" s="1888"/>
      <c r="CQL25" s="1882"/>
      <c r="CQM25" s="1882"/>
      <c r="CQN25" s="1882"/>
      <c r="CQP25" s="1887"/>
      <c r="CQQ25" s="1888"/>
      <c r="CQR25" s="1882"/>
      <c r="CQS25" s="1882"/>
      <c r="CQT25" s="1882"/>
      <c r="CQV25" s="1887"/>
      <c r="CQW25" s="1888"/>
      <c r="CQX25" s="1882"/>
      <c r="CQY25" s="1882"/>
      <c r="CQZ25" s="1882"/>
      <c r="CRB25" s="1887"/>
      <c r="CRC25" s="1888"/>
      <c r="CRD25" s="1882"/>
      <c r="CRE25" s="1882"/>
      <c r="CRF25" s="1882"/>
      <c r="CRH25" s="1887"/>
      <c r="CRI25" s="1888"/>
      <c r="CRJ25" s="1882"/>
      <c r="CRK25" s="1882"/>
      <c r="CRL25" s="1882"/>
      <c r="CRN25" s="1887"/>
      <c r="CRO25" s="1888"/>
      <c r="CRP25" s="1882"/>
      <c r="CRQ25" s="1882"/>
      <c r="CRR25" s="1882"/>
      <c r="CRT25" s="1887"/>
      <c r="CRU25" s="1888"/>
      <c r="CRV25" s="1882"/>
      <c r="CRW25" s="1882"/>
      <c r="CRX25" s="1882"/>
      <c r="CRZ25" s="1887"/>
      <c r="CSA25" s="1888"/>
      <c r="CSB25" s="1882"/>
      <c r="CSC25" s="1882"/>
      <c r="CSD25" s="1882"/>
      <c r="CSF25" s="1887"/>
      <c r="CSG25" s="1888"/>
      <c r="CSH25" s="1882"/>
      <c r="CSI25" s="1882"/>
      <c r="CSJ25" s="1882"/>
      <c r="CSL25" s="1887"/>
      <c r="CSM25" s="1888"/>
      <c r="CSN25" s="1882"/>
      <c r="CSO25" s="1882"/>
      <c r="CSP25" s="1882"/>
      <c r="CSR25" s="1887"/>
      <c r="CSS25" s="1888"/>
      <c r="CST25" s="1882"/>
      <c r="CSU25" s="1882"/>
      <c r="CSV25" s="1882"/>
      <c r="CSX25" s="1887"/>
      <c r="CSY25" s="1888"/>
      <c r="CSZ25" s="1882"/>
      <c r="CTA25" s="1882"/>
      <c r="CTB25" s="1882"/>
      <c r="CTD25" s="1887"/>
      <c r="CTE25" s="1888"/>
      <c r="CTF25" s="1882"/>
      <c r="CTG25" s="1882"/>
      <c r="CTH25" s="1882"/>
      <c r="CTJ25" s="1887"/>
      <c r="CTK25" s="1888"/>
      <c r="CTL25" s="1882"/>
      <c r="CTM25" s="1882"/>
      <c r="CTN25" s="1882"/>
      <c r="CTP25" s="1887"/>
      <c r="CTQ25" s="1888"/>
      <c r="CTR25" s="1882"/>
      <c r="CTS25" s="1882"/>
      <c r="CTT25" s="1882"/>
      <c r="CTV25" s="1887"/>
      <c r="CTW25" s="1888"/>
      <c r="CTX25" s="1882"/>
      <c r="CTY25" s="1882"/>
      <c r="CTZ25" s="1882"/>
      <c r="CUB25" s="1887"/>
      <c r="CUC25" s="1888"/>
      <c r="CUD25" s="1882"/>
      <c r="CUE25" s="1882"/>
      <c r="CUF25" s="1882"/>
      <c r="CUH25" s="1887"/>
      <c r="CUI25" s="1888"/>
      <c r="CUJ25" s="1882"/>
      <c r="CUK25" s="1882"/>
      <c r="CUL25" s="1882"/>
      <c r="CUN25" s="1887"/>
      <c r="CUO25" s="1888"/>
      <c r="CUP25" s="1882"/>
      <c r="CUQ25" s="1882"/>
      <c r="CUR25" s="1882"/>
      <c r="CUT25" s="1887"/>
      <c r="CUU25" s="1888"/>
      <c r="CUV25" s="1882"/>
      <c r="CUW25" s="1882"/>
      <c r="CUX25" s="1882"/>
      <c r="CUZ25" s="1887"/>
      <c r="CVA25" s="1888"/>
      <c r="CVB25" s="1882"/>
      <c r="CVC25" s="1882"/>
      <c r="CVD25" s="1882"/>
      <c r="CVF25" s="1887"/>
      <c r="CVG25" s="1888"/>
      <c r="CVH25" s="1882"/>
      <c r="CVI25" s="1882"/>
      <c r="CVJ25" s="1882"/>
      <c r="CVL25" s="1887"/>
      <c r="CVM25" s="1888"/>
      <c r="CVN25" s="1882"/>
      <c r="CVO25" s="1882"/>
      <c r="CVP25" s="1882"/>
      <c r="CVR25" s="1887"/>
      <c r="CVS25" s="1888"/>
      <c r="CVT25" s="1882"/>
      <c r="CVU25" s="1882"/>
      <c r="CVV25" s="1882"/>
      <c r="CVX25" s="1887"/>
      <c r="CVY25" s="1888"/>
      <c r="CVZ25" s="1882"/>
      <c r="CWA25" s="1882"/>
      <c r="CWB25" s="1882"/>
      <c r="CWD25" s="1887"/>
      <c r="CWE25" s="1888"/>
      <c r="CWF25" s="1882"/>
      <c r="CWG25" s="1882"/>
      <c r="CWH25" s="1882"/>
      <c r="CWJ25" s="1887"/>
      <c r="CWK25" s="1888"/>
      <c r="CWL25" s="1882"/>
      <c r="CWM25" s="1882"/>
      <c r="CWN25" s="1882"/>
      <c r="CWP25" s="1887"/>
      <c r="CWQ25" s="1888"/>
      <c r="CWR25" s="1882"/>
      <c r="CWS25" s="1882"/>
      <c r="CWT25" s="1882"/>
      <c r="CWV25" s="1887"/>
      <c r="CWW25" s="1888"/>
      <c r="CWX25" s="1882"/>
      <c r="CWY25" s="1882"/>
      <c r="CWZ25" s="1882"/>
      <c r="CXB25" s="1887"/>
      <c r="CXC25" s="1888"/>
      <c r="CXD25" s="1882"/>
      <c r="CXE25" s="1882"/>
      <c r="CXF25" s="1882"/>
      <c r="CXH25" s="1887"/>
      <c r="CXI25" s="1888"/>
      <c r="CXJ25" s="1882"/>
      <c r="CXK25" s="1882"/>
      <c r="CXL25" s="1882"/>
      <c r="CXN25" s="1887"/>
      <c r="CXO25" s="1888"/>
      <c r="CXP25" s="1882"/>
      <c r="CXQ25" s="1882"/>
      <c r="CXR25" s="1882"/>
      <c r="CXT25" s="1887"/>
      <c r="CXU25" s="1888"/>
      <c r="CXV25" s="1882"/>
      <c r="CXW25" s="1882"/>
      <c r="CXX25" s="1882"/>
      <c r="CXZ25" s="1887"/>
      <c r="CYA25" s="1888"/>
      <c r="CYB25" s="1882"/>
      <c r="CYC25" s="1882"/>
      <c r="CYD25" s="1882"/>
      <c r="CYF25" s="1887"/>
      <c r="CYG25" s="1888"/>
      <c r="CYH25" s="1882"/>
      <c r="CYI25" s="1882"/>
      <c r="CYJ25" s="1882"/>
      <c r="CYL25" s="1887"/>
      <c r="CYM25" s="1888"/>
      <c r="CYN25" s="1882"/>
      <c r="CYO25" s="1882"/>
      <c r="CYP25" s="1882"/>
      <c r="CYR25" s="1887"/>
      <c r="CYS25" s="1888"/>
      <c r="CYT25" s="1882"/>
      <c r="CYU25" s="1882"/>
      <c r="CYV25" s="1882"/>
      <c r="CYX25" s="1887"/>
      <c r="CYY25" s="1888"/>
      <c r="CYZ25" s="1882"/>
      <c r="CZA25" s="1882"/>
      <c r="CZB25" s="1882"/>
      <c r="CZD25" s="1887"/>
      <c r="CZE25" s="1888"/>
      <c r="CZF25" s="1882"/>
      <c r="CZG25" s="1882"/>
      <c r="CZH25" s="1882"/>
      <c r="CZJ25" s="1887"/>
      <c r="CZK25" s="1888"/>
      <c r="CZL25" s="1882"/>
      <c r="CZM25" s="1882"/>
      <c r="CZN25" s="1882"/>
      <c r="CZP25" s="1887"/>
      <c r="CZQ25" s="1888"/>
      <c r="CZR25" s="1882"/>
      <c r="CZS25" s="1882"/>
      <c r="CZT25" s="1882"/>
      <c r="CZV25" s="1887"/>
      <c r="CZW25" s="1888"/>
      <c r="CZX25" s="1882"/>
      <c r="CZY25" s="1882"/>
      <c r="CZZ25" s="1882"/>
      <c r="DAB25" s="1887"/>
      <c r="DAC25" s="1888"/>
      <c r="DAD25" s="1882"/>
      <c r="DAE25" s="1882"/>
      <c r="DAF25" s="1882"/>
      <c r="DAH25" s="1887"/>
      <c r="DAI25" s="1888"/>
      <c r="DAJ25" s="1882"/>
      <c r="DAK25" s="1882"/>
      <c r="DAL25" s="1882"/>
      <c r="DAN25" s="1887"/>
      <c r="DAO25" s="1888"/>
      <c r="DAP25" s="1882"/>
      <c r="DAQ25" s="1882"/>
      <c r="DAR25" s="1882"/>
      <c r="DAT25" s="1887"/>
      <c r="DAU25" s="1888"/>
      <c r="DAV25" s="1882"/>
      <c r="DAW25" s="1882"/>
      <c r="DAX25" s="1882"/>
      <c r="DAZ25" s="1887"/>
      <c r="DBA25" s="1888"/>
      <c r="DBB25" s="1882"/>
      <c r="DBC25" s="1882"/>
      <c r="DBD25" s="1882"/>
      <c r="DBF25" s="1887"/>
      <c r="DBG25" s="1888"/>
      <c r="DBH25" s="1882"/>
      <c r="DBI25" s="1882"/>
      <c r="DBJ25" s="1882"/>
      <c r="DBL25" s="1887"/>
      <c r="DBM25" s="1888"/>
      <c r="DBN25" s="1882"/>
      <c r="DBO25" s="1882"/>
      <c r="DBP25" s="1882"/>
      <c r="DBR25" s="1887"/>
      <c r="DBS25" s="1888"/>
      <c r="DBT25" s="1882"/>
      <c r="DBU25" s="1882"/>
      <c r="DBV25" s="1882"/>
      <c r="DBX25" s="1887"/>
      <c r="DBY25" s="1888"/>
      <c r="DBZ25" s="1882"/>
      <c r="DCA25" s="1882"/>
      <c r="DCB25" s="1882"/>
      <c r="DCD25" s="1887"/>
      <c r="DCE25" s="1888"/>
      <c r="DCF25" s="1882"/>
      <c r="DCG25" s="1882"/>
      <c r="DCH25" s="1882"/>
      <c r="DCJ25" s="1887"/>
      <c r="DCK25" s="1888"/>
      <c r="DCL25" s="1882"/>
      <c r="DCM25" s="1882"/>
      <c r="DCN25" s="1882"/>
      <c r="DCP25" s="1887"/>
      <c r="DCQ25" s="1888"/>
      <c r="DCR25" s="1882"/>
      <c r="DCS25" s="1882"/>
      <c r="DCT25" s="1882"/>
      <c r="DCV25" s="1887"/>
      <c r="DCW25" s="1888"/>
      <c r="DCX25" s="1882"/>
      <c r="DCY25" s="1882"/>
      <c r="DCZ25" s="1882"/>
      <c r="DDB25" s="1887"/>
      <c r="DDC25" s="1888"/>
      <c r="DDD25" s="1882"/>
      <c r="DDE25" s="1882"/>
      <c r="DDF25" s="1882"/>
      <c r="DDH25" s="1887"/>
      <c r="DDI25" s="1888"/>
      <c r="DDJ25" s="1882"/>
      <c r="DDK25" s="1882"/>
      <c r="DDL25" s="1882"/>
      <c r="DDN25" s="1887"/>
      <c r="DDO25" s="1888"/>
      <c r="DDP25" s="1882"/>
      <c r="DDQ25" s="1882"/>
      <c r="DDR25" s="1882"/>
      <c r="DDT25" s="1887"/>
      <c r="DDU25" s="1888"/>
      <c r="DDV25" s="1882"/>
      <c r="DDW25" s="1882"/>
      <c r="DDX25" s="1882"/>
      <c r="DDZ25" s="1887"/>
      <c r="DEA25" s="1888"/>
      <c r="DEB25" s="1882"/>
      <c r="DEC25" s="1882"/>
      <c r="DED25" s="1882"/>
      <c r="DEF25" s="1887"/>
      <c r="DEG25" s="1888"/>
      <c r="DEH25" s="1882"/>
      <c r="DEI25" s="1882"/>
      <c r="DEJ25" s="1882"/>
      <c r="DEL25" s="1887"/>
      <c r="DEM25" s="1888"/>
      <c r="DEN25" s="1882"/>
      <c r="DEO25" s="1882"/>
      <c r="DEP25" s="1882"/>
      <c r="DER25" s="1887"/>
      <c r="DES25" s="1888"/>
      <c r="DET25" s="1882"/>
      <c r="DEU25" s="1882"/>
      <c r="DEV25" s="1882"/>
      <c r="DEX25" s="1887"/>
      <c r="DEY25" s="1888"/>
      <c r="DEZ25" s="1882"/>
      <c r="DFA25" s="1882"/>
      <c r="DFB25" s="1882"/>
      <c r="DFD25" s="1887"/>
      <c r="DFE25" s="1888"/>
      <c r="DFF25" s="1882"/>
      <c r="DFG25" s="1882"/>
      <c r="DFH25" s="1882"/>
      <c r="DFJ25" s="1887"/>
      <c r="DFK25" s="1888"/>
      <c r="DFL25" s="1882"/>
      <c r="DFM25" s="1882"/>
      <c r="DFN25" s="1882"/>
      <c r="DFP25" s="1887"/>
      <c r="DFQ25" s="1888"/>
      <c r="DFR25" s="1882"/>
      <c r="DFS25" s="1882"/>
      <c r="DFT25" s="1882"/>
      <c r="DFV25" s="1887"/>
      <c r="DFW25" s="1888"/>
      <c r="DFX25" s="1882"/>
      <c r="DFY25" s="1882"/>
      <c r="DFZ25" s="1882"/>
      <c r="DGB25" s="1887"/>
      <c r="DGC25" s="1888"/>
      <c r="DGD25" s="1882"/>
      <c r="DGE25" s="1882"/>
      <c r="DGF25" s="1882"/>
      <c r="DGH25" s="1887"/>
      <c r="DGI25" s="1888"/>
      <c r="DGJ25" s="1882"/>
      <c r="DGK25" s="1882"/>
      <c r="DGL25" s="1882"/>
      <c r="DGN25" s="1887"/>
      <c r="DGO25" s="1888"/>
      <c r="DGP25" s="1882"/>
      <c r="DGQ25" s="1882"/>
      <c r="DGR25" s="1882"/>
      <c r="DGT25" s="1887"/>
      <c r="DGU25" s="1888"/>
      <c r="DGV25" s="1882"/>
      <c r="DGW25" s="1882"/>
      <c r="DGX25" s="1882"/>
      <c r="DGZ25" s="1887"/>
      <c r="DHA25" s="1888"/>
      <c r="DHB25" s="1882"/>
      <c r="DHC25" s="1882"/>
      <c r="DHD25" s="1882"/>
      <c r="DHF25" s="1887"/>
      <c r="DHG25" s="1888"/>
      <c r="DHH25" s="1882"/>
      <c r="DHI25" s="1882"/>
      <c r="DHJ25" s="1882"/>
      <c r="DHL25" s="1887"/>
      <c r="DHM25" s="1888"/>
      <c r="DHN25" s="1882"/>
      <c r="DHO25" s="1882"/>
      <c r="DHP25" s="1882"/>
      <c r="DHR25" s="1887"/>
      <c r="DHS25" s="1888"/>
      <c r="DHT25" s="1882"/>
      <c r="DHU25" s="1882"/>
      <c r="DHV25" s="1882"/>
      <c r="DHX25" s="1887"/>
      <c r="DHY25" s="1888"/>
      <c r="DHZ25" s="1882"/>
      <c r="DIA25" s="1882"/>
      <c r="DIB25" s="1882"/>
      <c r="DID25" s="1887"/>
      <c r="DIE25" s="1888"/>
      <c r="DIF25" s="1882"/>
      <c r="DIG25" s="1882"/>
      <c r="DIH25" s="1882"/>
      <c r="DIJ25" s="1887"/>
      <c r="DIK25" s="1888"/>
      <c r="DIL25" s="1882"/>
      <c r="DIM25" s="1882"/>
      <c r="DIN25" s="1882"/>
      <c r="DIP25" s="1887"/>
      <c r="DIQ25" s="1888"/>
      <c r="DIR25" s="1882"/>
      <c r="DIS25" s="1882"/>
      <c r="DIT25" s="1882"/>
      <c r="DIV25" s="1887"/>
      <c r="DIW25" s="1888"/>
      <c r="DIX25" s="1882"/>
      <c r="DIY25" s="1882"/>
      <c r="DIZ25" s="1882"/>
      <c r="DJB25" s="1887"/>
      <c r="DJC25" s="1888"/>
      <c r="DJD25" s="1882"/>
      <c r="DJE25" s="1882"/>
      <c r="DJF25" s="1882"/>
      <c r="DJH25" s="1887"/>
      <c r="DJI25" s="1888"/>
      <c r="DJJ25" s="1882"/>
      <c r="DJK25" s="1882"/>
      <c r="DJL25" s="1882"/>
      <c r="DJN25" s="1887"/>
      <c r="DJO25" s="1888"/>
      <c r="DJP25" s="1882"/>
      <c r="DJQ25" s="1882"/>
      <c r="DJR25" s="1882"/>
      <c r="DJT25" s="1887"/>
      <c r="DJU25" s="1888"/>
      <c r="DJV25" s="1882"/>
      <c r="DJW25" s="1882"/>
      <c r="DJX25" s="1882"/>
      <c r="DJZ25" s="1887"/>
      <c r="DKA25" s="1888"/>
      <c r="DKB25" s="1882"/>
      <c r="DKC25" s="1882"/>
      <c r="DKD25" s="1882"/>
      <c r="DKF25" s="1887"/>
      <c r="DKG25" s="1888"/>
      <c r="DKH25" s="1882"/>
      <c r="DKI25" s="1882"/>
      <c r="DKJ25" s="1882"/>
      <c r="DKL25" s="1887"/>
      <c r="DKM25" s="1888"/>
      <c r="DKN25" s="1882"/>
      <c r="DKO25" s="1882"/>
      <c r="DKP25" s="1882"/>
      <c r="DKR25" s="1887"/>
      <c r="DKS25" s="1888"/>
      <c r="DKT25" s="1882"/>
      <c r="DKU25" s="1882"/>
      <c r="DKV25" s="1882"/>
      <c r="DKX25" s="1887"/>
      <c r="DKY25" s="1888"/>
      <c r="DKZ25" s="1882"/>
      <c r="DLA25" s="1882"/>
      <c r="DLB25" s="1882"/>
      <c r="DLD25" s="1887"/>
      <c r="DLE25" s="1888"/>
      <c r="DLF25" s="1882"/>
      <c r="DLG25" s="1882"/>
      <c r="DLH25" s="1882"/>
      <c r="DLJ25" s="1887"/>
      <c r="DLK25" s="1888"/>
      <c r="DLL25" s="1882"/>
      <c r="DLM25" s="1882"/>
      <c r="DLN25" s="1882"/>
      <c r="DLP25" s="1887"/>
      <c r="DLQ25" s="1888"/>
      <c r="DLR25" s="1882"/>
      <c r="DLS25" s="1882"/>
      <c r="DLT25" s="1882"/>
      <c r="DLV25" s="1887"/>
      <c r="DLW25" s="1888"/>
      <c r="DLX25" s="1882"/>
      <c r="DLY25" s="1882"/>
      <c r="DLZ25" s="1882"/>
      <c r="DMB25" s="1887"/>
      <c r="DMC25" s="1888"/>
      <c r="DMD25" s="1882"/>
      <c r="DME25" s="1882"/>
      <c r="DMF25" s="1882"/>
      <c r="DMH25" s="1887"/>
      <c r="DMI25" s="1888"/>
      <c r="DMJ25" s="1882"/>
      <c r="DMK25" s="1882"/>
      <c r="DML25" s="1882"/>
      <c r="DMN25" s="1887"/>
      <c r="DMO25" s="1888"/>
      <c r="DMP25" s="1882"/>
      <c r="DMQ25" s="1882"/>
      <c r="DMR25" s="1882"/>
      <c r="DMT25" s="1887"/>
      <c r="DMU25" s="1888"/>
      <c r="DMV25" s="1882"/>
      <c r="DMW25" s="1882"/>
      <c r="DMX25" s="1882"/>
      <c r="DMZ25" s="1887"/>
      <c r="DNA25" s="1888"/>
      <c r="DNB25" s="1882"/>
      <c r="DNC25" s="1882"/>
      <c r="DND25" s="1882"/>
      <c r="DNF25" s="1887"/>
      <c r="DNG25" s="1888"/>
      <c r="DNH25" s="1882"/>
      <c r="DNI25" s="1882"/>
      <c r="DNJ25" s="1882"/>
      <c r="DNL25" s="1887"/>
      <c r="DNM25" s="1888"/>
      <c r="DNN25" s="1882"/>
      <c r="DNO25" s="1882"/>
      <c r="DNP25" s="1882"/>
      <c r="DNR25" s="1887"/>
      <c r="DNS25" s="1888"/>
      <c r="DNT25" s="1882"/>
      <c r="DNU25" s="1882"/>
      <c r="DNV25" s="1882"/>
      <c r="DNX25" s="1887"/>
      <c r="DNY25" s="1888"/>
      <c r="DNZ25" s="1882"/>
      <c r="DOA25" s="1882"/>
      <c r="DOB25" s="1882"/>
      <c r="DOD25" s="1887"/>
      <c r="DOE25" s="1888"/>
      <c r="DOF25" s="1882"/>
      <c r="DOG25" s="1882"/>
      <c r="DOH25" s="1882"/>
      <c r="DOJ25" s="1887"/>
      <c r="DOK25" s="1888"/>
      <c r="DOL25" s="1882"/>
      <c r="DOM25" s="1882"/>
      <c r="DON25" s="1882"/>
      <c r="DOP25" s="1887"/>
      <c r="DOQ25" s="1888"/>
      <c r="DOR25" s="1882"/>
      <c r="DOS25" s="1882"/>
      <c r="DOT25" s="1882"/>
      <c r="DOV25" s="1887"/>
      <c r="DOW25" s="1888"/>
      <c r="DOX25" s="1882"/>
      <c r="DOY25" s="1882"/>
      <c r="DOZ25" s="1882"/>
      <c r="DPB25" s="1887"/>
      <c r="DPC25" s="1888"/>
      <c r="DPD25" s="1882"/>
      <c r="DPE25" s="1882"/>
      <c r="DPF25" s="1882"/>
      <c r="DPH25" s="1887"/>
      <c r="DPI25" s="1888"/>
      <c r="DPJ25" s="1882"/>
      <c r="DPK25" s="1882"/>
      <c r="DPL25" s="1882"/>
      <c r="DPN25" s="1887"/>
      <c r="DPO25" s="1888"/>
      <c r="DPP25" s="1882"/>
      <c r="DPQ25" s="1882"/>
      <c r="DPR25" s="1882"/>
      <c r="DPT25" s="1887"/>
      <c r="DPU25" s="1888"/>
      <c r="DPV25" s="1882"/>
      <c r="DPW25" s="1882"/>
      <c r="DPX25" s="1882"/>
      <c r="DPZ25" s="1887"/>
      <c r="DQA25" s="1888"/>
      <c r="DQB25" s="1882"/>
      <c r="DQC25" s="1882"/>
      <c r="DQD25" s="1882"/>
      <c r="DQF25" s="1887"/>
      <c r="DQG25" s="1888"/>
      <c r="DQH25" s="1882"/>
      <c r="DQI25" s="1882"/>
      <c r="DQJ25" s="1882"/>
      <c r="DQL25" s="1887"/>
      <c r="DQM25" s="1888"/>
      <c r="DQN25" s="1882"/>
      <c r="DQO25" s="1882"/>
      <c r="DQP25" s="1882"/>
      <c r="DQR25" s="1887"/>
      <c r="DQS25" s="1888"/>
      <c r="DQT25" s="1882"/>
      <c r="DQU25" s="1882"/>
      <c r="DQV25" s="1882"/>
      <c r="DQX25" s="1887"/>
      <c r="DQY25" s="1888"/>
      <c r="DQZ25" s="1882"/>
      <c r="DRA25" s="1882"/>
      <c r="DRB25" s="1882"/>
      <c r="DRD25" s="1887"/>
      <c r="DRE25" s="1888"/>
      <c r="DRF25" s="1882"/>
      <c r="DRG25" s="1882"/>
      <c r="DRH25" s="1882"/>
      <c r="DRJ25" s="1887"/>
      <c r="DRK25" s="1888"/>
      <c r="DRL25" s="1882"/>
      <c r="DRM25" s="1882"/>
      <c r="DRN25" s="1882"/>
      <c r="DRP25" s="1887"/>
      <c r="DRQ25" s="1888"/>
      <c r="DRR25" s="1882"/>
      <c r="DRS25" s="1882"/>
      <c r="DRT25" s="1882"/>
      <c r="DRV25" s="1887"/>
      <c r="DRW25" s="1888"/>
      <c r="DRX25" s="1882"/>
      <c r="DRY25" s="1882"/>
      <c r="DRZ25" s="1882"/>
      <c r="DSB25" s="1887"/>
      <c r="DSC25" s="1888"/>
      <c r="DSD25" s="1882"/>
      <c r="DSE25" s="1882"/>
      <c r="DSF25" s="1882"/>
      <c r="DSH25" s="1887"/>
      <c r="DSI25" s="1888"/>
      <c r="DSJ25" s="1882"/>
      <c r="DSK25" s="1882"/>
      <c r="DSL25" s="1882"/>
      <c r="DSN25" s="1887"/>
      <c r="DSO25" s="1888"/>
      <c r="DSP25" s="1882"/>
      <c r="DSQ25" s="1882"/>
      <c r="DSR25" s="1882"/>
      <c r="DST25" s="1887"/>
      <c r="DSU25" s="1888"/>
      <c r="DSV25" s="1882"/>
      <c r="DSW25" s="1882"/>
      <c r="DSX25" s="1882"/>
      <c r="DSZ25" s="1887"/>
      <c r="DTA25" s="1888"/>
      <c r="DTB25" s="1882"/>
      <c r="DTC25" s="1882"/>
      <c r="DTD25" s="1882"/>
      <c r="DTF25" s="1887"/>
      <c r="DTG25" s="1888"/>
      <c r="DTH25" s="1882"/>
      <c r="DTI25" s="1882"/>
      <c r="DTJ25" s="1882"/>
      <c r="DTL25" s="1887"/>
      <c r="DTM25" s="1888"/>
      <c r="DTN25" s="1882"/>
      <c r="DTO25" s="1882"/>
      <c r="DTP25" s="1882"/>
      <c r="DTR25" s="1887"/>
      <c r="DTS25" s="1888"/>
      <c r="DTT25" s="1882"/>
      <c r="DTU25" s="1882"/>
      <c r="DTV25" s="1882"/>
      <c r="DTX25" s="1887"/>
      <c r="DTY25" s="1888"/>
      <c r="DTZ25" s="1882"/>
      <c r="DUA25" s="1882"/>
      <c r="DUB25" s="1882"/>
      <c r="DUD25" s="1887"/>
      <c r="DUE25" s="1888"/>
      <c r="DUF25" s="1882"/>
      <c r="DUG25" s="1882"/>
      <c r="DUH25" s="1882"/>
      <c r="DUJ25" s="1887"/>
      <c r="DUK25" s="1888"/>
      <c r="DUL25" s="1882"/>
      <c r="DUM25" s="1882"/>
      <c r="DUN25" s="1882"/>
      <c r="DUP25" s="1887"/>
      <c r="DUQ25" s="1888"/>
      <c r="DUR25" s="1882"/>
      <c r="DUS25" s="1882"/>
      <c r="DUT25" s="1882"/>
      <c r="DUV25" s="1887"/>
      <c r="DUW25" s="1888"/>
      <c r="DUX25" s="1882"/>
      <c r="DUY25" s="1882"/>
      <c r="DUZ25" s="1882"/>
      <c r="DVB25" s="1887"/>
      <c r="DVC25" s="1888"/>
      <c r="DVD25" s="1882"/>
      <c r="DVE25" s="1882"/>
      <c r="DVF25" s="1882"/>
      <c r="DVH25" s="1887"/>
      <c r="DVI25" s="1888"/>
      <c r="DVJ25" s="1882"/>
      <c r="DVK25" s="1882"/>
      <c r="DVL25" s="1882"/>
      <c r="DVN25" s="1887"/>
      <c r="DVO25" s="1888"/>
      <c r="DVP25" s="1882"/>
      <c r="DVQ25" s="1882"/>
      <c r="DVR25" s="1882"/>
      <c r="DVT25" s="1887"/>
      <c r="DVU25" s="1888"/>
      <c r="DVV25" s="1882"/>
      <c r="DVW25" s="1882"/>
      <c r="DVX25" s="1882"/>
      <c r="DVZ25" s="1887"/>
      <c r="DWA25" s="1888"/>
      <c r="DWB25" s="1882"/>
      <c r="DWC25" s="1882"/>
      <c r="DWD25" s="1882"/>
      <c r="DWF25" s="1887"/>
      <c r="DWG25" s="1888"/>
      <c r="DWH25" s="1882"/>
      <c r="DWI25" s="1882"/>
      <c r="DWJ25" s="1882"/>
      <c r="DWL25" s="1887"/>
      <c r="DWM25" s="1888"/>
      <c r="DWN25" s="1882"/>
      <c r="DWO25" s="1882"/>
      <c r="DWP25" s="1882"/>
      <c r="DWR25" s="1887"/>
      <c r="DWS25" s="1888"/>
      <c r="DWT25" s="1882"/>
      <c r="DWU25" s="1882"/>
      <c r="DWV25" s="1882"/>
      <c r="DWX25" s="1887"/>
      <c r="DWY25" s="1888"/>
      <c r="DWZ25" s="1882"/>
      <c r="DXA25" s="1882"/>
      <c r="DXB25" s="1882"/>
      <c r="DXD25" s="1887"/>
      <c r="DXE25" s="1888"/>
      <c r="DXF25" s="1882"/>
      <c r="DXG25" s="1882"/>
      <c r="DXH25" s="1882"/>
      <c r="DXJ25" s="1887"/>
      <c r="DXK25" s="1888"/>
      <c r="DXL25" s="1882"/>
      <c r="DXM25" s="1882"/>
      <c r="DXN25" s="1882"/>
      <c r="DXP25" s="1887"/>
      <c r="DXQ25" s="1888"/>
      <c r="DXR25" s="1882"/>
      <c r="DXS25" s="1882"/>
      <c r="DXT25" s="1882"/>
      <c r="DXV25" s="1887"/>
      <c r="DXW25" s="1888"/>
      <c r="DXX25" s="1882"/>
      <c r="DXY25" s="1882"/>
      <c r="DXZ25" s="1882"/>
      <c r="DYB25" s="1887"/>
      <c r="DYC25" s="1888"/>
      <c r="DYD25" s="1882"/>
      <c r="DYE25" s="1882"/>
      <c r="DYF25" s="1882"/>
      <c r="DYH25" s="1887"/>
      <c r="DYI25" s="1888"/>
      <c r="DYJ25" s="1882"/>
      <c r="DYK25" s="1882"/>
      <c r="DYL25" s="1882"/>
      <c r="DYN25" s="1887"/>
      <c r="DYO25" s="1888"/>
      <c r="DYP25" s="1882"/>
      <c r="DYQ25" s="1882"/>
      <c r="DYR25" s="1882"/>
      <c r="DYT25" s="1887"/>
      <c r="DYU25" s="1888"/>
      <c r="DYV25" s="1882"/>
      <c r="DYW25" s="1882"/>
      <c r="DYX25" s="1882"/>
      <c r="DYZ25" s="1887"/>
      <c r="DZA25" s="1888"/>
      <c r="DZB25" s="1882"/>
      <c r="DZC25" s="1882"/>
      <c r="DZD25" s="1882"/>
      <c r="DZF25" s="1887"/>
      <c r="DZG25" s="1888"/>
      <c r="DZH25" s="1882"/>
      <c r="DZI25" s="1882"/>
      <c r="DZJ25" s="1882"/>
      <c r="DZL25" s="1887"/>
      <c r="DZM25" s="1888"/>
      <c r="DZN25" s="1882"/>
      <c r="DZO25" s="1882"/>
      <c r="DZP25" s="1882"/>
      <c r="DZR25" s="1887"/>
      <c r="DZS25" s="1888"/>
      <c r="DZT25" s="1882"/>
      <c r="DZU25" s="1882"/>
      <c r="DZV25" s="1882"/>
      <c r="DZX25" s="1887"/>
      <c r="DZY25" s="1888"/>
      <c r="DZZ25" s="1882"/>
      <c r="EAA25" s="1882"/>
      <c r="EAB25" s="1882"/>
      <c r="EAD25" s="1887"/>
      <c r="EAE25" s="1888"/>
      <c r="EAF25" s="1882"/>
      <c r="EAG25" s="1882"/>
      <c r="EAH25" s="1882"/>
      <c r="EAJ25" s="1887"/>
      <c r="EAK25" s="1888"/>
      <c r="EAL25" s="1882"/>
      <c r="EAM25" s="1882"/>
      <c r="EAN25" s="1882"/>
      <c r="EAP25" s="1887"/>
      <c r="EAQ25" s="1888"/>
      <c r="EAR25" s="1882"/>
      <c r="EAS25" s="1882"/>
      <c r="EAT25" s="1882"/>
      <c r="EAV25" s="1887"/>
      <c r="EAW25" s="1888"/>
      <c r="EAX25" s="1882"/>
      <c r="EAY25" s="1882"/>
      <c r="EAZ25" s="1882"/>
      <c r="EBB25" s="1887"/>
      <c r="EBC25" s="1888"/>
      <c r="EBD25" s="1882"/>
      <c r="EBE25" s="1882"/>
      <c r="EBF25" s="1882"/>
      <c r="EBH25" s="1887"/>
      <c r="EBI25" s="1888"/>
      <c r="EBJ25" s="1882"/>
      <c r="EBK25" s="1882"/>
      <c r="EBL25" s="1882"/>
      <c r="EBN25" s="1887"/>
      <c r="EBO25" s="1888"/>
      <c r="EBP25" s="1882"/>
      <c r="EBQ25" s="1882"/>
      <c r="EBR25" s="1882"/>
      <c r="EBT25" s="1887"/>
      <c r="EBU25" s="1888"/>
      <c r="EBV25" s="1882"/>
      <c r="EBW25" s="1882"/>
      <c r="EBX25" s="1882"/>
      <c r="EBZ25" s="1887"/>
      <c r="ECA25" s="1888"/>
      <c r="ECB25" s="1882"/>
      <c r="ECC25" s="1882"/>
      <c r="ECD25" s="1882"/>
      <c r="ECF25" s="1887"/>
      <c r="ECG25" s="1888"/>
      <c r="ECH25" s="1882"/>
      <c r="ECI25" s="1882"/>
      <c r="ECJ25" s="1882"/>
      <c r="ECL25" s="1887"/>
      <c r="ECM25" s="1888"/>
      <c r="ECN25" s="1882"/>
      <c r="ECO25" s="1882"/>
      <c r="ECP25" s="1882"/>
      <c r="ECR25" s="1887"/>
      <c r="ECS25" s="1888"/>
      <c r="ECT25" s="1882"/>
      <c r="ECU25" s="1882"/>
      <c r="ECV25" s="1882"/>
      <c r="ECX25" s="1887"/>
      <c r="ECY25" s="1888"/>
      <c r="ECZ25" s="1882"/>
      <c r="EDA25" s="1882"/>
      <c r="EDB25" s="1882"/>
      <c r="EDD25" s="1887"/>
      <c r="EDE25" s="1888"/>
      <c r="EDF25" s="1882"/>
      <c r="EDG25" s="1882"/>
      <c r="EDH25" s="1882"/>
      <c r="EDJ25" s="1887"/>
      <c r="EDK25" s="1888"/>
      <c r="EDL25" s="1882"/>
      <c r="EDM25" s="1882"/>
      <c r="EDN25" s="1882"/>
      <c r="EDP25" s="1887"/>
      <c r="EDQ25" s="1888"/>
      <c r="EDR25" s="1882"/>
      <c r="EDS25" s="1882"/>
      <c r="EDT25" s="1882"/>
      <c r="EDV25" s="1887"/>
      <c r="EDW25" s="1888"/>
      <c r="EDX25" s="1882"/>
      <c r="EDY25" s="1882"/>
      <c r="EDZ25" s="1882"/>
      <c r="EEB25" s="1887"/>
      <c r="EEC25" s="1888"/>
      <c r="EED25" s="1882"/>
      <c r="EEE25" s="1882"/>
      <c r="EEF25" s="1882"/>
      <c r="EEH25" s="1887"/>
      <c r="EEI25" s="1888"/>
      <c r="EEJ25" s="1882"/>
      <c r="EEK25" s="1882"/>
      <c r="EEL25" s="1882"/>
      <c r="EEN25" s="1887"/>
      <c r="EEO25" s="1888"/>
      <c r="EEP25" s="1882"/>
      <c r="EEQ25" s="1882"/>
      <c r="EER25" s="1882"/>
      <c r="EET25" s="1887"/>
      <c r="EEU25" s="1888"/>
      <c r="EEV25" s="1882"/>
      <c r="EEW25" s="1882"/>
      <c r="EEX25" s="1882"/>
      <c r="EEZ25" s="1887"/>
      <c r="EFA25" s="1888"/>
      <c r="EFB25" s="1882"/>
      <c r="EFC25" s="1882"/>
      <c r="EFD25" s="1882"/>
      <c r="EFF25" s="1887"/>
      <c r="EFG25" s="1888"/>
      <c r="EFH25" s="1882"/>
      <c r="EFI25" s="1882"/>
      <c r="EFJ25" s="1882"/>
      <c r="EFL25" s="1887"/>
      <c r="EFM25" s="1888"/>
      <c r="EFN25" s="1882"/>
      <c r="EFO25" s="1882"/>
      <c r="EFP25" s="1882"/>
      <c r="EFR25" s="1887"/>
      <c r="EFS25" s="1888"/>
      <c r="EFT25" s="1882"/>
      <c r="EFU25" s="1882"/>
      <c r="EFV25" s="1882"/>
      <c r="EFX25" s="1887"/>
      <c r="EFY25" s="1888"/>
      <c r="EFZ25" s="1882"/>
      <c r="EGA25" s="1882"/>
      <c r="EGB25" s="1882"/>
      <c r="EGD25" s="1887"/>
      <c r="EGE25" s="1888"/>
      <c r="EGF25" s="1882"/>
      <c r="EGG25" s="1882"/>
      <c r="EGH25" s="1882"/>
      <c r="EGJ25" s="1887"/>
      <c r="EGK25" s="1888"/>
      <c r="EGL25" s="1882"/>
      <c r="EGM25" s="1882"/>
      <c r="EGN25" s="1882"/>
      <c r="EGP25" s="1887"/>
      <c r="EGQ25" s="1888"/>
      <c r="EGR25" s="1882"/>
      <c r="EGS25" s="1882"/>
      <c r="EGT25" s="1882"/>
      <c r="EGV25" s="1887"/>
      <c r="EGW25" s="1888"/>
      <c r="EGX25" s="1882"/>
      <c r="EGY25" s="1882"/>
      <c r="EGZ25" s="1882"/>
      <c r="EHB25" s="1887"/>
      <c r="EHC25" s="1888"/>
      <c r="EHD25" s="1882"/>
      <c r="EHE25" s="1882"/>
      <c r="EHF25" s="1882"/>
      <c r="EHH25" s="1887"/>
      <c r="EHI25" s="1888"/>
      <c r="EHJ25" s="1882"/>
      <c r="EHK25" s="1882"/>
      <c r="EHL25" s="1882"/>
      <c r="EHN25" s="1887"/>
      <c r="EHO25" s="1888"/>
      <c r="EHP25" s="1882"/>
      <c r="EHQ25" s="1882"/>
      <c r="EHR25" s="1882"/>
      <c r="EHT25" s="1887"/>
      <c r="EHU25" s="1888"/>
      <c r="EHV25" s="1882"/>
      <c r="EHW25" s="1882"/>
      <c r="EHX25" s="1882"/>
      <c r="EHZ25" s="1887"/>
      <c r="EIA25" s="1888"/>
      <c r="EIB25" s="1882"/>
      <c r="EIC25" s="1882"/>
      <c r="EID25" s="1882"/>
      <c r="EIF25" s="1887"/>
      <c r="EIG25" s="1888"/>
      <c r="EIH25" s="1882"/>
      <c r="EII25" s="1882"/>
      <c r="EIJ25" s="1882"/>
      <c r="EIL25" s="1887"/>
      <c r="EIM25" s="1888"/>
      <c r="EIN25" s="1882"/>
      <c r="EIO25" s="1882"/>
      <c r="EIP25" s="1882"/>
      <c r="EIR25" s="1887"/>
      <c r="EIS25" s="1888"/>
      <c r="EIT25" s="1882"/>
      <c r="EIU25" s="1882"/>
      <c r="EIV25" s="1882"/>
      <c r="EIX25" s="1887"/>
      <c r="EIY25" s="1888"/>
      <c r="EIZ25" s="1882"/>
      <c r="EJA25" s="1882"/>
      <c r="EJB25" s="1882"/>
      <c r="EJD25" s="1887"/>
      <c r="EJE25" s="1888"/>
      <c r="EJF25" s="1882"/>
      <c r="EJG25" s="1882"/>
      <c r="EJH25" s="1882"/>
      <c r="EJJ25" s="1887"/>
      <c r="EJK25" s="1888"/>
      <c r="EJL25" s="1882"/>
      <c r="EJM25" s="1882"/>
      <c r="EJN25" s="1882"/>
      <c r="EJP25" s="1887"/>
      <c r="EJQ25" s="1888"/>
      <c r="EJR25" s="1882"/>
      <c r="EJS25" s="1882"/>
      <c r="EJT25" s="1882"/>
      <c r="EJV25" s="1887"/>
      <c r="EJW25" s="1888"/>
      <c r="EJX25" s="1882"/>
      <c r="EJY25" s="1882"/>
      <c r="EJZ25" s="1882"/>
      <c r="EKB25" s="1887"/>
      <c r="EKC25" s="1888"/>
      <c r="EKD25" s="1882"/>
      <c r="EKE25" s="1882"/>
      <c r="EKF25" s="1882"/>
      <c r="EKH25" s="1887"/>
      <c r="EKI25" s="1888"/>
      <c r="EKJ25" s="1882"/>
      <c r="EKK25" s="1882"/>
      <c r="EKL25" s="1882"/>
      <c r="EKN25" s="1887"/>
      <c r="EKO25" s="1888"/>
      <c r="EKP25" s="1882"/>
      <c r="EKQ25" s="1882"/>
      <c r="EKR25" s="1882"/>
      <c r="EKT25" s="1887"/>
      <c r="EKU25" s="1888"/>
      <c r="EKV25" s="1882"/>
      <c r="EKW25" s="1882"/>
      <c r="EKX25" s="1882"/>
      <c r="EKZ25" s="1887"/>
      <c r="ELA25" s="1888"/>
      <c r="ELB25" s="1882"/>
      <c r="ELC25" s="1882"/>
      <c r="ELD25" s="1882"/>
      <c r="ELF25" s="1887"/>
      <c r="ELG25" s="1888"/>
      <c r="ELH25" s="1882"/>
      <c r="ELI25" s="1882"/>
      <c r="ELJ25" s="1882"/>
      <c r="ELL25" s="1887"/>
      <c r="ELM25" s="1888"/>
      <c r="ELN25" s="1882"/>
      <c r="ELO25" s="1882"/>
      <c r="ELP25" s="1882"/>
      <c r="ELR25" s="1887"/>
      <c r="ELS25" s="1888"/>
      <c r="ELT25" s="1882"/>
      <c r="ELU25" s="1882"/>
      <c r="ELV25" s="1882"/>
      <c r="ELX25" s="1887"/>
      <c r="ELY25" s="1888"/>
      <c r="ELZ25" s="1882"/>
      <c r="EMA25" s="1882"/>
      <c r="EMB25" s="1882"/>
      <c r="EMD25" s="1887"/>
      <c r="EME25" s="1888"/>
      <c r="EMF25" s="1882"/>
      <c r="EMG25" s="1882"/>
      <c r="EMH25" s="1882"/>
      <c r="EMJ25" s="1887"/>
      <c r="EMK25" s="1888"/>
      <c r="EML25" s="1882"/>
      <c r="EMM25" s="1882"/>
      <c r="EMN25" s="1882"/>
      <c r="EMP25" s="1887"/>
      <c r="EMQ25" s="1888"/>
      <c r="EMR25" s="1882"/>
      <c r="EMS25" s="1882"/>
      <c r="EMT25" s="1882"/>
      <c r="EMV25" s="1887"/>
      <c r="EMW25" s="1888"/>
      <c r="EMX25" s="1882"/>
      <c r="EMY25" s="1882"/>
      <c r="EMZ25" s="1882"/>
      <c r="ENB25" s="1887"/>
      <c r="ENC25" s="1888"/>
      <c r="END25" s="1882"/>
      <c r="ENE25" s="1882"/>
      <c r="ENF25" s="1882"/>
      <c r="ENH25" s="1887"/>
      <c r="ENI25" s="1888"/>
      <c r="ENJ25" s="1882"/>
      <c r="ENK25" s="1882"/>
      <c r="ENL25" s="1882"/>
      <c r="ENN25" s="1887"/>
      <c r="ENO25" s="1888"/>
      <c r="ENP25" s="1882"/>
      <c r="ENQ25" s="1882"/>
      <c r="ENR25" s="1882"/>
      <c r="ENT25" s="1887"/>
      <c r="ENU25" s="1888"/>
      <c r="ENV25" s="1882"/>
      <c r="ENW25" s="1882"/>
      <c r="ENX25" s="1882"/>
      <c r="ENZ25" s="1887"/>
      <c r="EOA25" s="1888"/>
      <c r="EOB25" s="1882"/>
      <c r="EOC25" s="1882"/>
      <c r="EOD25" s="1882"/>
      <c r="EOF25" s="1887"/>
      <c r="EOG25" s="1888"/>
      <c r="EOH25" s="1882"/>
      <c r="EOI25" s="1882"/>
      <c r="EOJ25" s="1882"/>
      <c r="EOL25" s="1887"/>
      <c r="EOM25" s="1888"/>
      <c r="EON25" s="1882"/>
      <c r="EOO25" s="1882"/>
      <c r="EOP25" s="1882"/>
      <c r="EOR25" s="1887"/>
      <c r="EOS25" s="1888"/>
      <c r="EOT25" s="1882"/>
      <c r="EOU25" s="1882"/>
      <c r="EOV25" s="1882"/>
      <c r="EOX25" s="1887"/>
      <c r="EOY25" s="1888"/>
      <c r="EOZ25" s="1882"/>
      <c r="EPA25" s="1882"/>
      <c r="EPB25" s="1882"/>
      <c r="EPD25" s="1887"/>
      <c r="EPE25" s="1888"/>
      <c r="EPF25" s="1882"/>
      <c r="EPG25" s="1882"/>
      <c r="EPH25" s="1882"/>
      <c r="EPJ25" s="1887"/>
      <c r="EPK25" s="1888"/>
      <c r="EPL25" s="1882"/>
      <c r="EPM25" s="1882"/>
      <c r="EPN25" s="1882"/>
      <c r="EPP25" s="1887"/>
      <c r="EPQ25" s="1888"/>
      <c r="EPR25" s="1882"/>
      <c r="EPS25" s="1882"/>
      <c r="EPT25" s="1882"/>
      <c r="EPV25" s="1887"/>
      <c r="EPW25" s="1888"/>
      <c r="EPX25" s="1882"/>
      <c r="EPY25" s="1882"/>
      <c r="EPZ25" s="1882"/>
      <c r="EQB25" s="1887"/>
      <c r="EQC25" s="1888"/>
      <c r="EQD25" s="1882"/>
      <c r="EQE25" s="1882"/>
      <c r="EQF25" s="1882"/>
      <c r="EQH25" s="1887"/>
      <c r="EQI25" s="1888"/>
      <c r="EQJ25" s="1882"/>
      <c r="EQK25" s="1882"/>
      <c r="EQL25" s="1882"/>
      <c r="EQN25" s="1887"/>
      <c r="EQO25" s="1888"/>
      <c r="EQP25" s="1882"/>
      <c r="EQQ25" s="1882"/>
      <c r="EQR25" s="1882"/>
      <c r="EQT25" s="1887"/>
      <c r="EQU25" s="1888"/>
      <c r="EQV25" s="1882"/>
      <c r="EQW25" s="1882"/>
      <c r="EQX25" s="1882"/>
      <c r="EQZ25" s="1887"/>
      <c r="ERA25" s="1888"/>
      <c r="ERB25" s="1882"/>
      <c r="ERC25" s="1882"/>
      <c r="ERD25" s="1882"/>
      <c r="ERF25" s="1887"/>
      <c r="ERG25" s="1888"/>
      <c r="ERH25" s="1882"/>
      <c r="ERI25" s="1882"/>
      <c r="ERJ25" s="1882"/>
      <c r="ERL25" s="1887"/>
      <c r="ERM25" s="1888"/>
      <c r="ERN25" s="1882"/>
      <c r="ERO25" s="1882"/>
      <c r="ERP25" s="1882"/>
      <c r="ERR25" s="1887"/>
      <c r="ERS25" s="1888"/>
      <c r="ERT25" s="1882"/>
      <c r="ERU25" s="1882"/>
      <c r="ERV25" s="1882"/>
      <c r="ERX25" s="1887"/>
      <c r="ERY25" s="1888"/>
      <c r="ERZ25" s="1882"/>
      <c r="ESA25" s="1882"/>
      <c r="ESB25" s="1882"/>
      <c r="ESD25" s="1887"/>
      <c r="ESE25" s="1888"/>
      <c r="ESF25" s="1882"/>
      <c r="ESG25" s="1882"/>
      <c r="ESH25" s="1882"/>
      <c r="ESJ25" s="1887"/>
      <c r="ESK25" s="1888"/>
      <c r="ESL25" s="1882"/>
      <c r="ESM25" s="1882"/>
      <c r="ESN25" s="1882"/>
      <c r="ESP25" s="1887"/>
      <c r="ESQ25" s="1888"/>
      <c r="ESR25" s="1882"/>
      <c r="ESS25" s="1882"/>
      <c r="EST25" s="1882"/>
      <c r="ESV25" s="1887"/>
      <c r="ESW25" s="1888"/>
      <c r="ESX25" s="1882"/>
      <c r="ESY25" s="1882"/>
      <c r="ESZ25" s="1882"/>
      <c r="ETB25" s="1887"/>
      <c r="ETC25" s="1888"/>
      <c r="ETD25" s="1882"/>
      <c r="ETE25" s="1882"/>
      <c r="ETF25" s="1882"/>
      <c r="ETH25" s="1887"/>
      <c r="ETI25" s="1888"/>
      <c r="ETJ25" s="1882"/>
      <c r="ETK25" s="1882"/>
      <c r="ETL25" s="1882"/>
      <c r="ETN25" s="1887"/>
      <c r="ETO25" s="1888"/>
      <c r="ETP25" s="1882"/>
      <c r="ETQ25" s="1882"/>
      <c r="ETR25" s="1882"/>
      <c r="ETT25" s="1887"/>
      <c r="ETU25" s="1888"/>
      <c r="ETV25" s="1882"/>
      <c r="ETW25" s="1882"/>
      <c r="ETX25" s="1882"/>
      <c r="ETZ25" s="1887"/>
      <c r="EUA25" s="1888"/>
      <c r="EUB25" s="1882"/>
      <c r="EUC25" s="1882"/>
      <c r="EUD25" s="1882"/>
      <c r="EUF25" s="1887"/>
      <c r="EUG25" s="1888"/>
      <c r="EUH25" s="1882"/>
      <c r="EUI25" s="1882"/>
      <c r="EUJ25" s="1882"/>
      <c r="EUL25" s="1887"/>
      <c r="EUM25" s="1888"/>
      <c r="EUN25" s="1882"/>
      <c r="EUO25" s="1882"/>
      <c r="EUP25" s="1882"/>
      <c r="EUR25" s="1887"/>
      <c r="EUS25" s="1888"/>
      <c r="EUT25" s="1882"/>
      <c r="EUU25" s="1882"/>
      <c r="EUV25" s="1882"/>
      <c r="EUX25" s="1887"/>
      <c r="EUY25" s="1888"/>
      <c r="EUZ25" s="1882"/>
      <c r="EVA25" s="1882"/>
      <c r="EVB25" s="1882"/>
      <c r="EVD25" s="1887"/>
      <c r="EVE25" s="1888"/>
      <c r="EVF25" s="1882"/>
      <c r="EVG25" s="1882"/>
      <c r="EVH25" s="1882"/>
      <c r="EVJ25" s="1887"/>
      <c r="EVK25" s="1888"/>
      <c r="EVL25" s="1882"/>
      <c r="EVM25" s="1882"/>
      <c r="EVN25" s="1882"/>
      <c r="EVP25" s="1887"/>
      <c r="EVQ25" s="1888"/>
      <c r="EVR25" s="1882"/>
      <c r="EVS25" s="1882"/>
      <c r="EVT25" s="1882"/>
      <c r="EVV25" s="1887"/>
      <c r="EVW25" s="1888"/>
      <c r="EVX25" s="1882"/>
      <c r="EVY25" s="1882"/>
      <c r="EVZ25" s="1882"/>
      <c r="EWB25" s="1887"/>
      <c r="EWC25" s="1888"/>
      <c r="EWD25" s="1882"/>
      <c r="EWE25" s="1882"/>
      <c r="EWF25" s="1882"/>
      <c r="EWH25" s="1887"/>
      <c r="EWI25" s="1888"/>
      <c r="EWJ25" s="1882"/>
      <c r="EWK25" s="1882"/>
      <c r="EWL25" s="1882"/>
      <c r="EWN25" s="1887"/>
      <c r="EWO25" s="1888"/>
      <c r="EWP25" s="1882"/>
      <c r="EWQ25" s="1882"/>
      <c r="EWR25" s="1882"/>
      <c r="EWT25" s="1887"/>
      <c r="EWU25" s="1888"/>
      <c r="EWV25" s="1882"/>
      <c r="EWW25" s="1882"/>
      <c r="EWX25" s="1882"/>
      <c r="EWZ25" s="1887"/>
      <c r="EXA25" s="1888"/>
      <c r="EXB25" s="1882"/>
      <c r="EXC25" s="1882"/>
      <c r="EXD25" s="1882"/>
      <c r="EXF25" s="1887"/>
      <c r="EXG25" s="1888"/>
      <c r="EXH25" s="1882"/>
      <c r="EXI25" s="1882"/>
      <c r="EXJ25" s="1882"/>
      <c r="EXL25" s="1887"/>
      <c r="EXM25" s="1888"/>
      <c r="EXN25" s="1882"/>
      <c r="EXO25" s="1882"/>
      <c r="EXP25" s="1882"/>
      <c r="EXR25" s="1887"/>
      <c r="EXS25" s="1888"/>
      <c r="EXT25" s="1882"/>
      <c r="EXU25" s="1882"/>
      <c r="EXV25" s="1882"/>
      <c r="EXX25" s="1887"/>
      <c r="EXY25" s="1888"/>
      <c r="EXZ25" s="1882"/>
      <c r="EYA25" s="1882"/>
      <c r="EYB25" s="1882"/>
      <c r="EYD25" s="1887"/>
      <c r="EYE25" s="1888"/>
      <c r="EYF25" s="1882"/>
      <c r="EYG25" s="1882"/>
      <c r="EYH25" s="1882"/>
      <c r="EYJ25" s="1887"/>
      <c r="EYK25" s="1888"/>
      <c r="EYL25" s="1882"/>
      <c r="EYM25" s="1882"/>
      <c r="EYN25" s="1882"/>
      <c r="EYP25" s="1887"/>
      <c r="EYQ25" s="1888"/>
      <c r="EYR25" s="1882"/>
      <c r="EYS25" s="1882"/>
      <c r="EYT25" s="1882"/>
      <c r="EYV25" s="1887"/>
      <c r="EYW25" s="1888"/>
      <c r="EYX25" s="1882"/>
      <c r="EYY25" s="1882"/>
      <c r="EYZ25" s="1882"/>
      <c r="EZB25" s="1887"/>
      <c r="EZC25" s="1888"/>
      <c r="EZD25" s="1882"/>
      <c r="EZE25" s="1882"/>
      <c r="EZF25" s="1882"/>
      <c r="EZH25" s="1887"/>
      <c r="EZI25" s="1888"/>
      <c r="EZJ25" s="1882"/>
      <c r="EZK25" s="1882"/>
      <c r="EZL25" s="1882"/>
      <c r="EZN25" s="1887"/>
      <c r="EZO25" s="1888"/>
      <c r="EZP25" s="1882"/>
      <c r="EZQ25" s="1882"/>
      <c r="EZR25" s="1882"/>
      <c r="EZT25" s="1887"/>
      <c r="EZU25" s="1888"/>
      <c r="EZV25" s="1882"/>
      <c r="EZW25" s="1882"/>
      <c r="EZX25" s="1882"/>
      <c r="EZZ25" s="1887"/>
      <c r="FAA25" s="1888"/>
      <c r="FAB25" s="1882"/>
      <c r="FAC25" s="1882"/>
      <c r="FAD25" s="1882"/>
      <c r="FAF25" s="1887"/>
      <c r="FAG25" s="1888"/>
      <c r="FAH25" s="1882"/>
      <c r="FAI25" s="1882"/>
      <c r="FAJ25" s="1882"/>
      <c r="FAL25" s="1887"/>
      <c r="FAM25" s="1888"/>
      <c r="FAN25" s="1882"/>
      <c r="FAO25" s="1882"/>
      <c r="FAP25" s="1882"/>
      <c r="FAR25" s="1887"/>
      <c r="FAS25" s="1888"/>
      <c r="FAT25" s="1882"/>
      <c r="FAU25" s="1882"/>
      <c r="FAV25" s="1882"/>
      <c r="FAX25" s="1887"/>
      <c r="FAY25" s="1888"/>
      <c r="FAZ25" s="1882"/>
      <c r="FBA25" s="1882"/>
      <c r="FBB25" s="1882"/>
      <c r="FBD25" s="1887"/>
      <c r="FBE25" s="1888"/>
      <c r="FBF25" s="1882"/>
      <c r="FBG25" s="1882"/>
      <c r="FBH25" s="1882"/>
      <c r="FBJ25" s="1887"/>
      <c r="FBK25" s="1888"/>
      <c r="FBL25" s="1882"/>
      <c r="FBM25" s="1882"/>
      <c r="FBN25" s="1882"/>
      <c r="FBP25" s="1887"/>
      <c r="FBQ25" s="1888"/>
      <c r="FBR25" s="1882"/>
      <c r="FBS25" s="1882"/>
      <c r="FBT25" s="1882"/>
      <c r="FBV25" s="1887"/>
      <c r="FBW25" s="1888"/>
      <c r="FBX25" s="1882"/>
      <c r="FBY25" s="1882"/>
      <c r="FBZ25" s="1882"/>
      <c r="FCB25" s="1887"/>
      <c r="FCC25" s="1888"/>
      <c r="FCD25" s="1882"/>
      <c r="FCE25" s="1882"/>
      <c r="FCF25" s="1882"/>
      <c r="FCH25" s="1887"/>
      <c r="FCI25" s="1888"/>
      <c r="FCJ25" s="1882"/>
      <c r="FCK25" s="1882"/>
      <c r="FCL25" s="1882"/>
      <c r="FCN25" s="1887"/>
      <c r="FCO25" s="1888"/>
      <c r="FCP25" s="1882"/>
      <c r="FCQ25" s="1882"/>
      <c r="FCR25" s="1882"/>
      <c r="FCT25" s="1887"/>
      <c r="FCU25" s="1888"/>
      <c r="FCV25" s="1882"/>
      <c r="FCW25" s="1882"/>
      <c r="FCX25" s="1882"/>
      <c r="FCZ25" s="1887"/>
      <c r="FDA25" s="1888"/>
      <c r="FDB25" s="1882"/>
      <c r="FDC25" s="1882"/>
      <c r="FDD25" s="1882"/>
      <c r="FDF25" s="1887"/>
      <c r="FDG25" s="1888"/>
      <c r="FDH25" s="1882"/>
      <c r="FDI25" s="1882"/>
      <c r="FDJ25" s="1882"/>
      <c r="FDL25" s="1887"/>
      <c r="FDM25" s="1888"/>
      <c r="FDN25" s="1882"/>
      <c r="FDO25" s="1882"/>
      <c r="FDP25" s="1882"/>
      <c r="FDR25" s="1887"/>
      <c r="FDS25" s="1888"/>
      <c r="FDT25" s="1882"/>
      <c r="FDU25" s="1882"/>
      <c r="FDV25" s="1882"/>
      <c r="FDX25" s="1887"/>
      <c r="FDY25" s="1888"/>
      <c r="FDZ25" s="1882"/>
      <c r="FEA25" s="1882"/>
      <c r="FEB25" s="1882"/>
      <c r="FED25" s="1887"/>
      <c r="FEE25" s="1888"/>
      <c r="FEF25" s="1882"/>
      <c r="FEG25" s="1882"/>
      <c r="FEH25" s="1882"/>
      <c r="FEJ25" s="1887"/>
      <c r="FEK25" s="1888"/>
      <c r="FEL25" s="1882"/>
      <c r="FEM25" s="1882"/>
      <c r="FEN25" s="1882"/>
      <c r="FEP25" s="1887"/>
      <c r="FEQ25" s="1888"/>
      <c r="FER25" s="1882"/>
      <c r="FES25" s="1882"/>
      <c r="FET25" s="1882"/>
      <c r="FEV25" s="1887"/>
      <c r="FEW25" s="1888"/>
      <c r="FEX25" s="1882"/>
      <c r="FEY25" s="1882"/>
      <c r="FEZ25" s="1882"/>
      <c r="FFB25" s="1887"/>
      <c r="FFC25" s="1888"/>
      <c r="FFD25" s="1882"/>
      <c r="FFE25" s="1882"/>
      <c r="FFF25" s="1882"/>
      <c r="FFH25" s="1887"/>
      <c r="FFI25" s="1888"/>
      <c r="FFJ25" s="1882"/>
      <c r="FFK25" s="1882"/>
      <c r="FFL25" s="1882"/>
      <c r="FFN25" s="1887"/>
      <c r="FFO25" s="1888"/>
      <c r="FFP25" s="1882"/>
      <c r="FFQ25" s="1882"/>
      <c r="FFR25" s="1882"/>
      <c r="FFT25" s="1887"/>
      <c r="FFU25" s="1888"/>
      <c r="FFV25" s="1882"/>
      <c r="FFW25" s="1882"/>
      <c r="FFX25" s="1882"/>
      <c r="FFZ25" s="1887"/>
      <c r="FGA25" s="1888"/>
      <c r="FGB25" s="1882"/>
      <c r="FGC25" s="1882"/>
      <c r="FGD25" s="1882"/>
      <c r="FGF25" s="1887"/>
      <c r="FGG25" s="1888"/>
      <c r="FGH25" s="1882"/>
      <c r="FGI25" s="1882"/>
      <c r="FGJ25" s="1882"/>
      <c r="FGL25" s="1887"/>
      <c r="FGM25" s="1888"/>
      <c r="FGN25" s="1882"/>
      <c r="FGO25" s="1882"/>
      <c r="FGP25" s="1882"/>
      <c r="FGR25" s="1887"/>
      <c r="FGS25" s="1888"/>
      <c r="FGT25" s="1882"/>
      <c r="FGU25" s="1882"/>
      <c r="FGV25" s="1882"/>
      <c r="FGX25" s="1887"/>
      <c r="FGY25" s="1888"/>
      <c r="FGZ25" s="1882"/>
      <c r="FHA25" s="1882"/>
      <c r="FHB25" s="1882"/>
      <c r="FHD25" s="1887"/>
      <c r="FHE25" s="1888"/>
      <c r="FHF25" s="1882"/>
      <c r="FHG25" s="1882"/>
      <c r="FHH25" s="1882"/>
      <c r="FHJ25" s="1887"/>
      <c r="FHK25" s="1888"/>
      <c r="FHL25" s="1882"/>
      <c r="FHM25" s="1882"/>
      <c r="FHN25" s="1882"/>
      <c r="FHP25" s="1887"/>
      <c r="FHQ25" s="1888"/>
      <c r="FHR25" s="1882"/>
      <c r="FHS25" s="1882"/>
      <c r="FHT25" s="1882"/>
      <c r="FHV25" s="1887"/>
      <c r="FHW25" s="1888"/>
      <c r="FHX25" s="1882"/>
      <c r="FHY25" s="1882"/>
      <c r="FHZ25" s="1882"/>
      <c r="FIB25" s="1887"/>
      <c r="FIC25" s="1888"/>
      <c r="FID25" s="1882"/>
      <c r="FIE25" s="1882"/>
      <c r="FIF25" s="1882"/>
      <c r="FIH25" s="1887"/>
      <c r="FII25" s="1888"/>
      <c r="FIJ25" s="1882"/>
      <c r="FIK25" s="1882"/>
      <c r="FIL25" s="1882"/>
      <c r="FIN25" s="1887"/>
      <c r="FIO25" s="1888"/>
      <c r="FIP25" s="1882"/>
      <c r="FIQ25" s="1882"/>
      <c r="FIR25" s="1882"/>
      <c r="FIT25" s="1887"/>
      <c r="FIU25" s="1888"/>
      <c r="FIV25" s="1882"/>
      <c r="FIW25" s="1882"/>
      <c r="FIX25" s="1882"/>
      <c r="FIZ25" s="1887"/>
      <c r="FJA25" s="1888"/>
      <c r="FJB25" s="1882"/>
      <c r="FJC25" s="1882"/>
      <c r="FJD25" s="1882"/>
      <c r="FJF25" s="1887"/>
      <c r="FJG25" s="1888"/>
      <c r="FJH25" s="1882"/>
      <c r="FJI25" s="1882"/>
      <c r="FJJ25" s="1882"/>
      <c r="FJL25" s="1887"/>
      <c r="FJM25" s="1888"/>
      <c r="FJN25" s="1882"/>
      <c r="FJO25" s="1882"/>
      <c r="FJP25" s="1882"/>
      <c r="FJR25" s="1887"/>
      <c r="FJS25" s="1888"/>
      <c r="FJT25" s="1882"/>
      <c r="FJU25" s="1882"/>
      <c r="FJV25" s="1882"/>
      <c r="FJX25" s="1887"/>
      <c r="FJY25" s="1888"/>
      <c r="FJZ25" s="1882"/>
      <c r="FKA25" s="1882"/>
      <c r="FKB25" s="1882"/>
      <c r="FKD25" s="1887"/>
      <c r="FKE25" s="1888"/>
      <c r="FKF25" s="1882"/>
      <c r="FKG25" s="1882"/>
      <c r="FKH25" s="1882"/>
      <c r="FKJ25" s="1887"/>
      <c r="FKK25" s="1888"/>
      <c r="FKL25" s="1882"/>
      <c r="FKM25" s="1882"/>
      <c r="FKN25" s="1882"/>
      <c r="FKP25" s="1887"/>
      <c r="FKQ25" s="1888"/>
      <c r="FKR25" s="1882"/>
      <c r="FKS25" s="1882"/>
      <c r="FKT25" s="1882"/>
      <c r="FKV25" s="1887"/>
      <c r="FKW25" s="1888"/>
      <c r="FKX25" s="1882"/>
      <c r="FKY25" s="1882"/>
      <c r="FKZ25" s="1882"/>
      <c r="FLB25" s="1887"/>
      <c r="FLC25" s="1888"/>
      <c r="FLD25" s="1882"/>
      <c r="FLE25" s="1882"/>
      <c r="FLF25" s="1882"/>
      <c r="FLH25" s="1887"/>
      <c r="FLI25" s="1888"/>
      <c r="FLJ25" s="1882"/>
      <c r="FLK25" s="1882"/>
      <c r="FLL25" s="1882"/>
      <c r="FLN25" s="1887"/>
      <c r="FLO25" s="1888"/>
      <c r="FLP25" s="1882"/>
      <c r="FLQ25" s="1882"/>
      <c r="FLR25" s="1882"/>
      <c r="FLT25" s="1887"/>
      <c r="FLU25" s="1888"/>
      <c r="FLV25" s="1882"/>
      <c r="FLW25" s="1882"/>
      <c r="FLX25" s="1882"/>
      <c r="FLZ25" s="1887"/>
      <c r="FMA25" s="1888"/>
      <c r="FMB25" s="1882"/>
      <c r="FMC25" s="1882"/>
      <c r="FMD25" s="1882"/>
      <c r="FMF25" s="1887"/>
      <c r="FMG25" s="1888"/>
      <c r="FMH25" s="1882"/>
      <c r="FMI25" s="1882"/>
      <c r="FMJ25" s="1882"/>
      <c r="FML25" s="1887"/>
      <c r="FMM25" s="1888"/>
      <c r="FMN25" s="1882"/>
      <c r="FMO25" s="1882"/>
      <c r="FMP25" s="1882"/>
      <c r="FMR25" s="1887"/>
      <c r="FMS25" s="1888"/>
      <c r="FMT25" s="1882"/>
      <c r="FMU25" s="1882"/>
      <c r="FMV25" s="1882"/>
      <c r="FMX25" s="1887"/>
      <c r="FMY25" s="1888"/>
      <c r="FMZ25" s="1882"/>
      <c r="FNA25" s="1882"/>
      <c r="FNB25" s="1882"/>
      <c r="FND25" s="1887"/>
      <c r="FNE25" s="1888"/>
      <c r="FNF25" s="1882"/>
      <c r="FNG25" s="1882"/>
      <c r="FNH25" s="1882"/>
      <c r="FNJ25" s="1887"/>
      <c r="FNK25" s="1888"/>
      <c r="FNL25" s="1882"/>
      <c r="FNM25" s="1882"/>
      <c r="FNN25" s="1882"/>
      <c r="FNP25" s="1887"/>
      <c r="FNQ25" s="1888"/>
      <c r="FNR25" s="1882"/>
      <c r="FNS25" s="1882"/>
      <c r="FNT25" s="1882"/>
      <c r="FNV25" s="1887"/>
      <c r="FNW25" s="1888"/>
      <c r="FNX25" s="1882"/>
      <c r="FNY25" s="1882"/>
      <c r="FNZ25" s="1882"/>
      <c r="FOB25" s="1887"/>
      <c r="FOC25" s="1888"/>
      <c r="FOD25" s="1882"/>
      <c r="FOE25" s="1882"/>
      <c r="FOF25" s="1882"/>
      <c r="FOH25" s="1887"/>
      <c r="FOI25" s="1888"/>
      <c r="FOJ25" s="1882"/>
      <c r="FOK25" s="1882"/>
      <c r="FOL25" s="1882"/>
      <c r="FON25" s="1887"/>
      <c r="FOO25" s="1888"/>
      <c r="FOP25" s="1882"/>
      <c r="FOQ25" s="1882"/>
      <c r="FOR25" s="1882"/>
      <c r="FOT25" s="1887"/>
      <c r="FOU25" s="1888"/>
      <c r="FOV25" s="1882"/>
      <c r="FOW25" s="1882"/>
      <c r="FOX25" s="1882"/>
      <c r="FOZ25" s="1887"/>
      <c r="FPA25" s="1888"/>
      <c r="FPB25" s="1882"/>
      <c r="FPC25" s="1882"/>
      <c r="FPD25" s="1882"/>
      <c r="FPF25" s="1887"/>
      <c r="FPG25" s="1888"/>
      <c r="FPH25" s="1882"/>
      <c r="FPI25" s="1882"/>
      <c r="FPJ25" s="1882"/>
      <c r="FPL25" s="1887"/>
      <c r="FPM25" s="1888"/>
      <c r="FPN25" s="1882"/>
      <c r="FPO25" s="1882"/>
      <c r="FPP25" s="1882"/>
      <c r="FPR25" s="1887"/>
      <c r="FPS25" s="1888"/>
      <c r="FPT25" s="1882"/>
      <c r="FPU25" s="1882"/>
      <c r="FPV25" s="1882"/>
      <c r="FPX25" s="1887"/>
      <c r="FPY25" s="1888"/>
      <c r="FPZ25" s="1882"/>
      <c r="FQA25" s="1882"/>
      <c r="FQB25" s="1882"/>
      <c r="FQD25" s="1887"/>
      <c r="FQE25" s="1888"/>
      <c r="FQF25" s="1882"/>
      <c r="FQG25" s="1882"/>
      <c r="FQH25" s="1882"/>
      <c r="FQJ25" s="1887"/>
      <c r="FQK25" s="1888"/>
      <c r="FQL25" s="1882"/>
      <c r="FQM25" s="1882"/>
      <c r="FQN25" s="1882"/>
      <c r="FQP25" s="1887"/>
      <c r="FQQ25" s="1888"/>
      <c r="FQR25" s="1882"/>
      <c r="FQS25" s="1882"/>
      <c r="FQT25" s="1882"/>
      <c r="FQV25" s="1887"/>
      <c r="FQW25" s="1888"/>
      <c r="FQX25" s="1882"/>
      <c r="FQY25" s="1882"/>
      <c r="FQZ25" s="1882"/>
      <c r="FRB25" s="1887"/>
      <c r="FRC25" s="1888"/>
      <c r="FRD25" s="1882"/>
      <c r="FRE25" s="1882"/>
      <c r="FRF25" s="1882"/>
      <c r="FRH25" s="1887"/>
      <c r="FRI25" s="1888"/>
      <c r="FRJ25" s="1882"/>
      <c r="FRK25" s="1882"/>
      <c r="FRL25" s="1882"/>
      <c r="FRN25" s="1887"/>
      <c r="FRO25" s="1888"/>
      <c r="FRP25" s="1882"/>
      <c r="FRQ25" s="1882"/>
      <c r="FRR25" s="1882"/>
      <c r="FRT25" s="1887"/>
      <c r="FRU25" s="1888"/>
      <c r="FRV25" s="1882"/>
      <c r="FRW25" s="1882"/>
      <c r="FRX25" s="1882"/>
      <c r="FRZ25" s="1887"/>
      <c r="FSA25" s="1888"/>
      <c r="FSB25" s="1882"/>
      <c r="FSC25" s="1882"/>
      <c r="FSD25" s="1882"/>
      <c r="FSF25" s="1887"/>
      <c r="FSG25" s="1888"/>
      <c r="FSH25" s="1882"/>
      <c r="FSI25" s="1882"/>
      <c r="FSJ25" s="1882"/>
      <c r="FSL25" s="1887"/>
      <c r="FSM25" s="1888"/>
      <c r="FSN25" s="1882"/>
      <c r="FSO25" s="1882"/>
      <c r="FSP25" s="1882"/>
      <c r="FSR25" s="1887"/>
      <c r="FSS25" s="1888"/>
      <c r="FST25" s="1882"/>
      <c r="FSU25" s="1882"/>
      <c r="FSV25" s="1882"/>
      <c r="FSX25" s="1887"/>
      <c r="FSY25" s="1888"/>
      <c r="FSZ25" s="1882"/>
      <c r="FTA25" s="1882"/>
      <c r="FTB25" s="1882"/>
      <c r="FTD25" s="1887"/>
      <c r="FTE25" s="1888"/>
      <c r="FTF25" s="1882"/>
      <c r="FTG25" s="1882"/>
      <c r="FTH25" s="1882"/>
      <c r="FTJ25" s="1887"/>
      <c r="FTK25" s="1888"/>
      <c r="FTL25" s="1882"/>
      <c r="FTM25" s="1882"/>
      <c r="FTN25" s="1882"/>
      <c r="FTP25" s="1887"/>
      <c r="FTQ25" s="1888"/>
      <c r="FTR25" s="1882"/>
      <c r="FTS25" s="1882"/>
      <c r="FTT25" s="1882"/>
      <c r="FTV25" s="1887"/>
      <c r="FTW25" s="1888"/>
      <c r="FTX25" s="1882"/>
      <c r="FTY25" s="1882"/>
      <c r="FTZ25" s="1882"/>
      <c r="FUB25" s="1887"/>
      <c r="FUC25" s="1888"/>
      <c r="FUD25" s="1882"/>
      <c r="FUE25" s="1882"/>
      <c r="FUF25" s="1882"/>
      <c r="FUH25" s="1887"/>
      <c r="FUI25" s="1888"/>
      <c r="FUJ25" s="1882"/>
      <c r="FUK25" s="1882"/>
      <c r="FUL25" s="1882"/>
      <c r="FUN25" s="1887"/>
      <c r="FUO25" s="1888"/>
      <c r="FUP25" s="1882"/>
      <c r="FUQ25" s="1882"/>
      <c r="FUR25" s="1882"/>
      <c r="FUT25" s="1887"/>
      <c r="FUU25" s="1888"/>
      <c r="FUV25" s="1882"/>
      <c r="FUW25" s="1882"/>
      <c r="FUX25" s="1882"/>
      <c r="FUZ25" s="1887"/>
      <c r="FVA25" s="1888"/>
      <c r="FVB25" s="1882"/>
      <c r="FVC25" s="1882"/>
      <c r="FVD25" s="1882"/>
      <c r="FVF25" s="1887"/>
      <c r="FVG25" s="1888"/>
      <c r="FVH25" s="1882"/>
      <c r="FVI25" s="1882"/>
      <c r="FVJ25" s="1882"/>
      <c r="FVL25" s="1887"/>
      <c r="FVM25" s="1888"/>
      <c r="FVN25" s="1882"/>
      <c r="FVO25" s="1882"/>
      <c r="FVP25" s="1882"/>
      <c r="FVR25" s="1887"/>
      <c r="FVS25" s="1888"/>
      <c r="FVT25" s="1882"/>
      <c r="FVU25" s="1882"/>
      <c r="FVV25" s="1882"/>
      <c r="FVX25" s="1887"/>
      <c r="FVY25" s="1888"/>
      <c r="FVZ25" s="1882"/>
      <c r="FWA25" s="1882"/>
      <c r="FWB25" s="1882"/>
      <c r="FWD25" s="1887"/>
      <c r="FWE25" s="1888"/>
      <c r="FWF25" s="1882"/>
      <c r="FWG25" s="1882"/>
      <c r="FWH25" s="1882"/>
      <c r="FWJ25" s="1887"/>
      <c r="FWK25" s="1888"/>
      <c r="FWL25" s="1882"/>
      <c r="FWM25" s="1882"/>
      <c r="FWN25" s="1882"/>
      <c r="FWP25" s="1887"/>
      <c r="FWQ25" s="1888"/>
      <c r="FWR25" s="1882"/>
      <c r="FWS25" s="1882"/>
      <c r="FWT25" s="1882"/>
      <c r="FWV25" s="1887"/>
      <c r="FWW25" s="1888"/>
      <c r="FWX25" s="1882"/>
      <c r="FWY25" s="1882"/>
      <c r="FWZ25" s="1882"/>
      <c r="FXB25" s="1887"/>
      <c r="FXC25" s="1888"/>
      <c r="FXD25" s="1882"/>
      <c r="FXE25" s="1882"/>
      <c r="FXF25" s="1882"/>
      <c r="FXH25" s="1887"/>
      <c r="FXI25" s="1888"/>
      <c r="FXJ25" s="1882"/>
      <c r="FXK25" s="1882"/>
      <c r="FXL25" s="1882"/>
      <c r="FXN25" s="1887"/>
      <c r="FXO25" s="1888"/>
      <c r="FXP25" s="1882"/>
      <c r="FXQ25" s="1882"/>
      <c r="FXR25" s="1882"/>
      <c r="FXT25" s="1887"/>
      <c r="FXU25" s="1888"/>
      <c r="FXV25" s="1882"/>
      <c r="FXW25" s="1882"/>
      <c r="FXX25" s="1882"/>
      <c r="FXZ25" s="1887"/>
      <c r="FYA25" s="1888"/>
      <c r="FYB25" s="1882"/>
      <c r="FYC25" s="1882"/>
      <c r="FYD25" s="1882"/>
      <c r="FYF25" s="1887"/>
      <c r="FYG25" s="1888"/>
      <c r="FYH25" s="1882"/>
      <c r="FYI25" s="1882"/>
      <c r="FYJ25" s="1882"/>
      <c r="FYL25" s="1887"/>
      <c r="FYM25" s="1888"/>
      <c r="FYN25" s="1882"/>
      <c r="FYO25" s="1882"/>
      <c r="FYP25" s="1882"/>
      <c r="FYR25" s="1887"/>
      <c r="FYS25" s="1888"/>
      <c r="FYT25" s="1882"/>
      <c r="FYU25" s="1882"/>
      <c r="FYV25" s="1882"/>
      <c r="FYX25" s="1887"/>
      <c r="FYY25" s="1888"/>
      <c r="FYZ25" s="1882"/>
      <c r="FZA25" s="1882"/>
      <c r="FZB25" s="1882"/>
      <c r="FZD25" s="1887"/>
      <c r="FZE25" s="1888"/>
      <c r="FZF25" s="1882"/>
      <c r="FZG25" s="1882"/>
      <c r="FZH25" s="1882"/>
      <c r="FZJ25" s="1887"/>
      <c r="FZK25" s="1888"/>
      <c r="FZL25" s="1882"/>
      <c r="FZM25" s="1882"/>
      <c r="FZN25" s="1882"/>
      <c r="FZP25" s="1887"/>
      <c r="FZQ25" s="1888"/>
      <c r="FZR25" s="1882"/>
      <c r="FZS25" s="1882"/>
      <c r="FZT25" s="1882"/>
      <c r="FZV25" s="1887"/>
      <c r="FZW25" s="1888"/>
      <c r="FZX25" s="1882"/>
      <c r="FZY25" s="1882"/>
      <c r="FZZ25" s="1882"/>
      <c r="GAB25" s="1887"/>
      <c r="GAC25" s="1888"/>
      <c r="GAD25" s="1882"/>
      <c r="GAE25" s="1882"/>
      <c r="GAF25" s="1882"/>
      <c r="GAH25" s="1887"/>
      <c r="GAI25" s="1888"/>
      <c r="GAJ25" s="1882"/>
      <c r="GAK25" s="1882"/>
      <c r="GAL25" s="1882"/>
      <c r="GAN25" s="1887"/>
      <c r="GAO25" s="1888"/>
      <c r="GAP25" s="1882"/>
      <c r="GAQ25" s="1882"/>
      <c r="GAR25" s="1882"/>
      <c r="GAT25" s="1887"/>
      <c r="GAU25" s="1888"/>
      <c r="GAV25" s="1882"/>
      <c r="GAW25" s="1882"/>
      <c r="GAX25" s="1882"/>
      <c r="GAZ25" s="1887"/>
      <c r="GBA25" s="1888"/>
      <c r="GBB25" s="1882"/>
      <c r="GBC25" s="1882"/>
      <c r="GBD25" s="1882"/>
      <c r="GBF25" s="1887"/>
      <c r="GBG25" s="1888"/>
      <c r="GBH25" s="1882"/>
      <c r="GBI25" s="1882"/>
      <c r="GBJ25" s="1882"/>
      <c r="GBL25" s="1887"/>
      <c r="GBM25" s="1888"/>
      <c r="GBN25" s="1882"/>
      <c r="GBO25" s="1882"/>
      <c r="GBP25" s="1882"/>
      <c r="GBR25" s="1887"/>
      <c r="GBS25" s="1888"/>
      <c r="GBT25" s="1882"/>
      <c r="GBU25" s="1882"/>
      <c r="GBV25" s="1882"/>
      <c r="GBX25" s="1887"/>
      <c r="GBY25" s="1888"/>
      <c r="GBZ25" s="1882"/>
      <c r="GCA25" s="1882"/>
      <c r="GCB25" s="1882"/>
      <c r="GCD25" s="1887"/>
      <c r="GCE25" s="1888"/>
      <c r="GCF25" s="1882"/>
      <c r="GCG25" s="1882"/>
      <c r="GCH25" s="1882"/>
      <c r="GCJ25" s="1887"/>
      <c r="GCK25" s="1888"/>
      <c r="GCL25" s="1882"/>
      <c r="GCM25" s="1882"/>
      <c r="GCN25" s="1882"/>
      <c r="GCP25" s="1887"/>
      <c r="GCQ25" s="1888"/>
      <c r="GCR25" s="1882"/>
      <c r="GCS25" s="1882"/>
      <c r="GCT25" s="1882"/>
      <c r="GCV25" s="1887"/>
      <c r="GCW25" s="1888"/>
      <c r="GCX25" s="1882"/>
      <c r="GCY25" s="1882"/>
      <c r="GCZ25" s="1882"/>
      <c r="GDB25" s="1887"/>
      <c r="GDC25" s="1888"/>
      <c r="GDD25" s="1882"/>
      <c r="GDE25" s="1882"/>
      <c r="GDF25" s="1882"/>
      <c r="GDH25" s="1887"/>
      <c r="GDI25" s="1888"/>
      <c r="GDJ25" s="1882"/>
      <c r="GDK25" s="1882"/>
      <c r="GDL25" s="1882"/>
      <c r="GDN25" s="1887"/>
      <c r="GDO25" s="1888"/>
      <c r="GDP25" s="1882"/>
      <c r="GDQ25" s="1882"/>
      <c r="GDR25" s="1882"/>
      <c r="GDT25" s="1887"/>
      <c r="GDU25" s="1888"/>
      <c r="GDV25" s="1882"/>
      <c r="GDW25" s="1882"/>
      <c r="GDX25" s="1882"/>
      <c r="GDZ25" s="1887"/>
      <c r="GEA25" s="1888"/>
      <c r="GEB25" s="1882"/>
      <c r="GEC25" s="1882"/>
      <c r="GED25" s="1882"/>
      <c r="GEF25" s="1887"/>
      <c r="GEG25" s="1888"/>
      <c r="GEH25" s="1882"/>
      <c r="GEI25" s="1882"/>
      <c r="GEJ25" s="1882"/>
      <c r="GEL25" s="1887"/>
      <c r="GEM25" s="1888"/>
      <c r="GEN25" s="1882"/>
      <c r="GEO25" s="1882"/>
      <c r="GEP25" s="1882"/>
      <c r="GER25" s="1887"/>
      <c r="GES25" s="1888"/>
      <c r="GET25" s="1882"/>
      <c r="GEU25" s="1882"/>
      <c r="GEV25" s="1882"/>
      <c r="GEX25" s="1887"/>
      <c r="GEY25" s="1888"/>
      <c r="GEZ25" s="1882"/>
      <c r="GFA25" s="1882"/>
      <c r="GFB25" s="1882"/>
      <c r="GFD25" s="1887"/>
      <c r="GFE25" s="1888"/>
      <c r="GFF25" s="1882"/>
      <c r="GFG25" s="1882"/>
      <c r="GFH25" s="1882"/>
      <c r="GFJ25" s="1887"/>
      <c r="GFK25" s="1888"/>
      <c r="GFL25" s="1882"/>
      <c r="GFM25" s="1882"/>
      <c r="GFN25" s="1882"/>
      <c r="GFP25" s="1887"/>
      <c r="GFQ25" s="1888"/>
      <c r="GFR25" s="1882"/>
      <c r="GFS25" s="1882"/>
      <c r="GFT25" s="1882"/>
      <c r="GFV25" s="1887"/>
      <c r="GFW25" s="1888"/>
      <c r="GFX25" s="1882"/>
      <c r="GFY25" s="1882"/>
      <c r="GFZ25" s="1882"/>
      <c r="GGB25" s="1887"/>
      <c r="GGC25" s="1888"/>
      <c r="GGD25" s="1882"/>
      <c r="GGE25" s="1882"/>
      <c r="GGF25" s="1882"/>
      <c r="GGH25" s="1887"/>
      <c r="GGI25" s="1888"/>
      <c r="GGJ25" s="1882"/>
      <c r="GGK25" s="1882"/>
      <c r="GGL25" s="1882"/>
      <c r="GGN25" s="1887"/>
      <c r="GGO25" s="1888"/>
      <c r="GGP25" s="1882"/>
      <c r="GGQ25" s="1882"/>
      <c r="GGR25" s="1882"/>
      <c r="GGT25" s="1887"/>
      <c r="GGU25" s="1888"/>
      <c r="GGV25" s="1882"/>
      <c r="GGW25" s="1882"/>
      <c r="GGX25" s="1882"/>
      <c r="GGZ25" s="1887"/>
      <c r="GHA25" s="1888"/>
      <c r="GHB25" s="1882"/>
      <c r="GHC25" s="1882"/>
      <c r="GHD25" s="1882"/>
      <c r="GHF25" s="1887"/>
      <c r="GHG25" s="1888"/>
      <c r="GHH25" s="1882"/>
      <c r="GHI25" s="1882"/>
      <c r="GHJ25" s="1882"/>
      <c r="GHL25" s="1887"/>
      <c r="GHM25" s="1888"/>
      <c r="GHN25" s="1882"/>
      <c r="GHO25" s="1882"/>
      <c r="GHP25" s="1882"/>
      <c r="GHR25" s="1887"/>
      <c r="GHS25" s="1888"/>
      <c r="GHT25" s="1882"/>
      <c r="GHU25" s="1882"/>
      <c r="GHV25" s="1882"/>
      <c r="GHX25" s="1887"/>
      <c r="GHY25" s="1888"/>
      <c r="GHZ25" s="1882"/>
      <c r="GIA25" s="1882"/>
      <c r="GIB25" s="1882"/>
      <c r="GID25" s="1887"/>
      <c r="GIE25" s="1888"/>
      <c r="GIF25" s="1882"/>
      <c r="GIG25" s="1882"/>
      <c r="GIH25" s="1882"/>
      <c r="GIJ25" s="1887"/>
      <c r="GIK25" s="1888"/>
      <c r="GIL25" s="1882"/>
      <c r="GIM25" s="1882"/>
      <c r="GIN25" s="1882"/>
      <c r="GIP25" s="1887"/>
      <c r="GIQ25" s="1888"/>
      <c r="GIR25" s="1882"/>
      <c r="GIS25" s="1882"/>
      <c r="GIT25" s="1882"/>
      <c r="GIV25" s="1887"/>
      <c r="GIW25" s="1888"/>
      <c r="GIX25" s="1882"/>
      <c r="GIY25" s="1882"/>
      <c r="GIZ25" s="1882"/>
      <c r="GJB25" s="1887"/>
      <c r="GJC25" s="1888"/>
      <c r="GJD25" s="1882"/>
      <c r="GJE25" s="1882"/>
      <c r="GJF25" s="1882"/>
      <c r="GJH25" s="1887"/>
      <c r="GJI25" s="1888"/>
      <c r="GJJ25" s="1882"/>
      <c r="GJK25" s="1882"/>
      <c r="GJL25" s="1882"/>
      <c r="GJN25" s="1887"/>
      <c r="GJO25" s="1888"/>
      <c r="GJP25" s="1882"/>
      <c r="GJQ25" s="1882"/>
      <c r="GJR25" s="1882"/>
      <c r="GJT25" s="1887"/>
      <c r="GJU25" s="1888"/>
      <c r="GJV25" s="1882"/>
      <c r="GJW25" s="1882"/>
      <c r="GJX25" s="1882"/>
      <c r="GJZ25" s="1887"/>
      <c r="GKA25" s="1888"/>
      <c r="GKB25" s="1882"/>
      <c r="GKC25" s="1882"/>
      <c r="GKD25" s="1882"/>
      <c r="GKF25" s="1887"/>
      <c r="GKG25" s="1888"/>
      <c r="GKH25" s="1882"/>
      <c r="GKI25" s="1882"/>
      <c r="GKJ25" s="1882"/>
      <c r="GKL25" s="1887"/>
      <c r="GKM25" s="1888"/>
      <c r="GKN25" s="1882"/>
      <c r="GKO25" s="1882"/>
      <c r="GKP25" s="1882"/>
      <c r="GKR25" s="1887"/>
      <c r="GKS25" s="1888"/>
      <c r="GKT25" s="1882"/>
      <c r="GKU25" s="1882"/>
      <c r="GKV25" s="1882"/>
      <c r="GKX25" s="1887"/>
      <c r="GKY25" s="1888"/>
      <c r="GKZ25" s="1882"/>
      <c r="GLA25" s="1882"/>
      <c r="GLB25" s="1882"/>
      <c r="GLD25" s="1887"/>
      <c r="GLE25" s="1888"/>
      <c r="GLF25" s="1882"/>
      <c r="GLG25" s="1882"/>
      <c r="GLH25" s="1882"/>
      <c r="GLJ25" s="1887"/>
      <c r="GLK25" s="1888"/>
      <c r="GLL25" s="1882"/>
      <c r="GLM25" s="1882"/>
      <c r="GLN25" s="1882"/>
      <c r="GLP25" s="1887"/>
      <c r="GLQ25" s="1888"/>
      <c r="GLR25" s="1882"/>
      <c r="GLS25" s="1882"/>
      <c r="GLT25" s="1882"/>
      <c r="GLV25" s="1887"/>
      <c r="GLW25" s="1888"/>
      <c r="GLX25" s="1882"/>
      <c r="GLY25" s="1882"/>
      <c r="GLZ25" s="1882"/>
      <c r="GMB25" s="1887"/>
      <c r="GMC25" s="1888"/>
      <c r="GMD25" s="1882"/>
      <c r="GME25" s="1882"/>
      <c r="GMF25" s="1882"/>
      <c r="GMH25" s="1887"/>
      <c r="GMI25" s="1888"/>
      <c r="GMJ25" s="1882"/>
      <c r="GMK25" s="1882"/>
      <c r="GML25" s="1882"/>
      <c r="GMN25" s="1887"/>
      <c r="GMO25" s="1888"/>
      <c r="GMP25" s="1882"/>
      <c r="GMQ25" s="1882"/>
      <c r="GMR25" s="1882"/>
      <c r="GMT25" s="1887"/>
      <c r="GMU25" s="1888"/>
      <c r="GMV25" s="1882"/>
      <c r="GMW25" s="1882"/>
      <c r="GMX25" s="1882"/>
      <c r="GMZ25" s="1887"/>
      <c r="GNA25" s="1888"/>
      <c r="GNB25" s="1882"/>
      <c r="GNC25" s="1882"/>
      <c r="GND25" s="1882"/>
      <c r="GNF25" s="1887"/>
      <c r="GNG25" s="1888"/>
      <c r="GNH25" s="1882"/>
      <c r="GNI25" s="1882"/>
      <c r="GNJ25" s="1882"/>
      <c r="GNL25" s="1887"/>
      <c r="GNM25" s="1888"/>
      <c r="GNN25" s="1882"/>
      <c r="GNO25" s="1882"/>
      <c r="GNP25" s="1882"/>
      <c r="GNR25" s="1887"/>
      <c r="GNS25" s="1888"/>
      <c r="GNT25" s="1882"/>
      <c r="GNU25" s="1882"/>
      <c r="GNV25" s="1882"/>
      <c r="GNX25" s="1887"/>
      <c r="GNY25" s="1888"/>
      <c r="GNZ25" s="1882"/>
      <c r="GOA25" s="1882"/>
      <c r="GOB25" s="1882"/>
      <c r="GOD25" s="1887"/>
      <c r="GOE25" s="1888"/>
      <c r="GOF25" s="1882"/>
      <c r="GOG25" s="1882"/>
      <c r="GOH25" s="1882"/>
      <c r="GOJ25" s="1887"/>
      <c r="GOK25" s="1888"/>
      <c r="GOL25" s="1882"/>
      <c r="GOM25" s="1882"/>
      <c r="GON25" s="1882"/>
      <c r="GOP25" s="1887"/>
      <c r="GOQ25" s="1888"/>
      <c r="GOR25" s="1882"/>
      <c r="GOS25" s="1882"/>
      <c r="GOT25" s="1882"/>
      <c r="GOV25" s="1887"/>
      <c r="GOW25" s="1888"/>
      <c r="GOX25" s="1882"/>
      <c r="GOY25" s="1882"/>
      <c r="GOZ25" s="1882"/>
      <c r="GPB25" s="1887"/>
      <c r="GPC25" s="1888"/>
      <c r="GPD25" s="1882"/>
      <c r="GPE25" s="1882"/>
      <c r="GPF25" s="1882"/>
      <c r="GPH25" s="1887"/>
      <c r="GPI25" s="1888"/>
      <c r="GPJ25" s="1882"/>
      <c r="GPK25" s="1882"/>
      <c r="GPL25" s="1882"/>
      <c r="GPN25" s="1887"/>
      <c r="GPO25" s="1888"/>
      <c r="GPP25" s="1882"/>
      <c r="GPQ25" s="1882"/>
      <c r="GPR25" s="1882"/>
      <c r="GPT25" s="1887"/>
      <c r="GPU25" s="1888"/>
      <c r="GPV25" s="1882"/>
      <c r="GPW25" s="1882"/>
      <c r="GPX25" s="1882"/>
      <c r="GPZ25" s="1887"/>
      <c r="GQA25" s="1888"/>
      <c r="GQB25" s="1882"/>
      <c r="GQC25" s="1882"/>
      <c r="GQD25" s="1882"/>
      <c r="GQF25" s="1887"/>
      <c r="GQG25" s="1888"/>
      <c r="GQH25" s="1882"/>
      <c r="GQI25" s="1882"/>
      <c r="GQJ25" s="1882"/>
      <c r="GQL25" s="1887"/>
      <c r="GQM25" s="1888"/>
      <c r="GQN25" s="1882"/>
      <c r="GQO25" s="1882"/>
      <c r="GQP25" s="1882"/>
      <c r="GQR25" s="1887"/>
      <c r="GQS25" s="1888"/>
      <c r="GQT25" s="1882"/>
      <c r="GQU25" s="1882"/>
      <c r="GQV25" s="1882"/>
      <c r="GQX25" s="1887"/>
      <c r="GQY25" s="1888"/>
      <c r="GQZ25" s="1882"/>
      <c r="GRA25" s="1882"/>
      <c r="GRB25" s="1882"/>
      <c r="GRD25" s="1887"/>
      <c r="GRE25" s="1888"/>
      <c r="GRF25" s="1882"/>
      <c r="GRG25" s="1882"/>
      <c r="GRH25" s="1882"/>
      <c r="GRJ25" s="1887"/>
      <c r="GRK25" s="1888"/>
      <c r="GRL25" s="1882"/>
      <c r="GRM25" s="1882"/>
      <c r="GRN25" s="1882"/>
      <c r="GRP25" s="1887"/>
      <c r="GRQ25" s="1888"/>
      <c r="GRR25" s="1882"/>
      <c r="GRS25" s="1882"/>
      <c r="GRT25" s="1882"/>
      <c r="GRV25" s="1887"/>
      <c r="GRW25" s="1888"/>
      <c r="GRX25" s="1882"/>
      <c r="GRY25" s="1882"/>
      <c r="GRZ25" s="1882"/>
      <c r="GSB25" s="1887"/>
      <c r="GSC25" s="1888"/>
      <c r="GSD25" s="1882"/>
      <c r="GSE25" s="1882"/>
      <c r="GSF25" s="1882"/>
      <c r="GSH25" s="1887"/>
      <c r="GSI25" s="1888"/>
      <c r="GSJ25" s="1882"/>
      <c r="GSK25" s="1882"/>
      <c r="GSL25" s="1882"/>
      <c r="GSN25" s="1887"/>
      <c r="GSO25" s="1888"/>
      <c r="GSP25" s="1882"/>
      <c r="GSQ25" s="1882"/>
      <c r="GSR25" s="1882"/>
      <c r="GST25" s="1887"/>
      <c r="GSU25" s="1888"/>
      <c r="GSV25" s="1882"/>
      <c r="GSW25" s="1882"/>
      <c r="GSX25" s="1882"/>
      <c r="GSZ25" s="1887"/>
      <c r="GTA25" s="1888"/>
      <c r="GTB25" s="1882"/>
      <c r="GTC25" s="1882"/>
      <c r="GTD25" s="1882"/>
      <c r="GTF25" s="1887"/>
      <c r="GTG25" s="1888"/>
      <c r="GTH25" s="1882"/>
      <c r="GTI25" s="1882"/>
      <c r="GTJ25" s="1882"/>
      <c r="GTL25" s="1887"/>
      <c r="GTM25" s="1888"/>
      <c r="GTN25" s="1882"/>
      <c r="GTO25" s="1882"/>
      <c r="GTP25" s="1882"/>
      <c r="GTR25" s="1887"/>
      <c r="GTS25" s="1888"/>
      <c r="GTT25" s="1882"/>
      <c r="GTU25" s="1882"/>
      <c r="GTV25" s="1882"/>
      <c r="GTX25" s="1887"/>
      <c r="GTY25" s="1888"/>
      <c r="GTZ25" s="1882"/>
      <c r="GUA25" s="1882"/>
      <c r="GUB25" s="1882"/>
      <c r="GUD25" s="1887"/>
      <c r="GUE25" s="1888"/>
      <c r="GUF25" s="1882"/>
      <c r="GUG25" s="1882"/>
      <c r="GUH25" s="1882"/>
      <c r="GUJ25" s="1887"/>
      <c r="GUK25" s="1888"/>
      <c r="GUL25" s="1882"/>
      <c r="GUM25" s="1882"/>
      <c r="GUN25" s="1882"/>
      <c r="GUP25" s="1887"/>
      <c r="GUQ25" s="1888"/>
      <c r="GUR25" s="1882"/>
      <c r="GUS25" s="1882"/>
      <c r="GUT25" s="1882"/>
      <c r="GUV25" s="1887"/>
      <c r="GUW25" s="1888"/>
      <c r="GUX25" s="1882"/>
      <c r="GUY25" s="1882"/>
      <c r="GUZ25" s="1882"/>
      <c r="GVB25" s="1887"/>
      <c r="GVC25" s="1888"/>
      <c r="GVD25" s="1882"/>
      <c r="GVE25" s="1882"/>
      <c r="GVF25" s="1882"/>
      <c r="GVH25" s="1887"/>
      <c r="GVI25" s="1888"/>
      <c r="GVJ25" s="1882"/>
      <c r="GVK25" s="1882"/>
      <c r="GVL25" s="1882"/>
      <c r="GVN25" s="1887"/>
      <c r="GVO25" s="1888"/>
      <c r="GVP25" s="1882"/>
      <c r="GVQ25" s="1882"/>
      <c r="GVR25" s="1882"/>
      <c r="GVT25" s="1887"/>
      <c r="GVU25" s="1888"/>
      <c r="GVV25" s="1882"/>
      <c r="GVW25" s="1882"/>
      <c r="GVX25" s="1882"/>
      <c r="GVZ25" s="1887"/>
      <c r="GWA25" s="1888"/>
      <c r="GWB25" s="1882"/>
      <c r="GWC25" s="1882"/>
      <c r="GWD25" s="1882"/>
      <c r="GWF25" s="1887"/>
      <c r="GWG25" s="1888"/>
      <c r="GWH25" s="1882"/>
      <c r="GWI25" s="1882"/>
      <c r="GWJ25" s="1882"/>
      <c r="GWL25" s="1887"/>
      <c r="GWM25" s="1888"/>
      <c r="GWN25" s="1882"/>
      <c r="GWO25" s="1882"/>
      <c r="GWP25" s="1882"/>
      <c r="GWR25" s="1887"/>
      <c r="GWS25" s="1888"/>
      <c r="GWT25" s="1882"/>
      <c r="GWU25" s="1882"/>
      <c r="GWV25" s="1882"/>
      <c r="GWX25" s="1887"/>
      <c r="GWY25" s="1888"/>
      <c r="GWZ25" s="1882"/>
      <c r="GXA25" s="1882"/>
      <c r="GXB25" s="1882"/>
      <c r="GXD25" s="1887"/>
      <c r="GXE25" s="1888"/>
      <c r="GXF25" s="1882"/>
      <c r="GXG25" s="1882"/>
      <c r="GXH25" s="1882"/>
      <c r="GXJ25" s="1887"/>
      <c r="GXK25" s="1888"/>
      <c r="GXL25" s="1882"/>
      <c r="GXM25" s="1882"/>
      <c r="GXN25" s="1882"/>
      <c r="GXP25" s="1887"/>
      <c r="GXQ25" s="1888"/>
      <c r="GXR25" s="1882"/>
      <c r="GXS25" s="1882"/>
      <c r="GXT25" s="1882"/>
      <c r="GXV25" s="1887"/>
      <c r="GXW25" s="1888"/>
      <c r="GXX25" s="1882"/>
      <c r="GXY25" s="1882"/>
      <c r="GXZ25" s="1882"/>
      <c r="GYB25" s="1887"/>
      <c r="GYC25" s="1888"/>
      <c r="GYD25" s="1882"/>
      <c r="GYE25" s="1882"/>
      <c r="GYF25" s="1882"/>
      <c r="GYH25" s="1887"/>
      <c r="GYI25" s="1888"/>
      <c r="GYJ25" s="1882"/>
      <c r="GYK25" s="1882"/>
      <c r="GYL25" s="1882"/>
      <c r="GYN25" s="1887"/>
      <c r="GYO25" s="1888"/>
      <c r="GYP25" s="1882"/>
      <c r="GYQ25" s="1882"/>
      <c r="GYR25" s="1882"/>
      <c r="GYT25" s="1887"/>
      <c r="GYU25" s="1888"/>
      <c r="GYV25" s="1882"/>
      <c r="GYW25" s="1882"/>
      <c r="GYX25" s="1882"/>
      <c r="GYZ25" s="1887"/>
      <c r="GZA25" s="1888"/>
      <c r="GZB25" s="1882"/>
      <c r="GZC25" s="1882"/>
      <c r="GZD25" s="1882"/>
      <c r="GZF25" s="1887"/>
      <c r="GZG25" s="1888"/>
      <c r="GZH25" s="1882"/>
      <c r="GZI25" s="1882"/>
      <c r="GZJ25" s="1882"/>
      <c r="GZL25" s="1887"/>
      <c r="GZM25" s="1888"/>
      <c r="GZN25" s="1882"/>
      <c r="GZO25" s="1882"/>
      <c r="GZP25" s="1882"/>
      <c r="GZR25" s="1887"/>
      <c r="GZS25" s="1888"/>
      <c r="GZT25" s="1882"/>
      <c r="GZU25" s="1882"/>
      <c r="GZV25" s="1882"/>
      <c r="GZX25" s="1887"/>
      <c r="GZY25" s="1888"/>
      <c r="GZZ25" s="1882"/>
      <c r="HAA25" s="1882"/>
      <c r="HAB25" s="1882"/>
      <c r="HAD25" s="1887"/>
      <c r="HAE25" s="1888"/>
      <c r="HAF25" s="1882"/>
      <c r="HAG25" s="1882"/>
      <c r="HAH25" s="1882"/>
      <c r="HAJ25" s="1887"/>
      <c r="HAK25" s="1888"/>
      <c r="HAL25" s="1882"/>
      <c r="HAM25" s="1882"/>
      <c r="HAN25" s="1882"/>
      <c r="HAP25" s="1887"/>
      <c r="HAQ25" s="1888"/>
      <c r="HAR25" s="1882"/>
      <c r="HAS25" s="1882"/>
      <c r="HAT25" s="1882"/>
      <c r="HAV25" s="1887"/>
      <c r="HAW25" s="1888"/>
      <c r="HAX25" s="1882"/>
      <c r="HAY25" s="1882"/>
      <c r="HAZ25" s="1882"/>
      <c r="HBB25" s="1887"/>
      <c r="HBC25" s="1888"/>
      <c r="HBD25" s="1882"/>
      <c r="HBE25" s="1882"/>
      <c r="HBF25" s="1882"/>
      <c r="HBH25" s="1887"/>
      <c r="HBI25" s="1888"/>
      <c r="HBJ25" s="1882"/>
      <c r="HBK25" s="1882"/>
      <c r="HBL25" s="1882"/>
      <c r="HBN25" s="1887"/>
      <c r="HBO25" s="1888"/>
      <c r="HBP25" s="1882"/>
      <c r="HBQ25" s="1882"/>
      <c r="HBR25" s="1882"/>
      <c r="HBT25" s="1887"/>
      <c r="HBU25" s="1888"/>
      <c r="HBV25" s="1882"/>
      <c r="HBW25" s="1882"/>
      <c r="HBX25" s="1882"/>
      <c r="HBZ25" s="1887"/>
      <c r="HCA25" s="1888"/>
      <c r="HCB25" s="1882"/>
      <c r="HCC25" s="1882"/>
      <c r="HCD25" s="1882"/>
      <c r="HCF25" s="1887"/>
      <c r="HCG25" s="1888"/>
      <c r="HCH25" s="1882"/>
      <c r="HCI25" s="1882"/>
      <c r="HCJ25" s="1882"/>
      <c r="HCL25" s="1887"/>
      <c r="HCM25" s="1888"/>
      <c r="HCN25" s="1882"/>
      <c r="HCO25" s="1882"/>
      <c r="HCP25" s="1882"/>
      <c r="HCR25" s="1887"/>
      <c r="HCS25" s="1888"/>
      <c r="HCT25" s="1882"/>
      <c r="HCU25" s="1882"/>
      <c r="HCV25" s="1882"/>
      <c r="HCX25" s="1887"/>
      <c r="HCY25" s="1888"/>
      <c r="HCZ25" s="1882"/>
      <c r="HDA25" s="1882"/>
      <c r="HDB25" s="1882"/>
      <c r="HDD25" s="1887"/>
      <c r="HDE25" s="1888"/>
      <c r="HDF25" s="1882"/>
      <c r="HDG25" s="1882"/>
      <c r="HDH25" s="1882"/>
      <c r="HDJ25" s="1887"/>
      <c r="HDK25" s="1888"/>
      <c r="HDL25" s="1882"/>
      <c r="HDM25" s="1882"/>
      <c r="HDN25" s="1882"/>
      <c r="HDP25" s="1887"/>
      <c r="HDQ25" s="1888"/>
      <c r="HDR25" s="1882"/>
      <c r="HDS25" s="1882"/>
      <c r="HDT25" s="1882"/>
      <c r="HDV25" s="1887"/>
      <c r="HDW25" s="1888"/>
      <c r="HDX25" s="1882"/>
      <c r="HDY25" s="1882"/>
      <c r="HDZ25" s="1882"/>
      <c r="HEB25" s="1887"/>
      <c r="HEC25" s="1888"/>
      <c r="HED25" s="1882"/>
      <c r="HEE25" s="1882"/>
      <c r="HEF25" s="1882"/>
      <c r="HEH25" s="1887"/>
      <c r="HEI25" s="1888"/>
      <c r="HEJ25" s="1882"/>
      <c r="HEK25" s="1882"/>
      <c r="HEL25" s="1882"/>
      <c r="HEN25" s="1887"/>
      <c r="HEO25" s="1888"/>
      <c r="HEP25" s="1882"/>
      <c r="HEQ25" s="1882"/>
      <c r="HER25" s="1882"/>
      <c r="HET25" s="1887"/>
      <c r="HEU25" s="1888"/>
      <c r="HEV25" s="1882"/>
      <c r="HEW25" s="1882"/>
      <c r="HEX25" s="1882"/>
      <c r="HEZ25" s="1887"/>
      <c r="HFA25" s="1888"/>
      <c r="HFB25" s="1882"/>
      <c r="HFC25" s="1882"/>
      <c r="HFD25" s="1882"/>
      <c r="HFF25" s="1887"/>
      <c r="HFG25" s="1888"/>
      <c r="HFH25" s="1882"/>
      <c r="HFI25" s="1882"/>
      <c r="HFJ25" s="1882"/>
      <c r="HFL25" s="1887"/>
      <c r="HFM25" s="1888"/>
      <c r="HFN25" s="1882"/>
      <c r="HFO25" s="1882"/>
      <c r="HFP25" s="1882"/>
      <c r="HFR25" s="1887"/>
      <c r="HFS25" s="1888"/>
      <c r="HFT25" s="1882"/>
      <c r="HFU25" s="1882"/>
      <c r="HFV25" s="1882"/>
      <c r="HFX25" s="1887"/>
      <c r="HFY25" s="1888"/>
      <c r="HFZ25" s="1882"/>
      <c r="HGA25" s="1882"/>
      <c r="HGB25" s="1882"/>
      <c r="HGD25" s="1887"/>
      <c r="HGE25" s="1888"/>
      <c r="HGF25" s="1882"/>
      <c r="HGG25" s="1882"/>
      <c r="HGH25" s="1882"/>
      <c r="HGJ25" s="1887"/>
      <c r="HGK25" s="1888"/>
      <c r="HGL25" s="1882"/>
      <c r="HGM25" s="1882"/>
      <c r="HGN25" s="1882"/>
      <c r="HGP25" s="1887"/>
      <c r="HGQ25" s="1888"/>
      <c r="HGR25" s="1882"/>
      <c r="HGS25" s="1882"/>
      <c r="HGT25" s="1882"/>
      <c r="HGV25" s="1887"/>
      <c r="HGW25" s="1888"/>
      <c r="HGX25" s="1882"/>
      <c r="HGY25" s="1882"/>
      <c r="HGZ25" s="1882"/>
      <c r="HHB25" s="1887"/>
      <c r="HHC25" s="1888"/>
      <c r="HHD25" s="1882"/>
      <c r="HHE25" s="1882"/>
      <c r="HHF25" s="1882"/>
      <c r="HHH25" s="1887"/>
      <c r="HHI25" s="1888"/>
      <c r="HHJ25" s="1882"/>
      <c r="HHK25" s="1882"/>
      <c r="HHL25" s="1882"/>
      <c r="HHN25" s="1887"/>
      <c r="HHO25" s="1888"/>
      <c r="HHP25" s="1882"/>
      <c r="HHQ25" s="1882"/>
      <c r="HHR25" s="1882"/>
      <c r="HHT25" s="1887"/>
      <c r="HHU25" s="1888"/>
      <c r="HHV25" s="1882"/>
      <c r="HHW25" s="1882"/>
      <c r="HHX25" s="1882"/>
      <c r="HHZ25" s="1887"/>
      <c r="HIA25" s="1888"/>
      <c r="HIB25" s="1882"/>
      <c r="HIC25" s="1882"/>
      <c r="HID25" s="1882"/>
      <c r="HIF25" s="1887"/>
      <c r="HIG25" s="1888"/>
      <c r="HIH25" s="1882"/>
      <c r="HII25" s="1882"/>
      <c r="HIJ25" s="1882"/>
      <c r="HIL25" s="1887"/>
      <c r="HIM25" s="1888"/>
      <c r="HIN25" s="1882"/>
      <c r="HIO25" s="1882"/>
      <c r="HIP25" s="1882"/>
      <c r="HIR25" s="1887"/>
      <c r="HIS25" s="1888"/>
      <c r="HIT25" s="1882"/>
      <c r="HIU25" s="1882"/>
      <c r="HIV25" s="1882"/>
      <c r="HIX25" s="1887"/>
      <c r="HIY25" s="1888"/>
      <c r="HIZ25" s="1882"/>
      <c r="HJA25" s="1882"/>
      <c r="HJB25" s="1882"/>
      <c r="HJD25" s="1887"/>
      <c r="HJE25" s="1888"/>
      <c r="HJF25" s="1882"/>
      <c r="HJG25" s="1882"/>
      <c r="HJH25" s="1882"/>
      <c r="HJJ25" s="1887"/>
      <c r="HJK25" s="1888"/>
      <c r="HJL25" s="1882"/>
      <c r="HJM25" s="1882"/>
      <c r="HJN25" s="1882"/>
      <c r="HJP25" s="1887"/>
      <c r="HJQ25" s="1888"/>
      <c r="HJR25" s="1882"/>
      <c r="HJS25" s="1882"/>
      <c r="HJT25" s="1882"/>
      <c r="HJV25" s="1887"/>
      <c r="HJW25" s="1888"/>
      <c r="HJX25" s="1882"/>
      <c r="HJY25" s="1882"/>
      <c r="HJZ25" s="1882"/>
      <c r="HKB25" s="1887"/>
      <c r="HKC25" s="1888"/>
      <c r="HKD25" s="1882"/>
      <c r="HKE25" s="1882"/>
      <c r="HKF25" s="1882"/>
      <c r="HKH25" s="1887"/>
      <c r="HKI25" s="1888"/>
      <c r="HKJ25" s="1882"/>
      <c r="HKK25" s="1882"/>
      <c r="HKL25" s="1882"/>
      <c r="HKN25" s="1887"/>
      <c r="HKO25" s="1888"/>
      <c r="HKP25" s="1882"/>
      <c r="HKQ25" s="1882"/>
      <c r="HKR25" s="1882"/>
      <c r="HKT25" s="1887"/>
      <c r="HKU25" s="1888"/>
      <c r="HKV25" s="1882"/>
      <c r="HKW25" s="1882"/>
      <c r="HKX25" s="1882"/>
      <c r="HKZ25" s="1887"/>
      <c r="HLA25" s="1888"/>
      <c r="HLB25" s="1882"/>
      <c r="HLC25" s="1882"/>
      <c r="HLD25" s="1882"/>
      <c r="HLF25" s="1887"/>
      <c r="HLG25" s="1888"/>
      <c r="HLH25" s="1882"/>
      <c r="HLI25" s="1882"/>
      <c r="HLJ25" s="1882"/>
      <c r="HLL25" s="1887"/>
      <c r="HLM25" s="1888"/>
      <c r="HLN25" s="1882"/>
      <c r="HLO25" s="1882"/>
      <c r="HLP25" s="1882"/>
      <c r="HLR25" s="1887"/>
      <c r="HLS25" s="1888"/>
      <c r="HLT25" s="1882"/>
      <c r="HLU25" s="1882"/>
      <c r="HLV25" s="1882"/>
      <c r="HLX25" s="1887"/>
      <c r="HLY25" s="1888"/>
      <c r="HLZ25" s="1882"/>
      <c r="HMA25" s="1882"/>
      <c r="HMB25" s="1882"/>
      <c r="HMD25" s="1887"/>
      <c r="HME25" s="1888"/>
      <c r="HMF25" s="1882"/>
      <c r="HMG25" s="1882"/>
      <c r="HMH25" s="1882"/>
      <c r="HMJ25" s="1887"/>
      <c r="HMK25" s="1888"/>
      <c r="HML25" s="1882"/>
      <c r="HMM25" s="1882"/>
      <c r="HMN25" s="1882"/>
      <c r="HMP25" s="1887"/>
      <c r="HMQ25" s="1888"/>
      <c r="HMR25" s="1882"/>
      <c r="HMS25" s="1882"/>
      <c r="HMT25" s="1882"/>
      <c r="HMV25" s="1887"/>
      <c r="HMW25" s="1888"/>
      <c r="HMX25" s="1882"/>
      <c r="HMY25" s="1882"/>
      <c r="HMZ25" s="1882"/>
      <c r="HNB25" s="1887"/>
      <c r="HNC25" s="1888"/>
      <c r="HND25" s="1882"/>
      <c r="HNE25" s="1882"/>
      <c r="HNF25" s="1882"/>
      <c r="HNH25" s="1887"/>
      <c r="HNI25" s="1888"/>
      <c r="HNJ25" s="1882"/>
      <c r="HNK25" s="1882"/>
      <c r="HNL25" s="1882"/>
      <c r="HNN25" s="1887"/>
      <c r="HNO25" s="1888"/>
      <c r="HNP25" s="1882"/>
      <c r="HNQ25" s="1882"/>
      <c r="HNR25" s="1882"/>
      <c r="HNT25" s="1887"/>
      <c r="HNU25" s="1888"/>
      <c r="HNV25" s="1882"/>
      <c r="HNW25" s="1882"/>
      <c r="HNX25" s="1882"/>
      <c r="HNZ25" s="1887"/>
      <c r="HOA25" s="1888"/>
      <c r="HOB25" s="1882"/>
      <c r="HOC25" s="1882"/>
      <c r="HOD25" s="1882"/>
      <c r="HOF25" s="1887"/>
      <c r="HOG25" s="1888"/>
      <c r="HOH25" s="1882"/>
      <c r="HOI25" s="1882"/>
      <c r="HOJ25" s="1882"/>
      <c r="HOL25" s="1887"/>
      <c r="HOM25" s="1888"/>
      <c r="HON25" s="1882"/>
      <c r="HOO25" s="1882"/>
      <c r="HOP25" s="1882"/>
      <c r="HOR25" s="1887"/>
      <c r="HOS25" s="1888"/>
      <c r="HOT25" s="1882"/>
      <c r="HOU25" s="1882"/>
      <c r="HOV25" s="1882"/>
      <c r="HOX25" s="1887"/>
      <c r="HOY25" s="1888"/>
      <c r="HOZ25" s="1882"/>
      <c r="HPA25" s="1882"/>
      <c r="HPB25" s="1882"/>
      <c r="HPD25" s="1887"/>
      <c r="HPE25" s="1888"/>
      <c r="HPF25" s="1882"/>
      <c r="HPG25" s="1882"/>
      <c r="HPH25" s="1882"/>
      <c r="HPJ25" s="1887"/>
      <c r="HPK25" s="1888"/>
      <c r="HPL25" s="1882"/>
      <c r="HPM25" s="1882"/>
      <c r="HPN25" s="1882"/>
      <c r="HPP25" s="1887"/>
      <c r="HPQ25" s="1888"/>
      <c r="HPR25" s="1882"/>
      <c r="HPS25" s="1882"/>
      <c r="HPT25" s="1882"/>
      <c r="HPV25" s="1887"/>
      <c r="HPW25" s="1888"/>
      <c r="HPX25" s="1882"/>
      <c r="HPY25" s="1882"/>
      <c r="HPZ25" s="1882"/>
      <c r="HQB25" s="1887"/>
      <c r="HQC25" s="1888"/>
      <c r="HQD25" s="1882"/>
      <c r="HQE25" s="1882"/>
      <c r="HQF25" s="1882"/>
      <c r="HQH25" s="1887"/>
      <c r="HQI25" s="1888"/>
      <c r="HQJ25" s="1882"/>
      <c r="HQK25" s="1882"/>
      <c r="HQL25" s="1882"/>
      <c r="HQN25" s="1887"/>
      <c r="HQO25" s="1888"/>
      <c r="HQP25" s="1882"/>
      <c r="HQQ25" s="1882"/>
      <c r="HQR25" s="1882"/>
      <c r="HQT25" s="1887"/>
      <c r="HQU25" s="1888"/>
      <c r="HQV25" s="1882"/>
      <c r="HQW25" s="1882"/>
      <c r="HQX25" s="1882"/>
      <c r="HQZ25" s="1887"/>
      <c r="HRA25" s="1888"/>
      <c r="HRB25" s="1882"/>
      <c r="HRC25" s="1882"/>
      <c r="HRD25" s="1882"/>
      <c r="HRF25" s="1887"/>
      <c r="HRG25" s="1888"/>
      <c r="HRH25" s="1882"/>
      <c r="HRI25" s="1882"/>
      <c r="HRJ25" s="1882"/>
      <c r="HRL25" s="1887"/>
      <c r="HRM25" s="1888"/>
      <c r="HRN25" s="1882"/>
      <c r="HRO25" s="1882"/>
      <c r="HRP25" s="1882"/>
      <c r="HRR25" s="1887"/>
      <c r="HRS25" s="1888"/>
      <c r="HRT25" s="1882"/>
      <c r="HRU25" s="1882"/>
      <c r="HRV25" s="1882"/>
      <c r="HRX25" s="1887"/>
      <c r="HRY25" s="1888"/>
      <c r="HRZ25" s="1882"/>
      <c r="HSA25" s="1882"/>
      <c r="HSB25" s="1882"/>
      <c r="HSD25" s="1887"/>
      <c r="HSE25" s="1888"/>
      <c r="HSF25" s="1882"/>
      <c r="HSG25" s="1882"/>
      <c r="HSH25" s="1882"/>
      <c r="HSJ25" s="1887"/>
      <c r="HSK25" s="1888"/>
      <c r="HSL25" s="1882"/>
      <c r="HSM25" s="1882"/>
      <c r="HSN25" s="1882"/>
      <c r="HSP25" s="1887"/>
      <c r="HSQ25" s="1888"/>
      <c r="HSR25" s="1882"/>
      <c r="HSS25" s="1882"/>
      <c r="HST25" s="1882"/>
      <c r="HSV25" s="1887"/>
      <c r="HSW25" s="1888"/>
      <c r="HSX25" s="1882"/>
      <c r="HSY25" s="1882"/>
      <c r="HSZ25" s="1882"/>
      <c r="HTB25" s="1887"/>
      <c r="HTC25" s="1888"/>
      <c r="HTD25" s="1882"/>
      <c r="HTE25" s="1882"/>
      <c r="HTF25" s="1882"/>
      <c r="HTH25" s="1887"/>
      <c r="HTI25" s="1888"/>
      <c r="HTJ25" s="1882"/>
      <c r="HTK25" s="1882"/>
      <c r="HTL25" s="1882"/>
      <c r="HTN25" s="1887"/>
      <c r="HTO25" s="1888"/>
      <c r="HTP25" s="1882"/>
      <c r="HTQ25" s="1882"/>
      <c r="HTR25" s="1882"/>
      <c r="HTT25" s="1887"/>
      <c r="HTU25" s="1888"/>
      <c r="HTV25" s="1882"/>
      <c r="HTW25" s="1882"/>
      <c r="HTX25" s="1882"/>
      <c r="HTZ25" s="1887"/>
      <c r="HUA25" s="1888"/>
      <c r="HUB25" s="1882"/>
      <c r="HUC25" s="1882"/>
      <c r="HUD25" s="1882"/>
      <c r="HUF25" s="1887"/>
      <c r="HUG25" s="1888"/>
      <c r="HUH25" s="1882"/>
      <c r="HUI25" s="1882"/>
      <c r="HUJ25" s="1882"/>
      <c r="HUL25" s="1887"/>
      <c r="HUM25" s="1888"/>
      <c r="HUN25" s="1882"/>
      <c r="HUO25" s="1882"/>
      <c r="HUP25" s="1882"/>
      <c r="HUR25" s="1887"/>
      <c r="HUS25" s="1888"/>
      <c r="HUT25" s="1882"/>
      <c r="HUU25" s="1882"/>
      <c r="HUV25" s="1882"/>
      <c r="HUX25" s="1887"/>
      <c r="HUY25" s="1888"/>
      <c r="HUZ25" s="1882"/>
      <c r="HVA25" s="1882"/>
      <c r="HVB25" s="1882"/>
      <c r="HVD25" s="1887"/>
      <c r="HVE25" s="1888"/>
      <c r="HVF25" s="1882"/>
      <c r="HVG25" s="1882"/>
      <c r="HVH25" s="1882"/>
      <c r="HVJ25" s="1887"/>
      <c r="HVK25" s="1888"/>
      <c r="HVL25" s="1882"/>
      <c r="HVM25" s="1882"/>
      <c r="HVN25" s="1882"/>
      <c r="HVP25" s="1887"/>
      <c r="HVQ25" s="1888"/>
      <c r="HVR25" s="1882"/>
      <c r="HVS25" s="1882"/>
      <c r="HVT25" s="1882"/>
      <c r="HVV25" s="1887"/>
      <c r="HVW25" s="1888"/>
      <c r="HVX25" s="1882"/>
      <c r="HVY25" s="1882"/>
      <c r="HVZ25" s="1882"/>
      <c r="HWB25" s="1887"/>
      <c r="HWC25" s="1888"/>
      <c r="HWD25" s="1882"/>
      <c r="HWE25" s="1882"/>
      <c r="HWF25" s="1882"/>
      <c r="HWH25" s="1887"/>
      <c r="HWI25" s="1888"/>
      <c r="HWJ25" s="1882"/>
      <c r="HWK25" s="1882"/>
      <c r="HWL25" s="1882"/>
      <c r="HWN25" s="1887"/>
      <c r="HWO25" s="1888"/>
      <c r="HWP25" s="1882"/>
      <c r="HWQ25" s="1882"/>
      <c r="HWR25" s="1882"/>
      <c r="HWT25" s="1887"/>
      <c r="HWU25" s="1888"/>
      <c r="HWV25" s="1882"/>
      <c r="HWW25" s="1882"/>
      <c r="HWX25" s="1882"/>
      <c r="HWZ25" s="1887"/>
      <c r="HXA25" s="1888"/>
      <c r="HXB25" s="1882"/>
      <c r="HXC25" s="1882"/>
      <c r="HXD25" s="1882"/>
      <c r="HXF25" s="1887"/>
      <c r="HXG25" s="1888"/>
      <c r="HXH25" s="1882"/>
      <c r="HXI25" s="1882"/>
      <c r="HXJ25" s="1882"/>
      <c r="HXL25" s="1887"/>
      <c r="HXM25" s="1888"/>
      <c r="HXN25" s="1882"/>
      <c r="HXO25" s="1882"/>
      <c r="HXP25" s="1882"/>
      <c r="HXR25" s="1887"/>
      <c r="HXS25" s="1888"/>
      <c r="HXT25" s="1882"/>
      <c r="HXU25" s="1882"/>
      <c r="HXV25" s="1882"/>
      <c r="HXX25" s="1887"/>
      <c r="HXY25" s="1888"/>
      <c r="HXZ25" s="1882"/>
      <c r="HYA25" s="1882"/>
      <c r="HYB25" s="1882"/>
      <c r="HYD25" s="1887"/>
      <c r="HYE25" s="1888"/>
      <c r="HYF25" s="1882"/>
      <c r="HYG25" s="1882"/>
      <c r="HYH25" s="1882"/>
      <c r="HYJ25" s="1887"/>
      <c r="HYK25" s="1888"/>
      <c r="HYL25" s="1882"/>
      <c r="HYM25" s="1882"/>
      <c r="HYN25" s="1882"/>
      <c r="HYP25" s="1887"/>
      <c r="HYQ25" s="1888"/>
      <c r="HYR25" s="1882"/>
      <c r="HYS25" s="1882"/>
      <c r="HYT25" s="1882"/>
      <c r="HYV25" s="1887"/>
      <c r="HYW25" s="1888"/>
      <c r="HYX25" s="1882"/>
      <c r="HYY25" s="1882"/>
      <c r="HYZ25" s="1882"/>
      <c r="HZB25" s="1887"/>
      <c r="HZC25" s="1888"/>
      <c r="HZD25" s="1882"/>
      <c r="HZE25" s="1882"/>
      <c r="HZF25" s="1882"/>
      <c r="HZH25" s="1887"/>
      <c r="HZI25" s="1888"/>
      <c r="HZJ25" s="1882"/>
      <c r="HZK25" s="1882"/>
      <c r="HZL25" s="1882"/>
      <c r="HZN25" s="1887"/>
      <c r="HZO25" s="1888"/>
      <c r="HZP25" s="1882"/>
      <c r="HZQ25" s="1882"/>
      <c r="HZR25" s="1882"/>
      <c r="HZT25" s="1887"/>
      <c r="HZU25" s="1888"/>
      <c r="HZV25" s="1882"/>
      <c r="HZW25" s="1882"/>
      <c r="HZX25" s="1882"/>
      <c r="HZZ25" s="1887"/>
      <c r="IAA25" s="1888"/>
      <c r="IAB25" s="1882"/>
      <c r="IAC25" s="1882"/>
      <c r="IAD25" s="1882"/>
      <c r="IAF25" s="1887"/>
      <c r="IAG25" s="1888"/>
      <c r="IAH25" s="1882"/>
      <c r="IAI25" s="1882"/>
      <c r="IAJ25" s="1882"/>
      <c r="IAL25" s="1887"/>
      <c r="IAM25" s="1888"/>
      <c r="IAN25" s="1882"/>
      <c r="IAO25" s="1882"/>
      <c r="IAP25" s="1882"/>
      <c r="IAR25" s="1887"/>
      <c r="IAS25" s="1888"/>
      <c r="IAT25" s="1882"/>
      <c r="IAU25" s="1882"/>
      <c r="IAV25" s="1882"/>
      <c r="IAX25" s="1887"/>
      <c r="IAY25" s="1888"/>
      <c r="IAZ25" s="1882"/>
      <c r="IBA25" s="1882"/>
      <c r="IBB25" s="1882"/>
      <c r="IBD25" s="1887"/>
      <c r="IBE25" s="1888"/>
      <c r="IBF25" s="1882"/>
      <c r="IBG25" s="1882"/>
      <c r="IBH25" s="1882"/>
      <c r="IBJ25" s="1887"/>
      <c r="IBK25" s="1888"/>
      <c r="IBL25" s="1882"/>
      <c r="IBM25" s="1882"/>
      <c r="IBN25" s="1882"/>
      <c r="IBP25" s="1887"/>
      <c r="IBQ25" s="1888"/>
      <c r="IBR25" s="1882"/>
      <c r="IBS25" s="1882"/>
      <c r="IBT25" s="1882"/>
      <c r="IBV25" s="1887"/>
      <c r="IBW25" s="1888"/>
      <c r="IBX25" s="1882"/>
      <c r="IBY25" s="1882"/>
      <c r="IBZ25" s="1882"/>
      <c r="ICB25" s="1887"/>
      <c r="ICC25" s="1888"/>
      <c r="ICD25" s="1882"/>
      <c r="ICE25" s="1882"/>
      <c r="ICF25" s="1882"/>
      <c r="ICH25" s="1887"/>
      <c r="ICI25" s="1888"/>
      <c r="ICJ25" s="1882"/>
      <c r="ICK25" s="1882"/>
      <c r="ICL25" s="1882"/>
      <c r="ICN25" s="1887"/>
      <c r="ICO25" s="1888"/>
      <c r="ICP25" s="1882"/>
      <c r="ICQ25" s="1882"/>
      <c r="ICR25" s="1882"/>
      <c r="ICT25" s="1887"/>
      <c r="ICU25" s="1888"/>
      <c r="ICV25" s="1882"/>
      <c r="ICW25" s="1882"/>
      <c r="ICX25" s="1882"/>
      <c r="ICZ25" s="1887"/>
      <c r="IDA25" s="1888"/>
      <c r="IDB25" s="1882"/>
      <c r="IDC25" s="1882"/>
      <c r="IDD25" s="1882"/>
      <c r="IDF25" s="1887"/>
      <c r="IDG25" s="1888"/>
      <c r="IDH25" s="1882"/>
      <c r="IDI25" s="1882"/>
      <c r="IDJ25" s="1882"/>
      <c r="IDL25" s="1887"/>
      <c r="IDM25" s="1888"/>
      <c r="IDN25" s="1882"/>
      <c r="IDO25" s="1882"/>
      <c r="IDP25" s="1882"/>
      <c r="IDR25" s="1887"/>
      <c r="IDS25" s="1888"/>
      <c r="IDT25" s="1882"/>
      <c r="IDU25" s="1882"/>
      <c r="IDV25" s="1882"/>
      <c r="IDX25" s="1887"/>
      <c r="IDY25" s="1888"/>
      <c r="IDZ25" s="1882"/>
      <c r="IEA25" s="1882"/>
      <c r="IEB25" s="1882"/>
      <c r="IED25" s="1887"/>
      <c r="IEE25" s="1888"/>
      <c r="IEF25" s="1882"/>
      <c r="IEG25" s="1882"/>
      <c r="IEH25" s="1882"/>
      <c r="IEJ25" s="1887"/>
      <c r="IEK25" s="1888"/>
      <c r="IEL25" s="1882"/>
      <c r="IEM25" s="1882"/>
      <c r="IEN25" s="1882"/>
      <c r="IEP25" s="1887"/>
      <c r="IEQ25" s="1888"/>
      <c r="IER25" s="1882"/>
      <c r="IES25" s="1882"/>
      <c r="IET25" s="1882"/>
      <c r="IEV25" s="1887"/>
      <c r="IEW25" s="1888"/>
      <c r="IEX25" s="1882"/>
      <c r="IEY25" s="1882"/>
      <c r="IEZ25" s="1882"/>
      <c r="IFB25" s="1887"/>
      <c r="IFC25" s="1888"/>
      <c r="IFD25" s="1882"/>
      <c r="IFE25" s="1882"/>
      <c r="IFF25" s="1882"/>
      <c r="IFH25" s="1887"/>
      <c r="IFI25" s="1888"/>
      <c r="IFJ25" s="1882"/>
      <c r="IFK25" s="1882"/>
      <c r="IFL25" s="1882"/>
      <c r="IFN25" s="1887"/>
      <c r="IFO25" s="1888"/>
      <c r="IFP25" s="1882"/>
      <c r="IFQ25" s="1882"/>
      <c r="IFR25" s="1882"/>
      <c r="IFT25" s="1887"/>
      <c r="IFU25" s="1888"/>
      <c r="IFV25" s="1882"/>
      <c r="IFW25" s="1882"/>
      <c r="IFX25" s="1882"/>
      <c r="IFZ25" s="1887"/>
      <c r="IGA25" s="1888"/>
      <c r="IGB25" s="1882"/>
      <c r="IGC25" s="1882"/>
      <c r="IGD25" s="1882"/>
      <c r="IGF25" s="1887"/>
      <c r="IGG25" s="1888"/>
      <c r="IGH25" s="1882"/>
      <c r="IGI25" s="1882"/>
      <c r="IGJ25" s="1882"/>
      <c r="IGL25" s="1887"/>
      <c r="IGM25" s="1888"/>
      <c r="IGN25" s="1882"/>
      <c r="IGO25" s="1882"/>
      <c r="IGP25" s="1882"/>
      <c r="IGR25" s="1887"/>
      <c r="IGS25" s="1888"/>
      <c r="IGT25" s="1882"/>
      <c r="IGU25" s="1882"/>
      <c r="IGV25" s="1882"/>
      <c r="IGX25" s="1887"/>
      <c r="IGY25" s="1888"/>
      <c r="IGZ25" s="1882"/>
      <c r="IHA25" s="1882"/>
      <c r="IHB25" s="1882"/>
      <c r="IHD25" s="1887"/>
      <c r="IHE25" s="1888"/>
      <c r="IHF25" s="1882"/>
      <c r="IHG25" s="1882"/>
      <c r="IHH25" s="1882"/>
      <c r="IHJ25" s="1887"/>
      <c r="IHK25" s="1888"/>
      <c r="IHL25" s="1882"/>
      <c r="IHM25" s="1882"/>
      <c r="IHN25" s="1882"/>
      <c r="IHP25" s="1887"/>
      <c r="IHQ25" s="1888"/>
      <c r="IHR25" s="1882"/>
      <c r="IHS25" s="1882"/>
      <c r="IHT25" s="1882"/>
      <c r="IHV25" s="1887"/>
      <c r="IHW25" s="1888"/>
      <c r="IHX25" s="1882"/>
      <c r="IHY25" s="1882"/>
      <c r="IHZ25" s="1882"/>
      <c r="IIB25" s="1887"/>
      <c r="IIC25" s="1888"/>
      <c r="IID25" s="1882"/>
      <c r="IIE25" s="1882"/>
      <c r="IIF25" s="1882"/>
      <c r="IIH25" s="1887"/>
      <c r="III25" s="1888"/>
      <c r="IIJ25" s="1882"/>
      <c r="IIK25" s="1882"/>
      <c r="IIL25" s="1882"/>
      <c r="IIN25" s="1887"/>
      <c r="IIO25" s="1888"/>
      <c r="IIP25" s="1882"/>
      <c r="IIQ25" s="1882"/>
      <c r="IIR25" s="1882"/>
      <c r="IIT25" s="1887"/>
      <c r="IIU25" s="1888"/>
      <c r="IIV25" s="1882"/>
      <c r="IIW25" s="1882"/>
      <c r="IIX25" s="1882"/>
      <c r="IIZ25" s="1887"/>
      <c r="IJA25" s="1888"/>
      <c r="IJB25" s="1882"/>
      <c r="IJC25" s="1882"/>
      <c r="IJD25" s="1882"/>
      <c r="IJF25" s="1887"/>
      <c r="IJG25" s="1888"/>
      <c r="IJH25" s="1882"/>
      <c r="IJI25" s="1882"/>
      <c r="IJJ25" s="1882"/>
      <c r="IJL25" s="1887"/>
      <c r="IJM25" s="1888"/>
      <c r="IJN25" s="1882"/>
      <c r="IJO25" s="1882"/>
      <c r="IJP25" s="1882"/>
      <c r="IJR25" s="1887"/>
      <c r="IJS25" s="1888"/>
      <c r="IJT25" s="1882"/>
      <c r="IJU25" s="1882"/>
      <c r="IJV25" s="1882"/>
      <c r="IJX25" s="1887"/>
      <c r="IJY25" s="1888"/>
      <c r="IJZ25" s="1882"/>
      <c r="IKA25" s="1882"/>
      <c r="IKB25" s="1882"/>
      <c r="IKD25" s="1887"/>
      <c r="IKE25" s="1888"/>
      <c r="IKF25" s="1882"/>
      <c r="IKG25" s="1882"/>
      <c r="IKH25" s="1882"/>
      <c r="IKJ25" s="1887"/>
      <c r="IKK25" s="1888"/>
      <c r="IKL25" s="1882"/>
      <c r="IKM25" s="1882"/>
      <c r="IKN25" s="1882"/>
      <c r="IKP25" s="1887"/>
      <c r="IKQ25" s="1888"/>
      <c r="IKR25" s="1882"/>
      <c r="IKS25" s="1882"/>
      <c r="IKT25" s="1882"/>
      <c r="IKV25" s="1887"/>
      <c r="IKW25" s="1888"/>
      <c r="IKX25" s="1882"/>
      <c r="IKY25" s="1882"/>
      <c r="IKZ25" s="1882"/>
      <c r="ILB25" s="1887"/>
      <c r="ILC25" s="1888"/>
      <c r="ILD25" s="1882"/>
      <c r="ILE25" s="1882"/>
      <c r="ILF25" s="1882"/>
      <c r="ILH25" s="1887"/>
      <c r="ILI25" s="1888"/>
      <c r="ILJ25" s="1882"/>
      <c r="ILK25" s="1882"/>
      <c r="ILL25" s="1882"/>
      <c r="ILN25" s="1887"/>
      <c r="ILO25" s="1888"/>
      <c r="ILP25" s="1882"/>
      <c r="ILQ25" s="1882"/>
      <c r="ILR25" s="1882"/>
      <c r="ILT25" s="1887"/>
      <c r="ILU25" s="1888"/>
      <c r="ILV25" s="1882"/>
      <c r="ILW25" s="1882"/>
      <c r="ILX25" s="1882"/>
      <c r="ILZ25" s="1887"/>
      <c r="IMA25" s="1888"/>
      <c r="IMB25" s="1882"/>
      <c r="IMC25" s="1882"/>
      <c r="IMD25" s="1882"/>
      <c r="IMF25" s="1887"/>
      <c r="IMG25" s="1888"/>
      <c r="IMH25" s="1882"/>
      <c r="IMI25" s="1882"/>
      <c r="IMJ25" s="1882"/>
      <c r="IML25" s="1887"/>
      <c r="IMM25" s="1888"/>
      <c r="IMN25" s="1882"/>
      <c r="IMO25" s="1882"/>
      <c r="IMP25" s="1882"/>
      <c r="IMR25" s="1887"/>
      <c r="IMS25" s="1888"/>
      <c r="IMT25" s="1882"/>
      <c r="IMU25" s="1882"/>
      <c r="IMV25" s="1882"/>
      <c r="IMX25" s="1887"/>
      <c r="IMY25" s="1888"/>
      <c r="IMZ25" s="1882"/>
      <c r="INA25" s="1882"/>
      <c r="INB25" s="1882"/>
      <c r="IND25" s="1887"/>
      <c r="INE25" s="1888"/>
      <c r="INF25" s="1882"/>
      <c r="ING25" s="1882"/>
      <c r="INH25" s="1882"/>
      <c r="INJ25" s="1887"/>
      <c r="INK25" s="1888"/>
      <c r="INL25" s="1882"/>
      <c r="INM25" s="1882"/>
      <c r="INN25" s="1882"/>
      <c r="INP25" s="1887"/>
      <c r="INQ25" s="1888"/>
      <c r="INR25" s="1882"/>
      <c r="INS25" s="1882"/>
      <c r="INT25" s="1882"/>
      <c r="INV25" s="1887"/>
      <c r="INW25" s="1888"/>
      <c r="INX25" s="1882"/>
      <c r="INY25" s="1882"/>
      <c r="INZ25" s="1882"/>
      <c r="IOB25" s="1887"/>
      <c r="IOC25" s="1888"/>
      <c r="IOD25" s="1882"/>
      <c r="IOE25" s="1882"/>
      <c r="IOF25" s="1882"/>
      <c r="IOH25" s="1887"/>
      <c r="IOI25" s="1888"/>
      <c r="IOJ25" s="1882"/>
      <c r="IOK25" s="1882"/>
      <c r="IOL25" s="1882"/>
      <c r="ION25" s="1887"/>
      <c r="IOO25" s="1888"/>
      <c r="IOP25" s="1882"/>
      <c r="IOQ25" s="1882"/>
      <c r="IOR25" s="1882"/>
      <c r="IOT25" s="1887"/>
      <c r="IOU25" s="1888"/>
      <c r="IOV25" s="1882"/>
      <c r="IOW25" s="1882"/>
      <c r="IOX25" s="1882"/>
      <c r="IOZ25" s="1887"/>
      <c r="IPA25" s="1888"/>
      <c r="IPB25" s="1882"/>
      <c r="IPC25" s="1882"/>
      <c r="IPD25" s="1882"/>
      <c r="IPF25" s="1887"/>
      <c r="IPG25" s="1888"/>
      <c r="IPH25" s="1882"/>
      <c r="IPI25" s="1882"/>
      <c r="IPJ25" s="1882"/>
      <c r="IPL25" s="1887"/>
      <c r="IPM25" s="1888"/>
      <c r="IPN25" s="1882"/>
      <c r="IPO25" s="1882"/>
      <c r="IPP25" s="1882"/>
      <c r="IPR25" s="1887"/>
      <c r="IPS25" s="1888"/>
      <c r="IPT25" s="1882"/>
      <c r="IPU25" s="1882"/>
      <c r="IPV25" s="1882"/>
      <c r="IPX25" s="1887"/>
      <c r="IPY25" s="1888"/>
      <c r="IPZ25" s="1882"/>
      <c r="IQA25" s="1882"/>
      <c r="IQB25" s="1882"/>
      <c r="IQD25" s="1887"/>
      <c r="IQE25" s="1888"/>
      <c r="IQF25" s="1882"/>
      <c r="IQG25" s="1882"/>
      <c r="IQH25" s="1882"/>
      <c r="IQJ25" s="1887"/>
      <c r="IQK25" s="1888"/>
      <c r="IQL25" s="1882"/>
      <c r="IQM25" s="1882"/>
      <c r="IQN25" s="1882"/>
      <c r="IQP25" s="1887"/>
      <c r="IQQ25" s="1888"/>
      <c r="IQR25" s="1882"/>
      <c r="IQS25" s="1882"/>
      <c r="IQT25" s="1882"/>
      <c r="IQV25" s="1887"/>
      <c r="IQW25" s="1888"/>
      <c r="IQX25" s="1882"/>
      <c r="IQY25" s="1882"/>
      <c r="IQZ25" s="1882"/>
      <c r="IRB25" s="1887"/>
      <c r="IRC25" s="1888"/>
      <c r="IRD25" s="1882"/>
      <c r="IRE25" s="1882"/>
      <c r="IRF25" s="1882"/>
      <c r="IRH25" s="1887"/>
      <c r="IRI25" s="1888"/>
      <c r="IRJ25" s="1882"/>
      <c r="IRK25" s="1882"/>
      <c r="IRL25" s="1882"/>
      <c r="IRN25" s="1887"/>
      <c r="IRO25" s="1888"/>
      <c r="IRP25" s="1882"/>
      <c r="IRQ25" s="1882"/>
      <c r="IRR25" s="1882"/>
      <c r="IRT25" s="1887"/>
      <c r="IRU25" s="1888"/>
      <c r="IRV25" s="1882"/>
      <c r="IRW25" s="1882"/>
      <c r="IRX25" s="1882"/>
      <c r="IRZ25" s="1887"/>
      <c r="ISA25" s="1888"/>
      <c r="ISB25" s="1882"/>
      <c r="ISC25" s="1882"/>
      <c r="ISD25" s="1882"/>
      <c r="ISF25" s="1887"/>
      <c r="ISG25" s="1888"/>
      <c r="ISH25" s="1882"/>
      <c r="ISI25" s="1882"/>
      <c r="ISJ25" s="1882"/>
      <c r="ISL25" s="1887"/>
      <c r="ISM25" s="1888"/>
      <c r="ISN25" s="1882"/>
      <c r="ISO25" s="1882"/>
      <c r="ISP25" s="1882"/>
      <c r="ISR25" s="1887"/>
      <c r="ISS25" s="1888"/>
      <c r="IST25" s="1882"/>
      <c r="ISU25" s="1882"/>
      <c r="ISV25" s="1882"/>
      <c r="ISX25" s="1887"/>
      <c r="ISY25" s="1888"/>
      <c r="ISZ25" s="1882"/>
      <c r="ITA25" s="1882"/>
      <c r="ITB25" s="1882"/>
      <c r="ITD25" s="1887"/>
      <c r="ITE25" s="1888"/>
      <c r="ITF25" s="1882"/>
      <c r="ITG25" s="1882"/>
      <c r="ITH25" s="1882"/>
      <c r="ITJ25" s="1887"/>
      <c r="ITK25" s="1888"/>
      <c r="ITL25" s="1882"/>
      <c r="ITM25" s="1882"/>
      <c r="ITN25" s="1882"/>
      <c r="ITP25" s="1887"/>
      <c r="ITQ25" s="1888"/>
      <c r="ITR25" s="1882"/>
      <c r="ITS25" s="1882"/>
      <c r="ITT25" s="1882"/>
      <c r="ITV25" s="1887"/>
      <c r="ITW25" s="1888"/>
      <c r="ITX25" s="1882"/>
      <c r="ITY25" s="1882"/>
      <c r="ITZ25" s="1882"/>
      <c r="IUB25" s="1887"/>
      <c r="IUC25" s="1888"/>
      <c r="IUD25" s="1882"/>
      <c r="IUE25" s="1882"/>
      <c r="IUF25" s="1882"/>
      <c r="IUH25" s="1887"/>
      <c r="IUI25" s="1888"/>
      <c r="IUJ25" s="1882"/>
      <c r="IUK25" s="1882"/>
      <c r="IUL25" s="1882"/>
      <c r="IUN25" s="1887"/>
      <c r="IUO25" s="1888"/>
      <c r="IUP25" s="1882"/>
      <c r="IUQ25" s="1882"/>
      <c r="IUR25" s="1882"/>
      <c r="IUT25" s="1887"/>
      <c r="IUU25" s="1888"/>
      <c r="IUV25" s="1882"/>
      <c r="IUW25" s="1882"/>
      <c r="IUX25" s="1882"/>
      <c r="IUZ25" s="1887"/>
      <c r="IVA25" s="1888"/>
      <c r="IVB25" s="1882"/>
      <c r="IVC25" s="1882"/>
      <c r="IVD25" s="1882"/>
      <c r="IVF25" s="1887"/>
      <c r="IVG25" s="1888"/>
      <c r="IVH25" s="1882"/>
      <c r="IVI25" s="1882"/>
      <c r="IVJ25" s="1882"/>
      <c r="IVL25" s="1887"/>
      <c r="IVM25" s="1888"/>
      <c r="IVN25" s="1882"/>
      <c r="IVO25" s="1882"/>
      <c r="IVP25" s="1882"/>
      <c r="IVR25" s="1887"/>
      <c r="IVS25" s="1888"/>
      <c r="IVT25" s="1882"/>
      <c r="IVU25" s="1882"/>
      <c r="IVV25" s="1882"/>
      <c r="IVX25" s="1887"/>
      <c r="IVY25" s="1888"/>
      <c r="IVZ25" s="1882"/>
      <c r="IWA25" s="1882"/>
      <c r="IWB25" s="1882"/>
      <c r="IWD25" s="1887"/>
      <c r="IWE25" s="1888"/>
      <c r="IWF25" s="1882"/>
      <c r="IWG25" s="1882"/>
      <c r="IWH25" s="1882"/>
      <c r="IWJ25" s="1887"/>
      <c r="IWK25" s="1888"/>
      <c r="IWL25" s="1882"/>
      <c r="IWM25" s="1882"/>
      <c r="IWN25" s="1882"/>
      <c r="IWP25" s="1887"/>
      <c r="IWQ25" s="1888"/>
      <c r="IWR25" s="1882"/>
      <c r="IWS25" s="1882"/>
      <c r="IWT25" s="1882"/>
      <c r="IWV25" s="1887"/>
      <c r="IWW25" s="1888"/>
      <c r="IWX25" s="1882"/>
      <c r="IWY25" s="1882"/>
      <c r="IWZ25" s="1882"/>
      <c r="IXB25" s="1887"/>
      <c r="IXC25" s="1888"/>
      <c r="IXD25" s="1882"/>
      <c r="IXE25" s="1882"/>
      <c r="IXF25" s="1882"/>
      <c r="IXH25" s="1887"/>
      <c r="IXI25" s="1888"/>
      <c r="IXJ25" s="1882"/>
      <c r="IXK25" s="1882"/>
      <c r="IXL25" s="1882"/>
      <c r="IXN25" s="1887"/>
      <c r="IXO25" s="1888"/>
      <c r="IXP25" s="1882"/>
      <c r="IXQ25" s="1882"/>
      <c r="IXR25" s="1882"/>
      <c r="IXT25" s="1887"/>
      <c r="IXU25" s="1888"/>
      <c r="IXV25" s="1882"/>
      <c r="IXW25" s="1882"/>
      <c r="IXX25" s="1882"/>
      <c r="IXZ25" s="1887"/>
      <c r="IYA25" s="1888"/>
      <c r="IYB25" s="1882"/>
      <c r="IYC25" s="1882"/>
      <c r="IYD25" s="1882"/>
      <c r="IYF25" s="1887"/>
      <c r="IYG25" s="1888"/>
      <c r="IYH25" s="1882"/>
      <c r="IYI25" s="1882"/>
      <c r="IYJ25" s="1882"/>
      <c r="IYL25" s="1887"/>
      <c r="IYM25" s="1888"/>
      <c r="IYN25" s="1882"/>
      <c r="IYO25" s="1882"/>
      <c r="IYP25" s="1882"/>
      <c r="IYR25" s="1887"/>
      <c r="IYS25" s="1888"/>
      <c r="IYT25" s="1882"/>
      <c r="IYU25" s="1882"/>
      <c r="IYV25" s="1882"/>
      <c r="IYX25" s="1887"/>
      <c r="IYY25" s="1888"/>
      <c r="IYZ25" s="1882"/>
      <c r="IZA25" s="1882"/>
      <c r="IZB25" s="1882"/>
      <c r="IZD25" s="1887"/>
      <c r="IZE25" s="1888"/>
      <c r="IZF25" s="1882"/>
      <c r="IZG25" s="1882"/>
      <c r="IZH25" s="1882"/>
      <c r="IZJ25" s="1887"/>
      <c r="IZK25" s="1888"/>
      <c r="IZL25" s="1882"/>
      <c r="IZM25" s="1882"/>
      <c r="IZN25" s="1882"/>
      <c r="IZP25" s="1887"/>
      <c r="IZQ25" s="1888"/>
      <c r="IZR25" s="1882"/>
      <c r="IZS25" s="1882"/>
      <c r="IZT25" s="1882"/>
      <c r="IZV25" s="1887"/>
      <c r="IZW25" s="1888"/>
      <c r="IZX25" s="1882"/>
      <c r="IZY25" s="1882"/>
      <c r="IZZ25" s="1882"/>
      <c r="JAB25" s="1887"/>
      <c r="JAC25" s="1888"/>
      <c r="JAD25" s="1882"/>
      <c r="JAE25" s="1882"/>
      <c r="JAF25" s="1882"/>
      <c r="JAH25" s="1887"/>
      <c r="JAI25" s="1888"/>
      <c r="JAJ25" s="1882"/>
      <c r="JAK25" s="1882"/>
      <c r="JAL25" s="1882"/>
      <c r="JAN25" s="1887"/>
      <c r="JAO25" s="1888"/>
      <c r="JAP25" s="1882"/>
      <c r="JAQ25" s="1882"/>
      <c r="JAR25" s="1882"/>
      <c r="JAT25" s="1887"/>
      <c r="JAU25" s="1888"/>
      <c r="JAV25" s="1882"/>
      <c r="JAW25" s="1882"/>
      <c r="JAX25" s="1882"/>
      <c r="JAZ25" s="1887"/>
      <c r="JBA25" s="1888"/>
      <c r="JBB25" s="1882"/>
      <c r="JBC25" s="1882"/>
      <c r="JBD25" s="1882"/>
      <c r="JBF25" s="1887"/>
      <c r="JBG25" s="1888"/>
      <c r="JBH25" s="1882"/>
      <c r="JBI25" s="1882"/>
      <c r="JBJ25" s="1882"/>
      <c r="JBL25" s="1887"/>
      <c r="JBM25" s="1888"/>
      <c r="JBN25" s="1882"/>
      <c r="JBO25" s="1882"/>
      <c r="JBP25" s="1882"/>
      <c r="JBR25" s="1887"/>
      <c r="JBS25" s="1888"/>
      <c r="JBT25" s="1882"/>
      <c r="JBU25" s="1882"/>
      <c r="JBV25" s="1882"/>
      <c r="JBX25" s="1887"/>
      <c r="JBY25" s="1888"/>
      <c r="JBZ25" s="1882"/>
      <c r="JCA25" s="1882"/>
      <c r="JCB25" s="1882"/>
      <c r="JCD25" s="1887"/>
      <c r="JCE25" s="1888"/>
      <c r="JCF25" s="1882"/>
      <c r="JCG25" s="1882"/>
      <c r="JCH25" s="1882"/>
      <c r="JCJ25" s="1887"/>
      <c r="JCK25" s="1888"/>
      <c r="JCL25" s="1882"/>
      <c r="JCM25" s="1882"/>
      <c r="JCN25" s="1882"/>
      <c r="JCP25" s="1887"/>
      <c r="JCQ25" s="1888"/>
      <c r="JCR25" s="1882"/>
      <c r="JCS25" s="1882"/>
      <c r="JCT25" s="1882"/>
      <c r="JCV25" s="1887"/>
      <c r="JCW25" s="1888"/>
      <c r="JCX25" s="1882"/>
      <c r="JCY25" s="1882"/>
      <c r="JCZ25" s="1882"/>
      <c r="JDB25" s="1887"/>
      <c r="JDC25" s="1888"/>
      <c r="JDD25" s="1882"/>
      <c r="JDE25" s="1882"/>
      <c r="JDF25" s="1882"/>
      <c r="JDH25" s="1887"/>
      <c r="JDI25" s="1888"/>
      <c r="JDJ25" s="1882"/>
      <c r="JDK25" s="1882"/>
      <c r="JDL25" s="1882"/>
      <c r="JDN25" s="1887"/>
      <c r="JDO25" s="1888"/>
      <c r="JDP25" s="1882"/>
      <c r="JDQ25" s="1882"/>
      <c r="JDR25" s="1882"/>
      <c r="JDT25" s="1887"/>
      <c r="JDU25" s="1888"/>
      <c r="JDV25" s="1882"/>
      <c r="JDW25" s="1882"/>
      <c r="JDX25" s="1882"/>
      <c r="JDZ25" s="1887"/>
      <c r="JEA25" s="1888"/>
      <c r="JEB25" s="1882"/>
      <c r="JEC25" s="1882"/>
      <c r="JED25" s="1882"/>
      <c r="JEF25" s="1887"/>
      <c r="JEG25" s="1888"/>
      <c r="JEH25" s="1882"/>
      <c r="JEI25" s="1882"/>
      <c r="JEJ25" s="1882"/>
      <c r="JEL25" s="1887"/>
      <c r="JEM25" s="1888"/>
      <c r="JEN25" s="1882"/>
      <c r="JEO25" s="1882"/>
      <c r="JEP25" s="1882"/>
      <c r="JER25" s="1887"/>
      <c r="JES25" s="1888"/>
      <c r="JET25" s="1882"/>
      <c r="JEU25" s="1882"/>
      <c r="JEV25" s="1882"/>
      <c r="JEX25" s="1887"/>
      <c r="JEY25" s="1888"/>
      <c r="JEZ25" s="1882"/>
      <c r="JFA25" s="1882"/>
      <c r="JFB25" s="1882"/>
      <c r="JFD25" s="1887"/>
      <c r="JFE25" s="1888"/>
      <c r="JFF25" s="1882"/>
      <c r="JFG25" s="1882"/>
      <c r="JFH25" s="1882"/>
      <c r="JFJ25" s="1887"/>
      <c r="JFK25" s="1888"/>
      <c r="JFL25" s="1882"/>
      <c r="JFM25" s="1882"/>
      <c r="JFN25" s="1882"/>
      <c r="JFP25" s="1887"/>
      <c r="JFQ25" s="1888"/>
      <c r="JFR25" s="1882"/>
      <c r="JFS25" s="1882"/>
      <c r="JFT25" s="1882"/>
      <c r="JFV25" s="1887"/>
      <c r="JFW25" s="1888"/>
      <c r="JFX25" s="1882"/>
      <c r="JFY25" s="1882"/>
      <c r="JFZ25" s="1882"/>
      <c r="JGB25" s="1887"/>
      <c r="JGC25" s="1888"/>
      <c r="JGD25" s="1882"/>
      <c r="JGE25" s="1882"/>
      <c r="JGF25" s="1882"/>
      <c r="JGH25" s="1887"/>
      <c r="JGI25" s="1888"/>
      <c r="JGJ25" s="1882"/>
      <c r="JGK25" s="1882"/>
      <c r="JGL25" s="1882"/>
      <c r="JGN25" s="1887"/>
      <c r="JGO25" s="1888"/>
      <c r="JGP25" s="1882"/>
      <c r="JGQ25" s="1882"/>
      <c r="JGR25" s="1882"/>
      <c r="JGT25" s="1887"/>
      <c r="JGU25" s="1888"/>
      <c r="JGV25" s="1882"/>
      <c r="JGW25" s="1882"/>
      <c r="JGX25" s="1882"/>
      <c r="JGZ25" s="1887"/>
      <c r="JHA25" s="1888"/>
      <c r="JHB25" s="1882"/>
      <c r="JHC25" s="1882"/>
      <c r="JHD25" s="1882"/>
      <c r="JHF25" s="1887"/>
      <c r="JHG25" s="1888"/>
      <c r="JHH25" s="1882"/>
      <c r="JHI25" s="1882"/>
      <c r="JHJ25" s="1882"/>
      <c r="JHL25" s="1887"/>
      <c r="JHM25" s="1888"/>
      <c r="JHN25" s="1882"/>
      <c r="JHO25" s="1882"/>
      <c r="JHP25" s="1882"/>
      <c r="JHR25" s="1887"/>
      <c r="JHS25" s="1888"/>
      <c r="JHT25" s="1882"/>
      <c r="JHU25" s="1882"/>
      <c r="JHV25" s="1882"/>
      <c r="JHX25" s="1887"/>
      <c r="JHY25" s="1888"/>
      <c r="JHZ25" s="1882"/>
      <c r="JIA25" s="1882"/>
      <c r="JIB25" s="1882"/>
      <c r="JID25" s="1887"/>
      <c r="JIE25" s="1888"/>
      <c r="JIF25" s="1882"/>
      <c r="JIG25" s="1882"/>
      <c r="JIH25" s="1882"/>
      <c r="JIJ25" s="1887"/>
      <c r="JIK25" s="1888"/>
      <c r="JIL25" s="1882"/>
      <c r="JIM25" s="1882"/>
      <c r="JIN25" s="1882"/>
      <c r="JIP25" s="1887"/>
      <c r="JIQ25" s="1888"/>
      <c r="JIR25" s="1882"/>
      <c r="JIS25" s="1882"/>
      <c r="JIT25" s="1882"/>
      <c r="JIV25" s="1887"/>
      <c r="JIW25" s="1888"/>
      <c r="JIX25" s="1882"/>
      <c r="JIY25" s="1882"/>
      <c r="JIZ25" s="1882"/>
      <c r="JJB25" s="1887"/>
      <c r="JJC25" s="1888"/>
      <c r="JJD25" s="1882"/>
      <c r="JJE25" s="1882"/>
      <c r="JJF25" s="1882"/>
      <c r="JJH25" s="1887"/>
      <c r="JJI25" s="1888"/>
      <c r="JJJ25" s="1882"/>
      <c r="JJK25" s="1882"/>
      <c r="JJL25" s="1882"/>
      <c r="JJN25" s="1887"/>
      <c r="JJO25" s="1888"/>
      <c r="JJP25" s="1882"/>
      <c r="JJQ25" s="1882"/>
      <c r="JJR25" s="1882"/>
      <c r="JJT25" s="1887"/>
      <c r="JJU25" s="1888"/>
      <c r="JJV25" s="1882"/>
      <c r="JJW25" s="1882"/>
      <c r="JJX25" s="1882"/>
      <c r="JJZ25" s="1887"/>
      <c r="JKA25" s="1888"/>
      <c r="JKB25" s="1882"/>
      <c r="JKC25" s="1882"/>
      <c r="JKD25" s="1882"/>
      <c r="JKF25" s="1887"/>
      <c r="JKG25" s="1888"/>
      <c r="JKH25" s="1882"/>
      <c r="JKI25" s="1882"/>
      <c r="JKJ25" s="1882"/>
      <c r="JKL25" s="1887"/>
      <c r="JKM25" s="1888"/>
      <c r="JKN25" s="1882"/>
      <c r="JKO25" s="1882"/>
      <c r="JKP25" s="1882"/>
      <c r="JKR25" s="1887"/>
      <c r="JKS25" s="1888"/>
      <c r="JKT25" s="1882"/>
      <c r="JKU25" s="1882"/>
      <c r="JKV25" s="1882"/>
      <c r="JKX25" s="1887"/>
      <c r="JKY25" s="1888"/>
      <c r="JKZ25" s="1882"/>
      <c r="JLA25" s="1882"/>
      <c r="JLB25" s="1882"/>
      <c r="JLD25" s="1887"/>
      <c r="JLE25" s="1888"/>
      <c r="JLF25" s="1882"/>
      <c r="JLG25" s="1882"/>
      <c r="JLH25" s="1882"/>
      <c r="JLJ25" s="1887"/>
      <c r="JLK25" s="1888"/>
      <c r="JLL25" s="1882"/>
      <c r="JLM25" s="1882"/>
      <c r="JLN25" s="1882"/>
      <c r="JLP25" s="1887"/>
      <c r="JLQ25" s="1888"/>
      <c r="JLR25" s="1882"/>
      <c r="JLS25" s="1882"/>
      <c r="JLT25" s="1882"/>
      <c r="JLV25" s="1887"/>
      <c r="JLW25" s="1888"/>
      <c r="JLX25" s="1882"/>
      <c r="JLY25" s="1882"/>
      <c r="JLZ25" s="1882"/>
      <c r="JMB25" s="1887"/>
      <c r="JMC25" s="1888"/>
      <c r="JMD25" s="1882"/>
      <c r="JME25" s="1882"/>
      <c r="JMF25" s="1882"/>
      <c r="JMH25" s="1887"/>
      <c r="JMI25" s="1888"/>
      <c r="JMJ25" s="1882"/>
      <c r="JMK25" s="1882"/>
      <c r="JML25" s="1882"/>
      <c r="JMN25" s="1887"/>
      <c r="JMO25" s="1888"/>
      <c r="JMP25" s="1882"/>
      <c r="JMQ25" s="1882"/>
      <c r="JMR25" s="1882"/>
      <c r="JMT25" s="1887"/>
      <c r="JMU25" s="1888"/>
      <c r="JMV25" s="1882"/>
      <c r="JMW25" s="1882"/>
      <c r="JMX25" s="1882"/>
      <c r="JMZ25" s="1887"/>
      <c r="JNA25" s="1888"/>
      <c r="JNB25" s="1882"/>
      <c r="JNC25" s="1882"/>
      <c r="JND25" s="1882"/>
      <c r="JNF25" s="1887"/>
      <c r="JNG25" s="1888"/>
      <c r="JNH25" s="1882"/>
      <c r="JNI25" s="1882"/>
      <c r="JNJ25" s="1882"/>
      <c r="JNL25" s="1887"/>
      <c r="JNM25" s="1888"/>
      <c r="JNN25" s="1882"/>
      <c r="JNO25" s="1882"/>
      <c r="JNP25" s="1882"/>
      <c r="JNR25" s="1887"/>
      <c r="JNS25" s="1888"/>
      <c r="JNT25" s="1882"/>
      <c r="JNU25" s="1882"/>
      <c r="JNV25" s="1882"/>
      <c r="JNX25" s="1887"/>
      <c r="JNY25" s="1888"/>
      <c r="JNZ25" s="1882"/>
      <c r="JOA25" s="1882"/>
      <c r="JOB25" s="1882"/>
      <c r="JOD25" s="1887"/>
      <c r="JOE25" s="1888"/>
      <c r="JOF25" s="1882"/>
      <c r="JOG25" s="1882"/>
      <c r="JOH25" s="1882"/>
      <c r="JOJ25" s="1887"/>
      <c r="JOK25" s="1888"/>
      <c r="JOL25" s="1882"/>
      <c r="JOM25" s="1882"/>
      <c r="JON25" s="1882"/>
      <c r="JOP25" s="1887"/>
      <c r="JOQ25" s="1888"/>
      <c r="JOR25" s="1882"/>
      <c r="JOS25" s="1882"/>
      <c r="JOT25" s="1882"/>
      <c r="JOV25" s="1887"/>
      <c r="JOW25" s="1888"/>
      <c r="JOX25" s="1882"/>
      <c r="JOY25" s="1882"/>
      <c r="JOZ25" s="1882"/>
      <c r="JPB25" s="1887"/>
      <c r="JPC25" s="1888"/>
      <c r="JPD25" s="1882"/>
      <c r="JPE25" s="1882"/>
      <c r="JPF25" s="1882"/>
      <c r="JPH25" s="1887"/>
      <c r="JPI25" s="1888"/>
      <c r="JPJ25" s="1882"/>
      <c r="JPK25" s="1882"/>
      <c r="JPL25" s="1882"/>
      <c r="JPN25" s="1887"/>
      <c r="JPO25" s="1888"/>
      <c r="JPP25" s="1882"/>
      <c r="JPQ25" s="1882"/>
      <c r="JPR25" s="1882"/>
      <c r="JPT25" s="1887"/>
      <c r="JPU25" s="1888"/>
      <c r="JPV25" s="1882"/>
      <c r="JPW25" s="1882"/>
      <c r="JPX25" s="1882"/>
      <c r="JPZ25" s="1887"/>
      <c r="JQA25" s="1888"/>
      <c r="JQB25" s="1882"/>
      <c r="JQC25" s="1882"/>
      <c r="JQD25" s="1882"/>
      <c r="JQF25" s="1887"/>
      <c r="JQG25" s="1888"/>
      <c r="JQH25" s="1882"/>
      <c r="JQI25" s="1882"/>
      <c r="JQJ25" s="1882"/>
      <c r="JQL25" s="1887"/>
      <c r="JQM25" s="1888"/>
      <c r="JQN25" s="1882"/>
      <c r="JQO25" s="1882"/>
      <c r="JQP25" s="1882"/>
      <c r="JQR25" s="1887"/>
      <c r="JQS25" s="1888"/>
      <c r="JQT25" s="1882"/>
      <c r="JQU25" s="1882"/>
      <c r="JQV25" s="1882"/>
      <c r="JQX25" s="1887"/>
      <c r="JQY25" s="1888"/>
      <c r="JQZ25" s="1882"/>
      <c r="JRA25" s="1882"/>
      <c r="JRB25" s="1882"/>
      <c r="JRD25" s="1887"/>
      <c r="JRE25" s="1888"/>
      <c r="JRF25" s="1882"/>
      <c r="JRG25" s="1882"/>
      <c r="JRH25" s="1882"/>
      <c r="JRJ25" s="1887"/>
      <c r="JRK25" s="1888"/>
      <c r="JRL25" s="1882"/>
      <c r="JRM25" s="1882"/>
      <c r="JRN25" s="1882"/>
      <c r="JRP25" s="1887"/>
      <c r="JRQ25" s="1888"/>
      <c r="JRR25" s="1882"/>
      <c r="JRS25" s="1882"/>
      <c r="JRT25" s="1882"/>
      <c r="JRV25" s="1887"/>
      <c r="JRW25" s="1888"/>
      <c r="JRX25" s="1882"/>
      <c r="JRY25" s="1882"/>
      <c r="JRZ25" s="1882"/>
      <c r="JSB25" s="1887"/>
      <c r="JSC25" s="1888"/>
      <c r="JSD25" s="1882"/>
      <c r="JSE25" s="1882"/>
      <c r="JSF25" s="1882"/>
      <c r="JSH25" s="1887"/>
      <c r="JSI25" s="1888"/>
      <c r="JSJ25" s="1882"/>
      <c r="JSK25" s="1882"/>
      <c r="JSL25" s="1882"/>
      <c r="JSN25" s="1887"/>
      <c r="JSO25" s="1888"/>
      <c r="JSP25" s="1882"/>
      <c r="JSQ25" s="1882"/>
      <c r="JSR25" s="1882"/>
      <c r="JST25" s="1887"/>
      <c r="JSU25" s="1888"/>
      <c r="JSV25" s="1882"/>
      <c r="JSW25" s="1882"/>
      <c r="JSX25" s="1882"/>
      <c r="JSZ25" s="1887"/>
      <c r="JTA25" s="1888"/>
      <c r="JTB25" s="1882"/>
      <c r="JTC25" s="1882"/>
      <c r="JTD25" s="1882"/>
      <c r="JTF25" s="1887"/>
      <c r="JTG25" s="1888"/>
      <c r="JTH25" s="1882"/>
      <c r="JTI25" s="1882"/>
      <c r="JTJ25" s="1882"/>
      <c r="JTL25" s="1887"/>
      <c r="JTM25" s="1888"/>
      <c r="JTN25" s="1882"/>
      <c r="JTO25" s="1882"/>
      <c r="JTP25" s="1882"/>
      <c r="JTR25" s="1887"/>
      <c r="JTS25" s="1888"/>
      <c r="JTT25" s="1882"/>
      <c r="JTU25" s="1882"/>
      <c r="JTV25" s="1882"/>
      <c r="JTX25" s="1887"/>
      <c r="JTY25" s="1888"/>
      <c r="JTZ25" s="1882"/>
      <c r="JUA25" s="1882"/>
      <c r="JUB25" s="1882"/>
      <c r="JUD25" s="1887"/>
      <c r="JUE25" s="1888"/>
      <c r="JUF25" s="1882"/>
      <c r="JUG25" s="1882"/>
      <c r="JUH25" s="1882"/>
      <c r="JUJ25" s="1887"/>
      <c r="JUK25" s="1888"/>
      <c r="JUL25" s="1882"/>
      <c r="JUM25" s="1882"/>
      <c r="JUN25" s="1882"/>
      <c r="JUP25" s="1887"/>
      <c r="JUQ25" s="1888"/>
      <c r="JUR25" s="1882"/>
      <c r="JUS25" s="1882"/>
      <c r="JUT25" s="1882"/>
      <c r="JUV25" s="1887"/>
      <c r="JUW25" s="1888"/>
      <c r="JUX25" s="1882"/>
      <c r="JUY25" s="1882"/>
      <c r="JUZ25" s="1882"/>
      <c r="JVB25" s="1887"/>
      <c r="JVC25" s="1888"/>
      <c r="JVD25" s="1882"/>
      <c r="JVE25" s="1882"/>
      <c r="JVF25" s="1882"/>
      <c r="JVH25" s="1887"/>
      <c r="JVI25" s="1888"/>
      <c r="JVJ25" s="1882"/>
      <c r="JVK25" s="1882"/>
      <c r="JVL25" s="1882"/>
      <c r="JVN25" s="1887"/>
      <c r="JVO25" s="1888"/>
      <c r="JVP25" s="1882"/>
      <c r="JVQ25" s="1882"/>
      <c r="JVR25" s="1882"/>
      <c r="JVT25" s="1887"/>
      <c r="JVU25" s="1888"/>
      <c r="JVV25" s="1882"/>
      <c r="JVW25" s="1882"/>
      <c r="JVX25" s="1882"/>
      <c r="JVZ25" s="1887"/>
      <c r="JWA25" s="1888"/>
      <c r="JWB25" s="1882"/>
      <c r="JWC25" s="1882"/>
      <c r="JWD25" s="1882"/>
      <c r="JWF25" s="1887"/>
      <c r="JWG25" s="1888"/>
      <c r="JWH25" s="1882"/>
      <c r="JWI25" s="1882"/>
      <c r="JWJ25" s="1882"/>
      <c r="JWL25" s="1887"/>
      <c r="JWM25" s="1888"/>
      <c r="JWN25" s="1882"/>
      <c r="JWO25" s="1882"/>
      <c r="JWP25" s="1882"/>
      <c r="JWR25" s="1887"/>
      <c r="JWS25" s="1888"/>
      <c r="JWT25" s="1882"/>
      <c r="JWU25" s="1882"/>
      <c r="JWV25" s="1882"/>
      <c r="JWX25" s="1887"/>
      <c r="JWY25" s="1888"/>
      <c r="JWZ25" s="1882"/>
      <c r="JXA25" s="1882"/>
      <c r="JXB25" s="1882"/>
      <c r="JXD25" s="1887"/>
      <c r="JXE25" s="1888"/>
      <c r="JXF25" s="1882"/>
      <c r="JXG25" s="1882"/>
      <c r="JXH25" s="1882"/>
      <c r="JXJ25" s="1887"/>
      <c r="JXK25" s="1888"/>
      <c r="JXL25" s="1882"/>
      <c r="JXM25" s="1882"/>
      <c r="JXN25" s="1882"/>
      <c r="JXP25" s="1887"/>
      <c r="JXQ25" s="1888"/>
      <c r="JXR25" s="1882"/>
      <c r="JXS25" s="1882"/>
      <c r="JXT25" s="1882"/>
      <c r="JXV25" s="1887"/>
      <c r="JXW25" s="1888"/>
      <c r="JXX25" s="1882"/>
      <c r="JXY25" s="1882"/>
      <c r="JXZ25" s="1882"/>
      <c r="JYB25" s="1887"/>
      <c r="JYC25" s="1888"/>
      <c r="JYD25" s="1882"/>
      <c r="JYE25" s="1882"/>
      <c r="JYF25" s="1882"/>
      <c r="JYH25" s="1887"/>
      <c r="JYI25" s="1888"/>
      <c r="JYJ25" s="1882"/>
      <c r="JYK25" s="1882"/>
      <c r="JYL25" s="1882"/>
      <c r="JYN25" s="1887"/>
      <c r="JYO25" s="1888"/>
      <c r="JYP25" s="1882"/>
      <c r="JYQ25" s="1882"/>
      <c r="JYR25" s="1882"/>
      <c r="JYT25" s="1887"/>
      <c r="JYU25" s="1888"/>
      <c r="JYV25" s="1882"/>
      <c r="JYW25" s="1882"/>
      <c r="JYX25" s="1882"/>
      <c r="JYZ25" s="1887"/>
      <c r="JZA25" s="1888"/>
      <c r="JZB25" s="1882"/>
      <c r="JZC25" s="1882"/>
      <c r="JZD25" s="1882"/>
      <c r="JZF25" s="1887"/>
      <c r="JZG25" s="1888"/>
      <c r="JZH25" s="1882"/>
      <c r="JZI25" s="1882"/>
      <c r="JZJ25" s="1882"/>
      <c r="JZL25" s="1887"/>
      <c r="JZM25" s="1888"/>
      <c r="JZN25" s="1882"/>
      <c r="JZO25" s="1882"/>
      <c r="JZP25" s="1882"/>
      <c r="JZR25" s="1887"/>
      <c r="JZS25" s="1888"/>
      <c r="JZT25" s="1882"/>
      <c r="JZU25" s="1882"/>
      <c r="JZV25" s="1882"/>
      <c r="JZX25" s="1887"/>
      <c r="JZY25" s="1888"/>
      <c r="JZZ25" s="1882"/>
      <c r="KAA25" s="1882"/>
      <c r="KAB25" s="1882"/>
      <c r="KAD25" s="1887"/>
      <c r="KAE25" s="1888"/>
      <c r="KAF25" s="1882"/>
      <c r="KAG25" s="1882"/>
      <c r="KAH25" s="1882"/>
      <c r="KAJ25" s="1887"/>
      <c r="KAK25" s="1888"/>
      <c r="KAL25" s="1882"/>
      <c r="KAM25" s="1882"/>
      <c r="KAN25" s="1882"/>
      <c r="KAP25" s="1887"/>
      <c r="KAQ25" s="1888"/>
      <c r="KAR25" s="1882"/>
      <c r="KAS25" s="1882"/>
      <c r="KAT25" s="1882"/>
      <c r="KAV25" s="1887"/>
      <c r="KAW25" s="1888"/>
      <c r="KAX25" s="1882"/>
      <c r="KAY25" s="1882"/>
      <c r="KAZ25" s="1882"/>
      <c r="KBB25" s="1887"/>
      <c r="KBC25" s="1888"/>
      <c r="KBD25" s="1882"/>
      <c r="KBE25" s="1882"/>
      <c r="KBF25" s="1882"/>
      <c r="KBH25" s="1887"/>
      <c r="KBI25" s="1888"/>
      <c r="KBJ25" s="1882"/>
      <c r="KBK25" s="1882"/>
      <c r="KBL25" s="1882"/>
      <c r="KBN25" s="1887"/>
      <c r="KBO25" s="1888"/>
      <c r="KBP25" s="1882"/>
      <c r="KBQ25" s="1882"/>
      <c r="KBR25" s="1882"/>
      <c r="KBT25" s="1887"/>
      <c r="KBU25" s="1888"/>
      <c r="KBV25" s="1882"/>
      <c r="KBW25" s="1882"/>
      <c r="KBX25" s="1882"/>
      <c r="KBZ25" s="1887"/>
      <c r="KCA25" s="1888"/>
      <c r="KCB25" s="1882"/>
      <c r="KCC25" s="1882"/>
      <c r="KCD25" s="1882"/>
      <c r="KCF25" s="1887"/>
      <c r="KCG25" s="1888"/>
      <c r="KCH25" s="1882"/>
      <c r="KCI25" s="1882"/>
      <c r="KCJ25" s="1882"/>
      <c r="KCL25" s="1887"/>
      <c r="KCM25" s="1888"/>
      <c r="KCN25" s="1882"/>
      <c r="KCO25" s="1882"/>
      <c r="KCP25" s="1882"/>
      <c r="KCR25" s="1887"/>
      <c r="KCS25" s="1888"/>
      <c r="KCT25" s="1882"/>
      <c r="KCU25" s="1882"/>
      <c r="KCV25" s="1882"/>
      <c r="KCX25" s="1887"/>
      <c r="KCY25" s="1888"/>
      <c r="KCZ25" s="1882"/>
      <c r="KDA25" s="1882"/>
      <c r="KDB25" s="1882"/>
      <c r="KDD25" s="1887"/>
      <c r="KDE25" s="1888"/>
      <c r="KDF25" s="1882"/>
      <c r="KDG25" s="1882"/>
      <c r="KDH25" s="1882"/>
      <c r="KDJ25" s="1887"/>
      <c r="KDK25" s="1888"/>
      <c r="KDL25" s="1882"/>
      <c r="KDM25" s="1882"/>
      <c r="KDN25" s="1882"/>
      <c r="KDP25" s="1887"/>
      <c r="KDQ25" s="1888"/>
      <c r="KDR25" s="1882"/>
      <c r="KDS25" s="1882"/>
      <c r="KDT25" s="1882"/>
      <c r="KDV25" s="1887"/>
      <c r="KDW25" s="1888"/>
      <c r="KDX25" s="1882"/>
      <c r="KDY25" s="1882"/>
      <c r="KDZ25" s="1882"/>
      <c r="KEB25" s="1887"/>
      <c r="KEC25" s="1888"/>
      <c r="KED25" s="1882"/>
      <c r="KEE25" s="1882"/>
      <c r="KEF25" s="1882"/>
      <c r="KEH25" s="1887"/>
      <c r="KEI25" s="1888"/>
      <c r="KEJ25" s="1882"/>
      <c r="KEK25" s="1882"/>
      <c r="KEL25" s="1882"/>
      <c r="KEN25" s="1887"/>
      <c r="KEO25" s="1888"/>
      <c r="KEP25" s="1882"/>
      <c r="KEQ25" s="1882"/>
      <c r="KER25" s="1882"/>
      <c r="KET25" s="1887"/>
      <c r="KEU25" s="1888"/>
      <c r="KEV25" s="1882"/>
      <c r="KEW25" s="1882"/>
      <c r="KEX25" s="1882"/>
      <c r="KEZ25" s="1887"/>
      <c r="KFA25" s="1888"/>
      <c r="KFB25" s="1882"/>
      <c r="KFC25" s="1882"/>
      <c r="KFD25" s="1882"/>
      <c r="KFF25" s="1887"/>
      <c r="KFG25" s="1888"/>
      <c r="KFH25" s="1882"/>
      <c r="KFI25" s="1882"/>
      <c r="KFJ25" s="1882"/>
      <c r="KFL25" s="1887"/>
      <c r="KFM25" s="1888"/>
      <c r="KFN25" s="1882"/>
      <c r="KFO25" s="1882"/>
      <c r="KFP25" s="1882"/>
      <c r="KFR25" s="1887"/>
      <c r="KFS25" s="1888"/>
      <c r="KFT25" s="1882"/>
      <c r="KFU25" s="1882"/>
      <c r="KFV25" s="1882"/>
      <c r="KFX25" s="1887"/>
      <c r="KFY25" s="1888"/>
      <c r="KFZ25" s="1882"/>
      <c r="KGA25" s="1882"/>
      <c r="KGB25" s="1882"/>
      <c r="KGD25" s="1887"/>
      <c r="KGE25" s="1888"/>
      <c r="KGF25" s="1882"/>
      <c r="KGG25" s="1882"/>
      <c r="KGH25" s="1882"/>
      <c r="KGJ25" s="1887"/>
      <c r="KGK25" s="1888"/>
      <c r="KGL25" s="1882"/>
      <c r="KGM25" s="1882"/>
      <c r="KGN25" s="1882"/>
      <c r="KGP25" s="1887"/>
      <c r="KGQ25" s="1888"/>
      <c r="KGR25" s="1882"/>
      <c r="KGS25" s="1882"/>
      <c r="KGT25" s="1882"/>
      <c r="KGV25" s="1887"/>
      <c r="KGW25" s="1888"/>
      <c r="KGX25" s="1882"/>
      <c r="KGY25" s="1882"/>
      <c r="KGZ25" s="1882"/>
      <c r="KHB25" s="1887"/>
      <c r="KHC25" s="1888"/>
      <c r="KHD25" s="1882"/>
      <c r="KHE25" s="1882"/>
      <c r="KHF25" s="1882"/>
      <c r="KHH25" s="1887"/>
      <c r="KHI25" s="1888"/>
      <c r="KHJ25" s="1882"/>
      <c r="KHK25" s="1882"/>
      <c r="KHL25" s="1882"/>
      <c r="KHN25" s="1887"/>
      <c r="KHO25" s="1888"/>
      <c r="KHP25" s="1882"/>
      <c r="KHQ25" s="1882"/>
      <c r="KHR25" s="1882"/>
      <c r="KHT25" s="1887"/>
      <c r="KHU25" s="1888"/>
      <c r="KHV25" s="1882"/>
      <c r="KHW25" s="1882"/>
      <c r="KHX25" s="1882"/>
      <c r="KHZ25" s="1887"/>
      <c r="KIA25" s="1888"/>
      <c r="KIB25" s="1882"/>
      <c r="KIC25" s="1882"/>
      <c r="KID25" s="1882"/>
      <c r="KIF25" s="1887"/>
      <c r="KIG25" s="1888"/>
      <c r="KIH25" s="1882"/>
      <c r="KII25" s="1882"/>
      <c r="KIJ25" s="1882"/>
      <c r="KIL25" s="1887"/>
      <c r="KIM25" s="1888"/>
      <c r="KIN25" s="1882"/>
      <c r="KIO25" s="1882"/>
      <c r="KIP25" s="1882"/>
      <c r="KIR25" s="1887"/>
      <c r="KIS25" s="1888"/>
      <c r="KIT25" s="1882"/>
      <c r="KIU25" s="1882"/>
      <c r="KIV25" s="1882"/>
      <c r="KIX25" s="1887"/>
      <c r="KIY25" s="1888"/>
      <c r="KIZ25" s="1882"/>
      <c r="KJA25" s="1882"/>
      <c r="KJB25" s="1882"/>
      <c r="KJD25" s="1887"/>
      <c r="KJE25" s="1888"/>
      <c r="KJF25" s="1882"/>
      <c r="KJG25" s="1882"/>
      <c r="KJH25" s="1882"/>
      <c r="KJJ25" s="1887"/>
      <c r="KJK25" s="1888"/>
      <c r="KJL25" s="1882"/>
      <c r="KJM25" s="1882"/>
      <c r="KJN25" s="1882"/>
      <c r="KJP25" s="1887"/>
      <c r="KJQ25" s="1888"/>
      <c r="KJR25" s="1882"/>
      <c r="KJS25" s="1882"/>
      <c r="KJT25" s="1882"/>
      <c r="KJV25" s="1887"/>
      <c r="KJW25" s="1888"/>
      <c r="KJX25" s="1882"/>
      <c r="KJY25" s="1882"/>
      <c r="KJZ25" s="1882"/>
      <c r="KKB25" s="1887"/>
      <c r="KKC25" s="1888"/>
      <c r="KKD25" s="1882"/>
      <c r="KKE25" s="1882"/>
      <c r="KKF25" s="1882"/>
      <c r="KKH25" s="1887"/>
      <c r="KKI25" s="1888"/>
      <c r="KKJ25" s="1882"/>
      <c r="KKK25" s="1882"/>
      <c r="KKL25" s="1882"/>
      <c r="KKN25" s="1887"/>
      <c r="KKO25" s="1888"/>
      <c r="KKP25" s="1882"/>
      <c r="KKQ25" s="1882"/>
      <c r="KKR25" s="1882"/>
      <c r="KKT25" s="1887"/>
      <c r="KKU25" s="1888"/>
      <c r="KKV25" s="1882"/>
      <c r="KKW25" s="1882"/>
      <c r="KKX25" s="1882"/>
      <c r="KKZ25" s="1887"/>
      <c r="KLA25" s="1888"/>
      <c r="KLB25" s="1882"/>
      <c r="KLC25" s="1882"/>
      <c r="KLD25" s="1882"/>
      <c r="KLF25" s="1887"/>
      <c r="KLG25" s="1888"/>
      <c r="KLH25" s="1882"/>
      <c r="KLI25" s="1882"/>
      <c r="KLJ25" s="1882"/>
      <c r="KLL25" s="1887"/>
      <c r="KLM25" s="1888"/>
      <c r="KLN25" s="1882"/>
      <c r="KLO25" s="1882"/>
      <c r="KLP25" s="1882"/>
      <c r="KLR25" s="1887"/>
      <c r="KLS25" s="1888"/>
      <c r="KLT25" s="1882"/>
      <c r="KLU25" s="1882"/>
      <c r="KLV25" s="1882"/>
      <c r="KLX25" s="1887"/>
      <c r="KLY25" s="1888"/>
      <c r="KLZ25" s="1882"/>
      <c r="KMA25" s="1882"/>
      <c r="KMB25" s="1882"/>
      <c r="KMD25" s="1887"/>
      <c r="KME25" s="1888"/>
      <c r="KMF25" s="1882"/>
      <c r="KMG25" s="1882"/>
      <c r="KMH25" s="1882"/>
      <c r="KMJ25" s="1887"/>
      <c r="KMK25" s="1888"/>
      <c r="KML25" s="1882"/>
      <c r="KMM25" s="1882"/>
      <c r="KMN25" s="1882"/>
      <c r="KMP25" s="1887"/>
      <c r="KMQ25" s="1888"/>
      <c r="KMR25" s="1882"/>
      <c r="KMS25" s="1882"/>
      <c r="KMT25" s="1882"/>
      <c r="KMV25" s="1887"/>
      <c r="KMW25" s="1888"/>
      <c r="KMX25" s="1882"/>
      <c r="KMY25" s="1882"/>
      <c r="KMZ25" s="1882"/>
      <c r="KNB25" s="1887"/>
      <c r="KNC25" s="1888"/>
      <c r="KND25" s="1882"/>
      <c r="KNE25" s="1882"/>
      <c r="KNF25" s="1882"/>
      <c r="KNH25" s="1887"/>
      <c r="KNI25" s="1888"/>
      <c r="KNJ25" s="1882"/>
      <c r="KNK25" s="1882"/>
      <c r="KNL25" s="1882"/>
      <c r="KNN25" s="1887"/>
      <c r="KNO25" s="1888"/>
      <c r="KNP25" s="1882"/>
      <c r="KNQ25" s="1882"/>
      <c r="KNR25" s="1882"/>
      <c r="KNT25" s="1887"/>
      <c r="KNU25" s="1888"/>
      <c r="KNV25" s="1882"/>
      <c r="KNW25" s="1882"/>
      <c r="KNX25" s="1882"/>
      <c r="KNZ25" s="1887"/>
      <c r="KOA25" s="1888"/>
      <c r="KOB25" s="1882"/>
      <c r="KOC25" s="1882"/>
      <c r="KOD25" s="1882"/>
      <c r="KOF25" s="1887"/>
      <c r="KOG25" s="1888"/>
      <c r="KOH25" s="1882"/>
      <c r="KOI25" s="1882"/>
      <c r="KOJ25" s="1882"/>
      <c r="KOL25" s="1887"/>
      <c r="KOM25" s="1888"/>
      <c r="KON25" s="1882"/>
      <c r="KOO25" s="1882"/>
      <c r="KOP25" s="1882"/>
      <c r="KOR25" s="1887"/>
      <c r="KOS25" s="1888"/>
      <c r="KOT25" s="1882"/>
      <c r="KOU25" s="1882"/>
      <c r="KOV25" s="1882"/>
      <c r="KOX25" s="1887"/>
      <c r="KOY25" s="1888"/>
      <c r="KOZ25" s="1882"/>
      <c r="KPA25" s="1882"/>
      <c r="KPB25" s="1882"/>
      <c r="KPD25" s="1887"/>
      <c r="KPE25" s="1888"/>
      <c r="KPF25" s="1882"/>
      <c r="KPG25" s="1882"/>
      <c r="KPH25" s="1882"/>
      <c r="KPJ25" s="1887"/>
      <c r="KPK25" s="1888"/>
      <c r="KPL25" s="1882"/>
      <c r="KPM25" s="1882"/>
      <c r="KPN25" s="1882"/>
      <c r="KPP25" s="1887"/>
      <c r="KPQ25" s="1888"/>
      <c r="KPR25" s="1882"/>
      <c r="KPS25" s="1882"/>
      <c r="KPT25" s="1882"/>
      <c r="KPV25" s="1887"/>
      <c r="KPW25" s="1888"/>
      <c r="KPX25" s="1882"/>
      <c r="KPY25" s="1882"/>
      <c r="KPZ25" s="1882"/>
      <c r="KQB25" s="1887"/>
      <c r="KQC25" s="1888"/>
      <c r="KQD25" s="1882"/>
      <c r="KQE25" s="1882"/>
      <c r="KQF25" s="1882"/>
      <c r="KQH25" s="1887"/>
      <c r="KQI25" s="1888"/>
      <c r="KQJ25" s="1882"/>
      <c r="KQK25" s="1882"/>
      <c r="KQL25" s="1882"/>
      <c r="KQN25" s="1887"/>
      <c r="KQO25" s="1888"/>
      <c r="KQP25" s="1882"/>
      <c r="KQQ25" s="1882"/>
      <c r="KQR25" s="1882"/>
      <c r="KQT25" s="1887"/>
      <c r="KQU25" s="1888"/>
      <c r="KQV25" s="1882"/>
      <c r="KQW25" s="1882"/>
      <c r="KQX25" s="1882"/>
      <c r="KQZ25" s="1887"/>
      <c r="KRA25" s="1888"/>
      <c r="KRB25" s="1882"/>
      <c r="KRC25" s="1882"/>
      <c r="KRD25" s="1882"/>
      <c r="KRF25" s="1887"/>
      <c r="KRG25" s="1888"/>
      <c r="KRH25" s="1882"/>
      <c r="KRI25" s="1882"/>
      <c r="KRJ25" s="1882"/>
      <c r="KRL25" s="1887"/>
      <c r="KRM25" s="1888"/>
      <c r="KRN25" s="1882"/>
      <c r="KRO25" s="1882"/>
      <c r="KRP25" s="1882"/>
      <c r="KRR25" s="1887"/>
      <c r="KRS25" s="1888"/>
      <c r="KRT25" s="1882"/>
      <c r="KRU25" s="1882"/>
      <c r="KRV25" s="1882"/>
      <c r="KRX25" s="1887"/>
      <c r="KRY25" s="1888"/>
      <c r="KRZ25" s="1882"/>
      <c r="KSA25" s="1882"/>
      <c r="KSB25" s="1882"/>
      <c r="KSD25" s="1887"/>
      <c r="KSE25" s="1888"/>
      <c r="KSF25" s="1882"/>
      <c r="KSG25" s="1882"/>
      <c r="KSH25" s="1882"/>
      <c r="KSJ25" s="1887"/>
      <c r="KSK25" s="1888"/>
      <c r="KSL25" s="1882"/>
      <c r="KSM25" s="1882"/>
      <c r="KSN25" s="1882"/>
      <c r="KSP25" s="1887"/>
      <c r="KSQ25" s="1888"/>
      <c r="KSR25" s="1882"/>
      <c r="KSS25" s="1882"/>
      <c r="KST25" s="1882"/>
      <c r="KSV25" s="1887"/>
      <c r="KSW25" s="1888"/>
      <c r="KSX25" s="1882"/>
      <c r="KSY25" s="1882"/>
      <c r="KSZ25" s="1882"/>
      <c r="KTB25" s="1887"/>
      <c r="KTC25" s="1888"/>
      <c r="KTD25" s="1882"/>
      <c r="KTE25" s="1882"/>
      <c r="KTF25" s="1882"/>
      <c r="KTH25" s="1887"/>
      <c r="KTI25" s="1888"/>
      <c r="KTJ25" s="1882"/>
      <c r="KTK25" s="1882"/>
      <c r="KTL25" s="1882"/>
      <c r="KTN25" s="1887"/>
      <c r="KTO25" s="1888"/>
      <c r="KTP25" s="1882"/>
      <c r="KTQ25" s="1882"/>
      <c r="KTR25" s="1882"/>
      <c r="KTT25" s="1887"/>
      <c r="KTU25" s="1888"/>
      <c r="KTV25" s="1882"/>
      <c r="KTW25" s="1882"/>
      <c r="KTX25" s="1882"/>
      <c r="KTZ25" s="1887"/>
      <c r="KUA25" s="1888"/>
      <c r="KUB25" s="1882"/>
      <c r="KUC25" s="1882"/>
      <c r="KUD25" s="1882"/>
      <c r="KUF25" s="1887"/>
      <c r="KUG25" s="1888"/>
      <c r="KUH25" s="1882"/>
      <c r="KUI25" s="1882"/>
      <c r="KUJ25" s="1882"/>
      <c r="KUL25" s="1887"/>
      <c r="KUM25" s="1888"/>
      <c r="KUN25" s="1882"/>
      <c r="KUO25" s="1882"/>
      <c r="KUP25" s="1882"/>
      <c r="KUR25" s="1887"/>
      <c r="KUS25" s="1888"/>
      <c r="KUT25" s="1882"/>
      <c r="KUU25" s="1882"/>
      <c r="KUV25" s="1882"/>
      <c r="KUX25" s="1887"/>
      <c r="KUY25" s="1888"/>
      <c r="KUZ25" s="1882"/>
      <c r="KVA25" s="1882"/>
      <c r="KVB25" s="1882"/>
      <c r="KVD25" s="1887"/>
      <c r="KVE25" s="1888"/>
      <c r="KVF25" s="1882"/>
      <c r="KVG25" s="1882"/>
      <c r="KVH25" s="1882"/>
      <c r="KVJ25" s="1887"/>
      <c r="KVK25" s="1888"/>
      <c r="KVL25" s="1882"/>
      <c r="KVM25" s="1882"/>
      <c r="KVN25" s="1882"/>
      <c r="KVP25" s="1887"/>
      <c r="KVQ25" s="1888"/>
      <c r="KVR25" s="1882"/>
      <c r="KVS25" s="1882"/>
      <c r="KVT25" s="1882"/>
      <c r="KVV25" s="1887"/>
      <c r="KVW25" s="1888"/>
      <c r="KVX25" s="1882"/>
      <c r="KVY25" s="1882"/>
      <c r="KVZ25" s="1882"/>
      <c r="KWB25" s="1887"/>
      <c r="KWC25" s="1888"/>
      <c r="KWD25" s="1882"/>
      <c r="KWE25" s="1882"/>
      <c r="KWF25" s="1882"/>
      <c r="KWH25" s="1887"/>
      <c r="KWI25" s="1888"/>
      <c r="KWJ25" s="1882"/>
      <c r="KWK25" s="1882"/>
      <c r="KWL25" s="1882"/>
      <c r="KWN25" s="1887"/>
      <c r="KWO25" s="1888"/>
      <c r="KWP25" s="1882"/>
      <c r="KWQ25" s="1882"/>
      <c r="KWR25" s="1882"/>
      <c r="KWT25" s="1887"/>
      <c r="KWU25" s="1888"/>
      <c r="KWV25" s="1882"/>
      <c r="KWW25" s="1882"/>
      <c r="KWX25" s="1882"/>
      <c r="KWZ25" s="1887"/>
      <c r="KXA25" s="1888"/>
      <c r="KXB25" s="1882"/>
      <c r="KXC25" s="1882"/>
      <c r="KXD25" s="1882"/>
      <c r="KXF25" s="1887"/>
      <c r="KXG25" s="1888"/>
      <c r="KXH25" s="1882"/>
      <c r="KXI25" s="1882"/>
      <c r="KXJ25" s="1882"/>
      <c r="KXL25" s="1887"/>
      <c r="KXM25" s="1888"/>
      <c r="KXN25" s="1882"/>
      <c r="KXO25" s="1882"/>
      <c r="KXP25" s="1882"/>
      <c r="KXR25" s="1887"/>
      <c r="KXS25" s="1888"/>
      <c r="KXT25" s="1882"/>
      <c r="KXU25" s="1882"/>
      <c r="KXV25" s="1882"/>
      <c r="KXX25" s="1887"/>
      <c r="KXY25" s="1888"/>
      <c r="KXZ25" s="1882"/>
      <c r="KYA25" s="1882"/>
      <c r="KYB25" s="1882"/>
      <c r="KYD25" s="1887"/>
      <c r="KYE25" s="1888"/>
      <c r="KYF25" s="1882"/>
      <c r="KYG25" s="1882"/>
      <c r="KYH25" s="1882"/>
      <c r="KYJ25" s="1887"/>
      <c r="KYK25" s="1888"/>
      <c r="KYL25" s="1882"/>
      <c r="KYM25" s="1882"/>
      <c r="KYN25" s="1882"/>
      <c r="KYP25" s="1887"/>
      <c r="KYQ25" s="1888"/>
      <c r="KYR25" s="1882"/>
      <c r="KYS25" s="1882"/>
      <c r="KYT25" s="1882"/>
      <c r="KYV25" s="1887"/>
      <c r="KYW25" s="1888"/>
      <c r="KYX25" s="1882"/>
      <c r="KYY25" s="1882"/>
      <c r="KYZ25" s="1882"/>
      <c r="KZB25" s="1887"/>
      <c r="KZC25" s="1888"/>
      <c r="KZD25" s="1882"/>
      <c r="KZE25" s="1882"/>
      <c r="KZF25" s="1882"/>
      <c r="KZH25" s="1887"/>
      <c r="KZI25" s="1888"/>
      <c r="KZJ25" s="1882"/>
      <c r="KZK25" s="1882"/>
      <c r="KZL25" s="1882"/>
      <c r="KZN25" s="1887"/>
      <c r="KZO25" s="1888"/>
      <c r="KZP25" s="1882"/>
      <c r="KZQ25" s="1882"/>
      <c r="KZR25" s="1882"/>
      <c r="KZT25" s="1887"/>
      <c r="KZU25" s="1888"/>
      <c r="KZV25" s="1882"/>
      <c r="KZW25" s="1882"/>
      <c r="KZX25" s="1882"/>
      <c r="KZZ25" s="1887"/>
      <c r="LAA25" s="1888"/>
      <c r="LAB25" s="1882"/>
      <c r="LAC25" s="1882"/>
      <c r="LAD25" s="1882"/>
      <c r="LAF25" s="1887"/>
      <c r="LAG25" s="1888"/>
      <c r="LAH25" s="1882"/>
      <c r="LAI25" s="1882"/>
      <c r="LAJ25" s="1882"/>
      <c r="LAL25" s="1887"/>
      <c r="LAM25" s="1888"/>
      <c r="LAN25" s="1882"/>
      <c r="LAO25" s="1882"/>
      <c r="LAP25" s="1882"/>
      <c r="LAR25" s="1887"/>
      <c r="LAS25" s="1888"/>
      <c r="LAT25" s="1882"/>
      <c r="LAU25" s="1882"/>
      <c r="LAV25" s="1882"/>
      <c r="LAX25" s="1887"/>
      <c r="LAY25" s="1888"/>
      <c r="LAZ25" s="1882"/>
      <c r="LBA25" s="1882"/>
      <c r="LBB25" s="1882"/>
      <c r="LBD25" s="1887"/>
      <c r="LBE25" s="1888"/>
      <c r="LBF25" s="1882"/>
      <c r="LBG25" s="1882"/>
      <c r="LBH25" s="1882"/>
      <c r="LBJ25" s="1887"/>
      <c r="LBK25" s="1888"/>
      <c r="LBL25" s="1882"/>
      <c r="LBM25" s="1882"/>
      <c r="LBN25" s="1882"/>
      <c r="LBP25" s="1887"/>
      <c r="LBQ25" s="1888"/>
      <c r="LBR25" s="1882"/>
      <c r="LBS25" s="1882"/>
      <c r="LBT25" s="1882"/>
      <c r="LBV25" s="1887"/>
      <c r="LBW25" s="1888"/>
      <c r="LBX25" s="1882"/>
      <c r="LBY25" s="1882"/>
      <c r="LBZ25" s="1882"/>
      <c r="LCB25" s="1887"/>
      <c r="LCC25" s="1888"/>
      <c r="LCD25" s="1882"/>
      <c r="LCE25" s="1882"/>
      <c r="LCF25" s="1882"/>
      <c r="LCH25" s="1887"/>
      <c r="LCI25" s="1888"/>
      <c r="LCJ25" s="1882"/>
      <c r="LCK25" s="1882"/>
      <c r="LCL25" s="1882"/>
      <c r="LCN25" s="1887"/>
      <c r="LCO25" s="1888"/>
      <c r="LCP25" s="1882"/>
      <c r="LCQ25" s="1882"/>
      <c r="LCR25" s="1882"/>
      <c r="LCT25" s="1887"/>
      <c r="LCU25" s="1888"/>
      <c r="LCV25" s="1882"/>
      <c r="LCW25" s="1882"/>
      <c r="LCX25" s="1882"/>
      <c r="LCZ25" s="1887"/>
      <c r="LDA25" s="1888"/>
      <c r="LDB25" s="1882"/>
      <c r="LDC25" s="1882"/>
      <c r="LDD25" s="1882"/>
      <c r="LDF25" s="1887"/>
      <c r="LDG25" s="1888"/>
      <c r="LDH25" s="1882"/>
      <c r="LDI25" s="1882"/>
      <c r="LDJ25" s="1882"/>
      <c r="LDL25" s="1887"/>
      <c r="LDM25" s="1888"/>
      <c r="LDN25" s="1882"/>
      <c r="LDO25" s="1882"/>
      <c r="LDP25" s="1882"/>
      <c r="LDR25" s="1887"/>
      <c r="LDS25" s="1888"/>
      <c r="LDT25" s="1882"/>
      <c r="LDU25" s="1882"/>
      <c r="LDV25" s="1882"/>
      <c r="LDX25" s="1887"/>
      <c r="LDY25" s="1888"/>
      <c r="LDZ25" s="1882"/>
      <c r="LEA25" s="1882"/>
      <c r="LEB25" s="1882"/>
      <c r="LED25" s="1887"/>
      <c r="LEE25" s="1888"/>
      <c r="LEF25" s="1882"/>
      <c r="LEG25" s="1882"/>
      <c r="LEH25" s="1882"/>
      <c r="LEJ25" s="1887"/>
      <c r="LEK25" s="1888"/>
      <c r="LEL25" s="1882"/>
      <c r="LEM25" s="1882"/>
      <c r="LEN25" s="1882"/>
      <c r="LEP25" s="1887"/>
      <c r="LEQ25" s="1888"/>
      <c r="LER25" s="1882"/>
      <c r="LES25" s="1882"/>
      <c r="LET25" s="1882"/>
      <c r="LEV25" s="1887"/>
      <c r="LEW25" s="1888"/>
      <c r="LEX25" s="1882"/>
      <c r="LEY25" s="1882"/>
      <c r="LEZ25" s="1882"/>
      <c r="LFB25" s="1887"/>
      <c r="LFC25" s="1888"/>
      <c r="LFD25" s="1882"/>
      <c r="LFE25" s="1882"/>
      <c r="LFF25" s="1882"/>
      <c r="LFH25" s="1887"/>
      <c r="LFI25" s="1888"/>
      <c r="LFJ25" s="1882"/>
      <c r="LFK25" s="1882"/>
      <c r="LFL25" s="1882"/>
      <c r="LFN25" s="1887"/>
      <c r="LFO25" s="1888"/>
      <c r="LFP25" s="1882"/>
      <c r="LFQ25" s="1882"/>
      <c r="LFR25" s="1882"/>
      <c r="LFT25" s="1887"/>
      <c r="LFU25" s="1888"/>
      <c r="LFV25" s="1882"/>
      <c r="LFW25" s="1882"/>
      <c r="LFX25" s="1882"/>
      <c r="LFZ25" s="1887"/>
      <c r="LGA25" s="1888"/>
      <c r="LGB25" s="1882"/>
      <c r="LGC25" s="1882"/>
      <c r="LGD25" s="1882"/>
      <c r="LGF25" s="1887"/>
      <c r="LGG25" s="1888"/>
      <c r="LGH25" s="1882"/>
      <c r="LGI25" s="1882"/>
      <c r="LGJ25" s="1882"/>
      <c r="LGL25" s="1887"/>
      <c r="LGM25" s="1888"/>
      <c r="LGN25" s="1882"/>
      <c r="LGO25" s="1882"/>
      <c r="LGP25" s="1882"/>
      <c r="LGR25" s="1887"/>
      <c r="LGS25" s="1888"/>
      <c r="LGT25" s="1882"/>
      <c r="LGU25" s="1882"/>
      <c r="LGV25" s="1882"/>
      <c r="LGX25" s="1887"/>
      <c r="LGY25" s="1888"/>
      <c r="LGZ25" s="1882"/>
      <c r="LHA25" s="1882"/>
      <c r="LHB25" s="1882"/>
      <c r="LHD25" s="1887"/>
      <c r="LHE25" s="1888"/>
      <c r="LHF25" s="1882"/>
      <c r="LHG25" s="1882"/>
      <c r="LHH25" s="1882"/>
      <c r="LHJ25" s="1887"/>
      <c r="LHK25" s="1888"/>
      <c r="LHL25" s="1882"/>
      <c r="LHM25" s="1882"/>
      <c r="LHN25" s="1882"/>
      <c r="LHP25" s="1887"/>
      <c r="LHQ25" s="1888"/>
      <c r="LHR25" s="1882"/>
      <c r="LHS25" s="1882"/>
      <c r="LHT25" s="1882"/>
      <c r="LHV25" s="1887"/>
      <c r="LHW25" s="1888"/>
      <c r="LHX25" s="1882"/>
      <c r="LHY25" s="1882"/>
      <c r="LHZ25" s="1882"/>
      <c r="LIB25" s="1887"/>
      <c r="LIC25" s="1888"/>
      <c r="LID25" s="1882"/>
      <c r="LIE25" s="1882"/>
      <c r="LIF25" s="1882"/>
      <c r="LIH25" s="1887"/>
      <c r="LII25" s="1888"/>
      <c r="LIJ25" s="1882"/>
      <c r="LIK25" s="1882"/>
      <c r="LIL25" s="1882"/>
      <c r="LIN25" s="1887"/>
      <c r="LIO25" s="1888"/>
      <c r="LIP25" s="1882"/>
      <c r="LIQ25" s="1882"/>
      <c r="LIR25" s="1882"/>
      <c r="LIT25" s="1887"/>
      <c r="LIU25" s="1888"/>
      <c r="LIV25" s="1882"/>
      <c r="LIW25" s="1882"/>
      <c r="LIX25" s="1882"/>
      <c r="LIZ25" s="1887"/>
      <c r="LJA25" s="1888"/>
      <c r="LJB25" s="1882"/>
      <c r="LJC25" s="1882"/>
      <c r="LJD25" s="1882"/>
      <c r="LJF25" s="1887"/>
      <c r="LJG25" s="1888"/>
      <c r="LJH25" s="1882"/>
      <c r="LJI25" s="1882"/>
      <c r="LJJ25" s="1882"/>
      <c r="LJL25" s="1887"/>
      <c r="LJM25" s="1888"/>
      <c r="LJN25" s="1882"/>
      <c r="LJO25" s="1882"/>
      <c r="LJP25" s="1882"/>
      <c r="LJR25" s="1887"/>
      <c r="LJS25" s="1888"/>
      <c r="LJT25" s="1882"/>
      <c r="LJU25" s="1882"/>
      <c r="LJV25" s="1882"/>
      <c r="LJX25" s="1887"/>
      <c r="LJY25" s="1888"/>
      <c r="LJZ25" s="1882"/>
      <c r="LKA25" s="1882"/>
      <c r="LKB25" s="1882"/>
      <c r="LKD25" s="1887"/>
      <c r="LKE25" s="1888"/>
      <c r="LKF25" s="1882"/>
      <c r="LKG25" s="1882"/>
      <c r="LKH25" s="1882"/>
      <c r="LKJ25" s="1887"/>
      <c r="LKK25" s="1888"/>
      <c r="LKL25" s="1882"/>
      <c r="LKM25" s="1882"/>
      <c r="LKN25" s="1882"/>
      <c r="LKP25" s="1887"/>
      <c r="LKQ25" s="1888"/>
      <c r="LKR25" s="1882"/>
      <c r="LKS25" s="1882"/>
      <c r="LKT25" s="1882"/>
      <c r="LKV25" s="1887"/>
      <c r="LKW25" s="1888"/>
      <c r="LKX25" s="1882"/>
      <c r="LKY25" s="1882"/>
      <c r="LKZ25" s="1882"/>
      <c r="LLB25" s="1887"/>
      <c r="LLC25" s="1888"/>
      <c r="LLD25" s="1882"/>
      <c r="LLE25" s="1882"/>
      <c r="LLF25" s="1882"/>
      <c r="LLH25" s="1887"/>
      <c r="LLI25" s="1888"/>
      <c r="LLJ25" s="1882"/>
      <c r="LLK25" s="1882"/>
      <c r="LLL25" s="1882"/>
      <c r="LLN25" s="1887"/>
      <c r="LLO25" s="1888"/>
      <c r="LLP25" s="1882"/>
      <c r="LLQ25" s="1882"/>
      <c r="LLR25" s="1882"/>
      <c r="LLT25" s="1887"/>
      <c r="LLU25" s="1888"/>
      <c r="LLV25" s="1882"/>
      <c r="LLW25" s="1882"/>
      <c r="LLX25" s="1882"/>
      <c r="LLZ25" s="1887"/>
      <c r="LMA25" s="1888"/>
      <c r="LMB25" s="1882"/>
      <c r="LMC25" s="1882"/>
      <c r="LMD25" s="1882"/>
      <c r="LMF25" s="1887"/>
      <c r="LMG25" s="1888"/>
      <c r="LMH25" s="1882"/>
      <c r="LMI25" s="1882"/>
      <c r="LMJ25" s="1882"/>
      <c r="LML25" s="1887"/>
      <c r="LMM25" s="1888"/>
      <c r="LMN25" s="1882"/>
      <c r="LMO25" s="1882"/>
      <c r="LMP25" s="1882"/>
      <c r="LMR25" s="1887"/>
      <c r="LMS25" s="1888"/>
      <c r="LMT25" s="1882"/>
      <c r="LMU25" s="1882"/>
      <c r="LMV25" s="1882"/>
      <c r="LMX25" s="1887"/>
      <c r="LMY25" s="1888"/>
      <c r="LMZ25" s="1882"/>
      <c r="LNA25" s="1882"/>
      <c r="LNB25" s="1882"/>
      <c r="LND25" s="1887"/>
      <c r="LNE25" s="1888"/>
      <c r="LNF25" s="1882"/>
      <c r="LNG25" s="1882"/>
      <c r="LNH25" s="1882"/>
      <c r="LNJ25" s="1887"/>
      <c r="LNK25" s="1888"/>
      <c r="LNL25" s="1882"/>
      <c r="LNM25" s="1882"/>
      <c r="LNN25" s="1882"/>
      <c r="LNP25" s="1887"/>
      <c r="LNQ25" s="1888"/>
      <c r="LNR25" s="1882"/>
      <c r="LNS25" s="1882"/>
      <c r="LNT25" s="1882"/>
      <c r="LNV25" s="1887"/>
      <c r="LNW25" s="1888"/>
      <c r="LNX25" s="1882"/>
      <c r="LNY25" s="1882"/>
      <c r="LNZ25" s="1882"/>
      <c r="LOB25" s="1887"/>
      <c r="LOC25" s="1888"/>
      <c r="LOD25" s="1882"/>
      <c r="LOE25" s="1882"/>
      <c r="LOF25" s="1882"/>
      <c r="LOH25" s="1887"/>
      <c r="LOI25" s="1888"/>
      <c r="LOJ25" s="1882"/>
      <c r="LOK25" s="1882"/>
      <c r="LOL25" s="1882"/>
      <c r="LON25" s="1887"/>
      <c r="LOO25" s="1888"/>
      <c r="LOP25" s="1882"/>
      <c r="LOQ25" s="1882"/>
      <c r="LOR25" s="1882"/>
      <c r="LOT25" s="1887"/>
      <c r="LOU25" s="1888"/>
      <c r="LOV25" s="1882"/>
      <c r="LOW25" s="1882"/>
      <c r="LOX25" s="1882"/>
      <c r="LOZ25" s="1887"/>
      <c r="LPA25" s="1888"/>
      <c r="LPB25" s="1882"/>
      <c r="LPC25" s="1882"/>
      <c r="LPD25" s="1882"/>
      <c r="LPF25" s="1887"/>
      <c r="LPG25" s="1888"/>
      <c r="LPH25" s="1882"/>
      <c r="LPI25" s="1882"/>
      <c r="LPJ25" s="1882"/>
      <c r="LPL25" s="1887"/>
      <c r="LPM25" s="1888"/>
      <c r="LPN25" s="1882"/>
      <c r="LPO25" s="1882"/>
      <c r="LPP25" s="1882"/>
      <c r="LPR25" s="1887"/>
      <c r="LPS25" s="1888"/>
      <c r="LPT25" s="1882"/>
      <c r="LPU25" s="1882"/>
      <c r="LPV25" s="1882"/>
      <c r="LPX25" s="1887"/>
      <c r="LPY25" s="1888"/>
      <c r="LPZ25" s="1882"/>
      <c r="LQA25" s="1882"/>
      <c r="LQB25" s="1882"/>
      <c r="LQD25" s="1887"/>
      <c r="LQE25" s="1888"/>
      <c r="LQF25" s="1882"/>
      <c r="LQG25" s="1882"/>
      <c r="LQH25" s="1882"/>
      <c r="LQJ25" s="1887"/>
      <c r="LQK25" s="1888"/>
      <c r="LQL25" s="1882"/>
      <c r="LQM25" s="1882"/>
      <c r="LQN25" s="1882"/>
      <c r="LQP25" s="1887"/>
      <c r="LQQ25" s="1888"/>
      <c r="LQR25" s="1882"/>
      <c r="LQS25" s="1882"/>
      <c r="LQT25" s="1882"/>
      <c r="LQV25" s="1887"/>
      <c r="LQW25" s="1888"/>
      <c r="LQX25" s="1882"/>
      <c r="LQY25" s="1882"/>
      <c r="LQZ25" s="1882"/>
      <c r="LRB25" s="1887"/>
      <c r="LRC25" s="1888"/>
      <c r="LRD25" s="1882"/>
      <c r="LRE25" s="1882"/>
      <c r="LRF25" s="1882"/>
      <c r="LRH25" s="1887"/>
      <c r="LRI25" s="1888"/>
      <c r="LRJ25" s="1882"/>
      <c r="LRK25" s="1882"/>
      <c r="LRL25" s="1882"/>
      <c r="LRN25" s="1887"/>
      <c r="LRO25" s="1888"/>
      <c r="LRP25" s="1882"/>
      <c r="LRQ25" s="1882"/>
      <c r="LRR25" s="1882"/>
      <c r="LRT25" s="1887"/>
      <c r="LRU25" s="1888"/>
      <c r="LRV25" s="1882"/>
      <c r="LRW25" s="1882"/>
      <c r="LRX25" s="1882"/>
      <c r="LRZ25" s="1887"/>
      <c r="LSA25" s="1888"/>
      <c r="LSB25" s="1882"/>
      <c r="LSC25" s="1882"/>
      <c r="LSD25" s="1882"/>
      <c r="LSF25" s="1887"/>
      <c r="LSG25" s="1888"/>
      <c r="LSH25" s="1882"/>
      <c r="LSI25" s="1882"/>
      <c r="LSJ25" s="1882"/>
      <c r="LSL25" s="1887"/>
      <c r="LSM25" s="1888"/>
      <c r="LSN25" s="1882"/>
      <c r="LSO25" s="1882"/>
      <c r="LSP25" s="1882"/>
      <c r="LSR25" s="1887"/>
      <c r="LSS25" s="1888"/>
      <c r="LST25" s="1882"/>
      <c r="LSU25" s="1882"/>
      <c r="LSV25" s="1882"/>
      <c r="LSX25" s="1887"/>
      <c r="LSY25" s="1888"/>
      <c r="LSZ25" s="1882"/>
      <c r="LTA25" s="1882"/>
      <c r="LTB25" s="1882"/>
      <c r="LTD25" s="1887"/>
      <c r="LTE25" s="1888"/>
      <c r="LTF25" s="1882"/>
      <c r="LTG25" s="1882"/>
      <c r="LTH25" s="1882"/>
      <c r="LTJ25" s="1887"/>
      <c r="LTK25" s="1888"/>
      <c r="LTL25" s="1882"/>
      <c r="LTM25" s="1882"/>
      <c r="LTN25" s="1882"/>
      <c r="LTP25" s="1887"/>
      <c r="LTQ25" s="1888"/>
      <c r="LTR25" s="1882"/>
      <c r="LTS25" s="1882"/>
      <c r="LTT25" s="1882"/>
      <c r="LTV25" s="1887"/>
      <c r="LTW25" s="1888"/>
      <c r="LTX25" s="1882"/>
      <c r="LTY25" s="1882"/>
      <c r="LTZ25" s="1882"/>
      <c r="LUB25" s="1887"/>
      <c r="LUC25" s="1888"/>
      <c r="LUD25" s="1882"/>
      <c r="LUE25" s="1882"/>
      <c r="LUF25" s="1882"/>
      <c r="LUH25" s="1887"/>
      <c r="LUI25" s="1888"/>
      <c r="LUJ25" s="1882"/>
      <c r="LUK25" s="1882"/>
      <c r="LUL25" s="1882"/>
      <c r="LUN25" s="1887"/>
      <c r="LUO25" s="1888"/>
      <c r="LUP25" s="1882"/>
      <c r="LUQ25" s="1882"/>
      <c r="LUR25" s="1882"/>
      <c r="LUT25" s="1887"/>
      <c r="LUU25" s="1888"/>
      <c r="LUV25" s="1882"/>
      <c r="LUW25" s="1882"/>
      <c r="LUX25" s="1882"/>
      <c r="LUZ25" s="1887"/>
      <c r="LVA25" s="1888"/>
      <c r="LVB25" s="1882"/>
      <c r="LVC25" s="1882"/>
      <c r="LVD25" s="1882"/>
      <c r="LVF25" s="1887"/>
      <c r="LVG25" s="1888"/>
      <c r="LVH25" s="1882"/>
      <c r="LVI25" s="1882"/>
      <c r="LVJ25" s="1882"/>
      <c r="LVL25" s="1887"/>
      <c r="LVM25" s="1888"/>
      <c r="LVN25" s="1882"/>
      <c r="LVO25" s="1882"/>
      <c r="LVP25" s="1882"/>
      <c r="LVR25" s="1887"/>
      <c r="LVS25" s="1888"/>
      <c r="LVT25" s="1882"/>
      <c r="LVU25" s="1882"/>
      <c r="LVV25" s="1882"/>
      <c r="LVX25" s="1887"/>
      <c r="LVY25" s="1888"/>
      <c r="LVZ25" s="1882"/>
      <c r="LWA25" s="1882"/>
      <c r="LWB25" s="1882"/>
      <c r="LWD25" s="1887"/>
      <c r="LWE25" s="1888"/>
      <c r="LWF25" s="1882"/>
      <c r="LWG25" s="1882"/>
      <c r="LWH25" s="1882"/>
      <c r="LWJ25" s="1887"/>
      <c r="LWK25" s="1888"/>
      <c r="LWL25" s="1882"/>
      <c r="LWM25" s="1882"/>
      <c r="LWN25" s="1882"/>
      <c r="LWP25" s="1887"/>
      <c r="LWQ25" s="1888"/>
      <c r="LWR25" s="1882"/>
      <c r="LWS25" s="1882"/>
      <c r="LWT25" s="1882"/>
      <c r="LWV25" s="1887"/>
      <c r="LWW25" s="1888"/>
      <c r="LWX25" s="1882"/>
      <c r="LWY25" s="1882"/>
      <c r="LWZ25" s="1882"/>
      <c r="LXB25" s="1887"/>
      <c r="LXC25" s="1888"/>
      <c r="LXD25" s="1882"/>
      <c r="LXE25" s="1882"/>
      <c r="LXF25" s="1882"/>
      <c r="LXH25" s="1887"/>
      <c r="LXI25" s="1888"/>
      <c r="LXJ25" s="1882"/>
      <c r="LXK25" s="1882"/>
      <c r="LXL25" s="1882"/>
      <c r="LXN25" s="1887"/>
      <c r="LXO25" s="1888"/>
      <c r="LXP25" s="1882"/>
      <c r="LXQ25" s="1882"/>
      <c r="LXR25" s="1882"/>
      <c r="LXT25" s="1887"/>
      <c r="LXU25" s="1888"/>
      <c r="LXV25" s="1882"/>
      <c r="LXW25" s="1882"/>
      <c r="LXX25" s="1882"/>
      <c r="LXZ25" s="1887"/>
      <c r="LYA25" s="1888"/>
      <c r="LYB25" s="1882"/>
      <c r="LYC25" s="1882"/>
      <c r="LYD25" s="1882"/>
      <c r="LYF25" s="1887"/>
      <c r="LYG25" s="1888"/>
      <c r="LYH25" s="1882"/>
      <c r="LYI25" s="1882"/>
      <c r="LYJ25" s="1882"/>
      <c r="LYL25" s="1887"/>
      <c r="LYM25" s="1888"/>
      <c r="LYN25" s="1882"/>
      <c r="LYO25" s="1882"/>
      <c r="LYP25" s="1882"/>
      <c r="LYR25" s="1887"/>
      <c r="LYS25" s="1888"/>
      <c r="LYT25" s="1882"/>
      <c r="LYU25" s="1882"/>
      <c r="LYV25" s="1882"/>
      <c r="LYX25" s="1887"/>
      <c r="LYY25" s="1888"/>
      <c r="LYZ25" s="1882"/>
      <c r="LZA25" s="1882"/>
      <c r="LZB25" s="1882"/>
      <c r="LZD25" s="1887"/>
      <c r="LZE25" s="1888"/>
      <c r="LZF25" s="1882"/>
      <c r="LZG25" s="1882"/>
      <c r="LZH25" s="1882"/>
      <c r="LZJ25" s="1887"/>
      <c r="LZK25" s="1888"/>
      <c r="LZL25" s="1882"/>
      <c r="LZM25" s="1882"/>
      <c r="LZN25" s="1882"/>
      <c r="LZP25" s="1887"/>
      <c r="LZQ25" s="1888"/>
      <c r="LZR25" s="1882"/>
      <c r="LZS25" s="1882"/>
      <c r="LZT25" s="1882"/>
      <c r="LZV25" s="1887"/>
      <c r="LZW25" s="1888"/>
      <c r="LZX25" s="1882"/>
      <c r="LZY25" s="1882"/>
      <c r="LZZ25" s="1882"/>
      <c r="MAB25" s="1887"/>
      <c r="MAC25" s="1888"/>
      <c r="MAD25" s="1882"/>
      <c r="MAE25" s="1882"/>
      <c r="MAF25" s="1882"/>
      <c r="MAH25" s="1887"/>
      <c r="MAI25" s="1888"/>
      <c r="MAJ25" s="1882"/>
      <c r="MAK25" s="1882"/>
      <c r="MAL25" s="1882"/>
      <c r="MAN25" s="1887"/>
      <c r="MAO25" s="1888"/>
      <c r="MAP25" s="1882"/>
      <c r="MAQ25" s="1882"/>
      <c r="MAR25" s="1882"/>
      <c r="MAT25" s="1887"/>
      <c r="MAU25" s="1888"/>
      <c r="MAV25" s="1882"/>
      <c r="MAW25" s="1882"/>
      <c r="MAX25" s="1882"/>
      <c r="MAZ25" s="1887"/>
      <c r="MBA25" s="1888"/>
      <c r="MBB25" s="1882"/>
      <c r="MBC25" s="1882"/>
      <c r="MBD25" s="1882"/>
      <c r="MBF25" s="1887"/>
      <c r="MBG25" s="1888"/>
      <c r="MBH25" s="1882"/>
      <c r="MBI25" s="1882"/>
      <c r="MBJ25" s="1882"/>
      <c r="MBL25" s="1887"/>
      <c r="MBM25" s="1888"/>
      <c r="MBN25" s="1882"/>
      <c r="MBO25" s="1882"/>
      <c r="MBP25" s="1882"/>
      <c r="MBR25" s="1887"/>
      <c r="MBS25" s="1888"/>
      <c r="MBT25" s="1882"/>
      <c r="MBU25" s="1882"/>
      <c r="MBV25" s="1882"/>
      <c r="MBX25" s="1887"/>
      <c r="MBY25" s="1888"/>
      <c r="MBZ25" s="1882"/>
      <c r="MCA25" s="1882"/>
      <c r="MCB25" s="1882"/>
      <c r="MCD25" s="1887"/>
      <c r="MCE25" s="1888"/>
      <c r="MCF25" s="1882"/>
      <c r="MCG25" s="1882"/>
      <c r="MCH25" s="1882"/>
      <c r="MCJ25" s="1887"/>
      <c r="MCK25" s="1888"/>
      <c r="MCL25" s="1882"/>
      <c r="MCM25" s="1882"/>
      <c r="MCN25" s="1882"/>
      <c r="MCP25" s="1887"/>
      <c r="MCQ25" s="1888"/>
      <c r="MCR25" s="1882"/>
      <c r="MCS25" s="1882"/>
      <c r="MCT25" s="1882"/>
      <c r="MCV25" s="1887"/>
      <c r="MCW25" s="1888"/>
      <c r="MCX25" s="1882"/>
      <c r="MCY25" s="1882"/>
      <c r="MCZ25" s="1882"/>
      <c r="MDB25" s="1887"/>
      <c r="MDC25" s="1888"/>
      <c r="MDD25" s="1882"/>
      <c r="MDE25" s="1882"/>
      <c r="MDF25" s="1882"/>
      <c r="MDH25" s="1887"/>
      <c r="MDI25" s="1888"/>
      <c r="MDJ25" s="1882"/>
      <c r="MDK25" s="1882"/>
      <c r="MDL25" s="1882"/>
      <c r="MDN25" s="1887"/>
      <c r="MDO25" s="1888"/>
      <c r="MDP25" s="1882"/>
      <c r="MDQ25" s="1882"/>
      <c r="MDR25" s="1882"/>
      <c r="MDT25" s="1887"/>
      <c r="MDU25" s="1888"/>
      <c r="MDV25" s="1882"/>
      <c r="MDW25" s="1882"/>
      <c r="MDX25" s="1882"/>
      <c r="MDZ25" s="1887"/>
      <c r="MEA25" s="1888"/>
      <c r="MEB25" s="1882"/>
      <c r="MEC25" s="1882"/>
      <c r="MED25" s="1882"/>
      <c r="MEF25" s="1887"/>
      <c r="MEG25" s="1888"/>
      <c r="MEH25" s="1882"/>
      <c r="MEI25" s="1882"/>
      <c r="MEJ25" s="1882"/>
      <c r="MEL25" s="1887"/>
      <c r="MEM25" s="1888"/>
      <c r="MEN25" s="1882"/>
      <c r="MEO25" s="1882"/>
      <c r="MEP25" s="1882"/>
      <c r="MER25" s="1887"/>
      <c r="MES25" s="1888"/>
      <c r="MET25" s="1882"/>
      <c r="MEU25" s="1882"/>
      <c r="MEV25" s="1882"/>
      <c r="MEX25" s="1887"/>
      <c r="MEY25" s="1888"/>
      <c r="MEZ25" s="1882"/>
      <c r="MFA25" s="1882"/>
      <c r="MFB25" s="1882"/>
      <c r="MFD25" s="1887"/>
      <c r="MFE25" s="1888"/>
      <c r="MFF25" s="1882"/>
      <c r="MFG25" s="1882"/>
      <c r="MFH25" s="1882"/>
      <c r="MFJ25" s="1887"/>
      <c r="MFK25" s="1888"/>
      <c r="MFL25" s="1882"/>
      <c r="MFM25" s="1882"/>
      <c r="MFN25" s="1882"/>
      <c r="MFP25" s="1887"/>
      <c r="MFQ25" s="1888"/>
      <c r="MFR25" s="1882"/>
      <c r="MFS25" s="1882"/>
      <c r="MFT25" s="1882"/>
      <c r="MFV25" s="1887"/>
      <c r="MFW25" s="1888"/>
      <c r="MFX25" s="1882"/>
      <c r="MFY25" s="1882"/>
      <c r="MFZ25" s="1882"/>
      <c r="MGB25" s="1887"/>
      <c r="MGC25" s="1888"/>
      <c r="MGD25" s="1882"/>
      <c r="MGE25" s="1882"/>
      <c r="MGF25" s="1882"/>
      <c r="MGH25" s="1887"/>
      <c r="MGI25" s="1888"/>
      <c r="MGJ25" s="1882"/>
      <c r="MGK25" s="1882"/>
      <c r="MGL25" s="1882"/>
      <c r="MGN25" s="1887"/>
      <c r="MGO25" s="1888"/>
      <c r="MGP25" s="1882"/>
      <c r="MGQ25" s="1882"/>
      <c r="MGR25" s="1882"/>
      <c r="MGT25" s="1887"/>
      <c r="MGU25" s="1888"/>
      <c r="MGV25" s="1882"/>
      <c r="MGW25" s="1882"/>
      <c r="MGX25" s="1882"/>
      <c r="MGZ25" s="1887"/>
      <c r="MHA25" s="1888"/>
      <c r="MHB25" s="1882"/>
      <c r="MHC25" s="1882"/>
      <c r="MHD25" s="1882"/>
      <c r="MHF25" s="1887"/>
      <c r="MHG25" s="1888"/>
      <c r="MHH25" s="1882"/>
      <c r="MHI25" s="1882"/>
      <c r="MHJ25" s="1882"/>
      <c r="MHL25" s="1887"/>
      <c r="MHM25" s="1888"/>
      <c r="MHN25" s="1882"/>
      <c r="MHO25" s="1882"/>
      <c r="MHP25" s="1882"/>
      <c r="MHR25" s="1887"/>
      <c r="MHS25" s="1888"/>
      <c r="MHT25" s="1882"/>
      <c r="MHU25" s="1882"/>
      <c r="MHV25" s="1882"/>
      <c r="MHX25" s="1887"/>
      <c r="MHY25" s="1888"/>
      <c r="MHZ25" s="1882"/>
      <c r="MIA25" s="1882"/>
      <c r="MIB25" s="1882"/>
      <c r="MID25" s="1887"/>
      <c r="MIE25" s="1888"/>
      <c r="MIF25" s="1882"/>
      <c r="MIG25" s="1882"/>
      <c r="MIH25" s="1882"/>
      <c r="MIJ25" s="1887"/>
      <c r="MIK25" s="1888"/>
      <c r="MIL25" s="1882"/>
      <c r="MIM25" s="1882"/>
      <c r="MIN25" s="1882"/>
      <c r="MIP25" s="1887"/>
      <c r="MIQ25" s="1888"/>
      <c r="MIR25" s="1882"/>
      <c r="MIS25" s="1882"/>
      <c r="MIT25" s="1882"/>
      <c r="MIV25" s="1887"/>
      <c r="MIW25" s="1888"/>
      <c r="MIX25" s="1882"/>
      <c r="MIY25" s="1882"/>
      <c r="MIZ25" s="1882"/>
      <c r="MJB25" s="1887"/>
      <c r="MJC25" s="1888"/>
      <c r="MJD25" s="1882"/>
      <c r="MJE25" s="1882"/>
      <c r="MJF25" s="1882"/>
      <c r="MJH25" s="1887"/>
      <c r="MJI25" s="1888"/>
      <c r="MJJ25" s="1882"/>
      <c r="MJK25" s="1882"/>
      <c r="MJL25" s="1882"/>
      <c r="MJN25" s="1887"/>
      <c r="MJO25" s="1888"/>
      <c r="MJP25" s="1882"/>
      <c r="MJQ25" s="1882"/>
      <c r="MJR25" s="1882"/>
      <c r="MJT25" s="1887"/>
      <c r="MJU25" s="1888"/>
      <c r="MJV25" s="1882"/>
      <c r="MJW25" s="1882"/>
      <c r="MJX25" s="1882"/>
      <c r="MJZ25" s="1887"/>
      <c r="MKA25" s="1888"/>
      <c r="MKB25" s="1882"/>
      <c r="MKC25" s="1882"/>
      <c r="MKD25" s="1882"/>
      <c r="MKF25" s="1887"/>
      <c r="MKG25" s="1888"/>
      <c r="MKH25" s="1882"/>
      <c r="MKI25" s="1882"/>
      <c r="MKJ25" s="1882"/>
      <c r="MKL25" s="1887"/>
      <c r="MKM25" s="1888"/>
      <c r="MKN25" s="1882"/>
      <c r="MKO25" s="1882"/>
      <c r="MKP25" s="1882"/>
      <c r="MKR25" s="1887"/>
      <c r="MKS25" s="1888"/>
      <c r="MKT25" s="1882"/>
      <c r="MKU25" s="1882"/>
      <c r="MKV25" s="1882"/>
      <c r="MKX25" s="1887"/>
      <c r="MKY25" s="1888"/>
      <c r="MKZ25" s="1882"/>
      <c r="MLA25" s="1882"/>
      <c r="MLB25" s="1882"/>
      <c r="MLD25" s="1887"/>
      <c r="MLE25" s="1888"/>
      <c r="MLF25" s="1882"/>
      <c r="MLG25" s="1882"/>
      <c r="MLH25" s="1882"/>
      <c r="MLJ25" s="1887"/>
      <c r="MLK25" s="1888"/>
      <c r="MLL25" s="1882"/>
      <c r="MLM25" s="1882"/>
      <c r="MLN25" s="1882"/>
      <c r="MLP25" s="1887"/>
      <c r="MLQ25" s="1888"/>
      <c r="MLR25" s="1882"/>
      <c r="MLS25" s="1882"/>
      <c r="MLT25" s="1882"/>
      <c r="MLV25" s="1887"/>
      <c r="MLW25" s="1888"/>
      <c r="MLX25" s="1882"/>
      <c r="MLY25" s="1882"/>
      <c r="MLZ25" s="1882"/>
      <c r="MMB25" s="1887"/>
      <c r="MMC25" s="1888"/>
      <c r="MMD25" s="1882"/>
      <c r="MME25" s="1882"/>
      <c r="MMF25" s="1882"/>
      <c r="MMH25" s="1887"/>
      <c r="MMI25" s="1888"/>
      <c r="MMJ25" s="1882"/>
      <c r="MMK25" s="1882"/>
      <c r="MML25" s="1882"/>
      <c r="MMN25" s="1887"/>
      <c r="MMO25" s="1888"/>
      <c r="MMP25" s="1882"/>
      <c r="MMQ25" s="1882"/>
      <c r="MMR25" s="1882"/>
      <c r="MMT25" s="1887"/>
      <c r="MMU25" s="1888"/>
      <c r="MMV25" s="1882"/>
      <c r="MMW25" s="1882"/>
      <c r="MMX25" s="1882"/>
      <c r="MMZ25" s="1887"/>
      <c r="MNA25" s="1888"/>
      <c r="MNB25" s="1882"/>
      <c r="MNC25" s="1882"/>
      <c r="MND25" s="1882"/>
      <c r="MNF25" s="1887"/>
      <c r="MNG25" s="1888"/>
      <c r="MNH25" s="1882"/>
      <c r="MNI25" s="1882"/>
      <c r="MNJ25" s="1882"/>
      <c r="MNL25" s="1887"/>
      <c r="MNM25" s="1888"/>
      <c r="MNN25" s="1882"/>
      <c r="MNO25" s="1882"/>
      <c r="MNP25" s="1882"/>
      <c r="MNR25" s="1887"/>
      <c r="MNS25" s="1888"/>
      <c r="MNT25" s="1882"/>
      <c r="MNU25" s="1882"/>
      <c r="MNV25" s="1882"/>
      <c r="MNX25" s="1887"/>
      <c r="MNY25" s="1888"/>
      <c r="MNZ25" s="1882"/>
      <c r="MOA25" s="1882"/>
      <c r="MOB25" s="1882"/>
      <c r="MOD25" s="1887"/>
      <c r="MOE25" s="1888"/>
      <c r="MOF25" s="1882"/>
      <c r="MOG25" s="1882"/>
      <c r="MOH25" s="1882"/>
      <c r="MOJ25" s="1887"/>
      <c r="MOK25" s="1888"/>
      <c r="MOL25" s="1882"/>
      <c r="MOM25" s="1882"/>
      <c r="MON25" s="1882"/>
      <c r="MOP25" s="1887"/>
      <c r="MOQ25" s="1888"/>
      <c r="MOR25" s="1882"/>
      <c r="MOS25" s="1882"/>
      <c r="MOT25" s="1882"/>
      <c r="MOV25" s="1887"/>
      <c r="MOW25" s="1888"/>
      <c r="MOX25" s="1882"/>
      <c r="MOY25" s="1882"/>
      <c r="MOZ25" s="1882"/>
      <c r="MPB25" s="1887"/>
      <c r="MPC25" s="1888"/>
      <c r="MPD25" s="1882"/>
      <c r="MPE25" s="1882"/>
      <c r="MPF25" s="1882"/>
      <c r="MPH25" s="1887"/>
      <c r="MPI25" s="1888"/>
      <c r="MPJ25" s="1882"/>
      <c r="MPK25" s="1882"/>
      <c r="MPL25" s="1882"/>
      <c r="MPN25" s="1887"/>
      <c r="MPO25" s="1888"/>
      <c r="MPP25" s="1882"/>
      <c r="MPQ25" s="1882"/>
      <c r="MPR25" s="1882"/>
      <c r="MPT25" s="1887"/>
      <c r="MPU25" s="1888"/>
      <c r="MPV25" s="1882"/>
      <c r="MPW25" s="1882"/>
      <c r="MPX25" s="1882"/>
      <c r="MPZ25" s="1887"/>
      <c r="MQA25" s="1888"/>
      <c r="MQB25" s="1882"/>
      <c r="MQC25" s="1882"/>
      <c r="MQD25" s="1882"/>
      <c r="MQF25" s="1887"/>
      <c r="MQG25" s="1888"/>
      <c r="MQH25" s="1882"/>
      <c r="MQI25" s="1882"/>
      <c r="MQJ25" s="1882"/>
      <c r="MQL25" s="1887"/>
      <c r="MQM25" s="1888"/>
      <c r="MQN25" s="1882"/>
      <c r="MQO25" s="1882"/>
      <c r="MQP25" s="1882"/>
      <c r="MQR25" s="1887"/>
      <c r="MQS25" s="1888"/>
      <c r="MQT25" s="1882"/>
      <c r="MQU25" s="1882"/>
      <c r="MQV25" s="1882"/>
      <c r="MQX25" s="1887"/>
      <c r="MQY25" s="1888"/>
      <c r="MQZ25" s="1882"/>
      <c r="MRA25" s="1882"/>
      <c r="MRB25" s="1882"/>
      <c r="MRD25" s="1887"/>
      <c r="MRE25" s="1888"/>
      <c r="MRF25" s="1882"/>
      <c r="MRG25" s="1882"/>
      <c r="MRH25" s="1882"/>
      <c r="MRJ25" s="1887"/>
      <c r="MRK25" s="1888"/>
      <c r="MRL25" s="1882"/>
      <c r="MRM25" s="1882"/>
      <c r="MRN25" s="1882"/>
      <c r="MRP25" s="1887"/>
      <c r="MRQ25" s="1888"/>
      <c r="MRR25" s="1882"/>
      <c r="MRS25" s="1882"/>
      <c r="MRT25" s="1882"/>
      <c r="MRV25" s="1887"/>
      <c r="MRW25" s="1888"/>
      <c r="MRX25" s="1882"/>
      <c r="MRY25" s="1882"/>
      <c r="MRZ25" s="1882"/>
      <c r="MSB25" s="1887"/>
      <c r="MSC25" s="1888"/>
      <c r="MSD25" s="1882"/>
      <c r="MSE25" s="1882"/>
      <c r="MSF25" s="1882"/>
      <c r="MSH25" s="1887"/>
      <c r="MSI25" s="1888"/>
      <c r="MSJ25" s="1882"/>
      <c r="MSK25" s="1882"/>
      <c r="MSL25" s="1882"/>
      <c r="MSN25" s="1887"/>
      <c r="MSO25" s="1888"/>
      <c r="MSP25" s="1882"/>
      <c r="MSQ25" s="1882"/>
      <c r="MSR25" s="1882"/>
      <c r="MST25" s="1887"/>
      <c r="MSU25" s="1888"/>
      <c r="MSV25" s="1882"/>
      <c r="MSW25" s="1882"/>
      <c r="MSX25" s="1882"/>
      <c r="MSZ25" s="1887"/>
      <c r="MTA25" s="1888"/>
      <c r="MTB25" s="1882"/>
      <c r="MTC25" s="1882"/>
      <c r="MTD25" s="1882"/>
      <c r="MTF25" s="1887"/>
      <c r="MTG25" s="1888"/>
      <c r="MTH25" s="1882"/>
      <c r="MTI25" s="1882"/>
      <c r="MTJ25" s="1882"/>
      <c r="MTL25" s="1887"/>
      <c r="MTM25" s="1888"/>
      <c r="MTN25" s="1882"/>
      <c r="MTO25" s="1882"/>
      <c r="MTP25" s="1882"/>
      <c r="MTR25" s="1887"/>
      <c r="MTS25" s="1888"/>
      <c r="MTT25" s="1882"/>
      <c r="MTU25" s="1882"/>
      <c r="MTV25" s="1882"/>
      <c r="MTX25" s="1887"/>
      <c r="MTY25" s="1888"/>
      <c r="MTZ25" s="1882"/>
      <c r="MUA25" s="1882"/>
      <c r="MUB25" s="1882"/>
      <c r="MUD25" s="1887"/>
      <c r="MUE25" s="1888"/>
      <c r="MUF25" s="1882"/>
      <c r="MUG25" s="1882"/>
      <c r="MUH25" s="1882"/>
      <c r="MUJ25" s="1887"/>
      <c r="MUK25" s="1888"/>
      <c r="MUL25" s="1882"/>
      <c r="MUM25" s="1882"/>
      <c r="MUN25" s="1882"/>
      <c r="MUP25" s="1887"/>
      <c r="MUQ25" s="1888"/>
      <c r="MUR25" s="1882"/>
      <c r="MUS25" s="1882"/>
      <c r="MUT25" s="1882"/>
      <c r="MUV25" s="1887"/>
      <c r="MUW25" s="1888"/>
      <c r="MUX25" s="1882"/>
      <c r="MUY25" s="1882"/>
      <c r="MUZ25" s="1882"/>
      <c r="MVB25" s="1887"/>
      <c r="MVC25" s="1888"/>
      <c r="MVD25" s="1882"/>
      <c r="MVE25" s="1882"/>
      <c r="MVF25" s="1882"/>
      <c r="MVH25" s="1887"/>
      <c r="MVI25" s="1888"/>
      <c r="MVJ25" s="1882"/>
      <c r="MVK25" s="1882"/>
      <c r="MVL25" s="1882"/>
      <c r="MVN25" s="1887"/>
      <c r="MVO25" s="1888"/>
      <c r="MVP25" s="1882"/>
      <c r="MVQ25" s="1882"/>
      <c r="MVR25" s="1882"/>
      <c r="MVT25" s="1887"/>
      <c r="MVU25" s="1888"/>
      <c r="MVV25" s="1882"/>
      <c r="MVW25" s="1882"/>
      <c r="MVX25" s="1882"/>
      <c r="MVZ25" s="1887"/>
      <c r="MWA25" s="1888"/>
      <c r="MWB25" s="1882"/>
      <c r="MWC25" s="1882"/>
      <c r="MWD25" s="1882"/>
      <c r="MWF25" s="1887"/>
      <c r="MWG25" s="1888"/>
      <c r="MWH25" s="1882"/>
      <c r="MWI25" s="1882"/>
      <c r="MWJ25" s="1882"/>
      <c r="MWL25" s="1887"/>
      <c r="MWM25" s="1888"/>
      <c r="MWN25" s="1882"/>
      <c r="MWO25" s="1882"/>
      <c r="MWP25" s="1882"/>
      <c r="MWR25" s="1887"/>
      <c r="MWS25" s="1888"/>
      <c r="MWT25" s="1882"/>
      <c r="MWU25" s="1882"/>
      <c r="MWV25" s="1882"/>
      <c r="MWX25" s="1887"/>
      <c r="MWY25" s="1888"/>
      <c r="MWZ25" s="1882"/>
      <c r="MXA25" s="1882"/>
      <c r="MXB25" s="1882"/>
      <c r="MXD25" s="1887"/>
      <c r="MXE25" s="1888"/>
      <c r="MXF25" s="1882"/>
      <c r="MXG25" s="1882"/>
      <c r="MXH25" s="1882"/>
      <c r="MXJ25" s="1887"/>
      <c r="MXK25" s="1888"/>
      <c r="MXL25" s="1882"/>
      <c r="MXM25" s="1882"/>
      <c r="MXN25" s="1882"/>
      <c r="MXP25" s="1887"/>
      <c r="MXQ25" s="1888"/>
      <c r="MXR25" s="1882"/>
      <c r="MXS25" s="1882"/>
      <c r="MXT25" s="1882"/>
      <c r="MXV25" s="1887"/>
      <c r="MXW25" s="1888"/>
      <c r="MXX25" s="1882"/>
      <c r="MXY25" s="1882"/>
      <c r="MXZ25" s="1882"/>
      <c r="MYB25" s="1887"/>
      <c r="MYC25" s="1888"/>
      <c r="MYD25" s="1882"/>
      <c r="MYE25" s="1882"/>
      <c r="MYF25" s="1882"/>
      <c r="MYH25" s="1887"/>
      <c r="MYI25" s="1888"/>
      <c r="MYJ25" s="1882"/>
      <c r="MYK25" s="1882"/>
      <c r="MYL25" s="1882"/>
      <c r="MYN25" s="1887"/>
      <c r="MYO25" s="1888"/>
      <c r="MYP25" s="1882"/>
      <c r="MYQ25" s="1882"/>
      <c r="MYR25" s="1882"/>
      <c r="MYT25" s="1887"/>
      <c r="MYU25" s="1888"/>
      <c r="MYV25" s="1882"/>
      <c r="MYW25" s="1882"/>
      <c r="MYX25" s="1882"/>
      <c r="MYZ25" s="1887"/>
      <c r="MZA25" s="1888"/>
      <c r="MZB25" s="1882"/>
      <c r="MZC25" s="1882"/>
      <c r="MZD25" s="1882"/>
      <c r="MZF25" s="1887"/>
      <c r="MZG25" s="1888"/>
      <c r="MZH25" s="1882"/>
      <c r="MZI25" s="1882"/>
      <c r="MZJ25" s="1882"/>
      <c r="MZL25" s="1887"/>
      <c r="MZM25" s="1888"/>
      <c r="MZN25" s="1882"/>
      <c r="MZO25" s="1882"/>
      <c r="MZP25" s="1882"/>
      <c r="MZR25" s="1887"/>
      <c r="MZS25" s="1888"/>
      <c r="MZT25" s="1882"/>
      <c r="MZU25" s="1882"/>
      <c r="MZV25" s="1882"/>
      <c r="MZX25" s="1887"/>
      <c r="MZY25" s="1888"/>
      <c r="MZZ25" s="1882"/>
      <c r="NAA25" s="1882"/>
      <c r="NAB25" s="1882"/>
      <c r="NAD25" s="1887"/>
      <c r="NAE25" s="1888"/>
      <c r="NAF25" s="1882"/>
      <c r="NAG25" s="1882"/>
      <c r="NAH25" s="1882"/>
      <c r="NAJ25" s="1887"/>
      <c r="NAK25" s="1888"/>
      <c r="NAL25" s="1882"/>
      <c r="NAM25" s="1882"/>
      <c r="NAN25" s="1882"/>
      <c r="NAP25" s="1887"/>
      <c r="NAQ25" s="1888"/>
      <c r="NAR25" s="1882"/>
      <c r="NAS25" s="1882"/>
      <c r="NAT25" s="1882"/>
      <c r="NAV25" s="1887"/>
      <c r="NAW25" s="1888"/>
      <c r="NAX25" s="1882"/>
      <c r="NAY25" s="1882"/>
      <c r="NAZ25" s="1882"/>
      <c r="NBB25" s="1887"/>
      <c r="NBC25" s="1888"/>
      <c r="NBD25" s="1882"/>
      <c r="NBE25" s="1882"/>
      <c r="NBF25" s="1882"/>
      <c r="NBH25" s="1887"/>
      <c r="NBI25" s="1888"/>
      <c r="NBJ25" s="1882"/>
      <c r="NBK25" s="1882"/>
      <c r="NBL25" s="1882"/>
      <c r="NBN25" s="1887"/>
      <c r="NBO25" s="1888"/>
      <c r="NBP25" s="1882"/>
      <c r="NBQ25" s="1882"/>
      <c r="NBR25" s="1882"/>
      <c r="NBT25" s="1887"/>
      <c r="NBU25" s="1888"/>
      <c r="NBV25" s="1882"/>
      <c r="NBW25" s="1882"/>
      <c r="NBX25" s="1882"/>
      <c r="NBZ25" s="1887"/>
      <c r="NCA25" s="1888"/>
      <c r="NCB25" s="1882"/>
      <c r="NCC25" s="1882"/>
      <c r="NCD25" s="1882"/>
      <c r="NCF25" s="1887"/>
      <c r="NCG25" s="1888"/>
      <c r="NCH25" s="1882"/>
      <c r="NCI25" s="1882"/>
      <c r="NCJ25" s="1882"/>
      <c r="NCL25" s="1887"/>
      <c r="NCM25" s="1888"/>
      <c r="NCN25" s="1882"/>
      <c r="NCO25" s="1882"/>
      <c r="NCP25" s="1882"/>
      <c r="NCR25" s="1887"/>
      <c r="NCS25" s="1888"/>
      <c r="NCT25" s="1882"/>
      <c r="NCU25" s="1882"/>
      <c r="NCV25" s="1882"/>
      <c r="NCX25" s="1887"/>
      <c r="NCY25" s="1888"/>
      <c r="NCZ25" s="1882"/>
      <c r="NDA25" s="1882"/>
      <c r="NDB25" s="1882"/>
      <c r="NDD25" s="1887"/>
      <c r="NDE25" s="1888"/>
      <c r="NDF25" s="1882"/>
      <c r="NDG25" s="1882"/>
      <c r="NDH25" s="1882"/>
      <c r="NDJ25" s="1887"/>
      <c r="NDK25" s="1888"/>
      <c r="NDL25" s="1882"/>
      <c r="NDM25" s="1882"/>
      <c r="NDN25" s="1882"/>
      <c r="NDP25" s="1887"/>
      <c r="NDQ25" s="1888"/>
      <c r="NDR25" s="1882"/>
      <c r="NDS25" s="1882"/>
      <c r="NDT25" s="1882"/>
      <c r="NDV25" s="1887"/>
      <c r="NDW25" s="1888"/>
      <c r="NDX25" s="1882"/>
      <c r="NDY25" s="1882"/>
      <c r="NDZ25" s="1882"/>
      <c r="NEB25" s="1887"/>
      <c r="NEC25" s="1888"/>
      <c r="NED25" s="1882"/>
      <c r="NEE25" s="1882"/>
      <c r="NEF25" s="1882"/>
      <c r="NEH25" s="1887"/>
      <c r="NEI25" s="1888"/>
      <c r="NEJ25" s="1882"/>
      <c r="NEK25" s="1882"/>
      <c r="NEL25" s="1882"/>
      <c r="NEN25" s="1887"/>
      <c r="NEO25" s="1888"/>
      <c r="NEP25" s="1882"/>
      <c r="NEQ25" s="1882"/>
      <c r="NER25" s="1882"/>
      <c r="NET25" s="1887"/>
      <c r="NEU25" s="1888"/>
      <c r="NEV25" s="1882"/>
      <c r="NEW25" s="1882"/>
      <c r="NEX25" s="1882"/>
      <c r="NEZ25" s="1887"/>
      <c r="NFA25" s="1888"/>
      <c r="NFB25" s="1882"/>
      <c r="NFC25" s="1882"/>
      <c r="NFD25" s="1882"/>
      <c r="NFF25" s="1887"/>
      <c r="NFG25" s="1888"/>
      <c r="NFH25" s="1882"/>
      <c r="NFI25" s="1882"/>
      <c r="NFJ25" s="1882"/>
      <c r="NFL25" s="1887"/>
      <c r="NFM25" s="1888"/>
      <c r="NFN25" s="1882"/>
      <c r="NFO25" s="1882"/>
      <c r="NFP25" s="1882"/>
      <c r="NFR25" s="1887"/>
      <c r="NFS25" s="1888"/>
      <c r="NFT25" s="1882"/>
      <c r="NFU25" s="1882"/>
      <c r="NFV25" s="1882"/>
      <c r="NFX25" s="1887"/>
      <c r="NFY25" s="1888"/>
      <c r="NFZ25" s="1882"/>
      <c r="NGA25" s="1882"/>
      <c r="NGB25" s="1882"/>
      <c r="NGD25" s="1887"/>
      <c r="NGE25" s="1888"/>
      <c r="NGF25" s="1882"/>
      <c r="NGG25" s="1882"/>
      <c r="NGH25" s="1882"/>
      <c r="NGJ25" s="1887"/>
      <c r="NGK25" s="1888"/>
      <c r="NGL25" s="1882"/>
      <c r="NGM25" s="1882"/>
      <c r="NGN25" s="1882"/>
      <c r="NGP25" s="1887"/>
      <c r="NGQ25" s="1888"/>
      <c r="NGR25" s="1882"/>
      <c r="NGS25" s="1882"/>
      <c r="NGT25" s="1882"/>
      <c r="NGV25" s="1887"/>
      <c r="NGW25" s="1888"/>
      <c r="NGX25" s="1882"/>
      <c r="NGY25" s="1882"/>
      <c r="NGZ25" s="1882"/>
      <c r="NHB25" s="1887"/>
      <c r="NHC25" s="1888"/>
      <c r="NHD25" s="1882"/>
      <c r="NHE25" s="1882"/>
      <c r="NHF25" s="1882"/>
      <c r="NHH25" s="1887"/>
      <c r="NHI25" s="1888"/>
      <c r="NHJ25" s="1882"/>
      <c r="NHK25" s="1882"/>
      <c r="NHL25" s="1882"/>
      <c r="NHN25" s="1887"/>
      <c r="NHO25" s="1888"/>
      <c r="NHP25" s="1882"/>
      <c r="NHQ25" s="1882"/>
      <c r="NHR25" s="1882"/>
      <c r="NHT25" s="1887"/>
      <c r="NHU25" s="1888"/>
      <c r="NHV25" s="1882"/>
      <c r="NHW25" s="1882"/>
      <c r="NHX25" s="1882"/>
      <c r="NHZ25" s="1887"/>
      <c r="NIA25" s="1888"/>
      <c r="NIB25" s="1882"/>
      <c r="NIC25" s="1882"/>
      <c r="NID25" s="1882"/>
      <c r="NIF25" s="1887"/>
      <c r="NIG25" s="1888"/>
      <c r="NIH25" s="1882"/>
      <c r="NII25" s="1882"/>
      <c r="NIJ25" s="1882"/>
      <c r="NIL25" s="1887"/>
      <c r="NIM25" s="1888"/>
      <c r="NIN25" s="1882"/>
      <c r="NIO25" s="1882"/>
      <c r="NIP25" s="1882"/>
      <c r="NIR25" s="1887"/>
      <c r="NIS25" s="1888"/>
      <c r="NIT25" s="1882"/>
      <c r="NIU25" s="1882"/>
      <c r="NIV25" s="1882"/>
      <c r="NIX25" s="1887"/>
      <c r="NIY25" s="1888"/>
      <c r="NIZ25" s="1882"/>
      <c r="NJA25" s="1882"/>
      <c r="NJB25" s="1882"/>
      <c r="NJD25" s="1887"/>
      <c r="NJE25" s="1888"/>
      <c r="NJF25" s="1882"/>
      <c r="NJG25" s="1882"/>
      <c r="NJH25" s="1882"/>
      <c r="NJJ25" s="1887"/>
      <c r="NJK25" s="1888"/>
      <c r="NJL25" s="1882"/>
      <c r="NJM25" s="1882"/>
      <c r="NJN25" s="1882"/>
      <c r="NJP25" s="1887"/>
      <c r="NJQ25" s="1888"/>
      <c r="NJR25" s="1882"/>
      <c r="NJS25" s="1882"/>
      <c r="NJT25" s="1882"/>
      <c r="NJV25" s="1887"/>
      <c r="NJW25" s="1888"/>
      <c r="NJX25" s="1882"/>
      <c r="NJY25" s="1882"/>
      <c r="NJZ25" s="1882"/>
      <c r="NKB25" s="1887"/>
      <c r="NKC25" s="1888"/>
      <c r="NKD25" s="1882"/>
      <c r="NKE25" s="1882"/>
      <c r="NKF25" s="1882"/>
      <c r="NKH25" s="1887"/>
      <c r="NKI25" s="1888"/>
      <c r="NKJ25" s="1882"/>
      <c r="NKK25" s="1882"/>
      <c r="NKL25" s="1882"/>
      <c r="NKN25" s="1887"/>
      <c r="NKO25" s="1888"/>
      <c r="NKP25" s="1882"/>
      <c r="NKQ25" s="1882"/>
      <c r="NKR25" s="1882"/>
      <c r="NKT25" s="1887"/>
      <c r="NKU25" s="1888"/>
      <c r="NKV25" s="1882"/>
      <c r="NKW25" s="1882"/>
      <c r="NKX25" s="1882"/>
      <c r="NKZ25" s="1887"/>
      <c r="NLA25" s="1888"/>
      <c r="NLB25" s="1882"/>
      <c r="NLC25" s="1882"/>
      <c r="NLD25" s="1882"/>
      <c r="NLF25" s="1887"/>
      <c r="NLG25" s="1888"/>
      <c r="NLH25" s="1882"/>
      <c r="NLI25" s="1882"/>
      <c r="NLJ25" s="1882"/>
      <c r="NLL25" s="1887"/>
      <c r="NLM25" s="1888"/>
      <c r="NLN25" s="1882"/>
      <c r="NLO25" s="1882"/>
      <c r="NLP25" s="1882"/>
      <c r="NLR25" s="1887"/>
      <c r="NLS25" s="1888"/>
      <c r="NLT25" s="1882"/>
      <c r="NLU25" s="1882"/>
      <c r="NLV25" s="1882"/>
      <c r="NLX25" s="1887"/>
      <c r="NLY25" s="1888"/>
      <c r="NLZ25" s="1882"/>
      <c r="NMA25" s="1882"/>
      <c r="NMB25" s="1882"/>
      <c r="NMD25" s="1887"/>
      <c r="NME25" s="1888"/>
      <c r="NMF25" s="1882"/>
      <c r="NMG25" s="1882"/>
      <c r="NMH25" s="1882"/>
      <c r="NMJ25" s="1887"/>
      <c r="NMK25" s="1888"/>
      <c r="NML25" s="1882"/>
      <c r="NMM25" s="1882"/>
      <c r="NMN25" s="1882"/>
      <c r="NMP25" s="1887"/>
      <c r="NMQ25" s="1888"/>
      <c r="NMR25" s="1882"/>
      <c r="NMS25" s="1882"/>
      <c r="NMT25" s="1882"/>
      <c r="NMV25" s="1887"/>
      <c r="NMW25" s="1888"/>
      <c r="NMX25" s="1882"/>
      <c r="NMY25" s="1882"/>
      <c r="NMZ25" s="1882"/>
      <c r="NNB25" s="1887"/>
      <c r="NNC25" s="1888"/>
      <c r="NND25" s="1882"/>
      <c r="NNE25" s="1882"/>
      <c r="NNF25" s="1882"/>
      <c r="NNH25" s="1887"/>
      <c r="NNI25" s="1888"/>
      <c r="NNJ25" s="1882"/>
      <c r="NNK25" s="1882"/>
      <c r="NNL25" s="1882"/>
      <c r="NNN25" s="1887"/>
      <c r="NNO25" s="1888"/>
      <c r="NNP25" s="1882"/>
      <c r="NNQ25" s="1882"/>
      <c r="NNR25" s="1882"/>
      <c r="NNT25" s="1887"/>
      <c r="NNU25" s="1888"/>
      <c r="NNV25" s="1882"/>
      <c r="NNW25" s="1882"/>
      <c r="NNX25" s="1882"/>
      <c r="NNZ25" s="1887"/>
      <c r="NOA25" s="1888"/>
      <c r="NOB25" s="1882"/>
      <c r="NOC25" s="1882"/>
      <c r="NOD25" s="1882"/>
      <c r="NOF25" s="1887"/>
      <c r="NOG25" s="1888"/>
      <c r="NOH25" s="1882"/>
      <c r="NOI25" s="1882"/>
      <c r="NOJ25" s="1882"/>
      <c r="NOL25" s="1887"/>
      <c r="NOM25" s="1888"/>
      <c r="NON25" s="1882"/>
      <c r="NOO25" s="1882"/>
      <c r="NOP25" s="1882"/>
      <c r="NOR25" s="1887"/>
      <c r="NOS25" s="1888"/>
      <c r="NOT25" s="1882"/>
      <c r="NOU25" s="1882"/>
      <c r="NOV25" s="1882"/>
      <c r="NOX25" s="1887"/>
      <c r="NOY25" s="1888"/>
      <c r="NOZ25" s="1882"/>
      <c r="NPA25" s="1882"/>
      <c r="NPB25" s="1882"/>
      <c r="NPD25" s="1887"/>
      <c r="NPE25" s="1888"/>
      <c r="NPF25" s="1882"/>
      <c r="NPG25" s="1882"/>
      <c r="NPH25" s="1882"/>
      <c r="NPJ25" s="1887"/>
      <c r="NPK25" s="1888"/>
      <c r="NPL25" s="1882"/>
      <c r="NPM25" s="1882"/>
      <c r="NPN25" s="1882"/>
      <c r="NPP25" s="1887"/>
      <c r="NPQ25" s="1888"/>
      <c r="NPR25" s="1882"/>
      <c r="NPS25" s="1882"/>
      <c r="NPT25" s="1882"/>
      <c r="NPV25" s="1887"/>
      <c r="NPW25" s="1888"/>
      <c r="NPX25" s="1882"/>
      <c r="NPY25" s="1882"/>
      <c r="NPZ25" s="1882"/>
      <c r="NQB25" s="1887"/>
      <c r="NQC25" s="1888"/>
      <c r="NQD25" s="1882"/>
      <c r="NQE25" s="1882"/>
      <c r="NQF25" s="1882"/>
      <c r="NQH25" s="1887"/>
      <c r="NQI25" s="1888"/>
      <c r="NQJ25" s="1882"/>
      <c r="NQK25" s="1882"/>
      <c r="NQL25" s="1882"/>
      <c r="NQN25" s="1887"/>
      <c r="NQO25" s="1888"/>
      <c r="NQP25" s="1882"/>
      <c r="NQQ25" s="1882"/>
      <c r="NQR25" s="1882"/>
      <c r="NQT25" s="1887"/>
      <c r="NQU25" s="1888"/>
      <c r="NQV25" s="1882"/>
      <c r="NQW25" s="1882"/>
      <c r="NQX25" s="1882"/>
      <c r="NQZ25" s="1887"/>
      <c r="NRA25" s="1888"/>
      <c r="NRB25" s="1882"/>
      <c r="NRC25" s="1882"/>
      <c r="NRD25" s="1882"/>
      <c r="NRF25" s="1887"/>
      <c r="NRG25" s="1888"/>
      <c r="NRH25" s="1882"/>
      <c r="NRI25" s="1882"/>
      <c r="NRJ25" s="1882"/>
      <c r="NRL25" s="1887"/>
      <c r="NRM25" s="1888"/>
      <c r="NRN25" s="1882"/>
      <c r="NRO25" s="1882"/>
      <c r="NRP25" s="1882"/>
      <c r="NRR25" s="1887"/>
      <c r="NRS25" s="1888"/>
      <c r="NRT25" s="1882"/>
      <c r="NRU25" s="1882"/>
      <c r="NRV25" s="1882"/>
      <c r="NRX25" s="1887"/>
      <c r="NRY25" s="1888"/>
      <c r="NRZ25" s="1882"/>
      <c r="NSA25" s="1882"/>
      <c r="NSB25" s="1882"/>
      <c r="NSD25" s="1887"/>
      <c r="NSE25" s="1888"/>
      <c r="NSF25" s="1882"/>
      <c r="NSG25" s="1882"/>
      <c r="NSH25" s="1882"/>
      <c r="NSJ25" s="1887"/>
      <c r="NSK25" s="1888"/>
      <c r="NSL25" s="1882"/>
      <c r="NSM25" s="1882"/>
      <c r="NSN25" s="1882"/>
      <c r="NSP25" s="1887"/>
      <c r="NSQ25" s="1888"/>
      <c r="NSR25" s="1882"/>
      <c r="NSS25" s="1882"/>
      <c r="NST25" s="1882"/>
      <c r="NSV25" s="1887"/>
      <c r="NSW25" s="1888"/>
      <c r="NSX25" s="1882"/>
      <c r="NSY25" s="1882"/>
      <c r="NSZ25" s="1882"/>
      <c r="NTB25" s="1887"/>
      <c r="NTC25" s="1888"/>
      <c r="NTD25" s="1882"/>
      <c r="NTE25" s="1882"/>
      <c r="NTF25" s="1882"/>
      <c r="NTH25" s="1887"/>
      <c r="NTI25" s="1888"/>
      <c r="NTJ25" s="1882"/>
      <c r="NTK25" s="1882"/>
      <c r="NTL25" s="1882"/>
      <c r="NTN25" s="1887"/>
      <c r="NTO25" s="1888"/>
      <c r="NTP25" s="1882"/>
      <c r="NTQ25" s="1882"/>
      <c r="NTR25" s="1882"/>
      <c r="NTT25" s="1887"/>
      <c r="NTU25" s="1888"/>
      <c r="NTV25" s="1882"/>
      <c r="NTW25" s="1882"/>
      <c r="NTX25" s="1882"/>
      <c r="NTZ25" s="1887"/>
      <c r="NUA25" s="1888"/>
      <c r="NUB25" s="1882"/>
      <c r="NUC25" s="1882"/>
      <c r="NUD25" s="1882"/>
      <c r="NUF25" s="1887"/>
      <c r="NUG25" s="1888"/>
      <c r="NUH25" s="1882"/>
      <c r="NUI25" s="1882"/>
      <c r="NUJ25" s="1882"/>
      <c r="NUL25" s="1887"/>
      <c r="NUM25" s="1888"/>
      <c r="NUN25" s="1882"/>
      <c r="NUO25" s="1882"/>
      <c r="NUP25" s="1882"/>
      <c r="NUR25" s="1887"/>
      <c r="NUS25" s="1888"/>
      <c r="NUT25" s="1882"/>
      <c r="NUU25" s="1882"/>
      <c r="NUV25" s="1882"/>
      <c r="NUX25" s="1887"/>
      <c r="NUY25" s="1888"/>
      <c r="NUZ25" s="1882"/>
      <c r="NVA25" s="1882"/>
      <c r="NVB25" s="1882"/>
      <c r="NVD25" s="1887"/>
      <c r="NVE25" s="1888"/>
      <c r="NVF25" s="1882"/>
      <c r="NVG25" s="1882"/>
      <c r="NVH25" s="1882"/>
      <c r="NVJ25" s="1887"/>
      <c r="NVK25" s="1888"/>
      <c r="NVL25" s="1882"/>
      <c r="NVM25" s="1882"/>
      <c r="NVN25" s="1882"/>
      <c r="NVP25" s="1887"/>
      <c r="NVQ25" s="1888"/>
      <c r="NVR25" s="1882"/>
      <c r="NVS25" s="1882"/>
      <c r="NVT25" s="1882"/>
      <c r="NVV25" s="1887"/>
      <c r="NVW25" s="1888"/>
      <c r="NVX25" s="1882"/>
      <c r="NVY25" s="1882"/>
      <c r="NVZ25" s="1882"/>
      <c r="NWB25" s="1887"/>
      <c r="NWC25" s="1888"/>
      <c r="NWD25" s="1882"/>
      <c r="NWE25" s="1882"/>
      <c r="NWF25" s="1882"/>
      <c r="NWH25" s="1887"/>
      <c r="NWI25" s="1888"/>
      <c r="NWJ25" s="1882"/>
      <c r="NWK25" s="1882"/>
      <c r="NWL25" s="1882"/>
      <c r="NWN25" s="1887"/>
      <c r="NWO25" s="1888"/>
      <c r="NWP25" s="1882"/>
      <c r="NWQ25" s="1882"/>
      <c r="NWR25" s="1882"/>
      <c r="NWT25" s="1887"/>
      <c r="NWU25" s="1888"/>
      <c r="NWV25" s="1882"/>
      <c r="NWW25" s="1882"/>
      <c r="NWX25" s="1882"/>
      <c r="NWZ25" s="1887"/>
      <c r="NXA25" s="1888"/>
      <c r="NXB25" s="1882"/>
      <c r="NXC25" s="1882"/>
      <c r="NXD25" s="1882"/>
      <c r="NXF25" s="1887"/>
      <c r="NXG25" s="1888"/>
      <c r="NXH25" s="1882"/>
      <c r="NXI25" s="1882"/>
      <c r="NXJ25" s="1882"/>
      <c r="NXL25" s="1887"/>
      <c r="NXM25" s="1888"/>
      <c r="NXN25" s="1882"/>
      <c r="NXO25" s="1882"/>
      <c r="NXP25" s="1882"/>
      <c r="NXR25" s="1887"/>
      <c r="NXS25" s="1888"/>
      <c r="NXT25" s="1882"/>
      <c r="NXU25" s="1882"/>
      <c r="NXV25" s="1882"/>
      <c r="NXX25" s="1887"/>
      <c r="NXY25" s="1888"/>
      <c r="NXZ25" s="1882"/>
      <c r="NYA25" s="1882"/>
      <c r="NYB25" s="1882"/>
      <c r="NYD25" s="1887"/>
      <c r="NYE25" s="1888"/>
      <c r="NYF25" s="1882"/>
      <c r="NYG25" s="1882"/>
      <c r="NYH25" s="1882"/>
      <c r="NYJ25" s="1887"/>
      <c r="NYK25" s="1888"/>
      <c r="NYL25" s="1882"/>
      <c r="NYM25" s="1882"/>
      <c r="NYN25" s="1882"/>
      <c r="NYP25" s="1887"/>
      <c r="NYQ25" s="1888"/>
      <c r="NYR25" s="1882"/>
      <c r="NYS25" s="1882"/>
      <c r="NYT25" s="1882"/>
      <c r="NYV25" s="1887"/>
      <c r="NYW25" s="1888"/>
      <c r="NYX25" s="1882"/>
      <c r="NYY25" s="1882"/>
      <c r="NYZ25" s="1882"/>
      <c r="NZB25" s="1887"/>
      <c r="NZC25" s="1888"/>
      <c r="NZD25" s="1882"/>
      <c r="NZE25" s="1882"/>
      <c r="NZF25" s="1882"/>
      <c r="NZH25" s="1887"/>
      <c r="NZI25" s="1888"/>
      <c r="NZJ25" s="1882"/>
      <c r="NZK25" s="1882"/>
      <c r="NZL25" s="1882"/>
      <c r="NZN25" s="1887"/>
      <c r="NZO25" s="1888"/>
      <c r="NZP25" s="1882"/>
      <c r="NZQ25" s="1882"/>
      <c r="NZR25" s="1882"/>
      <c r="NZT25" s="1887"/>
      <c r="NZU25" s="1888"/>
      <c r="NZV25" s="1882"/>
      <c r="NZW25" s="1882"/>
      <c r="NZX25" s="1882"/>
      <c r="NZZ25" s="1887"/>
      <c r="OAA25" s="1888"/>
      <c r="OAB25" s="1882"/>
      <c r="OAC25" s="1882"/>
      <c r="OAD25" s="1882"/>
      <c r="OAF25" s="1887"/>
      <c r="OAG25" s="1888"/>
      <c r="OAH25" s="1882"/>
      <c r="OAI25" s="1882"/>
      <c r="OAJ25" s="1882"/>
      <c r="OAL25" s="1887"/>
      <c r="OAM25" s="1888"/>
      <c r="OAN25" s="1882"/>
      <c r="OAO25" s="1882"/>
      <c r="OAP25" s="1882"/>
      <c r="OAR25" s="1887"/>
      <c r="OAS25" s="1888"/>
      <c r="OAT25" s="1882"/>
      <c r="OAU25" s="1882"/>
      <c r="OAV25" s="1882"/>
      <c r="OAX25" s="1887"/>
      <c r="OAY25" s="1888"/>
      <c r="OAZ25" s="1882"/>
      <c r="OBA25" s="1882"/>
      <c r="OBB25" s="1882"/>
      <c r="OBD25" s="1887"/>
      <c r="OBE25" s="1888"/>
      <c r="OBF25" s="1882"/>
      <c r="OBG25" s="1882"/>
      <c r="OBH25" s="1882"/>
      <c r="OBJ25" s="1887"/>
      <c r="OBK25" s="1888"/>
      <c r="OBL25" s="1882"/>
      <c r="OBM25" s="1882"/>
      <c r="OBN25" s="1882"/>
      <c r="OBP25" s="1887"/>
      <c r="OBQ25" s="1888"/>
      <c r="OBR25" s="1882"/>
      <c r="OBS25" s="1882"/>
      <c r="OBT25" s="1882"/>
      <c r="OBV25" s="1887"/>
      <c r="OBW25" s="1888"/>
      <c r="OBX25" s="1882"/>
      <c r="OBY25" s="1882"/>
      <c r="OBZ25" s="1882"/>
      <c r="OCB25" s="1887"/>
      <c r="OCC25" s="1888"/>
      <c r="OCD25" s="1882"/>
      <c r="OCE25" s="1882"/>
      <c r="OCF25" s="1882"/>
      <c r="OCH25" s="1887"/>
      <c r="OCI25" s="1888"/>
      <c r="OCJ25" s="1882"/>
      <c r="OCK25" s="1882"/>
      <c r="OCL25" s="1882"/>
      <c r="OCN25" s="1887"/>
      <c r="OCO25" s="1888"/>
      <c r="OCP25" s="1882"/>
      <c r="OCQ25" s="1882"/>
      <c r="OCR25" s="1882"/>
      <c r="OCT25" s="1887"/>
      <c r="OCU25" s="1888"/>
      <c r="OCV25" s="1882"/>
      <c r="OCW25" s="1882"/>
      <c r="OCX25" s="1882"/>
      <c r="OCZ25" s="1887"/>
      <c r="ODA25" s="1888"/>
      <c r="ODB25" s="1882"/>
      <c r="ODC25" s="1882"/>
      <c r="ODD25" s="1882"/>
      <c r="ODF25" s="1887"/>
      <c r="ODG25" s="1888"/>
      <c r="ODH25" s="1882"/>
      <c r="ODI25" s="1882"/>
      <c r="ODJ25" s="1882"/>
      <c r="ODL25" s="1887"/>
      <c r="ODM25" s="1888"/>
      <c r="ODN25" s="1882"/>
      <c r="ODO25" s="1882"/>
      <c r="ODP25" s="1882"/>
      <c r="ODR25" s="1887"/>
      <c r="ODS25" s="1888"/>
      <c r="ODT25" s="1882"/>
      <c r="ODU25" s="1882"/>
      <c r="ODV25" s="1882"/>
      <c r="ODX25" s="1887"/>
      <c r="ODY25" s="1888"/>
      <c r="ODZ25" s="1882"/>
      <c r="OEA25" s="1882"/>
      <c r="OEB25" s="1882"/>
      <c r="OED25" s="1887"/>
      <c r="OEE25" s="1888"/>
      <c r="OEF25" s="1882"/>
      <c r="OEG25" s="1882"/>
      <c r="OEH25" s="1882"/>
      <c r="OEJ25" s="1887"/>
      <c r="OEK25" s="1888"/>
      <c r="OEL25" s="1882"/>
      <c r="OEM25" s="1882"/>
      <c r="OEN25" s="1882"/>
      <c r="OEP25" s="1887"/>
      <c r="OEQ25" s="1888"/>
      <c r="OER25" s="1882"/>
      <c r="OES25" s="1882"/>
      <c r="OET25" s="1882"/>
      <c r="OEV25" s="1887"/>
      <c r="OEW25" s="1888"/>
      <c r="OEX25" s="1882"/>
      <c r="OEY25" s="1882"/>
      <c r="OEZ25" s="1882"/>
      <c r="OFB25" s="1887"/>
      <c r="OFC25" s="1888"/>
      <c r="OFD25" s="1882"/>
      <c r="OFE25" s="1882"/>
      <c r="OFF25" s="1882"/>
      <c r="OFH25" s="1887"/>
      <c r="OFI25" s="1888"/>
      <c r="OFJ25" s="1882"/>
      <c r="OFK25" s="1882"/>
      <c r="OFL25" s="1882"/>
      <c r="OFN25" s="1887"/>
      <c r="OFO25" s="1888"/>
      <c r="OFP25" s="1882"/>
      <c r="OFQ25" s="1882"/>
      <c r="OFR25" s="1882"/>
      <c r="OFT25" s="1887"/>
      <c r="OFU25" s="1888"/>
      <c r="OFV25" s="1882"/>
      <c r="OFW25" s="1882"/>
      <c r="OFX25" s="1882"/>
      <c r="OFZ25" s="1887"/>
      <c r="OGA25" s="1888"/>
      <c r="OGB25" s="1882"/>
      <c r="OGC25" s="1882"/>
      <c r="OGD25" s="1882"/>
      <c r="OGF25" s="1887"/>
      <c r="OGG25" s="1888"/>
      <c r="OGH25" s="1882"/>
      <c r="OGI25" s="1882"/>
      <c r="OGJ25" s="1882"/>
      <c r="OGL25" s="1887"/>
      <c r="OGM25" s="1888"/>
      <c r="OGN25" s="1882"/>
      <c r="OGO25" s="1882"/>
      <c r="OGP25" s="1882"/>
      <c r="OGR25" s="1887"/>
      <c r="OGS25" s="1888"/>
      <c r="OGT25" s="1882"/>
      <c r="OGU25" s="1882"/>
      <c r="OGV25" s="1882"/>
      <c r="OGX25" s="1887"/>
      <c r="OGY25" s="1888"/>
      <c r="OGZ25" s="1882"/>
      <c r="OHA25" s="1882"/>
      <c r="OHB25" s="1882"/>
      <c r="OHD25" s="1887"/>
      <c r="OHE25" s="1888"/>
      <c r="OHF25" s="1882"/>
      <c r="OHG25" s="1882"/>
      <c r="OHH25" s="1882"/>
      <c r="OHJ25" s="1887"/>
      <c r="OHK25" s="1888"/>
      <c r="OHL25" s="1882"/>
      <c r="OHM25" s="1882"/>
      <c r="OHN25" s="1882"/>
      <c r="OHP25" s="1887"/>
      <c r="OHQ25" s="1888"/>
      <c r="OHR25" s="1882"/>
      <c r="OHS25" s="1882"/>
      <c r="OHT25" s="1882"/>
      <c r="OHV25" s="1887"/>
      <c r="OHW25" s="1888"/>
      <c r="OHX25" s="1882"/>
      <c r="OHY25" s="1882"/>
      <c r="OHZ25" s="1882"/>
      <c r="OIB25" s="1887"/>
      <c r="OIC25" s="1888"/>
      <c r="OID25" s="1882"/>
      <c r="OIE25" s="1882"/>
      <c r="OIF25" s="1882"/>
      <c r="OIH25" s="1887"/>
      <c r="OII25" s="1888"/>
      <c r="OIJ25" s="1882"/>
      <c r="OIK25" s="1882"/>
      <c r="OIL25" s="1882"/>
      <c r="OIN25" s="1887"/>
      <c r="OIO25" s="1888"/>
      <c r="OIP25" s="1882"/>
      <c r="OIQ25" s="1882"/>
      <c r="OIR25" s="1882"/>
      <c r="OIT25" s="1887"/>
      <c r="OIU25" s="1888"/>
      <c r="OIV25" s="1882"/>
      <c r="OIW25" s="1882"/>
      <c r="OIX25" s="1882"/>
      <c r="OIZ25" s="1887"/>
      <c r="OJA25" s="1888"/>
      <c r="OJB25" s="1882"/>
      <c r="OJC25" s="1882"/>
      <c r="OJD25" s="1882"/>
      <c r="OJF25" s="1887"/>
      <c r="OJG25" s="1888"/>
      <c r="OJH25" s="1882"/>
      <c r="OJI25" s="1882"/>
      <c r="OJJ25" s="1882"/>
      <c r="OJL25" s="1887"/>
      <c r="OJM25" s="1888"/>
      <c r="OJN25" s="1882"/>
      <c r="OJO25" s="1882"/>
      <c r="OJP25" s="1882"/>
      <c r="OJR25" s="1887"/>
      <c r="OJS25" s="1888"/>
      <c r="OJT25" s="1882"/>
      <c r="OJU25" s="1882"/>
      <c r="OJV25" s="1882"/>
      <c r="OJX25" s="1887"/>
      <c r="OJY25" s="1888"/>
      <c r="OJZ25" s="1882"/>
      <c r="OKA25" s="1882"/>
      <c r="OKB25" s="1882"/>
      <c r="OKD25" s="1887"/>
      <c r="OKE25" s="1888"/>
      <c r="OKF25" s="1882"/>
      <c r="OKG25" s="1882"/>
      <c r="OKH25" s="1882"/>
      <c r="OKJ25" s="1887"/>
      <c r="OKK25" s="1888"/>
      <c r="OKL25" s="1882"/>
      <c r="OKM25" s="1882"/>
      <c r="OKN25" s="1882"/>
      <c r="OKP25" s="1887"/>
      <c r="OKQ25" s="1888"/>
      <c r="OKR25" s="1882"/>
      <c r="OKS25" s="1882"/>
      <c r="OKT25" s="1882"/>
      <c r="OKV25" s="1887"/>
      <c r="OKW25" s="1888"/>
      <c r="OKX25" s="1882"/>
      <c r="OKY25" s="1882"/>
      <c r="OKZ25" s="1882"/>
      <c r="OLB25" s="1887"/>
      <c r="OLC25" s="1888"/>
      <c r="OLD25" s="1882"/>
      <c r="OLE25" s="1882"/>
      <c r="OLF25" s="1882"/>
      <c r="OLH25" s="1887"/>
      <c r="OLI25" s="1888"/>
      <c r="OLJ25" s="1882"/>
      <c r="OLK25" s="1882"/>
      <c r="OLL25" s="1882"/>
      <c r="OLN25" s="1887"/>
      <c r="OLO25" s="1888"/>
      <c r="OLP25" s="1882"/>
      <c r="OLQ25" s="1882"/>
      <c r="OLR25" s="1882"/>
      <c r="OLT25" s="1887"/>
      <c r="OLU25" s="1888"/>
      <c r="OLV25" s="1882"/>
      <c r="OLW25" s="1882"/>
      <c r="OLX25" s="1882"/>
      <c r="OLZ25" s="1887"/>
      <c r="OMA25" s="1888"/>
      <c r="OMB25" s="1882"/>
      <c r="OMC25" s="1882"/>
      <c r="OMD25" s="1882"/>
      <c r="OMF25" s="1887"/>
      <c r="OMG25" s="1888"/>
      <c r="OMH25" s="1882"/>
      <c r="OMI25" s="1882"/>
      <c r="OMJ25" s="1882"/>
      <c r="OML25" s="1887"/>
      <c r="OMM25" s="1888"/>
      <c r="OMN25" s="1882"/>
      <c r="OMO25" s="1882"/>
      <c r="OMP25" s="1882"/>
      <c r="OMR25" s="1887"/>
      <c r="OMS25" s="1888"/>
      <c r="OMT25" s="1882"/>
      <c r="OMU25" s="1882"/>
      <c r="OMV25" s="1882"/>
      <c r="OMX25" s="1887"/>
      <c r="OMY25" s="1888"/>
      <c r="OMZ25" s="1882"/>
      <c r="ONA25" s="1882"/>
      <c r="ONB25" s="1882"/>
      <c r="OND25" s="1887"/>
      <c r="ONE25" s="1888"/>
      <c r="ONF25" s="1882"/>
      <c r="ONG25" s="1882"/>
      <c r="ONH25" s="1882"/>
      <c r="ONJ25" s="1887"/>
      <c r="ONK25" s="1888"/>
      <c r="ONL25" s="1882"/>
      <c r="ONM25" s="1882"/>
      <c r="ONN25" s="1882"/>
      <c r="ONP25" s="1887"/>
      <c r="ONQ25" s="1888"/>
      <c r="ONR25" s="1882"/>
      <c r="ONS25" s="1882"/>
      <c r="ONT25" s="1882"/>
      <c r="ONV25" s="1887"/>
      <c r="ONW25" s="1888"/>
      <c r="ONX25" s="1882"/>
      <c r="ONY25" s="1882"/>
      <c r="ONZ25" s="1882"/>
      <c r="OOB25" s="1887"/>
      <c r="OOC25" s="1888"/>
      <c r="OOD25" s="1882"/>
      <c r="OOE25" s="1882"/>
      <c r="OOF25" s="1882"/>
      <c r="OOH25" s="1887"/>
      <c r="OOI25" s="1888"/>
      <c r="OOJ25" s="1882"/>
      <c r="OOK25" s="1882"/>
      <c r="OOL25" s="1882"/>
      <c r="OON25" s="1887"/>
      <c r="OOO25" s="1888"/>
      <c r="OOP25" s="1882"/>
      <c r="OOQ25" s="1882"/>
      <c r="OOR25" s="1882"/>
      <c r="OOT25" s="1887"/>
      <c r="OOU25" s="1888"/>
      <c r="OOV25" s="1882"/>
      <c r="OOW25" s="1882"/>
      <c r="OOX25" s="1882"/>
      <c r="OOZ25" s="1887"/>
      <c r="OPA25" s="1888"/>
      <c r="OPB25" s="1882"/>
      <c r="OPC25" s="1882"/>
      <c r="OPD25" s="1882"/>
      <c r="OPF25" s="1887"/>
      <c r="OPG25" s="1888"/>
      <c r="OPH25" s="1882"/>
      <c r="OPI25" s="1882"/>
      <c r="OPJ25" s="1882"/>
      <c r="OPL25" s="1887"/>
      <c r="OPM25" s="1888"/>
      <c r="OPN25" s="1882"/>
      <c r="OPO25" s="1882"/>
      <c r="OPP25" s="1882"/>
      <c r="OPR25" s="1887"/>
      <c r="OPS25" s="1888"/>
      <c r="OPT25" s="1882"/>
      <c r="OPU25" s="1882"/>
      <c r="OPV25" s="1882"/>
      <c r="OPX25" s="1887"/>
      <c r="OPY25" s="1888"/>
      <c r="OPZ25" s="1882"/>
      <c r="OQA25" s="1882"/>
      <c r="OQB25" s="1882"/>
      <c r="OQD25" s="1887"/>
      <c r="OQE25" s="1888"/>
      <c r="OQF25" s="1882"/>
      <c r="OQG25" s="1882"/>
      <c r="OQH25" s="1882"/>
      <c r="OQJ25" s="1887"/>
      <c r="OQK25" s="1888"/>
      <c r="OQL25" s="1882"/>
      <c r="OQM25" s="1882"/>
      <c r="OQN25" s="1882"/>
      <c r="OQP25" s="1887"/>
      <c r="OQQ25" s="1888"/>
      <c r="OQR25" s="1882"/>
      <c r="OQS25" s="1882"/>
      <c r="OQT25" s="1882"/>
      <c r="OQV25" s="1887"/>
      <c r="OQW25" s="1888"/>
      <c r="OQX25" s="1882"/>
      <c r="OQY25" s="1882"/>
      <c r="OQZ25" s="1882"/>
      <c r="ORB25" s="1887"/>
      <c r="ORC25" s="1888"/>
      <c r="ORD25" s="1882"/>
      <c r="ORE25" s="1882"/>
      <c r="ORF25" s="1882"/>
      <c r="ORH25" s="1887"/>
      <c r="ORI25" s="1888"/>
      <c r="ORJ25" s="1882"/>
      <c r="ORK25" s="1882"/>
      <c r="ORL25" s="1882"/>
      <c r="ORN25" s="1887"/>
      <c r="ORO25" s="1888"/>
      <c r="ORP25" s="1882"/>
      <c r="ORQ25" s="1882"/>
      <c r="ORR25" s="1882"/>
      <c r="ORT25" s="1887"/>
      <c r="ORU25" s="1888"/>
      <c r="ORV25" s="1882"/>
      <c r="ORW25" s="1882"/>
      <c r="ORX25" s="1882"/>
      <c r="ORZ25" s="1887"/>
      <c r="OSA25" s="1888"/>
      <c r="OSB25" s="1882"/>
      <c r="OSC25" s="1882"/>
      <c r="OSD25" s="1882"/>
      <c r="OSF25" s="1887"/>
      <c r="OSG25" s="1888"/>
      <c r="OSH25" s="1882"/>
      <c r="OSI25" s="1882"/>
      <c r="OSJ25" s="1882"/>
      <c r="OSL25" s="1887"/>
      <c r="OSM25" s="1888"/>
      <c r="OSN25" s="1882"/>
      <c r="OSO25" s="1882"/>
      <c r="OSP25" s="1882"/>
      <c r="OSR25" s="1887"/>
      <c r="OSS25" s="1888"/>
      <c r="OST25" s="1882"/>
      <c r="OSU25" s="1882"/>
      <c r="OSV25" s="1882"/>
      <c r="OSX25" s="1887"/>
      <c r="OSY25" s="1888"/>
      <c r="OSZ25" s="1882"/>
      <c r="OTA25" s="1882"/>
      <c r="OTB25" s="1882"/>
      <c r="OTD25" s="1887"/>
      <c r="OTE25" s="1888"/>
      <c r="OTF25" s="1882"/>
      <c r="OTG25" s="1882"/>
      <c r="OTH25" s="1882"/>
      <c r="OTJ25" s="1887"/>
      <c r="OTK25" s="1888"/>
      <c r="OTL25" s="1882"/>
      <c r="OTM25" s="1882"/>
      <c r="OTN25" s="1882"/>
      <c r="OTP25" s="1887"/>
      <c r="OTQ25" s="1888"/>
      <c r="OTR25" s="1882"/>
      <c r="OTS25" s="1882"/>
      <c r="OTT25" s="1882"/>
      <c r="OTV25" s="1887"/>
      <c r="OTW25" s="1888"/>
      <c r="OTX25" s="1882"/>
      <c r="OTY25" s="1882"/>
      <c r="OTZ25" s="1882"/>
      <c r="OUB25" s="1887"/>
      <c r="OUC25" s="1888"/>
      <c r="OUD25" s="1882"/>
      <c r="OUE25" s="1882"/>
      <c r="OUF25" s="1882"/>
      <c r="OUH25" s="1887"/>
      <c r="OUI25" s="1888"/>
      <c r="OUJ25" s="1882"/>
      <c r="OUK25" s="1882"/>
      <c r="OUL25" s="1882"/>
      <c r="OUN25" s="1887"/>
      <c r="OUO25" s="1888"/>
      <c r="OUP25" s="1882"/>
      <c r="OUQ25" s="1882"/>
      <c r="OUR25" s="1882"/>
      <c r="OUT25" s="1887"/>
      <c r="OUU25" s="1888"/>
      <c r="OUV25" s="1882"/>
      <c r="OUW25" s="1882"/>
      <c r="OUX25" s="1882"/>
      <c r="OUZ25" s="1887"/>
      <c r="OVA25" s="1888"/>
      <c r="OVB25" s="1882"/>
      <c r="OVC25" s="1882"/>
      <c r="OVD25" s="1882"/>
      <c r="OVF25" s="1887"/>
      <c r="OVG25" s="1888"/>
      <c r="OVH25" s="1882"/>
      <c r="OVI25" s="1882"/>
      <c r="OVJ25" s="1882"/>
      <c r="OVL25" s="1887"/>
      <c r="OVM25" s="1888"/>
      <c r="OVN25" s="1882"/>
      <c r="OVO25" s="1882"/>
      <c r="OVP25" s="1882"/>
      <c r="OVR25" s="1887"/>
      <c r="OVS25" s="1888"/>
      <c r="OVT25" s="1882"/>
      <c r="OVU25" s="1882"/>
      <c r="OVV25" s="1882"/>
      <c r="OVX25" s="1887"/>
      <c r="OVY25" s="1888"/>
      <c r="OVZ25" s="1882"/>
      <c r="OWA25" s="1882"/>
      <c r="OWB25" s="1882"/>
      <c r="OWD25" s="1887"/>
      <c r="OWE25" s="1888"/>
      <c r="OWF25" s="1882"/>
      <c r="OWG25" s="1882"/>
      <c r="OWH25" s="1882"/>
      <c r="OWJ25" s="1887"/>
      <c r="OWK25" s="1888"/>
      <c r="OWL25" s="1882"/>
      <c r="OWM25" s="1882"/>
      <c r="OWN25" s="1882"/>
      <c r="OWP25" s="1887"/>
      <c r="OWQ25" s="1888"/>
      <c r="OWR25" s="1882"/>
      <c r="OWS25" s="1882"/>
      <c r="OWT25" s="1882"/>
      <c r="OWV25" s="1887"/>
      <c r="OWW25" s="1888"/>
      <c r="OWX25" s="1882"/>
      <c r="OWY25" s="1882"/>
      <c r="OWZ25" s="1882"/>
      <c r="OXB25" s="1887"/>
      <c r="OXC25" s="1888"/>
      <c r="OXD25" s="1882"/>
      <c r="OXE25" s="1882"/>
      <c r="OXF25" s="1882"/>
      <c r="OXH25" s="1887"/>
      <c r="OXI25" s="1888"/>
      <c r="OXJ25" s="1882"/>
      <c r="OXK25" s="1882"/>
      <c r="OXL25" s="1882"/>
      <c r="OXN25" s="1887"/>
      <c r="OXO25" s="1888"/>
      <c r="OXP25" s="1882"/>
      <c r="OXQ25" s="1882"/>
      <c r="OXR25" s="1882"/>
      <c r="OXT25" s="1887"/>
      <c r="OXU25" s="1888"/>
      <c r="OXV25" s="1882"/>
      <c r="OXW25" s="1882"/>
      <c r="OXX25" s="1882"/>
      <c r="OXZ25" s="1887"/>
      <c r="OYA25" s="1888"/>
      <c r="OYB25" s="1882"/>
      <c r="OYC25" s="1882"/>
      <c r="OYD25" s="1882"/>
      <c r="OYF25" s="1887"/>
      <c r="OYG25" s="1888"/>
      <c r="OYH25" s="1882"/>
      <c r="OYI25" s="1882"/>
      <c r="OYJ25" s="1882"/>
      <c r="OYL25" s="1887"/>
      <c r="OYM25" s="1888"/>
      <c r="OYN25" s="1882"/>
      <c r="OYO25" s="1882"/>
      <c r="OYP25" s="1882"/>
      <c r="OYR25" s="1887"/>
      <c r="OYS25" s="1888"/>
      <c r="OYT25" s="1882"/>
      <c r="OYU25" s="1882"/>
      <c r="OYV25" s="1882"/>
      <c r="OYX25" s="1887"/>
      <c r="OYY25" s="1888"/>
      <c r="OYZ25" s="1882"/>
      <c r="OZA25" s="1882"/>
      <c r="OZB25" s="1882"/>
      <c r="OZD25" s="1887"/>
      <c r="OZE25" s="1888"/>
      <c r="OZF25" s="1882"/>
      <c r="OZG25" s="1882"/>
      <c r="OZH25" s="1882"/>
      <c r="OZJ25" s="1887"/>
      <c r="OZK25" s="1888"/>
      <c r="OZL25" s="1882"/>
      <c r="OZM25" s="1882"/>
      <c r="OZN25" s="1882"/>
      <c r="OZP25" s="1887"/>
      <c r="OZQ25" s="1888"/>
      <c r="OZR25" s="1882"/>
      <c r="OZS25" s="1882"/>
      <c r="OZT25" s="1882"/>
      <c r="OZV25" s="1887"/>
      <c r="OZW25" s="1888"/>
      <c r="OZX25" s="1882"/>
      <c r="OZY25" s="1882"/>
      <c r="OZZ25" s="1882"/>
      <c r="PAB25" s="1887"/>
      <c r="PAC25" s="1888"/>
      <c r="PAD25" s="1882"/>
      <c r="PAE25" s="1882"/>
      <c r="PAF25" s="1882"/>
      <c r="PAH25" s="1887"/>
      <c r="PAI25" s="1888"/>
      <c r="PAJ25" s="1882"/>
      <c r="PAK25" s="1882"/>
      <c r="PAL25" s="1882"/>
      <c r="PAN25" s="1887"/>
      <c r="PAO25" s="1888"/>
      <c r="PAP25" s="1882"/>
      <c r="PAQ25" s="1882"/>
      <c r="PAR25" s="1882"/>
      <c r="PAT25" s="1887"/>
      <c r="PAU25" s="1888"/>
      <c r="PAV25" s="1882"/>
      <c r="PAW25" s="1882"/>
      <c r="PAX25" s="1882"/>
      <c r="PAZ25" s="1887"/>
      <c r="PBA25" s="1888"/>
      <c r="PBB25" s="1882"/>
      <c r="PBC25" s="1882"/>
      <c r="PBD25" s="1882"/>
      <c r="PBF25" s="1887"/>
      <c r="PBG25" s="1888"/>
      <c r="PBH25" s="1882"/>
      <c r="PBI25" s="1882"/>
      <c r="PBJ25" s="1882"/>
      <c r="PBL25" s="1887"/>
      <c r="PBM25" s="1888"/>
      <c r="PBN25" s="1882"/>
      <c r="PBO25" s="1882"/>
      <c r="PBP25" s="1882"/>
      <c r="PBR25" s="1887"/>
      <c r="PBS25" s="1888"/>
      <c r="PBT25" s="1882"/>
      <c r="PBU25" s="1882"/>
      <c r="PBV25" s="1882"/>
      <c r="PBX25" s="1887"/>
      <c r="PBY25" s="1888"/>
      <c r="PBZ25" s="1882"/>
      <c r="PCA25" s="1882"/>
      <c r="PCB25" s="1882"/>
      <c r="PCD25" s="1887"/>
      <c r="PCE25" s="1888"/>
      <c r="PCF25" s="1882"/>
      <c r="PCG25" s="1882"/>
      <c r="PCH25" s="1882"/>
      <c r="PCJ25" s="1887"/>
      <c r="PCK25" s="1888"/>
      <c r="PCL25" s="1882"/>
      <c r="PCM25" s="1882"/>
      <c r="PCN25" s="1882"/>
      <c r="PCP25" s="1887"/>
      <c r="PCQ25" s="1888"/>
      <c r="PCR25" s="1882"/>
      <c r="PCS25" s="1882"/>
      <c r="PCT25" s="1882"/>
      <c r="PCV25" s="1887"/>
      <c r="PCW25" s="1888"/>
      <c r="PCX25" s="1882"/>
      <c r="PCY25" s="1882"/>
      <c r="PCZ25" s="1882"/>
      <c r="PDB25" s="1887"/>
      <c r="PDC25" s="1888"/>
      <c r="PDD25" s="1882"/>
      <c r="PDE25" s="1882"/>
      <c r="PDF25" s="1882"/>
      <c r="PDH25" s="1887"/>
      <c r="PDI25" s="1888"/>
      <c r="PDJ25" s="1882"/>
      <c r="PDK25" s="1882"/>
      <c r="PDL25" s="1882"/>
      <c r="PDN25" s="1887"/>
      <c r="PDO25" s="1888"/>
      <c r="PDP25" s="1882"/>
      <c r="PDQ25" s="1882"/>
      <c r="PDR25" s="1882"/>
      <c r="PDT25" s="1887"/>
      <c r="PDU25" s="1888"/>
      <c r="PDV25" s="1882"/>
      <c r="PDW25" s="1882"/>
      <c r="PDX25" s="1882"/>
      <c r="PDZ25" s="1887"/>
      <c r="PEA25" s="1888"/>
      <c r="PEB25" s="1882"/>
      <c r="PEC25" s="1882"/>
      <c r="PED25" s="1882"/>
      <c r="PEF25" s="1887"/>
      <c r="PEG25" s="1888"/>
      <c r="PEH25" s="1882"/>
      <c r="PEI25" s="1882"/>
      <c r="PEJ25" s="1882"/>
      <c r="PEL25" s="1887"/>
      <c r="PEM25" s="1888"/>
      <c r="PEN25" s="1882"/>
      <c r="PEO25" s="1882"/>
      <c r="PEP25" s="1882"/>
      <c r="PER25" s="1887"/>
      <c r="PES25" s="1888"/>
      <c r="PET25" s="1882"/>
      <c r="PEU25" s="1882"/>
      <c r="PEV25" s="1882"/>
      <c r="PEX25" s="1887"/>
      <c r="PEY25" s="1888"/>
      <c r="PEZ25" s="1882"/>
      <c r="PFA25" s="1882"/>
      <c r="PFB25" s="1882"/>
      <c r="PFD25" s="1887"/>
      <c r="PFE25" s="1888"/>
      <c r="PFF25" s="1882"/>
      <c r="PFG25" s="1882"/>
      <c r="PFH25" s="1882"/>
      <c r="PFJ25" s="1887"/>
      <c r="PFK25" s="1888"/>
      <c r="PFL25" s="1882"/>
      <c r="PFM25" s="1882"/>
      <c r="PFN25" s="1882"/>
      <c r="PFP25" s="1887"/>
      <c r="PFQ25" s="1888"/>
      <c r="PFR25" s="1882"/>
      <c r="PFS25" s="1882"/>
      <c r="PFT25" s="1882"/>
      <c r="PFV25" s="1887"/>
      <c r="PFW25" s="1888"/>
      <c r="PFX25" s="1882"/>
      <c r="PFY25" s="1882"/>
      <c r="PFZ25" s="1882"/>
      <c r="PGB25" s="1887"/>
      <c r="PGC25" s="1888"/>
      <c r="PGD25" s="1882"/>
      <c r="PGE25" s="1882"/>
      <c r="PGF25" s="1882"/>
      <c r="PGH25" s="1887"/>
      <c r="PGI25" s="1888"/>
      <c r="PGJ25" s="1882"/>
      <c r="PGK25" s="1882"/>
      <c r="PGL25" s="1882"/>
      <c r="PGN25" s="1887"/>
      <c r="PGO25" s="1888"/>
      <c r="PGP25" s="1882"/>
      <c r="PGQ25" s="1882"/>
      <c r="PGR25" s="1882"/>
      <c r="PGT25" s="1887"/>
      <c r="PGU25" s="1888"/>
      <c r="PGV25" s="1882"/>
      <c r="PGW25" s="1882"/>
      <c r="PGX25" s="1882"/>
      <c r="PGZ25" s="1887"/>
      <c r="PHA25" s="1888"/>
      <c r="PHB25" s="1882"/>
      <c r="PHC25" s="1882"/>
      <c r="PHD25" s="1882"/>
      <c r="PHF25" s="1887"/>
      <c r="PHG25" s="1888"/>
      <c r="PHH25" s="1882"/>
      <c r="PHI25" s="1882"/>
      <c r="PHJ25" s="1882"/>
      <c r="PHL25" s="1887"/>
      <c r="PHM25" s="1888"/>
      <c r="PHN25" s="1882"/>
      <c r="PHO25" s="1882"/>
      <c r="PHP25" s="1882"/>
      <c r="PHR25" s="1887"/>
      <c r="PHS25" s="1888"/>
      <c r="PHT25" s="1882"/>
      <c r="PHU25" s="1882"/>
      <c r="PHV25" s="1882"/>
      <c r="PHX25" s="1887"/>
      <c r="PHY25" s="1888"/>
      <c r="PHZ25" s="1882"/>
      <c r="PIA25" s="1882"/>
      <c r="PIB25" s="1882"/>
      <c r="PID25" s="1887"/>
      <c r="PIE25" s="1888"/>
      <c r="PIF25" s="1882"/>
      <c r="PIG25" s="1882"/>
      <c r="PIH25" s="1882"/>
      <c r="PIJ25" s="1887"/>
      <c r="PIK25" s="1888"/>
      <c r="PIL25" s="1882"/>
      <c r="PIM25" s="1882"/>
      <c r="PIN25" s="1882"/>
      <c r="PIP25" s="1887"/>
      <c r="PIQ25" s="1888"/>
      <c r="PIR25" s="1882"/>
      <c r="PIS25" s="1882"/>
      <c r="PIT25" s="1882"/>
      <c r="PIV25" s="1887"/>
      <c r="PIW25" s="1888"/>
      <c r="PIX25" s="1882"/>
      <c r="PIY25" s="1882"/>
      <c r="PIZ25" s="1882"/>
      <c r="PJB25" s="1887"/>
      <c r="PJC25" s="1888"/>
      <c r="PJD25" s="1882"/>
      <c r="PJE25" s="1882"/>
      <c r="PJF25" s="1882"/>
      <c r="PJH25" s="1887"/>
      <c r="PJI25" s="1888"/>
      <c r="PJJ25" s="1882"/>
      <c r="PJK25" s="1882"/>
      <c r="PJL25" s="1882"/>
      <c r="PJN25" s="1887"/>
      <c r="PJO25" s="1888"/>
      <c r="PJP25" s="1882"/>
      <c r="PJQ25" s="1882"/>
      <c r="PJR25" s="1882"/>
      <c r="PJT25" s="1887"/>
      <c r="PJU25" s="1888"/>
      <c r="PJV25" s="1882"/>
      <c r="PJW25" s="1882"/>
      <c r="PJX25" s="1882"/>
      <c r="PJZ25" s="1887"/>
      <c r="PKA25" s="1888"/>
      <c r="PKB25" s="1882"/>
      <c r="PKC25" s="1882"/>
      <c r="PKD25" s="1882"/>
      <c r="PKF25" s="1887"/>
      <c r="PKG25" s="1888"/>
      <c r="PKH25" s="1882"/>
      <c r="PKI25" s="1882"/>
      <c r="PKJ25" s="1882"/>
      <c r="PKL25" s="1887"/>
      <c r="PKM25" s="1888"/>
      <c r="PKN25" s="1882"/>
      <c r="PKO25" s="1882"/>
      <c r="PKP25" s="1882"/>
      <c r="PKR25" s="1887"/>
      <c r="PKS25" s="1888"/>
      <c r="PKT25" s="1882"/>
      <c r="PKU25" s="1882"/>
      <c r="PKV25" s="1882"/>
      <c r="PKX25" s="1887"/>
      <c r="PKY25" s="1888"/>
      <c r="PKZ25" s="1882"/>
      <c r="PLA25" s="1882"/>
      <c r="PLB25" s="1882"/>
      <c r="PLD25" s="1887"/>
      <c r="PLE25" s="1888"/>
      <c r="PLF25" s="1882"/>
      <c r="PLG25" s="1882"/>
      <c r="PLH25" s="1882"/>
      <c r="PLJ25" s="1887"/>
      <c r="PLK25" s="1888"/>
      <c r="PLL25" s="1882"/>
      <c r="PLM25" s="1882"/>
      <c r="PLN25" s="1882"/>
      <c r="PLP25" s="1887"/>
      <c r="PLQ25" s="1888"/>
      <c r="PLR25" s="1882"/>
      <c r="PLS25" s="1882"/>
      <c r="PLT25" s="1882"/>
      <c r="PLV25" s="1887"/>
      <c r="PLW25" s="1888"/>
      <c r="PLX25" s="1882"/>
      <c r="PLY25" s="1882"/>
      <c r="PLZ25" s="1882"/>
      <c r="PMB25" s="1887"/>
      <c r="PMC25" s="1888"/>
      <c r="PMD25" s="1882"/>
      <c r="PME25" s="1882"/>
      <c r="PMF25" s="1882"/>
      <c r="PMH25" s="1887"/>
      <c r="PMI25" s="1888"/>
      <c r="PMJ25" s="1882"/>
      <c r="PMK25" s="1882"/>
      <c r="PML25" s="1882"/>
      <c r="PMN25" s="1887"/>
      <c r="PMO25" s="1888"/>
      <c r="PMP25" s="1882"/>
      <c r="PMQ25" s="1882"/>
      <c r="PMR25" s="1882"/>
      <c r="PMT25" s="1887"/>
      <c r="PMU25" s="1888"/>
      <c r="PMV25" s="1882"/>
      <c r="PMW25" s="1882"/>
      <c r="PMX25" s="1882"/>
      <c r="PMZ25" s="1887"/>
      <c r="PNA25" s="1888"/>
      <c r="PNB25" s="1882"/>
      <c r="PNC25" s="1882"/>
      <c r="PND25" s="1882"/>
      <c r="PNF25" s="1887"/>
      <c r="PNG25" s="1888"/>
      <c r="PNH25" s="1882"/>
      <c r="PNI25" s="1882"/>
      <c r="PNJ25" s="1882"/>
      <c r="PNL25" s="1887"/>
      <c r="PNM25" s="1888"/>
      <c r="PNN25" s="1882"/>
      <c r="PNO25" s="1882"/>
      <c r="PNP25" s="1882"/>
      <c r="PNR25" s="1887"/>
      <c r="PNS25" s="1888"/>
      <c r="PNT25" s="1882"/>
      <c r="PNU25" s="1882"/>
      <c r="PNV25" s="1882"/>
      <c r="PNX25" s="1887"/>
      <c r="PNY25" s="1888"/>
      <c r="PNZ25" s="1882"/>
      <c r="POA25" s="1882"/>
      <c r="POB25" s="1882"/>
      <c r="POD25" s="1887"/>
      <c r="POE25" s="1888"/>
      <c r="POF25" s="1882"/>
      <c r="POG25" s="1882"/>
      <c r="POH25" s="1882"/>
      <c r="POJ25" s="1887"/>
      <c r="POK25" s="1888"/>
      <c r="POL25" s="1882"/>
      <c r="POM25" s="1882"/>
      <c r="PON25" s="1882"/>
      <c r="POP25" s="1887"/>
      <c r="POQ25" s="1888"/>
      <c r="POR25" s="1882"/>
      <c r="POS25" s="1882"/>
      <c r="POT25" s="1882"/>
      <c r="POV25" s="1887"/>
      <c r="POW25" s="1888"/>
      <c r="POX25" s="1882"/>
      <c r="POY25" s="1882"/>
      <c r="POZ25" s="1882"/>
      <c r="PPB25" s="1887"/>
      <c r="PPC25" s="1888"/>
      <c r="PPD25" s="1882"/>
      <c r="PPE25" s="1882"/>
      <c r="PPF25" s="1882"/>
      <c r="PPH25" s="1887"/>
      <c r="PPI25" s="1888"/>
      <c r="PPJ25" s="1882"/>
      <c r="PPK25" s="1882"/>
      <c r="PPL25" s="1882"/>
      <c r="PPN25" s="1887"/>
      <c r="PPO25" s="1888"/>
      <c r="PPP25" s="1882"/>
      <c r="PPQ25" s="1882"/>
      <c r="PPR25" s="1882"/>
      <c r="PPT25" s="1887"/>
      <c r="PPU25" s="1888"/>
      <c r="PPV25" s="1882"/>
      <c r="PPW25" s="1882"/>
      <c r="PPX25" s="1882"/>
      <c r="PPZ25" s="1887"/>
      <c r="PQA25" s="1888"/>
      <c r="PQB25" s="1882"/>
      <c r="PQC25" s="1882"/>
      <c r="PQD25" s="1882"/>
      <c r="PQF25" s="1887"/>
      <c r="PQG25" s="1888"/>
      <c r="PQH25" s="1882"/>
      <c r="PQI25" s="1882"/>
      <c r="PQJ25" s="1882"/>
      <c r="PQL25" s="1887"/>
      <c r="PQM25" s="1888"/>
      <c r="PQN25" s="1882"/>
      <c r="PQO25" s="1882"/>
      <c r="PQP25" s="1882"/>
      <c r="PQR25" s="1887"/>
      <c r="PQS25" s="1888"/>
      <c r="PQT25" s="1882"/>
      <c r="PQU25" s="1882"/>
      <c r="PQV25" s="1882"/>
      <c r="PQX25" s="1887"/>
      <c r="PQY25" s="1888"/>
      <c r="PQZ25" s="1882"/>
      <c r="PRA25" s="1882"/>
      <c r="PRB25" s="1882"/>
      <c r="PRD25" s="1887"/>
      <c r="PRE25" s="1888"/>
      <c r="PRF25" s="1882"/>
      <c r="PRG25" s="1882"/>
      <c r="PRH25" s="1882"/>
      <c r="PRJ25" s="1887"/>
      <c r="PRK25" s="1888"/>
      <c r="PRL25" s="1882"/>
      <c r="PRM25" s="1882"/>
      <c r="PRN25" s="1882"/>
      <c r="PRP25" s="1887"/>
      <c r="PRQ25" s="1888"/>
      <c r="PRR25" s="1882"/>
      <c r="PRS25" s="1882"/>
      <c r="PRT25" s="1882"/>
      <c r="PRV25" s="1887"/>
      <c r="PRW25" s="1888"/>
      <c r="PRX25" s="1882"/>
      <c r="PRY25" s="1882"/>
      <c r="PRZ25" s="1882"/>
      <c r="PSB25" s="1887"/>
      <c r="PSC25" s="1888"/>
      <c r="PSD25" s="1882"/>
      <c r="PSE25" s="1882"/>
      <c r="PSF25" s="1882"/>
      <c r="PSH25" s="1887"/>
      <c r="PSI25" s="1888"/>
      <c r="PSJ25" s="1882"/>
      <c r="PSK25" s="1882"/>
      <c r="PSL25" s="1882"/>
      <c r="PSN25" s="1887"/>
      <c r="PSO25" s="1888"/>
      <c r="PSP25" s="1882"/>
      <c r="PSQ25" s="1882"/>
      <c r="PSR25" s="1882"/>
      <c r="PST25" s="1887"/>
      <c r="PSU25" s="1888"/>
      <c r="PSV25" s="1882"/>
      <c r="PSW25" s="1882"/>
      <c r="PSX25" s="1882"/>
      <c r="PSZ25" s="1887"/>
      <c r="PTA25" s="1888"/>
      <c r="PTB25" s="1882"/>
      <c r="PTC25" s="1882"/>
      <c r="PTD25" s="1882"/>
      <c r="PTF25" s="1887"/>
      <c r="PTG25" s="1888"/>
      <c r="PTH25" s="1882"/>
      <c r="PTI25" s="1882"/>
      <c r="PTJ25" s="1882"/>
      <c r="PTL25" s="1887"/>
      <c r="PTM25" s="1888"/>
      <c r="PTN25" s="1882"/>
      <c r="PTO25" s="1882"/>
      <c r="PTP25" s="1882"/>
      <c r="PTR25" s="1887"/>
      <c r="PTS25" s="1888"/>
      <c r="PTT25" s="1882"/>
      <c r="PTU25" s="1882"/>
      <c r="PTV25" s="1882"/>
      <c r="PTX25" s="1887"/>
      <c r="PTY25" s="1888"/>
      <c r="PTZ25" s="1882"/>
      <c r="PUA25" s="1882"/>
      <c r="PUB25" s="1882"/>
      <c r="PUD25" s="1887"/>
      <c r="PUE25" s="1888"/>
      <c r="PUF25" s="1882"/>
      <c r="PUG25" s="1882"/>
      <c r="PUH25" s="1882"/>
      <c r="PUJ25" s="1887"/>
      <c r="PUK25" s="1888"/>
      <c r="PUL25" s="1882"/>
      <c r="PUM25" s="1882"/>
      <c r="PUN25" s="1882"/>
      <c r="PUP25" s="1887"/>
      <c r="PUQ25" s="1888"/>
      <c r="PUR25" s="1882"/>
      <c r="PUS25" s="1882"/>
      <c r="PUT25" s="1882"/>
      <c r="PUV25" s="1887"/>
      <c r="PUW25" s="1888"/>
      <c r="PUX25" s="1882"/>
      <c r="PUY25" s="1882"/>
      <c r="PUZ25" s="1882"/>
      <c r="PVB25" s="1887"/>
      <c r="PVC25" s="1888"/>
      <c r="PVD25" s="1882"/>
      <c r="PVE25" s="1882"/>
      <c r="PVF25" s="1882"/>
      <c r="PVH25" s="1887"/>
      <c r="PVI25" s="1888"/>
      <c r="PVJ25" s="1882"/>
      <c r="PVK25" s="1882"/>
      <c r="PVL25" s="1882"/>
      <c r="PVN25" s="1887"/>
      <c r="PVO25" s="1888"/>
      <c r="PVP25" s="1882"/>
      <c r="PVQ25" s="1882"/>
      <c r="PVR25" s="1882"/>
      <c r="PVT25" s="1887"/>
      <c r="PVU25" s="1888"/>
      <c r="PVV25" s="1882"/>
      <c r="PVW25" s="1882"/>
      <c r="PVX25" s="1882"/>
      <c r="PVZ25" s="1887"/>
      <c r="PWA25" s="1888"/>
      <c r="PWB25" s="1882"/>
      <c r="PWC25" s="1882"/>
      <c r="PWD25" s="1882"/>
      <c r="PWF25" s="1887"/>
      <c r="PWG25" s="1888"/>
      <c r="PWH25" s="1882"/>
      <c r="PWI25" s="1882"/>
      <c r="PWJ25" s="1882"/>
      <c r="PWL25" s="1887"/>
      <c r="PWM25" s="1888"/>
      <c r="PWN25" s="1882"/>
      <c r="PWO25" s="1882"/>
      <c r="PWP25" s="1882"/>
      <c r="PWR25" s="1887"/>
      <c r="PWS25" s="1888"/>
      <c r="PWT25" s="1882"/>
      <c r="PWU25" s="1882"/>
      <c r="PWV25" s="1882"/>
      <c r="PWX25" s="1887"/>
      <c r="PWY25" s="1888"/>
      <c r="PWZ25" s="1882"/>
      <c r="PXA25" s="1882"/>
      <c r="PXB25" s="1882"/>
      <c r="PXD25" s="1887"/>
      <c r="PXE25" s="1888"/>
      <c r="PXF25" s="1882"/>
      <c r="PXG25" s="1882"/>
      <c r="PXH25" s="1882"/>
      <c r="PXJ25" s="1887"/>
      <c r="PXK25" s="1888"/>
      <c r="PXL25" s="1882"/>
      <c r="PXM25" s="1882"/>
      <c r="PXN25" s="1882"/>
      <c r="PXP25" s="1887"/>
      <c r="PXQ25" s="1888"/>
      <c r="PXR25" s="1882"/>
      <c r="PXS25" s="1882"/>
      <c r="PXT25" s="1882"/>
      <c r="PXV25" s="1887"/>
      <c r="PXW25" s="1888"/>
      <c r="PXX25" s="1882"/>
      <c r="PXY25" s="1882"/>
      <c r="PXZ25" s="1882"/>
      <c r="PYB25" s="1887"/>
      <c r="PYC25" s="1888"/>
      <c r="PYD25" s="1882"/>
      <c r="PYE25" s="1882"/>
      <c r="PYF25" s="1882"/>
      <c r="PYH25" s="1887"/>
      <c r="PYI25" s="1888"/>
      <c r="PYJ25" s="1882"/>
      <c r="PYK25" s="1882"/>
      <c r="PYL25" s="1882"/>
      <c r="PYN25" s="1887"/>
      <c r="PYO25" s="1888"/>
      <c r="PYP25" s="1882"/>
      <c r="PYQ25" s="1882"/>
      <c r="PYR25" s="1882"/>
      <c r="PYT25" s="1887"/>
      <c r="PYU25" s="1888"/>
      <c r="PYV25" s="1882"/>
      <c r="PYW25" s="1882"/>
      <c r="PYX25" s="1882"/>
      <c r="PYZ25" s="1887"/>
      <c r="PZA25" s="1888"/>
      <c r="PZB25" s="1882"/>
      <c r="PZC25" s="1882"/>
      <c r="PZD25" s="1882"/>
      <c r="PZF25" s="1887"/>
      <c r="PZG25" s="1888"/>
      <c r="PZH25" s="1882"/>
      <c r="PZI25" s="1882"/>
      <c r="PZJ25" s="1882"/>
      <c r="PZL25" s="1887"/>
      <c r="PZM25" s="1888"/>
      <c r="PZN25" s="1882"/>
      <c r="PZO25" s="1882"/>
      <c r="PZP25" s="1882"/>
      <c r="PZR25" s="1887"/>
      <c r="PZS25" s="1888"/>
      <c r="PZT25" s="1882"/>
      <c r="PZU25" s="1882"/>
      <c r="PZV25" s="1882"/>
      <c r="PZX25" s="1887"/>
      <c r="PZY25" s="1888"/>
      <c r="PZZ25" s="1882"/>
      <c r="QAA25" s="1882"/>
      <c r="QAB25" s="1882"/>
      <c r="QAD25" s="1887"/>
      <c r="QAE25" s="1888"/>
      <c r="QAF25" s="1882"/>
      <c r="QAG25" s="1882"/>
      <c r="QAH25" s="1882"/>
      <c r="QAJ25" s="1887"/>
      <c r="QAK25" s="1888"/>
      <c r="QAL25" s="1882"/>
      <c r="QAM25" s="1882"/>
      <c r="QAN25" s="1882"/>
      <c r="QAP25" s="1887"/>
      <c r="QAQ25" s="1888"/>
      <c r="QAR25" s="1882"/>
      <c r="QAS25" s="1882"/>
      <c r="QAT25" s="1882"/>
      <c r="QAV25" s="1887"/>
      <c r="QAW25" s="1888"/>
      <c r="QAX25" s="1882"/>
      <c r="QAY25" s="1882"/>
      <c r="QAZ25" s="1882"/>
      <c r="QBB25" s="1887"/>
      <c r="QBC25" s="1888"/>
      <c r="QBD25" s="1882"/>
      <c r="QBE25" s="1882"/>
      <c r="QBF25" s="1882"/>
      <c r="QBH25" s="1887"/>
      <c r="QBI25" s="1888"/>
      <c r="QBJ25" s="1882"/>
      <c r="QBK25" s="1882"/>
      <c r="QBL25" s="1882"/>
      <c r="QBN25" s="1887"/>
      <c r="QBO25" s="1888"/>
      <c r="QBP25" s="1882"/>
      <c r="QBQ25" s="1882"/>
      <c r="QBR25" s="1882"/>
      <c r="QBT25" s="1887"/>
      <c r="QBU25" s="1888"/>
      <c r="QBV25" s="1882"/>
      <c r="QBW25" s="1882"/>
      <c r="QBX25" s="1882"/>
      <c r="QBZ25" s="1887"/>
      <c r="QCA25" s="1888"/>
      <c r="QCB25" s="1882"/>
      <c r="QCC25" s="1882"/>
      <c r="QCD25" s="1882"/>
      <c r="QCF25" s="1887"/>
      <c r="QCG25" s="1888"/>
      <c r="QCH25" s="1882"/>
      <c r="QCI25" s="1882"/>
      <c r="QCJ25" s="1882"/>
      <c r="QCL25" s="1887"/>
      <c r="QCM25" s="1888"/>
      <c r="QCN25" s="1882"/>
      <c r="QCO25" s="1882"/>
      <c r="QCP25" s="1882"/>
      <c r="QCR25" s="1887"/>
      <c r="QCS25" s="1888"/>
      <c r="QCT25" s="1882"/>
      <c r="QCU25" s="1882"/>
      <c r="QCV25" s="1882"/>
      <c r="QCX25" s="1887"/>
      <c r="QCY25" s="1888"/>
      <c r="QCZ25" s="1882"/>
      <c r="QDA25" s="1882"/>
      <c r="QDB25" s="1882"/>
      <c r="QDD25" s="1887"/>
      <c r="QDE25" s="1888"/>
      <c r="QDF25" s="1882"/>
      <c r="QDG25" s="1882"/>
      <c r="QDH25" s="1882"/>
      <c r="QDJ25" s="1887"/>
      <c r="QDK25" s="1888"/>
      <c r="QDL25" s="1882"/>
      <c r="QDM25" s="1882"/>
      <c r="QDN25" s="1882"/>
      <c r="QDP25" s="1887"/>
      <c r="QDQ25" s="1888"/>
      <c r="QDR25" s="1882"/>
      <c r="QDS25" s="1882"/>
      <c r="QDT25" s="1882"/>
      <c r="QDV25" s="1887"/>
      <c r="QDW25" s="1888"/>
      <c r="QDX25" s="1882"/>
      <c r="QDY25" s="1882"/>
      <c r="QDZ25" s="1882"/>
      <c r="QEB25" s="1887"/>
      <c r="QEC25" s="1888"/>
      <c r="QED25" s="1882"/>
      <c r="QEE25" s="1882"/>
      <c r="QEF25" s="1882"/>
      <c r="QEH25" s="1887"/>
      <c r="QEI25" s="1888"/>
      <c r="QEJ25" s="1882"/>
      <c r="QEK25" s="1882"/>
      <c r="QEL25" s="1882"/>
      <c r="QEN25" s="1887"/>
      <c r="QEO25" s="1888"/>
      <c r="QEP25" s="1882"/>
      <c r="QEQ25" s="1882"/>
      <c r="QER25" s="1882"/>
      <c r="QET25" s="1887"/>
      <c r="QEU25" s="1888"/>
      <c r="QEV25" s="1882"/>
      <c r="QEW25" s="1882"/>
      <c r="QEX25" s="1882"/>
      <c r="QEZ25" s="1887"/>
      <c r="QFA25" s="1888"/>
      <c r="QFB25" s="1882"/>
      <c r="QFC25" s="1882"/>
      <c r="QFD25" s="1882"/>
      <c r="QFF25" s="1887"/>
      <c r="QFG25" s="1888"/>
      <c r="QFH25" s="1882"/>
      <c r="QFI25" s="1882"/>
      <c r="QFJ25" s="1882"/>
      <c r="QFL25" s="1887"/>
      <c r="QFM25" s="1888"/>
      <c r="QFN25" s="1882"/>
      <c r="QFO25" s="1882"/>
      <c r="QFP25" s="1882"/>
      <c r="QFR25" s="1887"/>
      <c r="QFS25" s="1888"/>
      <c r="QFT25" s="1882"/>
      <c r="QFU25" s="1882"/>
      <c r="QFV25" s="1882"/>
      <c r="QFX25" s="1887"/>
      <c r="QFY25" s="1888"/>
      <c r="QFZ25" s="1882"/>
      <c r="QGA25" s="1882"/>
      <c r="QGB25" s="1882"/>
      <c r="QGD25" s="1887"/>
      <c r="QGE25" s="1888"/>
      <c r="QGF25" s="1882"/>
      <c r="QGG25" s="1882"/>
      <c r="QGH25" s="1882"/>
      <c r="QGJ25" s="1887"/>
      <c r="QGK25" s="1888"/>
      <c r="QGL25" s="1882"/>
      <c r="QGM25" s="1882"/>
      <c r="QGN25" s="1882"/>
      <c r="QGP25" s="1887"/>
      <c r="QGQ25" s="1888"/>
      <c r="QGR25" s="1882"/>
      <c r="QGS25" s="1882"/>
      <c r="QGT25" s="1882"/>
      <c r="QGV25" s="1887"/>
      <c r="QGW25" s="1888"/>
      <c r="QGX25" s="1882"/>
      <c r="QGY25" s="1882"/>
      <c r="QGZ25" s="1882"/>
      <c r="QHB25" s="1887"/>
      <c r="QHC25" s="1888"/>
      <c r="QHD25" s="1882"/>
      <c r="QHE25" s="1882"/>
      <c r="QHF25" s="1882"/>
      <c r="QHH25" s="1887"/>
      <c r="QHI25" s="1888"/>
      <c r="QHJ25" s="1882"/>
      <c r="QHK25" s="1882"/>
      <c r="QHL25" s="1882"/>
      <c r="QHN25" s="1887"/>
      <c r="QHO25" s="1888"/>
      <c r="QHP25" s="1882"/>
      <c r="QHQ25" s="1882"/>
      <c r="QHR25" s="1882"/>
      <c r="QHT25" s="1887"/>
      <c r="QHU25" s="1888"/>
      <c r="QHV25" s="1882"/>
      <c r="QHW25" s="1882"/>
      <c r="QHX25" s="1882"/>
      <c r="QHZ25" s="1887"/>
      <c r="QIA25" s="1888"/>
      <c r="QIB25" s="1882"/>
      <c r="QIC25" s="1882"/>
      <c r="QID25" s="1882"/>
      <c r="QIF25" s="1887"/>
      <c r="QIG25" s="1888"/>
      <c r="QIH25" s="1882"/>
      <c r="QII25" s="1882"/>
      <c r="QIJ25" s="1882"/>
      <c r="QIL25" s="1887"/>
      <c r="QIM25" s="1888"/>
      <c r="QIN25" s="1882"/>
      <c r="QIO25" s="1882"/>
      <c r="QIP25" s="1882"/>
      <c r="QIR25" s="1887"/>
      <c r="QIS25" s="1888"/>
      <c r="QIT25" s="1882"/>
      <c r="QIU25" s="1882"/>
      <c r="QIV25" s="1882"/>
      <c r="QIX25" s="1887"/>
      <c r="QIY25" s="1888"/>
      <c r="QIZ25" s="1882"/>
      <c r="QJA25" s="1882"/>
      <c r="QJB25" s="1882"/>
      <c r="QJD25" s="1887"/>
      <c r="QJE25" s="1888"/>
      <c r="QJF25" s="1882"/>
      <c r="QJG25" s="1882"/>
      <c r="QJH25" s="1882"/>
      <c r="QJJ25" s="1887"/>
      <c r="QJK25" s="1888"/>
      <c r="QJL25" s="1882"/>
      <c r="QJM25" s="1882"/>
      <c r="QJN25" s="1882"/>
      <c r="QJP25" s="1887"/>
      <c r="QJQ25" s="1888"/>
      <c r="QJR25" s="1882"/>
      <c r="QJS25" s="1882"/>
      <c r="QJT25" s="1882"/>
      <c r="QJV25" s="1887"/>
      <c r="QJW25" s="1888"/>
      <c r="QJX25" s="1882"/>
      <c r="QJY25" s="1882"/>
      <c r="QJZ25" s="1882"/>
      <c r="QKB25" s="1887"/>
      <c r="QKC25" s="1888"/>
      <c r="QKD25" s="1882"/>
      <c r="QKE25" s="1882"/>
      <c r="QKF25" s="1882"/>
      <c r="QKH25" s="1887"/>
      <c r="QKI25" s="1888"/>
      <c r="QKJ25" s="1882"/>
      <c r="QKK25" s="1882"/>
      <c r="QKL25" s="1882"/>
      <c r="QKN25" s="1887"/>
      <c r="QKO25" s="1888"/>
      <c r="QKP25" s="1882"/>
      <c r="QKQ25" s="1882"/>
      <c r="QKR25" s="1882"/>
      <c r="QKT25" s="1887"/>
      <c r="QKU25" s="1888"/>
      <c r="QKV25" s="1882"/>
      <c r="QKW25" s="1882"/>
      <c r="QKX25" s="1882"/>
      <c r="QKZ25" s="1887"/>
      <c r="QLA25" s="1888"/>
      <c r="QLB25" s="1882"/>
      <c r="QLC25" s="1882"/>
      <c r="QLD25" s="1882"/>
      <c r="QLF25" s="1887"/>
      <c r="QLG25" s="1888"/>
      <c r="QLH25" s="1882"/>
      <c r="QLI25" s="1882"/>
      <c r="QLJ25" s="1882"/>
      <c r="QLL25" s="1887"/>
      <c r="QLM25" s="1888"/>
      <c r="QLN25" s="1882"/>
      <c r="QLO25" s="1882"/>
      <c r="QLP25" s="1882"/>
      <c r="QLR25" s="1887"/>
      <c r="QLS25" s="1888"/>
      <c r="QLT25" s="1882"/>
      <c r="QLU25" s="1882"/>
      <c r="QLV25" s="1882"/>
      <c r="QLX25" s="1887"/>
      <c r="QLY25" s="1888"/>
      <c r="QLZ25" s="1882"/>
      <c r="QMA25" s="1882"/>
      <c r="QMB25" s="1882"/>
      <c r="QMD25" s="1887"/>
      <c r="QME25" s="1888"/>
      <c r="QMF25" s="1882"/>
      <c r="QMG25" s="1882"/>
      <c r="QMH25" s="1882"/>
      <c r="QMJ25" s="1887"/>
      <c r="QMK25" s="1888"/>
      <c r="QML25" s="1882"/>
      <c r="QMM25" s="1882"/>
      <c r="QMN25" s="1882"/>
      <c r="QMP25" s="1887"/>
      <c r="QMQ25" s="1888"/>
      <c r="QMR25" s="1882"/>
      <c r="QMS25" s="1882"/>
      <c r="QMT25" s="1882"/>
      <c r="QMV25" s="1887"/>
      <c r="QMW25" s="1888"/>
      <c r="QMX25" s="1882"/>
      <c r="QMY25" s="1882"/>
      <c r="QMZ25" s="1882"/>
      <c r="QNB25" s="1887"/>
      <c r="QNC25" s="1888"/>
      <c r="QND25" s="1882"/>
      <c r="QNE25" s="1882"/>
      <c r="QNF25" s="1882"/>
      <c r="QNH25" s="1887"/>
      <c r="QNI25" s="1888"/>
      <c r="QNJ25" s="1882"/>
      <c r="QNK25" s="1882"/>
      <c r="QNL25" s="1882"/>
      <c r="QNN25" s="1887"/>
      <c r="QNO25" s="1888"/>
      <c r="QNP25" s="1882"/>
      <c r="QNQ25" s="1882"/>
      <c r="QNR25" s="1882"/>
      <c r="QNT25" s="1887"/>
      <c r="QNU25" s="1888"/>
      <c r="QNV25" s="1882"/>
      <c r="QNW25" s="1882"/>
      <c r="QNX25" s="1882"/>
      <c r="QNZ25" s="1887"/>
      <c r="QOA25" s="1888"/>
      <c r="QOB25" s="1882"/>
      <c r="QOC25" s="1882"/>
      <c r="QOD25" s="1882"/>
      <c r="QOF25" s="1887"/>
      <c r="QOG25" s="1888"/>
      <c r="QOH25" s="1882"/>
      <c r="QOI25" s="1882"/>
      <c r="QOJ25" s="1882"/>
      <c r="QOL25" s="1887"/>
      <c r="QOM25" s="1888"/>
      <c r="QON25" s="1882"/>
      <c r="QOO25" s="1882"/>
      <c r="QOP25" s="1882"/>
      <c r="QOR25" s="1887"/>
      <c r="QOS25" s="1888"/>
      <c r="QOT25" s="1882"/>
      <c r="QOU25" s="1882"/>
      <c r="QOV25" s="1882"/>
      <c r="QOX25" s="1887"/>
      <c r="QOY25" s="1888"/>
      <c r="QOZ25" s="1882"/>
      <c r="QPA25" s="1882"/>
      <c r="QPB25" s="1882"/>
      <c r="QPD25" s="1887"/>
      <c r="QPE25" s="1888"/>
      <c r="QPF25" s="1882"/>
      <c r="QPG25" s="1882"/>
      <c r="QPH25" s="1882"/>
      <c r="QPJ25" s="1887"/>
      <c r="QPK25" s="1888"/>
      <c r="QPL25" s="1882"/>
      <c r="QPM25" s="1882"/>
      <c r="QPN25" s="1882"/>
      <c r="QPP25" s="1887"/>
      <c r="QPQ25" s="1888"/>
      <c r="QPR25" s="1882"/>
      <c r="QPS25" s="1882"/>
      <c r="QPT25" s="1882"/>
      <c r="QPV25" s="1887"/>
      <c r="QPW25" s="1888"/>
      <c r="QPX25" s="1882"/>
      <c r="QPY25" s="1882"/>
      <c r="QPZ25" s="1882"/>
      <c r="QQB25" s="1887"/>
      <c r="QQC25" s="1888"/>
      <c r="QQD25" s="1882"/>
      <c r="QQE25" s="1882"/>
      <c r="QQF25" s="1882"/>
      <c r="QQH25" s="1887"/>
      <c r="QQI25" s="1888"/>
      <c r="QQJ25" s="1882"/>
      <c r="QQK25" s="1882"/>
      <c r="QQL25" s="1882"/>
      <c r="QQN25" s="1887"/>
      <c r="QQO25" s="1888"/>
      <c r="QQP25" s="1882"/>
      <c r="QQQ25" s="1882"/>
      <c r="QQR25" s="1882"/>
      <c r="QQT25" s="1887"/>
      <c r="QQU25" s="1888"/>
      <c r="QQV25" s="1882"/>
      <c r="QQW25" s="1882"/>
      <c r="QQX25" s="1882"/>
      <c r="QQZ25" s="1887"/>
      <c r="QRA25" s="1888"/>
      <c r="QRB25" s="1882"/>
      <c r="QRC25" s="1882"/>
      <c r="QRD25" s="1882"/>
      <c r="QRF25" s="1887"/>
      <c r="QRG25" s="1888"/>
      <c r="QRH25" s="1882"/>
      <c r="QRI25" s="1882"/>
      <c r="QRJ25" s="1882"/>
      <c r="QRL25" s="1887"/>
      <c r="QRM25" s="1888"/>
      <c r="QRN25" s="1882"/>
      <c r="QRO25" s="1882"/>
      <c r="QRP25" s="1882"/>
      <c r="QRR25" s="1887"/>
      <c r="QRS25" s="1888"/>
      <c r="QRT25" s="1882"/>
      <c r="QRU25" s="1882"/>
      <c r="QRV25" s="1882"/>
      <c r="QRX25" s="1887"/>
      <c r="QRY25" s="1888"/>
      <c r="QRZ25" s="1882"/>
      <c r="QSA25" s="1882"/>
      <c r="QSB25" s="1882"/>
      <c r="QSD25" s="1887"/>
      <c r="QSE25" s="1888"/>
      <c r="QSF25" s="1882"/>
      <c r="QSG25" s="1882"/>
      <c r="QSH25" s="1882"/>
      <c r="QSJ25" s="1887"/>
      <c r="QSK25" s="1888"/>
      <c r="QSL25" s="1882"/>
      <c r="QSM25" s="1882"/>
      <c r="QSN25" s="1882"/>
      <c r="QSP25" s="1887"/>
      <c r="QSQ25" s="1888"/>
      <c r="QSR25" s="1882"/>
      <c r="QSS25" s="1882"/>
      <c r="QST25" s="1882"/>
      <c r="QSV25" s="1887"/>
      <c r="QSW25" s="1888"/>
      <c r="QSX25" s="1882"/>
      <c r="QSY25" s="1882"/>
      <c r="QSZ25" s="1882"/>
      <c r="QTB25" s="1887"/>
      <c r="QTC25" s="1888"/>
      <c r="QTD25" s="1882"/>
      <c r="QTE25" s="1882"/>
      <c r="QTF25" s="1882"/>
      <c r="QTH25" s="1887"/>
      <c r="QTI25" s="1888"/>
      <c r="QTJ25" s="1882"/>
      <c r="QTK25" s="1882"/>
      <c r="QTL25" s="1882"/>
      <c r="QTN25" s="1887"/>
      <c r="QTO25" s="1888"/>
      <c r="QTP25" s="1882"/>
      <c r="QTQ25" s="1882"/>
      <c r="QTR25" s="1882"/>
      <c r="QTT25" s="1887"/>
      <c r="QTU25" s="1888"/>
      <c r="QTV25" s="1882"/>
      <c r="QTW25" s="1882"/>
      <c r="QTX25" s="1882"/>
      <c r="QTZ25" s="1887"/>
      <c r="QUA25" s="1888"/>
      <c r="QUB25" s="1882"/>
      <c r="QUC25" s="1882"/>
      <c r="QUD25" s="1882"/>
      <c r="QUF25" s="1887"/>
      <c r="QUG25" s="1888"/>
      <c r="QUH25" s="1882"/>
      <c r="QUI25" s="1882"/>
      <c r="QUJ25" s="1882"/>
      <c r="QUL25" s="1887"/>
      <c r="QUM25" s="1888"/>
      <c r="QUN25" s="1882"/>
      <c r="QUO25" s="1882"/>
      <c r="QUP25" s="1882"/>
      <c r="QUR25" s="1887"/>
      <c r="QUS25" s="1888"/>
      <c r="QUT25" s="1882"/>
      <c r="QUU25" s="1882"/>
      <c r="QUV25" s="1882"/>
      <c r="QUX25" s="1887"/>
      <c r="QUY25" s="1888"/>
      <c r="QUZ25" s="1882"/>
      <c r="QVA25" s="1882"/>
      <c r="QVB25" s="1882"/>
      <c r="QVD25" s="1887"/>
      <c r="QVE25" s="1888"/>
      <c r="QVF25" s="1882"/>
      <c r="QVG25" s="1882"/>
      <c r="QVH25" s="1882"/>
      <c r="QVJ25" s="1887"/>
      <c r="QVK25" s="1888"/>
      <c r="QVL25" s="1882"/>
      <c r="QVM25" s="1882"/>
      <c r="QVN25" s="1882"/>
      <c r="QVP25" s="1887"/>
      <c r="QVQ25" s="1888"/>
      <c r="QVR25" s="1882"/>
      <c r="QVS25" s="1882"/>
      <c r="QVT25" s="1882"/>
      <c r="QVV25" s="1887"/>
      <c r="QVW25" s="1888"/>
      <c r="QVX25" s="1882"/>
      <c r="QVY25" s="1882"/>
      <c r="QVZ25" s="1882"/>
      <c r="QWB25" s="1887"/>
      <c r="QWC25" s="1888"/>
      <c r="QWD25" s="1882"/>
      <c r="QWE25" s="1882"/>
      <c r="QWF25" s="1882"/>
      <c r="QWH25" s="1887"/>
      <c r="QWI25" s="1888"/>
      <c r="QWJ25" s="1882"/>
      <c r="QWK25" s="1882"/>
      <c r="QWL25" s="1882"/>
      <c r="QWN25" s="1887"/>
      <c r="QWO25" s="1888"/>
      <c r="QWP25" s="1882"/>
      <c r="QWQ25" s="1882"/>
      <c r="QWR25" s="1882"/>
      <c r="QWT25" s="1887"/>
      <c r="QWU25" s="1888"/>
      <c r="QWV25" s="1882"/>
      <c r="QWW25" s="1882"/>
      <c r="QWX25" s="1882"/>
      <c r="QWZ25" s="1887"/>
      <c r="QXA25" s="1888"/>
      <c r="QXB25" s="1882"/>
      <c r="QXC25" s="1882"/>
      <c r="QXD25" s="1882"/>
      <c r="QXF25" s="1887"/>
      <c r="QXG25" s="1888"/>
      <c r="QXH25" s="1882"/>
      <c r="QXI25" s="1882"/>
      <c r="QXJ25" s="1882"/>
      <c r="QXL25" s="1887"/>
      <c r="QXM25" s="1888"/>
      <c r="QXN25" s="1882"/>
      <c r="QXO25" s="1882"/>
      <c r="QXP25" s="1882"/>
      <c r="QXR25" s="1887"/>
      <c r="QXS25" s="1888"/>
      <c r="QXT25" s="1882"/>
      <c r="QXU25" s="1882"/>
      <c r="QXV25" s="1882"/>
      <c r="QXX25" s="1887"/>
      <c r="QXY25" s="1888"/>
      <c r="QXZ25" s="1882"/>
      <c r="QYA25" s="1882"/>
      <c r="QYB25" s="1882"/>
      <c r="QYD25" s="1887"/>
      <c r="QYE25" s="1888"/>
      <c r="QYF25" s="1882"/>
      <c r="QYG25" s="1882"/>
      <c r="QYH25" s="1882"/>
      <c r="QYJ25" s="1887"/>
      <c r="QYK25" s="1888"/>
      <c r="QYL25" s="1882"/>
      <c r="QYM25" s="1882"/>
      <c r="QYN25" s="1882"/>
      <c r="QYP25" s="1887"/>
      <c r="QYQ25" s="1888"/>
      <c r="QYR25" s="1882"/>
      <c r="QYS25" s="1882"/>
      <c r="QYT25" s="1882"/>
      <c r="QYV25" s="1887"/>
      <c r="QYW25" s="1888"/>
      <c r="QYX25" s="1882"/>
      <c r="QYY25" s="1882"/>
      <c r="QYZ25" s="1882"/>
      <c r="QZB25" s="1887"/>
      <c r="QZC25" s="1888"/>
      <c r="QZD25" s="1882"/>
      <c r="QZE25" s="1882"/>
      <c r="QZF25" s="1882"/>
      <c r="QZH25" s="1887"/>
      <c r="QZI25" s="1888"/>
      <c r="QZJ25" s="1882"/>
      <c r="QZK25" s="1882"/>
      <c r="QZL25" s="1882"/>
      <c r="QZN25" s="1887"/>
      <c r="QZO25" s="1888"/>
      <c r="QZP25" s="1882"/>
      <c r="QZQ25" s="1882"/>
      <c r="QZR25" s="1882"/>
      <c r="QZT25" s="1887"/>
      <c r="QZU25" s="1888"/>
      <c r="QZV25" s="1882"/>
      <c r="QZW25" s="1882"/>
      <c r="QZX25" s="1882"/>
      <c r="QZZ25" s="1887"/>
      <c r="RAA25" s="1888"/>
      <c r="RAB25" s="1882"/>
      <c r="RAC25" s="1882"/>
      <c r="RAD25" s="1882"/>
      <c r="RAF25" s="1887"/>
      <c r="RAG25" s="1888"/>
      <c r="RAH25" s="1882"/>
      <c r="RAI25" s="1882"/>
      <c r="RAJ25" s="1882"/>
      <c r="RAL25" s="1887"/>
      <c r="RAM25" s="1888"/>
      <c r="RAN25" s="1882"/>
      <c r="RAO25" s="1882"/>
      <c r="RAP25" s="1882"/>
      <c r="RAR25" s="1887"/>
      <c r="RAS25" s="1888"/>
      <c r="RAT25" s="1882"/>
      <c r="RAU25" s="1882"/>
      <c r="RAV25" s="1882"/>
      <c r="RAX25" s="1887"/>
      <c r="RAY25" s="1888"/>
      <c r="RAZ25" s="1882"/>
      <c r="RBA25" s="1882"/>
      <c r="RBB25" s="1882"/>
      <c r="RBD25" s="1887"/>
      <c r="RBE25" s="1888"/>
      <c r="RBF25" s="1882"/>
      <c r="RBG25" s="1882"/>
      <c r="RBH25" s="1882"/>
      <c r="RBJ25" s="1887"/>
      <c r="RBK25" s="1888"/>
      <c r="RBL25" s="1882"/>
      <c r="RBM25" s="1882"/>
      <c r="RBN25" s="1882"/>
      <c r="RBP25" s="1887"/>
      <c r="RBQ25" s="1888"/>
      <c r="RBR25" s="1882"/>
      <c r="RBS25" s="1882"/>
      <c r="RBT25" s="1882"/>
      <c r="RBV25" s="1887"/>
      <c r="RBW25" s="1888"/>
      <c r="RBX25" s="1882"/>
      <c r="RBY25" s="1882"/>
      <c r="RBZ25" s="1882"/>
      <c r="RCB25" s="1887"/>
      <c r="RCC25" s="1888"/>
      <c r="RCD25" s="1882"/>
      <c r="RCE25" s="1882"/>
      <c r="RCF25" s="1882"/>
      <c r="RCH25" s="1887"/>
      <c r="RCI25" s="1888"/>
      <c r="RCJ25" s="1882"/>
      <c r="RCK25" s="1882"/>
      <c r="RCL25" s="1882"/>
      <c r="RCN25" s="1887"/>
      <c r="RCO25" s="1888"/>
      <c r="RCP25" s="1882"/>
      <c r="RCQ25" s="1882"/>
      <c r="RCR25" s="1882"/>
      <c r="RCT25" s="1887"/>
      <c r="RCU25" s="1888"/>
      <c r="RCV25" s="1882"/>
      <c r="RCW25" s="1882"/>
      <c r="RCX25" s="1882"/>
      <c r="RCZ25" s="1887"/>
      <c r="RDA25" s="1888"/>
      <c r="RDB25" s="1882"/>
      <c r="RDC25" s="1882"/>
      <c r="RDD25" s="1882"/>
      <c r="RDF25" s="1887"/>
      <c r="RDG25" s="1888"/>
      <c r="RDH25" s="1882"/>
      <c r="RDI25" s="1882"/>
      <c r="RDJ25" s="1882"/>
      <c r="RDL25" s="1887"/>
      <c r="RDM25" s="1888"/>
      <c r="RDN25" s="1882"/>
      <c r="RDO25" s="1882"/>
      <c r="RDP25" s="1882"/>
      <c r="RDR25" s="1887"/>
      <c r="RDS25" s="1888"/>
      <c r="RDT25" s="1882"/>
      <c r="RDU25" s="1882"/>
      <c r="RDV25" s="1882"/>
      <c r="RDX25" s="1887"/>
      <c r="RDY25" s="1888"/>
      <c r="RDZ25" s="1882"/>
      <c r="REA25" s="1882"/>
      <c r="REB25" s="1882"/>
      <c r="RED25" s="1887"/>
      <c r="REE25" s="1888"/>
      <c r="REF25" s="1882"/>
      <c r="REG25" s="1882"/>
      <c r="REH25" s="1882"/>
      <c r="REJ25" s="1887"/>
      <c r="REK25" s="1888"/>
      <c r="REL25" s="1882"/>
      <c r="REM25" s="1882"/>
      <c r="REN25" s="1882"/>
      <c r="REP25" s="1887"/>
      <c r="REQ25" s="1888"/>
      <c r="RER25" s="1882"/>
      <c r="RES25" s="1882"/>
      <c r="RET25" s="1882"/>
      <c r="REV25" s="1887"/>
      <c r="REW25" s="1888"/>
      <c r="REX25" s="1882"/>
      <c r="REY25" s="1882"/>
      <c r="REZ25" s="1882"/>
      <c r="RFB25" s="1887"/>
      <c r="RFC25" s="1888"/>
      <c r="RFD25" s="1882"/>
      <c r="RFE25" s="1882"/>
      <c r="RFF25" s="1882"/>
      <c r="RFH25" s="1887"/>
      <c r="RFI25" s="1888"/>
      <c r="RFJ25" s="1882"/>
      <c r="RFK25" s="1882"/>
      <c r="RFL25" s="1882"/>
      <c r="RFN25" s="1887"/>
      <c r="RFO25" s="1888"/>
      <c r="RFP25" s="1882"/>
      <c r="RFQ25" s="1882"/>
      <c r="RFR25" s="1882"/>
      <c r="RFT25" s="1887"/>
      <c r="RFU25" s="1888"/>
      <c r="RFV25" s="1882"/>
      <c r="RFW25" s="1882"/>
      <c r="RFX25" s="1882"/>
      <c r="RFZ25" s="1887"/>
      <c r="RGA25" s="1888"/>
      <c r="RGB25" s="1882"/>
      <c r="RGC25" s="1882"/>
      <c r="RGD25" s="1882"/>
      <c r="RGF25" s="1887"/>
      <c r="RGG25" s="1888"/>
      <c r="RGH25" s="1882"/>
      <c r="RGI25" s="1882"/>
      <c r="RGJ25" s="1882"/>
      <c r="RGL25" s="1887"/>
      <c r="RGM25" s="1888"/>
      <c r="RGN25" s="1882"/>
      <c r="RGO25" s="1882"/>
      <c r="RGP25" s="1882"/>
      <c r="RGR25" s="1887"/>
      <c r="RGS25" s="1888"/>
      <c r="RGT25" s="1882"/>
      <c r="RGU25" s="1882"/>
      <c r="RGV25" s="1882"/>
      <c r="RGX25" s="1887"/>
      <c r="RGY25" s="1888"/>
      <c r="RGZ25" s="1882"/>
      <c r="RHA25" s="1882"/>
      <c r="RHB25" s="1882"/>
      <c r="RHD25" s="1887"/>
      <c r="RHE25" s="1888"/>
      <c r="RHF25" s="1882"/>
      <c r="RHG25" s="1882"/>
      <c r="RHH25" s="1882"/>
      <c r="RHJ25" s="1887"/>
      <c r="RHK25" s="1888"/>
      <c r="RHL25" s="1882"/>
      <c r="RHM25" s="1882"/>
      <c r="RHN25" s="1882"/>
      <c r="RHP25" s="1887"/>
      <c r="RHQ25" s="1888"/>
      <c r="RHR25" s="1882"/>
      <c r="RHS25" s="1882"/>
      <c r="RHT25" s="1882"/>
      <c r="RHV25" s="1887"/>
      <c r="RHW25" s="1888"/>
      <c r="RHX25" s="1882"/>
      <c r="RHY25" s="1882"/>
      <c r="RHZ25" s="1882"/>
      <c r="RIB25" s="1887"/>
      <c r="RIC25" s="1888"/>
      <c r="RID25" s="1882"/>
      <c r="RIE25" s="1882"/>
      <c r="RIF25" s="1882"/>
      <c r="RIH25" s="1887"/>
      <c r="RII25" s="1888"/>
      <c r="RIJ25" s="1882"/>
      <c r="RIK25" s="1882"/>
      <c r="RIL25" s="1882"/>
      <c r="RIN25" s="1887"/>
      <c r="RIO25" s="1888"/>
      <c r="RIP25" s="1882"/>
      <c r="RIQ25" s="1882"/>
      <c r="RIR25" s="1882"/>
      <c r="RIT25" s="1887"/>
      <c r="RIU25" s="1888"/>
      <c r="RIV25" s="1882"/>
      <c r="RIW25" s="1882"/>
      <c r="RIX25" s="1882"/>
      <c r="RIZ25" s="1887"/>
      <c r="RJA25" s="1888"/>
      <c r="RJB25" s="1882"/>
      <c r="RJC25" s="1882"/>
      <c r="RJD25" s="1882"/>
      <c r="RJF25" s="1887"/>
      <c r="RJG25" s="1888"/>
      <c r="RJH25" s="1882"/>
      <c r="RJI25" s="1882"/>
      <c r="RJJ25" s="1882"/>
      <c r="RJL25" s="1887"/>
      <c r="RJM25" s="1888"/>
      <c r="RJN25" s="1882"/>
      <c r="RJO25" s="1882"/>
      <c r="RJP25" s="1882"/>
      <c r="RJR25" s="1887"/>
      <c r="RJS25" s="1888"/>
      <c r="RJT25" s="1882"/>
      <c r="RJU25" s="1882"/>
      <c r="RJV25" s="1882"/>
      <c r="RJX25" s="1887"/>
      <c r="RJY25" s="1888"/>
      <c r="RJZ25" s="1882"/>
      <c r="RKA25" s="1882"/>
      <c r="RKB25" s="1882"/>
      <c r="RKD25" s="1887"/>
      <c r="RKE25" s="1888"/>
      <c r="RKF25" s="1882"/>
      <c r="RKG25" s="1882"/>
      <c r="RKH25" s="1882"/>
      <c r="RKJ25" s="1887"/>
      <c r="RKK25" s="1888"/>
      <c r="RKL25" s="1882"/>
      <c r="RKM25" s="1882"/>
      <c r="RKN25" s="1882"/>
      <c r="RKP25" s="1887"/>
      <c r="RKQ25" s="1888"/>
      <c r="RKR25" s="1882"/>
      <c r="RKS25" s="1882"/>
      <c r="RKT25" s="1882"/>
      <c r="RKV25" s="1887"/>
      <c r="RKW25" s="1888"/>
      <c r="RKX25" s="1882"/>
      <c r="RKY25" s="1882"/>
      <c r="RKZ25" s="1882"/>
      <c r="RLB25" s="1887"/>
      <c r="RLC25" s="1888"/>
      <c r="RLD25" s="1882"/>
      <c r="RLE25" s="1882"/>
      <c r="RLF25" s="1882"/>
      <c r="RLH25" s="1887"/>
      <c r="RLI25" s="1888"/>
      <c r="RLJ25" s="1882"/>
      <c r="RLK25" s="1882"/>
      <c r="RLL25" s="1882"/>
      <c r="RLN25" s="1887"/>
      <c r="RLO25" s="1888"/>
      <c r="RLP25" s="1882"/>
      <c r="RLQ25" s="1882"/>
      <c r="RLR25" s="1882"/>
      <c r="RLT25" s="1887"/>
      <c r="RLU25" s="1888"/>
      <c r="RLV25" s="1882"/>
      <c r="RLW25" s="1882"/>
      <c r="RLX25" s="1882"/>
      <c r="RLZ25" s="1887"/>
      <c r="RMA25" s="1888"/>
      <c r="RMB25" s="1882"/>
      <c r="RMC25" s="1882"/>
      <c r="RMD25" s="1882"/>
      <c r="RMF25" s="1887"/>
      <c r="RMG25" s="1888"/>
      <c r="RMH25" s="1882"/>
      <c r="RMI25" s="1882"/>
      <c r="RMJ25" s="1882"/>
      <c r="RML25" s="1887"/>
      <c r="RMM25" s="1888"/>
      <c r="RMN25" s="1882"/>
      <c r="RMO25" s="1882"/>
      <c r="RMP25" s="1882"/>
      <c r="RMR25" s="1887"/>
      <c r="RMS25" s="1888"/>
      <c r="RMT25" s="1882"/>
      <c r="RMU25" s="1882"/>
      <c r="RMV25" s="1882"/>
      <c r="RMX25" s="1887"/>
      <c r="RMY25" s="1888"/>
      <c r="RMZ25" s="1882"/>
      <c r="RNA25" s="1882"/>
      <c r="RNB25" s="1882"/>
      <c r="RND25" s="1887"/>
      <c r="RNE25" s="1888"/>
      <c r="RNF25" s="1882"/>
      <c r="RNG25" s="1882"/>
      <c r="RNH25" s="1882"/>
      <c r="RNJ25" s="1887"/>
      <c r="RNK25" s="1888"/>
      <c r="RNL25" s="1882"/>
      <c r="RNM25" s="1882"/>
      <c r="RNN25" s="1882"/>
      <c r="RNP25" s="1887"/>
      <c r="RNQ25" s="1888"/>
      <c r="RNR25" s="1882"/>
      <c r="RNS25" s="1882"/>
      <c r="RNT25" s="1882"/>
      <c r="RNV25" s="1887"/>
      <c r="RNW25" s="1888"/>
      <c r="RNX25" s="1882"/>
      <c r="RNY25" s="1882"/>
      <c r="RNZ25" s="1882"/>
      <c r="ROB25" s="1887"/>
      <c r="ROC25" s="1888"/>
      <c r="ROD25" s="1882"/>
      <c r="ROE25" s="1882"/>
      <c r="ROF25" s="1882"/>
      <c r="ROH25" s="1887"/>
      <c r="ROI25" s="1888"/>
      <c r="ROJ25" s="1882"/>
      <c r="ROK25" s="1882"/>
      <c r="ROL25" s="1882"/>
      <c r="RON25" s="1887"/>
      <c r="ROO25" s="1888"/>
      <c r="ROP25" s="1882"/>
      <c r="ROQ25" s="1882"/>
      <c r="ROR25" s="1882"/>
      <c r="ROT25" s="1887"/>
      <c r="ROU25" s="1888"/>
      <c r="ROV25" s="1882"/>
      <c r="ROW25" s="1882"/>
      <c r="ROX25" s="1882"/>
      <c r="ROZ25" s="1887"/>
      <c r="RPA25" s="1888"/>
      <c r="RPB25" s="1882"/>
      <c r="RPC25" s="1882"/>
      <c r="RPD25" s="1882"/>
      <c r="RPF25" s="1887"/>
      <c r="RPG25" s="1888"/>
      <c r="RPH25" s="1882"/>
      <c r="RPI25" s="1882"/>
      <c r="RPJ25" s="1882"/>
      <c r="RPL25" s="1887"/>
      <c r="RPM25" s="1888"/>
      <c r="RPN25" s="1882"/>
      <c r="RPO25" s="1882"/>
      <c r="RPP25" s="1882"/>
      <c r="RPR25" s="1887"/>
      <c r="RPS25" s="1888"/>
      <c r="RPT25" s="1882"/>
      <c r="RPU25" s="1882"/>
      <c r="RPV25" s="1882"/>
      <c r="RPX25" s="1887"/>
      <c r="RPY25" s="1888"/>
      <c r="RPZ25" s="1882"/>
      <c r="RQA25" s="1882"/>
      <c r="RQB25" s="1882"/>
      <c r="RQD25" s="1887"/>
      <c r="RQE25" s="1888"/>
      <c r="RQF25" s="1882"/>
      <c r="RQG25" s="1882"/>
      <c r="RQH25" s="1882"/>
      <c r="RQJ25" s="1887"/>
      <c r="RQK25" s="1888"/>
      <c r="RQL25" s="1882"/>
      <c r="RQM25" s="1882"/>
      <c r="RQN25" s="1882"/>
      <c r="RQP25" s="1887"/>
      <c r="RQQ25" s="1888"/>
      <c r="RQR25" s="1882"/>
      <c r="RQS25" s="1882"/>
      <c r="RQT25" s="1882"/>
      <c r="RQV25" s="1887"/>
      <c r="RQW25" s="1888"/>
      <c r="RQX25" s="1882"/>
      <c r="RQY25" s="1882"/>
      <c r="RQZ25" s="1882"/>
      <c r="RRB25" s="1887"/>
      <c r="RRC25" s="1888"/>
      <c r="RRD25" s="1882"/>
      <c r="RRE25" s="1882"/>
      <c r="RRF25" s="1882"/>
      <c r="RRH25" s="1887"/>
      <c r="RRI25" s="1888"/>
      <c r="RRJ25" s="1882"/>
      <c r="RRK25" s="1882"/>
      <c r="RRL25" s="1882"/>
      <c r="RRN25" s="1887"/>
      <c r="RRO25" s="1888"/>
      <c r="RRP25" s="1882"/>
      <c r="RRQ25" s="1882"/>
      <c r="RRR25" s="1882"/>
      <c r="RRT25" s="1887"/>
      <c r="RRU25" s="1888"/>
      <c r="RRV25" s="1882"/>
      <c r="RRW25" s="1882"/>
      <c r="RRX25" s="1882"/>
      <c r="RRZ25" s="1887"/>
      <c r="RSA25" s="1888"/>
      <c r="RSB25" s="1882"/>
      <c r="RSC25" s="1882"/>
      <c r="RSD25" s="1882"/>
      <c r="RSF25" s="1887"/>
      <c r="RSG25" s="1888"/>
      <c r="RSH25" s="1882"/>
      <c r="RSI25" s="1882"/>
      <c r="RSJ25" s="1882"/>
      <c r="RSL25" s="1887"/>
      <c r="RSM25" s="1888"/>
      <c r="RSN25" s="1882"/>
      <c r="RSO25" s="1882"/>
      <c r="RSP25" s="1882"/>
      <c r="RSR25" s="1887"/>
      <c r="RSS25" s="1888"/>
      <c r="RST25" s="1882"/>
      <c r="RSU25" s="1882"/>
      <c r="RSV25" s="1882"/>
      <c r="RSX25" s="1887"/>
      <c r="RSY25" s="1888"/>
      <c r="RSZ25" s="1882"/>
      <c r="RTA25" s="1882"/>
      <c r="RTB25" s="1882"/>
      <c r="RTD25" s="1887"/>
      <c r="RTE25" s="1888"/>
      <c r="RTF25" s="1882"/>
      <c r="RTG25" s="1882"/>
      <c r="RTH25" s="1882"/>
      <c r="RTJ25" s="1887"/>
      <c r="RTK25" s="1888"/>
      <c r="RTL25" s="1882"/>
      <c r="RTM25" s="1882"/>
      <c r="RTN25" s="1882"/>
      <c r="RTP25" s="1887"/>
      <c r="RTQ25" s="1888"/>
      <c r="RTR25" s="1882"/>
      <c r="RTS25" s="1882"/>
      <c r="RTT25" s="1882"/>
      <c r="RTV25" s="1887"/>
      <c r="RTW25" s="1888"/>
      <c r="RTX25" s="1882"/>
      <c r="RTY25" s="1882"/>
      <c r="RTZ25" s="1882"/>
      <c r="RUB25" s="1887"/>
      <c r="RUC25" s="1888"/>
      <c r="RUD25" s="1882"/>
      <c r="RUE25" s="1882"/>
      <c r="RUF25" s="1882"/>
      <c r="RUH25" s="1887"/>
      <c r="RUI25" s="1888"/>
      <c r="RUJ25" s="1882"/>
      <c r="RUK25" s="1882"/>
      <c r="RUL25" s="1882"/>
      <c r="RUN25" s="1887"/>
      <c r="RUO25" s="1888"/>
      <c r="RUP25" s="1882"/>
      <c r="RUQ25" s="1882"/>
      <c r="RUR25" s="1882"/>
      <c r="RUT25" s="1887"/>
      <c r="RUU25" s="1888"/>
      <c r="RUV25" s="1882"/>
      <c r="RUW25" s="1882"/>
      <c r="RUX25" s="1882"/>
      <c r="RUZ25" s="1887"/>
      <c r="RVA25" s="1888"/>
      <c r="RVB25" s="1882"/>
      <c r="RVC25" s="1882"/>
      <c r="RVD25" s="1882"/>
      <c r="RVF25" s="1887"/>
      <c r="RVG25" s="1888"/>
      <c r="RVH25" s="1882"/>
      <c r="RVI25" s="1882"/>
      <c r="RVJ25" s="1882"/>
      <c r="RVL25" s="1887"/>
      <c r="RVM25" s="1888"/>
      <c r="RVN25" s="1882"/>
      <c r="RVO25" s="1882"/>
      <c r="RVP25" s="1882"/>
      <c r="RVR25" s="1887"/>
      <c r="RVS25" s="1888"/>
      <c r="RVT25" s="1882"/>
      <c r="RVU25" s="1882"/>
      <c r="RVV25" s="1882"/>
      <c r="RVX25" s="1887"/>
      <c r="RVY25" s="1888"/>
      <c r="RVZ25" s="1882"/>
      <c r="RWA25" s="1882"/>
      <c r="RWB25" s="1882"/>
      <c r="RWD25" s="1887"/>
      <c r="RWE25" s="1888"/>
      <c r="RWF25" s="1882"/>
      <c r="RWG25" s="1882"/>
      <c r="RWH25" s="1882"/>
      <c r="RWJ25" s="1887"/>
      <c r="RWK25" s="1888"/>
      <c r="RWL25" s="1882"/>
      <c r="RWM25" s="1882"/>
      <c r="RWN25" s="1882"/>
      <c r="RWP25" s="1887"/>
      <c r="RWQ25" s="1888"/>
      <c r="RWR25" s="1882"/>
      <c r="RWS25" s="1882"/>
      <c r="RWT25" s="1882"/>
      <c r="RWV25" s="1887"/>
      <c r="RWW25" s="1888"/>
      <c r="RWX25" s="1882"/>
      <c r="RWY25" s="1882"/>
      <c r="RWZ25" s="1882"/>
      <c r="RXB25" s="1887"/>
      <c r="RXC25" s="1888"/>
      <c r="RXD25" s="1882"/>
      <c r="RXE25" s="1882"/>
      <c r="RXF25" s="1882"/>
      <c r="RXH25" s="1887"/>
      <c r="RXI25" s="1888"/>
      <c r="RXJ25" s="1882"/>
      <c r="RXK25" s="1882"/>
      <c r="RXL25" s="1882"/>
      <c r="RXN25" s="1887"/>
      <c r="RXO25" s="1888"/>
      <c r="RXP25" s="1882"/>
      <c r="RXQ25" s="1882"/>
      <c r="RXR25" s="1882"/>
      <c r="RXT25" s="1887"/>
      <c r="RXU25" s="1888"/>
      <c r="RXV25" s="1882"/>
      <c r="RXW25" s="1882"/>
      <c r="RXX25" s="1882"/>
      <c r="RXZ25" s="1887"/>
      <c r="RYA25" s="1888"/>
      <c r="RYB25" s="1882"/>
      <c r="RYC25" s="1882"/>
      <c r="RYD25" s="1882"/>
      <c r="RYF25" s="1887"/>
      <c r="RYG25" s="1888"/>
      <c r="RYH25" s="1882"/>
      <c r="RYI25" s="1882"/>
      <c r="RYJ25" s="1882"/>
      <c r="RYL25" s="1887"/>
      <c r="RYM25" s="1888"/>
      <c r="RYN25" s="1882"/>
      <c r="RYO25" s="1882"/>
      <c r="RYP25" s="1882"/>
      <c r="RYR25" s="1887"/>
      <c r="RYS25" s="1888"/>
      <c r="RYT25" s="1882"/>
      <c r="RYU25" s="1882"/>
      <c r="RYV25" s="1882"/>
      <c r="RYX25" s="1887"/>
      <c r="RYY25" s="1888"/>
      <c r="RYZ25" s="1882"/>
      <c r="RZA25" s="1882"/>
      <c r="RZB25" s="1882"/>
      <c r="RZD25" s="1887"/>
      <c r="RZE25" s="1888"/>
      <c r="RZF25" s="1882"/>
      <c r="RZG25" s="1882"/>
      <c r="RZH25" s="1882"/>
      <c r="RZJ25" s="1887"/>
      <c r="RZK25" s="1888"/>
      <c r="RZL25" s="1882"/>
      <c r="RZM25" s="1882"/>
      <c r="RZN25" s="1882"/>
      <c r="RZP25" s="1887"/>
      <c r="RZQ25" s="1888"/>
      <c r="RZR25" s="1882"/>
      <c r="RZS25" s="1882"/>
      <c r="RZT25" s="1882"/>
      <c r="RZV25" s="1887"/>
      <c r="RZW25" s="1888"/>
      <c r="RZX25" s="1882"/>
      <c r="RZY25" s="1882"/>
      <c r="RZZ25" s="1882"/>
      <c r="SAB25" s="1887"/>
      <c r="SAC25" s="1888"/>
      <c r="SAD25" s="1882"/>
      <c r="SAE25" s="1882"/>
      <c r="SAF25" s="1882"/>
      <c r="SAH25" s="1887"/>
      <c r="SAI25" s="1888"/>
      <c r="SAJ25" s="1882"/>
      <c r="SAK25" s="1882"/>
      <c r="SAL25" s="1882"/>
      <c r="SAN25" s="1887"/>
      <c r="SAO25" s="1888"/>
      <c r="SAP25" s="1882"/>
      <c r="SAQ25" s="1882"/>
      <c r="SAR25" s="1882"/>
      <c r="SAT25" s="1887"/>
      <c r="SAU25" s="1888"/>
      <c r="SAV25" s="1882"/>
      <c r="SAW25" s="1882"/>
      <c r="SAX25" s="1882"/>
      <c r="SAZ25" s="1887"/>
      <c r="SBA25" s="1888"/>
      <c r="SBB25" s="1882"/>
      <c r="SBC25" s="1882"/>
      <c r="SBD25" s="1882"/>
      <c r="SBF25" s="1887"/>
      <c r="SBG25" s="1888"/>
      <c r="SBH25" s="1882"/>
      <c r="SBI25" s="1882"/>
      <c r="SBJ25" s="1882"/>
      <c r="SBL25" s="1887"/>
      <c r="SBM25" s="1888"/>
      <c r="SBN25" s="1882"/>
      <c r="SBO25" s="1882"/>
      <c r="SBP25" s="1882"/>
      <c r="SBR25" s="1887"/>
      <c r="SBS25" s="1888"/>
      <c r="SBT25" s="1882"/>
      <c r="SBU25" s="1882"/>
      <c r="SBV25" s="1882"/>
      <c r="SBX25" s="1887"/>
      <c r="SBY25" s="1888"/>
      <c r="SBZ25" s="1882"/>
      <c r="SCA25" s="1882"/>
      <c r="SCB25" s="1882"/>
      <c r="SCD25" s="1887"/>
      <c r="SCE25" s="1888"/>
      <c r="SCF25" s="1882"/>
      <c r="SCG25" s="1882"/>
      <c r="SCH25" s="1882"/>
      <c r="SCJ25" s="1887"/>
      <c r="SCK25" s="1888"/>
      <c r="SCL25" s="1882"/>
      <c r="SCM25" s="1882"/>
      <c r="SCN25" s="1882"/>
      <c r="SCP25" s="1887"/>
      <c r="SCQ25" s="1888"/>
      <c r="SCR25" s="1882"/>
      <c r="SCS25" s="1882"/>
      <c r="SCT25" s="1882"/>
      <c r="SCV25" s="1887"/>
      <c r="SCW25" s="1888"/>
      <c r="SCX25" s="1882"/>
      <c r="SCY25" s="1882"/>
      <c r="SCZ25" s="1882"/>
      <c r="SDB25" s="1887"/>
      <c r="SDC25" s="1888"/>
      <c r="SDD25" s="1882"/>
      <c r="SDE25" s="1882"/>
      <c r="SDF25" s="1882"/>
      <c r="SDH25" s="1887"/>
      <c r="SDI25" s="1888"/>
      <c r="SDJ25" s="1882"/>
      <c r="SDK25" s="1882"/>
      <c r="SDL25" s="1882"/>
      <c r="SDN25" s="1887"/>
      <c r="SDO25" s="1888"/>
      <c r="SDP25" s="1882"/>
      <c r="SDQ25" s="1882"/>
      <c r="SDR25" s="1882"/>
      <c r="SDT25" s="1887"/>
      <c r="SDU25" s="1888"/>
      <c r="SDV25" s="1882"/>
      <c r="SDW25" s="1882"/>
      <c r="SDX25" s="1882"/>
      <c r="SDZ25" s="1887"/>
      <c r="SEA25" s="1888"/>
      <c r="SEB25" s="1882"/>
      <c r="SEC25" s="1882"/>
      <c r="SED25" s="1882"/>
      <c r="SEF25" s="1887"/>
      <c r="SEG25" s="1888"/>
      <c r="SEH25" s="1882"/>
      <c r="SEI25" s="1882"/>
      <c r="SEJ25" s="1882"/>
      <c r="SEL25" s="1887"/>
      <c r="SEM25" s="1888"/>
      <c r="SEN25" s="1882"/>
      <c r="SEO25" s="1882"/>
      <c r="SEP25" s="1882"/>
      <c r="SER25" s="1887"/>
      <c r="SES25" s="1888"/>
      <c r="SET25" s="1882"/>
      <c r="SEU25" s="1882"/>
      <c r="SEV25" s="1882"/>
      <c r="SEX25" s="1887"/>
      <c r="SEY25" s="1888"/>
      <c r="SEZ25" s="1882"/>
      <c r="SFA25" s="1882"/>
      <c r="SFB25" s="1882"/>
      <c r="SFD25" s="1887"/>
      <c r="SFE25" s="1888"/>
      <c r="SFF25" s="1882"/>
      <c r="SFG25" s="1882"/>
      <c r="SFH25" s="1882"/>
      <c r="SFJ25" s="1887"/>
      <c r="SFK25" s="1888"/>
      <c r="SFL25" s="1882"/>
      <c r="SFM25" s="1882"/>
      <c r="SFN25" s="1882"/>
      <c r="SFP25" s="1887"/>
      <c r="SFQ25" s="1888"/>
      <c r="SFR25" s="1882"/>
      <c r="SFS25" s="1882"/>
      <c r="SFT25" s="1882"/>
      <c r="SFV25" s="1887"/>
      <c r="SFW25" s="1888"/>
      <c r="SFX25" s="1882"/>
      <c r="SFY25" s="1882"/>
      <c r="SFZ25" s="1882"/>
      <c r="SGB25" s="1887"/>
      <c r="SGC25" s="1888"/>
      <c r="SGD25" s="1882"/>
      <c r="SGE25" s="1882"/>
      <c r="SGF25" s="1882"/>
      <c r="SGH25" s="1887"/>
      <c r="SGI25" s="1888"/>
      <c r="SGJ25" s="1882"/>
      <c r="SGK25" s="1882"/>
      <c r="SGL25" s="1882"/>
      <c r="SGN25" s="1887"/>
      <c r="SGO25" s="1888"/>
      <c r="SGP25" s="1882"/>
      <c r="SGQ25" s="1882"/>
      <c r="SGR25" s="1882"/>
      <c r="SGT25" s="1887"/>
      <c r="SGU25" s="1888"/>
      <c r="SGV25" s="1882"/>
      <c r="SGW25" s="1882"/>
      <c r="SGX25" s="1882"/>
      <c r="SGZ25" s="1887"/>
      <c r="SHA25" s="1888"/>
      <c r="SHB25" s="1882"/>
      <c r="SHC25" s="1882"/>
      <c r="SHD25" s="1882"/>
      <c r="SHF25" s="1887"/>
      <c r="SHG25" s="1888"/>
      <c r="SHH25" s="1882"/>
      <c r="SHI25" s="1882"/>
      <c r="SHJ25" s="1882"/>
      <c r="SHL25" s="1887"/>
      <c r="SHM25" s="1888"/>
      <c r="SHN25" s="1882"/>
      <c r="SHO25" s="1882"/>
      <c r="SHP25" s="1882"/>
      <c r="SHR25" s="1887"/>
      <c r="SHS25" s="1888"/>
      <c r="SHT25" s="1882"/>
      <c r="SHU25" s="1882"/>
      <c r="SHV25" s="1882"/>
      <c r="SHX25" s="1887"/>
      <c r="SHY25" s="1888"/>
      <c r="SHZ25" s="1882"/>
      <c r="SIA25" s="1882"/>
      <c r="SIB25" s="1882"/>
      <c r="SID25" s="1887"/>
      <c r="SIE25" s="1888"/>
      <c r="SIF25" s="1882"/>
      <c r="SIG25" s="1882"/>
      <c r="SIH25" s="1882"/>
      <c r="SIJ25" s="1887"/>
      <c r="SIK25" s="1888"/>
      <c r="SIL25" s="1882"/>
      <c r="SIM25" s="1882"/>
      <c r="SIN25" s="1882"/>
      <c r="SIP25" s="1887"/>
      <c r="SIQ25" s="1888"/>
      <c r="SIR25" s="1882"/>
      <c r="SIS25" s="1882"/>
      <c r="SIT25" s="1882"/>
      <c r="SIV25" s="1887"/>
      <c r="SIW25" s="1888"/>
      <c r="SIX25" s="1882"/>
      <c r="SIY25" s="1882"/>
      <c r="SIZ25" s="1882"/>
      <c r="SJB25" s="1887"/>
      <c r="SJC25" s="1888"/>
      <c r="SJD25" s="1882"/>
      <c r="SJE25" s="1882"/>
      <c r="SJF25" s="1882"/>
      <c r="SJH25" s="1887"/>
      <c r="SJI25" s="1888"/>
      <c r="SJJ25" s="1882"/>
      <c r="SJK25" s="1882"/>
      <c r="SJL25" s="1882"/>
      <c r="SJN25" s="1887"/>
      <c r="SJO25" s="1888"/>
      <c r="SJP25" s="1882"/>
      <c r="SJQ25" s="1882"/>
      <c r="SJR25" s="1882"/>
      <c r="SJT25" s="1887"/>
      <c r="SJU25" s="1888"/>
      <c r="SJV25" s="1882"/>
      <c r="SJW25" s="1882"/>
      <c r="SJX25" s="1882"/>
      <c r="SJZ25" s="1887"/>
      <c r="SKA25" s="1888"/>
      <c r="SKB25" s="1882"/>
      <c r="SKC25" s="1882"/>
      <c r="SKD25" s="1882"/>
      <c r="SKF25" s="1887"/>
      <c r="SKG25" s="1888"/>
      <c r="SKH25" s="1882"/>
      <c r="SKI25" s="1882"/>
      <c r="SKJ25" s="1882"/>
      <c r="SKL25" s="1887"/>
      <c r="SKM25" s="1888"/>
      <c r="SKN25" s="1882"/>
      <c r="SKO25" s="1882"/>
      <c r="SKP25" s="1882"/>
      <c r="SKR25" s="1887"/>
      <c r="SKS25" s="1888"/>
      <c r="SKT25" s="1882"/>
      <c r="SKU25" s="1882"/>
      <c r="SKV25" s="1882"/>
      <c r="SKX25" s="1887"/>
      <c r="SKY25" s="1888"/>
      <c r="SKZ25" s="1882"/>
      <c r="SLA25" s="1882"/>
      <c r="SLB25" s="1882"/>
      <c r="SLD25" s="1887"/>
      <c r="SLE25" s="1888"/>
      <c r="SLF25" s="1882"/>
      <c r="SLG25" s="1882"/>
      <c r="SLH25" s="1882"/>
      <c r="SLJ25" s="1887"/>
      <c r="SLK25" s="1888"/>
      <c r="SLL25" s="1882"/>
      <c r="SLM25" s="1882"/>
      <c r="SLN25" s="1882"/>
      <c r="SLP25" s="1887"/>
      <c r="SLQ25" s="1888"/>
      <c r="SLR25" s="1882"/>
      <c r="SLS25" s="1882"/>
      <c r="SLT25" s="1882"/>
      <c r="SLV25" s="1887"/>
      <c r="SLW25" s="1888"/>
      <c r="SLX25" s="1882"/>
      <c r="SLY25" s="1882"/>
      <c r="SLZ25" s="1882"/>
      <c r="SMB25" s="1887"/>
      <c r="SMC25" s="1888"/>
      <c r="SMD25" s="1882"/>
      <c r="SME25" s="1882"/>
      <c r="SMF25" s="1882"/>
      <c r="SMH25" s="1887"/>
      <c r="SMI25" s="1888"/>
      <c r="SMJ25" s="1882"/>
      <c r="SMK25" s="1882"/>
      <c r="SML25" s="1882"/>
      <c r="SMN25" s="1887"/>
      <c r="SMO25" s="1888"/>
      <c r="SMP25" s="1882"/>
      <c r="SMQ25" s="1882"/>
      <c r="SMR25" s="1882"/>
      <c r="SMT25" s="1887"/>
      <c r="SMU25" s="1888"/>
      <c r="SMV25" s="1882"/>
      <c r="SMW25" s="1882"/>
      <c r="SMX25" s="1882"/>
      <c r="SMZ25" s="1887"/>
      <c r="SNA25" s="1888"/>
      <c r="SNB25" s="1882"/>
      <c r="SNC25" s="1882"/>
      <c r="SND25" s="1882"/>
      <c r="SNF25" s="1887"/>
      <c r="SNG25" s="1888"/>
      <c r="SNH25" s="1882"/>
      <c r="SNI25" s="1882"/>
      <c r="SNJ25" s="1882"/>
      <c r="SNL25" s="1887"/>
      <c r="SNM25" s="1888"/>
      <c r="SNN25" s="1882"/>
      <c r="SNO25" s="1882"/>
      <c r="SNP25" s="1882"/>
      <c r="SNR25" s="1887"/>
      <c r="SNS25" s="1888"/>
      <c r="SNT25" s="1882"/>
      <c r="SNU25" s="1882"/>
      <c r="SNV25" s="1882"/>
      <c r="SNX25" s="1887"/>
      <c r="SNY25" s="1888"/>
      <c r="SNZ25" s="1882"/>
      <c r="SOA25" s="1882"/>
      <c r="SOB25" s="1882"/>
      <c r="SOD25" s="1887"/>
      <c r="SOE25" s="1888"/>
      <c r="SOF25" s="1882"/>
      <c r="SOG25" s="1882"/>
      <c r="SOH25" s="1882"/>
      <c r="SOJ25" s="1887"/>
      <c r="SOK25" s="1888"/>
      <c r="SOL25" s="1882"/>
      <c r="SOM25" s="1882"/>
      <c r="SON25" s="1882"/>
      <c r="SOP25" s="1887"/>
      <c r="SOQ25" s="1888"/>
      <c r="SOR25" s="1882"/>
      <c r="SOS25" s="1882"/>
      <c r="SOT25" s="1882"/>
      <c r="SOV25" s="1887"/>
      <c r="SOW25" s="1888"/>
      <c r="SOX25" s="1882"/>
      <c r="SOY25" s="1882"/>
      <c r="SOZ25" s="1882"/>
      <c r="SPB25" s="1887"/>
      <c r="SPC25" s="1888"/>
      <c r="SPD25" s="1882"/>
      <c r="SPE25" s="1882"/>
      <c r="SPF25" s="1882"/>
      <c r="SPH25" s="1887"/>
      <c r="SPI25" s="1888"/>
      <c r="SPJ25" s="1882"/>
      <c r="SPK25" s="1882"/>
      <c r="SPL25" s="1882"/>
      <c r="SPN25" s="1887"/>
      <c r="SPO25" s="1888"/>
      <c r="SPP25" s="1882"/>
      <c r="SPQ25" s="1882"/>
      <c r="SPR25" s="1882"/>
      <c r="SPT25" s="1887"/>
      <c r="SPU25" s="1888"/>
      <c r="SPV25" s="1882"/>
      <c r="SPW25" s="1882"/>
      <c r="SPX25" s="1882"/>
      <c r="SPZ25" s="1887"/>
      <c r="SQA25" s="1888"/>
      <c r="SQB25" s="1882"/>
      <c r="SQC25" s="1882"/>
      <c r="SQD25" s="1882"/>
      <c r="SQF25" s="1887"/>
      <c r="SQG25" s="1888"/>
      <c r="SQH25" s="1882"/>
      <c r="SQI25" s="1882"/>
      <c r="SQJ25" s="1882"/>
      <c r="SQL25" s="1887"/>
      <c r="SQM25" s="1888"/>
      <c r="SQN25" s="1882"/>
      <c r="SQO25" s="1882"/>
      <c r="SQP25" s="1882"/>
      <c r="SQR25" s="1887"/>
      <c r="SQS25" s="1888"/>
      <c r="SQT25" s="1882"/>
      <c r="SQU25" s="1882"/>
      <c r="SQV25" s="1882"/>
      <c r="SQX25" s="1887"/>
      <c r="SQY25" s="1888"/>
      <c r="SQZ25" s="1882"/>
      <c r="SRA25" s="1882"/>
      <c r="SRB25" s="1882"/>
      <c r="SRD25" s="1887"/>
      <c r="SRE25" s="1888"/>
      <c r="SRF25" s="1882"/>
      <c r="SRG25" s="1882"/>
      <c r="SRH25" s="1882"/>
      <c r="SRJ25" s="1887"/>
      <c r="SRK25" s="1888"/>
      <c r="SRL25" s="1882"/>
      <c r="SRM25" s="1882"/>
      <c r="SRN25" s="1882"/>
      <c r="SRP25" s="1887"/>
      <c r="SRQ25" s="1888"/>
      <c r="SRR25" s="1882"/>
      <c r="SRS25" s="1882"/>
      <c r="SRT25" s="1882"/>
      <c r="SRV25" s="1887"/>
      <c r="SRW25" s="1888"/>
      <c r="SRX25" s="1882"/>
      <c r="SRY25" s="1882"/>
      <c r="SRZ25" s="1882"/>
      <c r="SSB25" s="1887"/>
      <c r="SSC25" s="1888"/>
      <c r="SSD25" s="1882"/>
      <c r="SSE25" s="1882"/>
      <c r="SSF25" s="1882"/>
      <c r="SSH25" s="1887"/>
      <c r="SSI25" s="1888"/>
      <c r="SSJ25" s="1882"/>
      <c r="SSK25" s="1882"/>
      <c r="SSL25" s="1882"/>
      <c r="SSN25" s="1887"/>
      <c r="SSO25" s="1888"/>
      <c r="SSP25" s="1882"/>
      <c r="SSQ25" s="1882"/>
      <c r="SSR25" s="1882"/>
      <c r="SST25" s="1887"/>
      <c r="SSU25" s="1888"/>
      <c r="SSV25" s="1882"/>
      <c r="SSW25" s="1882"/>
      <c r="SSX25" s="1882"/>
      <c r="SSZ25" s="1887"/>
      <c r="STA25" s="1888"/>
      <c r="STB25" s="1882"/>
      <c r="STC25" s="1882"/>
      <c r="STD25" s="1882"/>
      <c r="STF25" s="1887"/>
      <c r="STG25" s="1888"/>
      <c r="STH25" s="1882"/>
      <c r="STI25" s="1882"/>
      <c r="STJ25" s="1882"/>
      <c r="STL25" s="1887"/>
      <c r="STM25" s="1888"/>
      <c r="STN25" s="1882"/>
      <c r="STO25" s="1882"/>
      <c r="STP25" s="1882"/>
      <c r="STR25" s="1887"/>
      <c r="STS25" s="1888"/>
      <c r="STT25" s="1882"/>
      <c r="STU25" s="1882"/>
      <c r="STV25" s="1882"/>
      <c r="STX25" s="1887"/>
      <c r="STY25" s="1888"/>
      <c r="STZ25" s="1882"/>
      <c r="SUA25" s="1882"/>
      <c r="SUB25" s="1882"/>
      <c r="SUD25" s="1887"/>
      <c r="SUE25" s="1888"/>
      <c r="SUF25" s="1882"/>
      <c r="SUG25" s="1882"/>
      <c r="SUH25" s="1882"/>
      <c r="SUJ25" s="1887"/>
      <c r="SUK25" s="1888"/>
      <c r="SUL25" s="1882"/>
      <c r="SUM25" s="1882"/>
      <c r="SUN25" s="1882"/>
      <c r="SUP25" s="1887"/>
      <c r="SUQ25" s="1888"/>
      <c r="SUR25" s="1882"/>
      <c r="SUS25" s="1882"/>
      <c r="SUT25" s="1882"/>
      <c r="SUV25" s="1887"/>
      <c r="SUW25" s="1888"/>
      <c r="SUX25" s="1882"/>
      <c r="SUY25" s="1882"/>
      <c r="SUZ25" s="1882"/>
      <c r="SVB25" s="1887"/>
      <c r="SVC25" s="1888"/>
      <c r="SVD25" s="1882"/>
      <c r="SVE25" s="1882"/>
      <c r="SVF25" s="1882"/>
      <c r="SVH25" s="1887"/>
      <c r="SVI25" s="1888"/>
      <c r="SVJ25" s="1882"/>
      <c r="SVK25" s="1882"/>
      <c r="SVL25" s="1882"/>
      <c r="SVN25" s="1887"/>
      <c r="SVO25" s="1888"/>
      <c r="SVP25" s="1882"/>
      <c r="SVQ25" s="1882"/>
      <c r="SVR25" s="1882"/>
      <c r="SVT25" s="1887"/>
      <c r="SVU25" s="1888"/>
      <c r="SVV25" s="1882"/>
      <c r="SVW25" s="1882"/>
      <c r="SVX25" s="1882"/>
      <c r="SVZ25" s="1887"/>
      <c r="SWA25" s="1888"/>
      <c r="SWB25" s="1882"/>
      <c r="SWC25" s="1882"/>
      <c r="SWD25" s="1882"/>
      <c r="SWF25" s="1887"/>
      <c r="SWG25" s="1888"/>
      <c r="SWH25" s="1882"/>
      <c r="SWI25" s="1882"/>
      <c r="SWJ25" s="1882"/>
      <c r="SWL25" s="1887"/>
      <c r="SWM25" s="1888"/>
      <c r="SWN25" s="1882"/>
      <c r="SWO25" s="1882"/>
      <c r="SWP25" s="1882"/>
      <c r="SWR25" s="1887"/>
      <c r="SWS25" s="1888"/>
      <c r="SWT25" s="1882"/>
      <c r="SWU25" s="1882"/>
      <c r="SWV25" s="1882"/>
      <c r="SWX25" s="1887"/>
      <c r="SWY25" s="1888"/>
      <c r="SWZ25" s="1882"/>
      <c r="SXA25" s="1882"/>
      <c r="SXB25" s="1882"/>
      <c r="SXD25" s="1887"/>
      <c r="SXE25" s="1888"/>
      <c r="SXF25" s="1882"/>
      <c r="SXG25" s="1882"/>
      <c r="SXH25" s="1882"/>
      <c r="SXJ25" s="1887"/>
      <c r="SXK25" s="1888"/>
      <c r="SXL25" s="1882"/>
      <c r="SXM25" s="1882"/>
      <c r="SXN25" s="1882"/>
      <c r="SXP25" s="1887"/>
      <c r="SXQ25" s="1888"/>
      <c r="SXR25" s="1882"/>
      <c r="SXS25" s="1882"/>
      <c r="SXT25" s="1882"/>
      <c r="SXV25" s="1887"/>
      <c r="SXW25" s="1888"/>
      <c r="SXX25" s="1882"/>
      <c r="SXY25" s="1882"/>
      <c r="SXZ25" s="1882"/>
      <c r="SYB25" s="1887"/>
      <c r="SYC25" s="1888"/>
      <c r="SYD25" s="1882"/>
      <c r="SYE25" s="1882"/>
      <c r="SYF25" s="1882"/>
      <c r="SYH25" s="1887"/>
      <c r="SYI25" s="1888"/>
      <c r="SYJ25" s="1882"/>
      <c r="SYK25" s="1882"/>
      <c r="SYL25" s="1882"/>
      <c r="SYN25" s="1887"/>
      <c r="SYO25" s="1888"/>
      <c r="SYP25" s="1882"/>
      <c r="SYQ25" s="1882"/>
      <c r="SYR25" s="1882"/>
      <c r="SYT25" s="1887"/>
      <c r="SYU25" s="1888"/>
      <c r="SYV25" s="1882"/>
      <c r="SYW25" s="1882"/>
      <c r="SYX25" s="1882"/>
      <c r="SYZ25" s="1887"/>
      <c r="SZA25" s="1888"/>
      <c r="SZB25" s="1882"/>
      <c r="SZC25" s="1882"/>
      <c r="SZD25" s="1882"/>
      <c r="SZF25" s="1887"/>
      <c r="SZG25" s="1888"/>
      <c r="SZH25" s="1882"/>
      <c r="SZI25" s="1882"/>
      <c r="SZJ25" s="1882"/>
      <c r="SZL25" s="1887"/>
      <c r="SZM25" s="1888"/>
      <c r="SZN25" s="1882"/>
      <c r="SZO25" s="1882"/>
      <c r="SZP25" s="1882"/>
      <c r="SZR25" s="1887"/>
      <c r="SZS25" s="1888"/>
      <c r="SZT25" s="1882"/>
      <c r="SZU25" s="1882"/>
      <c r="SZV25" s="1882"/>
      <c r="SZX25" s="1887"/>
      <c r="SZY25" s="1888"/>
      <c r="SZZ25" s="1882"/>
      <c r="TAA25" s="1882"/>
      <c r="TAB25" s="1882"/>
      <c r="TAD25" s="1887"/>
      <c r="TAE25" s="1888"/>
      <c r="TAF25" s="1882"/>
      <c r="TAG25" s="1882"/>
      <c r="TAH25" s="1882"/>
      <c r="TAJ25" s="1887"/>
      <c r="TAK25" s="1888"/>
      <c r="TAL25" s="1882"/>
      <c r="TAM25" s="1882"/>
      <c r="TAN25" s="1882"/>
      <c r="TAP25" s="1887"/>
      <c r="TAQ25" s="1888"/>
      <c r="TAR25" s="1882"/>
      <c r="TAS25" s="1882"/>
      <c r="TAT25" s="1882"/>
      <c r="TAV25" s="1887"/>
      <c r="TAW25" s="1888"/>
      <c r="TAX25" s="1882"/>
      <c r="TAY25" s="1882"/>
      <c r="TAZ25" s="1882"/>
      <c r="TBB25" s="1887"/>
      <c r="TBC25" s="1888"/>
      <c r="TBD25" s="1882"/>
      <c r="TBE25" s="1882"/>
      <c r="TBF25" s="1882"/>
      <c r="TBH25" s="1887"/>
      <c r="TBI25" s="1888"/>
      <c r="TBJ25" s="1882"/>
      <c r="TBK25" s="1882"/>
      <c r="TBL25" s="1882"/>
      <c r="TBN25" s="1887"/>
      <c r="TBO25" s="1888"/>
      <c r="TBP25" s="1882"/>
      <c r="TBQ25" s="1882"/>
      <c r="TBR25" s="1882"/>
      <c r="TBT25" s="1887"/>
      <c r="TBU25" s="1888"/>
      <c r="TBV25" s="1882"/>
      <c r="TBW25" s="1882"/>
      <c r="TBX25" s="1882"/>
      <c r="TBZ25" s="1887"/>
      <c r="TCA25" s="1888"/>
      <c r="TCB25" s="1882"/>
      <c r="TCC25" s="1882"/>
      <c r="TCD25" s="1882"/>
      <c r="TCF25" s="1887"/>
      <c r="TCG25" s="1888"/>
      <c r="TCH25" s="1882"/>
      <c r="TCI25" s="1882"/>
      <c r="TCJ25" s="1882"/>
      <c r="TCL25" s="1887"/>
      <c r="TCM25" s="1888"/>
      <c r="TCN25" s="1882"/>
      <c r="TCO25" s="1882"/>
      <c r="TCP25" s="1882"/>
      <c r="TCR25" s="1887"/>
      <c r="TCS25" s="1888"/>
      <c r="TCT25" s="1882"/>
      <c r="TCU25" s="1882"/>
      <c r="TCV25" s="1882"/>
      <c r="TCX25" s="1887"/>
      <c r="TCY25" s="1888"/>
      <c r="TCZ25" s="1882"/>
      <c r="TDA25" s="1882"/>
      <c r="TDB25" s="1882"/>
      <c r="TDD25" s="1887"/>
      <c r="TDE25" s="1888"/>
      <c r="TDF25" s="1882"/>
      <c r="TDG25" s="1882"/>
      <c r="TDH25" s="1882"/>
      <c r="TDJ25" s="1887"/>
      <c r="TDK25" s="1888"/>
      <c r="TDL25" s="1882"/>
      <c r="TDM25" s="1882"/>
      <c r="TDN25" s="1882"/>
      <c r="TDP25" s="1887"/>
      <c r="TDQ25" s="1888"/>
      <c r="TDR25" s="1882"/>
      <c r="TDS25" s="1882"/>
      <c r="TDT25" s="1882"/>
      <c r="TDV25" s="1887"/>
      <c r="TDW25" s="1888"/>
      <c r="TDX25" s="1882"/>
      <c r="TDY25" s="1882"/>
      <c r="TDZ25" s="1882"/>
      <c r="TEB25" s="1887"/>
      <c r="TEC25" s="1888"/>
      <c r="TED25" s="1882"/>
      <c r="TEE25" s="1882"/>
      <c r="TEF25" s="1882"/>
      <c r="TEH25" s="1887"/>
      <c r="TEI25" s="1888"/>
      <c r="TEJ25" s="1882"/>
      <c r="TEK25" s="1882"/>
      <c r="TEL25" s="1882"/>
      <c r="TEN25" s="1887"/>
      <c r="TEO25" s="1888"/>
      <c r="TEP25" s="1882"/>
      <c r="TEQ25" s="1882"/>
      <c r="TER25" s="1882"/>
      <c r="TET25" s="1887"/>
      <c r="TEU25" s="1888"/>
      <c r="TEV25" s="1882"/>
      <c r="TEW25" s="1882"/>
      <c r="TEX25" s="1882"/>
      <c r="TEZ25" s="1887"/>
      <c r="TFA25" s="1888"/>
      <c r="TFB25" s="1882"/>
      <c r="TFC25" s="1882"/>
      <c r="TFD25" s="1882"/>
      <c r="TFF25" s="1887"/>
      <c r="TFG25" s="1888"/>
      <c r="TFH25" s="1882"/>
      <c r="TFI25" s="1882"/>
      <c r="TFJ25" s="1882"/>
      <c r="TFL25" s="1887"/>
      <c r="TFM25" s="1888"/>
      <c r="TFN25" s="1882"/>
      <c r="TFO25" s="1882"/>
      <c r="TFP25" s="1882"/>
      <c r="TFR25" s="1887"/>
      <c r="TFS25" s="1888"/>
      <c r="TFT25" s="1882"/>
      <c r="TFU25" s="1882"/>
      <c r="TFV25" s="1882"/>
      <c r="TFX25" s="1887"/>
      <c r="TFY25" s="1888"/>
      <c r="TFZ25" s="1882"/>
      <c r="TGA25" s="1882"/>
      <c r="TGB25" s="1882"/>
      <c r="TGD25" s="1887"/>
      <c r="TGE25" s="1888"/>
      <c r="TGF25" s="1882"/>
      <c r="TGG25" s="1882"/>
      <c r="TGH25" s="1882"/>
      <c r="TGJ25" s="1887"/>
      <c r="TGK25" s="1888"/>
      <c r="TGL25" s="1882"/>
      <c r="TGM25" s="1882"/>
      <c r="TGN25" s="1882"/>
      <c r="TGP25" s="1887"/>
      <c r="TGQ25" s="1888"/>
      <c r="TGR25" s="1882"/>
      <c r="TGS25" s="1882"/>
      <c r="TGT25" s="1882"/>
      <c r="TGV25" s="1887"/>
      <c r="TGW25" s="1888"/>
      <c r="TGX25" s="1882"/>
      <c r="TGY25" s="1882"/>
      <c r="TGZ25" s="1882"/>
      <c r="THB25" s="1887"/>
      <c r="THC25" s="1888"/>
      <c r="THD25" s="1882"/>
      <c r="THE25" s="1882"/>
      <c r="THF25" s="1882"/>
      <c r="THH25" s="1887"/>
      <c r="THI25" s="1888"/>
      <c r="THJ25" s="1882"/>
      <c r="THK25" s="1882"/>
      <c r="THL25" s="1882"/>
      <c r="THN25" s="1887"/>
      <c r="THO25" s="1888"/>
      <c r="THP25" s="1882"/>
      <c r="THQ25" s="1882"/>
      <c r="THR25" s="1882"/>
      <c r="THT25" s="1887"/>
      <c r="THU25" s="1888"/>
      <c r="THV25" s="1882"/>
      <c r="THW25" s="1882"/>
      <c r="THX25" s="1882"/>
      <c r="THZ25" s="1887"/>
      <c r="TIA25" s="1888"/>
      <c r="TIB25" s="1882"/>
      <c r="TIC25" s="1882"/>
      <c r="TID25" s="1882"/>
      <c r="TIF25" s="1887"/>
      <c r="TIG25" s="1888"/>
      <c r="TIH25" s="1882"/>
      <c r="TII25" s="1882"/>
      <c r="TIJ25" s="1882"/>
      <c r="TIL25" s="1887"/>
      <c r="TIM25" s="1888"/>
      <c r="TIN25" s="1882"/>
      <c r="TIO25" s="1882"/>
      <c r="TIP25" s="1882"/>
      <c r="TIR25" s="1887"/>
      <c r="TIS25" s="1888"/>
      <c r="TIT25" s="1882"/>
      <c r="TIU25" s="1882"/>
      <c r="TIV25" s="1882"/>
      <c r="TIX25" s="1887"/>
      <c r="TIY25" s="1888"/>
      <c r="TIZ25" s="1882"/>
      <c r="TJA25" s="1882"/>
      <c r="TJB25" s="1882"/>
      <c r="TJD25" s="1887"/>
      <c r="TJE25" s="1888"/>
      <c r="TJF25" s="1882"/>
      <c r="TJG25" s="1882"/>
      <c r="TJH25" s="1882"/>
      <c r="TJJ25" s="1887"/>
      <c r="TJK25" s="1888"/>
      <c r="TJL25" s="1882"/>
      <c r="TJM25" s="1882"/>
      <c r="TJN25" s="1882"/>
      <c r="TJP25" s="1887"/>
      <c r="TJQ25" s="1888"/>
      <c r="TJR25" s="1882"/>
      <c r="TJS25" s="1882"/>
      <c r="TJT25" s="1882"/>
      <c r="TJV25" s="1887"/>
      <c r="TJW25" s="1888"/>
      <c r="TJX25" s="1882"/>
      <c r="TJY25" s="1882"/>
      <c r="TJZ25" s="1882"/>
      <c r="TKB25" s="1887"/>
      <c r="TKC25" s="1888"/>
      <c r="TKD25" s="1882"/>
      <c r="TKE25" s="1882"/>
      <c r="TKF25" s="1882"/>
      <c r="TKH25" s="1887"/>
      <c r="TKI25" s="1888"/>
      <c r="TKJ25" s="1882"/>
      <c r="TKK25" s="1882"/>
      <c r="TKL25" s="1882"/>
      <c r="TKN25" s="1887"/>
      <c r="TKO25" s="1888"/>
      <c r="TKP25" s="1882"/>
      <c r="TKQ25" s="1882"/>
      <c r="TKR25" s="1882"/>
      <c r="TKT25" s="1887"/>
      <c r="TKU25" s="1888"/>
      <c r="TKV25" s="1882"/>
      <c r="TKW25" s="1882"/>
      <c r="TKX25" s="1882"/>
      <c r="TKZ25" s="1887"/>
      <c r="TLA25" s="1888"/>
      <c r="TLB25" s="1882"/>
      <c r="TLC25" s="1882"/>
      <c r="TLD25" s="1882"/>
      <c r="TLF25" s="1887"/>
      <c r="TLG25" s="1888"/>
      <c r="TLH25" s="1882"/>
      <c r="TLI25" s="1882"/>
      <c r="TLJ25" s="1882"/>
      <c r="TLL25" s="1887"/>
      <c r="TLM25" s="1888"/>
      <c r="TLN25" s="1882"/>
      <c r="TLO25" s="1882"/>
      <c r="TLP25" s="1882"/>
      <c r="TLR25" s="1887"/>
      <c r="TLS25" s="1888"/>
      <c r="TLT25" s="1882"/>
      <c r="TLU25" s="1882"/>
      <c r="TLV25" s="1882"/>
      <c r="TLX25" s="1887"/>
      <c r="TLY25" s="1888"/>
      <c r="TLZ25" s="1882"/>
      <c r="TMA25" s="1882"/>
      <c r="TMB25" s="1882"/>
      <c r="TMD25" s="1887"/>
      <c r="TME25" s="1888"/>
      <c r="TMF25" s="1882"/>
      <c r="TMG25" s="1882"/>
      <c r="TMH25" s="1882"/>
      <c r="TMJ25" s="1887"/>
      <c r="TMK25" s="1888"/>
      <c r="TML25" s="1882"/>
      <c r="TMM25" s="1882"/>
      <c r="TMN25" s="1882"/>
      <c r="TMP25" s="1887"/>
      <c r="TMQ25" s="1888"/>
      <c r="TMR25" s="1882"/>
      <c r="TMS25" s="1882"/>
      <c r="TMT25" s="1882"/>
      <c r="TMV25" s="1887"/>
      <c r="TMW25" s="1888"/>
      <c r="TMX25" s="1882"/>
      <c r="TMY25" s="1882"/>
      <c r="TMZ25" s="1882"/>
      <c r="TNB25" s="1887"/>
      <c r="TNC25" s="1888"/>
      <c r="TND25" s="1882"/>
      <c r="TNE25" s="1882"/>
      <c r="TNF25" s="1882"/>
      <c r="TNH25" s="1887"/>
      <c r="TNI25" s="1888"/>
      <c r="TNJ25" s="1882"/>
      <c r="TNK25" s="1882"/>
      <c r="TNL25" s="1882"/>
      <c r="TNN25" s="1887"/>
      <c r="TNO25" s="1888"/>
      <c r="TNP25" s="1882"/>
      <c r="TNQ25" s="1882"/>
      <c r="TNR25" s="1882"/>
      <c r="TNT25" s="1887"/>
      <c r="TNU25" s="1888"/>
      <c r="TNV25" s="1882"/>
      <c r="TNW25" s="1882"/>
      <c r="TNX25" s="1882"/>
      <c r="TNZ25" s="1887"/>
      <c r="TOA25" s="1888"/>
      <c r="TOB25" s="1882"/>
      <c r="TOC25" s="1882"/>
      <c r="TOD25" s="1882"/>
      <c r="TOF25" s="1887"/>
      <c r="TOG25" s="1888"/>
      <c r="TOH25" s="1882"/>
      <c r="TOI25" s="1882"/>
      <c r="TOJ25" s="1882"/>
      <c r="TOL25" s="1887"/>
      <c r="TOM25" s="1888"/>
      <c r="TON25" s="1882"/>
      <c r="TOO25" s="1882"/>
      <c r="TOP25" s="1882"/>
      <c r="TOR25" s="1887"/>
      <c r="TOS25" s="1888"/>
      <c r="TOT25" s="1882"/>
      <c r="TOU25" s="1882"/>
      <c r="TOV25" s="1882"/>
      <c r="TOX25" s="1887"/>
      <c r="TOY25" s="1888"/>
      <c r="TOZ25" s="1882"/>
      <c r="TPA25" s="1882"/>
      <c r="TPB25" s="1882"/>
      <c r="TPD25" s="1887"/>
      <c r="TPE25" s="1888"/>
      <c r="TPF25" s="1882"/>
      <c r="TPG25" s="1882"/>
      <c r="TPH25" s="1882"/>
      <c r="TPJ25" s="1887"/>
      <c r="TPK25" s="1888"/>
      <c r="TPL25" s="1882"/>
      <c r="TPM25" s="1882"/>
      <c r="TPN25" s="1882"/>
      <c r="TPP25" s="1887"/>
      <c r="TPQ25" s="1888"/>
      <c r="TPR25" s="1882"/>
      <c r="TPS25" s="1882"/>
      <c r="TPT25" s="1882"/>
      <c r="TPV25" s="1887"/>
      <c r="TPW25" s="1888"/>
      <c r="TPX25" s="1882"/>
      <c r="TPY25" s="1882"/>
      <c r="TPZ25" s="1882"/>
      <c r="TQB25" s="1887"/>
      <c r="TQC25" s="1888"/>
      <c r="TQD25" s="1882"/>
      <c r="TQE25" s="1882"/>
      <c r="TQF25" s="1882"/>
      <c r="TQH25" s="1887"/>
      <c r="TQI25" s="1888"/>
      <c r="TQJ25" s="1882"/>
      <c r="TQK25" s="1882"/>
      <c r="TQL25" s="1882"/>
      <c r="TQN25" s="1887"/>
      <c r="TQO25" s="1888"/>
      <c r="TQP25" s="1882"/>
      <c r="TQQ25" s="1882"/>
      <c r="TQR25" s="1882"/>
      <c r="TQT25" s="1887"/>
      <c r="TQU25" s="1888"/>
      <c r="TQV25" s="1882"/>
      <c r="TQW25" s="1882"/>
      <c r="TQX25" s="1882"/>
      <c r="TQZ25" s="1887"/>
      <c r="TRA25" s="1888"/>
      <c r="TRB25" s="1882"/>
      <c r="TRC25" s="1882"/>
      <c r="TRD25" s="1882"/>
      <c r="TRF25" s="1887"/>
      <c r="TRG25" s="1888"/>
      <c r="TRH25" s="1882"/>
      <c r="TRI25" s="1882"/>
      <c r="TRJ25" s="1882"/>
      <c r="TRL25" s="1887"/>
      <c r="TRM25" s="1888"/>
      <c r="TRN25" s="1882"/>
      <c r="TRO25" s="1882"/>
      <c r="TRP25" s="1882"/>
      <c r="TRR25" s="1887"/>
      <c r="TRS25" s="1888"/>
      <c r="TRT25" s="1882"/>
      <c r="TRU25" s="1882"/>
      <c r="TRV25" s="1882"/>
      <c r="TRX25" s="1887"/>
      <c r="TRY25" s="1888"/>
      <c r="TRZ25" s="1882"/>
      <c r="TSA25" s="1882"/>
      <c r="TSB25" s="1882"/>
      <c r="TSD25" s="1887"/>
      <c r="TSE25" s="1888"/>
      <c r="TSF25" s="1882"/>
      <c r="TSG25" s="1882"/>
      <c r="TSH25" s="1882"/>
      <c r="TSJ25" s="1887"/>
      <c r="TSK25" s="1888"/>
      <c r="TSL25" s="1882"/>
      <c r="TSM25" s="1882"/>
      <c r="TSN25" s="1882"/>
      <c r="TSP25" s="1887"/>
      <c r="TSQ25" s="1888"/>
      <c r="TSR25" s="1882"/>
      <c r="TSS25" s="1882"/>
      <c r="TST25" s="1882"/>
      <c r="TSV25" s="1887"/>
      <c r="TSW25" s="1888"/>
      <c r="TSX25" s="1882"/>
      <c r="TSY25" s="1882"/>
      <c r="TSZ25" s="1882"/>
      <c r="TTB25" s="1887"/>
      <c r="TTC25" s="1888"/>
      <c r="TTD25" s="1882"/>
      <c r="TTE25" s="1882"/>
      <c r="TTF25" s="1882"/>
      <c r="TTH25" s="1887"/>
      <c r="TTI25" s="1888"/>
      <c r="TTJ25" s="1882"/>
      <c r="TTK25" s="1882"/>
      <c r="TTL25" s="1882"/>
      <c r="TTN25" s="1887"/>
      <c r="TTO25" s="1888"/>
      <c r="TTP25" s="1882"/>
      <c r="TTQ25" s="1882"/>
      <c r="TTR25" s="1882"/>
      <c r="TTT25" s="1887"/>
      <c r="TTU25" s="1888"/>
      <c r="TTV25" s="1882"/>
      <c r="TTW25" s="1882"/>
      <c r="TTX25" s="1882"/>
      <c r="TTZ25" s="1887"/>
      <c r="TUA25" s="1888"/>
      <c r="TUB25" s="1882"/>
      <c r="TUC25" s="1882"/>
      <c r="TUD25" s="1882"/>
      <c r="TUF25" s="1887"/>
      <c r="TUG25" s="1888"/>
      <c r="TUH25" s="1882"/>
      <c r="TUI25" s="1882"/>
      <c r="TUJ25" s="1882"/>
      <c r="TUL25" s="1887"/>
      <c r="TUM25" s="1888"/>
      <c r="TUN25" s="1882"/>
      <c r="TUO25" s="1882"/>
      <c r="TUP25" s="1882"/>
      <c r="TUR25" s="1887"/>
      <c r="TUS25" s="1888"/>
      <c r="TUT25" s="1882"/>
      <c r="TUU25" s="1882"/>
      <c r="TUV25" s="1882"/>
      <c r="TUX25" s="1887"/>
      <c r="TUY25" s="1888"/>
      <c r="TUZ25" s="1882"/>
      <c r="TVA25" s="1882"/>
      <c r="TVB25" s="1882"/>
      <c r="TVD25" s="1887"/>
      <c r="TVE25" s="1888"/>
      <c r="TVF25" s="1882"/>
      <c r="TVG25" s="1882"/>
      <c r="TVH25" s="1882"/>
      <c r="TVJ25" s="1887"/>
      <c r="TVK25" s="1888"/>
      <c r="TVL25" s="1882"/>
      <c r="TVM25" s="1882"/>
      <c r="TVN25" s="1882"/>
      <c r="TVP25" s="1887"/>
      <c r="TVQ25" s="1888"/>
      <c r="TVR25" s="1882"/>
      <c r="TVS25" s="1882"/>
      <c r="TVT25" s="1882"/>
      <c r="TVV25" s="1887"/>
      <c r="TVW25" s="1888"/>
      <c r="TVX25" s="1882"/>
      <c r="TVY25" s="1882"/>
      <c r="TVZ25" s="1882"/>
      <c r="TWB25" s="1887"/>
      <c r="TWC25" s="1888"/>
      <c r="TWD25" s="1882"/>
      <c r="TWE25" s="1882"/>
      <c r="TWF25" s="1882"/>
      <c r="TWH25" s="1887"/>
      <c r="TWI25" s="1888"/>
      <c r="TWJ25" s="1882"/>
      <c r="TWK25" s="1882"/>
      <c r="TWL25" s="1882"/>
      <c r="TWN25" s="1887"/>
      <c r="TWO25" s="1888"/>
      <c r="TWP25" s="1882"/>
      <c r="TWQ25" s="1882"/>
      <c r="TWR25" s="1882"/>
      <c r="TWT25" s="1887"/>
      <c r="TWU25" s="1888"/>
      <c r="TWV25" s="1882"/>
      <c r="TWW25" s="1882"/>
      <c r="TWX25" s="1882"/>
      <c r="TWZ25" s="1887"/>
      <c r="TXA25" s="1888"/>
      <c r="TXB25" s="1882"/>
      <c r="TXC25" s="1882"/>
      <c r="TXD25" s="1882"/>
      <c r="TXF25" s="1887"/>
      <c r="TXG25" s="1888"/>
      <c r="TXH25" s="1882"/>
      <c r="TXI25" s="1882"/>
      <c r="TXJ25" s="1882"/>
      <c r="TXL25" s="1887"/>
      <c r="TXM25" s="1888"/>
      <c r="TXN25" s="1882"/>
      <c r="TXO25" s="1882"/>
      <c r="TXP25" s="1882"/>
      <c r="TXR25" s="1887"/>
      <c r="TXS25" s="1888"/>
      <c r="TXT25" s="1882"/>
      <c r="TXU25" s="1882"/>
      <c r="TXV25" s="1882"/>
      <c r="TXX25" s="1887"/>
      <c r="TXY25" s="1888"/>
      <c r="TXZ25" s="1882"/>
      <c r="TYA25" s="1882"/>
      <c r="TYB25" s="1882"/>
      <c r="TYD25" s="1887"/>
      <c r="TYE25" s="1888"/>
      <c r="TYF25" s="1882"/>
      <c r="TYG25" s="1882"/>
      <c r="TYH25" s="1882"/>
      <c r="TYJ25" s="1887"/>
      <c r="TYK25" s="1888"/>
      <c r="TYL25" s="1882"/>
      <c r="TYM25" s="1882"/>
      <c r="TYN25" s="1882"/>
      <c r="TYP25" s="1887"/>
      <c r="TYQ25" s="1888"/>
      <c r="TYR25" s="1882"/>
      <c r="TYS25" s="1882"/>
      <c r="TYT25" s="1882"/>
      <c r="TYV25" s="1887"/>
      <c r="TYW25" s="1888"/>
      <c r="TYX25" s="1882"/>
      <c r="TYY25" s="1882"/>
      <c r="TYZ25" s="1882"/>
      <c r="TZB25" s="1887"/>
      <c r="TZC25" s="1888"/>
      <c r="TZD25" s="1882"/>
      <c r="TZE25" s="1882"/>
      <c r="TZF25" s="1882"/>
      <c r="TZH25" s="1887"/>
      <c r="TZI25" s="1888"/>
      <c r="TZJ25" s="1882"/>
      <c r="TZK25" s="1882"/>
      <c r="TZL25" s="1882"/>
      <c r="TZN25" s="1887"/>
      <c r="TZO25" s="1888"/>
      <c r="TZP25" s="1882"/>
      <c r="TZQ25" s="1882"/>
      <c r="TZR25" s="1882"/>
      <c r="TZT25" s="1887"/>
      <c r="TZU25" s="1888"/>
      <c r="TZV25" s="1882"/>
      <c r="TZW25" s="1882"/>
      <c r="TZX25" s="1882"/>
      <c r="TZZ25" s="1887"/>
      <c r="UAA25" s="1888"/>
      <c r="UAB25" s="1882"/>
      <c r="UAC25" s="1882"/>
      <c r="UAD25" s="1882"/>
      <c r="UAF25" s="1887"/>
      <c r="UAG25" s="1888"/>
      <c r="UAH25" s="1882"/>
      <c r="UAI25" s="1882"/>
      <c r="UAJ25" s="1882"/>
      <c r="UAL25" s="1887"/>
      <c r="UAM25" s="1888"/>
      <c r="UAN25" s="1882"/>
      <c r="UAO25" s="1882"/>
      <c r="UAP25" s="1882"/>
      <c r="UAR25" s="1887"/>
      <c r="UAS25" s="1888"/>
      <c r="UAT25" s="1882"/>
      <c r="UAU25" s="1882"/>
      <c r="UAV25" s="1882"/>
      <c r="UAX25" s="1887"/>
      <c r="UAY25" s="1888"/>
      <c r="UAZ25" s="1882"/>
      <c r="UBA25" s="1882"/>
      <c r="UBB25" s="1882"/>
      <c r="UBD25" s="1887"/>
      <c r="UBE25" s="1888"/>
      <c r="UBF25" s="1882"/>
      <c r="UBG25" s="1882"/>
      <c r="UBH25" s="1882"/>
      <c r="UBJ25" s="1887"/>
      <c r="UBK25" s="1888"/>
      <c r="UBL25" s="1882"/>
      <c r="UBM25" s="1882"/>
      <c r="UBN25" s="1882"/>
      <c r="UBP25" s="1887"/>
      <c r="UBQ25" s="1888"/>
      <c r="UBR25" s="1882"/>
      <c r="UBS25" s="1882"/>
      <c r="UBT25" s="1882"/>
      <c r="UBV25" s="1887"/>
      <c r="UBW25" s="1888"/>
      <c r="UBX25" s="1882"/>
      <c r="UBY25" s="1882"/>
      <c r="UBZ25" s="1882"/>
      <c r="UCB25" s="1887"/>
      <c r="UCC25" s="1888"/>
      <c r="UCD25" s="1882"/>
      <c r="UCE25" s="1882"/>
      <c r="UCF25" s="1882"/>
      <c r="UCH25" s="1887"/>
      <c r="UCI25" s="1888"/>
      <c r="UCJ25" s="1882"/>
      <c r="UCK25" s="1882"/>
      <c r="UCL25" s="1882"/>
      <c r="UCN25" s="1887"/>
      <c r="UCO25" s="1888"/>
      <c r="UCP25" s="1882"/>
      <c r="UCQ25" s="1882"/>
      <c r="UCR25" s="1882"/>
      <c r="UCT25" s="1887"/>
      <c r="UCU25" s="1888"/>
      <c r="UCV25" s="1882"/>
      <c r="UCW25" s="1882"/>
      <c r="UCX25" s="1882"/>
      <c r="UCZ25" s="1887"/>
      <c r="UDA25" s="1888"/>
      <c r="UDB25" s="1882"/>
      <c r="UDC25" s="1882"/>
      <c r="UDD25" s="1882"/>
      <c r="UDF25" s="1887"/>
      <c r="UDG25" s="1888"/>
      <c r="UDH25" s="1882"/>
      <c r="UDI25" s="1882"/>
      <c r="UDJ25" s="1882"/>
      <c r="UDL25" s="1887"/>
      <c r="UDM25" s="1888"/>
      <c r="UDN25" s="1882"/>
      <c r="UDO25" s="1882"/>
      <c r="UDP25" s="1882"/>
      <c r="UDR25" s="1887"/>
      <c r="UDS25" s="1888"/>
      <c r="UDT25" s="1882"/>
      <c r="UDU25" s="1882"/>
      <c r="UDV25" s="1882"/>
      <c r="UDX25" s="1887"/>
      <c r="UDY25" s="1888"/>
      <c r="UDZ25" s="1882"/>
      <c r="UEA25" s="1882"/>
      <c r="UEB25" s="1882"/>
      <c r="UED25" s="1887"/>
      <c r="UEE25" s="1888"/>
      <c r="UEF25" s="1882"/>
      <c r="UEG25" s="1882"/>
      <c r="UEH25" s="1882"/>
      <c r="UEJ25" s="1887"/>
      <c r="UEK25" s="1888"/>
      <c r="UEL25" s="1882"/>
      <c r="UEM25" s="1882"/>
      <c r="UEN25" s="1882"/>
      <c r="UEP25" s="1887"/>
      <c r="UEQ25" s="1888"/>
      <c r="UER25" s="1882"/>
      <c r="UES25" s="1882"/>
      <c r="UET25" s="1882"/>
      <c r="UEV25" s="1887"/>
      <c r="UEW25" s="1888"/>
      <c r="UEX25" s="1882"/>
      <c r="UEY25" s="1882"/>
      <c r="UEZ25" s="1882"/>
      <c r="UFB25" s="1887"/>
      <c r="UFC25" s="1888"/>
      <c r="UFD25" s="1882"/>
      <c r="UFE25" s="1882"/>
      <c r="UFF25" s="1882"/>
      <c r="UFH25" s="1887"/>
      <c r="UFI25" s="1888"/>
      <c r="UFJ25" s="1882"/>
      <c r="UFK25" s="1882"/>
      <c r="UFL25" s="1882"/>
      <c r="UFN25" s="1887"/>
      <c r="UFO25" s="1888"/>
      <c r="UFP25" s="1882"/>
      <c r="UFQ25" s="1882"/>
      <c r="UFR25" s="1882"/>
      <c r="UFT25" s="1887"/>
      <c r="UFU25" s="1888"/>
      <c r="UFV25" s="1882"/>
      <c r="UFW25" s="1882"/>
      <c r="UFX25" s="1882"/>
      <c r="UFZ25" s="1887"/>
      <c r="UGA25" s="1888"/>
      <c r="UGB25" s="1882"/>
      <c r="UGC25" s="1882"/>
      <c r="UGD25" s="1882"/>
      <c r="UGF25" s="1887"/>
      <c r="UGG25" s="1888"/>
      <c r="UGH25" s="1882"/>
      <c r="UGI25" s="1882"/>
      <c r="UGJ25" s="1882"/>
      <c r="UGL25" s="1887"/>
      <c r="UGM25" s="1888"/>
      <c r="UGN25" s="1882"/>
      <c r="UGO25" s="1882"/>
      <c r="UGP25" s="1882"/>
      <c r="UGR25" s="1887"/>
      <c r="UGS25" s="1888"/>
      <c r="UGT25" s="1882"/>
      <c r="UGU25" s="1882"/>
      <c r="UGV25" s="1882"/>
      <c r="UGX25" s="1887"/>
      <c r="UGY25" s="1888"/>
      <c r="UGZ25" s="1882"/>
      <c r="UHA25" s="1882"/>
      <c r="UHB25" s="1882"/>
      <c r="UHD25" s="1887"/>
      <c r="UHE25" s="1888"/>
      <c r="UHF25" s="1882"/>
      <c r="UHG25" s="1882"/>
      <c r="UHH25" s="1882"/>
      <c r="UHJ25" s="1887"/>
      <c r="UHK25" s="1888"/>
      <c r="UHL25" s="1882"/>
      <c r="UHM25" s="1882"/>
      <c r="UHN25" s="1882"/>
      <c r="UHP25" s="1887"/>
      <c r="UHQ25" s="1888"/>
      <c r="UHR25" s="1882"/>
      <c r="UHS25" s="1882"/>
      <c r="UHT25" s="1882"/>
      <c r="UHV25" s="1887"/>
      <c r="UHW25" s="1888"/>
      <c r="UHX25" s="1882"/>
      <c r="UHY25" s="1882"/>
      <c r="UHZ25" s="1882"/>
      <c r="UIB25" s="1887"/>
      <c r="UIC25" s="1888"/>
      <c r="UID25" s="1882"/>
      <c r="UIE25" s="1882"/>
      <c r="UIF25" s="1882"/>
      <c r="UIH25" s="1887"/>
      <c r="UII25" s="1888"/>
      <c r="UIJ25" s="1882"/>
      <c r="UIK25" s="1882"/>
      <c r="UIL25" s="1882"/>
      <c r="UIN25" s="1887"/>
      <c r="UIO25" s="1888"/>
      <c r="UIP25" s="1882"/>
      <c r="UIQ25" s="1882"/>
      <c r="UIR25" s="1882"/>
      <c r="UIT25" s="1887"/>
      <c r="UIU25" s="1888"/>
      <c r="UIV25" s="1882"/>
      <c r="UIW25" s="1882"/>
      <c r="UIX25" s="1882"/>
      <c r="UIZ25" s="1887"/>
      <c r="UJA25" s="1888"/>
      <c r="UJB25" s="1882"/>
      <c r="UJC25" s="1882"/>
      <c r="UJD25" s="1882"/>
      <c r="UJF25" s="1887"/>
      <c r="UJG25" s="1888"/>
      <c r="UJH25" s="1882"/>
      <c r="UJI25" s="1882"/>
      <c r="UJJ25" s="1882"/>
      <c r="UJL25" s="1887"/>
      <c r="UJM25" s="1888"/>
      <c r="UJN25" s="1882"/>
      <c r="UJO25" s="1882"/>
      <c r="UJP25" s="1882"/>
      <c r="UJR25" s="1887"/>
      <c r="UJS25" s="1888"/>
      <c r="UJT25" s="1882"/>
      <c r="UJU25" s="1882"/>
      <c r="UJV25" s="1882"/>
      <c r="UJX25" s="1887"/>
      <c r="UJY25" s="1888"/>
      <c r="UJZ25" s="1882"/>
      <c r="UKA25" s="1882"/>
      <c r="UKB25" s="1882"/>
      <c r="UKD25" s="1887"/>
      <c r="UKE25" s="1888"/>
      <c r="UKF25" s="1882"/>
      <c r="UKG25" s="1882"/>
      <c r="UKH25" s="1882"/>
      <c r="UKJ25" s="1887"/>
      <c r="UKK25" s="1888"/>
      <c r="UKL25" s="1882"/>
      <c r="UKM25" s="1882"/>
      <c r="UKN25" s="1882"/>
      <c r="UKP25" s="1887"/>
      <c r="UKQ25" s="1888"/>
      <c r="UKR25" s="1882"/>
      <c r="UKS25" s="1882"/>
      <c r="UKT25" s="1882"/>
      <c r="UKV25" s="1887"/>
      <c r="UKW25" s="1888"/>
      <c r="UKX25" s="1882"/>
      <c r="UKY25" s="1882"/>
      <c r="UKZ25" s="1882"/>
      <c r="ULB25" s="1887"/>
      <c r="ULC25" s="1888"/>
      <c r="ULD25" s="1882"/>
      <c r="ULE25" s="1882"/>
      <c r="ULF25" s="1882"/>
      <c r="ULH25" s="1887"/>
      <c r="ULI25" s="1888"/>
      <c r="ULJ25" s="1882"/>
      <c r="ULK25" s="1882"/>
      <c r="ULL25" s="1882"/>
      <c r="ULN25" s="1887"/>
      <c r="ULO25" s="1888"/>
      <c r="ULP25" s="1882"/>
      <c r="ULQ25" s="1882"/>
      <c r="ULR25" s="1882"/>
      <c r="ULT25" s="1887"/>
      <c r="ULU25" s="1888"/>
      <c r="ULV25" s="1882"/>
      <c r="ULW25" s="1882"/>
      <c r="ULX25" s="1882"/>
      <c r="ULZ25" s="1887"/>
      <c r="UMA25" s="1888"/>
      <c r="UMB25" s="1882"/>
      <c r="UMC25" s="1882"/>
      <c r="UMD25" s="1882"/>
      <c r="UMF25" s="1887"/>
      <c r="UMG25" s="1888"/>
      <c r="UMH25" s="1882"/>
      <c r="UMI25" s="1882"/>
      <c r="UMJ25" s="1882"/>
      <c r="UML25" s="1887"/>
      <c r="UMM25" s="1888"/>
      <c r="UMN25" s="1882"/>
      <c r="UMO25" s="1882"/>
      <c r="UMP25" s="1882"/>
      <c r="UMR25" s="1887"/>
      <c r="UMS25" s="1888"/>
      <c r="UMT25" s="1882"/>
      <c r="UMU25" s="1882"/>
      <c r="UMV25" s="1882"/>
      <c r="UMX25" s="1887"/>
      <c r="UMY25" s="1888"/>
      <c r="UMZ25" s="1882"/>
      <c r="UNA25" s="1882"/>
      <c r="UNB25" s="1882"/>
      <c r="UND25" s="1887"/>
      <c r="UNE25" s="1888"/>
      <c r="UNF25" s="1882"/>
      <c r="UNG25" s="1882"/>
      <c r="UNH25" s="1882"/>
      <c r="UNJ25" s="1887"/>
      <c r="UNK25" s="1888"/>
      <c r="UNL25" s="1882"/>
      <c r="UNM25" s="1882"/>
      <c r="UNN25" s="1882"/>
      <c r="UNP25" s="1887"/>
      <c r="UNQ25" s="1888"/>
      <c r="UNR25" s="1882"/>
      <c r="UNS25" s="1882"/>
      <c r="UNT25" s="1882"/>
      <c r="UNV25" s="1887"/>
      <c r="UNW25" s="1888"/>
      <c r="UNX25" s="1882"/>
      <c r="UNY25" s="1882"/>
      <c r="UNZ25" s="1882"/>
      <c r="UOB25" s="1887"/>
      <c r="UOC25" s="1888"/>
      <c r="UOD25" s="1882"/>
      <c r="UOE25" s="1882"/>
      <c r="UOF25" s="1882"/>
      <c r="UOH25" s="1887"/>
      <c r="UOI25" s="1888"/>
      <c r="UOJ25" s="1882"/>
      <c r="UOK25" s="1882"/>
      <c r="UOL25" s="1882"/>
      <c r="UON25" s="1887"/>
      <c r="UOO25" s="1888"/>
      <c r="UOP25" s="1882"/>
      <c r="UOQ25" s="1882"/>
      <c r="UOR25" s="1882"/>
      <c r="UOT25" s="1887"/>
      <c r="UOU25" s="1888"/>
      <c r="UOV25" s="1882"/>
      <c r="UOW25" s="1882"/>
      <c r="UOX25" s="1882"/>
      <c r="UOZ25" s="1887"/>
      <c r="UPA25" s="1888"/>
      <c r="UPB25" s="1882"/>
      <c r="UPC25" s="1882"/>
      <c r="UPD25" s="1882"/>
      <c r="UPF25" s="1887"/>
      <c r="UPG25" s="1888"/>
      <c r="UPH25" s="1882"/>
      <c r="UPI25" s="1882"/>
      <c r="UPJ25" s="1882"/>
      <c r="UPL25" s="1887"/>
      <c r="UPM25" s="1888"/>
      <c r="UPN25" s="1882"/>
      <c r="UPO25" s="1882"/>
      <c r="UPP25" s="1882"/>
      <c r="UPR25" s="1887"/>
      <c r="UPS25" s="1888"/>
      <c r="UPT25" s="1882"/>
      <c r="UPU25" s="1882"/>
      <c r="UPV25" s="1882"/>
      <c r="UPX25" s="1887"/>
      <c r="UPY25" s="1888"/>
      <c r="UPZ25" s="1882"/>
      <c r="UQA25" s="1882"/>
      <c r="UQB25" s="1882"/>
      <c r="UQD25" s="1887"/>
      <c r="UQE25" s="1888"/>
      <c r="UQF25" s="1882"/>
      <c r="UQG25" s="1882"/>
      <c r="UQH25" s="1882"/>
      <c r="UQJ25" s="1887"/>
      <c r="UQK25" s="1888"/>
      <c r="UQL25" s="1882"/>
      <c r="UQM25" s="1882"/>
      <c r="UQN25" s="1882"/>
      <c r="UQP25" s="1887"/>
      <c r="UQQ25" s="1888"/>
      <c r="UQR25" s="1882"/>
      <c r="UQS25" s="1882"/>
      <c r="UQT25" s="1882"/>
      <c r="UQV25" s="1887"/>
      <c r="UQW25" s="1888"/>
      <c r="UQX25" s="1882"/>
      <c r="UQY25" s="1882"/>
      <c r="UQZ25" s="1882"/>
      <c r="URB25" s="1887"/>
      <c r="URC25" s="1888"/>
      <c r="URD25" s="1882"/>
      <c r="URE25" s="1882"/>
      <c r="URF25" s="1882"/>
      <c r="URH25" s="1887"/>
      <c r="URI25" s="1888"/>
      <c r="URJ25" s="1882"/>
      <c r="URK25" s="1882"/>
      <c r="URL25" s="1882"/>
      <c r="URN25" s="1887"/>
      <c r="URO25" s="1888"/>
      <c r="URP25" s="1882"/>
      <c r="URQ25" s="1882"/>
      <c r="URR25" s="1882"/>
      <c r="URT25" s="1887"/>
      <c r="URU25" s="1888"/>
      <c r="URV25" s="1882"/>
      <c r="URW25" s="1882"/>
      <c r="URX25" s="1882"/>
      <c r="URZ25" s="1887"/>
      <c r="USA25" s="1888"/>
      <c r="USB25" s="1882"/>
      <c r="USC25" s="1882"/>
      <c r="USD25" s="1882"/>
      <c r="USF25" s="1887"/>
      <c r="USG25" s="1888"/>
      <c r="USH25" s="1882"/>
      <c r="USI25" s="1882"/>
      <c r="USJ25" s="1882"/>
      <c r="USL25" s="1887"/>
      <c r="USM25" s="1888"/>
      <c r="USN25" s="1882"/>
      <c r="USO25" s="1882"/>
      <c r="USP25" s="1882"/>
      <c r="USR25" s="1887"/>
      <c r="USS25" s="1888"/>
      <c r="UST25" s="1882"/>
      <c r="USU25" s="1882"/>
      <c r="USV25" s="1882"/>
      <c r="USX25" s="1887"/>
      <c r="USY25" s="1888"/>
      <c r="USZ25" s="1882"/>
      <c r="UTA25" s="1882"/>
      <c r="UTB25" s="1882"/>
      <c r="UTD25" s="1887"/>
      <c r="UTE25" s="1888"/>
      <c r="UTF25" s="1882"/>
      <c r="UTG25" s="1882"/>
      <c r="UTH25" s="1882"/>
      <c r="UTJ25" s="1887"/>
      <c r="UTK25" s="1888"/>
      <c r="UTL25" s="1882"/>
      <c r="UTM25" s="1882"/>
      <c r="UTN25" s="1882"/>
      <c r="UTP25" s="1887"/>
      <c r="UTQ25" s="1888"/>
      <c r="UTR25" s="1882"/>
      <c r="UTS25" s="1882"/>
      <c r="UTT25" s="1882"/>
      <c r="UTV25" s="1887"/>
      <c r="UTW25" s="1888"/>
      <c r="UTX25" s="1882"/>
      <c r="UTY25" s="1882"/>
      <c r="UTZ25" s="1882"/>
      <c r="UUB25" s="1887"/>
      <c r="UUC25" s="1888"/>
      <c r="UUD25" s="1882"/>
      <c r="UUE25" s="1882"/>
      <c r="UUF25" s="1882"/>
      <c r="UUH25" s="1887"/>
      <c r="UUI25" s="1888"/>
      <c r="UUJ25" s="1882"/>
      <c r="UUK25" s="1882"/>
      <c r="UUL25" s="1882"/>
      <c r="UUN25" s="1887"/>
      <c r="UUO25" s="1888"/>
      <c r="UUP25" s="1882"/>
      <c r="UUQ25" s="1882"/>
      <c r="UUR25" s="1882"/>
      <c r="UUT25" s="1887"/>
      <c r="UUU25" s="1888"/>
      <c r="UUV25" s="1882"/>
      <c r="UUW25" s="1882"/>
      <c r="UUX25" s="1882"/>
      <c r="UUZ25" s="1887"/>
      <c r="UVA25" s="1888"/>
      <c r="UVB25" s="1882"/>
      <c r="UVC25" s="1882"/>
      <c r="UVD25" s="1882"/>
      <c r="UVF25" s="1887"/>
      <c r="UVG25" s="1888"/>
      <c r="UVH25" s="1882"/>
      <c r="UVI25" s="1882"/>
      <c r="UVJ25" s="1882"/>
      <c r="UVL25" s="1887"/>
      <c r="UVM25" s="1888"/>
      <c r="UVN25" s="1882"/>
      <c r="UVO25" s="1882"/>
      <c r="UVP25" s="1882"/>
      <c r="UVR25" s="1887"/>
      <c r="UVS25" s="1888"/>
      <c r="UVT25" s="1882"/>
      <c r="UVU25" s="1882"/>
      <c r="UVV25" s="1882"/>
      <c r="UVX25" s="1887"/>
      <c r="UVY25" s="1888"/>
      <c r="UVZ25" s="1882"/>
      <c r="UWA25" s="1882"/>
      <c r="UWB25" s="1882"/>
      <c r="UWD25" s="1887"/>
      <c r="UWE25" s="1888"/>
      <c r="UWF25" s="1882"/>
      <c r="UWG25" s="1882"/>
      <c r="UWH25" s="1882"/>
      <c r="UWJ25" s="1887"/>
      <c r="UWK25" s="1888"/>
      <c r="UWL25" s="1882"/>
      <c r="UWM25" s="1882"/>
      <c r="UWN25" s="1882"/>
      <c r="UWP25" s="1887"/>
      <c r="UWQ25" s="1888"/>
      <c r="UWR25" s="1882"/>
      <c r="UWS25" s="1882"/>
      <c r="UWT25" s="1882"/>
      <c r="UWV25" s="1887"/>
      <c r="UWW25" s="1888"/>
      <c r="UWX25" s="1882"/>
      <c r="UWY25" s="1882"/>
      <c r="UWZ25" s="1882"/>
      <c r="UXB25" s="1887"/>
      <c r="UXC25" s="1888"/>
      <c r="UXD25" s="1882"/>
      <c r="UXE25" s="1882"/>
      <c r="UXF25" s="1882"/>
      <c r="UXH25" s="1887"/>
      <c r="UXI25" s="1888"/>
      <c r="UXJ25" s="1882"/>
      <c r="UXK25" s="1882"/>
      <c r="UXL25" s="1882"/>
      <c r="UXN25" s="1887"/>
      <c r="UXO25" s="1888"/>
      <c r="UXP25" s="1882"/>
      <c r="UXQ25" s="1882"/>
      <c r="UXR25" s="1882"/>
      <c r="UXT25" s="1887"/>
      <c r="UXU25" s="1888"/>
      <c r="UXV25" s="1882"/>
      <c r="UXW25" s="1882"/>
      <c r="UXX25" s="1882"/>
      <c r="UXZ25" s="1887"/>
      <c r="UYA25" s="1888"/>
      <c r="UYB25" s="1882"/>
      <c r="UYC25" s="1882"/>
      <c r="UYD25" s="1882"/>
      <c r="UYF25" s="1887"/>
      <c r="UYG25" s="1888"/>
      <c r="UYH25" s="1882"/>
      <c r="UYI25" s="1882"/>
      <c r="UYJ25" s="1882"/>
      <c r="UYL25" s="1887"/>
      <c r="UYM25" s="1888"/>
      <c r="UYN25" s="1882"/>
      <c r="UYO25" s="1882"/>
      <c r="UYP25" s="1882"/>
      <c r="UYR25" s="1887"/>
      <c r="UYS25" s="1888"/>
      <c r="UYT25" s="1882"/>
      <c r="UYU25" s="1882"/>
      <c r="UYV25" s="1882"/>
      <c r="UYX25" s="1887"/>
      <c r="UYY25" s="1888"/>
      <c r="UYZ25" s="1882"/>
      <c r="UZA25" s="1882"/>
      <c r="UZB25" s="1882"/>
      <c r="UZD25" s="1887"/>
      <c r="UZE25" s="1888"/>
      <c r="UZF25" s="1882"/>
      <c r="UZG25" s="1882"/>
      <c r="UZH25" s="1882"/>
      <c r="UZJ25" s="1887"/>
      <c r="UZK25" s="1888"/>
      <c r="UZL25" s="1882"/>
      <c r="UZM25" s="1882"/>
      <c r="UZN25" s="1882"/>
      <c r="UZP25" s="1887"/>
      <c r="UZQ25" s="1888"/>
      <c r="UZR25" s="1882"/>
      <c r="UZS25" s="1882"/>
      <c r="UZT25" s="1882"/>
      <c r="UZV25" s="1887"/>
      <c r="UZW25" s="1888"/>
      <c r="UZX25" s="1882"/>
      <c r="UZY25" s="1882"/>
      <c r="UZZ25" s="1882"/>
      <c r="VAB25" s="1887"/>
      <c r="VAC25" s="1888"/>
      <c r="VAD25" s="1882"/>
      <c r="VAE25" s="1882"/>
      <c r="VAF25" s="1882"/>
      <c r="VAH25" s="1887"/>
      <c r="VAI25" s="1888"/>
      <c r="VAJ25" s="1882"/>
      <c r="VAK25" s="1882"/>
      <c r="VAL25" s="1882"/>
      <c r="VAN25" s="1887"/>
      <c r="VAO25" s="1888"/>
      <c r="VAP25" s="1882"/>
      <c r="VAQ25" s="1882"/>
      <c r="VAR25" s="1882"/>
      <c r="VAT25" s="1887"/>
      <c r="VAU25" s="1888"/>
      <c r="VAV25" s="1882"/>
      <c r="VAW25" s="1882"/>
      <c r="VAX25" s="1882"/>
      <c r="VAZ25" s="1887"/>
      <c r="VBA25" s="1888"/>
      <c r="VBB25" s="1882"/>
      <c r="VBC25" s="1882"/>
      <c r="VBD25" s="1882"/>
      <c r="VBF25" s="1887"/>
      <c r="VBG25" s="1888"/>
      <c r="VBH25" s="1882"/>
      <c r="VBI25" s="1882"/>
      <c r="VBJ25" s="1882"/>
      <c r="VBL25" s="1887"/>
      <c r="VBM25" s="1888"/>
      <c r="VBN25" s="1882"/>
      <c r="VBO25" s="1882"/>
      <c r="VBP25" s="1882"/>
      <c r="VBR25" s="1887"/>
      <c r="VBS25" s="1888"/>
      <c r="VBT25" s="1882"/>
      <c r="VBU25" s="1882"/>
      <c r="VBV25" s="1882"/>
      <c r="VBX25" s="1887"/>
      <c r="VBY25" s="1888"/>
      <c r="VBZ25" s="1882"/>
      <c r="VCA25" s="1882"/>
      <c r="VCB25" s="1882"/>
      <c r="VCD25" s="1887"/>
      <c r="VCE25" s="1888"/>
      <c r="VCF25" s="1882"/>
      <c r="VCG25" s="1882"/>
      <c r="VCH25" s="1882"/>
      <c r="VCJ25" s="1887"/>
      <c r="VCK25" s="1888"/>
      <c r="VCL25" s="1882"/>
      <c r="VCM25" s="1882"/>
      <c r="VCN25" s="1882"/>
      <c r="VCP25" s="1887"/>
      <c r="VCQ25" s="1888"/>
      <c r="VCR25" s="1882"/>
      <c r="VCS25" s="1882"/>
      <c r="VCT25" s="1882"/>
      <c r="VCV25" s="1887"/>
      <c r="VCW25" s="1888"/>
      <c r="VCX25" s="1882"/>
      <c r="VCY25" s="1882"/>
      <c r="VCZ25" s="1882"/>
      <c r="VDB25" s="1887"/>
      <c r="VDC25" s="1888"/>
      <c r="VDD25" s="1882"/>
      <c r="VDE25" s="1882"/>
      <c r="VDF25" s="1882"/>
      <c r="VDH25" s="1887"/>
      <c r="VDI25" s="1888"/>
      <c r="VDJ25" s="1882"/>
      <c r="VDK25" s="1882"/>
      <c r="VDL25" s="1882"/>
      <c r="VDN25" s="1887"/>
      <c r="VDO25" s="1888"/>
      <c r="VDP25" s="1882"/>
      <c r="VDQ25" s="1882"/>
      <c r="VDR25" s="1882"/>
      <c r="VDT25" s="1887"/>
      <c r="VDU25" s="1888"/>
      <c r="VDV25" s="1882"/>
      <c r="VDW25" s="1882"/>
      <c r="VDX25" s="1882"/>
      <c r="VDZ25" s="1887"/>
      <c r="VEA25" s="1888"/>
      <c r="VEB25" s="1882"/>
      <c r="VEC25" s="1882"/>
      <c r="VED25" s="1882"/>
      <c r="VEF25" s="1887"/>
      <c r="VEG25" s="1888"/>
      <c r="VEH25" s="1882"/>
      <c r="VEI25" s="1882"/>
      <c r="VEJ25" s="1882"/>
      <c r="VEL25" s="1887"/>
      <c r="VEM25" s="1888"/>
      <c r="VEN25" s="1882"/>
      <c r="VEO25" s="1882"/>
      <c r="VEP25" s="1882"/>
      <c r="VER25" s="1887"/>
      <c r="VES25" s="1888"/>
      <c r="VET25" s="1882"/>
      <c r="VEU25" s="1882"/>
      <c r="VEV25" s="1882"/>
      <c r="VEX25" s="1887"/>
      <c r="VEY25" s="1888"/>
      <c r="VEZ25" s="1882"/>
      <c r="VFA25" s="1882"/>
      <c r="VFB25" s="1882"/>
      <c r="VFD25" s="1887"/>
      <c r="VFE25" s="1888"/>
      <c r="VFF25" s="1882"/>
      <c r="VFG25" s="1882"/>
      <c r="VFH25" s="1882"/>
      <c r="VFJ25" s="1887"/>
      <c r="VFK25" s="1888"/>
      <c r="VFL25" s="1882"/>
      <c r="VFM25" s="1882"/>
      <c r="VFN25" s="1882"/>
      <c r="VFP25" s="1887"/>
      <c r="VFQ25" s="1888"/>
      <c r="VFR25" s="1882"/>
      <c r="VFS25" s="1882"/>
      <c r="VFT25" s="1882"/>
      <c r="VFV25" s="1887"/>
      <c r="VFW25" s="1888"/>
      <c r="VFX25" s="1882"/>
      <c r="VFY25" s="1882"/>
      <c r="VFZ25" s="1882"/>
      <c r="VGB25" s="1887"/>
      <c r="VGC25" s="1888"/>
      <c r="VGD25" s="1882"/>
      <c r="VGE25" s="1882"/>
      <c r="VGF25" s="1882"/>
      <c r="VGH25" s="1887"/>
      <c r="VGI25" s="1888"/>
      <c r="VGJ25" s="1882"/>
      <c r="VGK25" s="1882"/>
      <c r="VGL25" s="1882"/>
      <c r="VGN25" s="1887"/>
      <c r="VGO25" s="1888"/>
      <c r="VGP25" s="1882"/>
      <c r="VGQ25" s="1882"/>
      <c r="VGR25" s="1882"/>
      <c r="VGT25" s="1887"/>
      <c r="VGU25" s="1888"/>
      <c r="VGV25" s="1882"/>
      <c r="VGW25" s="1882"/>
      <c r="VGX25" s="1882"/>
      <c r="VGZ25" s="1887"/>
      <c r="VHA25" s="1888"/>
      <c r="VHB25" s="1882"/>
      <c r="VHC25" s="1882"/>
      <c r="VHD25" s="1882"/>
      <c r="VHF25" s="1887"/>
      <c r="VHG25" s="1888"/>
      <c r="VHH25" s="1882"/>
      <c r="VHI25" s="1882"/>
      <c r="VHJ25" s="1882"/>
      <c r="VHL25" s="1887"/>
      <c r="VHM25" s="1888"/>
      <c r="VHN25" s="1882"/>
      <c r="VHO25" s="1882"/>
      <c r="VHP25" s="1882"/>
      <c r="VHR25" s="1887"/>
      <c r="VHS25" s="1888"/>
      <c r="VHT25" s="1882"/>
      <c r="VHU25" s="1882"/>
      <c r="VHV25" s="1882"/>
      <c r="VHX25" s="1887"/>
      <c r="VHY25" s="1888"/>
      <c r="VHZ25" s="1882"/>
      <c r="VIA25" s="1882"/>
      <c r="VIB25" s="1882"/>
      <c r="VID25" s="1887"/>
      <c r="VIE25" s="1888"/>
      <c r="VIF25" s="1882"/>
      <c r="VIG25" s="1882"/>
      <c r="VIH25" s="1882"/>
      <c r="VIJ25" s="1887"/>
      <c r="VIK25" s="1888"/>
      <c r="VIL25" s="1882"/>
      <c r="VIM25" s="1882"/>
      <c r="VIN25" s="1882"/>
      <c r="VIP25" s="1887"/>
      <c r="VIQ25" s="1888"/>
      <c r="VIR25" s="1882"/>
      <c r="VIS25" s="1882"/>
      <c r="VIT25" s="1882"/>
      <c r="VIV25" s="1887"/>
      <c r="VIW25" s="1888"/>
      <c r="VIX25" s="1882"/>
      <c r="VIY25" s="1882"/>
      <c r="VIZ25" s="1882"/>
      <c r="VJB25" s="1887"/>
      <c r="VJC25" s="1888"/>
      <c r="VJD25" s="1882"/>
      <c r="VJE25" s="1882"/>
      <c r="VJF25" s="1882"/>
      <c r="VJH25" s="1887"/>
      <c r="VJI25" s="1888"/>
      <c r="VJJ25" s="1882"/>
      <c r="VJK25" s="1882"/>
      <c r="VJL25" s="1882"/>
      <c r="VJN25" s="1887"/>
      <c r="VJO25" s="1888"/>
      <c r="VJP25" s="1882"/>
      <c r="VJQ25" s="1882"/>
      <c r="VJR25" s="1882"/>
      <c r="VJT25" s="1887"/>
      <c r="VJU25" s="1888"/>
      <c r="VJV25" s="1882"/>
      <c r="VJW25" s="1882"/>
      <c r="VJX25" s="1882"/>
      <c r="VJZ25" s="1887"/>
      <c r="VKA25" s="1888"/>
      <c r="VKB25" s="1882"/>
      <c r="VKC25" s="1882"/>
      <c r="VKD25" s="1882"/>
      <c r="VKF25" s="1887"/>
      <c r="VKG25" s="1888"/>
      <c r="VKH25" s="1882"/>
      <c r="VKI25" s="1882"/>
      <c r="VKJ25" s="1882"/>
      <c r="VKL25" s="1887"/>
      <c r="VKM25" s="1888"/>
      <c r="VKN25" s="1882"/>
      <c r="VKO25" s="1882"/>
      <c r="VKP25" s="1882"/>
      <c r="VKR25" s="1887"/>
      <c r="VKS25" s="1888"/>
      <c r="VKT25" s="1882"/>
      <c r="VKU25" s="1882"/>
      <c r="VKV25" s="1882"/>
      <c r="VKX25" s="1887"/>
      <c r="VKY25" s="1888"/>
      <c r="VKZ25" s="1882"/>
      <c r="VLA25" s="1882"/>
      <c r="VLB25" s="1882"/>
      <c r="VLD25" s="1887"/>
      <c r="VLE25" s="1888"/>
      <c r="VLF25" s="1882"/>
      <c r="VLG25" s="1882"/>
      <c r="VLH25" s="1882"/>
      <c r="VLJ25" s="1887"/>
      <c r="VLK25" s="1888"/>
      <c r="VLL25" s="1882"/>
      <c r="VLM25" s="1882"/>
      <c r="VLN25" s="1882"/>
      <c r="VLP25" s="1887"/>
      <c r="VLQ25" s="1888"/>
      <c r="VLR25" s="1882"/>
      <c r="VLS25" s="1882"/>
      <c r="VLT25" s="1882"/>
      <c r="VLV25" s="1887"/>
      <c r="VLW25" s="1888"/>
      <c r="VLX25" s="1882"/>
      <c r="VLY25" s="1882"/>
      <c r="VLZ25" s="1882"/>
      <c r="VMB25" s="1887"/>
      <c r="VMC25" s="1888"/>
      <c r="VMD25" s="1882"/>
      <c r="VME25" s="1882"/>
      <c r="VMF25" s="1882"/>
      <c r="VMH25" s="1887"/>
      <c r="VMI25" s="1888"/>
      <c r="VMJ25" s="1882"/>
      <c r="VMK25" s="1882"/>
      <c r="VML25" s="1882"/>
      <c r="VMN25" s="1887"/>
      <c r="VMO25" s="1888"/>
      <c r="VMP25" s="1882"/>
      <c r="VMQ25" s="1882"/>
      <c r="VMR25" s="1882"/>
      <c r="VMT25" s="1887"/>
      <c r="VMU25" s="1888"/>
      <c r="VMV25" s="1882"/>
      <c r="VMW25" s="1882"/>
      <c r="VMX25" s="1882"/>
      <c r="VMZ25" s="1887"/>
      <c r="VNA25" s="1888"/>
      <c r="VNB25" s="1882"/>
      <c r="VNC25" s="1882"/>
      <c r="VND25" s="1882"/>
      <c r="VNF25" s="1887"/>
      <c r="VNG25" s="1888"/>
      <c r="VNH25" s="1882"/>
      <c r="VNI25" s="1882"/>
      <c r="VNJ25" s="1882"/>
      <c r="VNL25" s="1887"/>
      <c r="VNM25" s="1888"/>
      <c r="VNN25" s="1882"/>
      <c r="VNO25" s="1882"/>
      <c r="VNP25" s="1882"/>
      <c r="VNR25" s="1887"/>
      <c r="VNS25" s="1888"/>
      <c r="VNT25" s="1882"/>
      <c r="VNU25" s="1882"/>
      <c r="VNV25" s="1882"/>
      <c r="VNX25" s="1887"/>
      <c r="VNY25" s="1888"/>
      <c r="VNZ25" s="1882"/>
      <c r="VOA25" s="1882"/>
      <c r="VOB25" s="1882"/>
      <c r="VOD25" s="1887"/>
      <c r="VOE25" s="1888"/>
      <c r="VOF25" s="1882"/>
      <c r="VOG25" s="1882"/>
      <c r="VOH25" s="1882"/>
      <c r="VOJ25" s="1887"/>
      <c r="VOK25" s="1888"/>
      <c r="VOL25" s="1882"/>
      <c r="VOM25" s="1882"/>
      <c r="VON25" s="1882"/>
      <c r="VOP25" s="1887"/>
      <c r="VOQ25" s="1888"/>
      <c r="VOR25" s="1882"/>
      <c r="VOS25" s="1882"/>
      <c r="VOT25" s="1882"/>
      <c r="VOV25" s="1887"/>
      <c r="VOW25" s="1888"/>
      <c r="VOX25" s="1882"/>
      <c r="VOY25" s="1882"/>
      <c r="VOZ25" s="1882"/>
      <c r="VPB25" s="1887"/>
      <c r="VPC25" s="1888"/>
      <c r="VPD25" s="1882"/>
      <c r="VPE25" s="1882"/>
      <c r="VPF25" s="1882"/>
      <c r="VPH25" s="1887"/>
      <c r="VPI25" s="1888"/>
      <c r="VPJ25" s="1882"/>
      <c r="VPK25" s="1882"/>
      <c r="VPL25" s="1882"/>
      <c r="VPN25" s="1887"/>
      <c r="VPO25" s="1888"/>
      <c r="VPP25" s="1882"/>
      <c r="VPQ25" s="1882"/>
      <c r="VPR25" s="1882"/>
      <c r="VPT25" s="1887"/>
      <c r="VPU25" s="1888"/>
      <c r="VPV25" s="1882"/>
      <c r="VPW25" s="1882"/>
      <c r="VPX25" s="1882"/>
      <c r="VPZ25" s="1887"/>
      <c r="VQA25" s="1888"/>
      <c r="VQB25" s="1882"/>
      <c r="VQC25" s="1882"/>
      <c r="VQD25" s="1882"/>
      <c r="VQF25" s="1887"/>
      <c r="VQG25" s="1888"/>
      <c r="VQH25" s="1882"/>
      <c r="VQI25" s="1882"/>
      <c r="VQJ25" s="1882"/>
      <c r="VQL25" s="1887"/>
      <c r="VQM25" s="1888"/>
      <c r="VQN25" s="1882"/>
      <c r="VQO25" s="1882"/>
      <c r="VQP25" s="1882"/>
      <c r="VQR25" s="1887"/>
      <c r="VQS25" s="1888"/>
      <c r="VQT25" s="1882"/>
      <c r="VQU25" s="1882"/>
      <c r="VQV25" s="1882"/>
      <c r="VQX25" s="1887"/>
      <c r="VQY25" s="1888"/>
      <c r="VQZ25" s="1882"/>
      <c r="VRA25" s="1882"/>
      <c r="VRB25" s="1882"/>
      <c r="VRD25" s="1887"/>
      <c r="VRE25" s="1888"/>
      <c r="VRF25" s="1882"/>
      <c r="VRG25" s="1882"/>
      <c r="VRH25" s="1882"/>
      <c r="VRJ25" s="1887"/>
      <c r="VRK25" s="1888"/>
      <c r="VRL25" s="1882"/>
      <c r="VRM25" s="1882"/>
      <c r="VRN25" s="1882"/>
      <c r="VRP25" s="1887"/>
      <c r="VRQ25" s="1888"/>
      <c r="VRR25" s="1882"/>
      <c r="VRS25" s="1882"/>
      <c r="VRT25" s="1882"/>
      <c r="VRV25" s="1887"/>
      <c r="VRW25" s="1888"/>
      <c r="VRX25" s="1882"/>
      <c r="VRY25" s="1882"/>
      <c r="VRZ25" s="1882"/>
      <c r="VSB25" s="1887"/>
      <c r="VSC25" s="1888"/>
      <c r="VSD25" s="1882"/>
      <c r="VSE25" s="1882"/>
      <c r="VSF25" s="1882"/>
      <c r="VSH25" s="1887"/>
      <c r="VSI25" s="1888"/>
      <c r="VSJ25" s="1882"/>
      <c r="VSK25" s="1882"/>
      <c r="VSL25" s="1882"/>
      <c r="VSN25" s="1887"/>
      <c r="VSO25" s="1888"/>
      <c r="VSP25" s="1882"/>
      <c r="VSQ25" s="1882"/>
      <c r="VSR25" s="1882"/>
      <c r="VST25" s="1887"/>
      <c r="VSU25" s="1888"/>
      <c r="VSV25" s="1882"/>
      <c r="VSW25" s="1882"/>
      <c r="VSX25" s="1882"/>
      <c r="VSZ25" s="1887"/>
      <c r="VTA25" s="1888"/>
      <c r="VTB25" s="1882"/>
      <c r="VTC25" s="1882"/>
      <c r="VTD25" s="1882"/>
      <c r="VTF25" s="1887"/>
      <c r="VTG25" s="1888"/>
      <c r="VTH25" s="1882"/>
      <c r="VTI25" s="1882"/>
      <c r="VTJ25" s="1882"/>
      <c r="VTL25" s="1887"/>
      <c r="VTM25" s="1888"/>
      <c r="VTN25" s="1882"/>
      <c r="VTO25" s="1882"/>
      <c r="VTP25" s="1882"/>
      <c r="VTR25" s="1887"/>
      <c r="VTS25" s="1888"/>
      <c r="VTT25" s="1882"/>
      <c r="VTU25" s="1882"/>
      <c r="VTV25" s="1882"/>
      <c r="VTX25" s="1887"/>
      <c r="VTY25" s="1888"/>
      <c r="VTZ25" s="1882"/>
      <c r="VUA25" s="1882"/>
      <c r="VUB25" s="1882"/>
      <c r="VUD25" s="1887"/>
      <c r="VUE25" s="1888"/>
      <c r="VUF25" s="1882"/>
      <c r="VUG25" s="1882"/>
      <c r="VUH25" s="1882"/>
      <c r="VUJ25" s="1887"/>
      <c r="VUK25" s="1888"/>
      <c r="VUL25" s="1882"/>
      <c r="VUM25" s="1882"/>
      <c r="VUN25" s="1882"/>
      <c r="VUP25" s="1887"/>
      <c r="VUQ25" s="1888"/>
      <c r="VUR25" s="1882"/>
      <c r="VUS25" s="1882"/>
      <c r="VUT25" s="1882"/>
      <c r="VUV25" s="1887"/>
      <c r="VUW25" s="1888"/>
      <c r="VUX25" s="1882"/>
      <c r="VUY25" s="1882"/>
      <c r="VUZ25" s="1882"/>
      <c r="VVB25" s="1887"/>
      <c r="VVC25" s="1888"/>
      <c r="VVD25" s="1882"/>
      <c r="VVE25" s="1882"/>
      <c r="VVF25" s="1882"/>
      <c r="VVH25" s="1887"/>
      <c r="VVI25" s="1888"/>
      <c r="VVJ25" s="1882"/>
      <c r="VVK25" s="1882"/>
      <c r="VVL25" s="1882"/>
      <c r="VVN25" s="1887"/>
      <c r="VVO25" s="1888"/>
      <c r="VVP25" s="1882"/>
      <c r="VVQ25" s="1882"/>
      <c r="VVR25" s="1882"/>
      <c r="VVT25" s="1887"/>
      <c r="VVU25" s="1888"/>
      <c r="VVV25" s="1882"/>
      <c r="VVW25" s="1882"/>
      <c r="VVX25" s="1882"/>
      <c r="VVZ25" s="1887"/>
      <c r="VWA25" s="1888"/>
      <c r="VWB25" s="1882"/>
      <c r="VWC25" s="1882"/>
      <c r="VWD25" s="1882"/>
      <c r="VWF25" s="1887"/>
      <c r="VWG25" s="1888"/>
      <c r="VWH25" s="1882"/>
      <c r="VWI25" s="1882"/>
      <c r="VWJ25" s="1882"/>
      <c r="VWL25" s="1887"/>
      <c r="VWM25" s="1888"/>
      <c r="VWN25" s="1882"/>
      <c r="VWO25" s="1882"/>
      <c r="VWP25" s="1882"/>
      <c r="VWR25" s="1887"/>
      <c r="VWS25" s="1888"/>
      <c r="VWT25" s="1882"/>
      <c r="VWU25" s="1882"/>
      <c r="VWV25" s="1882"/>
      <c r="VWX25" s="1887"/>
      <c r="VWY25" s="1888"/>
      <c r="VWZ25" s="1882"/>
      <c r="VXA25" s="1882"/>
      <c r="VXB25" s="1882"/>
      <c r="VXD25" s="1887"/>
      <c r="VXE25" s="1888"/>
      <c r="VXF25" s="1882"/>
      <c r="VXG25" s="1882"/>
      <c r="VXH25" s="1882"/>
      <c r="VXJ25" s="1887"/>
      <c r="VXK25" s="1888"/>
      <c r="VXL25" s="1882"/>
      <c r="VXM25" s="1882"/>
      <c r="VXN25" s="1882"/>
      <c r="VXP25" s="1887"/>
      <c r="VXQ25" s="1888"/>
      <c r="VXR25" s="1882"/>
      <c r="VXS25" s="1882"/>
      <c r="VXT25" s="1882"/>
      <c r="VXV25" s="1887"/>
      <c r="VXW25" s="1888"/>
      <c r="VXX25" s="1882"/>
      <c r="VXY25" s="1882"/>
      <c r="VXZ25" s="1882"/>
      <c r="VYB25" s="1887"/>
      <c r="VYC25" s="1888"/>
      <c r="VYD25" s="1882"/>
      <c r="VYE25" s="1882"/>
      <c r="VYF25" s="1882"/>
      <c r="VYH25" s="1887"/>
      <c r="VYI25" s="1888"/>
      <c r="VYJ25" s="1882"/>
      <c r="VYK25" s="1882"/>
      <c r="VYL25" s="1882"/>
      <c r="VYN25" s="1887"/>
      <c r="VYO25" s="1888"/>
      <c r="VYP25" s="1882"/>
      <c r="VYQ25" s="1882"/>
      <c r="VYR25" s="1882"/>
      <c r="VYT25" s="1887"/>
      <c r="VYU25" s="1888"/>
      <c r="VYV25" s="1882"/>
      <c r="VYW25" s="1882"/>
      <c r="VYX25" s="1882"/>
      <c r="VYZ25" s="1887"/>
      <c r="VZA25" s="1888"/>
      <c r="VZB25" s="1882"/>
      <c r="VZC25" s="1882"/>
      <c r="VZD25" s="1882"/>
      <c r="VZF25" s="1887"/>
      <c r="VZG25" s="1888"/>
      <c r="VZH25" s="1882"/>
      <c r="VZI25" s="1882"/>
      <c r="VZJ25" s="1882"/>
      <c r="VZL25" s="1887"/>
      <c r="VZM25" s="1888"/>
      <c r="VZN25" s="1882"/>
      <c r="VZO25" s="1882"/>
      <c r="VZP25" s="1882"/>
      <c r="VZR25" s="1887"/>
      <c r="VZS25" s="1888"/>
      <c r="VZT25" s="1882"/>
      <c r="VZU25" s="1882"/>
      <c r="VZV25" s="1882"/>
      <c r="VZX25" s="1887"/>
      <c r="VZY25" s="1888"/>
      <c r="VZZ25" s="1882"/>
      <c r="WAA25" s="1882"/>
      <c r="WAB25" s="1882"/>
      <c r="WAD25" s="1887"/>
      <c r="WAE25" s="1888"/>
      <c r="WAF25" s="1882"/>
      <c r="WAG25" s="1882"/>
      <c r="WAH25" s="1882"/>
      <c r="WAJ25" s="1887"/>
      <c r="WAK25" s="1888"/>
      <c r="WAL25" s="1882"/>
      <c r="WAM25" s="1882"/>
      <c r="WAN25" s="1882"/>
      <c r="WAP25" s="1887"/>
      <c r="WAQ25" s="1888"/>
      <c r="WAR25" s="1882"/>
      <c r="WAS25" s="1882"/>
      <c r="WAT25" s="1882"/>
      <c r="WAV25" s="1887"/>
      <c r="WAW25" s="1888"/>
      <c r="WAX25" s="1882"/>
      <c r="WAY25" s="1882"/>
      <c r="WAZ25" s="1882"/>
      <c r="WBB25" s="1887"/>
      <c r="WBC25" s="1888"/>
      <c r="WBD25" s="1882"/>
      <c r="WBE25" s="1882"/>
      <c r="WBF25" s="1882"/>
      <c r="WBH25" s="1887"/>
      <c r="WBI25" s="1888"/>
      <c r="WBJ25" s="1882"/>
      <c r="WBK25" s="1882"/>
      <c r="WBL25" s="1882"/>
      <c r="WBN25" s="1887"/>
      <c r="WBO25" s="1888"/>
      <c r="WBP25" s="1882"/>
      <c r="WBQ25" s="1882"/>
      <c r="WBR25" s="1882"/>
      <c r="WBT25" s="1887"/>
      <c r="WBU25" s="1888"/>
      <c r="WBV25" s="1882"/>
      <c r="WBW25" s="1882"/>
      <c r="WBX25" s="1882"/>
      <c r="WBZ25" s="1887"/>
      <c r="WCA25" s="1888"/>
      <c r="WCB25" s="1882"/>
      <c r="WCC25" s="1882"/>
      <c r="WCD25" s="1882"/>
      <c r="WCF25" s="1887"/>
      <c r="WCG25" s="1888"/>
      <c r="WCH25" s="1882"/>
      <c r="WCI25" s="1882"/>
      <c r="WCJ25" s="1882"/>
      <c r="WCL25" s="1887"/>
      <c r="WCM25" s="1888"/>
      <c r="WCN25" s="1882"/>
      <c r="WCO25" s="1882"/>
      <c r="WCP25" s="1882"/>
      <c r="WCR25" s="1887"/>
      <c r="WCS25" s="1888"/>
      <c r="WCT25" s="1882"/>
      <c r="WCU25" s="1882"/>
      <c r="WCV25" s="1882"/>
      <c r="WCX25" s="1887"/>
      <c r="WCY25" s="1888"/>
      <c r="WCZ25" s="1882"/>
      <c r="WDA25" s="1882"/>
      <c r="WDB25" s="1882"/>
      <c r="WDD25" s="1887"/>
      <c r="WDE25" s="1888"/>
      <c r="WDF25" s="1882"/>
      <c r="WDG25" s="1882"/>
      <c r="WDH25" s="1882"/>
      <c r="WDJ25" s="1887"/>
      <c r="WDK25" s="1888"/>
      <c r="WDL25" s="1882"/>
      <c r="WDM25" s="1882"/>
      <c r="WDN25" s="1882"/>
      <c r="WDP25" s="1887"/>
      <c r="WDQ25" s="1888"/>
      <c r="WDR25" s="1882"/>
      <c r="WDS25" s="1882"/>
      <c r="WDT25" s="1882"/>
      <c r="WDV25" s="1887"/>
      <c r="WDW25" s="1888"/>
      <c r="WDX25" s="1882"/>
      <c r="WDY25" s="1882"/>
      <c r="WDZ25" s="1882"/>
      <c r="WEB25" s="1887"/>
      <c r="WEC25" s="1888"/>
      <c r="WED25" s="1882"/>
      <c r="WEE25" s="1882"/>
      <c r="WEF25" s="1882"/>
      <c r="WEH25" s="1887"/>
      <c r="WEI25" s="1888"/>
      <c r="WEJ25" s="1882"/>
      <c r="WEK25" s="1882"/>
      <c r="WEL25" s="1882"/>
      <c r="WEN25" s="1887"/>
      <c r="WEO25" s="1888"/>
      <c r="WEP25" s="1882"/>
      <c r="WEQ25" s="1882"/>
      <c r="WER25" s="1882"/>
      <c r="WET25" s="1887"/>
      <c r="WEU25" s="1888"/>
      <c r="WEV25" s="1882"/>
      <c r="WEW25" s="1882"/>
      <c r="WEX25" s="1882"/>
      <c r="WEZ25" s="1887"/>
      <c r="WFA25" s="1888"/>
      <c r="WFB25" s="1882"/>
      <c r="WFC25" s="1882"/>
      <c r="WFD25" s="1882"/>
      <c r="WFF25" s="1887"/>
      <c r="WFG25" s="1888"/>
      <c r="WFH25" s="1882"/>
      <c r="WFI25" s="1882"/>
      <c r="WFJ25" s="1882"/>
      <c r="WFL25" s="1887"/>
      <c r="WFM25" s="1888"/>
      <c r="WFN25" s="1882"/>
      <c r="WFO25" s="1882"/>
      <c r="WFP25" s="1882"/>
      <c r="WFR25" s="1887"/>
      <c r="WFS25" s="1888"/>
      <c r="WFT25" s="1882"/>
      <c r="WFU25" s="1882"/>
      <c r="WFV25" s="1882"/>
      <c r="WFX25" s="1887"/>
      <c r="WFY25" s="1888"/>
      <c r="WFZ25" s="1882"/>
      <c r="WGA25" s="1882"/>
      <c r="WGB25" s="1882"/>
      <c r="WGD25" s="1887"/>
      <c r="WGE25" s="1888"/>
      <c r="WGF25" s="1882"/>
      <c r="WGG25" s="1882"/>
      <c r="WGH25" s="1882"/>
      <c r="WGJ25" s="1887"/>
      <c r="WGK25" s="1888"/>
      <c r="WGL25" s="1882"/>
      <c r="WGM25" s="1882"/>
      <c r="WGN25" s="1882"/>
      <c r="WGP25" s="1887"/>
      <c r="WGQ25" s="1888"/>
      <c r="WGR25" s="1882"/>
      <c r="WGS25" s="1882"/>
      <c r="WGT25" s="1882"/>
      <c r="WGV25" s="1887"/>
      <c r="WGW25" s="1888"/>
      <c r="WGX25" s="1882"/>
      <c r="WGY25" s="1882"/>
      <c r="WGZ25" s="1882"/>
      <c r="WHB25" s="1887"/>
      <c r="WHC25" s="1888"/>
      <c r="WHD25" s="1882"/>
      <c r="WHE25" s="1882"/>
      <c r="WHF25" s="1882"/>
      <c r="WHH25" s="1887"/>
      <c r="WHI25" s="1888"/>
      <c r="WHJ25" s="1882"/>
      <c r="WHK25" s="1882"/>
      <c r="WHL25" s="1882"/>
      <c r="WHN25" s="1887"/>
      <c r="WHO25" s="1888"/>
      <c r="WHP25" s="1882"/>
      <c r="WHQ25" s="1882"/>
      <c r="WHR25" s="1882"/>
      <c r="WHT25" s="1887"/>
      <c r="WHU25" s="1888"/>
      <c r="WHV25" s="1882"/>
      <c r="WHW25" s="1882"/>
      <c r="WHX25" s="1882"/>
      <c r="WHZ25" s="1887"/>
      <c r="WIA25" s="1888"/>
      <c r="WIB25" s="1882"/>
      <c r="WIC25" s="1882"/>
      <c r="WID25" s="1882"/>
      <c r="WIF25" s="1887"/>
      <c r="WIG25" s="1888"/>
      <c r="WIH25" s="1882"/>
      <c r="WII25" s="1882"/>
      <c r="WIJ25" s="1882"/>
      <c r="WIL25" s="1887"/>
      <c r="WIM25" s="1888"/>
      <c r="WIN25" s="1882"/>
      <c r="WIO25" s="1882"/>
      <c r="WIP25" s="1882"/>
      <c r="WIR25" s="1887"/>
      <c r="WIS25" s="1888"/>
      <c r="WIT25" s="1882"/>
      <c r="WIU25" s="1882"/>
      <c r="WIV25" s="1882"/>
      <c r="WIX25" s="1887"/>
      <c r="WIY25" s="1888"/>
      <c r="WIZ25" s="1882"/>
      <c r="WJA25" s="1882"/>
      <c r="WJB25" s="1882"/>
      <c r="WJD25" s="1887"/>
      <c r="WJE25" s="1888"/>
      <c r="WJF25" s="1882"/>
      <c r="WJG25" s="1882"/>
      <c r="WJH25" s="1882"/>
      <c r="WJJ25" s="1887"/>
      <c r="WJK25" s="1888"/>
      <c r="WJL25" s="1882"/>
      <c r="WJM25" s="1882"/>
      <c r="WJN25" s="1882"/>
      <c r="WJP25" s="1887"/>
      <c r="WJQ25" s="1888"/>
      <c r="WJR25" s="1882"/>
      <c r="WJS25" s="1882"/>
      <c r="WJT25" s="1882"/>
      <c r="WJV25" s="1887"/>
      <c r="WJW25" s="1888"/>
      <c r="WJX25" s="1882"/>
      <c r="WJY25" s="1882"/>
      <c r="WJZ25" s="1882"/>
      <c r="WKB25" s="1887"/>
      <c r="WKC25" s="1888"/>
      <c r="WKD25" s="1882"/>
      <c r="WKE25" s="1882"/>
      <c r="WKF25" s="1882"/>
      <c r="WKH25" s="1887"/>
      <c r="WKI25" s="1888"/>
      <c r="WKJ25" s="1882"/>
      <c r="WKK25" s="1882"/>
      <c r="WKL25" s="1882"/>
      <c r="WKN25" s="1887"/>
      <c r="WKO25" s="1888"/>
      <c r="WKP25" s="1882"/>
      <c r="WKQ25" s="1882"/>
      <c r="WKR25" s="1882"/>
      <c r="WKT25" s="1887"/>
      <c r="WKU25" s="1888"/>
      <c r="WKV25" s="1882"/>
      <c r="WKW25" s="1882"/>
      <c r="WKX25" s="1882"/>
      <c r="WKZ25" s="1887"/>
      <c r="WLA25" s="1888"/>
      <c r="WLB25" s="1882"/>
      <c r="WLC25" s="1882"/>
      <c r="WLD25" s="1882"/>
      <c r="WLF25" s="1887"/>
      <c r="WLG25" s="1888"/>
      <c r="WLH25" s="1882"/>
      <c r="WLI25" s="1882"/>
      <c r="WLJ25" s="1882"/>
      <c r="WLL25" s="1887"/>
      <c r="WLM25" s="1888"/>
      <c r="WLN25" s="1882"/>
      <c r="WLO25" s="1882"/>
      <c r="WLP25" s="1882"/>
      <c r="WLR25" s="1887"/>
      <c r="WLS25" s="1888"/>
      <c r="WLT25" s="1882"/>
      <c r="WLU25" s="1882"/>
      <c r="WLV25" s="1882"/>
      <c r="WLX25" s="1887"/>
      <c r="WLY25" s="1888"/>
      <c r="WLZ25" s="1882"/>
      <c r="WMA25" s="1882"/>
      <c r="WMB25" s="1882"/>
      <c r="WMD25" s="1887"/>
      <c r="WME25" s="1888"/>
      <c r="WMF25" s="1882"/>
      <c r="WMG25" s="1882"/>
      <c r="WMH25" s="1882"/>
      <c r="WMJ25" s="1887"/>
      <c r="WMK25" s="1888"/>
      <c r="WML25" s="1882"/>
      <c r="WMM25" s="1882"/>
      <c r="WMN25" s="1882"/>
      <c r="WMP25" s="1887"/>
      <c r="WMQ25" s="1888"/>
      <c r="WMR25" s="1882"/>
      <c r="WMS25" s="1882"/>
      <c r="WMT25" s="1882"/>
      <c r="WMV25" s="1887"/>
      <c r="WMW25" s="1888"/>
      <c r="WMX25" s="1882"/>
      <c r="WMY25" s="1882"/>
      <c r="WMZ25" s="1882"/>
      <c r="WNB25" s="1887"/>
      <c r="WNC25" s="1888"/>
      <c r="WND25" s="1882"/>
      <c r="WNE25" s="1882"/>
      <c r="WNF25" s="1882"/>
      <c r="WNH25" s="1887"/>
      <c r="WNI25" s="1888"/>
      <c r="WNJ25" s="1882"/>
      <c r="WNK25" s="1882"/>
      <c r="WNL25" s="1882"/>
      <c r="WNN25" s="1887"/>
      <c r="WNO25" s="1888"/>
      <c r="WNP25" s="1882"/>
      <c r="WNQ25" s="1882"/>
      <c r="WNR25" s="1882"/>
      <c r="WNT25" s="1887"/>
      <c r="WNU25" s="1888"/>
      <c r="WNV25" s="1882"/>
      <c r="WNW25" s="1882"/>
      <c r="WNX25" s="1882"/>
      <c r="WNZ25" s="1887"/>
      <c r="WOA25" s="1888"/>
      <c r="WOB25" s="1882"/>
      <c r="WOC25" s="1882"/>
      <c r="WOD25" s="1882"/>
      <c r="WOF25" s="1887"/>
      <c r="WOG25" s="1888"/>
      <c r="WOH25" s="1882"/>
      <c r="WOI25" s="1882"/>
      <c r="WOJ25" s="1882"/>
      <c r="WOL25" s="1887"/>
      <c r="WOM25" s="1888"/>
      <c r="WON25" s="1882"/>
      <c r="WOO25" s="1882"/>
      <c r="WOP25" s="1882"/>
      <c r="WOR25" s="1887"/>
      <c r="WOS25" s="1888"/>
      <c r="WOT25" s="1882"/>
      <c r="WOU25" s="1882"/>
      <c r="WOV25" s="1882"/>
      <c r="WOX25" s="1887"/>
      <c r="WOY25" s="1888"/>
      <c r="WOZ25" s="1882"/>
      <c r="WPA25" s="1882"/>
      <c r="WPB25" s="1882"/>
      <c r="WPD25" s="1887"/>
      <c r="WPE25" s="1888"/>
      <c r="WPF25" s="1882"/>
      <c r="WPG25" s="1882"/>
      <c r="WPH25" s="1882"/>
      <c r="WPJ25" s="1887"/>
      <c r="WPK25" s="1888"/>
      <c r="WPL25" s="1882"/>
      <c r="WPM25" s="1882"/>
      <c r="WPN25" s="1882"/>
      <c r="WPP25" s="1887"/>
      <c r="WPQ25" s="1888"/>
      <c r="WPR25" s="1882"/>
      <c r="WPS25" s="1882"/>
      <c r="WPT25" s="1882"/>
      <c r="WPV25" s="1887"/>
      <c r="WPW25" s="1888"/>
      <c r="WPX25" s="1882"/>
      <c r="WPY25" s="1882"/>
      <c r="WPZ25" s="1882"/>
      <c r="WQB25" s="1887"/>
      <c r="WQC25" s="1888"/>
      <c r="WQD25" s="1882"/>
      <c r="WQE25" s="1882"/>
      <c r="WQF25" s="1882"/>
      <c r="WQH25" s="1887"/>
      <c r="WQI25" s="1888"/>
      <c r="WQJ25" s="1882"/>
      <c r="WQK25" s="1882"/>
      <c r="WQL25" s="1882"/>
      <c r="WQN25" s="1887"/>
      <c r="WQO25" s="1888"/>
      <c r="WQP25" s="1882"/>
      <c r="WQQ25" s="1882"/>
      <c r="WQR25" s="1882"/>
      <c r="WQT25" s="1887"/>
      <c r="WQU25" s="1888"/>
      <c r="WQV25" s="1882"/>
      <c r="WQW25" s="1882"/>
      <c r="WQX25" s="1882"/>
      <c r="WQZ25" s="1887"/>
      <c r="WRA25" s="1888"/>
      <c r="WRB25" s="1882"/>
      <c r="WRC25" s="1882"/>
      <c r="WRD25" s="1882"/>
      <c r="WRF25" s="1887"/>
      <c r="WRG25" s="1888"/>
      <c r="WRH25" s="1882"/>
      <c r="WRI25" s="1882"/>
      <c r="WRJ25" s="1882"/>
      <c r="WRL25" s="1887"/>
      <c r="WRM25" s="1888"/>
      <c r="WRN25" s="1882"/>
      <c r="WRO25" s="1882"/>
      <c r="WRP25" s="1882"/>
      <c r="WRR25" s="1887"/>
      <c r="WRS25" s="1888"/>
      <c r="WRT25" s="1882"/>
      <c r="WRU25" s="1882"/>
      <c r="WRV25" s="1882"/>
      <c r="WRX25" s="1887"/>
      <c r="WRY25" s="1888"/>
      <c r="WRZ25" s="1882"/>
      <c r="WSA25" s="1882"/>
      <c r="WSB25" s="1882"/>
      <c r="WSD25" s="1887"/>
      <c r="WSE25" s="1888"/>
      <c r="WSF25" s="1882"/>
      <c r="WSG25" s="1882"/>
      <c r="WSH25" s="1882"/>
      <c r="WSJ25" s="1887"/>
      <c r="WSK25" s="1888"/>
      <c r="WSL25" s="1882"/>
      <c r="WSM25" s="1882"/>
      <c r="WSN25" s="1882"/>
      <c r="WSP25" s="1887"/>
      <c r="WSQ25" s="1888"/>
      <c r="WSR25" s="1882"/>
      <c r="WSS25" s="1882"/>
      <c r="WST25" s="1882"/>
      <c r="WSV25" s="1887"/>
      <c r="WSW25" s="1888"/>
      <c r="WSX25" s="1882"/>
      <c r="WSY25" s="1882"/>
      <c r="WSZ25" s="1882"/>
      <c r="WTB25" s="1887"/>
      <c r="WTC25" s="1888"/>
      <c r="WTD25" s="1882"/>
      <c r="WTE25" s="1882"/>
      <c r="WTF25" s="1882"/>
      <c r="WTH25" s="1887"/>
      <c r="WTI25" s="1888"/>
      <c r="WTJ25" s="1882"/>
      <c r="WTK25" s="1882"/>
      <c r="WTL25" s="1882"/>
      <c r="WTN25" s="1887"/>
      <c r="WTO25" s="1888"/>
      <c r="WTP25" s="1882"/>
      <c r="WTQ25" s="1882"/>
      <c r="WTR25" s="1882"/>
      <c r="WTT25" s="1887"/>
      <c r="WTU25" s="1888"/>
      <c r="WTV25" s="1882"/>
      <c r="WTW25" s="1882"/>
      <c r="WTX25" s="1882"/>
      <c r="WTZ25" s="1887"/>
      <c r="WUA25" s="1888"/>
      <c r="WUB25" s="1882"/>
      <c r="WUC25" s="1882"/>
      <c r="WUD25" s="1882"/>
      <c r="WUF25" s="1887"/>
      <c r="WUG25" s="1888"/>
      <c r="WUH25" s="1882"/>
      <c r="WUI25" s="1882"/>
      <c r="WUJ25" s="1882"/>
      <c r="WUL25" s="1887"/>
      <c r="WUM25" s="1888"/>
      <c r="WUN25" s="1882"/>
      <c r="WUO25" s="1882"/>
      <c r="WUP25" s="1882"/>
      <c r="WUR25" s="1887"/>
      <c r="WUS25" s="1888"/>
      <c r="WUT25" s="1882"/>
      <c r="WUU25" s="1882"/>
      <c r="WUV25" s="1882"/>
      <c r="WUX25" s="1887"/>
      <c r="WUY25" s="1888"/>
      <c r="WUZ25" s="1882"/>
      <c r="WVA25" s="1882"/>
      <c r="WVB25" s="1882"/>
      <c r="WVD25" s="1887"/>
      <c r="WVE25" s="1888"/>
      <c r="WVF25" s="1882"/>
      <c r="WVG25" s="1882"/>
      <c r="WVH25" s="1882"/>
      <c r="WVJ25" s="1887"/>
      <c r="WVK25" s="1888"/>
      <c r="WVL25" s="1882"/>
      <c r="WVM25" s="1882"/>
      <c r="WVN25" s="1882"/>
      <c r="WVP25" s="1887"/>
      <c r="WVQ25" s="1888"/>
      <c r="WVR25" s="1882"/>
      <c r="WVS25" s="1882"/>
      <c r="WVT25" s="1882"/>
      <c r="WVV25" s="1887"/>
      <c r="WVW25" s="1888"/>
      <c r="WVX25" s="1882"/>
      <c r="WVY25" s="1882"/>
      <c r="WVZ25" s="1882"/>
      <c r="WWB25" s="1887"/>
      <c r="WWC25" s="1888"/>
      <c r="WWD25" s="1882"/>
      <c r="WWE25" s="1882"/>
      <c r="WWF25" s="1882"/>
      <c r="WWH25" s="1887"/>
      <c r="WWI25" s="1888"/>
      <c r="WWJ25" s="1882"/>
      <c r="WWK25" s="1882"/>
      <c r="WWL25" s="1882"/>
      <c r="WWN25" s="1887"/>
      <c r="WWO25" s="1888"/>
      <c r="WWP25" s="1882"/>
      <c r="WWQ25" s="1882"/>
      <c r="WWR25" s="1882"/>
      <c r="WWT25" s="1887"/>
      <c r="WWU25" s="1888"/>
      <c r="WWV25" s="1882"/>
      <c r="WWW25" s="1882"/>
      <c r="WWX25" s="1882"/>
      <c r="WWZ25" s="1887"/>
      <c r="WXA25" s="1888"/>
      <c r="WXB25" s="1882"/>
      <c r="WXC25" s="1882"/>
      <c r="WXD25" s="1882"/>
      <c r="WXF25" s="1887"/>
      <c r="WXG25" s="1888"/>
      <c r="WXH25" s="1882"/>
      <c r="WXI25" s="1882"/>
      <c r="WXJ25" s="1882"/>
      <c r="WXL25" s="1887"/>
      <c r="WXM25" s="1888"/>
      <c r="WXN25" s="1882"/>
      <c r="WXO25" s="1882"/>
      <c r="WXP25" s="1882"/>
      <c r="WXR25" s="1887"/>
      <c r="WXS25" s="1888"/>
      <c r="WXT25" s="1882"/>
      <c r="WXU25" s="1882"/>
      <c r="WXV25" s="1882"/>
      <c r="WXX25" s="1887"/>
      <c r="WXY25" s="1888"/>
      <c r="WXZ25" s="1882"/>
      <c r="WYA25" s="1882"/>
      <c r="WYB25" s="1882"/>
      <c r="WYD25" s="1887"/>
      <c r="WYE25" s="1888"/>
      <c r="WYF25" s="1882"/>
      <c r="WYG25" s="1882"/>
      <c r="WYH25" s="1882"/>
      <c r="WYJ25" s="1887"/>
      <c r="WYK25" s="1888"/>
      <c r="WYL25" s="1882"/>
      <c r="WYM25" s="1882"/>
      <c r="WYN25" s="1882"/>
      <c r="WYP25" s="1887"/>
      <c r="WYQ25" s="1888"/>
      <c r="WYR25" s="1882"/>
      <c r="WYS25" s="1882"/>
      <c r="WYT25" s="1882"/>
      <c r="WYV25" s="1887"/>
      <c r="WYW25" s="1888"/>
      <c r="WYX25" s="1882"/>
      <c r="WYY25" s="1882"/>
      <c r="WYZ25" s="1882"/>
      <c r="WZB25" s="1887"/>
      <c r="WZC25" s="1888"/>
      <c r="WZD25" s="1882"/>
      <c r="WZE25" s="1882"/>
      <c r="WZF25" s="1882"/>
      <c r="WZH25" s="1887"/>
      <c r="WZI25" s="1888"/>
      <c r="WZJ25" s="1882"/>
      <c r="WZK25" s="1882"/>
      <c r="WZL25" s="1882"/>
      <c r="WZN25" s="1887"/>
      <c r="WZO25" s="1888"/>
      <c r="WZP25" s="1882"/>
      <c r="WZQ25" s="1882"/>
      <c r="WZR25" s="1882"/>
      <c r="WZT25" s="1887"/>
      <c r="WZU25" s="1888"/>
      <c r="WZV25" s="1882"/>
      <c r="WZW25" s="1882"/>
      <c r="WZX25" s="1882"/>
      <c r="WZZ25" s="1887"/>
      <c r="XAA25" s="1888"/>
      <c r="XAB25" s="1882"/>
      <c r="XAC25" s="1882"/>
      <c r="XAD25" s="1882"/>
      <c r="XAF25" s="1887"/>
      <c r="XAG25" s="1888"/>
      <c r="XAH25" s="1882"/>
      <c r="XAI25" s="1882"/>
      <c r="XAJ25" s="1882"/>
      <c r="XAL25" s="1887"/>
      <c r="XAM25" s="1888"/>
      <c r="XAN25" s="1882"/>
      <c r="XAO25" s="1882"/>
      <c r="XAP25" s="1882"/>
      <c r="XAR25" s="1887"/>
      <c r="XAS25" s="1888"/>
      <c r="XAT25" s="1882"/>
      <c r="XAU25" s="1882"/>
      <c r="XAV25" s="1882"/>
      <c r="XAX25" s="1887"/>
      <c r="XAY25" s="1888"/>
      <c r="XAZ25" s="1882"/>
      <c r="XBA25" s="1882"/>
      <c r="XBB25" s="1882"/>
      <c r="XBD25" s="1887"/>
      <c r="XBE25" s="1888"/>
      <c r="XBF25" s="1882"/>
      <c r="XBG25" s="1882"/>
      <c r="XBH25" s="1882"/>
      <c r="XBJ25" s="1887"/>
      <c r="XBK25" s="1888"/>
      <c r="XBL25" s="1882"/>
      <c r="XBM25" s="1882"/>
      <c r="XBN25" s="1882"/>
      <c r="XBP25" s="1887"/>
      <c r="XBQ25" s="1888"/>
      <c r="XBR25" s="1882"/>
      <c r="XBS25" s="1882"/>
      <c r="XBT25" s="1882"/>
      <c r="XBV25" s="1887"/>
      <c r="XBW25" s="1888"/>
      <c r="XBX25" s="1882"/>
      <c r="XBY25" s="1882"/>
      <c r="XBZ25" s="1882"/>
      <c r="XCB25" s="1887"/>
      <c r="XCC25" s="1888"/>
      <c r="XCD25" s="1882"/>
      <c r="XCE25" s="1882"/>
      <c r="XCF25" s="1882"/>
      <c r="XCH25" s="1887"/>
      <c r="XCI25" s="1888"/>
      <c r="XCJ25" s="1882"/>
      <c r="XCK25" s="1882"/>
      <c r="XCL25" s="1882"/>
      <c r="XCN25" s="1887"/>
      <c r="XCO25" s="1888"/>
      <c r="XCP25" s="1882"/>
      <c r="XCQ25" s="1882"/>
      <c r="XCR25" s="1882"/>
      <c r="XCT25" s="1887"/>
      <c r="XCU25" s="1888"/>
      <c r="XCV25" s="1882"/>
      <c r="XCW25" s="1882"/>
      <c r="XCX25" s="1882"/>
      <c r="XCZ25" s="1887"/>
      <c r="XDA25" s="1888"/>
      <c r="XDB25" s="1882"/>
      <c r="XDC25" s="1882"/>
      <c r="XDD25" s="1882"/>
      <c r="XDF25" s="1887"/>
      <c r="XDG25" s="1888"/>
      <c r="XDH25" s="1882"/>
      <c r="XDI25" s="1882"/>
      <c r="XDJ25" s="1882"/>
      <c r="XDL25" s="1887"/>
      <c r="XDM25" s="1888"/>
      <c r="XDN25" s="1882"/>
      <c r="XDO25" s="1882"/>
      <c r="XDP25" s="1882"/>
      <c r="XDR25" s="1887"/>
      <c r="XDS25" s="1888"/>
      <c r="XDT25" s="1882"/>
      <c r="XDU25" s="1882"/>
      <c r="XDV25" s="1882"/>
      <c r="XDX25" s="1887"/>
      <c r="XDY25" s="1888"/>
      <c r="XDZ25" s="1882"/>
      <c r="XEA25" s="1882"/>
      <c r="XEB25" s="1882"/>
      <c r="XED25" s="1887"/>
      <c r="XEE25" s="1888"/>
      <c r="XEF25" s="1882"/>
      <c r="XEG25" s="1882"/>
      <c r="XEH25" s="1882"/>
      <c r="XEJ25" s="1887"/>
      <c r="XEK25" s="1888"/>
      <c r="XEL25" s="1882"/>
      <c r="XEM25" s="1882"/>
      <c r="XEN25" s="1882"/>
      <c r="XEP25" s="1887"/>
      <c r="XEQ25" s="1888"/>
      <c r="XER25" s="1882"/>
      <c r="XES25" s="1882"/>
      <c r="XET25" s="1882"/>
      <c r="XEV25" s="1887"/>
      <c r="XEW25" s="1888"/>
      <c r="XEX25" s="1882"/>
      <c r="XEY25" s="1882"/>
      <c r="XEZ25" s="1882"/>
      <c r="XFB25" s="1887"/>
      <c r="XFC25" s="1888"/>
      <c r="XFD25" s="1882"/>
    </row>
    <row r="26" spans="1:3072 3074:6144 6146:9216 9218:12288 12290:15360 15362:16384" ht="12.75" customHeight="1">
      <c r="A26" s="4903" t="s">
        <v>1851</v>
      </c>
      <c r="B26" s="4904"/>
      <c r="C26" s="4904"/>
      <c r="D26" s="4904"/>
      <c r="E26" s="4904"/>
      <c r="F26" s="4905"/>
      <c r="H26" s="1887"/>
      <c r="I26" s="1888"/>
      <c r="J26" s="1882"/>
      <c r="K26" s="1882"/>
      <c r="L26" s="1882"/>
      <c r="N26" s="1887"/>
      <c r="O26" s="1888"/>
      <c r="P26" s="1882"/>
      <c r="Q26" s="1882"/>
      <c r="R26" s="1882"/>
      <c r="T26" s="1887"/>
      <c r="U26" s="1888"/>
      <c r="V26" s="1882"/>
      <c r="W26" s="1882"/>
      <c r="X26" s="1882"/>
      <c r="Z26" s="1887"/>
      <c r="AA26" s="1888"/>
      <c r="AB26" s="1882"/>
      <c r="AC26" s="1882"/>
      <c r="AD26" s="1882"/>
      <c r="AF26" s="1887"/>
      <c r="AG26" s="1888"/>
      <c r="AH26" s="1882"/>
      <c r="AI26" s="1882"/>
      <c r="AJ26" s="1882"/>
      <c r="AL26" s="1887"/>
      <c r="AM26" s="1888"/>
      <c r="AN26" s="1882"/>
      <c r="AO26" s="1882"/>
      <c r="AP26" s="1882"/>
      <c r="AR26" s="1887"/>
      <c r="AS26" s="1888"/>
      <c r="AT26" s="1882"/>
      <c r="AU26" s="1882"/>
      <c r="AV26" s="1882"/>
      <c r="AX26" s="1887"/>
      <c r="AY26" s="1888"/>
      <c r="AZ26" s="1882"/>
      <c r="BA26" s="1882"/>
      <c r="BB26" s="1882"/>
      <c r="BD26" s="1887"/>
      <c r="BE26" s="1888"/>
      <c r="BF26" s="1882"/>
      <c r="BG26" s="1882"/>
      <c r="BH26" s="1882"/>
      <c r="BJ26" s="1887"/>
      <c r="BK26" s="1888"/>
      <c r="BL26" s="1882"/>
      <c r="BM26" s="1882"/>
      <c r="BN26" s="1882"/>
      <c r="BP26" s="1887"/>
      <c r="BQ26" s="1888"/>
      <c r="BR26" s="1882"/>
      <c r="BS26" s="1882"/>
      <c r="BT26" s="1882"/>
      <c r="BV26" s="1887"/>
      <c r="BW26" s="1888"/>
      <c r="BX26" s="1882"/>
      <c r="BY26" s="1882"/>
      <c r="BZ26" s="1882"/>
      <c r="CB26" s="1887"/>
      <c r="CC26" s="1888"/>
      <c r="CD26" s="1882"/>
      <c r="CE26" s="1882"/>
      <c r="CF26" s="1882"/>
      <c r="CH26" s="1887"/>
      <c r="CI26" s="1888"/>
      <c r="CJ26" s="1882"/>
      <c r="CK26" s="1882"/>
      <c r="CL26" s="1882"/>
      <c r="CN26" s="1887"/>
      <c r="CO26" s="1888"/>
      <c r="CP26" s="1882"/>
      <c r="CQ26" s="1882"/>
      <c r="CR26" s="1882"/>
      <c r="CT26" s="1887"/>
      <c r="CU26" s="1888"/>
      <c r="CV26" s="1882"/>
      <c r="CW26" s="1882"/>
      <c r="CX26" s="1882"/>
      <c r="CZ26" s="1887"/>
      <c r="DA26" s="1888"/>
      <c r="DB26" s="1882"/>
      <c r="DC26" s="1882"/>
      <c r="DD26" s="1882"/>
      <c r="DF26" s="1887"/>
      <c r="DG26" s="1888"/>
      <c r="DH26" s="1882"/>
      <c r="DI26" s="1882"/>
      <c r="DJ26" s="1882"/>
      <c r="DL26" s="1887"/>
      <c r="DM26" s="1888"/>
      <c r="DN26" s="1882"/>
      <c r="DO26" s="1882"/>
      <c r="DP26" s="1882"/>
      <c r="DR26" s="1887"/>
      <c r="DS26" s="1888"/>
      <c r="DT26" s="1882"/>
      <c r="DU26" s="1882"/>
      <c r="DV26" s="1882"/>
      <c r="DX26" s="1887"/>
      <c r="DY26" s="1888"/>
      <c r="DZ26" s="1882"/>
      <c r="EA26" s="1882"/>
      <c r="EB26" s="1882"/>
      <c r="ED26" s="1887"/>
      <c r="EE26" s="1888"/>
      <c r="EF26" s="1882"/>
      <c r="EG26" s="1882"/>
      <c r="EH26" s="1882"/>
      <c r="EJ26" s="1887"/>
      <c r="EK26" s="1888"/>
      <c r="EL26" s="1882"/>
      <c r="EM26" s="1882"/>
      <c r="EN26" s="1882"/>
      <c r="EP26" s="1887"/>
      <c r="EQ26" s="1888"/>
      <c r="ER26" s="1882"/>
      <c r="ES26" s="1882"/>
      <c r="ET26" s="1882"/>
      <c r="EV26" s="1887"/>
      <c r="EW26" s="1888"/>
      <c r="EX26" s="1882"/>
      <c r="EY26" s="1882"/>
      <c r="EZ26" s="1882"/>
      <c r="FB26" s="1887"/>
      <c r="FC26" s="1888"/>
      <c r="FD26" s="1882"/>
      <c r="FE26" s="1882"/>
      <c r="FF26" s="1882"/>
      <c r="FH26" s="1887"/>
      <c r="FI26" s="1888"/>
      <c r="FJ26" s="1882"/>
      <c r="FK26" s="1882"/>
      <c r="FL26" s="1882"/>
      <c r="FN26" s="1887"/>
      <c r="FO26" s="1888"/>
      <c r="FP26" s="1882"/>
      <c r="FQ26" s="1882"/>
      <c r="FR26" s="1882"/>
      <c r="FT26" s="1887"/>
      <c r="FU26" s="1888"/>
      <c r="FV26" s="1882"/>
      <c r="FW26" s="1882"/>
      <c r="FX26" s="1882"/>
      <c r="FZ26" s="1887"/>
      <c r="GA26" s="1888"/>
      <c r="GB26" s="1882"/>
      <c r="GC26" s="1882"/>
      <c r="GD26" s="1882"/>
      <c r="GF26" s="1887"/>
      <c r="GG26" s="1888"/>
      <c r="GH26" s="1882"/>
      <c r="GI26" s="1882"/>
      <c r="GJ26" s="1882"/>
      <c r="GL26" s="1887"/>
      <c r="GM26" s="1888"/>
      <c r="GN26" s="1882"/>
      <c r="GO26" s="1882"/>
      <c r="GP26" s="1882"/>
      <c r="GR26" s="1887"/>
      <c r="GS26" s="1888"/>
      <c r="GT26" s="1882"/>
      <c r="GU26" s="1882"/>
      <c r="GV26" s="1882"/>
      <c r="GX26" s="1887"/>
      <c r="GY26" s="1888"/>
      <c r="GZ26" s="1882"/>
      <c r="HA26" s="1882"/>
      <c r="HB26" s="1882"/>
      <c r="HD26" s="1887"/>
      <c r="HE26" s="1888"/>
      <c r="HF26" s="1882"/>
      <c r="HG26" s="1882"/>
      <c r="HH26" s="1882"/>
      <c r="HJ26" s="1887"/>
      <c r="HK26" s="1888"/>
      <c r="HL26" s="1882"/>
      <c r="HM26" s="1882"/>
      <c r="HN26" s="1882"/>
      <c r="HP26" s="1887"/>
      <c r="HQ26" s="1888"/>
      <c r="HR26" s="1882"/>
      <c r="HS26" s="1882"/>
      <c r="HT26" s="1882"/>
      <c r="HV26" s="1887"/>
      <c r="HW26" s="1888"/>
      <c r="HX26" s="1882"/>
      <c r="HY26" s="1882"/>
      <c r="HZ26" s="1882"/>
      <c r="IB26" s="1887"/>
      <c r="IC26" s="1888"/>
      <c r="ID26" s="1882"/>
      <c r="IE26" s="1882"/>
      <c r="IF26" s="1882"/>
      <c r="IH26" s="1887"/>
      <c r="II26" s="1888"/>
      <c r="IJ26" s="1882"/>
      <c r="IK26" s="1882"/>
      <c r="IL26" s="1882"/>
      <c r="IN26" s="1887"/>
      <c r="IO26" s="1888"/>
      <c r="IP26" s="1882"/>
      <c r="IQ26" s="1882"/>
      <c r="IR26" s="1882"/>
      <c r="IT26" s="1887"/>
      <c r="IU26" s="1888"/>
      <c r="IV26" s="1882"/>
      <c r="IW26" s="1882"/>
      <c r="IX26" s="1882"/>
      <c r="IZ26" s="1887"/>
      <c r="JA26" s="1888"/>
      <c r="JB26" s="1882"/>
      <c r="JC26" s="1882"/>
      <c r="JD26" s="1882"/>
      <c r="JF26" s="1887"/>
      <c r="JG26" s="1888"/>
      <c r="JH26" s="1882"/>
      <c r="JI26" s="1882"/>
      <c r="JJ26" s="1882"/>
      <c r="JL26" s="1887"/>
      <c r="JM26" s="1888"/>
      <c r="JN26" s="1882"/>
      <c r="JO26" s="1882"/>
      <c r="JP26" s="1882"/>
      <c r="JR26" s="1887"/>
      <c r="JS26" s="1888"/>
      <c r="JT26" s="1882"/>
      <c r="JU26" s="1882"/>
      <c r="JV26" s="1882"/>
      <c r="JX26" s="1887"/>
      <c r="JY26" s="1888"/>
      <c r="JZ26" s="1882"/>
      <c r="KA26" s="1882"/>
      <c r="KB26" s="1882"/>
      <c r="KD26" s="1887"/>
      <c r="KE26" s="1888"/>
      <c r="KF26" s="1882"/>
      <c r="KG26" s="1882"/>
      <c r="KH26" s="1882"/>
      <c r="KJ26" s="1887"/>
      <c r="KK26" s="1888"/>
      <c r="KL26" s="1882"/>
      <c r="KM26" s="1882"/>
      <c r="KN26" s="1882"/>
      <c r="KP26" s="1887"/>
      <c r="KQ26" s="1888"/>
      <c r="KR26" s="1882"/>
      <c r="KS26" s="1882"/>
      <c r="KT26" s="1882"/>
      <c r="KV26" s="1887"/>
      <c r="KW26" s="1888"/>
      <c r="KX26" s="1882"/>
      <c r="KY26" s="1882"/>
      <c r="KZ26" s="1882"/>
      <c r="LB26" s="1887"/>
      <c r="LC26" s="1888"/>
      <c r="LD26" s="1882"/>
      <c r="LE26" s="1882"/>
      <c r="LF26" s="1882"/>
      <c r="LH26" s="1887"/>
      <c r="LI26" s="1888"/>
      <c r="LJ26" s="1882"/>
      <c r="LK26" s="1882"/>
      <c r="LL26" s="1882"/>
      <c r="LN26" s="1887"/>
      <c r="LO26" s="1888"/>
      <c r="LP26" s="1882"/>
      <c r="LQ26" s="1882"/>
      <c r="LR26" s="1882"/>
      <c r="LT26" s="1887"/>
      <c r="LU26" s="1888"/>
      <c r="LV26" s="1882"/>
      <c r="LW26" s="1882"/>
      <c r="LX26" s="1882"/>
      <c r="LZ26" s="1887"/>
      <c r="MA26" s="1888"/>
      <c r="MB26" s="1882"/>
      <c r="MC26" s="1882"/>
      <c r="MD26" s="1882"/>
      <c r="MF26" s="1887"/>
      <c r="MG26" s="1888"/>
      <c r="MH26" s="1882"/>
      <c r="MI26" s="1882"/>
      <c r="MJ26" s="1882"/>
      <c r="ML26" s="1887"/>
      <c r="MM26" s="1888"/>
      <c r="MN26" s="1882"/>
      <c r="MO26" s="1882"/>
      <c r="MP26" s="1882"/>
      <c r="MR26" s="1887"/>
      <c r="MS26" s="1888"/>
      <c r="MT26" s="1882"/>
      <c r="MU26" s="1882"/>
      <c r="MV26" s="1882"/>
      <c r="MX26" s="1887"/>
      <c r="MY26" s="1888"/>
      <c r="MZ26" s="1882"/>
      <c r="NA26" s="1882"/>
      <c r="NB26" s="1882"/>
      <c r="ND26" s="1887"/>
      <c r="NE26" s="1888"/>
      <c r="NF26" s="1882"/>
      <c r="NG26" s="1882"/>
      <c r="NH26" s="1882"/>
      <c r="NJ26" s="1887"/>
      <c r="NK26" s="1888"/>
      <c r="NL26" s="1882"/>
      <c r="NM26" s="1882"/>
      <c r="NN26" s="1882"/>
      <c r="NP26" s="1887"/>
      <c r="NQ26" s="1888"/>
      <c r="NR26" s="1882"/>
      <c r="NS26" s="1882"/>
      <c r="NT26" s="1882"/>
      <c r="NV26" s="1887"/>
      <c r="NW26" s="1888"/>
      <c r="NX26" s="1882"/>
      <c r="NY26" s="1882"/>
      <c r="NZ26" s="1882"/>
      <c r="OB26" s="1887"/>
      <c r="OC26" s="1888"/>
      <c r="OD26" s="1882"/>
      <c r="OE26" s="1882"/>
      <c r="OF26" s="1882"/>
      <c r="OH26" s="1887"/>
      <c r="OI26" s="1888"/>
      <c r="OJ26" s="1882"/>
      <c r="OK26" s="1882"/>
      <c r="OL26" s="1882"/>
      <c r="ON26" s="1887"/>
      <c r="OO26" s="1888"/>
      <c r="OP26" s="1882"/>
      <c r="OQ26" s="1882"/>
      <c r="OR26" s="1882"/>
      <c r="OT26" s="1887"/>
      <c r="OU26" s="1888"/>
      <c r="OV26" s="1882"/>
      <c r="OW26" s="1882"/>
      <c r="OX26" s="1882"/>
      <c r="OZ26" s="1887"/>
      <c r="PA26" s="1888"/>
      <c r="PB26" s="1882"/>
      <c r="PC26" s="1882"/>
      <c r="PD26" s="1882"/>
      <c r="PF26" s="1887"/>
      <c r="PG26" s="1888"/>
      <c r="PH26" s="1882"/>
      <c r="PI26" s="1882"/>
      <c r="PJ26" s="1882"/>
      <c r="PL26" s="1887"/>
      <c r="PM26" s="1888"/>
      <c r="PN26" s="1882"/>
      <c r="PO26" s="1882"/>
      <c r="PP26" s="1882"/>
      <c r="PR26" s="1887"/>
      <c r="PS26" s="1888"/>
      <c r="PT26" s="1882"/>
      <c r="PU26" s="1882"/>
      <c r="PV26" s="1882"/>
      <c r="PX26" s="1887"/>
      <c r="PY26" s="1888"/>
      <c r="PZ26" s="1882"/>
      <c r="QA26" s="1882"/>
      <c r="QB26" s="1882"/>
      <c r="QD26" s="1887"/>
      <c r="QE26" s="1888"/>
      <c r="QF26" s="1882"/>
      <c r="QG26" s="1882"/>
      <c r="QH26" s="1882"/>
      <c r="QJ26" s="1887"/>
      <c r="QK26" s="1888"/>
      <c r="QL26" s="1882"/>
      <c r="QM26" s="1882"/>
      <c r="QN26" s="1882"/>
      <c r="QP26" s="1887"/>
      <c r="QQ26" s="1888"/>
      <c r="QR26" s="1882"/>
      <c r="QS26" s="1882"/>
      <c r="QT26" s="1882"/>
      <c r="QV26" s="1887"/>
      <c r="QW26" s="1888"/>
      <c r="QX26" s="1882"/>
      <c r="QY26" s="1882"/>
      <c r="QZ26" s="1882"/>
      <c r="RB26" s="1887"/>
      <c r="RC26" s="1888"/>
      <c r="RD26" s="1882"/>
      <c r="RE26" s="1882"/>
      <c r="RF26" s="1882"/>
      <c r="RH26" s="1887"/>
      <c r="RI26" s="1888"/>
      <c r="RJ26" s="1882"/>
      <c r="RK26" s="1882"/>
      <c r="RL26" s="1882"/>
      <c r="RN26" s="1887"/>
      <c r="RO26" s="1888"/>
      <c r="RP26" s="1882"/>
      <c r="RQ26" s="1882"/>
      <c r="RR26" s="1882"/>
      <c r="RT26" s="1887"/>
      <c r="RU26" s="1888"/>
      <c r="RV26" s="1882"/>
      <c r="RW26" s="1882"/>
      <c r="RX26" s="1882"/>
      <c r="RZ26" s="1887"/>
      <c r="SA26" s="1888"/>
      <c r="SB26" s="1882"/>
      <c r="SC26" s="1882"/>
      <c r="SD26" s="1882"/>
      <c r="SF26" s="1887"/>
      <c r="SG26" s="1888"/>
      <c r="SH26" s="1882"/>
      <c r="SI26" s="1882"/>
      <c r="SJ26" s="1882"/>
      <c r="SL26" s="1887"/>
      <c r="SM26" s="1888"/>
      <c r="SN26" s="1882"/>
      <c r="SO26" s="1882"/>
      <c r="SP26" s="1882"/>
      <c r="SR26" s="1887"/>
      <c r="SS26" s="1888"/>
      <c r="ST26" s="1882"/>
      <c r="SU26" s="1882"/>
      <c r="SV26" s="1882"/>
      <c r="SX26" s="1887"/>
      <c r="SY26" s="1888"/>
      <c r="SZ26" s="1882"/>
      <c r="TA26" s="1882"/>
      <c r="TB26" s="1882"/>
      <c r="TD26" s="1887"/>
      <c r="TE26" s="1888"/>
      <c r="TF26" s="1882"/>
      <c r="TG26" s="1882"/>
      <c r="TH26" s="1882"/>
      <c r="TJ26" s="1887"/>
      <c r="TK26" s="1888"/>
      <c r="TL26" s="1882"/>
      <c r="TM26" s="1882"/>
      <c r="TN26" s="1882"/>
      <c r="TP26" s="1887"/>
      <c r="TQ26" s="1888"/>
      <c r="TR26" s="1882"/>
      <c r="TS26" s="1882"/>
      <c r="TT26" s="1882"/>
      <c r="TV26" s="1887"/>
      <c r="TW26" s="1888"/>
      <c r="TX26" s="1882"/>
      <c r="TY26" s="1882"/>
      <c r="TZ26" s="1882"/>
      <c r="UB26" s="1887"/>
      <c r="UC26" s="1888"/>
      <c r="UD26" s="1882"/>
      <c r="UE26" s="1882"/>
      <c r="UF26" s="1882"/>
      <c r="UH26" s="1887"/>
      <c r="UI26" s="1888"/>
      <c r="UJ26" s="1882"/>
      <c r="UK26" s="1882"/>
      <c r="UL26" s="1882"/>
      <c r="UN26" s="1887"/>
      <c r="UO26" s="1888"/>
      <c r="UP26" s="1882"/>
      <c r="UQ26" s="1882"/>
      <c r="UR26" s="1882"/>
      <c r="UT26" s="1887"/>
      <c r="UU26" s="1888"/>
      <c r="UV26" s="1882"/>
      <c r="UW26" s="1882"/>
      <c r="UX26" s="1882"/>
      <c r="UZ26" s="1887"/>
      <c r="VA26" s="1888"/>
      <c r="VB26" s="1882"/>
      <c r="VC26" s="1882"/>
      <c r="VD26" s="1882"/>
      <c r="VF26" s="1887"/>
      <c r="VG26" s="1888"/>
      <c r="VH26" s="1882"/>
      <c r="VI26" s="1882"/>
      <c r="VJ26" s="1882"/>
      <c r="VL26" s="1887"/>
      <c r="VM26" s="1888"/>
      <c r="VN26" s="1882"/>
      <c r="VO26" s="1882"/>
      <c r="VP26" s="1882"/>
      <c r="VR26" s="1887"/>
      <c r="VS26" s="1888"/>
      <c r="VT26" s="1882"/>
      <c r="VU26" s="1882"/>
      <c r="VV26" s="1882"/>
      <c r="VX26" s="1887"/>
      <c r="VY26" s="1888"/>
      <c r="VZ26" s="1882"/>
      <c r="WA26" s="1882"/>
      <c r="WB26" s="1882"/>
      <c r="WD26" s="1887"/>
      <c r="WE26" s="1888"/>
      <c r="WF26" s="1882"/>
      <c r="WG26" s="1882"/>
      <c r="WH26" s="1882"/>
      <c r="WJ26" s="1887"/>
      <c r="WK26" s="1888"/>
      <c r="WL26" s="1882"/>
      <c r="WM26" s="1882"/>
      <c r="WN26" s="1882"/>
      <c r="WP26" s="1887"/>
      <c r="WQ26" s="1888"/>
      <c r="WR26" s="1882"/>
      <c r="WS26" s="1882"/>
      <c r="WT26" s="1882"/>
      <c r="WV26" s="1887"/>
      <c r="WW26" s="1888"/>
      <c r="WX26" s="1882"/>
      <c r="WY26" s="1882"/>
      <c r="WZ26" s="1882"/>
      <c r="XB26" s="1887"/>
      <c r="XC26" s="1888"/>
      <c r="XD26" s="1882"/>
      <c r="XE26" s="1882"/>
      <c r="XF26" s="1882"/>
      <c r="XH26" s="1887"/>
      <c r="XI26" s="1888"/>
      <c r="XJ26" s="1882"/>
      <c r="XK26" s="1882"/>
      <c r="XL26" s="1882"/>
      <c r="XN26" s="1887"/>
      <c r="XO26" s="1888"/>
      <c r="XP26" s="1882"/>
      <c r="XQ26" s="1882"/>
      <c r="XR26" s="1882"/>
      <c r="XT26" s="1887"/>
      <c r="XU26" s="1888"/>
      <c r="XV26" s="1882"/>
      <c r="XW26" s="1882"/>
      <c r="XX26" s="1882"/>
      <c r="XZ26" s="1887"/>
      <c r="YA26" s="1888"/>
      <c r="YB26" s="1882"/>
      <c r="YC26" s="1882"/>
      <c r="YD26" s="1882"/>
      <c r="YF26" s="1887"/>
      <c r="YG26" s="1888"/>
      <c r="YH26" s="1882"/>
      <c r="YI26" s="1882"/>
      <c r="YJ26" s="1882"/>
      <c r="YL26" s="1887"/>
      <c r="YM26" s="1888"/>
      <c r="YN26" s="1882"/>
      <c r="YO26" s="1882"/>
      <c r="YP26" s="1882"/>
      <c r="YR26" s="1887"/>
      <c r="YS26" s="1888"/>
      <c r="YT26" s="1882"/>
      <c r="YU26" s="1882"/>
      <c r="YV26" s="1882"/>
      <c r="YX26" s="1887"/>
      <c r="YY26" s="1888"/>
      <c r="YZ26" s="1882"/>
      <c r="ZA26" s="1882"/>
      <c r="ZB26" s="1882"/>
      <c r="ZD26" s="1887"/>
      <c r="ZE26" s="1888"/>
      <c r="ZF26" s="1882"/>
      <c r="ZG26" s="1882"/>
      <c r="ZH26" s="1882"/>
      <c r="ZJ26" s="1887"/>
      <c r="ZK26" s="1888"/>
      <c r="ZL26" s="1882"/>
      <c r="ZM26" s="1882"/>
      <c r="ZN26" s="1882"/>
      <c r="ZP26" s="1887"/>
      <c r="ZQ26" s="1888"/>
      <c r="ZR26" s="1882"/>
      <c r="ZS26" s="1882"/>
      <c r="ZT26" s="1882"/>
      <c r="ZV26" s="1887"/>
      <c r="ZW26" s="1888"/>
      <c r="ZX26" s="1882"/>
      <c r="ZY26" s="1882"/>
      <c r="ZZ26" s="1882"/>
      <c r="AAB26" s="1887"/>
      <c r="AAC26" s="1888"/>
      <c r="AAD26" s="1882"/>
      <c r="AAE26" s="1882"/>
      <c r="AAF26" s="1882"/>
      <c r="AAH26" s="1887"/>
      <c r="AAI26" s="1888"/>
      <c r="AAJ26" s="1882"/>
      <c r="AAK26" s="1882"/>
      <c r="AAL26" s="1882"/>
      <c r="AAN26" s="1887"/>
      <c r="AAO26" s="1888"/>
      <c r="AAP26" s="1882"/>
      <c r="AAQ26" s="1882"/>
      <c r="AAR26" s="1882"/>
      <c r="AAT26" s="1887"/>
      <c r="AAU26" s="1888"/>
      <c r="AAV26" s="1882"/>
      <c r="AAW26" s="1882"/>
      <c r="AAX26" s="1882"/>
      <c r="AAZ26" s="1887"/>
      <c r="ABA26" s="1888"/>
      <c r="ABB26" s="1882"/>
      <c r="ABC26" s="1882"/>
      <c r="ABD26" s="1882"/>
      <c r="ABF26" s="1887"/>
      <c r="ABG26" s="1888"/>
      <c r="ABH26" s="1882"/>
      <c r="ABI26" s="1882"/>
      <c r="ABJ26" s="1882"/>
      <c r="ABL26" s="1887"/>
      <c r="ABM26" s="1888"/>
      <c r="ABN26" s="1882"/>
      <c r="ABO26" s="1882"/>
      <c r="ABP26" s="1882"/>
      <c r="ABR26" s="1887"/>
      <c r="ABS26" s="1888"/>
      <c r="ABT26" s="1882"/>
      <c r="ABU26" s="1882"/>
      <c r="ABV26" s="1882"/>
      <c r="ABX26" s="1887"/>
      <c r="ABY26" s="1888"/>
      <c r="ABZ26" s="1882"/>
      <c r="ACA26" s="1882"/>
      <c r="ACB26" s="1882"/>
      <c r="ACD26" s="1887"/>
      <c r="ACE26" s="1888"/>
      <c r="ACF26" s="1882"/>
      <c r="ACG26" s="1882"/>
      <c r="ACH26" s="1882"/>
      <c r="ACJ26" s="1887"/>
      <c r="ACK26" s="1888"/>
      <c r="ACL26" s="1882"/>
      <c r="ACM26" s="1882"/>
      <c r="ACN26" s="1882"/>
      <c r="ACP26" s="1887"/>
      <c r="ACQ26" s="1888"/>
      <c r="ACR26" s="1882"/>
      <c r="ACS26" s="1882"/>
      <c r="ACT26" s="1882"/>
      <c r="ACV26" s="1887"/>
      <c r="ACW26" s="1888"/>
      <c r="ACX26" s="1882"/>
      <c r="ACY26" s="1882"/>
      <c r="ACZ26" s="1882"/>
      <c r="ADB26" s="1887"/>
      <c r="ADC26" s="1888"/>
      <c r="ADD26" s="1882"/>
      <c r="ADE26" s="1882"/>
      <c r="ADF26" s="1882"/>
      <c r="ADH26" s="1887"/>
      <c r="ADI26" s="1888"/>
      <c r="ADJ26" s="1882"/>
      <c r="ADK26" s="1882"/>
      <c r="ADL26" s="1882"/>
      <c r="ADN26" s="1887"/>
      <c r="ADO26" s="1888"/>
      <c r="ADP26" s="1882"/>
      <c r="ADQ26" s="1882"/>
      <c r="ADR26" s="1882"/>
      <c r="ADT26" s="1887"/>
      <c r="ADU26" s="1888"/>
      <c r="ADV26" s="1882"/>
      <c r="ADW26" s="1882"/>
      <c r="ADX26" s="1882"/>
      <c r="ADZ26" s="1887"/>
      <c r="AEA26" s="1888"/>
      <c r="AEB26" s="1882"/>
      <c r="AEC26" s="1882"/>
      <c r="AED26" s="1882"/>
      <c r="AEF26" s="1887"/>
      <c r="AEG26" s="1888"/>
      <c r="AEH26" s="1882"/>
      <c r="AEI26" s="1882"/>
      <c r="AEJ26" s="1882"/>
      <c r="AEL26" s="1887"/>
      <c r="AEM26" s="1888"/>
      <c r="AEN26" s="1882"/>
      <c r="AEO26" s="1882"/>
      <c r="AEP26" s="1882"/>
      <c r="AER26" s="1887"/>
      <c r="AES26" s="1888"/>
      <c r="AET26" s="1882"/>
      <c r="AEU26" s="1882"/>
      <c r="AEV26" s="1882"/>
      <c r="AEX26" s="1887"/>
      <c r="AEY26" s="1888"/>
      <c r="AEZ26" s="1882"/>
      <c r="AFA26" s="1882"/>
      <c r="AFB26" s="1882"/>
      <c r="AFD26" s="1887"/>
      <c r="AFE26" s="1888"/>
      <c r="AFF26" s="1882"/>
      <c r="AFG26" s="1882"/>
      <c r="AFH26" s="1882"/>
      <c r="AFJ26" s="1887"/>
      <c r="AFK26" s="1888"/>
      <c r="AFL26" s="1882"/>
      <c r="AFM26" s="1882"/>
      <c r="AFN26" s="1882"/>
      <c r="AFP26" s="1887"/>
      <c r="AFQ26" s="1888"/>
      <c r="AFR26" s="1882"/>
      <c r="AFS26" s="1882"/>
      <c r="AFT26" s="1882"/>
      <c r="AFV26" s="1887"/>
      <c r="AFW26" s="1888"/>
      <c r="AFX26" s="1882"/>
      <c r="AFY26" s="1882"/>
      <c r="AFZ26" s="1882"/>
      <c r="AGB26" s="1887"/>
      <c r="AGC26" s="1888"/>
      <c r="AGD26" s="1882"/>
      <c r="AGE26" s="1882"/>
      <c r="AGF26" s="1882"/>
      <c r="AGH26" s="1887"/>
      <c r="AGI26" s="1888"/>
      <c r="AGJ26" s="1882"/>
      <c r="AGK26" s="1882"/>
      <c r="AGL26" s="1882"/>
      <c r="AGN26" s="1887"/>
      <c r="AGO26" s="1888"/>
      <c r="AGP26" s="1882"/>
      <c r="AGQ26" s="1882"/>
      <c r="AGR26" s="1882"/>
      <c r="AGT26" s="1887"/>
      <c r="AGU26" s="1888"/>
      <c r="AGV26" s="1882"/>
      <c r="AGW26" s="1882"/>
      <c r="AGX26" s="1882"/>
      <c r="AGZ26" s="1887"/>
      <c r="AHA26" s="1888"/>
      <c r="AHB26" s="1882"/>
      <c r="AHC26" s="1882"/>
      <c r="AHD26" s="1882"/>
      <c r="AHF26" s="1887"/>
      <c r="AHG26" s="1888"/>
      <c r="AHH26" s="1882"/>
      <c r="AHI26" s="1882"/>
      <c r="AHJ26" s="1882"/>
      <c r="AHL26" s="1887"/>
      <c r="AHM26" s="1888"/>
      <c r="AHN26" s="1882"/>
      <c r="AHO26" s="1882"/>
      <c r="AHP26" s="1882"/>
      <c r="AHR26" s="1887"/>
      <c r="AHS26" s="1888"/>
      <c r="AHT26" s="1882"/>
      <c r="AHU26" s="1882"/>
      <c r="AHV26" s="1882"/>
      <c r="AHX26" s="1887"/>
      <c r="AHY26" s="1888"/>
      <c r="AHZ26" s="1882"/>
      <c r="AIA26" s="1882"/>
      <c r="AIB26" s="1882"/>
      <c r="AID26" s="1887"/>
      <c r="AIE26" s="1888"/>
      <c r="AIF26" s="1882"/>
      <c r="AIG26" s="1882"/>
      <c r="AIH26" s="1882"/>
      <c r="AIJ26" s="1887"/>
      <c r="AIK26" s="1888"/>
      <c r="AIL26" s="1882"/>
      <c r="AIM26" s="1882"/>
      <c r="AIN26" s="1882"/>
      <c r="AIP26" s="1887"/>
      <c r="AIQ26" s="1888"/>
      <c r="AIR26" s="1882"/>
      <c r="AIS26" s="1882"/>
      <c r="AIT26" s="1882"/>
      <c r="AIV26" s="1887"/>
      <c r="AIW26" s="1888"/>
      <c r="AIX26" s="1882"/>
      <c r="AIY26" s="1882"/>
      <c r="AIZ26" s="1882"/>
      <c r="AJB26" s="1887"/>
      <c r="AJC26" s="1888"/>
      <c r="AJD26" s="1882"/>
      <c r="AJE26" s="1882"/>
      <c r="AJF26" s="1882"/>
      <c r="AJH26" s="1887"/>
      <c r="AJI26" s="1888"/>
      <c r="AJJ26" s="1882"/>
      <c r="AJK26" s="1882"/>
      <c r="AJL26" s="1882"/>
      <c r="AJN26" s="1887"/>
      <c r="AJO26" s="1888"/>
      <c r="AJP26" s="1882"/>
      <c r="AJQ26" s="1882"/>
      <c r="AJR26" s="1882"/>
      <c r="AJT26" s="1887"/>
      <c r="AJU26" s="1888"/>
      <c r="AJV26" s="1882"/>
      <c r="AJW26" s="1882"/>
      <c r="AJX26" s="1882"/>
      <c r="AJZ26" s="1887"/>
      <c r="AKA26" s="1888"/>
      <c r="AKB26" s="1882"/>
      <c r="AKC26" s="1882"/>
      <c r="AKD26" s="1882"/>
      <c r="AKF26" s="1887"/>
      <c r="AKG26" s="1888"/>
      <c r="AKH26" s="1882"/>
      <c r="AKI26" s="1882"/>
      <c r="AKJ26" s="1882"/>
      <c r="AKL26" s="1887"/>
      <c r="AKM26" s="1888"/>
      <c r="AKN26" s="1882"/>
      <c r="AKO26" s="1882"/>
      <c r="AKP26" s="1882"/>
      <c r="AKR26" s="1887"/>
      <c r="AKS26" s="1888"/>
      <c r="AKT26" s="1882"/>
      <c r="AKU26" s="1882"/>
      <c r="AKV26" s="1882"/>
      <c r="AKX26" s="1887"/>
      <c r="AKY26" s="1888"/>
      <c r="AKZ26" s="1882"/>
      <c r="ALA26" s="1882"/>
      <c r="ALB26" s="1882"/>
      <c r="ALD26" s="1887"/>
      <c r="ALE26" s="1888"/>
      <c r="ALF26" s="1882"/>
      <c r="ALG26" s="1882"/>
      <c r="ALH26" s="1882"/>
      <c r="ALJ26" s="1887"/>
      <c r="ALK26" s="1888"/>
      <c r="ALL26" s="1882"/>
      <c r="ALM26" s="1882"/>
      <c r="ALN26" s="1882"/>
      <c r="ALP26" s="1887"/>
      <c r="ALQ26" s="1888"/>
      <c r="ALR26" s="1882"/>
      <c r="ALS26" s="1882"/>
      <c r="ALT26" s="1882"/>
      <c r="ALV26" s="1887"/>
      <c r="ALW26" s="1888"/>
      <c r="ALX26" s="1882"/>
      <c r="ALY26" s="1882"/>
      <c r="ALZ26" s="1882"/>
      <c r="AMB26" s="1887"/>
      <c r="AMC26" s="1888"/>
      <c r="AMD26" s="1882"/>
      <c r="AME26" s="1882"/>
      <c r="AMF26" s="1882"/>
      <c r="AMH26" s="1887"/>
      <c r="AMI26" s="1888"/>
      <c r="AMJ26" s="1882"/>
      <c r="AMK26" s="1882"/>
      <c r="AML26" s="1882"/>
      <c r="AMN26" s="1887"/>
      <c r="AMO26" s="1888"/>
      <c r="AMP26" s="1882"/>
      <c r="AMQ26" s="1882"/>
      <c r="AMR26" s="1882"/>
      <c r="AMT26" s="1887"/>
      <c r="AMU26" s="1888"/>
      <c r="AMV26" s="1882"/>
      <c r="AMW26" s="1882"/>
      <c r="AMX26" s="1882"/>
      <c r="AMZ26" s="1887"/>
      <c r="ANA26" s="1888"/>
      <c r="ANB26" s="1882"/>
      <c r="ANC26" s="1882"/>
      <c r="AND26" s="1882"/>
      <c r="ANF26" s="1887"/>
      <c r="ANG26" s="1888"/>
      <c r="ANH26" s="1882"/>
      <c r="ANI26" s="1882"/>
      <c r="ANJ26" s="1882"/>
      <c r="ANL26" s="1887"/>
      <c r="ANM26" s="1888"/>
      <c r="ANN26" s="1882"/>
      <c r="ANO26" s="1882"/>
      <c r="ANP26" s="1882"/>
      <c r="ANR26" s="1887"/>
      <c r="ANS26" s="1888"/>
      <c r="ANT26" s="1882"/>
      <c r="ANU26" s="1882"/>
      <c r="ANV26" s="1882"/>
      <c r="ANX26" s="1887"/>
      <c r="ANY26" s="1888"/>
      <c r="ANZ26" s="1882"/>
      <c r="AOA26" s="1882"/>
      <c r="AOB26" s="1882"/>
      <c r="AOD26" s="1887"/>
      <c r="AOE26" s="1888"/>
      <c r="AOF26" s="1882"/>
      <c r="AOG26" s="1882"/>
      <c r="AOH26" s="1882"/>
      <c r="AOJ26" s="1887"/>
      <c r="AOK26" s="1888"/>
      <c r="AOL26" s="1882"/>
      <c r="AOM26" s="1882"/>
      <c r="AON26" s="1882"/>
      <c r="AOP26" s="1887"/>
      <c r="AOQ26" s="1888"/>
      <c r="AOR26" s="1882"/>
      <c r="AOS26" s="1882"/>
      <c r="AOT26" s="1882"/>
      <c r="AOV26" s="1887"/>
      <c r="AOW26" s="1888"/>
      <c r="AOX26" s="1882"/>
      <c r="AOY26" s="1882"/>
      <c r="AOZ26" s="1882"/>
      <c r="APB26" s="1887"/>
      <c r="APC26" s="1888"/>
      <c r="APD26" s="1882"/>
      <c r="APE26" s="1882"/>
      <c r="APF26" s="1882"/>
      <c r="APH26" s="1887"/>
      <c r="API26" s="1888"/>
      <c r="APJ26" s="1882"/>
      <c r="APK26" s="1882"/>
      <c r="APL26" s="1882"/>
      <c r="APN26" s="1887"/>
      <c r="APO26" s="1888"/>
      <c r="APP26" s="1882"/>
      <c r="APQ26" s="1882"/>
      <c r="APR26" s="1882"/>
      <c r="APT26" s="1887"/>
      <c r="APU26" s="1888"/>
      <c r="APV26" s="1882"/>
      <c r="APW26" s="1882"/>
      <c r="APX26" s="1882"/>
      <c r="APZ26" s="1887"/>
      <c r="AQA26" s="1888"/>
      <c r="AQB26" s="1882"/>
      <c r="AQC26" s="1882"/>
      <c r="AQD26" s="1882"/>
      <c r="AQF26" s="1887"/>
      <c r="AQG26" s="1888"/>
      <c r="AQH26" s="1882"/>
      <c r="AQI26" s="1882"/>
      <c r="AQJ26" s="1882"/>
      <c r="AQL26" s="1887"/>
      <c r="AQM26" s="1888"/>
      <c r="AQN26" s="1882"/>
      <c r="AQO26" s="1882"/>
      <c r="AQP26" s="1882"/>
      <c r="AQR26" s="1887"/>
      <c r="AQS26" s="1888"/>
      <c r="AQT26" s="1882"/>
      <c r="AQU26" s="1882"/>
      <c r="AQV26" s="1882"/>
      <c r="AQX26" s="1887"/>
      <c r="AQY26" s="1888"/>
      <c r="AQZ26" s="1882"/>
      <c r="ARA26" s="1882"/>
      <c r="ARB26" s="1882"/>
      <c r="ARD26" s="1887"/>
      <c r="ARE26" s="1888"/>
      <c r="ARF26" s="1882"/>
      <c r="ARG26" s="1882"/>
      <c r="ARH26" s="1882"/>
      <c r="ARJ26" s="1887"/>
      <c r="ARK26" s="1888"/>
      <c r="ARL26" s="1882"/>
      <c r="ARM26" s="1882"/>
      <c r="ARN26" s="1882"/>
      <c r="ARP26" s="1887"/>
      <c r="ARQ26" s="1888"/>
      <c r="ARR26" s="1882"/>
      <c r="ARS26" s="1882"/>
      <c r="ART26" s="1882"/>
      <c r="ARV26" s="1887"/>
      <c r="ARW26" s="1888"/>
      <c r="ARX26" s="1882"/>
      <c r="ARY26" s="1882"/>
      <c r="ARZ26" s="1882"/>
      <c r="ASB26" s="1887"/>
      <c r="ASC26" s="1888"/>
      <c r="ASD26" s="1882"/>
      <c r="ASE26" s="1882"/>
      <c r="ASF26" s="1882"/>
      <c r="ASH26" s="1887"/>
      <c r="ASI26" s="1888"/>
      <c r="ASJ26" s="1882"/>
      <c r="ASK26" s="1882"/>
      <c r="ASL26" s="1882"/>
      <c r="ASN26" s="1887"/>
      <c r="ASO26" s="1888"/>
      <c r="ASP26" s="1882"/>
      <c r="ASQ26" s="1882"/>
      <c r="ASR26" s="1882"/>
      <c r="AST26" s="1887"/>
      <c r="ASU26" s="1888"/>
      <c r="ASV26" s="1882"/>
      <c r="ASW26" s="1882"/>
      <c r="ASX26" s="1882"/>
      <c r="ASZ26" s="1887"/>
      <c r="ATA26" s="1888"/>
      <c r="ATB26" s="1882"/>
      <c r="ATC26" s="1882"/>
      <c r="ATD26" s="1882"/>
      <c r="ATF26" s="1887"/>
      <c r="ATG26" s="1888"/>
      <c r="ATH26" s="1882"/>
      <c r="ATI26" s="1882"/>
      <c r="ATJ26" s="1882"/>
      <c r="ATL26" s="1887"/>
      <c r="ATM26" s="1888"/>
      <c r="ATN26" s="1882"/>
      <c r="ATO26" s="1882"/>
      <c r="ATP26" s="1882"/>
      <c r="ATR26" s="1887"/>
      <c r="ATS26" s="1888"/>
      <c r="ATT26" s="1882"/>
      <c r="ATU26" s="1882"/>
      <c r="ATV26" s="1882"/>
      <c r="ATX26" s="1887"/>
      <c r="ATY26" s="1888"/>
      <c r="ATZ26" s="1882"/>
      <c r="AUA26" s="1882"/>
      <c r="AUB26" s="1882"/>
      <c r="AUD26" s="1887"/>
      <c r="AUE26" s="1888"/>
      <c r="AUF26" s="1882"/>
      <c r="AUG26" s="1882"/>
      <c r="AUH26" s="1882"/>
      <c r="AUJ26" s="1887"/>
      <c r="AUK26" s="1888"/>
      <c r="AUL26" s="1882"/>
      <c r="AUM26" s="1882"/>
      <c r="AUN26" s="1882"/>
      <c r="AUP26" s="1887"/>
      <c r="AUQ26" s="1888"/>
      <c r="AUR26" s="1882"/>
      <c r="AUS26" s="1882"/>
      <c r="AUT26" s="1882"/>
      <c r="AUV26" s="1887"/>
      <c r="AUW26" s="1888"/>
      <c r="AUX26" s="1882"/>
      <c r="AUY26" s="1882"/>
      <c r="AUZ26" s="1882"/>
      <c r="AVB26" s="1887"/>
      <c r="AVC26" s="1888"/>
      <c r="AVD26" s="1882"/>
      <c r="AVE26" s="1882"/>
      <c r="AVF26" s="1882"/>
      <c r="AVH26" s="1887"/>
      <c r="AVI26" s="1888"/>
      <c r="AVJ26" s="1882"/>
      <c r="AVK26" s="1882"/>
      <c r="AVL26" s="1882"/>
      <c r="AVN26" s="1887"/>
      <c r="AVO26" s="1888"/>
      <c r="AVP26" s="1882"/>
      <c r="AVQ26" s="1882"/>
      <c r="AVR26" s="1882"/>
      <c r="AVT26" s="1887"/>
      <c r="AVU26" s="1888"/>
      <c r="AVV26" s="1882"/>
      <c r="AVW26" s="1882"/>
      <c r="AVX26" s="1882"/>
      <c r="AVZ26" s="1887"/>
      <c r="AWA26" s="1888"/>
      <c r="AWB26" s="1882"/>
      <c r="AWC26" s="1882"/>
      <c r="AWD26" s="1882"/>
      <c r="AWF26" s="1887"/>
      <c r="AWG26" s="1888"/>
      <c r="AWH26" s="1882"/>
      <c r="AWI26" s="1882"/>
      <c r="AWJ26" s="1882"/>
      <c r="AWL26" s="1887"/>
      <c r="AWM26" s="1888"/>
      <c r="AWN26" s="1882"/>
      <c r="AWO26" s="1882"/>
      <c r="AWP26" s="1882"/>
      <c r="AWR26" s="1887"/>
      <c r="AWS26" s="1888"/>
      <c r="AWT26" s="1882"/>
      <c r="AWU26" s="1882"/>
      <c r="AWV26" s="1882"/>
      <c r="AWX26" s="1887"/>
      <c r="AWY26" s="1888"/>
      <c r="AWZ26" s="1882"/>
      <c r="AXA26" s="1882"/>
      <c r="AXB26" s="1882"/>
      <c r="AXD26" s="1887"/>
      <c r="AXE26" s="1888"/>
      <c r="AXF26" s="1882"/>
      <c r="AXG26" s="1882"/>
      <c r="AXH26" s="1882"/>
      <c r="AXJ26" s="1887"/>
      <c r="AXK26" s="1888"/>
      <c r="AXL26" s="1882"/>
      <c r="AXM26" s="1882"/>
      <c r="AXN26" s="1882"/>
      <c r="AXP26" s="1887"/>
      <c r="AXQ26" s="1888"/>
      <c r="AXR26" s="1882"/>
      <c r="AXS26" s="1882"/>
      <c r="AXT26" s="1882"/>
      <c r="AXV26" s="1887"/>
      <c r="AXW26" s="1888"/>
      <c r="AXX26" s="1882"/>
      <c r="AXY26" s="1882"/>
      <c r="AXZ26" s="1882"/>
      <c r="AYB26" s="1887"/>
      <c r="AYC26" s="1888"/>
      <c r="AYD26" s="1882"/>
      <c r="AYE26" s="1882"/>
      <c r="AYF26" s="1882"/>
      <c r="AYH26" s="1887"/>
      <c r="AYI26" s="1888"/>
      <c r="AYJ26" s="1882"/>
      <c r="AYK26" s="1882"/>
      <c r="AYL26" s="1882"/>
      <c r="AYN26" s="1887"/>
      <c r="AYO26" s="1888"/>
      <c r="AYP26" s="1882"/>
      <c r="AYQ26" s="1882"/>
      <c r="AYR26" s="1882"/>
      <c r="AYT26" s="1887"/>
      <c r="AYU26" s="1888"/>
      <c r="AYV26" s="1882"/>
      <c r="AYW26" s="1882"/>
      <c r="AYX26" s="1882"/>
      <c r="AYZ26" s="1887"/>
      <c r="AZA26" s="1888"/>
      <c r="AZB26" s="1882"/>
      <c r="AZC26" s="1882"/>
      <c r="AZD26" s="1882"/>
      <c r="AZF26" s="1887"/>
      <c r="AZG26" s="1888"/>
      <c r="AZH26" s="1882"/>
      <c r="AZI26" s="1882"/>
      <c r="AZJ26" s="1882"/>
      <c r="AZL26" s="1887"/>
      <c r="AZM26" s="1888"/>
      <c r="AZN26" s="1882"/>
      <c r="AZO26" s="1882"/>
      <c r="AZP26" s="1882"/>
      <c r="AZR26" s="1887"/>
      <c r="AZS26" s="1888"/>
      <c r="AZT26" s="1882"/>
      <c r="AZU26" s="1882"/>
      <c r="AZV26" s="1882"/>
      <c r="AZX26" s="1887"/>
      <c r="AZY26" s="1888"/>
      <c r="AZZ26" s="1882"/>
      <c r="BAA26" s="1882"/>
      <c r="BAB26" s="1882"/>
      <c r="BAD26" s="1887"/>
      <c r="BAE26" s="1888"/>
      <c r="BAF26" s="1882"/>
      <c r="BAG26" s="1882"/>
      <c r="BAH26" s="1882"/>
      <c r="BAJ26" s="1887"/>
      <c r="BAK26" s="1888"/>
      <c r="BAL26" s="1882"/>
      <c r="BAM26" s="1882"/>
      <c r="BAN26" s="1882"/>
      <c r="BAP26" s="1887"/>
      <c r="BAQ26" s="1888"/>
      <c r="BAR26" s="1882"/>
      <c r="BAS26" s="1882"/>
      <c r="BAT26" s="1882"/>
      <c r="BAV26" s="1887"/>
      <c r="BAW26" s="1888"/>
      <c r="BAX26" s="1882"/>
      <c r="BAY26" s="1882"/>
      <c r="BAZ26" s="1882"/>
      <c r="BBB26" s="1887"/>
      <c r="BBC26" s="1888"/>
      <c r="BBD26" s="1882"/>
      <c r="BBE26" s="1882"/>
      <c r="BBF26" s="1882"/>
      <c r="BBH26" s="1887"/>
      <c r="BBI26" s="1888"/>
      <c r="BBJ26" s="1882"/>
      <c r="BBK26" s="1882"/>
      <c r="BBL26" s="1882"/>
      <c r="BBN26" s="1887"/>
      <c r="BBO26" s="1888"/>
      <c r="BBP26" s="1882"/>
      <c r="BBQ26" s="1882"/>
      <c r="BBR26" s="1882"/>
      <c r="BBT26" s="1887"/>
      <c r="BBU26" s="1888"/>
      <c r="BBV26" s="1882"/>
      <c r="BBW26" s="1882"/>
      <c r="BBX26" s="1882"/>
      <c r="BBZ26" s="1887"/>
      <c r="BCA26" s="1888"/>
      <c r="BCB26" s="1882"/>
      <c r="BCC26" s="1882"/>
      <c r="BCD26" s="1882"/>
      <c r="BCF26" s="1887"/>
      <c r="BCG26" s="1888"/>
      <c r="BCH26" s="1882"/>
      <c r="BCI26" s="1882"/>
      <c r="BCJ26" s="1882"/>
      <c r="BCL26" s="1887"/>
      <c r="BCM26" s="1888"/>
      <c r="BCN26" s="1882"/>
      <c r="BCO26" s="1882"/>
      <c r="BCP26" s="1882"/>
      <c r="BCR26" s="1887"/>
      <c r="BCS26" s="1888"/>
      <c r="BCT26" s="1882"/>
      <c r="BCU26" s="1882"/>
      <c r="BCV26" s="1882"/>
      <c r="BCX26" s="1887"/>
      <c r="BCY26" s="1888"/>
      <c r="BCZ26" s="1882"/>
      <c r="BDA26" s="1882"/>
      <c r="BDB26" s="1882"/>
      <c r="BDD26" s="1887"/>
      <c r="BDE26" s="1888"/>
      <c r="BDF26" s="1882"/>
      <c r="BDG26" s="1882"/>
      <c r="BDH26" s="1882"/>
      <c r="BDJ26" s="1887"/>
      <c r="BDK26" s="1888"/>
      <c r="BDL26" s="1882"/>
      <c r="BDM26" s="1882"/>
      <c r="BDN26" s="1882"/>
      <c r="BDP26" s="1887"/>
      <c r="BDQ26" s="1888"/>
      <c r="BDR26" s="1882"/>
      <c r="BDS26" s="1882"/>
      <c r="BDT26" s="1882"/>
      <c r="BDV26" s="1887"/>
      <c r="BDW26" s="1888"/>
      <c r="BDX26" s="1882"/>
      <c r="BDY26" s="1882"/>
      <c r="BDZ26" s="1882"/>
      <c r="BEB26" s="1887"/>
      <c r="BEC26" s="1888"/>
      <c r="BED26" s="1882"/>
      <c r="BEE26" s="1882"/>
      <c r="BEF26" s="1882"/>
      <c r="BEH26" s="1887"/>
      <c r="BEI26" s="1888"/>
      <c r="BEJ26" s="1882"/>
      <c r="BEK26" s="1882"/>
      <c r="BEL26" s="1882"/>
      <c r="BEN26" s="1887"/>
      <c r="BEO26" s="1888"/>
      <c r="BEP26" s="1882"/>
      <c r="BEQ26" s="1882"/>
      <c r="BER26" s="1882"/>
      <c r="BET26" s="1887"/>
      <c r="BEU26" s="1888"/>
      <c r="BEV26" s="1882"/>
      <c r="BEW26" s="1882"/>
      <c r="BEX26" s="1882"/>
      <c r="BEZ26" s="1887"/>
      <c r="BFA26" s="1888"/>
      <c r="BFB26" s="1882"/>
      <c r="BFC26" s="1882"/>
      <c r="BFD26" s="1882"/>
      <c r="BFF26" s="1887"/>
      <c r="BFG26" s="1888"/>
      <c r="BFH26" s="1882"/>
      <c r="BFI26" s="1882"/>
      <c r="BFJ26" s="1882"/>
      <c r="BFL26" s="1887"/>
      <c r="BFM26" s="1888"/>
      <c r="BFN26" s="1882"/>
      <c r="BFO26" s="1882"/>
      <c r="BFP26" s="1882"/>
      <c r="BFR26" s="1887"/>
      <c r="BFS26" s="1888"/>
      <c r="BFT26" s="1882"/>
      <c r="BFU26" s="1882"/>
      <c r="BFV26" s="1882"/>
      <c r="BFX26" s="1887"/>
      <c r="BFY26" s="1888"/>
      <c r="BFZ26" s="1882"/>
      <c r="BGA26" s="1882"/>
      <c r="BGB26" s="1882"/>
      <c r="BGD26" s="1887"/>
      <c r="BGE26" s="1888"/>
      <c r="BGF26" s="1882"/>
      <c r="BGG26" s="1882"/>
      <c r="BGH26" s="1882"/>
      <c r="BGJ26" s="1887"/>
      <c r="BGK26" s="1888"/>
      <c r="BGL26" s="1882"/>
      <c r="BGM26" s="1882"/>
      <c r="BGN26" s="1882"/>
      <c r="BGP26" s="1887"/>
      <c r="BGQ26" s="1888"/>
      <c r="BGR26" s="1882"/>
      <c r="BGS26" s="1882"/>
      <c r="BGT26" s="1882"/>
      <c r="BGV26" s="1887"/>
      <c r="BGW26" s="1888"/>
      <c r="BGX26" s="1882"/>
      <c r="BGY26" s="1882"/>
      <c r="BGZ26" s="1882"/>
      <c r="BHB26" s="1887"/>
      <c r="BHC26" s="1888"/>
      <c r="BHD26" s="1882"/>
      <c r="BHE26" s="1882"/>
      <c r="BHF26" s="1882"/>
      <c r="BHH26" s="1887"/>
      <c r="BHI26" s="1888"/>
      <c r="BHJ26" s="1882"/>
      <c r="BHK26" s="1882"/>
      <c r="BHL26" s="1882"/>
      <c r="BHN26" s="1887"/>
      <c r="BHO26" s="1888"/>
      <c r="BHP26" s="1882"/>
      <c r="BHQ26" s="1882"/>
      <c r="BHR26" s="1882"/>
      <c r="BHT26" s="1887"/>
      <c r="BHU26" s="1888"/>
      <c r="BHV26" s="1882"/>
      <c r="BHW26" s="1882"/>
      <c r="BHX26" s="1882"/>
      <c r="BHZ26" s="1887"/>
      <c r="BIA26" s="1888"/>
      <c r="BIB26" s="1882"/>
      <c r="BIC26" s="1882"/>
      <c r="BID26" s="1882"/>
      <c r="BIF26" s="1887"/>
      <c r="BIG26" s="1888"/>
      <c r="BIH26" s="1882"/>
      <c r="BII26" s="1882"/>
      <c r="BIJ26" s="1882"/>
      <c r="BIL26" s="1887"/>
      <c r="BIM26" s="1888"/>
      <c r="BIN26" s="1882"/>
      <c r="BIO26" s="1882"/>
      <c r="BIP26" s="1882"/>
      <c r="BIR26" s="1887"/>
      <c r="BIS26" s="1888"/>
      <c r="BIT26" s="1882"/>
      <c r="BIU26" s="1882"/>
      <c r="BIV26" s="1882"/>
      <c r="BIX26" s="1887"/>
      <c r="BIY26" s="1888"/>
      <c r="BIZ26" s="1882"/>
      <c r="BJA26" s="1882"/>
      <c r="BJB26" s="1882"/>
      <c r="BJD26" s="1887"/>
      <c r="BJE26" s="1888"/>
      <c r="BJF26" s="1882"/>
      <c r="BJG26" s="1882"/>
      <c r="BJH26" s="1882"/>
      <c r="BJJ26" s="1887"/>
      <c r="BJK26" s="1888"/>
      <c r="BJL26" s="1882"/>
      <c r="BJM26" s="1882"/>
      <c r="BJN26" s="1882"/>
      <c r="BJP26" s="1887"/>
      <c r="BJQ26" s="1888"/>
      <c r="BJR26" s="1882"/>
      <c r="BJS26" s="1882"/>
      <c r="BJT26" s="1882"/>
      <c r="BJV26" s="1887"/>
      <c r="BJW26" s="1888"/>
      <c r="BJX26" s="1882"/>
      <c r="BJY26" s="1882"/>
      <c r="BJZ26" s="1882"/>
      <c r="BKB26" s="1887"/>
      <c r="BKC26" s="1888"/>
      <c r="BKD26" s="1882"/>
      <c r="BKE26" s="1882"/>
      <c r="BKF26" s="1882"/>
      <c r="BKH26" s="1887"/>
      <c r="BKI26" s="1888"/>
      <c r="BKJ26" s="1882"/>
      <c r="BKK26" s="1882"/>
      <c r="BKL26" s="1882"/>
      <c r="BKN26" s="1887"/>
      <c r="BKO26" s="1888"/>
      <c r="BKP26" s="1882"/>
      <c r="BKQ26" s="1882"/>
      <c r="BKR26" s="1882"/>
      <c r="BKT26" s="1887"/>
      <c r="BKU26" s="1888"/>
      <c r="BKV26" s="1882"/>
      <c r="BKW26" s="1882"/>
      <c r="BKX26" s="1882"/>
      <c r="BKZ26" s="1887"/>
      <c r="BLA26" s="1888"/>
      <c r="BLB26" s="1882"/>
      <c r="BLC26" s="1882"/>
      <c r="BLD26" s="1882"/>
      <c r="BLF26" s="1887"/>
      <c r="BLG26" s="1888"/>
      <c r="BLH26" s="1882"/>
      <c r="BLI26" s="1882"/>
      <c r="BLJ26" s="1882"/>
      <c r="BLL26" s="1887"/>
      <c r="BLM26" s="1888"/>
      <c r="BLN26" s="1882"/>
      <c r="BLO26" s="1882"/>
      <c r="BLP26" s="1882"/>
      <c r="BLR26" s="1887"/>
      <c r="BLS26" s="1888"/>
      <c r="BLT26" s="1882"/>
      <c r="BLU26" s="1882"/>
      <c r="BLV26" s="1882"/>
      <c r="BLX26" s="1887"/>
      <c r="BLY26" s="1888"/>
      <c r="BLZ26" s="1882"/>
      <c r="BMA26" s="1882"/>
      <c r="BMB26" s="1882"/>
      <c r="BMD26" s="1887"/>
      <c r="BME26" s="1888"/>
      <c r="BMF26" s="1882"/>
      <c r="BMG26" s="1882"/>
      <c r="BMH26" s="1882"/>
      <c r="BMJ26" s="1887"/>
      <c r="BMK26" s="1888"/>
      <c r="BML26" s="1882"/>
      <c r="BMM26" s="1882"/>
      <c r="BMN26" s="1882"/>
      <c r="BMP26" s="1887"/>
      <c r="BMQ26" s="1888"/>
      <c r="BMR26" s="1882"/>
      <c r="BMS26" s="1882"/>
      <c r="BMT26" s="1882"/>
      <c r="BMV26" s="1887"/>
      <c r="BMW26" s="1888"/>
      <c r="BMX26" s="1882"/>
      <c r="BMY26" s="1882"/>
      <c r="BMZ26" s="1882"/>
      <c r="BNB26" s="1887"/>
      <c r="BNC26" s="1888"/>
      <c r="BND26" s="1882"/>
      <c r="BNE26" s="1882"/>
      <c r="BNF26" s="1882"/>
      <c r="BNH26" s="1887"/>
      <c r="BNI26" s="1888"/>
      <c r="BNJ26" s="1882"/>
      <c r="BNK26" s="1882"/>
      <c r="BNL26" s="1882"/>
      <c r="BNN26" s="1887"/>
      <c r="BNO26" s="1888"/>
      <c r="BNP26" s="1882"/>
      <c r="BNQ26" s="1882"/>
      <c r="BNR26" s="1882"/>
      <c r="BNT26" s="1887"/>
      <c r="BNU26" s="1888"/>
      <c r="BNV26" s="1882"/>
      <c r="BNW26" s="1882"/>
      <c r="BNX26" s="1882"/>
      <c r="BNZ26" s="1887"/>
      <c r="BOA26" s="1888"/>
      <c r="BOB26" s="1882"/>
      <c r="BOC26" s="1882"/>
      <c r="BOD26" s="1882"/>
      <c r="BOF26" s="1887"/>
      <c r="BOG26" s="1888"/>
      <c r="BOH26" s="1882"/>
      <c r="BOI26" s="1882"/>
      <c r="BOJ26" s="1882"/>
      <c r="BOL26" s="1887"/>
      <c r="BOM26" s="1888"/>
      <c r="BON26" s="1882"/>
      <c r="BOO26" s="1882"/>
      <c r="BOP26" s="1882"/>
      <c r="BOR26" s="1887"/>
      <c r="BOS26" s="1888"/>
      <c r="BOT26" s="1882"/>
      <c r="BOU26" s="1882"/>
      <c r="BOV26" s="1882"/>
      <c r="BOX26" s="1887"/>
      <c r="BOY26" s="1888"/>
      <c r="BOZ26" s="1882"/>
      <c r="BPA26" s="1882"/>
      <c r="BPB26" s="1882"/>
      <c r="BPD26" s="1887"/>
      <c r="BPE26" s="1888"/>
      <c r="BPF26" s="1882"/>
      <c r="BPG26" s="1882"/>
      <c r="BPH26" s="1882"/>
      <c r="BPJ26" s="1887"/>
      <c r="BPK26" s="1888"/>
      <c r="BPL26" s="1882"/>
      <c r="BPM26" s="1882"/>
      <c r="BPN26" s="1882"/>
      <c r="BPP26" s="1887"/>
      <c r="BPQ26" s="1888"/>
      <c r="BPR26" s="1882"/>
      <c r="BPS26" s="1882"/>
      <c r="BPT26" s="1882"/>
      <c r="BPV26" s="1887"/>
      <c r="BPW26" s="1888"/>
      <c r="BPX26" s="1882"/>
      <c r="BPY26" s="1882"/>
      <c r="BPZ26" s="1882"/>
      <c r="BQB26" s="1887"/>
      <c r="BQC26" s="1888"/>
      <c r="BQD26" s="1882"/>
      <c r="BQE26" s="1882"/>
      <c r="BQF26" s="1882"/>
      <c r="BQH26" s="1887"/>
      <c r="BQI26" s="1888"/>
      <c r="BQJ26" s="1882"/>
      <c r="BQK26" s="1882"/>
      <c r="BQL26" s="1882"/>
      <c r="BQN26" s="1887"/>
      <c r="BQO26" s="1888"/>
      <c r="BQP26" s="1882"/>
      <c r="BQQ26" s="1882"/>
      <c r="BQR26" s="1882"/>
      <c r="BQT26" s="1887"/>
      <c r="BQU26" s="1888"/>
      <c r="BQV26" s="1882"/>
      <c r="BQW26" s="1882"/>
      <c r="BQX26" s="1882"/>
      <c r="BQZ26" s="1887"/>
      <c r="BRA26" s="1888"/>
      <c r="BRB26" s="1882"/>
      <c r="BRC26" s="1882"/>
      <c r="BRD26" s="1882"/>
      <c r="BRF26" s="1887"/>
      <c r="BRG26" s="1888"/>
      <c r="BRH26" s="1882"/>
      <c r="BRI26" s="1882"/>
      <c r="BRJ26" s="1882"/>
      <c r="BRL26" s="1887"/>
      <c r="BRM26" s="1888"/>
      <c r="BRN26" s="1882"/>
      <c r="BRO26" s="1882"/>
      <c r="BRP26" s="1882"/>
      <c r="BRR26" s="1887"/>
      <c r="BRS26" s="1888"/>
      <c r="BRT26" s="1882"/>
      <c r="BRU26" s="1882"/>
      <c r="BRV26" s="1882"/>
      <c r="BRX26" s="1887"/>
      <c r="BRY26" s="1888"/>
      <c r="BRZ26" s="1882"/>
      <c r="BSA26" s="1882"/>
      <c r="BSB26" s="1882"/>
      <c r="BSD26" s="1887"/>
      <c r="BSE26" s="1888"/>
      <c r="BSF26" s="1882"/>
      <c r="BSG26" s="1882"/>
      <c r="BSH26" s="1882"/>
      <c r="BSJ26" s="1887"/>
      <c r="BSK26" s="1888"/>
      <c r="BSL26" s="1882"/>
      <c r="BSM26" s="1882"/>
      <c r="BSN26" s="1882"/>
      <c r="BSP26" s="1887"/>
      <c r="BSQ26" s="1888"/>
      <c r="BSR26" s="1882"/>
      <c r="BSS26" s="1882"/>
      <c r="BST26" s="1882"/>
      <c r="BSV26" s="1887"/>
      <c r="BSW26" s="1888"/>
      <c r="BSX26" s="1882"/>
      <c r="BSY26" s="1882"/>
      <c r="BSZ26" s="1882"/>
      <c r="BTB26" s="1887"/>
      <c r="BTC26" s="1888"/>
      <c r="BTD26" s="1882"/>
      <c r="BTE26" s="1882"/>
      <c r="BTF26" s="1882"/>
      <c r="BTH26" s="1887"/>
      <c r="BTI26" s="1888"/>
      <c r="BTJ26" s="1882"/>
      <c r="BTK26" s="1882"/>
      <c r="BTL26" s="1882"/>
      <c r="BTN26" s="1887"/>
      <c r="BTO26" s="1888"/>
      <c r="BTP26" s="1882"/>
      <c r="BTQ26" s="1882"/>
      <c r="BTR26" s="1882"/>
      <c r="BTT26" s="1887"/>
      <c r="BTU26" s="1888"/>
      <c r="BTV26" s="1882"/>
      <c r="BTW26" s="1882"/>
      <c r="BTX26" s="1882"/>
      <c r="BTZ26" s="1887"/>
      <c r="BUA26" s="1888"/>
      <c r="BUB26" s="1882"/>
      <c r="BUC26" s="1882"/>
      <c r="BUD26" s="1882"/>
      <c r="BUF26" s="1887"/>
      <c r="BUG26" s="1888"/>
      <c r="BUH26" s="1882"/>
      <c r="BUI26" s="1882"/>
      <c r="BUJ26" s="1882"/>
      <c r="BUL26" s="1887"/>
      <c r="BUM26" s="1888"/>
      <c r="BUN26" s="1882"/>
      <c r="BUO26" s="1882"/>
      <c r="BUP26" s="1882"/>
      <c r="BUR26" s="1887"/>
      <c r="BUS26" s="1888"/>
      <c r="BUT26" s="1882"/>
      <c r="BUU26" s="1882"/>
      <c r="BUV26" s="1882"/>
      <c r="BUX26" s="1887"/>
      <c r="BUY26" s="1888"/>
      <c r="BUZ26" s="1882"/>
      <c r="BVA26" s="1882"/>
      <c r="BVB26" s="1882"/>
      <c r="BVD26" s="1887"/>
      <c r="BVE26" s="1888"/>
      <c r="BVF26" s="1882"/>
      <c r="BVG26" s="1882"/>
      <c r="BVH26" s="1882"/>
      <c r="BVJ26" s="1887"/>
      <c r="BVK26" s="1888"/>
      <c r="BVL26" s="1882"/>
      <c r="BVM26" s="1882"/>
      <c r="BVN26" s="1882"/>
      <c r="BVP26" s="1887"/>
      <c r="BVQ26" s="1888"/>
      <c r="BVR26" s="1882"/>
      <c r="BVS26" s="1882"/>
      <c r="BVT26" s="1882"/>
      <c r="BVV26" s="1887"/>
      <c r="BVW26" s="1888"/>
      <c r="BVX26" s="1882"/>
      <c r="BVY26" s="1882"/>
      <c r="BVZ26" s="1882"/>
      <c r="BWB26" s="1887"/>
      <c r="BWC26" s="1888"/>
      <c r="BWD26" s="1882"/>
      <c r="BWE26" s="1882"/>
      <c r="BWF26" s="1882"/>
      <c r="BWH26" s="1887"/>
      <c r="BWI26" s="1888"/>
      <c r="BWJ26" s="1882"/>
      <c r="BWK26" s="1882"/>
      <c r="BWL26" s="1882"/>
      <c r="BWN26" s="1887"/>
      <c r="BWO26" s="1888"/>
      <c r="BWP26" s="1882"/>
      <c r="BWQ26" s="1882"/>
      <c r="BWR26" s="1882"/>
      <c r="BWT26" s="1887"/>
      <c r="BWU26" s="1888"/>
      <c r="BWV26" s="1882"/>
      <c r="BWW26" s="1882"/>
      <c r="BWX26" s="1882"/>
      <c r="BWZ26" s="1887"/>
      <c r="BXA26" s="1888"/>
      <c r="BXB26" s="1882"/>
      <c r="BXC26" s="1882"/>
      <c r="BXD26" s="1882"/>
      <c r="BXF26" s="1887"/>
      <c r="BXG26" s="1888"/>
      <c r="BXH26" s="1882"/>
      <c r="BXI26" s="1882"/>
      <c r="BXJ26" s="1882"/>
      <c r="BXL26" s="1887"/>
      <c r="BXM26" s="1888"/>
      <c r="BXN26" s="1882"/>
      <c r="BXO26" s="1882"/>
      <c r="BXP26" s="1882"/>
      <c r="BXR26" s="1887"/>
      <c r="BXS26" s="1888"/>
      <c r="BXT26" s="1882"/>
      <c r="BXU26" s="1882"/>
      <c r="BXV26" s="1882"/>
      <c r="BXX26" s="1887"/>
      <c r="BXY26" s="1888"/>
      <c r="BXZ26" s="1882"/>
      <c r="BYA26" s="1882"/>
      <c r="BYB26" s="1882"/>
      <c r="BYD26" s="1887"/>
      <c r="BYE26" s="1888"/>
      <c r="BYF26" s="1882"/>
      <c r="BYG26" s="1882"/>
      <c r="BYH26" s="1882"/>
      <c r="BYJ26" s="1887"/>
      <c r="BYK26" s="1888"/>
      <c r="BYL26" s="1882"/>
      <c r="BYM26" s="1882"/>
      <c r="BYN26" s="1882"/>
      <c r="BYP26" s="1887"/>
      <c r="BYQ26" s="1888"/>
      <c r="BYR26" s="1882"/>
      <c r="BYS26" s="1882"/>
      <c r="BYT26" s="1882"/>
      <c r="BYV26" s="1887"/>
      <c r="BYW26" s="1888"/>
      <c r="BYX26" s="1882"/>
      <c r="BYY26" s="1882"/>
      <c r="BYZ26" s="1882"/>
      <c r="BZB26" s="1887"/>
      <c r="BZC26" s="1888"/>
      <c r="BZD26" s="1882"/>
      <c r="BZE26" s="1882"/>
      <c r="BZF26" s="1882"/>
      <c r="BZH26" s="1887"/>
      <c r="BZI26" s="1888"/>
      <c r="BZJ26" s="1882"/>
      <c r="BZK26" s="1882"/>
      <c r="BZL26" s="1882"/>
      <c r="BZN26" s="1887"/>
      <c r="BZO26" s="1888"/>
      <c r="BZP26" s="1882"/>
      <c r="BZQ26" s="1882"/>
      <c r="BZR26" s="1882"/>
      <c r="BZT26" s="1887"/>
      <c r="BZU26" s="1888"/>
      <c r="BZV26" s="1882"/>
      <c r="BZW26" s="1882"/>
      <c r="BZX26" s="1882"/>
      <c r="BZZ26" s="1887"/>
      <c r="CAA26" s="1888"/>
      <c r="CAB26" s="1882"/>
      <c r="CAC26" s="1882"/>
      <c r="CAD26" s="1882"/>
      <c r="CAF26" s="1887"/>
      <c r="CAG26" s="1888"/>
      <c r="CAH26" s="1882"/>
      <c r="CAI26" s="1882"/>
      <c r="CAJ26" s="1882"/>
      <c r="CAL26" s="1887"/>
      <c r="CAM26" s="1888"/>
      <c r="CAN26" s="1882"/>
      <c r="CAO26" s="1882"/>
      <c r="CAP26" s="1882"/>
      <c r="CAR26" s="1887"/>
      <c r="CAS26" s="1888"/>
      <c r="CAT26" s="1882"/>
      <c r="CAU26" s="1882"/>
      <c r="CAV26" s="1882"/>
      <c r="CAX26" s="1887"/>
      <c r="CAY26" s="1888"/>
      <c r="CAZ26" s="1882"/>
      <c r="CBA26" s="1882"/>
      <c r="CBB26" s="1882"/>
      <c r="CBD26" s="1887"/>
      <c r="CBE26" s="1888"/>
      <c r="CBF26" s="1882"/>
      <c r="CBG26" s="1882"/>
      <c r="CBH26" s="1882"/>
      <c r="CBJ26" s="1887"/>
      <c r="CBK26" s="1888"/>
      <c r="CBL26" s="1882"/>
      <c r="CBM26" s="1882"/>
      <c r="CBN26" s="1882"/>
      <c r="CBP26" s="1887"/>
      <c r="CBQ26" s="1888"/>
      <c r="CBR26" s="1882"/>
      <c r="CBS26" s="1882"/>
      <c r="CBT26" s="1882"/>
      <c r="CBV26" s="1887"/>
      <c r="CBW26" s="1888"/>
      <c r="CBX26" s="1882"/>
      <c r="CBY26" s="1882"/>
      <c r="CBZ26" s="1882"/>
      <c r="CCB26" s="1887"/>
      <c r="CCC26" s="1888"/>
      <c r="CCD26" s="1882"/>
      <c r="CCE26" s="1882"/>
      <c r="CCF26" s="1882"/>
      <c r="CCH26" s="1887"/>
      <c r="CCI26" s="1888"/>
      <c r="CCJ26" s="1882"/>
      <c r="CCK26" s="1882"/>
      <c r="CCL26" s="1882"/>
      <c r="CCN26" s="1887"/>
      <c r="CCO26" s="1888"/>
      <c r="CCP26" s="1882"/>
      <c r="CCQ26" s="1882"/>
      <c r="CCR26" s="1882"/>
      <c r="CCT26" s="1887"/>
      <c r="CCU26" s="1888"/>
      <c r="CCV26" s="1882"/>
      <c r="CCW26" s="1882"/>
      <c r="CCX26" s="1882"/>
      <c r="CCZ26" s="1887"/>
      <c r="CDA26" s="1888"/>
      <c r="CDB26" s="1882"/>
      <c r="CDC26" s="1882"/>
      <c r="CDD26" s="1882"/>
      <c r="CDF26" s="1887"/>
      <c r="CDG26" s="1888"/>
      <c r="CDH26" s="1882"/>
      <c r="CDI26" s="1882"/>
      <c r="CDJ26" s="1882"/>
      <c r="CDL26" s="1887"/>
      <c r="CDM26" s="1888"/>
      <c r="CDN26" s="1882"/>
      <c r="CDO26" s="1882"/>
      <c r="CDP26" s="1882"/>
      <c r="CDR26" s="1887"/>
      <c r="CDS26" s="1888"/>
      <c r="CDT26" s="1882"/>
      <c r="CDU26" s="1882"/>
      <c r="CDV26" s="1882"/>
      <c r="CDX26" s="1887"/>
      <c r="CDY26" s="1888"/>
      <c r="CDZ26" s="1882"/>
      <c r="CEA26" s="1882"/>
      <c r="CEB26" s="1882"/>
      <c r="CED26" s="1887"/>
      <c r="CEE26" s="1888"/>
      <c r="CEF26" s="1882"/>
      <c r="CEG26" s="1882"/>
      <c r="CEH26" s="1882"/>
      <c r="CEJ26" s="1887"/>
      <c r="CEK26" s="1888"/>
      <c r="CEL26" s="1882"/>
      <c r="CEM26" s="1882"/>
      <c r="CEN26" s="1882"/>
      <c r="CEP26" s="1887"/>
      <c r="CEQ26" s="1888"/>
      <c r="CER26" s="1882"/>
      <c r="CES26" s="1882"/>
      <c r="CET26" s="1882"/>
      <c r="CEV26" s="1887"/>
      <c r="CEW26" s="1888"/>
      <c r="CEX26" s="1882"/>
      <c r="CEY26" s="1882"/>
      <c r="CEZ26" s="1882"/>
      <c r="CFB26" s="1887"/>
      <c r="CFC26" s="1888"/>
      <c r="CFD26" s="1882"/>
      <c r="CFE26" s="1882"/>
      <c r="CFF26" s="1882"/>
      <c r="CFH26" s="1887"/>
      <c r="CFI26" s="1888"/>
      <c r="CFJ26" s="1882"/>
      <c r="CFK26" s="1882"/>
      <c r="CFL26" s="1882"/>
      <c r="CFN26" s="1887"/>
      <c r="CFO26" s="1888"/>
      <c r="CFP26" s="1882"/>
      <c r="CFQ26" s="1882"/>
      <c r="CFR26" s="1882"/>
      <c r="CFT26" s="1887"/>
      <c r="CFU26" s="1888"/>
      <c r="CFV26" s="1882"/>
      <c r="CFW26" s="1882"/>
      <c r="CFX26" s="1882"/>
      <c r="CFZ26" s="1887"/>
      <c r="CGA26" s="1888"/>
      <c r="CGB26" s="1882"/>
      <c r="CGC26" s="1882"/>
      <c r="CGD26" s="1882"/>
      <c r="CGF26" s="1887"/>
      <c r="CGG26" s="1888"/>
      <c r="CGH26" s="1882"/>
      <c r="CGI26" s="1882"/>
      <c r="CGJ26" s="1882"/>
      <c r="CGL26" s="1887"/>
      <c r="CGM26" s="1888"/>
      <c r="CGN26" s="1882"/>
      <c r="CGO26" s="1882"/>
      <c r="CGP26" s="1882"/>
      <c r="CGR26" s="1887"/>
      <c r="CGS26" s="1888"/>
      <c r="CGT26" s="1882"/>
      <c r="CGU26" s="1882"/>
      <c r="CGV26" s="1882"/>
      <c r="CGX26" s="1887"/>
      <c r="CGY26" s="1888"/>
      <c r="CGZ26" s="1882"/>
      <c r="CHA26" s="1882"/>
      <c r="CHB26" s="1882"/>
      <c r="CHD26" s="1887"/>
      <c r="CHE26" s="1888"/>
      <c r="CHF26" s="1882"/>
      <c r="CHG26" s="1882"/>
      <c r="CHH26" s="1882"/>
      <c r="CHJ26" s="1887"/>
      <c r="CHK26" s="1888"/>
      <c r="CHL26" s="1882"/>
      <c r="CHM26" s="1882"/>
      <c r="CHN26" s="1882"/>
      <c r="CHP26" s="1887"/>
      <c r="CHQ26" s="1888"/>
      <c r="CHR26" s="1882"/>
      <c r="CHS26" s="1882"/>
      <c r="CHT26" s="1882"/>
      <c r="CHV26" s="1887"/>
      <c r="CHW26" s="1888"/>
      <c r="CHX26" s="1882"/>
      <c r="CHY26" s="1882"/>
      <c r="CHZ26" s="1882"/>
      <c r="CIB26" s="1887"/>
      <c r="CIC26" s="1888"/>
      <c r="CID26" s="1882"/>
      <c r="CIE26" s="1882"/>
      <c r="CIF26" s="1882"/>
      <c r="CIH26" s="1887"/>
      <c r="CII26" s="1888"/>
      <c r="CIJ26" s="1882"/>
      <c r="CIK26" s="1882"/>
      <c r="CIL26" s="1882"/>
      <c r="CIN26" s="1887"/>
      <c r="CIO26" s="1888"/>
      <c r="CIP26" s="1882"/>
      <c r="CIQ26" s="1882"/>
      <c r="CIR26" s="1882"/>
      <c r="CIT26" s="1887"/>
      <c r="CIU26" s="1888"/>
      <c r="CIV26" s="1882"/>
      <c r="CIW26" s="1882"/>
      <c r="CIX26" s="1882"/>
      <c r="CIZ26" s="1887"/>
      <c r="CJA26" s="1888"/>
      <c r="CJB26" s="1882"/>
      <c r="CJC26" s="1882"/>
      <c r="CJD26" s="1882"/>
      <c r="CJF26" s="1887"/>
      <c r="CJG26" s="1888"/>
      <c r="CJH26" s="1882"/>
      <c r="CJI26" s="1882"/>
      <c r="CJJ26" s="1882"/>
      <c r="CJL26" s="1887"/>
      <c r="CJM26" s="1888"/>
      <c r="CJN26" s="1882"/>
      <c r="CJO26" s="1882"/>
      <c r="CJP26" s="1882"/>
      <c r="CJR26" s="1887"/>
      <c r="CJS26" s="1888"/>
      <c r="CJT26" s="1882"/>
      <c r="CJU26" s="1882"/>
      <c r="CJV26" s="1882"/>
      <c r="CJX26" s="1887"/>
      <c r="CJY26" s="1888"/>
      <c r="CJZ26" s="1882"/>
      <c r="CKA26" s="1882"/>
      <c r="CKB26" s="1882"/>
      <c r="CKD26" s="1887"/>
      <c r="CKE26" s="1888"/>
      <c r="CKF26" s="1882"/>
      <c r="CKG26" s="1882"/>
      <c r="CKH26" s="1882"/>
      <c r="CKJ26" s="1887"/>
      <c r="CKK26" s="1888"/>
      <c r="CKL26" s="1882"/>
      <c r="CKM26" s="1882"/>
      <c r="CKN26" s="1882"/>
      <c r="CKP26" s="1887"/>
      <c r="CKQ26" s="1888"/>
      <c r="CKR26" s="1882"/>
      <c r="CKS26" s="1882"/>
      <c r="CKT26" s="1882"/>
      <c r="CKV26" s="1887"/>
      <c r="CKW26" s="1888"/>
      <c r="CKX26" s="1882"/>
      <c r="CKY26" s="1882"/>
      <c r="CKZ26" s="1882"/>
      <c r="CLB26" s="1887"/>
      <c r="CLC26" s="1888"/>
      <c r="CLD26" s="1882"/>
      <c r="CLE26" s="1882"/>
      <c r="CLF26" s="1882"/>
      <c r="CLH26" s="1887"/>
      <c r="CLI26" s="1888"/>
      <c r="CLJ26" s="1882"/>
      <c r="CLK26" s="1882"/>
      <c r="CLL26" s="1882"/>
      <c r="CLN26" s="1887"/>
      <c r="CLO26" s="1888"/>
      <c r="CLP26" s="1882"/>
      <c r="CLQ26" s="1882"/>
      <c r="CLR26" s="1882"/>
      <c r="CLT26" s="1887"/>
      <c r="CLU26" s="1888"/>
      <c r="CLV26" s="1882"/>
      <c r="CLW26" s="1882"/>
      <c r="CLX26" s="1882"/>
      <c r="CLZ26" s="1887"/>
      <c r="CMA26" s="1888"/>
      <c r="CMB26" s="1882"/>
      <c r="CMC26" s="1882"/>
      <c r="CMD26" s="1882"/>
      <c r="CMF26" s="1887"/>
      <c r="CMG26" s="1888"/>
      <c r="CMH26" s="1882"/>
      <c r="CMI26" s="1882"/>
      <c r="CMJ26" s="1882"/>
      <c r="CML26" s="1887"/>
      <c r="CMM26" s="1888"/>
      <c r="CMN26" s="1882"/>
      <c r="CMO26" s="1882"/>
      <c r="CMP26" s="1882"/>
      <c r="CMR26" s="1887"/>
      <c r="CMS26" s="1888"/>
      <c r="CMT26" s="1882"/>
      <c r="CMU26" s="1882"/>
      <c r="CMV26" s="1882"/>
      <c r="CMX26" s="1887"/>
      <c r="CMY26" s="1888"/>
      <c r="CMZ26" s="1882"/>
      <c r="CNA26" s="1882"/>
      <c r="CNB26" s="1882"/>
      <c r="CND26" s="1887"/>
      <c r="CNE26" s="1888"/>
      <c r="CNF26" s="1882"/>
      <c r="CNG26" s="1882"/>
      <c r="CNH26" s="1882"/>
      <c r="CNJ26" s="1887"/>
      <c r="CNK26" s="1888"/>
      <c r="CNL26" s="1882"/>
      <c r="CNM26" s="1882"/>
      <c r="CNN26" s="1882"/>
      <c r="CNP26" s="1887"/>
      <c r="CNQ26" s="1888"/>
      <c r="CNR26" s="1882"/>
      <c r="CNS26" s="1882"/>
      <c r="CNT26" s="1882"/>
      <c r="CNV26" s="1887"/>
      <c r="CNW26" s="1888"/>
      <c r="CNX26" s="1882"/>
      <c r="CNY26" s="1882"/>
      <c r="CNZ26" s="1882"/>
      <c r="COB26" s="1887"/>
      <c r="COC26" s="1888"/>
      <c r="COD26" s="1882"/>
      <c r="COE26" s="1882"/>
      <c r="COF26" s="1882"/>
      <c r="COH26" s="1887"/>
      <c r="COI26" s="1888"/>
      <c r="COJ26" s="1882"/>
      <c r="COK26" s="1882"/>
      <c r="COL26" s="1882"/>
      <c r="CON26" s="1887"/>
      <c r="COO26" s="1888"/>
      <c r="COP26" s="1882"/>
      <c r="COQ26" s="1882"/>
      <c r="COR26" s="1882"/>
      <c r="COT26" s="1887"/>
      <c r="COU26" s="1888"/>
      <c r="COV26" s="1882"/>
      <c r="COW26" s="1882"/>
      <c r="COX26" s="1882"/>
      <c r="COZ26" s="1887"/>
      <c r="CPA26" s="1888"/>
      <c r="CPB26" s="1882"/>
      <c r="CPC26" s="1882"/>
      <c r="CPD26" s="1882"/>
      <c r="CPF26" s="1887"/>
      <c r="CPG26" s="1888"/>
      <c r="CPH26" s="1882"/>
      <c r="CPI26" s="1882"/>
      <c r="CPJ26" s="1882"/>
      <c r="CPL26" s="1887"/>
      <c r="CPM26" s="1888"/>
      <c r="CPN26" s="1882"/>
      <c r="CPO26" s="1882"/>
      <c r="CPP26" s="1882"/>
      <c r="CPR26" s="1887"/>
      <c r="CPS26" s="1888"/>
      <c r="CPT26" s="1882"/>
      <c r="CPU26" s="1882"/>
      <c r="CPV26" s="1882"/>
      <c r="CPX26" s="1887"/>
      <c r="CPY26" s="1888"/>
      <c r="CPZ26" s="1882"/>
      <c r="CQA26" s="1882"/>
      <c r="CQB26" s="1882"/>
      <c r="CQD26" s="1887"/>
      <c r="CQE26" s="1888"/>
      <c r="CQF26" s="1882"/>
      <c r="CQG26" s="1882"/>
      <c r="CQH26" s="1882"/>
      <c r="CQJ26" s="1887"/>
      <c r="CQK26" s="1888"/>
      <c r="CQL26" s="1882"/>
      <c r="CQM26" s="1882"/>
      <c r="CQN26" s="1882"/>
      <c r="CQP26" s="1887"/>
      <c r="CQQ26" s="1888"/>
      <c r="CQR26" s="1882"/>
      <c r="CQS26" s="1882"/>
      <c r="CQT26" s="1882"/>
      <c r="CQV26" s="1887"/>
      <c r="CQW26" s="1888"/>
      <c r="CQX26" s="1882"/>
      <c r="CQY26" s="1882"/>
      <c r="CQZ26" s="1882"/>
      <c r="CRB26" s="1887"/>
      <c r="CRC26" s="1888"/>
      <c r="CRD26" s="1882"/>
      <c r="CRE26" s="1882"/>
      <c r="CRF26" s="1882"/>
      <c r="CRH26" s="1887"/>
      <c r="CRI26" s="1888"/>
      <c r="CRJ26" s="1882"/>
      <c r="CRK26" s="1882"/>
      <c r="CRL26" s="1882"/>
      <c r="CRN26" s="1887"/>
      <c r="CRO26" s="1888"/>
      <c r="CRP26" s="1882"/>
      <c r="CRQ26" s="1882"/>
      <c r="CRR26" s="1882"/>
      <c r="CRT26" s="1887"/>
      <c r="CRU26" s="1888"/>
      <c r="CRV26" s="1882"/>
      <c r="CRW26" s="1882"/>
      <c r="CRX26" s="1882"/>
      <c r="CRZ26" s="1887"/>
      <c r="CSA26" s="1888"/>
      <c r="CSB26" s="1882"/>
      <c r="CSC26" s="1882"/>
      <c r="CSD26" s="1882"/>
      <c r="CSF26" s="1887"/>
      <c r="CSG26" s="1888"/>
      <c r="CSH26" s="1882"/>
      <c r="CSI26" s="1882"/>
      <c r="CSJ26" s="1882"/>
      <c r="CSL26" s="1887"/>
      <c r="CSM26" s="1888"/>
      <c r="CSN26" s="1882"/>
      <c r="CSO26" s="1882"/>
      <c r="CSP26" s="1882"/>
      <c r="CSR26" s="1887"/>
      <c r="CSS26" s="1888"/>
      <c r="CST26" s="1882"/>
      <c r="CSU26" s="1882"/>
      <c r="CSV26" s="1882"/>
      <c r="CSX26" s="1887"/>
      <c r="CSY26" s="1888"/>
      <c r="CSZ26" s="1882"/>
      <c r="CTA26" s="1882"/>
      <c r="CTB26" s="1882"/>
      <c r="CTD26" s="1887"/>
      <c r="CTE26" s="1888"/>
      <c r="CTF26" s="1882"/>
      <c r="CTG26" s="1882"/>
      <c r="CTH26" s="1882"/>
      <c r="CTJ26" s="1887"/>
      <c r="CTK26" s="1888"/>
      <c r="CTL26" s="1882"/>
      <c r="CTM26" s="1882"/>
      <c r="CTN26" s="1882"/>
      <c r="CTP26" s="1887"/>
      <c r="CTQ26" s="1888"/>
      <c r="CTR26" s="1882"/>
      <c r="CTS26" s="1882"/>
      <c r="CTT26" s="1882"/>
      <c r="CTV26" s="1887"/>
      <c r="CTW26" s="1888"/>
      <c r="CTX26" s="1882"/>
      <c r="CTY26" s="1882"/>
      <c r="CTZ26" s="1882"/>
      <c r="CUB26" s="1887"/>
      <c r="CUC26" s="1888"/>
      <c r="CUD26" s="1882"/>
      <c r="CUE26" s="1882"/>
      <c r="CUF26" s="1882"/>
      <c r="CUH26" s="1887"/>
      <c r="CUI26" s="1888"/>
      <c r="CUJ26" s="1882"/>
      <c r="CUK26" s="1882"/>
      <c r="CUL26" s="1882"/>
      <c r="CUN26" s="1887"/>
      <c r="CUO26" s="1888"/>
      <c r="CUP26" s="1882"/>
      <c r="CUQ26" s="1882"/>
      <c r="CUR26" s="1882"/>
      <c r="CUT26" s="1887"/>
      <c r="CUU26" s="1888"/>
      <c r="CUV26" s="1882"/>
      <c r="CUW26" s="1882"/>
      <c r="CUX26" s="1882"/>
      <c r="CUZ26" s="1887"/>
      <c r="CVA26" s="1888"/>
      <c r="CVB26" s="1882"/>
      <c r="CVC26" s="1882"/>
      <c r="CVD26" s="1882"/>
      <c r="CVF26" s="1887"/>
      <c r="CVG26" s="1888"/>
      <c r="CVH26" s="1882"/>
      <c r="CVI26" s="1882"/>
      <c r="CVJ26" s="1882"/>
      <c r="CVL26" s="1887"/>
      <c r="CVM26" s="1888"/>
      <c r="CVN26" s="1882"/>
      <c r="CVO26" s="1882"/>
      <c r="CVP26" s="1882"/>
      <c r="CVR26" s="1887"/>
      <c r="CVS26" s="1888"/>
      <c r="CVT26" s="1882"/>
      <c r="CVU26" s="1882"/>
      <c r="CVV26" s="1882"/>
      <c r="CVX26" s="1887"/>
      <c r="CVY26" s="1888"/>
      <c r="CVZ26" s="1882"/>
      <c r="CWA26" s="1882"/>
      <c r="CWB26" s="1882"/>
      <c r="CWD26" s="1887"/>
      <c r="CWE26" s="1888"/>
      <c r="CWF26" s="1882"/>
      <c r="CWG26" s="1882"/>
      <c r="CWH26" s="1882"/>
      <c r="CWJ26" s="1887"/>
      <c r="CWK26" s="1888"/>
      <c r="CWL26" s="1882"/>
      <c r="CWM26" s="1882"/>
      <c r="CWN26" s="1882"/>
      <c r="CWP26" s="1887"/>
      <c r="CWQ26" s="1888"/>
      <c r="CWR26" s="1882"/>
      <c r="CWS26" s="1882"/>
      <c r="CWT26" s="1882"/>
      <c r="CWV26" s="1887"/>
      <c r="CWW26" s="1888"/>
      <c r="CWX26" s="1882"/>
      <c r="CWY26" s="1882"/>
      <c r="CWZ26" s="1882"/>
      <c r="CXB26" s="1887"/>
      <c r="CXC26" s="1888"/>
      <c r="CXD26" s="1882"/>
      <c r="CXE26" s="1882"/>
      <c r="CXF26" s="1882"/>
      <c r="CXH26" s="1887"/>
      <c r="CXI26" s="1888"/>
      <c r="CXJ26" s="1882"/>
      <c r="CXK26" s="1882"/>
      <c r="CXL26" s="1882"/>
      <c r="CXN26" s="1887"/>
      <c r="CXO26" s="1888"/>
      <c r="CXP26" s="1882"/>
      <c r="CXQ26" s="1882"/>
      <c r="CXR26" s="1882"/>
      <c r="CXT26" s="1887"/>
      <c r="CXU26" s="1888"/>
      <c r="CXV26" s="1882"/>
      <c r="CXW26" s="1882"/>
      <c r="CXX26" s="1882"/>
      <c r="CXZ26" s="1887"/>
      <c r="CYA26" s="1888"/>
      <c r="CYB26" s="1882"/>
      <c r="CYC26" s="1882"/>
      <c r="CYD26" s="1882"/>
      <c r="CYF26" s="1887"/>
      <c r="CYG26" s="1888"/>
      <c r="CYH26" s="1882"/>
      <c r="CYI26" s="1882"/>
      <c r="CYJ26" s="1882"/>
      <c r="CYL26" s="1887"/>
      <c r="CYM26" s="1888"/>
      <c r="CYN26" s="1882"/>
      <c r="CYO26" s="1882"/>
      <c r="CYP26" s="1882"/>
      <c r="CYR26" s="1887"/>
      <c r="CYS26" s="1888"/>
      <c r="CYT26" s="1882"/>
      <c r="CYU26" s="1882"/>
      <c r="CYV26" s="1882"/>
      <c r="CYX26" s="1887"/>
      <c r="CYY26" s="1888"/>
      <c r="CYZ26" s="1882"/>
      <c r="CZA26" s="1882"/>
      <c r="CZB26" s="1882"/>
      <c r="CZD26" s="1887"/>
      <c r="CZE26" s="1888"/>
      <c r="CZF26" s="1882"/>
      <c r="CZG26" s="1882"/>
      <c r="CZH26" s="1882"/>
      <c r="CZJ26" s="1887"/>
      <c r="CZK26" s="1888"/>
      <c r="CZL26" s="1882"/>
      <c r="CZM26" s="1882"/>
      <c r="CZN26" s="1882"/>
      <c r="CZP26" s="1887"/>
      <c r="CZQ26" s="1888"/>
      <c r="CZR26" s="1882"/>
      <c r="CZS26" s="1882"/>
      <c r="CZT26" s="1882"/>
      <c r="CZV26" s="1887"/>
      <c r="CZW26" s="1888"/>
      <c r="CZX26" s="1882"/>
      <c r="CZY26" s="1882"/>
      <c r="CZZ26" s="1882"/>
      <c r="DAB26" s="1887"/>
      <c r="DAC26" s="1888"/>
      <c r="DAD26" s="1882"/>
      <c r="DAE26" s="1882"/>
      <c r="DAF26" s="1882"/>
      <c r="DAH26" s="1887"/>
      <c r="DAI26" s="1888"/>
      <c r="DAJ26" s="1882"/>
      <c r="DAK26" s="1882"/>
      <c r="DAL26" s="1882"/>
      <c r="DAN26" s="1887"/>
      <c r="DAO26" s="1888"/>
      <c r="DAP26" s="1882"/>
      <c r="DAQ26" s="1882"/>
      <c r="DAR26" s="1882"/>
      <c r="DAT26" s="1887"/>
      <c r="DAU26" s="1888"/>
      <c r="DAV26" s="1882"/>
      <c r="DAW26" s="1882"/>
      <c r="DAX26" s="1882"/>
      <c r="DAZ26" s="1887"/>
      <c r="DBA26" s="1888"/>
      <c r="DBB26" s="1882"/>
      <c r="DBC26" s="1882"/>
      <c r="DBD26" s="1882"/>
      <c r="DBF26" s="1887"/>
      <c r="DBG26" s="1888"/>
      <c r="DBH26" s="1882"/>
      <c r="DBI26" s="1882"/>
      <c r="DBJ26" s="1882"/>
      <c r="DBL26" s="1887"/>
      <c r="DBM26" s="1888"/>
      <c r="DBN26" s="1882"/>
      <c r="DBO26" s="1882"/>
      <c r="DBP26" s="1882"/>
      <c r="DBR26" s="1887"/>
      <c r="DBS26" s="1888"/>
      <c r="DBT26" s="1882"/>
      <c r="DBU26" s="1882"/>
      <c r="DBV26" s="1882"/>
      <c r="DBX26" s="1887"/>
      <c r="DBY26" s="1888"/>
      <c r="DBZ26" s="1882"/>
      <c r="DCA26" s="1882"/>
      <c r="DCB26" s="1882"/>
      <c r="DCD26" s="1887"/>
      <c r="DCE26" s="1888"/>
      <c r="DCF26" s="1882"/>
      <c r="DCG26" s="1882"/>
      <c r="DCH26" s="1882"/>
      <c r="DCJ26" s="1887"/>
      <c r="DCK26" s="1888"/>
      <c r="DCL26" s="1882"/>
      <c r="DCM26" s="1882"/>
      <c r="DCN26" s="1882"/>
      <c r="DCP26" s="1887"/>
      <c r="DCQ26" s="1888"/>
      <c r="DCR26" s="1882"/>
      <c r="DCS26" s="1882"/>
      <c r="DCT26" s="1882"/>
      <c r="DCV26" s="1887"/>
      <c r="DCW26" s="1888"/>
      <c r="DCX26" s="1882"/>
      <c r="DCY26" s="1882"/>
      <c r="DCZ26" s="1882"/>
      <c r="DDB26" s="1887"/>
      <c r="DDC26" s="1888"/>
      <c r="DDD26" s="1882"/>
      <c r="DDE26" s="1882"/>
      <c r="DDF26" s="1882"/>
      <c r="DDH26" s="1887"/>
      <c r="DDI26" s="1888"/>
      <c r="DDJ26" s="1882"/>
      <c r="DDK26" s="1882"/>
      <c r="DDL26" s="1882"/>
      <c r="DDN26" s="1887"/>
      <c r="DDO26" s="1888"/>
      <c r="DDP26" s="1882"/>
      <c r="DDQ26" s="1882"/>
      <c r="DDR26" s="1882"/>
      <c r="DDT26" s="1887"/>
      <c r="DDU26" s="1888"/>
      <c r="DDV26" s="1882"/>
      <c r="DDW26" s="1882"/>
      <c r="DDX26" s="1882"/>
      <c r="DDZ26" s="1887"/>
      <c r="DEA26" s="1888"/>
      <c r="DEB26" s="1882"/>
      <c r="DEC26" s="1882"/>
      <c r="DED26" s="1882"/>
      <c r="DEF26" s="1887"/>
      <c r="DEG26" s="1888"/>
      <c r="DEH26" s="1882"/>
      <c r="DEI26" s="1882"/>
      <c r="DEJ26" s="1882"/>
      <c r="DEL26" s="1887"/>
      <c r="DEM26" s="1888"/>
      <c r="DEN26" s="1882"/>
      <c r="DEO26" s="1882"/>
      <c r="DEP26" s="1882"/>
      <c r="DER26" s="1887"/>
      <c r="DES26" s="1888"/>
      <c r="DET26" s="1882"/>
      <c r="DEU26" s="1882"/>
      <c r="DEV26" s="1882"/>
      <c r="DEX26" s="1887"/>
      <c r="DEY26" s="1888"/>
      <c r="DEZ26" s="1882"/>
      <c r="DFA26" s="1882"/>
      <c r="DFB26" s="1882"/>
      <c r="DFD26" s="1887"/>
      <c r="DFE26" s="1888"/>
      <c r="DFF26" s="1882"/>
      <c r="DFG26" s="1882"/>
      <c r="DFH26" s="1882"/>
      <c r="DFJ26" s="1887"/>
      <c r="DFK26" s="1888"/>
      <c r="DFL26" s="1882"/>
      <c r="DFM26" s="1882"/>
      <c r="DFN26" s="1882"/>
      <c r="DFP26" s="1887"/>
      <c r="DFQ26" s="1888"/>
      <c r="DFR26" s="1882"/>
      <c r="DFS26" s="1882"/>
      <c r="DFT26" s="1882"/>
      <c r="DFV26" s="1887"/>
      <c r="DFW26" s="1888"/>
      <c r="DFX26" s="1882"/>
      <c r="DFY26" s="1882"/>
      <c r="DFZ26" s="1882"/>
      <c r="DGB26" s="1887"/>
      <c r="DGC26" s="1888"/>
      <c r="DGD26" s="1882"/>
      <c r="DGE26" s="1882"/>
      <c r="DGF26" s="1882"/>
      <c r="DGH26" s="1887"/>
      <c r="DGI26" s="1888"/>
      <c r="DGJ26" s="1882"/>
      <c r="DGK26" s="1882"/>
      <c r="DGL26" s="1882"/>
      <c r="DGN26" s="1887"/>
      <c r="DGO26" s="1888"/>
      <c r="DGP26" s="1882"/>
      <c r="DGQ26" s="1882"/>
      <c r="DGR26" s="1882"/>
      <c r="DGT26" s="1887"/>
      <c r="DGU26" s="1888"/>
      <c r="DGV26" s="1882"/>
      <c r="DGW26" s="1882"/>
      <c r="DGX26" s="1882"/>
      <c r="DGZ26" s="1887"/>
      <c r="DHA26" s="1888"/>
      <c r="DHB26" s="1882"/>
      <c r="DHC26" s="1882"/>
      <c r="DHD26" s="1882"/>
      <c r="DHF26" s="1887"/>
      <c r="DHG26" s="1888"/>
      <c r="DHH26" s="1882"/>
      <c r="DHI26" s="1882"/>
      <c r="DHJ26" s="1882"/>
      <c r="DHL26" s="1887"/>
      <c r="DHM26" s="1888"/>
      <c r="DHN26" s="1882"/>
      <c r="DHO26" s="1882"/>
      <c r="DHP26" s="1882"/>
      <c r="DHR26" s="1887"/>
      <c r="DHS26" s="1888"/>
      <c r="DHT26" s="1882"/>
      <c r="DHU26" s="1882"/>
      <c r="DHV26" s="1882"/>
      <c r="DHX26" s="1887"/>
      <c r="DHY26" s="1888"/>
      <c r="DHZ26" s="1882"/>
      <c r="DIA26" s="1882"/>
      <c r="DIB26" s="1882"/>
      <c r="DID26" s="1887"/>
      <c r="DIE26" s="1888"/>
      <c r="DIF26" s="1882"/>
      <c r="DIG26" s="1882"/>
      <c r="DIH26" s="1882"/>
      <c r="DIJ26" s="1887"/>
      <c r="DIK26" s="1888"/>
      <c r="DIL26" s="1882"/>
      <c r="DIM26" s="1882"/>
      <c r="DIN26" s="1882"/>
      <c r="DIP26" s="1887"/>
      <c r="DIQ26" s="1888"/>
      <c r="DIR26" s="1882"/>
      <c r="DIS26" s="1882"/>
      <c r="DIT26" s="1882"/>
      <c r="DIV26" s="1887"/>
      <c r="DIW26" s="1888"/>
      <c r="DIX26" s="1882"/>
      <c r="DIY26" s="1882"/>
      <c r="DIZ26" s="1882"/>
      <c r="DJB26" s="1887"/>
      <c r="DJC26" s="1888"/>
      <c r="DJD26" s="1882"/>
      <c r="DJE26" s="1882"/>
      <c r="DJF26" s="1882"/>
      <c r="DJH26" s="1887"/>
      <c r="DJI26" s="1888"/>
      <c r="DJJ26" s="1882"/>
      <c r="DJK26" s="1882"/>
      <c r="DJL26" s="1882"/>
      <c r="DJN26" s="1887"/>
      <c r="DJO26" s="1888"/>
      <c r="DJP26" s="1882"/>
      <c r="DJQ26" s="1882"/>
      <c r="DJR26" s="1882"/>
      <c r="DJT26" s="1887"/>
      <c r="DJU26" s="1888"/>
      <c r="DJV26" s="1882"/>
      <c r="DJW26" s="1882"/>
      <c r="DJX26" s="1882"/>
      <c r="DJZ26" s="1887"/>
      <c r="DKA26" s="1888"/>
      <c r="DKB26" s="1882"/>
      <c r="DKC26" s="1882"/>
      <c r="DKD26" s="1882"/>
      <c r="DKF26" s="1887"/>
      <c r="DKG26" s="1888"/>
      <c r="DKH26" s="1882"/>
      <c r="DKI26" s="1882"/>
      <c r="DKJ26" s="1882"/>
      <c r="DKL26" s="1887"/>
      <c r="DKM26" s="1888"/>
      <c r="DKN26" s="1882"/>
      <c r="DKO26" s="1882"/>
      <c r="DKP26" s="1882"/>
      <c r="DKR26" s="1887"/>
      <c r="DKS26" s="1888"/>
      <c r="DKT26" s="1882"/>
      <c r="DKU26" s="1882"/>
      <c r="DKV26" s="1882"/>
      <c r="DKX26" s="1887"/>
      <c r="DKY26" s="1888"/>
      <c r="DKZ26" s="1882"/>
      <c r="DLA26" s="1882"/>
      <c r="DLB26" s="1882"/>
      <c r="DLD26" s="1887"/>
      <c r="DLE26" s="1888"/>
      <c r="DLF26" s="1882"/>
      <c r="DLG26" s="1882"/>
      <c r="DLH26" s="1882"/>
      <c r="DLJ26" s="1887"/>
      <c r="DLK26" s="1888"/>
      <c r="DLL26" s="1882"/>
      <c r="DLM26" s="1882"/>
      <c r="DLN26" s="1882"/>
      <c r="DLP26" s="1887"/>
      <c r="DLQ26" s="1888"/>
      <c r="DLR26" s="1882"/>
      <c r="DLS26" s="1882"/>
      <c r="DLT26" s="1882"/>
      <c r="DLV26" s="1887"/>
      <c r="DLW26" s="1888"/>
      <c r="DLX26" s="1882"/>
      <c r="DLY26" s="1882"/>
      <c r="DLZ26" s="1882"/>
      <c r="DMB26" s="1887"/>
      <c r="DMC26" s="1888"/>
      <c r="DMD26" s="1882"/>
      <c r="DME26" s="1882"/>
      <c r="DMF26" s="1882"/>
      <c r="DMH26" s="1887"/>
      <c r="DMI26" s="1888"/>
      <c r="DMJ26" s="1882"/>
      <c r="DMK26" s="1882"/>
      <c r="DML26" s="1882"/>
      <c r="DMN26" s="1887"/>
      <c r="DMO26" s="1888"/>
      <c r="DMP26" s="1882"/>
      <c r="DMQ26" s="1882"/>
      <c r="DMR26" s="1882"/>
      <c r="DMT26" s="1887"/>
      <c r="DMU26" s="1888"/>
      <c r="DMV26" s="1882"/>
      <c r="DMW26" s="1882"/>
      <c r="DMX26" s="1882"/>
      <c r="DMZ26" s="1887"/>
      <c r="DNA26" s="1888"/>
      <c r="DNB26" s="1882"/>
      <c r="DNC26" s="1882"/>
      <c r="DND26" s="1882"/>
      <c r="DNF26" s="1887"/>
      <c r="DNG26" s="1888"/>
      <c r="DNH26" s="1882"/>
      <c r="DNI26" s="1882"/>
      <c r="DNJ26" s="1882"/>
      <c r="DNL26" s="1887"/>
      <c r="DNM26" s="1888"/>
      <c r="DNN26" s="1882"/>
      <c r="DNO26" s="1882"/>
      <c r="DNP26" s="1882"/>
      <c r="DNR26" s="1887"/>
      <c r="DNS26" s="1888"/>
      <c r="DNT26" s="1882"/>
      <c r="DNU26" s="1882"/>
      <c r="DNV26" s="1882"/>
      <c r="DNX26" s="1887"/>
      <c r="DNY26" s="1888"/>
      <c r="DNZ26" s="1882"/>
      <c r="DOA26" s="1882"/>
      <c r="DOB26" s="1882"/>
      <c r="DOD26" s="1887"/>
      <c r="DOE26" s="1888"/>
      <c r="DOF26" s="1882"/>
      <c r="DOG26" s="1882"/>
      <c r="DOH26" s="1882"/>
      <c r="DOJ26" s="1887"/>
      <c r="DOK26" s="1888"/>
      <c r="DOL26" s="1882"/>
      <c r="DOM26" s="1882"/>
      <c r="DON26" s="1882"/>
      <c r="DOP26" s="1887"/>
      <c r="DOQ26" s="1888"/>
      <c r="DOR26" s="1882"/>
      <c r="DOS26" s="1882"/>
      <c r="DOT26" s="1882"/>
      <c r="DOV26" s="1887"/>
      <c r="DOW26" s="1888"/>
      <c r="DOX26" s="1882"/>
      <c r="DOY26" s="1882"/>
      <c r="DOZ26" s="1882"/>
      <c r="DPB26" s="1887"/>
      <c r="DPC26" s="1888"/>
      <c r="DPD26" s="1882"/>
      <c r="DPE26" s="1882"/>
      <c r="DPF26" s="1882"/>
      <c r="DPH26" s="1887"/>
      <c r="DPI26" s="1888"/>
      <c r="DPJ26" s="1882"/>
      <c r="DPK26" s="1882"/>
      <c r="DPL26" s="1882"/>
      <c r="DPN26" s="1887"/>
      <c r="DPO26" s="1888"/>
      <c r="DPP26" s="1882"/>
      <c r="DPQ26" s="1882"/>
      <c r="DPR26" s="1882"/>
      <c r="DPT26" s="1887"/>
      <c r="DPU26" s="1888"/>
      <c r="DPV26" s="1882"/>
      <c r="DPW26" s="1882"/>
      <c r="DPX26" s="1882"/>
      <c r="DPZ26" s="1887"/>
      <c r="DQA26" s="1888"/>
      <c r="DQB26" s="1882"/>
      <c r="DQC26" s="1882"/>
      <c r="DQD26" s="1882"/>
      <c r="DQF26" s="1887"/>
      <c r="DQG26" s="1888"/>
      <c r="DQH26" s="1882"/>
      <c r="DQI26" s="1882"/>
      <c r="DQJ26" s="1882"/>
      <c r="DQL26" s="1887"/>
      <c r="DQM26" s="1888"/>
      <c r="DQN26" s="1882"/>
      <c r="DQO26" s="1882"/>
      <c r="DQP26" s="1882"/>
      <c r="DQR26" s="1887"/>
      <c r="DQS26" s="1888"/>
      <c r="DQT26" s="1882"/>
      <c r="DQU26" s="1882"/>
      <c r="DQV26" s="1882"/>
      <c r="DQX26" s="1887"/>
      <c r="DQY26" s="1888"/>
      <c r="DQZ26" s="1882"/>
      <c r="DRA26" s="1882"/>
      <c r="DRB26" s="1882"/>
      <c r="DRD26" s="1887"/>
      <c r="DRE26" s="1888"/>
      <c r="DRF26" s="1882"/>
      <c r="DRG26" s="1882"/>
      <c r="DRH26" s="1882"/>
      <c r="DRJ26" s="1887"/>
      <c r="DRK26" s="1888"/>
      <c r="DRL26" s="1882"/>
      <c r="DRM26" s="1882"/>
      <c r="DRN26" s="1882"/>
      <c r="DRP26" s="1887"/>
      <c r="DRQ26" s="1888"/>
      <c r="DRR26" s="1882"/>
      <c r="DRS26" s="1882"/>
      <c r="DRT26" s="1882"/>
      <c r="DRV26" s="1887"/>
      <c r="DRW26" s="1888"/>
      <c r="DRX26" s="1882"/>
      <c r="DRY26" s="1882"/>
      <c r="DRZ26" s="1882"/>
      <c r="DSB26" s="1887"/>
      <c r="DSC26" s="1888"/>
      <c r="DSD26" s="1882"/>
      <c r="DSE26" s="1882"/>
      <c r="DSF26" s="1882"/>
      <c r="DSH26" s="1887"/>
      <c r="DSI26" s="1888"/>
      <c r="DSJ26" s="1882"/>
      <c r="DSK26" s="1882"/>
      <c r="DSL26" s="1882"/>
      <c r="DSN26" s="1887"/>
      <c r="DSO26" s="1888"/>
      <c r="DSP26" s="1882"/>
      <c r="DSQ26" s="1882"/>
      <c r="DSR26" s="1882"/>
      <c r="DST26" s="1887"/>
      <c r="DSU26" s="1888"/>
      <c r="DSV26" s="1882"/>
      <c r="DSW26" s="1882"/>
      <c r="DSX26" s="1882"/>
      <c r="DSZ26" s="1887"/>
      <c r="DTA26" s="1888"/>
      <c r="DTB26" s="1882"/>
      <c r="DTC26" s="1882"/>
      <c r="DTD26" s="1882"/>
      <c r="DTF26" s="1887"/>
      <c r="DTG26" s="1888"/>
      <c r="DTH26" s="1882"/>
      <c r="DTI26" s="1882"/>
      <c r="DTJ26" s="1882"/>
      <c r="DTL26" s="1887"/>
      <c r="DTM26" s="1888"/>
      <c r="DTN26" s="1882"/>
      <c r="DTO26" s="1882"/>
      <c r="DTP26" s="1882"/>
      <c r="DTR26" s="1887"/>
      <c r="DTS26" s="1888"/>
      <c r="DTT26" s="1882"/>
      <c r="DTU26" s="1882"/>
      <c r="DTV26" s="1882"/>
      <c r="DTX26" s="1887"/>
      <c r="DTY26" s="1888"/>
      <c r="DTZ26" s="1882"/>
      <c r="DUA26" s="1882"/>
      <c r="DUB26" s="1882"/>
      <c r="DUD26" s="1887"/>
      <c r="DUE26" s="1888"/>
      <c r="DUF26" s="1882"/>
      <c r="DUG26" s="1882"/>
      <c r="DUH26" s="1882"/>
      <c r="DUJ26" s="1887"/>
      <c r="DUK26" s="1888"/>
      <c r="DUL26" s="1882"/>
      <c r="DUM26" s="1882"/>
      <c r="DUN26" s="1882"/>
      <c r="DUP26" s="1887"/>
      <c r="DUQ26" s="1888"/>
      <c r="DUR26" s="1882"/>
      <c r="DUS26" s="1882"/>
      <c r="DUT26" s="1882"/>
      <c r="DUV26" s="1887"/>
      <c r="DUW26" s="1888"/>
      <c r="DUX26" s="1882"/>
      <c r="DUY26" s="1882"/>
      <c r="DUZ26" s="1882"/>
      <c r="DVB26" s="1887"/>
      <c r="DVC26" s="1888"/>
      <c r="DVD26" s="1882"/>
      <c r="DVE26" s="1882"/>
      <c r="DVF26" s="1882"/>
      <c r="DVH26" s="1887"/>
      <c r="DVI26" s="1888"/>
      <c r="DVJ26" s="1882"/>
      <c r="DVK26" s="1882"/>
      <c r="DVL26" s="1882"/>
      <c r="DVN26" s="1887"/>
      <c r="DVO26" s="1888"/>
      <c r="DVP26" s="1882"/>
      <c r="DVQ26" s="1882"/>
      <c r="DVR26" s="1882"/>
      <c r="DVT26" s="1887"/>
      <c r="DVU26" s="1888"/>
      <c r="DVV26" s="1882"/>
      <c r="DVW26" s="1882"/>
      <c r="DVX26" s="1882"/>
      <c r="DVZ26" s="1887"/>
      <c r="DWA26" s="1888"/>
      <c r="DWB26" s="1882"/>
      <c r="DWC26" s="1882"/>
      <c r="DWD26" s="1882"/>
      <c r="DWF26" s="1887"/>
      <c r="DWG26" s="1888"/>
      <c r="DWH26" s="1882"/>
      <c r="DWI26" s="1882"/>
      <c r="DWJ26" s="1882"/>
      <c r="DWL26" s="1887"/>
      <c r="DWM26" s="1888"/>
      <c r="DWN26" s="1882"/>
      <c r="DWO26" s="1882"/>
      <c r="DWP26" s="1882"/>
      <c r="DWR26" s="1887"/>
      <c r="DWS26" s="1888"/>
      <c r="DWT26" s="1882"/>
      <c r="DWU26" s="1882"/>
      <c r="DWV26" s="1882"/>
      <c r="DWX26" s="1887"/>
      <c r="DWY26" s="1888"/>
      <c r="DWZ26" s="1882"/>
      <c r="DXA26" s="1882"/>
      <c r="DXB26" s="1882"/>
      <c r="DXD26" s="1887"/>
      <c r="DXE26" s="1888"/>
      <c r="DXF26" s="1882"/>
      <c r="DXG26" s="1882"/>
      <c r="DXH26" s="1882"/>
      <c r="DXJ26" s="1887"/>
      <c r="DXK26" s="1888"/>
      <c r="DXL26" s="1882"/>
      <c r="DXM26" s="1882"/>
      <c r="DXN26" s="1882"/>
      <c r="DXP26" s="1887"/>
      <c r="DXQ26" s="1888"/>
      <c r="DXR26" s="1882"/>
      <c r="DXS26" s="1882"/>
      <c r="DXT26" s="1882"/>
      <c r="DXV26" s="1887"/>
      <c r="DXW26" s="1888"/>
      <c r="DXX26" s="1882"/>
      <c r="DXY26" s="1882"/>
      <c r="DXZ26" s="1882"/>
      <c r="DYB26" s="1887"/>
      <c r="DYC26" s="1888"/>
      <c r="DYD26" s="1882"/>
      <c r="DYE26" s="1882"/>
      <c r="DYF26" s="1882"/>
      <c r="DYH26" s="1887"/>
      <c r="DYI26" s="1888"/>
      <c r="DYJ26" s="1882"/>
      <c r="DYK26" s="1882"/>
      <c r="DYL26" s="1882"/>
      <c r="DYN26" s="1887"/>
      <c r="DYO26" s="1888"/>
      <c r="DYP26" s="1882"/>
      <c r="DYQ26" s="1882"/>
      <c r="DYR26" s="1882"/>
      <c r="DYT26" s="1887"/>
      <c r="DYU26" s="1888"/>
      <c r="DYV26" s="1882"/>
      <c r="DYW26" s="1882"/>
      <c r="DYX26" s="1882"/>
      <c r="DYZ26" s="1887"/>
      <c r="DZA26" s="1888"/>
      <c r="DZB26" s="1882"/>
      <c r="DZC26" s="1882"/>
      <c r="DZD26" s="1882"/>
      <c r="DZF26" s="1887"/>
      <c r="DZG26" s="1888"/>
      <c r="DZH26" s="1882"/>
      <c r="DZI26" s="1882"/>
      <c r="DZJ26" s="1882"/>
      <c r="DZL26" s="1887"/>
      <c r="DZM26" s="1888"/>
      <c r="DZN26" s="1882"/>
      <c r="DZO26" s="1882"/>
      <c r="DZP26" s="1882"/>
      <c r="DZR26" s="1887"/>
      <c r="DZS26" s="1888"/>
      <c r="DZT26" s="1882"/>
      <c r="DZU26" s="1882"/>
      <c r="DZV26" s="1882"/>
      <c r="DZX26" s="1887"/>
      <c r="DZY26" s="1888"/>
      <c r="DZZ26" s="1882"/>
      <c r="EAA26" s="1882"/>
      <c r="EAB26" s="1882"/>
      <c r="EAD26" s="1887"/>
      <c r="EAE26" s="1888"/>
      <c r="EAF26" s="1882"/>
      <c r="EAG26" s="1882"/>
      <c r="EAH26" s="1882"/>
      <c r="EAJ26" s="1887"/>
      <c r="EAK26" s="1888"/>
      <c r="EAL26" s="1882"/>
      <c r="EAM26" s="1882"/>
      <c r="EAN26" s="1882"/>
      <c r="EAP26" s="1887"/>
      <c r="EAQ26" s="1888"/>
      <c r="EAR26" s="1882"/>
      <c r="EAS26" s="1882"/>
      <c r="EAT26" s="1882"/>
      <c r="EAV26" s="1887"/>
      <c r="EAW26" s="1888"/>
      <c r="EAX26" s="1882"/>
      <c r="EAY26" s="1882"/>
      <c r="EAZ26" s="1882"/>
      <c r="EBB26" s="1887"/>
      <c r="EBC26" s="1888"/>
      <c r="EBD26" s="1882"/>
      <c r="EBE26" s="1882"/>
      <c r="EBF26" s="1882"/>
      <c r="EBH26" s="1887"/>
      <c r="EBI26" s="1888"/>
      <c r="EBJ26" s="1882"/>
      <c r="EBK26" s="1882"/>
      <c r="EBL26" s="1882"/>
      <c r="EBN26" s="1887"/>
      <c r="EBO26" s="1888"/>
      <c r="EBP26" s="1882"/>
      <c r="EBQ26" s="1882"/>
      <c r="EBR26" s="1882"/>
      <c r="EBT26" s="1887"/>
      <c r="EBU26" s="1888"/>
      <c r="EBV26" s="1882"/>
      <c r="EBW26" s="1882"/>
      <c r="EBX26" s="1882"/>
      <c r="EBZ26" s="1887"/>
      <c r="ECA26" s="1888"/>
      <c r="ECB26" s="1882"/>
      <c r="ECC26" s="1882"/>
      <c r="ECD26" s="1882"/>
      <c r="ECF26" s="1887"/>
      <c r="ECG26" s="1888"/>
      <c r="ECH26" s="1882"/>
      <c r="ECI26" s="1882"/>
      <c r="ECJ26" s="1882"/>
      <c r="ECL26" s="1887"/>
      <c r="ECM26" s="1888"/>
      <c r="ECN26" s="1882"/>
      <c r="ECO26" s="1882"/>
      <c r="ECP26" s="1882"/>
      <c r="ECR26" s="1887"/>
      <c r="ECS26" s="1888"/>
      <c r="ECT26" s="1882"/>
      <c r="ECU26" s="1882"/>
      <c r="ECV26" s="1882"/>
      <c r="ECX26" s="1887"/>
      <c r="ECY26" s="1888"/>
      <c r="ECZ26" s="1882"/>
      <c r="EDA26" s="1882"/>
      <c r="EDB26" s="1882"/>
      <c r="EDD26" s="1887"/>
      <c r="EDE26" s="1888"/>
      <c r="EDF26" s="1882"/>
      <c r="EDG26" s="1882"/>
      <c r="EDH26" s="1882"/>
      <c r="EDJ26" s="1887"/>
      <c r="EDK26" s="1888"/>
      <c r="EDL26" s="1882"/>
      <c r="EDM26" s="1882"/>
      <c r="EDN26" s="1882"/>
      <c r="EDP26" s="1887"/>
      <c r="EDQ26" s="1888"/>
      <c r="EDR26" s="1882"/>
      <c r="EDS26" s="1882"/>
      <c r="EDT26" s="1882"/>
      <c r="EDV26" s="1887"/>
      <c r="EDW26" s="1888"/>
      <c r="EDX26" s="1882"/>
      <c r="EDY26" s="1882"/>
      <c r="EDZ26" s="1882"/>
      <c r="EEB26" s="1887"/>
      <c r="EEC26" s="1888"/>
      <c r="EED26" s="1882"/>
      <c r="EEE26" s="1882"/>
      <c r="EEF26" s="1882"/>
      <c r="EEH26" s="1887"/>
      <c r="EEI26" s="1888"/>
      <c r="EEJ26" s="1882"/>
      <c r="EEK26" s="1882"/>
      <c r="EEL26" s="1882"/>
      <c r="EEN26" s="1887"/>
      <c r="EEO26" s="1888"/>
      <c r="EEP26" s="1882"/>
      <c r="EEQ26" s="1882"/>
      <c r="EER26" s="1882"/>
      <c r="EET26" s="1887"/>
      <c r="EEU26" s="1888"/>
      <c r="EEV26" s="1882"/>
      <c r="EEW26" s="1882"/>
      <c r="EEX26" s="1882"/>
      <c r="EEZ26" s="1887"/>
      <c r="EFA26" s="1888"/>
      <c r="EFB26" s="1882"/>
      <c r="EFC26" s="1882"/>
      <c r="EFD26" s="1882"/>
      <c r="EFF26" s="1887"/>
      <c r="EFG26" s="1888"/>
      <c r="EFH26" s="1882"/>
      <c r="EFI26" s="1882"/>
      <c r="EFJ26" s="1882"/>
      <c r="EFL26" s="1887"/>
      <c r="EFM26" s="1888"/>
      <c r="EFN26" s="1882"/>
      <c r="EFO26" s="1882"/>
      <c r="EFP26" s="1882"/>
      <c r="EFR26" s="1887"/>
      <c r="EFS26" s="1888"/>
      <c r="EFT26" s="1882"/>
      <c r="EFU26" s="1882"/>
      <c r="EFV26" s="1882"/>
      <c r="EFX26" s="1887"/>
      <c r="EFY26" s="1888"/>
      <c r="EFZ26" s="1882"/>
      <c r="EGA26" s="1882"/>
      <c r="EGB26" s="1882"/>
      <c r="EGD26" s="1887"/>
      <c r="EGE26" s="1888"/>
      <c r="EGF26" s="1882"/>
      <c r="EGG26" s="1882"/>
      <c r="EGH26" s="1882"/>
      <c r="EGJ26" s="1887"/>
      <c r="EGK26" s="1888"/>
      <c r="EGL26" s="1882"/>
      <c r="EGM26" s="1882"/>
      <c r="EGN26" s="1882"/>
      <c r="EGP26" s="1887"/>
      <c r="EGQ26" s="1888"/>
      <c r="EGR26" s="1882"/>
      <c r="EGS26" s="1882"/>
      <c r="EGT26" s="1882"/>
      <c r="EGV26" s="1887"/>
      <c r="EGW26" s="1888"/>
      <c r="EGX26" s="1882"/>
      <c r="EGY26" s="1882"/>
      <c r="EGZ26" s="1882"/>
      <c r="EHB26" s="1887"/>
      <c r="EHC26" s="1888"/>
      <c r="EHD26" s="1882"/>
      <c r="EHE26" s="1882"/>
      <c r="EHF26" s="1882"/>
      <c r="EHH26" s="1887"/>
      <c r="EHI26" s="1888"/>
      <c r="EHJ26" s="1882"/>
      <c r="EHK26" s="1882"/>
      <c r="EHL26" s="1882"/>
      <c r="EHN26" s="1887"/>
      <c r="EHO26" s="1888"/>
      <c r="EHP26" s="1882"/>
      <c r="EHQ26" s="1882"/>
      <c r="EHR26" s="1882"/>
      <c r="EHT26" s="1887"/>
      <c r="EHU26" s="1888"/>
      <c r="EHV26" s="1882"/>
      <c r="EHW26" s="1882"/>
      <c r="EHX26" s="1882"/>
      <c r="EHZ26" s="1887"/>
      <c r="EIA26" s="1888"/>
      <c r="EIB26" s="1882"/>
      <c r="EIC26" s="1882"/>
      <c r="EID26" s="1882"/>
      <c r="EIF26" s="1887"/>
      <c r="EIG26" s="1888"/>
      <c r="EIH26" s="1882"/>
      <c r="EII26" s="1882"/>
      <c r="EIJ26" s="1882"/>
      <c r="EIL26" s="1887"/>
      <c r="EIM26" s="1888"/>
      <c r="EIN26" s="1882"/>
      <c r="EIO26" s="1882"/>
      <c r="EIP26" s="1882"/>
      <c r="EIR26" s="1887"/>
      <c r="EIS26" s="1888"/>
      <c r="EIT26" s="1882"/>
      <c r="EIU26" s="1882"/>
      <c r="EIV26" s="1882"/>
      <c r="EIX26" s="1887"/>
      <c r="EIY26" s="1888"/>
      <c r="EIZ26" s="1882"/>
      <c r="EJA26" s="1882"/>
      <c r="EJB26" s="1882"/>
      <c r="EJD26" s="1887"/>
      <c r="EJE26" s="1888"/>
      <c r="EJF26" s="1882"/>
      <c r="EJG26" s="1882"/>
      <c r="EJH26" s="1882"/>
      <c r="EJJ26" s="1887"/>
      <c r="EJK26" s="1888"/>
      <c r="EJL26" s="1882"/>
      <c r="EJM26" s="1882"/>
      <c r="EJN26" s="1882"/>
      <c r="EJP26" s="1887"/>
      <c r="EJQ26" s="1888"/>
      <c r="EJR26" s="1882"/>
      <c r="EJS26" s="1882"/>
      <c r="EJT26" s="1882"/>
      <c r="EJV26" s="1887"/>
      <c r="EJW26" s="1888"/>
      <c r="EJX26" s="1882"/>
      <c r="EJY26" s="1882"/>
      <c r="EJZ26" s="1882"/>
      <c r="EKB26" s="1887"/>
      <c r="EKC26" s="1888"/>
      <c r="EKD26" s="1882"/>
      <c r="EKE26" s="1882"/>
      <c r="EKF26" s="1882"/>
      <c r="EKH26" s="1887"/>
      <c r="EKI26" s="1888"/>
      <c r="EKJ26" s="1882"/>
      <c r="EKK26" s="1882"/>
      <c r="EKL26" s="1882"/>
      <c r="EKN26" s="1887"/>
      <c r="EKO26" s="1888"/>
      <c r="EKP26" s="1882"/>
      <c r="EKQ26" s="1882"/>
      <c r="EKR26" s="1882"/>
      <c r="EKT26" s="1887"/>
      <c r="EKU26" s="1888"/>
      <c r="EKV26" s="1882"/>
      <c r="EKW26" s="1882"/>
      <c r="EKX26" s="1882"/>
      <c r="EKZ26" s="1887"/>
      <c r="ELA26" s="1888"/>
      <c r="ELB26" s="1882"/>
      <c r="ELC26" s="1882"/>
      <c r="ELD26" s="1882"/>
      <c r="ELF26" s="1887"/>
      <c r="ELG26" s="1888"/>
      <c r="ELH26" s="1882"/>
      <c r="ELI26" s="1882"/>
      <c r="ELJ26" s="1882"/>
      <c r="ELL26" s="1887"/>
      <c r="ELM26" s="1888"/>
      <c r="ELN26" s="1882"/>
      <c r="ELO26" s="1882"/>
      <c r="ELP26" s="1882"/>
      <c r="ELR26" s="1887"/>
      <c r="ELS26" s="1888"/>
      <c r="ELT26" s="1882"/>
      <c r="ELU26" s="1882"/>
      <c r="ELV26" s="1882"/>
      <c r="ELX26" s="1887"/>
      <c r="ELY26" s="1888"/>
      <c r="ELZ26" s="1882"/>
      <c r="EMA26" s="1882"/>
      <c r="EMB26" s="1882"/>
      <c r="EMD26" s="1887"/>
      <c r="EME26" s="1888"/>
      <c r="EMF26" s="1882"/>
      <c r="EMG26" s="1882"/>
      <c r="EMH26" s="1882"/>
      <c r="EMJ26" s="1887"/>
      <c r="EMK26" s="1888"/>
      <c r="EML26" s="1882"/>
      <c r="EMM26" s="1882"/>
      <c r="EMN26" s="1882"/>
      <c r="EMP26" s="1887"/>
      <c r="EMQ26" s="1888"/>
      <c r="EMR26" s="1882"/>
      <c r="EMS26" s="1882"/>
      <c r="EMT26" s="1882"/>
      <c r="EMV26" s="1887"/>
      <c r="EMW26" s="1888"/>
      <c r="EMX26" s="1882"/>
      <c r="EMY26" s="1882"/>
      <c r="EMZ26" s="1882"/>
      <c r="ENB26" s="1887"/>
      <c r="ENC26" s="1888"/>
      <c r="END26" s="1882"/>
      <c r="ENE26" s="1882"/>
      <c r="ENF26" s="1882"/>
      <c r="ENH26" s="1887"/>
      <c r="ENI26" s="1888"/>
      <c r="ENJ26" s="1882"/>
      <c r="ENK26" s="1882"/>
      <c r="ENL26" s="1882"/>
      <c r="ENN26" s="1887"/>
      <c r="ENO26" s="1888"/>
      <c r="ENP26" s="1882"/>
      <c r="ENQ26" s="1882"/>
      <c r="ENR26" s="1882"/>
      <c r="ENT26" s="1887"/>
      <c r="ENU26" s="1888"/>
      <c r="ENV26" s="1882"/>
      <c r="ENW26" s="1882"/>
      <c r="ENX26" s="1882"/>
      <c r="ENZ26" s="1887"/>
      <c r="EOA26" s="1888"/>
      <c r="EOB26" s="1882"/>
      <c r="EOC26" s="1882"/>
      <c r="EOD26" s="1882"/>
      <c r="EOF26" s="1887"/>
      <c r="EOG26" s="1888"/>
      <c r="EOH26" s="1882"/>
      <c r="EOI26" s="1882"/>
      <c r="EOJ26" s="1882"/>
      <c r="EOL26" s="1887"/>
      <c r="EOM26" s="1888"/>
      <c r="EON26" s="1882"/>
      <c r="EOO26" s="1882"/>
      <c r="EOP26" s="1882"/>
      <c r="EOR26" s="1887"/>
      <c r="EOS26" s="1888"/>
      <c r="EOT26" s="1882"/>
      <c r="EOU26" s="1882"/>
      <c r="EOV26" s="1882"/>
      <c r="EOX26" s="1887"/>
      <c r="EOY26" s="1888"/>
      <c r="EOZ26" s="1882"/>
      <c r="EPA26" s="1882"/>
      <c r="EPB26" s="1882"/>
      <c r="EPD26" s="1887"/>
      <c r="EPE26" s="1888"/>
      <c r="EPF26" s="1882"/>
      <c r="EPG26" s="1882"/>
      <c r="EPH26" s="1882"/>
      <c r="EPJ26" s="1887"/>
      <c r="EPK26" s="1888"/>
      <c r="EPL26" s="1882"/>
      <c r="EPM26" s="1882"/>
      <c r="EPN26" s="1882"/>
      <c r="EPP26" s="1887"/>
      <c r="EPQ26" s="1888"/>
      <c r="EPR26" s="1882"/>
      <c r="EPS26" s="1882"/>
      <c r="EPT26" s="1882"/>
      <c r="EPV26" s="1887"/>
      <c r="EPW26" s="1888"/>
      <c r="EPX26" s="1882"/>
      <c r="EPY26" s="1882"/>
      <c r="EPZ26" s="1882"/>
      <c r="EQB26" s="1887"/>
      <c r="EQC26" s="1888"/>
      <c r="EQD26" s="1882"/>
      <c r="EQE26" s="1882"/>
      <c r="EQF26" s="1882"/>
      <c r="EQH26" s="1887"/>
      <c r="EQI26" s="1888"/>
      <c r="EQJ26" s="1882"/>
      <c r="EQK26" s="1882"/>
      <c r="EQL26" s="1882"/>
      <c r="EQN26" s="1887"/>
      <c r="EQO26" s="1888"/>
      <c r="EQP26" s="1882"/>
      <c r="EQQ26" s="1882"/>
      <c r="EQR26" s="1882"/>
      <c r="EQT26" s="1887"/>
      <c r="EQU26" s="1888"/>
      <c r="EQV26" s="1882"/>
      <c r="EQW26" s="1882"/>
      <c r="EQX26" s="1882"/>
      <c r="EQZ26" s="1887"/>
      <c r="ERA26" s="1888"/>
      <c r="ERB26" s="1882"/>
      <c r="ERC26" s="1882"/>
      <c r="ERD26" s="1882"/>
      <c r="ERF26" s="1887"/>
      <c r="ERG26" s="1888"/>
      <c r="ERH26" s="1882"/>
      <c r="ERI26" s="1882"/>
      <c r="ERJ26" s="1882"/>
      <c r="ERL26" s="1887"/>
      <c r="ERM26" s="1888"/>
      <c r="ERN26" s="1882"/>
      <c r="ERO26" s="1882"/>
      <c r="ERP26" s="1882"/>
      <c r="ERR26" s="1887"/>
      <c r="ERS26" s="1888"/>
      <c r="ERT26" s="1882"/>
      <c r="ERU26" s="1882"/>
      <c r="ERV26" s="1882"/>
      <c r="ERX26" s="1887"/>
      <c r="ERY26" s="1888"/>
      <c r="ERZ26" s="1882"/>
      <c r="ESA26" s="1882"/>
      <c r="ESB26" s="1882"/>
      <c r="ESD26" s="1887"/>
      <c r="ESE26" s="1888"/>
      <c r="ESF26" s="1882"/>
      <c r="ESG26" s="1882"/>
      <c r="ESH26" s="1882"/>
      <c r="ESJ26" s="1887"/>
      <c r="ESK26" s="1888"/>
      <c r="ESL26" s="1882"/>
      <c r="ESM26" s="1882"/>
      <c r="ESN26" s="1882"/>
      <c r="ESP26" s="1887"/>
      <c r="ESQ26" s="1888"/>
      <c r="ESR26" s="1882"/>
      <c r="ESS26" s="1882"/>
      <c r="EST26" s="1882"/>
      <c r="ESV26" s="1887"/>
      <c r="ESW26" s="1888"/>
      <c r="ESX26" s="1882"/>
      <c r="ESY26" s="1882"/>
      <c r="ESZ26" s="1882"/>
      <c r="ETB26" s="1887"/>
      <c r="ETC26" s="1888"/>
      <c r="ETD26" s="1882"/>
      <c r="ETE26" s="1882"/>
      <c r="ETF26" s="1882"/>
      <c r="ETH26" s="1887"/>
      <c r="ETI26" s="1888"/>
      <c r="ETJ26" s="1882"/>
      <c r="ETK26" s="1882"/>
      <c r="ETL26" s="1882"/>
      <c r="ETN26" s="1887"/>
      <c r="ETO26" s="1888"/>
      <c r="ETP26" s="1882"/>
      <c r="ETQ26" s="1882"/>
      <c r="ETR26" s="1882"/>
      <c r="ETT26" s="1887"/>
      <c r="ETU26" s="1888"/>
      <c r="ETV26" s="1882"/>
      <c r="ETW26" s="1882"/>
      <c r="ETX26" s="1882"/>
      <c r="ETZ26" s="1887"/>
      <c r="EUA26" s="1888"/>
      <c r="EUB26" s="1882"/>
      <c r="EUC26" s="1882"/>
      <c r="EUD26" s="1882"/>
      <c r="EUF26" s="1887"/>
      <c r="EUG26" s="1888"/>
      <c r="EUH26" s="1882"/>
      <c r="EUI26" s="1882"/>
      <c r="EUJ26" s="1882"/>
      <c r="EUL26" s="1887"/>
      <c r="EUM26" s="1888"/>
      <c r="EUN26" s="1882"/>
      <c r="EUO26" s="1882"/>
      <c r="EUP26" s="1882"/>
      <c r="EUR26" s="1887"/>
      <c r="EUS26" s="1888"/>
      <c r="EUT26" s="1882"/>
      <c r="EUU26" s="1882"/>
      <c r="EUV26" s="1882"/>
      <c r="EUX26" s="1887"/>
      <c r="EUY26" s="1888"/>
      <c r="EUZ26" s="1882"/>
      <c r="EVA26" s="1882"/>
      <c r="EVB26" s="1882"/>
      <c r="EVD26" s="1887"/>
      <c r="EVE26" s="1888"/>
      <c r="EVF26" s="1882"/>
      <c r="EVG26" s="1882"/>
      <c r="EVH26" s="1882"/>
      <c r="EVJ26" s="1887"/>
      <c r="EVK26" s="1888"/>
      <c r="EVL26" s="1882"/>
      <c r="EVM26" s="1882"/>
      <c r="EVN26" s="1882"/>
      <c r="EVP26" s="1887"/>
      <c r="EVQ26" s="1888"/>
      <c r="EVR26" s="1882"/>
      <c r="EVS26" s="1882"/>
      <c r="EVT26" s="1882"/>
      <c r="EVV26" s="1887"/>
      <c r="EVW26" s="1888"/>
      <c r="EVX26" s="1882"/>
      <c r="EVY26" s="1882"/>
      <c r="EVZ26" s="1882"/>
      <c r="EWB26" s="1887"/>
      <c r="EWC26" s="1888"/>
      <c r="EWD26" s="1882"/>
      <c r="EWE26" s="1882"/>
      <c r="EWF26" s="1882"/>
      <c r="EWH26" s="1887"/>
      <c r="EWI26" s="1888"/>
      <c r="EWJ26" s="1882"/>
      <c r="EWK26" s="1882"/>
      <c r="EWL26" s="1882"/>
      <c r="EWN26" s="1887"/>
      <c r="EWO26" s="1888"/>
      <c r="EWP26" s="1882"/>
      <c r="EWQ26" s="1882"/>
      <c r="EWR26" s="1882"/>
      <c r="EWT26" s="1887"/>
      <c r="EWU26" s="1888"/>
      <c r="EWV26" s="1882"/>
      <c r="EWW26" s="1882"/>
      <c r="EWX26" s="1882"/>
      <c r="EWZ26" s="1887"/>
      <c r="EXA26" s="1888"/>
      <c r="EXB26" s="1882"/>
      <c r="EXC26" s="1882"/>
      <c r="EXD26" s="1882"/>
      <c r="EXF26" s="1887"/>
      <c r="EXG26" s="1888"/>
      <c r="EXH26" s="1882"/>
      <c r="EXI26" s="1882"/>
      <c r="EXJ26" s="1882"/>
      <c r="EXL26" s="1887"/>
      <c r="EXM26" s="1888"/>
      <c r="EXN26" s="1882"/>
      <c r="EXO26" s="1882"/>
      <c r="EXP26" s="1882"/>
      <c r="EXR26" s="1887"/>
      <c r="EXS26" s="1888"/>
      <c r="EXT26" s="1882"/>
      <c r="EXU26" s="1882"/>
      <c r="EXV26" s="1882"/>
      <c r="EXX26" s="1887"/>
      <c r="EXY26" s="1888"/>
      <c r="EXZ26" s="1882"/>
      <c r="EYA26" s="1882"/>
      <c r="EYB26" s="1882"/>
      <c r="EYD26" s="1887"/>
      <c r="EYE26" s="1888"/>
      <c r="EYF26" s="1882"/>
      <c r="EYG26" s="1882"/>
      <c r="EYH26" s="1882"/>
      <c r="EYJ26" s="1887"/>
      <c r="EYK26" s="1888"/>
      <c r="EYL26" s="1882"/>
      <c r="EYM26" s="1882"/>
      <c r="EYN26" s="1882"/>
      <c r="EYP26" s="1887"/>
      <c r="EYQ26" s="1888"/>
      <c r="EYR26" s="1882"/>
      <c r="EYS26" s="1882"/>
      <c r="EYT26" s="1882"/>
      <c r="EYV26" s="1887"/>
      <c r="EYW26" s="1888"/>
      <c r="EYX26" s="1882"/>
      <c r="EYY26" s="1882"/>
      <c r="EYZ26" s="1882"/>
      <c r="EZB26" s="1887"/>
      <c r="EZC26" s="1888"/>
      <c r="EZD26" s="1882"/>
      <c r="EZE26" s="1882"/>
      <c r="EZF26" s="1882"/>
      <c r="EZH26" s="1887"/>
      <c r="EZI26" s="1888"/>
      <c r="EZJ26" s="1882"/>
      <c r="EZK26" s="1882"/>
      <c r="EZL26" s="1882"/>
      <c r="EZN26" s="1887"/>
      <c r="EZO26" s="1888"/>
      <c r="EZP26" s="1882"/>
      <c r="EZQ26" s="1882"/>
      <c r="EZR26" s="1882"/>
      <c r="EZT26" s="1887"/>
      <c r="EZU26" s="1888"/>
      <c r="EZV26" s="1882"/>
      <c r="EZW26" s="1882"/>
      <c r="EZX26" s="1882"/>
      <c r="EZZ26" s="1887"/>
      <c r="FAA26" s="1888"/>
      <c r="FAB26" s="1882"/>
      <c r="FAC26" s="1882"/>
      <c r="FAD26" s="1882"/>
      <c r="FAF26" s="1887"/>
      <c r="FAG26" s="1888"/>
      <c r="FAH26" s="1882"/>
      <c r="FAI26" s="1882"/>
      <c r="FAJ26" s="1882"/>
      <c r="FAL26" s="1887"/>
      <c r="FAM26" s="1888"/>
      <c r="FAN26" s="1882"/>
      <c r="FAO26" s="1882"/>
      <c r="FAP26" s="1882"/>
      <c r="FAR26" s="1887"/>
      <c r="FAS26" s="1888"/>
      <c r="FAT26" s="1882"/>
      <c r="FAU26" s="1882"/>
      <c r="FAV26" s="1882"/>
      <c r="FAX26" s="1887"/>
      <c r="FAY26" s="1888"/>
      <c r="FAZ26" s="1882"/>
      <c r="FBA26" s="1882"/>
      <c r="FBB26" s="1882"/>
      <c r="FBD26" s="1887"/>
      <c r="FBE26" s="1888"/>
      <c r="FBF26" s="1882"/>
      <c r="FBG26" s="1882"/>
      <c r="FBH26" s="1882"/>
      <c r="FBJ26" s="1887"/>
      <c r="FBK26" s="1888"/>
      <c r="FBL26" s="1882"/>
      <c r="FBM26" s="1882"/>
      <c r="FBN26" s="1882"/>
      <c r="FBP26" s="1887"/>
      <c r="FBQ26" s="1888"/>
      <c r="FBR26" s="1882"/>
      <c r="FBS26" s="1882"/>
      <c r="FBT26" s="1882"/>
      <c r="FBV26" s="1887"/>
      <c r="FBW26" s="1888"/>
      <c r="FBX26" s="1882"/>
      <c r="FBY26" s="1882"/>
      <c r="FBZ26" s="1882"/>
      <c r="FCB26" s="1887"/>
      <c r="FCC26" s="1888"/>
      <c r="FCD26" s="1882"/>
      <c r="FCE26" s="1882"/>
      <c r="FCF26" s="1882"/>
      <c r="FCH26" s="1887"/>
      <c r="FCI26" s="1888"/>
      <c r="FCJ26" s="1882"/>
      <c r="FCK26" s="1882"/>
      <c r="FCL26" s="1882"/>
      <c r="FCN26" s="1887"/>
      <c r="FCO26" s="1888"/>
      <c r="FCP26" s="1882"/>
      <c r="FCQ26" s="1882"/>
      <c r="FCR26" s="1882"/>
      <c r="FCT26" s="1887"/>
      <c r="FCU26" s="1888"/>
      <c r="FCV26" s="1882"/>
      <c r="FCW26" s="1882"/>
      <c r="FCX26" s="1882"/>
      <c r="FCZ26" s="1887"/>
      <c r="FDA26" s="1888"/>
      <c r="FDB26" s="1882"/>
      <c r="FDC26" s="1882"/>
      <c r="FDD26" s="1882"/>
      <c r="FDF26" s="1887"/>
      <c r="FDG26" s="1888"/>
      <c r="FDH26" s="1882"/>
      <c r="FDI26" s="1882"/>
      <c r="FDJ26" s="1882"/>
      <c r="FDL26" s="1887"/>
      <c r="FDM26" s="1888"/>
      <c r="FDN26" s="1882"/>
      <c r="FDO26" s="1882"/>
      <c r="FDP26" s="1882"/>
      <c r="FDR26" s="1887"/>
      <c r="FDS26" s="1888"/>
      <c r="FDT26" s="1882"/>
      <c r="FDU26" s="1882"/>
      <c r="FDV26" s="1882"/>
      <c r="FDX26" s="1887"/>
      <c r="FDY26" s="1888"/>
      <c r="FDZ26" s="1882"/>
      <c r="FEA26" s="1882"/>
      <c r="FEB26" s="1882"/>
      <c r="FED26" s="1887"/>
      <c r="FEE26" s="1888"/>
      <c r="FEF26" s="1882"/>
      <c r="FEG26" s="1882"/>
      <c r="FEH26" s="1882"/>
      <c r="FEJ26" s="1887"/>
      <c r="FEK26" s="1888"/>
      <c r="FEL26" s="1882"/>
      <c r="FEM26" s="1882"/>
      <c r="FEN26" s="1882"/>
      <c r="FEP26" s="1887"/>
      <c r="FEQ26" s="1888"/>
      <c r="FER26" s="1882"/>
      <c r="FES26" s="1882"/>
      <c r="FET26" s="1882"/>
      <c r="FEV26" s="1887"/>
      <c r="FEW26" s="1888"/>
      <c r="FEX26" s="1882"/>
      <c r="FEY26" s="1882"/>
      <c r="FEZ26" s="1882"/>
      <c r="FFB26" s="1887"/>
      <c r="FFC26" s="1888"/>
      <c r="FFD26" s="1882"/>
      <c r="FFE26" s="1882"/>
      <c r="FFF26" s="1882"/>
      <c r="FFH26" s="1887"/>
      <c r="FFI26" s="1888"/>
      <c r="FFJ26" s="1882"/>
      <c r="FFK26" s="1882"/>
      <c r="FFL26" s="1882"/>
      <c r="FFN26" s="1887"/>
      <c r="FFO26" s="1888"/>
      <c r="FFP26" s="1882"/>
      <c r="FFQ26" s="1882"/>
      <c r="FFR26" s="1882"/>
      <c r="FFT26" s="1887"/>
      <c r="FFU26" s="1888"/>
      <c r="FFV26" s="1882"/>
      <c r="FFW26" s="1882"/>
      <c r="FFX26" s="1882"/>
      <c r="FFZ26" s="1887"/>
      <c r="FGA26" s="1888"/>
      <c r="FGB26" s="1882"/>
      <c r="FGC26" s="1882"/>
      <c r="FGD26" s="1882"/>
      <c r="FGF26" s="1887"/>
      <c r="FGG26" s="1888"/>
      <c r="FGH26" s="1882"/>
      <c r="FGI26" s="1882"/>
      <c r="FGJ26" s="1882"/>
      <c r="FGL26" s="1887"/>
      <c r="FGM26" s="1888"/>
      <c r="FGN26" s="1882"/>
      <c r="FGO26" s="1882"/>
      <c r="FGP26" s="1882"/>
      <c r="FGR26" s="1887"/>
      <c r="FGS26" s="1888"/>
      <c r="FGT26" s="1882"/>
      <c r="FGU26" s="1882"/>
      <c r="FGV26" s="1882"/>
      <c r="FGX26" s="1887"/>
      <c r="FGY26" s="1888"/>
      <c r="FGZ26" s="1882"/>
      <c r="FHA26" s="1882"/>
      <c r="FHB26" s="1882"/>
      <c r="FHD26" s="1887"/>
      <c r="FHE26" s="1888"/>
      <c r="FHF26" s="1882"/>
      <c r="FHG26" s="1882"/>
      <c r="FHH26" s="1882"/>
      <c r="FHJ26" s="1887"/>
      <c r="FHK26" s="1888"/>
      <c r="FHL26" s="1882"/>
      <c r="FHM26" s="1882"/>
      <c r="FHN26" s="1882"/>
      <c r="FHP26" s="1887"/>
      <c r="FHQ26" s="1888"/>
      <c r="FHR26" s="1882"/>
      <c r="FHS26" s="1882"/>
      <c r="FHT26" s="1882"/>
      <c r="FHV26" s="1887"/>
      <c r="FHW26" s="1888"/>
      <c r="FHX26" s="1882"/>
      <c r="FHY26" s="1882"/>
      <c r="FHZ26" s="1882"/>
      <c r="FIB26" s="1887"/>
      <c r="FIC26" s="1888"/>
      <c r="FID26" s="1882"/>
      <c r="FIE26" s="1882"/>
      <c r="FIF26" s="1882"/>
      <c r="FIH26" s="1887"/>
      <c r="FII26" s="1888"/>
      <c r="FIJ26" s="1882"/>
      <c r="FIK26" s="1882"/>
      <c r="FIL26" s="1882"/>
      <c r="FIN26" s="1887"/>
      <c r="FIO26" s="1888"/>
      <c r="FIP26" s="1882"/>
      <c r="FIQ26" s="1882"/>
      <c r="FIR26" s="1882"/>
      <c r="FIT26" s="1887"/>
      <c r="FIU26" s="1888"/>
      <c r="FIV26" s="1882"/>
      <c r="FIW26" s="1882"/>
      <c r="FIX26" s="1882"/>
      <c r="FIZ26" s="1887"/>
      <c r="FJA26" s="1888"/>
      <c r="FJB26" s="1882"/>
      <c r="FJC26" s="1882"/>
      <c r="FJD26" s="1882"/>
      <c r="FJF26" s="1887"/>
      <c r="FJG26" s="1888"/>
      <c r="FJH26" s="1882"/>
      <c r="FJI26" s="1882"/>
      <c r="FJJ26" s="1882"/>
      <c r="FJL26" s="1887"/>
      <c r="FJM26" s="1888"/>
      <c r="FJN26" s="1882"/>
      <c r="FJO26" s="1882"/>
      <c r="FJP26" s="1882"/>
      <c r="FJR26" s="1887"/>
      <c r="FJS26" s="1888"/>
      <c r="FJT26" s="1882"/>
      <c r="FJU26" s="1882"/>
      <c r="FJV26" s="1882"/>
      <c r="FJX26" s="1887"/>
      <c r="FJY26" s="1888"/>
      <c r="FJZ26" s="1882"/>
      <c r="FKA26" s="1882"/>
      <c r="FKB26" s="1882"/>
      <c r="FKD26" s="1887"/>
      <c r="FKE26" s="1888"/>
      <c r="FKF26" s="1882"/>
      <c r="FKG26" s="1882"/>
      <c r="FKH26" s="1882"/>
      <c r="FKJ26" s="1887"/>
      <c r="FKK26" s="1888"/>
      <c r="FKL26" s="1882"/>
      <c r="FKM26" s="1882"/>
      <c r="FKN26" s="1882"/>
      <c r="FKP26" s="1887"/>
      <c r="FKQ26" s="1888"/>
      <c r="FKR26" s="1882"/>
      <c r="FKS26" s="1882"/>
      <c r="FKT26" s="1882"/>
      <c r="FKV26" s="1887"/>
      <c r="FKW26" s="1888"/>
      <c r="FKX26" s="1882"/>
      <c r="FKY26" s="1882"/>
      <c r="FKZ26" s="1882"/>
      <c r="FLB26" s="1887"/>
      <c r="FLC26" s="1888"/>
      <c r="FLD26" s="1882"/>
      <c r="FLE26" s="1882"/>
      <c r="FLF26" s="1882"/>
      <c r="FLH26" s="1887"/>
      <c r="FLI26" s="1888"/>
      <c r="FLJ26" s="1882"/>
      <c r="FLK26" s="1882"/>
      <c r="FLL26" s="1882"/>
      <c r="FLN26" s="1887"/>
      <c r="FLO26" s="1888"/>
      <c r="FLP26" s="1882"/>
      <c r="FLQ26" s="1882"/>
      <c r="FLR26" s="1882"/>
      <c r="FLT26" s="1887"/>
      <c r="FLU26" s="1888"/>
      <c r="FLV26" s="1882"/>
      <c r="FLW26" s="1882"/>
      <c r="FLX26" s="1882"/>
      <c r="FLZ26" s="1887"/>
      <c r="FMA26" s="1888"/>
      <c r="FMB26" s="1882"/>
      <c r="FMC26" s="1882"/>
      <c r="FMD26" s="1882"/>
      <c r="FMF26" s="1887"/>
      <c r="FMG26" s="1888"/>
      <c r="FMH26" s="1882"/>
      <c r="FMI26" s="1882"/>
      <c r="FMJ26" s="1882"/>
      <c r="FML26" s="1887"/>
      <c r="FMM26" s="1888"/>
      <c r="FMN26" s="1882"/>
      <c r="FMO26" s="1882"/>
      <c r="FMP26" s="1882"/>
      <c r="FMR26" s="1887"/>
      <c r="FMS26" s="1888"/>
      <c r="FMT26" s="1882"/>
      <c r="FMU26" s="1882"/>
      <c r="FMV26" s="1882"/>
      <c r="FMX26" s="1887"/>
      <c r="FMY26" s="1888"/>
      <c r="FMZ26" s="1882"/>
      <c r="FNA26" s="1882"/>
      <c r="FNB26" s="1882"/>
      <c r="FND26" s="1887"/>
      <c r="FNE26" s="1888"/>
      <c r="FNF26" s="1882"/>
      <c r="FNG26" s="1882"/>
      <c r="FNH26" s="1882"/>
      <c r="FNJ26" s="1887"/>
      <c r="FNK26" s="1888"/>
      <c r="FNL26" s="1882"/>
      <c r="FNM26" s="1882"/>
      <c r="FNN26" s="1882"/>
      <c r="FNP26" s="1887"/>
      <c r="FNQ26" s="1888"/>
      <c r="FNR26" s="1882"/>
      <c r="FNS26" s="1882"/>
      <c r="FNT26" s="1882"/>
      <c r="FNV26" s="1887"/>
      <c r="FNW26" s="1888"/>
      <c r="FNX26" s="1882"/>
      <c r="FNY26" s="1882"/>
      <c r="FNZ26" s="1882"/>
      <c r="FOB26" s="1887"/>
      <c r="FOC26" s="1888"/>
      <c r="FOD26" s="1882"/>
      <c r="FOE26" s="1882"/>
      <c r="FOF26" s="1882"/>
      <c r="FOH26" s="1887"/>
      <c r="FOI26" s="1888"/>
      <c r="FOJ26" s="1882"/>
      <c r="FOK26" s="1882"/>
      <c r="FOL26" s="1882"/>
      <c r="FON26" s="1887"/>
      <c r="FOO26" s="1888"/>
      <c r="FOP26" s="1882"/>
      <c r="FOQ26" s="1882"/>
      <c r="FOR26" s="1882"/>
      <c r="FOT26" s="1887"/>
      <c r="FOU26" s="1888"/>
      <c r="FOV26" s="1882"/>
      <c r="FOW26" s="1882"/>
      <c r="FOX26" s="1882"/>
      <c r="FOZ26" s="1887"/>
      <c r="FPA26" s="1888"/>
      <c r="FPB26" s="1882"/>
      <c r="FPC26" s="1882"/>
      <c r="FPD26" s="1882"/>
      <c r="FPF26" s="1887"/>
      <c r="FPG26" s="1888"/>
      <c r="FPH26" s="1882"/>
      <c r="FPI26" s="1882"/>
      <c r="FPJ26" s="1882"/>
      <c r="FPL26" s="1887"/>
      <c r="FPM26" s="1888"/>
      <c r="FPN26" s="1882"/>
      <c r="FPO26" s="1882"/>
      <c r="FPP26" s="1882"/>
      <c r="FPR26" s="1887"/>
      <c r="FPS26" s="1888"/>
      <c r="FPT26" s="1882"/>
      <c r="FPU26" s="1882"/>
      <c r="FPV26" s="1882"/>
      <c r="FPX26" s="1887"/>
      <c r="FPY26" s="1888"/>
      <c r="FPZ26" s="1882"/>
      <c r="FQA26" s="1882"/>
      <c r="FQB26" s="1882"/>
      <c r="FQD26" s="1887"/>
      <c r="FQE26" s="1888"/>
      <c r="FQF26" s="1882"/>
      <c r="FQG26" s="1882"/>
      <c r="FQH26" s="1882"/>
      <c r="FQJ26" s="1887"/>
      <c r="FQK26" s="1888"/>
      <c r="FQL26" s="1882"/>
      <c r="FQM26" s="1882"/>
      <c r="FQN26" s="1882"/>
      <c r="FQP26" s="1887"/>
      <c r="FQQ26" s="1888"/>
      <c r="FQR26" s="1882"/>
      <c r="FQS26" s="1882"/>
      <c r="FQT26" s="1882"/>
      <c r="FQV26" s="1887"/>
      <c r="FQW26" s="1888"/>
      <c r="FQX26" s="1882"/>
      <c r="FQY26" s="1882"/>
      <c r="FQZ26" s="1882"/>
      <c r="FRB26" s="1887"/>
      <c r="FRC26" s="1888"/>
      <c r="FRD26" s="1882"/>
      <c r="FRE26" s="1882"/>
      <c r="FRF26" s="1882"/>
      <c r="FRH26" s="1887"/>
      <c r="FRI26" s="1888"/>
      <c r="FRJ26" s="1882"/>
      <c r="FRK26" s="1882"/>
      <c r="FRL26" s="1882"/>
      <c r="FRN26" s="1887"/>
      <c r="FRO26" s="1888"/>
      <c r="FRP26" s="1882"/>
      <c r="FRQ26" s="1882"/>
      <c r="FRR26" s="1882"/>
      <c r="FRT26" s="1887"/>
      <c r="FRU26" s="1888"/>
      <c r="FRV26" s="1882"/>
      <c r="FRW26" s="1882"/>
      <c r="FRX26" s="1882"/>
      <c r="FRZ26" s="1887"/>
      <c r="FSA26" s="1888"/>
      <c r="FSB26" s="1882"/>
      <c r="FSC26" s="1882"/>
      <c r="FSD26" s="1882"/>
      <c r="FSF26" s="1887"/>
      <c r="FSG26" s="1888"/>
      <c r="FSH26" s="1882"/>
      <c r="FSI26" s="1882"/>
      <c r="FSJ26" s="1882"/>
      <c r="FSL26" s="1887"/>
      <c r="FSM26" s="1888"/>
      <c r="FSN26" s="1882"/>
      <c r="FSO26" s="1882"/>
      <c r="FSP26" s="1882"/>
      <c r="FSR26" s="1887"/>
      <c r="FSS26" s="1888"/>
      <c r="FST26" s="1882"/>
      <c r="FSU26" s="1882"/>
      <c r="FSV26" s="1882"/>
      <c r="FSX26" s="1887"/>
      <c r="FSY26" s="1888"/>
      <c r="FSZ26" s="1882"/>
      <c r="FTA26" s="1882"/>
      <c r="FTB26" s="1882"/>
      <c r="FTD26" s="1887"/>
      <c r="FTE26" s="1888"/>
      <c r="FTF26" s="1882"/>
      <c r="FTG26" s="1882"/>
      <c r="FTH26" s="1882"/>
      <c r="FTJ26" s="1887"/>
      <c r="FTK26" s="1888"/>
      <c r="FTL26" s="1882"/>
      <c r="FTM26" s="1882"/>
      <c r="FTN26" s="1882"/>
      <c r="FTP26" s="1887"/>
      <c r="FTQ26" s="1888"/>
      <c r="FTR26" s="1882"/>
      <c r="FTS26" s="1882"/>
      <c r="FTT26" s="1882"/>
      <c r="FTV26" s="1887"/>
      <c r="FTW26" s="1888"/>
      <c r="FTX26" s="1882"/>
      <c r="FTY26" s="1882"/>
      <c r="FTZ26" s="1882"/>
      <c r="FUB26" s="1887"/>
      <c r="FUC26" s="1888"/>
      <c r="FUD26" s="1882"/>
      <c r="FUE26" s="1882"/>
      <c r="FUF26" s="1882"/>
      <c r="FUH26" s="1887"/>
      <c r="FUI26" s="1888"/>
      <c r="FUJ26" s="1882"/>
      <c r="FUK26" s="1882"/>
      <c r="FUL26" s="1882"/>
      <c r="FUN26" s="1887"/>
      <c r="FUO26" s="1888"/>
      <c r="FUP26" s="1882"/>
      <c r="FUQ26" s="1882"/>
      <c r="FUR26" s="1882"/>
      <c r="FUT26" s="1887"/>
      <c r="FUU26" s="1888"/>
      <c r="FUV26" s="1882"/>
      <c r="FUW26" s="1882"/>
      <c r="FUX26" s="1882"/>
      <c r="FUZ26" s="1887"/>
      <c r="FVA26" s="1888"/>
      <c r="FVB26" s="1882"/>
      <c r="FVC26" s="1882"/>
      <c r="FVD26" s="1882"/>
      <c r="FVF26" s="1887"/>
      <c r="FVG26" s="1888"/>
      <c r="FVH26" s="1882"/>
      <c r="FVI26" s="1882"/>
      <c r="FVJ26" s="1882"/>
      <c r="FVL26" s="1887"/>
      <c r="FVM26" s="1888"/>
      <c r="FVN26" s="1882"/>
      <c r="FVO26" s="1882"/>
      <c r="FVP26" s="1882"/>
      <c r="FVR26" s="1887"/>
      <c r="FVS26" s="1888"/>
      <c r="FVT26" s="1882"/>
      <c r="FVU26" s="1882"/>
      <c r="FVV26" s="1882"/>
      <c r="FVX26" s="1887"/>
      <c r="FVY26" s="1888"/>
      <c r="FVZ26" s="1882"/>
      <c r="FWA26" s="1882"/>
      <c r="FWB26" s="1882"/>
      <c r="FWD26" s="1887"/>
      <c r="FWE26" s="1888"/>
      <c r="FWF26" s="1882"/>
      <c r="FWG26" s="1882"/>
      <c r="FWH26" s="1882"/>
      <c r="FWJ26" s="1887"/>
      <c r="FWK26" s="1888"/>
      <c r="FWL26" s="1882"/>
      <c r="FWM26" s="1882"/>
      <c r="FWN26" s="1882"/>
      <c r="FWP26" s="1887"/>
      <c r="FWQ26" s="1888"/>
      <c r="FWR26" s="1882"/>
      <c r="FWS26" s="1882"/>
      <c r="FWT26" s="1882"/>
      <c r="FWV26" s="1887"/>
      <c r="FWW26" s="1888"/>
      <c r="FWX26" s="1882"/>
      <c r="FWY26" s="1882"/>
      <c r="FWZ26" s="1882"/>
      <c r="FXB26" s="1887"/>
      <c r="FXC26" s="1888"/>
      <c r="FXD26" s="1882"/>
      <c r="FXE26" s="1882"/>
      <c r="FXF26" s="1882"/>
      <c r="FXH26" s="1887"/>
      <c r="FXI26" s="1888"/>
      <c r="FXJ26" s="1882"/>
      <c r="FXK26" s="1882"/>
      <c r="FXL26" s="1882"/>
      <c r="FXN26" s="1887"/>
      <c r="FXO26" s="1888"/>
      <c r="FXP26" s="1882"/>
      <c r="FXQ26" s="1882"/>
      <c r="FXR26" s="1882"/>
      <c r="FXT26" s="1887"/>
      <c r="FXU26" s="1888"/>
      <c r="FXV26" s="1882"/>
      <c r="FXW26" s="1882"/>
      <c r="FXX26" s="1882"/>
      <c r="FXZ26" s="1887"/>
      <c r="FYA26" s="1888"/>
      <c r="FYB26" s="1882"/>
      <c r="FYC26" s="1882"/>
      <c r="FYD26" s="1882"/>
      <c r="FYF26" s="1887"/>
      <c r="FYG26" s="1888"/>
      <c r="FYH26" s="1882"/>
      <c r="FYI26" s="1882"/>
      <c r="FYJ26" s="1882"/>
      <c r="FYL26" s="1887"/>
      <c r="FYM26" s="1888"/>
      <c r="FYN26" s="1882"/>
      <c r="FYO26" s="1882"/>
      <c r="FYP26" s="1882"/>
      <c r="FYR26" s="1887"/>
      <c r="FYS26" s="1888"/>
      <c r="FYT26" s="1882"/>
      <c r="FYU26" s="1882"/>
      <c r="FYV26" s="1882"/>
      <c r="FYX26" s="1887"/>
      <c r="FYY26" s="1888"/>
      <c r="FYZ26" s="1882"/>
      <c r="FZA26" s="1882"/>
      <c r="FZB26" s="1882"/>
      <c r="FZD26" s="1887"/>
      <c r="FZE26" s="1888"/>
      <c r="FZF26" s="1882"/>
      <c r="FZG26" s="1882"/>
      <c r="FZH26" s="1882"/>
      <c r="FZJ26" s="1887"/>
      <c r="FZK26" s="1888"/>
      <c r="FZL26" s="1882"/>
      <c r="FZM26" s="1882"/>
      <c r="FZN26" s="1882"/>
      <c r="FZP26" s="1887"/>
      <c r="FZQ26" s="1888"/>
      <c r="FZR26" s="1882"/>
      <c r="FZS26" s="1882"/>
      <c r="FZT26" s="1882"/>
      <c r="FZV26" s="1887"/>
      <c r="FZW26" s="1888"/>
      <c r="FZX26" s="1882"/>
      <c r="FZY26" s="1882"/>
      <c r="FZZ26" s="1882"/>
      <c r="GAB26" s="1887"/>
      <c r="GAC26" s="1888"/>
      <c r="GAD26" s="1882"/>
      <c r="GAE26" s="1882"/>
      <c r="GAF26" s="1882"/>
      <c r="GAH26" s="1887"/>
      <c r="GAI26" s="1888"/>
      <c r="GAJ26" s="1882"/>
      <c r="GAK26" s="1882"/>
      <c r="GAL26" s="1882"/>
      <c r="GAN26" s="1887"/>
      <c r="GAO26" s="1888"/>
      <c r="GAP26" s="1882"/>
      <c r="GAQ26" s="1882"/>
      <c r="GAR26" s="1882"/>
      <c r="GAT26" s="1887"/>
      <c r="GAU26" s="1888"/>
      <c r="GAV26" s="1882"/>
      <c r="GAW26" s="1882"/>
      <c r="GAX26" s="1882"/>
      <c r="GAZ26" s="1887"/>
      <c r="GBA26" s="1888"/>
      <c r="GBB26" s="1882"/>
      <c r="GBC26" s="1882"/>
      <c r="GBD26" s="1882"/>
      <c r="GBF26" s="1887"/>
      <c r="GBG26" s="1888"/>
      <c r="GBH26" s="1882"/>
      <c r="GBI26" s="1882"/>
      <c r="GBJ26" s="1882"/>
      <c r="GBL26" s="1887"/>
      <c r="GBM26" s="1888"/>
      <c r="GBN26" s="1882"/>
      <c r="GBO26" s="1882"/>
      <c r="GBP26" s="1882"/>
      <c r="GBR26" s="1887"/>
      <c r="GBS26" s="1888"/>
      <c r="GBT26" s="1882"/>
      <c r="GBU26" s="1882"/>
      <c r="GBV26" s="1882"/>
      <c r="GBX26" s="1887"/>
      <c r="GBY26" s="1888"/>
      <c r="GBZ26" s="1882"/>
      <c r="GCA26" s="1882"/>
      <c r="GCB26" s="1882"/>
      <c r="GCD26" s="1887"/>
      <c r="GCE26" s="1888"/>
      <c r="GCF26" s="1882"/>
      <c r="GCG26" s="1882"/>
      <c r="GCH26" s="1882"/>
      <c r="GCJ26" s="1887"/>
      <c r="GCK26" s="1888"/>
      <c r="GCL26" s="1882"/>
      <c r="GCM26" s="1882"/>
      <c r="GCN26" s="1882"/>
      <c r="GCP26" s="1887"/>
      <c r="GCQ26" s="1888"/>
      <c r="GCR26" s="1882"/>
      <c r="GCS26" s="1882"/>
      <c r="GCT26" s="1882"/>
      <c r="GCV26" s="1887"/>
      <c r="GCW26" s="1888"/>
      <c r="GCX26" s="1882"/>
      <c r="GCY26" s="1882"/>
      <c r="GCZ26" s="1882"/>
      <c r="GDB26" s="1887"/>
      <c r="GDC26" s="1888"/>
      <c r="GDD26" s="1882"/>
      <c r="GDE26" s="1882"/>
      <c r="GDF26" s="1882"/>
      <c r="GDH26" s="1887"/>
      <c r="GDI26" s="1888"/>
      <c r="GDJ26" s="1882"/>
      <c r="GDK26" s="1882"/>
      <c r="GDL26" s="1882"/>
      <c r="GDN26" s="1887"/>
      <c r="GDO26" s="1888"/>
      <c r="GDP26" s="1882"/>
      <c r="GDQ26" s="1882"/>
      <c r="GDR26" s="1882"/>
      <c r="GDT26" s="1887"/>
      <c r="GDU26" s="1888"/>
      <c r="GDV26" s="1882"/>
      <c r="GDW26" s="1882"/>
      <c r="GDX26" s="1882"/>
      <c r="GDZ26" s="1887"/>
      <c r="GEA26" s="1888"/>
      <c r="GEB26" s="1882"/>
      <c r="GEC26" s="1882"/>
      <c r="GED26" s="1882"/>
      <c r="GEF26" s="1887"/>
      <c r="GEG26" s="1888"/>
      <c r="GEH26" s="1882"/>
      <c r="GEI26" s="1882"/>
      <c r="GEJ26" s="1882"/>
      <c r="GEL26" s="1887"/>
      <c r="GEM26" s="1888"/>
      <c r="GEN26" s="1882"/>
      <c r="GEO26" s="1882"/>
      <c r="GEP26" s="1882"/>
      <c r="GER26" s="1887"/>
      <c r="GES26" s="1888"/>
      <c r="GET26" s="1882"/>
      <c r="GEU26" s="1882"/>
      <c r="GEV26" s="1882"/>
      <c r="GEX26" s="1887"/>
      <c r="GEY26" s="1888"/>
      <c r="GEZ26" s="1882"/>
      <c r="GFA26" s="1882"/>
      <c r="GFB26" s="1882"/>
      <c r="GFD26" s="1887"/>
      <c r="GFE26" s="1888"/>
      <c r="GFF26" s="1882"/>
      <c r="GFG26" s="1882"/>
      <c r="GFH26" s="1882"/>
      <c r="GFJ26" s="1887"/>
      <c r="GFK26" s="1888"/>
      <c r="GFL26" s="1882"/>
      <c r="GFM26" s="1882"/>
      <c r="GFN26" s="1882"/>
      <c r="GFP26" s="1887"/>
      <c r="GFQ26" s="1888"/>
      <c r="GFR26" s="1882"/>
      <c r="GFS26" s="1882"/>
      <c r="GFT26" s="1882"/>
      <c r="GFV26" s="1887"/>
      <c r="GFW26" s="1888"/>
      <c r="GFX26" s="1882"/>
      <c r="GFY26" s="1882"/>
      <c r="GFZ26" s="1882"/>
      <c r="GGB26" s="1887"/>
      <c r="GGC26" s="1888"/>
      <c r="GGD26" s="1882"/>
      <c r="GGE26" s="1882"/>
      <c r="GGF26" s="1882"/>
      <c r="GGH26" s="1887"/>
      <c r="GGI26" s="1888"/>
      <c r="GGJ26" s="1882"/>
      <c r="GGK26" s="1882"/>
      <c r="GGL26" s="1882"/>
      <c r="GGN26" s="1887"/>
      <c r="GGO26" s="1888"/>
      <c r="GGP26" s="1882"/>
      <c r="GGQ26" s="1882"/>
      <c r="GGR26" s="1882"/>
      <c r="GGT26" s="1887"/>
      <c r="GGU26" s="1888"/>
      <c r="GGV26" s="1882"/>
      <c r="GGW26" s="1882"/>
      <c r="GGX26" s="1882"/>
      <c r="GGZ26" s="1887"/>
      <c r="GHA26" s="1888"/>
      <c r="GHB26" s="1882"/>
      <c r="GHC26" s="1882"/>
      <c r="GHD26" s="1882"/>
      <c r="GHF26" s="1887"/>
      <c r="GHG26" s="1888"/>
      <c r="GHH26" s="1882"/>
      <c r="GHI26" s="1882"/>
      <c r="GHJ26" s="1882"/>
      <c r="GHL26" s="1887"/>
      <c r="GHM26" s="1888"/>
      <c r="GHN26" s="1882"/>
      <c r="GHO26" s="1882"/>
      <c r="GHP26" s="1882"/>
      <c r="GHR26" s="1887"/>
      <c r="GHS26" s="1888"/>
      <c r="GHT26" s="1882"/>
      <c r="GHU26" s="1882"/>
      <c r="GHV26" s="1882"/>
      <c r="GHX26" s="1887"/>
      <c r="GHY26" s="1888"/>
      <c r="GHZ26" s="1882"/>
      <c r="GIA26" s="1882"/>
      <c r="GIB26" s="1882"/>
      <c r="GID26" s="1887"/>
      <c r="GIE26" s="1888"/>
      <c r="GIF26" s="1882"/>
      <c r="GIG26" s="1882"/>
      <c r="GIH26" s="1882"/>
      <c r="GIJ26" s="1887"/>
      <c r="GIK26" s="1888"/>
      <c r="GIL26" s="1882"/>
      <c r="GIM26" s="1882"/>
      <c r="GIN26" s="1882"/>
      <c r="GIP26" s="1887"/>
      <c r="GIQ26" s="1888"/>
      <c r="GIR26" s="1882"/>
      <c r="GIS26" s="1882"/>
      <c r="GIT26" s="1882"/>
      <c r="GIV26" s="1887"/>
      <c r="GIW26" s="1888"/>
      <c r="GIX26" s="1882"/>
      <c r="GIY26" s="1882"/>
      <c r="GIZ26" s="1882"/>
      <c r="GJB26" s="1887"/>
      <c r="GJC26" s="1888"/>
      <c r="GJD26" s="1882"/>
      <c r="GJE26" s="1882"/>
      <c r="GJF26" s="1882"/>
      <c r="GJH26" s="1887"/>
      <c r="GJI26" s="1888"/>
      <c r="GJJ26" s="1882"/>
      <c r="GJK26" s="1882"/>
      <c r="GJL26" s="1882"/>
      <c r="GJN26" s="1887"/>
      <c r="GJO26" s="1888"/>
      <c r="GJP26" s="1882"/>
      <c r="GJQ26" s="1882"/>
      <c r="GJR26" s="1882"/>
      <c r="GJT26" s="1887"/>
      <c r="GJU26" s="1888"/>
      <c r="GJV26" s="1882"/>
      <c r="GJW26" s="1882"/>
      <c r="GJX26" s="1882"/>
      <c r="GJZ26" s="1887"/>
      <c r="GKA26" s="1888"/>
      <c r="GKB26" s="1882"/>
      <c r="GKC26" s="1882"/>
      <c r="GKD26" s="1882"/>
      <c r="GKF26" s="1887"/>
      <c r="GKG26" s="1888"/>
      <c r="GKH26" s="1882"/>
      <c r="GKI26" s="1882"/>
      <c r="GKJ26" s="1882"/>
      <c r="GKL26" s="1887"/>
      <c r="GKM26" s="1888"/>
      <c r="GKN26" s="1882"/>
      <c r="GKO26" s="1882"/>
      <c r="GKP26" s="1882"/>
      <c r="GKR26" s="1887"/>
      <c r="GKS26" s="1888"/>
      <c r="GKT26" s="1882"/>
      <c r="GKU26" s="1882"/>
      <c r="GKV26" s="1882"/>
      <c r="GKX26" s="1887"/>
      <c r="GKY26" s="1888"/>
      <c r="GKZ26" s="1882"/>
      <c r="GLA26" s="1882"/>
      <c r="GLB26" s="1882"/>
      <c r="GLD26" s="1887"/>
      <c r="GLE26" s="1888"/>
      <c r="GLF26" s="1882"/>
      <c r="GLG26" s="1882"/>
      <c r="GLH26" s="1882"/>
      <c r="GLJ26" s="1887"/>
      <c r="GLK26" s="1888"/>
      <c r="GLL26" s="1882"/>
      <c r="GLM26" s="1882"/>
      <c r="GLN26" s="1882"/>
      <c r="GLP26" s="1887"/>
      <c r="GLQ26" s="1888"/>
      <c r="GLR26" s="1882"/>
      <c r="GLS26" s="1882"/>
      <c r="GLT26" s="1882"/>
      <c r="GLV26" s="1887"/>
      <c r="GLW26" s="1888"/>
      <c r="GLX26" s="1882"/>
      <c r="GLY26" s="1882"/>
      <c r="GLZ26" s="1882"/>
      <c r="GMB26" s="1887"/>
      <c r="GMC26" s="1888"/>
      <c r="GMD26" s="1882"/>
      <c r="GME26" s="1882"/>
      <c r="GMF26" s="1882"/>
      <c r="GMH26" s="1887"/>
      <c r="GMI26" s="1888"/>
      <c r="GMJ26" s="1882"/>
      <c r="GMK26" s="1882"/>
      <c r="GML26" s="1882"/>
      <c r="GMN26" s="1887"/>
      <c r="GMO26" s="1888"/>
      <c r="GMP26" s="1882"/>
      <c r="GMQ26" s="1882"/>
      <c r="GMR26" s="1882"/>
      <c r="GMT26" s="1887"/>
      <c r="GMU26" s="1888"/>
      <c r="GMV26" s="1882"/>
      <c r="GMW26" s="1882"/>
      <c r="GMX26" s="1882"/>
      <c r="GMZ26" s="1887"/>
      <c r="GNA26" s="1888"/>
      <c r="GNB26" s="1882"/>
      <c r="GNC26" s="1882"/>
      <c r="GND26" s="1882"/>
      <c r="GNF26" s="1887"/>
      <c r="GNG26" s="1888"/>
      <c r="GNH26" s="1882"/>
      <c r="GNI26" s="1882"/>
      <c r="GNJ26" s="1882"/>
      <c r="GNL26" s="1887"/>
      <c r="GNM26" s="1888"/>
      <c r="GNN26" s="1882"/>
      <c r="GNO26" s="1882"/>
      <c r="GNP26" s="1882"/>
      <c r="GNR26" s="1887"/>
      <c r="GNS26" s="1888"/>
      <c r="GNT26" s="1882"/>
      <c r="GNU26" s="1882"/>
      <c r="GNV26" s="1882"/>
      <c r="GNX26" s="1887"/>
      <c r="GNY26" s="1888"/>
      <c r="GNZ26" s="1882"/>
      <c r="GOA26" s="1882"/>
      <c r="GOB26" s="1882"/>
      <c r="GOD26" s="1887"/>
      <c r="GOE26" s="1888"/>
      <c r="GOF26" s="1882"/>
      <c r="GOG26" s="1882"/>
      <c r="GOH26" s="1882"/>
      <c r="GOJ26" s="1887"/>
      <c r="GOK26" s="1888"/>
      <c r="GOL26" s="1882"/>
      <c r="GOM26" s="1882"/>
      <c r="GON26" s="1882"/>
      <c r="GOP26" s="1887"/>
      <c r="GOQ26" s="1888"/>
      <c r="GOR26" s="1882"/>
      <c r="GOS26" s="1882"/>
      <c r="GOT26" s="1882"/>
      <c r="GOV26" s="1887"/>
      <c r="GOW26" s="1888"/>
      <c r="GOX26" s="1882"/>
      <c r="GOY26" s="1882"/>
      <c r="GOZ26" s="1882"/>
      <c r="GPB26" s="1887"/>
      <c r="GPC26" s="1888"/>
      <c r="GPD26" s="1882"/>
      <c r="GPE26" s="1882"/>
      <c r="GPF26" s="1882"/>
      <c r="GPH26" s="1887"/>
      <c r="GPI26" s="1888"/>
      <c r="GPJ26" s="1882"/>
      <c r="GPK26" s="1882"/>
      <c r="GPL26" s="1882"/>
      <c r="GPN26" s="1887"/>
      <c r="GPO26" s="1888"/>
      <c r="GPP26" s="1882"/>
      <c r="GPQ26" s="1882"/>
      <c r="GPR26" s="1882"/>
      <c r="GPT26" s="1887"/>
      <c r="GPU26" s="1888"/>
      <c r="GPV26" s="1882"/>
      <c r="GPW26" s="1882"/>
      <c r="GPX26" s="1882"/>
      <c r="GPZ26" s="1887"/>
      <c r="GQA26" s="1888"/>
      <c r="GQB26" s="1882"/>
      <c r="GQC26" s="1882"/>
      <c r="GQD26" s="1882"/>
      <c r="GQF26" s="1887"/>
      <c r="GQG26" s="1888"/>
      <c r="GQH26" s="1882"/>
      <c r="GQI26" s="1882"/>
      <c r="GQJ26" s="1882"/>
      <c r="GQL26" s="1887"/>
      <c r="GQM26" s="1888"/>
      <c r="GQN26" s="1882"/>
      <c r="GQO26" s="1882"/>
      <c r="GQP26" s="1882"/>
      <c r="GQR26" s="1887"/>
      <c r="GQS26" s="1888"/>
      <c r="GQT26" s="1882"/>
      <c r="GQU26" s="1882"/>
      <c r="GQV26" s="1882"/>
      <c r="GQX26" s="1887"/>
      <c r="GQY26" s="1888"/>
      <c r="GQZ26" s="1882"/>
      <c r="GRA26" s="1882"/>
      <c r="GRB26" s="1882"/>
      <c r="GRD26" s="1887"/>
      <c r="GRE26" s="1888"/>
      <c r="GRF26" s="1882"/>
      <c r="GRG26" s="1882"/>
      <c r="GRH26" s="1882"/>
      <c r="GRJ26" s="1887"/>
      <c r="GRK26" s="1888"/>
      <c r="GRL26" s="1882"/>
      <c r="GRM26" s="1882"/>
      <c r="GRN26" s="1882"/>
      <c r="GRP26" s="1887"/>
      <c r="GRQ26" s="1888"/>
      <c r="GRR26" s="1882"/>
      <c r="GRS26" s="1882"/>
      <c r="GRT26" s="1882"/>
      <c r="GRV26" s="1887"/>
      <c r="GRW26" s="1888"/>
      <c r="GRX26" s="1882"/>
      <c r="GRY26" s="1882"/>
      <c r="GRZ26" s="1882"/>
      <c r="GSB26" s="1887"/>
      <c r="GSC26" s="1888"/>
      <c r="GSD26" s="1882"/>
      <c r="GSE26" s="1882"/>
      <c r="GSF26" s="1882"/>
      <c r="GSH26" s="1887"/>
      <c r="GSI26" s="1888"/>
      <c r="GSJ26" s="1882"/>
      <c r="GSK26" s="1882"/>
      <c r="GSL26" s="1882"/>
      <c r="GSN26" s="1887"/>
      <c r="GSO26" s="1888"/>
      <c r="GSP26" s="1882"/>
      <c r="GSQ26" s="1882"/>
      <c r="GSR26" s="1882"/>
      <c r="GST26" s="1887"/>
      <c r="GSU26" s="1888"/>
      <c r="GSV26" s="1882"/>
      <c r="GSW26" s="1882"/>
      <c r="GSX26" s="1882"/>
      <c r="GSZ26" s="1887"/>
      <c r="GTA26" s="1888"/>
      <c r="GTB26" s="1882"/>
      <c r="GTC26" s="1882"/>
      <c r="GTD26" s="1882"/>
      <c r="GTF26" s="1887"/>
      <c r="GTG26" s="1888"/>
      <c r="GTH26" s="1882"/>
      <c r="GTI26" s="1882"/>
      <c r="GTJ26" s="1882"/>
      <c r="GTL26" s="1887"/>
      <c r="GTM26" s="1888"/>
      <c r="GTN26" s="1882"/>
      <c r="GTO26" s="1882"/>
      <c r="GTP26" s="1882"/>
      <c r="GTR26" s="1887"/>
      <c r="GTS26" s="1888"/>
      <c r="GTT26" s="1882"/>
      <c r="GTU26" s="1882"/>
      <c r="GTV26" s="1882"/>
      <c r="GTX26" s="1887"/>
      <c r="GTY26" s="1888"/>
      <c r="GTZ26" s="1882"/>
      <c r="GUA26" s="1882"/>
      <c r="GUB26" s="1882"/>
      <c r="GUD26" s="1887"/>
      <c r="GUE26" s="1888"/>
      <c r="GUF26" s="1882"/>
      <c r="GUG26" s="1882"/>
      <c r="GUH26" s="1882"/>
      <c r="GUJ26" s="1887"/>
      <c r="GUK26" s="1888"/>
      <c r="GUL26" s="1882"/>
      <c r="GUM26" s="1882"/>
      <c r="GUN26" s="1882"/>
      <c r="GUP26" s="1887"/>
      <c r="GUQ26" s="1888"/>
      <c r="GUR26" s="1882"/>
      <c r="GUS26" s="1882"/>
      <c r="GUT26" s="1882"/>
      <c r="GUV26" s="1887"/>
      <c r="GUW26" s="1888"/>
      <c r="GUX26" s="1882"/>
      <c r="GUY26" s="1882"/>
      <c r="GUZ26" s="1882"/>
      <c r="GVB26" s="1887"/>
      <c r="GVC26" s="1888"/>
      <c r="GVD26" s="1882"/>
      <c r="GVE26" s="1882"/>
      <c r="GVF26" s="1882"/>
      <c r="GVH26" s="1887"/>
      <c r="GVI26" s="1888"/>
      <c r="GVJ26" s="1882"/>
      <c r="GVK26" s="1882"/>
      <c r="GVL26" s="1882"/>
      <c r="GVN26" s="1887"/>
      <c r="GVO26" s="1888"/>
      <c r="GVP26" s="1882"/>
      <c r="GVQ26" s="1882"/>
      <c r="GVR26" s="1882"/>
      <c r="GVT26" s="1887"/>
      <c r="GVU26" s="1888"/>
      <c r="GVV26" s="1882"/>
      <c r="GVW26" s="1882"/>
      <c r="GVX26" s="1882"/>
      <c r="GVZ26" s="1887"/>
      <c r="GWA26" s="1888"/>
      <c r="GWB26" s="1882"/>
      <c r="GWC26" s="1882"/>
      <c r="GWD26" s="1882"/>
      <c r="GWF26" s="1887"/>
      <c r="GWG26" s="1888"/>
      <c r="GWH26" s="1882"/>
      <c r="GWI26" s="1882"/>
      <c r="GWJ26" s="1882"/>
      <c r="GWL26" s="1887"/>
      <c r="GWM26" s="1888"/>
      <c r="GWN26" s="1882"/>
      <c r="GWO26" s="1882"/>
      <c r="GWP26" s="1882"/>
      <c r="GWR26" s="1887"/>
      <c r="GWS26" s="1888"/>
      <c r="GWT26" s="1882"/>
      <c r="GWU26" s="1882"/>
      <c r="GWV26" s="1882"/>
      <c r="GWX26" s="1887"/>
      <c r="GWY26" s="1888"/>
      <c r="GWZ26" s="1882"/>
      <c r="GXA26" s="1882"/>
      <c r="GXB26" s="1882"/>
      <c r="GXD26" s="1887"/>
      <c r="GXE26" s="1888"/>
      <c r="GXF26" s="1882"/>
      <c r="GXG26" s="1882"/>
      <c r="GXH26" s="1882"/>
      <c r="GXJ26" s="1887"/>
      <c r="GXK26" s="1888"/>
      <c r="GXL26" s="1882"/>
      <c r="GXM26" s="1882"/>
      <c r="GXN26" s="1882"/>
      <c r="GXP26" s="1887"/>
      <c r="GXQ26" s="1888"/>
      <c r="GXR26" s="1882"/>
      <c r="GXS26" s="1882"/>
      <c r="GXT26" s="1882"/>
      <c r="GXV26" s="1887"/>
      <c r="GXW26" s="1888"/>
      <c r="GXX26" s="1882"/>
      <c r="GXY26" s="1882"/>
      <c r="GXZ26" s="1882"/>
      <c r="GYB26" s="1887"/>
      <c r="GYC26" s="1888"/>
      <c r="GYD26" s="1882"/>
      <c r="GYE26" s="1882"/>
      <c r="GYF26" s="1882"/>
      <c r="GYH26" s="1887"/>
      <c r="GYI26" s="1888"/>
      <c r="GYJ26" s="1882"/>
      <c r="GYK26" s="1882"/>
      <c r="GYL26" s="1882"/>
      <c r="GYN26" s="1887"/>
      <c r="GYO26" s="1888"/>
      <c r="GYP26" s="1882"/>
      <c r="GYQ26" s="1882"/>
      <c r="GYR26" s="1882"/>
      <c r="GYT26" s="1887"/>
      <c r="GYU26" s="1888"/>
      <c r="GYV26" s="1882"/>
      <c r="GYW26" s="1882"/>
      <c r="GYX26" s="1882"/>
      <c r="GYZ26" s="1887"/>
      <c r="GZA26" s="1888"/>
      <c r="GZB26" s="1882"/>
      <c r="GZC26" s="1882"/>
      <c r="GZD26" s="1882"/>
      <c r="GZF26" s="1887"/>
      <c r="GZG26" s="1888"/>
      <c r="GZH26" s="1882"/>
      <c r="GZI26" s="1882"/>
      <c r="GZJ26" s="1882"/>
      <c r="GZL26" s="1887"/>
      <c r="GZM26" s="1888"/>
      <c r="GZN26" s="1882"/>
      <c r="GZO26" s="1882"/>
      <c r="GZP26" s="1882"/>
      <c r="GZR26" s="1887"/>
      <c r="GZS26" s="1888"/>
      <c r="GZT26" s="1882"/>
      <c r="GZU26" s="1882"/>
      <c r="GZV26" s="1882"/>
      <c r="GZX26" s="1887"/>
      <c r="GZY26" s="1888"/>
      <c r="GZZ26" s="1882"/>
      <c r="HAA26" s="1882"/>
      <c r="HAB26" s="1882"/>
      <c r="HAD26" s="1887"/>
      <c r="HAE26" s="1888"/>
      <c r="HAF26" s="1882"/>
      <c r="HAG26" s="1882"/>
      <c r="HAH26" s="1882"/>
      <c r="HAJ26" s="1887"/>
      <c r="HAK26" s="1888"/>
      <c r="HAL26" s="1882"/>
      <c r="HAM26" s="1882"/>
      <c r="HAN26" s="1882"/>
      <c r="HAP26" s="1887"/>
      <c r="HAQ26" s="1888"/>
      <c r="HAR26" s="1882"/>
      <c r="HAS26" s="1882"/>
      <c r="HAT26" s="1882"/>
      <c r="HAV26" s="1887"/>
      <c r="HAW26" s="1888"/>
      <c r="HAX26" s="1882"/>
      <c r="HAY26" s="1882"/>
      <c r="HAZ26" s="1882"/>
      <c r="HBB26" s="1887"/>
      <c r="HBC26" s="1888"/>
      <c r="HBD26" s="1882"/>
      <c r="HBE26" s="1882"/>
      <c r="HBF26" s="1882"/>
      <c r="HBH26" s="1887"/>
      <c r="HBI26" s="1888"/>
      <c r="HBJ26" s="1882"/>
      <c r="HBK26" s="1882"/>
      <c r="HBL26" s="1882"/>
      <c r="HBN26" s="1887"/>
      <c r="HBO26" s="1888"/>
      <c r="HBP26" s="1882"/>
      <c r="HBQ26" s="1882"/>
      <c r="HBR26" s="1882"/>
      <c r="HBT26" s="1887"/>
      <c r="HBU26" s="1888"/>
      <c r="HBV26" s="1882"/>
      <c r="HBW26" s="1882"/>
      <c r="HBX26" s="1882"/>
      <c r="HBZ26" s="1887"/>
      <c r="HCA26" s="1888"/>
      <c r="HCB26" s="1882"/>
      <c r="HCC26" s="1882"/>
      <c r="HCD26" s="1882"/>
      <c r="HCF26" s="1887"/>
      <c r="HCG26" s="1888"/>
      <c r="HCH26" s="1882"/>
      <c r="HCI26" s="1882"/>
      <c r="HCJ26" s="1882"/>
      <c r="HCL26" s="1887"/>
      <c r="HCM26" s="1888"/>
      <c r="HCN26" s="1882"/>
      <c r="HCO26" s="1882"/>
      <c r="HCP26" s="1882"/>
      <c r="HCR26" s="1887"/>
      <c r="HCS26" s="1888"/>
      <c r="HCT26" s="1882"/>
      <c r="HCU26" s="1882"/>
      <c r="HCV26" s="1882"/>
      <c r="HCX26" s="1887"/>
      <c r="HCY26" s="1888"/>
      <c r="HCZ26" s="1882"/>
      <c r="HDA26" s="1882"/>
      <c r="HDB26" s="1882"/>
      <c r="HDD26" s="1887"/>
      <c r="HDE26" s="1888"/>
      <c r="HDF26" s="1882"/>
      <c r="HDG26" s="1882"/>
      <c r="HDH26" s="1882"/>
      <c r="HDJ26" s="1887"/>
      <c r="HDK26" s="1888"/>
      <c r="HDL26" s="1882"/>
      <c r="HDM26" s="1882"/>
      <c r="HDN26" s="1882"/>
      <c r="HDP26" s="1887"/>
      <c r="HDQ26" s="1888"/>
      <c r="HDR26" s="1882"/>
      <c r="HDS26" s="1882"/>
      <c r="HDT26" s="1882"/>
      <c r="HDV26" s="1887"/>
      <c r="HDW26" s="1888"/>
      <c r="HDX26" s="1882"/>
      <c r="HDY26" s="1882"/>
      <c r="HDZ26" s="1882"/>
      <c r="HEB26" s="1887"/>
      <c r="HEC26" s="1888"/>
      <c r="HED26" s="1882"/>
      <c r="HEE26" s="1882"/>
      <c r="HEF26" s="1882"/>
      <c r="HEH26" s="1887"/>
      <c r="HEI26" s="1888"/>
      <c r="HEJ26" s="1882"/>
      <c r="HEK26" s="1882"/>
      <c r="HEL26" s="1882"/>
      <c r="HEN26" s="1887"/>
      <c r="HEO26" s="1888"/>
      <c r="HEP26" s="1882"/>
      <c r="HEQ26" s="1882"/>
      <c r="HER26" s="1882"/>
      <c r="HET26" s="1887"/>
      <c r="HEU26" s="1888"/>
      <c r="HEV26" s="1882"/>
      <c r="HEW26" s="1882"/>
      <c r="HEX26" s="1882"/>
      <c r="HEZ26" s="1887"/>
      <c r="HFA26" s="1888"/>
      <c r="HFB26" s="1882"/>
      <c r="HFC26" s="1882"/>
      <c r="HFD26" s="1882"/>
      <c r="HFF26" s="1887"/>
      <c r="HFG26" s="1888"/>
      <c r="HFH26" s="1882"/>
      <c r="HFI26" s="1882"/>
      <c r="HFJ26" s="1882"/>
      <c r="HFL26" s="1887"/>
      <c r="HFM26" s="1888"/>
      <c r="HFN26" s="1882"/>
      <c r="HFO26" s="1882"/>
      <c r="HFP26" s="1882"/>
      <c r="HFR26" s="1887"/>
      <c r="HFS26" s="1888"/>
      <c r="HFT26" s="1882"/>
      <c r="HFU26" s="1882"/>
      <c r="HFV26" s="1882"/>
      <c r="HFX26" s="1887"/>
      <c r="HFY26" s="1888"/>
      <c r="HFZ26" s="1882"/>
      <c r="HGA26" s="1882"/>
      <c r="HGB26" s="1882"/>
      <c r="HGD26" s="1887"/>
      <c r="HGE26" s="1888"/>
      <c r="HGF26" s="1882"/>
      <c r="HGG26" s="1882"/>
      <c r="HGH26" s="1882"/>
      <c r="HGJ26" s="1887"/>
      <c r="HGK26" s="1888"/>
      <c r="HGL26" s="1882"/>
      <c r="HGM26" s="1882"/>
      <c r="HGN26" s="1882"/>
      <c r="HGP26" s="1887"/>
      <c r="HGQ26" s="1888"/>
      <c r="HGR26" s="1882"/>
      <c r="HGS26" s="1882"/>
      <c r="HGT26" s="1882"/>
      <c r="HGV26" s="1887"/>
      <c r="HGW26" s="1888"/>
      <c r="HGX26" s="1882"/>
      <c r="HGY26" s="1882"/>
      <c r="HGZ26" s="1882"/>
      <c r="HHB26" s="1887"/>
      <c r="HHC26" s="1888"/>
      <c r="HHD26" s="1882"/>
      <c r="HHE26" s="1882"/>
      <c r="HHF26" s="1882"/>
      <c r="HHH26" s="1887"/>
      <c r="HHI26" s="1888"/>
      <c r="HHJ26" s="1882"/>
      <c r="HHK26" s="1882"/>
      <c r="HHL26" s="1882"/>
      <c r="HHN26" s="1887"/>
      <c r="HHO26" s="1888"/>
      <c r="HHP26" s="1882"/>
      <c r="HHQ26" s="1882"/>
      <c r="HHR26" s="1882"/>
      <c r="HHT26" s="1887"/>
      <c r="HHU26" s="1888"/>
      <c r="HHV26" s="1882"/>
      <c r="HHW26" s="1882"/>
      <c r="HHX26" s="1882"/>
      <c r="HHZ26" s="1887"/>
      <c r="HIA26" s="1888"/>
      <c r="HIB26" s="1882"/>
      <c r="HIC26" s="1882"/>
      <c r="HID26" s="1882"/>
      <c r="HIF26" s="1887"/>
      <c r="HIG26" s="1888"/>
      <c r="HIH26" s="1882"/>
      <c r="HII26" s="1882"/>
      <c r="HIJ26" s="1882"/>
      <c r="HIL26" s="1887"/>
      <c r="HIM26" s="1888"/>
      <c r="HIN26" s="1882"/>
      <c r="HIO26" s="1882"/>
      <c r="HIP26" s="1882"/>
      <c r="HIR26" s="1887"/>
      <c r="HIS26" s="1888"/>
      <c r="HIT26" s="1882"/>
      <c r="HIU26" s="1882"/>
      <c r="HIV26" s="1882"/>
      <c r="HIX26" s="1887"/>
      <c r="HIY26" s="1888"/>
      <c r="HIZ26" s="1882"/>
      <c r="HJA26" s="1882"/>
      <c r="HJB26" s="1882"/>
      <c r="HJD26" s="1887"/>
      <c r="HJE26" s="1888"/>
      <c r="HJF26" s="1882"/>
      <c r="HJG26" s="1882"/>
      <c r="HJH26" s="1882"/>
      <c r="HJJ26" s="1887"/>
      <c r="HJK26" s="1888"/>
      <c r="HJL26" s="1882"/>
      <c r="HJM26" s="1882"/>
      <c r="HJN26" s="1882"/>
      <c r="HJP26" s="1887"/>
      <c r="HJQ26" s="1888"/>
      <c r="HJR26" s="1882"/>
      <c r="HJS26" s="1882"/>
      <c r="HJT26" s="1882"/>
      <c r="HJV26" s="1887"/>
      <c r="HJW26" s="1888"/>
      <c r="HJX26" s="1882"/>
      <c r="HJY26" s="1882"/>
      <c r="HJZ26" s="1882"/>
      <c r="HKB26" s="1887"/>
      <c r="HKC26" s="1888"/>
      <c r="HKD26" s="1882"/>
      <c r="HKE26" s="1882"/>
      <c r="HKF26" s="1882"/>
      <c r="HKH26" s="1887"/>
      <c r="HKI26" s="1888"/>
      <c r="HKJ26" s="1882"/>
      <c r="HKK26" s="1882"/>
      <c r="HKL26" s="1882"/>
      <c r="HKN26" s="1887"/>
      <c r="HKO26" s="1888"/>
      <c r="HKP26" s="1882"/>
      <c r="HKQ26" s="1882"/>
      <c r="HKR26" s="1882"/>
      <c r="HKT26" s="1887"/>
      <c r="HKU26" s="1888"/>
      <c r="HKV26" s="1882"/>
      <c r="HKW26" s="1882"/>
      <c r="HKX26" s="1882"/>
      <c r="HKZ26" s="1887"/>
      <c r="HLA26" s="1888"/>
      <c r="HLB26" s="1882"/>
      <c r="HLC26" s="1882"/>
      <c r="HLD26" s="1882"/>
      <c r="HLF26" s="1887"/>
      <c r="HLG26" s="1888"/>
      <c r="HLH26" s="1882"/>
      <c r="HLI26" s="1882"/>
      <c r="HLJ26" s="1882"/>
      <c r="HLL26" s="1887"/>
      <c r="HLM26" s="1888"/>
      <c r="HLN26" s="1882"/>
      <c r="HLO26" s="1882"/>
      <c r="HLP26" s="1882"/>
      <c r="HLR26" s="1887"/>
      <c r="HLS26" s="1888"/>
      <c r="HLT26" s="1882"/>
      <c r="HLU26" s="1882"/>
      <c r="HLV26" s="1882"/>
      <c r="HLX26" s="1887"/>
      <c r="HLY26" s="1888"/>
      <c r="HLZ26" s="1882"/>
      <c r="HMA26" s="1882"/>
      <c r="HMB26" s="1882"/>
      <c r="HMD26" s="1887"/>
      <c r="HME26" s="1888"/>
      <c r="HMF26" s="1882"/>
      <c r="HMG26" s="1882"/>
      <c r="HMH26" s="1882"/>
      <c r="HMJ26" s="1887"/>
      <c r="HMK26" s="1888"/>
      <c r="HML26" s="1882"/>
      <c r="HMM26" s="1882"/>
      <c r="HMN26" s="1882"/>
      <c r="HMP26" s="1887"/>
      <c r="HMQ26" s="1888"/>
      <c r="HMR26" s="1882"/>
      <c r="HMS26" s="1882"/>
      <c r="HMT26" s="1882"/>
      <c r="HMV26" s="1887"/>
      <c r="HMW26" s="1888"/>
      <c r="HMX26" s="1882"/>
      <c r="HMY26" s="1882"/>
      <c r="HMZ26" s="1882"/>
      <c r="HNB26" s="1887"/>
      <c r="HNC26" s="1888"/>
      <c r="HND26" s="1882"/>
      <c r="HNE26" s="1882"/>
      <c r="HNF26" s="1882"/>
      <c r="HNH26" s="1887"/>
      <c r="HNI26" s="1888"/>
      <c r="HNJ26" s="1882"/>
      <c r="HNK26" s="1882"/>
      <c r="HNL26" s="1882"/>
      <c r="HNN26" s="1887"/>
      <c r="HNO26" s="1888"/>
      <c r="HNP26" s="1882"/>
      <c r="HNQ26" s="1882"/>
      <c r="HNR26" s="1882"/>
      <c r="HNT26" s="1887"/>
      <c r="HNU26" s="1888"/>
      <c r="HNV26" s="1882"/>
      <c r="HNW26" s="1882"/>
      <c r="HNX26" s="1882"/>
      <c r="HNZ26" s="1887"/>
      <c r="HOA26" s="1888"/>
      <c r="HOB26" s="1882"/>
      <c r="HOC26" s="1882"/>
      <c r="HOD26" s="1882"/>
      <c r="HOF26" s="1887"/>
      <c r="HOG26" s="1888"/>
      <c r="HOH26" s="1882"/>
      <c r="HOI26" s="1882"/>
      <c r="HOJ26" s="1882"/>
      <c r="HOL26" s="1887"/>
      <c r="HOM26" s="1888"/>
      <c r="HON26" s="1882"/>
      <c r="HOO26" s="1882"/>
      <c r="HOP26" s="1882"/>
      <c r="HOR26" s="1887"/>
      <c r="HOS26" s="1888"/>
      <c r="HOT26" s="1882"/>
      <c r="HOU26" s="1882"/>
      <c r="HOV26" s="1882"/>
      <c r="HOX26" s="1887"/>
      <c r="HOY26" s="1888"/>
      <c r="HOZ26" s="1882"/>
      <c r="HPA26" s="1882"/>
      <c r="HPB26" s="1882"/>
      <c r="HPD26" s="1887"/>
      <c r="HPE26" s="1888"/>
      <c r="HPF26" s="1882"/>
      <c r="HPG26" s="1882"/>
      <c r="HPH26" s="1882"/>
      <c r="HPJ26" s="1887"/>
      <c r="HPK26" s="1888"/>
      <c r="HPL26" s="1882"/>
      <c r="HPM26" s="1882"/>
      <c r="HPN26" s="1882"/>
      <c r="HPP26" s="1887"/>
      <c r="HPQ26" s="1888"/>
      <c r="HPR26" s="1882"/>
      <c r="HPS26" s="1882"/>
      <c r="HPT26" s="1882"/>
      <c r="HPV26" s="1887"/>
      <c r="HPW26" s="1888"/>
      <c r="HPX26" s="1882"/>
      <c r="HPY26" s="1882"/>
      <c r="HPZ26" s="1882"/>
      <c r="HQB26" s="1887"/>
      <c r="HQC26" s="1888"/>
      <c r="HQD26" s="1882"/>
      <c r="HQE26" s="1882"/>
      <c r="HQF26" s="1882"/>
      <c r="HQH26" s="1887"/>
      <c r="HQI26" s="1888"/>
      <c r="HQJ26" s="1882"/>
      <c r="HQK26" s="1882"/>
      <c r="HQL26" s="1882"/>
      <c r="HQN26" s="1887"/>
      <c r="HQO26" s="1888"/>
      <c r="HQP26" s="1882"/>
      <c r="HQQ26" s="1882"/>
      <c r="HQR26" s="1882"/>
      <c r="HQT26" s="1887"/>
      <c r="HQU26" s="1888"/>
      <c r="HQV26" s="1882"/>
      <c r="HQW26" s="1882"/>
      <c r="HQX26" s="1882"/>
      <c r="HQZ26" s="1887"/>
      <c r="HRA26" s="1888"/>
      <c r="HRB26" s="1882"/>
      <c r="HRC26" s="1882"/>
      <c r="HRD26" s="1882"/>
      <c r="HRF26" s="1887"/>
      <c r="HRG26" s="1888"/>
      <c r="HRH26" s="1882"/>
      <c r="HRI26" s="1882"/>
      <c r="HRJ26" s="1882"/>
      <c r="HRL26" s="1887"/>
      <c r="HRM26" s="1888"/>
      <c r="HRN26" s="1882"/>
      <c r="HRO26" s="1882"/>
      <c r="HRP26" s="1882"/>
      <c r="HRR26" s="1887"/>
      <c r="HRS26" s="1888"/>
      <c r="HRT26" s="1882"/>
      <c r="HRU26" s="1882"/>
      <c r="HRV26" s="1882"/>
      <c r="HRX26" s="1887"/>
      <c r="HRY26" s="1888"/>
      <c r="HRZ26" s="1882"/>
      <c r="HSA26" s="1882"/>
      <c r="HSB26" s="1882"/>
      <c r="HSD26" s="1887"/>
      <c r="HSE26" s="1888"/>
      <c r="HSF26" s="1882"/>
      <c r="HSG26" s="1882"/>
      <c r="HSH26" s="1882"/>
      <c r="HSJ26" s="1887"/>
      <c r="HSK26" s="1888"/>
      <c r="HSL26" s="1882"/>
      <c r="HSM26" s="1882"/>
      <c r="HSN26" s="1882"/>
      <c r="HSP26" s="1887"/>
      <c r="HSQ26" s="1888"/>
      <c r="HSR26" s="1882"/>
      <c r="HSS26" s="1882"/>
      <c r="HST26" s="1882"/>
      <c r="HSV26" s="1887"/>
      <c r="HSW26" s="1888"/>
      <c r="HSX26" s="1882"/>
      <c r="HSY26" s="1882"/>
      <c r="HSZ26" s="1882"/>
      <c r="HTB26" s="1887"/>
      <c r="HTC26" s="1888"/>
      <c r="HTD26" s="1882"/>
      <c r="HTE26" s="1882"/>
      <c r="HTF26" s="1882"/>
      <c r="HTH26" s="1887"/>
      <c r="HTI26" s="1888"/>
      <c r="HTJ26" s="1882"/>
      <c r="HTK26" s="1882"/>
      <c r="HTL26" s="1882"/>
      <c r="HTN26" s="1887"/>
      <c r="HTO26" s="1888"/>
      <c r="HTP26" s="1882"/>
      <c r="HTQ26" s="1882"/>
      <c r="HTR26" s="1882"/>
      <c r="HTT26" s="1887"/>
      <c r="HTU26" s="1888"/>
      <c r="HTV26" s="1882"/>
      <c r="HTW26" s="1882"/>
      <c r="HTX26" s="1882"/>
      <c r="HTZ26" s="1887"/>
      <c r="HUA26" s="1888"/>
      <c r="HUB26" s="1882"/>
      <c r="HUC26" s="1882"/>
      <c r="HUD26" s="1882"/>
      <c r="HUF26" s="1887"/>
      <c r="HUG26" s="1888"/>
      <c r="HUH26" s="1882"/>
      <c r="HUI26" s="1882"/>
      <c r="HUJ26" s="1882"/>
      <c r="HUL26" s="1887"/>
      <c r="HUM26" s="1888"/>
      <c r="HUN26" s="1882"/>
      <c r="HUO26" s="1882"/>
      <c r="HUP26" s="1882"/>
      <c r="HUR26" s="1887"/>
      <c r="HUS26" s="1888"/>
      <c r="HUT26" s="1882"/>
      <c r="HUU26" s="1882"/>
      <c r="HUV26" s="1882"/>
      <c r="HUX26" s="1887"/>
      <c r="HUY26" s="1888"/>
      <c r="HUZ26" s="1882"/>
      <c r="HVA26" s="1882"/>
      <c r="HVB26" s="1882"/>
      <c r="HVD26" s="1887"/>
      <c r="HVE26" s="1888"/>
      <c r="HVF26" s="1882"/>
      <c r="HVG26" s="1882"/>
      <c r="HVH26" s="1882"/>
      <c r="HVJ26" s="1887"/>
      <c r="HVK26" s="1888"/>
      <c r="HVL26" s="1882"/>
      <c r="HVM26" s="1882"/>
      <c r="HVN26" s="1882"/>
      <c r="HVP26" s="1887"/>
      <c r="HVQ26" s="1888"/>
      <c r="HVR26" s="1882"/>
      <c r="HVS26" s="1882"/>
      <c r="HVT26" s="1882"/>
      <c r="HVV26" s="1887"/>
      <c r="HVW26" s="1888"/>
      <c r="HVX26" s="1882"/>
      <c r="HVY26" s="1882"/>
      <c r="HVZ26" s="1882"/>
      <c r="HWB26" s="1887"/>
      <c r="HWC26" s="1888"/>
      <c r="HWD26" s="1882"/>
      <c r="HWE26" s="1882"/>
      <c r="HWF26" s="1882"/>
      <c r="HWH26" s="1887"/>
      <c r="HWI26" s="1888"/>
      <c r="HWJ26" s="1882"/>
      <c r="HWK26" s="1882"/>
      <c r="HWL26" s="1882"/>
      <c r="HWN26" s="1887"/>
      <c r="HWO26" s="1888"/>
      <c r="HWP26" s="1882"/>
      <c r="HWQ26" s="1882"/>
      <c r="HWR26" s="1882"/>
      <c r="HWT26" s="1887"/>
      <c r="HWU26" s="1888"/>
      <c r="HWV26" s="1882"/>
      <c r="HWW26" s="1882"/>
      <c r="HWX26" s="1882"/>
      <c r="HWZ26" s="1887"/>
      <c r="HXA26" s="1888"/>
      <c r="HXB26" s="1882"/>
      <c r="HXC26" s="1882"/>
      <c r="HXD26" s="1882"/>
      <c r="HXF26" s="1887"/>
      <c r="HXG26" s="1888"/>
      <c r="HXH26" s="1882"/>
      <c r="HXI26" s="1882"/>
      <c r="HXJ26" s="1882"/>
      <c r="HXL26" s="1887"/>
      <c r="HXM26" s="1888"/>
      <c r="HXN26" s="1882"/>
      <c r="HXO26" s="1882"/>
      <c r="HXP26" s="1882"/>
      <c r="HXR26" s="1887"/>
      <c r="HXS26" s="1888"/>
      <c r="HXT26" s="1882"/>
      <c r="HXU26" s="1882"/>
      <c r="HXV26" s="1882"/>
      <c r="HXX26" s="1887"/>
      <c r="HXY26" s="1888"/>
      <c r="HXZ26" s="1882"/>
      <c r="HYA26" s="1882"/>
      <c r="HYB26" s="1882"/>
      <c r="HYD26" s="1887"/>
      <c r="HYE26" s="1888"/>
      <c r="HYF26" s="1882"/>
      <c r="HYG26" s="1882"/>
      <c r="HYH26" s="1882"/>
      <c r="HYJ26" s="1887"/>
      <c r="HYK26" s="1888"/>
      <c r="HYL26" s="1882"/>
      <c r="HYM26" s="1882"/>
      <c r="HYN26" s="1882"/>
      <c r="HYP26" s="1887"/>
      <c r="HYQ26" s="1888"/>
      <c r="HYR26" s="1882"/>
      <c r="HYS26" s="1882"/>
      <c r="HYT26" s="1882"/>
      <c r="HYV26" s="1887"/>
      <c r="HYW26" s="1888"/>
      <c r="HYX26" s="1882"/>
      <c r="HYY26" s="1882"/>
      <c r="HYZ26" s="1882"/>
      <c r="HZB26" s="1887"/>
      <c r="HZC26" s="1888"/>
      <c r="HZD26" s="1882"/>
      <c r="HZE26" s="1882"/>
      <c r="HZF26" s="1882"/>
      <c r="HZH26" s="1887"/>
      <c r="HZI26" s="1888"/>
      <c r="HZJ26" s="1882"/>
      <c r="HZK26" s="1882"/>
      <c r="HZL26" s="1882"/>
      <c r="HZN26" s="1887"/>
      <c r="HZO26" s="1888"/>
      <c r="HZP26" s="1882"/>
      <c r="HZQ26" s="1882"/>
      <c r="HZR26" s="1882"/>
      <c r="HZT26" s="1887"/>
      <c r="HZU26" s="1888"/>
      <c r="HZV26" s="1882"/>
      <c r="HZW26" s="1882"/>
      <c r="HZX26" s="1882"/>
      <c r="HZZ26" s="1887"/>
      <c r="IAA26" s="1888"/>
      <c r="IAB26" s="1882"/>
      <c r="IAC26" s="1882"/>
      <c r="IAD26" s="1882"/>
      <c r="IAF26" s="1887"/>
      <c r="IAG26" s="1888"/>
      <c r="IAH26" s="1882"/>
      <c r="IAI26" s="1882"/>
      <c r="IAJ26" s="1882"/>
      <c r="IAL26" s="1887"/>
      <c r="IAM26" s="1888"/>
      <c r="IAN26" s="1882"/>
      <c r="IAO26" s="1882"/>
      <c r="IAP26" s="1882"/>
      <c r="IAR26" s="1887"/>
      <c r="IAS26" s="1888"/>
      <c r="IAT26" s="1882"/>
      <c r="IAU26" s="1882"/>
      <c r="IAV26" s="1882"/>
      <c r="IAX26" s="1887"/>
      <c r="IAY26" s="1888"/>
      <c r="IAZ26" s="1882"/>
      <c r="IBA26" s="1882"/>
      <c r="IBB26" s="1882"/>
      <c r="IBD26" s="1887"/>
      <c r="IBE26" s="1888"/>
      <c r="IBF26" s="1882"/>
      <c r="IBG26" s="1882"/>
      <c r="IBH26" s="1882"/>
      <c r="IBJ26" s="1887"/>
      <c r="IBK26" s="1888"/>
      <c r="IBL26" s="1882"/>
      <c r="IBM26" s="1882"/>
      <c r="IBN26" s="1882"/>
      <c r="IBP26" s="1887"/>
      <c r="IBQ26" s="1888"/>
      <c r="IBR26" s="1882"/>
      <c r="IBS26" s="1882"/>
      <c r="IBT26" s="1882"/>
      <c r="IBV26" s="1887"/>
      <c r="IBW26" s="1888"/>
      <c r="IBX26" s="1882"/>
      <c r="IBY26" s="1882"/>
      <c r="IBZ26" s="1882"/>
      <c r="ICB26" s="1887"/>
      <c r="ICC26" s="1888"/>
      <c r="ICD26" s="1882"/>
      <c r="ICE26" s="1882"/>
      <c r="ICF26" s="1882"/>
      <c r="ICH26" s="1887"/>
      <c r="ICI26" s="1888"/>
      <c r="ICJ26" s="1882"/>
      <c r="ICK26" s="1882"/>
      <c r="ICL26" s="1882"/>
      <c r="ICN26" s="1887"/>
      <c r="ICO26" s="1888"/>
      <c r="ICP26" s="1882"/>
      <c r="ICQ26" s="1882"/>
      <c r="ICR26" s="1882"/>
      <c r="ICT26" s="1887"/>
      <c r="ICU26" s="1888"/>
      <c r="ICV26" s="1882"/>
      <c r="ICW26" s="1882"/>
      <c r="ICX26" s="1882"/>
      <c r="ICZ26" s="1887"/>
      <c r="IDA26" s="1888"/>
      <c r="IDB26" s="1882"/>
      <c r="IDC26" s="1882"/>
      <c r="IDD26" s="1882"/>
      <c r="IDF26" s="1887"/>
      <c r="IDG26" s="1888"/>
      <c r="IDH26" s="1882"/>
      <c r="IDI26" s="1882"/>
      <c r="IDJ26" s="1882"/>
      <c r="IDL26" s="1887"/>
      <c r="IDM26" s="1888"/>
      <c r="IDN26" s="1882"/>
      <c r="IDO26" s="1882"/>
      <c r="IDP26" s="1882"/>
      <c r="IDR26" s="1887"/>
      <c r="IDS26" s="1888"/>
      <c r="IDT26" s="1882"/>
      <c r="IDU26" s="1882"/>
      <c r="IDV26" s="1882"/>
      <c r="IDX26" s="1887"/>
      <c r="IDY26" s="1888"/>
      <c r="IDZ26" s="1882"/>
      <c r="IEA26" s="1882"/>
      <c r="IEB26" s="1882"/>
      <c r="IED26" s="1887"/>
      <c r="IEE26" s="1888"/>
      <c r="IEF26" s="1882"/>
      <c r="IEG26" s="1882"/>
      <c r="IEH26" s="1882"/>
      <c r="IEJ26" s="1887"/>
      <c r="IEK26" s="1888"/>
      <c r="IEL26" s="1882"/>
      <c r="IEM26" s="1882"/>
      <c r="IEN26" s="1882"/>
      <c r="IEP26" s="1887"/>
      <c r="IEQ26" s="1888"/>
      <c r="IER26" s="1882"/>
      <c r="IES26" s="1882"/>
      <c r="IET26" s="1882"/>
      <c r="IEV26" s="1887"/>
      <c r="IEW26" s="1888"/>
      <c r="IEX26" s="1882"/>
      <c r="IEY26" s="1882"/>
      <c r="IEZ26" s="1882"/>
      <c r="IFB26" s="1887"/>
      <c r="IFC26" s="1888"/>
      <c r="IFD26" s="1882"/>
      <c r="IFE26" s="1882"/>
      <c r="IFF26" s="1882"/>
      <c r="IFH26" s="1887"/>
      <c r="IFI26" s="1888"/>
      <c r="IFJ26" s="1882"/>
      <c r="IFK26" s="1882"/>
      <c r="IFL26" s="1882"/>
      <c r="IFN26" s="1887"/>
      <c r="IFO26" s="1888"/>
      <c r="IFP26" s="1882"/>
      <c r="IFQ26" s="1882"/>
      <c r="IFR26" s="1882"/>
      <c r="IFT26" s="1887"/>
      <c r="IFU26" s="1888"/>
      <c r="IFV26" s="1882"/>
      <c r="IFW26" s="1882"/>
      <c r="IFX26" s="1882"/>
      <c r="IFZ26" s="1887"/>
      <c r="IGA26" s="1888"/>
      <c r="IGB26" s="1882"/>
      <c r="IGC26" s="1882"/>
      <c r="IGD26" s="1882"/>
      <c r="IGF26" s="1887"/>
      <c r="IGG26" s="1888"/>
      <c r="IGH26" s="1882"/>
      <c r="IGI26" s="1882"/>
      <c r="IGJ26" s="1882"/>
      <c r="IGL26" s="1887"/>
      <c r="IGM26" s="1888"/>
      <c r="IGN26" s="1882"/>
      <c r="IGO26" s="1882"/>
      <c r="IGP26" s="1882"/>
      <c r="IGR26" s="1887"/>
      <c r="IGS26" s="1888"/>
      <c r="IGT26" s="1882"/>
      <c r="IGU26" s="1882"/>
      <c r="IGV26" s="1882"/>
      <c r="IGX26" s="1887"/>
      <c r="IGY26" s="1888"/>
      <c r="IGZ26" s="1882"/>
      <c r="IHA26" s="1882"/>
      <c r="IHB26" s="1882"/>
      <c r="IHD26" s="1887"/>
      <c r="IHE26" s="1888"/>
      <c r="IHF26" s="1882"/>
      <c r="IHG26" s="1882"/>
      <c r="IHH26" s="1882"/>
      <c r="IHJ26" s="1887"/>
      <c r="IHK26" s="1888"/>
      <c r="IHL26" s="1882"/>
      <c r="IHM26" s="1882"/>
      <c r="IHN26" s="1882"/>
      <c r="IHP26" s="1887"/>
      <c r="IHQ26" s="1888"/>
      <c r="IHR26" s="1882"/>
      <c r="IHS26" s="1882"/>
      <c r="IHT26" s="1882"/>
      <c r="IHV26" s="1887"/>
      <c r="IHW26" s="1888"/>
      <c r="IHX26" s="1882"/>
      <c r="IHY26" s="1882"/>
      <c r="IHZ26" s="1882"/>
      <c r="IIB26" s="1887"/>
      <c r="IIC26" s="1888"/>
      <c r="IID26" s="1882"/>
      <c r="IIE26" s="1882"/>
      <c r="IIF26" s="1882"/>
      <c r="IIH26" s="1887"/>
      <c r="III26" s="1888"/>
      <c r="IIJ26" s="1882"/>
      <c r="IIK26" s="1882"/>
      <c r="IIL26" s="1882"/>
      <c r="IIN26" s="1887"/>
      <c r="IIO26" s="1888"/>
      <c r="IIP26" s="1882"/>
      <c r="IIQ26" s="1882"/>
      <c r="IIR26" s="1882"/>
      <c r="IIT26" s="1887"/>
      <c r="IIU26" s="1888"/>
      <c r="IIV26" s="1882"/>
      <c r="IIW26" s="1882"/>
      <c r="IIX26" s="1882"/>
      <c r="IIZ26" s="1887"/>
      <c r="IJA26" s="1888"/>
      <c r="IJB26" s="1882"/>
      <c r="IJC26" s="1882"/>
      <c r="IJD26" s="1882"/>
      <c r="IJF26" s="1887"/>
      <c r="IJG26" s="1888"/>
      <c r="IJH26" s="1882"/>
      <c r="IJI26" s="1882"/>
      <c r="IJJ26" s="1882"/>
      <c r="IJL26" s="1887"/>
      <c r="IJM26" s="1888"/>
      <c r="IJN26" s="1882"/>
      <c r="IJO26" s="1882"/>
      <c r="IJP26" s="1882"/>
      <c r="IJR26" s="1887"/>
      <c r="IJS26" s="1888"/>
      <c r="IJT26" s="1882"/>
      <c r="IJU26" s="1882"/>
      <c r="IJV26" s="1882"/>
      <c r="IJX26" s="1887"/>
      <c r="IJY26" s="1888"/>
      <c r="IJZ26" s="1882"/>
      <c r="IKA26" s="1882"/>
      <c r="IKB26" s="1882"/>
      <c r="IKD26" s="1887"/>
      <c r="IKE26" s="1888"/>
      <c r="IKF26" s="1882"/>
      <c r="IKG26" s="1882"/>
      <c r="IKH26" s="1882"/>
      <c r="IKJ26" s="1887"/>
      <c r="IKK26" s="1888"/>
      <c r="IKL26" s="1882"/>
      <c r="IKM26" s="1882"/>
      <c r="IKN26" s="1882"/>
      <c r="IKP26" s="1887"/>
      <c r="IKQ26" s="1888"/>
      <c r="IKR26" s="1882"/>
      <c r="IKS26" s="1882"/>
      <c r="IKT26" s="1882"/>
      <c r="IKV26" s="1887"/>
      <c r="IKW26" s="1888"/>
      <c r="IKX26" s="1882"/>
      <c r="IKY26" s="1882"/>
      <c r="IKZ26" s="1882"/>
      <c r="ILB26" s="1887"/>
      <c r="ILC26" s="1888"/>
      <c r="ILD26" s="1882"/>
      <c r="ILE26" s="1882"/>
      <c r="ILF26" s="1882"/>
      <c r="ILH26" s="1887"/>
      <c r="ILI26" s="1888"/>
      <c r="ILJ26" s="1882"/>
      <c r="ILK26" s="1882"/>
      <c r="ILL26" s="1882"/>
      <c r="ILN26" s="1887"/>
      <c r="ILO26" s="1888"/>
      <c r="ILP26" s="1882"/>
      <c r="ILQ26" s="1882"/>
      <c r="ILR26" s="1882"/>
      <c r="ILT26" s="1887"/>
      <c r="ILU26" s="1888"/>
      <c r="ILV26" s="1882"/>
      <c r="ILW26" s="1882"/>
      <c r="ILX26" s="1882"/>
      <c r="ILZ26" s="1887"/>
      <c r="IMA26" s="1888"/>
      <c r="IMB26" s="1882"/>
      <c r="IMC26" s="1882"/>
      <c r="IMD26" s="1882"/>
      <c r="IMF26" s="1887"/>
      <c r="IMG26" s="1888"/>
      <c r="IMH26" s="1882"/>
      <c r="IMI26" s="1882"/>
      <c r="IMJ26" s="1882"/>
      <c r="IML26" s="1887"/>
      <c r="IMM26" s="1888"/>
      <c r="IMN26" s="1882"/>
      <c r="IMO26" s="1882"/>
      <c r="IMP26" s="1882"/>
      <c r="IMR26" s="1887"/>
      <c r="IMS26" s="1888"/>
      <c r="IMT26" s="1882"/>
      <c r="IMU26" s="1882"/>
      <c r="IMV26" s="1882"/>
      <c r="IMX26" s="1887"/>
      <c r="IMY26" s="1888"/>
      <c r="IMZ26" s="1882"/>
      <c r="INA26" s="1882"/>
      <c r="INB26" s="1882"/>
      <c r="IND26" s="1887"/>
      <c r="INE26" s="1888"/>
      <c r="INF26" s="1882"/>
      <c r="ING26" s="1882"/>
      <c r="INH26" s="1882"/>
      <c r="INJ26" s="1887"/>
      <c r="INK26" s="1888"/>
      <c r="INL26" s="1882"/>
      <c r="INM26" s="1882"/>
      <c r="INN26" s="1882"/>
      <c r="INP26" s="1887"/>
      <c r="INQ26" s="1888"/>
      <c r="INR26" s="1882"/>
      <c r="INS26" s="1882"/>
      <c r="INT26" s="1882"/>
      <c r="INV26" s="1887"/>
      <c r="INW26" s="1888"/>
      <c r="INX26" s="1882"/>
      <c r="INY26" s="1882"/>
      <c r="INZ26" s="1882"/>
      <c r="IOB26" s="1887"/>
      <c r="IOC26" s="1888"/>
      <c r="IOD26" s="1882"/>
      <c r="IOE26" s="1882"/>
      <c r="IOF26" s="1882"/>
      <c r="IOH26" s="1887"/>
      <c r="IOI26" s="1888"/>
      <c r="IOJ26" s="1882"/>
      <c r="IOK26" s="1882"/>
      <c r="IOL26" s="1882"/>
      <c r="ION26" s="1887"/>
      <c r="IOO26" s="1888"/>
      <c r="IOP26" s="1882"/>
      <c r="IOQ26" s="1882"/>
      <c r="IOR26" s="1882"/>
      <c r="IOT26" s="1887"/>
      <c r="IOU26" s="1888"/>
      <c r="IOV26" s="1882"/>
      <c r="IOW26" s="1882"/>
      <c r="IOX26" s="1882"/>
      <c r="IOZ26" s="1887"/>
      <c r="IPA26" s="1888"/>
      <c r="IPB26" s="1882"/>
      <c r="IPC26" s="1882"/>
      <c r="IPD26" s="1882"/>
      <c r="IPF26" s="1887"/>
      <c r="IPG26" s="1888"/>
      <c r="IPH26" s="1882"/>
      <c r="IPI26" s="1882"/>
      <c r="IPJ26" s="1882"/>
      <c r="IPL26" s="1887"/>
      <c r="IPM26" s="1888"/>
      <c r="IPN26" s="1882"/>
      <c r="IPO26" s="1882"/>
      <c r="IPP26" s="1882"/>
      <c r="IPR26" s="1887"/>
      <c r="IPS26" s="1888"/>
      <c r="IPT26" s="1882"/>
      <c r="IPU26" s="1882"/>
      <c r="IPV26" s="1882"/>
      <c r="IPX26" s="1887"/>
      <c r="IPY26" s="1888"/>
      <c r="IPZ26" s="1882"/>
      <c r="IQA26" s="1882"/>
      <c r="IQB26" s="1882"/>
      <c r="IQD26" s="1887"/>
      <c r="IQE26" s="1888"/>
      <c r="IQF26" s="1882"/>
      <c r="IQG26" s="1882"/>
      <c r="IQH26" s="1882"/>
      <c r="IQJ26" s="1887"/>
      <c r="IQK26" s="1888"/>
      <c r="IQL26" s="1882"/>
      <c r="IQM26" s="1882"/>
      <c r="IQN26" s="1882"/>
      <c r="IQP26" s="1887"/>
      <c r="IQQ26" s="1888"/>
      <c r="IQR26" s="1882"/>
      <c r="IQS26" s="1882"/>
      <c r="IQT26" s="1882"/>
      <c r="IQV26" s="1887"/>
      <c r="IQW26" s="1888"/>
      <c r="IQX26" s="1882"/>
      <c r="IQY26" s="1882"/>
      <c r="IQZ26" s="1882"/>
      <c r="IRB26" s="1887"/>
      <c r="IRC26" s="1888"/>
      <c r="IRD26" s="1882"/>
      <c r="IRE26" s="1882"/>
      <c r="IRF26" s="1882"/>
      <c r="IRH26" s="1887"/>
      <c r="IRI26" s="1888"/>
      <c r="IRJ26" s="1882"/>
      <c r="IRK26" s="1882"/>
      <c r="IRL26" s="1882"/>
      <c r="IRN26" s="1887"/>
      <c r="IRO26" s="1888"/>
      <c r="IRP26" s="1882"/>
      <c r="IRQ26" s="1882"/>
      <c r="IRR26" s="1882"/>
      <c r="IRT26" s="1887"/>
      <c r="IRU26" s="1888"/>
      <c r="IRV26" s="1882"/>
      <c r="IRW26" s="1882"/>
      <c r="IRX26" s="1882"/>
      <c r="IRZ26" s="1887"/>
      <c r="ISA26" s="1888"/>
      <c r="ISB26" s="1882"/>
      <c r="ISC26" s="1882"/>
      <c r="ISD26" s="1882"/>
      <c r="ISF26" s="1887"/>
      <c r="ISG26" s="1888"/>
      <c r="ISH26" s="1882"/>
      <c r="ISI26" s="1882"/>
      <c r="ISJ26" s="1882"/>
      <c r="ISL26" s="1887"/>
      <c r="ISM26" s="1888"/>
      <c r="ISN26" s="1882"/>
      <c r="ISO26" s="1882"/>
      <c r="ISP26" s="1882"/>
      <c r="ISR26" s="1887"/>
      <c r="ISS26" s="1888"/>
      <c r="IST26" s="1882"/>
      <c r="ISU26" s="1882"/>
      <c r="ISV26" s="1882"/>
      <c r="ISX26" s="1887"/>
      <c r="ISY26" s="1888"/>
      <c r="ISZ26" s="1882"/>
      <c r="ITA26" s="1882"/>
      <c r="ITB26" s="1882"/>
      <c r="ITD26" s="1887"/>
      <c r="ITE26" s="1888"/>
      <c r="ITF26" s="1882"/>
      <c r="ITG26" s="1882"/>
      <c r="ITH26" s="1882"/>
      <c r="ITJ26" s="1887"/>
      <c r="ITK26" s="1888"/>
      <c r="ITL26" s="1882"/>
      <c r="ITM26" s="1882"/>
      <c r="ITN26" s="1882"/>
      <c r="ITP26" s="1887"/>
      <c r="ITQ26" s="1888"/>
      <c r="ITR26" s="1882"/>
      <c r="ITS26" s="1882"/>
      <c r="ITT26" s="1882"/>
      <c r="ITV26" s="1887"/>
      <c r="ITW26" s="1888"/>
      <c r="ITX26" s="1882"/>
      <c r="ITY26" s="1882"/>
      <c r="ITZ26" s="1882"/>
      <c r="IUB26" s="1887"/>
      <c r="IUC26" s="1888"/>
      <c r="IUD26" s="1882"/>
      <c r="IUE26" s="1882"/>
      <c r="IUF26" s="1882"/>
      <c r="IUH26" s="1887"/>
      <c r="IUI26" s="1888"/>
      <c r="IUJ26" s="1882"/>
      <c r="IUK26" s="1882"/>
      <c r="IUL26" s="1882"/>
      <c r="IUN26" s="1887"/>
      <c r="IUO26" s="1888"/>
      <c r="IUP26" s="1882"/>
      <c r="IUQ26" s="1882"/>
      <c r="IUR26" s="1882"/>
      <c r="IUT26" s="1887"/>
      <c r="IUU26" s="1888"/>
      <c r="IUV26" s="1882"/>
      <c r="IUW26" s="1882"/>
      <c r="IUX26" s="1882"/>
      <c r="IUZ26" s="1887"/>
      <c r="IVA26" s="1888"/>
      <c r="IVB26" s="1882"/>
      <c r="IVC26" s="1882"/>
      <c r="IVD26" s="1882"/>
      <c r="IVF26" s="1887"/>
      <c r="IVG26" s="1888"/>
      <c r="IVH26" s="1882"/>
      <c r="IVI26" s="1882"/>
      <c r="IVJ26" s="1882"/>
      <c r="IVL26" s="1887"/>
      <c r="IVM26" s="1888"/>
      <c r="IVN26" s="1882"/>
      <c r="IVO26" s="1882"/>
      <c r="IVP26" s="1882"/>
      <c r="IVR26" s="1887"/>
      <c r="IVS26" s="1888"/>
      <c r="IVT26" s="1882"/>
      <c r="IVU26" s="1882"/>
      <c r="IVV26" s="1882"/>
      <c r="IVX26" s="1887"/>
      <c r="IVY26" s="1888"/>
      <c r="IVZ26" s="1882"/>
      <c r="IWA26" s="1882"/>
      <c r="IWB26" s="1882"/>
      <c r="IWD26" s="1887"/>
      <c r="IWE26" s="1888"/>
      <c r="IWF26" s="1882"/>
      <c r="IWG26" s="1882"/>
      <c r="IWH26" s="1882"/>
      <c r="IWJ26" s="1887"/>
      <c r="IWK26" s="1888"/>
      <c r="IWL26" s="1882"/>
      <c r="IWM26" s="1882"/>
      <c r="IWN26" s="1882"/>
      <c r="IWP26" s="1887"/>
      <c r="IWQ26" s="1888"/>
      <c r="IWR26" s="1882"/>
      <c r="IWS26" s="1882"/>
      <c r="IWT26" s="1882"/>
      <c r="IWV26" s="1887"/>
      <c r="IWW26" s="1888"/>
      <c r="IWX26" s="1882"/>
      <c r="IWY26" s="1882"/>
      <c r="IWZ26" s="1882"/>
      <c r="IXB26" s="1887"/>
      <c r="IXC26" s="1888"/>
      <c r="IXD26" s="1882"/>
      <c r="IXE26" s="1882"/>
      <c r="IXF26" s="1882"/>
      <c r="IXH26" s="1887"/>
      <c r="IXI26" s="1888"/>
      <c r="IXJ26" s="1882"/>
      <c r="IXK26" s="1882"/>
      <c r="IXL26" s="1882"/>
      <c r="IXN26" s="1887"/>
      <c r="IXO26" s="1888"/>
      <c r="IXP26" s="1882"/>
      <c r="IXQ26" s="1882"/>
      <c r="IXR26" s="1882"/>
      <c r="IXT26" s="1887"/>
      <c r="IXU26" s="1888"/>
      <c r="IXV26" s="1882"/>
      <c r="IXW26" s="1882"/>
      <c r="IXX26" s="1882"/>
      <c r="IXZ26" s="1887"/>
      <c r="IYA26" s="1888"/>
      <c r="IYB26" s="1882"/>
      <c r="IYC26" s="1882"/>
      <c r="IYD26" s="1882"/>
      <c r="IYF26" s="1887"/>
      <c r="IYG26" s="1888"/>
      <c r="IYH26" s="1882"/>
      <c r="IYI26" s="1882"/>
      <c r="IYJ26" s="1882"/>
      <c r="IYL26" s="1887"/>
      <c r="IYM26" s="1888"/>
      <c r="IYN26" s="1882"/>
      <c r="IYO26" s="1882"/>
      <c r="IYP26" s="1882"/>
      <c r="IYR26" s="1887"/>
      <c r="IYS26" s="1888"/>
      <c r="IYT26" s="1882"/>
      <c r="IYU26" s="1882"/>
      <c r="IYV26" s="1882"/>
      <c r="IYX26" s="1887"/>
      <c r="IYY26" s="1888"/>
      <c r="IYZ26" s="1882"/>
      <c r="IZA26" s="1882"/>
      <c r="IZB26" s="1882"/>
      <c r="IZD26" s="1887"/>
      <c r="IZE26" s="1888"/>
      <c r="IZF26" s="1882"/>
      <c r="IZG26" s="1882"/>
      <c r="IZH26" s="1882"/>
      <c r="IZJ26" s="1887"/>
      <c r="IZK26" s="1888"/>
      <c r="IZL26" s="1882"/>
      <c r="IZM26" s="1882"/>
      <c r="IZN26" s="1882"/>
      <c r="IZP26" s="1887"/>
      <c r="IZQ26" s="1888"/>
      <c r="IZR26" s="1882"/>
      <c r="IZS26" s="1882"/>
      <c r="IZT26" s="1882"/>
      <c r="IZV26" s="1887"/>
      <c r="IZW26" s="1888"/>
      <c r="IZX26" s="1882"/>
      <c r="IZY26" s="1882"/>
      <c r="IZZ26" s="1882"/>
      <c r="JAB26" s="1887"/>
      <c r="JAC26" s="1888"/>
      <c r="JAD26" s="1882"/>
      <c r="JAE26" s="1882"/>
      <c r="JAF26" s="1882"/>
      <c r="JAH26" s="1887"/>
      <c r="JAI26" s="1888"/>
      <c r="JAJ26" s="1882"/>
      <c r="JAK26" s="1882"/>
      <c r="JAL26" s="1882"/>
      <c r="JAN26" s="1887"/>
      <c r="JAO26" s="1888"/>
      <c r="JAP26" s="1882"/>
      <c r="JAQ26" s="1882"/>
      <c r="JAR26" s="1882"/>
      <c r="JAT26" s="1887"/>
      <c r="JAU26" s="1888"/>
      <c r="JAV26" s="1882"/>
      <c r="JAW26" s="1882"/>
      <c r="JAX26" s="1882"/>
      <c r="JAZ26" s="1887"/>
      <c r="JBA26" s="1888"/>
      <c r="JBB26" s="1882"/>
      <c r="JBC26" s="1882"/>
      <c r="JBD26" s="1882"/>
      <c r="JBF26" s="1887"/>
      <c r="JBG26" s="1888"/>
      <c r="JBH26" s="1882"/>
      <c r="JBI26" s="1882"/>
      <c r="JBJ26" s="1882"/>
      <c r="JBL26" s="1887"/>
      <c r="JBM26" s="1888"/>
      <c r="JBN26" s="1882"/>
      <c r="JBO26" s="1882"/>
      <c r="JBP26" s="1882"/>
      <c r="JBR26" s="1887"/>
      <c r="JBS26" s="1888"/>
      <c r="JBT26" s="1882"/>
      <c r="JBU26" s="1882"/>
      <c r="JBV26" s="1882"/>
      <c r="JBX26" s="1887"/>
      <c r="JBY26" s="1888"/>
      <c r="JBZ26" s="1882"/>
      <c r="JCA26" s="1882"/>
      <c r="JCB26" s="1882"/>
      <c r="JCD26" s="1887"/>
      <c r="JCE26" s="1888"/>
      <c r="JCF26" s="1882"/>
      <c r="JCG26" s="1882"/>
      <c r="JCH26" s="1882"/>
      <c r="JCJ26" s="1887"/>
      <c r="JCK26" s="1888"/>
      <c r="JCL26" s="1882"/>
      <c r="JCM26" s="1882"/>
      <c r="JCN26" s="1882"/>
      <c r="JCP26" s="1887"/>
      <c r="JCQ26" s="1888"/>
      <c r="JCR26" s="1882"/>
      <c r="JCS26" s="1882"/>
      <c r="JCT26" s="1882"/>
      <c r="JCV26" s="1887"/>
      <c r="JCW26" s="1888"/>
      <c r="JCX26" s="1882"/>
      <c r="JCY26" s="1882"/>
      <c r="JCZ26" s="1882"/>
      <c r="JDB26" s="1887"/>
      <c r="JDC26" s="1888"/>
      <c r="JDD26" s="1882"/>
      <c r="JDE26" s="1882"/>
      <c r="JDF26" s="1882"/>
      <c r="JDH26" s="1887"/>
      <c r="JDI26" s="1888"/>
      <c r="JDJ26" s="1882"/>
      <c r="JDK26" s="1882"/>
      <c r="JDL26" s="1882"/>
      <c r="JDN26" s="1887"/>
      <c r="JDO26" s="1888"/>
      <c r="JDP26" s="1882"/>
      <c r="JDQ26" s="1882"/>
      <c r="JDR26" s="1882"/>
      <c r="JDT26" s="1887"/>
      <c r="JDU26" s="1888"/>
      <c r="JDV26" s="1882"/>
      <c r="JDW26" s="1882"/>
      <c r="JDX26" s="1882"/>
      <c r="JDZ26" s="1887"/>
      <c r="JEA26" s="1888"/>
      <c r="JEB26" s="1882"/>
      <c r="JEC26" s="1882"/>
      <c r="JED26" s="1882"/>
      <c r="JEF26" s="1887"/>
      <c r="JEG26" s="1888"/>
      <c r="JEH26" s="1882"/>
      <c r="JEI26" s="1882"/>
      <c r="JEJ26" s="1882"/>
      <c r="JEL26" s="1887"/>
      <c r="JEM26" s="1888"/>
      <c r="JEN26" s="1882"/>
      <c r="JEO26" s="1882"/>
      <c r="JEP26" s="1882"/>
      <c r="JER26" s="1887"/>
      <c r="JES26" s="1888"/>
      <c r="JET26" s="1882"/>
      <c r="JEU26" s="1882"/>
      <c r="JEV26" s="1882"/>
      <c r="JEX26" s="1887"/>
      <c r="JEY26" s="1888"/>
      <c r="JEZ26" s="1882"/>
      <c r="JFA26" s="1882"/>
      <c r="JFB26" s="1882"/>
      <c r="JFD26" s="1887"/>
      <c r="JFE26" s="1888"/>
      <c r="JFF26" s="1882"/>
      <c r="JFG26" s="1882"/>
      <c r="JFH26" s="1882"/>
      <c r="JFJ26" s="1887"/>
      <c r="JFK26" s="1888"/>
      <c r="JFL26" s="1882"/>
      <c r="JFM26" s="1882"/>
      <c r="JFN26" s="1882"/>
      <c r="JFP26" s="1887"/>
      <c r="JFQ26" s="1888"/>
      <c r="JFR26" s="1882"/>
      <c r="JFS26" s="1882"/>
      <c r="JFT26" s="1882"/>
      <c r="JFV26" s="1887"/>
      <c r="JFW26" s="1888"/>
      <c r="JFX26" s="1882"/>
      <c r="JFY26" s="1882"/>
      <c r="JFZ26" s="1882"/>
      <c r="JGB26" s="1887"/>
      <c r="JGC26" s="1888"/>
      <c r="JGD26" s="1882"/>
      <c r="JGE26" s="1882"/>
      <c r="JGF26" s="1882"/>
      <c r="JGH26" s="1887"/>
      <c r="JGI26" s="1888"/>
      <c r="JGJ26" s="1882"/>
      <c r="JGK26" s="1882"/>
      <c r="JGL26" s="1882"/>
      <c r="JGN26" s="1887"/>
      <c r="JGO26" s="1888"/>
      <c r="JGP26" s="1882"/>
      <c r="JGQ26" s="1882"/>
      <c r="JGR26" s="1882"/>
      <c r="JGT26" s="1887"/>
      <c r="JGU26" s="1888"/>
      <c r="JGV26" s="1882"/>
      <c r="JGW26" s="1882"/>
      <c r="JGX26" s="1882"/>
      <c r="JGZ26" s="1887"/>
      <c r="JHA26" s="1888"/>
      <c r="JHB26" s="1882"/>
      <c r="JHC26" s="1882"/>
      <c r="JHD26" s="1882"/>
      <c r="JHF26" s="1887"/>
      <c r="JHG26" s="1888"/>
      <c r="JHH26" s="1882"/>
      <c r="JHI26" s="1882"/>
      <c r="JHJ26" s="1882"/>
      <c r="JHL26" s="1887"/>
      <c r="JHM26" s="1888"/>
      <c r="JHN26" s="1882"/>
      <c r="JHO26" s="1882"/>
      <c r="JHP26" s="1882"/>
      <c r="JHR26" s="1887"/>
      <c r="JHS26" s="1888"/>
      <c r="JHT26" s="1882"/>
      <c r="JHU26" s="1882"/>
      <c r="JHV26" s="1882"/>
      <c r="JHX26" s="1887"/>
      <c r="JHY26" s="1888"/>
      <c r="JHZ26" s="1882"/>
      <c r="JIA26" s="1882"/>
      <c r="JIB26" s="1882"/>
      <c r="JID26" s="1887"/>
      <c r="JIE26" s="1888"/>
      <c r="JIF26" s="1882"/>
      <c r="JIG26" s="1882"/>
      <c r="JIH26" s="1882"/>
      <c r="JIJ26" s="1887"/>
      <c r="JIK26" s="1888"/>
      <c r="JIL26" s="1882"/>
      <c r="JIM26" s="1882"/>
      <c r="JIN26" s="1882"/>
      <c r="JIP26" s="1887"/>
      <c r="JIQ26" s="1888"/>
      <c r="JIR26" s="1882"/>
      <c r="JIS26" s="1882"/>
      <c r="JIT26" s="1882"/>
      <c r="JIV26" s="1887"/>
      <c r="JIW26" s="1888"/>
      <c r="JIX26" s="1882"/>
      <c r="JIY26" s="1882"/>
      <c r="JIZ26" s="1882"/>
      <c r="JJB26" s="1887"/>
      <c r="JJC26" s="1888"/>
      <c r="JJD26" s="1882"/>
      <c r="JJE26" s="1882"/>
      <c r="JJF26" s="1882"/>
      <c r="JJH26" s="1887"/>
      <c r="JJI26" s="1888"/>
      <c r="JJJ26" s="1882"/>
      <c r="JJK26" s="1882"/>
      <c r="JJL26" s="1882"/>
      <c r="JJN26" s="1887"/>
      <c r="JJO26" s="1888"/>
      <c r="JJP26" s="1882"/>
      <c r="JJQ26" s="1882"/>
      <c r="JJR26" s="1882"/>
      <c r="JJT26" s="1887"/>
      <c r="JJU26" s="1888"/>
      <c r="JJV26" s="1882"/>
      <c r="JJW26" s="1882"/>
      <c r="JJX26" s="1882"/>
      <c r="JJZ26" s="1887"/>
      <c r="JKA26" s="1888"/>
      <c r="JKB26" s="1882"/>
      <c r="JKC26" s="1882"/>
      <c r="JKD26" s="1882"/>
      <c r="JKF26" s="1887"/>
      <c r="JKG26" s="1888"/>
      <c r="JKH26" s="1882"/>
      <c r="JKI26" s="1882"/>
      <c r="JKJ26" s="1882"/>
      <c r="JKL26" s="1887"/>
      <c r="JKM26" s="1888"/>
      <c r="JKN26" s="1882"/>
      <c r="JKO26" s="1882"/>
      <c r="JKP26" s="1882"/>
      <c r="JKR26" s="1887"/>
      <c r="JKS26" s="1888"/>
      <c r="JKT26" s="1882"/>
      <c r="JKU26" s="1882"/>
      <c r="JKV26" s="1882"/>
      <c r="JKX26" s="1887"/>
      <c r="JKY26" s="1888"/>
      <c r="JKZ26" s="1882"/>
      <c r="JLA26" s="1882"/>
      <c r="JLB26" s="1882"/>
      <c r="JLD26" s="1887"/>
      <c r="JLE26" s="1888"/>
      <c r="JLF26" s="1882"/>
      <c r="JLG26" s="1882"/>
      <c r="JLH26" s="1882"/>
      <c r="JLJ26" s="1887"/>
      <c r="JLK26" s="1888"/>
      <c r="JLL26" s="1882"/>
      <c r="JLM26" s="1882"/>
      <c r="JLN26" s="1882"/>
      <c r="JLP26" s="1887"/>
      <c r="JLQ26" s="1888"/>
      <c r="JLR26" s="1882"/>
      <c r="JLS26" s="1882"/>
      <c r="JLT26" s="1882"/>
      <c r="JLV26" s="1887"/>
      <c r="JLW26" s="1888"/>
      <c r="JLX26" s="1882"/>
      <c r="JLY26" s="1882"/>
      <c r="JLZ26" s="1882"/>
      <c r="JMB26" s="1887"/>
      <c r="JMC26" s="1888"/>
      <c r="JMD26" s="1882"/>
      <c r="JME26" s="1882"/>
      <c r="JMF26" s="1882"/>
      <c r="JMH26" s="1887"/>
      <c r="JMI26" s="1888"/>
      <c r="JMJ26" s="1882"/>
      <c r="JMK26" s="1882"/>
      <c r="JML26" s="1882"/>
      <c r="JMN26" s="1887"/>
      <c r="JMO26" s="1888"/>
      <c r="JMP26" s="1882"/>
      <c r="JMQ26" s="1882"/>
      <c r="JMR26" s="1882"/>
      <c r="JMT26" s="1887"/>
      <c r="JMU26" s="1888"/>
      <c r="JMV26" s="1882"/>
      <c r="JMW26" s="1882"/>
      <c r="JMX26" s="1882"/>
      <c r="JMZ26" s="1887"/>
      <c r="JNA26" s="1888"/>
      <c r="JNB26" s="1882"/>
      <c r="JNC26" s="1882"/>
      <c r="JND26" s="1882"/>
      <c r="JNF26" s="1887"/>
      <c r="JNG26" s="1888"/>
      <c r="JNH26" s="1882"/>
      <c r="JNI26" s="1882"/>
      <c r="JNJ26" s="1882"/>
      <c r="JNL26" s="1887"/>
      <c r="JNM26" s="1888"/>
      <c r="JNN26" s="1882"/>
      <c r="JNO26" s="1882"/>
      <c r="JNP26" s="1882"/>
      <c r="JNR26" s="1887"/>
      <c r="JNS26" s="1888"/>
      <c r="JNT26" s="1882"/>
      <c r="JNU26" s="1882"/>
      <c r="JNV26" s="1882"/>
      <c r="JNX26" s="1887"/>
      <c r="JNY26" s="1888"/>
      <c r="JNZ26" s="1882"/>
      <c r="JOA26" s="1882"/>
      <c r="JOB26" s="1882"/>
      <c r="JOD26" s="1887"/>
      <c r="JOE26" s="1888"/>
      <c r="JOF26" s="1882"/>
      <c r="JOG26" s="1882"/>
      <c r="JOH26" s="1882"/>
      <c r="JOJ26" s="1887"/>
      <c r="JOK26" s="1888"/>
      <c r="JOL26" s="1882"/>
      <c r="JOM26" s="1882"/>
      <c r="JON26" s="1882"/>
      <c r="JOP26" s="1887"/>
      <c r="JOQ26" s="1888"/>
      <c r="JOR26" s="1882"/>
      <c r="JOS26" s="1882"/>
      <c r="JOT26" s="1882"/>
      <c r="JOV26" s="1887"/>
      <c r="JOW26" s="1888"/>
      <c r="JOX26" s="1882"/>
      <c r="JOY26" s="1882"/>
      <c r="JOZ26" s="1882"/>
      <c r="JPB26" s="1887"/>
      <c r="JPC26" s="1888"/>
      <c r="JPD26" s="1882"/>
      <c r="JPE26" s="1882"/>
      <c r="JPF26" s="1882"/>
      <c r="JPH26" s="1887"/>
      <c r="JPI26" s="1888"/>
      <c r="JPJ26" s="1882"/>
      <c r="JPK26" s="1882"/>
      <c r="JPL26" s="1882"/>
      <c r="JPN26" s="1887"/>
      <c r="JPO26" s="1888"/>
      <c r="JPP26" s="1882"/>
      <c r="JPQ26" s="1882"/>
      <c r="JPR26" s="1882"/>
      <c r="JPT26" s="1887"/>
      <c r="JPU26" s="1888"/>
      <c r="JPV26" s="1882"/>
      <c r="JPW26" s="1882"/>
      <c r="JPX26" s="1882"/>
      <c r="JPZ26" s="1887"/>
      <c r="JQA26" s="1888"/>
      <c r="JQB26" s="1882"/>
      <c r="JQC26" s="1882"/>
      <c r="JQD26" s="1882"/>
      <c r="JQF26" s="1887"/>
      <c r="JQG26" s="1888"/>
      <c r="JQH26" s="1882"/>
      <c r="JQI26" s="1882"/>
      <c r="JQJ26" s="1882"/>
      <c r="JQL26" s="1887"/>
      <c r="JQM26" s="1888"/>
      <c r="JQN26" s="1882"/>
      <c r="JQO26" s="1882"/>
      <c r="JQP26" s="1882"/>
      <c r="JQR26" s="1887"/>
      <c r="JQS26" s="1888"/>
      <c r="JQT26" s="1882"/>
      <c r="JQU26" s="1882"/>
      <c r="JQV26" s="1882"/>
      <c r="JQX26" s="1887"/>
      <c r="JQY26" s="1888"/>
      <c r="JQZ26" s="1882"/>
      <c r="JRA26" s="1882"/>
      <c r="JRB26" s="1882"/>
      <c r="JRD26" s="1887"/>
      <c r="JRE26" s="1888"/>
      <c r="JRF26" s="1882"/>
      <c r="JRG26" s="1882"/>
      <c r="JRH26" s="1882"/>
      <c r="JRJ26" s="1887"/>
      <c r="JRK26" s="1888"/>
      <c r="JRL26" s="1882"/>
      <c r="JRM26" s="1882"/>
      <c r="JRN26" s="1882"/>
      <c r="JRP26" s="1887"/>
      <c r="JRQ26" s="1888"/>
      <c r="JRR26" s="1882"/>
      <c r="JRS26" s="1882"/>
      <c r="JRT26" s="1882"/>
      <c r="JRV26" s="1887"/>
      <c r="JRW26" s="1888"/>
      <c r="JRX26" s="1882"/>
      <c r="JRY26" s="1882"/>
      <c r="JRZ26" s="1882"/>
      <c r="JSB26" s="1887"/>
      <c r="JSC26" s="1888"/>
      <c r="JSD26" s="1882"/>
      <c r="JSE26" s="1882"/>
      <c r="JSF26" s="1882"/>
      <c r="JSH26" s="1887"/>
      <c r="JSI26" s="1888"/>
      <c r="JSJ26" s="1882"/>
      <c r="JSK26" s="1882"/>
      <c r="JSL26" s="1882"/>
      <c r="JSN26" s="1887"/>
      <c r="JSO26" s="1888"/>
      <c r="JSP26" s="1882"/>
      <c r="JSQ26" s="1882"/>
      <c r="JSR26" s="1882"/>
      <c r="JST26" s="1887"/>
      <c r="JSU26" s="1888"/>
      <c r="JSV26" s="1882"/>
      <c r="JSW26" s="1882"/>
      <c r="JSX26" s="1882"/>
      <c r="JSZ26" s="1887"/>
      <c r="JTA26" s="1888"/>
      <c r="JTB26" s="1882"/>
      <c r="JTC26" s="1882"/>
      <c r="JTD26" s="1882"/>
      <c r="JTF26" s="1887"/>
      <c r="JTG26" s="1888"/>
      <c r="JTH26" s="1882"/>
      <c r="JTI26" s="1882"/>
      <c r="JTJ26" s="1882"/>
      <c r="JTL26" s="1887"/>
      <c r="JTM26" s="1888"/>
      <c r="JTN26" s="1882"/>
      <c r="JTO26" s="1882"/>
      <c r="JTP26" s="1882"/>
      <c r="JTR26" s="1887"/>
      <c r="JTS26" s="1888"/>
      <c r="JTT26" s="1882"/>
      <c r="JTU26" s="1882"/>
      <c r="JTV26" s="1882"/>
      <c r="JTX26" s="1887"/>
      <c r="JTY26" s="1888"/>
      <c r="JTZ26" s="1882"/>
      <c r="JUA26" s="1882"/>
      <c r="JUB26" s="1882"/>
      <c r="JUD26" s="1887"/>
      <c r="JUE26" s="1888"/>
      <c r="JUF26" s="1882"/>
      <c r="JUG26" s="1882"/>
      <c r="JUH26" s="1882"/>
      <c r="JUJ26" s="1887"/>
      <c r="JUK26" s="1888"/>
      <c r="JUL26" s="1882"/>
      <c r="JUM26" s="1882"/>
      <c r="JUN26" s="1882"/>
      <c r="JUP26" s="1887"/>
      <c r="JUQ26" s="1888"/>
      <c r="JUR26" s="1882"/>
      <c r="JUS26" s="1882"/>
      <c r="JUT26" s="1882"/>
      <c r="JUV26" s="1887"/>
      <c r="JUW26" s="1888"/>
      <c r="JUX26" s="1882"/>
      <c r="JUY26" s="1882"/>
      <c r="JUZ26" s="1882"/>
      <c r="JVB26" s="1887"/>
      <c r="JVC26" s="1888"/>
      <c r="JVD26" s="1882"/>
      <c r="JVE26" s="1882"/>
      <c r="JVF26" s="1882"/>
      <c r="JVH26" s="1887"/>
      <c r="JVI26" s="1888"/>
      <c r="JVJ26" s="1882"/>
      <c r="JVK26" s="1882"/>
      <c r="JVL26" s="1882"/>
      <c r="JVN26" s="1887"/>
      <c r="JVO26" s="1888"/>
      <c r="JVP26" s="1882"/>
      <c r="JVQ26" s="1882"/>
      <c r="JVR26" s="1882"/>
      <c r="JVT26" s="1887"/>
      <c r="JVU26" s="1888"/>
      <c r="JVV26" s="1882"/>
      <c r="JVW26" s="1882"/>
      <c r="JVX26" s="1882"/>
      <c r="JVZ26" s="1887"/>
      <c r="JWA26" s="1888"/>
      <c r="JWB26" s="1882"/>
      <c r="JWC26" s="1882"/>
      <c r="JWD26" s="1882"/>
      <c r="JWF26" s="1887"/>
      <c r="JWG26" s="1888"/>
      <c r="JWH26" s="1882"/>
      <c r="JWI26" s="1882"/>
      <c r="JWJ26" s="1882"/>
      <c r="JWL26" s="1887"/>
      <c r="JWM26" s="1888"/>
      <c r="JWN26" s="1882"/>
      <c r="JWO26" s="1882"/>
      <c r="JWP26" s="1882"/>
      <c r="JWR26" s="1887"/>
      <c r="JWS26" s="1888"/>
      <c r="JWT26" s="1882"/>
      <c r="JWU26" s="1882"/>
      <c r="JWV26" s="1882"/>
      <c r="JWX26" s="1887"/>
      <c r="JWY26" s="1888"/>
      <c r="JWZ26" s="1882"/>
      <c r="JXA26" s="1882"/>
      <c r="JXB26" s="1882"/>
      <c r="JXD26" s="1887"/>
      <c r="JXE26" s="1888"/>
      <c r="JXF26" s="1882"/>
      <c r="JXG26" s="1882"/>
      <c r="JXH26" s="1882"/>
      <c r="JXJ26" s="1887"/>
      <c r="JXK26" s="1888"/>
      <c r="JXL26" s="1882"/>
      <c r="JXM26" s="1882"/>
      <c r="JXN26" s="1882"/>
      <c r="JXP26" s="1887"/>
      <c r="JXQ26" s="1888"/>
      <c r="JXR26" s="1882"/>
      <c r="JXS26" s="1882"/>
      <c r="JXT26" s="1882"/>
      <c r="JXV26" s="1887"/>
      <c r="JXW26" s="1888"/>
      <c r="JXX26" s="1882"/>
      <c r="JXY26" s="1882"/>
      <c r="JXZ26" s="1882"/>
      <c r="JYB26" s="1887"/>
      <c r="JYC26" s="1888"/>
      <c r="JYD26" s="1882"/>
      <c r="JYE26" s="1882"/>
      <c r="JYF26" s="1882"/>
      <c r="JYH26" s="1887"/>
      <c r="JYI26" s="1888"/>
      <c r="JYJ26" s="1882"/>
      <c r="JYK26" s="1882"/>
      <c r="JYL26" s="1882"/>
      <c r="JYN26" s="1887"/>
      <c r="JYO26" s="1888"/>
      <c r="JYP26" s="1882"/>
      <c r="JYQ26" s="1882"/>
      <c r="JYR26" s="1882"/>
      <c r="JYT26" s="1887"/>
      <c r="JYU26" s="1888"/>
      <c r="JYV26" s="1882"/>
      <c r="JYW26" s="1882"/>
      <c r="JYX26" s="1882"/>
      <c r="JYZ26" s="1887"/>
      <c r="JZA26" s="1888"/>
      <c r="JZB26" s="1882"/>
      <c r="JZC26" s="1882"/>
      <c r="JZD26" s="1882"/>
      <c r="JZF26" s="1887"/>
      <c r="JZG26" s="1888"/>
      <c r="JZH26" s="1882"/>
      <c r="JZI26" s="1882"/>
      <c r="JZJ26" s="1882"/>
      <c r="JZL26" s="1887"/>
      <c r="JZM26" s="1888"/>
      <c r="JZN26" s="1882"/>
      <c r="JZO26" s="1882"/>
      <c r="JZP26" s="1882"/>
      <c r="JZR26" s="1887"/>
      <c r="JZS26" s="1888"/>
      <c r="JZT26" s="1882"/>
      <c r="JZU26" s="1882"/>
      <c r="JZV26" s="1882"/>
      <c r="JZX26" s="1887"/>
      <c r="JZY26" s="1888"/>
      <c r="JZZ26" s="1882"/>
      <c r="KAA26" s="1882"/>
      <c r="KAB26" s="1882"/>
      <c r="KAD26" s="1887"/>
      <c r="KAE26" s="1888"/>
      <c r="KAF26" s="1882"/>
      <c r="KAG26" s="1882"/>
      <c r="KAH26" s="1882"/>
      <c r="KAJ26" s="1887"/>
      <c r="KAK26" s="1888"/>
      <c r="KAL26" s="1882"/>
      <c r="KAM26" s="1882"/>
      <c r="KAN26" s="1882"/>
      <c r="KAP26" s="1887"/>
      <c r="KAQ26" s="1888"/>
      <c r="KAR26" s="1882"/>
      <c r="KAS26" s="1882"/>
      <c r="KAT26" s="1882"/>
      <c r="KAV26" s="1887"/>
      <c r="KAW26" s="1888"/>
      <c r="KAX26" s="1882"/>
      <c r="KAY26" s="1882"/>
      <c r="KAZ26" s="1882"/>
      <c r="KBB26" s="1887"/>
      <c r="KBC26" s="1888"/>
      <c r="KBD26" s="1882"/>
      <c r="KBE26" s="1882"/>
      <c r="KBF26" s="1882"/>
      <c r="KBH26" s="1887"/>
      <c r="KBI26" s="1888"/>
      <c r="KBJ26" s="1882"/>
      <c r="KBK26" s="1882"/>
      <c r="KBL26" s="1882"/>
      <c r="KBN26" s="1887"/>
      <c r="KBO26" s="1888"/>
      <c r="KBP26" s="1882"/>
      <c r="KBQ26" s="1882"/>
      <c r="KBR26" s="1882"/>
      <c r="KBT26" s="1887"/>
      <c r="KBU26" s="1888"/>
      <c r="KBV26" s="1882"/>
      <c r="KBW26" s="1882"/>
      <c r="KBX26" s="1882"/>
      <c r="KBZ26" s="1887"/>
      <c r="KCA26" s="1888"/>
      <c r="KCB26" s="1882"/>
      <c r="KCC26" s="1882"/>
      <c r="KCD26" s="1882"/>
      <c r="KCF26" s="1887"/>
      <c r="KCG26" s="1888"/>
      <c r="KCH26" s="1882"/>
      <c r="KCI26" s="1882"/>
      <c r="KCJ26" s="1882"/>
      <c r="KCL26" s="1887"/>
      <c r="KCM26" s="1888"/>
      <c r="KCN26" s="1882"/>
      <c r="KCO26" s="1882"/>
      <c r="KCP26" s="1882"/>
      <c r="KCR26" s="1887"/>
      <c r="KCS26" s="1888"/>
      <c r="KCT26" s="1882"/>
      <c r="KCU26" s="1882"/>
      <c r="KCV26" s="1882"/>
      <c r="KCX26" s="1887"/>
      <c r="KCY26" s="1888"/>
      <c r="KCZ26" s="1882"/>
      <c r="KDA26" s="1882"/>
      <c r="KDB26" s="1882"/>
      <c r="KDD26" s="1887"/>
      <c r="KDE26" s="1888"/>
      <c r="KDF26" s="1882"/>
      <c r="KDG26" s="1882"/>
      <c r="KDH26" s="1882"/>
      <c r="KDJ26" s="1887"/>
      <c r="KDK26" s="1888"/>
      <c r="KDL26" s="1882"/>
      <c r="KDM26" s="1882"/>
      <c r="KDN26" s="1882"/>
      <c r="KDP26" s="1887"/>
      <c r="KDQ26" s="1888"/>
      <c r="KDR26" s="1882"/>
      <c r="KDS26" s="1882"/>
      <c r="KDT26" s="1882"/>
      <c r="KDV26" s="1887"/>
      <c r="KDW26" s="1888"/>
      <c r="KDX26" s="1882"/>
      <c r="KDY26" s="1882"/>
      <c r="KDZ26" s="1882"/>
      <c r="KEB26" s="1887"/>
      <c r="KEC26" s="1888"/>
      <c r="KED26" s="1882"/>
      <c r="KEE26" s="1882"/>
      <c r="KEF26" s="1882"/>
      <c r="KEH26" s="1887"/>
      <c r="KEI26" s="1888"/>
      <c r="KEJ26" s="1882"/>
      <c r="KEK26" s="1882"/>
      <c r="KEL26" s="1882"/>
      <c r="KEN26" s="1887"/>
      <c r="KEO26" s="1888"/>
      <c r="KEP26" s="1882"/>
      <c r="KEQ26" s="1882"/>
      <c r="KER26" s="1882"/>
      <c r="KET26" s="1887"/>
      <c r="KEU26" s="1888"/>
      <c r="KEV26" s="1882"/>
      <c r="KEW26" s="1882"/>
      <c r="KEX26" s="1882"/>
      <c r="KEZ26" s="1887"/>
      <c r="KFA26" s="1888"/>
      <c r="KFB26" s="1882"/>
      <c r="KFC26" s="1882"/>
      <c r="KFD26" s="1882"/>
      <c r="KFF26" s="1887"/>
      <c r="KFG26" s="1888"/>
      <c r="KFH26" s="1882"/>
      <c r="KFI26" s="1882"/>
      <c r="KFJ26" s="1882"/>
      <c r="KFL26" s="1887"/>
      <c r="KFM26" s="1888"/>
      <c r="KFN26" s="1882"/>
      <c r="KFO26" s="1882"/>
      <c r="KFP26" s="1882"/>
      <c r="KFR26" s="1887"/>
      <c r="KFS26" s="1888"/>
      <c r="KFT26" s="1882"/>
      <c r="KFU26" s="1882"/>
      <c r="KFV26" s="1882"/>
      <c r="KFX26" s="1887"/>
      <c r="KFY26" s="1888"/>
      <c r="KFZ26" s="1882"/>
      <c r="KGA26" s="1882"/>
      <c r="KGB26" s="1882"/>
      <c r="KGD26" s="1887"/>
      <c r="KGE26" s="1888"/>
      <c r="KGF26" s="1882"/>
      <c r="KGG26" s="1882"/>
      <c r="KGH26" s="1882"/>
      <c r="KGJ26" s="1887"/>
      <c r="KGK26" s="1888"/>
      <c r="KGL26" s="1882"/>
      <c r="KGM26" s="1882"/>
      <c r="KGN26" s="1882"/>
      <c r="KGP26" s="1887"/>
      <c r="KGQ26" s="1888"/>
      <c r="KGR26" s="1882"/>
      <c r="KGS26" s="1882"/>
      <c r="KGT26" s="1882"/>
      <c r="KGV26" s="1887"/>
      <c r="KGW26" s="1888"/>
      <c r="KGX26" s="1882"/>
      <c r="KGY26" s="1882"/>
      <c r="KGZ26" s="1882"/>
      <c r="KHB26" s="1887"/>
      <c r="KHC26" s="1888"/>
      <c r="KHD26" s="1882"/>
      <c r="KHE26" s="1882"/>
      <c r="KHF26" s="1882"/>
      <c r="KHH26" s="1887"/>
      <c r="KHI26" s="1888"/>
      <c r="KHJ26" s="1882"/>
      <c r="KHK26" s="1882"/>
      <c r="KHL26" s="1882"/>
      <c r="KHN26" s="1887"/>
      <c r="KHO26" s="1888"/>
      <c r="KHP26" s="1882"/>
      <c r="KHQ26" s="1882"/>
      <c r="KHR26" s="1882"/>
      <c r="KHT26" s="1887"/>
      <c r="KHU26" s="1888"/>
      <c r="KHV26" s="1882"/>
      <c r="KHW26" s="1882"/>
      <c r="KHX26" s="1882"/>
      <c r="KHZ26" s="1887"/>
      <c r="KIA26" s="1888"/>
      <c r="KIB26" s="1882"/>
      <c r="KIC26" s="1882"/>
      <c r="KID26" s="1882"/>
      <c r="KIF26" s="1887"/>
      <c r="KIG26" s="1888"/>
      <c r="KIH26" s="1882"/>
      <c r="KII26" s="1882"/>
      <c r="KIJ26" s="1882"/>
      <c r="KIL26" s="1887"/>
      <c r="KIM26" s="1888"/>
      <c r="KIN26" s="1882"/>
      <c r="KIO26" s="1882"/>
      <c r="KIP26" s="1882"/>
      <c r="KIR26" s="1887"/>
      <c r="KIS26" s="1888"/>
      <c r="KIT26" s="1882"/>
      <c r="KIU26" s="1882"/>
      <c r="KIV26" s="1882"/>
      <c r="KIX26" s="1887"/>
      <c r="KIY26" s="1888"/>
      <c r="KIZ26" s="1882"/>
      <c r="KJA26" s="1882"/>
      <c r="KJB26" s="1882"/>
      <c r="KJD26" s="1887"/>
      <c r="KJE26" s="1888"/>
      <c r="KJF26" s="1882"/>
      <c r="KJG26" s="1882"/>
      <c r="KJH26" s="1882"/>
      <c r="KJJ26" s="1887"/>
      <c r="KJK26" s="1888"/>
      <c r="KJL26" s="1882"/>
      <c r="KJM26" s="1882"/>
      <c r="KJN26" s="1882"/>
      <c r="KJP26" s="1887"/>
      <c r="KJQ26" s="1888"/>
      <c r="KJR26" s="1882"/>
      <c r="KJS26" s="1882"/>
      <c r="KJT26" s="1882"/>
      <c r="KJV26" s="1887"/>
      <c r="KJW26" s="1888"/>
      <c r="KJX26" s="1882"/>
      <c r="KJY26" s="1882"/>
      <c r="KJZ26" s="1882"/>
      <c r="KKB26" s="1887"/>
      <c r="KKC26" s="1888"/>
      <c r="KKD26" s="1882"/>
      <c r="KKE26" s="1882"/>
      <c r="KKF26" s="1882"/>
      <c r="KKH26" s="1887"/>
      <c r="KKI26" s="1888"/>
      <c r="KKJ26" s="1882"/>
      <c r="KKK26" s="1882"/>
      <c r="KKL26" s="1882"/>
      <c r="KKN26" s="1887"/>
      <c r="KKO26" s="1888"/>
      <c r="KKP26" s="1882"/>
      <c r="KKQ26" s="1882"/>
      <c r="KKR26" s="1882"/>
      <c r="KKT26" s="1887"/>
      <c r="KKU26" s="1888"/>
      <c r="KKV26" s="1882"/>
      <c r="KKW26" s="1882"/>
      <c r="KKX26" s="1882"/>
      <c r="KKZ26" s="1887"/>
      <c r="KLA26" s="1888"/>
      <c r="KLB26" s="1882"/>
      <c r="KLC26" s="1882"/>
      <c r="KLD26" s="1882"/>
      <c r="KLF26" s="1887"/>
      <c r="KLG26" s="1888"/>
      <c r="KLH26" s="1882"/>
      <c r="KLI26" s="1882"/>
      <c r="KLJ26" s="1882"/>
      <c r="KLL26" s="1887"/>
      <c r="KLM26" s="1888"/>
      <c r="KLN26" s="1882"/>
      <c r="KLO26" s="1882"/>
      <c r="KLP26" s="1882"/>
      <c r="KLR26" s="1887"/>
      <c r="KLS26" s="1888"/>
      <c r="KLT26" s="1882"/>
      <c r="KLU26" s="1882"/>
      <c r="KLV26" s="1882"/>
      <c r="KLX26" s="1887"/>
      <c r="KLY26" s="1888"/>
      <c r="KLZ26" s="1882"/>
      <c r="KMA26" s="1882"/>
      <c r="KMB26" s="1882"/>
      <c r="KMD26" s="1887"/>
      <c r="KME26" s="1888"/>
      <c r="KMF26" s="1882"/>
      <c r="KMG26" s="1882"/>
      <c r="KMH26" s="1882"/>
      <c r="KMJ26" s="1887"/>
      <c r="KMK26" s="1888"/>
      <c r="KML26" s="1882"/>
      <c r="KMM26" s="1882"/>
      <c r="KMN26" s="1882"/>
      <c r="KMP26" s="1887"/>
      <c r="KMQ26" s="1888"/>
      <c r="KMR26" s="1882"/>
      <c r="KMS26" s="1882"/>
      <c r="KMT26" s="1882"/>
      <c r="KMV26" s="1887"/>
      <c r="KMW26" s="1888"/>
      <c r="KMX26" s="1882"/>
      <c r="KMY26" s="1882"/>
      <c r="KMZ26" s="1882"/>
      <c r="KNB26" s="1887"/>
      <c r="KNC26" s="1888"/>
      <c r="KND26" s="1882"/>
      <c r="KNE26" s="1882"/>
      <c r="KNF26" s="1882"/>
      <c r="KNH26" s="1887"/>
      <c r="KNI26" s="1888"/>
      <c r="KNJ26" s="1882"/>
      <c r="KNK26" s="1882"/>
      <c r="KNL26" s="1882"/>
      <c r="KNN26" s="1887"/>
      <c r="KNO26" s="1888"/>
      <c r="KNP26" s="1882"/>
      <c r="KNQ26" s="1882"/>
      <c r="KNR26" s="1882"/>
      <c r="KNT26" s="1887"/>
      <c r="KNU26" s="1888"/>
      <c r="KNV26" s="1882"/>
      <c r="KNW26" s="1882"/>
      <c r="KNX26" s="1882"/>
      <c r="KNZ26" s="1887"/>
      <c r="KOA26" s="1888"/>
      <c r="KOB26" s="1882"/>
      <c r="KOC26" s="1882"/>
      <c r="KOD26" s="1882"/>
      <c r="KOF26" s="1887"/>
      <c r="KOG26" s="1888"/>
      <c r="KOH26" s="1882"/>
      <c r="KOI26" s="1882"/>
      <c r="KOJ26" s="1882"/>
      <c r="KOL26" s="1887"/>
      <c r="KOM26" s="1888"/>
      <c r="KON26" s="1882"/>
      <c r="KOO26" s="1882"/>
      <c r="KOP26" s="1882"/>
      <c r="KOR26" s="1887"/>
      <c r="KOS26" s="1888"/>
      <c r="KOT26" s="1882"/>
      <c r="KOU26" s="1882"/>
      <c r="KOV26" s="1882"/>
      <c r="KOX26" s="1887"/>
      <c r="KOY26" s="1888"/>
      <c r="KOZ26" s="1882"/>
      <c r="KPA26" s="1882"/>
      <c r="KPB26" s="1882"/>
      <c r="KPD26" s="1887"/>
      <c r="KPE26" s="1888"/>
      <c r="KPF26" s="1882"/>
      <c r="KPG26" s="1882"/>
      <c r="KPH26" s="1882"/>
      <c r="KPJ26" s="1887"/>
      <c r="KPK26" s="1888"/>
      <c r="KPL26" s="1882"/>
      <c r="KPM26" s="1882"/>
      <c r="KPN26" s="1882"/>
      <c r="KPP26" s="1887"/>
      <c r="KPQ26" s="1888"/>
      <c r="KPR26" s="1882"/>
      <c r="KPS26" s="1882"/>
      <c r="KPT26" s="1882"/>
      <c r="KPV26" s="1887"/>
      <c r="KPW26" s="1888"/>
      <c r="KPX26" s="1882"/>
      <c r="KPY26" s="1882"/>
      <c r="KPZ26" s="1882"/>
      <c r="KQB26" s="1887"/>
      <c r="KQC26" s="1888"/>
      <c r="KQD26" s="1882"/>
      <c r="KQE26" s="1882"/>
      <c r="KQF26" s="1882"/>
      <c r="KQH26" s="1887"/>
      <c r="KQI26" s="1888"/>
      <c r="KQJ26" s="1882"/>
      <c r="KQK26" s="1882"/>
      <c r="KQL26" s="1882"/>
      <c r="KQN26" s="1887"/>
      <c r="KQO26" s="1888"/>
      <c r="KQP26" s="1882"/>
      <c r="KQQ26" s="1882"/>
      <c r="KQR26" s="1882"/>
      <c r="KQT26" s="1887"/>
      <c r="KQU26" s="1888"/>
      <c r="KQV26" s="1882"/>
      <c r="KQW26" s="1882"/>
      <c r="KQX26" s="1882"/>
      <c r="KQZ26" s="1887"/>
      <c r="KRA26" s="1888"/>
      <c r="KRB26" s="1882"/>
      <c r="KRC26" s="1882"/>
      <c r="KRD26" s="1882"/>
      <c r="KRF26" s="1887"/>
      <c r="KRG26" s="1888"/>
      <c r="KRH26" s="1882"/>
      <c r="KRI26" s="1882"/>
      <c r="KRJ26" s="1882"/>
      <c r="KRL26" s="1887"/>
      <c r="KRM26" s="1888"/>
      <c r="KRN26" s="1882"/>
      <c r="KRO26" s="1882"/>
      <c r="KRP26" s="1882"/>
      <c r="KRR26" s="1887"/>
      <c r="KRS26" s="1888"/>
      <c r="KRT26" s="1882"/>
      <c r="KRU26" s="1882"/>
      <c r="KRV26" s="1882"/>
      <c r="KRX26" s="1887"/>
      <c r="KRY26" s="1888"/>
      <c r="KRZ26" s="1882"/>
      <c r="KSA26" s="1882"/>
      <c r="KSB26" s="1882"/>
      <c r="KSD26" s="1887"/>
      <c r="KSE26" s="1888"/>
      <c r="KSF26" s="1882"/>
      <c r="KSG26" s="1882"/>
      <c r="KSH26" s="1882"/>
      <c r="KSJ26" s="1887"/>
      <c r="KSK26" s="1888"/>
      <c r="KSL26" s="1882"/>
      <c r="KSM26" s="1882"/>
      <c r="KSN26" s="1882"/>
      <c r="KSP26" s="1887"/>
      <c r="KSQ26" s="1888"/>
      <c r="KSR26" s="1882"/>
      <c r="KSS26" s="1882"/>
      <c r="KST26" s="1882"/>
      <c r="KSV26" s="1887"/>
      <c r="KSW26" s="1888"/>
      <c r="KSX26" s="1882"/>
      <c r="KSY26" s="1882"/>
      <c r="KSZ26" s="1882"/>
      <c r="KTB26" s="1887"/>
      <c r="KTC26" s="1888"/>
      <c r="KTD26" s="1882"/>
      <c r="KTE26" s="1882"/>
      <c r="KTF26" s="1882"/>
      <c r="KTH26" s="1887"/>
      <c r="KTI26" s="1888"/>
      <c r="KTJ26" s="1882"/>
      <c r="KTK26" s="1882"/>
      <c r="KTL26" s="1882"/>
      <c r="KTN26" s="1887"/>
      <c r="KTO26" s="1888"/>
      <c r="KTP26" s="1882"/>
      <c r="KTQ26" s="1882"/>
      <c r="KTR26" s="1882"/>
      <c r="KTT26" s="1887"/>
      <c r="KTU26" s="1888"/>
      <c r="KTV26" s="1882"/>
      <c r="KTW26" s="1882"/>
      <c r="KTX26" s="1882"/>
      <c r="KTZ26" s="1887"/>
      <c r="KUA26" s="1888"/>
      <c r="KUB26" s="1882"/>
      <c r="KUC26" s="1882"/>
      <c r="KUD26" s="1882"/>
      <c r="KUF26" s="1887"/>
      <c r="KUG26" s="1888"/>
      <c r="KUH26" s="1882"/>
      <c r="KUI26" s="1882"/>
      <c r="KUJ26" s="1882"/>
      <c r="KUL26" s="1887"/>
      <c r="KUM26" s="1888"/>
      <c r="KUN26" s="1882"/>
      <c r="KUO26" s="1882"/>
      <c r="KUP26" s="1882"/>
      <c r="KUR26" s="1887"/>
      <c r="KUS26" s="1888"/>
      <c r="KUT26" s="1882"/>
      <c r="KUU26" s="1882"/>
      <c r="KUV26" s="1882"/>
      <c r="KUX26" s="1887"/>
      <c r="KUY26" s="1888"/>
      <c r="KUZ26" s="1882"/>
      <c r="KVA26" s="1882"/>
      <c r="KVB26" s="1882"/>
      <c r="KVD26" s="1887"/>
      <c r="KVE26" s="1888"/>
      <c r="KVF26" s="1882"/>
      <c r="KVG26" s="1882"/>
      <c r="KVH26" s="1882"/>
      <c r="KVJ26" s="1887"/>
      <c r="KVK26" s="1888"/>
      <c r="KVL26" s="1882"/>
      <c r="KVM26" s="1882"/>
      <c r="KVN26" s="1882"/>
      <c r="KVP26" s="1887"/>
      <c r="KVQ26" s="1888"/>
      <c r="KVR26" s="1882"/>
      <c r="KVS26" s="1882"/>
      <c r="KVT26" s="1882"/>
      <c r="KVV26" s="1887"/>
      <c r="KVW26" s="1888"/>
      <c r="KVX26" s="1882"/>
      <c r="KVY26" s="1882"/>
      <c r="KVZ26" s="1882"/>
      <c r="KWB26" s="1887"/>
      <c r="KWC26" s="1888"/>
      <c r="KWD26" s="1882"/>
      <c r="KWE26" s="1882"/>
      <c r="KWF26" s="1882"/>
      <c r="KWH26" s="1887"/>
      <c r="KWI26" s="1888"/>
      <c r="KWJ26" s="1882"/>
      <c r="KWK26" s="1882"/>
      <c r="KWL26" s="1882"/>
      <c r="KWN26" s="1887"/>
      <c r="KWO26" s="1888"/>
      <c r="KWP26" s="1882"/>
      <c r="KWQ26" s="1882"/>
      <c r="KWR26" s="1882"/>
      <c r="KWT26" s="1887"/>
      <c r="KWU26" s="1888"/>
      <c r="KWV26" s="1882"/>
      <c r="KWW26" s="1882"/>
      <c r="KWX26" s="1882"/>
      <c r="KWZ26" s="1887"/>
      <c r="KXA26" s="1888"/>
      <c r="KXB26" s="1882"/>
      <c r="KXC26" s="1882"/>
      <c r="KXD26" s="1882"/>
      <c r="KXF26" s="1887"/>
      <c r="KXG26" s="1888"/>
      <c r="KXH26" s="1882"/>
      <c r="KXI26" s="1882"/>
      <c r="KXJ26" s="1882"/>
      <c r="KXL26" s="1887"/>
      <c r="KXM26" s="1888"/>
      <c r="KXN26" s="1882"/>
      <c r="KXO26" s="1882"/>
      <c r="KXP26" s="1882"/>
      <c r="KXR26" s="1887"/>
      <c r="KXS26" s="1888"/>
      <c r="KXT26" s="1882"/>
      <c r="KXU26" s="1882"/>
      <c r="KXV26" s="1882"/>
      <c r="KXX26" s="1887"/>
      <c r="KXY26" s="1888"/>
      <c r="KXZ26" s="1882"/>
      <c r="KYA26" s="1882"/>
      <c r="KYB26" s="1882"/>
      <c r="KYD26" s="1887"/>
      <c r="KYE26" s="1888"/>
      <c r="KYF26" s="1882"/>
      <c r="KYG26" s="1882"/>
      <c r="KYH26" s="1882"/>
      <c r="KYJ26" s="1887"/>
      <c r="KYK26" s="1888"/>
      <c r="KYL26" s="1882"/>
      <c r="KYM26" s="1882"/>
      <c r="KYN26" s="1882"/>
      <c r="KYP26" s="1887"/>
      <c r="KYQ26" s="1888"/>
      <c r="KYR26" s="1882"/>
      <c r="KYS26" s="1882"/>
      <c r="KYT26" s="1882"/>
      <c r="KYV26" s="1887"/>
      <c r="KYW26" s="1888"/>
      <c r="KYX26" s="1882"/>
      <c r="KYY26" s="1882"/>
      <c r="KYZ26" s="1882"/>
      <c r="KZB26" s="1887"/>
      <c r="KZC26" s="1888"/>
      <c r="KZD26" s="1882"/>
      <c r="KZE26" s="1882"/>
      <c r="KZF26" s="1882"/>
      <c r="KZH26" s="1887"/>
      <c r="KZI26" s="1888"/>
      <c r="KZJ26" s="1882"/>
      <c r="KZK26" s="1882"/>
      <c r="KZL26" s="1882"/>
      <c r="KZN26" s="1887"/>
      <c r="KZO26" s="1888"/>
      <c r="KZP26" s="1882"/>
      <c r="KZQ26" s="1882"/>
      <c r="KZR26" s="1882"/>
      <c r="KZT26" s="1887"/>
      <c r="KZU26" s="1888"/>
      <c r="KZV26" s="1882"/>
      <c r="KZW26" s="1882"/>
      <c r="KZX26" s="1882"/>
      <c r="KZZ26" s="1887"/>
      <c r="LAA26" s="1888"/>
      <c r="LAB26" s="1882"/>
      <c r="LAC26" s="1882"/>
      <c r="LAD26" s="1882"/>
      <c r="LAF26" s="1887"/>
      <c r="LAG26" s="1888"/>
      <c r="LAH26" s="1882"/>
      <c r="LAI26" s="1882"/>
      <c r="LAJ26" s="1882"/>
      <c r="LAL26" s="1887"/>
      <c r="LAM26" s="1888"/>
      <c r="LAN26" s="1882"/>
      <c r="LAO26" s="1882"/>
      <c r="LAP26" s="1882"/>
      <c r="LAR26" s="1887"/>
      <c r="LAS26" s="1888"/>
      <c r="LAT26" s="1882"/>
      <c r="LAU26" s="1882"/>
      <c r="LAV26" s="1882"/>
      <c r="LAX26" s="1887"/>
      <c r="LAY26" s="1888"/>
      <c r="LAZ26" s="1882"/>
      <c r="LBA26" s="1882"/>
      <c r="LBB26" s="1882"/>
      <c r="LBD26" s="1887"/>
      <c r="LBE26" s="1888"/>
      <c r="LBF26" s="1882"/>
      <c r="LBG26" s="1882"/>
      <c r="LBH26" s="1882"/>
      <c r="LBJ26" s="1887"/>
      <c r="LBK26" s="1888"/>
      <c r="LBL26" s="1882"/>
      <c r="LBM26" s="1882"/>
      <c r="LBN26" s="1882"/>
      <c r="LBP26" s="1887"/>
      <c r="LBQ26" s="1888"/>
      <c r="LBR26" s="1882"/>
      <c r="LBS26" s="1882"/>
      <c r="LBT26" s="1882"/>
      <c r="LBV26" s="1887"/>
      <c r="LBW26" s="1888"/>
      <c r="LBX26" s="1882"/>
      <c r="LBY26" s="1882"/>
      <c r="LBZ26" s="1882"/>
      <c r="LCB26" s="1887"/>
      <c r="LCC26" s="1888"/>
      <c r="LCD26" s="1882"/>
      <c r="LCE26" s="1882"/>
      <c r="LCF26" s="1882"/>
      <c r="LCH26" s="1887"/>
      <c r="LCI26" s="1888"/>
      <c r="LCJ26" s="1882"/>
      <c r="LCK26" s="1882"/>
      <c r="LCL26" s="1882"/>
      <c r="LCN26" s="1887"/>
      <c r="LCO26" s="1888"/>
      <c r="LCP26" s="1882"/>
      <c r="LCQ26" s="1882"/>
      <c r="LCR26" s="1882"/>
      <c r="LCT26" s="1887"/>
      <c r="LCU26" s="1888"/>
      <c r="LCV26" s="1882"/>
      <c r="LCW26" s="1882"/>
      <c r="LCX26" s="1882"/>
      <c r="LCZ26" s="1887"/>
      <c r="LDA26" s="1888"/>
      <c r="LDB26" s="1882"/>
      <c r="LDC26" s="1882"/>
      <c r="LDD26" s="1882"/>
      <c r="LDF26" s="1887"/>
      <c r="LDG26" s="1888"/>
      <c r="LDH26" s="1882"/>
      <c r="LDI26" s="1882"/>
      <c r="LDJ26" s="1882"/>
      <c r="LDL26" s="1887"/>
      <c r="LDM26" s="1888"/>
      <c r="LDN26" s="1882"/>
      <c r="LDO26" s="1882"/>
      <c r="LDP26" s="1882"/>
      <c r="LDR26" s="1887"/>
      <c r="LDS26" s="1888"/>
      <c r="LDT26" s="1882"/>
      <c r="LDU26" s="1882"/>
      <c r="LDV26" s="1882"/>
      <c r="LDX26" s="1887"/>
      <c r="LDY26" s="1888"/>
      <c r="LDZ26" s="1882"/>
      <c r="LEA26" s="1882"/>
      <c r="LEB26" s="1882"/>
      <c r="LED26" s="1887"/>
      <c r="LEE26" s="1888"/>
      <c r="LEF26" s="1882"/>
      <c r="LEG26" s="1882"/>
      <c r="LEH26" s="1882"/>
      <c r="LEJ26" s="1887"/>
      <c r="LEK26" s="1888"/>
      <c r="LEL26" s="1882"/>
      <c r="LEM26" s="1882"/>
      <c r="LEN26" s="1882"/>
      <c r="LEP26" s="1887"/>
      <c r="LEQ26" s="1888"/>
      <c r="LER26" s="1882"/>
      <c r="LES26" s="1882"/>
      <c r="LET26" s="1882"/>
      <c r="LEV26" s="1887"/>
      <c r="LEW26" s="1888"/>
      <c r="LEX26" s="1882"/>
      <c r="LEY26" s="1882"/>
      <c r="LEZ26" s="1882"/>
      <c r="LFB26" s="1887"/>
      <c r="LFC26" s="1888"/>
      <c r="LFD26" s="1882"/>
      <c r="LFE26" s="1882"/>
      <c r="LFF26" s="1882"/>
      <c r="LFH26" s="1887"/>
      <c r="LFI26" s="1888"/>
      <c r="LFJ26" s="1882"/>
      <c r="LFK26" s="1882"/>
      <c r="LFL26" s="1882"/>
      <c r="LFN26" s="1887"/>
      <c r="LFO26" s="1888"/>
      <c r="LFP26" s="1882"/>
      <c r="LFQ26" s="1882"/>
      <c r="LFR26" s="1882"/>
      <c r="LFT26" s="1887"/>
      <c r="LFU26" s="1888"/>
      <c r="LFV26" s="1882"/>
      <c r="LFW26" s="1882"/>
      <c r="LFX26" s="1882"/>
      <c r="LFZ26" s="1887"/>
      <c r="LGA26" s="1888"/>
      <c r="LGB26" s="1882"/>
      <c r="LGC26" s="1882"/>
      <c r="LGD26" s="1882"/>
      <c r="LGF26" s="1887"/>
      <c r="LGG26" s="1888"/>
      <c r="LGH26" s="1882"/>
      <c r="LGI26" s="1882"/>
      <c r="LGJ26" s="1882"/>
      <c r="LGL26" s="1887"/>
      <c r="LGM26" s="1888"/>
      <c r="LGN26" s="1882"/>
      <c r="LGO26" s="1882"/>
      <c r="LGP26" s="1882"/>
      <c r="LGR26" s="1887"/>
      <c r="LGS26" s="1888"/>
      <c r="LGT26" s="1882"/>
      <c r="LGU26" s="1882"/>
      <c r="LGV26" s="1882"/>
      <c r="LGX26" s="1887"/>
      <c r="LGY26" s="1888"/>
      <c r="LGZ26" s="1882"/>
      <c r="LHA26" s="1882"/>
      <c r="LHB26" s="1882"/>
      <c r="LHD26" s="1887"/>
      <c r="LHE26" s="1888"/>
      <c r="LHF26" s="1882"/>
      <c r="LHG26" s="1882"/>
      <c r="LHH26" s="1882"/>
      <c r="LHJ26" s="1887"/>
      <c r="LHK26" s="1888"/>
      <c r="LHL26" s="1882"/>
      <c r="LHM26" s="1882"/>
      <c r="LHN26" s="1882"/>
      <c r="LHP26" s="1887"/>
      <c r="LHQ26" s="1888"/>
      <c r="LHR26" s="1882"/>
      <c r="LHS26" s="1882"/>
      <c r="LHT26" s="1882"/>
      <c r="LHV26" s="1887"/>
      <c r="LHW26" s="1888"/>
      <c r="LHX26" s="1882"/>
      <c r="LHY26" s="1882"/>
      <c r="LHZ26" s="1882"/>
      <c r="LIB26" s="1887"/>
      <c r="LIC26" s="1888"/>
      <c r="LID26" s="1882"/>
      <c r="LIE26" s="1882"/>
      <c r="LIF26" s="1882"/>
      <c r="LIH26" s="1887"/>
      <c r="LII26" s="1888"/>
      <c r="LIJ26" s="1882"/>
      <c r="LIK26" s="1882"/>
      <c r="LIL26" s="1882"/>
      <c r="LIN26" s="1887"/>
      <c r="LIO26" s="1888"/>
      <c r="LIP26" s="1882"/>
      <c r="LIQ26" s="1882"/>
      <c r="LIR26" s="1882"/>
      <c r="LIT26" s="1887"/>
      <c r="LIU26" s="1888"/>
      <c r="LIV26" s="1882"/>
      <c r="LIW26" s="1882"/>
      <c r="LIX26" s="1882"/>
      <c r="LIZ26" s="1887"/>
      <c r="LJA26" s="1888"/>
      <c r="LJB26" s="1882"/>
      <c r="LJC26" s="1882"/>
      <c r="LJD26" s="1882"/>
      <c r="LJF26" s="1887"/>
      <c r="LJG26" s="1888"/>
      <c r="LJH26" s="1882"/>
      <c r="LJI26" s="1882"/>
      <c r="LJJ26" s="1882"/>
      <c r="LJL26" s="1887"/>
      <c r="LJM26" s="1888"/>
      <c r="LJN26" s="1882"/>
      <c r="LJO26" s="1882"/>
      <c r="LJP26" s="1882"/>
      <c r="LJR26" s="1887"/>
      <c r="LJS26" s="1888"/>
      <c r="LJT26" s="1882"/>
      <c r="LJU26" s="1882"/>
      <c r="LJV26" s="1882"/>
      <c r="LJX26" s="1887"/>
      <c r="LJY26" s="1888"/>
      <c r="LJZ26" s="1882"/>
      <c r="LKA26" s="1882"/>
      <c r="LKB26" s="1882"/>
      <c r="LKD26" s="1887"/>
      <c r="LKE26" s="1888"/>
      <c r="LKF26" s="1882"/>
      <c r="LKG26" s="1882"/>
      <c r="LKH26" s="1882"/>
      <c r="LKJ26" s="1887"/>
      <c r="LKK26" s="1888"/>
      <c r="LKL26" s="1882"/>
      <c r="LKM26" s="1882"/>
      <c r="LKN26" s="1882"/>
      <c r="LKP26" s="1887"/>
      <c r="LKQ26" s="1888"/>
      <c r="LKR26" s="1882"/>
      <c r="LKS26" s="1882"/>
      <c r="LKT26" s="1882"/>
      <c r="LKV26" s="1887"/>
      <c r="LKW26" s="1888"/>
      <c r="LKX26" s="1882"/>
      <c r="LKY26" s="1882"/>
      <c r="LKZ26" s="1882"/>
      <c r="LLB26" s="1887"/>
      <c r="LLC26" s="1888"/>
      <c r="LLD26" s="1882"/>
      <c r="LLE26" s="1882"/>
      <c r="LLF26" s="1882"/>
      <c r="LLH26" s="1887"/>
      <c r="LLI26" s="1888"/>
      <c r="LLJ26" s="1882"/>
      <c r="LLK26" s="1882"/>
      <c r="LLL26" s="1882"/>
      <c r="LLN26" s="1887"/>
      <c r="LLO26" s="1888"/>
      <c r="LLP26" s="1882"/>
      <c r="LLQ26" s="1882"/>
      <c r="LLR26" s="1882"/>
      <c r="LLT26" s="1887"/>
      <c r="LLU26" s="1888"/>
      <c r="LLV26" s="1882"/>
      <c r="LLW26" s="1882"/>
      <c r="LLX26" s="1882"/>
      <c r="LLZ26" s="1887"/>
      <c r="LMA26" s="1888"/>
      <c r="LMB26" s="1882"/>
      <c r="LMC26" s="1882"/>
      <c r="LMD26" s="1882"/>
      <c r="LMF26" s="1887"/>
      <c r="LMG26" s="1888"/>
      <c r="LMH26" s="1882"/>
      <c r="LMI26" s="1882"/>
      <c r="LMJ26" s="1882"/>
      <c r="LML26" s="1887"/>
      <c r="LMM26" s="1888"/>
      <c r="LMN26" s="1882"/>
      <c r="LMO26" s="1882"/>
      <c r="LMP26" s="1882"/>
      <c r="LMR26" s="1887"/>
      <c r="LMS26" s="1888"/>
      <c r="LMT26" s="1882"/>
      <c r="LMU26" s="1882"/>
      <c r="LMV26" s="1882"/>
      <c r="LMX26" s="1887"/>
      <c r="LMY26" s="1888"/>
      <c r="LMZ26" s="1882"/>
      <c r="LNA26" s="1882"/>
      <c r="LNB26" s="1882"/>
      <c r="LND26" s="1887"/>
      <c r="LNE26" s="1888"/>
      <c r="LNF26" s="1882"/>
      <c r="LNG26" s="1882"/>
      <c r="LNH26" s="1882"/>
      <c r="LNJ26" s="1887"/>
      <c r="LNK26" s="1888"/>
      <c r="LNL26" s="1882"/>
      <c r="LNM26" s="1882"/>
      <c r="LNN26" s="1882"/>
      <c r="LNP26" s="1887"/>
      <c r="LNQ26" s="1888"/>
      <c r="LNR26" s="1882"/>
      <c r="LNS26" s="1882"/>
      <c r="LNT26" s="1882"/>
      <c r="LNV26" s="1887"/>
      <c r="LNW26" s="1888"/>
      <c r="LNX26" s="1882"/>
      <c r="LNY26" s="1882"/>
      <c r="LNZ26" s="1882"/>
      <c r="LOB26" s="1887"/>
      <c r="LOC26" s="1888"/>
      <c r="LOD26" s="1882"/>
      <c r="LOE26" s="1882"/>
      <c r="LOF26" s="1882"/>
      <c r="LOH26" s="1887"/>
      <c r="LOI26" s="1888"/>
      <c r="LOJ26" s="1882"/>
      <c r="LOK26" s="1882"/>
      <c r="LOL26" s="1882"/>
      <c r="LON26" s="1887"/>
      <c r="LOO26" s="1888"/>
      <c r="LOP26" s="1882"/>
      <c r="LOQ26" s="1882"/>
      <c r="LOR26" s="1882"/>
      <c r="LOT26" s="1887"/>
      <c r="LOU26" s="1888"/>
      <c r="LOV26" s="1882"/>
      <c r="LOW26" s="1882"/>
      <c r="LOX26" s="1882"/>
      <c r="LOZ26" s="1887"/>
      <c r="LPA26" s="1888"/>
      <c r="LPB26" s="1882"/>
      <c r="LPC26" s="1882"/>
      <c r="LPD26" s="1882"/>
      <c r="LPF26" s="1887"/>
      <c r="LPG26" s="1888"/>
      <c r="LPH26" s="1882"/>
      <c r="LPI26" s="1882"/>
      <c r="LPJ26" s="1882"/>
      <c r="LPL26" s="1887"/>
      <c r="LPM26" s="1888"/>
      <c r="LPN26" s="1882"/>
      <c r="LPO26" s="1882"/>
      <c r="LPP26" s="1882"/>
      <c r="LPR26" s="1887"/>
      <c r="LPS26" s="1888"/>
      <c r="LPT26" s="1882"/>
      <c r="LPU26" s="1882"/>
      <c r="LPV26" s="1882"/>
      <c r="LPX26" s="1887"/>
      <c r="LPY26" s="1888"/>
      <c r="LPZ26" s="1882"/>
      <c r="LQA26" s="1882"/>
      <c r="LQB26" s="1882"/>
      <c r="LQD26" s="1887"/>
      <c r="LQE26" s="1888"/>
      <c r="LQF26" s="1882"/>
      <c r="LQG26" s="1882"/>
      <c r="LQH26" s="1882"/>
      <c r="LQJ26" s="1887"/>
      <c r="LQK26" s="1888"/>
      <c r="LQL26" s="1882"/>
      <c r="LQM26" s="1882"/>
      <c r="LQN26" s="1882"/>
      <c r="LQP26" s="1887"/>
      <c r="LQQ26" s="1888"/>
      <c r="LQR26" s="1882"/>
      <c r="LQS26" s="1882"/>
      <c r="LQT26" s="1882"/>
      <c r="LQV26" s="1887"/>
      <c r="LQW26" s="1888"/>
      <c r="LQX26" s="1882"/>
      <c r="LQY26" s="1882"/>
      <c r="LQZ26" s="1882"/>
      <c r="LRB26" s="1887"/>
      <c r="LRC26" s="1888"/>
      <c r="LRD26" s="1882"/>
      <c r="LRE26" s="1882"/>
      <c r="LRF26" s="1882"/>
      <c r="LRH26" s="1887"/>
      <c r="LRI26" s="1888"/>
      <c r="LRJ26" s="1882"/>
      <c r="LRK26" s="1882"/>
      <c r="LRL26" s="1882"/>
      <c r="LRN26" s="1887"/>
      <c r="LRO26" s="1888"/>
      <c r="LRP26" s="1882"/>
      <c r="LRQ26" s="1882"/>
      <c r="LRR26" s="1882"/>
      <c r="LRT26" s="1887"/>
      <c r="LRU26" s="1888"/>
      <c r="LRV26" s="1882"/>
      <c r="LRW26" s="1882"/>
      <c r="LRX26" s="1882"/>
      <c r="LRZ26" s="1887"/>
      <c r="LSA26" s="1888"/>
      <c r="LSB26" s="1882"/>
      <c r="LSC26" s="1882"/>
      <c r="LSD26" s="1882"/>
      <c r="LSF26" s="1887"/>
      <c r="LSG26" s="1888"/>
      <c r="LSH26" s="1882"/>
      <c r="LSI26" s="1882"/>
      <c r="LSJ26" s="1882"/>
      <c r="LSL26" s="1887"/>
      <c r="LSM26" s="1888"/>
      <c r="LSN26" s="1882"/>
      <c r="LSO26" s="1882"/>
      <c r="LSP26" s="1882"/>
      <c r="LSR26" s="1887"/>
      <c r="LSS26" s="1888"/>
      <c r="LST26" s="1882"/>
      <c r="LSU26" s="1882"/>
      <c r="LSV26" s="1882"/>
      <c r="LSX26" s="1887"/>
      <c r="LSY26" s="1888"/>
      <c r="LSZ26" s="1882"/>
      <c r="LTA26" s="1882"/>
      <c r="LTB26" s="1882"/>
      <c r="LTD26" s="1887"/>
      <c r="LTE26" s="1888"/>
      <c r="LTF26" s="1882"/>
      <c r="LTG26" s="1882"/>
      <c r="LTH26" s="1882"/>
      <c r="LTJ26" s="1887"/>
      <c r="LTK26" s="1888"/>
      <c r="LTL26" s="1882"/>
      <c r="LTM26" s="1882"/>
      <c r="LTN26" s="1882"/>
      <c r="LTP26" s="1887"/>
      <c r="LTQ26" s="1888"/>
      <c r="LTR26" s="1882"/>
      <c r="LTS26" s="1882"/>
      <c r="LTT26" s="1882"/>
      <c r="LTV26" s="1887"/>
      <c r="LTW26" s="1888"/>
      <c r="LTX26" s="1882"/>
      <c r="LTY26" s="1882"/>
      <c r="LTZ26" s="1882"/>
      <c r="LUB26" s="1887"/>
      <c r="LUC26" s="1888"/>
      <c r="LUD26" s="1882"/>
      <c r="LUE26" s="1882"/>
      <c r="LUF26" s="1882"/>
      <c r="LUH26" s="1887"/>
      <c r="LUI26" s="1888"/>
      <c r="LUJ26" s="1882"/>
      <c r="LUK26" s="1882"/>
      <c r="LUL26" s="1882"/>
      <c r="LUN26" s="1887"/>
      <c r="LUO26" s="1888"/>
      <c r="LUP26" s="1882"/>
      <c r="LUQ26" s="1882"/>
      <c r="LUR26" s="1882"/>
      <c r="LUT26" s="1887"/>
      <c r="LUU26" s="1888"/>
      <c r="LUV26" s="1882"/>
      <c r="LUW26" s="1882"/>
      <c r="LUX26" s="1882"/>
      <c r="LUZ26" s="1887"/>
      <c r="LVA26" s="1888"/>
      <c r="LVB26" s="1882"/>
      <c r="LVC26" s="1882"/>
      <c r="LVD26" s="1882"/>
      <c r="LVF26" s="1887"/>
      <c r="LVG26" s="1888"/>
      <c r="LVH26" s="1882"/>
      <c r="LVI26" s="1882"/>
      <c r="LVJ26" s="1882"/>
      <c r="LVL26" s="1887"/>
      <c r="LVM26" s="1888"/>
      <c r="LVN26" s="1882"/>
      <c r="LVO26" s="1882"/>
      <c r="LVP26" s="1882"/>
      <c r="LVR26" s="1887"/>
      <c r="LVS26" s="1888"/>
      <c r="LVT26" s="1882"/>
      <c r="LVU26" s="1882"/>
      <c r="LVV26" s="1882"/>
      <c r="LVX26" s="1887"/>
      <c r="LVY26" s="1888"/>
      <c r="LVZ26" s="1882"/>
      <c r="LWA26" s="1882"/>
      <c r="LWB26" s="1882"/>
      <c r="LWD26" s="1887"/>
      <c r="LWE26" s="1888"/>
      <c r="LWF26" s="1882"/>
      <c r="LWG26" s="1882"/>
      <c r="LWH26" s="1882"/>
      <c r="LWJ26" s="1887"/>
      <c r="LWK26" s="1888"/>
      <c r="LWL26" s="1882"/>
      <c r="LWM26" s="1882"/>
      <c r="LWN26" s="1882"/>
      <c r="LWP26" s="1887"/>
      <c r="LWQ26" s="1888"/>
      <c r="LWR26" s="1882"/>
      <c r="LWS26" s="1882"/>
      <c r="LWT26" s="1882"/>
      <c r="LWV26" s="1887"/>
      <c r="LWW26" s="1888"/>
      <c r="LWX26" s="1882"/>
      <c r="LWY26" s="1882"/>
      <c r="LWZ26" s="1882"/>
      <c r="LXB26" s="1887"/>
      <c r="LXC26" s="1888"/>
      <c r="LXD26" s="1882"/>
      <c r="LXE26" s="1882"/>
      <c r="LXF26" s="1882"/>
      <c r="LXH26" s="1887"/>
      <c r="LXI26" s="1888"/>
      <c r="LXJ26" s="1882"/>
      <c r="LXK26" s="1882"/>
      <c r="LXL26" s="1882"/>
      <c r="LXN26" s="1887"/>
      <c r="LXO26" s="1888"/>
      <c r="LXP26" s="1882"/>
      <c r="LXQ26" s="1882"/>
      <c r="LXR26" s="1882"/>
      <c r="LXT26" s="1887"/>
      <c r="LXU26" s="1888"/>
      <c r="LXV26" s="1882"/>
      <c r="LXW26" s="1882"/>
      <c r="LXX26" s="1882"/>
      <c r="LXZ26" s="1887"/>
      <c r="LYA26" s="1888"/>
      <c r="LYB26" s="1882"/>
      <c r="LYC26" s="1882"/>
      <c r="LYD26" s="1882"/>
      <c r="LYF26" s="1887"/>
      <c r="LYG26" s="1888"/>
      <c r="LYH26" s="1882"/>
      <c r="LYI26" s="1882"/>
      <c r="LYJ26" s="1882"/>
      <c r="LYL26" s="1887"/>
      <c r="LYM26" s="1888"/>
      <c r="LYN26" s="1882"/>
      <c r="LYO26" s="1882"/>
      <c r="LYP26" s="1882"/>
      <c r="LYR26" s="1887"/>
      <c r="LYS26" s="1888"/>
      <c r="LYT26" s="1882"/>
      <c r="LYU26" s="1882"/>
      <c r="LYV26" s="1882"/>
      <c r="LYX26" s="1887"/>
      <c r="LYY26" s="1888"/>
      <c r="LYZ26" s="1882"/>
      <c r="LZA26" s="1882"/>
      <c r="LZB26" s="1882"/>
      <c r="LZD26" s="1887"/>
      <c r="LZE26" s="1888"/>
      <c r="LZF26" s="1882"/>
      <c r="LZG26" s="1882"/>
      <c r="LZH26" s="1882"/>
      <c r="LZJ26" s="1887"/>
      <c r="LZK26" s="1888"/>
      <c r="LZL26" s="1882"/>
      <c r="LZM26" s="1882"/>
      <c r="LZN26" s="1882"/>
      <c r="LZP26" s="1887"/>
      <c r="LZQ26" s="1888"/>
      <c r="LZR26" s="1882"/>
      <c r="LZS26" s="1882"/>
      <c r="LZT26" s="1882"/>
      <c r="LZV26" s="1887"/>
      <c r="LZW26" s="1888"/>
      <c r="LZX26" s="1882"/>
      <c r="LZY26" s="1882"/>
      <c r="LZZ26" s="1882"/>
      <c r="MAB26" s="1887"/>
      <c r="MAC26" s="1888"/>
      <c r="MAD26" s="1882"/>
      <c r="MAE26" s="1882"/>
      <c r="MAF26" s="1882"/>
      <c r="MAH26" s="1887"/>
      <c r="MAI26" s="1888"/>
      <c r="MAJ26" s="1882"/>
      <c r="MAK26" s="1882"/>
      <c r="MAL26" s="1882"/>
      <c r="MAN26" s="1887"/>
      <c r="MAO26" s="1888"/>
      <c r="MAP26" s="1882"/>
      <c r="MAQ26" s="1882"/>
      <c r="MAR26" s="1882"/>
      <c r="MAT26" s="1887"/>
      <c r="MAU26" s="1888"/>
      <c r="MAV26" s="1882"/>
      <c r="MAW26" s="1882"/>
      <c r="MAX26" s="1882"/>
      <c r="MAZ26" s="1887"/>
      <c r="MBA26" s="1888"/>
      <c r="MBB26" s="1882"/>
      <c r="MBC26" s="1882"/>
      <c r="MBD26" s="1882"/>
      <c r="MBF26" s="1887"/>
      <c r="MBG26" s="1888"/>
      <c r="MBH26" s="1882"/>
      <c r="MBI26" s="1882"/>
      <c r="MBJ26" s="1882"/>
      <c r="MBL26" s="1887"/>
      <c r="MBM26" s="1888"/>
      <c r="MBN26" s="1882"/>
      <c r="MBO26" s="1882"/>
      <c r="MBP26" s="1882"/>
      <c r="MBR26" s="1887"/>
      <c r="MBS26" s="1888"/>
      <c r="MBT26" s="1882"/>
      <c r="MBU26" s="1882"/>
      <c r="MBV26" s="1882"/>
      <c r="MBX26" s="1887"/>
      <c r="MBY26" s="1888"/>
      <c r="MBZ26" s="1882"/>
      <c r="MCA26" s="1882"/>
      <c r="MCB26" s="1882"/>
      <c r="MCD26" s="1887"/>
      <c r="MCE26" s="1888"/>
      <c r="MCF26" s="1882"/>
      <c r="MCG26" s="1882"/>
      <c r="MCH26" s="1882"/>
      <c r="MCJ26" s="1887"/>
      <c r="MCK26" s="1888"/>
      <c r="MCL26" s="1882"/>
      <c r="MCM26" s="1882"/>
      <c r="MCN26" s="1882"/>
      <c r="MCP26" s="1887"/>
      <c r="MCQ26" s="1888"/>
      <c r="MCR26" s="1882"/>
      <c r="MCS26" s="1882"/>
      <c r="MCT26" s="1882"/>
      <c r="MCV26" s="1887"/>
      <c r="MCW26" s="1888"/>
      <c r="MCX26" s="1882"/>
      <c r="MCY26" s="1882"/>
      <c r="MCZ26" s="1882"/>
      <c r="MDB26" s="1887"/>
      <c r="MDC26" s="1888"/>
      <c r="MDD26" s="1882"/>
      <c r="MDE26" s="1882"/>
      <c r="MDF26" s="1882"/>
      <c r="MDH26" s="1887"/>
      <c r="MDI26" s="1888"/>
      <c r="MDJ26" s="1882"/>
      <c r="MDK26" s="1882"/>
      <c r="MDL26" s="1882"/>
      <c r="MDN26" s="1887"/>
      <c r="MDO26" s="1888"/>
      <c r="MDP26" s="1882"/>
      <c r="MDQ26" s="1882"/>
      <c r="MDR26" s="1882"/>
      <c r="MDT26" s="1887"/>
      <c r="MDU26" s="1888"/>
      <c r="MDV26" s="1882"/>
      <c r="MDW26" s="1882"/>
      <c r="MDX26" s="1882"/>
      <c r="MDZ26" s="1887"/>
      <c r="MEA26" s="1888"/>
      <c r="MEB26" s="1882"/>
      <c r="MEC26" s="1882"/>
      <c r="MED26" s="1882"/>
      <c r="MEF26" s="1887"/>
      <c r="MEG26" s="1888"/>
      <c r="MEH26" s="1882"/>
      <c r="MEI26" s="1882"/>
      <c r="MEJ26" s="1882"/>
      <c r="MEL26" s="1887"/>
      <c r="MEM26" s="1888"/>
      <c r="MEN26" s="1882"/>
      <c r="MEO26" s="1882"/>
      <c r="MEP26" s="1882"/>
      <c r="MER26" s="1887"/>
      <c r="MES26" s="1888"/>
      <c r="MET26" s="1882"/>
      <c r="MEU26" s="1882"/>
      <c r="MEV26" s="1882"/>
      <c r="MEX26" s="1887"/>
      <c r="MEY26" s="1888"/>
      <c r="MEZ26" s="1882"/>
      <c r="MFA26" s="1882"/>
      <c r="MFB26" s="1882"/>
      <c r="MFD26" s="1887"/>
      <c r="MFE26" s="1888"/>
      <c r="MFF26" s="1882"/>
      <c r="MFG26" s="1882"/>
      <c r="MFH26" s="1882"/>
      <c r="MFJ26" s="1887"/>
      <c r="MFK26" s="1888"/>
      <c r="MFL26" s="1882"/>
      <c r="MFM26" s="1882"/>
      <c r="MFN26" s="1882"/>
      <c r="MFP26" s="1887"/>
      <c r="MFQ26" s="1888"/>
      <c r="MFR26" s="1882"/>
      <c r="MFS26" s="1882"/>
      <c r="MFT26" s="1882"/>
      <c r="MFV26" s="1887"/>
      <c r="MFW26" s="1888"/>
      <c r="MFX26" s="1882"/>
      <c r="MFY26" s="1882"/>
      <c r="MFZ26" s="1882"/>
      <c r="MGB26" s="1887"/>
      <c r="MGC26" s="1888"/>
      <c r="MGD26" s="1882"/>
      <c r="MGE26" s="1882"/>
      <c r="MGF26" s="1882"/>
      <c r="MGH26" s="1887"/>
      <c r="MGI26" s="1888"/>
      <c r="MGJ26" s="1882"/>
      <c r="MGK26" s="1882"/>
      <c r="MGL26" s="1882"/>
      <c r="MGN26" s="1887"/>
      <c r="MGO26" s="1888"/>
      <c r="MGP26" s="1882"/>
      <c r="MGQ26" s="1882"/>
      <c r="MGR26" s="1882"/>
      <c r="MGT26" s="1887"/>
      <c r="MGU26" s="1888"/>
      <c r="MGV26" s="1882"/>
      <c r="MGW26" s="1882"/>
      <c r="MGX26" s="1882"/>
      <c r="MGZ26" s="1887"/>
      <c r="MHA26" s="1888"/>
      <c r="MHB26" s="1882"/>
      <c r="MHC26" s="1882"/>
      <c r="MHD26" s="1882"/>
      <c r="MHF26" s="1887"/>
      <c r="MHG26" s="1888"/>
      <c r="MHH26" s="1882"/>
      <c r="MHI26" s="1882"/>
      <c r="MHJ26" s="1882"/>
      <c r="MHL26" s="1887"/>
      <c r="MHM26" s="1888"/>
      <c r="MHN26" s="1882"/>
      <c r="MHO26" s="1882"/>
      <c r="MHP26" s="1882"/>
      <c r="MHR26" s="1887"/>
      <c r="MHS26" s="1888"/>
      <c r="MHT26" s="1882"/>
      <c r="MHU26" s="1882"/>
      <c r="MHV26" s="1882"/>
      <c r="MHX26" s="1887"/>
      <c r="MHY26" s="1888"/>
      <c r="MHZ26" s="1882"/>
      <c r="MIA26" s="1882"/>
      <c r="MIB26" s="1882"/>
      <c r="MID26" s="1887"/>
      <c r="MIE26" s="1888"/>
      <c r="MIF26" s="1882"/>
      <c r="MIG26" s="1882"/>
      <c r="MIH26" s="1882"/>
      <c r="MIJ26" s="1887"/>
      <c r="MIK26" s="1888"/>
      <c r="MIL26" s="1882"/>
      <c r="MIM26" s="1882"/>
      <c r="MIN26" s="1882"/>
      <c r="MIP26" s="1887"/>
      <c r="MIQ26" s="1888"/>
      <c r="MIR26" s="1882"/>
      <c r="MIS26" s="1882"/>
      <c r="MIT26" s="1882"/>
      <c r="MIV26" s="1887"/>
      <c r="MIW26" s="1888"/>
      <c r="MIX26" s="1882"/>
      <c r="MIY26" s="1882"/>
      <c r="MIZ26" s="1882"/>
      <c r="MJB26" s="1887"/>
      <c r="MJC26" s="1888"/>
      <c r="MJD26" s="1882"/>
      <c r="MJE26" s="1882"/>
      <c r="MJF26" s="1882"/>
      <c r="MJH26" s="1887"/>
      <c r="MJI26" s="1888"/>
      <c r="MJJ26" s="1882"/>
      <c r="MJK26" s="1882"/>
      <c r="MJL26" s="1882"/>
      <c r="MJN26" s="1887"/>
      <c r="MJO26" s="1888"/>
      <c r="MJP26" s="1882"/>
      <c r="MJQ26" s="1882"/>
      <c r="MJR26" s="1882"/>
      <c r="MJT26" s="1887"/>
      <c r="MJU26" s="1888"/>
      <c r="MJV26" s="1882"/>
      <c r="MJW26" s="1882"/>
      <c r="MJX26" s="1882"/>
      <c r="MJZ26" s="1887"/>
      <c r="MKA26" s="1888"/>
      <c r="MKB26" s="1882"/>
      <c r="MKC26" s="1882"/>
      <c r="MKD26" s="1882"/>
      <c r="MKF26" s="1887"/>
      <c r="MKG26" s="1888"/>
      <c r="MKH26" s="1882"/>
      <c r="MKI26" s="1882"/>
      <c r="MKJ26" s="1882"/>
      <c r="MKL26" s="1887"/>
      <c r="MKM26" s="1888"/>
      <c r="MKN26" s="1882"/>
      <c r="MKO26" s="1882"/>
      <c r="MKP26" s="1882"/>
      <c r="MKR26" s="1887"/>
      <c r="MKS26" s="1888"/>
      <c r="MKT26" s="1882"/>
      <c r="MKU26" s="1882"/>
      <c r="MKV26" s="1882"/>
      <c r="MKX26" s="1887"/>
      <c r="MKY26" s="1888"/>
      <c r="MKZ26" s="1882"/>
      <c r="MLA26" s="1882"/>
      <c r="MLB26" s="1882"/>
      <c r="MLD26" s="1887"/>
      <c r="MLE26" s="1888"/>
      <c r="MLF26" s="1882"/>
      <c r="MLG26" s="1882"/>
      <c r="MLH26" s="1882"/>
      <c r="MLJ26" s="1887"/>
      <c r="MLK26" s="1888"/>
      <c r="MLL26" s="1882"/>
      <c r="MLM26" s="1882"/>
      <c r="MLN26" s="1882"/>
      <c r="MLP26" s="1887"/>
      <c r="MLQ26" s="1888"/>
      <c r="MLR26" s="1882"/>
      <c r="MLS26" s="1882"/>
      <c r="MLT26" s="1882"/>
      <c r="MLV26" s="1887"/>
      <c r="MLW26" s="1888"/>
      <c r="MLX26" s="1882"/>
      <c r="MLY26" s="1882"/>
      <c r="MLZ26" s="1882"/>
      <c r="MMB26" s="1887"/>
      <c r="MMC26" s="1888"/>
      <c r="MMD26" s="1882"/>
      <c r="MME26" s="1882"/>
      <c r="MMF26" s="1882"/>
      <c r="MMH26" s="1887"/>
      <c r="MMI26" s="1888"/>
      <c r="MMJ26" s="1882"/>
      <c r="MMK26" s="1882"/>
      <c r="MML26" s="1882"/>
      <c r="MMN26" s="1887"/>
      <c r="MMO26" s="1888"/>
      <c r="MMP26" s="1882"/>
      <c r="MMQ26" s="1882"/>
      <c r="MMR26" s="1882"/>
      <c r="MMT26" s="1887"/>
      <c r="MMU26" s="1888"/>
      <c r="MMV26" s="1882"/>
      <c r="MMW26" s="1882"/>
      <c r="MMX26" s="1882"/>
      <c r="MMZ26" s="1887"/>
      <c r="MNA26" s="1888"/>
      <c r="MNB26" s="1882"/>
      <c r="MNC26" s="1882"/>
      <c r="MND26" s="1882"/>
      <c r="MNF26" s="1887"/>
      <c r="MNG26" s="1888"/>
      <c r="MNH26" s="1882"/>
      <c r="MNI26" s="1882"/>
      <c r="MNJ26" s="1882"/>
      <c r="MNL26" s="1887"/>
      <c r="MNM26" s="1888"/>
      <c r="MNN26" s="1882"/>
      <c r="MNO26" s="1882"/>
      <c r="MNP26" s="1882"/>
      <c r="MNR26" s="1887"/>
      <c r="MNS26" s="1888"/>
      <c r="MNT26" s="1882"/>
      <c r="MNU26" s="1882"/>
      <c r="MNV26" s="1882"/>
      <c r="MNX26" s="1887"/>
      <c r="MNY26" s="1888"/>
      <c r="MNZ26" s="1882"/>
      <c r="MOA26" s="1882"/>
      <c r="MOB26" s="1882"/>
      <c r="MOD26" s="1887"/>
      <c r="MOE26" s="1888"/>
      <c r="MOF26" s="1882"/>
      <c r="MOG26" s="1882"/>
      <c r="MOH26" s="1882"/>
      <c r="MOJ26" s="1887"/>
      <c r="MOK26" s="1888"/>
      <c r="MOL26" s="1882"/>
      <c r="MOM26" s="1882"/>
      <c r="MON26" s="1882"/>
      <c r="MOP26" s="1887"/>
      <c r="MOQ26" s="1888"/>
      <c r="MOR26" s="1882"/>
      <c r="MOS26" s="1882"/>
      <c r="MOT26" s="1882"/>
      <c r="MOV26" s="1887"/>
      <c r="MOW26" s="1888"/>
      <c r="MOX26" s="1882"/>
      <c r="MOY26" s="1882"/>
      <c r="MOZ26" s="1882"/>
      <c r="MPB26" s="1887"/>
      <c r="MPC26" s="1888"/>
      <c r="MPD26" s="1882"/>
      <c r="MPE26" s="1882"/>
      <c r="MPF26" s="1882"/>
      <c r="MPH26" s="1887"/>
      <c r="MPI26" s="1888"/>
      <c r="MPJ26" s="1882"/>
      <c r="MPK26" s="1882"/>
      <c r="MPL26" s="1882"/>
      <c r="MPN26" s="1887"/>
      <c r="MPO26" s="1888"/>
      <c r="MPP26" s="1882"/>
      <c r="MPQ26" s="1882"/>
      <c r="MPR26" s="1882"/>
      <c r="MPT26" s="1887"/>
      <c r="MPU26" s="1888"/>
      <c r="MPV26" s="1882"/>
      <c r="MPW26" s="1882"/>
      <c r="MPX26" s="1882"/>
      <c r="MPZ26" s="1887"/>
      <c r="MQA26" s="1888"/>
      <c r="MQB26" s="1882"/>
      <c r="MQC26" s="1882"/>
      <c r="MQD26" s="1882"/>
      <c r="MQF26" s="1887"/>
      <c r="MQG26" s="1888"/>
      <c r="MQH26" s="1882"/>
      <c r="MQI26" s="1882"/>
      <c r="MQJ26" s="1882"/>
      <c r="MQL26" s="1887"/>
      <c r="MQM26" s="1888"/>
      <c r="MQN26" s="1882"/>
      <c r="MQO26" s="1882"/>
      <c r="MQP26" s="1882"/>
      <c r="MQR26" s="1887"/>
      <c r="MQS26" s="1888"/>
      <c r="MQT26" s="1882"/>
      <c r="MQU26" s="1882"/>
      <c r="MQV26" s="1882"/>
      <c r="MQX26" s="1887"/>
      <c r="MQY26" s="1888"/>
      <c r="MQZ26" s="1882"/>
      <c r="MRA26" s="1882"/>
      <c r="MRB26" s="1882"/>
      <c r="MRD26" s="1887"/>
      <c r="MRE26" s="1888"/>
      <c r="MRF26" s="1882"/>
      <c r="MRG26" s="1882"/>
      <c r="MRH26" s="1882"/>
      <c r="MRJ26" s="1887"/>
      <c r="MRK26" s="1888"/>
      <c r="MRL26" s="1882"/>
      <c r="MRM26" s="1882"/>
      <c r="MRN26" s="1882"/>
      <c r="MRP26" s="1887"/>
      <c r="MRQ26" s="1888"/>
      <c r="MRR26" s="1882"/>
      <c r="MRS26" s="1882"/>
      <c r="MRT26" s="1882"/>
      <c r="MRV26" s="1887"/>
      <c r="MRW26" s="1888"/>
      <c r="MRX26" s="1882"/>
      <c r="MRY26" s="1882"/>
      <c r="MRZ26" s="1882"/>
      <c r="MSB26" s="1887"/>
      <c r="MSC26" s="1888"/>
      <c r="MSD26" s="1882"/>
      <c r="MSE26" s="1882"/>
      <c r="MSF26" s="1882"/>
      <c r="MSH26" s="1887"/>
      <c r="MSI26" s="1888"/>
      <c r="MSJ26" s="1882"/>
      <c r="MSK26" s="1882"/>
      <c r="MSL26" s="1882"/>
      <c r="MSN26" s="1887"/>
      <c r="MSO26" s="1888"/>
      <c r="MSP26" s="1882"/>
      <c r="MSQ26" s="1882"/>
      <c r="MSR26" s="1882"/>
      <c r="MST26" s="1887"/>
      <c r="MSU26" s="1888"/>
      <c r="MSV26" s="1882"/>
      <c r="MSW26" s="1882"/>
      <c r="MSX26" s="1882"/>
      <c r="MSZ26" s="1887"/>
      <c r="MTA26" s="1888"/>
      <c r="MTB26" s="1882"/>
      <c r="MTC26" s="1882"/>
      <c r="MTD26" s="1882"/>
      <c r="MTF26" s="1887"/>
      <c r="MTG26" s="1888"/>
      <c r="MTH26" s="1882"/>
      <c r="MTI26" s="1882"/>
      <c r="MTJ26" s="1882"/>
      <c r="MTL26" s="1887"/>
      <c r="MTM26" s="1888"/>
      <c r="MTN26" s="1882"/>
      <c r="MTO26" s="1882"/>
      <c r="MTP26" s="1882"/>
      <c r="MTR26" s="1887"/>
      <c r="MTS26" s="1888"/>
      <c r="MTT26" s="1882"/>
      <c r="MTU26" s="1882"/>
      <c r="MTV26" s="1882"/>
      <c r="MTX26" s="1887"/>
      <c r="MTY26" s="1888"/>
      <c r="MTZ26" s="1882"/>
      <c r="MUA26" s="1882"/>
      <c r="MUB26" s="1882"/>
      <c r="MUD26" s="1887"/>
      <c r="MUE26" s="1888"/>
      <c r="MUF26" s="1882"/>
      <c r="MUG26" s="1882"/>
      <c r="MUH26" s="1882"/>
      <c r="MUJ26" s="1887"/>
      <c r="MUK26" s="1888"/>
      <c r="MUL26" s="1882"/>
      <c r="MUM26" s="1882"/>
      <c r="MUN26" s="1882"/>
      <c r="MUP26" s="1887"/>
      <c r="MUQ26" s="1888"/>
      <c r="MUR26" s="1882"/>
      <c r="MUS26" s="1882"/>
      <c r="MUT26" s="1882"/>
      <c r="MUV26" s="1887"/>
      <c r="MUW26" s="1888"/>
      <c r="MUX26" s="1882"/>
      <c r="MUY26" s="1882"/>
      <c r="MUZ26" s="1882"/>
      <c r="MVB26" s="1887"/>
      <c r="MVC26" s="1888"/>
      <c r="MVD26" s="1882"/>
      <c r="MVE26" s="1882"/>
      <c r="MVF26" s="1882"/>
      <c r="MVH26" s="1887"/>
      <c r="MVI26" s="1888"/>
      <c r="MVJ26" s="1882"/>
      <c r="MVK26" s="1882"/>
      <c r="MVL26" s="1882"/>
      <c r="MVN26" s="1887"/>
      <c r="MVO26" s="1888"/>
      <c r="MVP26" s="1882"/>
      <c r="MVQ26" s="1882"/>
      <c r="MVR26" s="1882"/>
      <c r="MVT26" s="1887"/>
      <c r="MVU26" s="1888"/>
      <c r="MVV26" s="1882"/>
      <c r="MVW26" s="1882"/>
      <c r="MVX26" s="1882"/>
      <c r="MVZ26" s="1887"/>
      <c r="MWA26" s="1888"/>
      <c r="MWB26" s="1882"/>
      <c r="MWC26" s="1882"/>
      <c r="MWD26" s="1882"/>
      <c r="MWF26" s="1887"/>
      <c r="MWG26" s="1888"/>
      <c r="MWH26" s="1882"/>
      <c r="MWI26" s="1882"/>
      <c r="MWJ26" s="1882"/>
      <c r="MWL26" s="1887"/>
      <c r="MWM26" s="1888"/>
      <c r="MWN26" s="1882"/>
      <c r="MWO26" s="1882"/>
      <c r="MWP26" s="1882"/>
      <c r="MWR26" s="1887"/>
      <c r="MWS26" s="1888"/>
      <c r="MWT26" s="1882"/>
      <c r="MWU26" s="1882"/>
      <c r="MWV26" s="1882"/>
      <c r="MWX26" s="1887"/>
      <c r="MWY26" s="1888"/>
      <c r="MWZ26" s="1882"/>
      <c r="MXA26" s="1882"/>
      <c r="MXB26" s="1882"/>
      <c r="MXD26" s="1887"/>
      <c r="MXE26" s="1888"/>
      <c r="MXF26" s="1882"/>
      <c r="MXG26" s="1882"/>
      <c r="MXH26" s="1882"/>
      <c r="MXJ26" s="1887"/>
      <c r="MXK26" s="1888"/>
      <c r="MXL26" s="1882"/>
      <c r="MXM26" s="1882"/>
      <c r="MXN26" s="1882"/>
      <c r="MXP26" s="1887"/>
      <c r="MXQ26" s="1888"/>
      <c r="MXR26" s="1882"/>
      <c r="MXS26" s="1882"/>
      <c r="MXT26" s="1882"/>
      <c r="MXV26" s="1887"/>
      <c r="MXW26" s="1888"/>
      <c r="MXX26" s="1882"/>
      <c r="MXY26" s="1882"/>
      <c r="MXZ26" s="1882"/>
      <c r="MYB26" s="1887"/>
      <c r="MYC26" s="1888"/>
      <c r="MYD26" s="1882"/>
      <c r="MYE26" s="1882"/>
      <c r="MYF26" s="1882"/>
      <c r="MYH26" s="1887"/>
      <c r="MYI26" s="1888"/>
      <c r="MYJ26" s="1882"/>
      <c r="MYK26" s="1882"/>
      <c r="MYL26" s="1882"/>
      <c r="MYN26" s="1887"/>
      <c r="MYO26" s="1888"/>
      <c r="MYP26" s="1882"/>
      <c r="MYQ26" s="1882"/>
      <c r="MYR26" s="1882"/>
      <c r="MYT26" s="1887"/>
      <c r="MYU26" s="1888"/>
      <c r="MYV26" s="1882"/>
      <c r="MYW26" s="1882"/>
      <c r="MYX26" s="1882"/>
      <c r="MYZ26" s="1887"/>
      <c r="MZA26" s="1888"/>
      <c r="MZB26" s="1882"/>
      <c r="MZC26" s="1882"/>
      <c r="MZD26" s="1882"/>
      <c r="MZF26" s="1887"/>
      <c r="MZG26" s="1888"/>
      <c r="MZH26" s="1882"/>
      <c r="MZI26" s="1882"/>
      <c r="MZJ26" s="1882"/>
      <c r="MZL26" s="1887"/>
      <c r="MZM26" s="1888"/>
      <c r="MZN26" s="1882"/>
      <c r="MZO26" s="1882"/>
      <c r="MZP26" s="1882"/>
      <c r="MZR26" s="1887"/>
      <c r="MZS26" s="1888"/>
      <c r="MZT26" s="1882"/>
      <c r="MZU26" s="1882"/>
      <c r="MZV26" s="1882"/>
      <c r="MZX26" s="1887"/>
      <c r="MZY26" s="1888"/>
      <c r="MZZ26" s="1882"/>
      <c r="NAA26" s="1882"/>
      <c r="NAB26" s="1882"/>
      <c r="NAD26" s="1887"/>
      <c r="NAE26" s="1888"/>
      <c r="NAF26" s="1882"/>
      <c r="NAG26" s="1882"/>
      <c r="NAH26" s="1882"/>
      <c r="NAJ26" s="1887"/>
      <c r="NAK26" s="1888"/>
      <c r="NAL26" s="1882"/>
      <c r="NAM26" s="1882"/>
      <c r="NAN26" s="1882"/>
      <c r="NAP26" s="1887"/>
      <c r="NAQ26" s="1888"/>
      <c r="NAR26" s="1882"/>
      <c r="NAS26" s="1882"/>
      <c r="NAT26" s="1882"/>
      <c r="NAV26" s="1887"/>
      <c r="NAW26" s="1888"/>
      <c r="NAX26" s="1882"/>
      <c r="NAY26" s="1882"/>
      <c r="NAZ26" s="1882"/>
      <c r="NBB26" s="1887"/>
      <c r="NBC26" s="1888"/>
      <c r="NBD26" s="1882"/>
      <c r="NBE26" s="1882"/>
      <c r="NBF26" s="1882"/>
      <c r="NBH26" s="1887"/>
      <c r="NBI26" s="1888"/>
      <c r="NBJ26" s="1882"/>
      <c r="NBK26" s="1882"/>
      <c r="NBL26" s="1882"/>
      <c r="NBN26" s="1887"/>
      <c r="NBO26" s="1888"/>
      <c r="NBP26" s="1882"/>
      <c r="NBQ26" s="1882"/>
      <c r="NBR26" s="1882"/>
      <c r="NBT26" s="1887"/>
      <c r="NBU26" s="1888"/>
      <c r="NBV26" s="1882"/>
      <c r="NBW26" s="1882"/>
      <c r="NBX26" s="1882"/>
      <c r="NBZ26" s="1887"/>
      <c r="NCA26" s="1888"/>
      <c r="NCB26" s="1882"/>
      <c r="NCC26" s="1882"/>
      <c r="NCD26" s="1882"/>
      <c r="NCF26" s="1887"/>
      <c r="NCG26" s="1888"/>
      <c r="NCH26" s="1882"/>
      <c r="NCI26" s="1882"/>
      <c r="NCJ26" s="1882"/>
      <c r="NCL26" s="1887"/>
      <c r="NCM26" s="1888"/>
      <c r="NCN26" s="1882"/>
      <c r="NCO26" s="1882"/>
      <c r="NCP26" s="1882"/>
      <c r="NCR26" s="1887"/>
      <c r="NCS26" s="1888"/>
      <c r="NCT26" s="1882"/>
      <c r="NCU26" s="1882"/>
      <c r="NCV26" s="1882"/>
      <c r="NCX26" s="1887"/>
      <c r="NCY26" s="1888"/>
      <c r="NCZ26" s="1882"/>
      <c r="NDA26" s="1882"/>
      <c r="NDB26" s="1882"/>
      <c r="NDD26" s="1887"/>
      <c r="NDE26" s="1888"/>
      <c r="NDF26" s="1882"/>
      <c r="NDG26" s="1882"/>
      <c r="NDH26" s="1882"/>
      <c r="NDJ26" s="1887"/>
      <c r="NDK26" s="1888"/>
      <c r="NDL26" s="1882"/>
      <c r="NDM26" s="1882"/>
      <c r="NDN26" s="1882"/>
      <c r="NDP26" s="1887"/>
      <c r="NDQ26" s="1888"/>
      <c r="NDR26" s="1882"/>
      <c r="NDS26" s="1882"/>
      <c r="NDT26" s="1882"/>
      <c r="NDV26" s="1887"/>
      <c r="NDW26" s="1888"/>
      <c r="NDX26" s="1882"/>
      <c r="NDY26" s="1882"/>
      <c r="NDZ26" s="1882"/>
      <c r="NEB26" s="1887"/>
      <c r="NEC26" s="1888"/>
      <c r="NED26" s="1882"/>
      <c r="NEE26" s="1882"/>
      <c r="NEF26" s="1882"/>
      <c r="NEH26" s="1887"/>
      <c r="NEI26" s="1888"/>
      <c r="NEJ26" s="1882"/>
      <c r="NEK26" s="1882"/>
      <c r="NEL26" s="1882"/>
      <c r="NEN26" s="1887"/>
      <c r="NEO26" s="1888"/>
      <c r="NEP26" s="1882"/>
      <c r="NEQ26" s="1882"/>
      <c r="NER26" s="1882"/>
      <c r="NET26" s="1887"/>
      <c r="NEU26" s="1888"/>
      <c r="NEV26" s="1882"/>
      <c r="NEW26" s="1882"/>
      <c r="NEX26" s="1882"/>
      <c r="NEZ26" s="1887"/>
      <c r="NFA26" s="1888"/>
      <c r="NFB26" s="1882"/>
      <c r="NFC26" s="1882"/>
      <c r="NFD26" s="1882"/>
      <c r="NFF26" s="1887"/>
      <c r="NFG26" s="1888"/>
      <c r="NFH26" s="1882"/>
      <c r="NFI26" s="1882"/>
      <c r="NFJ26" s="1882"/>
      <c r="NFL26" s="1887"/>
      <c r="NFM26" s="1888"/>
      <c r="NFN26" s="1882"/>
      <c r="NFO26" s="1882"/>
      <c r="NFP26" s="1882"/>
      <c r="NFR26" s="1887"/>
      <c r="NFS26" s="1888"/>
      <c r="NFT26" s="1882"/>
      <c r="NFU26" s="1882"/>
      <c r="NFV26" s="1882"/>
      <c r="NFX26" s="1887"/>
      <c r="NFY26" s="1888"/>
      <c r="NFZ26" s="1882"/>
      <c r="NGA26" s="1882"/>
      <c r="NGB26" s="1882"/>
      <c r="NGD26" s="1887"/>
      <c r="NGE26" s="1888"/>
      <c r="NGF26" s="1882"/>
      <c r="NGG26" s="1882"/>
      <c r="NGH26" s="1882"/>
      <c r="NGJ26" s="1887"/>
      <c r="NGK26" s="1888"/>
      <c r="NGL26" s="1882"/>
      <c r="NGM26" s="1882"/>
      <c r="NGN26" s="1882"/>
      <c r="NGP26" s="1887"/>
      <c r="NGQ26" s="1888"/>
      <c r="NGR26" s="1882"/>
      <c r="NGS26" s="1882"/>
      <c r="NGT26" s="1882"/>
      <c r="NGV26" s="1887"/>
      <c r="NGW26" s="1888"/>
      <c r="NGX26" s="1882"/>
      <c r="NGY26" s="1882"/>
      <c r="NGZ26" s="1882"/>
      <c r="NHB26" s="1887"/>
      <c r="NHC26" s="1888"/>
      <c r="NHD26" s="1882"/>
      <c r="NHE26" s="1882"/>
      <c r="NHF26" s="1882"/>
      <c r="NHH26" s="1887"/>
      <c r="NHI26" s="1888"/>
      <c r="NHJ26" s="1882"/>
      <c r="NHK26" s="1882"/>
      <c r="NHL26" s="1882"/>
      <c r="NHN26" s="1887"/>
      <c r="NHO26" s="1888"/>
      <c r="NHP26" s="1882"/>
      <c r="NHQ26" s="1882"/>
      <c r="NHR26" s="1882"/>
      <c r="NHT26" s="1887"/>
      <c r="NHU26" s="1888"/>
      <c r="NHV26" s="1882"/>
      <c r="NHW26" s="1882"/>
      <c r="NHX26" s="1882"/>
      <c r="NHZ26" s="1887"/>
      <c r="NIA26" s="1888"/>
      <c r="NIB26" s="1882"/>
      <c r="NIC26" s="1882"/>
      <c r="NID26" s="1882"/>
      <c r="NIF26" s="1887"/>
      <c r="NIG26" s="1888"/>
      <c r="NIH26" s="1882"/>
      <c r="NII26" s="1882"/>
      <c r="NIJ26" s="1882"/>
      <c r="NIL26" s="1887"/>
      <c r="NIM26" s="1888"/>
      <c r="NIN26" s="1882"/>
      <c r="NIO26" s="1882"/>
      <c r="NIP26" s="1882"/>
      <c r="NIR26" s="1887"/>
      <c r="NIS26" s="1888"/>
      <c r="NIT26" s="1882"/>
      <c r="NIU26" s="1882"/>
      <c r="NIV26" s="1882"/>
      <c r="NIX26" s="1887"/>
      <c r="NIY26" s="1888"/>
      <c r="NIZ26" s="1882"/>
      <c r="NJA26" s="1882"/>
      <c r="NJB26" s="1882"/>
      <c r="NJD26" s="1887"/>
      <c r="NJE26" s="1888"/>
      <c r="NJF26" s="1882"/>
      <c r="NJG26" s="1882"/>
      <c r="NJH26" s="1882"/>
      <c r="NJJ26" s="1887"/>
      <c r="NJK26" s="1888"/>
      <c r="NJL26" s="1882"/>
      <c r="NJM26" s="1882"/>
      <c r="NJN26" s="1882"/>
      <c r="NJP26" s="1887"/>
      <c r="NJQ26" s="1888"/>
      <c r="NJR26" s="1882"/>
      <c r="NJS26" s="1882"/>
      <c r="NJT26" s="1882"/>
      <c r="NJV26" s="1887"/>
      <c r="NJW26" s="1888"/>
      <c r="NJX26" s="1882"/>
      <c r="NJY26" s="1882"/>
      <c r="NJZ26" s="1882"/>
      <c r="NKB26" s="1887"/>
      <c r="NKC26" s="1888"/>
      <c r="NKD26" s="1882"/>
      <c r="NKE26" s="1882"/>
      <c r="NKF26" s="1882"/>
      <c r="NKH26" s="1887"/>
      <c r="NKI26" s="1888"/>
      <c r="NKJ26" s="1882"/>
      <c r="NKK26" s="1882"/>
      <c r="NKL26" s="1882"/>
      <c r="NKN26" s="1887"/>
      <c r="NKO26" s="1888"/>
      <c r="NKP26" s="1882"/>
      <c r="NKQ26" s="1882"/>
      <c r="NKR26" s="1882"/>
      <c r="NKT26" s="1887"/>
      <c r="NKU26" s="1888"/>
      <c r="NKV26" s="1882"/>
      <c r="NKW26" s="1882"/>
      <c r="NKX26" s="1882"/>
      <c r="NKZ26" s="1887"/>
      <c r="NLA26" s="1888"/>
      <c r="NLB26" s="1882"/>
      <c r="NLC26" s="1882"/>
      <c r="NLD26" s="1882"/>
      <c r="NLF26" s="1887"/>
      <c r="NLG26" s="1888"/>
      <c r="NLH26" s="1882"/>
      <c r="NLI26" s="1882"/>
      <c r="NLJ26" s="1882"/>
      <c r="NLL26" s="1887"/>
      <c r="NLM26" s="1888"/>
      <c r="NLN26" s="1882"/>
      <c r="NLO26" s="1882"/>
      <c r="NLP26" s="1882"/>
      <c r="NLR26" s="1887"/>
      <c r="NLS26" s="1888"/>
      <c r="NLT26" s="1882"/>
      <c r="NLU26" s="1882"/>
      <c r="NLV26" s="1882"/>
      <c r="NLX26" s="1887"/>
      <c r="NLY26" s="1888"/>
      <c r="NLZ26" s="1882"/>
      <c r="NMA26" s="1882"/>
      <c r="NMB26" s="1882"/>
      <c r="NMD26" s="1887"/>
      <c r="NME26" s="1888"/>
      <c r="NMF26" s="1882"/>
      <c r="NMG26" s="1882"/>
      <c r="NMH26" s="1882"/>
      <c r="NMJ26" s="1887"/>
      <c r="NMK26" s="1888"/>
      <c r="NML26" s="1882"/>
      <c r="NMM26" s="1882"/>
      <c r="NMN26" s="1882"/>
      <c r="NMP26" s="1887"/>
      <c r="NMQ26" s="1888"/>
      <c r="NMR26" s="1882"/>
      <c r="NMS26" s="1882"/>
      <c r="NMT26" s="1882"/>
      <c r="NMV26" s="1887"/>
      <c r="NMW26" s="1888"/>
      <c r="NMX26" s="1882"/>
      <c r="NMY26" s="1882"/>
      <c r="NMZ26" s="1882"/>
      <c r="NNB26" s="1887"/>
      <c r="NNC26" s="1888"/>
      <c r="NND26" s="1882"/>
      <c r="NNE26" s="1882"/>
      <c r="NNF26" s="1882"/>
      <c r="NNH26" s="1887"/>
      <c r="NNI26" s="1888"/>
      <c r="NNJ26" s="1882"/>
      <c r="NNK26" s="1882"/>
      <c r="NNL26" s="1882"/>
      <c r="NNN26" s="1887"/>
      <c r="NNO26" s="1888"/>
      <c r="NNP26" s="1882"/>
      <c r="NNQ26" s="1882"/>
      <c r="NNR26" s="1882"/>
      <c r="NNT26" s="1887"/>
      <c r="NNU26" s="1888"/>
      <c r="NNV26" s="1882"/>
      <c r="NNW26" s="1882"/>
      <c r="NNX26" s="1882"/>
      <c r="NNZ26" s="1887"/>
      <c r="NOA26" s="1888"/>
      <c r="NOB26" s="1882"/>
      <c r="NOC26" s="1882"/>
      <c r="NOD26" s="1882"/>
      <c r="NOF26" s="1887"/>
      <c r="NOG26" s="1888"/>
      <c r="NOH26" s="1882"/>
      <c r="NOI26" s="1882"/>
      <c r="NOJ26" s="1882"/>
      <c r="NOL26" s="1887"/>
      <c r="NOM26" s="1888"/>
      <c r="NON26" s="1882"/>
      <c r="NOO26" s="1882"/>
      <c r="NOP26" s="1882"/>
      <c r="NOR26" s="1887"/>
      <c r="NOS26" s="1888"/>
      <c r="NOT26" s="1882"/>
      <c r="NOU26" s="1882"/>
      <c r="NOV26" s="1882"/>
      <c r="NOX26" s="1887"/>
      <c r="NOY26" s="1888"/>
      <c r="NOZ26" s="1882"/>
      <c r="NPA26" s="1882"/>
      <c r="NPB26" s="1882"/>
      <c r="NPD26" s="1887"/>
      <c r="NPE26" s="1888"/>
      <c r="NPF26" s="1882"/>
      <c r="NPG26" s="1882"/>
      <c r="NPH26" s="1882"/>
      <c r="NPJ26" s="1887"/>
      <c r="NPK26" s="1888"/>
      <c r="NPL26" s="1882"/>
      <c r="NPM26" s="1882"/>
      <c r="NPN26" s="1882"/>
      <c r="NPP26" s="1887"/>
      <c r="NPQ26" s="1888"/>
      <c r="NPR26" s="1882"/>
      <c r="NPS26" s="1882"/>
      <c r="NPT26" s="1882"/>
      <c r="NPV26" s="1887"/>
      <c r="NPW26" s="1888"/>
      <c r="NPX26" s="1882"/>
      <c r="NPY26" s="1882"/>
      <c r="NPZ26" s="1882"/>
      <c r="NQB26" s="1887"/>
      <c r="NQC26" s="1888"/>
      <c r="NQD26" s="1882"/>
      <c r="NQE26" s="1882"/>
      <c r="NQF26" s="1882"/>
      <c r="NQH26" s="1887"/>
      <c r="NQI26" s="1888"/>
      <c r="NQJ26" s="1882"/>
      <c r="NQK26" s="1882"/>
      <c r="NQL26" s="1882"/>
      <c r="NQN26" s="1887"/>
      <c r="NQO26" s="1888"/>
      <c r="NQP26" s="1882"/>
      <c r="NQQ26" s="1882"/>
      <c r="NQR26" s="1882"/>
      <c r="NQT26" s="1887"/>
      <c r="NQU26" s="1888"/>
      <c r="NQV26" s="1882"/>
      <c r="NQW26" s="1882"/>
      <c r="NQX26" s="1882"/>
      <c r="NQZ26" s="1887"/>
      <c r="NRA26" s="1888"/>
      <c r="NRB26" s="1882"/>
      <c r="NRC26" s="1882"/>
      <c r="NRD26" s="1882"/>
      <c r="NRF26" s="1887"/>
      <c r="NRG26" s="1888"/>
      <c r="NRH26" s="1882"/>
      <c r="NRI26" s="1882"/>
      <c r="NRJ26" s="1882"/>
      <c r="NRL26" s="1887"/>
      <c r="NRM26" s="1888"/>
      <c r="NRN26" s="1882"/>
      <c r="NRO26" s="1882"/>
      <c r="NRP26" s="1882"/>
      <c r="NRR26" s="1887"/>
      <c r="NRS26" s="1888"/>
      <c r="NRT26" s="1882"/>
      <c r="NRU26" s="1882"/>
      <c r="NRV26" s="1882"/>
      <c r="NRX26" s="1887"/>
      <c r="NRY26" s="1888"/>
      <c r="NRZ26" s="1882"/>
      <c r="NSA26" s="1882"/>
      <c r="NSB26" s="1882"/>
      <c r="NSD26" s="1887"/>
      <c r="NSE26" s="1888"/>
      <c r="NSF26" s="1882"/>
      <c r="NSG26" s="1882"/>
      <c r="NSH26" s="1882"/>
      <c r="NSJ26" s="1887"/>
      <c r="NSK26" s="1888"/>
      <c r="NSL26" s="1882"/>
      <c r="NSM26" s="1882"/>
      <c r="NSN26" s="1882"/>
      <c r="NSP26" s="1887"/>
      <c r="NSQ26" s="1888"/>
      <c r="NSR26" s="1882"/>
      <c r="NSS26" s="1882"/>
      <c r="NST26" s="1882"/>
      <c r="NSV26" s="1887"/>
      <c r="NSW26" s="1888"/>
      <c r="NSX26" s="1882"/>
      <c r="NSY26" s="1882"/>
      <c r="NSZ26" s="1882"/>
      <c r="NTB26" s="1887"/>
      <c r="NTC26" s="1888"/>
      <c r="NTD26" s="1882"/>
      <c r="NTE26" s="1882"/>
      <c r="NTF26" s="1882"/>
      <c r="NTH26" s="1887"/>
      <c r="NTI26" s="1888"/>
      <c r="NTJ26" s="1882"/>
      <c r="NTK26" s="1882"/>
      <c r="NTL26" s="1882"/>
      <c r="NTN26" s="1887"/>
      <c r="NTO26" s="1888"/>
      <c r="NTP26" s="1882"/>
      <c r="NTQ26" s="1882"/>
      <c r="NTR26" s="1882"/>
      <c r="NTT26" s="1887"/>
      <c r="NTU26" s="1888"/>
      <c r="NTV26" s="1882"/>
      <c r="NTW26" s="1882"/>
      <c r="NTX26" s="1882"/>
      <c r="NTZ26" s="1887"/>
      <c r="NUA26" s="1888"/>
      <c r="NUB26" s="1882"/>
      <c r="NUC26" s="1882"/>
      <c r="NUD26" s="1882"/>
      <c r="NUF26" s="1887"/>
      <c r="NUG26" s="1888"/>
      <c r="NUH26" s="1882"/>
      <c r="NUI26" s="1882"/>
      <c r="NUJ26" s="1882"/>
      <c r="NUL26" s="1887"/>
      <c r="NUM26" s="1888"/>
      <c r="NUN26" s="1882"/>
      <c r="NUO26" s="1882"/>
      <c r="NUP26" s="1882"/>
      <c r="NUR26" s="1887"/>
      <c r="NUS26" s="1888"/>
      <c r="NUT26" s="1882"/>
      <c r="NUU26" s="1882"/>
      <c r="NUV26" s="1882"/>
      <c r="NUX26" s="1887"/>
      <c r="NUY26" s="1888"/>
      <c r="NUZ26" s="1882"/>
      <c r="NVA26" s="1882"/>
      <c r="NVB26" s="1882"/>
      <c r="NVD26" s="1887"/>
      <c r="NVE26" s="1888"/>
      <c r="NVF26" s="1882"/>
      <c r="NVG26" s="1882"/>
      <c r="NVH26" s="1882"/>
      <c r="NVJ26" s="1887"/>
      <c r="NVK26" s="1888"/>
      <c r="NVL26" s="1882"/>
      <c r="NVM26" s="1882"/>
      <c r="NVN26" s="1882"/>
      <c r="NVP26" s="1887"/>
      <c r="NVQ26" s="1888"/>
      <c r="NVR26" s="1882"/>
      <c r="NVS26" s="1882"/>
      <c r="NVT26" s="1882"/>
      <c r="NVV26" s="1887"/>
      <c r="NVW26" s="1888"/>
      <c r="NVX26" s="1882"/>
      <c r="NVY26" s="1882"/>
      <c r="NVZ26" s="1882"/>
      <c r="NWB26" s="1887"/>
      <c r="NWC26" s="1888"/>
      <c r="NWD26" s="1882"/>
      <c r="NWE26" s="1882"/>
      <c r="NWF26" s="1882"/>
      <c r="NWH26" s="1887"/>
      <c r="NWI26" s="1888"/>
      <c r="NWJ26" s="1882"/>
      <c r="NWK26" s="1882"/>
      <c r="NWL26" s="1882"/>
      <c r="NWN26" s="1887"/>
      <c r="NWO26" s="1888"/>
      <c r="NWP26" s="1882"/>
      <c r="NWQ26" s="1882"/>
      <c r="NWR26" s="1882"/>
      <c r="NWT26" s="1887"/>
      <c r="NWU26" s="1888"/>
      <c r="NWV26" s="1882"/>
      <c r="NWW26" s="1882"/>
      <c r="NWX26" s="1882"/>
      <c r="NWZ26" s="1887"/>
      <c r="NXA26" s="1888"/>
      <c r="NXB26" s="1882"/>
      <c r="NXC26" s="1882"/>
      <c r="NXD26" s="1882"/>
      <c r="NXF26" s="1887"/>
      <c r="NXG26" s="1888"/>
      <c r="NXH26" s="1882"/>
      <c r="NXI26" s="1882"/>
      <c r="NXJ26" s="1882"/>
      <c r="NXL26" s="1887"/>
      <c r="NXM26" s="1888"/>
      <c r="NXN26" s="1882"/>
      <c r="NXO26" s="1882"/>
      <c r="NXP26" s="1882"/>
      <c r="NXR26" s="1887"/>
      <c r="NXS26" s="1888"/>
      <c r="NXT26" s="1882"/>
      <c r="NXU26" s="1882"/>
      <c r="NXV26" s="1882"/>
      <c r="NXX26" s="1887"/>
      <c r="NXY26" s="1888"/>
      <c r="NXZ26" s="1882"/>
      <c r="NYA26" s="1882"/>
      <c r="NYB26" s="1882"/>
      <c r="NYD26" s="1887"/>
      <c r="NYE26" s="1888"/>
      <c r="NYF26" s="1882"/>
      <c r="NYG26" s="1882"/>
      <c r="NYH26" s="1882"/>
      <c r="NYJ26" s="1887"/>
      <c r="NYK26" s="1888"/>
      <c r="NYL26" s="1882"/>
      <c r="NYM26" s="1882"/>
      <c r="NYN26" s="1882"/>
      <c r="NYP26" s="1887"/>
      <c r="NYQ26" s="1888"/>
      <c r="NYR26" s="1882"/>
      <c r="NYS26" s="1882"/>
      <c r="NYT26" s="1882"/>
      <c r="NYV26" s="1887"/>
      <c r="NYW26" s="1888"/>
      <c r="NYX26" s="1882"/>
      <c r="NYY26" s="1882"/>
      <c r="NYZ26" s="1882"/>
      <c r="NZB26" s="1887"/>
      <c r="NZC26" s="1888"/>
      <c r="NZD26" s="1882"/>
      <c r="NZE26" s="1882"/>
      <c r="NZF26" s="1882"/>
      <c r="NZH26" s="1887"/>
      <c r="NZI26" s="1888"/>
      <c r="NZJ26" s="1882"/>
      <c r="NZK26" s="1882"/>
      <c r="NZL26" s="1882"/>
      <c r="NZN26" s="1887"/>
      <c r="NZO26" s="1888"/>
      <c r="NZP26" s="1882"/>
      <c r="NZQ26" s="1882"/>
      <c r="NZR26" s="1882"/>
      <c r="NZT26" s="1887"/>
      <c r="NZU26" s="1888"/>
      <c r="NZV26" s="1882"/>
      <c r="NZW26" s="1882"/>
      <c r="NZX26" s="1882"/>
      <c r="NZZ26" s="1887"/>
      <c r="OAA26" s="1888"/>
      <c r="OAB26" s="1882"/>
      <c r="OAC26" s="1882"/>
      <c r="OAD26" s="1882"/>
      <c r="OAF26" s="1887"/>
      <c r="OAG26" s="1888"/>
      <c r="OAH26" s="1882"/>
      <c r="OAI26" s="1882"/>
      <c r="OAJ26" s="1882"/>
      <c r="OAL26" s="1887"/>
      <c r="OAM26" s="1888"/>
      <c r="OAN26" s="1882"/>
      <c r="OAO26" s="1882"/>
      <c r="OAP26" s="1882"/>
      <c r="OAR26" s="1887"/>
      <c r="OAS26" s="1888"/>
      <c r="OAT26" s="1882"/>
      <c r="OAU26" s="1882"/>
      <c r="OAV26" s="1882"/>
      <c r="OAX26" s="1887"/>
      <c r="OAY26" s="1888"/>
      <c r="OAZ26" s="1882"/>
      <c r="OBA26" s="1882"/>
      <c r="OBB26" s="1882"/>
      <c r="OBD26" s="1887"/>
      <c r="OBE26" s="1888"/>
      <c r="OBF26" s="1882"/>
      <c r="OBG26" s="1882"/>
      <c r="OBH26" s="1882"/>
      <c r="OBJ26" s="1887"/>
      <c r="OBK26" s="1888"/>
      <c r="OBL26" s="1882"/>
      <c r="OBM26" s="1882"/>
      <c r="OBN26" s="1882"/>
      <c r="OBP26" s="1887"/>
      <c r="OBQ26" s="1888"/>
      <c r="OBR26" s="1882"/>
      <c r="OBS26" s="1882"/>
      <c r="OBT26" s="1882"/>
      <c r="OBV26" s="1887"/>
      <c r="OBW26" s="1888"/>
      <c r="OBX26" s="1882"/>
      <c r="OBY26" s="1882"/>
      <c r="OBZ26" s="1882"/>
      <c r="OCB26" s="1887"/>
      <c r="OCC26" s="1888"/>
      <c r="OCD26" s="1882"/>
      <c r="OCE26" s="1882"/>
      <c r="OCF26" s="1882"/>
      <c r="OCH26" s="1887"/>
      <c r="OCI26" s="1888"/>
      <c r="OCJ26" s="1882"/>
      <c r="OCK26" s="1882"/>
      <c r="OCL26" s="1882"/>
      <c r="OCN26" s="1887"/>
      <c r="OCO26" s="1888"/>
      <c r="OCP26" s="1882"/>
      <c r="OCQ26" s="1882"/>
      <c r="OCR26" s="1882"/>
      <c r="OCT26" s="1887"/>
      <c r="OCU26" s="1888"/>
      <c r="OCV26" s="1882"/>
      <c r="OCW26" s="1882"/>
      <c r="OCX26" s="1882"/>
      <c r="OCZ26" s="1887"/>
      <c r="ODA26" s="1888"/>
      <c r="ODB26" s="1882"/>
      <c r="ODC26" s="1882"/>
      <c r="ODD26" s="1882"/>
      <c r="ODF26" s="1887"/>
      <c r="ODG26" s="1888"/>
      <c r="ODH26" s="1882"/>
      <c r="ODI26" s="1882"/>
      <c r="ODJ26" s="1882"/>
      <c r="ODL26" s="1887"/>
      <c r="ODM26" s="1888"/>
      <c r="ODN26" s="1882"/>
      <c r="ODO26" s="1882"/>
      <c r="ODP26" s="1882"/>
      <c r="ODR26" s="1887"/>
      <c r="ODS26" s="1888"/>
      <c r="ODT26" s="1882"/>
      <c r="ODU26" s="1882"/>
      <c r="ODV26" s="1882"/>
      <c r="ODX26" s="1887"/>
      <c r="ODY26" s="1888"/>
      <c r="ODZ26" s="1882"/>
      <c r="OEA26" s="1882"/>
      <c r="OEB26" s="1882"/>
      <c r="OED26" s="1887"/>
      <c r="OEE26" s="1888"/>
      <c r="OEF26" s="1882"/>
      <c r="OEG26" s="1882"/>
      <c r="OEH26" s="1882"/>
      <c r="OEJ26" s="1887"/>
      <c r="OEK26" s="1888"/>
      <c r="OEL26" s="1882"/>
      <c r="OEM26" s="1882"/>
      <c r="OEN26" s="1882"/>
      <c r="OEP26" s="1887"/>
      <c r="OEQ26" s="1888"/>
      <c r="OER26" s="1882"/>
      <c r="OES26" s="1882"/>
      <c r="OET26" s="1882"/>
      <c r="OEV26" s="1887"/>
      <c r="OEW26" s="1888"/>
      <c r="OEX26" s="1882"/>
      <c r="OEY26" s="1882"/>
      <c r="OEZ26" s="1882"/>
      <c r="OFB26" s="1887"/>
      <c r="OFC26" s="1888"/>
      <c r="OFD26" s="1882"/>
      <c r="OFE26" s="1882"/>
      <c r="OFF26" s="1882"/>
      <c r="OFH26" s="1887"/>
      <c r="OFI26" s="1888"/>
      <c r="OFJ26" s="1882"/>
      <c r="OFK26" s="1882"/>
      <c r="OFL26" s="1882"/>
      <c r="OFN26" s="1887"/>
      <c r="OFO26" s="1888"/>
      <c r="OFP26" s="1882"/>
      <c r="OFQ26" s="1882"/>
      <c r="OFR26" s="1882"/>
      <c r="OFT26" s="1887"/>
      <c r="OFU26" s="1888"/>
      <c r="OFV26" s="1882"/>
      <c r="OFW26" s="1882"/>
      <c r="OFX26" s="1882"/>
      <c r="OFZ26" s="1887"/>
      <c r="OGA26" s="1888"/>
      <c r="OGB26" s="1882"/>
      <c r="OGC26" s="1882"/>
      <c r="OGD26" s="1882"/>
      <c r="OGF26" s="1887"/>
      <c r="OGG26" s="1888"/>
      <c r="OGH26" s="1882"/>
      <c r="OGI26" s="1882"/>
      <c r="OGJ26" s="1882"/>
      <c r="OGL26" s="1887"/>
      <c r="OGM26" s="1888"/>
      <c r="OGN26" s="1882"/>
      <c r="OGO26" s="1882"/>
      <c r="OGP26" s="1882"/>
      <c r="OGR26" s="1887"/>
      <c r="OGS26" s="1888"/>
      <c r="OGT26" s="1882"/>
      <c r="OGU26" s="1882"/>
      <c r="OGV26" s="1882"/>
      <c r="OGX26" s="1887"/>
      <c r="OGY26" s="1888"/>
      <c r="OGZ26" s="1882"/>
      <c r="OHA26" s="1882"/>
      <c r="OHB26" s="1882"/>
      <c r="OHD26" s="1887"/>
      <c r="OHE26" s="1888"/>
      <c r="OHF26" s="1882"/>
      <c r="OHG26" s="1882"/>
      <c r="OHH26" s="1882"/>
      <c r="OHJ26" s="1887"/>
      <c r="OHK26" s="1888"/>
      <c r="OHL26" s="1882"/>
      <c r="OHM26" s="1882"/>
      <c r="OHN26" s="1882"/>
      <c r="OHP26" s="1887"/>
      <c r="OHQ26" s="1888"/>
      <c r="OHR26" s="1882"/>
      <c r="OHS26" s="1882"/>
      <c r="OHT26" s="1882"/>
      <c r="OHV26" s="1887"/>
      <c r="OHW26" s="1888"/>
      <c r="OHX26" s="1882"/>
      <c r="OHY26" s="1882"/>
      <c r="OHZ26" s="1882"/>
      <c r="OIB26" s="1887"/>
      <c r="OIC26" s="1888"/>
      <c r="OID26" s="1882"/>
      <c r="OIE26" s="1882"/>
      <c r="OIF26" s="1882"/>
      <c r="OIH26" s="1887"/>
      <c r="OII26" s="1888"/>
      <c r="OIJ26" s="1882"/>
      <c r="OIK26" s="1882"/>
      <c r="OIL26" s="1882"/>
      <c r="OIN26" s="1887"/>
      <c r="OIO26" s="1888"/>
      <c r="OIP26" s="1882"/>
      <c r="OIQ26" s="1882"/>
      <c r="OIR26" s="1882"/>
      <c r="OIT26" s="1887"/>
      <c r="OIU26" s="1888"/>
      <c r="OIV26" s="1882"/>
      <c r="OIW26" s="1882"/>
      <c r="OIX26" s="1882"/>
      <c r="OIZ26" s="1887"/>
      <c r="OJA26" s="1888"/>
      <c r="OJB26" s="1882"/>
      <c r="OJC26" s="1882"/>
      <c r="OJD26" s="1882"/>
      <c r="OJF26" s="1887"/>
      <c r="OJG26" s="1888"/>
      <c r="OJH26" s="1882"/>
      <c r="OJI26" s="1882"/>
      <c r="OJJ26" s="1882"/>
      <c r="OJL26" s="1887"/>
      <c r="OJM26" s="1888"/>
      <c r="OJN26" s="1882"/>
      <c r="OJO26" s="1882"/>
      <c r="OJP26" s="1882"/>
      <c r="OJR26" s="1887"/>
      <c r="OJS26" s="1888"/>
      <c r="OJT26" s="1882"/>
      <c r="OJU26" s="1882"/>
      <c r="OJV26" s="1882"/>
      <c r="OJX26" s="1887"/>
      <c r="OJY26" s="1888"/>
      <c r="OJZ26" s="1882"/>
      <c r="OKA26" s="1882"/>
      <c r="OKB26" s="1882"/>
      <c r="OKD26" s="1887"/>
      <c r="OKE26" s="1888"/>
      <c r="OKF26" s="1882"/>
      <c r="OKG26" s="1882"/>
      <c r="OKH26" s="1882"/>
      <c r="OKJ26" s="1887"/>
      <c r="OKK26" s="1888"/>
      <c r="OKL26" s="1882"/>
      <c r="OKM26" s="1882"/>
      <c r="OKN26" s="1882"/>
      <c r="OKP26" s="1887"/>
      <c r="OKQ26" s="1888"/>
      <c r="OKR26" s="1882"/>
      <c r="OKS26" s="1882"/>
      <c r="OKT26" s="1882"/>
      <c r="OKV26" s="1887"/>
      <c r="OKW26" s="1888"/>
      <c r="OKX26" s="1882"/>
      <c r="OKY26" s="1882"/>
      <c r="OKZ26" s="1882"/>
      <c r="OLB26" s="1887"/>
      <c r="OLC26" s="1888"/>
      <c r="OLD26" s="1882"/>
      <c r="OLE26" s="1882"/>
      <c r="OLF26" s="1882"/>
      <c r="OLH26" s="1887"/>
      <c r="OLI26" s="1888"/>
      <c r="OLJ26" s="1882"/>
      <c r="OLK26" s="1882"/>
      <c r="OLL26" s="1882"/>
      <c r="OLN26" s="1887"/>
      <c r="OLO26" s="1888"/>
      <c r="OLP26" s="1882"/>
      <c r="OLQ26" s="1882"/>
      <c r="OLR26" s="1882"/>
      <c r="OLT26" s="1887"/>
      <c r="OLU26" s="1888"/>
      <c r="OLV26" s="1882"/>
      <c r="OLW26" s="1882"/>
      <c r="OLX26" s="1882"/>
      <c r="OLZ26" s="1887"/>
      <c r="OMA26" s="1888"/>
      <c r="OMB26" s="1882"/>
      <c r="OMC26" s="1882"/>
      <c r="OMD26" s="1882"/>
      <c r="OMF26" s="1887"/>
      <c r="OMG26" s="1888"/>
      <c r="OMH26" s="1882"/>
      <c r="OMI26" s="1882"/>
      <c r="OMJ26" s="1882"/>
      <c r="OML26" s="1887"/>
      <c r="OMM26" s="1888"/>
      <c r="OMN26" s="1882"/>
      <c r="OMO26" s="1882"/>
      <c r="OMP26" s="1882"/>
      <c r="OMR26" s="1887"/>
      <c r="OMS26" s="1888"/>
      <c r="OMT26" s="1882"/>
      <c r="OMU26" s="1882"/>
      <c r="OMV26" s="1882"/>
      <c r="OMX26" s="1887"/>
      <c r="OMY26" s="1888"/>
      <c r="OMZ26" s="1882"/>
      <c r="ONA26" s="1882"/>
      <c r="ONB26" s="1882"/>
      <c r="OND26" s="1887"/>
      <c r="ONE26" s="1888"/>
      <c r="ONF26" s="1882"/>
      <c r="ONG26" s="1882"/>
      <c r="ONH26" s="1882"/>
      <c r="ONJ26" s="1887"/>
      <c r="ONK26" s="1888"/>
      <c r="ONL26" s="1882"/>
      <c r="ONM26" s="1882"/>
      <c r="ONN26" s="1882"/>
      <c r="ONP26" s="1887"/>
      <c r="ONQ26" s="1888"/>
      <c r="ONR26" s="1882"/>
      <c r="ONS26" s="1882"/>
      <c r="ONT26" s="1882"/>
      <c r="ONV26" s="1887"/>
      <c r="ONW26" s="1888"/>
      <c r="ONX26" s="1882"/>
      <c r="ONY26" s="1882"/>
      <c r="ONZ26" s="1882"/>
      <c r="OOB26" s="1887"/>
      <c r="OOC26" s="1888"/>
      <c r="OOD26" s="1882"/>
      <c r="OOE26" s="1882"/>
      <c r="OOF26" s="1882"/>
      <c r="OOH26" s="1887"/>
      <c r="OOI26" s="1888"/>
      <c r="OOJ26" s="1882"/>
      <c r="OOK26" s="1882"/>
      <c r="OOL26" s="1882"/>
      <c r="OON26" s="1887"/>
      <c r="OOO26" s="1888"/>
      <c r="OOP26" s="1882"/>
      <c r="OOQ26" s="1882"/>
      <c r="OOR26" s="1882"/>
      <c r="OOT26" s="1887"/>
      <c r="OOU26" s="1888"/>
      <c r="OOV26" s="1882"/>
      <c r="OOW26" s="1882"/>
      <c r="OOX26" s="1882"/>
      <c r="OOZ26" s="1887"/>
      <c r="OPA26" s="1888"/>
      <c r="OPB26" s="1882"/>
      <c r="OPC26" s="1882"/>
      <c r="OPD26" s="1882"/>
      <c r="OPF26" s="1887"/>
      <c r="OPG26" s="1888"/>
      <c r="OPH26" s="1882"/>
      <c r="OPI26" s="1882"/>
      <c r="OPJ26" s="1882"/>
      <c r="OPL26" s="1887"/>
      <c r="OPM26" s="1888"/>
      <c r="OPN26" s="1882"/>
      <c r="OPO26" s="1882"/>
      <c r="OPP26" s="1882"/>
      <c r="OPR26" s="1887"/>
      <c r="OPS26" s="1888"/>
      <c r="OPT26" s="1882"/>
      <c r="OPU26" s="1882"/>
      <c r="OPV26" s="1882"/>
      <c r="OPX26" s="1887"/>
      <c r="OPY26" s="1888"/>
      <c r="OPZ26" s="1882"/>
      <c r="OQA26" s="1882"/>
      <c r="OQB26" s="1882"/>
      <c r="OQD26" s="1887"/>
      <c r="OQE26" s="1888"/>
      <c r="OQF26" s="1882"/>
      <c r="OQG26" s="1882"/>
      <c r="OQH26" s="1882"/>
      <c r="OQJ26" s="1887"/>
      <c r="OQK26" s="1888"/>
      <c r="OQL26" s="1882"/>
      <c r="OQM26" s="1882"/>
      <c r="OQN26" s="1882"/>
      <c r="OQP26" s="1887"/>
      <c r="OQQ26" s="1888"/>
      <c r="OQR26" s="1882"/>
      <c r="OQS26" s="1882"/>
      <c r="OQT26" s="1882"/>
      <c r="OQV26" s="1887"/>
      <c r="OQW26" s="1888"/>
      <c r="OQX26" s="1882"/>
      <c r="OQY26" s="1882"/>
      <c r="OQZ26" s="1882"/>
      <c r="ORB26" s="1887"/>
      <c r="ORC26" s="1888"/>
      <c r="ORD26" s="1882"/>
      <c r="ORE26" s="1882"/>
      <c r="ORF26" s="1882"/>
      <c r="ORH26" s="1887"/>
      <c r="ORI26" s="1888"/>
      <c r="ORJ26" s="1882"/>
      <c r="ORK26" s="1882"/>
      <c r="ORL26" s="1882"/>
      <c r="ORN26" s="1887"/>
      <c r="ORO26" s="1888"/>
      <c r="ORP26" s="1882"/>
      <c r="ORQ26" s="1882"/>
      <c r="ORR26" s="1882"/>
      <c r="ORT26" s="1887"/>
      <c r="ORU26" s="1888"/>
      <c r="ORV26" s="1882"/>
      <c r="ORW26" s="1882"/>
      <c r="ORX26" s="1882"/>
      <c r="ORZ26" s="1887"/>
      <c r="OSA26" s="1888"/>
      <c r="OSB26" s="1882"/>
      <c r="OSC26" s="1882"/>
      <c r="OSD26" s="1882"/>
      <c r="OSF26" s="1887"/>
      <c r="OSG26" s="1888"/>
      <c r="OSH26" s="1882"/>
      <c r="OSI26" s="1882"/>
      <c r="OSJ26" s="1882"/>
      <c r="OSL26" s="1887"/>
      <c r="OSM26" s="1888"/>
      <c r="OSN26" s="1882"/>
      <c r="OSO26" s="1882"/>
      <c r="OSP26" s="1882"/>
      <c r="OSR26" s="1887"/>
      <c r="OSS26" s="1888"/>
      <c r="OST26" s="1882"/>
      <c r="OSU26" s="1882"/>
      <c r="OSV26" s="1882"/>
      <c r="OSX26" s="1887"/>
      <c r="OSY26" s="1888"/>
      <c r="OSZ26" s="1882"/>
      <c r="OTA26" s="1882"/>
      <c r="OTB26" s="1882"/>
      <c r="OTD26" s="1887"/>
      <c r="OTE26" s="1888"/>
      <c r="OTF26" s="1882"/>
      <c r="OTG26" s="1882"/>
      <c r="OTH26" s="1882"/>
      <c r="OTJ26" s="1887"/>
      <c r="OTK26" s="1888"/>
      <c r="OTL26" s="1882"/>
      <c r="OTM26" s="1882"/>
      <c r="OTN26" s="1882"/>
      <c r="OTP26" s="1887"/>
      <c r="OTQ26" s="1888"/>
      <c r="OTR26" s="1882"/>
      <c r="OTS26" s="1882"/>
      <c r="OTT26" s="1882"/>
      <c r="OTV26" s="1887"/>
      <c r="OTW26" s="1888"/>
      <c r="OTX26" s="1882"/>
      <c r="OTY26" s="1882"/>
      <c r="OTZ26" s="1882"/>
      <c r="OUB26" s="1887"/>
      <c r="OUC26" s="1888"/>
      <c r="OUD26" s="1882"/>
      <c r="OUE26" s="1882"/>
      <c r="OUF26" s="1882"/>
      <c r="OUH26" s="1887"/>
      <c r="OUI26" s="1888"/>
      <c r="OUJ26" s="1882"/>
      <c r="OUK26" s="1882"/>
      <c r="OUL26" s="1882"/>
      <c r="OUN26" s="1887"/>
      <c r="OUO26" s="1888"/>
      <c r="OUP26" s="1882"/>
      <c r="OUQ26" s="1882"/>
      <c r="OUR26" s="1882"/>
      <c r="OUT26" s="1887"/>
      <c r="OUU26" s="1888"/>
      <c r="OUV26" s="1882"/>
      <c r="OUW26" s="1882"/>
      <c r="OUX26" s="1882"/>
      <c r="OUZ26" s="1887"/>
      <c r="OVA26" s="1888"/>
      <c r="OVB26" s="1882"/>
      <c r="OVC26" s="1882"/>
      <c r="OVD26" s="1882"/>
      <c r="OVF26" s="1887"/>
      <c r="OVG26" s="1888"/>
      <c r="OVH26" s="1882"/>
      <c r="OVI26" s="1882"/>
      <c r="OVJ26" s="1882"/>
      <c r="OVL26" s="1887"/>
      <c r="OVM26" s="1888"/>
      <c r="OVN26" s="1882"/>
      <c r="OVO26" s="1882"/>
      <c r="OVP26" s="1882"/>
      <c r="OVR26" s="1887"/>
      <c r="OVS26" s="1888"/>
      <c r="OVT26" s="1882"/>
      <c r="OVU26" s="1882"/>
      <c r="OVV26" s="1882"/>
      <c r="OVX26" s="1887"/>
      <c r="OVY26" s="1888"/>
      <c r="OVZ26" s="1882"/>
      <c r="OWA26" s="1882"/>
      <c r="OWB26" s="1882"/>
      <c r="OWD26" s="1887"/>
      <c r="OWE26" s="1888"/>
      <c r="OWF26" s="1882"/>
      <c r="OWG26" s="1882"/>
      <c r="OWH26" s="1882"/>
      <c r="OWJ26" s="1887"/>
      <c r="OWK26" s="1888"/>
      <c r="OWL26" s="1882"/>
      <c r="OWM26" s="1882"/>
      <c r="OWN26" s="1882"/>
      <c r="OWP26" s="1887"/>
      <c r="OWQ26" s="1888"/>
      <c r="OWR26" s="1882"/>
      <c r="OWS26" s="1882"/>
      <c r="OWT26" s="1882"/>
      <c r="OWV26" s="1887"/>
      <c r="OWW26" s="1888"/>
      <c r="OWX26" s="1882"/>
      <c r="OWY26" s="1882"/>
      <c r="OWZ26" s="1882"/>
      <c r="OXB26" s="1887"/>
      <c r="OXC26" s="1888"/>
      <c r="OXD26" s="1882"/>
      <c r="OXE26" s="1882"/>
      <c r="OXF26" s="1882"/>
      <c r="OXH26" s="1887"/>
      <c r="OXI26" s="1888"/>
      <c r="OXJ26" s="1882"/>
      <c r="OXK26" s="1882"/>
      <c r="OXL26" s="1882"/>
      <c r="OXN26" s="1887"/>
      <c r="OXO26" s="1888"/>
      <c r="OXP26" s="1882"/>
      <c r="OXQ26" s="1882"/>
      <c r="OXR26" s="1882"/>
      <c r="OXT26" s="1887"/>
      <c r="OXU26" s="1888"/>
      <c r="OXV26" s="1882"/>
      <c r="OXW26" s="1882"/>
      <c r="OXX26" s="1882"/>
      <c r="OXZ26" s="1887"/>
      <c r="OYA26" s="1888"/>
      <c r="OYB26" s="1882"/>
      <c r="OYC26" s="1882"/>
      <c r="OYD26" s="1882"/>
      <c r="OYF26" s="1887"/>
      <c r="OYG26" s="1888"/>
      <c r="OYH26" s="1882"/>
      <c r="OYI26" s="1882"/>
      <c r="OYJ26" s="1882"/>
      <c r="OYL26" s="1887"/>
      <c r="OYM26" s="1888"/>
      <c r="OYN26" s="1882"/>
      <c r="OYO26" s="1882"/>
      <c r="OYP26" s="1882"/>
      <c r="OYR26" s="1887"/>
      <c r="OYS26" s="1888"/>
      <c r="OYT26" s="1882"/>
      <c r="OYU26" s="1882"/>
      <c r="OYV26" s="1882"/>
      <c r="OYX26" s="1887"/>
      <c r="OYY26" s="1888"/>
      <c r="OYZ26" s="1882"/>
      <c r="OZA26" s="1882"/>
      <c r="OZB26" s="1882"/>
      <c r="OZD26" s="1887"/>
      <c r="OZE26" s="1888"/>
      <c r="OZF26" s="1882"/>
      <c r="OZG26" s="1882"/>
      <c r="OZH26" s="1882"/>
      <c r="OZJ26" s="1887"/>
      <c r="OZK26" s="1888"/>
      <c r="OZL26" s="1882"/>
      <c r="OZM26" s="1882"/>
      <c r="OZN26" s="1882"/>
      <c r="OZP26" s="1887"/>
      <c r="OZQ26" s="1888"/>
      <c r="OZR26" s="1882"/>
      <c r="OZS26" s="1882"/>
      <c r="OZT26" s="1882"/>
      <c r="OZV26" s="1887"/>
      <c r="OZW26" s="1888"/>
      <c r="OZX26" s="1882"/>
      <c r="OZY26" s="1882"/>
      <c r="OZZ26" s="1882"/>
      <c r="PAB26" s="1887"/>
      <c r="PAC26" s="1888"/>
      <c r="PAD26" s="1882"/>
      <c r="PAE26" s="1882"/>
      <c r="PAF26" s="1882"/>
      <c r="PAH26" s="1887"/>
      <c r="PAI26" s="1888"/>
      <c r="PAJ26" s="1882"/>
      <c r="PAK26" s="1882"/>
      <c r="PAL26" s="1882"/>
      <c r="PAN26" s="1887"/>
      <c r="PAO26" s="1888"/>
      <c r="PAP26" s="1882"/>
      <c r="PAQ26" s="1882"/>
      <c r="PAR26" s="1882"/>
      <c r="PAT26" s="1887"/>
      <c r="PAU26" s="1888"/>
      <c r="PAV26" s="1882"/>
      <c r="PAW26" s="1882"/>
      <c r="PAX26" s="1882"/>
      <c r="PAZ26" s="1887"/>
      <c r="PBA26" s="1888"/>
      <c r="PBB26" s="1882"/>
      <c r="PBC26" s="1882"/>
      <c r="PBD26" s="1882"/>
      <c r="PBF26" s="1887"/>
      <c r="PBG26" s="1888"/>
      <c r="PBH26" s="1882"/>
      <c r="PBI26" s="1882"/>
      <c r="PBJ26" s="1882"/>
      <c r="PBL26" s="1887"/>
      <c r="PBM26" s="1888"/>
      <c r="PBN26" s="1882"/>
      <c r="PBO26" s="1882"/>
      <c r="PBP26" s="1882"/>
      <c r="PBR26" s="1887"/>
      <c r="PBS26" s="1888"/>
      <c r="PBT26" s="1882"/>
      <c r="PBU26" s="1882"/>
      <c r="PBV26" s="1882"/>
      <c r="PBX26" s="1887"/>
      <c r="PBY26" s="1888"/>
      <c r="PBZ26" s="1882"/>
      <c r="PCA26" s="1882"/>
      <c r="PCB26" s="1882"/>
      <c r="PCD26" s="1887"/>
      <c r="PCE26" s="1888"/>
      <c r="PCF26" s="1882"/>
      <c r="PCG26" s="1882"/>
      <c r="PCH26" s="1882"/>
      <c r="PCJ26" s="1887"/>
      <c r="PCK26" s="1888"/>
      <c r="PCL26" s="1882"/>
      <c r="PCM26" s="1882"/>
      <c r="PCN26" s="1882"/>
      <c r="PCP26" s="1887"/>
      <c r="PCQ26" s="1888"/>
      <c r="PCR26" s="1882"/>
      <c r="PCS26" s="1882"/>
      <c r="PCT26" s="1882"/>
      <c r="PCV26" s="1887"/>
      <c r="PCW26" s="1888"/>
      <c r="PCX26" s="1882"/>
      <c r="PCY26" s="1882"/>
      <c r="PCZ26" s="1882"/>
      <c r="PDB26" s="1887"/>
      <c r="PDC26" s="1888"/>
      <c r="PDD26" s="1882"/>
      <c r="PDE26" s="1882"/>
      <c r="PDF26" s="1882"/>
      <c r="PDH26" s="1887"/>
      <c r="PDI26" s="1888"/>
      <c r="PDJ26" s="1882"/>
      <c r="PDK26" s="1882"/>
      <c r="PDL26" s="1882"/>
      <c r="PDN26" s="1887"/>
      <c r="PDO26" s="1888"/>
      <c r="PDP26" s="1882"/>
      <c r="PDQ26" s="1882"/>
      <c r="PDR26" s="1882"/>
      <c r="PDT26" s="1887"/>
      <c r="PDU26" s="1888"/>
      <c r="PDV26" s="1882"/>
      <c r="PDW26" s="1882"/>
      <c r="PDX26" s="1882"/>
      <c r="PDZ26" s="1887"/>
      <c r="PEA26" s="1888"/>
      <c r="PEB26" s="1882"/>
      <c r="PEC26" s="1882"/>
      <c r="PED26" s="1882"/>
      <c r="PEF26" s="1887"/>
      <c r="PEG26" s="1888"/>
      <c r="PEH26" s="1882"/>
      <c r="PEI26" s="1882"/>
      <c r="PEJ26" s="1882"/>
      <c r="PEL26" s="1887"/>
      <c r="PEM26" s="1888"/>
      <c r="PEN26" s="1882"/>
      <c r="PEO26" s="1882"/>
      <c r="PEP26" s="1882"/>
      <c r="PER26" s="1887"/>
      <c r="PES26" s="1888"/>
      <c r="PET26" s="1882"/>
      <c r="PEU26" s="1882"/>
      <c r="PEV26" s="1882"/>
      <c r="PEX26" s="1887"/>
      <c r="PEY26" s="1888"/>
      <c r="PEZ26" s="1882"/>
      <c r="PFA26" s="1882"/>
      <c r="PFB26" s="1882"/>
      <c r="PFD26" s="1887"/>
      <c r="PFE26" s="1888"/>
      <c r="PFF26" s="1882"/>
      <c r="PFG26" s="1882"/>
      <c r="PFH26" s="1882"/>
      <c r="PFJ26" s="1887"/>
      <c r="PFK26" s="1888"/>
      <c r="PFL26" s="1882"/>
      <c r="PFM26" s="1882"/>
      <c r="PFN26" s="1882"/>
      <c r="PFP26" s="1887"/>
      <c r="PFQ26" s="1888"/>
      <c r="PFR26" s="1882"/>
      <c r="PFS26" s="1882"/>
      <c r="PFT26" s="1882"/>
      <c r="PFV26" s="1887"/>
      <c r="PFW26" s="1888"/>
      <c r="PFX26" s="1882"/>
      <c r="PFY26" s="1882"/>
      <c r="PFZ26" s="1882"/>
      <c r="PGB26" s="1887"/>
      <c r="PGC26" s="1888"/>
      <c r="PGD26" s="1882"/>
      <c r="PGE26" s="1882"/>
      <c r="PGF26" s="1882"/>
      <c r="PGH26" s="1887"/>
      <c r="PGI26" s="1888"/>
      <c r="PGJ26" s="1882"/>
      <c r="PGK26" s="1882"/>
      <c r="PGL26" s="1882"/>
      <c r="PGN26" s="1887"/>
      <c r="PGO26" s="1888"/>
      <c r="PGP26" s="1882"/>
      <c r="PGQ26" s="1882"/>
      <c r="PGR26" s="1882"/>
      <c r="PGT26" s="1887"/>
      <c r="PGU26" s="1888"/>
      <c r="PGV26" s="1882"/>
      <c r="PGW26" s="1882"/>
      <c r="PGX26" s="1882"/>
      <c r="PGZ26" s="1887"/>
      <c r="PHA26" s="1888"/>
      <c r="PHB26" s="1882"/>
      <c r="PHC26" s="1882"/>
      <c r="PHD26" s="1882"/>
      <c r="PHF26" s="1887"/>
      <c r="PHG26" s="1888"/>
      <c r="PHH26" s="1882"/>
      <c r="PHI26" s="1882"/>
      <c r="PHJ26" s="1882"/>
      <c r="PHL26" s="1887"/>
      <c r="PHM26" s="1888"/>
      <c r="PHN26" s="1882"/>
      <c r="PHO26" s="1882"/>
      <c r="PHP26" s="1882"/>
      <c r="PHR26" s="1887"/>
      <c r="PHS26" s="1888"/>
      <c r="PHT26" s="1882"/>
      <c r="PHU26" s="1882"/>
      <c r="PHV26" s="1882"/>
      <c r="PHX26" s="1887"/>
      <c r="PHY26" s="1888"/>
      <c r="PHZ26" s="1882"/>
      <c r="PIA26" s="1882"/>
      <c r="PIB26" s="1882"/>
      <c r="PID26" s="1887"/>
      <c r="PIE26" s="1888"/>
      <c r="PIF26" s="1882"/>
      <c r="PIG26" s="1882"/>
      <c r="PIH26" s="1882"/>
      <c r="PIJ26" s="1887"/>
      <c r="PIK26" s="1888"/>
      <c r="PIL26" s="1882"/>
      <c r="PIM26" s="1882"/>
      <c r="PIN26" s="1882"/>
      <c r="PIP26" s="1887"/>
      <c r="PIQ26" s="1888"/>
      <c r="PIR26" s="1882"/>
      <c r="PIS26" s="1882"/>
      <c r="PIT26" s="1882"/>
      <c r="PIV26" s="1887"/>
      <c r="PIW26" s="1888"/>
      <c r="PIX26" s="1882"/>
      <c r="PIY26" s="1882"/>
      <c r="PIZ26" s="1882"/>
      <c r="PJB26" s="1887"/>
      <c r="PJC26" s="1888"/>
      <c r="PJD26" s="1882"/>
      <c r="PJE26" s="1882"/>
      <c r="PJF26" s="1882"/>
      <c r="PJH26" s="1887"/>
      <c r="PJI26" s="1888"/>
      <c r="PJJ26" s="1882"/>
      <c r="PJK26" s="1882"/>
      <c r="PJL26" s="1882"/>
      <c r="PJN26" s="1887"/>
      <c r="PJO26" s="1888"/>
      <c r="PJP26" s="1882"/>
      <c r="PJQ26" s="1882"/>
      <c r="PJR26" s="1882"/>
      <c r="PJT26" s="1887"/>
      <c r="PJU26" s="1888"/>
      <c r="PJV26" s="1882"/>
      <c r="PJW26" s="1882"/>
      <c r="PJX26" s="1882"/>
      <c r="PJZ26" s="1887"/>
      <c r="PKA26" s="1888"/>
      <c r="PKB26" s="1882"/>
      <c r="PKC26" s="1882"/>
      <c r="PKD26" s="1882"/>
      <c r="PKF26" s="1887"/>
      <c r="PKG26" s="1888"/>
      <c r="PKH26" s="1882"/>
      <c r="PKI26" s="1882"/>
      <c r="PKJ26" s="1882"/>
      <c r="PKL26" s="1887"/>
      <c r="PKM26" s="1888"/>
      <c r="PKN26" s="1882"/>
      <c r="PKO26" s="1882"/>
      <c r="PKP26" s="1882"/>
      <c r="PKR26" s="1887"/>
      <c r="PKS26" s="1888"/>
      <c r="PKT26" s="1882"/>
      <c r="PKU26" s="1882"/>
      <c r="PKV26" s="1882"/>
      <c r="PKX26" s="1887"/>
      <c r="PKY26" s="1888"/>
      <c r="PKZ26" s="1882"/>
      <c r="PLA26" s="1882"/>
      <c r="PLB26" s="1882"/>
      <c r="PLD26" s="1887"/>
      <c r="PLE26" s="1888"/>
      <c r="PLF26" s="1882"/>
      <c r="PLG26" s="1882"/>
      <c r="PLH26" s="1882"/>
      <c r="PLJ26" s="1887"/>
      <c r="PLK26" s="1888"/>
      <c r="PLL26" s="1882"/>
      <c r="PLM26" s="1882"/>
      <c r="PLN26" s="1882"/>
      <c r="PLP26" s="1887"/>
      <c r="PLQ26" s="1888"/>
      <c r="PLR26" s="1882"/>
      <c r="PLS26" s="1882"/>
      <c r="PLT26" s="1882"/>
      <c r="PLV26" s="1887"/>
      <c r="PLW26" s="1888"/>
      <c r="PLX26" s="1882"/>
      <c r="PLY26" s="1882"/>
      <c r="PLZ26" s="1882"/>
      <c r="PMB26" s="1887"/>
      <c r="PMC26" s="1888"/>
      <c r="PMD26" s="1882"/>
      <c r="PME26" s="1882"/>
      <c r="PMF26" s="1882"/>
      <c r="PMH26" s="1887"/>
      <c r="PMI26" s="1888"/>
      <c r="PMJ26" s="1882"/>
      <c r="PMK26" s="1882"/>
      <c r="PML26" s="1882"/>
      <c r="PMN26" s="1887"/>
      <c r="PMO26" s="1888"/>
      <c r="PMP26" s="1882"/>
      <c r="PMQ26" s="1882"/>
      <c r="PMR26" s="1882"/>
      <c r="PMT26" s="1887"/>
      <c r="PMU26" s="1888"/>
      <c r="PMV26" s="1882"/>
      <c r="PMW26" s="1882"/>
      <c r="PMX26" s="1882"/>
      <c r="PMZ26" s="1887"/>
      <c r="PNA26" s="1888"/>
      <c r="PNB26" s="1882"/>
      <c r="PNC26" s="1882"/>
      <c r="PND26" s="1882"/>
      <c r="PNF26" s="1887"/>
      <c r="PNG26" s="1888"/>
      <c r="PNH26" s="1882"/>
      <c r="PNI26" s="1882"/>
      <c r="PNJ26" s="1882"/>
      <c r="PNL26" s="1887"/>
      <c r="PNM26" s="1888"/>
      <c r="PNN26" s="1882"/>
      <c r="PNO26" s="1882"/>
      <c r="PNP26" s="1882"/>
      <c r="PNR26" s="1887"/>
      <c r="PNS26" s="1888"/>
      <c r="PNT26" s="1882"/>
      <c r="PNU26" s="1882"/>
      <c r="PNV26" s="1882"/>
      <c r="PNX26" s="1887"/>
      <c r="PNY26" s="1888"/>
      <c r="PNZ26" s="1882"/>
      <c r="POA26" s="1882"/>
      <c r="POB26" s="1882"/>
      <c r="POD26" s="1887"/>
      <c r="POE26" s="1888"/>
      <c r="POF26" s="1882"/>
      <c r="POG26" s="1882"/>
      <c r="POH26" s="1882"/>
      <c r="POJ26" s="1887"/>
      <c r="POK26" s="1888"/>
      <c r="POL26" s="1882"/>
      <c r="POM26" s="1882"/>
      <c r="PON26" s="1882"/>
      <c r="POP26" s="1887"/>
      <c r="POQ26" s="1888"/>
      <c r="POR26" s="1882"/>
      <c r="POS26" s="1882"/>
      <c r="POT26" s="1882"/>
      <c r="POV26" s="1887"/>
      <c r="POW26" s="1888"/>
      <c r="POX26" s="1882"/>
      <c r="POY26" s="1882"/>
      <c r="POZ26" s="1882"/>
      <c r="PPB26" s="1887"/>
      <c r="PPC26" s="1888"/>
      <c r="PPD26" s="1882"/>
      <c r="PPE26" s="1882"/>
      <c r="PPF26" s="1882"/>
      <c r="PPH26" s="1887"/>
      <c r="PPI26" s="1888"/>
      <c r="PPJ26" s="1882"/>
      <c r="PPK26" s="1882"/>
      <c r="PPL26" s="1882"/>
      <c r="PPN26" s="1887"/>
      <c r="PPO26" s="1888"/>
      <c r="PPP26" s="1882"/>
      <c r="PPQ26" s="1882"/>
      <c r="PPR26" s="1882"/>
      <c r="PPT26" s="1887"/>
      <c r="PPU26" s="1888"/>
      <c r="PPV26" s="1882"/>
      <c r="PPW26" s="1882"/>
      <c r="PPX26" s="1882"/>
      <c r="PPZ26" s="1887"/>
      <c r="PQA26" s="1888"/>
      <c r="PQB26" s="1882"/>
      <c r="PQC26" s="1882"/>
      <c r="PQD26" s="1882"/>
      <c r="PQF26" s="1887"/>
      <c r="PQG26" s="1888"/>
      <c r="PQH26" s="1882"/>
      <c r="PQI26" s="1882"/>
      <c r="PQJ26" s="1882"/>
      <c r="PQL26" s="1887"/>
      <c r="PQM26" s="1888"/>
      <c r="PQN26" s="1882"/>
      <c r="PQO26" s="1882"/>
      <c r="PQP26" s="1882"/>
      <c r="PQR26" s="1887"/>
      <c r="PQS26" s="1888"/>
      <c r="PQT26" s="1882"/>
      <c r="PQU26" s="1882"/>
      <c r="PQV26" s="1882"/>
      <c r="PQX26" s="1887"/>
      <c r="PQY26" s="1888"/>
      <c r="PQZ26" s="1882"/>
      <c r="PRA26" s="1882"/>
      <c r="PRB26" s="1882"/>
      <c r="PRD26" s="1887"/>
      <c r="PRE26" s="1888"/>
      <c r="PRF26" s="1882"/>
      <c r="PRG26" s="1882"/>
      <c r="PRH26" s="1882"/>
      <c r="PRJ26" s="1887"/>
      <c r="PRK26" s="1888"/>
      <c r="PRL26" s="1882"/>
      <c r="PRM26" s="1882"/>
      <c r="PRN26" s="1882"/>
      <c r="PRP26" s="1887"/>
      <c r="PRQ26" s="1888"/>
      <c r="PRR26" s="1882"/>
      <c r="PRS26" s="1882"/>
      <c r="PRT26" s="1882"/>
      <c r="PRV26" s="1887"/>
      <c r="PRW26" s="1888"/>
      <c r="PRX26" s="1882"/>
      <c r="PRY26" s="1882"/>
      <c r="PRZ26" s="1882"/>
      <c r="PSB26" s="1887"/>
      <c r="PSC26" s="1888"/>
      <c r="PSD26" s="1882"/>
      <c r="PSE26" s="1882"/>
      <c r="PSF26" s="1882"/>
      <c r="PSH26" s="1887"/>
      <c r="PSI26" s="1888"/>
      <c r="PSJ26" s="1882"/>
      <c r="PSK26" s="1882"/>
      <c r="PSL26" s="1882"/>
      <c r="PSN26" s="1887"/>
      <c r="PSO26" s="1888"/>
      <c r="PSP26" s="1882"/>
      <c r="PSQ26" s="1882"/>
      <c r="PSR26" s="1882"/>
      <c r="PST26" s="1887"/>
      <c r="PSU26" s="1888"/>
      <c r="PSV26" s="1882"/>
      <c r="PSW26" s="1882"/>
      <c r="PSX26" s="1882"/>
      <c r="PSZ26" s="1887"/>
      <c r="PTA26" s="1888"/>
      <c r="PTB26" s="1882"/>
      <c r="PTC26" s="1882"/>
      <c r="PTD26" s="1882"/>
      <c r="PTF26" s="1887"/>
      <c r="PTG26" s="1888"/>
      <c r="PTH26" s="1882"/>
      <c r="PTI26" s="1882"/>
      <c r="PTJ26" s="1882"/>
      <c r="PTL26" s="1887"/>
      <c r="PTM26" s="1888"/>
      <c r="PTN26" s="1882"/>
      <c r="PTO26" s="1882"/>
      <c r="PTP26" s="1882"/>
      <c r="PTR26" s="1887"/>
      <c r="PTS26" s="1888"/>
      <c r="PTT26" s="1882"/>
      <c r="PTU26" s="1882"/>
      <c r="PTV26" s="1882"/>
      <c r="PTX26" s="1887"/>
      <c r="PTY26" s="1888"/>
      <c r="PTZ26" s="1882"/>
      <c r="PUA26" s="1882"/>
      <c r="PUB26" s="1882"/>
      <c r="PUD26" s="1887"/>
      <c r="PUE26" s="1888"/>
      <c r="PUF26" s="1882"/>
      <c r="PUG26" s="1882"/>
      <c r="PUH26" s="1882"/>
      <c r="PUJ26" s="1887"/>
      <c r="PUK26" s="1888"/>
      <c r="PUL26" s="1882"/>
      <c r="PUM26" s="1882"/>
      <c r="PUN26" s="1882"/>
      <c r="PUP26" s="1887"/>
      <c r="PUQ26" s="1888"/>
      <c r="PUR26" s="1882"/>
      <c r="PUS26" s="1882"/>
      <c r="PUT26" s="1882"/>
      <c r="PUV26" s="1887"/>
      <c r="PUW26" s="1888"/>
      <c r="PUX26" s="1882"/>
      <c r="PUY26" s="1882"/>
      <c r="PUZ26" s="1882"/>
      <c r="PVB26" s="1887"/>
      <c r="PVC26" s="1888"/>
      <c r="PVD26" s="1882"/>
      <c r="PVE26" s="1882"/>
      <c r="PVF26" s="1882"/>
      <c r="PVH26" s="1887"/>
      <c r="PVI26" s="1888"/>
      <c r="PVJ26" s="1882"/>
      <c r="PVK26" s="1882"/>
      <c r="PVL26" s="1882"/>
      <c r="PVN26" s="1887"/>
      <c r="PVO26" s="1888"/>
      <c r="PVP26" s="1882"/>
      <c r="PVQ26" s="1882"/>
      <c r="PVR26" s="1882"/>
      <c r="PVT26" s="1887"/>
      <c r="PVU26" s="1888"/>
      <c r="PVV26" s="1882"/>
      <c r="PVW26" s="1882"/>
      <c r="PVX26" s="1882"/>
      <c r="PVZ26" s="1887"/>
      <c r="PWA26" s="1888"/>
      <c r="PWB26" s="1882"/>
      <c r="PWC26" s="1882"/>
      <c r="PWD26" s="1882"/>
      <c r="PWF26" s="1887"/>
      <c r="PWG26" s="1888"/>
      <c r="PWH26" s="1882"/>
      <c r="PWI26" s="1882"/>
      <c r="PWJ26" s="1882"/>
      <c r="PWL26" s="1887"/>
      <c r="PWM26" s="1888"/>
      <c r="PWN26" s="1882"/>
      <c r="PWO26" s="1882"/>
      <c r="PWP26" s="1882"/>
      <c r="PWR26" s="1887"/>
      <c r="PWS26" s="1888"/>
      <c r="PWT26" s="1882"/>
      <c r="PWU26" s="1882"/>
      <c r="PWV26" s="1882"/>
      <c r="PWX26" s="1887"/>
      <c r="PWY26" s="1888"/>
      <c r="PWZ26" s="1882"/>
      <c r="PXA26" s="1882"/>
      <c r="PXB26" s="1882"/>
      <c r="PXD26" s="1887"/>
      <c r="PXE26" s="1888"/>
      <c r="PXF26" s="1882"/>
      <c r="PXG26" s="1882"/>
      <c r="PXH26" s="1882"/>
      <c r="PXJ26" s="1887"/>
      <c r="PXK26" s="1888"/>
      <c r="PXL26" s="1882"/>
      <c r="PXM26" s="1882"/>
      <c r="PXN26" s="1882"/>
      <c r="PXP26" s="1887"/>
      <c r="PXQ26" s="1888"/>
      <c r="PXR26" s="1882"/>
      <c r="PXS26" s="1882"/>
      <c r="PXT26" s="1882"/>
      <c r="PXV26" s="1887"/>
      <c r="PXW26" s="1888"/>
      <c r="PXX26" s="1882"/>
      <c r="PXY26" s="1882"/>
      <c r="PXZ26" s="1882"/>
      <c r="PYB26" s="1887"/>
      <c r="PYC26" s="1888"/>
      <c r="PYD26" s="1882"/>
      <c r="PYE26" s="1882"/>
      <c r="PYF26" s="1882"/>
      <c r="PYH26" s="1887"/>
      <c r="PYI26" s="1888"/>
      <c r="PYJ26" s="1882"/>
      <c r="PYK26" s="1882"/>
      <c r="PYL26" s="1882"/>
      <c r="PYN26" s="1887"/>
      <c r="PYO26" s="1888"/>
      <c r="PYP26" s="1882"/>
      <c r="PYQ26" s="1882"/>
      <c r="PYR26" s="1882"/>
      <c r="PYT26" s="1887"/>
      <c r="PYU26" s="1888"/>
      <c r="PYV26" s="1882"/>
      <c r="PYW26" s="1882"/>
      <c r="PYX26" s="1882"/>
      <c r="PYZ26" s="1887"/>
      <c r="PZA26" s="1888"/>
      <c r="PZB26" s="1882"/>
      <c r="PZC26" s="1882"/>
      <c r="PZD26" s="1882"/>
      <c r="PZF26" s="1887"/>
      <c r="PZG26" s="1888"/>
      <c r="PZH26" s="1882"/>
      <c r="PZI26" s="1882"/>
      <c r="PZJ26" s="1882"/>
      <c r="PZL26" s="1887"/>
      <c r="PZM26" s="1888"/>
      <c r="PZN26" s="1882"/>
      <c r="PZO26" s="1882"/>
      <c r="PZP26" s="1882"/>
      <c r="PZR26" s="1887"/>
      <c r="PZS26" s="1888"/>
      <c r="PZT26" s="1882"/>
      <c r="PZU26" s="1882"/>
      <c r="PZV26" s="1882"/>
      <c r="PZX26" s="1887"/>
      <c r="PZY26" s="1888"/>
      <c r="PZZ26" s="1882"/>
      <c r="QAA26" s="1882"/>
      <c r="QAB26" s="1882"/>
      <c r="QAD26" s="1887"/>
      <c r="QAE26" s="1888"/>
      <c r="QAF26" s="1882"/>
      <c r="QAG26" s="1882"/>
      <c r="QAH26" s="1882"/>
      <c r="QAJ26" s="1887"/>
      <c r="QAK26" s="1888"/>
      <c r="QAL26" s="1882"/>
      <c r="QAM26" s="1882"/>
      <c r="QAN26" s="1882"/>
      <c r="QAP26" s="1887"/>
      <c r="QAQ26" s="1888"/>
      <c r="QAR26" s="1882"/>
      <c r="QAS26" s="1882"/>
      <c r="QAT26" s="1882"/>
      <c r="QAV26" s="1887"/>
      <c r="QAW26" s="1888"/>
      <c r="QAX26" s="1882"/>
      <c r="QAY26" s="1882"/>
      <c r="QAZ26" s="1882"/>
      <c r="QBB26" s="1887"/>
      <c r="QBC26" s="1888"/>
      <c r="QBD26" s="1882"/>
      <c r="QBE26" s="1882"/>
      <c r="QBF26" s="1882"/>
      <c r="QBH26" s="1887"/>
      <c r="QBI26" s="1888"/>
      <c r="QBJ26" s="1882"/>
      <c r="QBK26" s="1882"/>
      <c r="QBL26" s="1882"/>
      <c r="QBN26" s="1887"/>
      <c r="QBO26" s="1888"/>
      <c r="QBP26" s="1882"/>
      <c r="QBQ26" s="1882"/>
      <c r="QBR26" s="1882"/>
      <c r="QBT26" s="1887"/>
      <c r="QBU26" s="1888"/>
      <c r="QBV26" s="1882"/>
      <c r="QBW26" s="1882"/>
      <c r="QBX26" s="1882"/>
      <c r="QBZ26" s="1887"/>
      <c r="QCA26" s="1888"/>
      <c r="QCB26" s="1882"/>
      <c r="QCC26" s="1882"/>
      <c r="QCD26" s="1882"/>
      <c r="QCF26" s="1887"/>
      <c r="QCG26" s="1888"/>
      <c r="QCH26" s="1882"/>
      <c r="QCI26" s="1882"/>
      <c r="QCJ26" s="1882"/>
      <c r="QCL26" s="1887"/>
      <c r="QCM26" s="1888"/>
      <c r="QCN26" s="1882"/>
      <c r="QCO26" s="1882"/>
      <c r="QCP26" s="1882"/>
      <c r="QCR26" s="1887"/>
      <c r="QCS26" s="1888"/>
      <c r="QCT26" s="1882"/>
      <c r="QCU26" s="1882"/>
      <c r="QCV26" s="1882"/>
      <c r="QCX26" s="1887"/>
      <c r="QCY26" s="1888"/>
      <c r="QCZ26" s="1882"/>
      <c r="QDA26" s="1882"/>
      <c r="QDB26" s="1882"/>
      <c r="QDD26" s="1887"/>
      <c r="QDE26" s="1888"/>
      <c r="QDF26" s="1882"/>
      <c r="QDG26" s="1882"/>
      <c r="QDH26" s="1882"/>
      <c r="QDJ26" s="1887"/>
      <c r="QDK26" s="1888"/>
      <c r="QDL26" s="1882"/>
      <c r="QDM26" s="1882"/>
      <c r="QDN26" s="1882"/>
      <c r="QDP26" s="1887"/>
      <c r="QDQ26" s="1888"/>
      <c r="QDR26" s="1882"/>
      <c r="QDS26" s="1882"/>
      <c r="QDT26" s="1882"/>
      <c r="QDV26" s="1887"/>
      <c r="QDW26" s="1888"/>
      <c r="QDX26" s="1882"/>
      <c r="QDY26" s="1882"/>
      <c r="QDZ26" s="1882"/>
      <c r="QEB26" s="1887"/>
      <c r="QEC26" s="1888"/>
      <c r="QED26" s="1882"/>
      <c r="QEE26" s="1882"/>
      <c r="QEF26" s="1882"/>
      <c r="QEH26" s="1887"/>
      <c r="QEI26" s="1888"/>
      <c r="QEJ26" s="1882"/>
      <c r="QEK26" s="1882"/>
      <c r="QEL26" s="1882"/>
      <c r="QEN26" s="1887"/>
      <c r="QEO26" s="1888"/>
      <c r="QEP26" s="1882"/>
      <c r="QEQ26" s="1882"/>
      <c r="QER26" s="1882"/>
      <c r="QET26" s="1887"/>
      <c r="QEU26" s="1888"/>
      <c r="QEV26" s="1882"/>
      <c r="QEW26" s="1882"/>
      <c r="QEX26" s="1882"/>
      <c r="QEZ26" s="1887"/>
      <c r="QFA26" s="1888"/>
      <c r="QFB26" s="1882"/>
      <c r="QFC26" s="1882"/>
      <c r="QFD26" s="1882"/>
      <c r="QFF26" s="1887"/>
      <c r="QFG26" s="1888"/>
      <c r="QFH26" s="1882"/>
      <c r="QFI26" s="1882"/>
      <c r="QFJ26" s="1882"/>
      <c r="QFL26" s="1887"/>
      <c r="QFM26" s="1888"/>
      <c r="QFN26" s="1882"/>
      <c r="QFO26" s="1882"/>
      <c r="QFP26" s="1882"/>
      <c r="QFR26" s="1887"/>
      <c r="QFS26" s="1888"/>
      <c r="QFT26" s="1882"/>
      <c r="QFU26" s="1882"/>
      <c r="QFV26" s="1882"/>
      <c r="QFX26" s="1887"/>
      <c r="QFY26" s="1888"/>
      <c r="QFZ26" s="1882"/>
      <c r="QGA26" s="1882"/>
      <c r="QGB26" s="1882"/>
      <c r="QGD26" s="1887"/>
      <c r="QGE26" s="1888"/>
      <c r="QGF26" s="1882"/>
      <c r="QGG26" s="1882"/>
      <c r="QGH26" s="1882"/>
      <c r="QGJ26" s="1887"/>
      <c r="QGK26" s="1888"/>
      <c r="QGL26" s="1882"/>
      <c r="QGM26" s="1882"/>
      <c r="QGN26" s="1882"/>
      <c r="QGP26" s="1887"/>
      <c r="QGQ26" s="1888"/>
      <c r="QGR26" s="1882"/>
      <c r="QGS26" s="1882"/>
      <c r="QGT26" s="1882"/>
      <c r="QGV26" s="1887"/>
      <c r="QGW26" s="1888"/>
      <c r="QGX26" s="1882"/>
      <c r="QGY26" s="1882"/>
      <c r="QGZ26" s="1882"/>
      <c r="QHB26" s="1887"/>
      <c r="QHC26" s="1888"/>
      <c r="QHD26" s="1882"/>
      <c r="QHE26" s="1882"/>
      <c r="QHF26" s="1882"/>
      <c r="QHH26" s="1887"/>
      <c r="QHI26" s="1888"/>
      <c r="QHJ26" s="1882"/>
      <c r="QHK26" s="1882"/>
      <c r="QHL26" s="1882"/>
      <c r="QHN26" s="1887"/>
      <c r="QHO26" s="1888"/>
      <c r="QHP26" s="1882"/>
      <c r="QHQ26" s="1882"/>
      <c r="QHR26" s="1882"/>
      <c r="QHT26" s="1887"/>
      <c r="QHU26" s="1888"/>
      <c r="QHV26" s="1882"/>
      <c r="QHW26" s="1882"/>
      <c r="QHX26" s="1882"/>
      <c r="QHZ26" s="1887"/>
      <c r="QIA26" s="1888"/>
      <c r="QIB26" s="1882"/>
      <c r="QIC26" s="1882"/>
      <c r="QID26" s="1882"/>
      <c r="QIF26" s="1887"/>
      <c r="QIG26" s="1888"/>
      <c r="QIH26" s="1882"/>
      <c r="QII26" s="1882"/>
      <c r="QIJ26" s="1882"/>
      <c r="QIL26" s="1887"/>
      <c r="QIM26" s="1888"/>
      <c r="QIN26" s="1882"/>
      <c r="QIO26" s="1882"/>
      <c r="QIP26" s="1882"/>
      <c r="QIR26" s="1887"/>
      <c r="QIS26" s="1888"/>
      <c r="QIT26" s="1882"/>
      <c r="QIU26" s="1882"/>
      <c r="QIV26" s="1882"/>
      <c r="QIX26" s="1887"/>
      <c r="QIY26" s="1888"/>
      <c r="QIZ26" s="1882"/>
      <c r="QJA26" s="1882"/>
      <c r="QJB26" s="1882"/>
      <c r="QJD26" s="1887"/>
      <c r="QJE26" s="1888"/>
      <c r="QJF26" s="1882"/>
      <c r="QJG26" s="1882"/>
      <c r="QJH26" s="1882"/>
      <c r="QJJ26" s="1887"/>
      <c r="QJK26" s="1888"/>
      <c r="QJL26" s="1882"/>
      <c r="QJM26" s="1882"/>
      <c r="QJN26" s="1882"/>
      <c r="QJP26" s="1887"/>
      <c r="QJQ26" s="1888"/>
      <c r="QJR26" s="1882"/>
      <c r="QJS26" s="1882"/>
      <c r="QJT26" s="1882"/>
      <c r="QJV26" s="1887"/>
      <c r="QJW26" s="1888"/>
      <c r="QJX26" s="1882"/>
      <c r="QJY26" s="1882"/>
      <c r="QJZ26" s="1882"/>
      <c r="QKB26" s="1887"/>
      <c r="QKC26" s="1888"/>
      <c r="QKD26" s="1882"/>
      <c r="QKE26" s="1882"/>
      <c r="QKF26" s="1882"/>
      <c r="QKH26" s="1887"/>
      <c r="QKI26" s="1888"/>
      <c r="QKJ26" s="1882"/>
      <c r="QKK26" s="1882"/>
      <c r="QKL26" s="1882"/>
      <c r="QKN26" s="1887"/>
      <c r="QKO26" s="1888"/>
      <c r="QKP26" s="1882"/>
      <c r="QKQ26" s="1882"/>
      <c r="QKR26" s="1882"/>
      <c r="QKT26" s="1887"/>
      <c r="QKU26" s="1888"/>
      <c r="QKV26" s="1882"/>
      <c r="QKW26" s="1882"/>
      <c r="QKX26" s="1882"/>
      <c r="QKZ26" s="1887"/>
      <c r="QLA26" s="1888"/>
      <c r="QLB26" s="1882"/>
      <c r="QLC26" s="1882"/>
      <c r="QLD26" s="1882"/>
      <c r="QLF26" s="1887"/>
      <c r="QLG26" s="1888"/>
      <c r="QLH26" s="1882"/>
      <c r="QLI26" s="1882"/>
      <c r="QLJ26" s="1882"/>
      <c r="QLL26" s="1887"/>
      <c r="QLM26" s="1888"/>
      <c r="QLN26" s="1882"/>
      <c r="QLO26" s="1882"/>
      <c r="QLP26" s="1882"/>
      <c r="QLR26" s="1887"/>
      <c r="QLS26" s="1888"/>
      <c r="QLT26" s="1882"/>
      <c r="QLU26" s="1882"/>
      <c r="QLV26" s="1882"/>
      <c r="QLX26" s="1887"/>
      <c r="QLY26" s="1888"/>
      <c r="QLZ26" s="1882"/>
      <c r="QMA26" s="1882"/>
      <c r="QMB26" s="1882"/>
      <c r="QMD26" s="1887"/>
      <c r="QME26" s="1888"/>
      <c r="QMF26" s="1882"/>
      <c r="QMG26" s="1882"/>
      <c r="QMH26" s="1882"/>
      <c r="QMJ26" s="1887"/>
      <c r="QMK26" s="1888"/>
      <c r="QML26" s="1882"/>
      <c r="QMM26" s="1882"/>
      <c r="QMN26" s="1882"/>
      <c r="QMP26" s="1887"/>
      <c r="QMQ26" s="1888"/>
      <c r="QMR26" s="1882"/>
      <c r="QMS26" s="1882"/>
      <c r="QMT26" s="1882"/>
      <c r="QMV26" s="1887"/>
      <c r="QMW26" s="1888"/>
      <c r="QMX26" s="1882"/>
      <c r="QMY26" s="1882"/>
      <c r="QMZ26" s="1882"/>
      <c r="QNB26" s="1887"/>
      <c r="QNC26" s="1888"/>
      <c r="QND26" s="1882"/>
      <c r="QNE26" s="1882"/>
      <c r="QNF26" s="1882"/>
      <c r="QNH26" s="1887"/>
      <c r="QNI26" s="1888"/>
      <c r="QNJ26" s="1882"/>
      <c r="QNK26" s="1882"/>
      <c r="QNL26" s="1882"/>
      <c r="QNN26" s="1887"/>
      <c r="QNO26" s="1888"/>
      <c r="QNP26" s="1882"/>
      <c r="QNQ26" s="1882"/>
      <c r="QNR26" s="1882"/>
      <c r="QNT26" s="1887"/>
      <c r="QNU26" s="1888"/>
      <c r="QNV26" s="1882"/>
      <c r="QNW26" s="1882"/>
      <c r="QNX26" s="1882"/>
      <c r="QNZ26" s="1887"/>
      <c r="QOA26" s="1888"/>
      <c r="QOB26" s="1882"/>
      <c r="QOC26" s="1882"/>
      <c r="QOD26" s="1882"/>
      <c r="QOF26" s="1887"/>
      <c r="QOG26" s="1888"/>
      <c r="QOH26" s="1882"/>
      <c r="QOI26" s="1882"/>
      <c r="QOJ26" s="1882"/>
      <c r="QOL26" s="1887"/>
      <c r="QOM26" s="1888"/>
      <c r="QON26" s="1882"/>
      <c r="QOO26" s="1882"/>
      <c r="QOP26" s="1882"/>
      <c r="QOR26" s="1887"/>
      <c r="QOS26" s="1888"/>
      <c r="QOT26" s="1882"/>
      <c r="QOU26" s="1882"/>
      <c r="QOV26" s="1882"/>
      <c r="QOX26" s="1887"/>
      <c r="QOY26" s="1888"/>
      <c r="QOZ26" s="1882"/>
      <c r="QPA26" s="1882"/>
      <c r="QPB26" s="1882"/>
      <c r="QPD26" s="1887"/>
      <c r="QPE26" s="1888"/>
      <c r="QPF26" s="1882"/>
      <c r="QPG26" s="1882"/>
      <c r="QPH26" s="1882"/>
      <c r="QPJ26" s="1887"/>
      <c r="QPK26" s="1888"/>
      <c r="QPL26" s="1882"/>
      <c r="QPM26" s="1882"/>
      <c r="QPN26" s="1882"/>
      <c r="QPP26" s="1887"/>
      <c r="QPQ26" s="1888"/>
      <c r="QPR26" s="1882"/>
      <c r="QPS26" s="1882"/>
      <c r="QPT26" s="1882"/>
      <c r="QPV26" s="1887"/>
      <c r="QPW26" s="1888"/>
      <c r="QPX26" s="1882"/>
      <c r="QPY26" s="1882"/>
      <c r="QPZ26" s="1882"/>
      <c r="QQB26" s="1887"/>
      <c r="QQC26" s="1888"/>
      <c r="QQD26" s="1882"/>
      <c r="QQE26" s="1882"/>
      <c r="QQF26" s="1882"/>
      <c r="QQH26" s="1887"/>
      <c r="QQI26" s="1888"/>
      <c r="QQJ26" s="1882"/>
      <c r="QQK26" s="1882"/>
      <c r="QQL26" s="1882"/>
      <c r="QQN26" s="1887"/>
      <c r="QQO26" s="1888"/>
      <c r="QQP26" s="1882"/>
      <c r="QQQ26" s="1882"/>
      <c r="QQR26" s="1882"/>
      <c r="QQT26" s="1887"/>
      <c r="QQU26" s="1888"/>
      <c r="QQV26" s="1882"/>
      <c r="QQW26" s="1882"/>
      <c r="QQX26" s="1882"/>
      <c r="QQZ26" s="1887"/>
      <c r="QRA26" s="1888"/>
      <c r="QRB26" s="1882"/>
      <c r="QRC26" s="1882"/>
      <c r="QRD26" s="1882"/>
      <c r="QRF26" s="1887"/>
      <c r="QRG26" s="1888"/>
      <c r="QRH26" s="1882"/>
      <c r="QRI26" s="1882"/>
      <c r="QRJ26" s="1882"/>
      <c r="QRL26" s="1887"/>
      <c r="QRM26" s="1888"/>
      <c r="QRN26" s="1882"/>
      <c r="QRO26" s="1882"/>
      <c r="QRP26" s="1882"/>
      <c r="QRR26" s="1887"/>
      <c r="QRS26" s="1888"/>
      <c r="QRT26" s="1882"/>
      <c r="QRU26" s="1882"/>
      <c r="QRV26" s="1882"/>
      <c r="QRX26" s="1887"/>
      <c r="QRY26" s="1888"/>
      <c r="QRZ26" s="1882"/>
      <c r="QSA26" s="1882"/>
      <c r="QSB26" s="1882"/>
      <c r="QSD26" s="1887"/>
      <c r="QSE26" s="1888"/>
      <c r="QSF26" s="1882"/>
      <c r="QSG26" s="1882"/>
      <c r="QSH26" s="1882"/>
      <c r="QSJ26" s="1887"/>
      <c r="QSK26" s="1888"/>
      <c r="QSL26" s="1882"/>
      <c r="QSM26" s="1882"/>
      <c r="QSN26" s="1882"/>
      <c r="QSP26" s="1887"/>
      <c r="QSQ26" s="1888"/>
      <c r="QSR26" s="1882"/>
      <c r="QSS26" s="1882"/>
      <c r="QST26" s="1882"/>
      <c r="QSV26" s="1887"/>
      <c r="QSW26" s="1888"/>
      <c r="QSX26" s="1882"/>
      <c r="QSY26" s="1882"/>
      <c r="QSZ26" s="1882"/>
      <c r="QTB26" s="1887"/>
      <c r="QTC26" s="1888"/>
      <c r="QTD26" s="1882"/>
      <c r="QTE26" s="1882"/>
      <c r="QTF26" s="1882"/>
      <c r="QTH26" s="1887"/>
      <c r="QTI26" s="1888"/>
      <c r="QTJ26" s="1882"/>
      <c r="QTK26" s="1882"/>
      <c r="QTL26" s="1882"/>
      <c r="QTN26" s="1887"/>
      <c r="QTO26" s="1888"/>
      <c r="QTP26" s="1882"/>
      <c r="QTQ26" s="1882"/>
      <c r="QTR26" s="1882"/>
      <c r="QTT26" s="1887"/>
      <c r="QTU26" s="1888"/>
      <c r="QTV26" s="1882"/>
      <c r="QTW26" s="1882"/>
      <c r="QTX26" s="1882"/>
      <c r="QTZ26" s="1887"/>
      <c r="QUA26" s="1888"/>
      <c r="QUB26" s="1882"/>
      <c r="QUC26" s="1882"/>
      <c r="QUD26" s="1882"/>
      <c r="QUF26" s="1887"/>
      <c r="QUG26" s="1888"/>
      <c r="QUH26" s="1882"/>
      <c r="QUI26" s="1882"/>
      <c r="QUJ26" s="1882"/>
      <c r="QUL26" s="1887"/>
      <c r="QUM26" s="1888"/>
      <c r="QUN26" s="1882"/>
      <c r="QUO26" s="1882"/>
      <c r="QUP26" s="1882"/>
      <c r="QUR26" s="1887"/>
      <c r="QUS26" s="1888"/>
      <c r="QUT26" s="1882"/>
      <c r="QUU26" s="1882"/>
      <c r="QUV26" s="1882"/>
      <c r="QUX26" s="1887"/>
      <c r="QUY26" s="1888"/>
      <c r="QUZ26" s="1882"/>
      <c r="QVA26" s="1882"/>
      <c r="QVB26" s="1882"/>
      <c r="QVD26" s="1887"/>
      <c r="QVE26" s="1888"/>
      <c r="QVF26" s="1882"/>
      <c r="QVG26" s="1882"/>
      <c r="QVH26" s="1882"/>
      <c r="QVJ26" s="1887"/>
      <c r="QVK26" s="1888"/>
      <c r="QVL26" s="1882"/>
      <c r="QVM26" s="1882"/>
      <c r="QVN26" s="1882"/>
      <c r="QVP26" s="1887"/>
      <c r="QVQ26" s="1888"/>
      <c r="QVR26" s="1882"/>
      <c r="QVS26" s="1882"/>
      <c r="QVT26" s="1882"/>
      <c r="QVV26" s="1887"/>
      <c r="QVW26" s="1888"/>
      <c r="QVX26" s="1882"/>
      <c r="QVY26" s="1882"/>
      <c r="QVZ26" s="1882"/>
      <c r="QWB26" s="1887"/>
      <c r="QWC26" s="1888"/>
      <c r="QWD26" s="1882"/>
      <c r="QWE26" s="1882"/>
      <c r="QWF26" s="1882"/>
      <c r="QWH26" s="1887"/>
      <c r="QWI26" s="1888"/>
      <c r="QWJ26" s="1882"/>
      <c r="QWK26" s="1882"/>
      <c r="QWL26" s="1882"/>
      <c r="QWN26" s="1887"/>
      <c r="QWO26" s="1888"/>
      <c r="QWP26" s="1882"/>
      <c r="QWQ26" s="1882"/>
      <c r="QWR26" s="1882"/>
      <c r="QWT26" s="1887"/>
      <c r="QWU26" s="1888"/>
      <c r="QWV26" s="1882"/>
      <c r="QWW26" s="1882"/>
      <c r="QWX26" s="1882"/>
      <c r="QWZ26" s="1887"/>
      <c r="QXA26" s="1888"/>
      <c r="QXB26" s="1882"/>
      <c r="QXC26" s="1882"/>
      <c r="QXD26" s="1882"/>
      <c r="QXF26" s="1887"/>
      <c r="QXG26" s="1888"/>
      <c r="QXH26" s="1882"/>
      <c r="QXI26" s="1882"/>
      <c r="QXJ26" s="1882"/>
      <c r="QXL26" s="1887"/>
      <c r="QXM26" s="1888"/>
      <c r="QXN26" s="1882"/>
      <c r="QXO26" s="1882"/>
      <c r="QXP26" s="1882"/>
      <c r="QXR26" s="1887"/>
      <c r="QXS26" s="1888"/>
      <c r="QXT26" s="1882"/>
      <c r="QXU26" s="1882"/>
      <c r="QXV26" s="1882"/>
      <c r="QXX26" s="1887"/>
      <c r="QXY26" s="1888"/>
      <c r="QXZ26" s="1882"/>
      <c r="QYA26" s="1882"/>
      <c r="QYB26" s="1882"/>
      <c r="QYD26" s="1887"/>
      <c r="QYE26" s="1888"/>
      <c r="QYF26" s="1882"/>
      <c r="QYG26" s="1882"/>
      <c r="QYH26" s="1882"/>
      <c r="QYJ26" s="1887"/>
      <c r="QYK26" s="1888"/>
      <c r="QYL26" s="1882"/>
      <c r="QYM26" s="1882"/>
      <c r="QYN26" s="1882"/>
      <c r="QYP26" s="1887"/>
      <c r="QYQ26" s="1888"/>
      <c r="QYR26" s="1882"/>
      <c r="QYS26" s="1882"/>
      <c r="QYT26" s="1882"/>
      <c r="QYV26" s="1887"/>
      <c r="QYW26" s="1888"/>
      <c r="QYX26" s="1882"/>
      <c r="QYY26" s="1882"/>
      <c r="QYZ26" s="1882"/>
      <c r="QZB26" s="1887"/>
      <c r="QZC26" s="1888"/>
      <c r="QZD26" s="1882"/>
      <c r="QZE26" s="1882"/>
      <c r="QZF26" s="1882"/>
      <c r="QZH26" s="1887"/>
      <c r="QZI26" s="1888"/>
      <c r="QZJ26" s="1882"/>
      <c r="QZK26" s="1882"/>
      <c r="QZL26" s="1882"/>
      <c r="QZN26" s="1887"/>
      <c r="QZO26" s="1888"/>
      <c r="QZP26" s="1882"/>
      <c r="QZQ26" s="1882"/>
      <c r="QZR26" s="1882"/>
      <c r="QZT26" s="1887"/>
      <c r="QZU26" s="1888"/>
      <c r="QZV26" s="1882"/>
      <c r="QZW26" s="1882"/>
      <c r="QZX26" s="1882"/>
      <c r="QZZ26" s="1887"/>
      <c r="RAA26" s="1888"/>
      <c r="RAB26" s="1882"/>
      <c r="RAC26" s="1882"/>
      <c r="RAD26" s="1882"/>
      <c r="RAF26" s="1887"/>
      <c r="RAG26" s="1888"/>
      <c r="RAH26" s="1882"/>
      <c r="RAI26" s="1882"/>
      <c r="RAJ26" s="1882"/>
      <c r="RAL26" s="1887"/>
      <c r="RAM26" s="1888"/>
      <c r="RAN26" s="1882"/>
      <c r="RAO26" s="1882"/>
      <c r="RAP26" s="1882"/>
      <c r="RAR26" s="1887"/>
      <c r="RAS26" s="1888"/>
      <c r="RAT26" s="1882"/>
      <c r="RAU26" s="1882"/>
      <c r="RAV26" s="1882"/>
      <c r="RAX26" s="1887"/>
      <c r="RAY26" s="1888"/>
      <c r="RAZ26" s="1882"/>
      <c r="RBA26" s="1882"/>
      <c r="RBB26" s="1882"/>
      <c r="RBD26" s="1887"/>
      <c r="RBE26" s="1888"/>
      <c r="RBF26" s="1882"/>
      <c r="RBG26" s="1882"/>
      <c r="RBH26" s="1882"/>
      <c r="RBJ26" s="1887"/>
      <c r="RBK26" s="1888"/>
      <c r="RBL26" s="1882"/>
      <c r="RBM26" s="1882"/>
      <c r="RBN26" s="1882"/>
      <c r="RBP26" s="1887"/>
      <c r="RBQ26" s="1888"/>
      <c r="RBR26" s="1882"/>
      <c r="RBS26" s="1882"/>
      <c r="RBT26" s="1882"/>
      <c r="RBV26" s="1887"/>
      <c r="RBW26" s="1888"/>
      <c r="RBX26" s="1882"/>
      <c r="RBY26" s="1882"/>
      <c r="RBZ26" s="1882"/>
      <c r="RCB26" s="1887"/>
      <c r="RCC26" s="1888"/>
      <c r="RCD26" s="1882"/>
      <c r="RCE26" s="1882"/>
      <c r="RCF26" s="1882"/>
      <c r="RCH26" s="1887"/>
      <c r="RCI26" s="1888"/>
      <c r="RCJ26" s="1882"/>
      <c r="RCK26" s="1882"/>
      <c r="RCL26" s="1882"/>
      <c r="RCN26" s="1887"/>
      <c r="RCO26" s="1888"/>
      <c r="RCP26" s="1882"/>
      <c r="RCQ26" s="1882"/>
      <c r="RCR26" s="1882"/>
      <c r="RCT26" s="1887"/>
      <c r="RCU26" s="1888"/>
      <c r="RCV26" s="1882"/>
      <c r="RCW26" s="1882"/>
      <c r="RCX26" s="1882"/>
      <c r="RCZ26" s="1887"/>
      <c r="RDA26" s="1888"/>
      <c r="RDB26" s="1882"/>
      <c r="RDC26" s="1882"/>
      <c r="RDD26" s="1882"/>
      <c r="RDF26" s="1887"/>
      <c r="RDG26" s="1888"/>
      <c r="RDH26" s="1882"/>
      <c r="RDI26" s="1882"/>
      <c r="RDJ26" s="1882"/>
      <c r="RDL26" s="1887"/>
      <c r="RDM26" s="1888"/>
      <c r="RDN26" s="1882"/>
      <c r="RDO26" s="1882"/>
      <c r="RDP26" s="1882"/>
      <c r="RDR26" s="1887"/>
      <c r="RDS26" s="1888"/>
      <c r="RDT26" s="1882"/>
      <c r="RDU26" s="1882"/>
      <c r="RDV26" s="1882"/>
      <c r="RDX26" s="1887"/>
      <c r="RDY26" s="1888"/>
      <c r="RDZ26" s="1882"/>
      <c r="REA26" s="1882"/>
      <c r="REB26" s="1882"/>
      <c r="RED26" s="1887"/>
      <c r="REE26" s="1888"/>
      <c r="REF26" s="1882"/>
      <c r="REG26" s="1882"/>
      <c r="REH26" s="1882"/>
      <c r="REJ26" s="1887"/>
      <c r="REK26" s="1888"/>
      <c r="REL26" s="1882"/>
      <c r="REM26" s="1882"/>
      <c r="REN26" s="1882"/>
      <c r="REP26" s="1887"/>
      <c r="REQ26" s="1888"/>
      <c r="RER26" s="1882"/>
      <c r="RES26" s="1882"/>
      <c r="RET26" s="1882"/>
      <c r="REV26" s="1887"/>
      <c r="REW26" s="1888"/>
      <c r="REX26" s="1882"/>
      <c r="REY26" s="1882"/>
      <c r="REZ26" s="1882"/>
      <c r="RFB26" s="1887"/>
      <c r="RFC26" s="1888"/>
      <c r="RFD26" s="1882"/>
      <c r="RFE26" s="1882"/>
      <c r="RFF26" s="1882"/>
      <c r="RFH26" s="1887"/>
      <c r="RFI26" s="1888"/>
      <c r="RFJ26" s="1882"/>
      <c r="RFK26" s="1882"/>
      <c r="RFL26" s="1882"/>
      <c r="RFN26" s="1887"/>
      <c r="RFO26" s="1888"/>
      <c r="RFP26" s="1882"/>
      <c r="RFQ26" s="1882"/>
      <c r="RFR26" s="1882"/>
      <c r="RFT26" s="1887"/>
      <c r="RFU26" s="1888"/>
      <c r="RFV26" s="1882"/>
      <c r="RFW26" s="1882"/>
      <c r="RFX26" s="1882"/>
      <c r="RFZ26" s="1887"/>
      <c r="RGA26" s="1888"/>
      <c r="RGB26" s="1882"/>
      <c r="RGC26" s="1882"/>
      <c r="RGD26" s="1882"/>
      <c r="RGF26" s="1887"/>
      <c r="RGG26" s="1888"/>
      <c r="RGH26" s="1882"/>
      <c r="RGI26" s="1882"/>
      <c r="RGJ26" s="1882"/>
      <c r="RGL26" s="1887"/>
      <c r="RGM26" s="1888"/>
      <c r="RGN26" s="1882"/>
      <c r="RGO26" s="1882"/>
      <c r="RGP26" s="1882"/>
      <c r="RGR26" s="1887"/>
      <c r="RGS26" s="1888"/>
      <c r="RGT26" s="1882"/>
      <c r="RGU26" s="1882"/>
      <c r="RGV26" s="1882"/>
      <c r="RGX26" s="1887"/>
      <c r="RGY26" s="1888"/>
      <c r="RGZ26" s="1882"/>
      <c r="RHA26" s="1882"/>
      <c r="RHB26" s="1882"/>
      <c r="RHD26" s="1887"/>
      <c r="RHE26" s="1888"/>
      <c r="RHF26" s="1882"/>
      <c r="RHG26" s="1882"/>
      <c r="RHH26" s="1882"/>
      <c r="RHJ26" s="1887"/>
      <c r="RHK26" s="1888"/>
      <c r="RHL26" s="1882"/>
      <c r="RHM26" s="1882"/>
      <c r="RHN26" s="1882"/>
      <c r="RHP26" s="1887"/>
      <c r="RHQ26" s="1888"/>
      <c r="RHR26" s="1882"/>
      <c r="RHS26" s="1882"/>
      <c r="RHT26" s="1882"/>
      <c r="RHV26" s="1887"/>
      <c r="RHW26" s="1888"/>
      <c r="RHX26" s="1882"/>
      <c r="RHY26" s="1882"/>
      <c r="RHZ26" s="1882"/>
      <c r="RIB26" s="1887"/>
      <c r="RIC26" s="1888"/>
      <c r="RID26" s="1882"/>
      <c r="RIE26" s="1882"/>
      <c r="RIF26" s="1882"/>
      <c r="RIH26" s="1887"/>
      <c r="RII26" s="1888"/>
      <c r="RIJ26" s="1882"/>
      <c r="RIK26" s="1882"/>
      <c r="RIL26" s="1882"/>
      <c r="RIN26" s="1887"/>
      <c r="RIO26" s="1888"/>
      <c r="RIP26" s="1882"/>
      <c r="RIQ26" s="1882"/>
      <c r="RIR26" s="1882"/>
      <c r="RIT26" s="1887"/>
      <c r="RIU26" s="1888"/>
      <c r="RIV26" s="1882"/>
      <c r="RIW26" s="1882"/>
      <c r="RIX26" s="1882"/>
      <c r="RIZ26" s="1887"/>
      <c r="RJA26" s="1888"/>
      <c r="RJB26" s="1882"/>
      <c r="RJC26" s="1882"/>
      <c r="RJD26" s="1882"/>
      <c r="RJF26" s="1887"/>
      <c r="RJG26" s="1888"/>
      <c r="RJH26" s="1882"/>
      <c r="RJI26" s="1882"/>
      <c r="RJJ26" s="1882"/>
      <c r="RJL26" s="1887"/>
      <c r="RJM26" s="1888"/>
      <c r="RJN26" s="1882"/>
      <c r="RJO26" s="1882"/>
      <c r="RJP26" s="1882"/>
      <c r="RJR26" s="1887"/>
      <c r="RJS26" s="1888"/>
      <c r="RJT26" s="1882"/>
      <c r="RJU26" s="1882"/>
      <c r="RJV26" s="1882"/>
      <c r="RJX26" s="1887"/>
      <c r="RJY26" s="1888"/>
      <c r="RJZ26" s="1882"/>
      <c r="RKA26" s="1882"/>
      <c r="RKB26" s="1882"/>
      <c r="RKD26" s="1887"/>
      <c r="RKE26" s="1888"/>
      <c r="RKF26" s="1882"/>
      <c r="RKG26" s="1882"/>
      <c r="RKH26" s="1882"/>
      <c r="RKJ26" s="1887"/>
      <c r="RKK26" s="1888"/>
      <c r="RKL26" s="1882"/>
      <c r="RKM26" s="1882"/>
      <c r="RKN26" s="1882"/>
      <c r="RKP26" s="1887"/>
      <c r="RKQ26" s="1888"/>
      <c r="RKR26" s="1882"/>
      <c r="RKS26" s="1882"/>
      <c r="RKT26" s="1882"/>
      <c r="RKV26" s="1887"/>
      <c r="RKW26" s="1888"/>
      <c r="RKX26" s="1882"/>
      <c r="RKY26" s="1882"/>
      <c r="RKZ26" s="1882"/>
      <c r="RLB26" s="1887"/>
      <c r="RLC26" s="1888"/>
      <c r="RLD26" s="1882"/>
      <c r="RLE26" s="1882"/>
      <c r="RLF26" s="1882"/>
      <c r="RLH26" s="1887"/>
      <c r="RLI26" s="1888"/>
      <c r="RLJ26" s="1882"/>
      <c r="RLK26" s="1882"/>
      <c r="RLL26" s="1882"/>
      <c r="RLN26" s="1887"/>
      <c r="RLO26" s="1888"/>
      <c r="RLP26" s="1882"/>
      <c r="RLQ26" s="1882"/>
      <c r="RLR26" s="1882"/>
      <c r="RLT26" s="1887"/>
      <c r="RLU26" s="1888"/>
      <c r="RLV26" s="1882"/>
      <c r="RLW26" s="1882"/>
      <c r="RLX26" s="1882"/>
      <c r="RLZ26" s="1887"/>
      <c r="RMA26" s="1888"/>
      <c r="RMB26" s="1882"/>
      <c r="RMC26" s="1882"/>
      <c r="RMD26" s="1882"/>
      <c r="RMF26" s="1887"/>
      <c r="RMG26" s="1888"/>
      <c r="RMH26" s="1882"/>
      <c r="RMI26" s="1882"/>
      <c r="RMJ26" s="1882"/>
      <c r="RML26" s="1887"/>
      <c r="RMM26" s="1888"/>
      <c r="RMN26" s="1882"/>
      <c r="RMO26" s="1882"/>
      <c r="RMP26" s="1882"/>
      <c r="RMR26" s="1887"/>
      <c r="RMS26" s="1888"/>
      <c r="RMT26" s="1882"/>
      <c r="RMU26" s="1882"/>
      <c r="RMV26" s="1882"/>
      <c r="RMX26" s="1887"/>
      <c r="RMY26" s="1888"/>
      <c r="RMZ26" s="1882"/>
      <c r="RNA26" s="1882"/>
      <c r="RNB26" s="1882"/>
      <c r="RND26" s="1887"/>
      <c r="RNE26" s="1888"/>
      <c r="RNF26" s="1882"/>
      <c r="RNG26" s="1882"/>
      <c r="RNH26" s="1882"/>
      <c r="RNJ26" s="1887"/>
      <c r="RNK26" s="1888"/>
      <c r="RNL26" s="1882"/>
      <c r="RNM26" s="1882"/>
      <c r="RNN26" s="1882"/>
      <c r="RNP26" s="1887"/>
      <c r="RNQ26" s="1888"/>
      <c r="RNR26" s="1882"/>
      <c r="RNS26" s="1882"/>
      <c r="RNT26" s="1882"/>
      <c r="RNV26" s="1887"/>
      <c r="RNW26" s="1888"/>
      <c r="RNX26" s="1882"/>
      <c r="RNY26" s="1882"/>
      <c r="RNZ26" s="1882"/>
      <c r="ROB26" s="1887"/>
      <c r="ROC26" s="1888"/>
      <c r="ROD26" s="1882"/>
      <c r="ROE26" s="1882"/>
      <c r="ROF26" s="1882"/>
      <c r="ROH26" s="1887"/>
      <c r="ROI26" s="1888"/>
      <c r="ROJ26" s="1882"/>
      <c r="ROK26" s="1882"/>
      <c r="ROL26" s="1882"/>
      <c r="RON26" s="1887"/>
      <c r="ROO26" s="1888"/>
      <c r="ROP26" s="1882"/>
      <c r="ROQ26" s="1882"/>
      <c r="ROR26" s="1882"/>
      <c r="ROT26" s="1887"/>
      <c r="ROU26" s="1888"/>
      <c r="ROV26" s="1882"/>
      <c r="ROW26" s="1882"/>
      <c r="ROX26" s="1882"/>
      <c r="ROZ26" s="1887"/>
      <c r="RPA26" s="1888"/>
      <c r="RPB26" s="1882"/>
      <c r="RPC26" s="1882"/>
      <c r="RPD26" s="1882"/>
      <c r="RPF26" s="1887"/>
      <c r="RPG26" s="1888"/>
      <c r="RPH26" s="1882"/>
      <c r="RPI26" s="1882"/>
      <c r="RPJ26" s="1882"/>
      <c r="RPL26" s="1887"/>
      <c r="RPM26" s="1888"/>
      <c r="RPN26" s="1882"/>
      <c r="RPO26" s="1882"/>
      <c r="RPP26" s="1882"/>
      <c r="RPR26" s="1887"/>
      <c r="RPS26" s="1888"/>
      <c r="RPT26" s="1882"/>
      <c r="RPU26" s="1882"/>
      <c r="RPV26" s="1882"/>
      <c r="RPX26" s="1887"/>
      <c r="RPY26" s="1888"/>
      <c r="RPZ26" s="1882"/>
      <c r="RQA26" s="1882"/>
      <c r="RQB26" s="1882"/>
      <c r="RQD26" s="1887"/>
      <c r="RQE26" s="1888"/>
      <c r="RQF26" s="1882"/>
      <c r="RQG26" s="1882"/>
      <c r="RQH26" s="1882"/>
      <c r="RQJ26" s="1887"/>
      <c r="RQK26" s="1888"/>
      <c r="RQL26" s="1882"/>
      <c r="RQM26" s="1882"/>
      <c r="RQN26" s="1882"/>
      <c r="RQP26" s="1887"/>
      <c r="RQQ26" s="1888"/>
      <c r="RQR26" s="1882"/>
      <c r="RQS26" s="1882"/>
      <c r="RQT26" s="1882"/>
      <c r="RQV26" s="1887"/>
      <c r="RQW26" s="1888"/>
      <c r="RQX26" s="1882"/>
      <c r="RQY26" s="1882"/>
      <c r="RQZ26" s="1882"/>
      <c r="RRB26" s="1887"/>
      <c r="RRC26" s="1888"/>
      <c r="RRD26" s="1882"/>
      <c r="RRE26" s="1882"/>
      <c r="RRF26" s="1882"/>
      <c r="RRH26" s="1887"/>
      <c r="RRI26" s="1888"/>
      <c r="RRJ26" s="1882"/>
      <c r="RRK26" s="1882"/>
      <c r="RRL26" s="1882"/>
      <c r="RRN26" s="1887"/>
      <c r="RRO26" s="1888"/>
      <c r="RRP26" s="1882"/>
      <c r="RRQ26" s="1882"/>
      <c r="RRR26" s="1882"/>
      <c r="RRT26" s="1887"/>
      <c r="RRU26" s="1888"/>
      <c r="RRV26" s="1882"/>
      <c r="RRW26" s="1882"/>
      <c r="RRX26" s="1882"/>
      <c r="RRZ26" s="1887"/>
      <c r="RSA26" s="1888"/>
      <c r="RSB26" s="1882"/>
      <c r="RSC26" s="1882"/>
      <c r="RSD26" s="1882"/>
      <c r="RSF26" s="1887"/>
      <c r="RSG26" s="1888"/>
      <c r="RSH26" s="1882"/>
      <c r="RSI26" s="1882"/>
      <c r="RSJ26" s="1882"/>
      <c r="RSL26" s="1887"/>
      <c r="RSM26" s="1888"/>
      <c r="RSN26" s="1882"/>
      <c r="RSO26" s="1882"/>
      <c r="RSP26" s="1882"/>
      <c r="RSR26" s="1887"/>
      <c r="RSS26" s="1888"/>
      <c r="RST26" s="1882"/>
      <c r="RSU26" s="1882"/>
      <c r="RSV26" s="1882"/>
      <c r="RSX26" s="1887"/>
      <c r="RSY26" s="1888"/>
      <c r="RSZ26" s="1882"/>
      <c r="RTA26" s="1882"/>
      <c r="RTB26" s="1882"/>
      <c r="RTD26" s="1887"/>
      <c r="RTE26" s="1888"/>
      <c r="RTF26" s="1882"/>
      <c r="RTG26" s="1882"/>
      <c r="RTH26" s="1882"/>
      <c r="RTJ26" s="1887"/>
      <c r="RTK26" s="1888"/>
      <c r="RTL26" s="1882"/>
      <c r="RTM26" s="1882"/>
      <c r="RTN26" s="1882"/>
      <c r="RTP26" s="1887"/>
      <c r="RTQ26" s="1888"/>
      <c r="RTR26" s="1882"/>
      <c r="RTS26" s="1882"/>
      <c r="RTT26" s="1882"/>
      <c r="RTV26" s="1887"/>
      <c r="RTW26" s="1888"/>
      <c r="RTX26" s="1882"/>
      <c r="RTY26" s="1882"/>
      <c r="RTZ26" s="1882"/>
      <c r="RUB26" s="1887"/>
      <c r="RUC26" s="1888"/>
      <c r="RUD26" s="1882"/>
      <c r="RUE26" s="1882"/>
      <c r="RUF26" s="1882"/>
      <c r="RUH26" s="1887"/>
      <c r="RUI26" s="1888"/>
      <c r="RUJ26" s="1882"/>
      <c r="RUK26" s="1882"/>
      <c r="RUL26" s="1882"/>
      <c r="RUN26" s="1887"/>
      <c r="RUO26" s="1888"/>
      <c r="RUP26" s="1882"/>
      <c r="RUQ26" s="1882"/>
      <c r="RUR26" s="1882"/>
      <c r="RUT26" s="1887"/>
      <c r="RUU26" s="1888"/>
      <c r="RUV26" s="1882"/>
      <c r="RUW26" s="1882"/>
      <c r="RUX26" s="1882"/>
      <c r="RUZ26" s="1887"/>
      <c r="RVA26" s="1888"/>
      <c r="RVB26" s="1882"/>
      <c r="RVC26" s="1882"/>
      <c r="RVD26" s="1882"/>
      <c r="RVF26" s="1887"/>
      <c r="RVG26" s="1888"/>
      <c r="RVH26" s="1882"/>
      <c r="RVI26" s="1882"/>
      <c r="RVJ26" s="1882"/>
      <c r="RVL26" s="1887"/>
      <c r="RVM26" s="1888"/>
      <c r="RVN26" s="1882"/>
      <c r="RVO26" s="1882"/>
      <c r="RVP26" s="1882"/>
      <c r="RVR26" s="1887"/>
      <c r="RVS26" s="1888"/>
      <c r="RVT26" s="1882"/>
      <c r="RVU26" s="1882"/>
      <c r="RVV26" s="1882"/>
      <c r="RVX26" s="1887"/>
      <c r="RVY26" s="1888"/>
      <c r="RVZ26" s="1882"/>
      <c r="RWA26" s="1882"/>
      <c r="RWB26" s="1882"/>
      <c r="RWD26" s="1887"/>
      <c r="RWE26" s="1888"/>
      <c r="RWF26" s="1882"/>
      <c r="RWG26" s="1882"/>
      <c r="RWH26" s="1882"/>
      <c r="RWJ26" s="1887"/>
      <c r="RWK26" s="1888"/>
      <c r="RWL26" s="1882"/>
      <c r="RWM26" s="1882"/>
      <c r="RWN26" s="1882"/>
      <c r="RWP26" s="1887"/>
      <c r="RWQ26" s="1888"/>
      <c r="RWR26" s="1882"/>
      <c r="RWS26" s="1882"/>
      <c r="RWT26" s="1882"/>
      <c r="RWV26" s="1887"/>
      <c r="RWW26" s="1888"/>
      <c r="RWX26" s="1882"/>
      <c r="RWY26" s="1882"/>
      <c r="RWZ26" s="1882"/>
      <c r="RXB26" s="1887"/>
      <c r="RXC26" s="1888"/>
      <c r="RXD26" s="1882"/>
      <c r="RXE26" s="1882"/>
      <c r="RXF26" s="1882"/>
      <c r="RXH26" s="1887"/>
      <c r="RXI26" s="1888"/>
      <c r="RXJ26" s="1882"/>
      <c r="RXK26" s="1882"/>
      <c r="RXL26" s="1882"/>
      <c r="RXN26" s="1887"/>
      <c r="RXO26" s="1888"/>
      <c r="RXP26" s="1882"/>
      <c r="RXQ26" s="1882"/>
      <c r="RXR26" s="1882"/>
      <c r="RXT26" s="1887"/>
      <c r="RXU26" s="1888"/>
      <c r="RXV26" s="1882"/>
      <c r="RXW26" s="1882"/>
      <c r="RXX26" s="1882"/>
      <c r="RXZ26" s="1887"/>
      <c r="RYA26" s="1888"/>
      <c r="RYB26" s="1882"/>
      <c r="RYC26" s="1882"/>
      <c r="RYD26" s="1882"/>
      <c r="RYF26" s="1887"/>
      <c r="RYG26" s="1888"/>
      <c r="RYH26" s="1882"/>
      <c r="RYI26" s="1882"/>
      <c r="RYJ26" s="1882"/>
      <c r="RYL26" s="1887"/>
      <c r="RYM26" s="1888"/>
      <c r="RYN26" s="1882"/>
      <c r="RYO26" s="1882"/>
      <c r="RYP26" s="1882"/>
      <c r="RYR26" s="1887"/>
      <c r="RYS26" s="1888"/>
      <c r="RYT26" s="1882"/>
      <c r="RYU26" s="1882"/>
      <c r="RYV26" s="1882"/>
      <c r="RYX26" s="1887"/>
      <c r="RYY26" s="1888"/>
      <c r="RYZ26" s="1882"/>
      <c r="RZA26" s="1882"/>
      <c r="RZB26" s="1882"/>
      <c r="RZD26" s="1887"/>
      <c r="RZE26" s="1888"/>
      <c r="RZF26" s="1882"/>
      <c r="RZG26" s="1882"/>
      <c r="RZH26" s="1882"/>
      <c r="RZJ26" s="1887"/>
      <c r="RZK26" s="1888"/>
      <c r="RZL26" s="1882"/>
      <c r="RZM26" s="1882"/>
      <c r="RZN26" s="1882"/>
      <c r="RZP26" s="1887"/>
      <c r="RZQ26" s="1888"/>
      <c r="RZR26" s="1882"/>
      <c r="RZS26" s="1882"/>
      <c r="RZT26" s="1882"/>
      <c r="RZV26" s="1887"/>
      <c r="RZW26" s="1888"/>
      <c r="RZX26" s="1882"/>
      <c r="RZY26" s="1882"/>
      <c r="RZZ26" s="1882"/>
      <c r="SAB26" s="1887"/>
      <c r="SAC26" s="1888"/>
      <c r="SAD26" s="1882"/>
      <c r="SAE26" s="1882"/>
      <c r="SAF26" s="1882"/>
      <c r="SAH26" s="1887"/>
      <c r="SAI26" s="1888"/>
      <c r="SAJ26" s="1882"/>
      <c r="SAK26" s="1882"/>
      <c r="SAL26" s="1882"/>
      <c r="SAN26" s="1887"/>
      <c r="SAO26" s="1888"/>
      <c r="SAP26" s="1882"/>
      <c r="SAQ26" s="1882"/>
      <c r="SAR26" s="1882"/>
      <c r="SAT26" s="1887"/>
      <c r="SAU26" s="1888"/>
      <c r="SAV26" s="1882"/>
      <c r="SAW26" s="1882"/>
      <c r="SAX26" s="1882"/>
      <c r="SAZ26" s="1887"/>
      <c r="SBA26" s="1888"/>
      <c r="SBB26" s="1882"/>
      <c r="SBC26" s="1882"/>
      <c r="SBD26" s="1882"/>
      <c r="SBF26" s="1887"/>
      <c r="SBG26" s="1888"/>
      <c r="SBH26" s="1882"/>
      <c r="SBI26" s="1882"/>
      <c r="SBJ26" s="1882"/>
      <c r="SBL26" s="1887"/>
      <c r="SBM26" s="1888"/>
      <c r="SBN26" s="1882"/>
      <c r="SBO26" s="1882"/>
      <c r="SBP26" s="1882"/>
      <c r="SBR26" s="1887"/>
      <c r="SBS26" s="1888"/>
      <c r="SBT26" s="1882"/>
      <c r="SBU26" s="1882"/>
      <c r="SBV26" s="1882"/>
      <c r="SBX26" s="1887"/>
      <c r="SBY26" s="1888"/>
      <c r="SBZ26" s="1882"/>
      <c r="SCA26" s="1882"/>
      <c r="SCB26" s="1882"/>
      <c r="SCD26" s="1887"/>
      <c r="SCE26" s="1888"/>
      <c r="SCF26" s="1882"/>
      <c r="SCG26" s="1882"/>
      <c r="SCH26" s="1882"/>
      <c r="SCJ26" s="1887"/>
      <c r="SCK26" s="1888"/>
      <c r="SCL26" s="1882"/>
      <c r="SCM26" s="1882"/>
      <c r="SCN26" s="1882"/>
      <c r="SCP26" s="1887"/>
      <c r="SCQ26" s="1888"/>
      <c r="SCR26" s="1882"/>
      <c r="SCS26" s="1882"/>
      <c r="SCT26" s="1882"/>
      <c r="SCV26" s="1887"/>
      <c r="SCW26" s="1888"/>
      <c r="SCX26" s="1882"/>
      <c r="SCY26" s="1882"/>
      <c r="SCZ26" s="1882"/>
      <c r="SDB26" s="1887"/>
      <c r="SDC26" s="1888"/>
      <c r="SDD26" s="1882"/>
      <c r="SDE26" s="1882"/>
      <c r="SDF26" s="1882"/>
      <c r="SDH26" s="1887"/>
      <c r="SDI26" s="1888"/>
      <c r="SDJ26" s="1882"/>
      <c r="SDK26" s="1882"/>
      <c r="SDL26" s="1882"/>
      <c r="SDN26" s="1887"/>
      <c r="SDO26" s="1888"/>
      <c r="SDP26" s="1882"/>
      <c r="SDQ26" s="1882"/>
      <c r="SDR26" s="1882"/>
      <c r="SDT26" s="1887"/>
      <c r="SDU26" s="1888"/>
      <c r="SDV26" s="1882"/>
      <c r="SDW26" s="1882"/>
      <c r="SDX26" s="1882"/>
      <c r="SDZ26" s="1887"/>
      <c r="SEA26" s="1888"/>
      <c r="SEB26" s="1882"/>
      <c r="SEC26" s="1882"/>
      <c r="SED26" s="1882"/>
      <c r="SEF26" s="1887"/>
      <c r="SEG26" s="1888"/>
      <c r="SEH26" s="1882"/>
      <c r="SEI26" s="1882"/>
      <c r="SEJ26" s="1882"/>
      <c r="SEL26" s="1887"/>
      <c r="SEM26" s="1888"/>
      <c r="SEN26" s="1882"/>
      <c r="SEO26" s="1882"/>
      <c r="SEP26" s="1882"/>
      <c r="SER26" s="1887"/>
      <c r="SES26" s="1888"/>
      <c r="SET26" s="1882"/>
      <c r="SEU26" s="1882"/>
      <c r="SEV26" s="1882"/>
      <c r="SEX26" s="1887"/>
      <c r="SEY26" s="1888"/>
      <c r="SEZ26" s="1882"/>
      <c r="SFA26" s="1882"/>
      <c r="SFB26" s="1882"/>
      <c r="SFD26" s="1887"/>
      <c r="SFE26" s="1888"/>
      <c r="SFF26" s="1882"/>
      <c r="SFG26" s="1882"/>
      <c r="SFH26" s="1882"/>
      <c r="SFJ26" s="1887"/>
      <c r="SFK26" s="1888"/>
      <c r="SFL26" s="1882"/>
      <c r="SFM26" s="1882"/>
      <c r="SFN26" s="1882"/>
      <c r="SFP26" s="1887"/>
      <c r="SFQ26" s="1888"/>
      <c r="SFR26" s="1882"/>
      <c r="SFS26" s="1882"/>
      <c r="SFT26" s="1882"/>
      <c r="SFV26" s="1887"/>
      <c r="SFW26" s="1888"/>
      <c r="SFX26" s="1882"/>
      <c r="SFY26" s="1882"/>
      <c r="SFZ26" s="1882"/>
      <c r="SGB26" s="1887"/>
      <c r="SGC26" s="1888"/>
      <c r="SGD26" s="1882"/>
      <c r="SGE26" s="1882"/>
      <c r="SGF26" s="1882"/>
      <c r="SGH26" s="1887"/>
      <c r="SGI26" s="1888"/>
      <c r="SGJ26" s="1882"/>
      <c r="SGK26" s="1882"/>
      <c r="SGL26" s="1882"/>
      <c r="SGN26" s="1887"/>
      <c r="SGO26" s="1888"/>
      <c r="SGP26" s="1882"/>
      <c r="SGQ26" s="1882"/>
      <c r="SGR26" s="1882"/>
      <c r="SGT26" s="1887"/>
      <c r="SGU26" s="1888"/>
      <c r="SGV26" s="1882"/>
      <c r="SGW26" s="1882"/>
      <c r="SGX26" s="1882"/>
      <c r="SGZ26" s="1887"/>
      <c r="SHA26" s="1888"/>
      <c r="SHB26" s="1882"/>
      <c r="SHC26" s="1882"/>
      <c r="SHD26" s="1882"/>
      <c r="SHF26" s="1887"/>
      <c r="SHG26" s="1888"/>
      <c r="SHH26" s="1882"/>
      <c r="SHI26" s="1882"/>
      <c r="SHJ26" s="1882"/>
      <c r="SHL26" s="1887"/>
      <c r="SHM26" s="1888"/>
      <c r="SHN26" s="1882"/>
      <c r="SHO26" s="1882"/>
      <c r="SHP26" s="1882"/>
      <c r="SHR26" s="1887"/>
      <c r="SHS26" s="1888"/>
      <c r="SHT26" s="1882"/>
      <c r="SHU26" s="1882"/>
      <c r="SHV26" s="1882"/>
      <c r="SHX26" s="1887"/>
      <c r="SHY26" s="1888"/>
      <c r="SHZ26" s="1882"/>
      <c r="SIA26" s="1882"/>
      <c r="SIB26" s="1882"/>
      <c r="SID26" s="1887"/>
      <c r="SIE26" s="1888"/>
      <c r="SIF26" s="1882"/>
      <c r="SIG26" s="1882"/>
      <c r="SIH26" s="1882"/>
      <c r="SIJ26" s="1887"/>
      <c r="SIK26" s="1888"/>
      <c r="SIL26" s="1882"/>
      <c r="SIM26" s="1882"/>
      <c r="SIN26" s="1882"/>
      <c r="SIP26" s="1887"/>
      <c r="SIQ26" s="1888"/>
      <c r="SIR26" s="1882"/>
      <c r="SIS26" s="1882"/>
      <c r="SIT26" s="1882"/>
      <c r="SIV26" s="1887"/>
      <c r="SIW26" s="1888"/>
      <c r="SIX26" s="1882"/>
      <c r="SIY26" s="1882"/>
      <c r="SIZ26" s="1882"/>
      <c r="SJB26" s="1887"/>
      <c r="SJC26" s="1888"/>
      <c r="SJD26" s="1882"/>
      <c r="SJE26" s="1882"/>
      <c r="SJF26" s="1882"/>
      <c r="SJH26" s="1887"/>
      <c r="SJI26" s="1888"/>
      <c r="SJJ26" s="1882"/>
      <c r="SJK26" s="1882"/>
      <c r="SJL26" s="1882"/>
      <c r="SJN26" s="1887"/>
      <c r="SJO26" s="1888"/>
      <c r="SJP26" s="1882"/>
      <c r="SJQ26" s="1882"/>
      <c r="SJR26" s="1882"/>
      <c r="SJT26" s="1887"/>
      <c r="SJU26" s="1888"/>
      <c r="SJV26" s="1882"/>
      <c r="SJW26" s="1882"/>
      <c r="SJX26" s="1882"/>
      <c r="SJZ26" s="1887"/>
      <c r="SKA26" s="1888"/>
      <c r="SKB26" s="1882"/>
      <c r="SKC26" s="1882"/>
      <c r="SKD26" s="1882"/>
      <c r="SKF26" s="1887"/>
      <c r="SKG26" s="1888"/>
      <c r="SKH26" s="1882"/>
      <c r="SKI26" s="1882"/>
      <c r="SKJ26" s="1882"/>
      <c r="SKL26" s="1887"/>
      <c r="SKM26" s="1888"/>
      <c r="SKN26" s="1882"/>
      <c r="SKO26" s="1882"/>
      <c r="SKP26" s="1882"/>
      <c r="SKR26" s="1887"/>
      <c r="SKS26" s="1888"/>
      <c r="SKT26" s="1882"/>
      <c r="SKU26" s="1882"/>
      <c r="SKV26" s="1882"/>
      <c r="SKX26" s="1887"/>
      <c r="SKY26" s="1888"/>
      <c r="SKZ26" s="1882"/>
      <c r="SLA26" s="1882"/>
      <c r="SLB26" s="1882"/>
      <c r="SLD26" s="1887"/>
      <c r="SLE26" s="1888"/>
      <c r="SLF26" s="1882"/>
      <c r="SLG26" s="1882"/>
      <c r="SLH26" s="1882"/>
      <c r="SLJ26" s="1887"/>
      <c r="SLK26" s="1888"/>
      <c r="SLL26" s="1882"/>
      <c r="SLM26" s="1882"/>
      <c r="SLN26" s="1882"/>
      <c r="SLP26" s="1887"/>
      <c r="SLQ26" s="1888"/>
      <c r="SLR26" s="1882"/>
      <c r="SLS26" s="1882"/>
      <c r="SLT26" s="1882"/>
      <c r="SLV26" s="1887"/>
      <c r="SLW26" s="1888"/>
      <c r="SLX26" s="1882"/>
      <c r="SLY26" s="1882"/>
      <c r="SLZ26" s="1882"/>
      <c r="SMB26" s="1887"/>
      <c r="SMC26" s="1888"/>
      <c r="SMD26" s="1882"/>
      <c r="SME26" s="1882"/>
      <c r="SMF26" s="1882"/>
      <c r="SMH26" s="1887"/>
      <c r="SMI26" s="1888"/>
      <c r="SMJ26" s="1882"/>
      <c r="SMK26" s="1882"/>
      <c r="SML26" s="1882"/>
      <c r="SMN26" s="1887"/>
      <c r="SMO26" s="1888"/>
      <c r="SMP26" s="1882"/>
      <c r="SMQ26" s="1882"/>
      <c r="SMR26" s="1882"/>
      <c r="SMT26" s="1887"/>
      <c r="SMU26" s="1888"/>
      <c r="SMV26" s="1882"/>
      <c r="SMW26" s="1882"/>
      <c r="SMX26" s="1882"/>
      <c r="SMZ26" s="1887"/>
      <c r="SNA26" s="1888"/>
      <c r="SNB26" s="1882"/>
      <c r="SNC26" s="1882"/>
      <c r="SND26" s="1882"/>
      <c r="SNF26" s="1887"/>
      <c r="SNG26" s="1888"/>
      <c r="SNH26" s="1882"/>
      <c r="SNI26" s="1882"/>
      <c r="SNJ26" s="1882"/>
      <c r="SNL26" s="1887"/>
      <c r="SNM26" s="1888"/>
      <c r="SNN26" s="1882"/>
      <c r="SNO26" s="1882"/>
      <c r="SNP26" s="1882"/>
      <c r="SNR26" s="1887"/>
      <c r="SNS26" s="1888"/>
      <c r="SNT26" s="1882"/>
      <c r="SNU26" s="1882"/>
      <c r="SNV26" s="1882"/>
      <c r="SNX26" s="1887"/>
      <c r="SNY26" s="1888"/>
      <c r="SNZ26" s="1882"/>
      <c r="SOA26" s="1882"/>
      <c r="SOB26" s="1882"/>
      <c r="SOD26" s="1887"/>
      <c r="SOE26" s="1888"/>
      <c r="SOF26" s="1882"/>
      <c r="SOG26" s="1882"/>
      <c r="SOH26" s="1882"/>
      <c r="SOJ26" s="1887"/>
      <c r="SOK26" s="1888"/>
      <c r="SOL26" s="1882"/>
      <c r="SOM26" s="1882"/>
      <c r="SON26" s="1882"/>
      <c r="SOP26" s="1887"/>
      <c r="SOQ26" s="1888"/>
      <c r="SOR26" s="1882"/>
      <c r="SOS26" s="1882"/>
      <c r="SOT26" s="1882"/>
      <c r="SOV26" s="1887"/>
      <c r="SOW26" s="1888"/>
      <c r="SOX26" s="1882"/>
      <c r="SOY26" s="1882"/>
      <c r="SOZ26" s="1882"/>
      <c r="SPB26" s="1887"/>
      <c r="SPC26" s="1888"/>
      <c r="SPD26" s="1882"/>
      <c r="SPE26" s="1882"/>
      <c r="SPF26" s="1882"/>
      <c r="SPH26" s="1887"/>
      <c r="SPI26" s="1888"/>
      <c r="SPJ26" s="1882"/>
      <c r="SPK26" s="1882"/>
      <c r="SPL26" s="1882"/>
      <c r="SPN26" s="1887"/>
      <c r="SPO26" s="1888"/>
      <c r="SPP26" s="1882"/>
      <c r="SPQ26" s="1882"/>
      <c r="SPR26" s="1882"/>
      <c r="SPT26" s="1887"/>
      <c r="SPU26" s="1888"/>
      <c r="SPV26" s="1882"/>
      <c r="SPW26" s="1882"/>
      <c r="SPX26" s="1882"/>
      <c r="SPZ26" s="1887"/>
      <c r="SQA26" s="1888"/>
      <c r="SQB26" s="1882"/>
      <c r="SQC26" s="1882"/>
      <c r="SQD26" s="1882"/>
      <c r="SQF26" s="1887"/>
      <c r="SQG26" s="1888"/>
      <c r="SQH26" s="1882"/>
      <c r="SQI26" s="1882"/>
      <c r="SQJ26" s="1882"/>
      <c r="SQL26" s="1887"/>
      <c r="SQM26" s="1888"/>
      <c r="SQN26" s="1882"/>
      <c r="SQO26" s="1882"/>
      <c r="SQP26" s="1882"/>
      <c r="SQR26" s="1887"/>
      <c r="SQS26" s="1888"/>
      <c r="SQT26" s="1882"/>
      <c r="SQU26" s="1882"/>
      <c r="SQV26" s="1882"/>
      <c r="SQX26" s="1887"/>
      <c r="SQY26" s="1888"/>
      <c r="SQZ26" s="1882"/>
      <c r="SRA26" s="1882"/>
      <c r="SRB26" s="1882"/>
      <c r="SRD26" s="1887"/>
      <c r="SRE26" s="1888"/>
      <c r="SRF26" s="1882"/>
      <c r="SRG26" s="1882"/>
      <c r="SRH26" s="1882"/>
      <c r="SRJ26" s="1887"/>
      <c r="SRK26" s="1888"/>
      <c r="SRL26" s="1882"/>
      <c r="SRM26" s="1882"/>
      <c r="SRN26" s="1882"/>
      <c r="SRP26" s="1887"/>
      <c r="SRQ26" s="1888"/>
      <c r="SRR26" s="1882"/>
      <c r="SRS26" s="1882"/>
      <c r="SRT26" s="1882"/>
      <c r="SRV26" s="1887"/>
      <c r="SRW26" s="1888"/>
      <c r="SRX26" s="1882"/>
      <c r="SRY26" s="1882"/>
      <c r="SRZ26" s="1882"/>
      <c r="SSB26" s="1887"/>
      <c r="SSC26" s="1888"/>
      <c r="SSD26" s="1882"/>
      <c r="SSE26" s="1882"/>
      <c r="SSF26" s="1882"/>
      <c r="SSH26" s="1887"/>
      <c r="SSI26" s="1888"/>
      <c r="SSJ26" s="1882"/>
      <c r="SSK26" s="1882"/>
      <c r="SSL26" s="1882"/>
      <c r="SSN26" s="1887"/>
      <c r="SSO26" s="1888"/>
      <c r="SSP26" s="1882"/>
      <c r="SSQ26" s="1882"/>
      <c r="SSR26" s="1882"/>
      <c r="SST26" s="1887"/>
      <c r="SSU26" s="1888"/>
      <c r="SSV26" s="1882"/>
      <c r="SSW26" s="1882"/>
      <c r="SSX26" s="1882"/>
      <c r="SSZ26" s="1887"/>
      <c r="STA26" s="1888"/>
      <c r="STB26" s="1882"/>
      <c r="STC26" s="1882"/>
      <c r="STD26" s="1882"/>
      <c r="STF26" s="1887"/>
      <c r="STG26" s="1888"/>
      <c r="STH26" s="1882"/>
      <c r="STI26" s="1882"/>
      <c r="STJ26" s="1882"/>
      <c r="STL26" s="1887"/>
      <c r="STM26" s="1888"/>
      <c r="STN26" s="1882"/>
      <c r="STO26" s="1882"/>
      <c r="STP26" s="1882"/>
      <c r="STR26" s="1887"/>
      <c r="STS26" s="1888"/>
      <c r="STT26" s="1882"/>
      <c r="STU26" s="1882"/>
      <c r="STV26" s="1882"/>
      <c r="STX26" s="1887"/>
      <c r="STY26" s="1888"/>
      <c r="STZ26" s="1882"/>
      <c r="SUA26" s="1882"/>
      <c r="SUB26" s="1882"/>
      <c r="SUD26" s="1887"/>
      <c r="SUE26" s="1888"/>
      <c r="SUF26" s="1882"/>
      <c r="SUG26" s="1882"/>
      <c r="SUH26" s="1882"/>
      <c r="SUJ26" s="1887"/>
      <c r="SUK26" s="1888"/>
      <c r="SUL26" s="1882"/>
      <c r="SUM26" s="1882"/>
      <c r="SUN26" s="1882"/>
      <c r="SUP26" s="1887"/>
      <c r="SUQ26" s="1888"/>
      <c r="SUR26" s="1882"/>
      <c r="SUS26" s="1882"/>
      <c r="SUT26" s="1882"/>
      <c r="SUV26" s="1887"/>
      <c r="SUW26" s="1888"/>
      <c r="SUX26" s="1882"/>
      <c r="SUY26" s="1882"/>
      <c r="SUZ26" s="1882"/>
      <c r="SVB26" s="1887"/>
      <c r="SVC26" s="1888"/>
      <c r="SVD26" s="1882"/>
      <c r="SVE26" s="1882"/>
      <c r="SVF26" s="1882"/>
      <c r="SVH26" s="1887"/>
      <c r="SVI26" s="1888"/>
      <c r="SVJ26" s="1882"/>
      <c r="SVK26" s="1882"/>
      <c r="SVL26" s="1882"/>
      <c r="SVN26" s="1887"/>
      <c r="SVO26" s="1888"/>
      <c r="SVP26" s="1882"/>
      <c r="SVQ26" s="1882"/>
      <c r="SVR26" s="1882"/>
      <c r="SVT26" s="1887"/>
      <c r="SVU26" s="1888"/>
      <c r="SVV26" s="1882"/>
      <c r="SVW26" s="1882"/>
      <c r="SVX26" s="1882"/>
      <c r="SVZ26" s="1887"/>
      <c r="SWA26" s="1888"/>
      <c r="SWB26" s="1882"/>
      <c r="SWC26" s="1882"/>
      <c r="SWD26" s="1882"/>
      <c r="SWF26" s="1887"/>
      <c r="SWG26" s="1888"/>
      <c r="SWH26" s="1882"/>
      <c r="SWI26" s="1882"/>
      <c r="SWJ26" s="1882"/>
      <c r="SWL26" s="1887"/>
      <c r="SWM26" s="1888"/>
      <c r="SWN26" s="1882"/>
      <c r="SWO26" s="1882"/>
      <c r="SWP26" s="1882"/>
      <c r="SWR26" s="1887"/>
      <c r="SWS26" s="1888"/>
      <c r="SWT26" s="1882"/>
      <c r="SWU26" s="1882"/>
      <c r="SWV26" s="1882"/>
      <c r="SWX26" s="1887"/>
      <c r="SWY26" s="1888"/>
      <c r="SWZ26" s="1882"/>
      <c r="SXA26" s="1882"/>
      <c r="SXB26" s="1882"/>
      <c r="SXD26" s="1887"/>
      <c r="SXE26" s="1888"/>
      <c r="SXF26" s="1882"/>
      <c r="SXG26" s="1882"/>
      <c r="SXH26" s="1882"/>
      <c r="SXJ26" s="1887"/>
      <c r="SXK26" s="1888"/>
      <c r="SXL26" s="1882"/>
      <c r="SXM26" s="1882"/>
      <c r="SXN26" s="1882"/>
      <c r="SXP26" s="1887"/>
      <c r="SXQ26" s="1888"/>
      <c r="SXR26" s="1882"/>
      <c r="SXS26" s="1882"/>
      <c r="SXT26" s="1882"/>
      <c r="SXV26" s="1887"/>
      <c r="SXW26" s="1888"/>
      <c r="SXX26" s="1882"/>
      <c r="SXY26" s="1882"/>
      <c r="SXZ26" s="1882"/>
      <c r="SYB26" s="1887"/>
      <c r="SYC26" s="1888"/>
      <c r="SYD26" s="1882"/>
      <c r="SYE26" s="1882"/>
      <c r="SYF26" s="1882"/>
      <c r="SYH26" s="1887"/>
      <c r="SYI26" s="1888"/>
      <c r="SYJ26" s="1882"/>
      <c r="SYK26" s="1882"/>
      <c r="SYL26" s="1882"/>
      <c r="SYN26" s="1887"/>
      <c r="SYO26" s="1888"/>
      <c r="SYP26" s="1882"/>
      <c r="SYQ26" s="1882"/>
      <c r="SYR26" s="1882"/>
      <c r="SYT26" s="1887"/>
      <c r="SYU26" s="1888"/>
      <c r="SYV26" s="1882"/>
      <c r="SYW26" s="1882"/>
      <c r="SYX26" s="1882"/>
      <c r="SYZ26" s="1887"/>
      <c r="SZA26" s="1888"/>
      <c r="SZB26" s="1882"/>
      <c r="SZC26" s="1882"/>
      <c r="SZD26" s="1882"/>
      <c r="SZF26" s="1887"/>
      <c r="SZG26" s="1888"/>
      <c r="SZH26" s="1882"/>
      <c r="SZI26" s="1882"/>
      <c r="SZJ26" s="1882"/>
      <c r="SZL26" s="1887"/>
      <c r="SZM26" s="1888"/>
      <c r="SZN26" s="1882"/>
      <c r="SZO26" s="1882"/>
      <c r="SZP26" s="1882"/>
      <c r="SZR26" s="1887"/>
      <c r="SZS26" s="1888"/>
      <c r="SZT26" s="1882"/>
      <c r="SZU26" s="1882"/>
      <c r="SZV26" s="1882"/>
      <c r="SZX26" s="1887"/>
      <c r="SZY26" s="1888"/>
      <c r="SZZ26" s="1882"/>
      <c r="TAA26" s="1882"/>
      <c r="TAB26" s="1882"/>
      <c r="TAD26" s="1887"/>
      <c r="TAE26" s="1888"/>
      <c r="TAF26" s="1882"/>
      <c r="TAG26" s="1882"/>
      <c r="TAH26" s="1882"/>
      <c r="TAJ26" s="1887"/>
      <c r="TAK26" s="1888"/>
      <c r="TAL26" s="1882"/>
      <c r="TAM26" s="1882"/>
      <c r="TAN26" s="1882"/>
      <c r="TAP26" s="1887"/>
      <c r="TAQ26" s="1888"/>
      <c r="TAR26" s="1882"/>
      <c r="TAS26" s="1882"/>
      <c r="TAT26" s="1882"/>
      <c r="TAV26" s="1887"/>
      <c r="TAW26" s="1888"/>
      <c r="TAX26" s="1882"/>
      <c r="TAY26" s="1882"/>
      <c r="TAZ26" s="1882"/>
      <c r="TBB26" s="1887"/>
      <c r="TBC26" s="1888"/>
      <c r="TBD26" s="1882"/>
      <c r="TBE26" s="1882"/>
      <c r="TBF26" s="1882"/>
      <c r="TBH26" s="1887"/>
      <c r="TBI26" s="1888"/>
      <c r="TBJ26" s="1882"/>
      <c r="TBK26" s="1882"/>
      <c r="TBL26" s="1882"/>
      <c r="TBN26" s="1887"/>
      <c r="TBO26" s="1888"/>
      <c r="TBP26" s="1882"/>
      <c r="TBQ26" s="1882"/>
      <c r="TBR26" s="1882"/>
      <c r="TBT26" s="1887"/>
      <c r="TBU26" s="1888"/>
      <c r="TBV26" s="1882"/>
      <c r="TBW26" s="1882"/>
      <c r="TBX26" s="1882"/>
      <c r="TBZ26" s="1887"/>
      <c r="TCA26" s="1888"/>
      <c r="TCB26" s="1882"/>
      <c r="TCC26" s="1882"/>
      <c r="TCD26" s="1882"/>
      <c r="TCF26" s="1887"/>
      <c r="TCG26" s="1888"/>
      <c r="TCH26" s="1882"/>
      <c r="TCI26" s="1882"/>
      <c r="TCJ26" s="1882"/>
      <c r="TCL26" s="1887"/>
      <c r="TCM26" s="1888"/>
      <c r="TCN26" s="1882"/>
      <c r="TCO26" s="1882"/>
      <c r="TCP26" s="1882"/>
      <c r="TCR26" s="1887"/>
      <c r="TCS26" s="1888"/>
      <c r="TCT26" s="1882"/>
      <c r="TCU26" s="1882"/>
      <c r="TCV26" s="1882"/>
      <c r="TCX26" s="1887"/>
      <c r="TCY26" s="1888"/>
      <c r="TCZ26" s="1882"/>
      <c r="TDA26" s="1882"/>
      <c r="TDB26" s="1882"/>
      <c r="TDD26" s="1887"/>
      <c r="TDE26" s="1888"/>
      <c r="TDF26" s="1882"/>
      <c r="TDG26" s="1882"/>
      <c r="TDH26" s="1882"/>
      <c r="TDJ26" s="1887"/>
      <c r="TDK26" s="1888"/>
      <c r="TDL26" s="1882"/>
      <c r="TDM26" s="1882"/>
      <c r="TDN26" s="1882"/>
      <c r="TDP26" s="1887"/>
      <c r="TDQ26" s="1888"/>
      <c r="TDR26" s="1882"/>
      <c r="TDS26" s="1882"/>
      <c r="TDT26" s="1882"/>
      <c r="TDV26" s="1887"/>
      <c r="TDW26" s="1888"/>
      <c r="TDX26" s="1882"/>
      <c r="TDY26" s="1882"/>
      <c r="TDZ26" s="1882"/>
      <c r="TEB26" s="1887"/>
      <c r="TEC26" s="1888"/>
      <c r="TED26" s="1882"/>
      <c r="TEE26" s="1882"/>
      <c r="TEF26" s="1882"/>
      <c r="TEH26" s="1887"/>
      <c r="TEI26" s="1888"/>
      <c r="TEJ26" s="1882"/>
      <c r="TEK26" s="1882"/>
      <c r="TEL26" s="1882"/>
      <c r="TEN26" s="1887"/>
      <c r="TEO26" s="1888"/>
      <c r="TEP26" s="1882"/>
      <c r="TEQ26" s="1882"/>
      <c r="TER26" s="1882"/>
      <c r="TET26" s="1887"/>
      <c r="TEU26" s="1888"/>
      <c r="TEV26" s="1882"/>
      <c r="TEW26" s="1882"/>
      <c r="TEX26" s="1882"/>
      <c r="TEZ26" s="1887"/>
      <c r="TFA26" s="1888"/>
      <c r="TFB26" s="1882"/>
      <c r="TFC26" s="1882"/>
      <c r="TFD26" s="1882"/>
      <c r="TFF26" s="1887"/>
      <c r="TFG26" s="1888"/>
      <c r="TFH26" s="1882"/>
      <c r="TFI26" s="1882"/>
      <c r="TFJ26" s="1882"/>
      <c r="TFL26" s="1887"/>
      <c r="TFM26" s="1888"/>
      <c r="TFN26" s="1882"/>
      <c r="TFO26" s="1882"/>
      <c r="TFP26" s="1882"/>
      <c r="TFR26" s="1887"/>
      <c r="TFS26" s="1888"/>
      <c r="TFT26" s="1882"/>
      <c r="TFU26" s="1882"/>
      <c r="TFV26" s="1882"/>
      <c r="TFX26" s="1887"/>
      <c r="TFY26" s="1888"/>
      <c r="TFZ26" s="1882"/>
      <c r="TGA26" s="1882"/>
      <c r="TGB26" s="1882"/>
      <c r="TGD26" s="1887"/>
      <c r="TGE26" s="1888"/>
      <c r="TGF26" s="1882"/>
      <c r="TGG26" s="1882"/>
      <c r="TGH26" s="1882"/>
      <c r="TGJ26" s="1887"/>
      <c r="TGK26" s="1888"/>
      <c r="TGL26" s="1882"/>
      <c r="TGM26" s="1882"/>
      <c r="TGN26" s="1882"/>
      <c r="TGP26" s="1887"/>
      <c r="TGQ26" s="1888"/>
      <c r="TGR26" s="1882"/>
      <c r="TGS26" s="1882"/>
      <c r="TGT26" s="1882"/>
      <c r="TGV26" s="1887"/>
      <c r="TGW26" s="1888"/>
      <c r="TGX26" s="1882"/>
      <c r="TGY26" s="1882"/>
      <c r="TGZ26" s="1882"/>
      <c r="THB26" s="1887"/>
      <c r="THC26" s="1888"/>
      <c r="THD26" s="1882"/>
      <c r="THE26" s="1882"/>
      <c r="THF26" s="1882"/>
      <c r="THH26" s="1887"/>
      <c r="THI26" s="1888"/>
      <c r="THJ26" s="1882"/>
      <c r="THK26" s="1882"/>
      <c r="THL26" s="1882"/>
      <c r="THN26" s="1887"/>
      <c r="THO26" s="1888"/>
      <c r="THP26" s="1882"/>
      <c r="THQ26" s="1882"/>
      <c r="THR26" s="1882"/>
      <c r="THT26" s="1887"/>
      <c r="THU26" s="1888"/>
      <c r="THV26" s="1882"/>
      <c r="THW26" s="1882"/>
      <c r="THX26" s="1882"/>
      <c r="THZ26" s="1887"/>
      <c r="TIA26" s="1888"/>
      <c r="TIB26" s="1882"/>
      <c r="TIC26" s="1882"/>
      <c r="TID26" s="1882"/>
      <c r="TIF26" s="1887"/>
      <c r="TIG26" s="1888"/>
      <c r="TIH26" s="1882"/>
      <c r="TII26" s="1882"/>
      <c r="TIJ26" s="1882"/>
      <c r="TIL26" s="1887"/>
      <c r="TIM26" s="1888"/>
      <c r="TIN26" s="1882"/>
      <c r="TIO26" s="1882"/>
      <c r="TIP26" s="1882"/>
      <c r="TIR26" s="1887"/>
      <c r="TIS26" s="1888"/>
      <c r="TIT26" s="1882"/>
      <c r="TIU26" s="1882"/>
      <c r="TIV26" s="1882"/>
      <c r="TIX26" s="1887"/>
      <c r="TIY26" s="1888"/>
      <c r="TIZ26" s="1882"/>
      <c r="TJA26" s="1882"/>
      <c r="TJB26" s="1882"/>
      <c r="TJD26" s="1887"/>
      <c r="TJE26" s="1888"/>
      <c r="TJF26" s="1882"/>
      <c r="TJG26" s="1882"/>
      <c r="TJH26" s="1882"/>
      <c r="TJJ26" s="1887"/>
      <c r="TJK26" s="1888"/>
      <c r="TJL26" s="1882"/>
      <c r="TJM26" s="1882"/>
      <c r="TJN26" s="1882"/>
      <c r="TJP26" s="1887"/>
      <c r="TJQ26" s="1888"/>
      <c r="TJR26" s="1882"/>
      <c r="TJS26" s="1882"/>
      <c r="TJT26" s="1882"/>
      <c r="TJV26" s="1887"/>
      <c r="TJW26" s="1888"/>
      <c r="TJX26" s="1882"/>
      <c r="TJY26" s="1882"/>
      <c r="TJZ26" s="1882"/>
      <c r="TKB26" s="1887"/>
      <c r="TKC26" s="1888"/>
      <c r="TKD26" s="1882"/>
      <c r="TKE26" s="1882"/>
      <c r="TKF26" s="1882"/>
      <c r="TKH26" s="1887"/>
      <c r="TKI26" s="1888"/>
      <c r="TKJ26" s="1882"/>
      <c r="TKK26" s="1882"/>
      <c r="TKL26" s="1882"/>
      <c r="TKN26" s="1887"/>
      <c r="TKO26" s="1888"/>
      <c r="TKP26" s="1882"/>
      <c r="TKQ26" s="1882"/>
      <c r="TKR26" s="1882"/>
      <c r="TKT26" s="1887"/>
      <c r="TKU26" s="1888"/>
      <c r="TKV26" s="1882"/>
      <c r="TKW26" s="1882"/>
      <c r="TKX26" s="1882"/>
      <c r="TKZ26" s="1887"/>
      <c r="TLA26" s="1888"/>
      <c r="TLB26" s="1882"/>
      <c r="TLC26" s="1882"/>
      <c r="TLD26" s="1882"/>
      <c r="TLF26" s="1887"/>
      <c r="TLG26" s="1888"/>
      <c r="TLH26" s="1882"/>
      <c r="TLI26" s="1882"/>
      <c r="TLJ26" s="1882"/>
      <c r="TLL26" s="1887"/>
      <c r="TLM26" s="1888"/>
      <c r="TLN26" s="1882"/>
      <c r="TLO26" s="1882"/>
      <c r="TLP26" s="1882"/>
      <c r="TLR26" s="1887"/>
      <c r="TLS26" s="1888"/>
      <c r="TLT26" s="1882"/>
      <c r="TLU26" s="1882"/>
      <c r="TLV26" s="1882"/>
      <c r="TLX26" s="1887"/>
      <c r="TLY26" s="1888"/>
      <c r="TLZ26" s="1882"/>
      <c r="TMA26" s="1882"/>
      <c r="TMB26" s="1882"/>
      <c r="TMD26" s="1887"/>
      <c r="TME26" s="1888"/>
      <c r="TMF26" s="1882"/>
      <c r="TMG26" s="1882"/>
      <c r="TMH26" s="1882"/>
      <c r="TMJ26" s="1887"/>
      <c r="TMK26" s="1888"/>
      <c r="TML26" s="1882"/>
      <c r="TMM26" s="1882"/>
      <c r="TMN26" s="1882"/>
      <c r="TMP26" s="1887"/>
      <c r="TMQ26" s="1888"/>
      <c r="TMR26" s="1882"/>
      <c r="TMS26" s="1882"/>
      <c r="TMT26" s="1882"/>
      <c r="TMV26" s="1887"/>
      <c r="TMW26" s="1888"/>
      <c r="TMX26" s="1882"/>
      <c r="TMY26" s="1882"/>
      <c r="TMZ26" s="1882"/>
      <c r="TNB26" s="1887"/>
      <c r="TNC26" s="1888"/>
      <c r="TND26" s="1882"/>
      <c r="TNE26" s="1882"/>
      <c r="TNF26" s="1882"/>
      <c r="TNH26" s="1887"/>
      <c r="TNI26" s="1888"/>
      <c r="TNJ26" s="1882"/>
      <c r="TNK26" s="1882"/>
      <c r="TNL26" s="1882"/>
      <c r="TNN26" s="1887"/>
      <c r="TNO26" s="1888"/>
      <c r="TNP26" s="1882"/>
      <c r="TNQ26" s="1882"/>
      <c r="TNR26" s="1882"/>
      <c r="TNT26" s="1887"/>
      <c r="TNU26" s="1888"/>
      <c r="TNV26" s="1882"/>
      <c r="TNW26" s="1882"/>
      <c r="TNX26" s="1882"/>
      <c r="TNZ26" s="1887"/>
      <c r="TOA26" s="1888"/>
      <c r="TOB26" s="1882"/>
      <c r="TOC26" s="1882"/>
      <c r="TOD26" s="1882"/>
      <c r="TOF26" s="1887"/>
      <c r="TOG26" s="1888"/>
      <c r="TOH26" s="1882"/>
      <c r="TOI26" s="1882"/>
      <c r="TOJ26" s="1882"/>
      <c r="TOL26" s="1887"/>
      <c r="TOM26" s="1888"/>
      <c r="TON26" s="1882"/>
      <c r="TOO26" s="1882"/>
      <c r="TOP26" s="1882"/>
      <c r="TOR26" s="1887"/>
      <c r="TOS26" s="1888"/>
      <c r="TOT26" s="1882"/>
      <c r="TOU26" s="1882"/>
      <c r="TOV26" s="1882"/>
      <c r="TOX26" s="1887"/>
      <c r="TOY26" s="1888"/>
      <c r="TOZ26" s="1882"/>
      <c r="TPA26" s="1882"/>
      <c r="TPB26" s="1882"/>
      <c r="TPD26" s="1887"/>
      <c r="TPE26" s="1888"/>
      <c r="TPF26" s="1882"/>
      <c r="TPG26" s="1882"/>
      <c r="TPH26" s="1882"/>
      <c r="TPJ26" s="1887"/>
      <c r="TPK26" s="1888"/>
      <c r="TPL26" s="1882"/>
      <c r="TPM26" s="1882"/>
      <c r="TPN26" s="1882"/>
      <c r="TPP26" s="1887"/>
      <c r="TPQ26" s="1888"/>
      <c r="TPR26" s="1882"/>
      <c r="TPS26" s="1882"/>
      <c r="TPT26" s="1882"/>
      <c r="TPV26" s="1887"/>
      <c r="TPW26" s="1888"/>
      <c r="TPX26" s="1882"/>
      <c r="TPY26" s="1882"/>
      <c r="TPZ26" s="1882"/>
      <c r="TQB26" s="1887"/>
      <c r="TQC26" s="1888"/>
      <c r="TQD26" s="1882"/>
      <c r="TQE26" s="1882"/>
      <c r="TQF26" s="1882"/>
      <c r="TQH26" s="1887"/>
      <c r="TQI26" s="1888"/>
      <c r="TQJ26" s="1882"/>
      <c r="TQK26" s="1882"/>
      <c r="TQL26" s="1882"/>
      <c r="TQN26" s="1887"/>
      <c r="TQO26" s="1888"/>
      <c r="TQP26" s="1882"/>
      <c r="TQQ26" s="1882"/>
      <c r="TQR26" s="1882"/>
      <c r="TQT26" s="1887"/>
      <c r="TQU26" s="1888"/>
      <c r="TQV26" s="1882"/>
      <c r="TQW26" s="1882"/>
      <c r="TQX26" s="1882"/>
      <c r="TQZ26" s="1887"/>
      <c r="TRA26" s="1888"/>
      <c r="TRB26" s="1882"/>
      <c r="TRC26" s="1882"/>
      <c r="TRD26" s="1882"/>
      <c r="TRF26" s="1887"/>
      <c r="TRG26" s="1888"/>
      <c r="TRH26" s="1882"/>
      <c r="TRI26" s="1882"/>
      <c r="TRJ26" s="1882"/>
      <c r="TRL26" s="1887"/>
      <c r="TRM26" s="1888"/>
      <c r="TRN26" s="1882"/>
      <c r="TRO26" s="1882"/>
      <c r="TRP26" s="1882"/>
      <c r="TRR26" s="1887"/>
      <c r="TRS26" s="1888"/>
      <c r="TRT26" s="1882"/>
      <c r="TRU26" s="1882"/>
      <c r="TRV26" s="1882"/>
      <c r="TRX26" s="1887"/>
      <c r="TRY26" s="1888"/>
      <c r="TRZ26" s="1882"/>
      <c r="TSA26" s="1882"/>
      <c r="TSB26" s="1882"/>
      <c r="TSD26" s="1887"/>
      <c r="TSE26" s="1888"/>
      <c r="TSF26" s="1882"/>
      <c r="TSG26" s="1882"/>
      <c r="TSH26" s="1882"/>
      <c r="TSJ26" s="1887"/>
      <c r="TSK26" s="1888"/>
      <c r="TSL26" s="1882"/>
      <c r="TSM26" s="1882"/>
      <c r="TSN26" s="1882"/>
      <c r="TSP26" s="1887"/>
      <c r="TSQ26" s="1888"/>
      <c r="TSR26" s="1882"/>
      <c r="TSS26" s="1882"/>
      <c r="TST26" s="1882"/>
      <c r="TSV26" s="1887"/>
      <c r="TSW26" s="1888"/>
      <c r="TSX26" s="1882"/>
      <c r="TSY26" s="1882"/>
      <c r="TSZ26" s="1882"/>
      <c r="TTB26" s="1887"/>
      <c r="TTC26" s="1888"/>
      <c r="TTD26" s="1882"/>
      <c r="TTE26" s="1882"/>
      <c r="TTF26" s="1882"/>
      <c r="TTH26" s="1887"/>
      <c r="TTI26" s="1888"/>
      <c r="TTJ26" s="1882"/>
      <c r="TTK26" s="1882"/>
      <c r="TTL26" s="1882"/>
      <c r="TTN26" s="1887"/>
      <c r="TTO26" s="1888"/>
      <c r="TTP26" s="1882"/>
      <c r="TTQ26" s="1882"/>
      <c r="TTR26" s="1882"/>
      <c r="TTT26" s="1887"/>
      <c r="TTU26" s="1888"/>
      <c r="TTV26" s="1882"/>
      <c r="TTW26" s="1882"/>
      <c r="TTX26" s="1882"/>
      <c r="TTZ26" s="1887"/>
      <c r="TUA26" s="1888"/>
      <c r="TUB26" s="1882"/>
      <c r="TUC26" s="1882"/>
      <c r="TUD26" s="1882"/>
      <c r="TUF26" s="1887"/>
      <c r="TUG26" s="1888"/>
      <c r="TUH26" s="1882"/>
      <c r="TUI26" s="1882"/>
      <c r="TUJ26" s="1882"/>
      <c r="TUL26" s="1887"/>
      <c r="TUM26" s="1888"/>
      <c r="TUN26" s="1882"/>
      <c r="TUO26" s="1882"/>
      <c r="TUP26" s="1882"/>
      <c r="TUR26" s="1887"/>
      <c r="TUS26" s="1888"/>
      <c r="TUT26" s="1882"/>
      <c r="TUU26" s="1882"/>
      <c r="TUV26" s="1882"/>
      <c r="TUX26" s="1887"/>
      <c r="TUY26" s="1888"/>
      <c r="TUZ26" s="1882"/>
      <c r="TVA26" s="1882"/>
      <c r="TVB26" s="1882"/>
      <c r="TVD26" s="1887"/>
      <c r="TVE26" s="1888"/>
      <c r="TVF26" s="1882"/>
      <c r="TVG26" s="1882"/>
      <c r="TVH26" s="1882"/>
      <c r="TVJ26" s="1887"/>
      <c r="TVK26" s="1888"/>
      <c r="TVL26" s="1882"/>
      <c r="TVM26" s="1882"/>
      <c r="TVN26" s="1882"/>
      <c r="TVP26" s="1887"/>
      <c r="TVQ26" s="1888"/>
      <c r="TVR26" s="1882"/>
      <c r="TVS26" s="1882"/>
      <c r="TVT26" s="1882"/>
      <c r="TVV26" s="1887"/>
      <c r="TVW26" s="1888"/>
      <c r="TVX26" s="1882"/>
      <c r="TVY26" s="1882"/>
      <c r="TVZ26" s="1882"/>
      <c r="TWB26" s="1887"/>
      <c r="TWC26" s="1888"/>
      <c r="TWD26" s="1882"/>
      <c r="TWE26" s="1882"/>
      <c r="TWF26" s="1882"/>
      <c r="TWH26" s="1887"/>
      <c r="TWI26" s="1888"/>
      <c r="TWJ26" s="1882"/>
      <c r="TWK26" s="1882"/>
      <c r="TWL26" s="1882"/>
      <c r="TWN26" s="1887"/>
      <c r="TWO26" s="1888"/>
      <c r="TWP26" s="1882"/>
      <c r="TWQ26" s="1882"/>
      <c r="TWR26" s="1882"/>
      <c r="TWT26" s="1887"/>
      <c r="TWU26" s="1888"/>
      <c r="TWV26" s="1882"/>
      <c r="TWW26" s="1882"/>
      <c r="TWX26" s="1882"/>
      <c r="TWZ26" s="1887"/>
      <c r="TXA26" s="1888"/>
      <c r="TXB26" s="1882"/>
      <c r="TXC26" s="1882"/>
      <c r="TXD26" s="1882"/>
      <c r="TXF26" s="1887"/>
      <c r="TXG26" s="1888"/>
      <c r="TXH26" s="1882"/>
      <c r="TXI26" s="1882"/>
      <c r="TXJ26" s="1882"/>
      <c r="TXL26" s="1887"/>
      <c r="TXM26" s="1888"/>
      <c r="TXN26" s="1882"/>
      <c r="TXO26" s="1882"/>
      <c r="TXP26" s="1882"/>
      <c r="TXR26" s="1887"/>
      <c r="TXS26" s="1888"/>
      <c r="TXT26" s="1882"/>
      <c r="TXU26" s="1882"/>
      <c r="TXV26" s="1882"/>
      <c r="TXX26" s="1887"/>
      <c r="TXY26" s="1888"/>
      <c r="TXZ26" s="1882"/>
      <c r="TYA26" s="1882"/>
      <c r="TYB26" s="1882"/>
      <c r="TYD26" s="1887"/>
      <c r="TYE26" s="1888"/>
      <c r="TYF26" s="1882"/>
      <c r="TYG26" s="1882"/>
      <c r="TYH26" s="1882"/>
      <c r="TYJ26" s="1887"/>
      <c r="TYK26" s="1888"/>
      <c r="TYL26" s="1882"/>
      <c r="TYM26" s="1882"/>
      <c r="TYN26" s="1882"/>
      <c r="TYP26" s="1887"/>
      <c r="TYQ26" s="1888"/>
      <c r="TYR26" s="1882"/>
      <c r="TYS26" s="1882"/>
      <c r="TYT26" s="1882"/>
      <c r="TYV26" s="1887"/>
      <c r="TYW26" s="1888"/>
      <c r="TYX26" s="1882"/>
      <c r="TYY26" s="1882"/>
      <c r="TYZ26" s="1882"/>
      <c r="TZB26" s="1887"/>
      <c r="TZC26" s="1888"/>
      <c r="TZD26" s="1882"/>
      <c r="TZE26" s="1882"/>
      <c r="TZF26" s="1882"/>
      <c r="TZH26" s="1887"/>
      <c r="TZI26" s="1888"/>
      <c r="TZJ26" s="1882"/>
      <c r="TZK26" s="1882"/>
      <c r="TZL26" s="1882"/>
      <c r="TZN26" s="1887"/>
      <c r="TZO26" s="1888"/>
      <c r="TZP26" s="1882"/>
      <c r="TZQ26" s="1882"/>
      <c r="TZR26" s="1882"/>
      <c r="TZT26" s="1887"/>
      <c r="TZU26" s="1888"/>
      <c r="TZV26" s="1882"/>
      <c r="TZW26" s="1882"/>
      <c r="TZX26" s="1882"/>
      <c r="TZZ26" s="1887"/>
      <c r="UAA26" s="1888"/>
      <c r="UAB26" s="1882"/>
      <c r="UAC26" s="1882"/>
      <c r="UAD26" s="1882"/>
      <c r="UAF26" s="1887"/>
      <c r="UAG26" s="1888"/>
      <c r="UAH26" s="1882"/>
      <c r="UAI26" s="1882"/>
      <c r="UAJ26" s="1882"/>
      <c r="UAL26" s="1887"/>
      <c r="UAM26" s="1888"/>
      <c r="UAN26" s="1882"/>
      <c r="UAO26" s="1882"/>
      <c r="UAP26" s="1882"/>
      <c r="UAR26" s="1887"/>
      <c r="UAS26" s="1888"/>
      <c r="UAT26" s="1882"/>
      <c r="UAU26" s="1882"/>
      <c r="UAV26" s="1882"/>
      <c r="UAX26" s="1887"/>
      <c r="UAY26" s="1888"/>
      <c r="UAZ26" s="1882"/>
      <c r="UBA26" s="1882"/>
      <c r="UBB26" s="1882"/>
      <c r="UBD26" s="1887"/>
      <c r="UBE26" s="1888"/>
      <c r="UBF26" s="1882"/>
      <c r="UBG26" s="1882"/>
      <c r="UBH26" s="1882"/>
      <c r="UBJ26" s="1887"/>
      <c r="UBK26" s="1888"/>
      <c r="UBL26" s="1882"/>
      <c r="UBM26" s="1882"/>
      <c r="UBN26" s="1882"/>
      <c r="UBP26" s="1887"/>
      <c r="UBQ26" s="1888"/>
      <c r="UBR26" s="1882"/>
      <c r="UBS26" s="1882"/>
      <c r="UBT26" s="1882"/>
      <c r="UBV26" s="1887"/>
      <c r="UBW26" s="1888"/>
      <c r="UBX26" s="1882"/>
      <c r="UBY26" s="1882"/>
      <c r="UBZ26" s="1882"/>
      <c r="UCB26" s="1887"/>
      <c r="UCC26" s="1888"/>
      <c r="UCD26" s="1882"/>
      <c r="UCE26" s="1882"/>
      <c r="UCF26" s="1882"/>
      <c r="UCH26" s="1887"/>
      <c r="UCI26" s="1888"/>
      <c r="UCJ26" s="1882"/>
      <c r="UCK26" s="1882"/>
      <c r="UCL26" s="1882"/>
      <c r="UCN26" s="1887"/>
      <c r="UCO26" s="1888"/>
      <c r="UCP26" s="1882"/>
      <c r="UCQ26" s="1882"/>
      <c r="UCR26" s="1882"/>
      <c r="UCT26" s="1887"/>
      <c r="UCU26" s="1888"/>
      <c r="UCV26" s="1882"/>
      <c r="UCW26" s="1882"/>
      <c r="UCX26" s="1882"/>
      <c r="UCZ26" s="1887"/>
      <c r="UDA26" s="1888"/>
      <c r="UDB26" s="1882"/>
      <c r="UDC26" s="1882"/>
      <c r="UDD26" s="1882"/>
      <c r="UDF26" s="1887"/>
      <c r="UDG26" s="1888"/>
      <c r="UDH26" s="1882"/>
      <c r="UDI26" s="1882"/>
      <c r="UDJ26" s="1882"/>
      <c r="UDL26" s="1887"/>
      <c r="UDM26" s="1888"/>
      <c r="UDN26" s="1882"/>
      <c r="UDO26" s="1882"/>
      <c r="UDP26" s="1882"/>
      <c r="UDR26" s="1887"/>
      <c r="UDS26" s="1888"/>
      <c r="UDT26" s="1882"/>
      <c r="UDU26" s="1882"/>
      <c r="UDV26" s="1882"/>
      <c r="UDX26" s="1887"/>
      <c r="UDY26" s="1888"/>
      <c r="UDZ26" s="1882"/>
      <c r="UEA26" s="1882"/>
      <c r="UEB26" s="1882"/>
      <c r="UED26" s="1887"/>
      <c r="UEE26" s="1888"/>
      <c r="UEF26" s="1882"/>
      <c r="UEG26" s="1882"/>
      <c r="UEH26" s="1882"/>
      <c r="UEJ26" s="1887"/>
      <c r="UEK26" s="1888"/>
      <c r="UEL26" s="1882"/>
      <c r="UEM26" s="1882"/>
      <c r="UEN26" s="1882"/>
      <c r="UEP26" s="1887"/>
      <c r="UEQ26" s="1888"/>
      <c r="UER26" s="1882"/>
      <c r="UES26" s="1882"/>
      <c r="UET26" s="1882"/>
      <c r="UEV26" s="1887"/>
      <c r="UEW26" s="1888"/>
      <c r="UEX26" s="1882"/>
      <c r="UEY26" s="1882"/>
      <c r="UEZ26" s="1882"/>
      <c r="UFB26" s="1887"/>
      <c r="UFC26" s="1888"/>
      <c r="UFD26" s="1882"/>
      <c r="UFE26" s="1882"/>
      <c r="UFF26" s="1882"/>
      <c r="UFH26" s="1887"/>
      <c r="UFI26" s="1888"/>
      <c r="UFJ26" s="1882"/>
      <c r="UFK26" s="1882"/>
      <c r="UFL26" s="1882"/>
      <c r="UFN26" s="1887"/>
      <c r="UFO26" s="1888"/>
      <c r="UFP26" s="1882"/>
      <c r="UFQ26" s="1882"/>
      <c r="UFR26" s="1882"/>
      <c r="UFT26" s="1887"/>
      <c r="UFU26" s="1888"/>
      <c r="UFV26" s="1882"/>
      <c r="UFW26" s="1882"/>
      <c r="UFX26" s="1882"/>
      <c r="UFZ26" s="1887"/>
      <c r="UGA26" s="1888"/>
      <c r="UGB26" s="1882"/>
      <c r="UGC26" s="1882"/>
      <c r="UGD26" s="1882"/>
      <c r="UGF26" s="1887"/>
      <c r="UGG26" s="1888"/>
      <c r="UGH26" s="1882"/>
      <c r="UGI26" s="1882"/>
      <c r="UGJ26" s="1882"/>
      <c r="UGL26" s="1887"/>
      <c r="UGM26" s="1888"/>
      <c r="UGN26" s="1882"/>
      <c r="UGO26" s="1882"/>
      <c r="UGP26" s="1882"/>
      <c r="UGR26" s="1887"/>
      <c r="UGS26" s="1888"/>
      <c r="UGT26" s="1882"/>
      <c r="UGU26" s="1882"/>
      <c r="UGV26" s="1882"/>
      <c r="UGX26" s="1887"/>
      <c r="UGY26" s="1888"/>
      <c r="UGZ26" s="1882"/>
      <c r="UHA26" s="1882"/>
      <c r="UHB26" s="1882"/>
      <c r="UHD26" s="1887"/>
      <c r="UHE26" s="1888"/>
      <c r="UHF26" s="1882"/>
      <c r="UHG26" s="1882"/>
      <c r="UHH26" s="1882"/>
      <c r="UHJ26" s="1887"/>
      <c r="UHK26" s="1888"/>
      <c r="UHL26" s="1882"/>
      <c r="UHM26" s="1882"/>
      <c r="UHN26" s="1882"/>
      <c r="UHP26" s="1887"/>
      <c r="UHQ26" s="1888"/>
      <c r="UHR26" s="1882"/>
      <c r="UHS26" s="1882"/>
      <c r="UHT26" s="1882"/>
      <c r="UHV26" s="1887"/>
      <c r="UHW26" s="1888"/>
      <c r="UHX26" s="1882"/>
      <c r="UHY26" s="1882"/>
      <c r="UHZ26" s="1882"/>
      <c r="UIB26" s="1887"/>
      <c r="UIC26" s="1888"/>
      <c r="UID26" s="1882"/>
      <c r="UIE26" s="1882"/>
      <c r="UIF26" s="1882"/>
      <c r="UIH26" s="1887"/>
      <c r="UII26" s="1888"/>
      <c r="UIJ26" s="1882"/>
      <c r="UIK26" s="1882"/>
      <c r="UIL26" s="1882"/>
      <c r="UIN26" s="1887"/>
      <c r="UIO26" s="1888"/>
      <c r="UIP26" s="1882"/>
      <c r="UIQ26" s="1882"/>
      <c r="UIR26" s="1882"/>
      <c r="UIT26" s="1887"/>
      <c r="UIU26" s="1888"/>
      <c r="UIV26" s="1882"/>
      <c r="UIW26" s="1882"/>
      <c r="UIX26" s="1882"/>
      <c r="UIZ26" s="1887"/>
      <c r="UJA26" s="1888"/>
      <c r="UJB26" s="1882"/>
      <c r="UJC26" s="1882"/>
      <c r="UJD26" s="1882"/>
      <c r="UJF26" s="1887"/>
      <c r="UJG26" s="1888"/>
      <c r="UJH26" s="1882"/>
      <c r="UJI26" s="1882"/>
      <c r="UJJ26" s="1882"/>
      <c r="UJL26" s="1887"/>
      <c r="UJM26" s="1888"/>
      <c r="UJN26" s="1882"/>
      <c r="UJO26" s="1882"/>
      <c r="UJP26" s="1882"/>
      <c r="UJR26" s="1887"/>
      <c r="UJS26" s="1888"/>
      <c r="UJT26" s="1882"/>
      <c r="UJU26" s="1882"/>
      <c r="UJV26" s="1882"/>
      <c r="UJX26" s="1887"/>
      <c r="UJY26" s="1888"/>
      <c r="UJZ26" s="1882"/>
      <c r="UKA26" s="1882"/>
      <c r="UKB26" s="1882"/>
      <c r="UKD26" s="1887"/>
      <c r="UKE26" s="1888"/>
      <c r="UKF26" s="1882"/>
      <c r="UKG26" s="1882"/>
      <c r="UKH26" s="1882"/>
      <c r="UKJ26" s="1887"/>
      <c r="UKK26" s="1888"/>
      <c r="UKL26" s="1882"/>
      <c r="UKM26" s="1882"/>
      <c r="UKN26" s="1882"/>
      <c r="UKP26" s="1887"/>
      <c r="UKQ26" s="1888"/>
      <c r="UKR26" s="1882"/>
      <c r="UKS26" s="1882"/>
      <c r="UKT26" s="1882"/>
      <c r="UKV26" s="1887"/>
      <c r="UKW26" s="1888"/>
      <c r="UKX26" s="1882"/>
      <c r="UKY26" s="1882"/>
      <c r="UKZ26" s="1882"/>
      <c r="ULB26" s="1887"/>
      <c r="ULC26" s="1888"/>
      <c r="ULD26" s="1882"/>
      <c r="ULE26" s="1882"/>
      <c r="ULF26" s="1882"/>
      <c r="ULH26" s="1887"/>
      <c r="ULI26" s="1888"/>
      <c r="ULJ26" s="1882"/>
      <c r="ULK26" s="1882"/>
      <c r="ULL26" s="1882"/>
      <c r="ULN26" s="1887"/>
      <c r="ULO26" s="1888"/>
      <c r="ULP26" s="1882"/>
      <c r="ULQ26" s="1882"/>
      <c r="ULR26" s="1882"/>
      <c r="ULT26" s="1887"/>
      <c r="ULU26" s="1888"/>
      <c r="ULV26" s="1882"/>
      <c r="ULW26" s="1882"/>
      <c r="ULX26" s="1882"/>
      <c r="ULZ26" s="1887"/>
      <c r="UMA26" s="1888"/>
      <c r="UMB26" s="1882"/>
      <c r="UMC26" s="1882"/>
      <c r="UMD26" s="1882"/>
      <c r="UMF26" s="1887"/>
      <c r="UMG26" s="1888"/>
      <c r="UMH26" s="1882"/>
      <c r="UMI26" s="1882"/>
      <c r="UMJ26" s="1882"/>
      <c r="UML26" s="1887"/>
      <c r="UMM26" s="1888"/>
      <c r="UMN26" s="1882"/>
      <c r="UMO26" s="1882"/>
      <c r="UMP26" s="1882"/>
      <c r="UMR26" s="1887"/>
      <c r="UMS26" s="1888"/>
      <c r="UMT26" s="1882"/>
      <c r="UMU26" s="1882"/>
      <c r="UMV26" s="1882"/>
      <c r="UMX26" s="1887"/>
      <c r="UMY26" s="1888"/>
      <c r="UMZ26" s="1882"/>
      <c r="UNA26" s="1882"/>
      <c r="UNB26" s="1882"/>
      <c r="UND26" s="1887"/>
      <c r="UNE26" s="1888"/>
      <c r="UNF26" s="1882"/>
      <c r="UNG26" s="1882"/>
      <c r="UNH26" s="1882"/>
      <c r="UNJ26" s="1887"/>
      <c r="UNK26" s="1888"/>
      <c r="UNL26" s="1882"/>
      <c r="UNM26" s="1882"/>
      <c r="UNN26" s="1882"/>
      <c r="UNP26" s="1887"/>
      <c r="UNQ26" s="1888"/>
      <c r="UNR26" s="1882"/>
      <c r="UNS26" s="1882"/>
      <c r="UNT26" s="1882"/>
      <c r="UNV26" s="1887"/>
      <c r="UNW26" s="1888"/>
      <c r="UNX26" s="1882"/>
      <c r="UNY26" s="1882"/>
      <c r="UNZ26" s="1882"/>
      <c r="UOB26" s="1887"/>
      <c r="UOC26" s="1888"/>
      <c r="UOD26" s="1882"/>
      <c r="UOE26" s="1882"/>
      <c r="UOF26" s="1882"/>
      <c r="UOH26" s="1887"/>
      <c r="UOI26" s="1888"/>
      <c r="UOJ26" s="1882"/>
      <c r="UOK26" s="1882"/>
      <c r="UOL26" s="1882"/>
      <c r="UON26" s="1887"/>
      <c r="UOO26" s="1888"/>
      <c r="UOP26" s="1882"/>
      <c r="UOQ26" s="1882"/>
      <c r="UOR26" s="1882"/>
      <c r="UOT26" s="1887"/>
      <c r="UOU26" s="1888"/>
      <c r="UOV26" s="1882"/>
      <c r="UOW26" s="1882"/>
      <c r="UOX26" s="1882"/>
      <c r="UOZ26" s="1887"/>
      <c r="UPA26" s="1888"/>
      <c r="UPB26" s="1882"/>
      <c r="UPC26" s="1882"/>
      <c r="UPD26" s="1882"/>
      <c r="UPF26" s="1887"/>
      <c r="UPG26" s="1888"/>
      <c r="UPH26" s="1882"/>
      <c r="UPI26" s="1882"/>
      <c r="UPJ26" s="1882"/>
      <c r="UPL26" s="1887"/>
      <c r="UPM26" s="1888"/>
      <c r="UPN26" s="1882"/>
      <c r="UPO26" s="1882"/>
      <c r="UPP26" s="1882"/>
      <c r="UPR26" s="1887"/>
      <c r="UPS26" s="1888"/>
      <c r="UPT26" s="1882"/>
      <c r="UPU26" s="1882"/>
      <c r="UPV26" s="1882"/>
      <c r="UPX26" s="1887"/>
      <c r="UPY26" s="1888"/>
      <c r="UPZ26" s="1882"/>
      <c r="UQA26" s="1882"/>
      <c r="UQB26" s="1882"/>
      <c r="UQD26" s="1887"/>
      <c r="UQE26" s="1888"/>
      <c r="UQF26" s="1882"/>
      <c r="UQG26" s="1882"/>
      <c r="UQH26" s="1882"/>
      <c r="UQJ26" s="1887"/>
      <c r="UQK26" s="1888"/>
      <c r="UQL26" s="1882"/>
      <c r="UQM26" s="1882"/>
      <c r="UQN26" s="1882"/>
      <c r="UQP26" s="1887"/>
      <c r="UQQ26" s="1888"/>
      <c r="UQR26" s="1882"/>
      <c r="UQS26" s="1882"/>
      <c r="UQT26" s="1882"/>
      <c r="UQV26" s="1887"/>
      <c r="UQW26" s="1888"/>
      <c r="UQX26" s="1882"/>
      <c r="UQY26" s="1882"/>
      <c r="UQZ26" s="1882"/>
      <c r="URB26" s="1887"/>
      <c r="URC26" s="1888"/>
      <c r="URD26" s="1882"/>
      <c r="URE26" s="1882"/>
      <c r="URF26" s="1882"/>
      <c r="URH26" s="1887"/>
      <c r="URI26" s="1888"/>
      <c r="URJ26" s="1882"/>
      <c r="URK26" s="1882"/>
      <c r="URL26" s="1882"/>
      <c r="URN26" s="1887"/>
      <c r="URO26" s="1888"/>
      <c r="URP26" s="1882"/>
      <c r="URQ26" s="1882"/>
      <c r="URR26" s="1882"/>
      <c r="URT26" s="1887"/>
      <c r="URU26" s="1888"/>
      <c r="URV26" s="1882"/>
      <c r="URW26" s="1882"/>
      <c r="URX26" s="1882"/>
      <c r="URZ26" s="1887"/>
      <c r="USA26" s="1888"/>
      <c r="USB26" s="1882"/>
      <c r="USC26" s="1882"/>
      <c r="USD26" s="1882"/>
      <c r="USF26" s="1887"/>
      <c r="USG26" s="1888"/>
      <c r="USH26" s="1882"/>
      <c r="USI26" s="1882"/>
      <c r="USJ26" s="1882"/>
      <c r="USL26" s="1887"/>
      <c r="USM26" s="1888"/>
      <c r="USN26" s="1882"/>
      <c r="USO26" s="1882"/>
      <c r="USP26" s="1882"/>
      <c r="USR26" s="1887"/>
      <c r="USS26" s="1888"/>
      <c r="UST26" s="1882"/>
      <c r="USU26" s="1882"/>
      <c r="USV26" s="1882"/>
      <c r="USX26" s="1887"/>
      <c r="USY26" s="1888"/>
      <c r="USZ26" s="1882"/>
      <c r="UTA26" s="1882"/>
      <c r="UTB26" s="1882"/>
      <c r="UTD26" s="1887"/>
      <c r="UTE26" s="1888"/>
      <c r="UTF26" s="1882"/>
      <c r="UTG26" s="1882"/>
      <c r="UTH26" s="1882"/>
      <c r="UTJ26" s="1887"/>
      <c r="UTK26" s="1888"/>
      <c r="UTL26" s="1882"/>
      <c r="UTM26" s="1882"/>
      <c r="UTN26" s="1882"/>
      <c r="UTP26" s="1887"/>
      <c r="UTQ26" s="1888"/>
      <c r="UTR26" s="1882"/>
      <c r="UTS26" s="1882"/>
      <c r="UTT26" s="1882"/>
      <c r="UTV26" s="1887"/>
      <c r="UTW26" s="1888"/>
      <c r="UTX26" s="1882"/>
      <c r="UTY26" s="1882"/>
      <c r="UTZ26" s="1882"/>
      <c r="UUB26" s="1887"/>
      <c r="UUC26" s="1888"/>
      <c r="UUD26" s="1882"/>
      <c r="UUE26" s="1882"/>
      <c r="UUF26" s="1882"/>
      <c r="UUH26" s="1887"/>
      <c r="UUI26" s="1888"/>
      <c r="UUJ26" s="1882"/>
      <c r="UUK26" s="1882"/>
      <c r="UUL26" s="1882"/>
      <c r="UUN26" s="1887"/>
      <c r="UUO26" s="1888"/>
      <c r="UUP26" s="1882"/>
      <c r="UUQ26" s="1882"/>
      <c r="UUR26" s="1882"/>
      <c r="UUT26" s="1887"/>
      <c r="UUU26" s="1888"/>
      <c r="UUV26" s="1882"/>
      <c r="UUW26" s="1882"/>
      <c r="UUX26" s="1882"/>
      <c r="UUZ26" s="1887"/>
      <c r="UVA26" s="1888"/>
      <c r="UVB26" s="1882"/>
      <c r="UVC26" s="1882"/>
      <c r="UVD26" s="1882"/>
      <c r="UVF26" s="1887"/>
      <c r="UVG26" s="1888"/>
      <c r="UVH26" s="1882"/>
      <c r="UVI26" s="1882"/>
      <c r="UVJ26" s="1882"/>
      <c r="UVL26" s="1887"/>
      <c r="UVM26" s="1888"/>
      <c r="UVN26" s="1882"/>
      <c r="UVO26" s="1882"/>
      <c r="UVP26" s="1882"/>
      <c r="UVR26" s="1887"/>
      <c r="UVS26" s="1888"/>
      <c r="UVT26" s="1882"/>
      <c r="UVU26" s="1882"/>
      <c r="UVV26" s="1882"/>
      <c r="UVX26" s="1887"/>
      <c r="UVY26" s="1888"/>
      <c r="UVZ26" s="1882"/>
      <c r="UWA26" s="1882"/>
      <c r="UWB26" s="1882"/>
      <c r="UWD26" s="1887"/>
      <c r="UWE26" s="1888"/>
      <c r="UWF26" s="1882"/>
      <c r="UWG26" s="1882"/>
      <c r="UWH26" s="1882"/>
      <c r="UWJ26" s="1887"/>
      <c r="UWK26" s="1888"/>
      <c r="UWL26" s="1882"/>
      <c r="UWM26" s="1882"/>
      <c r="UWN26" s="1882"/>
      <c r="UWP26" s="1887"/>
      <c r="UWQ26" s="1888"/>
      <c r="UWR26" s="1882"/>
      <c r="UWS26" s="1882"/>
      <c r="UWT26" s="1882"/>
      <c r="UWV26" s="1887"/>
      <c r="UWW26" s="1888"/>
      <c r="UWX26" s="1882"/>
      <c r="UWY26" s="1882"/>
      <c r="UWZ26" s="1882"/>
      <c r="UXB26" s="1887"/>
      <c r="UXC26" s="1888"/>
      <c r="UXD26" s="1882"/>
      <c r="UXE26" s="1882"/>
      <c r="UXF26" s="1882"/>
      <c r="UXH26" s="1887"/>
      <c r="UXI26" s="1888"/>
      <c r="UXJ26" s="1882"/>
      <c r="UXK26" s="1882"/>
      <c r="UXL26" s="1882"/>
      <c r="UXN26" s="1887"/>
      <c r="UXO26" s="1888"/>
      <c r="UXP26" s="1882"/>
      <c r="UXQ26" s="1882"/>
      <c r="UXR26" s="1882"/>
      <c r="UXT26" s="1887"/>
      <c r="UXU26" s="1888"/>
      <c r="UXV26" s="1882"/>
      <c r="UXW26" s="1882"/>
      <c r="UXX26" s="1882"/>
      <c r="UXZ26" s="1887"/>
      <c r="UYA26" s="1888"/>
      <c r="UYB26" s="1882"/>
      <c r="UYC26" s="1882"/>
      <c r="UYD26" s="1882"/>
      <c r="UYF26" s="1887"/>
      <c r="UYG26" s="1888"/>
      <c r="UYH26" s="1882"/>
      <c r="UYI26" s="1882"/>
      <c r="UYJ26" s="1882"/>
      <c r="UYL26" s="1887"/>
      <c r="UYM26" s="1888"/>
      <c r="UYN26" s="1882"/>
      <c r="UYO26" s="1882"/>
      <c r="UYP26" s="1882"/>
      <c r="UYR26" s="1887"/>
      <c r="UYS26" s="1888"/>
      <c r="UYT26" s="1882"/>
      <c r="UYU26" s="1882"/>
      <c r="UYV26" s="1882"/>
      <c r="UYX26" s="1887"/>
      <c r="UYY26" s="1888"/>
      <c r="UYZ26" s="1882"/>
      <c r="UZA26" s="1882"/>
      <c r="UZB26" s="1882"/>
      <c r="UZD26" s="1887"/>
      <c r="UZE26" s="1888"/>
      <c r="UZF26" s="1882"/>
      <c r="UZG26" s="1882"/>
      <c r="UZH26" s="1882"/>
      <c r="UZJ26" s="1887"/>
      <c r="UZK26" s="1888"/>
      <c r="UZL26" s="1882"/>
      <c r="UZM26" s="1882"/>
      <c r="UZN26" s="1882"/>
      <c r="UZP26" s="1887"/>
      <c r="UZQ26" s="1888"/>
      <c r="UZR26" s="1882"/>
      <c r="UZS26" s="1882"/>
      <c r="UZT26" s="1882"/>
      <c r="UZV26" s="1887"/>
      <c r="UZW26" s="1888"/>
      <c r="UZX26" s="1882"/>
      <c r="UZY26" s="1882"/>
      <c r="UZZ26" s="1882"/>
      <c r="VAB26" s="1887"/>
      <c r="VAC26" s="1888"/>
      <c r="VAD26" s="1882"/>
      <c r="VAE26" s="1882"/>
      <c r="VAF26" s="1882"/>
      <c r="VAH26" s="1887"/>
      <c r="VAI26" s="1888"/>
      <c r="VAJ26" s="1882"/>
      <c r="VAK26" s="1882"/>
      <c r="VAL26" s="1882"/>
      <c r="VAN26" s="1887"/>
      <c r="VAO26" s="1888"/>
      <c r="VAP26" s="1882"/>
      <c r="VAQ26" s="1882"/>
      <c r="VAR26" s="1882"/>
      <c r="VAT26" s="1887"/>
      <c r="VAU26" s="1888"/>
      <c r="VAV26" s="1882"/>
      <c r="VAW26" s="1882"/>
      <c r="VAX26" s="1882"/>
      <c r="VAZ26" s="1887"/>
      <c r="VBA26" s="1888"/>
      <c r="VBB26" s="1882"/>
      <c r="VBC26" s="1882"/>
      <c r="VBD26" s="1882"/>
      <c r="VBF26" s="1887"/>
      <c r="VBG26" s="1888"/>
      <c r="VBH26" s="1882"/>
      <c r="VBI26" s="1882"/>
      <c r="VBJ26" s="1882"/>
      <c r="VBL26" s="1887"/>
      <c r="VBM26" s="1888"/>
      <c r="VBN26" s="1882"/>
      <c r="VBO26" s="1882"/>
      <c r="VBP26" s="1882"/>
      <c r="VBR26" s="1887"/>
      <c r="VBS26" s="1888"/>
      <c r="VBT26" s="1882"/>
      <c r="VBU26" s="1882"/>
      <c r="VBV26" s="1882"/>
      <c r="VBX26" s="1887"/>
      <c r="VBY26" s="1888"/>
      <c r="VBZ26" s="1882"/>
      <c r="VCA26" s="1882"/>
      <c r="VCB26" s="1882"/>
      <c r="VCD26" s="1887"/>
      <c r="VCE26" s="1888"/>
      <c r="VCF26" s="1882"/>
      <c r="VCG26" s="1882"/>
      <c r="VCH26" s="1882"/>
      <c r="VCJ26" s="1887"/>
      <c r="VCK26" s="1888"/>
      <c r="VCL26" s="1882"/>
      <c r="VCM26" s="1882"/>
      <c r="VCN26" s="1882"/>
      <c r="VCP26" s="1887"/>
      <c r="VCQ26" s="1888"/>
      <c r="VCR26" s="1882"/>
      <c r="VCS26" s="1882"/>
      <c r="VCT26" s="1882"/>
      <c r="VCV26" s="1887"/>
      <c r="VCW26" s="1888"/>
      <c r="VCX26" s="1882"/>
      <c r="VCY26" s="1882"/>
      <c r="VCZ26" s="1882"/>
      <c r="VDB26" s="1887"/>
      <c r="VDC26" s="1888"/>
      <c r="VDD26" s="1882"/>
      <c r="VDE26" s="1882"/>
      <c r="VDF26" s="1882"/>
      <c r="VDH26" s="1887"/>
      <c r="VDI26" s="1888"/>
      <c r="VDJ26" s="1882"/>
      <c r="VDK26" s="1882"/>
      <c r="VDL26" s="1882"/>
      <c r="VDN26" s="1887"/>
      <c r="VDO26" s="1888"/>
      <c r="VDP26" s="1882"/>
      <c r="VDQ26" s="1882"/>
      <c r="VDR26" s="1882"/>
      <c r="VDT26" s="1887"/>
      <c r="VDU26" s="1888"/>
      <c r="VDV26" s="1882"/>
      <c r="VDW26" s="1882"/>
      <c r="VDX26" s="1882"/>
      <c r="VDZ26" s="1887"/>
      <c r="VEA26" s="1888"/>
      <c r="VEB26" s="1882"/>
      <c r="VEC26" s="1882"/>
      <c r="VED26" s="1882"/>
      <c r="VEF26" s="1887"/>
      <c r="VEG26" s="1888"/>
      <c r="VEH26" s="1882"/>
      <c r="VEI26" s="1882"/>
      <c r="VEJ26" s="1882"/>
      <c r="VEL26" s="1887"/>
      <c r="VEM26" s="1888"/>
      <c r="VEN26" s="1882"/>
      <c r="VEO26" s="1882"/>
      <c r="VEP26" s="1882"/>
      <c r="VER26" s="1887"/>
      <c r="VES26" s="1888"/>
      <c r="VET26" s="1882"/>
      <c r="VEU26" s="1882"/>
      <c r="VEV26" s="1882"/>
      <c r="VEX26" s="1887"/>
      <c r="VEY26" s="1888"/>
      <c r="VEZ26" s="1882"/>
      <c r="VFA26" s="1882"/>
      <c r="VFB26" s="1882"/>
      <c r="VFD26" s="1887"/>
      <c r="VFE26" s="1888"/>
      <c r="VFF26" s="1882"/>
      <c r="VFG26" s="1882"/>
      <c r="VFH26" s="1882"/>
      <c r="VFJ26" s="1887"/>
      <c r="VFK26" s="1888"/>
      <c r="VFL26" s="1882"/>
      <c r="VFM26" s="1882"/>
      <c r="VFN26" s="1882"/>
      <c r="VFP26" s="1887"/>
      <c r="VFQ26" s="1888"/>
      <c r="VFR26" s="1882"/>
      <c r="VFS26" s="1882"/>
      <c r="VFT26" s="1882"/>
      <c r="VFV26" s="1887"/>
      <c r="VFW26" s="1888"/>
      <c r="VFX26" s="1882"/>
      <c r="VFY26" s="1882"/>
      <c r="VFZ26" s="1882"/>
      <c r="VGB26" s="1887"/>
      <c r="VGC26" s="1888"/>
      <c r="VGD26" s="1882"/>
      <c r="VGE26" s="1882"/>
      <c r="VGF26" s="1882"/>
      <c r="VGH26" s="1887"/>
      <c r="VGI26" s="1888"/>
      <c r="VGJ26" s="1882"/>
      <c r="VGK26" s="1882"/>
      <c r="VGL26" s="1882"/>
      <c r="VGN26" s="1887"/>
      <c r="VGO26" s="1888"/>
      <c r="VGP26" s="1882"/>
      <c r="VGQ26" s="1882"/>
      <c r="VGR26" s="1882"/>
      <c r="VGT26" s="1887"/>
      <c r="VGU26" s="1888"/>
      <c r="VGV26" s="1882"/>
      <c r="VGW26" s="1882"/>
      <c r="VGX26" s="1882"/>
      <c r="VGZ26" s="1887"/>
      <c r="VHA26" s="1888"/>
      <c r="VHB26" s="1882"/>
      <c r="VHC26" s="1882"/>
      <c r="VHD26" s="1882"/>
      <c r="VHF26" s="1887"/>
      <c r="VHG26" s="1888"/>
      <c r="VHH26" s="1882"/>
      <c r="VHI26" s="1882"/>
      <c r="VHJ26" s="1882"/>
      <c r="VHL26" s="1887"/>
      <c r="VHM26" s="1888"/>
      <c r="VHN26" s="1882"/>
      <c r="VHO26" s="1882"/>
      <c r="VHP26" s="1882"/>
      <c r="VHR26" s="1887"/>
      <c r="VHS26" s="1888"/>
      <c r="VHT26" s="1882"/>
      <c r="VHU26" s="1882"/>
      <c r="VHV26" s="1882"/>
      <c r="VHX26" s="1887"/>
      <c r="VHY26" s="1888"/>
      <c r="VHZ26" s="1882"/>
      <c r="VIA26" s="1882"/>
      <c r="VIB26" s="1882"/>
      <c r="VID26" s="1887"/>
      <c r="VIE26" s="1888"/>
      <c r="VIF26" s="1882"/>
      <c r="VIG26" s="1882"/>
      <c r="VIH26" s="1882"/>
      <c r="VIJ26" s="1887"/>
      <c r="VIK26" s="1888"/>
      <c r="VIL26" s="1882"/>
      <c r="VIM26" s="1882"/>
      <c r="VIN26" s="1882"/>
      <c r="VIP26" s="1887"/>
      <c r="VIQ26" s="1888"/>
      <c r="VIR26" s="1882"/>
      <c r="VIS26" s="1882"/>
      <c r="VIT26" s="1882"/>
      <c r="VIV26" s="1887"/>
      <c r="VIW26" s="1888"/>
      <c r="VIX26" s="1882"/>
      <c r="VIY26" s="1882"/>
      <c r="VIZ26" s="1882"/>
      <c r="VJB26" s="1887"/>
      <c r="VJC26" s="1888"/>
      <c r="VJD26" s="1882"/>
      <c r="VJE26" s="1882"/>
      <c r="VJF26" s="1882"/>
      <c r="VJH26" s="1887"/>
      <c r="VJI26" s="1888"/>
      <c r="VJJ26" s="1882"/>
      <c r="VJK26" s="1882"/>
      <c r="VJL26" s="1882"/>
      <c r="VJN26" s="1887"/>
      <c r="VJO26" s="1888"/>
      <c r="VJP26" s="1882"/>
      <c r="VJQ26" s="1882"/>
      <c r="VJR26" s="1882"/>
      <c r="VJT26" s="1887"/>
      <c r="VJU26" s="1888"/>
      <c r="VJV26" s="1882"/>
      <c r="VJW26" s="1882"/>
      <c r="VJX26" s="1882"/>
      <c r="VJZ26" s="1887"/>
      <c r="VKA26" s="1888"/>
      <c r="VKB26" s="1882"/>
      <c r="VKC26" s="1882"/>
      <c r="VKD26" s="1882"/>
      <c r="VKF26" s="1887"/>
      <c r="VKG26" s="1888"/>
      <c r="VKH26" s="1882"/>
      <c r="VKI26" s="1882"/>
      <c r="VKJ26" s="1882"/>
      <c r="VKL26" s="1887"/>
      <c r="VKM26" s="1888"/>
      <c r="VKN26" s="1882"/>
      <c r="VKO26" s="1882"/>
      <c r="VKP26" s="1882"/>
      <c r="VKR26" s="1887"/>
      <c r="VKS26" s="1888"/>
      <c r="VKT26" s="1882"/>
      <c r="VKU26" s="1882"/>
      <c r="VKV26" s="1882"/>
      <c r="VKX26" s="1887"/>
      <c r="VKY26" s="1888"/>
      <c r="VKZ26" s="1882"/>
      <c r="VLA26" s="1882"/>
      <c r="VLB26" s="1882"/>
      <c r="VLD26" s="1887"/>
      <c r="VLE26" s="1888"/>
      <c r="VLF26" s="1882"/>
      <c r="VLG26" s="1882"/>
      <c r="VLH26" s="1882"/>
      <c r="VLJ26" s="1887"/>
      <c r="VLK26" s="1888"/>
      <c r="VLL26" s="1882"/>
      <c r="VLM26" s="1882"/>
      <c r="VLN26" s="1882"/>
      <c r="VLP26" s="1887"/>
      <c r="VLQ26" s="1888"/>
      <c r="VLR26" s="1882"/>
      <c r="VLS26" s="1882"/>
      <c r="VLT26" s="1882"/>
      <c r="VLV26" s="1887"/>
      <c r="VLW26" s="1888"/>
      <c r="VLX26" s="1882"/>
      <c r="VLY26" s="1882"/>
      <c r="VLZ26" s="1882"/>
      <c r="VMB26" s="1887"/>
      <c r="VMC26" s="1888"/>
      <c r="VMD26" s="1882"/>
      <c r="VME26" s="1882"/>
      <c r="VMF26" s="1882"/>
      <c r="VMH26" s="1887"/>
      <c r="VMI26" s="1888"/>
      <c r="VMJ26" s="1882"/>
      <c r="VMK26" s="1882"/>
      <c r="VML26" s="1882"/>
      <c r="VMN26" s="1887"/>
      <c r="VMO26" s="1888"/>
      <c r="VMP26" s="1882"/>
      <c r="VMQ26" s="1882"/>
      <c r="VMR26" s="1882"/>
      <c r="VMT26" s="1887"/>
      <c r="VMU26" s="1888"/>
      <c r="VMV26" s="1882"/>
      <c r="VMW26" s="1882"/>
      <c r="VMX26" s="1882"/>
      <c r="VMZ26" s="1887"/>
      <c r="VNA26" s="1888"/>
      <c r="VNB26" s="1882"/>
      <c r="VNC26" s="1882"/>
      <c r="VND26" s="1882"/>
      <c r="VNF26" s="1887"/>
      <c r="VNG26" s="1888"/>
      <c r="VNH26" s="1882"/>
      <c r="VNI26" s="1882"/>
      <c r="VNJ26" s="1882"/>
      <c r="VNL26" s="1887"/>
      <c r="VNM26" s="1888"/>
      <c r="VNN26" s="1882"/>
      <c r="VNO26" s="1882"/>
      <c r="VNP26" s="1882"/>
      <c r="VNR26" s="1887"/>
      <c r="VNS26" s="1888"/>
      <c r="VNT26" s="1882"/>
      <c r="VNU26" s="1882"/>
      <c r="VNV26" s="1882"/>
      <c r="VNX26" s="1887"/>
      <c r="VNY26" s="1888"/>
      <c r="VNZ26" s="1882"/>
      <c r="VOA26" s="1882"/>
      <c r="VOB26" s="1882"/>
      <c r="VOD26" s="1887"/>
      <c r="VOE26" s="1888"/>
      <c r="VOF26" s="1882"/>
      <c r="VOG26" s="1882"/>
      <c r="VOH26" s="1882"/>
      <c r="VOJ26" s="1887"/>
      <c r="VOK26" s="1888"/>
      <c r="VOL26" s="1882"/>
      <c r="VOM26" s="1882"/>
      <c r="VON26" s="1882"/>
      <c r="VOP26" s="1887"/>
      <c r="VOQ26" s="1888"/>
      <c r="VOR26" s="1882"/>
      <c r="VOS26" s="1882"/>
      <c r="VOT26" s="1882"/>
      <c r="VOV26" s="1887"/>
      <c r="VOW26" s="1888"/>
      <c r="VOX26" s="1882"/>
      <c r="VOY26" s="1882"/>
      <c r="VOZ26" s="1882"/>
      <c r="VPB26" s="1887"/>
      <c r="VPC26" s="1888"/>
      <c r="VPD26" s="1882"/>
      <c r="VPE26" s="1882"/>
      <c r="VPF26" s="1882"/>
      <c r="VPH26" s="1887"/>
      <c r="VPI26" s="1888"/>
      <c r="VPJ26" s="1882"/>
      <c r="VPK26" s="1882"/>
      <c r="VPL26" s="1882"/>
      <c r="VPN26" s="1887"/>
      <c r="VPO26" s="1888"/>
      <c r="VPP26" s="1882"/>
      <c r="VPQ26" s="1882"/>
      <c r="VPR26" s="1882"/>
      <c r="VPT26" s="1887"/>
      <c r="VPU26" s="1888"/>
      <c r="VPV26" s="1882"/>
      <c r="VPW26" s="1882"/>
      <c r="VPX26" s="1882"/>
      <c r="VPZ26" s="1887"/>
      <c r="VQA26" s="1888"/>
      <c r="VQB26" s="1882"/>
      <c r="VQC26" s="1882"/>
      <c r="VQD26" s="1882"/>
      <c r="VQF26" s="1887"/>
      <c r="VQG26" s="1888"/>
      <c r="VQH26" s="1882"/>
      <c r="VQI26" s="1882"/>
      <c r="VQJ26" s="1882"/>
      <c r="VQL26" s="1887"/>
      <c r="VQM26" s="1888"/>
      <c r="VQN26" s="1882"/>
      <c r="VQO26" s="1882"/>
      <c r="VQP26" s="1882"/>
      <c r="VQR26" s="1887"/>
      <c r="VQS26" s="1888"/>
      <c r="VQT26" s="1882"/>
      <c r="VQU26" s="1882"/>
      <c r="VQV26" s="1882"/>
      <c r="VQX26" s="1887"/>
      <c r="VQY26" s="1888"/>
      <c r="VQZ26" s="1882"/>
      <c r="VRA26" s="1882"/>
      <c r="VRB26" s="1882"/>
      <c r="VRD26" s="1887"/>
      <c r="VRE26" s="1888"/>
      <c r="VRF26" s="1882"/>
      <c r="VRG26" s="1882"/>
      <c r="VRH26" s="1882"/>
      <c r="VRJ26" s="1887"/>
      <c r="VRK26" s="1888"/>
      <c r="VRL26" s="1882"/>
      <c r="VRM26" s="1882"/>
      <c r="VRN26" s="1882"/>
      <c r="VRP26" s="1887"/>
      <c r="VRQ26" s="1888"/>
      <c r="VRR26" s="1882"/>
      <c r="VRS26" s="1882"/>
      <c r="VRT26" s="1882"/>
      <c r="VRV26" s="1887"/>
      <c r="VRW26" s="1888"/>
      <c r="VRX26" s="1882"/>
      <c r="VRY26" s="1882"/>
      <c r="VRZ26" s="1882"/>
      <c r="VSB26" s="1887"/>
      <c r="VSC26" s="1888"/>
      <c r="VSD26" s="1882"/>
      <c r="VSE26" s="1882"/>
      <c r="VSF26" s="1882"/>
      <c r="VSH26" s="1887"/>
      <c r="VSI26" s="1888"/>
      <c r="VSJ26" s="1882"/>
      <c r="VSK26" s="1882"/>
      <c r="VSL26" s="1882"/>
      <c r="VSN26" s="1887"/>
      <c r="VSO26" s="1888"/>
      <c r="VSP26" s="1882"/>
      <c r="VSQ26" s="1882"/>
      <c r="VSR26" s="1882"/>
      <c r="VST26" s="1887"/>
      <c r="VSU26" s="1888"/>
      <c r="VSV26" s="1882"/>
      <c r="VSW26" s="1882"/>
      <c r="VSX26" s="1882"/>
      <c r="VSZ26" s="1887"/>
      <c r="VTA26" s="1888"/>
      <c r="VTB26" s="1882"/>
      <c r="VTC26" s="1882"/>
      <c r="VTD26" s="1882"/>
      <c r="VTF26" s="1887"/>
      <c r="VTG26" s="1888"/>
      <c r="VTH26" s="1882"/>
      <c r="VTI26" s="1882"/>
      <c r="VTJ26" s="1882"/>
      <c r="VTL26" s="1887"/>
      <c r="VTM26" s="1888"/>
      <c r="VTN26" s="1882"/>
      <c r="VTO26" s="1882"/>
      <c r="VTP26" s="1882"/>
      <c r="VTR26" s="1887"/>
      <c r="VTS26" s="1888"/>
      <c r="VTT26" s="1882"/>
      <c r="VTU26" s="1882"/>
      <c r="VTV26" s="1882"/>
      <c r="VTX26" s="1887"/>
      <c r="VTY26" s="1888"/>
      <c r="VTZ26" s="1882"/>
      <c r="VUA26" s="1882"/>
      <c r="VUB26" s="1882"/>
      <c r="VUD26" s="1887"/>
      <c r="VUE26" s="1888"/>
      <c r="VUF26" s="1882"/>
      <c r="VUG26" s="1882"/>
      <c r="VUH26" s="1882"/>
      <c r="VUJ26" s="1887"/>
      <c r="VUK26" s="1888"/>
      <c r="VUL26" s="1882"/>
      <c r="VUM26" s="1882"/>
      <c r="VUN26" s="1882"/>
      <c r="VUP26" s="1887"/>
      <c r="VUQ26" s="1888"/>
      <c r="VUR26" s="1882"/>
      <c r="VUS26" s="1882"/>
      <c r="VUT26" s="1882"/>
      <c r="VUV26" s="1887"/>
      <c r="VUW26" s="1888"/>
      <c r="VUX26" s="1882"/>
      <c r="VUY26" s="1882"/>
      <c r="VUZ26" s="1882"/>
      <c r="VVB26" s="1887"/>
      <c r="VVC26" s="1888"/>
      <c r="VVD26" s="1882"/>
      <c r="VVE26" s="1882"/>
      <c r="VVF26" s="1882"/>
      <c r="VVH26" s="1887"/>
      <c r="VVI26" s="1888"/>
      <c r="VVJ26" s="1882"/>
      <c r="VVK26" s="1882"/>
      <c r="VVL26" s="1882"/>
      <c r="VVN26" s="1887"/>
      <c r="VVO26" s="1888"/>
      <c r="VVP26" s="1882"/>
      <c r="VVQ26" s="1882"/>
      <c r="VVR26" s="1882"/>
      <c r="VVT26" s="1887"/>
      <c r="VVU26" s="1888"/>
      <c r="VVV26" s="1882"/>
      <c r="VVW26" s="1882"/>
      <c r="VVX26" s="1882"/>
      <c r="VVZ26" s="1887"/>
      <c r="VWA26" s="1888"/>
      <c r="VWB26" s="1882"/>
      <c r="VWC26" s="1882"/>
      <c r="VWD26" s="1882"/>
      <c r="VWF26" s="1887"/>
      <c r="VWG26" s="1888"/>
      <c r="VWH26" s="1882"/>
      <c r="VWI26" s="1882"/>
      <c r="VWJ26" s="1882"/>
      <c r="VWL26" s="1887"/>
      <c r="VWM26" s="1888"/>
      <c r="VWN26" s="1882"/>
      <c r="VWO26" s="1882"/>
      <c r="VWP26" s="1882"/>
      <c r="VWR26" s="1887"/>
      <c r="VWS26" s="1888"/>
      <c r="VWT26" s="1882"/>
      <c r="VWU26" s="1882"/>
      <c r="VWV26" s="1882"/>
      <c r="VWX26" s="1887"/>
      <c r="VWY26" s="1888"/>
      <c r="VWZ26" s="1882"/>
      <c r="VXA26" s="1882"/>
      <c r="VXB26" s="1882"/>
      <c r="VXD26" s="1887"/>
      <c r="VXE26" s="1888"/>
      <c r="VXF26" s="1882"/>
      <c r="VXG26" s="1882"/>
      <c r="VXH26" s="1882"/>
      <c r="VXJ26" s="1887"/>
      <c r="VXK26" s="1888"/>
      <c r="VXL26" s="1882"/>
      <c r="VXM26" s="1882"/>
      <c r="VXN26" s="1882"/>
      <c r="VXP26" s="1887"/>
      <c r="VXQ26" s="1888"/>
      <c r="VXR26" s="1882"/>
      <c r="VXS26" s="1882"/>
      <c r="VXT26" s="1882"/>
      <c r="VXV26" s="1887"/>
      <c r="VXW26" s="1888"/>
      <c r="VXX26" s="1882"/>
      <c r="VXY26" s="1882"/>
      <c r="VXZ26" s="1882"/>
      <c r="VYB26" s="1887"/>
      <c r="VYC26" s="1888"/>
      <c r="VYD26" s="1882"/>
      <c r="VYE26" s="1882"/>
      <c r="VYF26" s="1882"/>
      <c r="VYH26" s="1887"/>
      <c r="VYI26" s="1888"/>
      <c r="VYJ26" s="1882"/>
      <c r="VYK26" s="1882"/>
      <c r="VYL26" s="1882"/>
      <c r="VYN26" s="1887"/>
      <c r="VYO26" s="1888"/>
      <c r="VYP26" s="1882"/>
      <c r="VYQ26" s="1882"/>
      <c r="VYR26" s="1882"/>
      <c r="VYT26" s="1887"/>
      <c r="VYU26" s="1888"/>
      <c r="VYV26" s="1882"/>
      <c r="VYW26" s="1882"/>
      <c r="VYX26" s="1882"/>
      <c r="VYZ26" s="1887"/>
      <c r="VZA26" s="1888"/>
      <c r="VZB26" s="1882"/>
      <c r="VZC26" s="1882"/>
      <c r="VZD26" s="1882"/>
      <c r="VZF26" s="1887"/>
      <c r="VZG26" s="1888"/>
      <c r="VZH26" s="1882"/>
      <c r="VZI26" s="1882"/>
      <c r="VZJ26" s="1882"/>
      <c r="VZL26" s="1887"/>
      <c r="VZM26" s="1888"/>
      <c r="VZN26" s="1882"/>
      <c r="VZO26" s="1882"/>
      <c r="VZP26" s="1882"/>
      <c r="VZR26" s="1887"/>
      <c r="VZS26" s="1888"/>
      <c r="VZT26" s="1882"/>
      <c r="VZU26" s="1882"/>
      <c r="VZV26" s="1882"/>
      <c r="VZX26" s="1887"/>
      <c r="VZY26" s="1888"/>
      <c r="VZZ26" s="1882"/>
      <c r="WAA26" s="1882"/>
      <c r="WAB26" s="1882"/>
      <c r="WAD26" s="1887"/>
      <c r="WAE26" s="1888"/>
      <c r="WAF26" s="1882"/>
      <c r="WAG26" s="1882"/>
      <c r="WAH26" s="1882"/>
      <c r="WAJ26" s="1887"/>
      <c r="WAK26" s="1888"/>
      <c r="WAL26" s="1882"/>
      <c r="WAM26" s="1882"/>
      <c r="WAN26" s="1882"/>
      <c r="WAP26" s="1887"/>
      <c r="WAQ26" s="1888"/>
      <c r="WAR26" s="1882"/>
      <c r="WAS26" s="1882"/>
      <c r="WAT26" s="1882"/>
      <c r="WAV26" s="1887"/>
      <c r="WAW26" s="1888"/>
      <c r="WAX26" s="1882"/>
      <c r="WAY26" s="1882"/>
      <c r="WAZ26" s="1882"/>
      <c r="WBB26" s="1887"/>
      <c r="WBC26" s="1888"/>
      <c r="WBD26" s="1882"/>
      <c r="WBE26" s="1882"/>
      <c r="WBF26" s="1882"/>
      <c r="WBH26" s="1887"/>
      <c r="WBI26" s="1888"/>
      <c r="WBJ26" s="1882"/>
      <c r="WBK26" s="1882"/>
      <c r="WBL26" s="1882"/>
      <c r="WBN26" s="1887"/>
      <c r="WBO26" s="1888"/>
      <c r="WBP26" s="1882"/>
      <c r="WBQ26" s="1882"/>
      <c r="WBR26" s="1882"/>
      <c r="WBT26" s="1887"/>
      <c r="WBU26" s="1888"/>
      <c r="WBV26" s="1882"/>
      <c r="WBW26" s="1882"/>
      <c r="WBX26" s="1882"/>
      <c r="WBZ26" s="1887"/>
      <c r="WCA26" s="1888"/>
      <c r="WCB26" s="1882"/>
      <c r="WCC26" s="1882"/>
      <c r="WCD26" s="1882"/>
      <c r="WCF26" s="1887"/>
      <c r="WCG26" s="1888"/>
      <c r="WCH26" s="1882"/>
      <c r="WCI26" s="1882"/>
      <c r="WCJ26" s="1882"/>
      <c r="WCL26" s="1887"/>
      <c r="WCM26" s="1888"/>
      <c r="WCN26" s="1882"/>
      <c r="WCO26" s="1882"/>
      <c r="WCP26" s="1882"/>
      <c r="WCR26" s="1887"/>
      <c r="WCS26" s="1888"/>
      <c r="WCT26" s="1882"/>
      <c r="WCU26" s="1882"/>
      <c r="WCV26" s="1882"/>
      <c r="WCX26" s="1887"/>
      <c r="WCY26" s="1888"/>
      <c r="WCZ26" s="1882"/>
      <c r="WDA26" s="1882"/>
      <c r="WDB26" s="1882"/>
      <c r="WDD26" s="1887"/>
      <c r="WDE26" s="1888"/>
      <c r="WDF26" s="1882"/>
      <c r="WDG26" s="1882"/>
      <c r="WDH26" s="1882"/>
      <c r="WDJ26" s="1887"/>
      <c r="WDK26" s="1888"/>
      <c r="WDL26" s="1882"/>
      <c r="WDM26" s="1882"/>
      <c r="WDN26" s="1882"/>
      <c r="WDP26" s="1887"/>
      <c r="WDQ26" s="1888"/>
      <c r="WDR26" s="1882"/>
      <c r="WDS26" s="1882"/>
      <c r="WDT26" s="1882"/>
      <c r="WDV26" s="1887"/>
      <c r="WDW26" s="1888"/>
      <c r="WDX26" s="1882"/>
      <c r="WDY26" s="1882"/>
      <c r="WDZ26" s="1882"/>
      <c r="WEB26" s="1887"/>
      <c r="WEC26" s="1888"/>
      <c r="WED26" s="1882"/>
      <c r="WEE26" s="1882"/>
      <c r="WEF26" s="1882"/>
      <c r="WEH26" s="1887"/>
      <c r="WEI26" s="1888"/>
      <c r="WEJ26" s="1882"/>
      <c r="WEK26" s="1882"/>
      <c r="WEL26" s="1882"/>
      <c r="WEN26" s="1887"/>
      <c r="WEO26" s="1888"/>
      <c r="WEP26" s="1882"/>
      <c r="WEQ26" s="1882"/>
      <c r="WER26" s="1882"/>
      <c r="WET26" s="1887"/>
      <c r="WEU26" s="1888"/>
      <c r="WEV26" s="1882"/>
      <c r="WEW26" s="1882"/>
      <c r="WEX26" s="1882"/>
      <c r="WEZ26" s="1887"/>
      <c r="WFA26" s="1888"/>
      <c r="WFB26" s="1882"/>
      <c r="WFC26" s="1882"/>
      <c r="WFD26" s="1882"/>
      <c r="WFF26" s="1887"/>
      <c r="WFG26" s="1888"/>
      <c r="WFH26" s="1882"/>
      <c r="WFI26" s="1882"/>
      <c r="WFJ26" s="1882"/>
      <c r="WFL26" s="1887"/>
      <c r="WFM26" s="1888"/>
      <c r="WFN26" s="1882"/>
      <c r="WFO26" s="1882"/>
      <c r="WFP26" s="1882"/>
      <c r="WFR26" s="1887"/>
      <c r="WFS26" s="1888"/>
      <c r="WFT26" s="1882"/>
      <c r="WFU26" s="1882"/>
      <c r="WFV26" s="1882"/>
      <c r="WFX26" s="1887"/>
      <c r="WFY26" s="1888"/>
      <c r="WFZ26" s="1882"/>
      <c r="WGA26" s="1882"/>
      <c r="WGB26" s="1882"/>
      <c r="WGD26" s="1887"/>
      <c r="WGE26" s="1888"/>
      <c r="WGF26" s="1882"/>
      <c r="WGG26" s="1882"/>
      <c r="WGH26" s="1882"/>
      <c r="WGJ26" s="1887"/>
      <c r="WGK26" s="1888"/>
      <c r="WGL26" s="1882"/>
      <c r="WGM26" s="1882"/>
      <c r="WGN26" s="1882"/>
      <c r="WGP26" s="1887"/>
      <c r="WGQ26" s="1888"/>
      <c r="WGR26" s="1882"/>
      <c r="WGS26" s="1882"/>
      <c r="WGT26" s="1882"/>
      <c r="WGV26" s="1887"/>
      <c r="WGW26" s="1888"/>
      <c r="WGX26" s="1882"/>
      <c r="WGY26" s="1882"/>
      <c r="WGZ26" s="1882"/>
      <c r="WHB26" s="1887"/>
      <c r="WHC26" s="1888"/>
      <c r="WHD26" s="1882"/>
      <c r="WHE26" s="1882"/>
      <c r="WHF26" s="1882"/>
      <c r="WHH26" s="1887"/>
      <c r="WHI26" s="1888"/>
      <c r="WHJ26" s="1882"/>
      <c r="WHK26" s="1882"/>
      <c r="WHL26" s="1882"/>
      <c r="WHN26" s="1887"/>
      <c r="WHO26" s="1888"/>
      <c r="WHP26" s="1882"/>
      <c r="WHQ26" s="1882"/>
      <c r="WHR26" s="1882"/>
      <c r="WHT26" s="1887"/>
      <c r="WHU26" s="1888"/>
      <c r="WHV26" s="1882"/>
      <c r="WHW26" s="1882"/>
      <c r="WHX26" s="1882"/>
      <c r="WHZ26" s="1887"/>
      <c r="WIA26" s="1888"/>
      <c r="WIB26" s="1882"/>
      <c r="WIC26" s="1882"/>
      <c r="WID26" s="1882"/>
      <c r="WIF26" s="1887"/>
      <c r="WIG26" s="1888"/>
      <c r="WIH26" s="1882"/>
      <c r="WII26" s="1882"/>
      <c r="WIJ26" s="1882"/>
      <c r="WIL26" s="1887"/>
      <c r="WIM26" s="1888"/>
      <c r="WIN26" s="1882"/>
      <c r="WIO26" s="1882"/>
      <c r="WIP26" s="1882"/>
      <c r="WIR26" s="1887"/>
      <c r="WIS26" s="1888"/>
      <c r="WIT26" s="1882"/>
      <c r="WIU26" s="1882"/>
      <c r="WIV26" s="1882"/>
      <c r="WIX26" s="1887"/>
      <c r="WIY26" s="1888"/>
      <c r="WIZ26" s="1882"/>
      <c r="WJA26" s="1882"/>
      <c r="WJB26" s="1882"/>
      <c r="WJD26" s="1887"/>
      <c r="WJE26" s="1888"/>
      <c r="WJF26" s="1882"/>
      <c r="WJG26" s="1882"/>
      <c r="WJH26" s="1882"/>
      <c r="WJJ26" s="1887"/>
      <c r="WJK26" s="1888"/>
      <c r="WJL26" s="1882"/>
      <c r="WJM26" s="1882"/>
      <c r="WJN26" s="1882"/>
      <c r="WJP26" s="1887"/>
      <c r="WJQ26" s="1888"/>
      <c r="WJR26" s="1882"/>
      <c r="WJS26" s="1882"/>
      <c r="WJT26" s="1882"/>
      <c r="WJV26" s="1887"/>
      <c r="WJW26" s="1888"/>
      <c r="WJX26" s="1882"/>
      <c r="WJY26" s="1882"/>
      <c r="WJZ26" s="1882"/>
      <c r="WKB26" s="1887"/>
      <c r="WKC26" s="1888"/>
      <c r="WKD26" s="1882"/>
      <c r="WKE26" s="1882"/>
      <c r="WKF26" s="1882"/>
      <c r="WKH26" s="1887"/>
      <c r="WKI26" s="1888"/>
      <c r="WKJ26" s="1882"/>
      <c r="WKK26" s="1882"/>
      <c r="WKL26" s="1882"/>
      <c r="WKN26" s="1887"/>
      <c r="WKO26" s="1888"/>
      <c r="WKP26" s="1882"/>
      <c r="WKQ26" s="1882"/>
      <c r="WKR26" s="1882"/>
      <c r="WKT26" s="1887"/>
      <c r="WKU26" s="1888"/>
      <c r="WKV26" s="1882"/>
      <c r="WKW26" s="1882"/>
      <c r="WKX26" s="1882"/>
      <c r="WKZ26" s="1887"/>
      <c r="WLA26" s="1888"/>
      <c r="WLB26" s="1882"/>
      <c r="WLC26" s="1882"/>
      <c r="WLD26" s="1882"/>
      <c r="WLF26" s="1887"/>
      <c r="WLG26" s="1888"/>
      <c r="WLH26" s="1882"/>
      <c r="WLI26" s="1882"/>
      <c r="WLJ26" s="1882"/>
      <c r="WLL26" s="1887"/>
      <c r="WLM26" s="1888"/>
      <c r="WLN26" s="1882"/>
      <c r="WLO26" s="1882"/>
      <c r="WLP26" s="1882"/>
      <c r="WLR26" s="1887"/>
      <c r="WLS26" s="1888"/>
      <c r="WLT26" s="1882"/>
      <c r="WLU26" s="1882"/>
      <c r="WLV26" s="1882"/>
      <c r="WLX26" s="1887"/>
      <c r="WLY26" s="1888"/>
      <c r="WLZ26" s="1882"/>
      <c r="WMA26" s="1882"/>
      <c r="WMB26" s="1882"/>
      <c r="WMD26" s="1887"/>
      <c r="WME26" s="1888"/>
      <c r="WMF26" s="1882"/>
      <c r="WMG26" s="1882"/>
      <c r="WMH26" s="1882"/>
      <c r="WMJ26" s="1887"/>
      <c r="WMK26" s="1888"/>
      <c r="WML26" s="1882"/>
      <c r="WMM26" s="1882"/>
      <c r="WMN26" s="1882"/>
      <c r="WMP26" s="1887"/>
      <c r="WMQ26" s="1888"/>
      <c r="WMR26" s="1882"/>
      <c r="WMS26" s="1882"/>
      <c r="WMT26" s="1882"/>
      <c r="WMV26" s="1887"/>
      <c r="WMW26" s="1888"/>
      <c r="WMX26" s="1882"/>
      <c r="WMY26" s="1882"/>
      <c r="WMZ26" s="1882"/>
      <c r="WNB26" s="1887"/>
      <c r="WNC26" s="1888"/>
      <c r="WND26" s="1882"/>
      <c r="WNE26" s="1882"/>
      <c r="WNF26" s="1882"/>
      <c r="WNH26" s="1887"/>
      <c r="WNI26" s="1888"/>
      <c r="WNJ26" s="1882"/>
      <c r="WNK26" s="1882"/>
      <c r="WNL26" s="1882"/>
      <c r="WNN26" s="1887"/>
      <c r="WNO26" s="1888"/>
      <c r="WNP26" s="1882"/>
      <c r="WNQ26" s="1882"/>
      <c r="WNR26" s="1882"/>
      <c r="WNT26" s="1887"/>
      <c r="WNU26" s="1888"/>
      <c r="WNV26" s="1882"/>
      <c r="WNW26" s="1882"/>
      <c r="WNX26" s="1882"/>
      <c r="WNZ26" s="1887"/>
      <c r="WOA26" s="1888"/>
      <c r="WOB26" s="1882"/>
      <c r="WOC26" s="1882"/>
      <c r="WOD26" s="1882"/>
      <c r="WOF26" s="1887"/>
      <c r="WOG26" s="1888"/>
      <c r="WOH26" s="1882"/>
      <c r="WOI26" s="1882"/>
      <c r="WOJ26" s="1882"/>
      <c r="WOL26" s="1887"/>
      <c r="WOM26" s="1888"/>
      <c r="WON26" s="1882"/>
      <c r="WOO26" s="1882"/>
      <c r="WOP26" s="1882"/>
      <c r="WOR26" s="1887"/>
      <c r="WOS26" s="1888"/>
      <c r="WOT26" s="1882"/>
      <c r="WOU26" s="1882"/>
      <c r="WOV26" s="1882"/>
      <c r="WOX26" s="1887"/>
      <c r="WOY26" s="1888"/>
      <c r="WOZ26" s="1882"/>
      <c r="WPA26" s="1882"/>
      <c r="WPB26" s="1882"/>
      <c r="WPD26" s="1887"/>
      <c r="WPE26" s="1888"/>
      <c r="WPF26" s="1882"/>
      <c r="WPG26" s="1882"/>
      <c r="WPH26" s="1882"/>
      <c r="WPJ26" s="1887"/>
      <c r="WPK26" s="1888"/>
      <c r="WPL26" s="1882"/>
      <c r="WPM26" s="1882"/>
      <c r="WPN26" s="1882"/>
      <c r="WPP26" s="1887"/>
      <c r="WPQ26" s="1888"/>
      <c r="WPR26" s="1882"/>
      <c r="WPS26" s="1882"/>
      <c r="WPT26" s="1882"/>
      <c r="WPV26" s="1887"/>
      <c r="WPW26" s="1888"/>
      <c r="WPX26" s="1882"/>
      <c r="WPY26" s="1882"/>
      <c r="WPZ26" s="1882"/>
      <c r="WQB26" s="1887"/>
      <c r="WQC26" s="1888"/>
      <c r="WQD26" s="1882"/>
      <c r="WQE26" s="1882"/>
      <c r="WQF26" s="1882"/>
      <c r="WQH26" s="1887"/>
      <c r="WQI26" s="1888"/>
      <c r="WQJ26" s="1882"/>
      <c r="WQK26" s="1882"/>
      <c r="WQL26" s="1882"/>
      <c r="WQN26" s="1887"/>
      <c r="WQO26" s="1888"/>
      <c r="WQP26" s="1882"/>
      <c r="WQQ26" s="1882"/>
      <c r="WQR26" s="1882"/>
      <c r="WQT26" s="1887"/>
      <c r="WQU26" s="1888"/>
      <c r="WQV26" s="1882"/>
      <c r="WQW26" s="1882"/>
      <c r="WQX26" s="1882"/>
      <c r="WQZ26" s="1887"/>
      <c r="WRA26" s="1888"/>
      <c r="WRB26" s="1882"/>
      <c r="WRC26" s="1882"/>
      <c r="WRD26" s="1882"/>
      <c r="WRF26" s="1887"/>
      <c r="WRG26" s="1888"/>
      <c r="WRH26" s="1882"/>
      <c r="WRI26" s="1882"/>
      <c r="WRJ26" s="1882"/>
      <c r="WRL26" s="1887"/>
      <c r="WRM26" s="1888"/>
      <c r="WRN26" s="1882"/>
      <c r="WRO26" s="1882"/>
      <c r="WRP26" s="1882"/>
      <c r="WRR26" s="1887"/>
      <c r="WRS26" s="1888"/>
      <c r="WRT26" s="1882"/>
      <c r="WRU26" s="1882"/>
      <c r="WRV26" s="1882"/>
      <c r="WRX26" s="1887"/>
      <c r="WRY26" s="1888"/>
      <c r="WRZ26" s="1882"/>
      <c r="WSA26" s="1882"/>
      <c r="WSB26" s="1882"/>
      <c r="WSD26" s="1887"/>
      <c r="WSE26" s="1888"/>
      <c r="WSF26" s="1882"/>
      <c r="WSG26" s="1882"/>
      <c r="WSH26" s="1882"/>
      <c r="WSJ26" s="1887"/>
      <c r="WSK26" s="1888"/>
      <c r="WSL26" s="1882"/>
      <c r="WSM26" s="1882"/>
      <c r="WSN26" s="1882"/>
      <c r="WSP26" s="1887"/>
      <c r="WSQ26" s="1888"/>
      <c r="WSR26" s="1882"/>
      <c r="WSS26" s="1882"/>
      <c r="WST26" s="1882"/>
      <c r="WSV26" s="1887"/>
      <c r="WSW26" s="1888"/>
      <c r="WSX26" s="1882"/>
      <c r="WSY26" s="1882"/>
      <c r="WSZ26" s="1882"/>
      <c r="WTB26" s="1887"/>
      <c r="WTC26" s="1888"/>
      <c r="WTD26" s="1882"/>
      <c r="WTE26" s="1882"/>
      <c r="WTF26" s="1882"/>
      <c r="WTH26" s="1887"/>
      <c r="WTI26" s="1888"/>
      <c r="WTJ26" s="1882"/>
      <c r="WTK26" s="1882"/>
      <c r="WTL26" s="1882"/>
      <c r="WTN26" s="1887"/>
      <c r="WTO26" s="1888"/>
      <c r="WTP26" s="1882"/>
      <c r="WTQ26" s="1882"/>
      <c r="WTR26" s="1882"/>
      <c r="WTT26" s="1887"/>
      <c r="WTU26" s="1888"/>
      <c r="WTV26" s="1882"/>
      <c r="WTW26" s="1882"/>
      <c r="WTX26" s="1882"/>
      <c r="WTZ26" s="1887"/>
      <c r="WUA26" s="1888"/>
      <c r="WUB26" s="1882"/>
      <c r="WUC26" s="1882"/>
      <c r="WUD26" s="1882"/>
      <c r="WUF26" s="1887"/>
      <c r="WUG26" s="1888"/>
      <c r="WUH26" s="1882"/>
      <c r="WUI26" s="1882"/>
      <c r="WUJ26" s="1882"/>
      <c r="WUL26" s="1887"/>
      <c r="WUM26" s="1888"/>
      <c r="WUN26" s="1882"/>
      <c r="WUO26" s="1882"/>
      <c r="WUP26" s="1882"/>
      <c r="WUR26" s="1887"/>
      <c r="WUS26" s="1888"/>
      <c r="WUT26" s="1882"/>
      <c r="WUU26" s="1882"/>
      <c r="WUV26" s="1882"/>
      <c r="WUX26" s="1887"/>
      <c r="WUY26" s="1888"/>
      <c r="WUZ26" s="1882"/>
      <c r="WVA26" s="1882"/>
      <c r="WVB26" s="1882"/>
      <c r="WVD26" s="1887"/>
      <c r="WVE26" s="1888"/>
      <c r="WVF26" s="1882"/>
      <c r="WVG26" s="1882"/>
      <c r="WVH26" s="1882"/>
      <c r="WVJ26" s="1887"/>
      <c r="WVK26" s="1888"/>
      <c r="WVL26" s="1882"/>
      <c r="WVM26" s="1882"/>
      <c r="WVN26" s="1882"/>
      <c r="WVP26" s="1887"/>
      <c r="WVQ26" s="1888"/>
      <c r="WVR26" s="1882"/>
      <c r="WVS26" s="1882"/>
      <c r="WVT26" s="1882"/>
      <c r="WVV26" s="1887"/>
      <c r="WVW26" s="1888"/>
      <c r="WVX26" s="1882"/>
      <c r="WVY26" s="1882"/>
      <c r="WVZ26" s="1882"/>
      <c r="WWB26" s="1887"/>
      <c r="WWC26" s="1888"/>
      <c r="WWD26" s="1882"/>
      <c r="WWE26" s="1882"/>
      <c r="WWF26" s="1882"/>
      <c r="WWH26" s="1887"/>
      <c r="WWI26" s="1888"/>
      <c r="WWJ26" s="1882"/>
      <c r="WWK26" s="1882"/>
      <c r="WWL26" s="1882"/>
      <c r="WWN26" s="1887"/>
      <c r="WWO26" s="1888"/>
      <c r="WWP26" s="1882"/>
      <c r="WWQ26" s="1882"/>
      <c r="WWR26" s="1882"/>
      <c r="WWT26" s="1887"/>
      <c r="WWU26" s="1888"/>
      <c r="WWV26" s="1882"/>
      <c r="WWW26" s="1882"/>
      <c r="WWX26" s="1882"/>
      <c r="WWZ26" s="1887"/>
      <c r="WXA26" s="1888"/>
      <c r="WXB26" s="1882"/>
      <c r="WXC26" s="1882"/>
      <c r="WXD26" s="1882"/>
      <c r="WXF26" s="1887"/>
      <c r="WXG26" s="1888"/>
      <c r="WXH26" s="1882"/>
      <c r="WXI26" s="1882"/>
      <c r="WXJ26" s="1882"/>
      <c r="WXL26" s="1887"/>
      <c r="WXM26" s="1888"/>
      <c r="WXN26" s="1882"/>
      <c r="WXO26" s="1882"/>
      <c r="WXP26" s="1882"/>
      <c r="WXR26" s="1887"/>
      <c r="WXS26" s="1888"/>
      <c r="WXT26" s="1882"/>
      <c r="WXU26" s="1882"/>
      <c r="WXV26" s="1882"/>
      <c r="WXX26" s="1887"/>
      <c r="WXY26" s="1888"/>
      <c r="WXZ26" s="1882"/>
      <c r="WYA26" s="1882"/>
      <c r="WYB26" s="1882"/>
      <c r="WYD26" s="1887"/>
      <c r="WYE26" s="1888"/>
      <c r="WYF26" s="1882"/>
      <c r="WYG26" s="1882"/>
      <c r="WYH26" s="1882"/>
      <c r="WYJ26" s="1887"/>
      <c r="WYK26" s="1888"/>
      <c r="WYL26" s="1882"/>
      <c r="WYM26" s="1882"/>
      <c r="WYN26" s="1882"/>
      <c r="WYP26" s="1887"/>
      <c r="WYQ26" s="1888"/>
      <c r="WYR26" s="1882"/>
      <c r="WYS26" s="1882"/>
      <c r="WYT26" s="1882"/>
      <c r="WYV26" s="1887"/>
      <c r="WYW26" s="1888"/>
      <c r="WYX26" s="1882"/>
      <c r="WYY26" s="1882"/>
      <c r="WYZ26" s="1882"/>
      <c r="WZB26" s="1887"/>
      <c r="WZC26" s="1888"/>
      <c r="WZD26" s="1882"/>
      <c r="WZE26" s="1882"/>
      <c r="WZF26" s="1882"/>
      <c r="WZH26" s="1887"/>
      <c r="WZI26" s="1888"/>
      <c r="WZJ26" s="1882"/>
      <c r="WZK26" s="1882"/>
      <c r="WZL26" s="1882"/>
      <c r="WZN26" s="1887"/>
      <c r="WZO26" s="1888"/>
      <c r="WZP26" s="1882"/>
      <c r="WZQ26" s="1882"/>
      <c r="WZR26" s="1882"/>
      <c r="WZT26" s="1887"/>
      <c r="WZU26" s="1888"/>
      <c r="WZV26" s="1882"/>
      <c r="WZW26" s="1882"/>
      <c r="WZX26" s="1882"/>
      <c r="WZZ26" s="1887"/>
      <c r="XAA26" s="1888"/>
      <c r="XAB26" s="1882"/>
      <c r="XAC26" s="1882"/>
      <c r="XAD26" s="1882"/>
      <c r="XAF26" s="1887"/>
      <c r="XAG26" s="1888"/>
      <c r="XAH26" s="1882"/>
      <c r="XAI26" s="1882"/>
      <c r="XAJ26" s="1882"/>
      <c r="XAL26" s="1887"/>
      <c r="XAM26" s="1888"/>
      <c r="XAN26" s="1882"/>
      <c r="XAO26" s="1882"/>
      <c r="XAP26" s="1882"/>
      <c r="XAR26" s="1887"/>
      <c r="XAS26" s="1888"/>
      <c r="XAT26" s="1882"/>
      <c r="XAU26" s="1882"/>
      <c r="XAV26" s="1882"/>
      <c r="XAX26" s="1887"/>
      <c r="XAY26" s="1888"/>
      <c r="XAZ26" s="1882"/>
      <c r="XBA26" s="1882"/>
      <c r="XBB26" s="1882"/>
      <c r="XBD26" s="1887"/>
      <c r="XBE26" s="1888"/>
      <c r="XBF26" s="1882"/>
      <c r="XBG26" s="1882"/>
      <c r="XBH26" s="1882"/>
      <c r="XBJ26" s="1887"/>
      <c r="XBK26" s="1888"/>
      <c r="XBL26" s="1882"/>
      <c r="XBM26" s="1882"/>
      <c r="XBN26" s="1882"/>
      <c r="XBP26" s="1887"/>
      <c r="XBQ26" s="1888"/>
      <c r="XBR26" s="1882"/>
      <c r="XBS26" s="1882"/>
      <c r="XBT26" s="1882"/>
      <c r="XBV26" s="1887"/>
      <c r="XBW26" s="1888"/>
      <c r="XBX26" s="1882"/>
      <c r="XBY26" s="1882"/>
      <c r="XBZ26" s="1882"/>
      <c r="XCB26" s="1887"/>
      <c r="XCC26" s="1888"/>
      <c r="XCD26" s="1882"/>
      <c r="XCE26" s="1882"/>
      <c r="XCF26" s="1882"/>
      <c r="XCH26" s="1887"/>
      <c r="XCI26" s="1888"/>
      <c r="XCJ26" s="1882"/>
      <c r="XCK26" s="1882"/>
      <c r="XCL26" s="1882"/>
      <c r="XCN26" s="1887"/>
      <c r="XCO26" s="1888"/>
      <c r="XCP26" s="1882"/>
      <c r="XCQ26" s="1882"/>
      <c r="XCR26" s="1882"/>
      <c r="XCT26" s="1887"/>
      <c r="XCU26" s="1888"/>
      <c r="XCV26" s="1882"/>
      <c r="XCW26" s="1882"/>
      <c r="XCX26" s="1882"/>
      <c r="XCZ26" s="1887"/>
      <c r="XDA26" s="1888"/>
      <c r="XDB26" s="1882"/>
      <c r="XDC26" s="1882"/>
      <c r="XDD26" s="1882"/>
      <c r="XDF26" s="1887"/>
      <c r="XDG26" s="1888"/>
      <c r="XDH26" s="1882"/>
      <c r="XDI26" s="1882"/>
      <c r="XDJ26" s="1882"/>
      <c r="XDL26" s="1887"/>
      <c r="XDM26" s="1888"/>
      <c r="XDN26" s="1882"/>
      <c r="XDO26" s="1882"/>
      <c r="XDP26" s="1882"/>
      <c r="XDR26" s="1887"/>
      <c r="XDS26" s="1888"/>
      <c r="XDT26" s="1882"/>
      <c r="XDU26" s="1882"/>
      <c r="XDV26" s="1882"/>
      <c r="XDX26" s="1887"/>
      <c r="XDY26" s="1888"/>
      <c r="XDZ26" s="1882"/>
      <c r="XEA26" s="1882"/>
      <c r="XEB26" s="1882"/>
      <c r="XED26" s="1887"/>
      <c r="XEE26" s="1888"/>
      <c r="XEF26" s="1882"/>
      <c r="XEG26" s="1882"/>
      <c r="XEH26" s="1882"/>
      <c r="XEJ26" s="1887"/>
      <c r="XEK26" s="1888"/>
      <c r="XEL26" s="1882"/>
      <c r="XEM26" s="1882"/>
      <c r="XEN26" s="1882"/>
      <c r="XEP26" s="1887"/>
      <c r="XEQ26" s="1888"/>
      <c r="XER26" s="1882"/>
      <c r="XES26" s="1882"/>
      <c r="XET26" s="1882"/>
      <c r="XEV26" s="1887"/>
      <c r="XEW26" s="1888"/>
      <c r="XEX26" s="1882"/>
      <c r="XEY26" s="1882"/>
      <c r="XEZ26" s="1882"/>
      <c r="XFB26" s="1887"/>
      <c r="XFC26" s="1888"/>
      <c r="XFD26" s="1882"/>
    </row>
    <row r="27" spans="1:3072 3074:6144 6146:9216 9218:12288 12290:15360 15362:16384" ht="12.75" customHeight="1" thickBot="1">
      <c r="A27" s="4906"/>
      <c r="B27" s="4907"/>
      <c r="C27" s="4907"/>
      <c r="D27" s="4907"/>
      <c r="E27" s="4907"/>
      <c r="F27" s="4908"/>
      <c r="H27" s="1887"/>
      <c r="I27" s="1888"/>
      <c r="J27" s="1882"/>
      <c r="K27" s="1882"/>
      <c r="L27" s="1882"/>
      <c r="N27" s="1887"/>
      <c r="O27" s="1888"/>
      <c r="P27" s="1882"/>
      <c r="Q27" s="1882"/>
      <c r="R27" s="1882"/>
      <c r="T27" s="1887"/>
      <c r="U27" s="1888"/>
      <c r="V27" s="1882"/>
      <c r="W27" s="1882"/>
      <c r="X27" s="1882"/>
      <c r="Z27" s="1887"/>
      <c r="AA27" s="1888"/>
      <c r="AB27" s="1882"/>
      <c r="AC27" s="1882"/>
      <c r="AD27" s="1882"/>
      <c r="AF27" s="1887"/>
      <c r="AG27" s="1888"/>
      <c r="AH27" s="1882"/>
      <c r="AI27" s="1882"/>
      <c r="AJ27" s="1882"/>
      <c r="AL27" s="1887"/>
      <c r="AM27" s="1888"/>
      <c r="AN27" s="1882"/>
      <c r="AO27" s="1882"/>
      <c r="AP27" s="1882"/>
      <c r="AR27" s="1887"/>
      <c r="AS27" s="1888"/>
      <c r="AT27" s="1882"/>
      <c r="AU27" s="1882"/>
      <c r="AV27" s="1882"/>
      <c r="AX27" s="1887"/>
      <c r="AY27" s="1888"/>
      <c r="AZ27" s="1882"/>
      <c r="BA27" s="1882"/>
      <c r="BB27" s="1882"/>
      <c r="BD27" s="1887"/>
      <c r="BE27" s="1888"/>
      <c r="BF27" s="1882"/>
      <c r="BG27" s="1882"/>
      <c r="BH27" s="1882"/>
      <c r="BJ27" s="1887"/>
      <c r="BK27" s="1888"/>
      <c r="BL27" s="1882"/>
      <c r="BM27" s="1882"/>
      <c r="BN27" s="1882"/>
      <c r="BP27" s="1887"/>
      <c r="BQ27" s="1888"/>
      <c r="BR27" s="1882"/>
      <c r="BS27" s="1882"/>
      <c r="BT27" s="1882"/>
      <c r="BV27" s="1887"/>
      <c r="BW27" s="1888"/>
      <c r="BX27" s="1882"/>
      <c r="BY27" s="1882"/>
      <c r="BZ27" s="1882"/>
      <c r="CB27" s="1887"/>
      <c r="CC27" s="1888"/>
      <c r="CD27" s="1882"/>
      <c r="CE27" s="1882"/>
      <c r="CF27" s="1882"/>
      <c r="CH27" s="1887"/>
      <c r="CI27" s="1888"/>
      <c r="CJ27" s="1882"/>
      <c r="CK27" s="1882"/>
      <c r="CL27" s="1882"/>
      <c r="CN27" s="1887"/>
      <c r="CO27" s="1888"/>
      <c r="CP27" s="1882"/>
      <c r="CQ27" s="1882"/>
      <c r="CR27" s="1882"/>
      <c r="CT27" s="1887"/>
      <c r="CU27" s="1888"/>
      <c r="CV27" s="1882"/>
      <c r="CW27" s="1882"/>
      <c r="CX27" s="1882"/>
      <c r="CZ27" s="1887"/>
      <c r="DA27" s="1888"/>
      <c r="DB27" s="1882"/>
      <c r="DC27" s="1882"/>
      <c r="DD27" s="1882"/>
      <c r="DF27" s="1887"/>
      <c r="DG27" s="1888"/>
      <c r="DH27" s="1882"/>
      <c r="DI27" s="1882"/>
      <c r="DJ27" s="1882"/>
      <c r="DL27" s="1887"/>
      <c r="DM27" s="1888"/>
      <c r="DN27" s="1882"/>
      <c r="DO27" s="1882"/>
      <c r="DP27" s="1882"/>
      <c r="DR27" s="1887"/>
      <c r="DS27" s="1888"/>
      <c r="DT27" s="1882"/>
      <c r="DU27" s="1882"/>
      <c r="DV27" s="1882"/>
      <c r="DX27" s="1887"/>
      <c r="DY27" s="1888"/>
      <c r="DZ27" s="1882"/>
      <c r="EA27" s="1882"/>
      <c r="EB27" s="1882"/>
      <c r="ED27" s="1887"/>
      <c r="EE27" s="1888"/>
      <c r="EF27" s="1882"/>
      <c r="EG27" s="1882"/>
      <c r="EH27" s="1882"/>
      <c r="EJ27" s="1887"/>
      <c r="EK27" s="1888"/>
      <c r="EL27" s="1882"/>
      <c r="EM27" s="1882"/>
      <c r="EN27" s="1882"/>
      <c r="EP27" s="1887"/>
      <c r="EQ27" s="1888"/>
      <c r="ER27" s="1882"/>
      <c r="ES27" s="1882"/>
      <c r="ET27" s="1882"/>
      <c r="EV27" s="1887"/>
      <c r="EW27" s="1888"/>
      <c r="EX27" s="1882"/>
      <c r="EY27" s="1882"/>
      <c r="EZ27" s="1882"/>
      <c r="FB27" s="1887"/>
      <c r="FC27" s="1888"/>
      <c r="FD27" s="1882"/>
      <c r="FE27" s="1882"/>
      <c r="FF27" s="1882"/>
      <c r="FH27" s="1887"/>
      <c r="FI27" s="1888"/>
      <c r="FJ27" s="1882"/>
      <c r="FK27" s="1882"/>
      <c r="FL27" s="1882"/>
      <c r="FN27" s="1887"/>
      <c r="FO27" s="1888"/>
      <c r="FP27" s="1882"/>
      <c r="FQ27" s="1882"/>
      <c r="FR27" s="1882"/>
      <c r="FT27" s="1887"/>
      <c r="FU27" s="1888"/>
      <c r="FV27" s="1882"/>
      <c r="FW27" s="1882"/>
      <c r="FX27" s="1882"/>
      <c r="FZ27" s="1887"/>
      <c r="GA27" s="1888"/>
      <c r="GB27" s="1882"/>
      <c r="GC27" s="1882"/>
      <c r="GD27" s="1882"/>
      <c r="GF27" s="1887"/>
      <c r="GG27" s="1888"/>
      <c r="GH27" s="1882"/>
      <c r="GI27" s="1882"/>
      <c r="GJ27" s="1882"/>
      <c r="GL27" s="1887"/>
      <c r="GM27" s="1888"/>
      <c r="GN27" s="1882"/>
      <c r="GO27" s="1882"/>
      <c r="GP27" s="1882"/>
      <c r="GR27" s="1887"/>
      <c r="GS27" s="1888"/>
      <c r="GT27" s="1882"/>
      <c r="GU27" s="1882"/>
      <c r="GV27" s="1882"/>
      <c r="GX27" s="1887"/>
      <c r="GY27" s="1888"/>
      <c r="GZ27" s="1882"/>
      <c r="HA27" s="1882"/>
      <c r="HB27" s="1882"/>
      <c r="HD27" s="1887"/>
      <c r="HE27" s="1888"/>
      <c r="HF27" s="1882"/>
      <c r="HG27" s="1882"/>
      <c r="HH27" s="1882"/>
      <c r="HJ27" s="1887"/>
      <c r="HK27" s="1888"/>
      <c r="HL27" s="1882"/>
      <c r="HM27" s="1882"/>
      <c r="HN27" s="1882"/>
      <c r="HP27" s="1887"/>
      <c r="HQ27" s="1888"/>
      <c r="HR27" s="1882"/>
      <c r="HS27" s="1882"/>
      <c r="HT27" s="1882"/>
      <c r="HV27" s="1887"/>
      <c r="HW27" s="1888"/>
      <c r="HX27" s="1882"/>
      <c r="HY27" s="1882"/>
      <c r="HZ27" s="1882"/>
      <c r="IB27" s="1887"/>
      <c r="IC27" s="1888"/>
      <c r="ID27" s="1882"/>
      <c r="IE27" s="1882"/>
      <c r="IF27" s="1882"/>
      <c r="IH27" s="1887"/>
      <c r="II27" s="1888"/>
      <c r="IJ27" s="1882"/>
      <c r="IK27" s="1882"/>
      <c r="IL27" s="1882"/>
      <c r="IN27" s="1887"/>
      <c r="IO27" s="1888"/>
      <c r="IP27" s="1882"/>
      <c r="IQ27" s="1882"/>
      <c r="IR27" s="1882"/>
      <c r="IT27" s="1887"/>
      <c r="IU27" s="1888"/>
      <c r="IV27" s="1882"/>
      <c r="IW27" s="1882"/>
      <c r="IX27" s="1882"/>
      <c r="IZ27" s="1887"/>
      <c r="JA27" s="1888"/>
      <c r="JB27" s="1882"/>
      <c r="JC27" s="1882"/>
      <c r="JD27" s="1882"/>
      <c r="JF27" s="1887"/>
      <c r="JG27" s="1888"/>
      <c r="JH27" s="1882"/>
      <c r="JI27" s="1882"/>
      <c r="JJ27" s="1882"/>
      <c r="JL27" s="1887"/>
      <c r="JM27" s="1888"/>
      <c r="JN27" s="1882"/>
      <c r="JO27" s="1882"/>
      <c r="JP27" s="1882"/>
      <c r="JR27" s="1887"/>
      <c r="JS27" s="1888"/>
      <c r="JT27" s="1882"/>
      <c r="JU27" s="1882"/>
      <c r="JV27" s="1882"/>
      <c r="JX27" s="1887"/>
      <c r="JY27" s="1888"/>
      <c r="JZ27" s="1882"/>
      <c r="KA27" s="1882"/>
      <c r="KB27" s="1882"/>
      <c r="KD27" s="1887"/>
      <c r="KE27" s="1888"/>
      <c r="KF27" s="1882"/>
      <c r="KG27" s="1882"/>
      <c r="KH27" s="1882"/>
      <c r="KJ27" s="1887"/>
      <c r="KK27" s="1888"/>
      <c r="KL27" s="1882"/>
      <c r="KM27" s="1882"/>
      <c r="KN27" s="1882"/>
      <c r="KP27" s="1887"/>
      <c r="KQ27" s="1888"/>
      <c r="KR27" s="1882"/>
      <c r="KS27" s="1882"/>
      <c r="KT27" s="1882"/>
      <c r="KV27" s="1887"/>
      <c r="KW27" s="1888"/>
      <c r="KX27" s="1882"/>
      <c r="KY27" s="1882"/>
      <c r="KZ27" s="1882"/>
      <c r="LB27" s="1887"/>
      <c r="LC27" s="1888"/>
      <c r="LD27" s="1882"/>
      <c r="LE27" s="1882"/>
      <c r="LF27" s="1882"/>
      <c r="LH27" s="1887"/>
      <c r="LI27" s="1888"/>
      <c r="LJ27" s="1882"/>
      <c r="LK27" s="1882"/>
      <c r="LL27" s="1882"/>
      <c r="LN27" s="1887"/>
      <c r="LO27" s="1888"/>
      <c r="LP27" s="1882"/>
      <c r="LQ27" s="1882"/>
      <c r="LR27" s="1882"/>
      <c r="LT27" s="1887"/>
      <c r="LU27" s="1888"/>
      <c r="LV27" s="1882"/>
      <c r="LW27" s="1882"/>
      <c r="LX27" s="1882"/>
      <c r="LZ27" s="1887"/>
      <c r="MA27" s="1888"/>
      <c r="MB27" s="1882"/>
      <c r="MC27" s="1882"/>
      <c r="MD27" s="1882"/>
      <c r="MF27" s="1887"/>
      <c r="MG27" s="1888"/>
      <c r="MH27" s="1882"/>
      <c r="MI27" s="1882"/>
      <c r="MJ27" s="1882"/>
      <c r="ML27" s="1887"/>
      <c r="MM27" s="1888"/>
      <c r="MN27" s="1882"/>
      <c r="MO27" s="1882"/>
      <c r="MP27" s="1882"/>
      <c r="MR27" s="1887"/>
      <c r="MS27" s="1888"/>
      <c r="MT27" s="1882"/>
      <c r="MU27" s="1882"/>
      <c r="MV27" s="1882"/>
      <c r="MX27" s="1887"/>
      <c r="MY27" s="1888"/>
      <c r="MZ27" s="1882"/>
      <c r="NA27" s="1882"/>
      <c r="NB27" s="1882"/>
      <c r="ND27" s="1887"/>
      <c r="NE27" s="1888"/>
      <c r="NF27" s="1882"/>
      <c r="NG27" s="1882"/>
      <c r="NH27" s="1882"/>
      <c r="NJ27" s="1887"/>
      <c r="NK27" s="1888"/>
      <c r="NL27" s="1882"/>
      <c r="NM27" s="1882"/>
      <c r="NN27" s="1882"/>
      <c r="NP27" s="1887"/>
      <c r="NQ27" s="1888"/>
      <c r="NR27" s="1882"/>
      <c r="NS27" s="1882"/>
      <c r="NT27" s="1882"/>
      <c r="NV27" s="1887"/>
      <c r="NW27" s="1888"/>
      <c r="NX27" s="1882"/>
      <c r="NY27" s="1882"/>
      <c r="NZ27" s="1882"/>
      <c r="OB27" s="1887"/>
      <c r="OC27" s="1888"/>
      <c r="OD27" s="1882"/>
      <c r="OE27" s="1882"/>
      <c r="OF27" s="1882"/>
      <c r="OH27" s="1887"/>
      <c r="OI27" s="1888"/>
      <c r="OJ27" s="1882"/>
      <c r="OK27" s="1882"/>
      <c r="OL27" s="1882"/>
      <c r="ON27" s="1887"/>
      <c r="OO27" s="1888"/>
      <c r="OP27" s="1882"/>
      <c r="OQ27" s="1882"/>
      <c r="OR27" s="1882"/>
      <c r="OT27" s="1887"/>
      <c r="OU27" s="1888"/>
      <c r="OV27" s="1882"/>
      <c r="OW27" s="1882"/>
      <c r="OX27" s="1882"/>
      <c r="OZ27" s="1887"/>
      <c r="PA27" s="1888"/>
      <c r="PB27" s="1882"/>
      <c r="PC27" s="1882"/>
      <c r="PD27" s="1882"/>
      <c r="PF27" s="1887"/>
      <c r="PG27" s="1888"/>
      <c r="PH27" s="1882"/>
      <c r="PI27" s="1882"/>
      <c r="PJ27" s="1882"/>
      <c r="PL27" s="1887"/>
      <c r="PM27" s="1888"/>
      <c r="PN27" s="1882"/>
      <c r="PO27" s="1882"/>
      <c r="PP27" s="1882"/>
      <c r="PR27" s="1887"/>
      <c r="PS27" s="1888"/>
      <c r="PT27" s="1882"/>
      <c r="PU27" s="1882"/>
      <c r="PV27" s="1882"/>
      <c r="PX27" s="1887"/>
      <c r="PY27" s="1888"/>
      <c r="PZ27" s="1882"/>
      <c r="QA27" s="1882"/>
      <c r="QB27" s="1882"/>
      <c r="QD27" s="1887"/>
      <c r="QE27" s="1888"/>
      <c r="QF27" s="1882"/>
      <c r="QG27" s="1882"/>
      <c r="QH27" s="1882"/>
      <c r="QJ27" s="1887"/>
      <c r="QK27" s="1888"/>
      <c r="QL27" s="1882"/>
      <c r="QM27" s="1882"/>
      <c r="QN27" s="1882"/>
      <c r="QP27" s="1887"/>
      <c r="QQ27" s="1888"/>
      <c r="QR27" s="1882"/>
      <c r="QS27" s="1882"/>
      <c r="QT27" s="1882"/>
      <c r="QV27" s="1887"/>
      <c r="QW27" s="1888"/>
      <c r="QX27" s="1882"/>
      <c r="QY27" s="1882"/>
      <c r="QZ27" s="1882"/>
      <c r="RB27" s="1887"/>
      <c r="RC27" s="1888"/>
      <c r="RD27" s="1882"/>
      <c r="RE27" s="1882"/>
      <c r="RF27" s="1882"/>
      <c r="RH27" s="1887"/>
      <c r="RI27" s="1888"/>
      <c r="RJ27" s="1882"/>
      <c r="RK27" s="1882"/>
      <c r="RL27" s="1882"/>
      <c r="RN27" s="1887"/>
      <c r="RO27" s="1888"/>
      <c r="RP27" s="1882"/>
      <c r="RQ27" s="1882"/>
      <c r="RR27" s="1882"/>
      <c r="RT27" s="1887"/>
      <c r="RU27" s="1888"/>
      <c r="RV27" s="1882"/>
      <c r="RW27" s="1882"/>
      <c r="RX27" s="1882"/>
      <c r="RZ27" s="1887"/>
      <c r="SA27" s="1888"/>
      <c r="SB27" s="1882"/>
      <c r="SC27" s="1882"/>
      <c r="SD27" s="1882"/>
      <c r="SF27" s="1887"/>
      <c r="SG27" s="1888"/>
      <c r="SH27" s="1882"/>
      <c r="SI27" s="1882"/>
      <c r="SJ27" s="1882"/>
      <c r="SL27" s="1887"/>
      <c r="SM27" s="1888"/>
      <c r="SN27" s="1882"/>
      <c r="SO27" s="1882"/>
      <c r="SP27" s="1882"/>
      <c r="SR27" s="1887"/>
      <c r="SS27" s="1888"/>
      <c r="ST27" s="1882"/>
      <c r="SU27" s="1882"/>
      <c r="SV27" s="1882"/>
      <c r="SX27" s="1887"/>
      <c r="SY27" s="1888"/>
      <c r="SZ27" s="1882"/>
      <c r="TA27" s="1882"/>
      <c r="TB27" s="1882"/>
      <c r="TD27" s="1887"/>
      <c r="TE27" s="1888"/>
      <c r="TF27" s="1882"/>
      <c r="TG27" s="1882"/>
      <c r="TH27" s="1882"/>
      <c r="TJ27" s="1887"/>
      <c r="TK27" s="1888"/>
      <c r="TL27" s="1882"/>
      <c r="TM27" s="1882"/>
      <c r="TN27" s="1882"/>
      <c r="TP27" s="1887"/>
      <c r="TQ27" s="1888"/>
      <c r="TR27" s="1882"/>
      <c r="TS27" s="1882"/>
      <c r="TT27" s="1882"/>
      <c r="TV27" s="1887"/>
      <c r="TW27" s="1888"/>
      <c r="TX27" s="1882"/>
      <c r="TY27" s="1882"/>
      <c r="TZ27" s="1882"/>
      <c r="UB27" s="1887"/>
      <c r="UC27" s="1888"/>
      <c r="UD27" s="1882"/>
      <c r="UE27" s="1882"/>
      <c r="UF27" s="1882"/>
      <c r="UH27" s="1887"/>
      <c r="UI27" s="1888"/>
      <c r="UJ27" s="1882"/>
      <c r="UK27" s="1882"/>
      <c r="UL27" s="1882"/>
      <c r="UN27" s="1887"/>
      <c r="UO27" s="1888"/>
      <c r="UP27" s="1882"/>
      <c r="UQ27" s="1882"/>
      <c r="UR27" s="1882"/>
      <c r="UT27" s="1887"/>
      <c r="UU27" s="1888"/>
      <c r="UV27" s="1882"/>
      <c r="UW27" s="1882"/>
      <c r="UX27" s="1882"/>
      <c r="UZ27" s="1887"/>
      <c r="VA27" s="1888"/>
      <c r="VB27" s="1882"/>
      <c r="VC27" s="1882"/>
      <c r="VD27" s="1882"/>
      <c r="VF27" s="1887"/>
      <c r="VG27" s="1888"/>
      <c r="VH27" s="1882"/>
      <c r="VI27" s="1882"/>
      <c r="VJ27" s="1882"/>
      <c r="VL27" s="1887"/>
      <c r="VM27" s="1888"/>
      <c r="VN27" s="1882"/>
      <c r="VO27" s="1882"/>
      <c r="VP27" s="1882"/>
      <c r="VR27" s="1887"/>
      <c r="VS27" s="1888"/>
      <c r="VT27" s="1882"/>
      <c r="VU27" s="1882"/>
      <c r="VV27" s="1882"/>
      <c r="VX27" s="1887"/>
      <c r="VY27" s="1888"/>
      <c r="VZ27" s="1882"/>
      <c r="WA27" s="1882"/>
      <c r="WB27" s="1882"/>
      <c r="WD27" s="1887"/>
      <c r="WE27" s="1888"/>
      <c r="WF27" s="1882"/>
      <c r="WG27" s="1882"/>
      <c r="WH27" s="1882"/>
      <c r="WJ27" s="1887"/>
      <c r="WK27" s="1888"/>
      <c r="WL27" s="1882"/>
      <c r="WM27" s="1882"/>
      <c r="WN27" s="1882"/>
      <c r="WP27" s="1887"/>
      <c r="WQ27" s="1888"/>
      <c r="WR27" s="1882"/>
      <c r="WS27" s="1882"/>
      <c r="WT27" s="1882"/>
      <c r="WV27" s="1887"/>
      <c r="WW27" s="1888"/>
      <c r="WX27" s="1882"/>
      <c r="WY27" s="1882"/>
      <c r="WZ27" s="1882"/>
      <c r="XB27" s="1887"/>
      <c r="XC27" s="1888"/>
      <c r="XD27" s="1882"/>
      <c r="XE27" s="1882"/>
      <c r="XF27" s="1882"/>
      <c r="XH27" s="1887"/>
      <c r="XI27" s="1888"/>
      <c r="XJ27" s="1882"/>
      <c r="XK27" s="1882"/>
      <c r="XL27" s="1882"/>
      <c r="XN27" s="1887"/>
      <c r="XO27" s="1888"/>
      <c r="XP27" s="1882"/>
      <c r="XQ27" s="1882"/>
      <c r="XR27" s="1882"/>
      <c r="XT27" s="1887"/>
      <c r="XU27" s="1888"/>
      <c r="XV27" s="1882"/>
      <c r="XW27" s="1882"/>
      <c r="XX27" s="1882"/>
      <c r="XZ27" s="1887"/>
      <c r="YA27" s="1888"/>
      <c r="YB27" s="1882"/>
      <c r="YC27" s="1882"/>
      <c r="YD27" s="1882"/>
      <c r="YF27" s="1887"/>
      <c r="YG27" s="1888"/>
      <c r="YH27" s="1882"/>
      <c r="YI27" s="1882"/>
      <c r="YJ27" s="1882"/>
      <c r="YL27" s="1887"/>
      <c r="YM27" s="1888"/>
      <c r="YN27" s="1882"/>
      <c r="YO27" s="1882"/>
      <c r="YP27" s="1882"/>
      <c r="YR27" s="1887"/>
      <c r="YS27" s="1888"/>
      <c r="YT27" s="1882"/>
      <c r="YU27" s="1882"/>
      <c r="YV27" s="1882"/>
      <c r="YX27" s="1887"/>
      <c r="YY27" s="1888"/>
      <c r="YZ27" s="1882"/>
      <c r="ZA27" s="1882"/>
      <c r="ZB27" s="1882"/>
      <c r="ZD27" s="1887"/>
      <c r="ZE27" s="1888"/>
      <c r="ZF27" s="1882"/>
      <c r="ZG27" s="1882"/>
      <c r="ZH27" s="1882"/>
      <c r="ZJ27" s="1887"/>
      <c r="ZK27" s="1888"/>
      <c r="ZL27" s="1882"/>
      <c r="ZM27" s="1882"/>
      <c r="ZN27" s="1882"/>
      <c r="ZP27" s="1887"/>
      <c r="ZQ27" s="1888"/>
      <c r="ZR27" s="1882"/>
      <c r="ZS27" s="1882"/>
      <c r="ZT27" s="1882"/>
      <c r="ZV27" s="1887"/>
      <c r="ZW27" s="1888"/>
      <c r="ZX27" s="1882"/>
      <c r="ZY27" s="1882"/>
      <c r="ZZ27" s="1882"/>
      <c r="AAB27" s="1887"/>
      <c r="AAC27" s="1888"/>
      <c r="AAD27" s="1882"/>
      <c r="AAE27" s="1882"/>
      <c r="AAF27" s="1882"/>
      <c r="AAH27" s="1887"/>
      <c r="AAI27" s="1888"/>
      <c r="AAJ27" s="1882"/>
      <c r="AAK27" s="1882"/>
      <c r="AAL27" s="1882"/>
      <c r="AAN27" s="1887"/>
      <c r="AAO27" s="1888"/>
      <c r="AAP27" s="1882"/>
      <c r="AAQ27" s="1882"/>
      <c r="AAR27" s="1882"/>
      <c r="AAT27" s="1887"/>
      <c r="AAU27" s="1888"/>
      <c r="AAV27" s="1882"/>
      <c r="AAW27" s="1882"/>
      <c r="AAX27" s="1882"/>
      <c r="AAZ27" s="1887"/>
      <c r="ABA27" s="1888"/>
      <c r="ABB27" s="1882"/>
      <c r="ABC27" s="1882"/>
      <c r="ABD27" s="1882"/>
      <c r="ABF27" s="1887"/>
      <c r="ABG27" s="1888"/>
      <c r="ABH27" s="1882"/>
      <c r="ABI27" s="1882"/>
      <c r="ABJ27" s="1882"/>
      <c r="ABL27" s="1887"/>
      <c r="ABM27" s="1888"/>
      <c r="ABN27" s="1882"/>
      <c r="ABO27" s="1882"/>
      <c r="ABP27" s="1882"/>
      <c r="ABR27" s="1887"/>
      <c r="ABS27" s="1888"/>
      <c r="ABT27" s="1882"/>
      <c r="ABU27" s="1882"/>
      <c r="ABV27" s="1882"/>
      <c r="ABX27" s="1887"/>
      <c r="ABY27" s="1888"/>
      <c r="ABZ27" s="1882"/>
      <c r="ACA27" s="1882"/>
      <c r="ACB27" s="1882"/>
      <c r="ACD27" s="1887"/>
      <c r="ACE27" s="1888"/>
      <c r="ACF27" s="1882"/>
      <c r="ACG27" s="1882"/>
      <c r="ACH27" s="1882"/>
      <c r="ACJ27" s="1887"/>
      <c r="ACK27" s="1888"/>
      <c r="ACL27" s="1882"/>
      <c r="ACM27" s="1882"/>
      <c r="ACN27" s="1882"/>
      <c r="ACP27" s="1887"/>
      <c r="ACQ27" s="1888"/>
      <c r="ACR27" s="1882"/>
      <c r="ACS27" s="1882"/>
      <c r="ACT27" s="1882"/>
      <c r="ACV27" s="1887"/>
      <c r="ACW27" s="1888"/>
      <c r="ACX27" s="1882"/>
      <c r="ACY27" s="1882"/>
      <c r="ACZ27" s="1882"/>
      <c r="ADB27" s="1887"/>
      <c r="ADC27" s="1888"/>
      <c r="ADD27" s="1882"/>
      <c r="ADE27" s="1882"/>
      <c r="ADF27" s="1882"/>
      <c r="ADH27" s="1887"/>
      <c r="ADI27" s="1888"/>
      <c r="ADJ27" s="1882"/>
      <c r="ADK27" s="1882"/>
      <c r="ADL27" s="1882"/>
      <c r="ADN27" s="1887"/>
      <c r="ADO27" s="1888"/>
      <c r="ADP27" s="1882"/>
      <c r="ADQ27" s="1882"/>
      <c r="ADR27" s="1882"/>
      <c r="ADT27" s="1887"/>
      <c r="ADU27" s="1888"/>
      <c r="ADV27" s="1882"/>
      <c r="ADW27" s="1882"/>
      <c r="ADX27" s="1882"/>
      <c r="ADZ27" s="1887"/>
      <c r="AEA27" s="1888"/>
      <c r="AEB27" s="1882"/>
      <c r="AEC27" s="1882"/>
      <c r="AED27" s="1882"/>
      <c r="AEF27" s="1887"/>
      <c r="AEG27" s="1888"/>
      <c r="AEH27" s="1882"/>
      <c r="AEI27" s="1882"/>
      <c r="AEJ27" s="1882"/>
      <c r="AEL27" s="1887"/>
      <c r="AEM27" s="1888"/>
      <c r="AEN27" s="1882"/>
      <c r="AEO27" s="1882"/>
      <c r="AEP27" s="1882"/>
      <c r="AER27" s="1887"/>
      <c r="AES27" s="1888"/>
      <c r="AET27" s="1882"/>
      <c r="AEU27" s="1882"/>
      <c r="AEV27" s="1882"/>
      <c r="AEX27" s="1887"/>
      <c r="AEY27" s="1888"/>
      <c r="AEZ27" s="1882"/>
      <c r="AFA27" s="1882"/>
      <c r="AFB27" s="1882"/>
      <c r="AFD27" s="1887"/>
      <c r="AFE27" s="1888"/>
      <c r="AFF27" s="1882"/>
      <c r="AFG27" s="1882"/>
      <c r="AFH27" s="1882"/>
      <c r="AFJ27" s="1887"/>
      <c r="AFK27" s="1888"/>
      <c r="AFL27" s="1882"/>
      <c r="AFM27" s="1882"/>
      <c r="AFN27" s="1882"/>
      <c r="AFP27" s="1887"/>
      <c r="AFQ27" s="1888"/>
      <c r="AFR27" s="1882"/>
      <c r="AFS27" s="1882"/>
      <c r="AFT27" s="1882"/>
      <c r="AFV27" s="1887"/>
      <c r="AFW27" s="1888"/>
      <c r="AFX27" s="1882"/>
      <c r="AFY27" s="1882"/>
      <c r="AFZ27" s="1882"/>
      <c r="AGB27" s="1887"/>
      <c r="AGC27" s="1888"/>
      <c r="AGD27" s="1882"/>
      <c r="AGE27" s="1882"/>
      <c r="AGF27" s="1882"/>
      <c r="AGH27" s="1887"/>
      <c r="AGI27" s="1888"/>
      <c r="AGJ27" s="1882"/>
      <c r="AGK27" s="1882"/>
      <c r="AGL27" s="1882"/>
      <c r="AGN27" s="1887"/>
      <c r="AGO27" s="1888"/>
      <c r="AGP27" s="1882"/>
      <c r="AGQ27" s="1882"/>
      <c r="AGR27" s="1882"/>
      <c r="AGT27" s="1887"/>
      <c r="AGU27" s="1888"/>
      <c r="AGV27" s="1882"/>
      <c r="AGW27" s="1882"/>
      <c r="AGX27" s="1882"/>
      <c r="AGZ27" s="1887"/>
      <c r="AHA27" s="1888"/>
      <c r="AHB27" s="1882"/>
      <c r="AHC27" s="1882"/>
      <c r="AHD27" s="1882"/>
      <c r="AHF27" s="1887"/>
      <c r="AHG27" s="1888"/>
      <c r="AHH27" s="1882"/>
      <c r="AHI27" s="1882"/>
      <c r="AHJ27" s="1882"/>
      <c r="AHL27" s="1887"/>
      <c r="AHM27" s="1888"/>
      <c r="AHN27" s="1882"/>
      <c r="AHO27" s="1882"/>
      <c r="AHP27" s="1882"/>
      <c r="AHR27" s="1887"/>
      <c r="AHS27" s="1888"/>
      <c r="AHT27" s="1882"/>
      <c r="AHU27" s="1882"/>
      <c r="AHV27" s="1882"/>
      <c r="AHX27" s="1887"/>
      <c r="AHY27" s="1888"/>
      <c r="AHZ27" s="1882"/>
      <c r="AIA27" s="1882"/>
      <c r="AIB27" s="1882"/>
      <c r="AID27" s="1887"/>
      <c r="AIE27" s="1888"/>
      <c r="AIF27" s="1882"/>
      <c r="AIG27" s="1882"/>
      <c r="AIH27" s="1882"/>
      <c r="AIJ27" s="1887"/>
      <c r="AIK27" s="1888"/>
      <c r="AIL27" s="1882"/>
      <c r="AIM27" s="1882"/>
      <c r="AIN27" s="1882"/>
      <c r="AIP27" s="1887"/>
      <c r="AIQ27" s="1888"/>
      <c r="AIR27" s="1882"/>
      <c r="AIS27" s="1882"/>
      <c r="AIT27" s="1882"/>
      <c r="AIV27" s="1887"/>
      <c r="AIW27" s="1888"/>
      <c r="AIX27" s="1882"/>
      <c r="AIY27" s="1882"/>
      <c r="AIZ27" s="1882"/>
      <c r="AJB27" s="1887"/>
      <c r="AJC27" s="1888"/>
      <c r="AJD27" s="1882"/>
      <c r="AJE27" s="1882"/>
      <c r="AJF27" s="1882"/>
      <c r="AJH27" s="1887"/>
      <c r="AJI27" s="1888"/>
      <c r="AJJ27" s="1882"/>
      <c r="AJK27" s="1882"/>
      <c r="AJL27" s="1882"/>
      <c r="AJN27" s="1887"/>
      <c r="AJO27" s="1888"/>
      <c r="AJP27" s="1882"/>
      <c r="AJQ27" s="1882"/>
      <c r="AJR27" s="1882"/>
      <c r="AJT27" s="1887"/>
      <c r="AJU27" s="1888"/>
      <c r="AJV27" s="1882"/>
      <c r="AJW27" s="1882"/>
      <c r="AJX27" s="1882"/>
      <c r="AJZ27" s="1887"/>
      <c r="AKA27" s="1888"/>
      <c r="AKB27" s="1882"/>
      <c r="AKC27" s="1882"/>
      <c r="AKD27" s="1882"/>
      <c r="AKF27" s="1887"/>
      <c r="AKG27" s="1888"/>
      <c r="AKH27" s="1882"/>
      <c r="AKI27" s="1882"/>
      <c r="AKJ27" s="1882"/>
      <c r="AKL27" s="1887"/>
      <c r="AKM27" s="1888"/>
      <c r="AKN27" s="1882"/>
      <c r="AKO27" s="1882"/>
      <c r="AKP27" s="1882"/>
      <c r="AKR27" s="1887"/>
      <c r="AKS27" s="1888"/>
      <c r="AKT27" s="1882"/>
      <c r="AKU27" s="1882"/>
      <c r="AKV27" s="1882"/>
      <c r="AKX27" s="1887"/>
      <c r="AKY27" s="1888"/>
      <c r="AKZ27" s="1882"/>
      <c r="ALA27" s="1882"/>
      <c r="ALB27" s="1882"/>
      <c r="ALD27" s="1887"/>
      <c r="ALE27" s="1888"/>
      <c r="ALF27" s="1882"/>
      <c r="ALG27" s="1882"/>
      <c r="ALH27" s="1882"/>
      <c r="ALJ27" s="1887"/>
      <c r="ALK27" s="1888"/>
      <c r="ALL27" s="1882"/>
      <c r="ALM27" s="1882"/>
      <c r="ALN27" s="1882"/>
      <c r="ALP27" s="1887"/>
      <c r="ALQ27" s="1888"/>
      <c r="ALR27" s="1882"/>
      <c r="ALS27" s="1882"/>
      <c r="ALT27" s="1882"/>
      <c r="ALV27" s="1887"/>
      <c r="ALW27" s="1888"/>
      <c r="ALX27" s="1882"/>
      <c r="ALY27" s="1882"/>
      <c r="ALZ27" s="1882"/>
      <c r="AMB27" s="1887"/>
      <c r="AMC27" s="1888"/>
      <c r="AMD27" s="1882"/>
      <c r="AME27" s="1882"/>
      <c r="AMF27" s="1882"/>
      <c r="AMH27" s="1887"/>
      <c r="AMI27" s="1888"/>
      <c r="AMJ27" s="1882"/>
      <c r="AMK27" s="1882"/>
      <c r="AML27" s="1882"/>
      <c r="AMN27" s="1887"/>
      <c r="AMO27" s="1888"/>
      <c r="AMP27" s="1882"/>
      <c r="AMQ27" s="1882"/>
      <c r="AMR27" s="1882"/>
      <c r="AMT27" s="1887"/>
      <c r="AMU27" s="1888"/>
      <c r="AMV27" s="1882"/>
      <c r="AMW27" s="1882"/>
      <c r="AMX27" s="1882"/>
      <c r="AMZ27" s="1887"/>
      <c r="ANA27" s="1888"/>
      <c r="ANB27" s="1882"/>
      <c r="ANC27" s="1882"/>
      <c r="AND27" s="1882"/>
      <c r="ANF27" s="1887"/>
      <c r="ANG27" s="1888"/>
      <c r="ANH27" s="1882"/>
      <c r="ANI27" s="1882"/>
      <c r="ANJ27" s="1882"/>
      <c r="ANL27" s="1887"/>
      <c r="ANM27" s="1888"/>
      <c r="ANN27" s="1882"/>
      <c r="ANO27" s="1882"/>
      <c r="ANP27" s="1882"/>
      <c r="ANR27" s="1887"/>
      <c r="ANS27" s="1888"/>
      <c r="ANT27" s="1882"/>
      <c r="ANU27" s="1882"/>
      <c r="ANV27" s="1882"/>
      <c r="ANX27" s="1887"/>
      <c r="ANY27" s="1888"/>
      <c r="ANZ27" s="1882"/>
      <c r="AOA27" s="1882"/>
      <c r="AOB27" s="1882"/>
      <c r="AOD27" s="1887"/>
      <c r="AOE27" s="1888"/>
      <c r="AOF27" s="1882"/>
      <c r="AOG27" s="1882"/>
      <c r="AOH27" s="1882"/>
      <c r="AOJ27" s="1887"/>
      <c r="AOK27" s="1888"/>
      <c r="AOL27" s="1882"/>
      <c r="AOM27" s="1882"/>
      <c r="AON27" s="1882"/>
      <c r="AOP27" s="1887"/>
      <c r="AOQ27" s="1888"/>
      <c r="AOR27" s="1882"/>
      <c r="AOS27" s="1882"/>
      <c r="AOT27" s="1882"/>
      <c r="AOV27" s="1887"/>
      <c r="AOW27" s="1888"/>
      <c r="AOX27" s="1882"/>
      <c r="AOY27" s="1882"/>
      <c r="AOZ27" s="1882"/>
      <c r="APB27" s="1887"/>
      <c r="APC27" s="1888"/>
      <c r="APD27" s="1882"/>
      <c r="APE27" s="1882"/>
      <c r="APF27" s="1882"/>
      <c r="APH27" s="1887"/>
      <c r="API27" s="1888"/>
      <c r="APJ27" s="1882"/>
      <c r="APK27" s="1882"/>
      <c r="APL27" s="1882"/>
      <c r="APN27" s="1887"/>
      <c r="APO27" s="1888"/>
      <c r="APP27" s="1882"/>
      <c r="APQ27" s="1882"/>
      <c r="APR27" s="1882"/>
      <c r="APT27" s="1887"/>
      <c r="APU27" s="1888"/>
      <c r="APV27" s="1882"/>
      <c r="APW27" s="1882"/>
      <c r="APX27" s="1882"/>
      <c r="APZ27" s="1887"/>
      <c r="AQA27" s="1888"/>
      <c r="AQB27" s="1882"/>
      <c r="AQC27" s="1882"/>
      <c r="AQD27" s="1882"/>
      <c r="AQF27" s="1887"/>
      <c r="AQG27" s="1888"/>
      <c r="AQH27" s="1882"/>
      <c r="AQI27" s="1882"/>
      <c r="AQJ27" s="1882"/>
      <c r="AQL27" s="1887"/>
      <c r="AQM27" s="1888"/>
      <c r="AQN27" s="1882"/>
      <c r="AQO27" s="1882"/>
      <c r="AQP27" s="1882"/>
      <c r="AQR27" s="1887"/>
      <c r="AQS27" s="1888"/>
      <c r="AQT27" s="1882"/>
      <c r="AQU27" s="1882"/>
      <c r="AQV27" s="1882"/>
      <c r="AQX27" s="1887"/>
      <c r="AQY27" s="1888"/>
      <c r="AQZ27" s="1882"/>
      <c r="ARA27" s="1882"/>
      <c r="ARB27" s="1882"/>
      <c r="ARD27" s="1887"/>
      <c r="ARE27" s="1888"/>
      <c r="ARF27" s="1882"/>
      <c r="ARG27" s="1882"/>
      <c r="ARH27" s="1882"/>
      <c r="ARJ27" s="1887"/>
      <c r="ARK27" s="1888"/>
      <c r="ARL27" s="1882"/>
      <c r="ARM27" s="1882"/>
      <c r="ARN27" s="1882"/>
      <c r="ARP27" s="1887"/>
      <c r="ARQ27" s="1888"/>
      <c r="ARR27" s="1882"/>
      <c r="ARS27" s="1882"/>
      <c r="ART27" s="1882"/>
      <c r="ARV27" s="1887"/>
      <c r="ARW27" s="1888"/>
      <c r="ARX27" s="1882"/>
      <c r="ARY27" s="1882"/>
      <c r="ARZ27" s="1882"/>
      <c r="ASB27" s="1887"/>
      <c r="ASC27" s="1888"/>
      <c r="ASD27" s="1882"/>
      <c r="ASE27" s="1882"/>
      <c r="ASF27" s="1882"/>
      <c r="ASH27" s="1887"/>
      <c r="ASI27" s="1888"/>
      <c r="ASJ27" s="1882"/>
      <c r="ASK27" s="1882"/>
      <c r="ASL27" s="1882"/>
      <c r="ASN27" s="1887"/>
      <c r="ASO27" s="1888"/>
      <c r="ASP27" s="1882"/>
      <c r="ASQ27" s="1882"/>
      <c r="ASR27" s="1882"/>
      <c r="AST27" s="1887"/>
      <c r="ASU27" s="1888"/>
      <c r="ASV27" s="1882"/>
      <c r="ASW27" s="1882"/>
      <c r="ASX27" s="1882"/>
      <c r="ASZ27" s="1887"/>
      <c r="ATA27" s="1888"/>
      <c r="ATB27" s="1882"/>
      <c r="ATC27" s="1882"/>
      <c r="ATD27" s="1882"/>
      <c r="ATF27" s="1887"/>
      <c r="ATG27" s="1888"/>
      <c r="ATH27" s="1882"/>
      <c r="ATI27" s="1882"/>
      <c r="ATJ27" s="1882"/>
      <c r="ATL27" s="1887"/>
      <c r="ATM27" s="1888"/>
      <c r="ATN27" s="1882"/>
      <c r="ATO27" s="1882"/>
      <c r="ATP27" s="1882"/>
      <c r="ATR27" s="1887"/>
      <c r="ATS27" s="1888"/>
      <c r="ATT27" s="1882"/>
      <c r="ATU27" s="1882"/>
      <c r="ATV27" s="1882"/>
      <c r="ATX27" s="1887"/>
      <c r="ATY27" s="1888"/>
      <c r="ATZ27" s="1882"/>
      <c r="AUA27" s="1882"/>
      <c r="AUB27" s="1882"/>
      <c r="AUD27" s="1887"/>
      <c r="AUE27" s="1888"/>
      <c r="AUF27" s="1882"/>
      <c r="AUG27" s="1882"/>
      <c r="AUH27" s="1882"/>
      <c r="AUJ27" s="1887"/>
      <c r="AUK27" s="1888"/>
      <c r="AUL27" s="1882"/>
      <c r="AUM27" s="1882"/>
      <c r="AUN27" s="1882"/>
      <c r="AUP27" s="1887"/>
      <c r="AUQ27" s="1888"/>
      <c r="AUR27" s="1882"/>
      <c r="AUS27" s="1882"/>
      <c r="AUT27" s="1882"/>
      <c r="AUV27" s="1887"/>
      <c r="AUW27" s="1888"/>
      <c r="AUX27" s="1882"/>
      <c r="AUY27" s="1882"/>
      <c r="AUZ27" s="1882"/>
      <c r="AVB27" s="1887"/>
      <c r="AVC27" s="1888"/>
      <c r="AVD27" s="1882"/>
      <c r="AVE27" s="1882"/>
      <c r="AVF27" s="1882"/>
      <c r="AVH27" s="1887"/>
      <c r="AVI27" s="1888"/>
      <c r="AVJ27" s="1882"/>
      <c r="AVK27" s="1882"/>
      <c r="AVL27" s="1882"/>
      <c r="AVN27" s="1887"/>
      <c r="AVO27" s="1888"/>
      <c r="AVP27" s="1882"/>
      <c r="AVQ27" s="1882"/>
      <c r="AVR27" s="1882"/>
      <c r="AVT27" s="1887"/>
      <c r="AVU27" s="1888"/>
      <c r="AVV27" s="1882"/>
      <c r="AVW27" s="1882"/>
      <c r="AVX27" s="1882"/>
      <c r="AVZ27" s="1887"/>
      <c r="AWA27" s="1888"/>
      <c r="AWB27" s="1882"/>
      <c r="AWC27" s="1882"/>
      <c r="AWD27" s="1882"/>
      <c r="AWF27" s="1887"/>
      <c r="AWG27" s="1888"/>
      <c r="AWH27" s="1882"/>
      <c r="AWI27" s="1882"/>
      <c r="AWJ27" s="1882"/>
      <c r="AWL27" s="1887"/>
      <c r="AWM27" s="1888"/>
      <c r="AWN27" s="1882"/>
      <c r="AWO27" s="1882"/>
      <c r="AWP27" s="1882"/>
      <c r="AWR27" s="1887"/>
      <c r="AWS27" s="1888"/>
      <c r="AWT27" s="1882"/>
      <c r="AWU27" s="1882"/>
      <c r="AWV27" s="1882"/>
      <c r="AWX27" s="1887"/>
      <c r="AWY27" s="1888"/>
      <c r="AWZ27" s="1882"/>
      <c r="AXA27" s="1882"/>
      <c r="AXB27" s="1882"/>
      <c r="AXD27" s="1887"/>
      <c r="AXE27" s="1888"/>
      <c r="AXF27" s="1882"/>
      <c r="AXG27" s="1882"/>
      <c r="AXH27" s="1882"/>
      <c r="AXJ27" s="1887"/>
      <c r="AXK27" s="1888"/>
      <c r="AXL27" s="1882"/>
      <c r="AXM27" s="1882"/>
      <c r="AXN27" s="1882"/>
      <c r="AXP27" s="1887"/>
      <c r="AXQ27" s="1888"/>
      <c r="AXR27" s="1882"/>
      <c r="AXS27" s="1882"/>
      <c r="AXT27" s="1882"/>
      <c r="AXV27" s="1887"/>
      <c r="AXW27" s="1888"/>
      <c r="AXX27" s="1882"/>
      <c r="AXY27" s="1882"/>
      <c r="AXZ27" s="1882"/>
      <c r="AYB27" s="1887"/>
      <c r="AYC27" s="1888"/>
      <c r="AYD27" s="1882"/>
      <c r="AYE27" s="1882"/>
      <c r="AYF27" s="1882"/>
      <c r="AYH27" s="1887"/>
      <c r="AYI27" s="1888"/>
      <c r="AYJ27" s="1882"/>
      <c r="AYK27" s="1882"/>
      <c r="AYL27" s="1882"/>
      <c r="AYN27" s="1887"/>
      <c r="AYO27" s="1888"/>
      <c r="AYP27" s="1882"/>
      <c r="AYQ27" s="1882"/>
      <c r="AYR27" s="1882"/>
      <c r="AYT27" s="1887"/>
      <c r="AYU27" s="1888"/>
      <c r="AYV27" s="1882"/>
      <c r="AYW27" s="1882"/>
      <c r="AYX27" s="1882"/>
      <c r="AYZ27" s="1887"/>
      <c r="AZA27" s="1888"/>
      <c r="AZB27" s="1882"/>
      <c r="AZC27" s="1882"/>
      <c r="AZD27" s="1882"/>
      <c r="AZF27" s="1887"/>
      <c r="AZG27" s="1888"/>
      <c r="AZH27" s="1882"/>
      <c r="AZI27" s="1882"/>
      <c r="AZJ27" s="1882"/>
      <c r="AZL27" s="1887"/>
      <c r="AZM27" s="1888"/>
      <c r="AZN27" s="1882"/>
      <c r="AZO27" s="1882"/>
      <c r="AZP27" s="1882"/>
      <c r="AZR27" s="1887"/>
      <c r="AZS27" s="1888"/>
      <c r="AZT27" s="1882"/>
      <c r="AZU27" s="1882"/>
      <c r="AZV27" s="1882"/>
      <c r="AZX27" s="1887"/>
      <c r="AZY27" s="1888"/>
      <c r="AZZ27" s="1882"/>
      <c r="BAA27" s="1882"/>
      <c r="BAB27" s="1882"/>
      <c r="BAD27" s="1887"/>
      <c r="BAE27" s="1888"/>
      <c r="BAF27" s="1882"/>
      <c r="BAG27" s="1882"/>
      <c r="BAH27" s="1882"/>
      <c r="BAJ27" s="1887"/>
      <c r="BAK27" s="1888"/>
      <c r="BAL27" s="1882"/>
      <c r="BAM27" s="1882"/>
      <c r="BAN27" s="1882"/>
      <c r="BAP27" s="1887"/>
      <c r="BAQ27" s="1888"/>
      <c r="BAR27" s="1882"/>
      <c r="BAS27" s="1882"/>
      <c r="BAT27" s="1882"/>
      <c r="BAV27" s="1887"/>
      <c r="BAW27" s="1888"/>
      <c r="BAX27" s="1882"/>
      <c r="BAY27" s="1882"/>
      <c r="BAZ27" s="1882"/>
      <c r="BBB27" s="1887"/>
      <c r="BBC27" s="1888"/>
      <c r="BBD27" s="1882"/>
      <c r="BBE27" s="1882"/>
      <c r="BBF27" s="1882"/>
      <c r="BBH27" s="1887"/>
      <c r="BBI27" s="1888"/>
      <c r="BBJ27" s="1882"/>
      <c r="BBK27" s="1882"/>
      <c r="BBL27" s="1882"/>
      <c r="BBN27" s="1887"/>
      <c r="BBO27" s="1888"/>
      <c r="BBP27" s="1882"/>
      <c r="BBQ27" s="1882"/>
      <c r="BBR27" s="1882"/>
      <c r="BBT27" s="1887"/>
      <c r="BBU27" s="1888"/>
      <c r="BBV27" s="1882"/>
      <c r="BBW27" s="1882"/>
      <c r="BBX27" s="1882"/>
      <c r="BBZ27" s="1887"/>
      <c r="BCA27" s="1888"/>
      <c r="BCB27" s="1882"/>
      <c r="BCC27" s="1882"/>
      <c r="BCD27" s="1882"/>
      <c r="BCF27" s="1887"/>
      <c r="BCG27" s="1888"/>
      <c r="BCH27" s="1882"/>
      <c r="BCI27" s="1882"/>
      <c r="BCJ27" s="1882"/>
      <c r="BCL27" s="1887"/>
      <c r="BCM27" s="1888"/>
      <c r="BCN27" s="1882"/>
      <c r="BCO27" s="1882"/>
      <c r="BCP27" s="1882"/>
      <c r="BCR27" s="1887"/>
      <c r="BCS27" s="1888"/>
      <c r="BCT27" s="1882"/>
      <c r="BCU27" s="1882"/>
      <c r="BCV27" s="1882"/>
      <c r="BCX27" s="1887"/>
      <c r="BCY27" s="1888"/>
      <c r="BCZ27" s="1882"/>
      <c r="BDA27" s="1882"/>
      <c r="BDB27" s="1882"/>
      <c r="BDD27" s="1887"/>
      <c r="BDE27" s="1888"/>
      <c r="BDF27" s="1882"/>
      <c r="BDG27" s="1882"/>
      <c r="BDH27" s="1882"/>
      <c r="BDJ27" s="1887"/>
      <c r="BDK27" s="1888"/>
      <c r="BDL27" s="1882"/>
      <c r="BDM27" s="1882"/>
      <c r="BDN27" s="1882"/>
      <c r="BDP27" s="1887"/>
      <c r="BDQ27" s="1888"/>
      <c r="BDR27" s="1882"/>
      <c r="BDS27" s="1882"/>
      <c r="BDT27" s="1882"/>
      <c r="BDV27" s="1887"/>
      <c r="BDW27" s="1888"/>
      <c r="BDX27" s="1882"/>
      <c r="BDY27" s="1882"/>
      <c r="BDZ27" s="1882"/>
      <c r="BEB27" s="1887"/>
      <c r="BEC27" s="1888"/>
      <c r="BED27" s="1882"/>
      <c r="BEE27" s="1882"/>
      <c r="BEF27" s="1882"/>
      <c r="BEH27" s="1887"/>
      <c r="BEI27" s="1888"/>
      <c r="BEJ27" s="1882"/>
      <c r="BEK27" s="1882"/>
      <c r="BEL27" s="1882"/>
      <c r="BEN27" s="1887"/>
      <c r="BEO27" s="1888"/>
      <c r="BEP27" s="1882"/>
      <c r="BEQ27" s="1882"/>
      <c r="BER27" s="1882"/>
      <c r="BET27" s="1887"/>
      <c r="BEU27" s="1888"/>
      <c r="BEV27" s="1882"/>
      <c r="BEW27" s="1882"/>
      <c r="BEX27" s="1882"/>
      <c r="BEZ27" s="1887"/>
      <c r="BFA27" s="1888"/>
      <c r="BFB27" s="1882"/>
      <c r="BFC27" s="1882"/>
      <c r="BFD27" s="1882"/>
      <c r="BFF27" s="1887"/>
      <c r="BFG27" s="1888"/>
      <c r="BFH27" s="1882"/>
      <c r="BFI27" s="1882"/>
      <c r="BFJ27" s="1882"/>
      <c r="BFL27" s="1887"/>
      <c r="BFM27" s="1888"/>
      <c r="BFN27" s="1882"/>
      <c r="BFO27" s="1882"/>
      <c r="BFP27" s="1882"/>
      <c r="BFR27" s="1887"/>
      <c r="BFS27" s="1888"/>
      <c r="BFT27" s="1882"/>
      <c r="BFU27" s="1882"/>
      <c r="BFV27" s="1882"/>
      <c r="BFX27" s="1887"/>
      <c r="BFY27" s="1888"/>
      <c r="BFZ27" s="1882"/>
      <c r="BGA27" s="1882"/>
      <c r="BGB27" s="1882"/>
      <c r="BGD27" s="1887"/>
      <c r="BGE27" s="1888"/>
      <c r="BGF27" s="1882"/>
      <c r="BGG27" s="1882"/>
      <c r="BGH27" s="1882"/>
      <c r="BGJ27" s="1887"/>
      <c r="BGK27" s="1888"/>
      <c r="BGL27" s="1882"/>
      <c r="BGM27" s="1882"/>
      <c r="BGN27" s="1882"/>
      <c r="BGP27" s="1887"/>
      <c r="BGQ27" s="1888"/>
      <c r="BGR27" s="1882"/>
      <c r="BGS27" s="1882"/>
      <c r="BGT27" s="1882"/>
      <c r="BGV27" s="1887"/>
      <c r="BGW27" s="1888"/>
      <c r="BGX27" s="1882"/>
      <c r="BGY27" s="1882"/>
      <c r="BGZ27" s="1882"/>
      <c r="BHB27" s="1887"/>
      <c r="BHC27" s="1888"/>
      <c r="BHD27" s="1882"/>
      <c r="BHE27" s="1882"/>
      <c r="BHF27" s="1882"/>
      <c r="BHH27" s="1887"/>
      <c r="BHI27" s="1888"/>
      <c r="BHJ27" s="1882"/>
      <c r="BHK27" s="1882"/>
      <c r="BHL27" s="1882"/>
      <c r="BHN27" s="1887"/>
      <c r="BHO27" s="1888"/>
      <c r="BHP27" s="1882"/>
      <c r="BHQ27" s="1882"/>
      <c r="BHR27" s="1882"/>
      <c r="BHT27" s="1887"/>
      <c r="BHU27" s="1888"/>
      <c r="BHV27" s="1882"/>
      <c r="BHW27" s="1882"/>
      <c r="BHX27" s="1882"/>
      <c r="BHZ27" s="1887"/>
      <c r="BIA27" s="1888"/>
      <c r="BIB27" s="1882"/>
      <c r="BIC27" s="1882"/>
      <c r="BID27" s="1882"/>
      <c r="BIF27" s="1887"/>
      <c r="BIG27" s="1888"/>
      <c r="BIH27" s="1882"/>
      <c r="BII27" s="1882"/>
      <c r="BIJ27" s="1882"/>
      <c r="BIL27" s="1887"/>
      <c r="BIM27" s="1888"/>
      <c r="BIN27" s="1882"/>
      <c r="BIO27" s="1882"/>
      <c r="BIP27" s="1882"/>
      <c r="BIR27" s="1887"/>
      <c r="BIS27" s="1888"/>
      <c r="BIT27" s="1882"/>
      <c r="BIU27" s="1882"/>
      <c r="BIV27" s="1882"/>
      <c r="BIX27" s="1887"/>
      <c r="BIY27" s="1888"/>
      <c r="BIZ27" s="1882"/>
      <c r="BJA27" s="1882"/>
      <c r="BJB27" s="1882"/>
      <c r="BJD27" s="1887"/>
      <c r="BJE27" s="1888"/>
      <c r="BJF27" s="1882"/>
      <c r="BJG27" s="1882"/>
      <c r="BJH27" s="1882"/>
      <c r="BJJ27" s="1887"/>
      <c r="BJK27" s="1888"/>
      <c r="BJL27" s="1882"/>
      <c r="BJM27" s="1882"/>
      <c r="BJN27" s="1882"/>
      <c r="BJP27" s="1887"/>
      <c r="BJQ27" s="1888"/>
      <c r="BJR27" s="1882"/>
      <c r="BJS27" s="1882"/>
      <c r="BJT27" s="1882"/>
      <c r="BJV27" s="1887"/>
      <c r="BJW27" s="1888"/>
      <c r="BJX27" s="1882"/>
      <c r="BJY27" s="1882"/>
      <c r="BJZ27" s="1882"/>
      <c r="BKB27" s="1887"/>
      <c r="BKC27" s="1888"/>
      <c r="BKD27" s="1882"/>
      <c r="BKE27" s="1882"/>
      <c r="BKF27" s="1882"/>
      <c r="BKH27" s="1887"/>
      <c r="BKI27" s="1888"/>
      <c r="BKJ27" s="1882"/>
      <c r="BKK27" s="1882"/>
      <c r="BKL27" s="1882"/>
      <c r="BKN27" s="1887"/>
      <c r="BKO27" s="1888"/>
      <c r="BKP27" s="1882"/>
      <c r="BKQ27" s="1882"/>
      <c r="BKR27" s="1882"/>
      <c r="BKT27" s="1887"/>
      <c r="BKU27" s="1888"/>
      <c r="BKV27" s="1882"/>
      <c r="BKW27" s="1882"/>
      <c r="BKX27" s="1882"/>
      <c r="BKZ27" s="1887"/>
      <c r="BLA27" s="1888"/>
      <c r="BLB27" s="1882"/>
      <c r="BLC27" s="1882"/>
      <c r="BLD27" s="1882"/>
      <c r="BLF27" s="1887"/>
      <c r="BLG27" s="1888"/>
      <c r="BLH27" s="1882"/>
      <c r="BLI27" s="1882"/>
      <c r="BLJ27" s="1882"/>
      <c r="BLL27" s="1887"/>
      <c r="BLM27" s="1888"/>
      <c r="BLN27" s="1882"/>
      <c r="BLO27" s="1882"/>
      <c r="BLP27" s="1882"/>
      <c r="BLR27" s="1887"/>
      <c r="BLS27" s="1888"/>
      <c r="BLT27" s="1882"/>
      <c r="BLU27" s="1882"/>
      <c r="BLV27" s="1882"/>
      <c r="BLX27" s="1887"/>
      <c r="BLY27" s="1888"/>
      <c r="BLZ27" s="1882"/>
      <c r="BMA27" s="1882"/>
      <c r="BMB27" s="1882"/>
      <c r="BMD27" s="1887"/>
      <c r="BME27" s="1888"/>
      <c r="BMF27" s="1882"/>
      <c r="BMG27" s="1882"/>
      <c r="BMH27" s="1882"/>
      <c r="BMJ27" s="1887"/>
      <c r="BMK27" s="1888"/>
      <c r="BML27" s="1882"/>
      <c r="BMM27" s="1882"/>
      <c r="BMN27" s="1882"/>
      <c r="BMP27" s="1887"/>
      <c r="BMQ27" s="1888"/>
      <c r="BMR27" s="1882"/>
      <c r="BMS27" s="1882"/>
      <c r="BMT27" s="1882"/>
      <c r="BMV27" s="1887"/>
      <c r="BMW27" s="1888"/>
      <c r="BMX27" s="1882"/>
      <c r="BMY27" s="1882"/>
      <c r="BMZ27" s="1882"/>
      <c r="BNB27" s="1887"/>
      <c r="BNC27" s="1888"/>
      <c r="BND27" s="1882"/>
      <c r="BNE27" s="1882"/>
      <c r="BNF27" s="1882"/>
      <c r="BNH27" s="1887"/>
      <c r="BNI27" s="1888"/>
      <c r="BNJ27" s="1882"/>
      <c r="BNK27" s="1882"/>
      <c r="BNL27" s="1882"/>
      <c r="BNN27" s="1887"/>
      <c r="BNO27" s="1888"/>
      <c r="BNP27" s="1882"/>
      <c r="BNQ27" s="1882"/>
      <c r="BNR27" s="1882"/>
      <c r="BNT27" s="1887"/>
      <c r="BNU27" s="1888"/>
      <c r="BNV27" s="1882"/>
      <c r="BNW27" s="1882"/>
      <c r="BNX27" s="1882"/>
      <c r="BNZ27" s="1887"/>
      <c r="BOA27" s="1888"/>
      <c r="BOB27" s="1882"/>
      <c r="BOC27" s="1882"/>
      <c r="BOD27" s="1882"/>
      <c r="BOF27" s="1887"/>
      <c r="BOG27" s="1888"/>
      <c r="BOH27" s="1882"/>
      <c r="BOI27" s="1882"/>
      <c r="BOJ27" s="1882"/>
      <c r="BOL27" s="1887"/>
      <c r="BOM27" s="1888"/>
      <c r="BON27" s="1882"/>
      <c r="BOO27" s="1882"/>
      <c r="BOP27" s="1882"/>
      <c r="BOR27" s="1887"/>
      <c r="BOS27" s="1888"/>
      <c r="BOT27" s="1882"/>
      <c r="BOU27" s="1882"/>
      <c r="BOV27" s="1882"/>
      <c r="BOX27" s="1887"/>
      <c r="BOY27" s="1888"/>
      <c r="BOZ27" s="1882"/>
      <c r="BPA27" s="1882"/>
      <c r="BPB27" s="1882"/>
      <c r="BPD27" s="1887"/>
      <c r="BPE27" s="1888"/>
      <c r="BPF27" s="1882"/>
      <c r="BPG27" s="1882"/>
      <c r="BPH27" s="1882"/>
      <c r="BPJ27" s="1887"/>
      <c r="BPK27" s="1888"/>
      <c r="BPL27" s="1882"/>
      <c r="BPM27" s="1882"/>
      <c r="BPN27" s="1882"/>
      <c r="BPP27" s="1887"/>
      <c r="BPQ27" s="1888"/>
      <c r="BPR27" s="1882"/>
      <c r="BPS27" s="1882"/>
      <c r="BPT27" s="1882"/>
      <c r="BPV27" s="1887"/>
      <c r="BPW27" s="1888"/>
      <c r="BPX27" s="1882"/>
      <c r="BPY27" s="1882"/>
      <c r="BPZ27" s="1882"/>
      <c r="BQB27" s="1887"/>
      <c r="BQC27" s="1888"/>
      <c r="BQD27" s="1882"/>
      <c r="BQE27" s="1882"/>
      <c r="BQF27" s="1882"/>
      <c r="BQH27" s="1887"/>
      <c r="BQI27" s="1888"/>
      <c r="BQJ27" s="1882"/>
      <c r="BQK27" s="1882"/>
      <c r="BQL27" s="1882"/>
      <c r="BQN27" s="1887"/>
      <c r="BQO27" s="1888"/>
      <c r="BQP27" s="1882"/>
      <c r="BQQ27" s="1882"/>
      <c r="BQR27" s="1882"/>
      <c r="BQT27" s="1887"/>
      <c r="BQU27" s="1888"/>
      <c r="BQV27" s="1882"/>
      <c r="BQW27" s="1882"/>
      <c r="BQX27" s="1882"/>
      <c r="BQZ27" s="1887"/>
      <c r="BRA27" s="1888"/>
      <c r="BRB27" s="1882"/>
      <c r="BRC27" s="1882"/>
      <c r="BRD27" s="1882"/>
      <c r="BRF27" s="1887"/>
      <c r="BRG27" s="1888"/>
      <c r="BRH27" s="1882"/>
      <c r="BRI27" s="1882"/>
      <c r="BRJ27" s="1882"/>
      <c r="BRL27" s="1887"/>
      <c r="BRM27" s="1888"/>
      <c r="BRN27" s="1882"/>
      <c r="BRO27" s="1882"/>
      <c r="BRP27" s="1882"/>
      <c r="BRR27" s="1887"/>
      <c r="BRS27" s="1888"/>
      <c r="BRT27" s="1882"/>
      <c r="BRU27" s="1882"/>
      <c r="BRV27" s="1882"/>
      <c r="BRX27" s="1887"/>
      <c r="BRY27" s="1888"/>
      <c r="BRZ27" s="1882"/>
      <c r="BSA27" s="1882"/>
      <c r="BSB27" s="1882"/>
      <c r="BSD27" s="1887"/>
      <c r="BSE27" s="1888"/>
      <c r="BSF27" s="1882"/>
      <c r="BSG27" s="1882"/>
      <c r="BSH27" s="1882"/>
      <c r="BSJ27" s="1887"/>
      <c r="BSK27" s="1888"/>
      <c r="BSL27" s="1882"/>
      <c r="BSM27" s="1882"/>
      <c r="BSN27" s="1882"/>
      <c r="BSP27" s="1887"/>
      <c r="BSQ27" s="1888"/>
      <c r="BSR27" s="1882"/>
      <c r="BSS27" s="1882"/>
      <c r="BST27" s="1882"/>
      <c r="BSV27" s="1887"/>
      <c r="BSW27" s="1888"/>
      <c r="BSX27" s="1882"/>
      <c r="BSY27" s="1882"/>
      <c r="BSZ27" s="1882"/>
      <c r="BTB27" s="1887"/>
      <c r="BTC27" s="1888"/>
      <c r="BTD27" s="1882"/>
      <c r="BTE27" s="1882"/>
      <c r="BTF27" s="1882"/>
      <c r="BTH27" s="1887"/>
      <c r="BTI27" s="1888"/>
      <c r="BTJ27" s="1882"/>
      <c r="BTK27" s="1882"/>
      <c r="BTL27" s="1882"/>
      <c r="BTN27" s="1887"/>
      <c r="BTO27" s="1888"/>
      <c r="BTP27" s="1882"/>
      <c r="BTQ27" s="1882"/>
      <c r="BTR27" s="1882"/>
      <c r="BTT27" s="1887"/>
      <c r="BTU27" s="1888"/>
      <c r="BTV27" s="1882"/>
      <c r="BTW27" s="1882"/>
      <c r="BTX27" s="1882"/>
      <c r="BTZ27" s="1887"/>
      <c r="BUA27" s="1888"/>
      <c r="BUB27" s="1882"/>
      <c r="BUC27" s="1882"/>
      <c r="BUD27" s="1882"/>
      <c r="BUF27" s="1887"/>
      <c r="BUG27" s="1888"/>
      <c r="BUH27" s="1882"/>
      <c r="BUI27" s="1882"/>
      <c r="BUJ27" s="1882"/>
      <c r="BUL27" s="1887"/>
      <c r="BUM27" s="1888"/>
      <c r="BUN27" s="1882"/>
      <c r="BUO27" s="1882"/>
      <c r="BUP27" s="1882"/>
      <c r="BUR27" s="1887"/>
      <c r="BUS27" s="1888"/>
      <c r="BUT27" s="1882"/>
      <c r="BUU27" s="1882"/>
      <c r="BUV27" s="1882"/>
      <c r="BUX27" s="1887"/>
      <c r="BUY27" s="1888"/>
      <c r="BUZ27" s="1882"/>
      <c r="BVA27" s="1882"/>
      <c r="BVB27" s="1882"/>
      <c r="BVD27" s="1887"/>
      <c r="BVE27" s="1888"/>
      <c r="BVF27" s="1882"/>
      <c r="BVG27" s="1882"/>
      <c r="BVH27" s="1882"/>
      <c r="BVJ27" s="1887"/>
      <c r="BVK27" s="1888"/>
      <c r="BVL27" s="1882"/>
      <c r="BVM27" s="1882"/>
      <c r="BVN27" s="1882"/>
      <c r="BVP27" s="1887"/>
      <c r="BVQ27" s="1888"/>
      <c r="BVR27" s="1882"/>
      <c r="BVS27" s="1882"/>
      <c r="BVT27" s="1882"/>
      <c r="BVV27" s="1887"/>
      <c r="BVW27" s="1888"/>
      <c r="BVX27" s="1882"/>
      <c r="BVY27" s="1882"/>
      <c r="BVZ27" s="1882"/>
      <c r="BWB27" s="1887"/>
      <c r="BWC27" s="1888"/>
      <c r="BWD27" s="1882"/>
      <c r="BWE27" s="1882"/>
      <c r="BWF27" s="1882"/>
      <c r="BWH27" s="1887"/>
      <c r="BWI27" s="1888"/>
      <c r="BWJ27" s="1882"/>
      <c r="BWK27" s="1882"/>
      <c r="BWL27" s="1882"/>
      <c r="BWN27" s="1887"/>
      <c r="BWO27" s="1888"/>
      <c r="BWP27" s="1882"/>
      <c r="BWQ27" s="1882"/>
      <c r="BWR27" s="1882"/>
      <c r="BWT27" s="1887"/>
      <c r="BWU27" s="1888"/>
      <c r="BWV27" s="1882"/>
      <c r="BWW27" s="1882"/>
      <c r="BWX27" s="1882"/>
      <c r="BWZ27" s="1887"/>
      <c r="BXA27" s="1888"/>
      <c r="BXB27" s="1882"/>
      <c r="BXC27" s="1882"/>
      <c r="BXD27" s="1882"/>
      <c r="BXF27" s="1887"/>
      <c r="BXG27" s="1888"/>
      <c r="BXH27" s="1882"/>
      <c r="BXI27" s="1882"/>
      <c r="BXJ27" s="1882"/>
      <c r="BXL27" s="1887"/>
      <c r="BXM27" s="1888"/>
      <c r="BXN27" s="1882"/>
      <c r="BXO27" s="1882"/>
      <c r="BXP27" s="1882"/>
      <c r="BXR27" s="1887"/>
      <c r="BXS27" s="1888"/>
      <c r="BXT27" s="1882"/>
      <c r="BXU27" s="1882"/>
      <c r="BXV27" s="1882"/>
      <c r="BXX27" s="1887"/>
      <c r="BXY27" s="1888"/>
      <c r="BXZ27" s="1882"/>
      <c r="BYA27" s="1882"/>
      <c r="BYB27" s="1882"/>
      <c r="BYD27" s="1887"/>
      <c r="BYE27" s="1888"/>
      <c r="BYF27" s="1882"/>
      <c r="BYG27" s="1882"/>
      <c r="BYH27" s="1882"/>
      <c r="BYJ27" s="1887"/>
      <c r="BYK27" s="1888"/>
      <c r="BYL27" s="1882"/>
      <c r="BYM27" s="1882"/>
      <c r="BYN27" s="1882"/>
      <c r="BYP27" s="1887"/>
      <c r="BYQ27" s="1888"/>
      <c r="BYR27" s="1882"/>
      <c r="BYS27" s="1882"/>
      <c r="BYT27" s="1882"/>
      <c r="BYV27" s="1887"/>
      <c r="BYW27" s="1888"/>
      <c r="BYX27" s="1882"/>
      <c r="BYY27" s="1882"/>
      <c r="BYZ27" s="1882"/>
      <c r="BZB27" s="1887"/>
      <c r="BZC27" s="1888"/>
      <c r="BZD27" s="1882"/>
      <c r="BZE27" s="1882"/>
      <c r="BZF27" s="1882"/>
      <c r="BZH27" s="1887"/>
      <c r="BZI27" s="1888"/>
      <c r="BZJ27" s="1882"/>
      <c r="BZK27" s="1882"/>
      <c r="BZL27" s="1882"/>
      <c r="BZN27" s="1887"/>
      <c r="BZO27" s="1888"/>
      <c r="BZP27" s="1882"/>
      <c r="BZQ27" s="1882"/>
      <c r="BZR27" s="1882"/>
      <c r="BZT27" s="1887"/>
      <c r="BZU27" s="1888"/>
      <c r="BZV27" s="1882"/>
      <c r="BZW27" s="1882"/>
      <c r="BZX27" s="1882"/>
      <c r="BZZ27" s="1887"/>
      <c r="CAA27" s="1888"/>
      <c r="CAB27" s="1882"/>
      <c r="CAC27" s="1882"/>
      <c r="CAD27" s="1882"/>
      <c r="CAF27" s="1887"/>
      <c r="CAG27" s="1888"/>
      <c r="CAH27" s="1882"/>
      <c r="CAI27" s="1882"/>
      <c r="CAJ27" s="1882"/>
      <c r="CAL27" s="1887"/>
      <c r="CAM27" s="1888"/>
      <c r="CAN27" s="1882"/>
      <c r="CAO27" s="1882"/>
      <c r="CAP27" s="1882"/>
      <c r="CAR27" s="1887"/>
      <c r="CAS27" s="1888"/>
      <c r="CAT27" s="1882"/>
      <c r="CAU27" s="1882"/>
      <c r="CAV27" s="1882"/>
      <c r="CAX27" s="1887"/>
      <c r="CAY27" s="1888"/>
      <c r="CAZ27" s="1882"/>
      <c r="CBA27" s="1882"/>
      <c r="CBB27" s="1882"/>
      <c r="CBD27" s="1887"/>
      <c r="CBE27" s="1888"/>
      <c r="CBF27" s="1882"/>
      <c r="CBG27" s="1882"/>
      <c r="CBH27" s="1882"/>
      <c r="CBJ27" s="1887"/>
      <c r="CBK27" s="1888"/>
      <c r="CBL27" s="1882"/>
      <c r="CBM27" s="1882"/>
      <c r="CBN27" s="1882"/>
      <c r="CBP27" s="1887"/>
      <c r="CBQ27" s="1888"/>
      <c r="CBR27" s="1882"/>
      <c r="CBS27" s="1882"/>
      <c r="CBT27" s="1882"/>
      <c r="CBV27" s="1887"/>
      <c r="CBW27" s="1888"/>
      <c r="CBX27" s="1882"/>
      <c r="CBY27" s="1882"/>
      <c r="CBZ27" s="1882"/>
      <c r="CCB27" s="1887"/>
      <c r="CCC27" s="1888"/>
      <c r="CCD27" s="1882"/>
      <c r="CCE27" s="1882"/>
      <c r="CCF27" s="1882"/>
      <c r="CCH27" s="1887"/>
      <c r="CCI27" s="1888"/>
      <c r="CCJ27" s="1882"/>
      <c r="CCK27" s="1882"/>
      <c r="CCL27" s="1882"/>
      <c r="CCN27" s="1887"/>
      <c r="CCO27" s="1888"/>
      <c r="CCP27" s="1882"/>
      <c r="CCQ27" s="1882"/>
      <c r="CCR27" s="1882"/>
      <c r="CCT27" s="1887"/>
      <c r="CCU27" s="1888"/>
      <c r="CCV27" s="1882"/>
      <c r="CCW27" s="1882"/>
      <c r="CCX27" s="1882"/>
      <c r="CCZ27" s="1887"/>
      <c r="CDA27" s="1888"/>
      <c r="CDB27" s="1882"/>
      <c r="CDC27" s="1882"/>
      <c r="CDD27" s="1882"/>
      <c r="CDF27" s="1887"/>
      <c r="CDG27" s="1888"/>
      <c r="CDH27" s="1882"/>
      <c r="CDI27" s="1882"/>
      <c r="CDJ27" s="1882"/>
      <c r="CDL27" s="1887"/>
      <c r="CDM27" s="1888"/>
      <c r="CDN27" s="1882"/>
      <c r="CDO27" s="1882"/>
      <c r="CDP27" s="1882"/>
      <c r="CDR27" s="1887"/>
      <c r="CDS27" s="1888"/>
      <c r="CDT27" s="1882"/>
      <c r="CDU27" s="1882"/>
      <c r="CDV27" s="1882"/>
      <c r="CDX27" s="1887"/>
      <c r="CDY27" s="1888"/>
      <c r="CDZ27" s="1882"/>
      <c r="CEA27" s="1882"/>
      <c r="CEB27" s="1882"/>
      <c r="CED27" s="1887"/>
      <c r="CEE27" s="1888"/>
      <c r="CEF27" s="1882"/>
      <c r="CEG27" s="1882"/>
      <c r="CEH27" s="1882"/>
      <c r="CEJ27" s="1887"/>
      <c r="CEK27" s="1888"/>
      <c r="CEL27" s="1882"/>
      <c r="CEM27" s="1882"/>
      <c r="CEN27" s="1882"/>
      <c r="CEP27" s="1887"/>
      <c r="CEQ27" s="1888"/>
      <c r="CER27" s="1882"/>
      <c r="CES27" s="1882"/>
      <c r="CET27" s="1882"/>
      <c r="CEV27" s="1887"/>
      <c r="CEW27" s="1888"/>
      <c r="CEX27" s="1882"/>
      <c r="CEY27" s="1882"/>
      <c r="CEZ27" s="1882"/>
      <c r="CFB27" s="1887"/>
      <c r="CFC27" s="1888"/>
      <c r="CFD27" s="1882"/>
      <c r="CFE27" s="1882"/>
      <c r="CFF27" s="1882"/>
      <c r="CFH27" s="1887"/>
      <c r="CFI27" s="1888"/>
      <c r="CFJ27" s="1882"/>
      <c r="CFK27" s="1882"/>
      <c r="CFL27" s="1882"/>
      <c r="CFN27" s="1887"/>
      <c r="CFO27" s="1888"/>
      <c r="CFP27" s="1882"/>
      <c r="CFQ27" s="1882"/>
      <c r="CFR27" s="1882"/>
      <c r="CFT27" s="1887"/>
      <c r="CFU27" s="1888"/>
      <c r="CFV27" s="1882"/>
      <c r="CFW27" s="1882"/>
      <c r="CFX27" s="1882"/>
      <c r="CFZ27" s="1887"/>
      <c r="CGA27" s="1888"/>
      <c r="CGB27" s="1882"/>
      <c r="CGC27" s="1882"/>
      <c r="CGD27" s="1882"/>
      <c r="CGF27" s="1887"/>
      <c r="CGG27" s="1888"/>
      <c r="CGH27" s="1882"/>
      <c r="CGI27" s="1882"/>
      <c r="CGJ27" s="1882"/>
      <c r="CGL27" s="1887"/>
      <c r="CGM27" s="1888"/>
      <c r="CGN27" s="1882"/>
      <c r="CGO27" s="1882"/>
      <c r="CGP27" s="1882"/>
      <c r="CGR27" s="1887"/>
      <c r="CGS27" s="1888"/>
      <c r="CGT27" s="1882"/>
      <c r="CGU27" s="1882"/>
      <c r="CGV27" s="1882"/>
      <c r="CGX27" s="1887"/>
      <c r="CGY27" s="1888"/>
      <c r="CGZ27" s="1882"/>
      <c r="CHA27" s="1882"/>
      <c r="CHB27" s="1882"/>
      <c r="CHD27" s="1887"/>
      <c r="CHE27" s="1888"/>
      <c r="CHF27" s="1882"/>
      <c r="CHG27" s="1882"/>
      <c r="CHH27" s="1882"/>
      <c r="CHJ27" s="1887"/>
      <c r="CHK27" s="1888"/>
      <c r="CHL27" s="1882"/>
      <c r="CHM27" s="1882"/>
      <c r="CHN27" s="1882"/>
      <c r="CHP27" s="1887"/>
      <c r="CHQ27" s="1888"/>
      <c r="CHR27" s="1882"/>
      <c r="CHS27" s="1882"/>
      <c r="CHT27" s="1882"/>
      <c r="CHV27" s="1887"/>
      <c r="CHW27" s="1888"/>
      <c r="CHX27" s="1882"/>
      <c r="CHY27" s="1882"/>
      <c r="CHZ27" s="1882"/>
      <c r="CIB27" s="1887"/>
      <c r="CIC27" s="1888"/>
      <c r="CID27" s="1882"/>
      <c r="CIE27" s="1882"/>
      <c r="CIF27" s="1882"/>
      <c r="CIH27" s="1887"/>
      <c r="CII27" s="1888"/>
      <c r="CIJ27" s="1882"/>
      <c r="CIK27" s="1882"/>
      <c r="CIL27" s="1882"/>
      <c r="CIN27" s="1887"/>
      <c r="CIO27" s="1888"/>
      <c r="CIP27" s="1882"/>
      <c r="CIQ27" s="1882"/>
      <c r="CIR27" s="1882"/>
      <c r="CIT27" s="1887"/>
      <c r="CIU27" s="1888"/>
      <c r="CIV27" s="1882"/>
      <c r="CIW27" s="1882"/>
      <c r="CIX27" s="1882"/>
      <c r="CIZ27" s="1887"/>
      <c r="CJA27" s="1888"/>
      <c r="CJB27" s="1882"/>
      <c r="CJC27" s="1882"/>
      <c r="CJD27" s="1882"/>
      <c r="CJF27" s="1887"/>
      <c r="CJG27" s="1888"/>
      <c r="CJH27" s="1882"/>
      <c r="CJI27" s="1882"/>
      <c r="CJJ27" s="1882"/>
      <c r="CJL27" s="1887"/>
      <c r="CJM27" s="1888"/>
      <c r="CJN27" s="1882"/>
      <c r="CJO27" s="1882"/>
      <c r="CJP27" s="1882"/>
      <c r="CJR27" s="1887"/>
      <c r="CJS27" s="1888"/>
      <c r="CJT27" s="1882"/>
      <c r="CJU27" s="1882"/>
      <c r="CJV27" s="1882"/>
      <c r="CJX27" s="1887"/>
      <c r="CJY27" s="1888"/>
      <c r="CJZ27" s="1882"/>
      <c r="CKA27" s="1882"/>
      <c r="CKB27" s="1882"/>
      <c r="CKD27" s="1887"/>
      <c r="CKE27" s="1888"/>
      <c r="CKF27" s="1882"/>
      <c r="CKG27" s="1882"/>
      <c r="CKH27" s="1882"/>
      <c r="CKJ27" s="1887"/>
      <c r="CKK27" s="1888"/>
      <c r="CKL27" s="1882"/>
      <c r="CKM27" s="1882"/>
      <c r="CKN27" s="1882"/>
      <c r="CKP27" s="1887"/>
      <c r="CKQ27" s="1888"/>
      <c r="CKR27" s="1882"/>
      <c r="CKS27" s="1882"/>
      <c r="CKT27" s="1882"/>
      <c r="CKV27" s="1887"/>
      <c r="CKW27" s="1888"/>
      <c r="CKX27" s="1882"/>
      <c r="CKY27" s="1882"/>
      <c r="CKZ27" s="1882"/>
      <c r="CLB27" s="1887"/>
      <c r="CLC27" s="1888"/>
      <c r="CLD27" s="1882"/>
      <c r="CLE27" s="1882"/>
      <c r="CLF27" s="1882"/>
      <c r="CLH27" s="1887"/>
      <c r="CLI27" s="1888"/>
      <c r="CLJ27" s="1882"/>
      <c r="CLK27" s="1882"/>
      <c r="CLL27" s="1882"/>
      <c r="CLN27" s="1887"/>
      <c r="CLO27" s="1888"/>
      <c r="CLP27" s="1882"/>
      <c r="CLQ27" s="1882"/>
      <c r="CLR27" s="1882"/>
      <c r="CLT27" s="1887"/>
      <c r="CLU27" s="1888"/>
      <c r="CLV27" s="1882"/>
      <c r="CLW27" s="1882"/>
      <c r="CLX27" s="1882"/>
      <c r="CLZ27" s="1887"/>
      <c r="CMA27" s="1888"/>
      <c r="CMB27" s="1882"/>
      <c r="CMC27" s="1882"/>
      <c r="CMD27" s="1882"/>
      <c r="CMF27" s="1887"/>
      <c r="CMG27" s="1888"/>
      <c r="CMH27" s="1882"/>
      <c r="CMI27" s="1882"/>
      <c r="CMJ27" s="1882"/>
      <c r="CML27" s="1887"/>
      <c r="CMM27" s="1888"/>
      <c r="CMN27" s="1882"/>
      <c r="CMO27" s="1882"/>
      <c r="CMP27" s="1882"/>
      <c r="CMR27" s="1887"/>
      <c r="CMS27" s="1888"/>
      <c r="CMT27" s="1882"/>
      <c r="CMU27" s="1882"/>
      <c r="CMV27" s="1882"/>
      <c r="CMX27" s="1887"/>
      <c r="CMY27" s="1888"/>
      <c r="CMZ27" s="1882"/>
      <c r="CNA27" s="1882"/>
      <c r="CNB27" s="1882"/>
      <c r="CND27" s="1887"/>
      <c r="CNE27" s="1888"/>
      <c r="CNF27" s="1882"/>
      <c r="CNG27" s="1882"/>
      <c r="CNH27" s="1882"/>
      <c r="CNJ27" s="1887"/>
      <c r="CNK27" s="1888"/>
      <c r="CNL27" s="1882"/>
      <c r="CNM27" s="1882"/>
      <c r="CNN27" s="1882"/>
      <c r="CNP27" s="1887"/>
      <c r="CNQ27" s="1888"/>
      <c r="CNR27" s="1882"/>
      <c r="CNS27" s="1882"/>
      <c r="CNT27" s="1882"/>
      <c r="CNV27" s="1887"/>
      <c r="CNW27" s="1888"/>
      <c r="CNX27" s="1882"/>
      <c r="CNY27" s="1882"/>
      <c r="CNZ27" s="1882"/>
      <c r="COB27" s="1887"/>
      <c r="COC27" s="1888"/>
      <c r="COD27" s="1882"/>
      <c r="COE27" s="1882"/>
      <c r="COF27" s="1882"/>
      <c r="COH27" s="1887"/>
      <c r="COI27" s="1888"/>
      <c r="COJ27" s="1882"/>
      <c r="COK27" s="1882"/>
      <c r="COL27" s="1882"/>
      <c r="CON27" s="1887"/>
      <c r="COO27" s="1888"/>
      <c r="COP27" s="1882"/>
      <c r="COQ27" s="1882"/>
      <c r="COR27" s="1882"/>
      <c r="COT27" s="1887"/>
      <c r="COU27" s="1888"/>
      <c r="COV27" s="1882"/>
      <c r="COW27" s="1882"/>
      <c r="COX27" s="1882"/>
      <c r="COZ27" s="1887"/>
      <c r="CPA27" s="1888"/>
      <c r="CPB27" s="1882"/>
      <c r="CPC27" s="1882"/>
      <c r="CPD27" s="1882"/>
      <c r="CPF27" s="1887"/>
      <c r="CPG27" s="1888"/>
      <c r="CPH27" s="1882"/>
      <c r="CPI27" s="1882"/>
      <c r="CPJ27" s="1882"/>
      <c r="CPL27" s="1887"/>
      <c r="CPM27" s="1888"/>
      <c r="CPN27" s="1882"/>
      <c r="CPO27" s="1882"/>
      <c r="CPP27" s="1882"/>
      <c r="CPR27" s="1887"/>
      <c r="CPS27" s="1888"/>
      <c r="CPT27" s="1882"/>
      <c r="CPU27" s="1882"/>
      <c r="CPV27" s="1882"/>
      <c r="CPX27" s="1887"/>
      <c r="CPY27" s="1888"/>
      <c r="CPZ27" s="1882"/>
      <c r="CQA27" s="1882"/>
      <c r="CQB27" s="1882"/>
      <c r="CQD27" s="1887"/>
      <c r="CQE27" s="1888"/>
      <c r="CQF27" s="1882"/>
      <c r="CQG27" s="1882"/>
      <c r="CQH27" s="1882"/>
      <c r="CQJ27" s="1887"/>
      <c r="CQK27" s="1888"/>
      <c r="CQL27" s="1882"/>
      <c r="CQM27" s="1882"/>
      <c r="CQN27" s="1882"/>
      <c r="CQP27" s="1887"/>
      <c r="CQQ27" s="1888"/>
      <c r="CQR27" s="1882"/>
      <c r="CQS27" s="1882"/>
      <c r="CQT27" s="1882"/>
      <c r="CQV27" s="1887"/>
      <c r="CQW27" s="1888"/>
      <c r="CQX27" s="1882"/>
      <c r="CQY27" s="1882"/>
      <c r="CQZ27" s="1882"/>
      <c r="CRB27" s="1887"/>
      <c r="CRC27" s="1888"/>
      <c r="CRD27" s="1882"/>
      <c r="CRE27" s="1882"/>
      <c r="CRF27" s="1882"/>
      <c r="CRH27" s="1887"/>
      <c r="CRI27" s="1888"/>
      <c r="CRJ27" s="1882"/>
      <c r="CRK27" s="1882"/>
      <c r="CRL27" s="1882"/>
      <c r="CRN27" s="1887"/>
      <c r="CRO27" s="1888"/>
      <c r="CRP27" s="1882"/>
      <c r="CRQ27" s="1882"/>
      <c r="CRR27" s="1882"/>
      <c r="CRT27" s="1887"/>
      <c r="CRU27" s="1888"/>
      <c r="CRV27" s="1882"/>
      <c r="CRW27" s="1882"/>
      <c r="CRX27" s="1882"/>
      <c r="CRZ27" s="1887"/>
      <c r="CSA27" s="1888"/>
      <c r="CSB27" s="1882"/>
      <c r="CSC27" s="1882"/>
      <c r="CSD27" s="1882"/>
      <c r="CSF27" s="1887"/>
      <c r="CSG27" s="1888"/>
      <c r="CSH27" s="1882"/>
      <c r="CSI27" s="1882"/>
      <c r="CSJ27" s="1882"/>
      <c r="CSL27" s="1887"/>
      <c r="CSM27" s="1888"/>
      <c r="CSN27" s="1882"/>
      <c r="CSO27" s="1882"/>
      <c r="CSP27" s="1882"/>
      <c r="CSR27" s="1887"/>
      <c r="CSS27" s="1888"/>
      <c r="CST27" s="1882"/>
      <c r="CSU27" s="1882"/>
      <c r="CSV27" s="1882"/>
      <c r="CSX27" s="1887"/>
      <c r="CSY27" s="1888"/>
      <c r="CSZ27" s="1882"/>
      <c r="CTA27" s="1882"/>
      <c r="CTB27" s="1882"/>
      <c r="CTD27" s="1887"/>
      <c r="CTE27" s="1888"/>
      <c r="CTF27" s="1882"/>
      <c r="CTG27" s="1882"/>
      <c r="CTH27" s="1882"/>
      <c r="CTJ27" s="1887"/>
      <c r="CTK27" s="1888"/>
      <c r="CTL27" s="1882"/>
      <c r="CTM27" s="1882"/>
      <c r="CTN27" s="1882"/>
      <c r="CTP27" s="1887"/>
      <c r="CTQ27" s="1888"/>
      <c r="CTR27" s="1882"/>
      <c r="CTS27" s="1882"/>
      <c r="CTT27" s="1882"/>
      <c r="CTV27" s="1887"/>
      <c r="CTW27" s="1888"/>
      <c r="CTX27" s="1882"/>
      <c r="CTY27" s="1882"/>
      <c r="CTZ27" s="1882"/>
      <c r="CUB27" s="1887"/>
      <c r="CUC27" s="1888"/>
      <c r="CUD27" s="1882"/>
      <c r="CUE27" s="1882"/>
      <c r="CUF27" s="1882"/>
      <c r="CUH27" s="1887"/>
      <c r="CUI27" s="1888"/>
      <c r="CUJ27" s="1882"/>
      <c r="CUK27" s="1882"/>
      <c r="CUL27" s="1882"/>
      <c r="CUN27" s="1887"/>
      <c r="CUO27" s="1888"/>
      <c r="CUP27" s="1882"/>
      <c r="CUQ27" s="1882"/>
      <c r="CUR27" s="1882"/>
      <c r="CUT27" s="1887"/>
      <c r="CUU27" s="1888"/>
      <c r="CUV27" s="1882"/>
      <c r="CUW27" s="1882"/>
      <c r="CUX27" s="1882"/>
      <c r="CUZ27" s="1887"/>
      <c r="CVA27" s="1888"/>
      <c r="CVB27" s="1882"/>
      <c r="CVC27" s="1882"/>
      <c r="CVD27" s="1882"/>
      <c r="CVF27" s="1887"/>
      <c r="CVG27" s="1888"/>
      <c r="CVH27" s="1882"/>
      <c r="CVI27" s="1882"/>
      <c r="CVJ27" s="1882"/>
      <c r="CVL27" s="1887"/>
      <c r="CVM27" s="1888"/>
      <c r="CVN27" s="1882"/>
      <c r="CVO27" s="1882"/>
      <c r="CVP27" s="1882"/>
      <c r="CVR27" s="1887"/>
      <c r="CVS27" s="1888"/>
      <c r="CVT27" s="1882"/>
      <c r="CVU27" s="1882"/>
      <c r="CVV27" s="1882"/>
      <c r="CVX27" s="1887"/>
      <c r="CVY27" s="1888"/>
      <c r="CVZ27" s="1882"/>
      <c r="CWA27" s="1882"/>
      <c r="CWB27" s="1882"/>
      <c r="CWD27" s="1887"/>
      <c r="CWE27" s="1888"/>
      <c r="CWF27" s="1882"/>
      <c r="CWG27" s="1882"/>
      <c r="CWH27" s="1882"/>
      <c r="CWJ27" s="1887"/>
      <c r="CWK27" s="1888"/>
      <c r="CWL27" s="1882"/>
      <c r="CWM27" s="1882"/>
      <c r="CWN27" s="1882"/>
      <c r="CWP27" s="1887"/>
      <c r="CWQ27" s="1888"/>
      <c r="CWR27" s="1882"/>
      <c r="CWS27" s="1882"/>
      <c r="CWT27" s="1882"/>
      <c r="CWV27" s="1887"/>
      <c r="CWW27" s="1888"/>
      <c r="CWX27" s="1882"/>
      <c r="CWY27" s="1882"/>
      <c r="CWZ27" s="1882"/>
      <c r="CXB27" s="1887"/>
      <c r="CXC27" s="1888"/>
      <c r="CXD27" s="1882"/>
      <c r="CXE27" s="1882"/>
      <c r="CXF27" s="1882"/>
      <c r="CXH27" s="1887"/>
      <c r="CXI27" s="1888"/>
      <c r="CXJ27" s="1882"/>
      <c r="CXK27" s="1882"/>
      <c r="CXL27" s="1882"/>
      <c r="CXN27" s="1887"/>
      <c r="CXO27" s="1888"/>
      <c r="CXP27" s="1882"/>
      <c r="CXQ27" s="1882"/>
      <c r="CXR27" s="1882"/>
      <c r="CXT27" s="1887"/>
      <c r="CXU27" s="1888"/>
      <c r="CXV27" s="1882"/>
      <c r="CXW27" s="1882"/>
      <c r="CXX27" s="1882"/>
      <c r="CXZ27" s="1887"/>
      <c r="CYA27" s="1888"/>
      <c r="CYB27" s="1882"/>
      <c r="CYC27" s="1882"/>
      <c r="CYD27" s="1882"/>
      <c r="CYF27" s="1887"/>
      <c r="CYG27" s="1888"/>
      <c r="CYH27" s="1882"/>
      <c r="CYI27" s="1882"/>
      <c r="CYJ27" s="1882"/>
      <c r="CYL27" s="1887"/>
      <c r="CYM27" s="1888"/>
      <c r="CYN27" s="1882"/>
      <c r="CYO27" s="1882"/>
      <c r="CYP27" s="1882"/>
      <c r="CYR27" s="1887"/>
      <c r="CYS27" s="1888"/>
      <c r="CYT27" s="1882"/>
      <c r="CYU27" s="1882"/>
      <c r="CYV27" s="1882"/>
      <c r="CYX27" s="1887"/>
      <c r="CYY27" s="1888"/>
      <c r="CYZ27" s="1882"/>
      <c r="CZA27" s="1882"/>
      <c r="CZB27" s="1882"/>
      <c r="CZD27" s="1887"/>
      <c r="CZE27" s="1888"/>
      <c r="CZF27" s="1882"/>
      <c r="CZG27" s="1882"/>
      <c r="CZH27" s="1882"/>
      <c r="CZJ27" s="1887"/>
      <c r="CZK27" s="1888"/>
      <c r="CZL27" s="1882"/>
      <c r="CZM27" s="1882"/>
      <c r="CZN27" s="1882"/>
      <c r="CZP27" s="1887"/>
      <c r="CZQ27" s="1888"/>
      <c r="CZR27" s="1882"/>
      <c r="CZS27" s="1882"/>
      <c r="CZT27" s="1882"/>
      <c r="CZV27" s="1887"/>
      <c r="CZW27" s="1888"/>
      <c r="CZX27" s="1882"/>
      <c r="CZY27" s="1882"/>
      <c r="CZZ27" s="1882"/>
      <c r="DAB27" s="1887"/>
      <c r="DAC27" s="1888"/>
      <c r="DAD27" s="1882"/>
      <c r="DAE27" s="1882"/>
      <c r="DAF27" s="1882"/>
      <c r="DAH27" s="1887"/>
      <c r="DAI27" s="1888"/>
      <c r="DAJ27" s="1882"/>
      <c r="DAK27" s="1882"/>
      <c r="DAL27" s="1882"/>
      <c r="DAN27" s="1887"/>
      <c r="DAO27" s="1888"/>
      <c r="DAP27" s="1882"/>
      <c r="DAQ27" s="1882"/>
      <c r="DAR27" s="1882"/>
      <c r="DAT27" s="1887"/>
      <c r="DAU27" s="1888"/>
      <c r="DAV27" s="1882"/>
      <c r="DAW27" s="1882"/>
      <c r="DAX27" s="1882"/>
      <c r="DAZ27" s="1887"/>
      <c r="DBA27" s="1888"/>
      <c r="DBB27" s="1882"/>
      <c r="DBC27" s="1882"/>
      <c r="DBD27" s="1882"/>
      <c r="DBF27" s="1887"/>
      <c r="DBG27" s="1888"/>
      <c r="DBH27" s="1882"/>
      <c r="DBI27" s="1882"/>
      <c r="DBJ27" s="1882"/>
      <c r="DBL27" s="1887"/>
      <c r="DBM27" s="1888"/>
      <c r="DBN27" s="1882"/>
      <c r="DBO27" s="1882"/>
      <c r="DBP27" s="1882"/>
      <c r="DBR27" s="1887"/>
      <c r="DBS27" s="1888"/>
      <c r="DBT27" s="1882"/>
      <c r="DBU27" s="1882"/>
      <c r="DBV27" s="1882"/>
      <c r="DBX27" s="1887"/>
      <c r="DBY27" s="1888"/>
      <c r="DBZ27" s="1882"/>
      <c r="DCA27" s="1882"/>
      <c r="DCB27" s="1882"/>
      <c r="DCD27" s="1887"/>
      <c r="DCE27" s="1888"/>
      <c r="DCF27" s="1882"/>
      <c r="DCG27" s="1882"/>
      <c r="DCH27" s="1882"/>
      <c r="DCJ27" s="1887"/>
      <c r="DCK27" s="1888"/>
      <c r="DCL27" s="1882"/>
      <c r="DCM27" s="1882"/>
      <c r="DCN27" s="1882"/>
      <c r="DCP27" s="1887"/>
      <c r="DCQ27" s="1888"/>
      <c r="DCR27" s="1882"/>
      <c r="DCS27" s="1882"/>
      <c r="DCT27" s="1882"/>
      <c r="DCV27" s="1887"/>
      <c r="DCW27" s="1888"/>
      <c r="DCX27" s="1882"/>
      <c r="DCY27" s="1882"/>
      <c r="DCZ27" s="1882"/>
      <c r="DDB27" s="1887"/>
      <c r="DDC27" s="1888"/>
      <c r="DDD27" s="1882"/>
      <c r="DDE27" s="1882"/>
      <c r="DDF27" s="1882"/>
      <c r="DDH27" s="1887"/>
      <c r="DDI27" s="1888"/>
      <c r="DDJ27" s="1882"/>
      <c r="DDK27" s="1882"/>
      <c r="DDL27" s="1882"/>
      <c r="DDN27" s="1887"/>
      <c r="DDO27" s="1888"/>
      <c r="DDP27" s="1882"/>
      <c r="DDQ27" s="1882"/>
      <c r="DDR27" s="1882"/>
      <c r="DDT27" s="1887"/>
      <c r="DDU27" s="1888"/>
      <c r="DDV27" s="1882"/>
      <c r="DDW27" s="1882"/>
      <c r="DDX27" s="1882"/>
      <c r="DDZ27" s="1887"/>
      <c r="DEA27" s="1888"/>
      <c r="DEB27" s="1882"/>
      <c r="DEC27" s="1882"/>
      <c r="DED27" s="1882"/>
      <c r="DEF27" s="1887"/>
      <c r="DEG27" s="1888"/>
      <c r="DEH27" s="1882"/>
      <c r="DEI27" s="1882"/>
      <c r="DEJ27" s="1882"/>
      <c r="DEL27" s="1887"/>
      <c r="DEM27" s="1888"/>
      <c r="DEN27" s="1882"/>
      <c r="DEO27" s="1882"/>
      <c r="DEP27" s="1882"/>
      <c r="DER27" s="1887"/>
      <c r="DES27" s="1888"/>
      <c r="DET27" s="1882"/>
      <c r="DEU27" s="1882"/>
      <c r="DEV27" s="1882"/>
      <c r="DEX27" s="1887"/>
      <c r="DEY27" s="1888"/>
      <c r="DEZ27" s="1882"/>
      <c r="DFA27" s="1882"/>
      <c r="DFB27" s="1882"/>
      <c r="DFD27" s="1887"/>
      <c r="DFE27" s="1888"/>
      <c r="DFF27" s="1882"/>
      <c r="DFG27" s="1882"/>
      <c r="DFH27" s="1882"/>
      <c r="DFJ27" s="1887"/>
      <c r="DFK27" s="1888"/>
      <c r="DFL27" s="1882"/>
      <c r="DFM27" s="1882"/>
      <c r="DFN27" s="1882"/>
      <c r="DFP27" s="1887"/>
      <c r="DFQ27" s="1888"/>
      <c r="DFR27" s="1882"/>
      <c r="DFS27" s="1882"/>
      <c r="DFT27" s="1882"/>
      <c r="DFV27" s="1887"/>
      <c r="DFW27" s="1888"/>
      <c r="DFX27" s="1882"/>
      <c r="DFY27" s="1882"/>
      <c r="DFZ27" s="1882"/>
      <c r="DGB27" s="1887"/>
      <c r="DGC27" s="1888"/>
      <c r="DGD27" s="1882"/>
      <c r="DGE27" s="1882"/>
      <c r="DGF27" s="1882"/>
      <c r="DGH27" s="1887"/>
      <c r="DGI27" s="1888"/>
      <c r="DGJ27" s="1882"/>
      <c r="DGK27" s="1882"/>
      <c r="DGL27" s="1882"/>
      <c r="DGN27" s="1887"/>
      <c r="DGO27" s="1888"/>
      <c r="DGP27" s="1882"/>
      <c r="DGQ27" s="1882"/>
      <c r="DGR27" s="1882"/>
      <c r="DGT27" s="1887"/>
      <c r="DGU27" s="1888"/>
      <c r="DGV27" s="1882"/>
      <c r="DGW27" s="1882"/>
      <c r="DGX27" s="1882"/>
      <c r="DGZ27" s="1887"/>
      <c r="DHA27" s="1888"/>
      <c r="DHB27" s="1882"/>
      <c r="DHC27" s="1882"/>
      <c r="DHD27" s="1882"/>
      <c r="DHF27" s="1887"/>
      <c r="DHG27" s="1888"/>
      <c r="DHH27" s="1882"/>
      <c r="DHI27" s="1882"/>
      <c r="DHJ27" s="1882"/>
      <c r="DHL27" s="1887"/>
      <c r="DHM27" s="1888"/>
      <c r="DHN27" s="1882"/>
      <c r="DHO27" s="1882"/>
      <c r="DHP27" s="1882"/>
      <c r="DHR27" s="1887"/>
      <c r="DHS27" s="1888"/>
      <c r="DHT27" s="1882"/>
      <c r="DHU27" s="1882"/>
      <c r="DHV27" s="1882"/>
      <c r="DHX27" s="1887"/>
      <c r="DHY27" s="1888"/>
      <c r="DHZ27" s="1882"/>
      <c r="DIA27" s="1882"/>
      <c r="DIB27" s="1882"/>
      <c r="DID27" s="1887"/>
      <c r="DIE27" s="1888"/>
      <c r="DIF27" s="1882"/>
      <c r="DIG27" s="1882"/>
      <c r="DIH27" s="1882"/>
      <c r="DIJ27" s="1887"/>
      <c r="DIK27" s="1888"/>
      <c r="DIL27" s="1882"/>
      <c r="DIM27" s="1882"/>
      <c r="DIN27" s="1882"/>
      <c r="DIP27" s="1887"/>
      <c r="DIQ27" s="1888"/>
      <c r="DIR27" s="1882"/>
      <c r="DIS27" s="1882"/>
      <c r="DIT27" s="1882"/>
      <c r="DIV27" s="1887"/>
      <c r="DIW27" s="1888"/>
      <c r="DIX27" s="1882"/>
      <c r="DIY27" s="1882"/>
      <c r="DIZ27" s="1882"/>
      <c r="DJB27" s="1887"/>
      <c r="DJC27" s="1888"/>
      <c r="DJD27" s="1882"/>
      <c r="DJE27" s="1882"/>
      <c r="DJF27" s="1882"/>
      <c r="DJH27" s="1887"/>
      <c r="DJI27" s="1888"/>
      <c r="DJJ27" s="1882"/>
      <c r="DJK27" s="1882"/>
      <c r="DJL27" s="1882"/>
      <c r="DJN27" s="1887"/>
      <c r="DJO27" s="1888"/>
      <c r="DJP27" s="1882"/>
      <c r="DJQ27" s="1882"/>
      <c r="DJR27" s="1882"/>
      <c r="DJT27" s="1887"/>
      <c r="DJU27" s="1888"/>
      <c r="DJV27" s="1882"/>
      <c r="DJW27" s="1882"/>
      <c r="DJX27" s="1882"/>
      <c r="DJZ27" s="1887"/>
      <c r="DKA27" s="1888"/>
      <c r="DKB27" s="1882"/>
      <c r="DKC27" s="1882"/>
      <c r="DKD27" s="1882"/>
      <c r="DKF27" s="1887"/>
      <c r="DKG27" s="1888"/>
      <c r="DKH27" s="1882"/>
      <c r="DKI27" s="1882"/>
      <c r="DKJ27" s="1882"/>
      <c r="DKL27" s="1887"/>
      <c r="DKM27" s="1888"/>
      <c r="DKN27" s="1882"/>
      <c r="DKO27" s="1882"/>
      <c r="DKP27" s="1882"/>
      <c r="DKR27" s="1887"/>
      <c r="DKS27" s="1888"/>
      <c r="DKT27" s="1882"/>
      <c r="DKU27" s="1882"/>
      <c r="DKV27" s="1882"/>
      <c r="DKX27" s="1887"/>
      <c r="DKY27" s="1888"/>
      <c r="DKZ27" s="1882"/>
      <c r="DLA27" s="1882"/>
      <c r="DLB27" s="1882"/>
      <c r="DLD27" s="1887"/>
      <c r="DLE27" s="1888"/>
      <c r="DLF27" s="1882"/>
      <c r="DLG27" s="1882"/>
      <c r="DLH27" s="1882"/>
      <c r="DLJ27" s="1887"/>
      <c r="DLK27" s="1888"/>
      <c r="DLL27" s="1882"/>
      <c r="DLM27" s="1882"/>
      <c r="DLN27" s="1882"/>
      <c r="DLP27" s="1887"/>
      <c r="DLQ27" s="1888"/>
      <c r="DLR27" s="1882"/>
      <c r="DLS27" s="1882"/>
      <c r="DLT27" s="1882"/>
      <c r="DLV27" s="1887"/>
      <c r="DLW27" s="1888"/>
      <c r="DLX27" s="1882"/>
      <c r="DLY27" s="1882"/>
      <c r="DLZ27" s="1882"/>
      <c r="DMB27" s="1887"/>
      <c r="DMC27" s="1888"/>
      <c r="DMD27" s="1882"/>
      <c r="DME27" s="1882"/>
      <c r="DMF27" s="1882"/>
      <c r="DMH27" s="1887"/>
      <c r="DMI27" s="1888"/>
      <c r="DMJ27" s="1882"/>
      <c r="DMK27" s="1882"/>
      <c r="DML27" s="1882"/>
      <c r="DMN27" s="1887"/>
      <c r="DMO27" s="1888"/>
      <c r="DMP27" s="1882"/>
      <c r="DMQ27" s="1882"/>
      <c r="DMR27" s="1882"/>
      <c r="DMT27" s="1887"/>
      <c r="DMU27" s="1888"/>
      <c r="DMV27" s="1882"/>
      <c r="DMW27" s="1882"/>
      <c r="DMX27" s="1882"/>
      <c r="DMZ27" s="1887"/>
      <c r="DNA27" s="1888"/>
      <c r="DNB27" s="1882"/>
      <c r="DNC27" s="1882"/>
      <c r="DND27" s="1882"/>
      <c r="DNF27" s="1887"/>
      <c r="DNG27" s="1888"/>
      <c r="DNH27" s="1882"/>
      <c r="DNI27" s="1882"/>
      <c r="DNJ27" s="1882"/>
      <c r="DNL27" s="1887"/>
      <c r="DNM27" s="1888"/>
      <c r="DNN27" s="1882"/>
      <c r="DNO27" s="1882"/>
      <c r="DNP27" s="1882"/>
      <c r="DNR27" s="1887"/>
      <c r="DNS27" s="1888"/>
      <c r="DNT27" s="1882"/>
      <c r="DNU27" s="1882"/>
      <c r="DNV27" s="1882"/>
      <c r="DNX27" s="1887"/>
      <c r="DNY27" s="1888"/>
      <c r="DNZ27" s="1882"/>
      <c r="DOA27" s="1882"/>
      <c r="DOB27" s="1882"/>
      <c r="DOD27" s="1887"/>
      <c r="DOE27" s="1888"/>
      <c r="DOF27" s="1882"/>
      <c r="DOG27" s="1882"/>
      <c r="DOH27" s="1882"/>
      <c r="DOJ27" s="1887"/>
      <c r="DOK27" s="1888"/>
      <c r="DOL27" s="1882"/>
      <c r="DOM27" s="1882"/>
      <c r="DON27" s="1882"/>
      <c r="DOP27" s="1887"/>
      <c r="DOQ27" s="1888"/>
      <c r="DOR27" s="1882"/>
      <c r="DOS27" s="1882"/>
      <c r="DOT27" s="1882"/>
      <c r="DOV27" s="1887"/>
      <c r="DOW27" s="1888"/>
      <c r="DOX27" s="1882"/>
      <c r="DOY27" s="1882"/>
      <c r="DOZ27" s="1882"/>
      <c r="DPB27" s="1887"/>
      <c r="DPC27" s="1888"/>
      <c r="DPD27" s="1882"/>
      <c r="DPE27" s="1882"/>
      <c r="DPF27" s="1882"/>
      <c r="DPH27" s="1887"/>
      <c r="DPI27" s="1888"/>
      <c r="DPJ27" s="1882"/>
      <c r="DPK27" s="1882"/>
      <c r="DPL27" s="1882"/>
      <c r="DPN27" s="1887"/>
      <c r="DPO27" s="1888"/>
      <c r="DPP27" s="1882"/>
      <c r="DPQ27" s="1882"/>
      <c r="DPR27" s="1882"/>
      <c r="DPT27" s="1887"/>
      <c r="DPU27" s="1888"/>
      <c r="DPV27" s="1882"/>
      <c r="DPW27" s="1882"/>
      <c r="DPX27" s="1882"/>
      <c r="DPZ27" s="1887"/>
      <c r="DQA27" s="1888"/>
      <c r="DQB27" s="1882"/>
      <c r="DQC27" s="1882"/>
      <c r="DQD27" s="1882"/>
      <c r="DQF27" s="1887"/>
      <c r="DQG27" s="1888"/>
      <c r="DQH27" s="1882"/>
      <c r="DQI27" s="1882"/>
      <c r="DQJ27" s="1882"/>
      <c r="DQL27" s="1887"/>
      <c r="DQM27" s="1888"/>
      <c r="DQN27" s="1882"/>
      <c r="DQO27" s="1882"/>
      <c r="DQP27" s="1882"/>
      <c r="DQR27" s="1887"/>
      <c r="DQS27" s="1888"/>
      <c r="DQT27" s="1882"/>
      <c r="DQU27" s="1882"/>
      <c r="DQV27" s="1882"/>
      <c r="DQX27" s="1887"/>
      <c r="DQY27" s="1888"/>
      <c r="DQZ27" s="1882"/>
      <c r="DRA27" s="1882"/>
      <c r="DRB27" s="1882"/>
      <c r="DRD27" s="1887"/>
      <c r="DRE27" s="1888"/>
      <c r="DRF27" s="1882"/>
      <c r="DRG27" s="1882"/>
      <c r="DRH27" s="1882"/>
      <c r="DRJ27" s="1887"/>
      <c r="DRK27" s="1888"/>
      <c r="DRL27" s="1882"/>
      <c r="DRM27" s="1882"/>
      <c r="DRN27" s="1882"/>
      <c r="DRP27" s="1887"/>
      <c r="DRQ27" s="1888"/>
      <c r="DRR27" s="1882"/>
      <c r="DRS27" s="1882"/>
      <c r="DRT27" s="1882"/>
      <c r="DRV27" s="1887"/>
      <c r="DRW27" s="1888"/>
      <c r="DRX27" s="1882"/>
      <c r="DRY27" s="1882"/>
      <c r="DRZ27" s="1882"/>
      <c r="DSB27" s="1887"/>
      <c r="DSC27" s="1888"/>
      <c r="DSD27" s="1882"/>
      <c r="DSE27" s="1882"/>
      <c r="DSF27" s="1882"/>
      <c r="DSH27" s="1887"/>
      <c r="DSI27" s="1888"/>
      <c r="DSJ27" s="1882"/>
      <c r="DSK27" s="1882"/>
      <c r="DSL27" s="1882"/>
      <c r="DSN27" s="1887"/>
      <c r="DSO27" s="1888"/>
      <c r="DSP27" s="1882"/>
      <c r="DSQ27" s="1882"/>
      <c r="DSR27" s="1882"/>
      <c r="DST27" s="1887"/>
      <c r="DSU27" s="1888"/>
      <c r="DSV27" s="1882"/>
      <c r="DSW27" s="1882"/>
      <c r="DSX27" s="1882"/>
      <c r="DSZ27" s="1887"/>
      <c r="DTA27" s="1888"/>
      <c r="DTB27" s="1882"/>
      <c r="DTC27" s="1882"/>
      <c r="DTD27" s="1882"/>
      <c r="DTF27" s="1887"/>
      <c r="DTG27" s="1888"/>
      <c r="DTH27" s="1882"/>
      <c r="DTI27" s="1882"/>
      <c r="DTJ27" s="1882"/>
      <c r="DTL27" s="1887"/>
      <c r="DTM27" s="1888"/>
      <c r="DTN27" s="1882"/>
      <c r="DTO27" s="1882"/>
      <c r="DTP27" s="1882"/>
      <c r="DTR27" s="1887"/>
      <c r="DTS27" s="1888"/>
      <c r="DTT27" s="1882"/>
      <c r="DTU27" s="1882"/>
      <c r="DTV27" s="1882"/>
      <c r="DTX27" s="1887"/>
      <c r="DTY27" s="1888"/>
      <c r="DTZ27" s="1882"/>
      <c r="DUA27" s="1882"/>
      <c r="DUB27" s="1882"/>
      <c r="DUD27" s="1887"/>
      <c r="DUE27" s="1888"/>
      <c r="DUF27" s="1882"/>
      <c r="DUG27" s="1882"/>
      <c r="DUH27" s="1882"/>
      <c r="DUJ27" s="1887"/>
      <c r="DUK27" s="1888"/>
      <c r="DUL27" s="1882"/>
      <c r="DUM27" s="1882"/>
      <c r="DUN27" s="1882"/>
      <c r="DUP27" s="1887"/>
      <c r="DUQ27" s="1888"/>
      <c r="DUR27" s="1882"/>
      <c r="DUS27" s="1882"/>
      <c r="DUT27" s="1882"/>
      <c r="DUV27" s="1887"/>
      <c r="DUW27" s="1888"/>
      <c r="DUX27" s="1882"/>
      <c r="DUY27" s="1882"/>
      <c r="DUZ27" s="1882"/>
      <c r="DVB27" s="1887"/>
      <c r="DVC27" s="1888"/>
      <c r="DVD27" s="1882"/>
      <c r="DVE27" s="1882"/>
      <c r="DVF27" s="1882"/>
      <c r="DVH27" s="1887"/>
      <c r="DVI27" s="1888"/>
      <c r="DVJ27" s="1882"/>
      <c r="DVK27" s="1882"/>
      <c r="DVL27" s="1882"/>
      <c r="DVN27" s="1887"/>
      <c r="DVO27" s="1888"/>
      <c r="DVP27" s="1882"/>
      <c r="DVQ27" s="1882"/>
      <c r="DVR27" s="1882"/>
      <c r="DVT27" s="1887"/>
      <c r="DVU27" s="1888"/>
      <c r="DVV27" s="1882"/>
      <c r="DVW27" s="1882"/>
      <c r="DVX27" s="1882"/>
      <c r="DVZ27" s="1887"/>
      <c r="DWA27" s="1888"/>
      <c r="DWB27" s="1882"/>
      <c r="DWC27" s="1882"/>
      <c r="DWD27" s="1882"/>
      <c r="DWF27" s="1887"/>
      <c r="DWG27" s="1888"/>
      <c r="DWH27" s="1882"/>
      <c r="DWI27" s="1882"/>
      <c r="DWJ27" s="1882"/>
      <c r="DWL27" s="1887"/>
      <c r="DWM27" s="1888"/>
      <c r="DWN27" s="1882"/>
      <c r="DWO27" s="1882"/>
      <c r="DWP27" s="1882"/>
      <c r="DWR27" s="1887"/>
      <c r="DWS27" s="1888"/>
      <c r="DWT27" s="1882"/>
      <c r="DWU27" s="1882"/>
      <c r="DWV27" s="1882"/>
      <c r="DWX27" s="1887"/>
      <c r="DWY27" s="1888"/>
      <c r="DWZ27" s="1882"/>
      <c r="DXA27" s="1882"/>
      <c r="DXB27" s="1882"/>
      <c r="DXD27" s="1887"/>
      <c r="DXE27" s="1888"/>
      <c r="DXF27" s="1882"/>
      <c r="DXG27" s="1882"/>
      <c r="DXH27" s="1882"/>
      <c r="DXJ27" s="1887"/>
      <c r="DXK27" s="1888"/>
      <c r="DXL27" s="1882"/>
      <c r="DXM27" s="1882"/>
      <c r="DXN27" s="1882"/>
      <c r="DXP27" s="1887"/>
      <c r="DXQ27" s="1888"/>
      <c r="DXR27" s="1882"/>
      <c r="DXS27" s="1882"/>
      <c r="DXT27" s="1882"/>
      <c r="DXV27" s="1887"/>
      <c r="DXW27" s="1888"/>
      <c r="DXX27" s="1882"/>
      <c r="DXY27" s="1882"/>
      <c r="DXZ27" s="1882"/>
      <c r="DYB27" s="1887"/>
      <c r="DYC27" s="1888"/>
      <c r="DYD27" s="1882"/>
      <c r="DYE27" s="1882"/>
      <c r="DYF27" s="1882"/>
      <c r="DYH27" s="1887"/>
      <c r="DYI27" s="1888"/>
      <c r="DYJ27" s="1882"/>
      <c r="DYK27" s="1882"/>
      <c r="DYL27" s="1882"/>
      <c r="DYN27" s="1887"/>
      <c r="DYO27" s="1888"/>
      <c r="DYP27" s="1882"/>
      <c r="DYQ27" s="1882"/>
      <c r="DYR27" s="1882"/>
      <c r="DYT27" s="1887"/>
      <c r="DYU27" s="1888"/>
      <c r="DYV27" s="1882"/>
      <c r="DYW27" s="1882"/>
      <c r="DYX27" s="1882"/>
      <c r="DYZ27" s="1887"/>
      <c r="DZA27" s="1888"/>
      <c r="DZB27" s="1882"/>
      <c r="DZC27" s="1882"/>
      <c r="DZD27" s="1882"/>
      <c r="DZF27" s="1887"/>
      <c r="DZG27" s="1888"/>
      <c r="DZH27" s="1882"/>
      <c r="DZI27" s="1882"/>
      <c r="DZJ27" s="1882"/>
      <c r="DZL27" s="1887"/>
      <c r="DZM27" s="1888"/>
      <c r="DZN27" s="1882"/>
      <c r="DZO27" s="1882"/>
      <c r="DZP27" s="1882"/>
      <c r="DZR27" s="1887"/>
      <c r="DZS27" s="1888"/>
      <c r="DZT27" s="1882"/>
      <c r="DZU27" s="1882"/>
      <c r="DZV27" s="1882"/>
      <c r="DZX27" s="1887"/>
      <c r="DZY27" s="1888"/>
      <c r="DZZ27" s="1882"/>
      <c r="EAA27" s="1882"/>
      <c r="EAB27" s="1882"/>
      <c r="EAD27" s="1887"/>
      <c r="EAE27" s="1888"/>
      <c r="EAF27" s="1882"/>
      <c r="EAG27" s="1882"/>
      <c r="EAH27" s="1882"/>
      <c r="EAJ27" s="1887"/>
      <c r="EAK27" s="1888"/>
      <c r="EAL27" s="1882"/>
      <c r="EAM27" s="1882"/>
      <c r="EAN27" s="1882"/>
      <c r="EAP27" s="1887"/>
      <c r="EAQ27" s="1888"/>
      <c r="EAR27" s="1882"/>
      <c r="EAS27" s="1882"/>
      <c r="EAT27" s="1882"/>
      <c r="EAV27" s="1887"/>
      <c r="EAW27" s="1888"/>
      <c r="EAX27" s="1882"/>
      <c r="EAY27" s="1882"/>
      <c r="EAZ27" s="1882"/>
      <c r="EBB27" s="1887"/>
      <c r="EBC27" s="1888"/>
      <c r="EBD27" s="1882"/>
      <c r="EBE27" s="1882"/>
      <c r="EBF27" s="1882"/>
      <c r="EBH27" s="1887"/>
      <c r="EBI27" s="1888"/>
      <c r="EBJ27" s="1882"/>
      <c r="EBK27" s="1882"/>
      <c r="EBL27" s="1882"/>
      <c r="EBN27" s="1887"/>
      <c r="EBO27" s="1888"/>
      <c r="EBP27" s="1882"/>
      <c r="EBQ27" s="1882"/>
      <c r="EBR27" s="1882"/>
      <c r="EBT27" s="1887"/>
      <c r="EBU27" s="1888"/>
      <c r="EBV27" s="1882"/>
      <c r="EBW27" s="1882"/>
      <c r="EBX27" s="1882"/>
      <c r="EBZ27" s="1887"/>
      <c r="ECA27" s="1888"/>
      <c r="ECB27" s="1882"/>
      <c r="ECC27" s="1882"/>
      <c r="ECD27" s="1882"/>
      <c r="ECF27" s="1887"/>
      <c r="ECG27" s="1888"/>
      <c r="ECH27" s="1882"/>
      <c r="ECI27" s="1882"/>
      <c r="ECJ27" s="1882"/>
      <c r="ECL27" s="1887"/>
      <c r="ECM27" s="1888"/>
      <c r="ECN27" s="1882"/>
      <c r="ECO27" s="1882"/>
      <c r="ECP27" s="1882"/>
      <c r="ECR27" s="1887"/>
      <c r="ECS27" s="1888"/>
      <c r="ECT27" s="1882"/>
      <c r="ECU27" s="1882"/>
      <c r="ECV27" s="1882"/>
      <c r="ECX27" s="1887"/>
      <c r="ECY27" s="1888"/>
      <c r="ECZ27" s="1882"/>
      <c r="EDA27" s="1882"/>
      <c r="EDB27" s="1882"/>
      <c r="EDD27" s="1887"/>
      <c r="EDE27" s="1888"/>
      <c r="EDF27" s="1882"/>
      <c r="EDG27" s="1882"/>
      <c r="EDH27" s="1882"/>
      <c r="EDJ27" s="1887"/>
      <c r="EDK27" s="1888"/>
      <c r="EDL27" s="1882"/>
      <c r="EDM27" s="1882"/>
      <c r="EDN27" s="1882"/>
      <c r="EDP27" s="1887"/>
      <c r="EDQ27" s="1888"/>
      <c r="EDR27" s="1882"/>
      <c r="EDS27" s="1882"/>
      <c r="EDT27" s="1882"/>
      <c r="EDV27" s="1887"/>
      <c r="EDW27" s="1888"/>
      <c r="EDX27" s="1882"/>
      <c r="EDY27" s="1882"/>
      <c r="EDZ27" s="1882"/>
      <c r="EEB27" s="1887"/>
      <c r="EEC27" s="1888"/>
      <c r="EED27" s="1882"/>
      <c r="EEE27" s="1882"/>
      <c r="EEF27" s="1882"/>
      <c r="EEH27" s="1887"/>
      <c r="EEI27" s="1888"/>
      <c r="EEJ27" s="1882"/>
      <c r="EEK27" s="1882"/>
      <c r="EEL27" s="1882"/>
      <c r="EEN27" s="1887"/>
      <c r="EEO27" s="1888"/>
      <c r="EEP27" s="1882"/>
      <c r="EEQ27" s="1882"/>
      <c r="EER27" s="1882"/>
      <c r="EET27" s="1887"/>
      <c r="EEU27" s="1888"/>
      <c r="EEV27" s="1882"/>
      <c r="EEW27" s="1882"/>
      <c r="EEX27" s="1882"/>
      <c r="EEZ27" s="1887"/>
      <c r="EFA27" s="1888"/>
      <c r="EFB27" s="1882"/>
      <c r="EFC27" s="1882"/>
      <c r="EFD27" s="1882"/>
      <c r="EFF27" s="1887"/>
      <c r="EFG27" s="1888"/>
      <c r="EFH27" s="1882"/>
      <c r="EFI27" s="1882"/>
      <c r="EFJ27" s="1882"/>
      <c r="EFL27" s="1887"/>
      <c r="EFM27" s="1888"/>
      <c r="EFN27" s="1882"/>
      <c r="EFO27" s="1882"/>
      <c r="EFP27" s="1882"/>
      <c r="EFR27" s="1887"/>
      <c r="EFS27" s="1888"/>
      <c r="EFT27" s="1882"/>
      <c r="EFU27" s="1882"/>
      <c r="EFV27" s="1882"/>
      <c r="EFX27" s="1887"/>
      <c r="EFY27" s="1888"/>
      <c r="EFZ27" s="1882"/>
      <c r="EGA27" s="1882"/>
      <c r="EGB27" s="1882"/>
      <c r="EGD27" s="1887"/>
      <c r="EGE27" s="1888"/>
      <c r="EGF27" s="1882"/>
      <c r="EGG27" s="1882"/>
      <c r="EGH27" s="1882"/>
      <c r="EGJ27" s="1887"/>
      <c r="EGK27" s="1888"/>
      <c r="EGL27" s="1882"/>
      <c r="EGM27" s="1882"/>
      <c r="EGN27" s="1882"/>
      <c r="EGP27" s="1887"/>
      <c r="EGQ27" s="1888"/>
      <c r="EGR27" s="1882"/>
      <c r="EGS27" s="1882"/>
      <c r="EGT27" s="1882"/>
      <c r="EGV27" s="1887"/>
      <c r="EGW27" s="1888"/>
      <c r="EGX27" s="1882"/>
      <c r="EGY27" s="1882"/>
      <c r="EGZ27" s="1882"/>
      <c r="EHB27" s="1887"/>
      <c r="EHC27" s="1888"/>
      <c r="EHD27" s="1882"/>
      <c r="EHE27" s="1882"/>
      <c r="EHF27" s="1882"/>
      <c r="EHH27" s="1887"/>
      <c r="EHI27" s="1888"/>
      <c r="EHJ27" s="1882"/>
      <c r="EHK27" s="1882"/>
      <c r="EHL27" s="1882"/>
      <c r="EHN27" s="1887"/>
      <c r="EHO27" s="1888"/>
      <c r="EHP27" s="1882"/>
      <c r="EHQ27" s="1882"/>
      <c r="EHR27" s="1882"/>
      <c r="EHT27" s="1887"/>
      <c r="EHU27" s="1888"/>
      <c r="EHV27" s="1882"/>
      <c r="EHW27" s="1882"/>
      <c r="EHX27" s="1882"/>
      <c r="EHZ27" s="1887"/>
      <c r="EIA27" s="1888"/>
      <c r="EIB27" s="1882"/>
      <c r="EIC27" s="1882"/>
      <c r="EID27" s="1882"/>
      <c r="EIF27" s="1887"/>
      <c r="EIG27" s="1888"/>
      <c r="EIH27" s="1882"/>
      <c r="EII27" s="1882"/>
      <c r="EIJ27" s="1882"/>
      <c r="EIL27" s="1887"/>
      <c r="EIM27" s="1888"/>
      <c r="EIN27" s="1882"/>
      <c r="EIO27" s="1882"/>
      <c r="EIP27" s="1882"/>
      <c r="EIR27" s="1887"/>
      <c r="EIS27" s="1888"/>
      <c r="EIT27" s="1882"/>
      <c r="EIU27" s="1882"/>
      <c r="EIV27" s="1882"/>
      <c r="EIX27" s="1887"/>
      <c r="EIY27" s="1888"/>
      <c r="EIZ27" s="1882"/>
      <c r="EJA27" s="1882"/>
      <c r="EJB27" s="1882"/>
      <c r="EJD27" s="1887"/>
      <c r="EJE27" s="1888"/>
      <c r="EJF27" s="1882"/>
      <c r="EJG27" s="1882"/>
      <c r="EJH27" s="1882"/>
      <c r="EJJ27" s="1887"/>
      <c r="EJK27" s="1888"/>
      <c r="EJL27" s="1882"/>
      <c r="EJM27" s="1882"/>
      <c r="EJN27" s="1882"/>
      <c r="EJP27" s="1887"/>
      <c r="EJQ27" s="1888"/>
      <c r="EJR27" s="1882"/>
      <c r="EJS27" s="1882"/>
      <c r="EJT27" s="1882"/>
      <c r="EJV27" s="1887"/>
      <c r="EJW27" s="1888"/>
      <c r="EJX27" s="1882"/>
      <c r="EJY27" s="1882"/>
      <c r="EJZ27" s="1882"/>
      <c r="EKB27" s="1887"/>
      <c r="EKC27" s="1888"/>
      <c r="EKD27" s="1882"/>
      <c r="EKE27" s="1882"/>
      <c r="EKF27" s="1882"/>
      <c r="EKH27" s="1887"/>
      <c r="EKI27" s="1888"/>
      <c r="EKJ27" s="1882"/>
      <c r="EKK27" s="1882"/>
      <c r="EKL27" s="1882"/>
      <c r="EKN27" s="1887"/>
      <c r="EKO27" s="1888"/>
      <c r="EKP27" s="1882"/>
      <c r="EKQ27" s="1882"/>
      <c r="EKR27" s="1882"/>
      <c r="EKT27" s="1887"/>
      <c r="EKU27" s="1888"/>
      <c r="EKV27" s="1882"/>
      <c r="EKW27" s="1882"/>
      <c r="EKX27" s="1882"/>
      <c r="EKZ27" s="1887"/>
      <c r="ELA27" s="1888"/>
      <c r="ELB27" s="1882"/>
      <c r="ELC27" s="1882"/>
      <c r="ELD27" s="1882"/>
      <c r="ELF27" s="1887"/>
      <c r="ELG27" s="1888"/>
      <c r="ELH27" s="1882"/>
      <c r="ELI27" s="1882"/>
      <c r="ELJ27" s="1882"/>
      <c r="ELL27" s="1887"/>
      <c r="ELM27" s="1888"/>
      <c r="ELN27" s="1882"/>
      <c r="ELO27" s="1882"/>
      <c r="ELP27" s="1882"/>
      <c r="ELR27" s="1887"/>
      <c r="ELS27" s="1888"/>
      <c r="ELT27" s="1882"/>
      <c r="ELU27" s="1882"/>
      <c r="ELV27" s="1882"/>
      <c r="ELX27" s="1887"/>
      <c r="ELY27" s="1888"/>
      <c r="ELZ27" s="1882"/>
      <c r="EMA27" s="1882"/>
      <c r="EMB27" s="1882"/>
      <c r="EMD27" s="1887"/>
      <c r="EME27" s="1888"/>
      <c r="EMF27" s="1882"/>
      <c r="EMG27" s="1882"/>
      <c r="EMH27" s="1882"/>
      <c r="EMJ27" s="1887"/>
      <c r="EMK27" s="1888"/>
      <c r="EML27" s="1882"/>
      <c r="EMM27" s="1882"/>
      <c r="EMN27" s="1882"/>
      <c r="EMP27" s="1887"/>
      <c r="EMQ27" s="1888"/>
      <c r="EMR27" s="1882"/>
      <c r="EMS27" s="1882"/>
      <c r="EMT27" s="1882"/>
      <c r="EMV27" s="1887"/>
      <c r="EMW27" s="1888"/>
      <c r="EMX27" s="1882"/>
      <c r="EMY27" s="1882"/>
      <c r="EMZ27" s="1882"/>
      <c r="ENB27" s="1887"/>
      <c r="ENC27" s="1888"/>
      <c r="END27" s="1882"/>
      <c r="ENE27" s="1882"/>
      <c r="ENF27" s="1882"/>
      <c r="ENH27" s="1887"/>
      <c r="ENI27" s="1888"/>
      <c r="ENJ27" s="1882"/>
      <c r="ENK27" s="1882"/>
      <c r="ENL27" s="1882"/>
      <c r="ENN27" s="1887"/>
      <c r="ENO27" s="1888"/>
      <c r="ENP27" s="1882"/>
      <c r="ENQ27" s="1882"/>
      <c r="ENR27" s="1882"/>
      <c r="ENT27" s="1887"/>
      <c r="ENU27" s="1888"/>
      <c r="ENV27" s="1882"/>
      <c r="ENW27" s="1882"/>
      <c r="ENX27" s="1882"/>
      <c r="ENZ27" s="1887"/>
      <c r="EOA27" s="1888"/>
      <c r="EOB27" s="1882"/>
      <c r="EOC27" s="1882"/>
      <c r="EOD27" s="1882"/>
      <c r="EOF27" s="1887"/>
      <c r="EOG27" s="1888"/>
      <c r="EOH27" s="1882"/>
      <c r="EOI27" s="1882"/>
      <c r="EOJ27" s="1882"/>
      <c r="EOL27" s="1887"/>
      <c r="EOM27" s="1888"/>
      <c r="EON27" s="1882"/>
      <c r="EOO27" s="1882"/>
      <c r="EOP27" s="1882"/>
      <c r="EOR27" s="1887"/>
      <c r="EOS27" s="1888"/>
      <c r="EOT27" s="1882"/>
      <c r="EOU27" s="1882"/>
      <c r="EOV27" s="1882"/>
      <c r="EOX27" s="1887"/>
      <c r="EOY27" s="1888"/>
      <c r="EOZ27" s="1882"/>
      <c r="EPA27" s="1882"/>
      <c r="EPB27" s="1882"/>
      <c r="EPD27" s="1887"/>
      <c r="EPE27" s="1888"/>
      <c r="EPF27" s="1882"/>
      <c r="EPG27" s="1882"/>
      <c r="EPH27" s="1882"/>
      <c r="EPJ27" s="1887"/>
      <c r="EPK27" s="1888"/>
      <c r="EPL27" s="1882"/>
      <c r="EPM27" s="1882"/>
      <c r="EPN27" s="1882"/>
      <c r="EPP27" s="1887"/>
      <c r="EPQ27" s="1888"/>
      <c r="EPR27" s="1882"/>
      <c r="EPS27" s="1882"/>
      <c r="EPT27" s="1882"/>
      <c r="EPV27" s="1887"/>
      <c r="EPW27" s="1888"/>
      <c r="EPX27" s="1882"/>
      <c r="EPY27" s="1882"/>
      <c r="EPZ27" s="1882"/>
      <c r="EQB27" s="1887"/>
      <c r="EQC27" s="1888"/>
      <c r="EQD27" s="1882"/>
      <c r="EQE27" s="1882"/>
      <c r="EQF27" s="1882"/>
      <c r="EQH27" s="1887"/>
      <c r="EQI27" s="1888"/>
      <c r="EQJ27" s="1882"/>
      <c r="EQK27" s="1882"/>
      <c r="EQL27" s="1882"/>
      <c r="EQN27" s="1887"/>
      <c r="EQO27" s="1888"/>
      <c r="EQP27" s="1882"/>
      <c r="EQQ27" s="1882"/>
      <c r="EQR27" s="1882"/>
      <c r="EQT27" s="1887"/>
      <c r="EQU27" s="1888"/>
      <c r="EQV27" s="1882"/>
      <c r="EQW27" s="1882"/>
      <c r="EQX27" s="1882"/>
      <c r="EQZ27" s="1887"/>
      <c r="ERA27" s="1888"/>
      <c r="ERB27" s="1882"/>
      <c r="ERC27" s="1882"/>
      <c r="ERD27" s="1882"/>
      <c r="ERF27" s="1887"/>
      <c r="ERG27" s="1888"/>
      <c r="ERH27" s="1882"/>
      <c r="ERI27" s="1882"/>
      <c r="ERJ27" s="1882"/>
      <c r="ERL27" s="1887"/>
      <c r="ERM27" s="1888"/>
      <c r="ERN27" s="1882"/>
      <c r="ERO27" s="1882"/>
      <c r="ERP27" s="1882"/>
      <c r="ERR27" s="1887"/>
      <c r="ERS27" s="1888"/>
      <c r="ERT27" s="1882"/>
      <c r="ERU27" s="1882"/>
      <c r="ERV27" s="1882"/>
      <c r="ERX27" s="1887"/>
      <c r="ERY27" s="1888"/>
      <c r="ERZ27" s="1882"/>
      <c r="ESA27" s="1882"/>
      <c r="ESB27" s="1882"/>
      <c r="ESD27" s="1887"/>
      <c r="ESE27" s="1888"/>
      <c r="ESF27" s="1882"/>
      <c r="ESG27" s="1882"/>
      <c r="ESH27" s="1882"/>
      <c r="ESJ27" s="1887"/>
      <c r="ESK27" s="1888"/>
      <c r="ESL27" s="1882"/>
      <c r="ESM27" s="1882"/>
      <c r="ESN27" s="1882"/>
      <c r="ESP27" s="1887"/>
      <c r="ESQ27" s="1888"/>
      <c r="ESR27" s="1882"/>
      <c r="ESS27" s="1882"/>
      <c r="EST27" s="1882"/>
      <c r="ESV27" s="1887"/>
      <c r="ESW27" s="1888"/>
      <c r="ESX27" s="1882"/>
      <c r="ESY27" s="1882"/>
      <c r="ESZ27" s="1882"/>
      <c r="ETB27" s="1887"/>
      <c r="ETC27" s="1888"/>
      <c r="ETD27" s="1882"/>
      <c r="ETE27" s="1882"/>
      <c r="ETF27" s="1882"/>
      <c r="ETH27" s="1887"/>
      <c r="ETI27" s="1888"/>
      <c r="ETJ27" s="1882"/>
      <c r="ETK27" s="1882"/>
      <c r="ETL27" s="1882"/>
      <c r="ETN27" s="1887"/>
      <c r="ETO27" s="1888"/>
      <c r="ETP27" s="1882"/>
      <c r="ETQ27" s="1882"/>
      <c r="ETR27" s="1882"/>
      <c r="ETT27" s="1887"/>
      <c r="ETU27" s="1888"/>
      <c r="ETV27" s="1882"/>
      <c r="ETW27" s="1882"/>
      <c r="ETX27" s="1882"/>
      <c r="ETZ27" s="1887"/>
      <c r="EUA27" s="1888"/>
      <c r="EUB27" s="1882"/>
      <c r="EUC27" s="1882"/>
      <c r="EUD27" s="1882"/>
      <c r="EUF27" s="1887"/>
      <c r="EUG27" s="1888"/>
      <c r="EUH27" s="1882"/>
      <c r="EUI27" s="1882"/>
      <c r="EUJ27" s="1882"/>
      <c r="EUL27" s="1887"/>
      <c r="EUM27" s="1888"/>
      <c r="EUN27" s="1882"/>
      <c r="EUO27" s="1882"/>
      <c r="EUP27" s="1882"/>
      <c r="EUR27" s="1887"/>
      <c r="EUS27" s="1888"/>
      <c r="EUT27" s="1882"/>
      <c r="EUU27" s="1882"/>
      <c r="EUV27" s="1882"/>
      <c r="EUX27" s="1887"/>
      <c r="EUY27" s="1888"/>
      <c r="EUZ27" s="1882"/>
      <c r="EVA27" s="1882"/>
      <c r="EVB27" s="1882"/>
      <c r="EVD27" s="1887"/>
      <c r="EVE27" s="1888"/>
      <c r="EVF27" s="1882"/>
      <c r="EVG27" s="1882"/>
      <c r="EVH27" s="1882"/>
      <c r="EVJ27" s="1887"/>
      <c r="EVK27" s="1888"/>
      <c r="EVL27" s="1882"/>
      <c r="EVM27" s="1882"/>
      <c r="EVN27" s="1882"/>
      <c r="EVP27" s="1887"/>
      <c r="EVQ27" s="1888"/>
      <c r="EVR27" s="1882"/>
      <c r="EVS27" s="1882"/>
      <c r="EVT27" s="1882"/>
      <c r="EVV27" s="1887"/>
      <c r="EVW27" s="1888"/>
      <c r="EVX27" s="1882"/>
      <c r="EVY27" s="1882"/>
      <c r="EVZ27" s="1882"/>
      <c r="EWB27" s="1887"/>
      <c r="EWC27" s="1888"/>
      <c r="EWD27" s="1882"/>
      <c r="EWE27" s="1882"/>
      <c r="EWF27" s="1882"/>
      <c r="EWH27" s="1887"/>
      <c r="EWI27" s="1888"/>
      <c r="EWJ27" s="1882"/>
      <c r="EWK27" s="1882"/>
      <c r="EWL27" s="1882"/>
      <c r="EWN27" s="1887"/>
      <c r="EWO27" s="1888"/>
      <c r="EWP27" s="1882"/>
      <c r="EWQ27" s="1882"/>
      <c r="EWR27" s="1882"/>
      <c r="EWT27" s="1887"/>
      <c r="EWU27" s="1888"/>
      <c r="EWV27" s="1882"/>
      <c r="EWW27" s="1882"/>
      <c r="EWX27" s="1882"/>
      <c r="EWZ27" s="1887"/>
      <c r="EXA27" s="1888"/>
      <c r="EXB27" s="1882"/>
      <c r="EXC27" s="1882"/>
      <c r="EXD27" s="1882"/>
      <c r="EXF27" s="1887"/>
      <c r="EXG27" s="1888"/>
      <c r="EXH27" s="1882"/>
      <c r="EXI27" s="1882"/>
      <c r="EXJ27" s="1882"/>
      <c r="EXL27" s="1887"/>
      <c r="EXM27" s="1888"/>
      <c r="EXN27" s="1882"/>
      <c r="EXO27" s="1882"/>
      <c r="EXP27" s="1882"/>
      <c r="EXR27" s="1887"/>
      <c r="EXS27" s="1888"/>
      <c r="EXT27" s="1882"/>
      <c r="EXU27" s="1882"/>
      <c r="EXV27" s="1882"/>
      <c r="EXX27" s="1887"/>
      <c r="EXY27" s="1888"/>
      <c r="EXZ27" s="1882"/>
      <c r="EYA27" s="1882"/>
      <c r="EYB27" s="1882"/>
      <c r="EYD27" s="1887"/>
      <c r="EYE27" s="1888"/>
      <c r="EYF27" s="1882"/>
      <c r="EYG27" s="1882"/>
      <c r="EYH27" s="1882"/>
      <c r="EYJ27" s="1887"/>
      <c r="EYK27" s="1888"/>
      <c r="EYL27" s="1882"/>
      <c r="EYM27" s="1882"/>
      <c r="EYN27" s="1882"/>
      <c r="EYP27" s="1887"/>
      <c r="EYQ27" s="1888"/>
      <c r="EYR27" s="1882"/>
      <c r="EYS27" s="1882"/>
      <c r="EYT27" s="1882"/>
      <c r="EYV27" s="1887"/>
      <c r="EYW27" s="1888"/>
      <c r="EYX27" s="1882"/>
      <c r="EYY27" s="1882"/>
      <c r="EYZ27" s="1882"/>
      <c r="EZB27" s="1887"/>
      <c r="EZC27" s="1888"/>
      <c r="EZD27" s="1882"/>
      <c r="EZE27" s="1882"/>
      <c r="EZF27" s="1882"/>
      <c r="EZH27" s="1887"/>
      <c r="EZI27" s="1888"/>
      <c r="EZJ27" s="1882"/>
      <c r="EZK27" s="1882"/>
      <c r="EZL27" s="1882"/>
      <c r="EZN27" s="1887"/>
      <c r="EZO27" s="1888"/>
      <c r="EZP27" s="1882"/>
      <c r="EZQ27" s="1882"/>
      <c r="EZR27" s="1882"/>
      <c r="EZT27" s="1887"/>
      <c r="EZU27" s="1888"/>
      <c r="EZV27" s="1882"/>
      <c r="EZW27" s="1882"/>
      <c r="EZX27" s="1882"/>
      <c r="EZZ27" s="1887"/>
      <c r="FAA27" s="1888"/>
      <c r="FAB27" s="1882"/>
      <c r="FAC27" s="1882"/>
      <c r="FAD27" s="1882"/>
      <c r="FAF27" s="1887"/>
      <c r="FAG27" s="1888"/>
      <c r="FAH27" s="1882"/>
      <c r="FAI27" s="1882"/>
      <c r="FAJ27" s="1882"/>
      <c r="FAL27" s="1887"/>
      <c r="FAM27" s="1888"/>
      <c r="FAN27" s="1882"/>
      <c r="FAO27" s="1882"/>
      <c r="FAP27" s="1882"/>
      <c r="FAR27" s="1887"/>
      <c r="FAS27" s="1888"/>
      <c r="FAT27" s="1882"/>
      <c r="FAU27" s="1882"/>
      <c r="FAV27" s="1882"/>
      <c r="FAX27" s="1887"/>
      <c r="FAY27" s="1888"/>
      <c r="FAZ27" s="1882"/>
      <c r="FBA27" s="1882"/>
      <c r="FBB27" s="1882"/>
      <c r="FBD27" s="1887"/>
      <c r="FBE27" s="1888"/>
      <c r="FBF27" s="1882"/>
      <c r="FBG27" s="1882"/>
      <c r="FBH27" s="1882"/>
      <c r="FBJ27" s="1887"/>
      <c r="FBK27" s="1888"/>
      <c r="FBL27" s="1882"/>
      <c r="FBM27" s="1882"/>
      <c r="FBN27" s="1882"/>
      <c r="FBP27" s="1887"/>
      <c r="FBQ27" s="1888"/>
      <c r="FBR27" s="1882"/>
      <c r="FBS27" s="1882"/>
      <c r="FBT27" s="1882"/>
      <c r="FBV27" s="1887"/>
      <c r="FBW27" s="1888"/>
      <c r="FBX27" s="1882"/>
      <c r="FBY27" s="1882"/>
      <c r="FBZ27" s="1882"/>
      <c r="FCB27" s="1887"/>
      <c r="FCC27" s="1888"/>
      <c r="FCD27" s="1882"/>
      <c r="FCE27" s="1882"/>
      <c r="FCF27" s="1882"/>
      <c r="FCH27" s="1887"/>
      <c r="FCI27" s="1888"/>
      <c r="FCJ27" s="1882"/>
      <c r="FCK27" s="1882"/>
      <c r="FCL27" s="1882"/>
      <c r="FCN27" s="1887"/>
      <c r="FCO27" s="1888"/>
      <c r="FCP27" s="1882"/>
      <c r="FCQ27" s="1882"/>
      <c r="FCR27" s="1882"/>
      <c r="FCT27" s="1887"/>
      <c r="FCU27" s="1888"/>
      <c r="FCV27" s="1882"/>
      <c r="FCW27" s="1882"/>
      <c r="FCX27" s="1882"/>
      <c r="FCZ27" s="1887"/>
      <c r="FDA27" s="1888"/>
      <c r="FDB27" s="1882"/>
      <c r="FDC27" s="1882"/>
      <c r="FDD27" s="1882"/>
      <c r="FDF27" s="1887"/>
      <c r="FDG27" s="1888"/>
      <c r="FDH27" s="1882"/>
      <c r="FDI27" s="1882"/>
      <c r="FDJ27" s="1882"/>
      <c r="FDL27" s="1887"/>
      <c r="FDM27" s="1888"/>
      <c r="FDN27" s="1882"/>
      <c r="FDO27" s="1882"/>
      <c r="FDP27" s="1882"/>
      <c r="FDR27" s="1887"/>
      <c r="FDS27" s="1888"/>
      <c r="FDT27" s="1882"/>
      <c r="FDU27" s="1882"/>
      <c r="FDV27" s="1882"/>
      <c r="FDX27" s="1887"/>
      <c r="FDY27" s="1888"/>
      <c r="FDZ27" s="1882"/>
      <c r="FEA27" s="1882"/>
      <c r="FEB27" s="1882"/>
      <c r="FED27" s="1887"/>
      <c r="FEE27" s="1888"/>
      <c r="FEF27" s="1882"/>
      <c r="FEG27" s="1882"/>
      <c r="FEH27" s="1882"/>
      <c r="FEJ27" s="1887"/>
      <c r="FEK27" s="1888"/>
      <c r="FEL27" s="1882"/>
      <c r="FEM27" s="1882"/>
      <c r="FEN27" s="1882"/>
      <c r="FEP27" s="1887"/>
      <c r="FEQ27" s="1888"/>
      <c r="FER27" s="1882"/>
      <c r="FES27" s="1882"/>
      <c r="FET27" s="1882"/>
      <c r="FEV27" s="1887"/>
      <c r="FEW27" s="1888"/>
      <c r="FEX27" s="1882"/>
      <c r="FEY27" s="1882"/>
      <c r="FEZ27" s="1882"/>
      <c r="FFB27" s="1887"/>
      <c r="FFC27" s="1888"/>
      <c r="FFD27" s="1882"/>
      <c r="FFE27" s="1882"/>
      <c r="FFF27" s="1882"/>
      <c r="FFH27" s="1887"/>
      <c r="FFI27" s="1888"/>
      <c r="FFJ27" s="1882"/>
      <c r="FFK27" s="1882"/>
      <c r="FFL27" s="1882"/>
      <c r="FFN27" s="1887"/>
      <c r="FFO27" s="1888"/>
      <c r="FFP27" s="1882"/>
      <c r="FFQ27" s="1882"/>
      <c r="FFR27" s="1882"/>
      <c r="FFT27" s="1887"/>
      <c r="FFU27" s="1888"/>
      <c r="FFV27" s="1882"/>
      <c r="FFW27" s="1882"/>
      <c r="FFX27" s="1882"/>
      <c r="FFZ27" s="1887"/>
      <c r="FGA27" s="1888"/>
      <c r="FGB27" s="1882"/>
      <c r="FGC27" s="1882"/>
      <c r="FGD27" s="1882"/>
      <c r="FGF27" s="1887"/>
      <c r="FGG27" s="1888"/>
      <c r="FGH27" s="1882"/>
      <c r="FGI27" s="1882"/>
      <c r="FGJ27" s="1882"/>
      <c r="FGL27" s="1887"/>
      <c r="FGM27" s="1888"/>
      <c r="FGN27" s="1882"/>
      <c r="FGO27" s="1882"/>
      <c r="FGP27" s="1882"/>
      <c r="FGR27" s="1887"/>
      <c r="FGS27" s="1888"/>
      <c r="FGT27" s="1882"/>
      <c r="FGU27" s="1882"/>
      <c r="FGV27" s="1882"/>
      <c r="FGX27" s="1887"/>
      <c r="FGY27" s="1888"/>
      <c r="FGZ27" s="1882"/>
      <c r="FHA27" s="1882"/>
      <c r="FHB27" s="1882"/>
      <c r="FHD27" s="1887"/>
      <c r="FHE27" s="1888"/>
      <c r="FHF27" s="1882"/>
      <c r="FHG27" s="1882"/>
      <c r="FHH27" s="1882"/>
      <c r="FHJ27" s="1887"/>
      <c r="FHK27" s="1888"/>
      <c r="FHL27" s="1882"/>
      <c r="FHM27" s="1882"/>
      <c r="FHN27" s="1882"/>
      <c r="FHP27" s="1887"/>
      <c r="FHQ27" s="1888"/>
      <c r="FHR27" s="1882"/>
      <c r="FHS27" s="1882"/>
      <c r="FHT27" s="1882"/>
      <c r="FHV27" s="1887"/>
      <c r="FHW27" s="1888"/>
      <c r="FHX27" s="1882"/>
      <c r="FHY27" s="1882"/>
      <c r="FHZ27" s="1882"/>
      <c r="FIB27" s="1887"/>
      <c r="FIC27" s="1888"/>
      <c r="FID27" s="1882"/>
      <c r="FIE27" s="1882"/>
      <c r="FIF27" s="1882"/>
      <c r="FIH27" s="1887"/>
      <c r="FII27" s="1888"/>
      <c r="FIJ27" s="1882"/>
      <c r="FIK27" s="1882"/>
      <c r="FIL27" s="1882"/>
      <c r="FIN27" s="1887"/>
      <c r="FIO27" s="1888"/>
      <c r="FIP27" s="1882"/>
      <c r="FIQ27" s="1882"/>
      <c r="FIR27" s="1882"/>
      <c r="FIT27" s="1887"/>
      <c r="FIU27" s="1888"/>
      <c r="FIV27" s="1882"/>
      <c r="FIW27" s="1882"/>
      <c r="FIX27" s="1882"/>
      <c r="FIZ27" s="1887"/>
      <c r="FJA27" s="1888"/>
      <c r="FJB27" s="1882"/>
      <c r="FJC27" s="1882"/>
      <c r="FJD27" s="1882"/>
      <c r="FJF27" s="1887"/>
      <c r="FJG27" s="1888"/>
      <c r="FJH27" s="1882"/>
      <c r="FJI27" s="1882"/>
      <c r="FJJ27" s="1882"/>
      <c r="FJL27" s="1887"/>
      <c r="FJM27" s="1888"/>
      <c r="FJN27" s="1882"/>
      <c r="FJO27" s="1882"/>
      <c r="FJP27" s="1882"/>
      <c r="FJR27" s="1887"/>
      <c r="FJS27" s="1888"/>
      <c r="FJT27" s="1882"/>
      <c r="FJU27" s="1882"/>
      <c r="FJV27" s="1882"/>
      <c r="FJX27" s="1887"/>
      <c r="FJY27" s="1888"/>
      <c r="FJZ27" s="1882"/>
      <c r="FKA27" s="1882"/>
      <c r="FKB27" s="1882"/>
      <c r="FKD27" s="1887"/>
      <c r="FKE27" s="1888"/>
      <c r="FKF27" s="1882"/>
      <c r="FKG27" s="1882"/>
      <c r="FKH27" s="1882"/>
      <c r="FKJ27" s="1887"/>
      <c r="FKK27" s="1888"/>
      <c r="FKL27" s="1882"/>
      <c r="FKM27" s="1882"/>
      <c r="FKN27" s="1882"/>
      <c r="FKP27" s="1887"/>
      <c r="FKQ27" s="1888"/>
      <c r="FKR27" s="1882"/>
      <c r="FKS27" s="1882"/>
      <c r="FKT27" s="1882"/>
      <c r="FKV27" s="1887"/>
      <c r="FKW27" s="1888"/>
      <c r="FKX27" s="1882"/>
      <c r="FKY27" s="1882"/>
      <c r="FKZ27" s="1882"/>
      <c r="FLB27" s="1887"/>
      <c r="FLC27" s="1888"/>
      <c r="FLD27" s="1882"/>
      <c r="FLE27" s="1882"/>
      <c r="FLF27" s="1882"/>
      <c r="FLH27" s="1887"/>
      <c r="FLI27" s="1888"/>
      <c r="FLJ27" s="1882"/>
      <c r="FLK27" s="1882"/>
      <c r="FLL27" s="1882"/>
      <c r="FLN27" s="1887"/>
      <c r="FLO27" s="1888"/>
      <c r="FLP27" s="1882"/>
      <c r="FLQ27" s="1882"/>
      <c r="FLR27" s="1882"/>
      <c r="FLT27" s="1887"/>
      <c r="FLU27" s="1888"/>
      <c r="FLV27" s="1882"/>
      <c r="FLW27" s="1882"/>
      <c r="FLX27" s="1882"/>
      <c r="FLZ27" s="1887"/>
      <c r="FMA27" s="1888"/>
      <c r="FMB27" s="1882"/>
      <c r="FMC27" s="1882"/>
      <c r="FMD27" s="1882"/>
      <c r="FMF27" s="1887"/>
      <c r="FMG27" s="1888"/>
      <c r="FMH27" s="1882"/>
      <c r="FMI27" s="1882"/>
      <c r="FMJ27" s="1882"/>
      <c r="FML27" s="1887"/>
      <c r="FMM27" s="1888"/>
      <c r="FMN27" s="1882"/>
      <c r="FMO27" s="1882"/>
      <c r="FMP27" s="1882"/>
      <c r="FMR27" s="1887"/>
      <c r="FMS27" s="1888"/>
      <c r="FMT27" s="1882"/>
      <c r="FMU27" s="1882"/>
      <c r="FMV27" s="1882"/>
      <c r="FMX27" s="1887"/>
      <c r="FMY27" s="1888"/>
      <c r="FMZ27" s="1882"/>
      <c r="FNA27" s="1882"/>
      <c r="FNB27" s="1882"/>
      <c r="FND27" s="1887"/>
      <c r="FNE27" s="1888"/>
      <c r="FNF27" s="1882"/>
      <c r="FNG27" s="1882"/>
      <c r="FNH27" s="1882"/>
      <c r="FNJ27" s="1887"/>
      <c r="FNK27" s="1888"/>
      <c r="FNL27" s="1882"/>
      <c r="FNM27" s="1882"/>
      <c r="FNN27" s="1882"/>
      <c r="FNP27" s="1887"/>
      <c r="FNQ27" s="1888"/>
      <c r="FNR27" s="1882"/>
      <c r="FNS27" s="1882"/>
      <c r="FNT27" s="1882"/>
      <c r="FNV27" s="1887"/>
      <c r="FNW27" s="1888"/>
      <c r="FNX27" s="1882"/>
      <c r="FNY27" s="1882"/>
      <c r="FNZ27" s="1882"/>
      <c r="FOB27" s="1887"/>
      <c r="FOC27" s="1888"/>
      <c r="FOD27" s="1882"/>
      <c r="FOE27" s="1882"/>
      <c r="FOF27" s="1882"/>
      <c r="FOH27" s="1887"/>
      <c r="FOI27" s="1888"/>
      <c r="FOJ27" s="1882"/>
      <c r="FOK27" s="1882"/>
      <c r="FOL27" s="1882"/>
      <c r="FON27" s="1887"/>
      <c r="FOO27" s="1888"/>
      <c r="FOP27" s="1882"/>
      <c r="FOQ27" s="1882"/>
      <c r="FOR27" s="1882"/>
      <c r="FOT27" s="1887"/>
      <c r="FOU27" s="1888"/>
      <c r="FOV27" s="1882"/>
      <c r="FOW27" s="1882"/>
      <c r="FOX27" s="1882"/>
      <c r="FOZ27" s="1887"/>
      <c r="FPA27" s="1888"/>
      <c r="FPB27" s="1882"/>
      <c r="FPC27" s="1882"/>
      <c r="FPD27" s="1882"/>
      <c r="FPF27" s="1887"/>
      <c r="FPG27" s="1888"/>
      <c r="FPH27" s="1882"/>
      <c r="FPI27" s="1882"/>
      <c r="FPJ27" s="1882"/>
      <c r="FPL27" s="1887"/>
      <c r="FPM27" s="1888"/>
      <c r="FPN27" s="1882"/>
      <c r="FPO27" s="1882"/>
      <c r="FPP27" s="1882"/>
      <c r="FPR27" s="1887"/>
      <c r="FPS27" s="1888"/>
      <c r="FPT27" s="1882"/>
      <c r="FPU27" s="1882"/>
      <c r="FPV27" s="1882"/>
      <c r="FPX27" s="1887"/>
      <c r="FPY27" s="1888"/>
      <c r="FPZ27" s="1882"/>
      <c r="FQA27" s="1882"/>
      <c r="FQB27" s="1882"/>
      <c r="FQD27" s="1887"/>
      <c r="FQE27" s="1888"/>
      <c r="FQF27" s="1882"/>
      <c r="FQG27" s="1882"/>
      <c r="FQH27" s="1882"/>
      <c r="FQJ27" s="1887"/>
      <c r="FQK27" s="1888"/>
      <c r="FQL27" s="1882"/>
      <c r="FQM27" s="1882"/>
      <c r="FQN27" s="1882"/>
      <c r="FQP27" s="1887"/>
      <c r="FQQ27" s="1888"/>
      <c r="FQR27" s="1882"/>
      <c r="FQS27" s="1882"/>
      <c r="FQT27" s="1882"/>
      <c r="FQV27" s="1887"/>
      <c r="FQW27" s="1888"/>
      <c r="FQX27" s="1882"/>
      <c r="FQY27" s="1882"/>
      <c r="FQZ27" s="1882"/>
      <c r="FRB27" s="1887"/>
      <c r="FRC27" s="1888"/>
      <c r="FRD27" s="1882"/>
      <c r="FRE27" s="1882"/>
      <c r="FRF27" s="1882"/>
      <c r="FRH27" s="1887"/>
      <c r="FRI27" s="1888"/>
      <c r="FRJ27" s="1882"/>
      <c r="FRK27" s="1882"/>
      <c r="FRL27" s="1882"/>
      <c r="FRN27" s="1887"/>
      <c r="FRO27" s="1888"/>
      <c r="FRP27" s="1882"/>
      <c r="FRQ27" s="1882"/>
      <c r="FRR27" s="1882"/>
      <c r="FRT27" s="1887"/>
      <c r="FRU27" s="1888"/>
      <c r="FRV27" s="1882"/>
      <c r="FRW27" s="1882"/>
      <c r="FRX27" s="1882"/>
      <c r="FRZ27" s="1887"/>
      <c r="FSA27" s="1888"/>
      <c r="FSB27" s="1882"/>
      <c r="FSC27" s="1882"/>
      <c r="FSD27" s="1882"/>
      <c r="FSF27" s="1887"/>
      <c r="FSG27" s="1888"/>
      <c r="FSH27" s="1882"/>
      <c r="FSI27" s="1882"/>
      <c r="FSJ27" s="1882"/>
      <c r="FSL27" s="1887"/>
      <c r="FSM27" s="1888"/>
      <c r="FSN27" s="1882"/>
      <c r="FSO27" s="1882"/>
      <c r="FSP27" s="1882"/>
      <c r="FSR27" s="1887"/>
      <c r="FSS27" s="1888"/>
      <c r="FST27" s="1882"/>
      <c r="FSU27" s="1882"/>
      <c r="FSV27" s="1882"/>
      <c r="FSX27" s="1887"/>
      <c r="FSY27" s="1888"/>
      <c r="FSZ27" s="1882"/>
      <c r="FTA27" s="1882"/>
      <c r="FTB27" s="1882"/>
      <c r="FTD27" s="1887"/>
      <c r="FTE27" s="1888"/>
      <c r="FTF27" s="1882"/>
      <c r="FTG27" s="1882"/>
      <c r="FTH27" s="1882"/>
      <c r="FTJ27" s="1887"/>
      <c r="FTK27" s="1888"/>
      <c r="FTL27" s="1882"/>
      <c r="FTM27" s="1882"/>
      <c r="FTN27" s="1882"/>
      <c r="FTP27" s="1887"/>
      <c r="FTQ27" s="1888"/>
      <c r="FTR27" s="1882"/>
      <c r="FTS27" s="1882"/>
      <c r="FTT27" s="1882"/>
      <c r="FTV27" s="1887"/>
      <c r="FTW27" s="1888"/>
      <c r="FTX27" s="1882"/>
      <c r="FTY27" s="1882"/>
      <c r="FTZ27" s="1882"/>
      <c r="FUB27" s="1887"/>
      <c r="FUC27" s="1888"/>
      <c r="FUD27" s="1882"/>
      <c r="FUE27" s="1882"/>
      <c r="FUF27" s="1882"/>
      <c r="FUH27" s="1887"/>
      <c r="FUI27" s="1888"/>
      <c r="FUJ27" s="1882"/>
      <c r="FUK27" s="1882"/>
      <c r="FUL27" s="1882"/>
      <c r="FUN27" s="1887"/>
      <c r="FUO27" s="1888"/>
      <c r="FUP27" s="1882"/>
      <c r="FUQ27" s="1882"/>
      <c r="FUR27" s="1882"/>
      <c r="FUT27" s="1887"/>
      <c r="FUU27" s="1888"/>
      <c r="FUV27" s="1882"/>
      <c r="FUW27" s="1882"/>
      <c r="FUX27" s="1882"/>
      <c r="FUZ27" s="1887"/>
      <c r="FVA27" s="1888"/>
      <c r="FVB27" s="1882"/>
      <c r="FVC27" s="1882"/>
      <c r="FVD27" s="1882"/>
      <c r="FVF27" s="1887"/>
      <c r="FVG27" s="1888"/>
      <c r="FVH27" s="1882"/>
      <c r="FVI27" s="1882"/>
      <c r="FVJ27" s="1882"/>
      <c r="FVL27" s="1887"/>
      <c r="FVM27" s="1888"/>
      <c r="FVN27" s="1882"/>
      <c r="FVO27" s="1882"/>
      <c r="FVP27" s="1882"/>
      <c r="FVR27" s="1887"/>
      <c r="FVS27" s="1888"/>
      <c r="FVT27" s="1882"/>
      <c r="FVU27" s="1882"/>
      <c r="FVV27" s="1882"/>
      <c r="FVX27" s="1887"/>
      <c r="FVY27" s="1888"/>
      <c r="FVZ27" s="1882"/>
      <c r="FWA27" s="1882"/>
      <c r="FWB27" s="1882"/>
      <c r="FWD27" s="1887"/>
      <c r="FWE27" s="1888"/>
      <c r="FWF27" s="1882"/>
      <c r="FWG27" s="1882"/>
      <c r="FWH27" s="1882"/>
      <c r="FWJ27" s="1887"/>
      <c r="FWK27" s="1888"/>
      <c r="FWL27" s="1882"/>
      <c r="FWM27" s="1882"/>
      <c r="FWN27" s="1882"/>
      <c r="FWP27" s="1887"/>
      <c r="FWQ27" s="1888"/>
      <c r="FWR27" s="1882"/>
      <c r="FWS27" s="1882"/>
      <c r="FWT27" s="1882"/>
      <c r="FWV27" s="1887"/>
      <c r="FWW27" s="1888"/>
      <c r="FWX27" s="1882"/>
      <c r="FWY27" s="1882"/>
      <c r="FWZ27" s="1882"/>
      <c r="FXB27" s="1887"/>
      <c r="FXC27" s="1888"/>
      <c r="FXD27" s="1882"/>
      <c r="FXE27" s="1882"/>
      <c r="FXF27" s="1882"/>
      <c r="FXH27" s="1887"/>
      <c r="FXI27" s="1888"/>
      <c r="FXJ27" s="1882"/>
      <c r="FXK27" s="1882"/>
      <c r="FXL27" s="1882"/>
      <c r="FXN27" s="1887"/>
      <c r="FXO27" s="1888"/>
      <c r="FXP27" s="1882"/>
      <c r="FXQ27" s="1882"/>
      <c r="FXR27" s="1882"/>
      <c r="FXT27" s="1887"/>
      <c r="FXU27" s="1888"/>
      <c r="FXV27" s="1882"/>
      <c r="FXW27" s="1882"/>
      <c r="FXX27" s="1882"/>
      <c r="FXZ27" s="1887"/>
      <c r="FYA27" s="1888"/>
      <c r="FYB27" s="1882"/>
      <c r="FYC27" s="1882"/>
      <c r="FYD27" s="1882"/>
      <c r="FYF27" s="1887"/>
      <c r="FYG27" s="1888"/>
      <c r="FYH27" s="1882"/>
      <c r="FYI27" s="1882"/>
      <c r="FYJ27" s="1882"/>
      <c r="FYL27" s="1887"/>
      <c r="FYM27" s="1888"/>
      <c r="FYN27" s="1882"/>
      <c r="FYO27" s="1882"/>
      <c r="FYP27" s="1882"/>
      <c r="FYR27" s="1887"/>
      <c r="FYS27" s="1888"/>
      <c r="FYT27" s="1882"/>
      <c r="FYU27" s="1882"/>
      <c r="FYV27" s="1882"/>
      <c r="FYX27" s="1887"/>
      <c r="FYY27" s="1888"/>
      <c r="FYZ27" s="1882"/>
      <c r="FZA27" s="1882"/>
      <c r="FZB27" s="1882"/>
      <c r="FZD27" s="1887"/>
      <c r="FZE27" s="1888"/>
      <c r="FZF27" s="1882"/>
      <c r="FZG27" s="1882"/>
      <c r="FZH27" s="1882"/>
      <c r="FZJ27" s="1887"/>
      <c r="FZK27" s="1888"/>
      <c r="FZL27" s="1882"/>
      <c r="FZM27" s="1882"/>
      <c r="FZN27" s="1882"/>
      <c r="FZP27" s="1887"/>
      <c r="FZQ27" s="1888"/>
      <c r="FZR27" s="1882"/>
      <c r="FZS27" s="1882"/>
      <c r="FZT27" s="1882"/>
      <c r="FZV27" s="1887"/>
      <c r="FZW27" s="1888"/>
      <c r="FZX27" s="1882"/>
      <c r="FZY27" s="1882"/>
      <c r="FZZ27" s="1882"/>
      <c r="GAB27" s="1887"/>
      <c r="GAC27" s="1888"/>
      <c r="GAD27" s="1882"/>
      <c r="GAE27" s="1882"/>
      <c r="GAF27" s="1882"/>
      <c r="GAH27" s="1887"/>
      <c r="GAI27" s="1888"/>
      <c r="GAJ27" s="1882"/>
      <c r="GAK27" s="1882"/>
      <c r="GAL27" s="1882"/>
      <c r="GAN27" s="1887"/>
      <c r="GAO27" s="1888"/>
      <c r="GAP27" s="1882"/>
      <c r="GAQ27" s="1882"/>
      <c r="GAR27" s="1882"/>
      <c r="GAT27" s="1887"/>
      <c r="GAU27" s="1888"/>
      <c r="GAV27" s="1882"/>
      <c r="GAW27" s="1882"/>
      <c r="GAX27" s="1882"/>
      <c r="GAZ27" s="1887"/>
      <c r="GBA27" s="1888"/>
      <c r="GBB27" s="1882"/>
      <c r="GBC27" s="1882"/>
      <c r="GBD27" s="1882"/>
      <c r="GBF27" s="1887"/>
      <c r="GBG27" s="1888"/>
      <c r="GBH27" s="1882"/>
      <c r="GBI27" s="1882"/>
      <c r="GBJ27" s="1882"/>
      <c r="GBL27" s="1887"/>
      <c r="GBM27" s="1888"/>
      <c r="GBN27" s="1882"/>
      <c r="GBO27" s="1882"/>
      <c r="GBP27" s="1882"/>
      <c r="GBR27" s="1887"/>
      <c r="GBS27" s="1888"/>
      <c r="GBT27" s="1882"/>
      <c r="GBU27" s="1882"/>
      <c r="GBV27" s="1882"/>
      <c r="GBX27" s="1887"/>
      <c r="GBY27" s="1888"/>
      <c r="GBZ27" s="1882"/>
      <c r="GCA27" s="1882"/>
      <c r="GCB27" s="1882"/>
      <c r="GCD27" s="1887"/>
      <c r="GCE27" s="1888"/>
      <c r="GCF27" s="1882"/>
      <c r="GCG27" s="1882"/>
      <c r="GCH27" s="1882"/>
      <c r="GCJ27" s="1887"/>
      <c r="GCK27" s="1888"/>
      <c r="GCL27" s="1882"/>
      <c r="GCM27" s="1882"/>
      <c r="GCN27" s="1882"/>
      <c r="GCP27" s="1887"/>
      <c r="GCQ27" s="1888"/>
      <c r="GCR27" s="1882"/>
      <c r="GCS27" s="1882"/>
      <c r="GCT27" s="1882"/>
      <c r="GCV27" s="1887"/>
      <c r="GCW27" s="1888"/>
      <c r="GCX27" s="1882"/>
      <c r="GCY27" s="1882"/>
      <c r="GCZ27" s="1882"/>
      <c r="GDB27" s="1887"/>
      <c r="GDC27" s="1888"/>
      <c r="GDD27" s="1882"/>
      <c r="GDE27" s="1882"/>
      <c r="GDF27" s="1882"/>
      <c r="GDH27" s="1887"/>
      <c r="GDI27" s="1888"/>
      <c r="GDJ27" s="1882"/>
      <c r="GDK27" s="1882"/>
      <c r="GDL27" s="1882"/>
      <c r="GDN27" s="1887"/>
      <c r="GDO27" s="1888"/>
      <c r="GDP27" s="1882"/>
      <c r="GDQ27" s="1882"/>
      <c r="GDR27" s="1882"/>
      <c r="GDT27" s="1887"/>
      <c r="GDU27" s="1888"/>
      <c r="GDV27" s="1882"/>
      <c r="GDW27" s="1882"/>
      <c r="GDX27" s="1882"/>
      <c r="GDZ27" s="1887"/>
      <c r="GEA27" s="1888"/>
      <c r="GEB27" s="1882"/>
      <c r="GEC27" s="1882"/>
      <c r="GED27" s="1882"/>
      <c r="GEF27" s="1887"/>
      <c r="GEG27" s="1888"/>
      <c r="GEH27" s="1882"/>
      <c r="GEI27" s="1882"/>
      <c r="GEJ27" s="1882"/>
      <c r="GEL27" s="1887"/>
      <c r="GEM27" s="1888"/>
      <c r="GEN27" s="1882"/>
      <c r="GEO27" s="1882"/>
      <c r="GEP27" s="1882"/>
      <c r="GER27" s="1887"/>
      <c r="GES27" s="1888"/>
      <c r="GET27" s="1882"/>
      <c r="GEU27" s="1882"/>
      <c r="GEV27" s="1882"/>
      <c r="GEX27" s="1887"/>
      <c r="GEY27" s="1888"/>
      <c r="GEZ27" s="1882"/>
      <c r="GFA27" s="1882"/>
      <c r="GFB27" s="1882"/>
      <c r="GFD27" s="1887"/>
      <c r="GFE27" s="1888"/>
      <c r="GFF27" s="1882"/>
      <c r="GFG27" s="1882"/>
      <c r="GFH27" s="1882"/>
      <c r="GFJ27" s="1887"/>
      <c r="GFK27" s="1888"/>
      <c r="GFL27" s="1882"/>
      <c r="GFM27" s="1882"/>
      <c r="GFN27" s="1882"/>
      <c r="GFP27" s="1887"/>
      <c r="GFQ27" s="1888"/>
      <c r="GFR27" s="1882"/>
      <c r="GFS27" s="1882"/>
      <c r="GFT27" s="1882"/>
      <c r="GFV27" s="1887"/>
      <c r="GFW27" s="1888"/>
      <c r="GFX27" s="1882"/>
      <c r="GFY27" s="1882"/>
      <c r="GFZ27" s="1882"/>
      <c r="GGB27" s="1887"/>
      <c r="GGC27" s="1888"/>
      <c r="GGD27" s="1882"/>
      <c r="GGE27" s="1882"/>
      <c r="GGF27" s="1882"/>
      <c r="GGH27" s="1887"/>
      <c r="GGI27" s="1888"/>
      <c r="GGJ27" s="1882"/>
      <c r="GGK27" s="1882"/>
      <c r="GGL27" s="1882"/>
      <c r="GGN27" s="1887"/>
      <c r="GGO27" s="1888"/>
      <c r="GGP27" s="1882"/>
      <c r="GGQ27" s="1882"/>
      <c r="GGR27" s="1882"/>
      <c r="GGT27" s="1887"/>
      <c r="GGU27" s="1888"/>
      <c r="GGV27" s="1882"/>
      <c r="GGW27" s="1882"/>
      <c r="GGX27" s="1882"/>
      <c r="GGZ27" s="1887"/>
      <c r="GHA27" s="1888"/>
      <c r="GHB27" s="1882"/>
      <c r="GHC27" s="1882"/>
      <c r="GHD27" s="1882"/>
      <c r="GHF27" s="1887"/>
      <c r="GHG27" s="1888"/>
      <c r="GHH27" s="1882"/>
      <c r="GHI27" s="1882"/>
      <c r="GHJ27" s="1882"/>
      <c r="GHL27" s="1887"/>
      <c r="GHM27" s="1888"/>
      <c r="GHN27" s="1882"/>
      <c r="GHO27" s="1882"/>
      <c r="GHP27" s="1882"/>
      <c r="GHR27" s="1887"/>
      <c r="GHS27" s="1888"/>
      <c r="GHT27" s="1882"/>
      <c r="GHU27" s="1882"/>
      <c r="GHV27" s="1882"/>
      <c r="GHX27" s="1887"/>
      <c r="GHY27" s="1888"/>
      <c r="GHZ27" s="1882"/>
      <c r="GIA27" s="1882"/>
      <c r="GIB27" s="1882"/>
      <c r="GID27" s="1887"/>
      <c r="GIE27" s="1888"/>
      <c r="GIF27" s="1882"/>
      <c r="GIG27" s="1882"/>
      <c r="GIH27" s="1882"/>
      <c r="GIJ27" s="1887"/>
      <c r="GIK27" s="1888"/>
      <c r="GIL27" s="1882"/>
      <c r="GIM27" s="1882"/>
      <c r="GIN27" s="1882"/>
      <c r="GIP27" s="1887"/>
      <c r="GIQ27" s="1888"/>
      <c r="GIR27" s="1882"/>
      <c r="GIS27" s="1882"/>
      <c r="GIT27" s="1882"/>
      <c r="GIV27" s="1887"/>
      <c r="GIW27" s="1888"/>
      <c r="GIX27" s="1882"/>
      <c r="GIY27" s="1882"/>
      <c r="GIZ27" s="1882"/>
      <c r="GJB27" s="1887"/>
      <c r="GJC27" s="1888"/>
      <c r="GJD27" s="1882"/>
      <c r="GJE27" s="1882"/>
      <c r="GJF27" s="1882"/>
      <c r="GJH27" s="1887"/>
      <c r="GJI27" s="1888"/>
      <c r="GJJ27" s="1882"/>
      <c r="GJK27" s="1882"/>
      <c r="GJL27" s="1882"/>
      <c r="GJN27" s="1887"/>
      <c r="GJO27" s="1888"/>
      <c r="GJP27" s="1882"/>
      <c r="GJQ27" s="1882"/>
      <c r="GJR27" s="1882"/>
      <c r="GJT27" s="1887"/>
      <c r="GJU27" s="1888"/>
      <c r="GJV27" s="1882"/>
      <c r="GJW27" s="1882"/>
      <c r="GJX27" s="1882"/>
      <c r="GJZ27" s="1887"/>
      <c r="GKA27" s="1888"/>
      <c r="GKB27" s="1882"/>
      <c r="GKC27" s="1882"/>
      <c r="GKD27" s="1882"/>
      <c r="GKF27" s="1887"/>
      <c r="GKG27" s="1888"/>
      <c r="GKH27" s="1882"/>
      <c r="GKI27" s="1882"/>
      <c r="GKJ27" s="1882"/>
      <c r="GKL27" s="1887"/>
      <c r="GKM27" s="1888"/>
      <c r="GKN27" s="1882"/>
      <c r="GKO27" s="1882"/>
      <c r="GKP27" s="1882"/>
      <c r="GKR27" s="1887"/>
      <c r="GKS27" s="1888"/>
      <c r="GKT27" s="1882"/>
      <c r="GKU27" s="1882"/>
      <c r="GKV27" s="1882"/>
      <c r="GKX27" s="1887"/>
      <c r="GKY27" s="1888"/>
      <c r="GKZ27" s="1882"/>
      <c r="GLA27" s="1882"/>
      <c r="GLB27" s="1882"/>
      <c r="GLD27" s="1887"/>
      <c r="GLE27" s="1888"/>
      <c r="GLF27" s="1882"/>
      <c r="GLG27" s="1882"/>
      <c r="GLH27" s="1882"/>
      <c r="GLJ27" s="1887"/>
      <c r="GLK27" s="1888"/>
      <c r="GLL27" s="1882"/>
      <c r="GLM27" s="1882"/>
      <c r="GLN27" s="1882"/>
      <c r="GLP27" s="1887"/>
      <c r="GLQ27" s="1888"/>
      <c r="GLR27" s="1882"/>
      <c r="GLS27" s="1882"/>
      <c r="GLT27" s="1882"/>
      <c r="GLV27" s="1887"/>
      <c r="GLW27" s="1888"/>
      <c r="GLX27" s="1882"/>
      <c r="GLY27" s="1882"/>
      <c r="GLZ27" s="1882"/>
      <c r="GMB27" s="1887"/>
      <c r="GMC27" s="1888"/>
      <c r="GMD27" s="1882"/>
      <c r="GME27" s="1882"/>
      <c r="GMF27" s="1882"/>
      <c r="GMH27" s="1887"/>
      <c r="GMI27" s="1888"/>
      <c r="GMJ27" s="1882"/>
      <c r="GMK27" s="1882"/>
      <c r="GML27" s="1882"/>
      <c r="GMN27" s="1887"/>
      <c r="GMO27" s="1888"/>
      <c r="GMP27" s="1882"/>
      <c r="GMQ27" s="1882"/>
      <c r="GMR27" s="1882"/>
      <c r="GMT27" s="1887"/>
      <c r="GMU27" s="1888"/>
      <c r="GMV27" s="1882"/>
      <c r="GMW27" s="1882"/>
      <c r="GMX27" s="1882"/>
      <c r="GMZ27" s="1887"/>
      <c r="GNA27" s="1888"/>
      <c r="GNB27" s="1882"/>
      <c r="GNC27" s="1882"/>
      <c r="GND27" s="1882"/>
      <c r="GNF27" s="1887"/>
      <c r="GNG27" s="1888"/>
      <c r="GNH27" s="1882"/>
      <c r="GNI27" s="1882"/>
      <c r="GNJ27" s="1882"/>
      <c r="GNL27" s="1887"/>
      <c r="GNM27" s="1888"/>
      <c r="GNN27" s="1882"/>
      <c r="GNO27" s="1882"/>
      <c r="GNP27" s="1882"/>
      <c r="GNR27" s="1887"/>
      <c r="GNS27" s="1888"/>
      <c r="GNT27" s="1882"/>
      <c r="GNU27" s="1882"/>
      <c r="GNV27" s="1882"/>
      <c r="GNX27" s="1887"/>
      <c r="GNY27" s="1888"/>
      <c r="GNZ27" s="1882"/>
      <c r="GOA27" s="1882"/>
      <c r="GOB27" s="1882"/>
      <c r="GOD27" s="1887"/>
      <c r="GOE27" s="1888"/>
      <c r="GOF27" s="1882"/>
      <c r="GOG27" s="1882"/>
      <c r="GOH27" s="1882"/>
      <c r="GOJ27" s="1887"/>
      <c r="GOK27" s="1888"/>
      <c r="GOL27" s="1882"/>
      <c r="GOM27" s="1882"/>
      <c r="GON27" s="1882"/>
      <c r="GOP27" s="1887"/>
      <c r="GOQ27" s="1888"/>
      <c r="GOR27" s="1882"/>
      <c r="GOS27" s="1882"/>
      <c r="GOT27" s="1882"/>
      <c r="GOV27" s="1887"/>
      <c r="GOW27" s="1888"/>
      <c r="GOX27" s="1882"/>
      <c r="GOY27" s="1882"/>
      <c r="GOZ27" s="1882"/>
      <c r="GPB27" s="1887"/>
      <c r="GPC27" s="1888"/>
      <c r="GPD27" s="1882"/>
      <c r="GPE27" s="1882"/>
      <c r="GPF27" s="1882"/>
      <c r="GPH27" s="1887"/>
      <c r="GPI27" s="1888"/>
      <c r="GPJ27" s="1882"/>
      <c r="GPK27" s="1882"/>
      <c r="GPL27" s="1882"/>
      <c r="GPN27" s="1887"/>
      <c r="GPO27" s="1888"/>
      <c r="GPP27" s="1882"/>
      <c r="GPQ27" s="1882"/>
      <c r="GPR27" s="1882"/>
      <c r="GPT27" s="1887"/>
      <c r="GPU27" s="1888"/>
      <c r="GPV27" s="1882"/>
      <c r="GPW27" s="1882"/>
      <c r="GPX27" s="1882"/>
      <c r="GPZ27" s="1887"/>
      <c r="GQA27" s="1888"/>
      <c r="GQB27" s="1882"/>
      <c r="GQC27" s="1882"/>
      <c r="GQD27" s="1882"/>
      <c r="GQF27" s="1887"/>
      <c r="GQG27" s="1888"/>
      <c r="GQH27" s="1882"/>
      <c r="GQI27" s="1882"/>
      <c r="GQJ27" s="1882"/>
      <c r="GQL27" s="1887"/>
      <c r="GQM27" s="1888"/>
      <c r="GQN27" s="1882"/>
      <c r="GQO27" s="1882"/>
      <c r="GQP27" s="1882"/>
      <c r="GQR27" s="1887"/>
      <c r="GQS27" s="1888"/>
      <c r="GQT27" s="1882"/>
      <c r="GQU27" s="1882"/>
      <c r="GQV27" s="1882"/>
      <c r="GQX27" s="1887"/>
      <c r="GQY27" s="1888"/>
      <c r="GQZ27" s="1882"/>
      <c r="GRA27" s="1882"/>
      <c r="GRB27" s="1882"/>
      <c r="GRD27" s="1887"/>
      <c r="GRE27" s="1888"/>
      <c r="GRF27" s="1882"/>
      <c r="GRG27" s="1882"/>
      <c r="GRH27" s="1882"/>
      <c r="GRJ27" s="1887"/>
      <c r="GRK27" s="1888"/>
      <c r="GRL27" s="1882"/>
      <c r="GRM27" s="1882"/>
      <c r="GRN27" s="1882"/>
      <c r="GRP27" s="1887"/>
      <c r="GRQ27" s="1888"/>
      <c r="GRR27" s="1882"/>
      <c r="GRS27" s="1882"/>
      <c r="GRT27" s="1882"/>
      <c r="GRV27" s="1887"/>
      <c r="GRW27" s="1888"/>
      <c r="GRX27" s="1882"/>
      <c r="GRY27" s="1882"/>
      <c r="GRZ27" s="1882"/>
      <c r="GSB27" s="1887"/>
      <c r="GSC27" s="1888"/>
      <c r="GSD27" s="1882"/>
      <c r="GSE27" s="1882"/>
      <c r="GSF27" s="1882"/>
      <c r="GSH27" s="1887"/>
      <c r="GSI27" s="1888"/>
      <c r="GSJ27" s="1882"/>
      <c r="GSK27" s="1882"/>
      <c r="GSL27" s="1882"/>
      <c r="GSN27" s="1887"/>
      <c r="GSO27" s="1888"/>
      <c r="GSP27" s="1882"/>
      <c r="GSQ27" s="1882"/>
      <c r="GSR27" s="1882"/>
      <c r="GST27" s="1887"/>
      <c r="GSU27" s="1888"/>
      <c r="GSV27" s="1882"/>
      <c r="GSW27" s="1882"/>
      <c r="GSX27" s="1882"/>
      <c r="GSZ27" s="1887"/>
      <c r="GTA27" s="1888"/>
      <c r="GTB27" s="1882"/>
      <c r="GTC27" s="1882"/>
      <c r="GTD27" s="1882"/>
      <c r="GTF27" s="1887"/>
      <c r="GTG27" s="1888"/>
      <c r="GTH27" s="1882"/>
      <c r="GTI27" s="1882"/>
      <c r="GTJ27" s="1882"/>
      <c r="GTL27" s="1887"/>
      <c r="GTM27" s="1888"/>
      <c r="GTN27" s="1882"/>
      <c r="GTO27" s="1882"/>
      <c r="GTP27" s="1882"/>
      <c r="GTR27" s="1887"/>
      <c r="GTS27" s="1888"/>
      <c r="GTT27" s="1882"/>
      <c r="GTU27" s="1882"/>
      <c r="GTV27" s="1882"/>
      <c r="GTX27" s="1887"/>
      <c r="GTY27" s="1888"/>
      <c r="GTZ27" s="1882"/>
      <c r="GUA27" s="1882"/>
      <c r="GUB27" s="1882"/>
      <c r="GUD27" s="1887"/>
      <c r="GUE27" s="1888"/>
      <c r="GUF27" s="1882"/>
      <c r="GUG27" s="1882"/>
      <c r="GUH27" s="1882"/>
      <c r="GUJ27" s="1887"/>
      <c r="GUK27" s="1888"/>
      <c r="GUL27" s="1882"/>
      <c r="GUM27" s="1882"/>
      <c r="GUN27" s="1882"/>
      <c r="GUP27" s="1887"/>
      <c r="GUQ27" s="1888"/>
      <c r="GUR27" s="1882"/>
      <c r="GUS27" s="1882"/>
      <c r="GUT27" s="1882"/>
      <c r="GUV27" s="1887"/>
      <c r="GUW27" s="1888"/>
      <c r="GUX27" s="1882"/>
      <c r="GUY27" s="1882"/>
      <c r="GUZ27" s="1882"/>
      <c r="GVB27" s="1887"/>
      <c r="GVC27" s="1888"/>
      <c r="GVD27" s="1882"/>
      <c r="GVE27" s="1882"/>
      <c r="GVF27" s="1882"/>
      <c r="GVH27" s="1887"/>
      <c r="GVI27" s="1888"/>
      <c r="GVJ27" s="1882"/>
      <c r="GVK27" s="1882"/>
      <c r="GVL27" s="1882"/>
      <c r="GVN27" s="1887"/>
      <c r="GVO27" s="1888"/>
      <c r="GVP27" s="1882"/>
      <c r="GVQ27" s="1882"/>
      <c r="GVR27" s="1882"/>
      <c r="GVT27" s="1887"/>
      <c r="GVU27" s="1888"/>
      <c r="GVV27" s="1882"/>
      <c r="GVW27" s="1882"/>
      <c r="GVX27" s="1882"/>
      <c r="GVZ27" s="1887"/>
      <c r="GWA27" s="1888"/>
      <c r="GWB27" s="1882"/>
      <c r="GWC27" s="1882"/>
      <c r="GWD27" s="1882"/>
      <c r="GWF27" s="1887"/>
      <c r="GWG27" s="1888"/>
      <c r="GWH27" s="1882"/>
      <c r="GWI27" s="1882"/>
      <c r="GWJ27" s="1882"/>
      <c r="GWL27" s="1887"/>
      <c r="GWM27" s="1888"/>
      <c r="GWN27" s="1882"/>
      <c r="GWO27" s="1882"/>
      <c r="GWP27" s="1882"/>
      <c r="GWR27" s="1887"/>
      <c r="GWS27" s="1888"/>
      <c r="GWT27" s="1882"/>
      <c r="GWU27" s="1882"/>
      <c r="GWV27" s="1882"/>
      <c r="GWX27" s="1887"/>
      <c r="GWY27" s="1888"/>
      <c r="GWZ27" s="1882"/>
      <c r="GXA27" s="1882"/>
      <c r="GXB27" s="1882"/>
      <c r="GXD27" s="1887"/>
      <c r="GXE27" s="1888"/>
      <c r="GXF27" s="1882"/>
      <c r="GXG27" s="1882"/>
      <c r="GXH27" s="1882"/>
      <c r="GXJ27" s="1887"/>
      <c r="GXK27" s="1888"/>
      <c r="GXL27" s="1882"/>
      <c r="GXM27" s="1882"/>
      <c r="GXN27" s="1882"/>
      <c r="GXP27" s="1887"/>
      <c r="GXQ27" s="1888"/>
      <c r="GXR27" s="1882"/>
      <c r="GXS27" s="1882"/>
      <c r="GXT27" s="1882"/>
      <c r="GXV27" s="1887"/>
      <c r="GXW27" s="1888"/>
      <c r="GXX27" s="1882"/>
      <c r="GXY27" s="1882"/>
      <c r="GXZ27" s="1882"/>
      <c r="GYB27" s="1887"/>
      <c r="GYC27" s="1888"/>
      <c r="GYD27" s="1882"/>
      <c r="GYE27" s="1882"/>
      <c r="GYF27" s="1882"/>
      <c r="GYH27" s="1887"/>
      <c r="GYI27" s="1888"/>
      <c r="GYJ27" s="1882"/>
      <c r="GYK27" s="1882"/>
      <c r="GYL27" s="1882"/>
      <c r="GYN27" s="1887"/>
      <c r="GYO27" s="1888"/>
      <c r="GYP27" s="1882"/>
      <c r="GYQ27" s="1882"/>
      <c r="GYR27" s="1882"/>
      <c r="GYT27" s="1887"/>
      <c r="GYU27" s="1888"/>
      <c r="GYV27" s="1882"/>
      <c r="GYW27" s="1882"/>
      <c r="GYX27" s="1882"/>
      <c r="GYZ27" s="1887"/>
      <c r="GZA27" s="1888"/>
      <c r="GZB27" s="1882"/>
      <c r="GZC27" s="1882"/>
      <c r="GZD27" s="1882"/>
      <c r="GZF27" s="1887"/>
      <c r="GZG27" s="1888"/>
      <c r="GZH27" s="1882"/>
      <c r="GZI27" s="1882"/>
      <c r="GZJ27" s="1882"/>
      <c r="GZL27" s="1887"/>
      <c r="GZM27" s="1888"/>
      <c r="GZN27" s="1882"/>
      <c r="GZO27" s="1882"/>
      <c r="GZP27" s="1882"/>
      <c r="GZR27" s="1887"/>
      <c r="GZS27" s="1888"/>
      <c r="GZT27" s="1882"/>
      <c r="GZU27" s="1882"/>
      <c r="GZV27" s="1882"/>
      <c r="GZX27" s="1887"/>
      <c r="GZY27" s="1888"/>
      <c r="GZZ27" s="1882"/>
      <c r="HAA27" s="1882"/>
      <c r="HAB27" s="1882"/>
      <c r="HAD27" s="1887"/>
      <c r="HAE27" s="1888"/>
      <c r="HAF27" s="1882"/>
      <c r="HAG27" s="1882"/>
      <c r="HAH27" s="1882"/>
      <c r="HAJ27" s="1887"/>
      <c r="HAK27" s="1888"/>
      <c r="HAL27" s="1882"/>
      <c r="HAM27" s="1882"/>
      <c r="HAN27" s="1882"/>
      <c r="HAP27" s="1887"/>
      <c r="HAQ27" s="1888"/>
      <c r="HAR27" s="1882"/>
      <c r="HAS27" s="1882"/>
      <c r="HAT27" s="1882"/>
      <c r="HAV27" s="1887"/>
      <c r="HAW27" s="1888"/>
      <c r="HAX27" s="1882"/>
      <c r="HAY27" s="1882"/>
      <c r="HAZ27" s="1882"/>
      <c r="HBB27" s="1887"/>
      <c r="HBC27" s="1888"/>
      <c r="HBD27" s="1882"/>
      <c r="HBE27" s="1882"/>
      <c r="HBF27" s="1882"/>
      <c r="HBH27" s="1887"/>
      <c r="HBI27" s="1888"/>
      <c r="HBJ27" s="1882"/>
      <c r="HBK27" s="1882"/>
      <c r="HBL27" s="1882"/>
      <c r="HBN27" s="1887"/>
      <c r="HBO27" s="1888"/>
      <c r="HBP27" s="1882"/>
      <c r="HBQ27" s="1882"/>
      <c r="HBR27" s="1882"/>
      <c r="HBT27" s="1887"/>
      <c r="HBU27" s="1888"/>
      <c r="HBV27" s="1882"/>
      <c r="HBW27" s="1882"/>
      <c r="HBX27" s="1882"/>
      <c r="HBZ27" s="1887"/>
      <c r="HCA27" s="1888"/>
      <c r="HCB27" s="1882"/>
      <c r="HCC27" s="1882"/>
      <c r="HCD27" s="1882"/>
      <c r="HCF27" s="1887"/>
      <c r="HCG27" s="1888"/>
      <c r="HCH27" s="1882"/>
      <c r="HCI27" s="1882"/>
      <c r="HCJ27" s="1882"/>
      <c r="HCL27" s="1887"/>
      <c r="HCM27" s="1888"/>
      <c r="HCN27" s="1882"/>
      <c r="HCO27" s="1882"/>
      <c r="HCP27" s="1882"/>
      <c r="HCR27" s="1887"/>
      <c r="HCS27" s="1888"/>
      <c r="HCT27" s="1882"/>
      <c r="HCU27" s="1882"/>
      <c r="HCV27" s="1882"/>
      <c r="HCX27" s="1887"/>
      <c r="HCY27" s="1888"/>
      <c r="HCZ27" s="1882"/>
      <c r="HDA27" s="1882"/>
      <c r="HDB27" s="1882"/>
      <c r="HDD27" s="1887"/>
      <c r="HDE27" s="1888"/>
      <c r="HDF27" s="1882"/>
      <c r="HDG27" s="1882"/>
      <c r="HDH27" s="1882"/>
      <c r="HDJ27" s="1887"/>
      <c r="HDK27" s="1888"/>
      <c r="HDL27" s="1882"/>
      <c r="HDM27" s="1882"/>
      <c r="HDN27" s="1882"/>
      <c r="HDP27" s="1887"/>
      <c r="HDQ27" s="1888"/>
      <c r="HDR27" s="1882"/>
      <c r="HDS27" s="1882"/>
      <c r="HDT27" s="1882"/>
      <c r="HDV27" s="1887"/>
      <c r="HDW27" s="1888"/>
      <c r="HDX27" s="1882"/>
      <c r="HDY27" s="1882"/>
      <c r="HDZ27" s="1882"/>
      <c r="HEB27" s="1887"/>
      <c r="HEC27" s="1888"/>
      <c r="HED27" s="1882"/>
      <c r="HEE27" s="1882"/>
      <c r="HEF27" s="1882"/>
      <c r="HEH27" s="1887"/>
      <c r="HEI27" s="1888"/>
      <c r="HEJ27" s="1882"/>
      <c r="HEK27" s="1882"/>
      <c r="HEL27" s="1882"/>
      <c r="HEN27" s="1887"/>
      <c r="HEO27" s="1888"/>
      <c r="HEP27" s="1882"/>
      <c r="HEQ27" s="1882"/>
      <c r="HER27" s="1882"/>
      <c r="HET27" s="1887"/>
      <c r="HEU27" s="1888"/>
      <c r="HEV27" s="1882"/>
      <c r="HEW27" s="1882"/>
      <c r="HEX27" s="1882"/>
      <c r="HEZ27" s="1887"/>
      <c r="HFA27" s="1888"/>
      <c r="HFB27" s="1882"/>
      <c r="HFC27" s="1882"/>
      <c r="HFD27" s="1882"/>
      <c r="HFF27" s="1887"/>
      <c r="HFG27" s="1888"/>
      <c r="HFH27" s="1882"/>
      <c r="HFI27" s="1882"/>
      <c r="HFJ27" s="1882"/>
      <c r="HFL27" s="1887"/>
      <c r="HFM27" s="1888"/>
      <c r="HFN27" s="1882"/>
      <c r="HFO27" s="1882"/>
      <c r="HFP27" s="1882"/>
      <c r="HFR27" s="1887"/>
      <c r="HFS27" s="1888"/>
      <c r="HFT27" s="1882"/>
      <c r="HFU27" s="1882"/>
      <c r="HFV27" s="1882"/>
      <c r="HFX27" s="1887"/>
      <c r="HFY27" s="1888"/>
      <c r="HFZ27" s="1882"/>
      <c r="HGA27" s="1882"/>
      <c r="HGB27" s="1882"/>
      <c r="HGD27" s="1887"/>
      <c r="HGE27" s="1888"/>
      <c r="HGF27" s="1882"/>
      <c r="HGG27" s="1882"/>
      <c r="HGH27" s="1882"/>
      <c r="HGJ27" s="1887"/>
      <c r="HGK27" s="1888"/>
      <c r="HGL27" s="1882"/>
      <c r="HGM27" s="1882"/>
      <c r="HGN27" s="1882"/>
      <c r="HGP27" s="1887"/>
      <c r="HGQ27" s="1888"/>
      <c r="HGR27" s="1882"/>
      <c r="HGS27" s="1882"/>
      <c r="HGT27" s="1882"/>
      <c r="HGV27" s="1887"/>
      <c r="HGW27" s="1888"/>
      <c r="HGX27" s="1882"/>
      <c r="HGY27" s="1882"/>
      <c r="HGZ27" s="1882"/>
      <c r="HHB27" s="1887"/>
      <c r="HHC27" s="1888"/>
      <c r="HHD27" s="1882"/>
      <c r="HHE27" s="1882"/>
      <c r="HHF27" s="1882"/>
      <c r="HHH27" s="1887"/>
      <c r="HHI27" s="1888"/>
      <c r="HHJ27" s="1882"/>
      <c r="HHK27" s="1882"/>
      <c r="HHL27" s="1882"/>
      <c r="HHN27" s="1887"/>
      <c r="HHO27" s="1888"/>
      <c r="HHP27" s="1882"/>
      <c r="HHQ27" s="1882"/>
      <c r="HHR27" s="1882"/>
      <c r="HHT27" s="1887"/>
      <c r="HHU27" s="1888"/>
      <c r="HHV27" s="1882"/>
      <c r="HHW27" s="1882"/>
      <c r="HHX27" s="1882"/>
      <c r="HHZ27" s="1887"/>
      <c r="HIA27" s="1888"/>
      <c r="HIB27" s="1882"/>
      <c r="HIC27" s="1882"/>
      <c r="HID27" s="1882"/>
      <c r="HIF27" s="1887"/>
      <c r="HIG27" s="1888"/>
      <c r="HIH27" s="1882"/>
      <c r="HII27" s="1882"/>
      <c r="HIJ27" s="1882"/>
      <c r="HIL27" s="1887"/>
      <c r="HIM27" s="1888"/>
      <c r="HIN27" s="1882"/>
      <c r="HIO27" s="1882"/>
      <c r="HIP27" s="1882"/>
      <c r="HIR27" s="1887"/>
      <c r="HIS27" s="1888"/>
      <c r="HIT27" s="1882"/>
      <c r="HIU27" s="1882"/>
      <c r="HIV27" s="1882"/>
      <c r="HIX27" s="1887"/>
      <c r="HIY27" s="1888"/>
      <c r="HIZ27" s="1882"/>
      <c r="HJA27" s="1882"/>
      <c r="HJB27" s="1882"/>
      <c r="HJD27" s="1887"/>
      <c r="HJE27" s="1888"/>
      <c r="HJF27" s="1882"/>
      <c r="HJG27" s="1882"/>
      <c r="HJH27" s="1882"/>
      <c r="HJJ27" s="1887"/>
      <c r="HJK27" s="1888"/>
      <c r="HJL27" s="1882"/>
      <c r="HJM27" s="1882"/>
      <c r="HJN27" s="1882"/>
      <c r="HJP27" s="1887"/>
      <c r="HJQ27" s="1888"/>
      <c r="HJR27" s="1882"/>
      <c r="HJS27" s="1882"/>
      <c r="HJT27" s="1882"/>
      <c r="HJV27" s="1887"/>
      <c r="HJW27" s="1888"/>
      <c r="HJX27" s="1882"/>
      <c r="HJY27" s="1882"/>
      <c r="HJZ27" s="1882"/>
      <c r="HKB27" s="1887"/>
      <c r="HKC27" s="1888"/>
      <c r="HKD27" s="1882"/>
      <c r="HKE27" s="1882"/>
      <c r="HKF27" s="1882"/>
      <c r="HKH27" s="1887"/>
      <c r="HKI27" s="1888"/>
      <c r="HKJ27" s="1882"/>
      <c r="HKK27" s="1882"/>
      <c r="HKL27" s="1882"/>
      <c r="HKN27" s="1887"/>
      <c r="HKO27" s="1888"/>
      <c r="HKP27" s="1882"/>
      <c r="HKQ27" s="1882"/>
      <c r="HKR27" s="1882"/>
      <c r="HKT27" s="1887"/>
      <c r="HKU27" s="1888"/>
      <c r="HKV27" s="1882"/>
      <c r="HKW27" s="1882"/>
      <c r="HKX27" s="1882"/>
      <c r="HKZ27" s="1887"/>
      <c r="HLA27" s="1888"/>
      <c r="HLB27" s="1882"/>
      <c r="HLC27" s="1882"/>
      <c r="HLD27" s="1882"/>
      <c r="HLF27" s="1887"/>
      <c r="HLG27" s="1888"/>
      <c r="HLH27" s="1882"/>
      <c r="HLI27" s="1882"/>
      <c r="HLJ27" s="1882"/>
      <c r="HLL27" s="1887"/>
      <c r="HLM27" s="1888"/>
      <c r="HLN27" s="1882"/>
      <c r="HLO27" s="1882"/>
      <c r="HLP27" s="1882"/>
      <c r="HLR27" s="1887"/>
      <c r="HLS27" s="1888"/>
      <c r="HLT27" s="1882"/>
      <c r="HLU27" s="1882"/>
      <c r="HLV27" s="1882"/>
      <c r="HLX27" s="1887"/>
      <c r="HLY27" s="1888"/>
      <c r="HLZ27" s="1882"/>
      <c r="HMA27" s="1882"/>
      <c r="HMB27" s="1882"/>
      <c r="HMD27" s="1887"/>
      <c r="HME27" s="1888"/>
      <c r="HMF27" s="1882"/>
      <c r="HMG27" s="1882"/>
      <c r="HMH27" s="1882"/>
      <c r="HMJ27" s="1887"/>
      <c r="HMK27" s="1888"/>
      <c r="HML27" s="1882"/>
      <c r="HMM27" s="1882"/>
      <c r="HMN27" s="1882"/>
      <c r="HMP27" s="1887"/>
      <c r="HMQ27" s="1888"/>
      <c r="HMR27" s="1882"/>
      <c r="HMS27" s="1882"/>
      <c r="HMT27" s="1882"/>
      <c r="HMV27" s="1887"/>
      <c r="HMW27" s="1888"/>
      <c r="HMX27" s="1882"/>
      <c r="HMY27" s="1882"/>
      <c r="HMZ27" s="1882"/>
      <c r="HNB27" s="1887"/>
      <c r="HNC27" s="1888"/>
      <c r="HND27" s="1882"/>
      <c r="HNE27" s="1882"/>
      <c r="HNF27" s="1882"/>
      <c r="HNH27" s="1887"/>
      <c r="HNI27" s="1888"/>
      <c r="HNJ27" s="1882"/>
      <c r="HNK27" s="1882"/>
      <c r="HNL27" s="1882"/>
      <c r="HNN27" s="1887"/>
      <c r="HNO27" s="1888"/>
      <c r="HNP27" s="1882"/>
      <c r="HNQ27" s="1882"/>
      <c r="HNR27" s="1882"/>
      <c r="HNT27" s="1887"/>
      <c r="HNU27" s="1888"/>
      <c r="HNV27" s="1882"/>
      <c r="HNW27" s="1882"/>
      <c r="HNX27" s="1882"/>
      <c r="HNZ27" s="1887"/>
      <c r="HOA27" s="1888"/>
      <c r="HOB27" s="1882"/>
      <c r="HOC27" s="1882"/>
      <c r="HOD27" s="1882"/>
      <c r="HOF27" s="1887"/>
      <c r="HOG27" s="1888"/>
      <c r="HOH27" s="1882"/>
      <c r="HOI27" s="1882"/>
      <c r="HOJ27" s="1882"/>
      <c r="HOL27" s="1887"/>
      <c r="HOM27" s="1888"/>
      <c r="HON27" s="1882"/>
      <c r="HOO27" s="1882"/>
      <c r="HOP27" s="1882"/>
      <c r="HOR27" s="1887"/>
      <c r="HOS27" s="1888"/>
      <c r="HOT27" s="1882"/>
      <c r="HOU27" s="1882"/>
      <c r="HOV27" s="1882"/>
      <c r="HOX27" s="1887"/>
      <c r="HOY27" s="1888"/>
      <c r="HOZ27" s="1882"/>
      <c r="HPA27" s="1882"/>
      <c r="HPB27" s="1882"/>
      <c r="HPD27" s="1887"/>
      <c r="HPE27" s="1888"/>
      <c r="HPF27" s="1882"/>
      <c r="HPG27" s="1882"/>
      <c r="HPH27" s="1882"/>
      <c r="HPJ27" s="1887"/>
      <c r="HPK27" s="1888"/>
      <c r="HPL27" s="1882"/>
      <c r="HPM27" s="1882"/>
      <c r="HPN27" s="1882"/>
      <c r="HPP27" s="1887"/>
      <c r="HPQ27" s="1888"/>
      <c r="HPR27" s="1882"/>
      <c r="HPS27" s="1882"/>
      <c r="HPT27" s="1882"/>
      <c r="HPV27" s="1887"/>
      <c r="HPW27" s="1888"/>
      <c r="HPX27" s="1882"/>
      <c r="HPY27" s="1882"/>
      <c r="HPZ27" s="1882"/>
      <c r="HQB27" s="1887"/>
      <c r="HQC27" s="1888"/>
      <c r="HQD27" s="1882"/>
      <c r="HQE27" s="1882"/>
      <c r="HQF27" s="1882"/>
      <c r="HQH27" s="1887"/>
      <c r="HQI27" s="1888"/>
      <c r="HQJ27" s="1882"/>
      <c r="HQK27" s="1882"/>
      <c r="HQL27" s="1882"/>
      <c r="HQN27" s="1887"/>
      <c r="HQO27" s="1888"/>
      <c r="HQP27" s="1882"/>
      <c r="HQQ27" s="1882"/>
      <c r="HQR27" s="1882"/>
      <c r="HQT27" s="1887"/>
      <c r="HQU27" s="1888"/>
      <c r="HQV27" s="1882"/>
      <c r="HQW27" s="1882"/>
      <c r="HQX27" s="1882"/>
      <c r="HQZ27" s="1887"/>
      <c r="HRA27" s="1888"/>
      <c r="HRB27" s="1882"/>
      <c r="HRC27" s="1882"/>
      <c r="HRD27" s="1882"/>
      <c r="HRF27" s="1887"/>
      <c r="HRG27" s="1888"/>
      <c r="HRH27" s="1882"/>
      <c r="HRI27" s="1882"/>
      <c r="HRJ27" s="1882"/>
      <c r="HRL27" s="1887"/>
      <c r="HRM27" s="1888"/>
      <c r="HRN27" s="1882"/>
      <c r="HRO27" s="1882"/>
      <c r="HRP27" s="1882"/>
      <c r="HRR27" s="1887"/>
      <c r="HRS27" s="1888"/>
      <c r="HRT27" s="1882"/>
      <c r="HRU27" s="1882"/>
      <c r="HRV27" s="1882"/>
      <c r="HRX27" s="1887"/>
      <c r="HRY27" s="1888"/>
      <c r="HRZ27" s="1882"/>
      <c r="HSA27" s="1882"/>
      <c r="HSB27" s="1882"/>
      <c r="HSD27" s="1887"/>
      <c r="HSE27" s="1888"/>
      <c r="HSF27" s="1882"/>
      <c r="HSG27" s="1882"/>
      <c r="HSH27" s="1882"/>
      <c r="HSJ27" s="1887"/>
      <c r="HSK27" s="1888"/>
      <c r="HSL27" s="1882"/>
      <c r="HSM27" s="1882"/>
      <c r="HSN27" s="1882"/>
      <c r="HSP27" s="1887"/>
      <c r="HSQ27" s="1888"/>
      <c r="HSR27" s="1882"/>
      <c r="HSS27" s="1882"/>
      <c r="HST27" s="1882"/>
      <c r="HSV27" s="1887"/>
      <c r="HSW27" s="1888"/>
      <c r="HSX27" s="1882"/>
      <c r="HSY27" s="1882"/>
      <c r="HSZ27" s="1882"/>
      <c r="HTB27" s="1887"/>
      <c r="HTC27" s="1888"/>
      <c r="HTD27" s="1882"/>
      <c r="HTE27" s="1882"/>
      <c r="HTF27" s="1882"/>
      <c r="HTH27" s="1887"/>
      <c r="HTI27" s="1888"/>
      <c r="HTJ27" s="1882"/>
      <c r="HTK27" s="1882"/>
      <c r="HTL27" s="1882"/>
      <c r="HTN27" s="1887"/>
      <c r="HTO27" s="1888"/>
      <c r="HTP27" s="1882"/>
      <c r="HTQ27" s="1882"/>
      <c r="HTR27" s="1882"/>
      <c r="HTT27" s="1887"/>
      <c r="HTU27" s="1888"/>
      <c r="HTV27" s="1882"/>
      <c r="HTW27" s="1882"/>
      <c r="HTX27" s="1882"/>
      <c r="HTZ27" s="1887"/>
      <c r="HUA27" s="1888"/>
      <c r="HUB27" s="1882"/>
      <c r="HUC27" s="1882"/>
      <c r="HUD27" s="1882"/>
      <c r="HUF27" s="1887"/>
      <c r="HUG27" s="1888"/>
      <c r="HUH27" s="1882"/>
      <c r="HUI27" s="1882"/>
      <c r="HUJ27" s="1882"/>
      <c r="HUL27" s="1887"/>
      <c r="HUM27" s="1888"/>
      <c r="HUN27" s="1882"/>
      <c r="HUO27" s="1882"/>
      <c r="HUP27" s="1882"/>
      <c r="HUR27" s="1887"/>
      <c r="HUS27" s="1888"/>
      <c r="HUT27" s="1882"/>
      <c r="HUU27" s="1882"/>
      <c r="HUV27" s="1882"/>
      <c r="HUX27" s="1887"/>
      <c r="HUY27" s="1888"/>
      <c r="HUZ27" s="1882"/>
      <c r="HVA27" s="1882"/>
      <c r="HVB27" s="1882"/>
      <c r="HVD27" s="1887"/>
      <c r="HVE27" s="1888"/>
      <c r="HVF27" s="1882"/>
      <c r="HVG27" s="1882"/>
      <c r="HVH27" s="1882"/>
      <c r="HVJ27" s="1887"/>
      <c r="HVK27" s="1888"/>
      <c r="HVL27" s="1882"/>
      <c r="HVM27" s="1882"/>
      <c r="HVN27" s="1882"/>
      <c r="HVP27" s="1887"/>
      <c r="HVQ27" s="1888"/>
      <c r="HVR27" s="1882"/>
      <c r="HVS27" s="1882"/>
      <c r="HVT27" s="1882"/>
      <c r="HVV27" s="1887"/>
      <c r="HVW27" s="1888"/>
      <c r="HVX27" s="1882"/>
      <c r="HVY27" s="1882"/>
      <c r="HVZ27" s="1882"/>
      <c r="HWB27" s="1887"/>
      <c r="HWC27" s="1888"/>
      <c r="HWD27" s="1882"/>
      <c r="HWE27" s="1882"/>
      <c r="HWF27" s="1882"/>
      <c r="HWH27" s="1887"/>
      <c r="HWI27" s="1888"/>
      <c r="HWJ27" s="1882"/>
      <c r="HWK27" s="1882"/>
      <c r="HWL27" s="1882"/>
      <c r="HWN27" s="1887"/>
      <c r="HWO27" s="1888"/>
      <c r="HWP27" s="1882"/>
      <c r="HWQ27" s="1882"/>
      <c r="HWR27" s="1882"/>
      <c r="HWT27" s="1887"/>
      <c r="HWU27" s="1888"/>
      <c r="HWV27" s="1882"/>
      <c r="HWW27" s="1882"/>
      <c r="HWX27" s="1882"/>
      <c r="HWZ27" s="1887"/>
      <c r="HXA27" s="1888"/>
      <c r="HXB27" s="1882"/>
      <c r="HXC27" s="1882"/>
      <c r="HXD27" s="1882"/>
      <c r="HXF27" s="1887"/>
      <c r="HXG27" s="1888"/>
      <c r="HXH27" s="1882"/>
      <c r="HXI27" s="1882"/>
      <c r="HXJ27" s="1882"/>
      <c r="HXL27" s="1887"/>
      <c r="HXM27" s="1888"/>
      <c r="HXN27" s="1882"/>
      <c r="HXO27" s="1882"/>
      <c r="HXP27" s="1882"/>
      <c r="HXR27" s="1887"/>
      <c r="HXS27" s="1888"/>
      <c r="HXT27" s="1882"/>
      <c r="HXU27" s="1882"/>
      <c r="HXV27" s="1882"/>
      <c r="HXX27" s="1887"/>
      <c r="HXY27" s="1888"/>
      <c r="HXZ27" s="1882"/>
      <c r="HYA27" s="1882"/>
      <c r="HYB27" s="1882"/>
      <c r="HYD27" s="1887"/>
      <c r="HYE27" s="1888"/>
      <c r="HYF27" s="1882"/>
      <c r="HYG27" s="1882"/>
      <c r="HYH27" s="1882"/>
      <c r="HYJ27" s="1887"/>
      <c r="HYK27" s="1888"/>
      <c r="HYL27" s="1882"/>
      <c r="HYM27" s="1882"/>
      <c r="HYN27" s="1882"/>
      <c r="HYP27" s="1887"/>
      <c r="HYQ27" s="1888"/>
      <c r="HYR27" s="1882"/>
      <c r="HYS27" s="1882"/>
      <c r="HYT27" s="1882"/>
      <c r="HYV27" s="1887"/>
      <c r="HYW27" s="1888"/>
      <c r="HYX27" s="1882"/>
      <c r="HYY27" s="1882"/>
      <c r="HYZ27" s="1882"/>
      <c r="HZB27" s="1887"/>
      <c r="HZC27" s="1888"/>
      <c r="HZD27" s="1882"/>
      <c r="HZE27" s="1882"/>
      <c r="HZF27" s="1882"/>
      <c r="HZH27" s="1887"/>
      <c r="HZI27" s="1888"/>
      <c r="HZJ27" s="1882"/>
      <c r="HZK27" s="1882"/>
      <c r="HZL27" s="1882"/>
      <c r="HZN27" s="1887"/>
      <c r="HZO27" s="1888"/>
      <c r="HZP27" s="1882"/>
      <c r="HZQ27" s="1882"/>
      <c r="HZR27" s="1882"/>
      <c r="HZT27" s="1887"/>
      <c r="HZU27" s="1888"/>
      <c r="HZV27" s="1882"/>
      <c r="HZW27" s="1882"/>
      <c r="HZX27" s="1882"/>
      <c r="HZZ27" s="1887"/>
      <c r="IAA27" s="1888"/>
      <c r="IAB27" s="1882"/>
      <c r="IAC27" s="1882"/>
      <c r="IAD27" s="1882"/>
      <c r="IAF27" s="1887"/>
      <c r="IAG27" s="1888"/>
      <c r="IAH27" s="1882"/>
      <c r="IAI27" s="1882"/>
      <c r="IAJ27" s="1882"/>
      <c r="IAL27" s="1887"/>
      <c r="IAM27" s="1888"/>
      <c r="IAN27" s="1882"/>
      <c r="IAO27" s="1882"/>
      <c r="IAP27" s="1882"/>
      <c r="IAR27" s="1887"/>
      <c r="IAS27" s="1888"/>
      <c r="IAT27" s="1882"/>
      <c r="IAU27" s="1882"/>
      <c r="IAV27" s="1882"/>
      <c r="IAX27" s="1887"/>
      <c r="IAY27" s="1888"/>
      <c r="IAZ27" s="1882"/>
      <c r="IBA27" s="1882"/>
      <c r="IBB27" s="1882"/>
      <c r="IBD27" s="1887"/>
      <c r="IBE27" s="1888"/>
      <c r="IBF27" s="1882"/>
      <c r="IBG27" s="1882"/>
      <c r="IBH27" s="1882"/>
      <c r="IBJ27" s="1887"/>
      <c r="IBK27" s="1888"/>
      <c r="IBL27" s="1882"/>
      <c r="IBM27" s="1882"/>
      <c r="IBN27" s="1882"/>
      <c r="IBP27" s="1887"/>
      <c r="IBQ27" s="1888"/>
      <c r="IBR27" s="1882"/>
      <c r="IBS27" s="1882"/>
      <c r="IBT27" s="1882"/>
      <c r="IBV27" s="1887"/>
      <c r="IBW27" s="1888"/>
      <c r="IBX27" s="1882"/>
      <c r="IBY27" s="1882"/>
      <c r="IBZ27" s="1882"/>
      <c r="ICB27" s="1887"/>
      <c r="ICC27" s="1888"/>
      <c r="ICD27" s="1882"/>
      <c r="ICE27" s="1882"/>
      <c r="ICF27" s="1882"/>
      <c r="ICH27" s="1887"/>
      <c r="ICI27" s="1888"/>
      <c r="ICJ27" s="1882"/>
      <c r="ICK27" s="1882"/>
      <c r="ICL27" s="1882"/>
      <c r="ICN27" s="1887"/>
      <c r="ICO27" s="1888"/>
      <c r="ICP27" s="1882"/>
      <c r="ICQ27" s="1882"/>
      <c r="ICR27" s="1882"/>
      <c r="ICT27" s="1887"/>
      <c r="ICU27" s="1888"/>
      <c r="ICV27" s="1882"/>
      <c r="ICW27" s="1882"/>
      <c r="ICX27" s="1882"/>
      <c r="ICZ27" s="1887"/>
      <c r="IDA27" s="1888"/>
      <c r="IDB27" s="1882"/>
      <c r="IDC27" s="1882"/>
      <c r="IDD27" s="1882"/>
      <c r="IDF27" s="1887"/>
      <c r="IDG27" s="1888"/>
      <c r="IDH27" s="1882"/>
      <c r="IDI27" s="1882"/>
      <c r="IDJ27" s="1882"/>
      <c r="IDL27" s="1887"/>
      <c r="IDM27" s="1888"/>
      <c r="IDN27" s="1882"/>
      <c r="IDO27" s="1882"/>
      <c r="IDP27" s="1882"/>
      <c r="IDR27" s="1887"/>
      <c r="IDS27" s="1888"/>
      <c r="IDT27" s="1882"/>
      <c r="IDU27" s="1882"/>
      <c r="IDV27" s="1882"/>
      <c r="IDX27" s="1887"/>
      <c r="IDY27" s="1888"/>
      <c r="IDZ27" s="1882"/>
      <c r="IEA27" s="1882"/>
      <c r="IEB27" s="1882"/>
      <c r="IED27" s="1887"/>
      <c r="IEE27" s="1888"/>
      <c r="IEF27" s="1882"/>
      <c r="IEG27" s="1882"/>
      <c r="IEH27" s="1882"/>
      <c r="IEJ27" s="1887"/>
      <c r="IEK27" s="1888"/>
      <c r="IEL27" s="1882"/>
      <c r="IEM27" s="1882"/>
      <c r="IEN27" s="1882"/>
      <c r="IEP27" s="1887"/>
      <c r="IEQ27" s="1888"/>
      <c r="IER27" s="1882"/>
      <c r="IES27" s="1882"/>
      <c r="IET27" s="1882"/>
      <c r="IEV27" s="1887"/>
      <c r="IEW27" s="1888"/>
      <c r="IEX27" s="1882"/>
      <c r="IEY27" s="1882"/>
      <c r="IEZ27" s="1882"/>
      <c r="IFB27" s="1887"/>
      <c r="IFC27" s="1888"/>
      <c r="IFD27" s="1882"/>
      <c r="IFE27" s="1882"/>
      <c r="IFF27" s="1882"/>
      <c r="IFH27" s="1887"/>
      <c r="IFI27" s="1888"/>
      <c r="IFJ27" s="1882"/>
      <c r="IFK27" s="1882"/>
      <c r="IFL27" s="1882"/>
      <c r="IFN27" s="1887"/>
      <c r="IFO27" s="1888"/>
      <c r="IFP27" s="1882"/>
      <c r="IFQ27" s="1882"/>
      <c r="IFR27" s="1882"/>
      <c r="IFT27" s="1887"/>
      <c r="IFU27" s="1888"/>
      <c r="IFV27" s="1882"/>
      <c r="IFW27" s="1882"/>
      <c r="IFX27" s="1882"/>
      <c r="IFZ27" s="1887"/>
      <c r="IGA27" s="1888"/>
      <c r="IGB27" s="1882"/>
      <c r="IGC27" s="1882"/>
      <c r="IGD27" s="1882"/>
      <c r="IGF27" s="1887"/>
      <c r="IGG27" s="1888"/>
      <c r="IGH27" s="1882"/>
      <c r="IGI27" s="1882"/>
      <c r="IGJ27" s="1882"/>
      <c r="IGL27" s="1887"/>
      <c r="IGM27" s="1888"/>
      <c r="IGN27" s="1882"/>
      <c r="IGO27" s="1882"/>
      <c r="IGP27" s="1882"/>
      <c r="IGR27" s="1887"/>
      <c r="IGS27" s="1888"/>
      <c r="IGT27" s="1882"/>
      <c r="IGU27" s="1882"/>
      <c r="IGV27" s="1882"/>
      <c r="IGX27" s="1887"/>
      <c r="IGY27" s="1888"/>
      <c r="IGZ27" s="1882"/>
      <c r="IHA27" s="1882"/>
      <c r="IHB27" s="1882"/>
      <c r="IHD27" s="1887"/>
      <c r="IHE27" s="1888"/>
      <c r="IHF27" s="1882"/>
      <c r="IHG27" s="1882"/>
      <c r="IHH27" s="1882"/>
      <c r="IHJ27" s="1887"/>
      <c r="IHK27" s="1888"/>
      <c r="IHL27" s="1882"/>
      <c r="IHM27" s="1882"/>
      <c r="IHN27" s="1882"/>
      <c r="IHP27" s="1887"/>
      <c r="IHQ27" s="1888"/>
      <c r="IHR27" s="1882"/>
      <c r="IHS27" s="1882"/>
      <c r="IHT27" s="1882"/>
      <c r="IHV27" s="1887"/>
      <c r="IHW27" s="1888"/>
      <c r="IHX27" s="1882"/>
      <c r="IHY27" s="1882"/>
      <c r="IHZ27" s="1882"/>
      <c r="IIB27" s="1887"/>
      <c r="IIC27" s="1888"/>
      <c r="IID27" s="1882"/>
      <c r="IIE27" s="1882"/>
      <c r="IIF27" s="1882"/>
      <c r="IIH27" s="1887"/>
      <c r="III27" s="1888"/>
      <c r="IIJ27" s="1882"/>
      <c r="IIK27" s="1882"/>
      <c r="IIL27" s="1882"/>
      <c r="IIN27" s="1887"/>
      <c r="IIO27" s="1888"/>
      <c r="IIP27" s="1882"/>
      <c r="IIQ27" s="1882"/>
      <c r="IIR27" s="1882"/>
      <c r="IIT27" s="1887"/>
      <c r="IIU27" s="1888"/>
      <c r="IIV27" s="1882"/>
      <c r="IIW27" s="1882"/>
      <c r="IIX27" s="1882"/>
      <c r="IIZ27" s="1887"/>
      <c r="IJA27" s="1888"/>
      <c r="IJB27" s="1882"/>
      <c r="IJC27" s="1882"/>
      <c r="IJD27" s="1882"/>
      <c r="IJF27" s="1887"/>
      <c r="IJG27" s="1888"/>
      <c r="IJH27" s="1882"/>
      <c r="IJI27" s="1882"/>
      <c r="IJJ27" s="1882"/>
      <c r="IJL27" s="1887"/>
      <c r="IJM27" s="1888"/>
      <c r="IJN27" s="1882"/>
      <c r="IJO27" s="1882"/>
      <c r="IJP27" s="1882"/>
      <c r="IJR27" s="1887"/>
      <c r="IJS27" s="1888"/>
      <c r="IJT27" s="1882"/>
      <c r="IJU27" s="1882"/>
      <c r="IJV27" s="1882"/>
      <c r="IJX27" s="1887"/>
      <c r="IJY27" s="1888"/>
      <c r="IJZ27" s="1882"/>
      <c r="IKA27" s="1882"/>
      <c r="IKB27" s="1882"/>
      <c r="IKD27" s="1887"/>
      <c r="IKE27" s="1888"/>
      <c r="IKF27" s="1882"/>
      <c r="IKG27" s="1882"/>
      <c r="IKH27" s="1882"/>
      <c r="IKJ27" s="1887"/>
      <c r="IKK27" s="1888"/>
      <c r="IKL27" s="1882"/>
      <c r="IKM27" s="1882"/>
      <c r="IKN27" s="1882"/>
      <c r="IKP27" s="1887"/>
      <c r="IKQ27" s="1888"/>
      <c r="IKR27" s="1882"/>
      <c r="IKS27" s="1882"/>
      <c r="IKT27" s="1882"/>
      <c r="IKV27" s="1887"/>
      <c r="IKW27" s="1888"/>
      <c r="IKX27" s="1882"/>
      <c r="IKY27" s="1882"/>
      <c r="IKZ27" s="1882"/>
      <c r="ILB27" s="1887"/>
      <c r="ILC27" s="1888"/>
      <c r="ILD27" s="1882"/>
      <c r="ILE27" s="1882"/>
      <c r="ILF27" s="1882"/>
      <c r="ILH27" s="1887"/>
      <c r="ILI27" s="1888"/>
      <c r="ILJ27" s="1882"/>
      <c r="ILK27" s="1882"/>
      <c r="ILL27" s="1882"/>
      <c r="ILN27" s="1887"/>
      <c r="ILO27" s="1888"/>
      <c r="ILP27" s="1882"/>
      <c r="ILQ27" s="1882"/>
      <c r="ILR27" s="1882"/>
      <c r="ILT27" s="1887"/>
      <c r="ILU27" s="1888"/>
      <c r="ILV27" s="1882"/>
      <c r="ILW27" s="1882"/>
      <c r="ILX27" s="1882"/>
      <c r="ILZ27" s="1887"/>
      <c r="IMA27" s="1888"/>
      <c r="IMB27" s="1882"/>
      <c r="IMC27" s="1882"/>
      <c r="IMD27" s="1882"/>
      <c r="IMF27" s="1887"/>
      <c r="IMG27" s="1888"/>
      <c r="IMH27" s="1882"/>
      <c r="IMI27" s="1882"/>
      <c r="IMJ27" s="1882"/>
      <c r="IML27" s="1887"/>
      <c r="IMM27" s="1888"/>
      <c r="IMN27" s="1882"/>
      <c r="IMO27" s="1882"/>
      <c r="IMP27" s="1882"/>
      <c r="IMR27" s="1887"/>
      <c r="IMS27" s="1888"/>
      <c r="IMT27" s="1882"/>
      <c r="IMU27" s="1882"/>
      <c r="IMV27" s="1882"/>
      <c r="IMX27" s="1887"/>
      <c r="IMY27" s="1888"/>
      <c r="IMZ27" s="1882"/>
      <c r="INA27" s="1882"/>
      <c r="INB27" s="1882"/>
      <c r="IND27" s="1887"/>
      <c r="INE27" s="1888"/>
      <c r="INF27" s="1882"/>
      <c r="ING27" s="1882"/>
      <c r="INH27" s="1882"/>
      <c r="INJ27" s="1887"/>
      <c r="INK27" s="1888"/>
      <c r="INL27" s="1882"/>
      <c r="INM27" s="1882"/>
      <c r="INN27" s="1882"/>
      <c r="INP27" s="1887"/>
      <c r="INQ27" s="1888"/>
      <c r="INR27" s="1882"/>
      <c r="INS27" s="1882"/>
      <c r="INT27" s="1882"/>
      <c r="INV27" s="1887"/>
      <c r="INW27" s="1888"/>
      <c r="INX27" s="1882"/>
      <c r="INY27" s="1882"/>
      <c r="INZ27" s="1882"/>
      <c r="IOB27" s="1887"/>
      <c r="IOC27" s="1888"/>
      <c r="IOD27" s="1882"/>
      <c r="IOE27" s="1882"/>
      <c r="IOF27" s="1882"/>
      <c r="IOH27" s="1887"/>
      <c r="IOI27" s="1888"/>
      <c r="IOJ27" s="1882"/>
      <c r="IOK27" s="1882"/>
      <c r="IOL27" s="1882"/>
      <c r="ION27" s="1887"/>
      <c r="IOO27" s="1888"/>
      <c r="IOP27" s="1882"/>
      <c r="IOQ27" s="1882"/>
      <c r="IOR27" s="1882"/>
      <c r="IOT27" s="1887"/>
      <c r="IOU27" s="1888"/>
      <c r="IOV27" s="1882"/>
      <c r="IOW27" s="1882"/>
      <c r="IOX27" s="1882"/>
      <c r="IOZ27" s="1887"/>
      <c r="IPA27" s="1888"/>
      <c r="IPB27" s="1882"/>
      <c r="IPC27" s="1882"/>
      <c r="IPD27" s="1882"/>
      <c r="IPF27" s="1887"/>
      <c r="IPG27" s="1888"/>
      <c r="IPH27" s="1882"/>
      <c r="IPI27" s="1882"/>
      <c r="IPJ27" s="1882"/>
      <c r="IPL27" s="1887"/>
      <c r="IPM27" s="1888"/>
      <c r="IPN27" s="1882"/>
      <c r="IPO27" s="1882"/>
      <c r="IPP27" s="1882"/>
      <c r="IPR27" s="1887"/>
      <c r="IPS27" s="1888"/>
      <c r="IPT27" s="1882"/>
      <c r="IPU27" s="1882"/>
      <c r="IPV27" s="1882"/>
      <c r="IPX27" s="1887"/>
      <c r="IPY27" s="1888"/>
      <c r="IPZ27" s="1882"/>
      <c r="IQA27" s="1882"/>
      <c r="IQB27" s="1882"/>
      <c r="IQD27" s="1887"/>
      <c r="IQE27" s="1888"/>
      <c r="IQF27" s="1882"/>
      <c r="IQG27" s="1882"/>
      <c r="IQH27" s="1882"/>
      <c r="IQJ27" s="1887"/>
      <c r="IQK27" s="1888"/>
      <c r="IQL27" s="1882"/>
      <c r="IQM27" s="1882"/>
      <c r="IQN27" s="1882"/>
      <c r="IQP27" s="1887"/>
      <c r="IQQ27" s="1888"/>
      <c r="IQR27" s="1882"/>
      <c r="IQS27" s="1882"/>
      <c r="IQT27" s="1882"/>
      <c r="IQV27" s="1887"/>
      <c r="IQW27" s="1888"/>
      <c r="IQX27" s="1882"/>
      <c r="IQY27" s="1882"/>
      <c r="IQZ27" s="1882"/>
      <c r="IRB27" s="1887"/>
      <c r="IRC27" s="1888"/>
      <c r="IRD27" s="1882"/>
      <c r="IRE27" s="1882"/>
      <c r="IRF27" s="1882"/>
      <c r="IRH27" s="1887"/>
      <c r="IRI27" s="1888"/>
      <c r="IRJ27" s="1882"/>
      <c r="IRK27" s="1882"/>
      <c r="IRL27" s="1882"/>
      <c r="IRN27" s="1887"/>
      <c r="IRO27" s="1888"/>
      <c r="IRP27" s="1882"/>
      <c r="IRQ27" s="1882"/>
      <c r="IRR27" s="1882"/>
      <c r="IRT27" s="1887"/>
      <c r="IRU27" s="1888"/>
      <c r="IRV27" s="1882"/>
      <c r="IRW27" s="1882"/>
      <c r="IRX27" s="1882"/>
      <c r="IRZ27" s="1887"/>
      <c r="ISA27" s="1888"/>
      <c r="ISB27" s="1882"/>
      <c r="ISC27" s="1882"/>
      <c r="ISD27" s="1882"/>
      <c r="ISF27" s="1887"/>
      <c r="ISG27" s="1888"/>
      <c r="ISH27" s="1882"/>
      <c r="ISI27" s="1882"/>
      <c r="ISJ27" s="1882"/>
      <c r="ISL27" s="1887"/>
      <c r="ISM27" s="1888"/>
      <c r="ISN27" s="1882"/>
      <c r="ISO27" s="1882"/>
      <c r="ISP27" s="1882"/>
      <c r="ISR27" s="1887"/>
      <c r="ISS27" s="1888"/>
      <c r="IST27" s="1882"/>
      <c r="ISU27" s="1882"/>
      <c r="ISV27" s="1882"/>
      <c r="ISX27" s="1887"/>
      <c r="ISY27" s="1888"/>
      <c r="ISZ27" s="1882"/>
      <c r="ITA27" s="1882"/>
      <c r="ITB27" s="1882"/>
      <c r="ITD27" s="1887"/>
      <c r="ITE27" s="1888"/>
      <c r="ITF27" s="1882"/>
      <c r="ITG27" s="1882"/>
      <c r="ITH27" s="1882"/>
      <c r="ITJ27" s="1887"/>
      <c r="ITK27" s="1888"/>
      <c r="ITL27" s="1882"/>
      <c r="ITM27" s="1882"/>
      <c r="ITN27" s="1882"/>
      <c r="ITP27" s="1887"/>
      <c r="ITQ27" s="1888"/>
      <c r="ITR27" s="1882"/>
      <c r="ITS27" s="1882"/>
      <c r="ITT27" s="1882"/>
      <c r="ITV27" s="1887"/>
      <c r="ITW27" s="1888"/>
      <c r="ITX27" s="1882"/>
      <c r="ITY27" s="1882"/>
      <c r="ITZ27" s="1882"/>
      <c r="IUB27" s="1887"/>
      <c r="IUC27" s="1888"/>
      <c r="IUD27" s="1882"/>
      <c r="IUE27" s="1882"/>
      <c r="IUF27" s="1882"/>
      <c r="IUH27" s="1887"/>
      <c r="IUI27" s="1888"/>
      <c r="IUJ27" s="1882"/>
      <c r="IUK27" s="1882"/>
      <c r="IUL27" s="1882"/>
      <c r="IUN27" s="1887"/>
      <c r="IUO27" s="1888"/>
      <c r="IUP27" s="1882"/>
      <c r="IUQ27" s="1882"/>
      <c r="IUR27" s="1882"/>
      <c r="IUT27" s="1887"/>
      <c r="IUU27" s="1888"/>
      <c r="IUV27" s="1882"/>
      <c r="IUW27" s="1882"/>
      <c r="IUX27" s="1882"/>
      <c r="IUZ27" s="1887"/>
      <c r="IVA27" s="1888"/>
      <c r="IVB27" s="1882"/>
      <c r="IVC27" s="1882"/>
      <c r="IVD27" s="1882"/>
      <c r="IVF27" s="1887"/>
      <c r="IVG27" s="1888"/>
      <c r="IVH27" s="1882"/>
      <c r="IVI27" s="1882"/>
      <c r="IVJ27" s="1882"/>
      <c r="IVL27" s="1887"/>
      <c r="IVM27" s="1888"/>
      <c r="IVN27" s="1882"/>
      <c r="IVO27" s="1882"/>
      <c r="IVP27" s="1882"/>
      <c r="IVR27" s="1887"/>
      <c r="IVS27" s="1888"/>
      <c r="IVT27" s="1882"/>
      <c r="IVU27" s="1882"/>
      <c r="IVV27" s="1882"/>
      <c r="IVX27" s="1887"/>
      <c r="IVY27" s="1888"/>
      <c r="IVZ27" s="1882"/>
      <c r="IWA27" s="1882"/>
      <c r="IWB27" s="1882"/>
      <c r="IWD27" s="1887"/>
      <c r="IWE27" s="1888"/>
      <c r="IWF27" s="1882"/>
      <c r="IWG27" s="1882"/>
      <c r="IWH27" s="1882"/>
      <c r="IWJ27" s="1887"/>
      <c r="IWK27" s="1888"/>
      <c r="IWL27" s="1882"/>
      <c r="IWM27" s="1882"/>
      <c r="IWN27" s="1882"/>
      <c r="IWP27" s="1887"/>
      <c r="IWQ27" s="1888"/>
      <c r="IWR27" s="1882"/>
      <c r="IWS27" s="1882"/>
      <c r="IWT27" s="1882"/>
      <c r="IWV27" s="1887"/>
      <c r="IWW27" s="1888"/>
      <c r="IWX27" s="1882"/>
      <c r="IWY27" s="1882"/>
      <c r="IWZ27" s="1882"/>
      <c r="IXB27" s="1887"/>
      <c r="IXC27" s="1888"/>
      <c r="IXD27" s="1882"/>
      <c r="IXE27" s="1882"/>
      <c r="IXF27" s="1882"/>
      <c r="IXH27" s="1887"/>
      <c r="IXI27" s="1888"/>
      <c r="IXJ27" s="1882"/>
      <c r="IXK27" s="1882"/>
      <c r="IXL27" s="1882"/>
      <c r="IXN27" s="1887"/>
      <c r="IXO27" s="1888"/>
      <c r="IXP27" s="1882"/>
      <c r="IXQ27" s="1882"/>
      <c r="IXR27" s="1882"/>
      <c r="IXT27" s="1887"/>
      <c r="IXU27" s="1888"/>
      <c r="IXV27" s="1882"/>
      <c r="IXW27" s="1882"/>
      <c r="IXX27" s="1882"/>
      <c r="IXZ27" s="1887"/>
      <c r="IYA27" s="1888"/>
      <c r="IYB27" s="1882"/>
      <c r="IYC27" s="1882"/>
      <c r="IYD27" s="1882"/>
      <c r="IYF27" s="1887"/>
      <c r="IYG27" s="1888"/>
      <c r="IYH27" s="1882"/>
      <c r="IYI27" s="1882"/>
      <c r="IYJ27" s="1882"/>
      <c r="IYL27" s="1887"/>
      <c r="IYM27" s="1888"/>
      <c r="IYN27" s="1882"/>
      <c r="IYO27" s="1882"/>
      <c r="IYP27" s="1882"/>
      <c r="IYR27" s="1887"/>
      <c r="IYS27" s="1888"/>
      <c r="IYT27" s="1882"/>
      <c r="IYU27" s="1882"/>
      <c r="IYV27" s="1882"/>
      <c r="IYX27" s="1887"/>
      <c r="IYY27" s="1888"/>
      <c r="IYZ27" s="1882"/>
      <c r="IZA27" s="1882"/>
      <c r="IZB27" s="1882"/>
      <c r="IZD27" s="1887"/>
      <c r="IZE27" s="1888"/>
      <c r="IZF27" s="1882"/>
      <c r="IZG27" s="1882"/>
      <c r="IZH27" s="1882"/>
      <c r="IZJ27" s="1887"/>
      <c r="IZK27" s="1888"/>
      <c r="IZL27" s="1882"/>
      <c r="IZM27" s="1882"/>
      <c r="IZN27" s="1882"/>
      <c r="IZP27" s="1887"/>
      <c r="IZQ27" s="1888"/>
      <c r="IZR27" s="1882"/>
      <c r="IZS27" s="1882"/>
      <c r="IZT27" s="1882"/>
      <c r="IZV27" s="1887"/>
      <c r="IZW27" s="1888"/>
      <c r="IZX27" s="1882"/>
      <c r="IZY27" s="1882"/>
      <c r="IZZ27" s="1882"/>
      <c r="JAB27" s="1887"/>
      <c r="JAC27" s="1888"/>
      <c r="JAD27" s="1882"/>
      <c r="JAE27" s="1882"/>
      <c r="JAF27" s="1882"/>
      <c r="JAH27" s="1887"/>
      <c r="JAI27" s="1888"/>
      <c r="JAJ27" s="1882"/>
      <c r="JAK27" s="1882"/>
      <c r="JAL27" s="1882"/>
      <c r="JAN27" s="1887"/>
      <c r="JAO27" s="1888"/>
      <c r="JAP27" s="1882"/>
      <c r="JAQ27" s="1882"/>
      <c r="JAR27" s="1882"/>
      <c r="JAT27" s="1887"/>
      <c r="JAU27" s="1888"/>
      <c r="JAV27" s="1882"/>
      <c r="JAW27" s="1882"/>
      <c r="JAX27" s="1882"/>
      <c r="JAZ27" s="1887"/>
      <c r="JBA27" s="1888"/>
      <c r="JBB27" s="1882"/>
      <c r="JBC27" s="1882"/>
      <c r="JBD27" s="1882"/>
      <c r="JBF27" s="1887"/>
      <c r="JBG27" s="1888"/>
      <c r="JBH27" s="1882"/>
      <c r="JBI27" s="1882"/>
      <c r="JBJ27" s="1882"/>
      <c r="JBL27" s="1887"/>
      <c r="JBM27" s="1888"/>
      <c r="JBN27" s="1882"/>
      <c r="JBO27" s="1882"/>
      <c r="JBP27" s="1882"/>
      <c r="JBR27" s="1887"/>
      <c r="JBS27" s="1888"/>
      <c r="JBT27" s="1882"/>
      <c r="JBU27" s="1882"/>
      <c r="JBV27" s="1882"/>
      <c r="JBX27" s="1887"/>
      <c r="JBY27" s="1888"/>
      <c r="JBZ27" s="1882"/>
      <c r="JCA27" s="1882"/>
      <c r="JCB27" s="1882"/>
      <c r="JCD27" s="1887"/>
      <c r="JCE27" s="1888"/>
      <c r="JCF27" s="1882"/>
      <c r="JCG27" s="1882"/>
      <c r="JCH27" s="1882"/>
      <c r="JCJ27" s="1887"/>
      <c r="JCK27" s="1888"/>
      <c r="JCL27" s="1882"/>
      <c r="JCM27" s="1882"/>
      <c r="JCN27" s="1882"/>
      <c r="JCP27" s="1887"/>
      <c r="JCQ27" s="1888"/>
      <c r="JCR27" s="1882"/>
      <c r="JCS27" s="1882"/>
      <c r="JCT27" s="1882"/>
      <c r="JCV27" s="1887"/>
      <c r="JCW27" s="1888"/>
      <c r="JCX27" s="1882"/>
      <c r="JCY27" s="1882"/>
      <c r="JCZ27" s="1882"/>
      <c r="JDB27" s="1887"/>
      <c r="JDC27" s="1888"/>
      <c r="JDD27" s="1882"/>
      <c r="JDE27" s="1882"/>
      <c r="JDF27" s="1882"/>
      <c r="JDH27" s="1887"/>
      <c r="JDI27" s="1888"/>
      <c r="JDJ27" s="1882"/>
      <c r="JDK27" s="1882"/>
      <c r="JDL27" s="1882"/>
      <c r="JDN27" s="1887"/>
      <c r="JDO27" s="1888"/>
      <c r="JDP27" s="1882"/>
      <c r="JDQ27" s="1882"/>
      <c r="JDR27" s="1882"/>
      <c r="JDT27" s="1887"/>
      <c r="JDU27" s="1888"/>
      <c r="JDV27" s="1882"/>
      <c r="JDW27" s="1882"/>
      <c r="JDX27" s="1882"/>
      <c r="JDZ27" s="1887"/>
      <c r="JEA27" s="1888"/>
      <c r="JEB27" s="1882"/>
      <c r="JEC27" s="1882"/>
      <c r="JED27" s="1882"/>
      <c r="JEF27" s="1887"/>
      <c r="JEG27" s="1888"/>
      <c r="JEH27" s="1882"/>
      <c r="JEI27" s="1882"/>
      <c r="JEJ27" s="1882"/>
      <c r="JEL27" s="1887"/>
      <c r="JEM27" s="1888"/>
      <c r="JEN27" s="1882"/>
      <c r="JEO27" s="1882"/>
      <c r="JEP27" s="1882"/>
      <c r="JER27" s="1887"/>
      <c r="JES27" s="1888"/>
      <c r="JET27" s="1882"/>
      <c r="JEU27" s="1882"/>
      <c r="JEV27" s="1882"/>
      <c r="JEX27" s="1887"/>
      <c r="JEY27" s="1888"/>
      <c r="JEZ27" s="1882"/>
      <c r="JFA27" s="1882"/>
      <c r="JFB27" s="1882"/>
      <c r="JFD27" s="1887"/>
      <c r="JFE27" s="1888"/>
      <c r="JFF27" s="1882"/>
      <c r="JFG27" s="1882"/>
      <c r="JFH27" s="1882"/>
      <c r="JFJ27" s="1887"/>
      <c r="JFK27" s="1888"/>
      <c r="JFL27" s="1882"/>
      <c r="JFM27" s="1882"/>
      <c r="JFN27" s="1882"/>
      <c r="JFP27" s="1887"/>
      <c r="JFQ27" s="1888"/>
      <c r="JFR27" s="1882"/>
      <c r="JFS27" s="1882"/>
      <c r="JFT27" s="1882"/>
      <c r="JFV27" s="1887"/>
      <c r="JFW27" s="1888"/>
      <c r="JFX27" s="1882"/>
      <c r="JFY27" s="1882"/>
      <c r="JFZ27" s="1882"/>
      <c r="JGB27" s="1887"/>
      <c r="JGC27" s="1888"/>
      <c r="JGD27" s="1882"/>
      <c r="JGE27" s="1882"/>
      <c r="JGF27" s="1882"/>
      <c r="JGH27" s="1887"/>
      <c r="JGI27" s="1888"/>
      <c r="JGJ27" s="1882"/>
      <c r="JGK27" s="1882"/>
      <c r="JGL27" s="1882"/>
      <c r="JGN27" s="1887"/>
      <c r="JGO27" s="1888"/>
      <c r="JGP27" s="1882"/>
      <c r="JGQ27" s="1882"/>
      <c r="JGR27" s="1882"/>
      <c r="JGT27" s="1887"/>
      <c r="JGU27" s="1888"/>
      <c r="JGV27" s="1882"/>
      <c r="JGW27" s="1882"/>
      <c r="JGX27" s="1882"/>
      <c r="JGZ27" s="1887"/>
      <c r="JHA27" s="1888"/>
      <c r="JHB27" s="1882"/>
      <c r="JHC27" s="1882"/>
      <c r="JHD27" s="1882"/>
      <c r="JHF27" s="1887"/>
      <c r="JHG27" s="1888"/>
      <c r="JHH27" s="1882"/>
      <c r="JHI27" s="1882"/>
      <c r="JHJ27" s="1882"/>
      <c r="JHL27" s="1887"/>
      <c r="JHM27" s="1888"/>
      <c r="JHN27" s="1882"/>
      <c r="JHO27" s="1882"/>
      <c r="JHP27" s="1882"/>
      <c r="JHR27" s="1887"/>
      <c r="JHS27" s="1888"/>
      <c r="JHT27" s="1882"/>
      <c r="JHU27" s="1882"/>
      <c r="JHV27" s="1882"/>
      <c r="JHX27" s="1887"/>
      <c r="JHY27" s="1888"/>
      <c r="JHZ27" s="1882"/>
      <c r="JIA27" s="1882"/>
      <c r="JIB27" s="1882"/>
      <c r="JID27" s="1887"/>
      <c r="JIE27" s="1888"/>
      <c r="JIF27" s="1882"/>
      <c r="JIG27" s="1882"/>
      <c r="JIH27" s="1882"/>
      <c r="JIJ27" s="1887"/>
      <c r="JIK27" s="1888"/>
      <c r="JIL27" s="1882"/>
      <c r="JIM27" s="1882"/>
      <c r="JIN27" s="1882"/>
      <c r="JIP27" s="1887"/>
      <c r="JIQ27" s="1888"/>
      <c r="JIR27" s="1882"/>
      <c r="JIS27" s="1882"/>
      <c r="JIT27" s="1882"/>
      <c r="JIV27" s="1887"/>
      <c r="JIW27" s="1888"/>
      <c r="JIX27" s="1882"/>
      <c r="JIY27" s="1882"/>
      <c r="JIZ27" s="1882"/>
      <c r="JJB27" s="1887"/>
      <c r="JJC27" s="1888"/>
      <c r="JJD27" s="1882"/>
      <c r="JJE27" s="1882"/>
      <c r="JJF27" s="1882"/>
      <c r="JJH27" s="1887"/>
      <c r="JJI27" s="1888"/>
      <c r="JJJ27" s="1882"/>
      <c r="JJK27" s="1882"/>
      <c r="JJL27" s="1882"/>
      <c r="JJN27" s="1887"/>
      <c r="JJO27" s="1888"/>
      <c r="JJP27" s="1882"/>
      <c r="JJQ27" s="1882"/>
      <c r="JJR27" s="1882"/>
      <c r="JJT27" s="1887"/>
      <c r="JJU27" s="1888"/>
      <c r="JJV27" s="1882"/>
      <c r="JJW27" s="1882"/>
      <c r="JJX27" s="1882"/>
      <c r="JJZ27" s="1887"/>
      <c r="JKA27" s="1888"/>
      <c r="JKB27" s="1882"/>
      <c r="JKC27" s="1882"/>
      <c r="JKD27" s="1882"/>
      <c r="JKF27" s="1887"/>
      <c r="JKG27" s="1888"/>
      <c r="JKH27" s="1882"/>
      <c r="JKI27" s="1882"/>
      <c r="JKJ27" s="1882"/>
      <c r="JKL27" s="1887"/>
      <c r="JKM27" s="1888"/>
      <c r="JKN27" s="1882"/>
      <c r="JKO27" s="1882"/>
      <c r="JKP27" s="1882"/>
      <c r="JKR27" s="1887"/>
      <c r="JKS27" s="1888"/>
      <c r="JKT27" s="1882"/>
      <c r="JKU27" s="1882"/>
      <c r="JKV27" s="1882"/>
      <c r="JKX27" s="1887"/>
      <c r="JKY27" s="1888"/>
      <c r="JKZ27" s="1882"/>
      <c r="JLA27" s="1882"/>
      <c r="JLB27" s="1882"/>
      <c r="JLD27" s="1887"/>
      <c r="JLE27" s="1888"/>
      <c r="JLF27" s="1882"/>
      <c r="JLG27" s="1882"/>
      <c r="JLH27" s="1882"/>
      <c r="JLJ27" s="1887"/>
      <c r="JLK27" s="1888"/>
      <c r="JLL27" s="1882"/>
      <c r="JLM27" s="1882"/>
      <c r="JLN27" s="1882"/>
      <c r="JLP27" s="1887"/>
      <c r="JLQ27" s="1888"/>
      <c r="JLR27" s="1882"/>
      <c r="JLS27" s="1882"/>
      <c r="JLT27" s="1882"/>
      <c r="JLV27" s="1887"/>
      <c r="JLW27" s="1888"/>
      <c r="JLX27" s="1882"/>
      <c r="JLY27" s="1882"/>
      <c r="JLZ27" s="1882"/>
      <c r="JMB27" s="1887"/>
      <c r="JMC27" s="1888"/>
      <c r="JMD27" s="1882"/>
      <c r="JME27" s="1882"/>
      <c r="JMF27" s="1882"/>
      <c r="JMH27" s="1887"/>
      <c r="JMI27" s="1888"/>
      <c r="JMJ27" s="1882"/>
      <c r="JMK27" s="1882"/>
      <c r="JML27" s="1882"/>
      <c r="JMN27" s="1887"/>
      <c r="JMO27" s="1888"/>
      <c r="JMP27" s="1882"/>
      <c r="JMQ27" s="1882"/>
      <c r="JMR27" s="1882"/>
      <c r="JMT27" s="1887"/>
      <c r="JMU27" s="1888"/>
      <c r="JMV27" s="1882"/>
      <c r="JMW27" s="1882"/>
      <c r="JMX27" s="1882"/>
      <c r="JMZ27" s="1887"/>
      <c r="JNA27" s="1888"/>
      <c r="JNB27" s="1882"/>
      <c r="JNC27" s="1882"/>
      <c r="JND27" s="1882"/>
      <c r="JNF27" s="1887"/>
      <c r="JNG27" s="1888"/>
      <c r="JNH27" s="1882"/>
      <c r="JNI27" s="1882"/>
      <c r="JNJ27" s="1882"/>
      <c r="JNL27" s="1887"/>
      <c r="JNM27" s="1888"/>
      <c r="JNN27" s="1882"/>
      <c r="JNO27" s="1882"/>
      <c r="JNP27" s="1882"/>
      <c r="JNR27" s="1887"/>
      <c r="JNS27" s="1888"/>
      <c r="JNT27" s="1882"/>
      <c r="JNU27" s="1882"/>
      <c r="JNV27" s="1882"/>
      <c r="JNX27" s="1887"/>
      <c r="JNY27" s="1888"/>
      <c r="JNZ27" s="1882"/>
      <c r="JOA27" s="1882"/>
      <c r="JOB27" s="1882"/>
      <c r="JOD27" s="1887"/>
      <c r="JOE27" s="1888"/>
      <c r="JOF27" s="1882"/>
      <c r="JOG27" s="1882"/>
      <c r="JOH27" s="1882"/>
      <c r="JOJ27" s="1887"/>
      <c r="JOK27" s="1888"/>
      <c r="JOL27" s="1882"/>
      <c r="JOM27" s="1882"/>
      <c r="JON27" s="1882"/>
      <c r="JOP27" s="1887"/>
      <c r="JOQ27" s="1888"/>
      <c r="JOR27" s="1882"/>
      <c r="JOS27" s="1882"/>
      <c r="JOT27" s="1882"/>
      <c r="JOV27" s="1887"/>
      <c r="JOW27" s="1888"/>
      <c r="JOX27" s="1882"/>
      <c r="JOY27" s="1882"/>
      <c r="JOZ27" s="1882"/>
      <c r="JPB27" s="1887"/>
      <c r="JPC27" s="1888"/>
      <c r="JPD27" s="1882"/>
      <c r="JPE27" s="1882"/>
      <c r="JPF27" s="1882"/>
      <c r="JPH27" s="1887"/>
      <c r="JPI27" s="1888"/>
      <c r="JPJ27" s="1882"/>
      <c r="JPK27" s="1882"/>
      <c r="JPL27" s="1882"/>
      <c r="JPN27" s="1887"/>
      <c r="JPO27" s="1888"/>
      <c r="JPP27" s="1882"/>
      <c r="JPQ27" s="1882"/>
      <c r="JPR27" s="1882"/>
      <c r="JPT27" s="1887"/>
      <c r="JPU27" s="1888"/>
      <c r="JPV27" s="1882"/>
      <c r="JPW27" s="1882"/>
      <c r="JPX27" s="1882"/>
      <c r="JPZ27" s="1887"/>
      <c r="JQA27" s="1888"/>
      <c r="JQB27" s="1882"/>
      <c r="JQC27" s="1882"/>
      <c r="JQD27" s="1882"/>
      <c r="JQF27" s="1887"/>
      <c r="JQG27" s="1888"/>
      <c r="JQH27" s="1882"/>
      <c r="JQI27" s="1882"/>
      <c r="JQJ27" s="1882"/>
      <c r="JQL27" s="1887"/>
      <c r="JQM27" s="1888"/>
      <c r="JQN27" s="1882"/>
      <c r="JQO27" s="1882"/>
      <c r="JQP27" s="1882"/>
      <c r="JQR27" s="1887"/>
      <c r="JQS27" s="1888"/>
      <c r="JQT27" s="1882"/>
      <c r="JQU27" s="1882"/>
      <c r="JQV27" s="1882"/>
      <c r="JQX27" s="1887"/>
      <c r="JQY27" s="1888"/>
      <c r="JQZ27" s="1882"/>
      <c r="JRA27" s="1882"/>
      <c r="JRB27" s="1882"/>
      <c r="JRD27" s="1887"/>
      <c r="JRE27" s="1888"/>
      <c r="JRF27" s="1882"/>
      <c r="JRG27" s="1882"/>
      <c r="JRH27" s="1882"/>
      <c r="JRJ27" s="1887"/>
      <c r="JRK27" s="1888"/>
      <c r="JRL27" s="1882"/>
      <c r="JRM27" s="1882"/>
      <c r="JRN27" s="1882"/>
      <c r="JRP27" s="1887"/>
      <c r="JRQ27" s="1888"/>
      <c r="JRR27" s="1882"/>
      <c r="JRS27" s="1882"/>
      <c r="JRT27" s="1882"/>
      <c r="JRV27" s="1887"/>
      <c r="JRW27" s="1888"/>
      <c r="JRX27" s="1882"/>
      <c r="JRY27" s="1882"/>
      <c r="JRZ27" s="1882"/>
      <c r="JSB27" s="1887"/>
      <c r="JSC27" s="1888"/>
      <c r="JSD27" s="1882"/>
      <c r="JSE27" s="1882"/>
      <c r="JSF27" s="1882"/>
      <c r="JSH27" s="1887"/>
      <c r="JSI27" s="1888"/>
      <c r="JSJ27" s="1882"/>
      <c r="JSK27" s="1882"/>
      <c r="JSL27" s="1882"/>
      <c r="JSN27" s="1887"/>
      <c r="JSO27" s="1888"/>
      <c r="JSP27" s="1882"/>
      <c r="JSQ27" s="1882"/>
      <c r="JSR27" s="1882"/>
      <c r="JST27" s="1887"/>
      <c r="JSU27" s="1888"/>
      <c r="JSV27" s="1882"/>
      <c r="JSW27" s="1882"/>
      <c r="JSX27" s="1882"/>
      <c r="JSZ27" s="1887"/>
      <c r="JTA27" s="1888"/>
      <c r="JTB27" s="1882"/>
      <c r="JTC27" s="1882"/>
      <c r="JTD27" s="1882"/>
      <c r="JTF27" s="1887"/>
      <c r="JTG27" s="1888"/>
      <c r="JTH27" s="1882"/>
      <c r="JTI27" s="1882"/>
      <c r="JTJ27" s="1882"/>
      <c r="JTL27" s="1887"/>
      <c r="JTM27" s="1888"/>
      <c r="JTN27" s="1882"/>
      <c r="JTO27" s="1882"/>
      <c r="JTP27" s="1882"/>
      <c r="JTR27" s="1887"/>
      <c r="JTS27" s="1888"/>
      <c r="JTT27" s="1882"/>
      <c r="JTU27" s="1882"/>
      <c r="JTV27" s="1882"/>
      <c r="JTX27" s="1887"/>
      <c r="JTY27" s="1888"/>
      <c r="JTZ27" s="1882"/>
      <c r="JUA27" s="1882"/>
      <c r="JUB27" s="1882"/>
      <c r="JUD27" s="1887"/>
      <c r="JUE27" s="1888"/>
      <c r="JUF27" s="1882"/>
      <c r="JUG27" s="1882"/>
      <c r="JUH27" s="1882"/>
      <c r="JUJ27" s="1887"/>
      <c r="JUK27" s="1888"/>
      <c r="JUL27" s="1882"/>
      <c r="JUM27" s="1882"/>
      <c r="JUN27" s="1882"/>
      <c r="JUP27" s="1887"/>
      <c r="JUQ27" s="1888"/>
      <c r="JUR27" s="1882"/>
      <c r="JUS27" s="1882"/>
      <c r="JUT27" s="1882"/>
      <c r="JUV27" s="1887"/>
      <c r="JUW27" s="1888"/>
      <c r="JUX27" s="1882"/>
      <c r="JUY27" s="1882"/>
      <c r="JUZ27" s="1882"/>
      <c r="JVB27" s="1887"/>
      <c r="JVC27" s="1888"/>
      <c r="JVD27" s="1882"/>
      <c r="JVE27" s="1882"/>
      <c r="JVF27" s="1882"/>
      <c r="JVH27" s="1887"/>
      <c r="JVI27" s="1888"/>
      <c r="JVJ27" s="1882"/>
      <c r="JVK27" s="1882"/>
      <c r="JVL27" s="1882"/>
      <c r="JVN27" s="1887"/>
      <c r="JVO27" s="1888"/>
      <c r="JVP27" s="1882"/>
      <c r="JVQ27" s="1882"/>
      <c r="JVR27" s="1882"/>
      <c r="JVT27" s="1887"/>
      <c r="JVU27" s="1888"/>
      <c r="JVV27" s="1882"/>
      <c r="JVW27" s="1882"/>
      <c r="JVX27" s="1882"/>
      <c r="JVZ27" s="1887"/>
      <c r="JWA27" s="1888"/>
      <c r="JWB27" s="1882"/>
      <c r="JWC27" s="1882"/>
      <c r="JWD27" s="1882"/>
      <c r="JWF27" s="1887"/>
      <c r="JWG27" s="1888"/>
      <c r="JWH27" s="1882"/>
      <c r="JWI27" s="1882"/>
      <c r="JWJ27" s="1882"/>
      <c r="JWL27" s="1887"/>
      <c r="JWM27" s="1888"/>
      <c r="JWN27" s="1882"/>
      <c r="JWO27" s="1882"/>
      <c r="JWP27" s="1882"/>
      <c r="JWR27" s="1887"/>
      <c r="JWS27" s="1888"/>
      <c r="JWT27" s="1882"/>
      <c r="JWU27" s="1882"/>
      <c r="JWV27" s="1882"/>
      <c r="JWX27" s="1887"/>
      <c r="JWY27" s="1888"/>
      <c r="JWZ27" s="1882"/>
      <c r="JXA27" s="1882"/>
      <c r="JXB27" s="1882"/>
      <c r="JXD27" s="1887"/>
      <c r="JXE27" s="1888"/>
      <c r="JXF27" s="1882"/>
      <c r="JXG27" s="1882"/>
      <c r="JXH27" s="1882"/>
      <c r="JXJ27" s="1887"/>
      <c r="JXK27" s="1888"/>
      <c r="JXL27" s="1882"/>
      <c r="JXM27" s="1882"/>
      <c r="JXN27" s="1882"/>
      <c r="JXP27" s="1887"/>
      <c r="JXQ27" s="1888"/>
      <c r="JXR27" s="1882"/>
      <c r="JXS27" s="1882"/>
      <c r="JXT27" s="1882"/>
      <c r="JXV27" s="1887"/>
      <c r="JXW27" s="1888"/>
      <c r="JXX27" s="1882"/>
      <c r="JXY27" s="1882"/>
      <c r="JXZ27" s="1882"/>
      <c r="JYB27" s="1887"/>
      <c r="JYC27" s="1888"/>
      <c r="JYD27" s="1882"/>
      <c r="JYE27" s="1882"/>
      <c r="JYF27" s="1882"/>
      <c r="JYH27" s="1887"/>
      <c r="JYI27" s="1888"/>
      <c r="JYJ27" s="1882"/>
      <c r="JYK27" s="1882"/>
      <c r="JYL27" s="1882"/>
      <c r="JYN27" s="1887"/>
      <c r="JYO27" s="1888"/>
      <c r="JYP27" s="1882"/>
      <c r="JYQ27" s="1882"/>
      <c r="JYR27" s="1882"/>
      <c r="JYT27" s="1887"/>
      <c r="JYU27" s="1888"/>
      <c r="JYV27" s="1882"/>
      <c r="JYW27" s="1882"/>
      <c r="JYX27" s="1882"/>
      <c r="JYZ27" s="1887"/>
      <c r="JZA27" s="1888"/>
      <c r="JZB27" s="1882"/>
      <c r="JZC27" s="1882"/>
      <c r="JZD27" s="1882"/>
      <c r="JZF27" s="1887"/>
      <c r="JZG27" s="1888"/>
      <c r="JZH27" s="1882"/>
      <c r="JZI27" s="1882"/>
      <c r="JZJ27" s="1882"/>
      <c r="JZL27" s="1887"/>
      <c r="JZM27" s="1888"/>
      <c r="JZN27" s="1882"/>
      <c r="JZO27" s="1882"/>
      <c r="JZP27" s="1882"/>
      <c r="JZR27" s="1887"/>
      <c r="JZS27" s="1888"/>
      <c r="JZT27" s="1882"/>
      <c r="JZU27" s="1882"/>
      <c r="JZV27" s="1882"/>
      <c r="JZX27" s="1887"/>
      <c r="JZY27" s="1888"/>
      <c r="JZZ27" s="1882"/>
      <c r="KAA27" s="1882"/>
      <c r="KAB27" s="1882"/>
      <c r="KAD27" s="1887"/>
      <c r="KAE27" s="1888"/>
      <c r="KAF27" s="1882"/>
      <c r="KAG27" s="1882"/>
      <c r="KAH27" s="1882"/>
      <c r="KAJ27" s="1887"/>
      <c r="KAK27" s="1888"/>
      <c r="KAL27" s="1882"/>
      <c r="KAM27" s="1882"/>
      <c r="KAN27" s="1882"/>
      <c r="KAP27" s="1887"/>
      <c r="KAQ27" s="1888"/>
      <c r="KAR27" s="1882"/>
      <c r="KAS27" s="1882"/>
      <c r="KAT27" s="1882"/>
      <c r="KAV27" s="1887"/>
      <c r="KAW27" s="1888"/>
      <c r="KAX27" s="1882"/>
      <c r="KAY27" s="1882"/>
      <c r="KAZ27" s="1882"/>
      <c r="KBB27" s="1887"/>
      <c r="KBC27" s="1888"/>
      <c r="KBD27" s="1882"/>
      <c r="KBE27" s="1882"/>
      <c r="KBF27" s="1882"/>
      <c r="KBH27" s="1887"/>
      <c r="KBI27" s="1888"/>
      <c r="KBJ27" s="1882"/>
      <c r="KBK27" s="1882"/>
      <c r="KBL27" s="1882"/>
      <c r="KBN27" s="1887"/>
      <c r="KBO27" s="1888"/>
      <c r="KBP27" s="1882"/>
      <c r="KBQ27" s="1882"/>
      <c r="KBR27" s="1882"/>
      <c r="KBT27" s="1887"/>
      <c r="KBU27" s="1888"/>
      <c r="KBV27" s="1882"/>
      <c r="KBW27" s="1882"/>
      <c r="KBX27" s="1882"/>
      <c r="KBZ27" s="1887"/>
      <c r="KCA27" s="1888"/>
      <c r="KCB27" s="1882"/>
      <c r="KCC27" s="1882"/>
      <c r="KCD27" s="1882"/>
      <c r="KCF27" s="1887"/>
      <c r="KCG27" s="1888"/>
      <c r="KCH27" s="1882"/>
      <c r="KCI27" s="1882"/>
      <c r="KCJ27" s="1882"/>
      <c r="KCL27" s="1887"/>
      <c r="KCM27" s="1888"/>
      <c r="KCN27" s="1882"/>
      <c r="KCO27" s="1882"/>
      <c r="KCP27" s="1882"/>
      <c r="KCR27" s="1887"/>
      <c r="KCS27" s="1888"/>
      <c r="KCT27" s="1882"/>
      <c r="KCU27" s="1882"/>
      <c r="KCV27" s="1882"/>
      <c r="KCX27" s="1887"/>
      <c r="KCY27" s="1888"/>
      <c r="KCZ27" s="1882"/>
      <c r="KDA27" s="1882"/>
      <c r="KDB27" s="1882"/>
      <c r="KDD27" s="1887"/>
      <c r="KDE27" s="1888"/>
      <c r="KDF27" s="1882"/>
      <c r="KDG27" s="1882"/>
      <c r="KDH27" s="1882"/>
      <c r="KDJ27" s="1887"/>
      <c r="KDK27" s="1888"/>
      <c r="KDL27" s="1882"/>
      <c r="KDM27" s="1882"/>
      <c r="KDN27" s="1882"/>
      <c r="KDP27" s="1887"/>
      <c r="KDQ27" s="1888"/>
      <c r="KDR27" s="1882"/>
      <c r="KDS27" s="1882"/>
      <c r="KDT27" s="1882"/>
      <c r="KDV27" s="1887"/>
      <c r="KDW27" s="1888"/>
      <c r="KDX27" s="1882"/>
      <c r="KDY27" s="1882"/>
      <c r="KDZ27" s="1882"/>
      <c r="KEB27" s="1887"/>
      <c r="KEC27" s="1888"/>
      <c r="KED27" s="1882"/>
      <c r="KEE27" s="1882"/>
      <c r="KEF27" s="1882"/>
      <c r="KEH27" s="1887"/>
      <c r="KEI27" s="1888"/>
      <c r="KEJ27" s="1882"/>
      <c r="KEK27" s="1882"/>
      <c r="KEL27" s="1882"/>
      <c r="KEN27" s="1887"/>
      <c r="KEO27" s="1888"/>
      <c r="KEP27" s="1882"/>
      <c r="KEQ27" s="1882"/>
      <c r="KER27" s="1882"/>
      <c r="KET27" s="1887"/>
      <c r="KEU27" s="1888"/>
      <c r="KEV27" s="1882"/>
      <c r="KEW27" s="1882"/>
      <c r="KEX27" s="1882"/>
      <c r="KEZ27" s="1887"/>
      <c r="KFA27" s="1888"/>
      <c r="KFB27" s="1882"/>
      <c r="KFC27" s="1882"/>
      <c r="KFD27" s="1882"/>
      <c r="KFF27" s="1887"/>
      <c r="KFG27" s="1888"/>
      <c r="KFH27" s="1882"/>
      <c r="KFI27" s="1882"/>
      <c r="KFJ27" s="1882"/>
      <c r="KFL27" s="1887"/>
      <c r="KFM27" s="1888"/>
      <c r="KFN27" s="1882"/>
      <c r="KFO27" s="1882"/>
      <c r="KFP27" s="1882"/>
      <c r="KFR27" s="1887"/>
      <c r="KFS27" s="1888"/>
      <c r="KFT27" s="1882"/>
      <c r="KFU27" s="1882"/>
      <c r="KFV27" s="1882"/>
      <c r="KFX27" s="1887"/>
      <c r="KFY27" s="1888"/>
      <c r="KFZ27" s="1882"/>
      <c r="KGA27" s="1882"/>
      <c r="KGB27" s="1882"/>
      <c r="KGD27" s="1887"/>
      <c r="KGE27" s="1888"/>
      <c r="KGF27" s="1882"/>
      <c r="KGG27" s="1882"/>
      <c r="KGH27" s="1882"/>
      <c r="KGJ27" s="1887"/>
      <c r="KGK27" s="1888"/>
      <c r="KGL27" s="1882"/>
      <c r="KGM27" s="1882"/>
      <c r="KGN27" s="1882"/>
      <c r="KGP27" s="1887"/>
      <c r="KGQ27" s="1888"/>
      <c r="KGR27" s="1882"/>
      <c r="KGS27" s="1882"/>
      <c r="KGT27" s="1882"/>
      <c r="KGV27" s="1887"/>
      <c r="KGW27" s="1888"/>
      <c r="KGX27" s="1882"/>
      <c r="KGY27" s="1882"/>
      <c r="KGZ27" s="1882"/>
      <c r="KHB27" s="1887"/>
      <c r="KHC27" s="1888"/>
      <c r="KHD27" s="1882"/>
      <c r="KHE27" s="1882"/>
      <c r="KHF27" s="1882"/>
      <c r="KHH27" s="1887"/>
      <c r="KHI27" s="1888"/>
      <c r="KHJ27" s="1882"/>
      <c r="KHK27" s="1882"/>
      <c r="KHL27" s="1882"/>
      <c r="KHN27" s="1887"/>
      <c r="KHO27" s="1888"/>
      <c r="KHP27" s="1882"/>
      <c r="KHQ27" s="1882"/>
      <c r="KHR27" s="1882"/>
      <c r="KHT27" s="1887"/>
      <c r="KHU27" s="1888"/>
      <c r="KHV27" s="1882"/>
      <c r="KHW27" s="1882"/>
      <c r="KHX27" s="1882"/>
      <c r="KHZ27" s="1887"/>
      <c r="KIA27" s="1888"/>
      <c r="KIB27" s="1882"/>
      <c r="KIC27" s="1882"/>
      <c r="KID27" s="1882"/>
      <c r="KIF27" s="1887"/>
      <c r="KIG27" s="1888"/>
      <c r="KIH27" s="1882"/>
      <c r="KII27" s="1882"/>
      <c r="KIJ27" s="1882"/>
      <c r="KIL27" s="1887"/>
      <c r="KIM27" s="1888"/>
      <c r="KIN27" s="1882"/>
      <c r="KIO27" s="1882"/>
      <c r="KIP27" s="1882"/>
      <c r="KIR27" s="1887"/>
      <c r="KIS27" s="1888"/>
      <c r="KIT27" s="1882"/>
      <c r="KIU27" s="1882"/>
      <c r="KIV27" s="1882"/>
      <c r="KIX27" s="1887"/>
      <c r="KIY27" s="1888"/>
      <c r="KIZ27" s="1882"/>
      <c r="KJA27" s="1882"/>
      <c r="KJB27" s="1882"/>
      <c r="KJD27" s="1887"/>
      <c r="KJE27" s="1888"/>
      <c r="KJF27" s="1882"/>
      <c r="KJG27" s="1882"/>
      <c r="KJH27" s="1882"/>
      <c r="KJJ27" s="1887"/>
      <c r="KJK27" s="1888"/>
      <c r="KJL27" s="1882"/>
      <c r="KJM27" s="1882"/>
      <c r="KJN27" s="1882"/>
      <c r="KJP27" s="1887"/>
      <c r="KJQ27" s="1888"/>
      <c r="KJR27" s="1882"/>
      <c r="KJS27" s="1882"/>
      <c r="KJT27" s="1882"/>
      <c r="KJV27" s="1887"/>
      <c r="KJW27" s="1888"/>
      <c r="KJX27" s="1882"/>
      <c r="KJY27" s="1882"/>
      <c r="KJZ27" s="1882"/>
      <c r="KKB27" s="1887"/>
      <c r="KKC27" s="1888"/>
      <c r="KKD27" s="1882"/>
      <c r="KKE27" s="1882"/>
      <c r="KKF27" s="1882"/>
      <c r="KKH27" s="1887"/>
      <c r="KKI27" s="1888"/>
      <c r="KKJ27" s="1882"/>
      <c r="KKK27" s="1882"/>
      <c r="KKL27" s="1882"/>
      <c r="KKN27" s="1887"/>
      <c r="KKO27" s="1888"/>
      <c r="KKP27" s="1882"/>
      <c r="KKQ27" s="1882"/>
      <c r="KKR27" s="1882"/>
      <c r="KKT27" s="1887"/>
      <c r="KKU27" s="1888"/>
      <c r="KKV27" s="1882"/>
      <c r="KKW27" s="1882"/>
      <c r="KKX27" s="1882"/>
      <c r="KKZ27" s="1887"/>
      <c r="KLA27" s="1888"/>
      <c r="KLB27" s="1882"/>
      <c r="KLC27" s="1882"/>
      <c r="KLD27" s="1882"/>
      <c r="KLF27" s="1887"/>
      <c r="KLG27" s="1888"/>
      <c r="KLH27" s="1882"/>
      <c r="KLI27" s="1882"/>
      <c r="KLJ27" s="1882"/>
      <c r="KLL27" s="1887"/>
      <c r="KLM27" s="1888"/>
      <c r="KLN27" s="1882"/>
      <c r="KLO27" s="1882"/>
      <c r="KLP27" s="1882"/>
      <c r="KLR27" s="1887"/>
      <c r="KLS27" s="1888"/>
      <c r="KLT27" s="1882"/>
      <c r="KLU27" s="1882"/>
      <c r="KLV27" s="1882"/>
      <c r="KLX27" s="1887"/>
      <c r="KLY27" s="1888"/>
      <c r="KLZ27" s="1882"/>
      <c r="KMA27" s="1882"/>
      <c r="KMB27" s="1882"/>
      <c r="KMD27" s="1887"/>
      <c r="KME27" s="1888"/>
      <c r="KMF27" s="1882"/>
      <c r="KMG27" s="1882"/>
      <c r="KMH27" s="1882"/>
      <c r="KMJ27" s="1887"/>
      <c r="KMK27" s="1888"/>
      <c r="KML27" s="1882"/>
      <c r="KMM27" s="1882"/>
      <c r="KMN27" s="1882"/>
      <c r="KMP27" s="1887"/>
      <c r="KMQ27" s="1888"/>
      <c r="KMR27" s="1882"/>
      <c r="KMS27" s="1882"/>
      <c r="KMT27" s="1882"/>
      <c r="KMV27" s="1887"/>
      <c r="KMW27" s="1888"/>
      <c r="KMX27" s="1882"/>
      <c r="KMY27" s="1882"/>
      <c r="KMZ27" s="1882"/>
      <c r="KNB27" s="1887"/>
      <c r="KNC27" s="1888"/>
      <c r="KND27" s="1882"/>
      <c r="KNE27" s="1882"/>
      <c r="KNF27" s="1882"/>
      <c r="KNH27" s="1887"/>
      <c r="KNI27" s="1888"/>
      <c r="KNJ27" s="1882"/>
      <c r="KNK27" s="1882"/>
      <c r="KNL27" s="1882"/>
      <c r="KNN27" s="1887"/>
      <c r="KNO27" s="1888"/>
      <c r="KNP27" s="1882"/>
      <c r="KNQ27" s="1882"/>
      <c r="KNR27" s="1882"/>
      <c r="KNT27" s="1887"/>
      <c r="KNU27" s="1888"/>
      <c r="KNV27" s="1882"/>
      <c r="KNW27" s="1882"/>
      <c r="KNX27" s="1882"/>
      <c r="KNZ27" s="1887"/>
      <c r="KOA27" s="1888"/>
      <c r="KOB27" s="1882"/>
      <c r="KOC27" s="1882"/>
      <c r="KOD27" s="1882"/>
      <c r="KOF27" s="1887"/>
      <c r="KOG27" s="1888"/>
      <c r="KOH27" s="1882"/>
      <c r="KOI27" s="1882"/>
      <c r="KOJ27" s="1882"/>
      <c r="KOL27" s="1887"/>
      <c r="KOM27" s="1888"/>
      <c r="KON27" s="1882"/>
      <c r="KOO27" s="1882"/>
      <c r="KOP27" s="1882"/>
      <c r="KOR27" s="1887"/>
      <c r="KOS27" s="1888"/>
      <c r="KOT27" s="1882"/>
      <c r="KOU27" s="1882"/>
      <c r="KOV27" s="1882"/>
      <c r="KOX27" s="1887"/>
      <c r="KOY27" s="1888"/>
      <c r="KOZ27" s="1882"/>
      <c r="KPA27" s="1882"/>
      <c r="KPB27" s="1882"/>
      <c r="KPD27" s="1887"/>
      <c r="KPE27" s="1888"/>
      <c r="KPF27" s="1882"/>
      <c r="KPG27" s="1882"/>
      <c r="KPH27" s="1882"/>
      <c r="KPJ27" s="1887"/>
      <c r="KPK27" s="1888"/>
      <c r="KPL27" s="1882"/>
      <c r="KPM27" s="1882"/>
      <c r="KPN27" s="1882"/>
      <c r="KPP27" s="1887"/>
      <c r="KPQ27" s="1888"/>
      <c r="KPR27" s="1882"/>
      <c r="KPS27" s="1882"/>
      <c r="KPT27" s="1882"/>
      <c r="KPV27" s="1887"/>
      <c r="KPW27" s="1888"/>
      <c r="KPX27" s="1882"/>
      <c r="KPY27" s="1882"/>
      <c r="KPZ27" s="1882"/>
      <c r="KQB27" s="1887"/>
      <c r="KQC27" s="1888"/>
      <c r="KQD27" s="1882"/>
      <c r="KQE27" s="1882"/>
      <c r="KQF27" s="1882"/>
      <c r="KQH27" s="1887"/>
      <c r="KQI27" s="1888"/>
      <c r="KQJ27" s="1882"/>
      <c r="KQK27" s="1882"/>
      <c r="KQL27" s="1882"/>
      <c r="KQN27" s="1887"/>
      <c r="KQO27" s="1888"/>
      <c r="KQP27" s="1882"/>
      <c r="KQQ27" s="1882"/>
      <c r="KQR27" s="1882"/>
      <c r="KQT27" s="1887"/>
      <c r="KQU27" s="1888"/>
      <c r="KQV27" s="1882"/>
      <c r="KQW27" s="1882"/>
      <c r="KQX27" s="1882"/>
      <c r="KQZ27" s="1887"/>
      <c r="KRA27" s="1888"/>
      <c r="KRB27" s="1882"/>
      <c r="KRC27" s="1882"/>
      <c r="KRD27" s="1882"/>
      <c r="KRF27" s="1887"/>
      <c r="KRG27" s="1888"/>
      <c r="KRH27" s="1882"/>
      <c r="KRI27" s="1882"/>
      <c r="KRJ27" s="1882"/>
      <c r="KRL27" s="1887"/>
      <c r="KRM27" s="1888"/>
      <c r="KRN27" s="1882"/>
      <c r="KRO27" s="1882"/>
      <c r="KRP27" s="1882"/>
      <c r="KRR27" s="1887"/>
      <c r="KRS27" s="1888"/>
      <c r="KRT27" s="1882"/>
      <c r="KRU27" s="1882"/>
      <c r="KRV27" s="1882"/>
      <c r="KRX27" s="1887"/>
      <c r="KRY27" s="1888"/>
      <c r="KRZ27" s="1882"/>
      <c r="KSA27" s="1882"/>
      <c r="KSB27" s="1882"/>
      <c r="KSD27" s="1887"/>
      <c r="KSE27" s="1888"/>
      <c r="KSF27" s="1882"/>
      <c r="KSG27" s="1882"/>
      <c r="KSH27" s="1882"/>
      <c r="KSJ27" s="1887"/>
      <c r="KSK27" s="1888"/>
      <c r="KSL27" s="1882"/>
      <c r="KSM27" s="1882"/>
      <c r="KSN27" s="1882"/>
      <c r="KSP27" s="1887"/>
      <c r="KSQ27" s="1888"/>
      <c r="KSR27" s="1882"/>
      <c r="KSS27" s="1882"/>
      <c r="KST27" s="1882"/>
      <c r="KSV27" s="1887"/>
      <c r="KSW27" s="1888"/>
      <c r="KSX27" s="1882"/>
      <c r="KSY27" s="1882"/>
      <c r="KSZ27" s="1882"/>
      <c r="KTB27" s="1887"/>
      <c r="KTC27" s="1888"/>
      <c r="KTD27" s="1882"/>
      <c r="KTE27" s="1882"/>
      <c r="KTF27" s="1882"/>
      <c r="KTH27" s="1887"/>
      <c r="KTI27" s="1888"/>
      <c r="KTJ27" s="1882"/>
      <c r="KTK27" s="1882"/>
      <c r="KTL27" s="1882"/>
      <c r="KTN27" s="1887"/>
      <c r="KTO27" s="1888"/>
      <c r="KTP27" s="1882"/>
      <c r="KTQ27" s="1882"/>
      <c r="KTR27" s="1882"/>
      <c r="KTT27" s="1887"/>
      <c r="KTU27" s="1888"/>
      <c r="KTV27" s="1882"/>
      <c r="KTW27" s="1882"/>
      <c r="KTX27" s="1882"/>
      <c r="KTZ27" s="1887"/>
      <c r="KUA27" s="1888"/>
      <c r="KUB27" s="1882"/>
      <c r="KUC27" s="1882"/>
      <c r="KUD27" s="1882"/>
      <c r="KUF27" s="1887"/>
      <c r="KUG27" s="1888"/>
      <c r="KUH27" s="1882"/>
      <c r="KUI27" s="1882"/>
      <c r="KUJ27" s="1882"/>
      <c r="KUL27" s="1887"/>
      <c r="KUM27" s="1888"/>
      <c r="KUN27" s="1882"/>
      <c r="KUO27" s="1882"/>
      <c r="KUP27" s="1882"/>
      <c r="KUR27" s="1887"/>
      <c r="KUS27" s="1888"/>
      <c r="KUT27" s="1882"/>
      <c r="KUU27" s="1882"/>
      <c r="KUV27" s="1882"/>
      <c r="KUX27" s="1887"/>
      <c r="KUY27" s="1888"/>
      <c r="KUZ27" s="1882"/>
      <c r="KVA27" s="1882"/>
      <c r="KVB27" s="1882"/>
      <c r="KVD27" s="1887"/>
      <c r="KVE27" s="1888"/>
      <c r="KVF27" s="1882"/>
      <c r="KVG27" s="1882"/>
      <c r="KVH27" s="1882"/>
      <c r="KVJ27" s="1887"/>
      <c r="KVK27" s="1888"/>
      <c r="KVL27" s="1882"/>
      <c r="KVM27" s="1882"/>
      <c r="KVN27" s="1882"/>
      <c r="KVP27" s="1887"/>
      <c r="KVQ27" s="1888"/>
      <c r="KVR27" s="1882"/>
      <c r="KVS27" s="1882"/>
      <c r="KVT27" s="1882"/>
      <c r="KVV27" s="1887"/>
      <c r="KVW27" s="1888"/>
      <c r="KVX27" s="1882"/>
      <c r="KVY27" s="1882"/>
      <c r="KVZ27" s="1882"/>
      <c r="KWB27" s="1887"/>
      <c r="KWC27" s="1888"/>
      <c r="KWD27" s="1882"/>
      <c r="KWE27" s="1882"/>
      <c r="KWF27" s="1882"/>
      <c r="KWH27" s="1887"/>
      <c r="KWI27" s="1888"/>
      <c r="KWJ27" s="1882"/>
      <c r="KWK27" s="1882"/>
      <c r="KWL27" s="1882"/>
      <c r="KWN27" s="1887"/>
      <c r="KWO27" s="1888"/>
      <c r="KWP27" s="1882"/>
      <c r="KWQ27" s="1882"/>
      <c r="KWR27" s="1882"/>
      <c r="KWT27" s="1887"/>
      <c r="KWU27" s="1888"/>
      <c r="KWV27" s="1882"/>
      <c r="KWW27" s="1882"/>
      <c r="KWX27" s="1882"/>
      <c r="KWZ27" s="1887"/>
      <c r="KXA27" s="1888"/>
      <c r="KXB27" s="1882"/>
      <c r="KXC27" s="1882"/>
      <c r="KXD27" s="1882"/>
      <c r="KXF27" s="1887"/>
      <c r="KXG27" s="1888"/>
      <c r="KXH27" s="1882"/>
      <c r="KXI27" s="1882"/>
      <c r="KXJ27" s="1882"/>
      <c r="KXL27" s="1887"/>
      <c r="KXM27" s="1888"/>
      <c r="KXN27" s="1882"/>
      <c r="KXO27" s="1882"/>
      <c r="KXP27" s="1882"/>
      <c r="KXR27" s="1887"/>
      <c r="KXS27" s="1888"/>
      <c r="KXT27" s="1882"/>
      <c r="KXU27" s="1882"/>
      <c r="KXV27" s="1882"/>
      <c r="KXX27" s="1887"/>
      <c r="KXY27" s="1888"/>
      <c r="KXZ27" s="1882"/>
      <c r="KYA27" s="1882"/>
      <c r="KYB27" s="1882"/>
      <c r="KYD27" s="1887"/>
      <c r="KYE27" s="1888"/>
      <c r="KYF27" s="1882"/>
      <c r="KYG27" s="1882"/>
      <c r="KYH27" s="1882"/>
      <c r="KYJ27" s="1887"/>
      <c r="KYK27" s="1888"/>
      <c r="KYL27" s="1882"/>
      <c r="KYM27" s="1882"/>
      <c r="KYN27" s="1882"/>
      <c r="KYP27" s="1887"/>
      <c r="KYQ27" s="1888"/>
      <c r="KYR27" s="1882"/>
      <c r="KYS27" s="1882"/>
      <c r="KYT27" s="1882"/>
      <c r="KYV27" s="1887"/>
      <c r="KYW27" s="1888"/>
      <c r="KYX27" s="1882"/>
      <c r="KYY27" s="1882"/>
      <c r="KYZ27" s="1882"/>
      <c r="KZB27" s="1887"/>
      <c r="KZC27" s="1888"/>
      <c r="KZD27" s="1882"/>
      <c r="KZE27" s="1882"/>
      <c r="KZF27" s="1882"/>
      <c r="KZH27" s="1887"/>
      <c r="KZI27" s="1888"/>
      <c r="KZJ27" s="1882"/>
      <c r="KZK27" s="1882"/>
      <c r="KZL27" s="1882"/>
      <c r="KZN27" s="1887"/>
      <c r="KZO27" s="1888"/>
      <c r="KZP27" s="1882"/>
      <c r="KZQ27" s="1882"/>
      <c r="KZR27" s="1882"/>
      <c r="KZT27" s="1887"/>
      <c r="KZU27" s="1888"/>
      <c r="KZV27" s="1882"/>
      <c r="KZW27" s="1882"/>
      <c r="KZX27" s="1882"/>
      <c r="KZZ27" s="1887"/>
      <c r="LAA27" s="1888"/>
      <c r="LAB27" s="1882"/>
      <c r="LAC27" s="1882"/>
      <c r="LAD27" s="1882"/>
      <c r="LAF27" s="1887"/>
      <c r="LAG27" s="1888"/>
      <c r="LAH27" s="1882"/>
      <c r="LAI27" s="1882"/>
      <c r="LAJ27" s="1882"/>
      <c r="LAL27" s="1887"/>
      <c r="LAM27" s="1888"/>
      <c r="LAN27" s="1882"/>
      <c r="LAO27" s="1882"/>
      <c r="LAP27" s="1882"/>
      <c r="LAR27" s="1887"/>
      <c r="LAS27" s="1888"/>
      <c r="LAT27" s="1882"/>
      <c r="LAU27" s="1882"/>
      <c r="LAV27" s="1882"/>
      <c r="LAX27" s="1887"/>
      <c r="LAY27" s="1888"/>
      <c r="LAZ27" s="1882"/>
      <c r="LBA27" s="1882"/>
      <c r="LBB27" s="1882"/>
      <c r="LBD27" s="1887"/>
      <c r="LBE27" s="1888"/>
      <c r="LBF27" s="1882"/>
      <c r="LBG27" s="1882"/>
      <c r="LBH27" s="1882"/>
      <c r="LBJ27" s="1887"/>
      <c r="LBK27" s="1888"/>
      <c r="LBL27" s="1882"/>
      <c r="LBM27" s="1882"/>
      <c r="LBN27" s="1882"/>
      <c r="LBP27" s="1887"/>
      <c r="LBQ27" s="1888"/>
      <c r="LBR27" s="1882"/>
      <c r="LBS27" s="1882"/>
      <c r="LBT27" s="1882"/>
      <c r="LBV27" s="1887"/>
      <c r="LBW27" s="1888"/>
      <c r="LBX27" s="1882"/>
      <c r="LBY27" s="1882"/>
      <c r="LBZ27" s="1882"/>
      <c r="LCB27" s="1887"/>
      <c r="LCC27" s="1888"/>
      <c r="LCD27" s="1882"/>
      <c r="LCE27" s="1882"/>
      <c r="LCF27" s="1882"/>
      <c r="LCH27" s="1887"/>
      <c r="LCI27" s="1888"/>
      <c r="LCJ27" s="1882"/>
      <c r="LCK27" s="1882"/>
      <c r="LCL27" s="1882"/>
      <c r="LCN27" s="1887"/>
      <c r="LCO27" s="1888"/>
      <c r="LCP27" s="1882"/>
      <c r="LCQ27" s="1882"/>
      <c r="LCR27" s="1882"/>
      <c r="LCT27" s="1887"/>
      <c r="LCU27" s="1888"/>
      <c r="LCV27" s="1882"/>
      <c r="LCW27" s="1882"/>
      <c r="LCX27" s="1882"/>
      <c r="LCZ27" s="1887"/>
      <c r="LDA27" s="1888"/>
      <c r="LDB27" s="1882"/>
      <c r="LDC27" s="1882"/>
      <c r="LDD27" s="1882"/>
      <c r="LDF27" s="1887"/>
      <c r="LDG27" s="1888"/>
      <c r="LDH27" s="1882"/>
      <c r="LDI27" s="1882"/>
      <c r="LDJ27" s="1882"/>
      <c r="LDL27" s="1887"/>
      <c r="LDM27" s="1888"/>
      <c r="LDN27" s="1882"/>
      <c r="LDO27" s="1882"/>
      <c r="LDP27" s="1882"/>
      <c r="LDR27" s="1887"/>
      <c r="LDS27" s="1888"/>
      <c r="LDT27" s="1882"/>
      <c r="LDU27" s="1882"/>
      <c r="LDV27" s="1882"/>
      <c r="LDX27" s="1887"/>
      <c r="LDY27" s="1888"/>
      <c r="LDZ27" s="1882"/>
      <c r="LEA27" s="1882"/>
      <c r="LEB27" s="1882"/>
      <c r="LED27" s="1887"/>
      <c r="LEE27" s="1888"/>
      <c r="LEF27" s="1882"/>
      <c r="LEG27" s="1882"/>
      <c r="LEH27" s="1882"/>
      <c r="LEJ27" s="1887"/>
      <c r="LEK27" s="1888"/>
      <c r="LEL27" s="1882"/>
      <c r="LEM27" s="1882"/>
      <c r="LEN27" s="1882"/>
      <c r="LEP27" s="1887"/>
      <c r="LEQ27" s="1888"/>
      <c r="LER27" s="1882"/>
      <c r="LES27" s="1882"/>
      <c r="LET27" s="1882"/>
      <c r="LEV27" s="1887"/>
      <c r="LEW27" s="1888"/>
      <c r="LEX27" s="1882"/>
      <c r="LEY27" s="1882"/>
      <c r="LEZ27" s="1882"/>
      <c r="LFB27" s="1887"/>
      <c r="LFC27" s="1888"/>
      <c r="LFD27" s="1882"/>
      <c r="LFE27" s="1882"/>
      <c r="LFF27" s="1882"/>
      <c r="LFH27" s="1887"/>
      <c r="LFI27" s="1888"/>
      <c r="LFJ27" s="1882"/>
      <c r="LFK27" s="1882"/>
      <c r="LFL27" s="1882"/>
      <c r="LFN27" s="1887"/>
      <c r="LFO27" s="1888"/>
      <c r="LFP27" s="1882"/>
      <c r="LFQ27" s="1882"/>
      <c r="LFR27" s="1882"/>
      <c r="LFT27" s="1887"/>
      <c r="LFU27" s="1888"/>
      <c r="LFV27" s="1882"/>
      <c r="LFW27" s="1882"/>
      <c r="LFX27" s="1882"/>
      <c r="LFZ27" s="1887"/>
      <c r="LGA27" s="1888"/>
      <c r="LGB27" s="1882"/>
      <c r="LGC27" s="1882"/>
      <c r="LGD27" s="1882"/>
      <c r="LGF27" s="1887"/>
      <c r="LGG27" s="1888"/>
      <c r="LGH27" s="1882"/>
      <c r="LGI27" s="1882"/>
      <c r="LGJ27" s="1882"/>
      <c r="LGL27" s="1887"/>
      <c r="LGM27" s="1888"/>
      <c r="LGN27" s="1882"/>
      <c r="LGO27" s="1882"/>
      <c r="LGP27" s="1882"/>
      <c r="LGR27" s="1887"/>
      <c r="LGS27" s="1888"/>
      <c r="LGT27" s="1882"/>
      <c r="LGU27" s="1882"/>
      <c r="LGV27" s="1882"/>
      <c r="LGX27" s="1887"/>
      <c r="LGY27" s="1888"/>
      <c r="LGZ27" s="1882"/>
      <c r="LHA27" s="1882"/>
      <c r="LHB27" s="1882"/>
      <c r="LHD27" s="1887"/>
      <c r="LHE27" s="1888"/>
      <c r="LHF27" s="1882"/>
      <c r="LHG27" s="1882"/>
      <c r="LHH27" s="1882"/>
      <c r="LHJ27" s="1887"/>
      <c r="LHK27" s="1888"/>
      <c r="LHL27" s="1882"/>
      <c r="LHM27" s="1882"/>
      <c r="LHN27" s="1882"/>
      <c r="LHP27" s="1887"/>
      <c r="LHQ27" s="1888"/>
      <c r="LHR27" s="1882"/>
      <c r="LHS27" s="1882"/>
      <c r="LHT27" s="1882"/>
      <c r="LHV27" s="1887"/>
      <c r="LHW27" s="1888"/>
      <c r="LHX27" s="1882"/>
      <c r="LHY27" s="1882"/>
      <c r="LHZ27" s="1882"/>
      <c r="LIB27" s="1887"/>
      <c r="LIC27" s="1888"/>
      <c r="LID27" s="1882"/>
      <c r="LIE27" s="1882"/>
      <c r="LIF27" s="1882"/>
      <c r="LIH27" s="1887"/>
      <c r="LII27" s="1888"/>
      <c r="LIJ27" s="1882"/>
      <c r="LIK27" s="1882"/>
      <c r="LIL27" s="1882"/>
      <c r="LIN27" s="1887"/>
      <c r="LIO27" s="1888"/>
      <c r="LIP27" s="1882"/>
      <c r="LIQ27" s="1882"/>
      <c r="LIR27" s="1882"/>
      <c r="LIT27" s="1887"/>
      <c r="LIU27" s="1888"/>
      <c r="LIV27" s="1882"/>
      <c r="LIW27" s="1882"/>
      <c r="LIX27" s="1882"/>
      <c r="LIZ27" s="1887"/>
      <c r="LJA27" s="1888"/>
      <c r="LJB27" s="1882"/>
      <c r="LJC27" s="1882"/>
      <c r="LJD27" s="1882"/>
      <c r="LJF27" s="1887"/>
      <c r="LJG27" s="1888"/>
      <c r="LJH27" s="1882"/>
      <c r="LJI27" s="1882"/>
      <c r="LJJ27" s="1882"/>
      <c r="LJL27" s="1887"/>
      <c r="LJM27" s="1888"/>
      <c r="LJN27" s="1882"/>
      <c r="LJO27" s="1882"/>
      <c r="LJP27" s="1882"/>
      <c r="LJR27" s="1887"/>
      <c r="LJS27" s="1888"/>
      <c r="LJT27" s="1882"/>
      <c r="LJU27" s="1882"/>
      <c r="LJV27" s="1882"/>
      <c r="LJX27" s="1887"/>
      <c r="LJY27" s="1888"/>
      <c r="LJZ27" s="1882"/>
      <c r="LKA27" s="1882"/>
      <c r="LKB27" s="1882"/>
      <c r="LKD27" s="1887"/>
      <c r="LKE27" s="1888"/>
      <c r="LKF27" s="1882"/>
      <c r="LKG27" s="1882"/>
      <c r="LKH27" s="1882"/>
      <c r="LKJ27" s="1887"/>
      <c r="LKK27" s="1888"/>
      <c r="LKL27" s="1882"/>
      <c r="LKM27" s="1882"/>
      <c r="LKN27" s="1882"/>
      <c r="LKP27" s="1887"/>
      <c r="LKQ27" s="1888"/>
      <c r="LKR27" s="1882"/>
      <c r="LKS27" s="1882"/>
      <c r="LKT27" s="1882"/>
      <c r="LKV27" s="1887"/>
      <c r="LKW27" s="1888"/>
      <c r="LKX27" s="1882"/>
      <c r="LKY27" s="1882"/>
      <c r="LKZ27" s="1882"/>
      <c r="LLB27" s="1887"/>
      <c r="LLC27" s="1888"/>
      <c r="LLD27" s="1882"/>
      <c r="LLE27" s="1882"/>
      <c r="LLF27" s="1882"/>
      <c r="LLH27" s="1887"/>
      <c r="LLI27" s="1888"/>
      <c r="LLJ27" s="1882"/>
      <c r="LLK27" s="1882"/>
      <c r="LLL27" s="1882"/>
      <c r="LLN27" s="1887"/>
      <c r="LLO27" s="1888"/>
      <c r="LLP27" s="1882"/>
      <c r="LLQ27" s="1882"/>
      <c r="LLR27" s="1882"/>
      <c r="LLT27" s="1887"/>
      <c r="LLU27" s="1888"/>
      <c r="LLV27" s="1882"/>
      <c r="LLW27" s="1882"/>
      <c r="LLX27" s="1882"/>
      <c r="LLZ27" s="1887"/>
      <c r="LMA27" s="1888"/>
      <c r="LMB27" s="1882"/>
      <c r="LMC27" s="1882"/>
      <c r="LMD27" s="1882"/>
      <c r="LMF27" s="1887"/>
      <c r="LMG27" s="1888"/>
      <c r="LMH27" s="1882"/>
      <c r="LMI27" s="1882"/>
      <c r="LMJ27" s="1882"/>
      <c r="LML27" s="1887"/>
      <c r="LMM27" s="1888"/>
      <c r="LMN27" s="1882"/>
      <c r="LMO27" s="1882"/>
      <c r="LMP27" s="1882"/>
      <c r="LMR27" s="1887"/>
      <c r="LMS27" s="1888"/>
      <c r="LMT27" s="1882"/>
      <c r="LMU27" s="1882"/>
      <c r="LMV27" s="1882"/>
      <c r="LMX27" s="1887"/>
      <c r="LMY27" s="1888"/>
      <c r="LMZ27" s="1882"/>
      <c r="LNA27" s="1882"/>
      <c r="LNB27" s="1882"/>
      <c r="LND27" s="1887"/>
      <c r="LNE27" s="1888"/>
      <c r="LNF27" s="1882"/>
      <c r="LNG27" s="1882"/>
      <c r="LNH27" s="1882"/>
      <c r="LNJ27" s="1887"/>
      <c r="LNK27" s="1888"/>
      <c r="LNL27" s="1882"/>
      <c r="LNM27" s="1882"/>
      <c r="LNN27" s="1882"/>
      <c r="LNP27" s="1887"/>
      <c r="LNQ27" s="1888"/>
      <c r="LNR27" s="1882"/>
      <c r="LNS27" s="1882"/>
      <c r="LNT27" s="1882"/>
      <c r="LNV27" s="1887"/>
      <c r="LNW27" s="1888"/>
      <c r="LNX27" s="1882"/>
      <c r="LNY27" s="1882"/>
      <c r="LNZ27" s="1882"/>
      <c r="LOB27" s="1887"/>
      <c r="LOC27" s="1888"/>
      <c r="LOD27" s="1882"/>
      <c r="LOE27" s="1882"/>
      <c r="LOF27" s="1882"/>
      <c r="LOH27" s="1887"/>
      <c r="LOI27" s="1888"/>
      <c r="LOJ27" s="1882"/>
      <c r="LOK27" s="1882"/>
      <c r="LOL27" s="1882"/>
      <c r="LON27" s="1887"/>
      <c r="LOO27" s="1888"/>
      <c r="LOP27" s="1882"/>
      <c r="LOQ27" s="1882"/>
      <c r="LOR27" s="1882"/>
      <c r="LOT27" s="1887"/>
      <c r="LOU27" s="1888"/>
      <c r="LOV27" s="1882"/>
      <c r="LOW27" s="1882"/>
      <c r="LOX27" s="1882"/>
      <c r="LOZ27" s="1887"/>
      <c r="LPA27" s="1888"/>
      <c r="LPB27" s="1882"/>
      <c r="LPC27" s="1882"/>
      <c r="LPD27" s="1882"/>
      <c r="LPF27" s="1887"/>
      <c r="LPG27" s="1888"/>
      <c r="LPH27" s="1882"/>
      <c r="LPI27" s="1882"/>
      <c r="LPJ27" s="1882"/>
      <c r="LPL27" s="1887"/>
      <c r="LPM27" s="1888"/>
      <c r="LPN27" s="1882"/>
      <c r="LPO27" s="1882"/>
      <c r="LPP27" s="1882"/>
      <c r="LPR27" s="1887"/>
      <c r="LPS27" s="1888"/>
      <c r="LPT27" s="1882"/>
      <c r="LPU27" s="1882"/>
      <c r="LPV27" s="1882"/>
      <c r="LPX27" s="1887"/>
      <c r="LPY27" s="1888"/>
      <c r="LPZ27" s="1882"/>
      <c r="LQA27" s="1882"/>
      <c r="LQB27" s="1882"/>
      <c r="LQD27" s="1887"/>
      <c r="LQE27" s="1888"/>
      <c r="LQF27" s="1882"/>
      <c r="LQG27" s="1882"/>
      <c r="LQH27" s="1882"/>
      <c r="LQJ27" s="1887"/>
      <c r="LQK27" s="1888"/>
      <c r="LQL27" s="1882"/>
      <c r="LQM27" s="1882"/>
      <c r="LQN27" s="1882"/>
      <c r="LQP27" s="1887"/>
      <c r="LQQ27" s="1888"/>
      <c r="LQR27" s="1882"/>
      <c r="LQS27" s="1882"/>
      <c r="LQT27" s="1882"/>
      <c r="LQV27" s="1887"/>
      <c r="LQW27" s="1888"/>
      <c r="LQX27" s="1882"/>
      <c r="LQY27" s="1882"/>
      <c r="LQZ27" s="1882"/>
      <c r="LRB27" s="1887"/>
      <c r="LRC27" s="1888"/>
      <c r="LRD27" s="1882"/>
      <c r="LRE27" s="1882"/>
      <c r="LRF27" s="1882"/>
      <c r="LRH27" s="1887"/>
      <c r="LRI27" s="1888"/>
      <c r="LRJ27" s="1882"/>
      <c r="LRK27" s="1882"/>
      <c r="LRL27" s="1882"/>
      <c r="LRN27" s="1887"/>
      <c r="LRO27" s="1888"/>
      <c r="LRP27" s="1882"/>
      <c r="LRQ27" s="1882"/>
      <c r="LRR27" s="1882"/>
      <c r="LRT27" s="1887"/>
      <c r="LRU27" s="1888"/>
      <c r="LRV27" s="1882"/>
      <c r="LRW27" s="1882"/>
      <c r="LRX27" s="1882"/>
      <c r="LRZ27" s="1887"/>
      <c r="LSA27" s="1888"/>
      <c r="LSB27" s="1882"/>
      <c r="LSC27" s="1882"/>
      <c r="LSD27" s="1882"/>
      <c r="LSF27" s="1887"/>
      <c r="LSG27" s="1888"/>
      <c r="LSH27" s="1882"/>
      <c r="LSI27" s="1882"/>
      <c r="LSJ27" s="1882"/>
      <c r="LSL27" s="1887"/>
      <c r="LSM27" s="1888"/>
      <c r="LSN27" s="1882"/>
      <c r="LSO27" s="1882"/>
      <c r="LSP27" s="1882"/>
      <c r="LSR27" s="1887"/>
      <c r="LSS27" s="1888"/>
      <c r="LST27" s="1882"/>
      <c r="LSU27" s="1882"/>
      <c r="LSV27" s="1882"/>
      <c r="LSX27" s="1887"/>
      <c r="LSY27" s="1888"/>
      <c r="LSZ27" s="1882"/>
      <c r="LTA27" s="1882"/>
      <c r="LTB27" s="1882"/>
      <c r="LTD27" s="1887"/>
      <c r="LTE27" s="1888"/>
      <c r="LTF27" s="1882"/>
      <c r="LTG27" s="1882"/>
      <c r="LTH27" s="1882"/>
      <c r="LTJ27" s="1887"/>
      <c r="LTK27" s="1888"/>
      <c r="LTL27" s="1882"/>
      <c r="LTM27" s="1882"/>
      <c r="LTN27" s="1882"/>
      <c r="LTP27" s="1887"/>
      <c r="LTQ27" s="1888"/>
      <c r="LTR27" s="1882"/>
      <c r="LTS27" s="1882"/>
      <c r="LTT27" s="1882"/>
      <c r="LTV27" s="1887"/>
      <c r="LTW27" s="1888"/>
      <c r="LTX27" s="1882"/>
      <c r="LTY27" s="1882"/>
      <c r="LTZ27" s="1882"/>
      <c r="LUB27" s="1887"/>
      <c r="LUC27" s="1888"/>
      <c r="LUD27" s="1882"/>
      <c r="LUE27" s="1882"/>
      <c r="LUF27" s="1882"/>
      <c r="LUH27" s="1887"/>
      <c r="LUI27" s="1888"/>
      <c r="LUJ27" s="1882"/>
      <c r="LUK27" s="1882"/>
      <c r="LUL27" s="1882"/>
      <c r="LUN27" s="1887"/>
      <c r="LUO27" s="1888"/>
      <c r="LUP27" s="1882"/>
      <c r="LUQ27" s="1882"/>
      <c r="LUR27" s="1882"/>
      <c r="LUT27" s="1887"/>
      <c r="LUU27" s="1888"/>
      <c r="LUV27" s="1882"/>
      <c r="LUW27" s="1882"/>
      <c r="LUX27" s="1882"/>
      <c r="LUZ27" s="1887"/>
      <c r="LVA27" s="1888"/>
      <c r="LVB27" s="1882"/>
      <c r="LVC27" s="1882"/>
      <c r="LVD27" s="1882"/>
      <c r="LVF27" s="1887"/>
      <c r="LVG27" s="1888"/>
      <c r="LVH27" s="1882"/>
      <c r="LVI27" s="1882"/>
      <c r="LVJ27" s="1882"/>
      <c r="LVL27" s="1887"/>
      <c r="LVM27" s="1888"/>
      <c r="LVN27" s="1882"/>
      <c r="LVO27" s="1882"/>
      <c r="LVP27" s="1882"/>
      <c r="LVR27" s="1887"/>
      <c r="LVS27" s="1888"/>
      <c r="LVT27" s="1882"/>
      <c r="LVU27" s="1882"/>
      <c r="LVV27" s="1882"/>
      <c r="LVX27" s="1887"/>
      <c r="LVY27" s="1888"/>
      <c r="LVZ27" s="1882"/>
      <c r="LWA27" s="1882"/>
      <c r="LWB27" s="1882"/>
      <c r="LWD27" s="1887"/>
      <c r="LWE27" s="1888"/>
      <c r="LWF27" s="1882"/>
      <c r="LWG27" s="1882"/>
      <c r="LWH27" s="1882"/>
      <c r="LWJ27" s="1887"/>
      <c r="LWK27" s="1888"/>
      <c r="LWL27" s="1882"/>
      <c r="LWM27" s="1882"/>
      <c r="LWN27" s="1882"/>
      <c r="LWP27" s="1887"/>
      <c r="LWQ27" s="1888"/>
      <c r="LWR27" s="1882"/>
      <c r="LWS27" s="1882"/>
      <c r="LWT27" s="1882"/>
      <c r="LWV27" s="1887"/>
      <c r="LWW27" s="1888"/>
      <c r="LWX27" s="1882"/>
      <c r="LWY27" s="1882"/>
      <c r="LWZ27" s="1882"/>
      <c r="LXB27" s="1887"/>
      <c r="LXC27" s="1888"/>
      <c r="LXD27" s="1882"/>
      <c r="LXE27" s="1882"/>
      <c r="LXF27" s="1882"/>
      <c r="LXH27" s="1887"/>
      <c r="LXI27" s="1888"/>
      <c r="LXJ27" s="1882"/>
      <c r="LXK27" s="1882"/>
      <c r="LXL27" s="1882"/>
      <c r="LXN27" s="1887"/>
      <c r="LXO27" s="1888"/>
      <c r="LXP27" s="1882"/>
      <c r="LXQ27" s="1882"/>
      <c r="LXR27" s="1882"/>
      <c r="LXT27" s="1887"/>
      <c r="LXU27" s="1888"/>
      <c r="LXV27" s="1882"/>
      <c r="LXW27" s="1882"/>
      <c r="LXX27" s="1882"/>
      <c r="LXZ27" s="1887"/>
      <c r="LYA27" s="1888"/>
      <c r="LYB27" s="1882"/>
      <c r="LYC27" s="1882"/>
      <c r="LYD27" s="1882"/>
      <c r="LYF27" s="1887"/>
      <c r="LYG27" s="1888"/>
      <c r="LYH27" s="1882"/>
      <c r="LYI27" s="1882"/>
      <c r="LYJ27" s="1882"/>
      <c r="LYL27" s="1887"/>
      <c r="LYM27" s="1888"/>
      <c r="LYN27" s="1882"/>
      <c r="LYO27" s="1882"/>
      <c r="LYP27" s="1882"/>
      <c r="LYR27" s="1887"/>
      <c r="LYS27" s="1888"/>
      <c r="LYT27" s="1882"/>
      <c r="LYU27" s="1882"/>
      <c r="LYV27" s="1882"/>
      <c r="LYX27" s="1887"/>
      <c r="LYY27" s="1888"/>
      <c r="LYZ27" s="1882"/>
      <c r="LZA27" s="1882"/>
      <c r="LZB27" s="1882"/>
      <c r="LZD27" s="1887"/>
      <c r="LZE27" s="1888"/>
      <c r="LZF27" s="1882"/>
      <c r="LZG27" s="1882"/>
      <c r="LZH27" s="1882"/>
      <c r="LZJ27" s="1887"/>
      <c r="LZK27" s="1888"/>
      <c r="LZL27" s="1882"/>
      <c r="LZM27" s="1882"/>
      <c r="LZN27" s="1882"/>
      <c r="LZP27" s="1887"/>
      <c r="LZQ27" s="1888"/>
      <c r="LZR27" s="1882"/>
      <c r="LZS27" s="1882"/>
      <c r="LZT27" s="1882"/>
      <c r="LZV27" s="1887"/>
      <c r="LZW27" s="1888"/>
      <c r="LZX27" s="1882"/>
      <c r="LZY27" s="1882"/>
      <c r="LZZ27" s="1882"/>
      <c r="MAB27" s="1887"/>
      <c r="MAC27" s="1888"/>
      <c r="MAD27" s="1882"/>
      <c r="MAE27" s="1882"/>
      <c r="MAF27" s="1882"/>
      <c r="MAH27" s="1887"/>
      <c r="MAI27" s="1888"/>
      <c r="MAJ27" s="1882"/>
      <c r="MAK27" s="1882"/>
      <c r="MAL27" s="1882"/>
      <c r="MAN27" s="1887"/>
      <c r="MAO27" s="1888"/>
      <c r="MAP27" s="1882"/>
      <c r="MAQ27" s="1882"/>
      <c r="MAR27" s="1882"/>
      <c r="MAT27" s="1887"/>
      <c r="MAU27" s="1888"/>
      <c r="MAV27" s="1882"/>
      <c r="MAW27" s="1882"/>
      <c r="MAX27" s="1882"/>
      <c r="MAZ27" s="1887"/>
      <c r="MBA27" s="1888"/>
      <c r="MBB27" s="1882"/>
      <c r="MBC27" s="1882"/>
      <c r="MBD27" s="1882"/>
      <c r="MBF27" s="1887"/>
      <c r="MBG27" s="1888"/>
      <c r="MBH27" s="1882"/>
      <c r="MBI27" s="1882"/>
      <c r="MBJ27" s="1882"/>
      <c r="MBL27" s="1887"/>
      <c r="MBM27" s="1888"/>
      <c r="MBN27" s="1882"/>
      <c r="MBO27" s="1882"/>
      <c r="MBP27" s="1882"/>
      <c r="MBR27" s="1887"/>
      <c r="MBS27" s="1888"/>
      <c r="MBT27" s="1882"/>
      <c r="MBU27" s="1882"/>
      <c r="MBV27" s="1882"/>
      <c r="MBX27" s="1887"/>
      <c r="MBY27" s="1888"/>
      <c r="MBZ27" s="1882"/>
      <c r="MCA27" s="1882"/>
      <c r="MCB27" s="1882"/>
      <c r="MCD27" s="1887"/>
      <c r="MCE27" s="1888"/>
      <c r="MCF27" s="1882"/>
      <c r="MCG27" s="1882"/>
      <c r="MCH27" s="1882"/>
      <c r="MCJ27" s="1887"/>
      <c r="MCK27" s="1888"/>
      <c r="MCL27" s="1882"/>
      <c r="MCM27" s="1882"/>
      <c r="MCN27" s="1882"/>
      <c r="MCP27" s="1887"/>
      <c r="MCQ27" s="1888"/>
      <c r="MCR27" s="1882"/>
      <c r="MCS27" s="1882"/>
      <c r="MCT27" s="1882"/>
      <c r="MCV27" s="1887"/>
      <c r="MCW27" s="1888"/>
      <c r="MCX27" s="1882"/>
      <c r="MCY27" s="1882"/>
      <c r="MCZ27" s="1882"/>
      <c r="MDB27" s="1887"/>
      <c r="MDC27" s="1888"/>
      <c r="MDD27" s="1882"/>
      <c r="MDE27" s="1882"/>
      <c r="MDF27" s="1882"/>
      <c r="MDH27" s="1887"/>
      <c r="MDI27" s="1888"/>
      <c r="MDJ27" s="1882"/>
      <c r="MDK27" s="1882"/>
      <c r="MDL27" s="1882"/>
      <c r="MDN27" s="1887"/>
      <c r="MDO27" s="1888"/>
      <c r="MDP27" s="1882"/>
      <c r="MDQ27" s="1882"/>
      <c r="MDR27" s="1882"/>
      <c r="MDT27" s="1887"/>
      <c r="MDU27" s="1888"/>
      <c r="MDV27" s="1882"/>
      <c r="MDW27" s="1882"/>
      <c r="MDX27" s="1882"/>
      <c r="MDZ27" s="1887"/>
      <c r="MEA27" s="1888"/>
      <c r="MEB27" s="1882"/>
      <c r="MEC27" s="1882"/>
      <c r="MED27" s="1882"/>
      <c r="MEF27" s="1887"/>
      <c r="MEG27" s="1888"/>
      <c r="MEH27" s="1882"/>
      <c r="MEI27" s="1882"/>
      <c r="MEJ27" s="1882"/>
      <c r="MEL27" s="1887"/>
      <c r="MEM27" s="1888"/>
      <c r="MEN27" s="1882"/>
      <c r="MEO27" s="1882"/>
      <c r="MEP27" s="1882"/>
      <c r="MER27" s="1887"/>
      <c r="MES27" s="1888"/>
      <c r="MET27" s="1882"/>
      <c r="MEU27" s="1882"/>
      <c r="MEV27" s="1882"/>
      <c r="MEX27" s="1887"/>
      <c r="MEY27" s="1888"/>
      <c r="MEZ27" s="1882"/>
      <c r="MFA27" s="1882"/>
      <c r="MFB27" s="1882"/>
      <c r="MFD27" s="1887"/>
      <c r="MFE27" s="1888"/>
      <c r="MFF27" s="1882"/>
      <c r="MFG27" s="1882"/>
      <c r="MFH27" s="1882"/>
      <c r="MFJ27" s="1887"/>
      <c r="MFK27" s="1888"/>
      <c r="MFL27" s="1882"/>
      <c r="MFM27" s="1882"/>
      <c r="MFN27" s="1882"/>
      <c r="MFP27" s="1887"/>
      <c r="MFQ27" s="1888"/>
      <c r="MFR27" s="1882"/>
      <c r="MFS27" s="1882"/>
      <c r="MFT27" s="1882"/>
      <c r="MFV27" s="1887"/>
      <c r="MFW27" s="1888"/>
      <c r="MFX27" s="1882"/>
      <c r="MFY27" s="1882"/>
      <c r="MFZ27" s="1882"/>
      <c r="MGB27" s="1887"/>
      <c r="MGC27" s="1888"/>
      <c r="MGD27" s="1882"/>
      <c r="MGE27" s="1882"/>
      <c r="MGF27" s="1882"/>
      <c r="MGH27" s="1887"/>
      <c r="MGI27" s="1888"/>
      <c r="MGJ27" s="1882"/>
      <c r="MGK27" s="1882"/>
      <c r="MGL27" s="1882"/>
      <c r="MGN27" s="1887"/>
      <c r="MGO27" s="1888"/>
      <c r="MGP27" s="1882"/>
      <c r="MGQ27" s="1882"/>
      <c r="MGR27" s="1882"/>
      <c r="MGT27" s="1887"/>
      <c r="MGU27" s="1888"/>
      <c r="MGV27" s="1882"/>
      <c r="MGW27" s="1882"/>
      <c r="MGX27" s="1882"/>
      <c r="MGZ27" s="1887"/>
      <c r="MHA27" s="1888"/>
      <c r="MHB27" s="1882"/>
      <c r="MHC27" s="1882"/>
      <c r="MHD27" s="1882"/>
      <c r="MHF27" s="1887"/>
      <c r="MHG27" s="1888"/>
      <c r="MHH27" s="1882"/>
      <c r="MHI27" s="1882"/>
      <c r="MHJ27" s="1882"/>
      <c r="MHL27" s="1887"/>
      <c r="MHM27" s="1888"/>
      <c r="MHN27" s="1882"/>
      <c r="MHO27" s="1882"/>
      <c r="MHP27" s="1882"/>
      <c r="MHR27" s="1887"/>
      <c r="MHS27" s="1888"/>
      <c r="MHT27" s="1882"/>
      <c r="MHU27" s="1882"/>
      <c r="MHV27" s="1882"/>
      <c r="MHX27" s="1887"/>
      <c r="MHY27" s="1888"/>
      <c r="MHZ27" s="1882"/>
      <c r="MIA27" s="1882"/>
      <c r="MIB27" s="1882"/>
      <c r="MID27" s="1887"/>
      <c r="MIE27" s="1888"/>
      <c r="MIF27" s="1882"/>
      <c r="MIG27" s="1882"/>
      <c r="MIH27" s="1882"/>
      <c r="MIJ27" s="1887"/>
      <c r="MIK27" s="1888"/>
      <c r="MIL27" s="1882"/>
      <c r="MIM27" s="1882"/>
      <c r="MIN27" s="1882"/>
      <c r="MIP27" s="1887"/>
      <c r="MIQ27" s="1888"/>
      <c r="MIR27" s="1882"/>
      <c r="MIS27" s="1882"/>
      <c r="MIT27" s="1882"/>
      <c r="MIV27" s="1887"/>
      <c r="MIW27" s="1888"/>
      <c r="MIX27" s="1882"/>
      <c r="MIY27" s="1882"/>
      <c r="MIZ27" s="1882"/>
      <c r="MJB27" s="1887"/>
      <c r="MJC27" s="1888"/>
      <c r="MJD27" s="1882"/>
      <c r="MJE27" s="1882"/>
      <c r="MJF27" s="1882"/>
      <c r="MJH27" s="1887"/>
      <c r="MJI27" s="1888"/>
      <c r="MJJ27" s="1882"/>
      <c r="MJK27" s="1882"/>
      <c r="MJL27" s="1882"/>
      <c r="MJN27" s="1887"/>
      <c r="MJO27" s="1888"/>
      <c r="MJP27" s="1882"/>
      <c r="MJQ27" s="1882"/>
      <c r="MJR27" s="1882"/>
      <c r="MJT27" s="1887"/>
      <c r="MJU27" s="1888"/>
      <c r="MJV27" s="1882"/>
      <c r="MJW27" s="1882"/>
      <c r="MJX27" s="1882"/>
      <c r="MJZ27" s="1887"/>
      <c r="MKA27" s="1888"/>
      <c r="MKB27" s="1882"/>
      <c r="MKC27" s="1882"/>
      <c r="MKD27" s="1882"/>
      <c r="MKF27" s="1887"/>
      <c r="MKG27" s="1888"/>
      <c r="MKH27" s="1882"/>
      <c r="MKI27" s="1882"/>
      <c r="MKJ27" s="1882"/>
      <c r="MKL27" s="1887"/>
      <c r="MKM27" s="1888"/>
      <c r="MKN27" s="1882"/>
      <c r="MKO27" s="1882"/>
      <c r="MKP27" s="1882"/>
      <c r="MKR27" s="1887"/>
      <c r="MKS27" s="1888"/>
      <c r="MKT27" s="1882"/>
      <c r="MKU27" s="1882"/>
      <c r="MKV27" s="1882"/>
      <c r="MKX27" s="1887"/>
      <c r="MKY27" s="1888"/>
      <c r="MKZ27" s="1882"/>
      <c r="MLA27" s="1882"/>
      <c r="MLB27" s="1882"/>
      <c r="MLD27" s="1887"/>
      <c r="MLE27" s="1888"/>
      <c r="MLF27" s="1882"/>
      <c r="MLG27" s="1882"/>
      <c r="MLH27" s="1882"/>
      <c r="MLJ27" s="1887"/>
      <c r="MLK27" s="1888"/>
      <c r="MLL27" s="1882"/>
      <c r="MLM27" s="1882"/>
      <c r="MLN27" s="1882"/>
      <c r="MLP27" s="1887"/>
      <c r="MLQ27" s="1888"/>
      <c r="MLR27" s="1882"/>
      <c r="MLS27" s="1882"/>
      <c r="MLT27" s="1882"/>
      <c r="MLV27" s="1887"/>
      <c r="MLW27" s="1888"/>
      <c r="MLX27" s="1882"/>
      <c r="MLY27" s="1882"/>
      <c r="MLZ27" s="1882"/>
      <c r="MMB27" s="1887"/>
      <c r="MMC27" s="1888"/>
      <c r="MMD27" s="1882"/>
      <c r="MME27" s="1882"/>
      <c r="MMF27" s="1882"/>
      <c r="MMH27" s="1887"/>
      <c r="MMI27" s="1888"/>
      <c r="MMJ27" s="1882"/>
      <c r="MMK27" s="1882"/>
      <c r="MML27" s="1882"/>
      <c r="MMN27" s="1887"/>
      <c r="MMO27" s="1888"/>
      <c r="MMP27" s="1882"/>
      <c r="MMQ27" s="1882"/>
      <c r="MMR27" s="1882"/>
      <c r="MMT27" s="1887"/>
      <c r="MMU27" s="1888"/>
      <c r="MMV27" s="1882"/>
      <c r="MMW27" s="1882"/>
      <c r="MMX27" s="1882"/>
      <c r="MMZ27" s="1887"/>
      <c r="MNA27" s="1888"/>
      <c r="MNB27" s="1882"/>
      <c r="MNC27" s="1882"/>
      <c r="MND27" s="1882"/>
      <c r="MNF27" s="1887"/>
      <c r="MNG27" s="1888"/>
      <c r="MNH27" s="1882"/>
      <c r="MNI27" s="1882"/>
      <c r="MNJ27" s="1882"/>
      <c r="MNL27" s="1887"/>
      <c r="MNM27" s="1888"/>
      <c r="MNN27" s="1882"/>
      <c r="MNO27" s="1882"/>
      <c r="MNP27" s="1882"/>
      <c r="MNR27" s="1887"/>
      <c r="MNS27" s="1888"/>
      <c r="MNT27" s="1882"/>
      <c r="MNU27" s="1882"/>
      <c r="MNV27" s="1882"/>
      <c r="MNX27" s="1887"/>
      <c r="MNY27" s="1888"/>
      <c r="MNZ27" s="1882"/>
      <c r="MOA27" s="1882"/>
      <c r="MOB27" s="1882"/>
      <c r="MOD27" s="1887"/>
      <c r="MOE27" s="1888"/>
      <c r="MOF27" s="1882"/>
      <c r="MOG27" s="1882"/>
      <c r="MOH27" s="1882"/>
      <c r="MOJ27" s="1887"/>
      <c r="MOK27" s="1888"/>
      <c r="MOL27" s="1882"/>
      <c r="MOM27" s="1882"/>
      <c r="MON27" s="1882"/>
      <c r="MOP27" s="1887"/>
      <c r="MOQ27" s="1888"/>
      <c r="MOR27" s="1882"/>
      <c r="MOS27" s="1882"/>
      <c r="MOT27" s="1882"/>
      <c r="MOV27" s="1887"/>
      <c r="MOW27" s="1888"/>
      <c r="MOX27" s="1882"/>
      <c r="MOY27" s="1882"/>
      <c r="MOZ27" s="1882"/>
      <c r="MPB27" s="1887"/>
      <c r="MPC27" s="1888"/>
      <c r="MPD27" s="1882"/>
      <c r="MPE27" s="1882"/>
      <c r="MPF27" s="1882"/>
      <c r="MPH27" s="1887"/>
      <c r="MPI27" s="1888"/>
      <c r="MPJ27" s="1882"/>
      <c r="MPK27" s="1882"/>
      <c r="MPL27" s="1882"/>
      <c r="MPN27" s="1887"/>
      <c r="MPO27" s="1888"/>
      <c r="MPP27" s="1882"/>
      <c r="MPQ27" s="1882"/>
      <c r="MPR27" s="1882"/>
      <c r="MPT27" s="1887"/>
      <c r="MPU27" s="1888"/>
      <c r="MPV27" s="1882"/>
      <c r="MPW27" s="1882"/>
      <c r="MPX27" s="1882"/>
      <c r="MPZ27" s="1887"/>
      <c r="MQA27" s="1888"/>
      <c r="MQB27" s="1882"/>
      <c r="MQC27" s="1882"/>
      <c r="MQD27" s="1882"/>
      <c r="MQF27" s="1887"/>
      <c r="MQG27" s="1888"/>
      <c r="MQH27" s="1882"/>
      <c r="MQI27" s="1882"/>
      <c r="MQJ27" s="1882"/>
      <c r="MQL27" s="1887"/>
      <c r="MQM27" s="1888"/>
      <c r="MQN27" s="1882"/>
      <c r="MQO27" s="1882"/>
      <c r="MQP27" s="1882"/>
      <c r="MQR27" s="1887"/>
      <c r="MQS27" s="1888"/>
      <c r="MQT27" s="1882"/>
      <c r="MQU27" s="1882"/>
      <c r="MQV27" s="1882"/>
      <c r="MQX27" s="1887"/>
      <c r="MQY27" s="1888"/>
      <c r="MQZ27" s="1882"/>
      <c r="MRA27" s="1882"/>
      <c r="MRB27" s="1882"/>
      <c r="MRD27" s="1887"/>
      <c r="MRE27" s="1888"/>
      <c r="MRF27" s="1882"/>
      <c r="MRG27" s="1882"/>
      <c r="MRH27" s="1882"/>
      <c r="MRJ27" s="1887"/>
      <c r="MRK27" s="1888"/>
      <c r="MRL27" s="1882"/>
      <c r="MRM27" s="1882"/>
      <c r="MRN27" s="1882"/>
      <c r="MRP27" s="1887"/>
      <c r="MRQ27" s="1888"/>
      <c r="MRR27" s="1882"/>
      <c r="MRS27" s="1882"/>
      <c r="MRT27" s="1882"/>
      <c r="MRV27" s="1887"/>
      <c r="MRW27" s="1888"/>
      <c r="MRX27" s="1882"/>
      <c r="MRY27" s="1882"/>
      <c r="MRZ27" s="1882"/>
      <c r="MSB27" s="1887"/>
      <c r="MSC27" s="1888"/>
      <c r="MSD27" s="1882"/>
      <c r="MSE27" s="1882"/>
      <c r="MSF27" s="1882"/>
      <c r="MSH27" s="1887"/>
      <c r="MSI27" s="1888"/>
      <c r="MSJ27" s="1882"/>
      <c r="MSK27" s="1882"/>
      <c r="MSL27" s="1882"/>
      <c r="MSN27" s="1887"/>
      <c r="MSO27" s="1888"/>
      <c r="MSP27" s="1882"/>
      <c r="MSQ27" s="1882"/>
      <c r="MSR27" s="1882"/>
      <c r="MST27" s="1887"/>
      <c r="MSU27" s="1888"/>
      <c r="MSV27" s="1882"/>
      <c r="MSW27" s="1882"/>
      <c r="MSX27" s="1882"/>
      <c r="MSZ27" s="1887"/>
      <c r="MTA27" s="1888"/>
      <c r="MTB27" s="1882"/>
      <c r="MTC27" s="1882"/>
      <c r="MTD27" s="1882"/>
      <c r="MTF27" s="1887"/>
      <c r="MTG27" s="1888"/>
      <c r="MTH27" s="1882"/>
      <c r="MTI27" s="1882"/>
      <c r="MTJ27" s="1882"/>
      <c r="MTL27" s="1887"/>
      <c r="MTM27" s="1888"/>
      <c r="MTN27" s="1882"/>
      <c r="MTO27" s="1882"/>
      <c r="MTP27" s="1882"/>
      <c r="MTR27" s="1887"/>
      <c r="MTS27" s="1888"/>
      <c r="MTT27" s="1882"/>
      <c r="MTU27" s="1882"/>
      <c r="MTV27" s="1882"/>
      <c r="MTX27" s="1887"/>
      <c r="MTY27" s="1888"/>
      <c r="MTZ27" s="1882"/>
      <c r="MUA27" s="1882"/>
      <c r="MUB27" s="1882"/>
      <c r="MUD27" s="1887"/>
      <c r="MUE27" s="1888"/>
      <c r="MUF27" s="1882"/>
      <c r="MUG27" s="1882"/>
      <c r="MUH27" s="1882"/>
      <c r="MUJ27" s="1887"/>
      <c r="MUK27" s="1888"/>
      <c r="MUL27" s="1882"/>
      <c r="MUM27" s="1882"/>
      <c r="MUN27" s="1882"/>
      <c r="MUP27" s="1887"/>
      <c r="MUQ27" s="1888"/>
      <c r="MUR27" s="1882"/>
      <c r="MUS27" s="1882"/>
      <c r="MUT27" s="1882"/>
      <c r="MUV27" s="1887"/>
      <c r="MUW27" s="1888"/>
      <c r="MUX27" s="1882"/>
      <c r="MUY27" s="1882"/>
      <c r="MUZ27" s="1882"/>
      <c r="MVB27" s="1887"/>
      <c r="MVC27" s="1888"/>
      <c r="MVD27" s="1882"/>
      <c r="MVE27" s="1882"/>
      <c r="MVF27" s="1882"/>
      <c r="MVH27" s="1887"/>
      <c r="MVI27" s="1888"/>
      <c r="MVJ27" s="1882"/>
      <c r="MVK27" s="1882"/>
      <c r="MVL27" s="1882"/>
      <c r="MVN27" s="1887"/>
      <c r="MVO27" s="1888"/>
      <c r="MVP27" s="1882"/>
      <c r="MVQ27" s="1882"/>
      <c r="MVR27" s="1882"/>
      <c r="MVT27" s="1887"/>
      <c r="MVU27" s="1888"/>
      <c r="MVV27" s="1882"/>
      <c r="MVW27" s="1882"/>
      <c r="MVX27" s="1882"/>
      <c r="MVZ27" s="1887"/>
      <c r="MWA27" s="1888"/>
      <c r="MWB27" s="1882"/>
      <c r="MWC27" s="1882"/>
      <c r="MWD27" s="1882"/>
      <c r="MWF27" s="1887"/>
      <c r="MWG27" s="1888"/>
      <c r="MWH27" s="1882"/>
      <c r="MWI27" s="1882"/>
      <c r="MWJ27" s="1882"/>
      <c r="MWL27" s="1887"/>
      <c r="MWM27" s="1888"/>
      <c r="MWN27" s="1882"/>
      <c r="MWO27" s="1882"/>
      <c r="MWP27" s="1882"/>
      <c r="MWR27" s="1887"/>
      <c r="MWS27" s="1888"/>
      <c r="MWT27" s="1882"/>
      <c r="MWU27" s="1882"/>
      <c r="MWV27" s="1882"/>
      <c r="MWX27" s="1887"/>
      <c r="MWY27" s="1888"/>
      <c r="MWZ27" s="1882"/>
      <c r="MXA27" s="1882"/>
      <c r="MXB27" s="1882"/>
      <c r="MXD27" s="1887"/>
      <c r="MXE27" s="1888"/>
      <c r="MXF27" s="1882"/>
      <c r="MXG27" s="1882"/>
      <c r="MXH27" s="1882"/>
      <c r="MXJ27" s="1887"/>
      <c r="MXK27" s="1888"/>
      <c r="MXL27" s="1882"/>
      <c r="MXM27" s="1882"/>
      <c r="MXN27" s="1882"/>
      <c r="MXP27" s="1887"/>
      <c r="MXQ27" s="1888"/>
      <c r="MXR27" s="1882"/>
      <c r="MXS27" s="1882"/>
      <c r="MXT27" s="1882"/>
      <c r="MXV27" s="1887"/>
      <c r="MXW27" s="1888"/>
      <c r="MXX27" s="1882"/>
      <c r="MXY27" s="1882"/>
      <c r="MXZ27" s="1882"/>
      <c r="MYB27" s="1887"/>
      <c r="MYC27" s="1888"/>
      <c r="MYD27" s="1882"/>
      <c r="MYE27" s="1882"/>
      <c r="MYF27" s="1882"/>
      <c r="MYH27" s="1887"/>
      <c r="MYI27" s="1888"/>
      <c r="MYJ27" s="1882"/>
      <c r="MYK27" s="1882"/>
      <c r="MYL27" s="1882"/>
      <c r="MYN27" s="1887"/>
      <c r="MYO27" s="1888"/>
      <c r="MYP27" s="1882"/>
      <c r="MYQ27" s="1882"/>
      <c r="MYR27" s="1882"/>
      <c r="MYT27" s="1887"/>
      <c r="MYU27" s="1888"/>
      <c r="MYV27" s="1882"/>
      <c r="MYW27" s="1882"/>
      <c r="MYX27" s="1882"/>
      <c r="MYZ27" s="1887"/>
      <c r="MZA27" s="1888"/>
      <c r="MZB27" s="1882"/>
      <c r="MZC27" s="1882"/>
      <c r="MZD27" s="1882"/>
      <c r="MZF27" s="1887"/>
      <c r="MZG27" s="1888"/>
      <c r="MZH27" s="1882"/>
      <c r="MZI27" s="1882"/>
      <c r="MZJ27" s="1882"/>
      <c r="MZL27" s="1887"/>
      <c r="MZM27" s="1888"/>
      <c r="MZN27" s="1882"/>
      <c r="MZO27" s="1882"/>
      <c r="MZP27" s="1882"/>
      <c r="MZR27" s="1887"/>
      <c r="MZS27" s="1888"/>
      <c r="MZT27" s="1882"/>
      <c r="MZU27" s="1882"/>
      <c r="MZV27" s="1882"/>
      <c r="MZX27" s="1887"/>
      <c r="MZY27" s="1888"/>
      <c r="MZZ27" s="1882"/>
      <c r="NAA27" s="1882"/>
      <c r="NAB27" s="1882"/>
      <c r="NAD27" s="1887"/>
      <c r="NAE27" s="1888"/>
      <c r="NAF27" s="1882"/>
      <c r="NAG27" s="1882"/>
      <c r="NAH27" s="1882"/>
      <c r="NAJ27" s="1887"/>
      <c r="NAK27" s="1888"/>
      <c r="NAL27" s="1882"/>
      <c r="NAM27" s="1882"/>
      <c r="NAN27" s="1882"/>
      <c r="NAP27" s="1887"/>
      <c r="NAQ27" s="1888"/>
      <c r="NAR27" s="1882"/>
      <c r="NAS27" s="1882"/>
      <c r="NAT27" s="1882"/>
      <c r="NAV27" s="1887"/>
      <c r="NAW27" s="1888"/>
      <c r="NAX27" s="1882"/>
      <c r="NAY27" s="1882"/>
      <c r="NAZ27" s="1882"/>
      <c r="NBB27" s="1887"/>
      <c r="NBC27" s="1888"/>
      <c r="NBD27" s="1882"/>
      <c r="NBE27" s="1882"/>
      <c r="NBF27" s="1882"/>
      <c r="NBH27" s="1887"/>
      <c r="NBI27" s="1888"/>
      <c r="NBJ27" s="1882"/>
      <c r="NBK27" s="1882"/>
      <c r="NBL27" s="1882"/>
      <c r="NBN27" s="1887"/>
      <c r="NBO27" s="1888"/>
      <c r="NBP27" s="1882"/>
      <c r="NBQ27" s="1882"/>
      <c r="NBR27" s="1882"/>
      <c r="NBT27" s="1887"/>
      <c r="NBU27" s="1888"/>
      <c r="NBV27" s="1882"/>
      <c r="NBW27" s="1882"/>
      <c r="NBX27" s="1882"/>
      <c r="NBZ27" s="1887"/>
      <c r="NCA27" s="1888"/>
      <c r="NCB27" s="1882"/>
      <c r="NCC27" s="1882"/>
      <c r="NCD27" s="1882"/>
      <c r="NCF27" s="1887"/>
      <c r="NCG27" s="1888"/>
      <c r="NCH27" s="1882"/>
      <c r="NCI27" s="1882"/>
      <c r="NCJ27" s="1882"/>
      <c r="NCL27" s="1887"/>
      <c r="NCM27" s="1888"/>
      <c r="NCN27" s="1882"/>
      <c r="NCO27" s="1882"/>
      <c r="NCP27" s="1882"/>
      <c r="NCR27" s="1887"/>
      <c r="NCS27" s="1888"/>
      <c r="NCT27" s="1882"/>
      <c r="NCU27" s="1882"/>
      <c r="NCV27" s="1882"/>
      <c r="NCX27" s="1887"/>
      <c r="NCY27" s="1888"/>
      <c r="NCZ27" s="1882"/>
      <c r="NDA27" s="1882"/>
      <c r="NDB27" s="1882"/>
      <c r="NDD27" s="1887"/>
      <c r="NDE27" s="1888"/>
      <c r="NDF27" s="1882"/>
      <c r="NDG27" s="1882"/>
      <c r="NDH27" s="1882"/>
      <c r="NDJ27" s="1887"/>
      <c r="NDK27" s="1888"/>
      <c r="NDL27" s="1882"/>
      <c r="NDM27" s="1882"/>
      <c r="NDN27" s="1882"/>
      <c r="NDP27" s="1887"/>
      <c r="NDQ27" s="1888"/>
      <c r="NDR27" s="1882"/>
      <c r="NDS27" s="1882"/>
      <c r="NDT27" s="1882"/>
      <c r="NDV27" s="1887"/>
      <c r="NDW27" s="1888"/>
      <c r="NDX27" s="1882"/>
      <c r="NDY27" s="1882"/>
      <c r="NDZ27" s="1882"/>
      <c r="NEB27" s="1887"/>
      <c r="NEC27" s="1888"/>
      <c r="NED27" s="1882"/>
      <c r="NEE27" s="1882"/>
      <c r="NEF27" s="1882"/>
      <c r="NEH27" s="1887"/>
      <c r="NEI27" s="1888"/>
      <c r="NEJ27" s="1882"/>
      <c r="NEK27" s="1882"/>
      <c r="NEL27" s="1882"/>
      <c r="NEN27" s="1887"/>
      <c r="NEO27" s="1888"/>
      <c r="NEP27" s="1882"/>
      <c r="NEQ27" s="1882"/>
      <c r="NER27" s="1882"/>
      <c r="NET27" s="1887"/>
      <c r="NEU27" s="1888"/>
      <c r="NEV27" s="1882"/>
      <c r="NEW27" s="1882"/>
      <c r="NEX27" s="1882"/>
      <c r="NEZ27" s="1887"/>
      <c r="NFA27" s="1888"/>
      <c r="NFB27" s="1882"/>
      <c r="NFC27" s="1882"/>
      <c r="NFD27" s="1882"/>
      <c r="NFF27" s="1887"/>
      <c r="NFG27" s="1888"/>
      <c r="NFH27" s="1882"/>
      <c r="NFI27" s="1882"/>
      <c r="NFJ27" s="1882"/>
      <c r="NFL27" s="1887"/>
      <c r="NFM27" s="1888"/>
      <c r="NFN27" s="1882"/>
      <c r="NFO27" s="1882"/>
      <c r="NFP27" s="1882"/>
      <c r="NFR27" s="1887"/>
      <c r="NFS27" s="1888"/>
      <c r="NFT27" s="1882"/>
      <c r="NFU27" s="1882"/>
      <c r="NFV27" s="1882"/>
      <c r="NFX27" s="1887"/>
      <c r="NFY27" s="1888"/>
      <c r="NFZ27" s="1882"/>
      <c r="NGA27" s="1882"/>
      <c r="NGB27" s="1882"/>
      <c r="NGD27" s="1887"/>
      <c r="NGE27" s="1888"/>
      <c r="NGF27" s="1882"/>
      <c r="NGG27" s="1882"/>
      <c r="NGH27" s="1882"/>
      <c r="NGJ27" s="1887"/>
      <c r="NGK27" s="1888"/>
      <c r="NGL27" s="1882"/>
      <c r="NGM27" s="1882"/>
      <c r="NGN27" s="1882"/>
      <c r="NGP27" s="1887"/>
      <c r="NGQ27" s="1888"/>
      <c r="NGR27" s="1882"/>
      <c r="NGS27" s="1882"/>
      <c r="NGT27" s="1882"/>
      <c r="NGV27" s="1887"/>
      <c r="NGW27" s="1888"/>
      <c r="NGX27" s="1882"/>
      <c r="NGY27" s="1882"/>
      <c r="NGZ27" s="1882"/>
      <c r="NHB27" s="1887"/>
      <c r="NHC27" s="1888"/>
      <c r="NHD27" s="1882"/>
      <c r="NHE27" s="1882"/>
      <c r="NHF27" s="1882"/>
      <c r="NHH27" s="1887"/>
      <c r="NHI27" s="1888"/>
      <c r="NHJ27" s="1882"/>
      <c r="NHK27" s="1882"/>
      <c r="NHL27" s="1882"/>
      <c r="NHN27" s="1887"/>
      <c r="NHO27" s="1888"/>
      <c r="NHP27" s="1882"/>
      <c r="NHQ27" s="1882"/>
      <c r="NHR27" s="1882"/>
      <c r="NHT27" s="1887"/>
      <c r="NHU27" s="1888"/>
      <c r="NHV27" s="1882"/>
      <c r="NHW27" s="1882"/>
      <c r="NHX27" s="1882"/>
      <c r="NHZ27" s="1887"/>
      <c r="NIA27" s="1888"/>
      <c r="NIB27" s="1882"/>
      <c r="NIC27" s="1882"/>
      <c r="NID27" s="1882"/>
      <c r="NIF27" s="1887"/>
      <c r="NIG27" s="1888"/>
      <c r="NIH27" s="1882"/>
      <c r="NII27" s="1882"/>
      <c r="NIJ27" s="1882"/>
      <c r="NIL27" s="1887"/>
      <c r="NIM27" s="1888"/>
      <c r="NIN27" s="1882"/>
      <c r="NIO27" s="1882"/>
      <c r="NIP27" s="1882"/>
      <c r="NIR27" s="1887"/>
      <c r="NIS27" s="1888"/>
      <c r="NIT27" s="1882"/>
      <c r="NIU27" s="1882"/>
      <c r="NIV27" s="1882"/>
      <c r="NIX27" s="1887"/>
      <c r="NIY27" s="1888"/>
      <c r="NIZ27" s="1882"/>
      <c r="NJA27" s="1882"/>
      <c r="NJB27" s="1882"/>
      <c r="NJD27" s="1887"/>
      <c r="NJE27" s="1888"/>
      <c r="NJF27" s="1882"/>
      <c r="NJG27" s="1882"/>
      <c r="NJH27" s="1882"/>
      <c r="NJJ27" s="1887"/>
      <c r="NJK27" s="1888"/>
      <c r="NJL27" s="1882"/>
      <c r="NJM27" s="1882"/>
      <c r="NJN27" s="1882"/>
      <c r="NJP27" s="1887"/>
      <c r="NJQ27" s="1888"/>
      <c r="NJR27" s="1882"/>
      <c r="NJS27" s="1882"/>
      <c r="NJT27" s="1882"/>
      <c r="NJV27" s="1887"/>
      <c r="NJW27" s="1888"/>
      <c r="NJX27" s="1882"/>
      <c r="NJY27" s="1882"/>
      <c r="NJZ27" s="1882"/>
      <c r="NKB27" s="1887"/>
      <c r="NKC27" s="1888"/>
      <c r="NKD27" s="1882"/>
      <c r="NKE27" s="1882"/>
      <c r="NKF27" s="1882"/>
      <c r="NKH27" s="1887"/>
      <c r="NKI27" s="1888"/>
      <c r="NKJ27" s="1882"/>
      <c r="NKK27" s="1882"/>
      <c r="NKL27" s="1882"/>
      <c r="NKN27" s="1887"/>
      <c r="NKO27" s="1888"/>
      <c r="NKP27" s="1882"/>
      <c r="NKQ27" s="1882"/>
      <c r="NKR27" s="1882"/>
      <c r="NKT27" s="1887"/>
      <c r="NKU27" s="1888"/>
      <c r="NKV27" s="1882"/>
      <c r="NKW27" s="1882"/>
      <c r="NKX27" s="1882"/>
      <c r="NKZ27" s="1887"/>
      <c r="NLA27" s="1888"/>
      <c r="NLB27" s="1882"/>
      <c r="NLC27" s="1882"/>
      <c r="NLD27" s="1882"/>
      <c r="NLF27" s="1887"/>
      <c r="NLG27" s="1888"/>
      <c r="NLH27" s="1882"/>
      <c r="NLI27" s="1882"/>
      <c r="NLJ27" s="1882"/>
      <c r="NLL27" s="1887"/>
      <c r="NLM27" s="1888"/>
      <c r="NLN27" s="1882"/>
      <c r="NLO27" s="1882"/>
      <c r="NLP27" s="1882"/>
      <c r="NLR27" s="1887"/>
      <c r="NLS27" s="1888"/>
      <c r="NLT27" s="1882"/>
      <c r="NLU27" s="1882"/>
      <c r="NLV27" s="1882"/>
      <c r="NLX27" s="1887"/>
      <c r="NLY27" s="1888"/>
      <c r="NLZ27" s="1882"/>
      <c r="NMA27" s="1882"/>
      <c r="NMB27" s="1882"/>
      <c r="NMD27" s="1887"/>
      <c r="NME27" s="1888"/>
      <c r="NMF27" s="1882"/>
      <c r="NMG27" s="1882"/>
      <c r="NMH27" s="1882"/>
      <c r="NMJ27" s="1887"/>
      <c r="NMK27" s="1888"/>
      <c r="NML27" s="1882"/>
      <c r="NMM27" s="1882"/>
      <c r="NMN27" s="1882"/>
      <c r="NMP27" s="1887"/>
      <c r="NMQ27" s="1888"/>
      <c r="NMR27" s="1882"/>
      <c r="NMS27" s="1882"/>
      <c r="NMT27" s="1882"/>
      <c r="NMV27" s="1887"/>
      <c r="NMW27" s="1888"/>
      <c r="NMX27" s="1882"/>
      <c r="NMY27" s="1882"/>
      <c r="NMZ27" s="1882"/>
      <c r="NNB27" s="1887"/>
      <c r="NNC27" s="1888"/>
      <c r="NND27" s="1882"/>
      <c r="NNE27" s="1882"/>
      <c r="NNF27" s="1882"/>
      <c r="NNH27" s="1887"/>
      <c r="NNI27" s="1888"/>
      <c r="NNJ27" s="1882"/>
      <c r="NNK27" s="1882"/>
      <c r="NNL27" s="1882"/>
      <c r="NNN27" s="1887"/>
      <c r="NNO27" s="1888"/>
      <c r="NNP27" s="1882"/>
      <c r="NNQ27" s="1882"/>
      <c r="NNR27" s="1882"/>
      <c r="NNT27" s="1887"/>
      <c r="NNU27" s="1888"/>
      <c r="NNV27" s="1882"/>
      <c r="NNW27" s="1882"/>
      <c r="NNX27" s="1882"/>
      <c r="NNZ27" s="1887"/>
      <c r="NOA27" s="1888"/>
      <c r="NOB27" s="1882"/>
      <c r="NOC27" s="1882"/>
      <c r="NOD27" s="1882"/>
      <c r="NOF27" s="1887"/>
      <c r="NOG27" s="1888"/>
      <c r="NOH27" s="1882"/>
      <c r="NOI27" s="1882"/>
      <c r="NOJ27" s="1882"/>
      <c r="NOL27" s="1887"/>
      <c r="NOM27" s="1888"/>
      <c r="NON27" s="1882"/>
      <c r="NOO27" s="1882"/>
      <c r="NOP27" s="1882"/>
      <c r="NOR27" s="1887"/>
      <c r="NOS27" s="1888"/>
      <c r="NOT27" s="1882"/>
      <c r="NOU27" s="1882"/>
      <c r="NOV27" s="1882"/>
      <c r="NOX27" s="1887"/>
      <c r="NOY27" s="1888"/>
      <c r="NOZ27" s="1882"/>
      <c r="NPA27" s="1882"/>
      <c r="NPB27" s="1882"/>
      <c r="NPD27" s="1887"/>
      <c r="NPE27" s="1888"/>
      <c r="NPF27" s="1882"/>
      <c r="NPG27" s="1882"/>
      <c r="NPH27" s="1882"/>
      <c r="NPJ27" s="1887"/>
      <c r="NPK27" s="1888"/>
      <c r="NPL27" s="1882"/>
      <c r="NPM27" s="1882"/>
      <c r="NPN27" s="1882"/>
      <c r="NPP27" s="1887"/>
      <c r="NPQ27" s="1888"/>
      <c r="NPR27" s="1882"/>
      <c r="NPS27" s="1882"/>
      <c r="NPT27" s="1882"/>
      <c r="NPV27" s="1887"/>
      <c r="NPW27" s="1888"/>
      <c r="NPX27" s="1882"/>
      <c r="NPY27" s="1882"/>
      <c r="NPZ27" s="1882"/>
      <c r="NQB27" s="1887"/>
      <c r="NQC27" s="1888"/>
      <c r="NQD27" s="1882"/>
      <c r="NQE27" s="1882"/>
      <c r="NQF27" s="1882"/>
      <c r="NQH27" s="1887"/>
      <c r="NQI27" s="1888"/>
      <c r="NQJ27" s="1882"/>
      <c r="NQK27" s="1882"/>
      <c r="NQL27" s="1882"/>
      <c r="NQN27" s="1887"/>
      <c r="NQO27" s="1888"/>
      <c r="NQP27" s="1882"/>
      <c r="NQQ27" s="1882"/>
      <c r="NQR27" s="1882"/>
      <c r="NQT27" s="1887"/>
      <c r="NQU27" s="1888"/>
      <c r="NQV27" s="1882"/>
      <c r="NQW27" s="1882"/>
      <c r="NQX27" s="1882"/>
      <c r="NQZ27" s="1887"/>
      <c r="NRA27" s="1888"/>
      <c r="NRB27" s="1882"/>
      <c r="NRC27" s="1882"/>
      <c r="NRD27" s="1882"/>
      <c r="NRF27" s="1887"/>
      <c r="NRG27" s="1888"/>
      <c r="NRH27" s="1882"/>
      <c r="NRI27" s="1882"/>
      <c r="NRJ27" s="1882"/>
      <c r="NRL27" s="1887"/>
      <c r="NRM27" s="1888"/>
      <c r="NRN27" s="1882"/>
      <c r="NRO27" s="1882"/>
      <c r="NRP27" s="1882"/>
      <c r="NRR27" s="1887"/>
      <c r="NRS27" s="1888"/>
      <c r="NRT27" s="1882"/>
      <c r="NRU27" s="1882"/>
      <c r="NRV27" s="1882"/>
      <c r="NRX27" s="1887"/>
      <c r="NRY27" s="1888"/>
      <c r="NRZ27" s="1882"/>
      <c r="NSA27" s="1882"/>
      <c r="NSB27" s="1882"/>
      <c r="NSD27" s="1887"/>
      <c r="NSE27" s="1888"/>
      <c r="NSF27" s="1882"/>
      <c r="NSG27" s="1882"/>
      <c r="NSH27" s="1882"/>
      <c r="NSJ27" s="1887"/>
      <c r="NSK27" s="1888"/>
      <c r="NSL27" s="1882"/>
      <c r="NSM27" s="1882"/>
      <c r="NSN27" s="1882"/>
      <c r="NSP27" s="1887"/>
      <c r="NSQ27" s="1888"/>
      <c r="NSR27" s="1882"/>
      <c r="NSS27" s="1882"/>
      <c r="NST27" s="1882"/>
      <c r="NSV27" s="1887"/>
      <c r="NSW27" s="1888"/>
      <c r="NSX27" s="1882"/>
      <c r="NSY27" s="1882"/>
      <c r="NSZ27" s="1882"/>
      <c r="NTB27" s="1887"/>
      <c r="NTC27" s="1888"/>
      <c r="NTD27" s="1882"/>
      <c r="NTE27" s="1882"/>
      <c r="NTF27" s="1882"/>
      <c r="NTH27" s="1887"/>
      <c r="NTI27" s="1888"/>
      <c r="NTJ27" s="1882"/>
      <c r="NTK27" s="1882"/>
      <c r="NTL27" s="1882"/>
      <c r="NTN27" s="1887"/>
      <c r="NTO27" s="1888"/>
      <c r="NTP27" s="1882"/>
      <c r="NTQ27" s="1882"/>
      <c r="NTR27" s="1882"/>
      <c r="NTT27" s="1887"/>
      <c r="NTU27" s="1888"/>
      <c r="NTV27" s="1882"/>
      <c r="NTW27" s="1882"/>
      <c r="NTX27" s="1882"/>
      <c r="NTZ27" s="1887"/>
      <c r="NUA27" s="1888"/>
      <c r="NUB27" s="1882"/>
      <c r="NUC27" s="1882"/>
      <c r="NUD27" s="1882"/>
      <c r="NUF27" s="1887"/>
      <c r="NUG27" s="1888"/>
      <c r="NUH27" s="1882"/>
      <c r="NUI27" s="1882"/>
      <c r="NUJ27" s="1882"/>
      <c r="NUL27" s="1887"/>
      <c r="NUM27" s="1888"/>
      <c r="NUN27" s="1882"/>
      <c r="NUO27" s="1882"/>
      <c r="NUP27" s="1882"/>
      <c r="NUR27" s="1887"/>
      <c r="NUS27" s="1888"/>
      <c r="NUT27" s="1882"/>
      <c r="NUU27" s="1882"/>
      <c r="NUV27" s="1882"/>
      <c r="NUX27" s="1887"/>
      <c r="NUY27" s="1888"/>
      <c r="NUZ27" s="1882"/>
      <c r="NVA27" s="1882"/>
      <c r="NVB27" s="1882"/>
      <c r="NVD27" s="1887"/>
      <c r="NVE27" s="1888"/>
      <c r="NVF27" s="1882"/>
      <c r="NVG27" s="1882"/>
      <c r="NVH27" s="1882"/>
      <c r="NVJ27" s="1887"/>
      <c r="NVK27" s="1888"/>
      <c r="NVL27" s="1882"/>
      <c r="NVM27" s="1882"/>
      <c r="NVN27" s="1882"/>
      <c r="NVP27" s="1887"/>
      <c r="NVQ27" s="1888"/>
      <c r="NVR27" s="1882"/>
      <c r="NVS27" s="1882"/>
      <c r="NVT27" s="1882"/>
      <c r="NVV27" s="1887"/>
      <c r="NVW27" s="1888"/>
      <c r="NVX27" s="1882"/>
      <c r="NVY27" s="1882"/>
      <c r="NVZ27" s="1882"/>
      <c r="NWB27" s="1887"/>
      <c r="NWC27" s="1888"/>
      <c r="NWD27" s="1882"/>
      <c r="NWE27" s="1882"/>
      <c r="NWF27" s="1882"/>
      <c r="NWH27" s="1887"/>
      <c r="NWI27" s="1888"/>
      <c r="NWJ27" s="1882"/>
      <c r="NWK27" s="1882"/>
      <c r="NWL27" s="1882"/>
      <c r="NWN27" s="1887"/>
      <c r="NWO27" s="1888"/>
      <c r="NWP27" s="1882"/>
      <c r="NWQ27" s="1882"/>
      <c r="NWR27" s="1882"/>
      <c r="NWT27" s="1887"/>
      <c r="NWU27" s="1888"/>
      <c r="NWV27" s="1882"/>
      <c r="NWW27" s="1882"/>
      <c r="NWX27" s="1882"/>
      <c r="NWZ27" s="1887"/>
      <c r="NXA27" s="1888"/>
      <c r="NXB27" s="1882"/>
      <c r="NXC27" s="1882"/>
      <c r="NXD27" s="1882"/>
      <c r="NXF27" s="1887"/>
      <c r="NXG27" s="1888"/>
      <c r="NXH27" s="1882"/>
      <c r="NXI27" s="1882"/>
      <c r="NXJ27" s="1882"/>
      <c r="NXL27" s="1887"/>
      <c r="NXM27" s="1888"/>
      <c r="NXN27" s="1882"/>
      <c r="NXO27" s="1882"/>
      <c r="NXP27" s="1882"/>
      <c r="NXR27" s="1887"/>
      <c r="NXS27" s="1888"/>
      <c r="NXT27" s="1882"/>
      <c r="NXU27" s="1882"/>
      <c r="NXV27" s="1882"/>
      <c r="NXX27" s="1887"/>
      <c r="NXY27" s="1888"/>
      <c r="NXZ27" s="1882"/>
      <c r="NYA27" s="1882"/>
      <c r="NYB27" s="1882"/>
      <c r="NYD27" s="1887"/>
      <c r="NYE27" s="1888"/>
      <c r="NYF27" s="1882"/>
      <c r="NYG27" s="1882"/>
      <c r="NYH27" s="1882"/>
      <c r="NYJ27" s="1887"/>
      <c r="NYK27" s="1888"/>
      <c r="NYL27" s="1882"/>
      <c r="NYM27" s="1882"/>
      <c r="NYN27" s="1882"/>
      <c r="NYP27" s="1887"/>
      <c r="NYQ27" s="1888"/>
      <c r="NYR27" s="1882"/>
      <c r="NYS27" s="1882"/>
      <c r="NYT27" s="1882"/>
      <c r="NYV27" s="1887"/>
      <c r="NYW27" s="1888"/>
      <c r="NYX27" s="1882"/>
      <c r="NYY27" s="1882"/>
      <c r="NYZ27" s="1882"/>
      <c r="NZB27" s="1887"/>
      <c r="NZC27" s="1888"/>
      <c r="NZD27" s="1882"/>
      <c r="NZE27" s="1882"/>
      <c r="NZF27" s="1882"/>
      <c r="NZH27" s="1887"/>
      <c r="NZI27" s="1888"/>
      <c r="NZJ27" s="1882"/>
      <c r="NZK27" s="1882"/>
      <c r="NZL27" s="1882"/>
      <c r="NZN27" s="1887"/>
      <c r="NZO27" s="1888"/>
      <c r="NZP27" s="1882"/>
      <c r="NZQ27" s="1882"/>
      <c r="NZR27" s="1882"/>
      <c r="NZT27" s="1887"/>
      <c r="NZU27" s="1888"/>
      <c r="NZV27" s="1882"/>
      <c r="NZW27" s="1882"/>
      <c r="NZX27" s="1882"/>
      <c r="NZZ27" s="1887"/>
      <c r="OAA27" s="1888"/>
      <c r="OAB27" s="1882"/>
      <c r="OAC27" s="1882"/>
      <c r="OAD27" s="1882"/>
      <c r="OAF27" s="1887"/>
      <c r="OAG27" s="1888"/>
      <c r="OAH27" s="1882"/>
      <c r="OAI27" s="1882"/>
      <c r="OAJ27" s="1882"/>
      <c r="OAL27" s="1887"/>
      <c r="OAM27" s="1888"/>
      <c r="OAN27" s="1882"/>
      <c r="OAO27" s="1882"/>
      <c r="OAP27" s="1882"/>
      <c r="OAR27" s="1887"/>
      <c r="OAS27" s="1888"/>
      <c r="OAT27" s="1882"/>
      <c r="OAU27" s="1882"/>
      <c r="OAV27" s="1882"/>
      <c r="OAX27" s="1887"/>
      <c r="OAY27" s="1888"/>
      <c r="OAZ27" s="1882"/>
      <c r="OBA27" s="1882"/>
      <c r="OBB27" s="1882"/>
      <c r="OBD27" s="1887"/>
      <c r="OBE27" s="1888"/>
      <c r="OBF27" s="1882"/>
      <c r="OBG27" s="1882"/>
      <c r="OBH27" s="1882"/>
      <c r="OBJ27" s="1887"/>
      <c r="OBK27" s="1888"/>
      <c r="OBL27" s="1882"/>
      <c r="OBM27" s="1882"/>
      <c r="OBN27" s="1882"/>
      <c r="OBP27" s="1887"/>
      <c r="OBQ27" s="1888"/>
      <c r="OBR27" s="1882"/>
      <c r="OBS27" s="1882"/>
      <c r="OBT27" s="1882"/>
      <c r="OBV27" s="1887"/>
      <c r="OBW27" s="1888"/>
      <c r="OBX27" s="1882"/>
      <c r="OBY27" s="1882"/>
      <c r="OBZ27" s="1882"/>
      <c r="OCB27" s="1887"/>
      <c r="OCC27" s="1888"/>
      <c r="OCD27" s="1882"/>
      <c r="OCE27" s="1882"/>
      <c r="OCF27" s="1882"/>
      <c r="OCH27" s="1887"/>
      <c r="OCI27" s="1888"/>
      <c r="OCJ27" s="1882"/>
      <c r="OCK27" s="1882"/>
      <c r="OCL27" s="1882"/>
      <c r="OCN27" s="1887"/>
      <c r="OCO27" s="1888"/>
      <c r="OCP27" s="1882"/>
      <c r="OCQ27" s="1882"/>
      <c r="OCR27" s="1882"/>
      <c r="OCT27" s="1887"/>
      <c r="OCU27" s="1888"/>
      <c r="OCV27" s="1882"/>
      <c r="OCW27" s="1882"/>
      <c r="OCX27" s="1882"/>
      <c r="OCZ27" s="1887"/>
      <c r="ODA27" s="1888"/>
      <c r="ODB27" s="1882"/>
      <c r="ODC27" s="1882"/>
      <c r="ODD27" s="1882"/>
      <c r="ODF27" s="1887"/>
      <c r="ODG27" s="1888"/>
      <c r="ODH27" s="1882"/>
      <c r="ODI27" s="1882"/>
      <c r="ODJ27" s="1882"/>
      <c r="ODL27" s="1887"/>
      <c r="ODM27" s="1888"/>
      <c r="ODN27" s="1882"/>
      <c r="ODO27" s="1882"/>
      <c r="ODP27" s="1882"/>
      <c r="ODR27" s="1887"/>
      <c r="ODS27" s="1888"/>
      <c r="ODT27" s="1882"/>
      <c r="ODU27" s="1882"/>
      <c r="ODV27" s="1882"/>
      <c r="ODX27" s="1887"/>
      <c r="ODY27" s="1888"/>
      <c r="ODZ27" s="1882"/>
      <c r="OEA27" s="1882"/>
      <c r="OEB27" s="1882"/>
      <c r="OED27" s="1887"/>
      <c r="OEE27" s="1888"/>
      <c r="OEF27" s="1882"/>
      <c r="OEG27" s="1882"/>
      <c r="OEH27" s="1882"/>
      <c r="OEJ27" s="1887"/>
      <c r="OEK27" s="1888"/>
      <c r="OEL27" s="1882"/>
      <c r="OEM27" s="1882"/>
      <c r="OEN27" s="1882"/>
      <c r="OEP27" s="1887"/>
      <c r="OEQ27" s="1888"/>
      <c r="OER27" s="1882"/>
      <c r="OES27" s="1882"/>
      <c r="OET27" s="1882"/>
      <c r="OEV27" s="1887"/>
      <c r="OEW27" s="1888"/>
      <c r="OEX27" s="1882"/>
      <c r="OEY27" s="1882"/>
      <c r="OEZ27" s="1882"/>
      <c r="OFB27" s="1887"/>
      <c r="OFC27" s="1888"/>
      <c r="OFD27" s="1882"/>
      <c r="OFE27" s="1882"/>
      <c r="OFF27" s="1882"/>
      <c r="OFH27" s="1887"/>
      <c r="OFI27" s="1888"/>
      <c r="OFJ27" s="1882"/>
      <c r="OFK27" s="1882"/>
      <c r="OFL27" s="1882"/>
      <c r="OFN27" s="1887"/>
      <c r="OFO27" s="1888"/>
      <c r="OFP27" s="1882"/>
      <c r="OFQ27" s="1882"/>
      <c r="OFR27" s="1882"/>
      <c r="OFT27" s="1887"/>
      <c r="OFU27" s="1888"/>
      <c r="OFV27" s="1882"/>
      <c r="OFW27" s="1882"/>
      <c r="OFX27" s="1882"/>
      <c r="OFZ27" s="1887"/>
      <c r="OGA27" s="1888"/>
      <c r="OGB27" s="1882"/>
      <c r="OGC27" s="1882"/>
      <c r="OGD27" s="1882"/>
      <c r="OGF27" s="1887"/>
      <c r="OGG27" s="1888"/>
      <c r="OGH27" s="1882"/>
      <c r="OGI27" s="1882"/>
      <c r="OGJ27" s="1882"/>
      <c r="OGL27" s="1887"/>
      <c r="OGM27" s="1888"/>
      <c r="OGN27" s="1882"/>
      <c r="OGO27" s="1882"/>
      <c r="OGP27" s="1882"/>
      <c r="OGR27" s="1887"/>
      <c r="OGS27" s="1888"/>
      <c r="OGT27" s="1882"/>
      <c r="OGU27" s="1882"/>
      <c r="OGV27" s="1882"/>
      <c r="OGX27" s="1887"/>
      <c r="OGY27" s="1888"/>
      <c r="OGZ27" s="1882"/>
      <c r="OHA27" s="1882"/>
      <c r="OHB27" s="1882"/>
      <c r="OHD27" s="1887"/>
      <c r="OHE27" s="1888"/>
      <c r="OHF27" s="1882"/>
      <c r="OHG27" s="1882"/>
      <c r="OHH27" s="1882"/>
      <c r="OHJ27" s="1887"/>
      <c r="OHK27" s="1888"/>
      <c r="OHL27" s="1882"/>
      <c r="OHM27" s="1882"/>
      <c r="OHN27" s="1882"/>
      <c r="OHP27" s="1887"/>
      <c r="OHQ27" s="1888"/>
      <c r="OHR27" s="1882"/>
      <c r="OHS27" s="1882"/>
      <c r="OHT27" s="1882"/>
      <c r="OHV27" s="1887"/>
      <c r="OHW27" s="1888"/>
      <c r="OHX27" s="1882"/>
      <c r="OHY27" s="1882"/>
      <c r="OHZ27" s="1882"/>
      <c r="OIB27" s="1887"/>
      <c r="OIC27" s="1888"/>
      <c r="OID27" s="1882"/>
      <c r="OIE27" s="1882"/>
      <c r="OIF27" s="1882"/>
      <c r="OIH27" s="1887"/>
      <c r="OII27" s="1888"/>
      <c r="OIJ27" s="1882"/>
      <c r="OIK27" s="1882"/>
      <c r="OIL27" s="1882"/>
      <c r="OIN27" s="1887"/>
      <c r="OIO27" s="1888"/>
      <c r="OIP27" s="1882"/>
      <c r="OIQ27" s="1882"/>
      <c r="OIR27" s="1882"/>
      <c r="OIT27" s="1887"/>
      <c r="OIU27" s="1888"/>
      <c r="OIV27" s="1882"/>
      <c r="OIW27" s="1882"/>
      <c r="OIX27" s="1882"/>
      <c r="OIZ27" s="1887"/>
      <c r="OJA27" s="1888"/>
      <c r="OJB27" s="1882"/>
      <c r="OJC27" s="1882"/>
      <c r="OJD27" s="1882"/>
      <c r="OJF27" s="1887"/>
      <c r="OJG27" s="1888"/>
      <c r="OJH27" s="1882"/>
      <c r="OJI27" s="1882"/>
      <c r="OJJ27" s="1882"/>
      <c r="OJL27" s="1887"/>
      <c r="OJM27" s="1888"/>
      <c r="OJN27" s="1882"/>
      <c r="OJO27" s="1882"/>
      <c r="OJP27" s="1882"/>
      <c r="OJR27" s="1887"/>
      <c r="OJS27" s="1888"/>
      <c r="OJT27" s="1882"/>
      <c r="OJU27" s="1882"/>
      <c r="OJV27" s="1882"/>
      <c r="OJX27" s="1887"/>
      <c r="OJY27" s="1888"/>
      <c r="OJZ27" s="1882"/>
      <c r="OKA27" s="1882"/>
      <c r="OKB27" s="1882"/>
      <c r="OKD27" s="1887"/>
      <c r="OKE27" s="1888"/>
      <c r="OKF27" s="1882"/>
      <c r="OKG27" s="1882"/>
      <c r="OKH27" s="1882"/>
      <c r="OKJ27" s="1887"/>
      <c r="OKK27" s="1888"/>
      <c r="OKL27" s="1882"/>
      <c r="OKM27" s="1882"/>
      <c r="OKN27" s="1882"/>
      <c r="OKP27" s="1887"/>
      <c r="OKQ27" s="1888"/>
      <c r="OKR27" s="1882"/>
      <c r="OKS27" s="1882"/>
      <c r="OKT27" s="1882"/>
      <c r="OKV27" s="1887"/>
      <c r="OKW27" s="1888"/>
      <c r="OKX27" s="1882"/>
      <c r="OKY27" s="1882"/>
      <c r="OKZ27" s="1882"/>
      <c r="OLB27" s="1887"/>
      <c r="OLC27" s="1888"/>
      <c r="OLD27" s="1882"/>
      <c r="OLE27" s="1882"/>
      <c r="OLF27" s="1882"/>
      <c r="OLH27" s="1887"/>
      <c r="OLI27" s="1888"/>
      <c r="OLJ27" s="1882"/>
      <c r="OLK27" s="1882"/>
      <c r="OLL27" s="1882"/>
      <c r="OLN27" s="1887"/>
      <c r="OLO27" s="1888"/>
      <c r="OLP27" s="1882"/>
      <c r="OLQ27" s="1882"/>
      <c r="OLR27" s="1882"/>
      <c r="OLT27" s="1887"/>
      <c r="OLU27" s="1888"/>
      <c r="OLV27" s="1882"/>
      <c r="OLW27" s="1882"/>
      <c r="OLX27" s="1882"/>
      <c r="OLZ27" s="1887"/>
      <c r="OMA27" s="1888"/>
      <c r="OMB27" s="1882"/>
      <c r="OMC27" s="1882"/>
      <c r="OMD27" s="1882"/>
      <c r="OMF27" s="1887"/>
      <c r="OMG27" s="1888"/>
      <c r="OMH27" s="1882"/>
      <c r="OMI27" s="1882"/>
      <c r="OMJ27" s="1882"/>
      <c r="OML27" s="1887"/>
      <c r="OMM27" s="1888"/>
      <c r="OMN27" s="1882"/>
      <c r="OMO27" s="1882"/>
      <c r="OMP27" s="1882"/>
      <c r="OMR27" s="1887"/>
      <c r="OMS27" s="1888"/>
      <c r="OMT27" s="1882"/>
      <c r="OMU27" s="1882"/>
      <c r="OMV27" s="1882"/>
      <c r="OMX27" s="1887"/>
      <c r="OMY27" s="1888"/>
      <c r="OMZ27" s="1882"/>
      <c r="ONA27" s="1882"/>
      <c r="ONB27" s="1882"/>
      <c r="OND27" s="1887"/>
      <c r="ONE27" s="1888"/>
      <c r="ONF27" s="1882"/>
      <c r="ONG27" s="1882"/>
      <c r="ONH27" s="1882"/>
      <c r="ONJ27" s="1887"/>
      <c r="ONK27" s="1888"/>
      <c r="ONL27" s="1882"/>
      <c r="ONM27" s="1882"/>
      <c r="ONN27" s="1882"/>
      <c r="ONP27" s="1887"/>
      <c r="ONQ27" s="1888"/>
      <c r="ONR27" s="1882"/>
      <c r="ONS27" s="1882"/>
      <c r="ONT27" s="1882"/>
      <c r="ONV27" s="1887"/>
      <c r="ONW27" s="1888"/>
      <c r="ONX27" s="1882"/>
      <c r="ONY27" s="1882"/>
      <c r="ONZ27" s="1882"/>
      <c r="OOB27" s="1887"/>
      <c r="OOC27" s="1888"/>
      <c r="OOD27" s="1882"/>
      <c r="OOE27" s="1882"/>
      <c r="OOF27" s="1882"/>
      <c r="OOH27" s="1887"/>
      <c r="OOI27" s="1888"/>
      <c r="OOJ27" s="1882"/>
      <c r="OOK27" s="1882"/>
      <c r="OOL27" s="1882"/>
      <c r="OON27" s="1887"/>
      <c r="OOO27" s="1888"/>
      <c r="OOP27" s="1882"/>
      <c r="OOQ27" s="1882"/>
      <c r="OOR27" s="1882"/>
      <c r="OOT27" s="1887"/>
      <c r="OOU27" s="1888"/>
      <c r="OOV27" s="1882"/>
      <c r="OOW27" s="1882"/>
      <c r="OOX27" s="1882"/>
      <c r="OOZ27" s="1887"/>
      <c r="OPA27" s="1888"/>
      <c r="OPB27" s="1882"/>
      <c r="OPC27" s="1882"/>
      <c r="OPD27" s="1882"/>
      <c r="OPF27" s="1887"/>
      <c r="OPG27" s="1888"/>
      <c r="OPH27" s="1882"/>
      <c r="OPI27" s="1882"/>
      <c r="OPJ27" s="1882"/>
      <c r="OPL27" s="1887"/>
      <c r="OPM27" s="1888"/>
      <c r="OPN27" s="1882"/>
      <c r="OPO27" s="1882"/>
      <c r="OPP27" s="1882"/>
      <c r="OPR27" s="1887"/>
      <c r="OPS27" s="1888"/>
      <c r="OPT27" s="1882"/>
      <c r="OPU27" s="1882"/>
      <c r="OPV27" s="1882"/>
      <c r="OPX27" s="1887"/>
      <c r="OPY27" s="1888"/>
      <c r="OPZ27" s="1882"/>
      <c r="OQA27" s="1882"/>
      <c r="OQB27" s="1882"/>
      <c r="OQD27" s="1887"/>
      <c r="OQE27" s="1888"/>
      <c r="OQF27" s="1882"/>
      <c r="OQG27" s="1882"/>
      <c r="OQH27" s="1882"/>
      <c r="OQJ27" s="1887"/>
      <c r="OQK27" s="1888"/>
      <c r="OQL27" s="1882"/>
      <c r="OQM27" s="1882"/>
      <c r="OQN27" s="1882"/>
      <c r="OQP27" s="1887"/>
      <c r="OQQ27" s="1888"/>
      <c r="OQR27" s="1882"/>
      <c r="OQS27" s="1882"/>
      <c r="OQT27" s="1882"/>
      <c r="OQV27" s="1887"/>
      <c r="OQW27" s="1888"/>
      <c r="OQX27" s="1882"/>
      <c r="OQY27" s="1882"/>
      <c r="OQZ27" s="1882"/>
      <c r="ORB27" s="1887"/>
      <c r="ORC27" s="1888"/>
      <c r="ORD27" s="1882"/>
      <c r="ORE27" s="1882"/>
      <c r="ORF27" s="1882"/>
      <c r="ORH27" s="1887"/>
      <c r="ORI27" s="1888"/>
      <c r="ORJ27" s="1882"/>
      <c r="ORK27" s="1882"/>
      <c r="ORL27" s="1882"/>
      <c r="ORN27" s="1887"/>
      <c r="ORO27" s="1888"/>
      <c r="ORP27" s="1882"/>
      <c r="ORQ27" s="1882"/>
      <c r="ORR27" s="1882"/>
      <c r="ORT27" s="1887"/>
      <c r="ORU27" s="1888"/>
      <c r="ORV27" s="1882"/>
      <c r="ORW27" s="1882"/>
      <c r="ORX27" s="1882"/>
      <c r="ORZ27" s="1887"/>
      <c r="OSA27" s="1888"/>
      <c r="OSB27" s="1882"/>
      <c r="OSC27" s="1882"/>
      <c r="OSD27" s="1882"/>
      <c r="OSF27" s="1887"/>
      <c r="OSG27" s="1888"/>
      <c r="OSH27" s="1882"/>
      <c r="OSI27" s="1882"/>
      <c r="OSJ27" s="1882"/>
      <c r="OSL27" s="1887"/>
      <c r="OSM27" s="1888"/>
      <c r="OSN27" s="1882"/>
      <c r="OSO27" s="1882"/>
      <c r="OSP27" s="1882"/>
      <c r="OSR27" s="1887"/>
      <c r="OSS27" s="1888"/>
      <c r="OST27" s="1882"/>
      <c r="OSU27" s="1882"/>
      <c r="OSV27" s="1882"/>
      <c r="OSX27" s="1887"/>
      <c r="OSY27" s="1888"/>
      <c r="OSZ27" s="1882"/>
      <c r="OTA27" s="1882"/>
      <c r="OTB27" s="1882"/>
      <c r="OTD27" s="1887"/>
      <c r="OTE27" s="1888"/>
      <c r="OTF27" s="1882"/>
      <c r="OTG27" s="1882"/>
      <c r="OTH27" s="1882"/>
      <c r="OTJ27" s="1887"/>
      <c r="OTK27" s="1888"/>
      <c r="OTL27" s="1882"/>
      <c r="OTM27" s="1882"/>
      <c r="OTN27" s="1882"/>
      <c r="OTP27" s="1887"/>
      <c r="OTQ27" s="1888"/>
      <c r="OTR27" s="1882"/>
      <c r="OTS27" s="1882"/>
      <c r="OTT27" s="1882"/>
      <c r="OTV27" s="1887"/>
      <c r="OTW27" s="1888"/>
      <c r="OTX27" s="1882"/>
      <c r="OTY27" s="1882"/>
      <c r="OTZ27" s="1882"/>
      <c r="OUB27" s="1887"/>
      <c r="OUC27" s="1888"/>
      <c r="OUD27" s="1882"/>
      <c r="OUE27" s="1882"/>
      <c r="OUF27" s="1882"/>
      <c r="OUH27" s="1887"/>
      <c r="OUI27" s="1888"/>
      <c r="OUJ27" s="1882"/>
      <c r="OUK27" s="1882"/>
      <c r="OUL27" s="1882"/>
      <c r="OUN27" s="1887"/>
      <c r="OUO27" s="1888"/>
      <c r="OUP27" s="1882"/>
      <c r="OUQ27" s="1882"/>
      <c r="OUR27" s="1882"/>
      <c r="OUT27" s="1887"/>
      <c r="OUU27" s="1888"/>
      <c r="OUV27" s="1882"/>
      <c r="OUW27" s="1882"/>
      <c r="OUX27" s="1882"/>
      <c r="OUZ27" s="1887"/>
      <c r="OVA27" s="1888"/>
      <c r="OVB27" s="1882"/>
      <c r="OVC27" s="1882"/>
      <c r="OVD27" s="1882"/>
      <c r="OVF27" s="1887"/>
      <c r="OVG27" s="1888"/>
      <c r="OVH27" s="1882"/>
      <c r="OVI27" s="1882"/>
      <c r="OVJ27" s="1882"/>
      <c r="OVL27" s="1887"/>
      <c r="OVM27" s="1888"/>
      <c r="OVN27" s="1882"/>
      <c r="OVO27" s="1882"/>
      <c r="OVP27" s="1882"/>
      <c r="OVR27" s="1887"/>
      <c r="OVS27" s="1888"/>
      <c r="OVT27" s="1882"/>
      <c r="OVU27" s="1882"/>
      <c r="OVV27" s="1882"/>
      <c r="OVX27" s="1887"/>
      <c r="OVY27" s="1888"/>
      <c r="OVZ27" s="1882"/>
      <c r="OWA27" s="1882"/>
      <c r="OWB27" s="1882"/>
      <c r="OWD27" s="1887"/>
      <c r="OWE27" s="1888"/>
      <c r="OWF27" s="1882"/>
      <c r="OWG27" s="1882"/>
      <c r="OWH27" s="1882"/>
      <c r="OWJ27" s="1887"/>
      <c r="OWK27" s="1888"/>
      <c r="OWL27" s="1882"/>
      <c r="OWM27" s="1882"/>
      <c r="OWN27" s="1882"/>
      <c r="OWP27" s="1887"/>
      <c r="OWQ27" s="1888"/>
      <c r="OWR27" s="1882"/>
      <c r="OWS27" s="1882"/>
      <c r="OWT27" s="1882"/>
      <c r="OWV27" s="1887"/>
      <c r="OWW27" s="1888"/>
      <c r="OWX27" s="1882"/>
      <c r="OWY27" s="1882"/>
      <c r="OWZ27" s="1882"/>
      <c r="OXB27" s="1887"/>
      <c r="OXC27" s="1888"/>
      <c r="OXD27" s="1882"/>
      <c r="OXE27" s="1882"/>
      <c r="OXF27" s="1882"/>
      <c r="OXH27" s="1887"/>
      <c r="OXI27" s="1888"/>
      <c r="OXJ27" s="1882"/>
      <c r="OXK27" s="1882"/>
      <c r="OXL27" s="1882"/>
      <c r="OXN27" s="1887"/>
      <c r="OXO27" s="1888"/>
      <c r="OXP27" s="1882"/>
      <c r="OXQ27" s="1882"/>
      <c r="OXR27" s="1882"/>
      <c r="OXT27" s="1887"/>
      <c r="OXU27" s="1888"/>
      <c r="OXV27" s="1882"/>
      <c r="OXW27" s="1882"/>
      <c r="OXX27" s="1882"/>
      <c r="OXZ27" s="1887"/>
      <c r="OYA27" s="1888"/>
      <c r="OYB27" s="1882"/>
      <c r="OYC27" s="1882"/>
      <c r="OYD27" s="1882"/>
      <c r="OYF27" s="1887"/>
      <c r="OYG27" s="1888"/>
      <c r="OYH27" s="1882"/>
      <c r="OYI27" s="1882"/>
      <c r="OYJ27" s="1882"/>
      <c r="OYL27" s="1887"/>
      <c r="OYM27" s="1888"/>
      <c r="OYN27" s="1882"/>
      <c r="OYO27" s="1882"/>
      <c r="OYP27" s="1882"/>
      <c r="OYR27" s="1887"/>
      <c r="OYS27" s="1888"/>
      <c r="OYT27" s="1882"/>
      <c r="OYU27" s="1882"/>
      <c r="OYV27" s="1882"/>
      <c r="OYX27" s="1887"/>
      <c r="OYY27" s="1888"/>
      <c r="OYZ27" s="1882"/>
      <c r="OZA27" s="1882"/>
      <c r="OZB27" s="1882"/>
      <c r="OZD27" s="1887"/>
      <c r="OZE27" s="1888"/>
      <c r="OZF27" s="1882"/>
      <c r="OZG27" s="1882"/>
      <c r="OZH27" s="1882"/>
      <c r="OZJ27" s="1887"/>
      <c r="OZK27" s="1888"/>
      <c r="OZL27" s="1882"/>
      <c r="OZM27" s="1882"/>
      <c r="OZN27" s="1882"/>
      <c r="OZP27" s="1887"/>
      <c r="OZQ27" s="1888"/>
      <c r="OZR27" s="1882"/>
      <c r="OZS27" s="1882"/>
      <c r="OZT27" s="1882"/>
      <c r="OZV27" s="1887"/>
      <c r="OZW27" s="1888"/>
      <c r="OZX27" s="1882"/>
      <c r="OZY27" s="1882"/>
      <c r="OZZ27" s="1882"/>
      <c r="PAB27" s="1887"/>
      <c r="PAC27" s="1888"/>
      <c r="PAD27" s="1882"/>
      <c r="PAE27" s="1882"/>
      <c r="PAF27" s="1882"/>
      <c r="PAH27" s="1887"/>
      <c r="PAI27" s="1888"/>
      <c r="PAJ27" s="1882"/>
      <c r="PAK27" s="1882"/>
      <c r="PAL27" s="1882"/>
      <c r="PAN27" s="1887"/>
      <c r="PAO27" s="1888"/>
      <c r="PAP27" s="1882"/>
      <c r="PAQ27" s="1882"/>
      <c r="PAR27" s="1882"/>
      <c r="PAT27" s="1887"/>
      <c r="PAU27" s="1888"/>
      <c r="PAV27" s="1882"/>
      <c r="PAW27" s="1882"/>
      <c r="PAX27" s="1882"/>
      <c r="PAZ27" s="1887"/>
      <c r="PBA27" s="1888"/>
      <c r="PBB27" s="1882"/>
      <c r="PBC27" s="1882"/>
      <c r="PBD27" s="1882"/>
      <c r="PBF27" s="1887"/>
      <c r="PBG27" s="1888"/>
      <c r="PBH27" s="1882"/>
      <c r="PBI27" s="1882"/>
      <c r="PBJ27" s="1882"/>
      <c r="PBL27" s="1887"/>
      <c r="PBM27" s="1888"/>
      <c r="PBN27" s="1882"/>
      <c r="PBO27" s="1882"/>
      <c r="PBP27" s="1882"/>
      <c r="PBR27" s="1887"/>
      <c r="PBS27" s="1888"/>
      <c r="PBT27" s="1882"/>
      <c r="PBU27" s="1882"/>
      <c r="PBV27" s="1882"/>
      <c r="PBX27" s="1887"/>
      <c r="PBY27" s="1888"/>
      <c r="PBZ27" s="1882"/>
      <c r="PCA27" s="1882"/>
      <c r="PCB27" s="1882"/>
      <c r="PCD27" s="1887"/>
      <c r="PCE27" s="1888"/>
      <c r="PCF27" s="1882"/>
      <c r="PCG27" s="1882"/>
      <c r="PCH27" s="1882"/>
      <c r="PCJ27" s="1887"/>
      <c r="PCK27" s="1888"/>
      <c r="PCL27" s="1882"/>
      <c r="PCM27" s="1882"/>
      <c r="PCN27" s="1882"/>
      <c r="PCP27" s="1887"/>
      <c r="PCQ27" s="1888"/>
      <c r="PCR27" s="1882"/>
      <c r="PCS27" s="1882"/>
      <c r="PCT27" s="1882"/>
      <c r="PCV27" s="1887"/>
      <c r="PCW27" s="1888"/>
      <c r="PCX27" s="1882"/>
      <c r="PCY27" s="1882"/>
      <c r="PCZ27" s="1882"/>
      <c r="PDB27" s="1887"/>
      <c r="PDC27" s="1888"/>
      <c r="PDD27" s="1882"/>
      <c r="PDE27" s="1882"/>
      <c r="PDF27" s="1882"/>
      <c r="PDH27" s="1887"/>
      <c r="PDI27" s="1888"/>
      <c r="PDJ27" s="1882"/>
      <c r="PDK27" s="1882"/>
      <c r="PDL27" s="1882"/>
      <c r="PDN27" s="1887"/>
      <c r="PDO27" s="1888"/>
      <c r="PDP27" s="1882"/>
      <c r="PDQ27" s="1882"/>
      <c r="PDR27" s="1882"/>
      <c r="PDT27" s="1887"/>
      <c r="PDU27" s="1888"/>
      <c r="PDV27" s="1882"/>
      <c r="PDW27" s="1882"/>
      <c r="PDX27" s="1882"/>
      <c r="PDZ27" s="1887"/>
      <c r="PEA27" s="1888"/>
      <c r="PEB27" s="1882"/>
      <c r="PEC27" s="1882"/>
      <c r="PED27" s="1882"/>
      <c r="PEF27" s="1887"/>
      <c r="PEG27" s="1888"/>
      <c r="PEH27" s="1882"/>
      <c r="PEI27" s="1882"/>
      <c r="PEJ27" s="1882"/>
      <c r="PEL27" s="1887"/>
      <c r="PEM27" s="1888"/>
      <c r="PEN27" s="1882"/>
      <c r="PEO27" s="1882"/>
      <c r="PEP27" s="1882"/>
      <c r="PER27" s="1887"/>
      <c r="PES27" s="1888"/>
      <c r="PET27" s="1882"/>
      <c r="PEU27" s="1882"/>
      <c r="PEV27" s="1882"/>
      <c r="PEX27" s="1887"/>
      <c r="PEY27" s="1888"/>
      <c r="PEZ27" s="1882"/>
      <c r="PFA27" s="1882"/>
      <c r="PFB27" s="1882"/>
      <c r="PFD27" s="1887"/>
      <c r="PFE27" s="1888"/>
      <c r="PFF27" s="1882"/>
      <c r="PFG27" s="1882"/>
      <c r="PFH27" s="1882"/>
      <c r="PFJ27" s="1887"/>
      <c r="PFK27" s="1888"/>
      <c r="PFL27" s="1882"/>
      <c r="PFM27" s="1882"/>
      <c r="PFN27" s="1882"/>
      <c r="PFP27" s="1887"/>
      <c r="PFQ27" s="1888"/>
      <c r="PFR27" s="1882"/>
      <c r="PFS27" s="1882"/>
      <c r="PFT27" s="1882"/>
      <c r="PFV27" s="1887"/>
      <c r="PFW27" s="1888"/>
      <c r="PFX27" s="1882"/>
      <c r="PFY27" s="1882"/>
      <c r="PFZ27" s="1882"/>
      <c r="PGB27" s="1887"/>
      <c r="PGC27" s="1888"/>
      <c r="PGD27" s="1882"/>
      <c r="PGE27" s="1882"/>
      <c r="PGF27" s="1882"/>
      <c r="PGH27" s="1887"/>
      <c r="PGI27" s="1888"/>
      <c r="PGJ27" s="1882"/>
      <c r="PGK27" s="1882"/>
      <c r="PGL27" s="1882"/>
      <c r="PGN27" s="1887"/>
      <c r="PGO27" s="1888"/>
      <c r="PGP27" s="1882"/>
      <c r="PGQ27" s="1882"/>
      <c r="PGR27" s="1882"/>
      <c r="PGT27" s="1887"/>
      <c r="PGU27" s="1888"/>
      <c r="PGV27" s="1882"/>
      <c r="PGW27" s="1882"/>
      <c r="PGX27" s="1882"/>
      <c r="PGZ27" s="1887"/>
      <c r="PHA27" s="1888"/>
      <c r="PHB27" s="1882"/>
      <c r="PHC27" s="1882"/>
      <c r="PHD27" s="1882"/>
      <c r="PHF27" s="1887"/>
      <c r="PHG27" s="1888"/>
      <c r="PHH27" s="1882"/>
      <c r="PHI27" s="1882"/>
      <c r="PHJ27" s="1882"/>
      <c r="PHL27" s="1887"/>
      <c r="PHM27" s="1888"/>
      <c r="PHN27" s="1882"/>
      <c r="PHO27" s="1882"/>
      <c r="PHP27" s="1882"/>
      <c r="PHR27" s="1887"/>
      <c r="PHS27" s="1888"/>
      <c r="PHT27" s="1882"/>
      <c r="PHU27" s="1882"/>
      <c r="PHV27" s="1882"/>
      <c r="PHX27" s="1887"/>
      <c r="PHY27" s="1888"/>
      <c r="PHZ27" s="1882"/>
      <c r="PIA27" s="1882"/>
      <c r="PIB27" s="1882"/>
      <c r="PID27" s="1887"/>
      <c r="PIE27" s="1888"/>
      <c r="PIF27" s="1882"/>
      <c r="PIG27" s="1882"/>
      <c r="PIH27" s="1882"/>
      <c r="PIJ27" s="1887"/>
      <c r="PIK27" s="1888"/>
      <c r="PIL27" s="1882"/>
      <c r="PIM27" s="1882"/>
      <c r="PIN27" s="1882"/>
      <c r="PIP27" s="1887"/>
      <c r="PIQ27" s="1888"/>
      <c r="PIR27" s="1882"/>
      <c r="PIS27" s="1882"/>
      <c r="PIT27" s="1882"/>
      <c r="PIV27" s="1887"/>
      <c r="PIW27" s="1888"/>
      <c r="PIX27" s="1882"/>
      <c r="PIY27" s="1882"/>
      <c r="PIZ27" s="1882"/>
      <c r="PJB27" s="1887"/>
      <c r="PJC27" s="1888"/>
      <c r="PJD27" s="1882"/>
      <c r="PJE27" s="1882"/>
      <c r="PJF27" s="1882"/>
      <c r="PJH27" s="1887"/>
      <c r="PJI27" s="1888"/>
      <c r="PJJ27" s="1882"/>
      <c r="PJK27" s="1882"/>
      <c r="PJL27" s="1882"/>
      <c r="PJN27" s="1887"/>
      <c r="PJO27" s="1888"/>
      <c r="PJP27" s="1882"/>
      <c r="PJQ27" s="1882"/>
      <c r="PJR27" s="1882"/>
      <c r="PJT27" s="1887"/>
      <c r="PJU27" s="1888"/>
      <c r="PJV27" s="1882"/>
      <c r="PJW27" s="1882"/>
      <c r="PJX27" s="1882"/>
      <c r="PJZ27" s="1887"/>
      <c r="PKA27" s="1888"/>
      <c r="PKB27" s="1882"/>
      <c r="PKC27" s="1882"/>
      <c r="PKD27" s="1882"/>
      <c r="PKF27" s="1887"/>
      <c r="PKG27" s="1888"/>
      <c r="PKH27" s="1882"/>
      <c r="PKI27" s="1882"/>
      <c r="PKJ27" s="1882"/>
      <c r="PKL27" s="1887"/>
      <c r="PKM27" s="1888"/>
      <c r="PKN27" s="1882"/>
      <c r="PKO27" s="1882"/>
      <c r="PKP27" s="1882"/>
      <c r="PKR27" s="1887"/>
      <c r="PKS27" s="1888"/>
      <c r="PKT27" s="1882"/>
      <c r="PKU27" s="1882"/>
      <c r="PKV27" s="1882"/>
      <c r="PKX27" s="1887"/>
      <c r="PKY27" s="1888"/>
      <c r="PKZ27" s="1882"/>
      <c r="PLA27" s="1882"/>
      <c r="PLB27" s="1882"/>
      <c r="PLD27" s="1887"/>
      <c r="PLE27" s="1888"/>
      <c r="PLF27" s="1882"/>
      <c r="PLG27" s="1882"/>
      <c r="PLH27" s="1882"/>
      <c r="PLJ27" s="1887"/>
      <c r="PLK27" s="1888"/>
      <c r="PLL27" s="1882"/>
      <c r="PLM27" s="1882"/>
      <c r="PLN27" s="1882"/>
      <c r="PLP27" s="1887"/>
      <c r="PLQ27" s="1888"/>
      <c r="PLR27" s="1882"/>
      <c r="PLS27" s="1882"/>
      <c r="PLT27" s="1882"/>
      <c r="PLV27" s="1887"/>
      <c r="PLW27" s="1888"/>
      <c r="PLX27" s="1882"/>
      <c r="PLY27" s="1882"/>
      <c r="PLZ27" s="1882"/>
      <c r="PMB27" s="1887"/>
      <c r="PMC27" s="1888"/>
      <c r="PMD27" s="1882"/>
      <c r="PME27" s="1882"/>
      <c r="PMF27" s="1882"/>
      <c r="PMH27" s="1887"/>
      <c r="PMI27" s="1888"/>
      <c r="PMJ27" s="1882"/>
      <c r="PMK27" s="1882"/>
      <c r="PML27" s="1882"/>
      <c r="PMN27" s="1887"/>
      <c r="PMO27" s="1888"/>
      <c r="PMP27" s="1882"/>
      <c r="PMQ27" s="1882"/>
      <c r="PMR27" s="1882"/>
      <c r="PMT27" s="1887"/>
      <c r="PMU27" s="1888"/>
      <c r="PMV27" s="1882"/>
      <c r="PMW27" s="1882"/>
      <c r="PMX27" s="1882"/>
      <c r="PMZ27" s="1887"/>
      <c r="PNA27" s="1888"/>
      <c r="PNB27" s="1882"/>
      <c r="PNC27" s="1882"/>
      <c r="PND27" s="1882"/>
      <c r="PNF27" s="1887"/>
      <c r="PNG27" s="1888"/>
      <c r="PNH27" s="1882"/>
      <c r="PNI27" s="1882"/>
      <c r="PNJ27" s="1882"/>
      <c r="PNL27" s="1887"/>
      <c r="PNM27" s="1888"/>
      <c r="PNN27" s="1882"/>
      <c r="PNO27" s="1882"/>
      <c r="PNP27" s="1882"/>
      <c r="PNR27" s="1887"/>
      <c r="PNS27" s="1888"/>
      <c r="PNT27" s="1882"/>
      <c r="PNU27" s="1882"/>
      <c r="PNV27" s="1882"/>
      <c r="PNX27" s="1887"/>
      <c r="PNY27" s="1888"/>
      <c r="PNZ27" s="1882"/>
      <c r="POA27" s="1882"/>
      <c r="POB27" s="1882"/>
      <c r="POD27" s="1887"/>
      <c r="POE27" s="1888"/>
      <c r="POF27" s="1882"/>
      <c r="POG27" s="1882"/>
      <c r="POH27" s="1882"/>
      <c r="POJ27" s="1887"/>
      <c r="POK27" s="1888"/>
      <c r="POL27" s="1882"/>
      <c r="POM27" s="1882"/>
      <c r="PON27" s="1882"/>
      <c r="POP27" s="1887"/>
      <c r="POQ27" s="1888"/>
      <c r="POR27" s="1882"/>
      <c r="POS27" s="1882"/>
      <c r="POT27" s="1882"/>
      <c r="POV27" s="1887"/>
      <c r="POW27" s="1888"/>
      <c r="POX27" s="1882"/>
      <c r="POY27" s="1882"/>
      <c r="POZ27" s="1882"/>
      <c r="PPB27" s="1887"/>
      <c r="PPC27" s="1888"/>
      <c r="PPD27" s="1882"/>
      <c r="PPE27" s="1882"/>
      <c r="PPF27" s="1882"/>
      <c r="PPH27" s="1887"/>
      <c r="PPI27" s="1888"/>
      <c r="PPJ27" s="1882"/>
      <c r="PPK27" s="1882"/>
      <c r="PPL27" s="1882"/>
      <c r="PPN27" s="1887"/>
      <c r="PPO27" s="1888"/>
      <c r="PPP27" s="1882"/>
      <c r="PPQ27" s="1882"/>
      <c r="PPR27" s="1882"/>
      <c r="PPT27" s="1887"/>
      <c r="PPU27" s="1888"/>
      <c r="PPV27" s="1882"/>
      <c r="PPW27" s="1882"/>
      <c r="PPX27" s="1882"/>
      <c r="PPZ27" s="1887"/>
      <c r="PQA27" s="1888"/>
      <c r="PQB27" s="1882"/>
      <c r="PQC27" s="1882"/>
      <c r="PQD27" s="1882"/>
      <c r="PQF27" s="1887"/>
      <c r="PQG27" s="1888"/>
      <c r="PQH27" s="1882"/>
      <c r="PQI27" s="1882"/>
      <c r="PQJ27" s="1882"/>
      <c r="PQL27" s="1887"/>
      <c r="PQM27" s="1888"/>
      <c r="PQN27" s="1882"/>
      <c r="PQO27" s="1882"/>
      <c r="PQP27" s="1882"/>
      <c r="PQR27" s="1887"/>
      <c r="PQS27" s="1888"/>
      <c r="PQT27" s="1882"/>
      <c r="PQU27" s="1882"/>
      <c r="PQV27" s="1882"/>
      <c r="PQX27" s="1887"/>
      <c r="PQY27" s="1888"/>
      <c r="PQZ27" s="1882"/>
      <c r="PRA27" s="1882"/>
      <c r="PRB27" s="1882"/>
      <c r="PRD27" s="1887"/>
      <c r="PRE27" s="1888"/>
      <c r="PRF27" s="1882"/>
      <c r="PRG27" s="1882"/>
      <c r="PRH27" s="1882"/>
      <c r="PRJ27" s="1887"/>
      <c r="PRK27" s="1888"/>
      <c r="PRL27" s="1882"/>
      <c r="PRM27" s="1882"/>
      <c r="PRN27" s="1882"/>
      <c r="PRP27" s="1887"/>
      <c r="PRQ27" s="1888"/>
      <c r="PRR27" s="1882"/>
      <c r="PRS27" s="1882"/>
      <c r="PRT27" s="1882"/>
      <c r="PRV27" s="1887"/>
      <c r="PRW27" s="1888"/>
      <c r="PRX27" s="1882"/>
      <c r="PRY27" s="1882"/>
      <c r="PRZ27" s="1882"/>
      <c r="PSB27" s="1887"/>
      <c r="PSC27" s="1888"/>
      <c r="PSD27" s="1882"/>
      <c r="PSE27" s="1882"/>
      <c r="PSF27" s="1882"/>
      <c r="PSH27" s="1887"/>
      <c r="PSI27" s="1888"/>
      <c r="PSJ27" s="1882"/>
      <c r="PSK27" s="1882"/>
      <c r="PSL27" s="1882"/>
      <c r="PSN27" s="1887"/>
      <c r="PSO27" s="1888"/>
      <c r="PSP27" s="1882"/>
      <c r="PSQ27" s="1882"/>
      <c r="PSR27" s="1882"/>
      <c r="PST27" s="1887"/>
      <c r="PSU27" s="1888"/>
      <c r="PSV27" s="1882"/>
      <c r="PSW27" s="1882"/>
      <c r="PSX27" s="1882"/>
      <c r="PSZ27" s="1887"/>
      <c r="PTA27" s="1888"/>
      <c r="PTB27" s="1882"/>
      <c r="PTC27" s="1882"/>
      <c r="PTD27" s="1882"/>
      <c r="PTF27" s="1887"/>
      <c r="PTG27" s="1888"/>
      <c r="PTH27" s="1882"/>
      <c r="PTI27" s="1882"/>
      <c r="PTJ27" s="1882"/>
      <c r="PTL27" s="1887"/>
      <c r="PTM27" s="1888"/>
      <c r="PTN27" s="1882"/>
      <c r="PTO27" s="1882"/>
      <c r="PTP27" s="1882"/>
      <c r="PTR27" s="1887"/>
      <c r="PTS27" s="1888"/>
      <c r="PTT27" s="1882"/>
      <c r="PTU27" s="1882"/>
      <c r="PTV27" s="1882"/>
      <c r="PTX27" s="1887"/>
      <c r="PTY27" s="1888"/>
      <c r="PTZ27" s="1882"/>
      <c r="PUA27" s="1882"/>
      <c r="PUB27" s="1882"/>
      <c r="PUD27" s="1887"/>
      <c r="PUE27" s="1888"/>
      <c r="PUF27" s="1882"/>
      <c r="PUG27" s="1882"/>
      <c r="PUH27" s="1882"/>
      <c r="PUJ27" s="1887"/>
      <c r="PUK27" s="1888"/>
      <c r="PUL27" s="1882"/>
      <c r="PUM27" s="1882"/>
      <c r="PUN27" s="1882"/>
      <c r="PUP27" s="1887"/>
      <c r="PUQ27" s="1888"/>
      <c r="PUR27" s="1882"/>
      <c r="PUS27" s="1882"/>
      <c r="PUT27" s="1882"/>
      <c r="PUV27" s="1887"/>
      <c r="PUW27" s="1888"/>
      <c r="PUX27" s="1882"/>
      <c r="PUY27" s="1882"/>
      <c r="PUZ27" s="1882"/>
      <c r="PVB27" s="1887"/>
      <c r="PVC27" s="1888"/>
      <c r="PVD27" s="1882"/>
      <c r="PVE27" s="1882"/>
      <c r="PVF27" s="1882"/>
      <c r="PVH27" s="1887"/>
      <c r="PVI27" s="1888"/>
      <c r="PVJ27" s="1882"/>
      <c r="PVK27" s="1882"/>
      <c r="PVL27" s="1882"/>
      <c r="PVN27" s="1887"/>
      <c r="PVO27" s="1888"/>
      <c r="PVP27" s="1882"/>
      <c r="PVQ27" s="1882"/>
      <c r="PVR27" s="1882"/>
      <c r="PVT27" s="1887"/>
      <c r="PVU27" s="1888"/>
      <c r="PVV27" s="1882"/>
      <c r="PVW27" s="1882"/>
      <c r="PVX27" s="1882"/>
      <c r="PVZ27" s="1887"/>
      <c r="PWA27" s="1888"/>
      <c r="PWB27" s="1882"/>
      <c r="PWC27" s="1882"/>
      <c r="PWD27" s="1882"/>
      <c r="PWF27" s="1887"/>
      <c r="PWG27" s="1888"/>
      <c r="PWH27" s="1882"/>
      <c r="PWI27" s="1882"/>
      <c r="PWJ27" s="1882"/>
      <c r="PWL27" s="1887"/>
      <c r="PWM27" s="1888"/>
      <c r="PWN27" s="1882"/>
      <c r="PWO27" s="1882"/>
      <c r="PWP27" s="1882"/>
      <c r="PWR27" s="1887"/>
      <c r="PWS27" s="1888"/>
      <c r="PWT27" s="1882"/>
      <c r="PWU27" s="1882"/>
      <c r="PWV27" s="1882"/>
      <c r="PWX27" s="1887"/>
      <c r="PWY27" s="1888"/>
      <c r="PWZ27" s="1882"/>
      <c r="PXA27" s="1882"/>
      <c r="PXB27" s="1882"/>
      <c r="PXD27" s="1887"/>
      <c r="PXE27" s="1888"/>
      <c r="PXF27" s="1882"/>
      <c r="PXG27" s="1882"/>
      <c r="PXH27" s="1882"/>
      <c r="PXJ27" s="1887"/>
      <c r="PXK27" s="1888"/>
      <c r="PXL27" s="1882"/>
      <c r="PXM27" s="1882"/>
      <c r="PXN27" s="1882"/>
      <c r="PXP27" s="1887"/>
      <c r="PXQ27" s="1888"/>
      <c r="PXR27" s="1882"/>
      <c r="PXS27" s="1882"/>
      <c r="PXT27" s="1882"/>
      <c r="PXV27" s="1887"/>
      <c r="PXW27" s="1888"/>
      <c r="PXX27" s="1882"/>
      <c r="PXY27" s="1882"/>
      <c r="PXZ27" s="1882"/>
      <c r="PYB27" s="1887"/>
      <c r="PYC27" s="1888"/>
      <c r="PYD27" s="1882"/>
      <c r="PYE27" s="1882"/>
      <c r="PYF27" s="1882"/>
      <c r="PYH27" s="1887"/>
      <c r="PYI27" s="1888"/>
      <c r="PYJ27" s="1882"/>
      <c r="PYK27" s="1882"/>
      <c r="PYL27" s="1882"/>
      <c r="PYN27" s="1887"/>
      <c r="PYO27" s="1888"/>
      <c r="PYP27" s="1882"/>
      <c r="PYQ27" s="1882"/>
      <c r="PYR27" s="1882"/>
      <c r="PYT27" s="1887"/>
      <c r="PYU27" s="1888"/>
      <c r="PYV27" s="1882"/>
      <c r="PYW27" s="1882"/>
      <c r="PYX27" s="1882"/>
      <c r="PYZ27" s="1887"/>
      <c r="PZA27" s="1888"/>
      <c r="PZB27" s="1882"/>
      <c r="PZC27" s="1882"/>
      <c r="PZD27" s="1882"/>
      <c r="PZF27" s="1887"/>
      <c r="PZG27" s="1888"/>
      <c r="PZH27" s="1882"/>
      <c r="PZI27" s="1882"/>
      <c r="PZJ27" s="1882"/>
      <c r="PZL27" s="1887"/>
      <c r="PZM27" s="1888"/>
      <c r="PZN27" s="1882"/>
      <c r="PZO27" s="1882"/>
      <c r="PZP27" s="1882"/>
      <c r="PZR27" s="1887"/>
      <c r="PZS27" s="1888"/>
      <c r="PZT27" s="1882"/>
      <c r="PZU27" s="1882"/>
      <c r="PZV27" s="1882"/>
      <c r="PZX27" s="1887"/>
      <c r="PZY27" s="1888"/>
      <c r="PZZ27" s="1882"/>
      <c r="QAA27" s="1882"/>
      <c r="QAB27" s="1882"/>
      <c r="QAD27" s="1887"/>
      <c r="QAE27" s="1888"/>
      <c r="QAF27" s="1882"/>
      <c r="QAG27" s="1882"/>
      <c r="QAH27" s="1882"/>
      <c r="QAJ27" s="1887"/>
      <c r="QAK27" s="1888"/>
      <c r="QAL27" s="1882"/>
      <c r="QAM27" s="1882"/>
      <c r="QAN27" s="1882"/>
      <c r="QAP27" s="1887"/>
      <c r="QAQ27" s="1888"/>
      <c r="QAR27" s="1882"/>
      <c r="QAS27" s="1882"/>
      <c r="QAT27" s="1882"/>
      <c r="QAV27" s="1887"/>
      <c r="QAW27" s="1888"/>
      <c r="QAX27" s="1882"/>
      <c r="QAY27" s="1882"/>
      <c r="QAZ27" s="1882"/>
      <c r="QBB27" s="1887"/>
      <c r="QBC27" s="1888"/>
      <c r="QBD27" s="1882"/>
      <c r="QBE27" s="1882"/>
      <c r="QBF27" s="1882"/>
      <c r="QBH27" s="1887"/>
      <c r="QBI27" s="1888"/>
      <c r="QBJ27" s="1882"/>
      <c r="QBK27" s="1882"/>
      <c r="QBL27" s="1882"/>
      <c r="QBN27" s="1887"/>
      <c r="QBO27" s="1888"/>
      <c r="QBP27" s="1882"/>
      <c r="QBQ27" s="1882"/>
      <c r="QBR27" s="1882"/>
      <c r="QBT27" s="1887"/>
      <c r="QBU27" s="1888"/>
      <c r="QBV27" s="1882"/>
      <c r="QBW27" s="1882"/>
      <c r="QBX27" s="1882"/>
      <c r="QBZ27" s="1887"/>
      <c r="QCA27" s="1888"/>
      <c r="QCB27" s="1882"/>
      <c r="QCC27" s="1882"/>
      <c r="QCD27" s="1882"/>
      <c r="QCF27" s="1887"/>
      <c r="QCG27" s="1888"/>
      <c r="QCH27" s="1882"/>
      <c r="QCI27" s="1882"/>
      <c r="QCJ27" s="1882"/>
      <c r="QCL27" s="1887"/>
      <c r="QCM27" s="1888"/>
      <c r="QCN27" s="1882"/>
      <c r="QCO27" s="1882"/>
      <c r="QCP27" s="1882"/>
      <c r="QCR27" s="1887"/>
      <c r="QCS27" s="1888"/>
      <c r="QCT27" s="1882"/>
      <c r="QCU27" s="1882"/>
      <c r="QCV27" s="1882"/>
      <c r="QCX27" s="1887"/>
      <c r="QCY27" s="1888"/>
      <c r="QCZ27" s="1882"/>
      <c r="QDA27" s="1882"/>
      <c r="QDB27" s="1882"/>
      <c r="QDD27" s="1887"/>
      <c r="QDE27" s="1888"/>
      <c r="QDF27" s="1882"/>
      <c r="QDG27" s="1882"/>
      <c r="QDH27" s="1882"/>
      <c r="QDJ27" s="1887"/>
      <c r="QDK27" s="1888"/>
      <c r="QDL27" s="1882"/>
      <c r="QDM27" s="1882"/>
      <c r="QDN27" s="1882"/>
      <c r="QDP27" s="1887"/>
      <c r="QDQ27" s="1888"/>
      <c r="QDR27" s="1882"/>
      <c r="QDS27" s="1882"/>
      <c r="QDT27" s="1882"/>
      <c r="QDV27" s="1887"/>
      <c r="QDW27" s="1888"/>
      <c r="QDX27" s="1882"/>
      <c r="QDY27" s="1882"/>
      <c r="QDZ27" s="1882"/>
      <c r="QEB27" s="1887"/>
      <c r="QEC27" s="1888"/>
      <c r="QED27" s="1882"/>
      <c r="QEE27" s="1882"/>
      <c r="QEF27" s="1882"/>
      <c r="QEH27" s="1887"/>
      <c r="QEI27" s="1888"/>
      <c r="QEJ27" s="1882"/>
      <c r="QEK27" s="1882"/>
      <c r="QEL27" s="1882"/>
      <c r="QEN27" s="1887"/>
      <c r="QEO27" s="1888"/>
      <c r="QEP27" s="1882"/>
      <c r="QEQ27" s="1882"/>
      <c r="QER27" s="1882"/>
      <c r="QET27" s="1887"/>
      <c r="QEU27" s="1888"/>
      <c r="QEV27" s="1882"/>
      <c r="QEW27" s="1882"/>
      <c r="QEX27" s="1882"/>
      <c r="QEZ27" s="1887"/>
      <c r="QFA27" s="1888"/>
      <c r="QFB27" s="1882"/>
      <c r="QFC27" s="1882"/>
      <c r="QFD27" s="1882"/>
      <c r="QFF27" s="1887"/>
      <c r="QFG27" s="1888"/>
      <c r="QFH27" s="1882"/>
      <c r="QFI27" s="1882"/>
      <c r="QFJ27" s="1882"/>
      <c r="QFL27" s="1887"/>
      <c r="QFM27" s="1888"/>
      <c r="QFN27" s="1882"/>
      <c r="QFO27" s="1882"/>
      <c r="QFP27" s="1882"/>
      <c r="QFR27" s="1887"/>
      <c r="QFS27" s="1888"/>
      <c r="QFT27" s="1882"/>
      <c r="QFU27" s="1882"/>
      <c r="QFV27" s="1882"/>
      <c r="QFX27" s="1887"/>
      <c r="QFY27" s="1888"/>
      <c r="QFZ27" s="1882"/>
      <c r="QGA27" s="1882"/>
      <c r="QGB27" s="1882"/>
      <c r="QGD27" s="1887"/>
      <c r="QGE27" s="1888"/>
      <c r="QGF27" s="1882"/>
      <c r="QGG27" s="1882"/>
      <c r="QGH27" s="1882"/>
      <c r="QGJ27" s="1887"/>
      <c r="QGK27" s="1888"/>
      <c r="QGL27" s="1882"/>
      <c r="QGM27" s="1882"/>
      <c r="QGN27" s="1882"/>
      <c r="QGP27" s="1887"/>
      <c r="QGQ27" s="1888"/>
      <c r="QGR27" s="1882"/>
      <c r="QGS27" s="1882"/>
      <c r="QGT27" s="1882"/>
      <c r="QGV27" s="1887"/>
      <c r="QGW27" s="1888"/>
      <c r="QGX27" s="1882"/>
      <c r="QGY27" s="1882"/>
      <c r="QGZ27" s="1882"/>
      <c r="QHB27" s="1887"/>
      <c r="QHC27" s="1888"/>
      <c r="QHD27" s="1882"/>
      <c r="QHE27" s="1882"/>
      <c r="QHF27" s="1882"/>
      <c r="QHH27" s="1887"/>
      <c r="QHI27" s="1888"/>
      <c r="QHJ27" s="1882"/>
      <c r="QHK27" s="1882"/>
      <c r="QHL27" s="1882"/>
      <c r="QHN27" s="1887"/>
      <c r="QHO27" s="1888"/>
      <c r="QHP27" s="1882"/>
      <c r="QHQ27" s="1882"/>
      <c r="QHR27" s="1882"/>
      <c r="QHT27" s="1887"/>
      <c r="QHU27" s="1888"/>
      <c r="QHV27" s="1882"/>
      <c r="QHW27" s="1882"/>
      <c r="QHX27" s="1882"/>
      <c r="QHZ27" s="1887"/>
      <c r="QIA27" s="1888"/>
      <c r="QIB27" s="1882"/>
      <c r="QIC27" s="1882"/>
      <c r="QID27" s="1882"/>
      <c r="QIF27" s="1887"/>
      <c r="QIG27" s="1888"/>
      <c r="QIH27" s="1882"/>
      <c r="QII27" s="1882"/>
      <c r="QIJ27" s="1882"/>
      <c r="QIL27" s="1887"/>
      <c r="QIM27" s="1888"/>
      <c r="QIN27" s="1882"/>
      <c r="QIO27" s="1882"/>
      <c r="QIP27" s="1882"/>
      <c r="QIR27" s="1887"/>
      <c r="QIS27" s="1888"/>
      <c r="QIT27" s="1882"/>
      <c r="QIU27" s="1882"/>
      <c r="QIV27" s="1882"/>
      <c r="QIX27" s="1887"/>
      <c r="QIY27" s="1888"/>
      <c r="QIZ27" s="1882"/>
      <c r="QJA27" s="1882"/>
      <c r="QJB27" s="1882"/>
      <c r="QJD27" s="1887"/>
      <c r="QJE27" s="1888"/>
      <c r="QJF27" s="1882"/>
      <c r="QJG27" s="1882"/>
      <c r="QJH27" s="1882"/>
      <c r="QJJ27" s="1887"/>
      <c r="QJK27" s="1888"/>
      <c r="QJL27" s="1882"/>
      <c r="QJM27" s="1882"/>
      <c r="QJN27" s="1882"/>
      <c r="QJP27" s="1887"/>
      <c r="QJQ27" s="1888"/>
      <c r="QJR27" s="1882"/>
      <c r="QJS27" s="1882"/>
      <c r="QJT27" s="1882"/>
      <c r="QJV27" s="1887"/>
      <c r="QJW27" s="1888"/>
      <c r="QJX27" s="1882"/>
      <c r="QJY27" s="1882"/>
      <c r="QJZ27" s="1882"/>
      <c r="QKB27" s="1887"/>
      <c r="QKC27" s="1888"/>
      <c r="QKD27" s="1882"/>
      <c r="QKE27" s="1882"/>
      <c r="QKF27" s="1882"/>
      <c r="QKH27" s="1887"/>
      <c r="QKI27" s="1888"/>
      <c r="QKJ27" s="1882"/>
      <c r="QKK27" s="1882"/>
      <c r="QKL27" s="1882"/>
      <c r="QKN27" s="1887"/>
      <c r="QKO27" s="1888"/>
      <c r="QKP27" s="1882"/>
      <c r="QKQ27" s="1882"/>
      <c r="QKR27" s="1882"/>
      <c r="QKT27" s="1887"/>
      <c r="QKU27" s="1888"/>
      <c r="QKV27" s="1882"/>
      <c r="QKW27" s="1882"/>
      <c r="QKX27" s="1882"/>
      <c r="QKZ27" s="1887"/>
      <c r="QLA27" s="1888"/>
      <c r="QLB27" s="1882"/>
      <c r="QLC27" s="1882"/>
      <c r="QLD27" s="1882"/>
      <c r="QLF27" s="1887"/>
      <c r="QLG27" s="1888"/>
      <c r="QLH27" s="1882"/>
      <c r="QLI27" s="1882"/>
      <c r="QLJ27" s="1882"/>
      <c r="QLL27" s="1887"/>
      <c r="QLM27" s="1888"/>
      <c r="QLN27" s="1882"/>
      <c r="QLO27" s="1882"/>
      <c r="QLP27" s="1882"/>
      <c r="QLR27" s="1887"/>
      <c r="QLS27" s="1888"/>
      <c r="QLT27" s="1882"/>
      <c r="QLU27" s="1882"/>
      <c r="QLV27" s="1882"/>
      <c r="QLX27" s="1887"/>
      <c r="QLY27" s="1888"/>
      <c r="QLZ27" s="1882"/>
      <c r="QMA27" s="1882"/>
      <c r="QMB27" s="1882"/>
      <c r="QMD27" s="1887"/>
      <c r="QME27" s="1888"/>
      <c r="QMF27" s="1882"/>
      <c r="QMG27" s="1882"/>
      <c r="QMH27" s="1882"/>
      <c r="QMJ27" s="1887"/>
      <c r="QMK27" s="1888"/>
      <c r="QML27" s="1882"/>
      <c r="QMM27" s="1882"/>
      <c r="QMN27" s="1882"/>
      <c r="QMP27" s="1887"/>
      <c r="QMQ27" s="1888"/>
      <c r="QMR27" s="1882"/>
      <c r="QMS27" s="1882"/>
      <c r="QMT27" s="1882"/>
      <c r="QMV27" s="1887"/>
      <c r="QMW27" s="1888"/>
      <c r="QMX27" s="1882"/>
      <c r="QMY27" s="1882"/>
      <c r="QMZ27" s="1882"/>
      <c r="QNB27" s="1887"/>
      <c r="QNC27" s="1888"/>
      <c r="QND27" s="1882"/>
      <c r="QNE27" s="1882"/>
      <c r="QNF27" s="1882"/>
      <c r="QNH27" s="1887"/>
      <c r="QNI27" s="1888"/>
      <c r="QNJ27" s="1882"/>
      <c r="QNK27" s="1882"/>
      <c r="QNL27" s="1882"/>
      <c r="QNN27" s="1887"/>
      <c r="QNO27" s="1888"/>
      <c r="QNP27" s="1882"/>
      <c r="QNQ27" s="1882"/>
      <c r="QNR27" s="1882"/>
      <c r="QNT27" s="1887"/>
      <c r="QNU27" s="1888"/>
      <c r="QNV27" s="1882"/>
      <c r="QNW27" s="1882"/>
      <c r="QNX27" s="1882"/>
      <c r="QNZ27" s="1887"/>
      <c r="QOA27" s="1888"/>
      <c r="QOB27" s="1882"/>
      <c r="QOC27" s="1882"/>
      <c r="QOD27" s="1882"/>
      <c r="QOF27" s="1887"/>
      <c r="QOG27" s="1888"/>
      <c r="QOH27" s="1882"/>
      <c r="QOI27" s="1882"/>
      <c r="QOJ27" s="1882"/>
      <c r="QOL27" s="1887"/>
      <c r="QOM27" s="1888"/>
      <c r="QON27" s="1882"/>
      <c r="QOO27" s="1882"/>
      <c r="QOP27" s="1882"/>
      <c r="QOR27" s="1887"/>
      <c r="QOS27" s="1888"/>
      <c r="QOT27" s="1882"/>
      <c r="QOU27" s="1882"/>
      <c r="QOV27" s="1882"/>
      <c r="QOX27" s="1887"/>
      <c r="QOY27" s="1888"/>
      <c r="QOZ27" s="1882"/>
      <c r="QPA27" s="1882"/>
      <c r="QPB27" s="1882"/>
      <c r="QPD27" s="1887"/>
      <c r="QPE27" s="1888"/>
      <c r="QPF27" s="1882"/>
      <c r="QPG27" s="1882"/>
      <c r="QPH27" s="1882"/>
      <c r="QPJ27" s="1887"/>
      <c r="QPK27" s="1888"/>
      <c r="QPL27" s="1882"/>
      <c r="QPM27" s="1882"/>
      <c r="QPN27" s="1882"/>
      <c r="QPP27" s="1887"/>
      <c r="QPQ27" s="1888"/>
      <c r="QPR27" s="1882"/>
      <c r="QPS27" s="1882"/>
      <c r="QPT27" s="1882"/>
      <c r="QPV27" s="1887"/>
      <c r="QPW27" s="1888"/>
      <c r="QPX27" s="1882"/>
      <c r="QPY27" s="1882"/>
      <c r="QPZ27" s="1882"/>
      <c r="QQB27" s="1887"/>
      <c r="QQC27" s="1888"/>
      <c r="QQD27" s="1882"/>
      <c r="QQE27" s="1882"/>
      <c r="QQF27" s="1882"/>
      <c r="QQH27" s="1887"/>
      <c r="QQI27" s="1888"/>
      <c r="QQJ27" s="1882"/>
      <c r="QQK27" s="1882"/>
      <c r="QQL27" s="1882"/>
      <c r="QQN27" s="1887"/>
      <c r="QQO27" s="1888"/>
      <c r="QQP27" s="1882"/>
      <c r="QQQ27" s="1882"/>
      <c r="QQR27" s="1882"/>
      <c r="QQT27" s="1887"/>
      <c r="QQU27" s="1888"/>
      <c r="QQV27" s="1882"/>
      <c r="QQW27" s="1882"/>
      <c r="QQX27" s="1882"/>
      <c r="QQZ27" s="1887"/>
      <c r="QRA27" s="1888"/>
      <c r="QRB27" s="1882"/>
      <c r="QRC27" s="1882"/>
      <c r="QRD27" s="1882"/>
      <c r="QRF27" s="1887"/>
      <c r="QRG27" s="1888"/>
      <c r="QRH27" s="1882"/>
      <c r="QRI27" s="1882"/>
      <c r="QRJ27" s="1882"/>
      <c r="QRL27" s="1887"/>
      <c r="QRM27" s="1888"/>
      <c r="QRN27" s="1882"/>
      <c r="QRO27" s="1882"/>
      <c r="QRP27" s="1882"/>
      <c r="QRR27" s="1887"/>
      <c r="QRS27" s="1888"/>
      <c r="QRT27" s="1882"/>
      <c r="QRU27" s="1882"/>
      <c r="QRV27" s="1882"/>
      <c r="QRX27" s="1887"/>
      <c r="QRY27" s="1888"/>
      <c r="QRZ27" s="1882"/>
      <c r="QSA27" s="1882"/>
      <c r="QSB27" s="1882"/>
      <c r="QSD27" s="1887"/>
      <c r="QSE27" s="1888"/>
      <c r="QSF27" s="1882"/>
      <c r="QSG27" s="1882"/>
      <c r="QSH27" s="1882"/>
      <c r="QSJ27" s="1887"/>
      <c r="QSK27" s="1888"/>
      <c r="QSL27" s="1882"/>
      <c r="QSM27" s="1882"/>
      <c r="QSN27" s="1882"/>
      <c r="QSP27" s="1887"/>
      <c r="QSQ27" s="1888"/>
      <c r="QSR27" s="1882"/>
      <c r="QSS27" s="1882"/>
      <c r="QST27" s="1882"/>
      <c r="QSV27" s="1887"/>
      <c r="QSW27" s="1888"/>
      <c r="QSX27" s="1882"/>
      <c r="QSY27" s="1882"/>
      <c r="QSZ27" s="1882"/>
      <c r="QTB27" s="1887"/>
      <c r="QTC27" s="1888"/>
      <c r="QTD27" s="1882"/>
      <c r="QTE27" s="1882"/>
      <c r="QTF27" s="1882"/>
      <c r="QTH27" s="1887"/>
      <c r="QTI27" s="1888"/>
      <c r="QTJ27" s="1882"/>
      <c r="QTK27" s="1882"/>
      <c r="QTL27" s="1882"/>
      <c r="QTN27" s="1887"/>
      <c r="QTO27" s="1888"/>
      <c r="QTP27" s="1882"/>
      <c r="QTQ27" s="1882"/>
      <c r="QTR27" s="1882"/>
      <c r="QTT27" s="1887"/>
      <c r="QTU27" s="1888"/>
      <c r="QTV27" s="1882"/>
      <c r="QTW27" s="1882"/>
      <c r="QTX27" s="1882"/>
      <c r="QTZ27" s="1887"/>
      <c r="QUA27" s="1888"/>
      <c r="QUB27" s="1882"/>
      <c r="QUC27" s="1882"/>
      <c r="QUD27" s="1882"/>
      <c r="QUF27" s="1887"/>
      <c r="QUG27" s="1888"/>
      <c r="QUH27" s="1882"/>
      <c r="QUI27" s="1882"/>
      <c r="QUJ27" s="1882"/>
      <c r="QUL27" s="1887"/>
      <c r="QUM27" s="1888"/>
      <c r="QUN27" s="1882"/>
      <c r="QUO27" s="1882"/>
      <c r="QUP27" s="1882"/>
      <c r="QUR27" s="1887"/>
      <c r="QUS27" s="1888"/>
      <c r="QUT27" s="1882"/>
      <c r="QUU27" s="1882"/>
      <c r="QUV27" s="1882"/>
      <c r="QUX27" s="1887"/>
      <c r="QUY27" s="1888"/>
      <c r="QUZ27" s="1882"/>
      <c r="QVA27" s="1882"/>
      <c r="QVB27" s="1882"/>
      <c r="QVD27" s="1887"/>
      <c r="QVE27" s="1888"/>
      <c r="QVF27" s="1882"/>
      <c r="QVG27" s="1882"/>
      <c r="QVH27" s="1882"/>
      <c r="QVJ27" s="1887"/>
      <c r="QVK27" s="1888"/>
      <c r="QVL27" s="1882"/>
      <c r="QVM27" s="1882"/>
      <c r="QVN27" s="1882"/>
      <c r="QVP27" s="1887"/>
      <c r="QVQ27" s="1888"/>
      <c r="QVR27" s="1882"/>
      <c r="QVS27" s="1882"/>
      <c r="QVT27" s="1882"/>
      <c r="QVV27" s="1887"/>
      <c r="QVW27" s="1888"/>
      <c r="QVX27" s="1882"/>
      <c r="QVY27" s="1882"/>
      <c r="QVZ27" s="1882"/>
      <c r="QWB27" s="1887"/>
      <c r="QWC27" s="1888"/>
      <c r="QWD27" s="1882"/>
      <c r="QWE27" s="1882"/>
      <c r="QWF27" s="1882"/>
      <c r="QWH27" s="1887"/>
      <c r="QWI27" s="1888"/>
      <c r="QWJ27" s="1882"/>
      <c r="QWK27" s="1882"/>
      <c r="QWL27" s="1882"/>
      <c r="QWN27" s="1887"/>
      <c r="QWO27" s="1888"/>
      <c r="QWP27" s="1882"/>
      <c r="QWQ27" s="1882"/>
      <c r="QWR27" s="1882"/>
      <c r="QWT27" s="1887"/>
      <c r="QWU27" s="1888"/>
      <c r="QWV27" s="1882"/>
      <c r="QWW27" s="1882"/>
      <c r="QWX27" s="1882"/>
      <c r="QWZ27" s="1887"/>
      <c r="QXA27" s="1888"/>
      <c r="QXB27" s="1882"/>
      <c r="QXC27" s="1882"/>
      <c r="QXD27" s="1882"/>
      <c r="QXF27" s="1887"/>
      <c r="QXG27" s="1888"/>
      <c r="QXH27" s="1882"/>
      <c r="QXI27" s="1882"/>
      <c r="QXJ27" s="1882"/>
      <c r="QXL27" s="1887"/>
      <c r="QXM27" s="1888"/>
      <c r="QXN27" s="1882"/>
      <c r="QXO27" s="1882"/>
      <c r="QXP27" s="1882"/>
      <c r="QXR27" s="1887"/>
      <c r="QXS27" s="1888"/>
      <c r="QXT27" s="1882"/>
      <c r="QXU27" s="1882"/>
      <c r="QXV27" s="1882"/>
      <c r="QXX27" s="1887"/>
      <c r="QXY27" s="1888"/>
      <c r="QXZ27" s="1882"/>
      <c r="QYA27" s="1882"/>
      <c r="QYB27" s="1882"/>
      <c r="QYD27" s="1887"/>
      <c r="QYE27" s="1888"/>
      <c r="QYF27" s="1882"/>
      <c r="QYG27" s="1882"/>
      <c r="QYH27" s="1882"/>
      <c r="QYJ27" s="1887"/>
      <c r="QYK27" s="1888"/>
      <c r="QYL27" s="1882"/>
      <c r="QYM27" s="1882"/>
      <c r="QYN27" s="1882"/>
      <c r="QYP27" s="1887"/>
      <c r="QYQ27" s="1888"/>
      <c r="QYR27" s="1882"/>
      <c r="QYS27" s="1882"/>
      <c r="QYT27" s="1882"/>
      <c r="QYV27" s="1887"/>
      <c r="QYW27" s="1888"/>
      <c r="QYX27" s="1882"/>
      <c r="QYY27" s="1882"/>
      <c r="QYZ27" s="1882"/>
      <c r="QZB27" s="1887"/>
      <c r="QZC27" s="1888"/>
      <c r="QZD27" s="1882"/>
      <c r="QZE27" s="1882"/>
      <c r="QZF27" s="1882"/>
      <c r="QZH27" s="1887"/>
      <c r="QZI27" s="1888"/>
      <c r="QZJ27" s="1882"/>
      <c r="QZK27" s="1882"/>
      <c r="QZL27" s="1882"/>
      <c r="QZN27" s="1887"/>
      <c r="QZO27" s="1888"/>
      <c r="QZP27" s="1882"/>
      <c r="QZQ27" s="1882"/>
      <c r="QZR27" s="1882"/>
      <c r="QZT27" s="1887"/>
      <c r="QZU27" s="1888"/>
      <c r="QZV27" s="1882"/>
      <c r="QZW27" s="1882"/>
      <c r="QZX27" s="1882"/>
      <c r="QZZ27" s="1887"/>
      <c r="RAA27" s="1888"/>
      <c r="RAB27" s="1882"/>
      <c r="RAC27" s="1882"/>
      <c r="RAD27" s="1882"/>
      <c r="RAF27" s="1887"/>
      <c r="RAG27" s="1888"/>
      <c r="RAH27" s="1882"/>
      <c r="RAI27" s="1882"/>
      <c r="RAJ27" s="1882"/>
      <c r="RAL27" s="1887"/>
      <c r="RAM27" s="1888"/>
      <c r="RAN27" s="1882"/>
      <c r="RAO27" s="1882"/>
      <c r="RAP27" s="1882"/>
      <c r="RAR27" s="1887"/>
      <c r="RAS27" s="1888"/>
      <c r="RAT27" s="1882"/>
      <c r="RAU27" s="1882"/>
      <c r="RAV27" s="1882"/>
      <c r="RAX27" s="1887"/>
      <c r="RAY27" s="1888"/>
      <c r="RAZ27" s="1882"/>
      <c r="RBA27" s="1882"/>
      <c r="RBB27" s="1882"/>
      <c r="RBD27" s="1887"/>
      <c r="RBE27" s="1888"/>
      <c r="RBF27" s="1882"/>
      <c r="RBG27" s="1882"/>
      <c r="RBH27" s="1882"/>
      <c r="RBJ27" s="1887"/>
      <c r="RBK27" s="1888"/>
      <c r="RBL27" s="1882"/>
      <c r="RBM27" s="1882"/>
      <c r="RBN27" s="1882"/>
      <c r="RBP27" s="1887"/>
      <c r="RBQ27" s="1888"/>
      <c r="RBR27" s="1882"/>
      <c r="RBS27" s="1882"/>
      <c r="RBT27" s="1882"/>
      <c r="RBV27" s="1887"/>
      <c r="RBW27" s="1888"/>
      <c r="RBX27" s="1882"/>
      <c r="RBY27" s="1882"/>
      <c r="RBZ27" s="1882"/>
      <c r="RCB27" s="1887"/>
      <c r="RCC27" s="1888"/>
      <c r="RCD27" s="1882"/>
      <c r="RCE27" s="1882"/>
      <c r="RCF27" s="1882"/>
      <c r="RCH27" s="1887"/>
      <c r="RCI27" s="1888"/>
      <c r="RCJ27" s="1882"/>
      <c r="RCK27" s="1882"/>
      <c r="RCL27" s="1882"/>
      <c r="RCN27" s="1887"/>
      <c r="RCO27" s="1888"/>
      <c r="RCP27" s="1882"/>
      <c r="RCQ27" s="1882"/>
      <c r="RCR27" s="1882"/>
      <c r="RCT27" s="1887"/>
      <c r="RCU27" s="1888"/>
      <c r="RCV27" s="1882"/>
      <c r="RCW27" s="1882"/>
      <c r="RCX27" s="1882"/>
      <c r="RCZ27" s="1887"/>
      <c r="RDA27" s="1888"/>
      <c r="RDB27" s="1882"/>
      <c r="RDC27" s="1882"/>
      <c r="RDD27" s="1882"/>
      <c r="RDF27" s="1887"/>
      <c r="RDG27" s="1888"/>
      <c r="RDH27" s="1882"/>
      <c r="RDI27" s="1882"/>
      <c r="RDJ27" s="1882"/>
      <c r="RDL27" s="1887"/>
      <c r="RDM27" s="1888"/>
      <c r="RDN27" s="1882"/>
      <c r="RDO27" s="1882"/>
      <c r="RDP27" s="1882"/>
      <c r="RDR27" s="1887"/>
      <c r="RDS27" s="1888"/>
      <c r="RDT27" s="1882"/>
      <c r="RDU27" s="1882"/>
      <c r="RDV27" s="1882"/>
      <c r="RDX27" s="1887"/>
      <c r="RDY27" s="1888"/>
      <c r="RDZ27" s="1882"/>
      <c r="REA27" s="1882"/>
      <c r="REB27" s="1882"/>
      <c r="RED27" s="1887"/>
      <c r="REE27" s="1888"/>
      <c r="REF27" s="1882"/>
      <c r="REG27" s="1882"/>
      <c r="REH27" s="1882"/>
      <c r="REJ27" s="1887"/>
      <c r="REK27" s="1888"/>
      <c r="REL27" s="1882"/>
      <c r="REM27" s="1882"/>
      <c r="REN27" s="1882"/>
      <c r="REP27" s="1887"/>
      <c r="REQ27" s="1888"/>
      <c r="RER27" s="1882"/>
      <c r="RES27" s="1882"/>
      <c r="RET27" s="1882"/>
      <c r="REV27" s="1887"/>
      <c r="REW27" s="1888"/>
      <c r="REX27" s="1882"/>
      <c r="REY27" s="1882"/>
      <c r="REZ27" s="1882"/>
      <c r="RFB27" s="1887"/>
      <c r="RFC27" s="1888"/>
      <c r="RFD27" s="1882"/>
      <c r="RFE27" s="1882"/>
      <c r="RFF27" s="1882"/>
      <c r="RFH27" s="1887"/>
      <c r="RFI27" s="1888"/>
      <c r="RFJ27" s="1882"/>
      <c r="RFK27" s="1882"/>
      <c r="RFL27" s="1882"/>
      <c r="RFN27" s="1887"/>
      <c r="RFO27" s="1888"/>
      <c r="RFP27" s="1882"/>
      <c r="RFQ27" s="1882"/>
      <c r="RFR27" s="1882"/>
      <c r="RFT27" s="1887"/>
      <c r="RFU27" s="1888"/>
      <c r="RFV27" s="1882"/>
      <c r="RFW27" s="1882"/>
      <c r="RFX27" s="1882"/>
      <c r="RFZ27" s="1887"/>
      <c r="RGA27" s="1888"/>
      <c r="RGB27" s="1882"/>
      <c r="RGC27" s="1882"/>
      <c r="RGD27" s="1882"/>
      <c r="RGF27" s="1887"/>
      <c r="RGG27" s="1888"/>
      <c r="RGH27" s="1882"/>
      <c r="RGI27" s="1882"/>
      <c r="RGJ27" s="1882"/>
      <c r="RGL27" s="1887"/>
      <c r="RGM27" s="1888"/>
      <c r="RGN27" s="1882"/>
      <c r="RGO27" s="1882"/>
      <c r="RGP27" s="1882"/>
      <c r="RGR27" s="1887"/>
      <c r="RGS27" s="1888"/>
      <c r="RGT27" s="1882"/>
      <c r="RGU27" s="1882"/>
      <c r="RGV27" s="1882"/>
      <c r="RGX27" s="1887"/>
      <c r="RGY27" s="1888"/>
      <c r="RGZ27" s="1882"/>
      <c r="RHA27" s="1882"/>
      <c r="RHB27" s="1882"/>
      <c r="RHD27" s="1887"/>
      <c r="RHE27" s="1888"/>
      <c r="RHF27" s="1882"/>
      <c r="RHG27" s="1882"/>
      <c r="RHH27" s="1882"/>
      <c r="RHJ27" s="1887"/>
      <c r="RHK27" s="1888"/>
      <c r="RHL27" s="1882"/>
      <c r="RHM27" s="1882"/>
      <c r="RHN27" s="1882"/>
      <c r="RHP27" s="1887"/>
      <c r="RHQ27" s="1888"/>
      <c r="RHR27" s="1882"/>
      <c r="RHS27" s="1882"/>
      <c r="RHT27" s="1882"/>
      <c r="RHV27" s="1887"/>
      <c r="RHW27" s="1888"/>
      <c r="RHX27" s="1882"/>
      <c r="RHY27" s="1882"/>
      <c r="RHZ27" s="1882"/>
      <c r="RIB27" s="1887"/>
      <c r="RIC27" s="1888"/>
      <c r="RID27" s="1882"/>
      <c r="RIE27" s="1882"/>
      <c r="RIF27" s="1882"/>
      <c r="RIH27" s="1887"/>
      <c r="RII27" s="1888"/>
      <c r="RIJ27" s="1882"/>
      <c r="RIK27" s="1882"/>
      <c r="RIL27" s="1882"/>
      <c r="RIN27" s="1887"/>
      <c r="RIO27" s="1888"/>
      <c r="RIP27" s="1882"/>
      <c r="RIQ27" s="1882"/>
      <c r="RIR27" s="1882"/>
      <c r="RIT27" s="1887"/>
      <c r="RIU27" s="1888"/>
      <c r="RIV27" s="1882"/>
      <c r="RIW27" s="1882"/>
      <c r="RIX27" s="1882"/>
      <c r="RIZ27" s="1887"/>
      <c r="RJA27" s="1888"/>
      <c r="RJB27" s="1882"/>
      <c r="RJC27" s="1882"/>
      <c r="RJD27" s="1882"/>
      <c r="RJF27" s="1887"/>
      <c r="RJG27" s="1888"/>
      <c r="RJH27" s="1882"/>
      <c r="RJI27" s="1882"/>
      <c r="RJJ27" s="1882"/>
      <c r="RJL27" s="1887"/>
      <c r="RJM27" s="1888"/>
      <c r="RJN27" s="1882"/>
      <c r="RJO27" s="1882"/>
      <c r="RJP27" s="1882"/>
      <c r="RJR27" s="1887"/>
      <c r="RJS27" s="1888"/>
      <c r="RJT27" s="1882"/>
      <c r="RJU27" s="1882"/>
      <c r="RJV27" s="1882"/>
      <c r="RJX27" s="1887"/>
      <c r="RJY27" s="1888"/>
      <c r="RJZ27" s="1882"/>
      <c r="RKA27" s="1882"/>
      <c r="RKB27" s="1882"/>
      <c r="RKD27" s="1887"/>
      <c r="RKE27" s="1888"/>
      <c r="RKF27" s="1882"/>
      <c r="RKG27" s="1882"/>
      <c r="RKH27" s="1882"/>
      <c r="RKJ27" s="1887"/>
      <c r="RKK27" s="1888"/>
      <c r="RKL27" s="1882"/>
      <c r="RKM27" s="1882"/>
      <c r="RKN27" s="1882"/>
      <c r="RKP27" s="1887"/>
      <c r="RKQ27" s="1888"/>
      <c r="RKR27" s="1882"/>
      <c r="RKS27" s="1882"/>
      <c r="RKT27" s="1882"/>
      <c r="RKV27" s="1887"/>
      <c r="RKW27" s="1888"/>
      <c r="RKX27" s="1882"/>
      <c r="RKY27" s="1882"/>
      <c r="RKZ27" s="1882"/>
      <c r="RLB27" s="1887"/>
      <c r="RLC27" s="1888"/>
      <c r="RLD27" s="1882"/>
      <c r="RLE27" s="1882"/>
      <c r="RLF27" s="1882"/>
      <c r="RLH27" s="1887"/>
      <c r="RLI27" s="1888"/>
      <c r="RLJ27" s="1882"/>
      <c r="RLK27" s="1882"/>
      <c r="RLL27" s="1882"/>
      <c r="RLN27" s="1887"/>
      <c r="RLO27" s="1888"/>
      <c r="RLP27" s="1882"/>
      <c r="RLQ27" s="1882"/>
      <c r="RLR27" s="1882"/>
      <c r="RLT27" s="1887"/>
      <c r="RLU27" s="1888"/>
      <c r="RLV27" s="1882"/>
      <c r="RLW27" s="1882"/>
      <c r="RLX27" s="1882"/>
      <c r="RLZ27" s="1887"/>
      <c r="RMA27" s="1888"/>
      <c r="RMB27" s="1882"/>
      <c r="RMC27" s="1882"/>
      <c r="RMD27" s="1882"/>
      <c r="RMF27" s="1887"/>
      <c r="RMG27" s="1888"/>
      <c r="RMH27" s="1882"/>
      <c r="RMI27" s="1882"/>
      <c r="RMJ27" s="1882"/>
      <c r="RML27" s="1887"/>
      <c r="RMM27" s="1888"/>
      <c r="RMN27" s="1882"/>
      <c r="RMO27" s="1882"/>
      <c r="RMP27" s="1882"/>
      <c r="RMR27" s="1887"/>
      <c r="RMS27" s="1888"/>
      <c r="RMT27" s="1882"/>
      <c r="RMU27" s="1882"/>
      <c r="RMV27" s="1882"/>
      <c r="RMX27" s="1887"/>
      <c r="RMY27" s="1888"/>
      <c r="RMZ27" s="1882"/>
      <c r="RNA27" s="1882"/>
      <c r="RNB27" s="1882"/>
      <c r="RND27" s="1887"/>
      <c r="RNE27" s="1888"/>
      <c r="RNF27" s="1882"/>
      <c r="RNG27" s="1882"/>
      <c r="RNH27" s="1882"/>
      <c r="RNJ27" s="1887"/>
      <c r="RNK27" s="1888"/>
      <c r="RNL27" s="1882"/>
      <c r="RNM27" s="1882"/>
      <c r="RNN27" s="1882"/>
      <c r="RNP27" s="1887"/>
      <c r="RNQ27" s="1888"/>
      <c r="RNR27" s="1882"/>
      <c r="RNS27" s="1882"/>
      <c r="RNT27" s="1882"/>
      <c r="RNV27" s="1887"/>
      <c r="RNW27" s="1888"/>
      <c r="RNX27" s="1882"/>
      <c r="RNY27" s="1882"/>
      <c r="RNZ27" s="1882"/>
      <c r="ROB27" s="1887"/>
      <c r="ROC27" s="1888"/>
      <c r="ROD27" s="1882"/>
      <c r="ROE27" s="1882"/>
      <c r="ROF27" s="1882"/>
      <c r="ROH27" s="1887"/>
      <c r="ROI27" s="1888"/>
      <c r="ROJ27" s="1882"/>
      <c r="ROK27" s="1882"/>
      <c r="ROL27" s="1882"/>
      <c r="RON27" s="1887"/>
      <c r="ROO27" s="1888"/>
      <c r="ROP27" s="1882"/>
      <c r="ROQ27" s="1882"/>
      <c r="ROR27" s="1882"/>
      <c r="ROT27" s="1887"/>
      <c r="ROU27" s="1888"/>
      <c r="ROV27" s="1882"/>
      <c r="ROW27" s="1882"/>
      <c r="ROX27" s="1882"/>
      <c r="ROZ27" s="1887"/>
      <c r="RPA27" s="1888"/>
      <c r="RPB27" s="1882"/>
      <c r="RPC27" s="1882"/>
      <c r="RPD27" s="1882"/>
      <c r="RPF27" s="1887"/>
      <c r="RPG27" s="1888"/>
      <c r="RPH27" s="1882"/>
      <c r="RPI27" s="1882"/>
      <c r="RPJ27" s="1882"/>
      <c r="RPL27" s="1887"/>
      <c r="RPM27" s="1888"/>
      <c r="RPN27" s="1882"/>
      <c r="RPO27" s="1882"/>
      <c r="RPP27" s="1882"/>
      <c r="RPR27" s="1887"/>
      <c r="RPS27" s="1888"/>
      <c r="RPT27" s="1882"/>
      <c r="RPU27" s="1882"/>
      <c r="RPV27" s="1882"/>
      <c r="RPX27" s="1887"/>
      <c r="RPY27" s="1888"/>
      <c r="RPZ27" s="1882"/>
      <c r="RQA27" s="1882"/>
      <c r="RQB27" s="1882"/>
      <c r="RQD27" s="1887"/>
      <c r="RQE27" s="1888"/>
      <c r="RQF27" s="1882"/>
      <c r="RQG27" s="1882"/>
      <c r="RQH27" s="1882"/>
      <c r="RQJ27" s="1887"/>
      <c r="RQK27" s="1888"/>
      <c r="RQL27" s="1882"/>
      <c r="RQM27" s="1882"/>
      <c r="RQN27" s="1882"/>
      <c r="RQP27" s="1887"/>
      <c r="RQQ27" s="1888"/>
      <c r="RQR27" s="1882"/>
      <c r="RQS27" s="1882"/>
      <c r="RQT27" s="1882"/>
      <c r="RQV27" s="1887"/>
      <c r="RQW27" s="1888"/>
      <c r="RQX27" s="1882"/>
      <c r="RQY27" s="1882"/>
      <c r="RQZ27" s="1882"/>
      <c r="RRB27" s="1887"/>
      <c r="RRC27" s="1888"/>
      <c r="RRD27" s="1882"/>
      <c r="RRE27" s="1882"/>
      <c r="RRF27" s="1882"/>
      <c r="RRH27" s="1887"/>
      <c r="RRI27" s="1888"/>
      <c r="RRJ27" s="1882"/>
      <c r="RRK27" s="1882"/>
      <c r="RRL27" s="1882"/>
      <c r="RRN27" s="1887"/>
      <c r="RRO27" s="1888"/>
      <c r="RRP27" s="1882"/>
      <c r="RRQ27" s="1882"/>
      <c r="RRR27" s="1882"/>
      <c r="RRT27" s="1887"/>
      <c r="RRU27" s="1888"/>
      <c r="RRV27" s="1882"/>
      <c r="RRW27" s="1882"/>
      <c r="RRX27" s="1882"/>
      <c r="RRZ27" s="1887"/>
      <c r="RSA27" s="1888"/>
      <c r="RSB27" s="1882"/>
      <c r="RSC27" s="1882"/>
      <c r="RSD27" s="1882"/>
      <c r="RSF27" s="1887"/>
      <c r="RSG27" s="1888"/>
      <c r="RSH27" s="1882"/>
      <c r="RSI27" s="1882"/>
      <c r="RSJ27" s="1882"/>
      <c r="RSL27" s="1887"/>
      <c r="RSM27" s="1888"/>
      <c r="RSN27" s="1882"/>
      <c r="RSO27" s="1882"/>
      <c r="RSP27" s="1882"/>
      <c r="RSR27" s="1887"/>
      <c r="RSS27" s="1888"/>
      <c r="RST27" s="1882"/>
      <c r="RSU27" s="1882"/>
      <c r="RSV27" s="1882"/>
      <c r="RSX27" s="1887"/>
      <c r="RSY27" s="1888"/>
      <c r="RSZ27" s="1882"/>
      <c r="RTA27" s="1882"/>
      <c r="RTB27" s="1882"/>
      <c r="RTD27" s="1887"/>
      <c r="RTE27" s="1888"/>
      <c r="RTF27" s="1882"/>
      <c r="RTG27" s="1882"/>
      <c r="RTH27" s="1882"/>
      <c r="RTJ27" s="1887"/>
      <c r="RTK27" s="1888"/>
      <c r="RTL27" s="1882"/>
      <c r="RTM27" s="1882"/>
      <c r="RTN27" s="1882"/>
      <c r="RTP27" s="1887"/>
      <c r="RTQ27" s="1888"/>
      <c r="RTR27" s="1882"/>
      <c r="RTS27" s="1882"/>
      <c r="RTT27" s="1882"/>
      <c r="RTV27" s="1887"/>
      <c r="RTW27" s="1888"/>
      <c r="RTX27" s="1882"/>
      <c r="RTY27" s="1882"/>
      <c r="RTZ27" s="1882"/>
      <c r="RUB27" s="1887"/>
      <c r="RUC27" s="1888"/>
      <c r="RUD27" s="1882"/>
      <c r="RUE27" s="1882"/>
      <c r="RUF27" s="1882"/>
      <c r="RUH27" s="1887"/>
      <c r="RUI27" s="1888"/>
      <c r="RUJ27" s="1882"/>
      <c r="RUK27" s="1882"/>
      <c r="RUL27" s="1882"/>
      <c r="RUN27" s="1887"/>
      <c r="RUO27" s="1888"/>
      <c r="RUP27" s="1882"/>
      <c r="RUQ27" s="1882"/>
      <c r="RUR27" s="1882"/>
      <c r="RUT27" s="1887"/>
      <c r="RUU27" s="1888"/>
      <c r="RUV27" s="1882"/>
      <c r="RUW27" s="1882"/>
      <c r="RUX27" s="1882"/>
      <c r="RUZ27" s="1887"/>
      <c r="RVA27" s="1888"/>
      <c r="RVB27" s="1882"/>
      <c r="RVC27" s="1882"/>
      <c r="RVD27" s="1882"/>
      <c r="RVF27" s="1887"/>
      <c r="RVG27" s="1888"/>
      <c r="RVH27" s="1882"/>
      <c r="RVI27" s="1882"/>
      <c r="RVJ27" s="1882"/>
      <c r="RVL27" s="1887"/>
      <c r="RVM27" s="1888"/>
      <c r="RVN27" s="1882"/>
      <c r="RVO27" s="1882"/>
      <c r="RVP27" s="1882"/>
      <c r="RVR27" s="1887"/>
      <c r="RVS27" s="1888"/>
      <c r="RVT27" s="1882"/>
      <c r="RVU27" s="1882"/>
      <c r="RVV27" s="1882"/>
      <c r="RVX27" s="1887"/>
      <c r="RVY27" s="1888"/>
      <c r="RVZ27" s="1882"/>
      <c r="RWA27" s="1882"/>
      <c r="RWB27" s="1882"/>
      <c r="RWD27" s="1887"/>
      <c r="RWE27" s="1888"/>
      <c r="RWF27" s="1882"/>
      <c r="RWG27" s="1882"/>
      <c r="RWH27" s="1882"/>
      <c r="RWJ27" s="1887"/>
      <c r="RWK27" s="1888"/>
      <c r="RWL27" s="1882"/>
      <c r="RWM27" s="1882"/>
      <c r="RWN27" s="1882"/>
      <c r="RWP27" s="1887"/>
      <c r="RWQ27" s="1888"/>
      <c r="RWR27" s="1882"/>
      <c r="RWS27" s="1882"/>
      <c r="RWT27" s="1882"/>
      <c r="RWV27" s="1887"/>
      <c r="RWW27" s="1888"/>
      <c r="RWX27" s="1882"/>
      <c r="RWY27" s="1882"/>
      <c r="RWZ27" s="1882"/>
      <c r="RXB27" s="1887"/>
      <c r="RXC27" s="1888"/>
      <c r="RXD27" s="1882"/>
      <c r="RXE27" s="1882"/>
      <c r="RXF27" s="1882"/>
      <c r="RXH27" s="1887"/>
      <c r="RXI27" s="1888"/>
      <c r="RXJ27" s="1882"/>
      <c r="RXK27" s="1882"/>
      <c r="RXL27" s="1882"/>
      <c r="RXN27" s="1887"/>
      <c r="RXO27" s="1888"/>
      <c r="RXP27" s="1882"/>
      <c r="RXQ27" s="1882"/>
      <c r="RXR27" s="1882"/>
      <c r="RXT27" s="1887"/>
      <c r="RXU27" s="1888"/>
      <c r="RXV27" s="1882"/>
      <c r="RXW27" s="1882"/>
      <c r="RXX27" s="1882"/>
      <c r="RXZ27" s="1887"/>
      <c r="RYA27" s="1888"/>
      <c r="RYB27" s="1882"/>
      <c r="RYC27" s="1882"/>
      <c r="RYD27" s="1882"/>
      <c r="RYF27" s="1887"/>
      <c r="RYG27" s="1888"/>
      <c r="RYH27" s="1882"/>
      <c r="RYI27" s="1882"/>
      <c r="RYJ27" s="1882"/>
      <c r="RYL27" s="1887"/>
      <c r="RYM27" s="1888"/>
      <c r="RYN27" s="1882"/>
      <c r="RYO27" s="1882"/>
      <c r="RYP27" s="1882"/>
      <c r="RYR27" s="1887"/>
      <c r="RYS27" s="1888"/>
      <c r="RYT27" s="1882"/>
      <c r="RYU27" s="1882"/>
      <c r="RYV27" s="1882"/>
      <c r="RYX27" s="1887"/>
      <c r="RYY27" s="1888"/>
      <c r="RYZ27" s="1882"/>
      <c r="RZA27" s="1882"/>
      <c r="RZB27" s="1882"/>
      <c r="RZD27" s="1887"/>
      <c r="RZE27" s="1888"/>
      <c r="RZF27" s="1882"/>
      <c r="RZG27" s="1882"/>
      <c r="RZH27" s="1882"/>
      <c r="RZJ27" s="1887"/>
      <c r="RZK27" s="1888"/>
      <c r="RZL27" s="1882"/>
      <c r="RZM27" s="1882"/>
      <c r="RZN27" s="1882"/>
      <c r="RZP27" s="1887"/>
      <c r="RZQ27" s="1888"/>
      <c r="RZR27" s="1882"/>
      <c r="RZS27" s="1882"/>
      <c r="RZT27" s="1882"/>
      <c r="RZV27" s="1887"/>
      <c r="RZW27" s="1888"/>
      <c r="RZX27" s="1882"/>
      <c r="RZY27" s="1882"/>
      <c r="RZZ27" s="1882"/>
      <c r="SAB27" s="1887"/>
      <c r="SAC27" s="1888"/>
      <c r="SAD27" s="1882"/>
      <c r="SAE27" s="1882"/>
      <c r="SAF27" s="1882"/>
      <c r="SAH27" s="1887"/>
      <c r="SAI27" s="1888"/>
      <c r="SAJ27" s="1882"/>
      <c r="SAK27" s="1882"/>
      <c r="SAL27" s="1882"/>
      <c r="SAN27" s="1887"/>
      <c r="SAO27" s="1888"/>
      <c r="SAP27" s="1882"/>
      <c r="SAQ27" s="1882"/>
      <c r="SAR27" s="1882"/>
      <c r="SAT27" s="1887"/>
      <c r="SAU27" s="1888"/>
      <c r="SAV27" s="1882"/>
      <c r="SAW27" s="1882"/>
      <c r="SAX27" s="1882"/>
      <c r="SAZ27" s="1887"/>
      <c r="SBA27" s="1888"/>
      <c r="SBB27" s="1882"/>
      <c r="SBC27" s="1882"/>
      <c r="SBD27" s="1882"/>
      <c r="SBF27" s="1887"/>
      <c r="SBG27" s="1888"/>
      <c r="SBH27" s="1882"/>
      <c r="SBI27" s="1882"/>
      <c r="SBJ27" s="1882"/>
      <c r="SBL27" s="1887"/>
      <c r="SBM27" s="1888"/>
      <c r="SBN27" s="1882"/>
      <c r="SBO27" s="1882"/>
      <c r="SBP27" s="1882"/>
      <c r="SBR27" s="1887"/>
      <c r="SBS27" s="1888"/>
      <c r="SBT27" s="1882"/>
      <c r="SBU27" s="1882"/>
      <c r="SBV27" s="1882"/>
      <c r="SBX27" s="1887"/>
      <c r="SBY27" s="1888"/>
      <c r="SBZ27" s="1882"/>
      <c r="SCA27" s="1882"/>
      <c r="SCB27" s="1882"/>
      <c r="SCD27" s="1887"/>
      <c r="SCE27" s="1888"/>
      <c r="SCF27" s="1882"/>
      <c r="SCG27" s="1882"/>
      <c r="SCH27" s="1882"/>
      <c r="SCJ27" s="1887"/>
      <c r="SCK27" s="1888"/>
      <c r="SCL27" s="1882"/>
      <c r="SCM27" s="1882"/>
      <c r="SCN27" s="1882"/>
      <c r="SCP27" s="1887"/>
      <c r="SCQ27" s="1888"/>
      <c r="SCR27" s="1882"/>
      <c r="SCS27" s="1882"/>
      <c r="SCT27" s="1882"/>
      <c r="SCV27" s="1887"/>
      <c r="SCW27" s="1888"/>
      <c r="SCX27" s="1882"/>
      <c r="SCY27" s="1882"/>
      <c r="SCZ27" s="1882"/>
      <c r="SDB27" s="1887"/>
      <c r="SDC27" s="1888"/>
      <c r="SDD27" s="1882"/>
      <c r="SDE27" s="1882"/>
      <c r="SDF27" s="1882"/>
      <c r="SDH27" s="1887"/>
      <c r="SDI27" s="1888"/>
      <c r="SDJ27" s="1882"/>
      <c r="SDK27" s="1882"/>
      <c r="SDL27" s="1882"/>
      <c r="SDN27" s="1887"/>
      <c r="SDO27" s="1888"/>
      <c r="SDP27" s="1882"/>
      <c r="SDQ27" s="1882"/>
      <c r="SDR27" s="1882"/>
      <c r="SDT27" s="1887"/>
      <c r="SDU27" s="1888"/>
      <c r="SDV27" s="1882"/>
      <c r="SDW27" s="1882"/>
      <c r="SDX27" s="1882"/>
      <c r="SDZ27" s="1887"/>
      <c r="SEA27" s="1888"/>
      <c r="SEB27" s="1882"/>
      <c r="SEC27" s="1882"/>
      <c r="SED27" s="1882"/>
      <c r="SEF27" s="1887"/>
      <c r="SEG27" s="1888"/>
      <c r="SEH27" s="1882"/>
      <c r="SEI27" s="1882"/>
      <c r="SEJ27" s="1882"/>
      <c r="SEL27" s="1887"/>
      <c r="SEM27" s="1888"/>
      <c r="SEN27" s="1882"/>
      <c r="SEO27" s="1882"/>
      <c r="SEP27" s="1882"/>
      <c r="SER27" s="1887"/>
      <c r="SES27" s="1888"/>
      <c r="SET27" s="1882"/>
      <c r="SEU27" s="1882"/>
      <c r="SEV27" s="1882"/>
      <c r="SEX27" s="1887"/>
      <c r="SEY27" s="1888"/>
      <c r="SEZ27" s="1882"/>
      <c r="SFA27" s="1882"/>
      <c r="SFB27" s="1882"/>
      <c r="SFD27" s="1887"/>
      <c r="SFE27" s="1888"/>
      <c r="SFF27" s="1882"/>
      <c r="SFG27" s="1882"/>
      <c r="SFH27" s="1882"/>
      <c r="SFJ27" s="1887"/>
      <c r="SFK27" s="1888"/>
      <c r="SFL27" s="1882"/>
      <c r="SFM27" s="1882"/>
      <c r="SFN27" s="1882"/>
      <c r="SFP27" s="1887"/>
      <c r="SFQ27" s="1888"/>
      <c r="SFR27" s="1882"/>
      <c r="SFS27" s="1882"/>
      <c r="SFT27" s="1882"/>
      <c r="SFV27" s="1887"/>
      <c r="SFW27" s="1888"/>
      <c r="SFX27" s="1882"/>
      <c r="SFY27" s="1882"/>
      <c r="SFZ27" s="1882"/>
      <c r="SGB27" s="1887"/>
      <c r="SGC27" s="1888"/>
      <c r="SGD27" s="1882"/>
      <c r="SGE27" s="1882"/>
      <c r="SGF27" s="1882"/>
      <c r="SGH27" s="1887"/>
      <c r="SGI27" s="1888"/>
      <c r="SGJ27" s="1882"/>
      <c r="SGK27" s="1882"/>
      <c r="SGL27" s="1882"/>
      <c r="SGN27" s="1887"/>
      <c r="SGO27" s="1888"/>
      <c r="SGP27" s="1882"/>
      <c r="SGQ27" s="1882"/>
      <c r="SGR27" s="1882"/>
      <c r="SGT27" s="1887"/>
      <c r="SGU27" s="1888"/>
      <c r="SGV27" s="1882"/>
      <c r="SGW27" s="1882"/>
      <c r="SGX27" s="1882"/>
      <c r="SGZ27" s="1887"/>
      <c r="SHA27" s="1888"/>
      <c r="SHB27" s="1882"/>
      <c r="SHC27" s="1882"/>
      <c r="SHD27" s="1882"/>
      <c r="SHF27" s="1887"/>
      <c r="SHG27" s="1888"/>
      <c r="SHH27" s="1882"/>
      <c r="SHI27" s="1882"/>
      <c r="SHJ27" s="1882"/>
      <c r="SHL27" s="1887"/>
      <c r="SHM27" s="1888"/>
      <c r="SHN27" s="1882"/>
      <c r="SHO27" s="1882"/>
      <c r="SHP27" s="1882"/>
      <c r="SHR27" s="1887"/>
      <c r="SHS27" s="1888"/>
      <c r="SHT27" s="1882"/>
      <c r="SHU27" s="1882"/>
      <c r="SHV27" s="1882"/>
      <c r="SHX27" s="1887"/>
      <c r="SHY27" s="1888"/>
      <c r="SHZ27" s="1882"/>
      <c r="SIA27" s="1882"/>
      <c r="SIB27" s="1882"/>
      <c r="SID27" s="1887"/>
      <c r="SIE27" s="1888"/>
      <c r="SIF27" s="1882"/>
      <c r="SIG27" s="1882"/>
      <c r="SIH27" s="1882"/>
      <c r="SIJ27" s="1887"/>
      <c r="SIK27" s="1888"/>
      <c r="SIL27" s="1882"/>
      <c r="SIM27" s="1882"/>
      <c r="SIN27" s="1882"/>
      <c r="SIP27" s="1887"/>
      <c r="SIQ27" s="1888"/>
      <c r="SIR27" s="1882"/>
      <c r="SIS27" s="1882"/>
      <c r="SIT27" s="1882"/>
      <c r="SIV27" s="1887"/>
      <c r="SIW27" s="1888"/>
      <c r="SIX27" s="1882"/>
      <c r="SIY27" s="1882"/>
      <c r="SIZ27" s="1882"/>
      <c r="SJB27" s="1887"/>
      <c r="SJC27" s="1888"/>
      <c r="SJD27" s="1882"/>
      <c r="SJE27" s="1882"/>
      <c r="SJF27" s="1882"/>
      <c r="SJH27" s="1887"/>
      <c r="SJI27" s="1888"/>
      <c r="SJJ27" s="1882"/>
      <c r="SJK27" s="1882"/>
      <c r="SJL27" s="1882"/>
      <c r="SJN27" s="1887"/>
      <c r="SJO27" s="1888"/>
      <c r="SJP27" s="1882"/>
      <c r="SJQ27" s="1882"/>
      <c r="SJR27" s="1882"/>
      <c r="SJT27" s="1887"/>
      <c r="SJU27" s="1888"/>
      <c r="SJV27" s="1882"/>
      <c r="SJW27" s="1882"/>
      <c r="SJX27" s="1882"/>
      <c r="SJZ27" s="1887"/>
      <c r="SKA27" s="1888"/>
      <c r="SKB27" s="1882"/>
      <c r="SKC27" s="1882"/>
      <c r="SKD27" s="1882"/>
      <c r="SKF27" s="1887"/>
      <c r="SKG27" s="1888"/>
      <c r="SKH27" s="1882"/>
      <c r="SKI27" s="1882"/>
      <c r="SKJ27" s="1882"/>
      <c r="SKL27" s="1887"/>
      <c r="SKM27" s="1888"/>
      <c r="SKN27" s="1882"/>
      <c r="SKO27" s="1882"/>
      <c r="SKP27" s="1882"/>
      <c r="SKR27" s="1887"/>
      <c r="SKS27" s="1888"/>
      <c r="SKT27" s="1882"/>
      <c r="SKU27" s="1882"/>
      <c r="SKV27" s="1882"/>
      <c r="SKX27" s="1887"/>
      <c r="SKY27" s="1888"/>
      <c r="SKZ27" s="1882"/>
      <c r="SLA27" s="1882"/>
      <c r="SLB27" s="1882"/>
      <c r="SLD27" s="1887"/>
      <c r="SLE27" s="1888"/>
      <c r="SLF27" s="1882"/>
      <c r="SLG27" s="1882"/>
      <c r="SLH27" s="1882"/>
      <c r="SLJ27" s="1887"/>
      <c r="SLK27" s="1888"/>
      <c r="SLL27" s="1882"/>
      <c r="SLM27" s="1882"/>
      <c r="SLN27" s="1882"/>
      <c r="SLP27" s="1887"/>
      <c r="SLQ27" s="1888"/>
      <c r="SLR27" s="1882"/>
      <c r="SLS27" s="1882"/>
      <c r="SLT27" s="1882"/>
      <c r="SLV27" s="1887"/>
      <c r="SLW27" s="1888"/>
      <c r="SLX27" s="1882"/>
      <c r="SLY27" s="1882"/>
      <c r="SLZ27" s="1882"/>
      <c r="SMB27" s="1887"/>
      <c r="SMC27" s="1888"/>
      <c r="SMD27" s="1882"/>
      <c r="SME27" s="1882"/>
      <c r="SMF27" s="1882"/>
      <c r="SMH27" s="1887"/>
      <c r="SMI27" s="1888"/>
      <c r="SMJ27" s="1882"/>
      <c r="SMK27" s="1882"/>
      <c r="SML27" s="1882"/>
      <c r="SMN27" s="1887"/>
      <c r="SMO27" s="1888"/>
      <c r="SMP27" s="1882"/>
      <c r="SMQ27" s="1882"/>
      <c r="SMR27" s="1882"/>
      <c r="SMT27" s="1887"/>
      <c r="SMU27" s="1888"/>
      <c r="SMV27" s="1882"/>
      <c r="SMW27" s="1882"/>
      <c r="SMX27" s="1882"/>
      <c r="SMZ27" s="1887"/>
      <c r="SNA27" s="1888"/>
      <c r="SNB27" s="1882"/>
      <c r="SNC27" s="1882"/>
      <c r="SND27" s="1882"/>
      <c r="SNF27" s="1887"/>
      <c r="SNG27" s="1888"/>
      <c r="SNH27" s="1882"/>
      <c r="SNI27" s="1882"/>
      <c r="SNJ27" s="1882"/>
      <c r="SNL27" s="1887"/>
      <c r="SNM27" s="1888"/>
      <c r="SNN27" s="1882"/>
      <c r="SNO27" s="1882"/>
      <c r="SNP27" s="1882"/>
      <c r="SNR27" s="1887"/>
      <c r="SNS27" s="1888"/>
      <c r="SNT27" s="1882"/>
      <c r="SNU27" s="1882"/>
      <c r="SNV27" s="1882"/>
      <c r="SNX27" s="1887"/>
      <c r="SNY27" s="1888"/>
      <c r="SNZ27" s="1882"/>
      <c r="SOA27" s="1882"/>
      <c r="SOB27" s="1882"/>
      <c r="SOD27" s="1887"/>
      <c r="SOE27" s="1888"/>
      <c r="SOF27" s="1882"/>
      <c r="SOG27" s="1882"/>
      <c r="SOH27" s="1882"/>
      <c r="SOJ27" s="1887"/>
      <c r="SOK27" s="1888"/>
      <c r="SOL27" s="1882"/>
      <c r="SOM27" s="1882"/>
      <c r="SON27" s="1882"/>
      <c r="SOP27" s="1887"/>
      <c r="SOQ27" s="1888"/>
      <c r="SOR27" s="1882"/>
      <c r="SOS27" s="1882"/>
      <c r="SOT27" s="1882"/>
      <c r="SOV27" s="1887"/>
      <c r="SOW27" s="1888"/>
      <c r="SOX27" s="1882"/>
      <c r="SOY27" s="1882"/>
      <c r="SOZ27" s="1882"/>
      <c r="SPB27" s="1887"/>
      <c r="SPC27" s="1888"/>
      <c r="SPD27" s="1882"/>
      <c r="SPE27" s="1882"/>
      <c r="SPF27" s="1882"/>
      <c r="SPH27" s="1887"/>
      <c r="SPI27" s="1888"/>
      <c r="SPJ27" s="1882"/>
      <c r="SPK27" s="1882"/>
      <c r="SPL27" s="1882"/>
      <c r="SPN27" s="1887"/>
      <c r="SPO27" s="1888"/>
      <c r="SPP27" s="1882"/>
      <c r="SPQ27" s="1882"/>
      <c r="SPR27" s="1882"/>
      <c r="SPT27" s="1887"/>
      <c r="SPU27" s="1888"/>
      <c r="SPV27" s="1882"/>
      <c r="SPW27" s="1882"/>
      <c r="SPX27" s="1882"/>
      <c r="SPZ27" s="1887"/>
      <c r="SQA27" s="1888"/>
      <c r="SQB27" s="1882"/>
      <c r="SQC27" s="1882"/>
      <c r="SQD27" s="1882"/>
      <c r="SQF27" s="1887"/>
      <c r="SQG27" s="1888"/>
      <c r="SQH27" s="1882"/>
      <c r="SQI27" s="1882"/>
      <c r="SQJ27" s="1882"/>
      <c r="SQL27" s="1887"/>
      <c r="SQM27" s="1888"/>
      <c r="SQN27" s="1882"/>
      <c r="SQO27" s="1882"/>
      <c r="SQP27" s="1882"/>
      <c r="SQR27" s="1887"/>
      <c r="SQS27" s="1888"/>
      <c r="SQT27" s="1882"/>
      <c r="SQU27" s="1882"/>
      <c r="SQV27" s="1882"/>
      <c r="SQX27" s="1887"/>
      <c r="SQY27" s="1888"/>
      <c r="SQZ27" s="1882"/>
      <c r="SRA27" s="1882"/>
      <c r="SRB27" s="1882"/>
      <c r="SRD27" s="1887"/>
      <c r="SRE27" s="1888"/>
      <c r="SRF27" s="1882"/>
      <c r="SRG27" s="1882"/>
      <c r="SRH27" s="1882"/>
      <c r="SRJ27" s="1887"/>
      <c r="SRK27" s="1888"/>
      <c r="SRL27" s="1882"/>
      <c r="SRM27" s="1882"/>
      <c r="SRN27" s="1882"/>
      <c r="SRP27" s="1887"/>
      <c r="SRQ27" s="1888"/>
      <c r="SRR27" s="1882"/>
      <c r="SRS27" s="1882"/>
      <c r="SRT27" s="1882"/>
      <c r="SRV27" s="1887"/>
      <c r="SRW27" s="1888"/>
      <c r="SRX27" s="1882"/>
      <c r="SRY27" s="1882"/>
      <c r="SRZ27" s="1882"/>
      <c r="SSB27" s="1887"/>
      <c r="SSC27" s="1888"/>
      <c r="SSD27" s="1882"/>
      <c r="SSE27" s="1882"/>
      <c r="SSF27" s="1882"/>
      <c r="SSH27" s="1887"/>
      <c r="SSI27" s="1888"/>
      <c r="SSJ27" s="1882"/>
      <c r="SSK27" s="1882"/>
      <c r="SSL27" s="1882"/>
      <c r="SSN27" s="1887"/>
      <c r="SSO27" s="1888"/>
      <c r="SSP27" s="1882"/>
      <c r="SSQ27" s="1882"/>
      <c r="SSR27" s="1882"/>
      <c r="SST27" s="1887"/>
      <c r="SSU27" s="1888"/>
      <c r="SSV27" s="1882"/>
      <c r="SSW27" s="1882"/>
      <c r="SSX27" s="1882"/>
      <c r="SSZ27" s="1887"/>
      <c r="STA27" s="1888"/>
      <c r="STB27" s="1882"/>
      <c r="STC27" s="1882"/>
      <c r="STD27" s="1882"/>
      <c r="STF27" s="1887"/>
      <c r="STG27" s="1888"/>
      <c r="STH27" s="1882"/>
      <c r="STI27" s="1882"/>
      <c r="STJ27" s="1882"/>
      <c r="STL27" s="1887"/>
      <c r="STM27" s="1888"/>
      <c r="STN27" s="1882"/>
      <c r="STO27" s="1882"/>
      <c r="STP27" s="1882"/>
      <c r="STR27" s="1887"/>
      <c r="STS27" s="1888"/>
      <c r="STT27" s="1882"/>
      <c r="STU27" s="1882"/>
      <c r="STV27" s="1882"/>
      <c r="STX27" s="1887"/>
      <c r="STY27" s="1888"/>
      <c r="STZ27" s="1882"/>
      <c r="SUA27" s="1882"/>
      <c r="SUB27" s="1882"/>
      <c r="SUD27" s="1887"/>
      <c r="SUE27" s="1888"/>
      <c r="SUF27" s="1882"/>
      <c r="SUG27" s="1882"/>
      <c r="SUH27" s="1882"/>
      <c r="SUJ27" s="1887"/>
      <c r="SUK27" s="1888"/>
      <c r="SUL27" s="1882"/>
      <c r="SUM27" s="1882"/>
      <c r="SUN27" s="1882"/>
      <c r="SUP27" s="1887"/>
      <c r="SUQ27" s="1888"/>
      <c r="SUR27" s="1882"/>
      <c r="SUS27" s="1882"/>
      <c r="SUT27" s="1882"/>
      <c r="SUV27" s="1887"/>
      <c r="SUW27" s="1888"/>
      <c r="SUX27" s="1882"/>
      <c r="SUY27" s="1882"/>
      <c r="SUZ27" s="1882"/>
      <c r="SVB27" s="1887"/>
      <c r="SVC27" s="1888"/>
      <c r="SVD27" s="1882"/>
      <c r="SVE27" s="1882"/>
      <c r="SVF27" s="1882"/>
      <c r="SVH27" s="1887"/>
      <c r="SVI27" s="1888"/>
      <c r="SVJ27" s="1882"/>
      <c r="SVK27" s="1882"/>
      <c r="SVL27" s="1882"/>
      <c r="SVN27" s="1887"/>
      <c r="SVO27" s="1888"/>
      <c r="SVP27" s="1882"/>
      <c r="SVQ27" s="1882"/>
      <c r="SVR27" s="1882"/>
      <c r="SVT27" s="1887"/>
      <c r="SVU27" s="1888"/>
      <c r="SVV27" s="1882"/>
      <c r="SVW27" s="1882"/>
      <c r="SVX27" s="1882"/>
      <c r="SVZ27" s="1887"/>
      <c r="SWA27" s="1888"/>
      <c r="SWB27" s="1882"/>
      <c r="SWC27" s="1882"/>
      <c r="SWD27" s="1882"/>
      <c r="SWF27" s="1887"/>
      <c r="SWG27" s="1888"/>
      <c r="SWH27" s="1882"/>
      <c r="SWI27" s="1882"/>
      <c r="SWJ27" s="1882"/>
      <c r="SWL27" s="1887"/>
      <c r="SWM27" s="1888"/>
      <c r="SWN27" s="1882"/>
      <c r="SWO27" s="1882"/>
      <c r="SWP27" s="1882"/>
      <c r="SWR27" s="1887"/>
      <c r="SWS27" s="1888"/>
      <c r="SWT27" s="1882"/>
      <c r="SWU27" s="1882"/>
      <c r="SWV27" s="1882"/>
      <c r="SWX27" s="1887"/>
      <c r="SWY27" s="1888"/>
      <c r="SWZ27" s="1882"/>
      <c r="SXA27" s="1882"/>
      <c r="SXB27" s="1882"/>
      <c r="SXD27" s="1887"/>
      <c r="SXE27" s="1888"/>
      <c r="SXF27" s="1882"/>
      <c r="SXG27" s="1882"/>
      <c r="SXH27" s="1882"/>
      <c r="SXJ27" s="1887"/>
      <c r="SXK27" s="1888"/>
      <c r="SXL27" s="1882"/>
      <c r="SXM27" s="1882"/>
      <c r="SXN27" s="1882"/>
      <c r="SXP27" s="1887"/>
      <c r="SXQ27" s="1888"/>
      <c r="SXR27" s="1882"/>
      <c r="SXS27" s="1882"/>
      <c r="SXT27" s="1882"/>
      <c r="SXV27" s="1887"/>
      <c r="SXW27" s="1888"/>
      <c r="SXX27" s="1882"/>
      <c r="SXY27" s="1882"/>
      <c r="SXZ27" s="1882"/>
      <c r="SYB27" s="1887"/>
      <c r="SYC27" s="1888"/>
      <c r="SYD27" s="1882"/>
      <c r="SYE27" s="1882"/>
      <c r="SYF27" s="1882"/>
      <c r="SYH27" s="1887"/>
      <c r="SYI27" s="1888"/>
      <c r="SYJ27" s="1882"/>
      <c r="SYK27" s="1882"/>
      <c r="SYL27" s="1882"/>
      <c r="SYN27" s="1887"/>
      <c r="SYO27" s="1888"/>
      <c r="SYP27" s="1882"/>
      <c r="SYQ27" s="1882"/>
      <c r="SYR27" s="1882"/>
      <c r="SYT27" s="1887"/>
      <c r="SYU27" s="1888"/>
      <c r="SYV27" s="1882"/>
      <c r="SYW27" s="1882"/>
      <c r="SYX27" s="1882"/>
      <c r="SYZ27" s="1887"/>
      <c r="SZA27" s="1888"/>
      <c r="SZB27" s="1882"/>
      <c r="SZC27" s="1882"/>
      <c r="SZD27" s="1882"/>
      <c r="SZF27" s="1887"/>
      <c r="SZG27" s="1888"/>
      <c r="SZH27" s="1882"/>
      <c r="SZI27" s="1882"/>
      <c r="SZJ27" s="1882"/>
      <c r="SZL27" s="1887"/>
      <c r="SZM27" s="1888"/>
      <c r="SZN27" s="1882"/>
      <c r="SZO27" s="1882"/>
      <c r="SZP27" s="1882"/>
      <c r="SZR27" s="1887"/>
      <c r="SZS27" s="1888"/>
      <c r="SZT27" s="1882"/>
      <c r="SZU27" s="1882"/>
      <c r="SZV27" s="1882"/>
      <c r="SZX27" s="1887"/>
      <c r="SZY27" s="1888"/>
      <c r="SZZ27" s="1882"/>
      <c r="TAA27" s="1882"/>
      <c r="TAB27" s="1882"/>
      <c r="TAD27" s="1887"/>
      <c r="TAE27" s="1888"/>
      <c r="TAF27" s="1882"/>
      <c r="TAG27" s="1882"/>
      <c r="TAH27" s="1882"/>
      <c r="TAJ27" s="1887"/>
      <c r="TAK27" s="1888"/>
      <c r="TAL27" s="1882"/>
      <c r="TAM27" s="1882"/>
      <c r="TAN27" s="1882"/>
      <c r="TAP27" s="1887"/>
      <c r="TAQ27" s="1888"/>
      <c r="TAR27" s="1882"/>
      <c r="TAS27" s="1882"/>
      <c r="TAT27" s="1882"/>
      <c r="TAV27" s="1887"/>
      <c r="TAW27" s="1888"/>
      <c r="TAX27" s="1882"/>
      <c r="TAY27" s="1882"/>
      <c r="TAZ27" s="1882"/>
      <c r="TBB27" s="1887"/>
      <c r="TBC27" s="1888"/>
      <c r="TBD27" s="1882"/>
      <c r="TBE27" s="1882"/>
      <c r="TBF27" s="1882"/>
      <c r="TBH27" s="1887"/>
      <c r="TBI27" s="1888"/>
      <c r="TBJ27" s="1882"/>
      <c r="TBK27" s="1882"/>
      <c r="TBL27" s="1882"/>
      <c r="TBN27" s="1887"/>
      <c r="TBO27" s="1888"/>
      <c r="TBP27" s="1882"/>
      <c r="TBQ27" s="1882"/>
      <c r="TBR27" s="1882"/>
      <c r="TBT27" s="1887"/>
      <c r="TBU27" s="1888"/>
      <c r="TBV27" s="1882"/>
      <c r="TBW27" s="1882"/>
      <c r="TBX27" s="1882"/>
      <c r="TBZ27" s="1887"/>
      <c r="TCA27" s="1888"/>
      <c r="TCB27" s="1882"/>
      <c r="TCC27" s="1882"/>
      <c r="TCD27" s="1882"/>
      <c r="TCF27" s="1887"/>
      <c r="TCG27" s="1888"/>
      <c r="TCH27" s="1882"/>
      <c r="TCI27" s="1882"/>
      <c r="TCJ27" s="1882"/>
      <c r="TCL27" s="1887"/>
      <c r="TCM27" s="1888"/>
      <c r="TCN27" s="1882"/>
      <c r="TCO27" s="1882"/>
      <c r="TCP27" s="1882"/>
      <c r="TCR27" s="1887"/>
      <c r="TCS27" s="1888"/>
      <c r="TCT27" s="1882"/>
      <c r="TCU27" s="1882"/>
      <c r="TCV27" s="1882"/>
      <c r="TCX27" s="1887"/>
      <c r="TCY27" s="1888"/>
      <c r="TCZ27" s="1882"/>
      <c r="TDA27" s="1882"/>
      <c r="TDB27" s="1882"/>
      <c r="TDD27" s="1887"/>
      <c r="TDE27" s="1888"/>
      <c r="TDF27" s="1882"/>
      <c r="TDG27" s="1882"/>
      <c r="TDH27" s="1882"/>
      <c r="TDJ27" s="1887"/>
      <c r="TDK27" s="1888"/>
      <c r="TDL27" s="1882"/>
      <c r="TDM27" s="1882"/>
      <c r="TDN27" s="1882"/>
      <c r="TDP27" s="1887"/>
      <c r="TDQ27" s="1888"/>
      <c r="TDR27" s="1882"/>
      <c r="TDS27" s="1882"/>
      <c r="TDT27" s="1882"/>
      <c r="TDV27" s="1887"/>
      <c r="TDW27" s="1888"/>
      <c r="TDX27" s="1882"/>
      <c r="TDY27" s="1882"/>
      <c r="TDZ27" s="1882"/>
      <c r="TEB27" s="1887"/>
      <c r="TEC27" s="1888"/>
      <c r="TED27" s="1882"/>
      <c r="TEE27" s="1882"/>
      <c r="TEF27" s="1882"/>
      <c r="TEH27" s="1887"/>
      <c r="TEI27" s="1888"/>
      <c r="TEJ27" s="1882"/>
      <c r="TEK27" s="1882"/>
      <c r="TEL27" s="1882"/>
      <c r="TEN27" s="1887"/>
      <c r="TEO27" s="1888"/>
      <c r="TEP27" s="1882"/>
      <c r="TEQ27" s="1882"/>
      <c r="TER27" s="1882"/>
      <c r="TET27" s="1887"/>
      <c r="TEU27" s="1888"/>
      <c r="TEV27" s="1882"/>
      <c r="TEW27" s="1882"/>
      <c r="TEX27" s="1882"/>
      <c r="TEZ27" s="1887"/>
      <c r="TFA27" s="1888"/>
      <c r="TFB27" s="1882"/>
      <c r="TFC27" s="1882"/>
      <c r="TFD27" s="1882"/>
      <c r="TFF27" s="1887"/>
      <c r="TFG27" s="1888"/>
      <c r="TFH27" s="1882"/>
      <c r="TFI27" s="1882"/>
      <c r="TFJ27" s="1882"/>
      <c r="TFL27" s="1887"/>
      <c r="TFM27" s="1888"/>
      <c r="TFN27" s="1882"/>
      <c r="TFO27" s="1882"/>
      <c r="TFP27" s="1882"/>
      <c r="TFR27" s="1887"/>
      <c r="TFS27" s="1888"/>
      <c r="TFT27" s="1882"/>
      <c r="TFU27" s="1882"/>
      <c r="TFV27" s="1882"/>
      <c r="TFX27" s="1887"/>
      <c r="TFY27" s="1888"/>
      <c r="TFZ27" s="1882"/>
      <c r="TGA27" s="1882"/>
      <c r="TGB27" s="1882"/>
      <c r="TGD27" s="1887"/>
      <c r="TGE27" s="1888"/>
      <c r="TGF27" s="1882"/>
      <c r="TGG27" s="1882"/>
      <c r="TGH27" s="1882"/>
      <c r="TGJ27" s="1887"/>
      <c r="TGK27" s="1888"/>
      <c r="TGL27" s="1882"/>
      <c r="TGM27" s="1882"/>
      <c r="TGN27" s="1882"/>
      <c r="TGP27" s="1887"/>
      <c r="TGQ27" s="1888"/>
      <c r="TGR27" s="1882"/>
      <c r="TGS27" s="1882"/>
      <c r="TGT27" s="1882"/>
      <c r="TGV27" s="1887"/>
      <c r="TGW27" s="1888"/>
      <c r="TGX27" s="1882"/>
      <c r="TGY27" s="1882"/>
      <c r="TGZ27" s="1882"/>
      <c r="THB27" s="1887"/>
      <c r="THC27" s="1888"/>
      <c r="THD27" s="1882"/>
      <c r="THE27" s="1882"/>
      <c r="THF27" s="1882"/>
      <c r="THH27" s="1887"/>
      <c r="THI27" s="1888"/>
      <c r="THJ27" s="1882"/>
      <c r="THK27" s="1882"/>
      <c r="THL27" s="1882"/>
      <c r="THN27" s="1887"/>
      <c r="THO27" s="1888"/>
      <c r="THP27" s="1882"/>
      <c r="THQ27" s="1882"/>
      <c r="THR27" s="1882"/>
      <c r="THT27" s="1887"/>
      <c r="THU27" s="1888"/>
      <c r="THV27" s="1882"/>
      <c r="THW27" s="1882"/>
      <c r="THX27" s="1882"/>
      <c r="THZ27" s="1887"/>
      <c r="TIA27" s="1888"/>
      <c r="TIB27" s="1882"/>
      <c r="TIC27" s="1882"/>
      <c r="TID27" s="1882"/>
      <c r="TIF27" s="1887"/>
      <c r="TIG27" s="1888"/>
      <c r="TIH27" s="1882"/>
      <c r="TII27" s="1882"/>
      <c r="TIJ27" s="1882"/>
      <c r="TIL27" s="1887"/>
      <c r="TIM27" s="1888"/>
      <c r="TIN27" s="1882"/>
      <c r="TIO27" s="1882"/>
      <c r="TIP27" s="1882"/>
      <c r="TIR27" s="1887"/>
      <c r="TIS27" s="1888"/>
      <c r="TIT27" s="1882"/>
      <c r="TIU27" s="1882"/>
      <c r="TIV27" s="1882"/>
      <c r="TIX27" s="1887"/>
      <c r="TIY27" s="1888"/>
      <c r="TIZ27" s="1882"/>
      <c r="TJA27" s="1882"/>
      <c r="TJB27" s="1882"/>
      <c r="TJD27" s="1887"/>
      <c r="TJE27" s="1888"/>
      <c r="TJF27" s="1882"/>
      <c r="TJG27" s="1882"/>
      <c r="TJH27" s="1882"/>
      <c r="TJJ27" s="1887"/>
      <c r="TJK27" s="1888"/>
      <c r="TJL27" s="1882"/>
      <c r="TJM27" s="1882"/>
      <c r="TJN27" s="1882"/>
      <c r="TJP27" s="1887"/>
      <c r="TJQ27" s="1888"/>
      <c r="TJR27" s="1882"/>
      <c r="TJS27" s="1882"/>
      <c r="TJT27" s="1882"/>
      <c r="TJV27" s="1887"/>
      <c r="TJW27" s="1888"/>
      <c r="TJX27" s="1882"/>
      <c r="TJY27" s="1882"/>
      <c r="TJZ27" s="1882"/>
      <c r="TKB27" s="1887"/>
      <c r="TKC27" s="1888"/>
      <c r="TKD27" s="1882"/>
      <c r="TKE27" s="1882"/>
      <c r="TKF27" s="1882"/>
      <c r="TKH27" s="1887"/>
      <c r="TKI27" s="1888"/>
      <c r="TKJ27" s="1882"/>
      <c r="TKK27" s="1882"/>
      <c r="TKL27" s="1882"/>
      <c r="TKN27" s="1887"/>
      <c r="TKO27" s="1888"/>
      <c r="TKP27" s="1882"/>
      <c r="TKQ27" s="1882"/>
      <c r="TKR27" s="1882"/>
      <c r="TKT27" s="1887"/>
      <c r="TKU27" s="1888"/>
      <c r="TKV27" s="1882"/>
      <c r="TKW27" s="1882"/>
      <c r="TKX27" s="1882"/>
      <c r="TKZ27" s="1887"/>
      <c r="TLA27" s="1888"/>
      <c r="TLB27" s="1882"/>
      <c r="TLC27" s="1882"/>
      <c r="TLD27" s="1882"/>
      <c r="TLF27" s="1887"/>
      <c r="TLG27" s="1888"/>
      <c r="TLH27" s="1882"/>
      <c r="TLI27" s="1882"/>
      <c r="TLJ27" s="1882"/>
      <c r="TLL27" s="1887"/>
      <c r="TLM27" s="1888"/>
      <c r="TLN27" s="1882"/>
      <c r="TLO27" s="1882"/>
      <c r="TLP27" s="1882"/>
      <c r="TLR27" s="1887"/>
      <c r="TLS27" s="1888"/>
      <c r="TLT27" s="1882"/>
      <c r="TLU27" s="1882"/>
      <c r="TLV27" s="1882"/>
      <c r="TLX27" s="1887"/>
      <c r="TLY27" s="1888"/>
      <c r="TLZ27" s="1882"/>
      <c r="TMA27" s="1882"/>
      <c r="TMB27" s="1882"/>
      <c r="TMD27" s="1887"/>
      <c r="TME27" s="1888"/>
      <c r="TMF27" s="1882"/>
      <c r="TMG27" s="1882"/>
      <c r="TMH27" s="1882"/>
      <c r="TMJ27" s="1887"/>
      <c r="TMK27" s="1888"/>
      <c r="TML27" s="1882"/>
      <c r="TMM27" s="1882"/>
      <c r="TMN27" s="1882"/>
      <c r="TMP27" s="1887"/>
      <c r="TMQ27" s="1888"/>
      <c r="TMR27" s="1882"/>
      <c r="TMS27" s="1882"/>
      <c r="TMT27" s="1882"/>
      <c r="TMV27" s="1887"/>
      <c r="TMW27" s="1888"/>
      <c r="TMX27" s="1882"/>
      <c r="TMY27" s="1882"/>
      <c r="TMZ27" s="1882"/>
      <c r="TNB27" s="1887"/>
      <c r="TNC27" s="1888"/>
      <c r="TND27" s="1882"/>
      <c r="TNE27" s="1882"/>
      <c r="TNF27" s="1882"/>
      <c r="TNH27" s="1887"/>
      <c r="TNI27" s="1888"/>
      <c r="TNJ27" s="1882"/>
      <c r="TNK27" s="1882"/>
      <c r="TNL27" s="1882"/>
      <c r="TNN27" s="1887"/>
      <c r="TNO27" s="1888"/>
      <c r="TNP27" s="1882"/>
      <c r="TNQ27" s="1882"/>
      <c r="TNR27" s="1882"/>
      <c r="TNT27" s="1887"/>
      <c r="TNU27" s="1888"/>
      <c r="TNV27" s="1882"/>
      <c r="TNW27" s="1882"/>
      <c r="TNX27" s="1882"/>
      <c r="TNZ27" s="1887"/>
      <c r="TOA27" s="1888"/>
      <c r="TOB27" s="1882"/>
      <c r="TOC27" s="1882"/>
      <c r="TOD27" s="1882"/>
      <c r="TOF27" s="1887"/>
      <c r="TOG27" s="1888"/>
      <c r="TOH27" s="1882"/>
      <c r="TOI27" s="1882"/>
      <c r="TOJ27" s="1882"/>
      <c r="TOL27" s="1887"/>
      <c r="TOM27" s="1888"/>
      <c r="TON27" s="1882"/>
      <c r="TOO27" s="1882"/>
      <c r="TOP27" s="1882"/>
      <c r="TOR27" s="1887"/>
      <c r="TOS27" s="1888"/>
      <c r="TOT27" s="1882"/>
      <c r="TOU27" s="1882"/>
      <c r="TOV27" s="1882"/>
      <c r="TOX27" s="1887"/>
      <c r="TOY27" s="1888"/>
      <c r="TOZ27" s="1882"/>
      <c r="TPA27" s="1882"/>
      <c r="TPB27" s="1882"/>
      <c r="TPD27" s="1887"/>
      <c r="TPE27" s="1888"/>
      <c r="TPF27" s="1882"/>
      <c r="TPG27" s="1882"/>
      <c r="TPH27" s="1882"/>
      <c r="TPJ27" s="1887"/>
      <c r="TPK27" s="1888"/>
      <c r="TPL27" s="1882"/>
      <c r="TPM27" s="1882"/>
      <c r="TPN27" s="1882"/>
      <c r="TPP27" s="1887"/>
      <c r="TPQ27" s="1888"/>
      <c r="TPR27" s="1882"/>
      <c r="TPS27" s="1882"/>
      <c r="TPT27" s="1882"/>
      <c r="TPV27" s="1887"/>
      <c r="TPW27" s="1888"/>
      <c r="TPX27" s="1882"/>
      <c r="TPY27" s="1882"/>
      <c r="TPZ27" s="1882"/>
      <c r="TQB27" s="1887"/>
      <c r="TQC27" s="1888"/>
      <c r="TQD27" s="1882"/>
      <c r="TQE27" s="1882"/>
      <c r="TQF27" s="1882"/>
      <c r="TQH27" s="1887"/>
      <c r="TQI27" s="1888"/>
      <c r="TQJ27" s="1882"/>
      <c r="TQK27" s="1882"/>
      <c r="TQL27" s="1882"/>
      <c r="TQN27" s="1887"/>
      <c r="TQO27" s="1888"/>
      <c r="TQP27" s="1882"/>
      <c r="TQQ27" s="1882"/>
      <c r="TQR27" s="1882"/>
      <c r="TQT27" s="1887"/>
      <c r="TQU27" s="1888"/>
      <c r="TQV27" s="1882"/>
      <c r="TQW27" s="1882"/>
      <c r="TQX27" s="1882"/>
      <c r="TQZ27" s="1887"/>
      <c r="TRA27" s="1888"/>
      <c r="TRB27" s="1882"/>
      <c r="TRC27" s="1882"/>
      <c r="TRD27" s="1882"/>
      <c r="TRF27" s="1887"/>
      <c r="TRG27" s="1888"/>
      <c r="TRH27" s="1882"/>
      <c r="TRI27" s="1882"/>
      <c r="TRJ27" s="1882"/>
      <c r="TRL27" s="1887"/>
      <c r="TRM27" s="1888"/>
      <c r="TRN27" s="1882"/>
      <c r="TRO27" s="1882"/>
      <c r="TRP27" s="1882"/>
      <c r="TRR27" s="1887"/>
      <c r="TRS27" s="1888"/>
      <c r="TRT27" s="1882"/>
      <c r="TRU27" s="1882"/>
      <c r="TRV27" s="1882"/>
      <c r="TRX27" s="1887"/>
      <c r="TRY27" s="1888"/>
      <c r="TRZ27" s="1882"/>
      <c r="TSA27" s="1882"/>
      <c r="TSB27" s="1882"/>
      <c r="TSD27" s="1887"/>
      <c r="TSE27" s="1888"/>
      <c r="TSF27" s="1882"/>
      <c r="TSG27" s="1882"/>
      <c r="TSH27" s="1882"/>
      <c r="TSJ27" s="1887"/>
      <c r="TSK27" s="1888"/>
      <c r="TSL27" s="1882"/>
      <c r="TSM27" s="1882"/>
      <c r="TSN27" s="1882"/>
      <c r="TSP27" s="1887"/>
      <c r="TSQ27" s="1888"/>
      <c r="TSR27" s="1882"/>
      <c r="TSS27" s="1882"/>
      <c r="TST27" s="1882"/>
      <c r="TSV27" s="1887"/>
      <c r="TSW27" s="1888"/>
      <c r="TSX27" s="1882"/>
      <c r="TSY27" s="1882"/>
      <c r="TSZ27" s="1882"/>
      <c r="TTB27" s="1887"/>
      <c r="TTC27" s="1888"/>
      <c r="TTD27" s="1882"/>
      <c r="TTE27" s="1882"/>
      <c r="TTF27" s="1882"/>
      <c r="TTH27" s="1887"/>
      <c r="TTI27" s="1888"/>
      <c r="TTJ27" s="1882"/>
      <c r="TTK27" s="1882"/>
      <c r="TTL27" s="1882"/>
      <c r="TTN27" s="1887"/>
      <c r="TTO27" s="1888"/>
      <c r="TTP27" s="1882"/>
      <c r="TTQ27" s="1882"/>
      <c r="TTR27" s="1882"/>
      <c r="TTT27" s="1887"/>
      <c r="TTU27" s="1888"/>
      <c r="TTV27" s="1882"/>
      <c r="TTW27" s="1882"/>
      <c r="TTX27" s="1882"/>
      <c r="TTZ27" s="1887"/>
      <c r="TUA27" s="1888"/>
      <c r="TUB27" s="1882"/>
      <c r="TUC27" s="1882"/>
      <c r="TUD27" s="1882"/>
      <c r="TUF27" s="1887"/>
      <c r="TUG27" s="1888"/>
      <c r="TUH27" s="1882"/>
      <c r="TUI27" s="1882"/>
      <c r="TUJ27" s="1882"/>
      <c r="TUL27" s="1887"/>
      <c r="TUM27" s="1888"/>
      <c r="TUN27" s="1882"/>
      <c r="TUO27" s="1882"/>
      <c r="TUP27" s="1882"/>
      <c r="TUR27" s="1887"/>
      <c r="TUS27" s="1888"/>
      <c r="TUT27" s="1882"/>
      <c r="TUU27" s="1882"/>
      <c r="TUV27" s="1882"/>
      <c r="TUX27" s="1887"/>
      <c r="TUY27" s="1888"/>
      <c r="TUZ27" s="1882"/>
      <c r="TVA27" s="1882"/>
      <c r="TVB27" s="1882"/>
      <c r="TVD27" s="1887"/>
      <c r="TVE27" s="1888"/>
      <c r="TVF27" s="1882"/>
      <c r="TVG27" s="1882"/>
      <c r="TVH27" s="1882"/>
      <c r="TVJ27" s="1887"/>
      <c r="TVK27" s="1888"/>
      <c r="TVL27" s="1882"/>
      <c r="TVM27" s="1882"/>
      <c r="TVN27" s="1882"/>
      <c r="TVP27" s="1887"/>
      <c r="TVQ27" s="1888"/>
      <c r="TVR27" s="1882"/>
      <c r="TVS27" s="1882"/>
      <c r="TVT27" s="1882"/>
      <c r="TVV27" s="1887"/>
      <c r="TVW27" s="1888"/>
      <c r="TVX27" s="1882"/>
      <c r="TVY27" s="1882"/>
      <c r="TVZ27" s="1882"/>
      <c r="TWB27" s="1887"/>
      <c r="TWC27" s="1888"/>
      <c r="TWD27" s="1882"/>
      <c r="TWE27" s="1882"/>
      <c r="TWF27" s="1882"/>
      <c r="TWH27" s="1887"/>
      <c r="TWI27" s="1888"/>
      <c r="TWJ27" s="1882"/>
      <c r="TWK27" s="1882"/>
      <c r="TWL27" s="1882"/>
      <c r="TWN27" s="1887"/>
      <c r="TWO27" s="1888"/>
      <c r="TWP27" s="1882"/>
      <c r="TWQ27" s="1882"/>
      <c r="TWR27" s="1882"/>
      <c r="TWT27" s="1887"/>
      <c r="TWU27" s="1888"/>
      <c r="TWV27" s="1882"/>
      <c r="TWW27" s="1882"/>
      <c r="TWX27" s="1882"/>
      <c r="TWZ27" s="1887"/>
      <c r="TXA27" s="1888"/>
      <c r="TXB27" s="1882"/>
      <c r="TXC27" s="1882"/>
      <c r="TXD27" s="1882"/>
      <c r="TXF27" s="1887"/>
      <c r="TXG27" s="1888"/>
      <c r="TXH27" s="1882"/>
      <c r="TXI27" s="1882"/>
      <c r="TXJ27" s="1882"/>
      <c r="TXL27" s="1887"/>
      <c r="TXM27" s="1888"/>
      <c r="TXN27" s="1882"/>
      <c r="TXO27" s="1882"/>
      <c r="TXP27" s="1882"/>
      <c r="TXR27" s="1887"/>
      <c r="TXS27" s="1888"/>
      <c r="TXT27" s="1882"/>
      <c r="TXU27" s="1882"/>
      <c r="TXV27" s="1882"/>
      <c r="TXX27" s="1887"/>
      <c r="TXY27" s="1888"/>
      <c r="TXZ27" s="1882"/>
      <c r="TYA27" s="1882"/>
      <c r="TYB27" s="1882"/>
      <c r="TYD27" s="1887"/>
      <c r="TYE27" s="1888"/>
      <c r="TYF27" s="1882"/>
      <c r="TYG27" s="1882"/>
      <c r="TYH27" s="1882"/>
      <c r="TYJ27" s="1887"/>
      <c r="TYK27" s="1888"/>
      <c r="TYL27" s="1882"/>
      <c r="TYM27" s="1882"/>
      <c r="TYN27" s="1882"/>
      <c r="TYP27" s="1887"/>
      <c r="TYQ27" s="1888"/>
      <c r="TYR27" s="1882"/>
      <c r="TYS27" s="1882"/>
      <c r="TYT27" s="1882"/>
      <c r="TYV27" s="1887"/>
      <c r="TYW27" s="1888"/>
      <c r="TYX27" s="1882"/>
      <c r="TYY27" s="1882"/>
      <c r="TYZ27" s="1882"/>
      <c r="TZB27" s="1887"/>
      <c r="TZC27" s="1888"/>
      <c r="TZD27" s="1882"/>
      <c r="TZE27" s="1882"/>
      <c r="TZF27" s="1882"/>
      <c r="TZH27" s="1887"/>
      <c r="TZI27" s="1888"/>
      <c r="TZJ27" s="1882"/>
      <c r="TZK27" s="1882"/>
      <c r="TZL27" s="1882"/>
      <c r="TZN27" s="1887"/>
      <c r="TZO27" s="1888"/>
      <c r="TZP27" s="1882"/>
      <c r="TZQ27" s="1882"/>
      <c r="TZR27" s="1882"/>
      <c r="TZT27" s="1887"/>
      <c r="TZU27" s="1888"/>
      <c r="TZV27" s="1882"/>
      <c r="TZW27" s="1882"/>
      <c r="TZX27" s="1882"/>
      <c r="TZZ27" s="1887"/>
      <c r="UAA27" s="1888"/>
      <c r="UAB27" s="1882"/>
      <c r="UAC27" s="1882"/>
      <c r="UAD27" s="1882"/>
      <c r="UAF27" s="1887"/>
      <c r="UAG27" s="1888"/>
      <c r="UAH27" s="1882"/>
      <c r="UAI27" s="1882"/>
      <c r="UAJ27" s="1882"/>
      <c r="UAL27" s="1887"/>
      <c r="UAM27" s="1888"/>
      <c r="UAN27" s="1882"/>
      <c r="UAO27" s="1882"/>
      <c r="UAP27" s="1882"/>
      <c r="UAR27" s="1887"/>
      <c r="UAS27" s="1888"/>
      <c r="UAT27" s="1882"/>
      <c r="UAU27" s="1882"/>
      <c r="UAV27" s="1882"/>
      <c r="UAX27" s="1887"/>
      <c r="UAY27" s="1888"/>
      <c r="UAZ27" s="1882"/>
      <c r="UBA27" s="1882"/>
      <c r="UBB27" s="1882"/>
      <c r="UBD27" s="1887"/>
      <c r="UBE27" s="1888"/>
      <c r="UBF27" s="1882"/>
      <c r="UBG27" s="1882"/>
      <c r="UBH27" s="1882"/>
      <c r="UBJ27" s="1887"/>
      <c r="UBK27" s="1888"/>
      <c r="UBL27" s="1882"/>
      <c r="UBM27" s="1882"/>
      <c r="UBN27" s="1882"/>
      <c r="UBP27" s="1887"/>
      <c r="UBQ27" s="1888"/>
      <c r="UBR27" s="1882"/>
      <c r="UBS27" s="1882"/>
      <c r="UBT27" s="1882"/>
      <c r="UBV27" s="1887"/>
      <c r="UBW27" s="1888"/>
      <c r="UBX27" s="1882"/>
      <c r="UBY27" s="1882"/>
      <c r="UBZ27" s="1882"/>
      <c r="UCB27" s="1887"/>
      <c r="UCC27" s="1888"/>
      <c r="UCD27" s="1882"/>
      <c r="UCE27" s="1882"/>
      <c r="UCF27" s="1882"/>
      <c r="UCH27" s="1887"/>
      <c r="UCI27" s="1888"/>
      <c r="UCJ27" s="1882"/>
      <c r="UCK27" s="1882"/>
      <c r="UCL27" s="1882"/>
      <c r="UCN27" s="1887"/>
      <c r="UCO27" s="1888"/>
      <c r="UCP27" s="1882"/>
      <c r="UCQ27" s="1882"/>
      <c r="UCR27" s="1882"/>
      <c r="UCT27" s="1887"/>
      <c r="UCU27" s="1888"/>
      <c r="UCV27" s="1882"/>
      <c r="UCW27" s="1882"/>
      <c r="UCX27" s="1882"/>
      <c r="UCZ27" s="1887"/>
      <c r="UDA27" s="1888"/>
      <c r="UDB27" s="1882"/>
      <c r="UDC27" s="1882"/>
      <c r="UDD27" s="1882"/>
      <c r="UDF27" s="1887"/>
      <c r="UDG27" s="1888"/>
      <c r="UDH27" s="1882"/>
      <c r="UDI27" s="1882"/>
      <c r="UDJ27" s="1882"/>
      <c r="UDL27" s="1887"/>
      <c r="UDM27" s="1888"/>
      <c r="UDN27" s="1882"/>
      <c r="UDO27" s="1882"/>
      <c r="UDP27" s="1882"/>
      <c r="UDR27" s="1887"/>
      <c r="UDS27" s="1888"/>
      <c r="UDT27" s="1882"/>
      <c r="UDU27" s="1882"/>
      <c r="UDV27" s="1882"/>
      <c r="UDX27" s="1887"/>
      <c r="UDY27" s="1888"/>
      <c r="UDZ27" s="1882"/>
      <c r="UEA27" s="1882"/>
      <c r="UEB27" s="1882"/>
      <c r="UED27" s="1887"/>
      <c r="UEE27" s="1888"/>
      <c r="UEF27" s="1882"/>
      <c r="UEG27" s="1882"/>
      <c r="UEH27" s="1882"/>
      <c r="UEJ27" s="1887"/>
      <c r="UEK27" s="1888"/>
      <c r="UEL27" s="1882"/>
      <c r="UEM27" s="1882"/>
      <c r="UEN27" s="1882"/>
      <c r="UEP27" s="1887"/>
      <c r="UEQ27" s="1888"/>
      <c r="UER27" s="1882"/>
      <c r="UES27" s="1882"/>
      <c r="UET27" s="1882"/>
      <c r="UEV27" s="1887"/>
      <c r="UEW27" s="1888"/>
      <c r="UEX27" s="1882"/>
      <c r="UEY27" s="1882"/>
      <c r="UEZ27" s="1882"/>
      <c r="UFB27" s="1887"/>
      <c r="UFC27" s="1888"/>
      <c r="UFD27" s="1882"/>
      <c r="UFE27" s="1882"/>
      <c r="UFF27" s="1882"/>
      <c r="UFH27" s="1887"/>
      <c r="UFI27" s="1888"/>
      <c r="UFJ27" s="1882"/>
      <c r="UFK27" s="1882"/>
      <c r="UFL27" s="1882"/>
      <c r="UFN27" s="1887"/>
      <c r="UFO27" s="1888"/>
      <c r="UFP27" s="1882"/>
      <c r="UFQ27" s="1882"/>
      <c r="UFR27" s="1882"/>
      <c r="UFT27" s="1887"/>
      <c r="UFU27" s="1888"/>
      <c r="UFV27" s="1882"/>
      <c r="UFW27" s="1882"/>
      <c r="UFX27" s="1882"/>
      <c r="UFZ27" s="1887"/>
      <c r="UGA27" s="1888"/>
      <c r="UGB27" s="1882"/>
      <c r="UGC27" s="1882"/>
      <c r="UGD27" s="1882"/>
      <c r="UGF27" s="1887"/>
      <c r="UGG27" s="1888"/>
      <c r="UGH27" s="1882"/>
      <c r="UGI27" s="1882"/>
      <c r="UGJ27" s="1882"/>
      <c r="UGL27" s="1887"/>
      <c r="UGM27" s="1888"/>
      <c r="UGN27" s="1882"/>
      <c r="UGO27" s="1882"/>
      <c r="UGP27" s="1882"/>
      <c r="UGR27" s="1887"/>
      <c r="UGS27" s="1888"/>
      <c r="UGT27" s="1882"/>
      <c r="UGU27" s="1882"/>
      <c r="UGV27" s="1882"/>
      <c r="UGX27" s="1887"/>
      <c r="UGY27" s="1888"/>
      <c r="UGZ27" s="1882"/>
      <c r="UHA27" s="1882"/>
      <c r="UHB27" s="1882"/>
      <c r="UHD27" s="1887"/>
      <c r="UHE27" s="1888"/>
      <c r="UHF27" s="1882"/>
      <c r="UHG27" s="1882"/>
      <c r="UHH27" s="1882"/>
      <c r="UHJ27" s="1887"/>
      <c r="UHK27" s="1888"/>
      <c r="UHL27" s="1882"/>
      <c r="UHM27" s="1882"/>
      <c r="UHN27" s="1882"/>
      <c r="UHP27" s="1887"/>
      <c r="UHQ27" s="1888"/>
      <c r="UHR27" s="1882"/>
      <c r="UHS27" s="1882"/>
      <c r="UHT27" s="1882"/>
      <c r="UHV27" s="1887"/>
      <c r="UHW27" s="1888"/>
      <c r="UHX27" s="1882"/>
      <c r="UHY27" s="1882"/>
      <c r="UHZ27" s="1882"/>
      <c r="UIB27" s="1887"/>
      <c r="UIC27" s="1888"/>
      <c r="UID27" s="1882"/>
      <c r="UIE27" s="1882"/>
      <c r="UIF27" s="1882"/>
      <c r="UIH27" s="1887"/>
      <c r="UII27" s="1888"/>
      <c r="UIJ27" s="1882"/>
      <c r="UIK27" s="1882"/>
      <c r="UIL27" s="1882"/>
      <c r="UIN27" s="1887"/>
      <c r="UIO27" s="1888"/>
      <c r="UIP27" s="1882"/>
      <c r="UIQ27" s="1882"/>
      <c r="UIR27" s="1882"/>
      <c r="UIT27" s="1887"/>
      <c r="UIU27" s="1888"/>
      <c r="UIV27" s="1882"/>
      <c r="UIW27" s="1882"/>
      <c r="UIX27" s="1882"/>
      <c r="UIZ27" s="1887"/>
      <c r="UJA27" s="1888"/>
      <c r="UJB27" s="1882"/>
      <c r="UJC27" s="1882"/>
      <c r="UJD27" s="1882"/>
      <c r="UJF27" s="1887"/>
      <c r="UJG27" s="1888"/>
      <c r="UJH27" s="1882"/>
      <c r="UJI27" s="1882"/>
      <c r="UJJ27" s="1882"/>
      <c r="UJL27" s="1887"/>
      <c r="UJM27" s="1888"/>
      <c r="UJN27" s="1882"/>
      <c r="UJO27" s="1882"/>
      <c r="UJP27" s="1882"/>
      <c r="UJR27" s="1887"/>
      <c r="UJS27" s="1888"/>
      <c r="UJT27" s="1882"/>
      <c r="UJU27" s="1882"/>
      <c r="UJV27" s="1882"/>
      <c r="UJX27" s="1887"/>
      <c r="UJY27" s="1888"/>
      <c r="UJZ27" s="1882"/>
      <c r="UKA27" s="1882"/>
      <c r="UKB27" s="1882"/>
      <c r="UKD27" s="1887"/>
      <c r="UKE27" s="1888"/>
      <c r="UKF27" s="1882"/>
      <c r="UKG27" s="1882"/>
      <c r="UKH27" s="1882"/>
      <c r="UKJ27" s="1887"/>
      <c r="UKK27" s="1888"/>
      <c r="UKL27" s="1882"/>
      <c r="UKM27" s="1882"/>
      <c r="UKN27" s="1882"/>
      <c r="UKP27" s="1887"/>
      <c r="UKQ27" s="1888"/>
      <c r="UKR27" s="1882"/>
      <c r="UKS27" s="1882"/>
      <c r="UKT27" s="1882"/>
      <c r="UKV27" s="1887"/>
      <c r="UKW27" s="1888"/>
      <c r="UKX27" s="1882"/>
      <c r="UKY27" s="1882"/>
      <c r="UKZ27" s="1882"/>
      <c r="ULB27" s="1887"/>
      <c r="ULC27" s="1888"/>
      <c r="ULD27" s="1882"/>
      <c r="ULE27" s="1882"/>
      <c r="ULF27" s="1882"/>
      <c r="ULH27" s="1887"/>
      <c r="ULI27" s="1888"/>
      <c r="ULJ27" s="1882"/>
      <c r="ULK27" s="1882"/>
      <c r="ULL27" s="1882"/>
      <c r="ULN27" s="1887"/>
      <c r="ULO27" s="1888"/>
      <c r="ULP27" s="1882"/>
      <c r="ULQ27" s="1882"/>
      <c r="ULR27" s="1882"/>
      <c r="ULT27" s="1887"/>
      <c r="ULU27" s="1888"/>
      <c r="ULV27" s="1882"/>
      <c r="ULW27" s="1882"/>
      <c r="ULX27" s="1882"/>
      <c r="ULZ27" s="1887"/>
      <c r="UMA27" s="1888"/>
      <c r="UMB27" s="1882"/>
      <c r="UMC27" s="1882"/>
      <c r="UMD27" s="1882"/>
      <c r="UMF27" s="1887"/>
      <c r="UMG27" s="1888"/>
      <c r="UMH27" s="1882"/>
      <c r="UMI27" s="1882"/>
      <c r="UMJ27" s="1882"/>
      <c r="UML27" s="1887"/>
      <c r="UMM27" s="1888"/>
      <c r="UMN27" s="1882"/>
      <c r="UMO27" s="1882"/>
      <c r="UMP27" s="1882"/>
      <c r="UMR27" s="1887"/>
      <c r="UMS27" s="1888"/>
      <c r="UMT27" s="1882"/>
      <c r="UMU27" s="1882"/>
      <c r="UMV27" s="1882"/>
      <c r="UMX27" s="1887"/>
      <c r="UMY27" s="1888"/>
      <c r="UMZ27" s="1882"/>
      <c r="UNA27" s="1882"/>
      <c r="UNB27" s="1882"/>
      <c r="UND27" s="1887"/>
      <c r="UNE27" s="1888"/>
      <c r="UNF27" s="1882"/>
      <c r="UNG27" s="1882"/>
      <c r="UNH27" s="1882"/>
      <c r="UNJ27" s="1887"/>
      <c r="UNK27" s="1888"/>
      <c r="UNL27" s="1882"/>
      <c r="UNM27" s="1882"/>
      <c r="UNN27" s="1882"/>
      <c r="UNP27" s="1887"/>
      <c r="UNQ27" s="1888"/>
      <c r="UNR27" s="1882"/>
      <c r="UNS27" s="1882"/>
      <c r="UNT27" s="1882"/>
      <c r="UNV27" s="1887"/>
      <c r="UNW27" s="1888"/>
      <c r="UNX27" s="1882"/>
      <c r="UNY27" s="1882"/>
      <c r="UNZ27" s="1882"/>
      <c r="UOB27" s="1887"/>
      <c r="UOC27" s="1888"/>
      <c r="UOD27" s="1882"/>
      <c r="UOE27" s="1882"/>
      <c r="UOF27" s="1882"/>
      <c r="UOH27" s="1887"/>
      <c r="UOI27" s="1888"/>
      <c r="UOJ27" s="1882"/>
      <c r="UOK27" s="1882"/>
      <c r="UOL27" s="1882"/>
      <c r="UON27" s="1887"/>
      <c r="UOO27" s="1888"/>
      <c r="UOP27" s="1882"/>
      <c r="UOQ27" s="1882"/>
      <c r="UOR27" s="1882"/>
      <c r="UOT27" s="1887"/>
      <c r="UOU27" s="1888"/>
      <c r="UOV27" s="1882"/>
      <c r="UOW27" s="1882"/>
      <c r="UOX27" s="1882"/>
      <c r="UOZ27" s="1887"/>
      <c r="UPA27" s="1888"/>
      <c r="UPB27" s="1882"/>
      <c r="UPC27" s="1882"/>
      <c r="UPD27" s="1882"/>
      <c r="UPF27" s="1887"/>
      <c r="UPG27" s="1888"/>
      <c r="UPH27" s="1882"/>
      <c r="UPI27" s="1882"/>
      <c r="UPJ27" s="1882"/>
      <c r="UPL27" s="1887"/>
      <c r="UPM27" s="1888"/>
      <c r="UPN27" s="1882"/>
      <c r="UPO27" s="1882"/>
      <c r="UPP27" s="1882"/>
      <c r="UPR27" s="1887"/>
      <c r="UPS27" s="1888"/>
      <c r="UPT27" s="1882"/>
      <c r="UPU27" s="1882"/>
      <c r="UPV27" s="1882"/>
      <c r="UPX27" s="1887"/>
      <c r="UPY27" s="1888"/>
      <c r="UPZ27" s="1882"/>
      <c r="UQA27" s="1882"/>
      <c r="UQB27" s="1882"/>
      <c r="UQD27" s="1887"/>
      <c r="UQE27" s="1888"/>
      <c r="UQF27" s="1882"/>
      <c r="UQG27" s="1882"/>
      <c r="UQH27" s="1882"/>
      <c r="UQJ27" s="1887"/>
      <c r="UQK27" s="1888"/>
      <c r="UQL27" s="1882"/>
      <c r="UQM27" s="1882"/>
      <c r="UQN27" s="1882"/>
      <c r="UQP27" s="1887"/>
      <c r="UQQ27" s="1888"/>
      <c r="UQR27" s="1882"/>
      <c r="UQS27" s="1882"/>
      <c r="UQT27" s="1882"/>
      <c r="UQV27" s="1887"/>
      <c r="UQW27" s="1888"/>
      <c r="UQX27" s="1882"/>
      <c r="UQY27" s="1882"/>
      <c r="UQZ27" s="1882"/>
      <c r="URB27" s="1887"/>
      <c r="URC27" s="1888"/>
      <c r="URD27" s="1882"/>
      <c r="URE27" s="1882"/>
      <c r="URF27" s="1882"/>
      <c r="URH27" s="1887"/>
      <c r="URI27" s="1888"/>
      <c r="URJ27" s="1882"/>
      <c r="URK27" s="1882"/>
      <c r="URL27" s="1882"/>
      <c r="URN27" s="1887"/>
      <c r="URO27" s="1888"/>
      <c r="URP27" s="1882"/>
      <c r="URQ27" s="1882"/>
      <c r="URR27" s="1882"/>
      <c r="URT27" s="1887"/>
      <c r="URU27" s="1888"/>
      <c r="URV27" s="1882"/>
      <c r="URW27" s="1882"/>
      <c r="URX27" s="1882"/>
      <c r="URZ27" s="1887"/>
      <c r="USA27" s="1888"/>
      <c r="USB27" s="1882"/>
      <c r="USC27" s="1882"/>
      <c r="USD27" s="1882"/>
      <c r="USF27" s="1887"/>
      <c r="USG27" s="1888"/>
      <c r="USH27" s="1882"/>
      <c r="USI27" s="1882"/>
      <c r="USJ27" s="1882"/>
      <c r="USL27" s="1887"/>
      <c r="USM27" s="1888"/>
      <c r="USN27" s="1882"/>
      <c r="USO27" s="1882"/>
      <c r="USP27" s="1882"/>
      <c r="USR27" s="1887"/>
      <c r="USS27" s="1888"/>
      <c r="UST27" s="1882"/>
      <c r="USU27" s="1882"/>
      <c r="USV27" s="1882"/>
      <c r="USX27" s="1887"/>
      <c r="USY27" s="1888"/>
      <c r="USZ27" s="1882"/>
      <c r="UTA27" s="1882"/>
      <c r="UTB27" s="1882"/>
      <c r="UTD27" s="1887"/>
      <c r="UTE27" s="1888"/>
      <c r="UTF27" s="1882"/>
      <c r="UTG27" s="1882"/>
      <c r="UTH27" s="1882"/>
      <c r="UTJ27" s="1887"/>
      <c r="UTK27" s="1888"/>
      <c r="UTL27" s="1882"/>
      <c r="UTM27" s="1882"/>
      <c r="UTN27" s="1882"/>
      <c r="UTP27" s="1887"/>
      <c r="UTQ27" s="1888"/>
      <c r="UTR27" s="1882"/>
      <c r="UTS27" s="1882"/>
      <c r="UTT27" s="1882"/>
      <c r="UTV27" s="1887"/>
      <c r="UTW27" s="1888"/>
      <c r="UTX27" s="1882"/>
      <c r="UTY27" s="1882"/>
      <c r="UTZ27" s="1882"/>
      <c r="UUB27" s="1887"/>
      <c r="UUC27" s="1888"/>
      <c r="UUD27" s="1882"/>
      <c r="UUE27" s="1882"/>
      <c r="UUF27" s="1882"/>
      <c r="UUH27" s="1887"/>
      <c r="UUI27" s="1888"/>
      <c r="UUJ27" s="1882"/>
      <c r="UUK27" s="1882"/>
      <c r="UUL27" s="1882"/>
      <c r="UUN27" s="1887"/>
      <c r="UUO27" s="1888"/>
      <c r="UUP27" s="1882"/>
      <c r="UUQ27" s="1882"/>
      <c r="UUR27" s="1882"/>
      <c r="UUT27" s="1887"/>
      <c r="UUU27" s="1888"/>
      <c r="UUV27" s="1882"/>
      <c r="UUW27" s="1882"/>
      <c r="UUX27" s="1882"/>
      <c r="UUZ27" s="1887"/>
      <c r="UVA27" s="1888"/>
      <c r="UVB27" s="1882"/>
      <c r="UVC27" s="1882"/>
      <c r="UVD27" s="1882"/>
      <c r="UVF27" s="1887"/>
      <c r="UVG27" s="1888"/>
      <c r="UVH27" s="1882"/>
      <c r="UVI27" s="1882"/>
      <c r="UVJ27" s="1882"/>
      <c r="UVL27" s="1887"/>
      <c r="UVM27" s="1888"/>
      <c r="UVN27" s="1882"/>
      <c r="UVO27" s="1882"/>
      <c r="UVP27" s="1882"/>
      <c r="UVR27" s="1887"/>
      <c r="UVS27" s="1888"/>
      <c r="UVT27" s="1882"/>
      <c r="UVU27" s="1882"/>
      <c r="UVV27" s="1882"/>
      <c r="UVX27" s="1887"/>
      <c r="UVY27" s="1888"/>
      <c r="UVZ27" s="1882"/>
      <c r="UWA27" s="1882"/>
      <c r="UWB27" s="1882"/>
      <c r="UWD27" s="1887"/>
      <c r="UWE27" s="1888"/>
      <c r="UWF27" s="1882"/>
      <c r="UWG27" s="1882"/>
      <c r="UWH27" s="1882"/>
      <c r="UWJ27" s="1887"/>
      <c r="UWK27" s="1888"/>
      <c r="UWL27" s="1882"/>
      <c r="UWM27" s="1882"/>
      <c r="UWN27" s="1882"/>
      <c r="UWP27" s="1887"/>
      <c r="UWQ27" s="1888"/>
      <c r="UWR27" s="1882"/>
      <c r="UWS27" s="1882"/>
      <c r="UWT27" s="1882"/>
      <c r="UWV27" s="1887"/>
      <c r="UWW27" s="1888"/>
      <c r="UWX27" s="1882"/>
      <c r="UWY27" s="1882"/>
      <c r="UWZ27" s="1882"/>
      <c r="UXB27" s="1887"/>
      <c r="UXC27" s="1888"/>
      <c r="UXD27" s="1882"/>
      <c r="UXE27" s="1882"/>
      <c r="UXF27" s="1882"/>
      <c r="UXH27" s="1887"/>
      <c r="UXI27" s="1888"/>
      <c r="UXJ27" s="1882"/>
      <c r="UXK27" s="1882"/>
      <c r="UXL27" s="1882"/>
      <c r="UXN27" s="1887"/>
      <c r="UXO27" s="1888"/>
      <c r="UXP27" s="1882"/>
      <c r="UXQ27" s="1882"/>
      <c r="UXR27" s="1882"/>
      <c r="UXT27" s="1887"/>
      <c r="UXU27" s="1888"/>
      <c r="UXV27" s="1882"/>
      <c r="UXW27" s="1882"/>
      <c r="UXX27" s="1882"/>
      <c r="UXZ27" s="1887"/>
      <c r="UYA27" s="1888"/>
      <c r="UYB27" s="1882"/>
      <c r="UYC27" s="1882"/>
      <c r="UYD27" s="1882"/>
      <c r="UYF27" s="1887"/>
      <c r="UYG27" s="1888"/>
      <c r="UYH27" s="1882"/>
      <c r="UYI27" s="1882"/>
      <c r="UYJ27" s="1882"/>
      <c r="UYL27" s="1887"/>
      <c r="UYM27" s="1888"/>
      <c r="UYN27" s="1882"/>
      <c r="UYO27" s="1882"/>
      <c r="UYP27" s="1882"/>
      <c r="UYR27" s="1887"/>
      <c r="UYS27" s="1888"/>
      <c r="UYT27" s="1882"/>
      <c r="UYU27" s="1882"/>
      <c r="UYV27" s="1882"/>
      <c r="UYX27" s="1887"/>
      <c r="UYY27" s="1888"/>
      <c r="UYZ27" s="1882"/>
      <c r="UZA27" s="1882"/>
      <c r="UZB27" s="1882"/>
      <c r="UZD27" s="1887"/>
      <c r="UZE27" s="1888"/>
      <c r="UZF27" s="1882"/>
      <c r="UZG27" s="1882"/>
      <c r="UZH27" s="1882"/>
      <c r="UZJ27" s="1887"/>
      <c r="UZK27" s="1888"/>
      <c r="UZL27" s="1882"/>
      <c r="UZM27" s="1882"/>
      <c r="UZN27" s="1882"/>
      <c r="UZP27" s="1887"/>
      <c r="UZQ27" s="1888"/>
      <c r="UZR27" s="1882"/>
      <c r="UZS27" s="1882"/>
      <c r="UZT27" s="1882"/>
      <c r="UZV27" s="1887"/>
      <c r="UZW27" s="1888"/>
      <c r="UZX27" s="1882"/>
      <c r="UZY27" s="1882"/>
      <c r="UZZ27" s="1882"/>
      <c r="VAB27" s="1887"/>
      <c r="VAC27" s="1888"/>
      <c r="VAD27" s="1882"/>
      <c r="VAE27" s="1882"/>
      <c r="VAF27" s="1882"/>
      <c r="VAH27" s="1887"/>
      <c r="VAI27" s="1888"/>
      <c r="VAJ27" s="1882"/>
      <c r="VAK27" s="1882"/>
      <c r="VAL27" s="1882"/>
      <c r="VAN27" s="1887"/>
      <c r="VAO27" s="1888"/>
      <c r="VAP27" s="1882"/>
      <c r="VAQ27" s="1882"/>
      <c r="VAR27" s="1882"/>
      <c r="VAT27" s="1887"/>
      <c r="VAU27" s="1888"/>
      <c r="VAV27" s="1882"/>
      <c r="VAW27" s="1882"/>
      <c r="VAX27" s="1882"/>
      <c r="VAZ27" s="1887"/>
      <c r="VBA27" s="1888"/>
      <c r="VBB27" s="1882"/>
      <c r="VBC27" s="1882"/>
      <c r="VBD27" s="1882"/>
      <c r="VBF27" s="1887"/>
      <c r="VBG27" s="1888"/>
      <c r="VBH27" s="1882"/>
      <c r="VBI27" s="1882"/>
      <c r="VBJ27" s="1882"/>
      <c r="VBL27" s="1887"/>
      <c r="VBM27" s="1888"/>
      <c r="VBN27" s="1882"/>
      <c r="VBO27" s="1882"/>
      <c r="VBP27" s="1882"/>
      <c r="VBR27" s="1887"/>
      <c r="VBS27" s="1888"/>
      <c r="VBT27" s="1882"/>
      <c r="VBU27" s="1882"/>
      <c r="VBV27" s="1882"/>
      <c r="VBX27" s="1887"/>
      <c r="VBY27" s="1888"/>
      <c r="VBZ27" s="1882"/>
      <c r="VCA27" s="1882"/>
      <c r="VCB27" s="1882"/>
      <c r="VCD27" s="1887"/>
      <c r="VCE27" s="1888"/>
      <c r="VCF27" s="1882"/>
      <c r="VCG27" s="1882"/>
      <c r="VCH27" s="1882"/>
      <c r="VCJ27" s="1887"/>
      <c r="VCK27" s="1888"/>
      <c r="VCL27" s="1882"/>
      <c r="VCM27" s="1882"/>
      <c r="VCN27" s="1882"/>
      <c r="VCP27" s="1887"/>
      <c r="VCQ27" s="1888"/>
      <c r="VCR27" s="1882"/>
      <c r="VCS27" s="1882"/>
      <c r="VCT27" s="1882"/>
      <c r="VCV27" s="1887"/>
      <c r="VCW27" s="1888"/>
      <c r="VCX27" s="1882"/>
      <c r="VCY27" s="1882"/>
      <c r="VCZ27" s="1882"/>
      <c r="VDB27" s="1887"/>
      <c r="VDC27" s="1888"/>
      <c r="VDD27" s="1882"/>
      <c r="VDE27" s="1882"/>
      <c r="VDF27" s="1882"/>
      <c r="VDH27" s="1887"/>
      <c r="VDI27" s="1888"/>
      <c r="VDJ27" s="1882"/>
      <c r="VDK27" s="1882"/>
      <c r="VDL27" s="1882"/>
      <c r="VDN27" s="1887"/>
      <c r="VDO27" s="1888"/>
      <c r="VDP27" s="1882"/>
      <c r="VDQ27" s="1882"/>
      <c r="VDR27" s="1882"/>
      <c r="VDT27" s="1887"/>
      <c r="VDU27" s="1888"/>
      <c r="VDV27" s="1882"/>
      <c r="VDW27" s="1882"/>
      <c r="VDX27" s="1882"/>
      <c r="VDZ27" s="1887"/>
      <c r="VEA27" s="1888"/>
      <c r="VEB27" s="1882"/>
      <c r="VEC27" s="1882"/>
      <c r="VED27" s="1882"/>
      <c r="VEF27" s="1887"/>
      <c r="VEG27" s="1888"/>
      <c r="VEH27" s="1882"/>
      <c r="VEI27" s="1882"/>
      <c r="VEJ27" s="1882"/>
      <c r="VEL27" s="1887"/>
      <c r="VEM27" s="1888"/>
      <c r="VEN27" s="1882"/>
      <c r="VEO27" s="1882"/>
      <c r="VEP27" s="1882"/>
      <c r="VER27" s="1887"/>
      <c r="VES27" s="1888"/>
      <c r="VET27" s="1882"/>
      <c r="VEU27" s="1882"/>
      <c r="VEV27" s="1882"/>
      <c r="VEX27" s="1887"/>
      <c r="VEY27" s="1888"/>
      <c r="VEZ27" s="1882"/>
      <c r="VFA27" s="1882"/>
      <c r="VFB27" s="1882"/>
      <c r="VFD27" s="1887"/>
      <c r="VFE27" s="1888"/>
      <c r="VFF27" s="1882"/>
      <c r="VFG27" s="1882"/>
      <c r="VFH27" s="1882"/>
      <c r="VFJ27" s="1887"/>
      <c r="VFK27" s="1888"/>
      <c r="VFL27" s="1882"/>
      <c r="VFM27" s="1882"/>
      <c r="VFN27" s="1882"/>
      <c r="VFP27" s="1887"/>
      <c r="VFQ27" s="1888"/>
      <c r="VFR27" s="1882"/>
      <c r="VFS27" s="1882"/>
      <c r="VFT27" s="1882"/>
      <c r="VFV27" s="1887"/>
      <c r="VFW27" s="1888"/>
      <c r="VFX27" s="1882"/>
      <c r="VFY27" s="1882"/>
      <c r="VFZ27" s="1882"/>
      <c r="VGB27" s="1887"/>
      <c r="VGC27" s="1888"/>
      <c r="VGD27" s="1882"/>
      <c r="VGE27" s="1882"/>
      <c r="VGF27" s="1882"/>
      <c r="VGH27" s="1887"/>
      <c r="VGI27" s="1888"/>
      <c r="VGJ27" s="1882"/>
      <c r="VGK27" s="1882"/>
      <c r="VGL27" s="1882"/>
      <c r="VGN27" s="1887"/>
      <c r="VGO27" s="1888"/>
      <c r="VGP27" s="1882"/>
      <c r="VGQ27" s="1882"/>
      <c r="VGR27" s="1882"/>
      <c r="VGT27" s="1887"/>
      <c r="VGU27" s="1888"/>
      <c r="VGV27" s="1882"/>
      <c r="VGW27" s="1882"/>
      <c r="VGX27" s="1882"/>
      <c r="VGZ27" s="1887"/>
      <c r="VHA27" s="1888"/>
      <c r="VHB27" s="1882"/>
      <c r="VHC27" s="1882"/>
      <c r="VHD27" s="1882"/>
      <c r="VHF27" s="1887"/>
      <c r="VHG27" s="1888"/>
      <c r="VHH27" s="1882"/>
      <c r="VHI27" s="1882"/>
      <c r="VHJ27" s="1882"/>
      <c r="VHL27" s="1887"/>
      <c r="VHM27" s="1888"/>
      <c r="VHN27" s="1882"/>
      <c r="VHO27" s="1882"/>
      <c r="VHP27" s="1882"/>
      <c r="VHR27" s="1887"/>
      <c r="VHS27" s="1888"/>
      <c r="VHT27" s="1882"/>
      <c r="VHU27" s="1882"/>
      <c r="VHV27" s="1882"/>
      <c r="VHX27" s="1887"/>
      <c r="VHY27" s="1888"/>
      <c r="VHZ27" s="1882"/>
      <c r="VIA27" s="1882"/>
      <c r="VIB27" s="1882"/>
      <c r="VID27" s="1887"/>
      <c r="VIE27" s="1888"/>
      <c r="VIF27" s="1882"/>
      <c r="VIG27" s="1882"/>
      <c r="VIH27" s="1882"/>
      <c r="VIJ27" s="1887"/>
      <c r="VIK27" s="1888"/>
      <c r="VIL27" s="1882"/>
      <c r="VIM27" s="1882"/>
      <c r="VIN27" s="1882"/>
      <c r="VIP27" s="1887"/>
      <c r="VIQ27" s="1888"/>
      <c r="VIR27" s="1882"/>
      <c r="VIS27" s="1882"/>
      <c r="VIT27" s="1882"/>
      <c r="VIV27" s="1887"/>
      <c r="VIW27" s="1888"/>
      <c r="VIX27" s="1882"/>
      <c r="VIY27" s="1882"/>
      <c r="VIZ27" s="1882"/>
      <c r="VJB27" s="1887"/>
      <c r="VJC27" s="1888"/>
      <c r="VJD27" s="1882"/>
      <c r="VJE27" s="1882"/>
      <c r="VJF27" s="1882"/>
      <c r="VJH27" s="1887"/>
      <c r="VJI27" s="1888"/>
      <c r="VJJ27" s="1882"/>
      <c r="VJK27" s="1882"/>
      <c r="VJL27" s="1882"/>
      <c r="VJN27" s="1887"/>
      <c r="VJO27" s="1888"/>
      <c r="VJP27" s="1882"/>
      <c r="VJQ27" s="1882"/>
      <c r="VJR27" s="1882"/>
      <c r="VJT27" s="1887"/>
      <c r="VJU27" s="1888"/>
      <c r="VJV27" s="1882"/>
      <c r="VJW27" s="1882"/>
      <c r="VJX27" s="1882"/>
      <c r="VJZ27" s="1887"/>
      <c r="VKA27" s="1888"/>
      <c r="VKB27" s="1882"/>
      <c r="VKC27" s="1882"/>
      <c r="VKD27" s="1882"/>
      <c r="VKF27" s="1887"/>
      <c r="VKG27" s="1888"/>
      <c r="VKH27" s="1882"/>
      <c r="VKI27" s="1882"/>
      <c r="VKJ27" s="1882"/>
      <c r="VKL27" s="1887"/>
      <c r="VKM27" s="1888"/>
      <c r="VKN27" s="1882"/>
      <c r="VKO27" s="1882"/>
      <c r="VKP27" s="1882"/>
      <c r="VKR27" s="1887"/>
      <c r="VKS27" s="1888"/>
      <c r="VKT27" s="1882"/>
      <c r="VKU27" s="1882"/>
      <c r="VKV27" s="1882"/>
      <c r="VKX27" s="1887"/>
      <c r="VKY27" s="1888"/>
      <c r="VKZ27" s="1882"/>
      <c r="VLA27" s="1882"/>
      <c r="VLB27" s="1882"/>
      <c r="VLD27" s="1887"/>
      <c r="VLE27" s="1888"/>
      <c r="VLF27" s="1882"/>
      <c r="VLG27" s="1882"/>
      <c r="VLH27" s="1882"/>
      <c r="VLJ27" s="1887"/>
      <c r="VLK27" s="1888"/>
      <c r="VLL27" s="1882"/>
      <c r="VLM27" s="1882"/>
      <c r="VLN27" s="1882"/>
      <c r="VLP27" s="1887"/>
      <c r="VLQ27" s="1888"/>
      <c r="VLR27" s="1882"/>
      <c r="VLS27" s="1882"/>
      <c r="VLT27" s="1882"/>
      <c r="VLV27" s="1887"/>
      <c r="VLW27" s="1888"/>
      <c r="VLX27" s="1882"/>
      <c r="VLY27" s="1882"/>
      <c r="VLZ27" s="1882"/>
      <c r="VMB27" s="1887"/>
      <c r="VMC27" s="1888"/>
      <c r="VMD27" s="1882"/>
      <c r="VME27" s="1882"/>
      <c r="VMF27" s="1882"/>
      <c r="VMH27" s="1887"/>
      <c r="VMI27" s="1888"/>
      <c r="VMJ27" s="1882"/>
      <c r="VMK27" s="1882"/>
      <c r="VML27" s="1882"/>
      <c r="VMN27" s="1887"/>
      <c r="VMO27" s="1888"/>
      <c r="VMP27" s="1882"/>
      <c r="VMQ27" s="1882"/>
      <c r="VMR27" s="1882"/>
      <c r="VMT27" s="1887"/>
      <c r="VMU27" s="1888"/>
      <c r="VMV27" s="1882"/>
      <c r="VMW27" s="1882"/>
      <c r="VMX27" s="1882"/>
      <c r="VMZ27" s="1887"/>
      <c r="VNA27" s="1888"/>
      <c r="VNB27" s="1882"/>
      <c r="VNC27" s="1882"/>
      <c r="VND27" s="1882"/>
      <c r="VNF27" s="1887"/>
      <c r="VNG27" s="1888"/>
      <c r="VNH27" s="1882"/>
      <c r="VNI27" s="1882"/>
      <c r="VNJ27" s="1882"/>
      <c r="VNL27" s="1887"/>
      <c r="VNM27" s="1888"/>
      <c r="VNN27" s="1882"/>
      <c r="VNO27" s="1882"/>
      <c r="VNP27" s="1882"/>
      <c r="VNR27" s="1887"/>
      <c r="VNS27" s="1888"/>
      <c r="VNT27" s="1882"/>
      <c r="VNU27" s="1882"/>
      <c r="VNV27" s="1882"/>
      <c r="VNX27" s="1887"/>
      <c r="VNY27" s="1888"/>
      <c r="VNZ27" s="1882"/>
      <c r="VOA27" s="1882"/>
      <c r="VOB27" s="1882"/>
      <c r="VOD27" s="1887"/>
      <c r="VOE27" s="1888"/>
      <c r="VOF27" s="1882"/>
      <c r="VOG27" s="1882"/>
      <c r="VOH27" s="1882"/>
      <c r="VOJ27" s="1887"/>
      <c r="VOK27" s="1888"/>
      <c r="VOL27" s="1882"/>
      <c r="VOM27" s="1882"/>
      <c r="VON27" s="1882"/>
      <c r="VOP27" s="1887"/>
      <c r="VOQ27" s="1888"/>
      <c r="VOR27" s="1882"/>
      <c r="VOS27" s="1882"/>
      <c r="VOT27" s="1882"/>
      <c r="VOV27" s="1887"/>
      <c r="VOW27" s="1888"/>
      <c r="VOX27" s="1882"/>
      <c r="VOY27" s="1882"/>
      <c r="VOZ27" s="1882"/>
      <c r="VPB27" s="1887"/>
      <c r="VPC27" s="1888"/>
      <c r="VPD27" s="1882"/>
      <c r="VPE27" s="1882"/>
      <c r="VPF27" s="1882"/>
      <c r="VPH27" s="1887"/>
      <c r="VPI27" s="1888"/>
      <c r="VPJ27" s="1882"/>
      <c r="VPK27" s="1882"/>
      <c r="VPL27" s="1882"/>
      <c r="VPN27" s="1887"/>
      <c r="VPO27" s="1888"/>
      <c r="VPP27" s="1882"/>
      <c r="VPQ27" s="1882"/>
      <c r="VPR27" s="1882"/>
      <c r="VPT27" s="1887"/>
      <c r="VPU27" s="1888"/>
      <c r="VPV27" s="1882"/>
      <c r="VPW27" s="1882"/>
      <c r="VPX27" s="1882"/>
      <c r="VPZ27" s="1887"/>
      <c r="VQA27" s="1888"/>
      <c r="VQB27" s="1882"/>
      <c r="VQC27" s="1882"/>
      <c r="VQD27" s="1882"/>
      <c r="VQF27" s="1887"/>
      <c r="VQG27" s="1888"/>
      <c r="VQH27" s="1882"/>
      <c r="VQI27" s="1882"/>
      <c r="VQJ27" s="1882"/>
      <c r="VQL27" s="1887"/>
      <c r="VQM27" s="1888"/>
      <c r="VQN27" s="1882"/>
      <c r="VQO27" s="1882"/>
      <c r="VQP27" s="1882"/>
      <c r="VQR27" s="1887"/>
      <c r="VQS27" s="1888"/>
      <c r="VQT27" s="1882"/>
      <c r="VQU27" s="1882"/>
      <c r="VQV27" s="1882"/>
      <c r="VQX27" s="1887"/>
      <c r="VQY27" s="1888"/>
      <c r="VQZ27" s="1882"/>
      <c r="VRA27" s="1882"/>
      <c r="VRB27" s="1882"/>
      <c r="VRD27" s="1887"/>
      <c r="VRE27" s="1888"/>
      <c r="VRF27" s="1882"/>
      <c r="VRG27" s="1882"/>
      <c r="VRH27" s="1882"/>
      <c r="VRJ27" s="1887"/>
      <c r="VRK27" s="1888"/>
      <c r="VRL27" s="1882"/>
      <c r="VRM27" s="1882"/>
      <c r="VRN27" s="1882"/>
      <c r="VRP27" s="1887"/>
      <c r="VRQ27" s="1888"/>
      <c r="VRR27" s="1882"/>
      <c r="VRS27" s="1882"/>
      <c r="VRT27" s="1882"/>
      <c r="VRV27" s="1887"/>
      <c r="VRW27" s="1888"/>
      <c r="VRX27" s="1882"/>
      <c r="VRY27" s="1882"/>
      <c r="VRZ27" s="1882"/>
      <c r="VSB27" s="1887"/>
      <c r="VSC27" s="1888"/>
      <c r="VSD27" s="1882"/>
      <c r="VSE27" s="1882"/>
      <c r="VSF27" s="1882"/>
      <c r="VSH27" s="1887"/>
      <c r="VSI27" s="1888"/>
      <c r="VSJ27" s="1882"/>
      <c r="VSK27" s="1882"/>
      <c r="VSL27" s="1882"/>
      <c r="VSN27" s="1887"/>
      <c r="VSO27" s="1888"/>
      <c r="VSP27" s="1882"/>
      <c r="VSQ27" s="1882"/>
      <c r="VSR27" s="1882"/>
      <c r="VST27" s="1887"/>
      <c r="VSU27" s="1888"/>
      <c r="VSV27" s="1882"/>
      <c r="VSW27" s="1882"/>
      <c r="VSX27" s="1882"/>
      <c r="VSZ27" s="1887"/>
      <c r="VTA27" s="1888"/>
      <c r="VTB27" s="1882"/>
      <c r="VTC27" s="1882"/>
      <c r="VTD27" s="1882"/>
      <c r="VTF27" s="1887"/>
      <c r="VTG27" s="1888"/>
      <c r="VTH27" s="1882"/>
      <c r="VTI27" s="1882"/>
      <c r="VTJ27" s="1882"/>
      <c r="VTL27" s="1887"/>
      <c r="VTM27" s="1888"/>
      <c r="VTN27" s="1882"/>
      <c r="VTO27" s="1882"/>
      <c r="VTP27" s="1882"/>
      <c r="VTR27" s="1887"/>
      <c r="VTS27" s="1888"/>
      <c r="VTT27" s="1882"/>
      <c r="VTU27" s="1882"/>
      <c r="VTV27" s="1882"/>
      <c r="VTX27" s="1887"/>
      <c r="VTY27" s="1888"/>
      <c r="VTZ27" s="1882"/>
      <c r="VUA27" s="1882"/>
      <c r="VUB27" s="1882"/>
      <c r="VUD27" s="1887"/>
      <c r="VUE27" s="1888"/>
      <c r="VUF27" s="1882"/>
      <c r="VUG27" s="1882"/>
      <c r="VUH27" s="1882"/>
      <c r="VUJ27" s="1887"/>
      <c r="VUK27" s="1888"/>
      <c r="VUL27" s="1882"/>
      <c r="VUM27" s="1882"/>
      <c r="VUN27" s="1882"/>
      <c r="VUP27" s="1887"/>
      <c r="VUQ27" s="1888"/>
      <c r="VUR27" s="1882"/>
      <c r="VUS27" s="1882"/>
      <c r="VUT27" s="1882"/>
      <c r="VUV27" s="1887"/>
      <c r="VUW27" s="1888"/>
      <c r="VUX27" s="1882"/>
      <c r="VUY27" s="1882"/>
      <c r="VUZ27" s="1882"/>
      <c r="VVB27" s="1887"/>
      <c r="VVC27" s="1888"/>
      <c r="VVD27" s="1882"/>
      <c r="VVE27" s="1882"/>
      <c r="VVF27" s="1882"/>
      <c r="VVH27" s="1887"/>
      <c r="VVI27" s="1888"/>
      <c r="VVJ27" s="1882"/>
      <c r="VVK27" s="1882"/>
      <c r="VVL27" s="1882"/>
      <c r="VVN27" s="1887"/>
      <c r="VVO27" s="1888"/>
      <c r="VVP27" s="1882"/>
      <c r="VVQ27" s="1882"/>
      <c r="VVR27" s="1882"/>
      <c r="VVT27" s="1887"/>
      <c r="VVU27" s="1888"/>
      <c r="VVV27" s="1882"/>
      <c r="VVW27" s="1882"/>
      <c r="VVX27" s="1882"/>
      <c r="VVZ27" s="1887"/>
      <c r="VWA27" s="1888"/>
      <c r="VWB27" s="1882"/>
      <c r="VWC27" s="1882"/>
      <c r="VWD27" s="1882"/>
      <c r="VWF27" s="1887"/>
      <c r="VWG27" s="1888"/>
      <c r="VWH27" s="1882"/>
      <c r="VWI27" s="1882"/>
      <c r="VWJ27" s="1882"/>
      <c r="VWL27" s="1887"/>
      <c r="VWM27" s="1888"/>
      <c r="VWN27" s="1882"/>
      <c r="VWO27" s="1882"/>
      <c r="VWP27" s="1882"/>
      <c r="VWR27" s="1887"/>
      <c r="VWS27" s="1888"/>
      <c r="VWT27" s="1882"/>
      <c r="VWU27" s="1882"/>
      <c r="VWV27" s="1882"/>
      <c r="VWX27" s="1887"/>
      <c r="VWY27" s="1888"/>
      <c r="VWZ27" s="1882"/>
      <c r="VXA27" s="1882"/>
      <c r="VXB27" s="1882"/>
      <c r="VXD27" s="1887"/>
      <c r="VXE27" s="1888"/>
      <c r="VXF27" s="1882"/>
      <c r="VXG27" s="1882"/>
      <c r="VXH27" s="1882"/>
      <c r="VXJ27" s="1887"/>
      <c r="VXK27" s="1888"/>
      <c r="VXL27" s="1882"/>
      <c r="VXM27" s="1882"/>
      <c r="VXN27" s="1882"/>
      <c r="VXP27" s="1887"/>
      <c r="VXQ27" s="1888"/>
      <c r="VXR27" s="1882"/>
      <c r="VXS27" s="1882"/>
      <c r="VXT27" s="1882"/>
      <c r="VXV27" s="1887"/>
      <c r="VXW27" s="1888"/>
      <c r="VXX27" s="1882"/>
      <c r="VXY27" s="1882"/>
      <c r="VXZ27" s="1882"/>
      <c r="VYB27" s="1887"/>
      <c r="VYC27" s="1888"/>
      <c r="VYD27" s="1882"/>
      <c r="VYE27" s="1882"/>
      <c r="VYF27" s="1882"/>
      <c r="VYH27" s="1887"/>
      <c r="VYI27" s="1888"/>
      <c r="VYJ27" s="1882"/>
      <c r="VYK27" s="1882"/>
      <c r="VYL27" s="1882"/>
      <c r="VYN27" s="1887"/>
      <c r="VYO27" s="1888"/>
      <c r="VYP27" s="1882"/>
      <c r="VYQ27" s="1882"/>
      <c r="VYR27" s="1882"/>
      <c r="VYT27" s="1887"/>
      <c r="VYU27" s="1888"/>
      <c r="VYV27" s="1882"/>
      <c r="VYW27" s="1882"/>
      <c r="VYX27" s="1882"/>
      <c r="VYZ27" s="1887"/>
      <c r="VZA27" s="1888"/>
      <c r="VZB27" s="1882"/>
      <c r="VZC27" s="1882"/>
      <c r="VZD27" s="1882"/>
      <c r="VZF27" s="1887"/>
      <c r="VZG27" s="1888"/>
      <c r="VZH27" s="1882"/>
      <c r="VZI27" s="1882"/>
      <c r="VZJ27" s="1882"/>
      <c r="VZL27" s="1887"/>
      <c r="VZM27" s="1888"/>
      <c r="VZN27" s="1882"/>
      <c r="VZO27" s="1882"/>
      <c r="VZP27" s="1882"/>
      <c r="VZR27" s="1887"/>
      <c r="VZS27" s="1888"/>
      <c r="VZT27" s="1882"/>
      <c r="VZU27" s="1882"/>
      <c r="VZV27" s="1882"/>
      <c r="VZX27" s="1887"/>
      <c r="VZY27" s="1888"/>
      <c r="VZZ27" s="1882"/>
      <c r="WAA27" s="1882"/>
      <c r="WAB27" s="1882"/>
      <c r="WAD27" s="1887"/>
      <c r="WAE27" s="1888"/>
      <c r="WAF27" s="1882"/>
      <c r="WAG27" s="1882"/>
      <c r="WAH27" s="1882"/>
      <c r="WAJ27" s="1887"/>
      <c r="WAK27" s="1888"/>
      <c r="WAL27" s="1882"/>
      <c r="WAM27" s="1882"/>
      <c r="WAN27" s="1882"/>
      <c r="WAP27" s="1887"/>
      <c r="WAQ27" s="1888"/>
      <c r="WAR27" s="1882"/>
      <c r="WAS27" s="1882"/>
      <c r="WAT27" s="1882"/>
      <c r="WAV27" s="1887"/>
      <c r="WAW27" s="1888"/>
      <c r="WAX27" s="1882"/>
      <c r="WAY27" s="1882"/>
      <c r="WAZ27" s="1882"/>
      <c r="WBB27" s="1887"/>
      <c r="WBC27" s="1888"/>
      <c r="WBD27" s="1882"/>
      <c r="WBE27" s="1882"/>
      <c r="WBF27" s="1882"/>
      <c r="WBH27" s="1887"/>
      <c r="WBI27" s="1888"/>
      <c r="WBJ27" s="1882"/>
      <c r="WBK27" s="1882"/>
      <c r="WBL27" s="1882"/>
      <c r="WBN27" s="1887"/>
      <c r="WBO27" s="1888"/>
      <c r="WBP27" s="1882"/>
      <c r="WBQ27" s="1882"/>
      <c r="WBR27" s="1882"/>
      <c r="WBT27" s="1887"/>
      <c r="WBU27" s="1888"/>
      <c r="WBV27" s="1882"/>
      <c r="WBW27" s="1882"/>
      <c r="WBX27" s="1882"/>
      <c r="WBZ27" s="1887"/>
      <c r="WCA27" s="1888"/>
      <c r="WCB27" s="1882"/>
      <c r="WCC27" s="1882"/>
      <c r="WCD27" s="1882"/>
      <c r="WCF27" s="1887"/>
      <c r="WCG27" s="1888"/>
      <c r="WCH27" s="1882"/>
      <c r="WCI27" s="1882"/>
      <c r="WCJ27" s="1882"/>
      <c r="WCL27" s="1887"/>
      <c r="WCM27" s="1888"/>
      <c r="WCN27" s="1882"/>
      <c r="WCO27" s="1882"/>
      <c r="WCP27" s="1882"/>
      <c r="WCR27" s="1887"/>
      <c r="WCS27" s="1888"/>
      <c r="WCT27" s="1882"/>
      <c r="WCU27" s="1882"/>
      <c r="WCV27" s="1882"/>
      <c r="WCX27" s="1887"/>
      <c r="WCY27" s="1888"/>
      <c r="WCZ27" s="1882"/>
      <c r="WDA27" s="1882"/>
      <c r="WDB27" s="1882"/>
      <c r="WDD27" s="1887"/>
      <c r="WDE27" s="1888"/>
      <c r="WDF27" s="1882"/>
      <c r="WDG27" s="1882"/>
      <c r="WDH27" s="1882"/>
      <c r="WDJ27" s="1887"/>
      <c r="WDK27" s="1888"/>
      <c r="WDL27" s="1882"/>
      <c r="WDM27" s="1882"/>
      <c r="WDN27" s="1882"/>
      <c r="WDP27" s="1887"/>
      <c r="WDQ27" s="1888"/>
      <c r="WDR27" s="1882"/>
      <c r="WDS27" s="1882"/>
      <c r="WDT27" s="1882"/>
      <c r="WDV27" s="1887"/>
      <c r="WDW27" s="1888"/>
      <c r="WDX27" s="1882"/>
      <c r="WDY27" s="1882"/>
      <c r="WDZ27" s="1882"/>
      <c r="WEB27" s="1887"/>
      <c r="WEC27" s="1888"/>
      <c r="WED27" s="1882"/>
      <c r="WEE27" s="1882"/>
      <c r="WEF27" s="1882"/>
      <c r="WEH27" s="1887"/>
      <c r="WEI27" s="1888"/>
      <c r="WEJ27" s="1882"/>
      <c r="WEK27" s="1882"/>
      <c r="WEL27" s="1882"/>
      <c r="WEN27" s="1887"/>
      <c r="WEO27" s="1888"/>
      <c r="WEP27" s="1882"/>
      <c r="WEQ27" s="1882"/>
      <c r="WER27" s="1882"/>
      <c r="WET27" s="1887"/>
      <c r="WEU27" s="1888"/>
      <c r="WEV27" s="1882"/>
      <c r="WEW27" s="1882"/>
      <c r="WEX27" s="1882"/>
      <c r="WEZ27" s="1887"/>
      <c r="WFA27" s="1888"/>
      <c r="WFB27" s="1882"/>
      <c r="WFC27" s="1882"/>
      <c r="WFD27" s="1882"/>
      <c r="WFF27" s="1887"/>
      <c r="WFG27" s="1888"/>
      <c r="WFH27" s="1882"/>
      <c r="WFI27" s="1882"/>
      <c r="WFJ27" s="1882"/>
      <c r="WFL27" s="1887"/>
      <c r="WFM27" s="1888"/>
      <c r="WFN27" s="1882"/>
      <c r="WFO27" s="1882"/>
      <c r="WFP27" s="1882"/>
      <c r="WFR27" s="1887"/>
      <c r="WFS27" s="1888"/>
      <c r="WFT27" s="1882"/>
      <c r="WFU27" s="1882"/>
      <c r="WFV27" s="1882"/>
      <c r="WFX27" s="1887"/>
      <c r="WFY27" s="1888"/>
      <c r="WFZ27" s="1882"/>
      <c r="WGA27" s="1882"/>
      <c r="WGB27" s="1882"/>
      <c r="WGD27" s="1887"/>
      <c r="WGE27" s="1888"/>
      <c r="WGF27" s="1882"/>
      <c r="WGG27" s="1882"/>
      <c r="WGH27" s="1882"/>
      <c r="WGJ27" s="1887"/>
      <c r="WGK27" s="1888"/>
      <c r="WGL27" s="1882"/>
      <c r="WGM27" s="1882"/>
      <c r="WGN27" s="1882"/>
      <c r="WGP27" s="1887"/>
      <c r="WGQ27" s="1888"/>
      <c r="WGR27" s="1882"/>
      <c r="WGS27" s="1882"/>
      <c r="WGT27" s="1882"/>
      <c r="WGV27" s="1887"/>
      <c r="WGW27" s="1888"/>
      <c r="WGX27" s="1882"/>
      <c r="WGY27" s="1882"/>
      <c r="WGZ27" s="1882"/>
      <c r="WHB27" s="1887"/>
      <c r="WHC27" s="1888"/>
      <c r="WHD27" s="1882"/>
      <c r="WHE27" s="1882"/>
      <c r="WHF27" s="1882"/>
      <c r="WHH27" s="1887"/>
      <c r="WHI27" s="1888"/>
      <c r="WHJ27" s="1882"/>
      <c r="WHK27" s="1882"/>
      <c r="WHL27" s="1882"/>
      <c r="WHN27" s="1887"/>
      <c r="WHO27" s="1888"/>
      <c r="WHP27" s="1882"/>
      <c r="WHQ27" s="1882"/>
      <c r="WHR27" s="1882"/>
      <c r="WHT27" s="1887"/>
      <c r="WHU27" s="1888"/>
      <c r="WHV27" s="1882"/>
      <c r="WHW27" s="1882"/>
      <c r="WHX27" s="1882"/>
      <c r="WHZ27" s="1887"/>
      <c r="WIA27" s="1888"/>
      <c r="WIB27" s="1882"/>
      <c r="WIC27" s="1882"/>
      <c r="WID27" s="1882"/>
      <c r="WIF27" s="1887"/>
      <c r="WIG27" s="1888"/>
      <c r="WIH27" s="1882"/>
      <c r="WII27" s="1882"/>
      <c r="WIJ27" s="1882"/>
      <c r="WIL27" s="1887"/>
      <c r="WIM27" s="1888"/>
      <c r="WIN27" s="1882"/>
      <c r="WIO27" s="1882"/>
      <c r="WIP27" s="1882"/>
      <c r="WIR27" s="1887"/>
      <c r="WIS27" s="1888"/>
      <c r="WIT27" s="1882"/>
      <c r="WIU27" s="1882"/>
      <c r="WIV27" s="1882"/>
      <c r="WIX27" s="1887"/>
      <c r="WIY27" s="1888"/>
      <c r="WIZ27" s="1882"/>
      <c r="WJA27" s="1882"/>
      <c r="WJB27" s="1882"/>
      <c r="WJD27" s="1887"/>
      <c r="WJE27" s="1888"/>
      <c r="WJF27" s="1882"/>
      <c r="WJG27" s="1882"/>
      <c r="WJH27" s="1882"/>
      <c r="WJJ27" s="1887"/>
      <c r="WJK27" s="1888"/>
      <c r="WJL27" s="1882"/>
      <c r="WJM27" s="1882"/>
      <c r="WJN27" s="1882"/>
      <c r="WJP27" s="1887"/>
      <c r="WJQ27" s="1888"/>
      <c r="WJR27" s="1882"/>
      <c r="WJS27" s="1882"/>
      <c r="WJT27" s="1882"/>
      <c r="WJV27" s="1887"/>
      <c r="WJW27" s="1888"/>
      <c r="WJX27" s="1882"/>
      <c r="WJY27" s="1882"/>
      <c r="WJZ27" s="1882"/>
      <c r="WKB27" s="1887"/>
      <c r="WKC27" s="1888"/>
      <c r="WKD27" s="1882"/>
      <c r="WKE27" s="1882"/>
      <c r="WKF27" s="1882"/>
      <c r="WKH27" s="1887"/>
      <c r="WKI27" s="1888"/>
      <c r="WKJ27" s="1882"/>
      <c r="WKK27" s="1882"/>
      <c r="WKL27" s="1882"/>
      <c r="WKN27" s="1887"/>
      <c r="WKO27" s="1888"/>
      <c r="WKP27" s="1882"/>
      <c r="WKQ27" s="1882"/>
      <c r="WKR27" s="1882"/>
      <c r="WKT27" s="1887"/>
      <c r="WKU27" s="1888"/>
      <c r="WKV27" s="1882"/>
      <c r="WKW27" s="1882"/>
      <c r="WKX27" s="1882"/>
      <c r="WKZ27" s="1887"/>
      <c r="WLA27" s="1888"/>
      <c r="WLB27" s="1882"/>
      <c r="WLC27" s="1882"/>
      <c r="WLD27" s="1882"/>
      <c r="WLF27" s="1887"/>
      <c r="WLG27" s="1888"/>
      <c r="WLH27" s="1882"/>
      <c r="WLI27" s="1882"/>
      <c r="WLJ27" s="1882"/>
      <c r="WLL27" s="1887"/>
      <c r="WLM27" s="1888"/>
      <c r="WLN27" s="1882"/>
      <c r="WLO27" s="1882"/>
      <c r="WLP27" s="1882"/>
      <c r="WLR27" s="1887"/>
      <c r="WLS27" s="1888"/>
      <c r="WLT27" s="1882"/>
      <c r="WLU27" s="1882"/>
      <c r="WLV27" s="1882"/>
      <c r="WLX27" s="1887"/>
      <c r="WLY27" s="1888"/>
      <c r="WLZ27" s="1882"/>
      <c r="WMA27" s="1882"/>
      <c r="WMB27" s="1882"/>
      <c r="WMD27" s="1887"/>
      <c r="WME27" s="1888"/>
      <c r="WMF27" s="1882"/>
      <c r="WMG27" s="1882"/>
      <c r="WMH27" s="1882"/>
      <c r="WMJ27" s="1887"/>
      <c r="WMK27" s="1888"/>
      <c r="WML27" s="1882"/>
      <c r="WMM27" s="1882"/>
      <c r="WMN27" s="1882"/>
      <c r="WMP27" s="1887"/>
      <c r="WMQ27" s="1888"/>
      <c r="WMR27" s="1882"/>
      <c r="WMS27" s="1882"/>
      <c r="WMT27" s="1882"/>
      <c r="WMV27" s="1887"/>
      <c r="WMW27" s="1888"/>
      <c r="WMX27" s="1882"/>
      <c r="WMY27" s="1882"/>
      <c r="WMZ27" s="1882"/>
      <c r="WNB27" s="1887"/>
      <c r="WNC27" s="1888"/>
      <c r="WND27" s="1882"/>
      <c r="WNE27" s="1882"/>
      <c r="WNF27" s="1882"/>
      <c r="WNH27" s="1887"/>
      <c r="WNI27" s="1888"/>
      <c r="WNJ27" s="1882"/>
      <c r="WNK27" s="1882"/>
      <c r="WNL27" s="1882"/>
      <c r="WNN27" s="1887"/>
      <c r="WNO27" s="1888"/>
      <c r="WNP27" s="1882"/>
      <c r="WNQ27" s="1882"/>
      <c r="WNR27" s="1882"/>
      <c r="WNT27" s="1887"/>
      <c r="WNU27" s="1888"/>
      <c r="WNV27" s="1882"/>
      <c r="WNW27" s="1882"/>
      <c r="WNX27" s="1882"/>
      <c r="WNZ27" s="1887"/>
      <c r="WOA27" s="1888"/>
      <c r="WOB27" s="1882"/>
      <c r="WOC27" s="1882"/>
      <c r="WOD27" s="1882"/>
      <c r="WOF27" s="1887"/>
      <c r="WOG27" s="1888"/>
      <c r="WOH27" s="1882"/>
      <c r="WOI27" s="1882"/>
      <c r="WOJ27" s="1882"/>
      <c r="WOL27" s="1887"/>
      <c r="WOM27" s="1888"/>
      <c r="WON27" s="1882"/>
      <c r="WOO27" s="1882"/>
      <c r="WOP27" s="1882"/>
      <c r="WOR27" s="1887"/>
      <c r="WOS27" s="1888"/>
      <c r="WOT27" s="1882"/>
      <c r="WOU27" s="1882"/>
      <c r="WOV27" s="1882"/>
      <c r="WOX27" s="1887"/>
      <c r="WOY27" s="1888"/>
      <c r="WOZ27" s="1882"/>
      <c r="WPA27" s="1882"/>
      <c r="WPB27" s="1882"/>
      <c r="WPD27" s="1887"/>
      <c r="WPE27" s="1888"/>
      <c r="WPF27" s="1882"/>
      <c r="WPG27" s="1882"/>
      <c r="WPH27" s="1882"/>
      <c r="WPJ27" s="1887"/>
      <c r="WPK27" s="1888"/>
      <c r="WPL27" s="1882"/>
      <c r="WPM27" s="1882"/>
      <c r="WPN27" s="1882"/>
      <c r="WPP27" s="1887"/>
      <c r="WPQ27" s="1888"/>
      <c r="WPR27" s="1882"/>
      <c r="WPS27" s="1882"/>
      <c r="WPT27" s="1882"/>
      <c r="WPV27" s="1887"/>
      <c r="WPW27" s="1888"/>
      <c r="WPX27" s="1882"/>
      <c r="WPY27" s="1882"/>
      <c r="WPZ27" s="1882"/>
      <c r="WQB27" s="1887"/>
      <c r="WQC27" s="1888"/>
      <c r="WQD27" s="1882"/>
      <c r="WQE27" s="1882"/>
      <c r="WQF27" s="1882"/>
      <c r="WQH27" s="1887"/>
      <c r="WQI27" s="1888"/>
      <c r="WQJ27" s="1882"/>
      <c r="WQK27" s="1882"/>
      <c r="WQL27" s="1882"/>
      <c r="WQN27" s="1887"/>
      <c r="WQO27" s="1888"/>
      <c r="WQP27" s="1882"/>
      <c r="WQQ27" s="1882"/>
      <c r="WQR27" s="1882"/>
      <c r="WQT27" s="1887"/>
      <c r="WQU27" s="1888"/>
      <c r="WQV27" s="1882"/>
      <c r="WQW27" s="1882"/>
      <c r="WQX27" s="1882"/>
      <c r="WQZ27" s="1887"/>
      <c r="WRA27" s="1888"/>
      <c r="WRB27" s="1882"/>
      <c r="WRC27" s="1882"/>
      <c r="WRD27" s="1882"/>
      <c r="WRF27" s="1887"/>
      <c r="WRG27" s="1888"/>
      <c r="WRH27" s="1882"/>
      <c r="WRI27" s="1882"/>
      <c r="WRJ27" s="1882"/>
      <c r="WRL27" s="1887"/>
      <c r="WRM27" s="1888"/>
      <c r="WRN27" s="1882"/>
      <c r="WRO27" s="1882"/>
      <c r="WRP27" s="1882"/>
      <c r="WRR27" s="1887"/>
      <c r="WRS27" s="1888"/>
      <c r="WRT27" s="1882"/>
      <c r="WRU27" s="1882"/>
      <c r="WRV27" s="1882"/>
      <c r="WRX27" s="1887"/>
      <c r="WRY27" s="1888"/>
      <c r="WRZ27" s="1882"/>
      <c r="WSA27" s="1882"/>
      <c r="WSB27" s="1882"/>
      <c r="WSD27" s="1887"/>
      <c r="WSE27" s="1888"/>
      <c r="WSF27" s="1882"/>
      <c r="WSG27" s="1882"/>
      <c r="WSH27" s="1882"/>
      <c r="WSJ27" s="1887"/>
      <c r="WSK27" s="1888"/>
      <c r="WSL27" s="1882"/>
      <c r="WSM27" s="1882"/>
      <c r="WSN27" s="1882"/>
      <c r="WSP27" s="1887"/>
      <c r="WSQ27" s="1888"/>
      <c r="WSR27" s="1882"/>
      <c r="WSS27" s="1882"/>
      <c r="WST27" s="1882"/>
      <c r="WSV27" s="1887"/>
      <c r="WSW27" s="1888"/>
      <c r="WSX27" s="1882"/>
      <c r="WSY27" s="1882"/>
      <c r="WSZ27" s="1882"/>
      <c r="WTB27" s="1887"/>
      <c r="WTC27" s="1888"/>
      <c r="WTD27" s="1882"/>
      <c r="WTE27" s="1882"/>
      <c r="WTF27" s="1882"/>
      <c r="WTH27" s="1887"/>
      <c r="WTI27" s="1888"/>
      <c r="WTJ27" s="1882"/>
      <c r="WTK27" s="1882"/>
      <c r="WTL27" s="1882"/>
      <c r="WTN27" s="1887"/>
      <c r="WTO27" s="1888"/>
      <c r="WTP27" s="1882"/>
      <c r="WTQ27" s="1882"/>
      <c r="WTR27" s="1882"/>
      <c r="WTT27" s="1887"/>
      <c r="WTU27" s="1888"/>
      <c r="WTV27" s="1882"/>
      <c r="WTW27" s="1882"/>
      <c r="WTX27" s="1882"/>
      <c r="WTZ27" s="1887"/>
      <c r="WUA27" s="1888"/>
      <c r="WUB27" s="1882"/>
      <c r="WUC27" s="1882"/>
      <c r="WUD27" s="1882"/>
      <c r="WUF27" s="1887"/>
      <c r="WUG27" s="1888"/>
      <c r="WUH27" s="1882"/>
      <c r="WUI27" s="1882"/>
      <c r="WUJ27" s="1882"/>
      <c r="WUL27" s="1887"/>
      <c r="WUM27" s="1888"/>
      <c r="WUN27" s="1882"/>
      <c r="WUO27" s="1882"/>
      <c r="WUP27" s="1882"/>
      <c r="WUR27" s="1887"/>
      <c r="WUS27" s="1888"/>
      <c r="WUT27" s="1882"/>
      <c r="WUU27" s="1882"/>
      <c r="WUV27" s="1882"/>
      <c r="WUX27" s="1887"/>
      <c r="WUY27" s="1888"/>
      <c r="WUZ27" s="1882"/>
      <c r="WVA27" s="1882"/>
      <c r="WVB27" s="1882"/>
      <c r="WVD27" s="1887"/>
      <c r="WVE27" s="1888"/>
      <c r="WVF27" s="1882"/>
      <c r="WVG27" s="1882"/>
      <c r="WVH27" s="1882"/>
      <c r="WVJ27" s="1887"/>
      <c r="WVK27" s="1888"/>
      <c r="WVL27" s="1882"/>
      <c r="WVM27" s="1882"/>
      <c r="WVN27" s="1882"/>
      <c r="WVP27" s="1887"/>
      <c r="WVQ27" s="1888"/>
      <c r="WVR27" s="1882"/>
      <c r="WVS27" s="1882"/>
      <c r="WVT27" s="1882"/>
      <c r="WVV27" s="1887"/>
      <c r="WVW27" s="1888"/>
      <c r="WVX27" s="1882"/>
      <c r="WVY27" s="1882"/>
      <c r="WVZ27" s="1882"/>
      <c r="WWB27" s="1887"/>
      <c r="WWC27" s="1888"/>
      <c r="WWD27" s="1882"/>
      <c r="WWE27" s="1882"/>
      <c r="WWF27" s="1882"/>
      <c r="WWH27" s="1887"/>
      <c r="WWI27" s="1888"/>
      <c r="WWJ27" s="1882"/>
      <c r="WWK27" s="1882"/>
      <c r="WWL27" s="1882"/>
      <c r="WWN27" s="1887"/>
      <c r="WWO27" s="1888"/>
      <c r="WWP27" s="1882"/>
      <c r="WWQ27" s="1882"/>
      <c r="WWR27" s="1882"/>
      <c r="WWT27" s="1887"/>
      <c r="WWU27" s="1888"/>
      <c r="WWV27" s="1882"/>
      <c r="WWW27" s="1882"/>
      <c r="WWX27" s="1882"/>
      <c r="WWZ27" s="1887"/>
      <c r="WXA27" s="1888"/>
      <c r="WXB27" s="1882"/>
      <c r="WXC27" s="1882"/>
      <c r="WXD27" s="1882"/>
      <c r="WXF27" s="1887"/>
      <c r="WXG27" s="1888"/>
      <c r="WXH27" s="1882"/>
      <c r="WXI27" s="1882"/>
      <c r="WXJ27" s="1882"/>
      <c r="WXL27" s="1887"/>
      <c r="WXM27" s="1888"/>
      <c r="WXN27" s="1882"/>
      <c r="WXO27" s="1882"/>
      <c r="WXP27" s="1882"/>
      <c r="WXR27" s="1887"/>
      <c r="WXS27" s="1888"/>
      <c r="WXT27" s="1882"/>
      <c r="WXU27" s="1882"/>
      <c r="WXV27" s="1882"/>
      <c r="WXX27" s="1887"/>
      <c r="WXY27" s="1888"/>
      <c r="WXZ27" s="1882"/>
      <c r="WYA27" s="1882"/>
      <c r="WYB27" s="1882"/>
      <c r="WYD27" s="1887"/>
      <c r="WYE27" s="1888"/>
      <c r="WYF27" s="1882"/>
      <c r="WYG27" s="1882"/>
      <c r="WYH27" s="1882"/>
      <c r="WYJ27" s="1887"/>
      <c r="WYK27" s="1888"/>
      <c r="WYL27" s="1882"/>
      <c r="WYM27" s="1882"/>
      <c r="WYN27" s="1882"/>
      <c r="WYP27" s="1887"/>
      <c r="WYQ27" s="1888"/>
      <c r="WYR27" s="1882"/>
      <c r="WYS27" s="1882"/>
      <c r="WYT27" s="1882"/>
      <c r="WYV27" s="1887"/>
      <c r="WYW27" s="1888"/>
      <c r="WYX27" s="1882"/>
      <c r="WYY27" s="1882"/>
      <c r="WYZ27" s="1882"/>
      <c r="WZB27" s="1887"/>
      <c r="WZC27" s="1888"/>
      <c r="WZD27" s="1882"/>
      <c r="WZE27" s="1882"/>
      <c r="WZF27" s="1882"/>
      <c r="WZH27" s="1887"/>
      <c r="WZI27" s="1888"/>
      <c r="WZJ27" s="1882"/>
      <c r="WZK27" s="1882"/>
      <c r="WZL27" s="1882"/>
      <c r="WZN27" s="1887"/>
      <c r="WZO27" s="1888"/>
      <c r="WZP27" s="1882"/>
      <c r="WZQ27" s="1882"/>
      <c r="WZR27" s="1882"/>
      <c r="WZT27" s="1887"/>
      <c r="WZU27" s="1888"/>
      <c r="WZV27" s="1882"/>
      <c r="WZW27" s="1882"/>
      <c r="WZX27" s="1882"/>
      <c r="WZZ27" s="1887"/>
      <c r="XAA27" s="1888"/>
      <c r="XAB27" s="1882"/>
      <c r="XAC27" s="1882"/>
      <c r="XAD27" s="1882"/>
      <c r="XAF27" s="1887"/>
      <c r="XAG27" s="1888"/>
      <c r="XAH27" s="1882"/>
      <c r="XAI27" s="1882"/>
      <c r="XAJ27" s="1882"/>
      <c r="XAL27" s="1887"/>
      <c r="XAM27" s="1888"/>
      <c r="XAN27" s="1882"/>
      <c r="XAO27" s="1882"/>
      <c r="XAP27" s="1882"/>
      <c r="XAR27" s="1887"/>
      <c r="XAS27" s="1888"/>
      <c r="XAT27" s="1882"/>
      <c r="XAU27" s="1882"/>
      <c r="XAV27" s="1882"/>
      <c r="XAX27" s="1887"/>
      <c r="XAY27" s="1888"/>
      <c r="XAZ27" s="1882"/>
      <c r="XBA27" s="1882"/>
      <c r="XBB27" s="1882"/>
      <c r="XBD27" s="1887"/>
      <c r="XBE27" s="1888"/>
      <c r="XBF27" s="1882"/>
      <c r="XBG27" s="1882"/>
      <c r="XBH27" s="1882"/>
      <c r="XBJ27" s="1887"/>
      <c r="XBK27" s="1888"/>
      <c r="XBL27" s="1882"/>
      <c r="XBM27" s="1882"/>
      <c r="XBN27" s="1882"/>
      <c r="XBP27" s="1887"/>
      <c r="XBQ27" s="1888"/>
      <c r="XBR27" s="1882"/>
      <c r="XBS27" s="1882"/>
      <c r="XBT27" s="1882"/>
      <c r="XBV27" s="1887"/>
      <c r="XBW27" s="1888"/>
      <c r="XBX27" s="1882"/>
      <c r="XBY27" s="1882"/>
      <c r="XBZ27" s="1882"/>
      <c r="XCB27" s="1887"/>
      <c r="XCC27" s="1888"/>
      <c r="XCD27" s="1882"/>
      <c r="XCE27" s="1882"/>
      <c r="XCF27" s="1882"/>
      <c r="XCH27" s="1887"/>
      <c r="XCI27" s="1888"/>
      <c r="XCJ27" s="1882"/>
      <c r="XCK27" s="1882"/>
      <c r="XCL27" s="1882"/>
      <c r="XCN27" s="1887"/>
      <c r="XCO27" s="1888"/>
      <c r="XCP27" s="1882"/>
      <c r="XCQ27" s="1882"/>
      <c r="XCR27" s="1882"/>
      <c r="XCT27" s="1887"/>
      <c r="XCU27" s="1888"/>
      <c r="XCV27" s="1882"/>
      <c r="XCW27" s="1882"/>
      <c r="XCX27" s="1882"/>
      <c r="XCZ27" s="1887"/>
      <c r="XDA27" s="1888"/>
      <c r="XDB27" s="1882"/>
      <c r="XDC27" s="1882"/>
      <c r="XDD27" s="1882"/>
      <c r="XDF27" s="1887"/>
      <c r="XDG27" s="1888"/>
      <c r="XDH27" s="1882"/>
      <c r="XDI27" s="1882"/>
      <c r="XDJ27" s="1882"/>
      <c r="XDL27" s="1887"/>
      <c r="XDM27" s="1888"/>
      <c r="XDN27" s="1882"/>
      <c r="XDO27" s="1882"/>
      <c r="XDP27" s="1882"/>
      <c r="XDR27" s="1887"/>
      <c r="XDS27" s="1888"/>
      <c r="XDT27" s="1882"/>
      <c r="XDU27" s="1882"/>
      <c r="XDV27" s="1882"/>
      <c r="XDX27" s="1887"/>
      <c r="XDY27" s="1888"/>
      <c r="XDZ27" s="1882"/>
      <c r="XEA27" s="1882"/>
      <c r="XEB27" s="1882"/>
      <c r="XED27" s="1887"/>
      <c r="XEE27" s="1888"/>
      <c r="XEF27" s="1882"/>
      <c r="XEG27" s="1882"/>
      <c r="XEH27" s="1882"/>
      <c r="XEJ27" s="1887"/>
      <c r="XEK27" s="1888"/>
      <c r="XEL27" s="1882"/>
      <c r="XEM27" s="1882"/>
      <c r="XEN27" s="1882"/>
      <c r="XEP27" s="1887"/>
      <c r="XEQ27" s="1888"/>
      <c r="XER27" s="1882"/>
      <c r="XES27" s="1882"/>
      <c r="XET27" s="1882"/>
      <c r="XEV27" s="1887"/>
      <c r="XEW27" s="1888"/>
      <c r="XEX27" s="1882"/>
      <c r="XEY27" s="1882"/>
      <c r="XEZ27" s="1882"/>
      <c r="XFB27" s="1887"/>
      <c r="XFC27" s="1888"/>
      <c r="XFD27" s="1882"/>
    </row>
    <row r="28" spans="1:3072 3074:6144 6146:9216 9218:12288 12290:15360 15362:16384" ht="12.75" customHeight="1">
      <c r="A28" s="1879" t="s">
        <v>162</v>
      </c>
      <c r="B28" s="1879" t="s">
        <v>1844</v>
      </c>
      <c r="C28" s="1879" t="s">
        <v>163</v>
      </c>
      <c r="D28" s="1879" t="s">
        <v>1845</v>
      </c>
      <c r="E28" s="1879" t="s">
        <v>1846</v>
      </c>
      <c r="F28" s="1879" t="s">
        <v>1847</v>
      </c>
      <c r="H28" s="1887"/>
      <c r="I28" s="1888"/>
      <c r="J28" s="1882"/>
      <c r="K28" s="1882"/>
      <c r="L28" s="1882"/>
      <c r="N28" s="1887"/>
      <c r="O28" s="1888"/>
      <c r="P28" s="1882"/>
      <c r="Q28" s="1882"/>
      <c r="R28" s="1882"/>
      <c r="T28" s="1887"/>
      <c r="U28" s="1888"/>
      <c r="V28" s="1882"/>
      <c r="W28" s="1882"/>
      <c r="X28" s="1882"/>
      <c r="Z28" s="1887"/>
      <c r="AA28" s="1888"/>
      <c r="AB28" s="1882"/>
      <c r="AC28" s="1882"/>
      <c r="AD28" s="1882"/>
      <c r="AF28" s="1887"/>
      <c r="AG28" s="1888"/>
      <c r="AH28" s="1882"/>
      <c r="AI28" s="1882"/>
      <c r="AJ28" s="1882"/>
      <c r="AL28" s="1887"/>
      <c r="AM28" s="1888"/>
      <c r="AN28" s="1882"/>
      <c r="AO28" s="1882"/>
      <c r="AP28" s="1882"/>
      <c r="AR28" s="1887"/>
      <c r="AS28" s="1888"/>
      <c r="AT28" s="1882"/>
      <c r="AU28" s="1882"/>
      <c r="AV28" s="1882"/>
      <c r="AX28" s="1887"/>
      <c r="AY28" s="1888"/>
      <c r="AZ28" s="1882"/>
      <c r="BA28" s="1882"/>
      <c r="BB28" s="1882"/>
      <c r="BD28" s="1887"/>
      <c r="BE28" s="1888"/>
      <c r="BF28" s="1882"/>
      <c r="BG28" s="1882"/>
      <c r="BH28" s="1882"/>
      <c r="BJ28" s="1887"/>
      <c r="BK28" s="1888"/>
      <c r="BL28" s="1882"/>
      <c r="BM28" s="1882"/>
      <c r="BN28" s="1882"/>
      <c r="BP28" s="1887"/>
      <c r="BQ28" s="1888"/>
      <c r="BR28" s="1882"/>
      <c r="BS28" s="1882"/>
      <c r="BT28" s="1882"/>
      <c r="BV28" s="1887"/>
      <c r="BW28" s="1888"/>
      <c r="BX28" s="1882"/>
      <c r="BY28" s="1882"/>
      <c r="BZ28" s="1882"/>
      <c r="CB28" s="1887"/>
      <c r="CC28" s="1888"/>
      <c r="CD28" s="1882"/>
      <c r="CE28" s="1882"/>
      <c r="CF28" s="1882"/>
      <c r="CH28" s="1887"/>
      <c r="CI28" s="1888"/>
      <c r="CJ28" s="1882"/>
      <c r="CK28" s="1882"/>
      <c r="CL28" s="1882"/>
      <c r="CN28" s="1887"/>
      <c r="CO28" s="1888"/>
      <c r="CP28" s="1882"/>
      <c r="CQ28" s="1882"/>
      <c r="CR28" s="1882"/>
      <c r="CT28" s="1887"/>
      <c r="CU28" s="1888"/>
      <c r="CV28" s="1882"/>
      <c r="CW28" s="1882"/>
      <c r="CX28" s="1882"/>
      <c r="CZ28" s="1887"/>
      <c r="DA28" s="1888"/>
      <c r="DB28" s="1882"/>
      <c r="DC28" s="1882"/>
      <c r="DD28" s="1882"/>
      <c r="DF28" s="1887"/>
      <c r="DG28" s="1888"/>
      <c r="DH28" s="1882"/>
      <c r="DI28" s="1882"/>
      <c r="DJ28" s="1882"/>
      <c r="DL28" s="1887"/>
      <c r="DM28" s="1888"/>
      <c r="DN28" s="1882"/>
      <c r="DO28" s="1882"/>
      <c r="DP28" s="1882"/>
      <c r="DR28" s="1887"/>
      <c r="DS28" s="1888"/>
      <c r="DT28" s="1882"/>
      <c r="DU28" s="1882"/>
      <c r="DV28" s="1882"/>
      <c r="DX28" s="1887"/>
      <c r="DY28" s="1888"/>
      <c r="DZ28" s="1882"/>
      <c r="EA28" s="1882"/>
      <c r="EB28" s="1882"/>
      <c r="ED28" s="1887"/>
      <c r="EE28" s="1888"/>
      <c r="EF28" s="1882"/>
      <c r="EG28" s="1882"/>
      <c r="EH28" s="1882"/>
      <c r="EJ28" s="1887"/>
      <c r="EK28" s="1888"/>
      <c r="EL28" s="1882"/>
      <c r="EM28" s="1882"/>
      <c r="EN28" s="1882"/>
      <c r="EP28" s="1887"/>
      <c r="EQ28" s="1888"/>
      <c r="ER28" s="1882"/>
      <c r="ES28" s="1882"/>
      <c r="ET28" s="1882"/>
      <c r="EV28" s="1887"/>
      <c r="EW28" s="1888"/>
      <c r="EX28" s="1882"/>
      <c r="EY28" s="1882"/>
      <c r="EZ28" s="1882"/>
      <c r="FB28" s="1887"/>
      <c r="FC28" s="1888"/>
      <c r="FD28" s="1882"/>
      <c r="FE28" s="1882"/>
      <c r="FF28" s="1882"/>
      <c r="FH28" s="1887"/>
      <c r="FI28" s="1888"/>
      <c r="FJ28" s="1882"/>
      <c r="FK28" s="1882"/>
      <c r="FL28" s="1882"/>
      <c r="FN28" s="1887"/>
      <c r="FO28" s="1888"/>
      <c r="FP28" s="1882"/>
      <c r="FQ28" s="1882"/>
      <c r="FR28" s="1882"/>
      <c r="FT28" s="1887"/>
      <c r="FU28" s="1888"/>
      <c r="FV28" s="1882"/>
      <c r="FW28" s="1882"/>
      <c r="FX28" s="1882"/>
      <c r="FZ28" s="1887"/>
      <c r="GA28" s="1888"/>
      <c r="GB28" s="1882"/>
      <c r="GC28" s="1882"/>
      <c r="GD28" s="1882"/>
      <c r="GF28" s="1887"/>
      <c r="GG28" s="1888"/>
      <c r="GH28" s="1882"/>
      <c r="GI28" s="1882"/>
      <c r="GJ28" s="1882"/>
      <c r="GL28" s="1887"/>
      <c r="GM28" s="1888"/>
      <c r="GN28" s="1882"/>
      <c r="GO28" s="1882"/>
      <c r="GP28" s="1882"/>
      <c r="GR28" s="1887"/>
      <c r="GS28" s="1888"/>
      <c r="GT28" s="1882"/>
      <c r="GU28" s="1882"/>
      <c r="GV28" s="1882"/>
      <c r="GX28" s="1887"/>
      <c r="GY28" s="1888"/>
      <c r="GZ28" s="1882"/>
      <c r="HA28" s="1882"/>
      <c r="HB28" s="1882"/>
      <c r="HD28" s="1887"/>
      <c r="HE28" s="1888"/>
      <c r="HF28" s="1882"/>
      <c r="HG28" s="1882"/>
      <c r="HH28" s="1882"/>
      <c r="HJ28" s="1887"/>
      <c r="HK28" s="1888"/>
      <c r="HL28" s="1882"/>
      <c r="HM28" s="1882"/>
      <c r="HN28" s="1882"/>
      <c r="HP28" s="1887"/>
      <c r="HQ28" s="1888"/>
      <c r="HR28" s="1882"/>
      <c r="HS28" s="1882"/>
      <c r="HT28" s="1882"/>
      <c r="HV28" s="1887"/>
      <c r="HW28" s="1888"/>
      <c r="HX28" s="1882"/>
      <c r="HY28" s="1882"/>
      <c r="HZ28" s="1882"/>
      <c r="IB28" s="1887"/>
      <c r="IC28" s="1888"/>
      <c r="ID28" s="1882"/>
      <c r="IE28" s="1882"/>
      <c r="IF28" s="1882"/>
      <c r="IH28" s="1887"/>
      <c r="II28" s="1888"/>
      <c r="IJ28" s="1882"/>
      <c r="IK28" s="1882"/>
      <c r="IL28" s="1882"/>
      <c r="IN28" s="1887"/>
      <c r="IO28" s="1888"/>
      <c r="IP28" s="1882"/>
      <c r="IQ28" s="1882"/>
      <c r="IR28" s="1882"/>
      <c r="IT28" s="1887"/>
      <c r="IU28" s="1888"/>
      <c r="IV28" s="1882"/>
      <c r="IW28" s="1882"/>
      <c r="IX28" s="1882"/>
      <c r="IZ28" s="1887"/>
      <c r="JA28" s="1888"/>
      <c r="JB28" s="1882"/>
      <c r="JC28" s="1882"/>
      <c r="JD28" s="1882"/>
      <c r="JF28" s="1887"/>
      <c r="JG28" s="1888"/>
      <c r="JH28" s="1882"/>
      <c r="JI28" s="1882"/>
      <c r="JJ28" s="1882"/>
      <c r="JL28" s="1887"/>
      <c r="JM28" s="1888"/>
      <c r="JN28" s="1882"/>
      <c r="JO28" s="1882"/>
      <c r="JP28" s="1882"/>
      <c r="JR28" s="1887"/>
      <c r="JS28" s="1888"/>
      <c r="JT28" s="1882"/>
      <c r="JU28" s="1882"/>
      <c r="JV28" s="1882"/>
      <c r="JX28" s="1887"/>
      <c r="JY28" s="1888"/>
      <c r="JZ28" s="1882"/>
      <c r="KA28" s="1882"/>
      <c r="KB28" s="1882"/>
      <c r="KD28" s="1887"/>
      <c r="KE28" s="1888"/>
      <c r="KF28" s="1882"/>
      <c r="KG28" s="1882"/>
      <c r="KH28" s="1882"/>
      <c r="KJ28" s="1887"/>
      <c r="KK28" s="1888"/>
      <c r="KL28" s="1882"/>
      <c r="KM28" s="1882"/>
      <c r="KN28" s="1882"/>
      <c r="KP28" s="1887"/>
      <c r="KQ28" s="1888"/>
      <c r="KR28" s="1882"/>
      <c r="KS28" s="1882"/>
      <c r="KT28" s="1882"/>
      <c r="KV28" s="1887"/>
      <c r="KW28" s="1888"/>
      <c r="KX28" s="1882"/>
      <c r="KY28" s="1882"/>
      <c r="KZ28" s="1882"/>
      <c r="LB28" s="1887"/>
      <c r="LC28" s="1888"/>
      <c r="LD28" s="1882"/>
      <c r="LE28" s="1882"/>
      <c r="LF28" s="1882"/>
      <c r="LH28" s="1887"/>
      <c r="LI28" s="1888"/>
      <c r="LJ28" s="1882"/>
      <c r="LK28" s="1882"/>
      <c r="LL28" s="1882"/>
      <c r="LN28" s="1887"/>
      <c r="LO28" s="1888"/>
      <c r="LP28" s="1882"/>
      <c r="LQ28" s="1882"/>
      <c r="LR28" s="1882"/>
      <c r="LT28" s="1887"/>
      <c r="LU28" s="1888"/>
      <c r="LV28" s="1882"/>
      <c r="LW28" s="1882"/>
      <c r="LX28" s="1882"/>
      <c r="LZ28" s="1887"/>
      <c r="MA28" s="1888"/>
      <c r="MB28" s="1882"/>
      <c r="MC28" s="1882"/>
      <c r="MD28" s="1882"/>
      <c r="MF28" s="1887"/>
      <c r="MG28" s="1888"/>
      <c r="MH28" s="1882"/>
      <c r="MI28" s="1882"/>
      <c r="MJ28" s="1882"/>
      <c r="ML28" s="1887"/>
      <c r="MM28" s="1888"/>
      <c r="MN28" s="1882"/>
      <c r="MO28" s="1882"/>
      <c r="MP28" s="1882"/>
      <c r="MR28" s="1887"/>
      <c r="MS28" s="1888"/>
      <c r="MT28" s="1882"/>
      <c r="MU28" s="1882"/>
      <c r="MV28" s="1882"/>
      <c r="MX28" s="1887"/>
      <c r="MY28" s="1888"/>
      <c r="MZ28" s="1882"/>
      <c r="NA28" s="1882"/>
      <c r="NB28" s="1882"/>
      <c r="ND28" s="1887"/>
      <c r="NE28" s="1888"/>
      <c r="NF28" s="1882"/>
      <c r="NG28" s="1882"/>
      <c r="NH28" s="1882"/>
      <c r="NJ28" s="1887"/>
      <c r="NK28" s="1888"/>
      <c r="NL28" s="1882"/>
      <c r="NM28" s="1882"/>
      <c r="NN28" s="1882"/>
      <c r="NP28" s="1887"/>
      <c r="NQ28" s="1888"/>
      <c r="NR28" s="1882"/>
      <c r="NS28" s="1882"/>
      <c r="NT28" s="1882"/>
      <c r="NV28" s="1887"/>
      <c r="NW28" s="1888"/>
      <c r="NX28" s="1882"/>
      <c r="NY28" s="1882"/>
      <c r="NZ28" s="1882"/>
      <c r="OB28" s="1887"/>
      <c r="OC28" s="1888"/>
      <c r="OD28" s="1882"/>
      <c r="OE28" s="1882"/>
      <c r="OF28" s="1882"/>
      <c r="OH28" s="1887"/>
      <c r="OI28" s="1888"/>
      <c r="OJ28" s="1882"/>
      <c r="OK28" s="1882"/>
      <c r="OL28" s="1882"/>
      <c r="ON28" s="1887"/>
      <c r="OO28" s="1888"/>
      <c r="OP28" s="1882"/>
      <c r="OQ28" s="1882"/>
      <c r="OR28" s="1882"/>
      <c r="OT28" s="1887"/>
      <c r="OU28" s="1888"/>
      <c r="OV28" s="1882"/>
      <c r="OW28" s="1882"/>
      <c r="OX28" s="1882"/>
      <c r="OZ28" s="1887"/>
      <c r="PA28" s="1888"/>
      <c r="PB28" s="1882"/>
      <c r="PC28" s="1882"/>
      <c r="PD28" s="1882"/>
      <c r="PF28" s="1887"/>
      <c r="PG28" s="1888"/>
      <c r="PH28" s="1882"/>
      <c r="PI28" s="1882"/>
      <c r="PJ28" s="1882"/>
      <c r="PL28" s="1887"/>
      <c r="PM28" s="1888"/>
      <c r="PN28" s="1882"/>
      <c r="PO28" s="1882"/>
      <c r="PP28" s="1882"/>
      <c r="PR28" s="1887"/>
      <c r="PS28" s="1888"/>
      <c r="PT28" s="1882"/>
      <c r="PU28" s="1882"/>
      <c r="PV28" s="1882"/>
      <c r="PX28" s="1887"/>
      <c r="PY28" s="1888"/>
      <c r="PZ28" s="1882"/>
      <c r="QA28" s="1882"/>
      <c r="QB28" s="1882"/>
      <c r="QD28" s="1887"/>
      <c r="QE28" s="1888"/>
      <c r="QF28" s="1882"/>
      <c r="QG28" s="1882"/>
      <c r="QH28" s="1882"/>
      <c r="QJ28" s="1887"/>
      <c r="QK28" s="1888"/>
      <c r="QL28" s="1882"/>
      <c r="QM28" s="1882"/>
      <c r="QN28" s="1882"/>
      <c r="QP28" s="1887"/>
      <c r="QQ28" s="1888"/>
      <c r="QR28" s="1882"/>
      <c r="QS28" s="1882"/>
      <c r="QT28" s="1882"/>
      <c r="QV28" s="1887"/>
      <c r="QW28" s="1888"/>
      <c r="QX28" s="1882"/>
      <c r="QY28" s="1882"/>
      <c r="QZ28" s="1882"/>
      <c r="RB28" s="1887"/>
      <c r="RC28" s="1888"/>
      <c r="RD28" s="1882"/>
      <c r="RE28" s="1882"/>
      <c r="RF28" s="1882"/>
      <c r="RH28" s="1887"/>
      <c r="RI28" s="1888"/>
      <c r="RJ28" s="1882"/>
      <c r="RK28" s="1882"/>
      <c r="RL28" s="1882"/>
      <c r="RN28" s="1887"/>
      <c r="RO28" s="1888"/>
      <c r="RP28" s="1882"/>
      <c r="RQ28" s="1882"/>
      <c r="RR28" s="1882"/>
      <c r="RT28" s="1887"/>
      <c r="RU28" s="1888"/>
      <c r="RV28" s="1882"/>
      <c r="RW28" s="1882"/>
      <c r="RX28" s="1882"/>
      <c r="RZ28" s="1887"/>
      <c r="SA28" s="1888"/>
      <c r="SB28" s="1882"/>
      <c r="SC28" s="1882"/>
      <c r="SD28" s="1882"/>
      <c r="SF28" s="1887"/>
      <c r="SG28" s="1888"/>
      <c r="SH28" s="1882"/>
      <c r="SI28" s="1882"/>
      <c r="SJ28" s="1882"/>
      <c r="SL28" s="1887"/>
      <c r="SM28" s="1888"/>
      <c r="SN28" s="1882"/>
      <c r="SO28" s="1882"/>
      <c r="SP28" s="1882"/>
      <c r="SR28" s="1887"/>
      <c r="SS28" s="1888"/>
      <c r="ST28" s="1882"/>
      <c r="SU28" s="1882"/>
      <c r="SV28" s="1882"/>
      <c r="SX28" s="1887"/>
      <c r="SY28" s="1888"/>
      <c r="SZ28" s="1882"/>
      <c r="TA28" s="1882"/>
      <c r="TB28" s="1882"/>
      <c r="TD28" s="1887"/>
      <c r="TE28" s="1888"/>
      <c r="TF28" s="1882"/>
      <c r="TG28" s="1882"/>
      <c r="TH28" s="1882"/>
      <c r="TJ28" s="1887"/>
      <c r="TK28" s="1888"/>
      <c r="TL28" s="1882"/>
      <c r="TM28" s="1882"/>
      <c r="TN28" s="1882"/>
      <c r="TP28" s="1887"/>
      <c r="TQ28" s="1888"/>
      <c r="TR28" s="1882"/>
      <c r="TS28" s="1882"/>
      <c r="TT28" s="1882"/>
      <c r="TV28" s="1887"/>
      <c r="TW28" s="1888"/>
      <c r="TX28" s="1882"/>
      <c r="TY28" s="1882"/>
      <c r="TZ28" s="1882"/>
      <c r="UB28" s="1887"/>
      <c r="UC28" s="1888"/>
      <c r="UD28" s="1882"/>
      <c r="UE28" s="1882"/>
      <c r="UF28" s="1882"/>
      <c r="UH28" s="1887"/>
      <c r="UI28" s="1888"/>
      <c r="UJ28" s="1882"/>
      <c r="UK28" s="1882"/>
      <c r="UL28" s="1882"/>
      <c r="UN28" s="1887"/>
      <c r="UO28" s="1888"/>
      <c r="UP28" s="1882"/>
      <c r="UQ28" s="1882"/>
      <c r="UR28" s="1882"/>
      <c r="UT28" s="1887"/>
      <c r="UU28" s="1888"/>
      <c r="UV28" s="1882"/>
      <c r="UW28" s="1882"/>
      <c r="UX28" s="1882"/>
      <c r="UZ28" s="1887"/>
      <c r="VA28" s="1888"/>
      <c r="VB28" s="1882"/>
      <c r="VC28" s="1882"/>
      <c r="VD28" s="1882"/>
      <c r="VF28" s="1887"/>
      <c r="VG28" s="1888"/>
      <c r="VH28" s="1882"/>
      <c r="VI28" s="1882"/>
      <c r="VJ28" s="1882"/>
      <c r="VL28" s="1887"/>
      <c r="VM28" s="1888"/>
      <c r="VN28" s="1882"/>
      <c r="VO28" s="1882"/>
      <c r="VP28" s="1882"/>
      <c r="VR28" s="1887"/>
      <c r="VS28" s="1888"/>
      <c r="VT28" s="1882"/>
      <c r="VU28" s="1882"/>
      <c r="VV28" s="1882"/>
      <c r="VX28" s="1887"/>
      <c r="VY28" s="1888"/>
      <c r="VZ28" s="1882"/>
      <c r="WA28" s="1882"/>
      <c r="WB28" s="1882"/>
      <c r="WD28" s="1887"/>
      <c r="WE28" s="1888"/>
      <c r="WF28" s="1882"/>
      <c r="WG28" s="1882"/>
      <c r="WH28" s="1882"/>
      <c r="WJ28" s="1887"/>
      <c r="WK28" s="1888"/>
      <c r="WL28" s="1882"/>
      <c r="WM28" s="1882"/>
      <c r="WN28" s="1882"/>
      <c r="WP28" s="1887"/>
      <c r="WQ28" s="1888"/>
      <c r="WR28" s="1882"/>
      <c r="WS28" s="1882"/>
      <c r="WT28" s="1882"/>
      <c r="WV28" s="1887"/>
      <c r="WW28" s="1888"/>
      <c r="WX28" s="1882"/>
      <c r="WY28" s="1882"/>
      <c r="WZ28" s="1882"/>
      <c r="XB28" s="1887"/>
      <c r="XC28" s="1888"/>
      <c r="XD28" s="1882"/>
      <c r="XE28" s="1882"/>
      <c r="XF28" s="1882"/>
      <c r="XH28" s="1887"/>
      <c r="XI28" s="1888"/>
      <c r="XJ28" s="1882"/>
      <c r="XK28" s="1882"/>
      <c r="XL28" s="1882"/>
      <c r="XN28" s="1887"/>
      <c r="XO28" s="1888"/>
      <c r="XP28" s="1882"/>
      <c r="XQ28" s="1882"/>
      <c r="XR28" s="1882"/>
      <c r="XT28" s="1887"/>
      <c r="XU28" s="1888"/>
      <c r="XV28" s="1882"/>
      <c r="XW28" s="1882"/>
      <c r="XX28" s="1882"/>
      <c r="XZ28" s="1887"/>
      <c r="YA28" s="1888"/>
      <c r="YB28" s="1882"/>
      <c r="YC28" s="1882"/>
      <c r="YD28" s="1882"/>
      <c r="YF28" s="1887"/>
      <c r="YG28" s="1888"/>
      <c r="YH28" s="1882"/>
      <c r="YI28" s="1882"/>
      <c r="YJ28" s="1882"/>
      <c r="YL28" s="1887"/>
      <c r="YM28" s="1888"/>
      <c r="YN28" s="1882"/>
      <c r="YO28" s="1882"/>
      <c r="YP28" s="1882"/>
      <c r="YR28" s="1887"/>
      <c r="YS28" s="1888"/>
      <c r="YT28" s="1882"/>
      <c r="YU28" s="1882"/>
      <c r="YV28" s="1882"/>
      <c r="YX28" s="1887"/>
      <c r="YY28" s="1888"/>
      <c r="YZ28" s="1882"/>
      <c r="ZA28" s="1882"/>
      <c r="ZB28" s="1882"/>
      <c r="ZD28" s="1887"/>
      <c r="ZE28" s="1888"/>
      <c r="ZF28" s="1882"/>
      <c r="ZG28" s="1882"/>
      <c r="ZH28" s="1882"/>
      <c r="ZJ28" s="1887"/>
      <c r="ZK28" s="1888"/>
      <c r="ZL28" s="1882"/>
      <c r="ZM28" s="1882"/>
      <c r="ZN28" s="1882"/>
      <c r="ZP28" s="1887"/>
      <c r="ZQ28" s="1888"/>
      <c r="ZR28" s="1882"/>
      <c r="ZS28" s="1882"/>
      <c r="ZT28" s="1882"/>
      <c r="ZV28" s="1887"/>
      <c r="ZW28" s="1888"/>
      <c r="ZX28" s="1882"/>
      <c r="ZY28" s="1882"/>
      <c r="ZZ28" s="1882"/>
      <c r="AAB28" s="1887"/>
      <c r="AAC28" s="1888"/>
      <c r="AAD28" s="1882"/>
      <c r="AAE28" s="1882"/>
      <c r="AAF28" s="1882"/>
      <c r="AAH28" s="1887"/>
      <c r="AAI28" s="1888"/>
      <c r="AAJ28" s="1882"/>
      <c r="AAK28" s="1882"/>
      <c r="AAL28" s="1882"/>
      <c r="AAN28" s="1887"/>
      <c r="AAO28" s="1888"/>
      <c r="AAP28" s="1882"/>
      <c r="AAQ28" s="1882"/>
      <c r="AAR28" s="1882"/>
      <c r="AAT28" s="1887"/>
      <c r="AAU28" s="1888"/>
      <c r="AAV28" s="1882"/>
      <c r="AAW28" s="1882"/>
      <c r="AAX28" s="1882"/>
      <c r="AAZ28" s="1887"/>
      <c r="ABA28" s="1888"/>
      <c r="ABB28" s="1882"/>
      <c r="ABC28" s="1882"/>
      <c r="ABD28" s="1882"/>
      <c r="ABF28" s="1887"/>
      <c r="ABG28" s="1888"/>
      <c r="ABH28" s="1882"/>
      <c r="ABI28" s="1882"/>
      <c r="ABJ28" s="1882"/>
      <c r="ABL28" s="1887"/>
      <c r="ABM28" s="1888"/>
      <c r="ABN28" s="1882"/>
      <c r="ABO28" s="1882"/>
      <c r="ABP28" s="1882"/>
      <c r="ABR28" s="1887"/>
      <c r="ABS28" s="1888"/>
      <c r="ABT28" s="1882"/>
      <c r="ABU28" s="1882"/>
      <c r="ABV28" s="1882"/>
      <c r="ABX28" s="1887"/>
      <c r="ABY28" s="1888"/>
      <c r="ABZ28" s="1882"/>
      <c r="ACA28" s="1882"/>
      <c r="ACB28" s="1882"/>
      <c r="ACD28" s="1887"/>
      <c r="ACE28" s="1888"/>
      <c r="ACF28" s="1882"/>
      <c r="ACG28" s="1882"/>
      <c r="ACH28" s="1882"/>
      <c r="ACJ28" s="1887"/>
      <c r="ACK28" s="1888"/>
      <c r="ACL28" s="1882"/>
      <c r="ACM28" s="1882"/>
      <c r="ACN28" s="1882"/>
      <c r="ACP28" s="1887"/>
      <c r="ACQ28" s="1888"/>
      <c r="ACR28" s="1882"/>
      <c r="ACS28" s="1882"/>
      <c r="ACT28" s="1882"/>
      <c r="ACV28" s="1887"/>
      <c r="ACW28" s="1888"/>
      <c r="ACX28" s="1882"/>
      <c r="ACY28" s="1882"/>
      <c r="ACZ28" s="1882"/>
      <c r="ADB28" s="1887"/>
      <c r="ADC28" s="1888"/>
      <c r="ADD28" s="1882"/>
      <c r="ADE28" s="1882"/>
      <c r="ADF28" s="1882"/>
      <c r="ADH28" s="1887"/>
      <c r="ADI28" s="1888"/>
      <c r="ADJ28" s="1882"/>
      <c r="ADK28" s="1882"/>
      <c r="ADL28" s="1882"/>
      <c r="ADN28" s="1887"/>
      <c r="ADO28" s="1888"/>
      <c r="ADP28" s="1882"/>
      <c r="ADQ28" s="1882"/>
      <c r="ADR28" s="1882"/>
      <c r="ADT28" s="1887"/>
      <c r="ADU28" s="1888"/>
      <c r="ADV28" s="1882"/>
      <c r="ADW28" s="1882"/>
      <c r="ADX28" s="1882"/>
      <c r="ADZ28" s="1887"/>
      <c r="AEA28" s="1888"/>
      <c r="AEB28" s="1882"/>
      <c r="AEC28" s="1882"/>
      <c r="AED28" s="1882"/>
      <c r="AEF28" s="1887"/>
      <c r="AEG28" s="1888"/>
      <c r="AEH28" s="1882"/>
      <c r="AEI28" s="1882"/>
      <c r="AEJ28" s="1882"/>
      <c r="AEL28" s="1887"/>
      <c r="AEM28" s="1888"/>
      <c r="AEN28" s="1882"/>
      <c r="AEO28" s="1882"/>
      <c r="AEP28" s="1882"/>
      <c r="AER28" s="1887"/>
      <c r="AES28" s="1888"/>
      <c r="AET28" s="1882"/>
      <c r="AEU28" s="1882"/>
      <c r="AEV28" s="1882"/>
      <c r="AEX28" s="1887"/>
      <c r="AEY28" s="1888"/>
      <c r="AEZ28" s="1882"/>
      <c r="AFA28" s="1882"/>
      <c r="AFB28" s="1882"/>
      <c r="AFD28" s="1887"/>
      <c r="AFE28" s="1888"/>
      <c r="AFF28" s="1882"/>
      <c r="AFG28" s="1882"/>
      <c r="AFH28" s="1882"/>
      <c r="AFJ28" s="1887"/>
      <c r="AFK28" s="1888"/>
      <c r="AFL28" s="1882"/>
      <c r="AFM28" s="1882"/>
      <c r="AFN28" s="1882"/>
      <c r="AFP28" s="1887"/>
      <c r="AFQ28" s="1888"/>
      <c r="AFR28" s="1882"/>
      <c r="AFS28" s="1882"/>
      <c r="AFT28" s="1882"/>
      <c r="AFV28" s="1887"/>
      <c r="AFW28" s="1888"/>
      <c r="AFX28" s="1882"/>
      <c r="AFY28" s="1882"/>
      <c r="AFZ28" s="1882"/>
      <c r="AGB28" s="1887"/>
      <c r="AGC28" s="1888"/>
      <c r="AGD28" s="1882"/>
      <c r="AGE28" s="1882"/>
      <c r="AGF28" s="1882"/>
      <c r="AGH28" s="1887"/>
      <c r="AGI28" s="1888"/>
      <c r="AGJ28" s="1882"/>
      <c r="AGK28" s="1882"/>
      <c r="AGL28" s="1882"/>
      <c r="AGN28" s="1887"/>
      <c r="AGO28" s="1888"/>
      <c r="AGP28" s="1882"/>
      <c r="AGQ28" s="1882"/>
      <c r="AGR28" s="1882"/>
      <c r="AGT28" s="1887"/>
      <c r="AGU28" s="1888"/>
      <c r="AGV28" s="1882"/>
      <c r="AGW28" s="1882"/>
      <c r="AGX28" s="1882"/>
      <c r="AGZ28" s="1887"/>
      <c r="AHA28" s="1888"/>
      <c r="AHB28" s="1882"/>
      <c r="AHC28" s="1882"/>
      <c r="AHD28" s="1882"/>
      <c r="AHF28" s="1887"/>
      <c r="AHG28" s="1888"/>
      <c r="AHH28" s="1882"/>
      <c r="AHI28" s="1882"/>
      <c r="AHJ28" s="1882"/>
      <c r="AHL28" s="1887"/>
      <c r="AHM28" s="1888"/>
      <c r="AHN28" s="1882"/>
      <c r="AHO28" s="1882"/>
      <c r="AHP28" s="1882"/>
      <c r="AHR28" s="1887"/>
      <c r="AHS28" s="1888"/>
      <c r="AHT28" s="1882"/>
      <c r="AHU28" s="1882"/>
      <c r="AHV28" s="1882"/>
      <c r="AHX28" s="1887"/>
      <c r="AHY28" s="1888"/>
      <c r="AHZ28" s="1882"/>
      <c r="AIA28" s="1882"/>
      <c r="AIB28" s="1882"/>
      <c r="AID28" s="1887"/>
      <c r="AIE28" s="1888"/>
      <c r="AIF28" s="1882"/>
      <c r="AIG28" s="1882"/>
      <c r="AIH28" s="1882"/>
      <c r="AIJ28" s="1887"/>
      <c r="AIK28" s="1888"/>
      <c r="AIL28" s="1882"/>
      <c r="AIM28" s="1882"/>
      <c r="AIN28" s="1882"/>
      <c r="AIP28" s="1887"/>
      <c r="AIQ28" s="1888"/>
      <c r="AIR28" s="1882"/>
      <c r="AIS28" s="1882"/>
      <c r="AIT28" s="1882"/>
      <c r="AIV28" s="1887"/>
      <c r="AIW28" s="1888"/>
      <c r="AIX28" s="1882"/>
      <c r="AIY28" s="1882"/>
      <c r="AIZ28" s="1882"/>
      <c r="AJB28" s="1887"/>
      <c r="AJC28" s="1888"/>
      <c r="AJD28" s="1882"/>
      <c r="AJE28" s="1882"/>
      <c r="AJF28" s="1882"/>
      <c r="AJH28" s="1887"/>
      <c r="AJI28" s="1888"/>
      <c r="AJJ28" s="1882"/>
      <c r="AJK28" s="1882"/>
      <c r="AJL28" s="1882"/>
      <c r="AJN28" s="1887"/>
      <c r="AJO28" s="1888"/>
      <c r="AJP28" s="1882"/>
      <c r="AJQ28" s="1882"/>
      <c r="AJR28" s="1882"/>
      <c r="AJT28" s="1887"/>
      <c r="AJU28" s="1888"/>
      <c r="AJV28" s="1882"/>
      <c r="AJW28" s="1882"/>
      <c r="AJX28" s="1882"/>
      <c r="AJZ28" s="1887"/>
      <c r="AKA28" s="1888"/>
      <c r="AKB28" s="1882"/>
      <c r="AKC28" s="1882"/>
      <c r="AKD28" s="1882"/>
      <c r="AKF28" s="1887"/>
      <c r="AKG28" s="1888"/>
      <c r="AKH28" s="1882"/>
      <c r="AKI28" s="1882"/>
      <c r="AKJ28" s="1882"/>
      <c r="AKL28" s="1887"/>
      <c r="AKM28" s="1888"/>
      <c r="AKN28" s="1882"/>
      <c r="AKO28" s="1882"/>
      <c r="AKP28" s="1882"/>
      <c r="AKR28" s="1887"/>
      <c r="AKS28" s="1888"/>
      <c r="AKT28" s="1882"/>
      <c r="AKU28" s="1882"/>
      <c r="AKV28" s="1882"/>
      <c r="AKX28" s="1887"/>
      <c r="AKY28" s="1888"/>
      <c r="AKZ28" s="1882"/>
      <c r="ALA28" s="1882"/>
      <c r="ALB28" s="1882"/>
      <c r="ALD28" s="1887"/>
      <c r="ALE28" s="1888"/>
      <c r="ALF28" s="1882"/>
      <c r="ALG28" s="1882"/>
      <c r="ALH28" s="1882"/>
      <c r="ALJ28" s="1887"/>
      <c r="ALK28" s="1888"/>
      <c r="ALL28" s="1882"/>
      <c r="ALM28" s="1882"/>
      <c r="ALN28" s="1882"/>
      <c r="ALP28" s="1887"/>
      <c r="ALQ28" s="1888"/>
      <c r="ALR28" s="1882"/>
      <c r="ALS28" s="1882"/>
      <c r="ALT28" s="1882"/>
      <c r="ALV28" s="1887"/>
      <c r="ALW28" s="1888"/>
      <c r="ALX28" s="1882"/>
      <c r="ALY28" s="1882"/>
      <c r="ALZ28" s="1882"/>
      <c r="AMB28" s="1887"/>
      <c r="AMC28" s="1888"/>
      <c r="AMD28" s="1882"/>
      <c r="AME28" s="1882"/>
      <c r="AMF28" s="1882"/>
      <c r="AMH28" s="1887"/>
      <c r="AMI28" s="1888"/>
      <c r="AMJ28" s="1882"/>
      <c r="AMK28" s="1882"/>
      <c r="AML28" s="1882"/>
      <c r="AMN28" s="1887"/>
      <c r="AMO28" s="1888"/>
      <c r="AMP28" s="1882"/>
      <c r="AMQ28" s="1882"/>
      <c r="AMR28" s="1882"/>
      <c r="AMT28" s="1887"/>
      <c r="AMU28" s="1888"/>
      <c r="AMV28" s="1882"/>
      <c r="AMW28" s="1882"/>
      <c r="AMX28" s="1882"/>
      <c r="AMZ28" s="1887"/>
      <c r="ANA28" s="1888"/>
      <c r="ANB28" s="1882"/>
      <c r="ANC28" s="1882"/>
      <c r="AND28" s="1882"/>
      <c r="ANF28" s="1887"/>
      <c r="ANG28" s="1888"/>
      <c r="ANH28" s="1882"/>
      <c r="ANI28" s="1882"/>
      <c r="ANJ28" s="1882"/>
      <c r="ANL28" s="1887"/>
      <c r="ANM28" s="1888"/>
      <c r="ANN28" s="1882"/>
      <c r="ANO28" s="1882"/>
      <c r="ANP28" s="1882"/>
      <c r="ANR28" s="1887"/>
      <c r="ANS28" s="1888"/>
      <c r="ANT28" s="1882"/>
      <c r="ANU28" s="1882"/>
      <c r="ANV28" s="1882"/>
      <c r="ANX28" s="1887"/>
      <c r="ANY28" s="1888"/>
      <c r="ANZ28" s="1882"/>
      <c r="AOA28" s="1882"/>
      <c r="AOB28" s="1882"/>
      <c r="AOD28" s="1887"/>
      <c r="AOE28" s="1888"/>
      <c r="AOF28" s="1882"/>
      <c r="AOG28" s="1882"/>
      <c r="AOH28" s="1882"/>
      <c r="AOJ28" s="1887"/>
      <c r="AOK28" s="1888"/>
      <c r="AOL28" s="1882"/>
      <c r="AOM28" s="1882"/>
      <c r="AON28" s="1882"/>
      <c r="AOP28" s="1887"/>
      <c r="AOQ28" s="1888"/>
      <c r="AOR28" s="1882"/>
      <c r="AOS28" s="1882"/>
      <c r="AOT28" s="1882"/>
      <c r="AOV28" s="1887"/>
      <c r="AOW28" s="1888"/>
      <c r="AOX28" s="1882"/>
      <c r="AOY28" s="1882"/>
      <c r="AOZ28" s="1882"/>
      <c r="APB28" s="1887"/>
      <c r="APC28" s="1888"/>
      <c r="APD28" s="1882"/>
      <c r="APE28" s="1882"/>
      <c r="APF28" s="1882"/>
      <c r="APH28" s="1887"/>
      <c r="API28" s="1888"/>
      <c r="APJ28" s="1882"/>
      <c r="APK28" s="1882"/>
      <c r="APL28" s="1882"/>
      <c r="APN28" s="1887"/>
      <c r="APO28" s="1888"/>
      <c r="APP28" s="1882"/>
      <c r="APQ28" s="1882"/>
      <c r="APR28" s="1882"/>
      <c r="APT28" s="1887"/>
      <c r="APU28" s="1888"/>
      <c r="APV28" s="1882"/>
      <c r="APW28" s="1882"/>
      <c r="APX28" s="1882"/>
      <c r="APZ28" s="1887"/>
      <c r="AQA28" s="1888"/>
      <c r="AQB28" s="1882"/>
      <c r="AQC28" s="1882"/>
      <c r="AQD28" s="1882"/>
      <c r="AQF28" s="1887"/>
      <c r="AQG28" s="1888"/>
      <c r="AQH28" s="1882"/>
      <c r="AQI28" s="1882"/>
      <c r="AQJ28" s="1882"/>
      <c r="AQL28" s="1887"/>
      <c r="AQM28" s="1888"/>
      <c r="AQN28" s="1882"/>
      <c r="AQO28" s="1882"/>
      <c r="AQP28" s="1882"/>
      <c r="AQR28" s="1887"/>
      <c r="AQS28" s="1888"/>
      <c r="AQT28" s="1882"/>
      <c r="AQU28" s="1882"/>
      <c r="AQV28" s="1882"/>
      <c r="AQX28" s="1887"/>
      <c r="AQY28" s="1888"/>
      <c r="AQZ28" s="1882"/>
      <c r="ARA28" s="1882"/>
      <c r="ARB28" s="1882"/>
      <c r="ARD28" s="1887"/>
      <c r="ARE28" s="1888"/>
      <c r="ARF28" s="1882"/>
      <c r="ARG28" s="1882"/>
      <c r="ARH28" s="1882"/>
      <c r="ARJ28" s="1887"/>
      <c r="ARK28" s="1888"/>
      <c r="ARL28" s="1882"/>
      <c r="ARM28" s="1882"/>
      <c r="ARN28" s="1882"/>
      <c r="ARP28" s="1887"/>
      <c r="ARQ28" s="1888"/>
      <c r="ARR28" s="1882"/>
      <c r="ARS28" s="1882"/>
      <c r="ART28" s="1882"/>
      <c r="ARV28" s="1887"/>
      <c r="ARW28" s="1888"/>
      <c r="ARX28" s="1882"/>
      <c r="ARY28" s="1882"/>
      <c r="ARZ28" s="1882"/>
      <c r="ASB28" s="1887"/>
      <c r="ASC28" s="1888"/>
      <c r="ASD28" s="1882"/>
      <c r="ASE28" s="1882"/>
      <c r="ASF28" s="1882"/>
      <c r="ASH28" s="1887"/>
      <c r="ASI28" s="1888"/>
      <c r="ASJ28" s="1882"/>
      <c r="ASK28" s="1882"/>
      <c r="ASL28" s="1882"/>
      <c r="ASN28" s="1887"/>
      <c r="ASO28" s="1888"/>
      <c r="ASP28" s="1882"/>
      <c r="ASQ28" s="1882"/>
      <c r="ASR28" s="1882"/>
      <c r="AST28" s="1887"/>
      <c r="ASU28" s="1888"/>
      <c r="ASV28" s="1882"/>
      <c r="ASW28" s="1882"/>
      <c r="ASX28" s="1882"/>
      <c r="ASZ28" s="1887"/>
      <c r="ATA28" s="1888"/>
      <c r="ATB28" s="1882"/>
      <c r="ATC28" s="1882"/>
      <c r="ATD28" s="1882"/>
      <c r="ATF28" s="1887"/>
      <c r="ATG28" s="1888"/>
      <c r="ATH28" s="1882"/>
      <c r="ATI28" s="1882"/>
      <c r="ATJ28" s="1882"/>
      <c r="ATL28" s="1887"/>
      <c r="ATM28" s="1888"/>
      <c r="ATN28" s="1882"/>
      <c r="ATO28" s="1882"/>
      <c r="ATP28" s="1882"/>
      <c r="ATR28" s="1887"/>
      <c r="ATS28" s="1888"/>
      <c r="ATT28" s="1882"/>
      <c r="ATU28" s="1882"/>
      <c r="ATV28" s="1882"/>
      <c r="ATX28" s="1887"/>
      <c r="ATY28" s="1888"/>
      <c r="ATZ28" s="1882"/>
      <c r="AUA28" s="1882"/>
      <c r="AUB28" s="1882"/>
      <c r="AUD28" s="1887"/>
      <c r="AUE28" s="1888"/>
      <c r="AUF28" s="1882"/>
      <c r="AUG28" s="1882"/>
      <c r="AUH28" s="1882"/>
      <c r="AUJ28" s="1887"/>
      <c r="AUK28" s="1888"/>
      <c r="AUL28" s="1882"/>
      <c r="AUM28" s="1882"/>
      <c r="AUN28" s="1882"/>
      <c r="AUP28" s="1887"/>
      <c r="AUQ28" s="1888"/>
      <c r="AUR28" s="1882"/>
      <c r="AUS28" s="1882"/>
      <c r="AUT28" s="1882"/>
      <c r="AUV28" s="1887"/>
      <c r="AUW28" s="1888"/>
      <c r="AUX28" s="1882"/>
      <c r="AUY28" s="1882"/>
      <c r="AUZ28" s="1882"/>
      <c r="AVB28" s="1887"/>
      <c r="AVC28" s="1888"/>
      <c r="AVD28" s="1882"/>
      <c r="AVE28" s="1882"/>
      <c r="AVF28" s="1882"/>
      <c r="AVH28" s="1887"/>
      <c r="AVI28" s="1888"/>
      <c r="AVJ28" s="1882"/>
      <c r="AVK28" s="1882"/>
      <c r="AVL28" s="1882"/>
      <c r="AVN28" s="1887"/>
      <c r="AVO28" s="1888"/>
      <c r="AVP28" s="1882"/>
      <c r="AVQ28" s="1882"/>
      <c r="AVR28" s="1882"/>
      <c r="AVT28" s="1887"/>
      <c r="AVU28" s="1888"/>
      <c r="AVV28" s="1882"/>
      <c r="AVW28" s="1882"/>
      <c r="AVX28" s="1882"/>
      <c r="AVZ28" s="1887"/>
      <c r="AWA28" s="1888"/>
      <c r="AWB28" s="1882"/>
      <c r="AWC28" s="1882"/>
      <c r="AWD28" s="1882"/>
      <c r="AWF28" s="1887"/>
      <c r="AWG28" s="1888"/>
      <c r="AWH28" s="1882"/>
      <c r="AWI28" s="1882"/>
      <c r="AWJ28" s="1882"/>
      <c r="AWL28" s="1887"/>
      <c r="AWM28" s="1888"/>
      <c r="AWN28" s="1882"/>
      <c r="AWO28" s="1882"/>
      <c r="AWP28" s="1882"/>
      <c r="AWR28" s="1887"/>
      <c r="AWS28" s="1888"/>
      <c r="AWT28" s="1882"/>
      <c r="AWU28" s="1882"/>
      <c r="AWV28" s="1882"/>
      <c r="AWX28" s="1887"/>
      <c r="AWY28" s="1888"/>
      <c r="AWZ28" s="1882"/>
      <c r="AXA28" s="1882"/>
      <c r="AXB28" s="1882"/>
      <c r="AXD28" s="1887"/>
      <c r="AXE28" s="1888"/>
      <c r="AXF28" s="1882"/>
      <c r="AXG28" s="1882"/>
      <c r="AXH28" s="1882"/>
      <c r="AXJ28" s="1887"/>
      <c r="AXK28" s="1888"/>
      <c r="AXL28" s="1882"/>
      <c r="AXM28" s="1882"/>
      <c r="AXN28" s="1882"/>
      <c r="AXP28" s="1887"/>
      <c r="AXQ28" s="1888"/>
      <c r="AXR28" s="1882"/>
      <c r="AXS28" s="1882"/>
      <c r="AXT28" s="1882"/>
      <c r="AXV28" s="1887"/>
      <c r="AXW28" s="1888"/>
      <c r="AXX28" s="1882"/>
      <c r="AXY28" s="1882"/>
      <c r="AXZ28" s="1882"/>
      <c r="AYB28" s="1887"/>
      <c r="AYC28" s="1888"/>
      <c r="AYD28" s="1882"/>
      <c r="AYE28" s="1882"/>
      <c r="AYF28" s="1882"/>
      <c r="AYH28" s="1887"/>
      <c r="AYI28" s="1888"/>
      <c r="AYJ28" s="1882"/>
      <c r="AYK28" s="1882"/>
      <c r="AYL28" s="1882"/>
      <c r="AYN28" s="1887"/>
      <c r="AYO28" s="1888"/>
      <c r="AYP28" s="1882"/>
      <c r="AYQ28" s="1882"/>
      <c r="AYR28" s="1882"/>
      <c r="AYT28" s="1887"/>
      <c r="AYU28" s="1888"/>
      <c r="AYV28" s="1882"/>
      <c r="AYW28" s="1882"/>
      <c r="AYX28" s="1882"/>
      <c r="AYZ28" s="1887"/>
      <c r="AZA28" s="1888"/>
      <c r="AZB28" s="1882"/>
      <c r="AZC28" s="1882"/>
      <c r="AZD28" s="1882"/>
      <c r="AZF28" s="1887"/>
      <c r="AZG28" s="1888"/>
      <c r="AZH28" s="1882"/>
      <c r="AZI28" s="1882"/>
      <c r="AZJ28" s="1882"/>
      <c r="AZL28" s="1887"/>
      <c r="AZM28" s="1888"/>
      <c r="AZN28" s="1882"/>
      <c r="AZO28" s="1882"/>
      <c r="AZP28" s="1882"/>
      <c r="AZR28" s="1887"/>
      <c r="AZS28" s="1888"/>
      <c r="AZT28" s="1882"/>
      <c r="AZU28" s="1882"/>
      <c r="AZV28" s="1882"/>
      <c r="AZX28" s="1887"/>
      <c r="AZY28" s="1888"/>
      <c r="AZZ28" s="1882"/>
      <c r="BAA28" s="1882"/>
      <c r="BAB28" s="1882"/>
      <c r="BAD28" s="1887"/>
      <c r="BAE28" s="1888"/>
      <c r="BAF28" s="1882"/>
      <c r="BAG28" s="1882"/>
      <c r="BAH28" s="1882"/>
      <c r="BAJ28" s="1887"/>
      <c r="BAK28" s="1888"/>
      <c r="BAL28" s="1882"/>
      <c r="BAM28" s="1882"/>
      <c r="BAN28" s="1882"/>
      <c r="BAP28" s="1887"/>
      <c r="BAQ28" s="1888"/>
      <c r="BAR28" s="1882"/>
      <c r="BAS28" s="1882"/>
      <c r="BAT28" s="1882"/>
      <c r="BAV28" s="1887"/>
      <c r="BAW28" s="1888"/>
      <c r="BAX28" s="1882"/>
      <c r="BAY28" s="1882"/>
      <c r="BAZ28" s="1882"/>
      <c r="BBB28" s="1887"/>
      <c r="BBC28" s="1888"/>
      <c r="BBD28" s="1882"/>
      <c r="BBE28" s="1882"/>
      <c r="BBF28" s="1882"/>
      <c r="BBH28" s="1887"/>
      <c r="BBI28" s="1888"/>
      <c r="BBJ28" s="1882"/>
      <c r="BBK28" s="1882"/>
      <c r="BBL28" s="1882"/>
      <c r="BBN28" s="1887"/>
      <c r="BBO28" s="1888"/>
      <c r="BBP28" s="1882"/>
      <c r="BBQ28" s="1882"/>
      <c r="BBR28" s="1882"/>
      <c r="BBT28" s="1887"/>
      <c r="BBU28" s="1888"/>
      <c r="BBV28" s="1882"/>
      <c r="BBW28" s="1882"/>
      <c r="BBX28" s="1882"/>
      <c r="BBZ28" s="1887"/>
      <c r="BCA28" s="1888"/>
      <c r="BCB28" s="1882"/>
      <c r="BCC28" s="1882"/>
      <c r="BCD28" s="1882"/>
      <c r="BCF28" s="1887"/>
      <c r="BCG28" s="1888"/>
      <c r="BCH28" s="1882"/>
      <c r="BCI28" s="1882"/>
      <c r="BCJ28" s="1882"/>
      <c r="BCL28" s="1887"/>
      <c r="BCM28" s="1888"/>
      <c r="BCN28" s="1882"/>
      <c r="BCO28" s="1882"/>
      <c r="BCP28" s="1882"/>
      <c r="BCR28" s="1887"/>
      <c r="BCS28" s="1888"/>
      <c r="BCT28" s="1882"/>
      <c r="BCU28" s="1882"/>
      <c r="BCV28" s="1882"/>
      <c r="BCX28" s="1887"/>
      <c r="BCY28" s="1888"/>
      <c r="BCZ28" s="1882"/>
      <c r="BDA28" s="1882"/>
      <c r="BDB28" s="1882"/>
      <c r="BDD28" s="1887"/>
      <c r="BDE28" s="1888"/>
      <c r="BDF28" s="1882"/>
      <c r="BDG28" s="1882"/>
      <c r="BDH28" s="1882"/>
      <c r="BDJ28" s="1887"/>
      <c r="BDK28" s="1888"/>
      <c r="BDL28" s="1882"/>
      <c r="BDM28" s="1882"/>
      <c r="BDN28" s="1882"/>
      <c r="BDP28" s="1887"/>
      <c r="BDQ28" s="1888"/>
      <c r="BDR28" s="1882"/>
      <c r="BDS28" s="1882"/>
      <c r="BDT28" s="1882"/>
      <c r="BDV28" s="1887"/>
      <c r="BDW28" s="1888"/>
      <c r="BDX28" s="1882"/>
      <c r="BDY28" s="1882"/>
      <c r="BDZ28" s="1882"/>
      <c r="BEB28" s="1887"/>
      <c r="BEC28" s="1888"/>
      <c r="BED28" s="1882"/>
      <c r="BEE28" s="1882"/>
      <c r="BEF28" s="1882"/>
      <c r="BEH28" s="1887"/>
      <c r="BEI28" s="1888"/>
      <c r="BEJ28" s="1882"/>
      <c r="BEK28" s="1882"/>
      <c r="BEL28" s="1882"/>
      <c r="BEN28" s="1887"/>
      <c r="BEO28" s="1888"/>
      <c r="BEP28" s="1882"/>
      <c r="BEQ28" s="1882"/>
      <c r="BER28" s="1882"/>
      <c r="BET28" s="1887"/>
      <c r="BEU28" s="1888"/>
      <c r="BEV28" s="1882"/>
      <c r="BEW28" s="1882"/>
      <c r="BEX28" s="1882"/>
      <c r="BEZ28" s="1887"/>
      <c r="BFA28" s="1888"/>
      <c r="BFB28" s="1882"/>
      <c r="BFC28" s="1882"/>
      <c r="BFD28" s="1882"/>
      <c r="BFF28" s="1887"/>
      <c r="BFG28" s="1888"/>
      <c r="BFH28" s="1882"/>
      <c r="BFI28" s="1882"/>
      <c r="BFJ28" s="1882"/>
      <c r="BFL28" s="1887"/>
      <c r="BFM28" s="1888"/>
      <c r="BFN28" s="1882"/>
      <c r="BFO28" s="1882"/>
      <c r="BFP28" s="1882"/>
      <c r="BFR28" s="1887"/>
      <c r="BFS28" s="1888"/>
      <c r="BFT28" s="1882"/>
      <c r="BFU28" s="1882"/>
      <c r="BFV28" s="1882"/>
      <c r="BFX28" s="1887"/>
      <c r="BFY28" s="1888"/>
      <c r="BFZ28" s="1882"/>
      <c r="BGA28" s="1882"/>
      <c r="BGB28" s="1882"/>
      <c r="BGD28" s="1887"/>
      <c r="BGE28" s="1888"/>
      <c r="BGF28" s="1882"/>
      <c r="BGG28" s="1882"/>
      <c r="BGH28" s="1882"/>
      <c r="BGJ28" s="1887"/>
      <c r="BGK28" s="1888"/>
      <c r="BGL28" s="1882"/>
      <c r="BGM28" s="1882"/>
      <c r="BGN28" s="1882"/>
      <c r="BGP28" s="1887"/>
      <c r="BGQ28" s="1888"/>
      <c r="BGR28" s="1882"/>
      <c r="BGS28" s="1882"/>
      <c r="BGT28" s="1882"/>
      <c r="BGV28" s="1887"/>
      <c r="BGW28" s="1888"/>
      <c r="BGX28" s="1882"/>
      <c r="BGY28" s="1882"/>
      <c r="BGZ28" s="1882"/>
      <c r="BHB28" s="1887"/>
      <c r="BHC28" s="1888"/>
      <c r="BHD28" s="1882"/>
      <c r="BHE28" s="1882"/>
      <c r="BHF28" s="1882"/>
      <c r="BHH28" s="1887"/>
      <c r="BHI28" s="1888"/>
      <c r="BHJ28" s="1882"/>
      <c r="BHK28" s="1882"/>
      <c r="BHL28" s="1882"/>
      <c r="BHN28" s="1887"/>
      <c r="BHO28" s="1888"/>
      <c r="BHP28" s="1882"/>
      <c r="BHQ28" s="1882"/>
      <c r="BHR28" s="1882"/>
      <c r="BHT28" s="1887"/>
      <c r="BHU28" s="1888"/>
      <c r="BHV28" s="1882"/>
      <c r="BHW28" s="1882"/>
      <c r="BHX28" s="1882"/>
      <c r="BHZ28" s="1887"/>
      <c r="BIA28" s="1888"/>
      <c r="BIB28" s="1882"/>
      <c r="BIC28" s="1882"/>
      <c r="BID28" s="1882"/>
      <c r="BIF28" s="1887"/>
      <c r="BIG28" s="1888"/>
      <c r="BIH28" s="1882"/>
      <c r="BII28" s="1882"/>
      <c r="BIJ28" s="1882"/>
      <c r="BIL28" s="1887"/>
      <c r="BIM28" s="1888"/>
      <c r="BIN28" s="1882"/>
      <c r="BIO28" s="1882"/>
      <c r="BIP28" s="1882"/>
      <c r="BIR28" s="1887"/>
      <c r="BIS28" s="1888"/>
      <c r="BIT28" s="1882"/>
      <c r="BIU28" s="1882"/>
      <c r="BIV28" s="1882"/>
      <c r="BIX28" s="1887"/>
      <c r="BIY28" s="1888"/>
      <c r="BIZ28" s="1882"/>
      <c r="BJA28" s="1882"/>
      <c r="BJB28" s="1882"/>
      <c r="BJD28" s="1887"/>
      <c r="BJE28" s="1888"/>
      <c r="BJF28" s="1882"/>
      <c r="BJG28" s="1882"/>
      <c r="BJH28" s="1882"/>
      <c r="BJJ28" s="1887"/>
      <c r="BJK28" s="1888"/>
      <c r="BJL28" s="1882"/>
      <c r="BJM28" s="1882"/>
      <c r="BJN28" s="1882"/>
      <c r="BJP28" s="1887"/>
      <c r="BJQ28" s="1888"/>
      <c r="BJR28" s="1882"/>
      <c r="BJS28" s="1882"/>
      <c r="BJT28" s="1882"/>
      <c r="BJV28" s="1887"/>
      <c r="BJW28" s="1888"/>
      <c r="BJX28" s="1882"/>
      <c r="BJY28" s="1882"/>
      <c r="BJZ28" s="1882"/>
      <c r="BKB28" s="1887"/>
      <c r="BKC28" s="1888"/>
      <c r="BKD28" s="1882"/>
      <c r="BKE28" s="1882"/>
      <c r="BKF28" s="1882"/>
      <c r="BKH28" s="1887"/>
      <c r="BKI28" s="1888"/>
      <c r="BKJ28" s="1882"/>
      <c r="BKK28" s="1882"/>
      <c r="BKL28" s="1882"/>
      <c r="BKN28" s="1887"/>
      <c r="BKO28" s="1888"/>
      <c r="BKP28" s="1882"/>
      <c r="BKQ28" s="1882"/>
      <c r="BKR28" s="1882"/>
      <c r="BKT28" s="1887"/>
      <c r="BKU28" s="1888"/>
      <c r="BKV28" s="1882"/>
      <c r="BKW28" s="1882"/>
      <c r="BKX28" s="1882"/>
      <c r="BKZ28" s="1887"/>
      <c r="BLA28" s="1888"/>
      <c r="BLB28" s="1882"/>
      <c r="BLC28" s="1882"/>
      <c r="BLD28" s="1882"/>
      <c r="BLF28" s="1887"/>
      <c r="BLG28" s="1888"/>
      <c r="BLH28" s="1882"/>
      <c r="BLI28" s="1882"/>
      <c r="BLJ28" s="1882"/>
      <c r="BLL28" s="1887"/>
      <c r="BLM28" s="1888"/>
      <c r="BLN28" s="1882"/>
      <c r="BLO28" s="1882"/>
      <c r="BLP28" s="1882"/>
      <c r="BLR28" s="1887"/>
      <c r="BLS28" s="1888"/>
      <c r="BLT28" s="1882"/>
      <c r="BLU28" s="1882"/>
      <c r="BLV28" s="1882"/>
      <c r="BLX28" s="1887"/>
      <c r="BLY28" s="1888"/>
      <c r="BLZ28" s="1882"/>
      <c r="BMA28" s="1882"/>
      <c r="BMB28" s="1882"/>
      <c r="BMD28" s="1887"/>
      <c r="BME28" s="1888"/>
      <c r="BMF28" s="1882"/>
      <c r="BMG28" s="1882"/>
      <c r="BMH28" s="1882"/>
      <c r="BMJ28" s="1887"/>
      <c r="BMK28" s="1888"/>
      <c r="BML28" s="1882"/>
      <c r="BMM28" s="1882"/>
      <c r="BMN28" s="1882"/>
      <c r="BMP28" s="1887"/>
      <c r="BMQ28" s="1888"/>
      <c r="BMR28" s="1882"/>
      <c r="BMS28" s="1882"/>
      <c r="BMT28" s="1882"/>
      <c r="BMV28" s="1887"/>
      <c r="BMW28" s="1888"/>
      <c r="BMX28" s="1882"/>
      <c r="BMY28" s="1882"/>
      <c r="BMZ28" s="1882"/>
      <c r="BNB28" s="1887"/>
      <c r="BNC28" s="1888"/>
      <c r="BND28" s="1882"/>
      <c r="BNE28" s="1882"/>
      <c r="BNF28" s="1882"/>
      <c r="BNH28" s="1887"/>
      <c r="BNI28" s="1888"/>
      <c r="BNJ28" s="1882"/>
      <c r="BNK28" s="1882"/>
      <c r="BNL28" s="1882"/>
      <c r="BNN28" s="1887"/>
      <c r="BNO28" s="1888"/>
      <c r="BNP28" s="1882"/>
      <c r="BNQ28" s="1882"/>
      <c r="BNR28" s="1882"/>
      <c r="BNT28" s="1887"/>
      <c r="BNU28" s="1888"/>
      <c r="BNV28" s="1882"/>
      <c r="BNW28" s="1882"/>
      <c r="BNX28" s="1882"/>
      <c r="BNZ28" s="1887"/>
      <c r="BOA28" s="1888"/>
      <c r="BOB28" s="1882"/>
      <c r="BOC28" s="1882"/>
      <c r="BOD28" s="1882"/>
      <c r="BOF28" s="1887"/>
      <c r="BOG28" s="1888"/>
      <c r="BOH28" s="1882"/>
      <c r="BOI28" s="1882"/>
      <c r="BOJ28" s="1882"/>
      <c r="BOL28" s="1887"/>
      <c r="BOM28" s="1888"/>
      <c r="BON28" s="1882"/>
      <c r="BOO28" s="1882"/>
      <c r="BOP28" s="1882"/>
      <c r="BOR28" s="1887"/>
      <c r="BOS28" s="1888"/>
      <c r="BOT28" s="1882"/>
      <c r="BOU28" s="1882"/>
      <c r="BOV28" s="1882"/>
      <c r="BOX28" s="1887"/>
      <c r="BOY28" s="1888"/>
      <c r="BOZ28" s="1882"/>
      <c r="BPA28" s="1882"/>
      <c r="BPB28" s="1882"/>
      <c r="BPD28" s="1887"/>
      <c r="BPE28" s="1888"/>
      <c r="BPF28" s="1882"/>
      <c r="BPG28" s="1882"/>
      <c r="BPH28" s="1882"/>
      <c r="BPJ28" s="1887"/>
      <c r="BPK28" s="1888"/>
      <c r="BPL28" s="1882"/>
      <c r="BPM28" s="1882"/>
      <c r="BPN28" s="1882"/>
      <c r="BPP28" s="1887"/>
      <c r="BPQ28" s="1888"/>
      <c r="BPR28" s="1882"/>
      <c r="BPS28" s="1882"/>
      <c r="BPT28" s="1882"/>
      <c r="BPV28" s="1887"/>
      <c r="BPW28" s="1888"/>
      <c r="BPX28" s="1882"/>
      <c r="BPY28" s="1882"/>
      <c r="BPZ28" s="1882"/>
      <c r="BQB28" s="1887"/>
      <c r="BQC28" s="1888"/>
      <c r="BQD28" s="1882"/>
      <c r="BQE28" s="1882"/>
      <c r="BQF28" s="1882"/>
      <c r="BQH28" s="1887"/>
      <c r="BQI28" s="1888"/>
      <c r="BQJ28" s="1882"/>
      <c r="BQK28" s="1882"/>
      <c r="BQL28" s="1882"/>
      <c r="BQN28" s="1887"/>
      <c r="BQO28" s="1888"/>
      <c r="BQP28" s="1882"/>
      <c r="BQQ28" s="1882"/>
      <c r="BQR28" s="1882"/>
      <c r="BQT28" s="1887"/>
      <c r="BQU28" s="1888"/>
      <c r="BQV28" s="1882"/>
      <c r="BQW28" s="1882"/>
      <c r="BQX28" s="1882"/>
      <c r="BQZ28" s="1887"/>
      <c r="BRA28" s="1888"/>
      <c r="BRB28" s="1882"/>
      <c r="BRC28" s="1882"/>
      <c r="BRD28" s="1882"/>
      <c r="BRF28" s="1887"/>
      <c r="BRG28" s="1888"/>
      <c r="BRH28" s="1882"/>
      <c r="BRI28" s="1882"/>
      <c r="BRJ28" s="1882"/>
      <c r="BRL28" s="1887"/>
      <c r="BRM28" s="1888"/>
      <c r="BRN28" s="1882"/>
      <c r="BRO28" s="1882"/>
      <c r="BRP28" s="1882"/>
      <c r="BRR28" s="1887"/>
      <c r="BRS28" s="1888"/>
      <c r="BRT28" s="1882"/>
      <c r="BRU28" s="1882"/>
      <c r="BRV28" s="1882"/>
      <c r="BRX28" s="1887"/>
      <c r="BRY28" s="1888"/>
      <c r="BRZ28" s="1882"/>
      <c r="BSA28" s="1882"/>
      <c r="BSB28" s="1882"/>
      <c r="BSD28" s="1887"/>
      <c r="BSE28" s="1888"/>
      <c r="BSF28" s="1882"/>
      <c r="BSG28" s="1882"/>
      <c r="BSH28" s="1882"/>
      <c r="BSJ28" s="1887"/>
      <c r="BSK28" s="1888"/>
      <c r="BSL28" s="1882"/>
      <c r="BSM28" s="1882"/>
      <c r="BSN28" s="1882"/>
      <c r="BSP28" s="1887"/>
      <c r="BSQ28" s="1888"/>
      <c r="BSR28" s="1882"/>
      <c r="BSS28" s="1882"/>
      <c r="BST28" s="1882"/>
      <c r="BSV28" s="1887"/>
      <c r="BSW28" s="1888"/>
      <c r="BSX28" s="1882"/>
      <c r="BSY28" s="1882"/>
      <c r="BSZ28" s="1882"/>
      <c r="BTB28" s="1887"/>
      <c r="BTC28" s="1888"/>
      <c r="BTD28" s="1882"/>
      <c r="BTE28" s="1882"/>
      <c r="BTF28" s="1882"/>
      <c r="BTH28" s="1887"/>
      <c r="BTI28" s="1888"/>
      <c r="BTJ28" s="1882"/>
      <c r="BTK28" s="1882"/>
      <c r="BTL28" s="1882"/>
      <c r="BTN28" s="1887"/>
      <c r="BTO28" s="1888"/>
      <c r="BTP28" s="1882"/>
      <c r="BTQ28" s="1882"/>
      <c r="BTR28" s="1882"/>
      <c r="BTT28" s="1887"/>
      <c r="BTU28" s="1888"/>
      <c r="BTV28" s="1882"/>
      <c r="BTW28" s="1882"/>
      <c r="BTX28" s="1882"/>
      <c r="BTZ28" s="1887"/>
      <c r="BUA28" s="1888"/>
      <c r="BUB28" s="1882"/>
      <c r="BUC28" s="1882"/>
      <c r="BUD28" s="1882"/>
      <c r="BUF28" s="1887"/>
      <c r="BUG28" s="1888"/>
      <c r="BUH28" s="1882"/>
      <c r="BUI28" s="1882"/>
      <c r="BUJ28" s="1882"/>
      <c r="BUL28" s="1887"/>
      <c r="BUM28" s="1888"/>
      <c r="BUN28" s="1882"/>
      <c r="BUO28" s="1882"/>
      <c r="BUP28" s="1882"/>
      <c r="BUR28" s="1887"/>
      <c r="BUS28" s="1888"/>
      <c r="BUT28" s="1882"/>
      <c r="BUU28" s="1882"/>
      <c r="BUV28" s="1882"/>
      <c r="BUX28" s="1887"/>
      <c r="BUY28" s="1888"/>
      <c r="BUZ28" s="1882"/>
      <c r="BVA28" s="1882"/>
      <c r="BVB28" s="1882"/>
      <c r="BVD28" s="1887"/>
      <c r="BVE28" s="1888"/>
      <c r="BVF28" s="1882"/>
      <c r="BVG28" s="1882"/>
      <c r="BVH28" s="1882"/>
      <c r="BVJ28" s="1887"/>
      <c r="BVK28" s="1888"/>
      <c r="BVL28" s="1882"/>
      <c r="BVM28" s="1882"/>
      <c r="BVN28" s="1882"/>
      <c r="BVP28" s="1887"/>
      <c r="BVQ28" s="1888"/>
      <c r="BVR28" s="1882"/>
      <c r="BVS28" s="1882"/>
      <c r="BVT28" s="1882"/>
      <c r="BVV28" s="1887"/>
      <c r="BVW28" s="1888"/>
      <c r="BVX28" s="1882"/>
      <c r="BVY28" s="1882"/>
      <c r="BVZ28" s="1882"/>
      <c r="BWB28" s="1887"/>
      <c r="BWC28" s="1888"/>
      <c r="BWD28" s="1882"/>
      <c r="BWE28" s="1882"/>
      <c r="BWF28" s="1882"/>
      <c r="BWH28" s="1887"/>
      <c r="BWI28" s="1888"/>
      <c r="BWJ28" s="1882"/>
      <c r="BWK28" s="1882"/>
      <c r="BWL28" s="1882"/>
      <c r="BWN28" s="1887"/>
      <c r="BWO28" s="1888"/>
      <c r="BWP28" s="1882"/>
      <c r="BWQ28" s="1882"/>
      <c r="BWR28" s="1882"/>
      <c r="BWT28" s="1887"/>
      <c r="BWU28" s="1888"/>
      <c r="BWV28" s="1882"/>
      <c r="BWW28" s="1882"/>
      <c r="BWX28" s="1882"/>
      <c r="BWZ28" s="1887"/>
      <c r="BXA28" s="1888"/>
      <c r="BXB28" s="1882"/>
      <c r="BXC28" s="1882"/>
      <c r="BXD28" s="1882"/>
      <c r="BXF28" s="1887"/>
      <c r="BXG28" s="1888"/>
      <c r="BXH28" s="1882"/>
      <c r="BXI28" s="1882"/>
      <c r="BXJ28" s="1882"/>
      <c r="BXL28" s="1887"/>
      <c r="BXM28" s="1888"/>
      <c r="BXN28" s="1882"/>
      <c r="BXO28" s="1882"/>
      <c r="BXP28" s="1882"/>
      <c r="BXR28" s="1887"/>
      <c r="BXS28" s="1888"/>
      <c r="BXT28" s="1882"/>
      <c r="BXU28" s="1882"/>
      <c r="BXV28" s="1882"/>
      <c r="BXX28" s="1887"/>
      <c r="BXY28" s="1888"/>
      <c r="BXZ28" s="1882"/>
      <c r="BYA28" s="1882"/>
      <c r="BYB28" s="1882"/>
      <c r="BYD28" s="1887"/>
      <c r="BYE28" s="1888"/>
      <c r="BYF28" s="1882"/>
      <c r="BYG28" s="1882"/>
      <c r="BYH28" s="1882"/>
      <c r="BYJ28" s="1887"/>
      <c r="BYK28" s="1888"/>
      <c r="BYL28" s="1882"/>
      <c r="BYM28" s="1882"/>
      <c r="BYN28" s="1882"/>
      <c r="BYP28" s="1887"/>
      <c r="BYQ28" s="1888"/>
      <c r="BYR28" s="1882"/>
      <c r="BYS28" s="1882"/>
      <c r="BYT28" s="1882"/>
      <c r="BYV28" s="1887"/>
      <c r="BYW28" s="1888"/>
      <c r="BYX28" s="1882"/>
      <c r="BYY28" s="1882"/>
      <c r="BYZ28" s="1882"/>
      <c r="BZB28" s="1887"/>
      <c r="BZC28" s="1888"/>
      <c r="BZD28" s="1882"/>
      <c r="BZE28" s="1882"/>
      <c r="BZF28" s="1882"/>
      <c r="BZH28" s="1887"/>
      <c r="BZI28" s="1888"/>
      <c r="BZJ28" s="1882"/>
      <c r="BZK28" s="1882"/>
      <c r="BZL28" s="1882"/>
      <c r="BZN28" s="1887"/>
      <c r="BZO28" s="1888"/>
      <c r="BZP28" s="1882"/>
      <c r="BZQ28" s="1882"/>
      <c r="BZR28" s="1882"/>
      <c r="BZT28" s="1887"/>
      <c r="BZU28" s="1888"/>
      <c r="BZV28" s="1882"/>
      <c r="BZW28" s="1882"/>
      <c r="BZX28" s="1882"/>
      <c r="BZZ28" s="1887"/>
      <c r="CAA28" s="1888"/>
      <c r="CAB28" s="1882"/>
      <c r="CAC28" s="1882"/>
      <c r="CAD28" s="1882"/>
      <c r="CAF28" s="1887"/>
      <c r="CAG28" s="1888"/>
      <c r="CAH28" s="1882"/>
      <c r="CAI28" s="1882"/>
      <c r="CAJ28" s="1882"/>
      <c r="CAL28" s="1887"/>
      <c r="CAM28" s="1888"/>
      <c r="CAN28" s="1882"/>
      <c r="CAO28" s="1882"/>
      <c r="CAP28" s="1882"/>
      <c r="CAR28" s="1887"/>
      <c r="CAS28" s="1888"/>
      <c r="CAT28" s="1882"/>
      <c r="CAU28" s="1882"/>
      <c r="CAV28" s="1882"/>
      <c r="CAX28" s="1887"/>
      <c r="CAY28" s="1888"/>
      <c r="CAZ28" s="1882"/>
      <c r="CBA28" s="1882"/>
      <c r="CBB28" s="1882"/>
      <c r="CBD28" s="1887"/>
      <c r="CBE28" s="1888"/>
      <c r="CBF28" s="1882"/>
      <c r="CBG28" s="1882"/>
      <c r="CBH28" s="1882"/>
      <c r="CBJ28" s="1887"/>
      <c r="CBK28" s="1888"/>
      <c r="CBL28" s="1882"/>
      <c r="CBM28" s="1882"/>
      <c r="CBN28" s="1882"/>
      <c r="CBP28" s="1887"/>
      <c r="CBQ28" s="1888"/>
      <c r="CBR28" s="1882"/>
      <c r="CBS28" s="1882"/>
      <c r="CBT28" s="1882"/>
      <c r="CBV28" s="1887"/>
      <c r="CBW28" s="1888"/>
      <c r="CBX28" s="1882"/>
      <c r="CBY28" s="1882"/>
      <c r="CBZ28" s="1882"/>
      <c r="CCB28" s="1887"/>
      <c r="CCC28" s="1888"/>
      <c r="CCD28" s="1882"/>
      <c r="CCE28" s="1882"/>
      <c r="CCF28" s="1882"/>
      <c r="CCH28" s="1887"/>
      <c r="CCI28" s="1888"/>
      <c r="CCJ28" s="1882"/>
      <c r="CCK28" s="1882"/>
      <c r="CCL28" s="1882"/>
      <c r="CCN28" s="1887"/>
      <c r="CCO28" s="1888"/>
      <c r="CCP28" s="1882"/>
      <c r="CCQ28" s="1882"/>
      <c r="CCR28" s="1882"/>
      <c r="CCT28" s="1887"/>
      <c r="CCU28" s="1888"/>
      <c r="CCV28" s="1882"/>
      <c r="CCW28" s="1882"/>
      <c r="CCX28" s="1882"/>
      <c r="CCZ28" s="1887"/>
      <c r="CDA28" s="1888"/>
      <c r="CDB28" s="1882"/>
      <c r="CDC28" s="1882"/>
      <c r="CDD28" s="1882"/>
      <c r="CDF28" s="1887"/>
      <c r="CDG28" s="1888"/>
      <c r="CDH28" s="1882"/>
      <c r="CDI28" s="1882"/>
      <c r="CDJ28" s="1882"/>
      <c r="CDL28" s="1887"/>
      <c r="CDM28" s="1888"/>
      <c r="CDN28" s="1882"/>
      <c r="CDO28" s="1882"/>
      <c r="CDP28" s="1882"/>
      <c r="CDR28" s="1887"/>
      <c r="CDS28" s="1888"/>
      <c r="CDT28" s="1882"/>
      <c r="CDU28" s="1882"/>
      <c r="CDV28" s="1882"/>
      <c r="CDX28" s="1887"/>
      <c r="CDY28" s="1888"/>
      <c r="CDZ28" s="1882"/>
      <c r="CEA28" s="1882"/>
      <c r="CEB28" s="1882"/>
      <c r="CED28" s="1887"/>
      <c r="CEE28" s="1888"/>
      <c r="CEF28" s="1882"/>
      <c r="CEG28" s="1882"/>
      <c r="CEH28" s="1882"/>
      <c r="CEJ28" s="1887"/>
      <c r="CEK28" s="1888"/>
      <c r="CEL28" s="1882"/>
      <c r="CEM28" s="1882"/>
      <c r="CEN28" s="1882"/>
      <c r="CEP28" s="1887"/>
      <c r="CEQ28" s="1888"/>
      <c r="CER28" s="1882"/>
      <c r="CES28" s="1882"/>
      <c r="CET28" s="1882"/>
      <c r="CEV28" s="1887"/>
      <c r="CEW28" s="1888"/>
      <c r="CEX28" s="1882"/>
      <c r="CEY28" s="1882"/>
      <c r="CEZ28" s="1882"/>
      <c r="CFB28" s="1887"/>
      <c r="CFC28" s="1888"/>
      <c r="CFD28" s="1882"/>
      <c r="CFE28" s="1882"/>
      <c r="CFF28" s="1882"/>
      <c r="CFH28" s="1887"/>
      <c r="CFI28" s="1888"/>
      <c r="CFJ28" s="1882"/>
      <c r="CFK28" s="1882"/>
      <c r="CFL28" s="1882"/>
      <c r="CFN28" s="1887"/>
      <c r="CFO28" s="1888"/>
      <c r="CFP28" s="1882"/>
      <c r="CFQ28" s="1882"/>
      <c r="CFR28" s="1882"/>
      <c r="CFT28" s="1887"/>
      <c r="CFU28" s="1888"/>
      <c r="CFV28" s="1882"/>
      <c r="CFW28" s="1882"/>
      <c r="CFX28" s="1882"/>
      <c r="CFZ28" s="1887"/>
      <c r="CGA28" s="1888"/>
      <c r="CGB28" s="1882"/>
      <c r="CGC28" s="1882"/>
      <c r="CGD28" s="1882"/>
      <c r="CGF28" s="1887"/>
      <c r="CGG28" s="1888"/>
      <c r="CGH28" s="1882"/>
      <c r="CGI28" s="1882"/>
      <c r="CGJ28" s="1882"/>
      <c r="CGL28" s="1887"/>
      <c r="CGM28" s="1888"/>
      <c r="CGN28" s="1882"/>
      <c r="CGO28" s="1882"/>
      <c r="CGP28" s="1882"/>
      <c r="CGR28" s="1887"/>
      <c r="CGS28" s="1888"/>
      <c r="CGT28" s="1882"/>
      <c r="CGU28" s="1882"/>
      <c r="CGV28" s="1882"/>
      <c r="CGX28" s="1887"/>
      <c r="CGY28" s="1888"/>
      <c r="CGZ28" s="1882"/>
      <c r="CHA28" s="1882"/>
      <c r="CHB28" s="1882"/>
      <c r="CHD28" s="1887"/>
      <c r="CHE28" s="1888"/>
      <c r="CHF28" s="1882"/>
      <c r="CHG28" s="1882"/>
      <c r="CHH28" s="1882"/>
      <c r="CHJ28" s="1887"/>
      <c r="CHK28" s="1888"/>
      <c r="CHL28" s="1882"/>
      <c r="CHM28" s="1882"/>
      <c r="CHN28" s="1882"/>
      <c r="CHP28" s="1887"/>
      <c r="CHQ28" s="1888"/>
      <c r="CHR28" s="1882"/>
      <c r="CHS28" s="1882"/>
      <c r="CHT28" s="1882"/>
      <c r="CHV28" s="1887"/>
      <c r="CHW28" s="1888"/>
      <c r="CHX28" s="1882"/>
      <c r="CHY28" s="1882"/>
      <c r="CHZ28" s="1882"/>
      <c r="CIB28" s="1887"/>
      <c r="CIC28" s="1888"/>
      <c r="CID28" s="1882"/>
      <c r="CIE28" s="1882"/>
      <c r="CIF28" s="1882"/>
      <c r="CIH28" s="1887"/>
      <c r="CII28" s="1888"/>
      <c r="CIJ28" s="1882"/>
      <c r="CIK28" s="1882"/>
      <c r="CIL28" s="1882"/>
      <c r="CIN28" s="1887"/>
      <c r="CIO28" s="1888"/>
      <c r="CIP28" s="1882"/>
      <c r="CIQ28" s="1882"/>
      <c r="CIR28" s="1882"/>
      <c r="CIT28" s="1887"/>
      <c r="CIU28" s="1888"/>
      <c r="CIV28" s="1882"/>
      <c r="CIW28" s="1882"/>
      <c r="CIX28" s="1882"/>
      <c r="CIZ28" s="1887"/>
      <c r="CJA28" s="1888"/>
      <c r="CJB28" s="1882"/>
      <c r="CJC28" s="1882"/>
      <c r="CJD28" s="1882"/>
      <c r="CJF28" s="1887"/>
      <c r="CJG28" s="1888"/>
      <c r="CJH28" s="1882"/>
      <c r="CJI28" s="1882"/>
      <c r="CJJ28" s="1882"/>
      <c r="CJL28" s="1887"/>
      <c r="CJM28" s="1888"/>
      <c r="CJN28" s="1882"/>
      <c r="CJO28" s="1882"/>
      <c r="CJP28" s="1882"/>
      <c r="CJR28" s="1887"/>
      <c r="CJS28" s="1888"/>
      <c r="CJT28" s="1882"/>
      <c r="CJU28" s="1882"/>
      <c r="CJV28" s="1882"/>
      <c r="CJX28" s="1887"/>
      <c r="CJY28" s="1888"/>
      <c r="CJZ28" s="1882"/>
      <c r="CKA28" s="1882"/>
      <c r="CKB28" s="1882"/>
      <c r="CKD28" s="1887"/>
      <c r="CKE28" s="1888"/>
      <c r="CKF28" s="1882"/>
      <c r="CKG28" s="1882"/>
      <c r="CKH28" s="1882"/>
      <c r="CKJ28" s="1887"/>
      <c r="CKK28" s="1888"/>
      <c r="CKL28" s="1882"/>
      <c r="CKM28" s="1882"/>
      <c r="CKN28" s="1882"/>
      <c r="CKP28" s="1887"/>
      <c r="CKQ28" s="1888"/>
      <c r="CKR28" s="1882"/>
      <c r="CKS28" s="1882"/>
      <c r="CKT28" s="1882"/>
      <c r="CKV28" s="1887"/>
      <c r="CKW28" s="1888"/>
      <c r="CKX28" s="1882"/>
      <c r="CKY28" s="1882"/>
      <c r="CKZ28" s="1882"/>
      <c r="CLB28" s="1887"/>
      <c r="CLC28" s="1888"/>
      <c r="CLD28" s="1882"/>
      <c r="CLE28" s="1882"/>
      <c r="CLF28" s="1882"/>
      <c r="CLH28" s="1887"/>
      <c r="CLI28" s="1888"/>
      <c r="CLJ28" s="1882"/>
      <c r="CLK28" s="1882"/>
      <c r="CLL28" s="1882"/>
      <c r="CLN28" s="1887"/>
      <c r="CLO28" s="1888"/>
      <c r="CLP28" s="1882"/>
      <c r="CLQ28" s="1882"/>
      <c r="CLR28" s="1882"/>
      <c r="CLT28" s="1887"/>
      <c r="CLU28" s="1888"/>
      <c r="CLV28" s="1882"/>
      <c r="CLW28" s="1882"/>
      <c r="CLX28" s="1882"/>
      <c r="CLZ28" s="1887"/>
      <c r="CMA28" s="1888"/>
      <c r="CMB28" s="1882"/>
      <c r="CMC28" s="1882"/>
      <c r="CMD28" s="1882"/>
      <c r="CMF28" s="1887"/>
      <c r="CMG28" s="1888"/>
      <c r="CMH28" s="1882"/>
      <c r="CMI28" s="1882"/>
      <c r="CMJ28" s="1882"/>
      <c r="CML28" s="1887"/>
      <c r="CMM28" s="1888"/>
      <c r="CMN28" s="1882"/>
      <c r="CMO28" s="1882"/>
      <c r="CMP28" s="1882"/>
      <c r="CMR28" s="1887"/>
      <c r="CMS28" s="1888"/>
      <c r="CMT28" s="1882"/>
      <c r="CMU28" s="1882"/>
      <c r="CMV28" s="1882"/>
      <c r="CMX28" s="1887"/>
      <c r="CMY28" s="1888"/>
      <c r="CMZ28" s="1882"/>
      <c r="CNA28" s="1882"/>
      <c r="CNB28" s="1882"/>
      <c r="CND28" s="1887"/>
      <c r="CNE28" s="1888"/>
      <c r="CNF28" s="1882"/>
      <c r="CNG28" s="1882"/>
      <c r="CNH28" s="1882"/>
      <c r="CNJ28" s="1887"/>
      <c r="CNK28" s="1888"/>
      <c r="CNL28" s="1882"/>
      <c r="CNM28" s="1882"/>
      <c r="CNN28" s="1882"/>
      <c r="CNP28" s="1887"/>
      <c r="CNQ28" s="1888"/>
      <c r="CNR28" s="1882"/>
      <c r="CNS28" s="1882"/>
      <c r="CNT28" s="1882"/>
      <c r="CNV28" s="1887"/>
      <c r="CNW28" s="1888"/>
      <c r="CNX28" s="1882"/>
      <c r="CNY28" s="1882"/>
      <c r="CNZ28" s="1882"/>
      <c r="COB28" s="1887"/>
      <c r="COC28" s="1888"/>
      <c r="COD28" s="1882"/>
      <c r="COE28" s="1882"/>
      <c r="COF28" s="1882"/>
      <c r="COH28" s="1887"/>
      <c r="COI28" s="1888"/>
      <c r="COJ28" s="1882"/>
      <c r="COK28" s="1882"/>
      <c r="COL28" s="1882"/>
      <c r="CON28" s="1887"/>
      <c r="COO28" s="1888"/>
      <c r="COP28" s="1882"/>
      <c r="COQ28" s="1882"/>
      <c r="COR28" s="1882"/>
      <c r="COT28" s="1887"/>
      <c r="COU28" s="1888"/>
      <c r="COV28" s="1882"/>
      <c r="COW28" s="1882"/>
      <c r="COX28" s="1882"/>
      <c r="COZ28" s="1887"/>
      <c r="CPA28" s="1888"/>
      <c r="CPB28" s="1882"/>
      <c r="CPC28" s="1882"/>
      <c r="CPD28" s="1882"/>
      <c r="CPF28" s="1887"/>
      <c r="CPG28" s="1888"/>
      <c r="CPH28" s="1882"/>
      <c r="CPI28" s="1882"/>
      <c r="CPJ28" s="1882"/>
      <c r="CPL28" s="1887"/>
      <c r="CPM28" s="1888"/>
      <c r="CPN28" s="1882"/>
      <c r="CPO28" s="1882"/>
      <c r="CPP28" s="1882"/>
      <c r="CPR28" s="1887"/>
      <c r="CPS28" s="1888"/>
      <c r="CPT28" s="1882"/>
      <c r="CPU28" s="1882"/>
      <c r="CPV28" s="1882"/>
      <c r="CPX28" s="1887"/>
      <c r="CPY28" s="1888"/>
      <c r="CPZ28" s="1882"/>
      <c r="CQA28" s="1882"/>
      <c r="CQB28" s="1882"/>
      <c r="CQD28" s="1887"/>
      <c r="CQE28" s="1888"/>
      <c r="CQF28" s="1882"/>
      <c r="CQG28" s="1882"/>
      <c r="CQH28" s="1882"/>
      <c r="CQJ28" s="1887"/>
      <c r="CQK28" s="1888"/>
      <c r="CQL28" s="1882"/>
      <c r="CQM28" s="1882"/>
      <c r="CQN28" s="1882"/>
      <c r="CQP28" s="1887"/>
      <c r="CQQ28" s="1888"/>
      <c r="CQR28" s="1882"/>
      <c r="CQS28" s="1882"/>
      <c r="CQT28" s="1882"/>
      <c r="CQV28" s="1887"/>
      <c r="CQW28" s="1888"/>
      <c r="CQX28" s="1882"/>
      <c r="CQY28" s="1882"/>
      <c r="CQZ28" s="1882"/>
      <c r="CRB28" s="1887"/>
      <c r="CRC28" s="1888"/>
      <c r="CRD28" s="1882"/>
      <c r="CRE28" s="1882"/>
      <c r="CRF28" s="1882"/>
      <c r="CRH28" s="1887"/>
      <c r="CRI28" s="1888"/>
      <c r="CRJ28" s="1882"/>
      <c r="CRK28" s="1882"/>
      <c r="CRL28" s="1882"/>
      <c r="CRN28" s="1887"/>
      <c r="CRO28" s="1888"/>
      <c r="CRP28" s="1882"/>
      <c r="CRQ28" s="1882"/>
      <c r="CRR28" s="1882"/>
      <c r="CRT28" s="1887"/>
      <c r="CRU28" s="1888"/>
      <c r="CRV28" s="1882"/>
      <c r="CRW28" s="1882"/>
      <c r="CRX28" s="1882"/>
      <c r="CRZ28" s="1887"/>
      <c r="CSA28" s="1888"/>
      <c r="CSB28" s="1882"/>
      <c r="CSC28" s="1882"/>
      <c r="CSD28" s="1882"/>
      <c r="CSF28" s="1887"/>
      <c r="CSG28" s="1888"/>
      <c r="CSH28" s="1882"/>
      <c r="CSI28" s="1882"/>
      <c r="CSJ28" s="1882"/>
      <c r="CSL28" s="1887"/>
      <c r="CSM28" s="1888"/>
      <c r="CSN28" s="1882"/>
      <c r="CSO28" s="1882"/>
      <c r="CSP28" s="1882"/>
      <c r="CSR28" s="1887"/>
      <c r="CSS28" s="1888"/>
      <c r="CST28" s="1882"/>
      <c r="CSU28" s="1882"/>
      <c r="CSV28" s="1882"/>
      <c r="CSX28" s="1887"/>
      <c r="CSY28" s="1888"/>
      <c r="CSZ28" s="1882"/>
      <c r="CTA28" s="1882"/>
      <c r="CTB28" s="1882"/>
      <c r="CTD28" s="1887"/>
      <c r="CTE28" s="1888"/>
      <c r="CTF28" s="1882"/>
      <c r="CTG28" s="1882"/>
      <c r="CTH28" s="1882"/>
      <c r="CTJ28" s="1887"/>
      <c r="CTK28" s="1888"/>
      <c r="CTL28" s="1882"/>
      <c r="CTM28" s="1882"/>
      <c r="CTN28" s="1882"/>
      <c r="CTP28" s="1887"/>
      <c r="CTQ28" s="1888"/>
      <c r="CTR28" s="1882"/>
      <c r="CTS28" s="1882"/>
      <c r="CTT28" s="1882"/>
      <c r="CTV28" s="1887"/>
      <c r="CTW28" s="1888"/>
      <c r="CTX28" s="1882"/>
      <c r="CTY28" s="1882"/>
      <c r="CTZ28" s="1882"/>
      <c r="CUB28" s="1887"/>
      <c r="CUC28" s="1888"/>
      <c r="CUD28" s="1882"/>
      <c r="CUE28" s="1882"/>
      <c r="CUF28" s="1882"/>
      <c r="CUH28" s="1887"/>
      <c r="CUI28" s="1888"/>
      <c r="CUJ28" s="1882"/>
      <c r="CUK28" s="1882"/>
      <c r="CUL28" s="1882"/>
      <c r="CUN28" s="1887"/>
      <c r="CUO28" s="1888"/>
      <c r="CUP28" s="1882"/>
      <c r="CUQ28" s="1882"/>
      <c r="CUR28" s="1882"/>
      <c r="CUT28" s="1887"/>
      <c r="CUU28" s="1888"/>
      <c r="CUV28" s="1882"/>
      <c r="CUW28" s="1882"/>
      <c r="CUX28" s="1882"/>
      <c r="CUZ28" s="1887"/>
      <c r="CVA28" s="1888"/>
      <c r="CVB28" s="1882"/>
      <c r="CVC28" s="1882"/>
      <c r="CVD28" s="1882"/>
      <c r="CVF28" s="1887"/>
      <c r="CVG28" s="1888"/>
      <c r="CVH28" s="1882"/>
      <c r="CVI28" s="1882"/>
      <c r="CVJ28" s="1882"/>
      <c r="CVL28" s="1887"/>
      <c r="CVM28" s="1888"/>
      <c r="CVN28" s="1882"/>
      <c r="CVO28" s="1882"/>
      <c r="CVP28" s="1882"/>
      <c r="CVR28" s="1887"/>
      <c r="CVS28" s="1888"/>
      <c r="CVT28" s="1882"/>
      <c r="CVU28" s="1882"/>
      <c r="CVV28" s="1882"/>
      <c r="CVX28" s="1887"/>
      <c r="CVY28" s="1888"/>
      <c r="CVZ28" s="1882"/>
      <c r="CWA28" s="1882"/>
      <c r="CWB28" s="1882"/>
      <c r="CWD28" s="1887"/>
      <c r="CWE28" s="1888"/>
      <c r="CWF28" s="1882"/>
      <c r="CWG28" s="1882"/>
      <c r="CWH28" s="1882"/>
      <c r="CWJ28" s="1887"/>
      <c r="CWK28" s="1888"/>
      <c r="CWL28" s="1882"/>
      <c r="CWM28" s="1882"/>
      <c r="CWN28" s="1882"/>
      <c r="CWP28" s="1887"/>
      <c r="CWQ28" s="1888"/>
      <c r="CWR28" s="1882"/>
      <c r="CWS28" s="1882"/>
      <c r="CWT28" s="1882"/>
      <c r="CWV28" s="1887"/>
      <c r="CWW28" s="1888"/>
      <c r="CWX28" s="1882"/>
      <c r="CWY28" s="1882"/>
      <c r="CWZ28" s="1882"/>
      <c r="CXB28" s="1887"/>
      <c r="CXC28" s="1888"/>
      <c r="CXD28" s="1882"/>
      <c r="CXE28" s="1882"/>
      <c r="CXF28" s="1882"/>
      <c r="CXH28" s="1887"/>
      <c r="CXI28" s="1888"/>
      <c r="CXJ28" s="1882"/>
      <c r="CXK28" s="1882"/>
      <c r="CXL28" s="1882"/>
      <c r="CXN28" s="1887"/>
      <c r="CXO28" s="1888"/>
      <c r="CXP28" s="1882"/>
      <c r="CXQ28" s="1882"/>
      <c r="CXR28" s="1882"/>
      <c r="CXT28" s="1887"/>
      <c r="CXU28" s="1888"/>
      <c r="CXV28" s="1882"/>
      <c r="CXW28" s="1882"/>
      <c r="CXX28" s="1882"/>
      <c r="CXZ28" s="1887"/>
      <c r="CYA28" s="1888"/>
      <c r="CYB28" s="1882"/>
      <c r="CYC28" s="1882"/>
      <c r="CYD28" s="1882"/>
      <c r="CYF28" s="1887"/>
      <c r="CYG28" s="1888"/>
      <c r="CYH28" s="1882"/>
      <c r="CYI28" s="1882"/>
      <c r="CYJ28" s="1882"/>
      <c r="CYL28" s="1887"/>
      <c r="CYM28" s="1888"/>
      <c r="CYN28" s="1882"/>
      <c r="CYO28" s="1882"/>
      <c r="CYP28" s="1882"/>
      <c r="CYR28" s="1887"/>
      <c r="CYS28" s="1888"/>
      <c r="CYT28" s="1882"/>
      <c r="CYU28" s="1882"/>
      <c r="CYV28" s="1882"/>
      <c r="CYX28" s="1887"/>
      <c r="CYY28" s="1888"/>
      <c r="CYZ28" s="1882"/>
      <c r="CZA28" s="1882"/>
      <c r="CZB28" s="1882"/>
      <c r="CZD28" s="1887"/>
      <c r="CZE28" s="1888"/>
      <c r="CZF28" s="1882"/>
      <c r="CZG28" s="1882"/>
      <c r="CZH28" s="1882"/>
      <c r="CZJ28" s="1887"/>
      <c r="CZK28" s="1888"/>
      <c r="CZL28" s="1882"/>
      <c r="CZM28" s="1882"/>
      <c r="CZN28" s="1882"/>
      <c r="CZP28" s="1887"/>
      <c r="CZQ28" s="1888"/>
      <c r="CZR28" s="1882"/>
      <c r="CZS28" s="1882"/>
      <c r="CZT28" s="1882"/>
      <c r="CZV28" s="1887"/>
      <c r="CZW28" s="1888"/>
      <c r="CZX28" s="1882"/>
      <c r="CZY28" s="1882"/>
      <c r="CZZ28" s="1882"/>
      <c r="DAB28" s="1887"/>
      <c r="DAC28" s="1888"/>
      <c r="DAD28" s="1882"/>
      <c r="DAE28" s="1882"/>
      <c r="DAF28" s="1882"/>
      <c r="DAH28" s="1887"/>
      <c r="DAI28" s="1888"/>
      <c r="DAJ28" s="1882"/>
      <c r="DAK28" s="1882"/>
      <c r="DAL28" s="1882"/>
      <c r="DAN28" s="1887"/>
      <c r="DAO28" s="1888"/>
      <c r="DAP28" s="1882"/>
      <c r="DAQ28" s="1882"/>
      <c r="DAR28" s="1882"/>
      <c r="DAT28" s="1887"/>
      <c r="DAU28" s="1888"/>
      <c r="DAV28" s="1882"/>
      <c r="DAW28" s="1882"/>
      <c r="DAX28" s="1882"/>
      <c r="DAZ28" s="1887"/>
      <c r="DBA28" s="1888"/>
      <c r="DBB28" s="1882"/>
      <c r="DBC28" s="1882"/>
      <c r="DBD28" s="1882"/>
      <c r="DBF28" s="1887"/>
      <c r="DBG28" s="1888"/>
      <c r="DBH28" s="1882"/>
      <c r="DBI28" s="1882"/>
      <c r="DBJ28" s="1882"/>
      <c r="DBL28" s="1887"/>
      <c r="DBM28" s="1888"/>
      <c r="DBN28" s="1882"/>
      <c r="DBO28" s="1882"/>
      <c r="DBP28" s="1882"/>
      <c r="DBR28" s="1887"/>
      <c r="DBS28" s="1888"/>
      <c r="DBT28" s="1882"/>
      <c r="DBU28" s="1882"/>
      <c r="DBV28" s="1882"/>
      <c r="DBX28" s="1887"/>
      <c r="DBY28" s="1888"/>
      <c r="DBZ28" s="1882"/>
      <c r="DCA28" s="1882"/>
      <c r="DCB28" s="1882"/>
      <c r="DCD28" s="1887"/>
      <c r="DCE28" s="1888"/>
      <c r="DCF28" s="1882"/>
      <c r="DCG28" s="1882"/>
      <c r="DCH28" s="1882"/>
      <c r="DCJ28" s="1887"/>
      <c r="DCK28" s="1888"/>
      <c r="DCL28" s="1882"/>
      <c r="DCM28" s="1882"/>
      <c r="DCN28" s="1882"/>
      <c r="DCP28" s="1887"/>
      <c r="DCQ28" s="1888"/>
      <c r="DCR28" s="1882"/>
      <c r="DCS28" s="1882"/>
      <c r="DCT28" s="1882"/>
      <c r="DCV28" s="1887"/>
      <c r="DCW28" s="1888"/>
      <c r="DCX28" s="1882"/>
      <c r="DCY28" s="1882"/>
      <c r="DCZ28" s="1882"/>
      <c r="DDB28" s="1887"/>
      <c r="DDC28" s="1888"/>
      <c r="DDD28" s="1882"/>
      <c r="DDE28" s="1882"/>
      <c r="DDF28" s="1882"/>
      <c r="DDH28" s="1887"/>
      <c r="DDI28" s="1888"/>
      <c r="DDJ28" s="1882"/>
      <c r="DDK28" s="1882"/>
      <c r="DDL28" s="1882"/>
      <c r="DDN28" s="1887"/>
      <c r="DDO28" s="1888"/>
      <c r="DDP28" s="1882"/>
      <c r="DDQ28" s="1882"/>
      <c r="DDR28" s="1882"/>
      <c r="DDT28" s="1887"/>
      <c r="DDU28" s="1888"/>
      <c r="DDV28" s="1882"/>
      <c r="DDW28" s="1882"/>
      <c r="DDX28" s="1882"/>
      <c r="DDZ28" s="1887"/>
      <c r="DEA28" s="1888"/>
      <c r="DEB28" s="1882"/>
      <c r="DEC28" s="1882"/>
      <c r="DED28" s="1882"/>
      <c r="DEF28" s="1887"/>
      <c r="DEG28" s="1888"/>
      <c r="DEH28" s="1882"/>
      <c r="DEI28" s="1882"/>
      <c r="DEJ28" s="1882"/>
      <c r="DEL28" s="1887"/>
      <c r="DEM28" s="1888"/>
      <c r="DEN28" s="1882"/>
      <c r="DEO28" s="1882"/>
      <c r="DEP28" s="1882"/>
      <c r="DER28" s="1887"/>
      <c r="DES28" s="1888"/>
      <c r="DET28" s="1882"/>
      <c r="DEU28" s="1882"/>
      <c r="DEV28" s="1882"/>
      <c r="DEX28" s="1887"/>
      <c r="DEY28" s="1888"/>
      <c r="DEZ28" s="1882"/>
      <c r="DFA28" s="1882"/>
      <c r="DFB28" s="1882"/>
      <c r="DFD28" s="1887"/>
      <c r="DFE28" s="1888"/>
      <c r="DFF28" s="1882"/>
      <c r="DFG28" s="1882"/>
      <c r="DFH28" s="1882"/>
      <c r="DFJ28" s="1887"/>
      <c r="DFK28" s="1888"/>
      <c r="DFL28" s="1882"/>
      <c r="DFM28" s="1882"/>
      <c r="DFN28" s="1882"/>
      <c r="DFP28" s="1887"/>
      <c r="DFQ28" s="1888"/>
      <c r="DFR28" s="1882"/>
      <c r="DFS28" s="1882"/>
      <c r="DFT28" s="1882"/>
      <c r="DFV28" s="1887"/>
      <c r="DFW28" s="1888"/>
      <c r="DFX28" s="1882"/>
      <c r="DFY28" s="1882"/>
      <c r="DFZ28" s="1882"/>
      <c r="DGB28" s="1887"/>
      <c r="DGC28" s="1888"/>
      <c r="DGD28" s="1882"/>
      <c r="DGE28" s="1882"/>
      <c r="DGF28" s="1882"/>
      <c r="DGH28" s="1887"/>
      <c r="DGI28" s="1888"/>
      <c r="DGJ28" s="1882"/>
      <c r="DGK28" s="1882"/>
      <c r="DGL28" s="1882"/>
      <c r="DGN28" s="1887"/>
      <c r="DGO28" s="1888"/>
      <c r="DGP28" s="1882"/>
      <c r="DGQ28" s="1882"/>
      <c r="DGR28" s="1882"/>
      <c r="DGT28" s="1887"/>
      <c r="DGU28" s="1888"/>
      <c r="DGV28" s="1882"/>
      <c r="DGW28" s="1882"/>
      <c r="DGX28" s="1882"/>
      <c r="DGZ28" s="1887"/>
      <c r="DHA28" s="1888"/>
      <c r="DHB28" s="1882"/>
      <c r="DHC28" s="1882"/>
      <c r="DHD28" s="1882"/>
      <c r="DHF28" s="1887"/>
      <c r="DHG28" s="1888"/>
      <c r="DHH28" s="1882"/>
      <c r="DHI28" s="1882"/>
      <c r="DHJ28" s="1882"/>
      <c r="DHL28" s="1887"/>
      <c r="DHM28" s="1888"/>
      <c r="DHN28" s="1882"/>
      <c r="DHO28" s="1882"/>
      <c r="DHP28" s="1882"/>
      <c r="DHR28" s="1887"/>
      <c r="DHS28" s="1888"/>
      <c r="DHT28" s="1882"/>
      <c r="DHU28" s="1882"/>
      <c r="DHV28" s="1882"/>
      <c r="DHX28" s="1887"/>
      <c r="DHY28" s="1888"/>
      <c r="DHZ28" s="1882"/>
      <c r="DIA28" s="1882"/>
      <c r="DIB28" s="1882"/>
      <c r="DID28" s="1887"/>
      <c r="DIE28" s="1888"/>
      <c r="DIF28" s="1882"/>
      <c r="DIG28" s="1882"/>
      <c r="DIH28" s="1882"/>
      <c r="DIJ28" s="1887"/>
      <c r="DIK28" s="1888"/>
      <c r="DIL28" s="1882"/>
      <c r="DIM28" s="1882"/>
      <c r="DIN28" s="1882"/>
      <c r="DIP28" s="1887"/>
      <c r="DIQ28" s="1888"/>
      <c r="DIR28" s="1882"/>
      <c r="DIS28" s="1882"/>
      <c r="DIT28" s="1882"/>
      <c r="DIV28" s="1887"/>
      <c r="DIW28" s="1888"/>
      <c r="DIX28" s="1882"/>
      <c r="DIY28" s="1882"/>
      <c r="DIZ28" s="1882"/>
      <c r="DJB28" s="1887"/>
      <c r="DJC28" s="1888"/>
      <c r="DJD28" s="1882"/>
      <c r="DJE28" s="1882"/>
      <c r="DJF28" s="1882"/>
      <c r="DJH28" s="1887"/>
      <c r="DJI28" s="1888"/>
      <c r="DJJ28" s="1882"/>
      <c r="DJK28" s="1882"/>
      <c r="DJL28" s="1882"/>
      <c r="DJN28" s="1887"/>
      <c r="DJO28" s="1888"/>
      <c r="DJP28" s="1882"/>
      <c r="DJQ28" s="1882"/>
      <c r="DJR28" s="1882"/>
      <c r="DJT28" s="1887"/>
      <c r="DJU28" s="1888"/>
      <c r="DJV28" s="1882"/>
      <c r="DJW28" s="1882"/>
      <c r="DJX28" s="1882"/>
      <c r="DJZ28" s="1887"/>
      <c r="DKA28" s="1888"/>
      <c r="DKB28" s="1882"/>
      <c r="DKC28" s="1882"/>
      <c r="DKD28" s="1882"/>
      <c r="DKF28" s="1887"/>
      <c r="DKG28" s="1888"/>
      <c r="DKH28" s="1882"/>
      <c r="DKI28" s="1882"/>
      <c r="DKJ28" s="1882"/>
      <c r="DKL28" s="1887"/>
      <c r="DKM28" s="1888"/>
      <c r="DKN28" s="1882"/>
      <c r="DKO28" s="1882"/>
      <c r="DKP28" s="1882"/>
      <c r="DKR28" s="1887"/>
      <c r="DKS28" s="1888"/>
      <c r="DKT28" s="1882"/>
      <c r="DKU28" s="1882"/>
      <c r="DKV28" s="1882"/>
      <c r="DKX28" s="1887"/>
      <c r="DKY28" s="1888"/>
      <c r="DKZ28" s="1882"/>
      <c r="DLA28" s="1882"/>
      <c r="DLB28" s="1882"/>
      <c r="DLD28" s="1887"/>
      <c r="DLE28" s="1888"/>
      <c r="DLF28" s="1882"/>
      <c r="DLG28" s="1882"/>
      <c r="DLH28" s="1882"/>
      <c r="DLJ28" s="1887"/>
      <c r="DLK28" s="1888"/>
      <c r="DLL28" s="1882"/>
      <c r="DLM28" s="1882"/>
      <c r="DLN28" s="1882"/>
      <c r="DLP28" s="1887"/>
      <c r="DLQ28" s="1888"/>
      <c r="DLR28" s="1882"/>
      <c r="DLS28" s="1882"/>
      <c r="DLT28" s="1882"/>
      <c r="DLV28" s="1887"/>
      <c r="DLW28" s="1888"/>
      <c r="DLX28" s="1882"/>
      <c r="DLY28" s="1882"/>
      <c r="DLZ28" s="1882"/>
      <c r="DMB28" s="1887"/>
      <c r="DMC28" s="1888"/>
      <c r="DMD28" s="1882"/>
      <c r="DME28" s="1882"/>
      <c r="DMF28" s="1882"/>
      <c r="DMH28" s="1887"/>
      <c r="DMI28" s="1888"/>
      <c r="DMJ28" s="1882"/>
      <c r="DMK28" s="1882"/>
      <c r="DML28" s="1882"/>
      <c r="DMN28" s="1887"/>
      <c r="DMO28" s="1888"/>
      <c r="DMP28" s="1882"/>
      <c r="DMQ28" s="1882"/>
      <c r="DMR28" s="1882"/>
      <c r="DMT28" s="1887"/>
      <c r="DMU28" s="1888"/>
      <c r="DMV28" s="1882"/>
      <c r="DMW28" s="1882"/>
      <c r="DMX28" s="1882"/>
      <c r="DMZ28" s="1887"/>
      <c r="DNA28" s="1888"/>
      <c r="DNB28" s="1882"/>
      <c r="DNC28" s="1882"/>
      <c r="DND28" s="1882"/>
      <c r="DNF28" s="1887"/>
      <c r="DNG28" s="1888"/>
      <c r="DNH28" s="1882"/>
      <c r="DNI28" s="1882"/>
      <c r="DNJ28" s="1882"/>
      <c r="DNL28" s="1887"/>
      <c r="DNM28" s="1888"/>
      <c r="DNN28" s="1882"/>
      <c r="DNO28" s="1882"/>
      <c r="DNP28" s="1882"/>
      <c r="DNR28" s="1887"/>
      <c r="DNS28" s="1888"/>
      <c r="DNT28" s="1882"/>
      <c r="DNU28" s="1882"/>
      <c r="DNV28" s="1882"/>
      <c r="DNX28" s="1887"/>
      <c r="DNY28" s="1888"/>
      <c r="DNZ28" s="1882"/>
      <c r="DOA28" s="1882"/>
      <c r="DOB28" s="1882"/>
      <c r="DOD28" s="1887"/>
      <c r="DOE28" s="1888"/>
      <c r="DOF28" s="1882"/>
      <c r="DOG28" s="1882"/>
      <c r="DOH28" s="1882"/>
      <c r="DOJ28" s="1887"/>
      <c r="DOK28" s="1888"/>
      <c r="DOL28" s="1882"/>
      <c r="DOM28" s="1882"/>
      <c r="DON28" s="1882"/>
      <c r="DOP28" s="1887"/>
      <c r="DOQ28" s="1888"/>
      <c r="DOR28" s="1882"/>
      <c r="DOS28" s="1882"/>
      <c r="DOT28" s="1882"/>
      <c r="DOV28" s="1887"/>
      <c r="DOW28" s="1888"/>
      <c r="DOX28" s="1882"/>
      <c r="DOY28" s="1882"/>
      <c r="DOZ28" s="1882"/>
      <c r="DPB28" s="1887"/>
      <c r="DPC28" s="1888"/>
      <c r="DPD28" s="1882"/>
      <c r="DPE28" s="1882"/>
      <c r="DPF28" s="1882"/>
      <c r="DPH28" s="1887"/>
      <c r="DPI28" s="1888"/>
      <c r="DPJ28" s="1882"/>
      <c r="DPK28" s="1882"/>
      <c r="DPL28" s="1882"/>
      <c r="DPN28" s="1887"/>
      <c r="DPO28" s="1888"/>
      <c r="DPP28" s="1882"/>
      <c r="DPQ28" s="1882"/>
      <c r="DPR28" s="1882"/>
      <c r="DPT28" s="1887"/>
      <c r="DPU28" s="1888"/>
      <c r="DPV28" s="1882"/>
      <c r="DPW28" s="1882"/>
      <c r="DPX28" s="1882"/>
      <c r="DPZ28" s="1887"/>
      <c r="DQA28" s="1888"/>
      <c r="DQB28" s="1882"/>
      <c r="DQC28" s="1882"/>
      <c r="DQD28" s="1882"/>
      <c r="DQF28" s="1887"/>
      <c r="DQG28" s="1888"/>
      <c r="DQH28" s="1882"/>
      <c r="DQI28" s="1882"/>
      <c r="DQJ28" s="1882"/>
      <c r="DQL28" s="1887"/>
      <c r="DQM28" s="1888"/>
      <c r="DQN28" s="1882"/>
      <c r="DQO28" s="1882"/>
      <c r="DQP28" s="1882"/>
      <c r="DQR28" s="1887"/>
      <c r="DQS28" s="1888"/>
      <c r="DQT28" s="1882"/>
      <c r="DQU28" s="1882"/>
      <c r="DQV28" s="1882"/>
      <c r="DQX28" s="1887"/>
      <c r="DQY28" s="1888"/>
      <c r="DQZ28" s="1882"/>
      <c r="DRA28" s="1882"/>
      <c r="DRB28" s="1882"/>
      <c r="DRD28" s="1887"/>
      <c r="DRE28" s="1888"/>
      <c r="DRF28" s="1882"/>
      <c r="DRG28" s="1882"/>
      <c r="DRH28" s="1882"/>
      <c r="DRJ28" s="1887"/>
      <c r="DRK28" s="1888"/>
      <c r="DRL28" s="1882"/>
      <c r="DRM28" s="1882"/>
      <c r="DRN28" s="1882"/>
      <c r="DRP28" s="1887"/>
      <c r="DRQ28" s="1888"/>
      <c r="DRR28" s="1882"/>
      <c r="DRS28" s="1882"/>
      <c r="DRT28" s="1882"/>
      <c r="DRV28" s="1887"/>
      <c r="DRW28" s="1888"/>
      <c r="DRX28" s="1882"/>
      <c r="DRY28" s="1882"/>
      <c r="DRZ28" s="1882"/>
      <c r="DSB28" s="1887"/>
      <c r="DSC28" s="1888"/>
      <c r="DSD28" s="1882"/>
      <c r="DSE28" s="1882"/>
      <c r="DSF28" s="1882"/>
      <c r="DSH28" s="1887"/>
      <c r="DSI28" s="1888"/>
      <c r="DSJ28" s="1882"/>
      <c r="DSK28" s="1882"/>
      <c r="DSL28" s="1882"/>
      <c r="DSN28" s="1887"/>
      <c r="DSO28" s="1888"/>
      <c r="DSP28" s="1882"/>
      <c r="DSQ28" s="1882"/>
      <c r="DSR28" s="1882"/>
      <c r="DST28" s="1887"/>
      <c r="DSU28" s="1888"/>
      <c r="DSV28" s="1882"/>
      <c r="DSW28" s="1882"/>
      <c r="DSX28" s="1882"/>
      <c r="DSZ28" s="1887"/>
      <c r="DTA28" s="1888"/>
      <c r="DTB28" s="1882"/>
      <c r="DTC28" s="1882"/>
      <c r="DTD28" s="1882"/>
      <c r="DTF28" s="1887"/>
      <c r="DTG28" s="1888"/>
      <c r="DTH28" s="1882"/>
      <c r="DTI28" s="1882"/>
      <c r="DTJ28" s="1882"/>
      <c r="DTL28" s="1887"/>
      <c r="DTM28" s="1888"/>
      <c r="DTN28" s="1882"/>
      <c r="DTO28" s="1882"/>
      <c r="DTP28" s="1882"/>
      <c r="DTR28" s="1887"/>
      <c r="DTS28" s="1888"/>
      <c r="DTT28" s="1882"/>
      <c r="DTU28" s="1882"/>
      <c r="DTV28" s="1882"/>
      <c r="DTX28" s="1887"/>
      <c r="DTY28" s="1888"/>
      <c r="DTZ28" s="1882"/>
      <c r="DUA28" s="1882"/>
      <c r="DUB28" s="1882"/>
      <c r="DUD28" s="1887"/>
      <c r="DUE28" s="1888"/>
      <c r="DUF28" s="1882"/>
      <c r="DUG28" s="1882"/>
      <c r="DUH28" s="1882"/>
      <c r="DUJ28" s="1887"/>
      <c r="DUK28" s="1888"/>
      <c r="DUL28" s="1882"/>
      <c r="DUM28" s="1882"/>
      <c r="DUN28" s="1882"/>
      <c r="DUP28" s="1887"/>
      <c r="DUQ28" s="1888"/>
      <c r="DUR28" s="1882"/>
      <c r="DUS28" s="1882"/>
      <c r="DUT28" s="1882"/>
      <c r="DUV28" s="1887"/>
      <c r="DUW28" s="1888"/>
      <c r="DUX28" s="1882"/>
      <c r="DUY28" s="1882"/>
      <c r="DUZ28" s="1882"/>
      <c r="DVB28" s="1887"/>
      <c r="DVC28" s="1888"/>
      <c r="DVD28" s="1882"/>
      <c r="DVE28" s="1882"/>
      <c r="DVF28" s="1882"/>
      <c r="DVH28" s="1887"/>
      <c r="DVI28" s="1888"/>
      <c r="DVJ28" s="1882"/>
      <c r="DVK28" s="1882"/>
      <c r="DVL28" s="1882"/>
      <c r="DVN28" s="1887"/>
      <c r="DVO28" s="1888"/>
      <c r="DVP28" s="1882"/>
      <c r="DVQ28" s="1882"/>
      <c r="DVR28" s="1882"/>
      <c r="DVT28" s="1887"/>
      <c r="DVU28" s="1888"/>
      <c r="DVV28" s="1882"/>
      <c r="DVW28" s="1882"/>
      <c r="DVX28" s="1882"/>
      <c r="DVZ28" s="1887"/>
      <c r="DWA28" s="1888"/>
      <c r="DWB28" s="1882"/>
      <c r="DWC28" s="1882"/>
      <c r="DWD28" s="1882"/>
      <c r="DWF28" s="1887"/>
      <c r="DWG28" s="1888"/>
      <c r="DWH28" s="1882"/>
      <c r="DWI28" s="1882"/>
      <c r="DWJ28" s="1882"/>
      <c r="DWL28" s="1887"/>
      <c r="DWM28" s="1888"/>
      <c r="DWN28" s="1882"/>
      <c r="DWO28" s="1882"/>
      <c r="DWP28" s="1882"/>
      <c r="DWR28" s="1887"/>
      <c r="DWS28" s="1888"/>
      <c r="DWT28" s="1882"/>
      <c r="DWU28" s="1882"/>
      <c r="DWV28" s="1882"/>
      <c r="DWX28" s="1887"/>
      <c r="DWY28" s="1888"/>
      <c r="DWZ28" s="1882"/>
      <c r="DXA28" s="1882"/>
      <c r="DXB28" s="1882"/>
      <c r="DXD28" s="1887"/>
      <c r="DXE28" s="1888"/>
      <c r="DXF28" s="1882"/>
      <c r="DXG28" s="1882"/>
      <c r="DXH28" s="1882"/>
      <c r="DXJ28" s="1887"/>
      <c r="DXK28" s="1888"/>
      <c r="DXL28" s="1882"/>
      <c r="DXM28" s="1882"/>
      <c r="DXN28" s="1882"/>
      <c r="DXP28" s="1887"/>
      <c r="DXQ28" s="1888"/>
      <c r="DXR28" s="1882"/>
      <c r="DXS28" s="1882"/>
      <c r="DXT28" s="1882"/>
      <c r="DXV28" s="1887"/>
      <c r="DXW28" s="1888"/>
      <c r="DXX28" s="1882"/>
      <c r="DXY28" s="1882"/>
      <c r="DXZ28" s="1882"/>
      <c r="DYB28" s="1887"/>
      <c r="DYC28" s="1888"/>
      <c r="DYD28" s="1882"/>
      <c r="DYE28" s="1882"/>
      <c r="DYF28" s="1882"/>
      <c r="DYH28" s="1887"/>
      <c r="DYI28" s="1888"/>
      <c r="DYJ28" s="1882"/>
      <c r="DYK28" s="1882"/>
      <c r="DYL28" s="1882"/>
      <c r="DYN28" s="1887"/>
      <c r="DYO28" s="1888"/>
      <c r="DYP28" s="1882"/>
      <c r="DYQ28" s="1882"/>
      <c r="DYR28" s="1882"/>
      <c r="DYT28" s="1887"/>
      <c r="DYU28" s="1888"/>
      <c r="DYV28" s="1882"/>
      <c r="DYW28" s="1882"/>
      <c r="DYX28" s="1882"/>
      <c r="DYZ28" s="1887"/>
      <c r="DZA28" s="1888"/>
      <c r="DZB28" s="1882"/>
      <c r="DZC28" s="1882"/>
      <c r="DZD28" s="1882"/>
      <c r="DZF28" s="1887"/>
      <c r="DZG28" s="1888"/>
      <c r="DZH28" s="1882"/>
      <c r="DZI28" s="1882"/>
      <c r="DZJ28" s="1882"/>
      <c r="DZL28" s="1887"/>
      <c r="DZM28" s="1888"/>
      <c r="DZN28" s="1882"/>
      <c r="DZO28" s="1882"/>
      <c r="DZP28" s="1882"/>
      <c r="DZR28" s="1887"/>
      <c r="DZS28" s="1888"/>
      <c r="DZT28" s="1882"/>
      <c r="DZU28" s="1882"/>
      <c r="DZV28" s="1882"/>
      <c r="DZX28" s="1887"/>
      <c r="DZY28" s="1888"/>
      <c r="DZZ28" s="1882"/>
      <c r="EAA28" s="1882"/>
      <c r="EAB28" s="1882"/>
      <c r="EAD28" s="1887"/>
      <c r="EAE28" s="1888"/>
      <c r="EAF28" s="1882"/>
      <c r="EAG28" s="1882"/>
      <c r="EAH28" s="1882"/>
      <c r="EAJ28" s="1887"/>
      <c r="EAK28" s="1888"/>
      <c r="EAL28" s="1882"/>
      <c r="EAM28" s="1882"/>
      <c r="EAN28" s="1882"/>
      <c r="EAP28" s="1887"/>
      <c r="EAQ28" s="1888"/>
      <c r="EAR28" s="1882"/>
      <c r="EAS28" s="1882"/>
      <c r="EAT28" s="1882"/>
      <c r="EAV28" s="1887"/>
      <c r="EAW28" s="1888"/>
      <c r="EAX28" s="1882"/>
      <c r="EAY28" s="1882"/>
      <c r="EAZ28" s="1882"/>
      <c r="EBB28" s="1887"/>
      <c r="EBC28" s="1888"/>
      <c r="EBD28" s="1882"/>
      <c r="EBE28" s="1882"/>
      <c r="EBF28" s="1882"/>
      <c r="EBH28" s="1887"/>
      <c r="EBI28" s="1888"/>
      <c r="EBJ28" s="1882"/>
      <c r="EBK28" s="1882"/>
      <c r="EBL28" s="1882"/>
      <c r="EBN28" s="1887"/>
      <c r="EBO28" s="1888"/>
      <c r="EBP28" s="1882"/>
      <c r="EBQ28" s="1882"/>
      <c r="EBR28" s="1882"/>
      <c r="EBT28" s="1887"/>
      <c r="EBU28" s="1888"/>
      <c r="EBV28" s="1882"/>
      <c r="EBW28" s="1882"/>
      <c r="EBX28" s="1882"/>
      <c r="EBZ28" s="1887"/>
      <c r="ECA28" s="1888"/>
      <c r="ECB28" s="1882"/>
      <c r="ECC28" s="1882"/>
      <c r="ECD28" s="1882"/>
      <c r="ECF28" s="1887"/>
      <c r="ECG28" s="1888"/>
      <c r="ECH28" s="1882"/>
      <c r="ECI28" s="1882"/>
      <c r="ECJ28" s="1882"/>
      <c r="ECL28" s="1887"/>
      <c r="ECM28" s="1888"/>
      <c r="ECN28" s="1882"/>
      <c r="ECO28" s="1882"/>
      <c r="ECP28" s="1882"/>
      <c r="ECR28" s="1887"/>
      <c r="ECS28" s="1888"/>
      <c r="ECT28" s="1882"/>
      <c r="ECU28" s="1882"/>
      <c r="ECV28" s="1882"/>
      <c r="ECX28" s="1887"/>
      <c r="ECY28" s="1888"/>
      <c r="ECZ28" s="1882"/>
      <c r="EDA28" s="1882"/>
      <c r="EDB28" s="1882"/>
      <c r="EDD28" s="1887"/>
      <c r="EDE28" s="1888"/>
      <c r="EDF28" s="1882"/>
      <c r="EDG28" s="1882"/>
      <c r="EDH28" s="1882"/>
      <c r="EDJ28" s="1887"/>
      <c r="EDK28" s="1888"/>
      <c r="EDL28" s="1882"/>
      <c r="EDM28" s="1882"/>
      <c r="EDN28" s="1882"/>
      <c r="EDP28" s="1887"/>
      <c r="EDQ28" s="1888"/>
      <c r="EDR28" s="1882"/>
      <c r="EDS28" s="1882"/>
      <c r="EDT28" s="1882"/>
      <c r="EDV28" s="1887"/>
      <c r="EDW28" s="1888"/>
      <c r="EDX28" s="1882"/>
      <c r="EDY28" s="1882"/>
      <c r="EDZ28" s="1882"/>
      <c r="EEB28" s="1887"/>
      <c r="EEC28" s="1888"/>
      <c r="EED28" s="1882"/>
      <c r="EEE28" s="1882"/>
      <c r="EEF28" s="1882"/>
      <c r="EEH28" s="1887"/>
      <c r="EEI28" s="1888"/>
      <c r="EEJ28" s="1882"/>
      <c r="EEK28" s="1882"/>
      <c r="EEL28" s="1882"/>
      <c r="EEN28" s="1887"/>
      <c r="EEO28" s="1888"/>
      <c r="EEP28" s="1882"/>
      <c r="EEQ28" s="1882"/>
      <c r="EER28" s="1882"/>
      <c r="EET28" s="1887"/>
      <c r="EEU28" s="1888"/>
      <c r="EEV28" s="1882"/>
      <c r="EEW28" s="1882"/>
      <c r="EEX28" s="1882"/>
      <c r="EEZ28" s="1887"/>
      <c r="EFA28" s="1888"/>
      <c r="EFB28" s="1882"/>
      <c r="EFC28" s="1882"/>
      <c r="EFD28" s="1882"/>
      <c r="EFF28" s="1887"/>
      <c r="EFG28" s="1888"/>
      <c r="EFH28" s="1882"/>
      <c r="EFI28" s="1882"/>
      <c r="EFJ28" s="1882"/>
      <c r="EFL28" s="1887"/>
      <c r="EFM28" s="1888"/>
      <c r="EFN28" s="1882"/>
      <c r="EFO28" s="1882"/>
      <c r="EFP28" s="1882"/>
      <c r="EFR28" s="1887"/>
      <c r="EFS28" s="1888"/>
      <c r="EFT28" s="1882"/>
      <c r="EFU28" s="1882"/>
      <c r="EFV28" s="1882"/>
      <c r="EFX28" s="1887"/>
      <c r="EFY28" s="1888"/>
      <c r="EFZ28" s="1882"/>
      <c r="EGA28" s="1882"/>
      <c r="EGB28" s="1882"/>
      <c r="EGD28" s="1887"/>
      <c r="EGE28" s="1888"/>
      <c r="EGF28" s="1882"/>
      <c r="EGG28" s="1882"/>
      <c r="EGH28" s="1882"/>
      <c r="EGJ28" s="1887"/>
      <c r="EGK28" s="1888"/>
      <c r="EGL28" s="1882"/>
      <c r="EGM28" s="1882"/>
      <c r="EGN28" s="1882"/>
      <c r="EGP28" s="1887"/>
      <c r="EGQ28" s="1888"/>
      <c r="EGR28" s="1882"/>
      <c r="EGS28" s="1882"/>
      <c r="EGT28" s="1882"/>
      <c r="EGV28" s="1887"/>
      <c r="EGW28" s="1888"/>
      <c r="EGX28" s="1882"/>
      <c r="EGY28" s="1882"/>
      <c r="EGZ28" s="1882"/>
      <c r="EHB28" s="1887"/>
      <c r="EHC28" s="1888"/>
      <c r="EHD28" s="1882"/>
      <c r="EHE28" s="1882"/>
      <c r="EHF28" s="1882"/>
      <c r="EHH28" s="1887"/>
      <c r="EHI28" s="1888"/>
      <c r="EHJ28" s="1882"/>
      <c r="EHK28" s="1882"/>
      <c r="EHL28" s="1882"/>
      <c r="EHN28" s="1887"/>
      <c r="EHO28" s="1888"/>
      <c r="EHP28" s="1882"/>
      <c r="EHQ28" s="1882"/>
      <c r="EHR28" s="1882"/>
      <c r="EHT28" s="1887"/>
      <c r="EHU28" s="1888"/>
      <c r="EHV28" s="1882"/>
      <c r="EHW28" s="1882"/>
      <c r="EHX28" s="1882"/>
      <c r="EHZ28" s="1887"/>
      <c r="EIA28" s="1888"/>
      <c r="EIB28" s="1882"/>
      <c r="EIC28" s="1882"/>
      <c r="EID28" s="1882"/>
      <c r="EIF28" s="1887"/>
      <c r="EIG28" s="1888"/>
      <c r="EIH28" s="1882"/>
      <c r="EII28" s="1882"/>
      <c r="EIJ28" s="1882"/>
      <c r="EIL28" s="1887"/>
      <c r="EIM28" s="1888"/>
      <c r="EIN28" s="1882"/>
      <c r="EIO28" s="1882"/>
      <c r="EIP28" s="1882"/>
      <c r="EIR28" s="1887"/>
      <c r="EIS28" s="1888"/>
      <c r="EIT28" s="1882"/>
      <c r="EIU28" s="1882"/>
      <c r="EIV28" s="1882"/>
      <c r="EIX28" s="1887"/>
      <c r="EIY28" s="1888"/>
      <c r="EIZ28" s="1882"/>
      <c r="EJA28" s="1882"/>
      <c r="EJB28" s="1882"/>
      <c r="EJD28" s="1887"/>
      <c r="EJE28" s="1888"/>
      <c r="EJF28" s="1882"/>
      <c r="EJG28" s="1882"/>
      <c r="EJH28" s="1882"/>
      <c r="EJJ28" s="1887"/>
      <c r="EJK28" s="1888"/>
      <c r="EJL28" s="1882"/>
      <c r="EJM28" s="1882"/>
      <c r="EJN28" s="1882"/>
      <c r="EJP28" s="1887"/>
      <c r="EJQ28" s="1888"/>
      <c r="EJR28" s="1882"/>
      <c r="EJS28" s="1882"/>
      <c r="EJT28" s="1882"/>
      <c r="EJV28" s="1887"/>
      <c r="EJW28" s="1888"/>
      <c r="EJX28" s="1882"/>
      <c r="EJY28" s="1882"/>
      <c r="EJZ28" s="1882"/>
      <c r="EKB28" s="1887"/>
      <c r="EKC28" s="1888"/>
      <c r="EKD28" s="1882"/>
      <c r="EKE28" s="1882"/>
      <c r="EKF28" s="1882"/>
      <c r="EKH28" s="1887"/>
      <c r="EKI28" s="1888"/>
      <c r="EKJ28" s="1882"/>
      <c r="EKK28" s="1882"/>
      <c r="EKL28" s="1882"/>
      <c r="EKN28" s="1887"/>
      <c r="EKO28" s="1888"/>
      <c r="EKP28" s="1882"/>
      <c r="EKQ28" s="1882"/>
      <c r="EKR28" s="1882"/>
      <c r="EKT28" s="1887"/>
      <c r="EKU28" s="1888"/>
      <c r="EKV28" s="1882"/>
      <c r="EKW28" s="1882"/>
      <c r="EKX28" s="1882"/>
      <c r="EKZ28" s="1887"/>
      <c r="ELA28" s="1888"/>
      <c r="ELB28" s="1882"/>
      <c r="ELC28" s="1882"/>
      <c r="ELD28" s="1882"/>
      <c r="ELF28" s="1887"/>
      <c r="ELG28" s="1888"/>
      <c r="ELH28" s="1882"/>
      <c r="ELI28" s="1882"/>
      <c r="ELJ28" s="1882"/>
      <c r="ELL28" s="1887"/>
      <c r="ELM28" s="1888"/>
      <c r="ELN28" s="1882"/>
      <c r="ELO28" s="1882"/>
      <c r="ELP28" s="1882"/>
      <c r="ELR28" s="1887"/>
      <c r="ELS28" s="1888"/>
      <c r="ELT28" s="1882"/>
      <c r="ELU28" s="1882"/>
      <c r="ELV28" s="1882"/>
      <c r="ELX28" s="1887"/>
      <c r="ELY28" s="1888"/>
      <c r="ELZ28" s="1882"/>
      <c r="EMA28" s="1882"/>
      <c r="EMB28" s="1882"/>
      <c r="EMD28" s="1887"/>
      <c r="EME28" s="1888"/>
      <c r="EMF28" s="1882"/>
      <c r="EMG28" s="1882"/>
      <c r="EMH28" s="1882"/>
      <c r="EMJ28" s="1887"/>
      <c r="EMK28" s="1888"/>
      <c r="EML28" s="1882"/>
      <c r="EMM28" s="1882"/>
      <c r="EMN28" s="1882"/>
      <c r="EMP28" s="1887"/>
      <c r="EMQ28" s="1888"/>
      <c r="EMR28" s="1882"/>
      <c r="EMS28" s="1882"/>
      <c r="EMT28" s="1882"/>
      <c r="EMV28" s="1887"/>
      <c r="EMW28" s="1888"/>
      <c r="EMX28" s="1882"/>
      <c r="EMY28" s="1882"/>
      <c r="EMZ28" s="1882"/>
      <c r="ENB28" s="1887"/>
      <c r="ENC28" s="1888"/>
      <c r="END28" s="1882"/>
      <c r="ENE28" s="1882"/>
      <c r="ENF28" s="1882"/>
      <c r="ENH28" s="1887"/>
      <c r="ENI28" s="1888"/>
      <c r="ENJ28" s="1882"/>
      <c r="ENK28" s="1882"/>
      <c r="ENL28" s="1882"/>
      <c r="ENN28" s="1887"/>
      <c r="ENO28" s="1888"/>
      <c r="ENP28" s="1882"/>
      <c r="ENQ28" s="1882"/>
      <c r="ENR28" s="1882"/>
      <c r="ENT28" s="1887"/>
      <c r="ENU28" s="1888"/>
      <c r="ENV28" s="1882"/>
      <c r="ENW28" s="1882"/>
      <c r="ENX28" s="1882"/>
      <c r="ENZ28" s="1887"/>
      <c r="EOA28" s="1888"/>
      <c r="EOB28" s="1882"/>
      <c r="EOC28" s="1882"/>
      <c r="EOD28" s="1882"/>
      <c r="EOF28" s="1887"/>
      <c r="EOG28" s="1888"/>
      <c r="EOH28" s="1882"/>
      <c r="EOI28" s="1882"/>
      <c r="EOJ28" s="1882"/>
      <c r="EOL28" s="1887"/>
      <c r="EOM28" s="1888"/>
      <c r="EON28" s="1882"/>
      <c r="EOO28" s="1882"/>
      <c r="EOP28" s="1882"/>
      <c r="EOR28" s="1887"/>
      <c r="EOS28" s="1888"/>
      <c r="EOT28" s="1882"/>
      <c r="EOU28" s="1882"/>
      <c r="EOV28" s="1882"/>
      <c r="EOX28" s="1887"/>
      <c r="EOY28" s="1888"/>
      <c r="EOZ28" s="1882"/>
      <c r="EPA28" s="1882"/>
      <c r="EPB28" s="1882"/>
      <c r="EPD28" s="1887"/>
      <c r="EPE28" s="1888"/>
      <c r="EPF28" s="1882"/>
      <c r="EPG28" s="1882"/>
      <c r="EPH28" s="1882"/>
      <c r="EPJ28" s="1887"/>
      <c r="EPK28" s="1888"/>
      <c r="EPL28" s="1882"/>
      <c r="EPM28" s="1882"/>
      <c r="EPN28" s="1882"/>
      <c r="EPP28" s="1887"/>
      <c r="EPQ28" s="1888"/>
      <c r="EPR28" s="1882"/>
      <c r="EPS28" s="1882"/>
      <c r="EPT28" s="1882"/>
      <c r="EPV28" s="1887"/>
      <c r="EPW28" s="1888"/>
      <c r="EPX28" s="1882"/>
      <c r="EPY28" s="1882"/>
      <c r="EPZ28" s="1882"/>
      <c r="EQB28" s="1887"/>
      <c r="EQC28" s="1888"/>
      <c r="EQD28" s="1882"/>
      <c r="EQE28" s="1882"/>
      <c r="EQF28" s="1882"/>
      <c r="EQH28" s="1887"/>
      <c r="EQI28" s="1888"/>
      <c r="EQJ28" s="1882"/>
      <c r="EQK28" s="1882"/>
      <c r="EQL28" s="1882"/>
      <c r="EQN28" s="1887"/>
      <c r="EQO28" s="1888"/>
      <c r="EQP28" s="1882"/>
      <c r="EQQ28" s="1882"/>
      <c r="EQR28" s="1882"/>
      <c r="EQT28" s="1887"/>
      <c r="EQU28" s="1888"/>
      <c r="EQV28" s="1882"/>
      <c r="EQW28" s="1882"/>
      <c r="EQX28" s="1882"/>
      <c r="EQZ28" s="1887"/>
      <c r="ERA28" s="1888"/>
      <c r="ERB28" s="1882"/>
      <c r="ERC28" s="1882"/>
      <c r="ERD28" s="1882"/>
      <c r="ERF28" s="1887"/>
      <c r="ERG28" s="1888"/>
      <c r="ERH28" s="1882"/>
      <c r="ERI28" s="1882"/>
      <c r="ERJ28" s="1882"/>
      <c r="ERL28" s="1887"/>
      <c r="ERM28" s="1888"/>
      <c r="ERN28" s="1882"/>
      <c r="ERO28" s="1882"/>
      <c r="ERP28" s="1882"/>
      <c r="ERR28" s="1887"/>
      <c r="ERS28" s="1888"/>
      <c r="ERT28" s="1882"/>
      <c r="ERU28" s="1882"/>
      <c r="ERV28" s="1882"/>
      <c r="ERX28" s="1887"/>
      <c r="ERY28" s="1888"/>
      <c r="ERZ28" s="1882"/>
      <c r="ESA28" s="1882"/>
      <c r="ESB28" s="1882"/>
      <c r="ESD28" s="1887"/>
      <c r="ESE28" s="1888"/>
      <c r="ESF28" s="1882"/>
      <c r="ESG28" s="1882"/>
      <c r="ESH28" s="1882"/>
      <c r="ESJ28" s="1887"/>
      <c r="ESK28" s="1888"/>
      <c r="ESL28" s="1882"/>
      <c r="ESM28" s="1882"/>
      <c r="ESN28" s="1882"/>
      <c r="ESP28" s="1887"/>
      <c r="ESQ28" s="1888"/>
      <c r="ESR28" s="1882"/>
      <c r="ESS28" s="1882"/>
      <c r="EST28" s="1882"/>
      <c r="ESV28" s="1887"/>
      <c r="ESW28" s="1888"/>
      <c r="ESX28" s="1882"/>
      <c r="ESY28" s="1882"/>
      <c r="ESZ28" s="1882"/>
      <c r="ETB28" s="1887"/>
      <c r="ETC28" s="1888"/>
      <c r="ETD28" s="1882"/>
      <c r="ETE28" s="1882"/>
      <c r="ETF28" s="1882"/>
      <c r="ETH28" s="1887"/>
      <c r="ETI28" s="1888"/>
      <c r="ETJ28" s="1882"/>
      <c r="ETK28" s="1882"/>
      <c r="ETL28" s="1882"/>
      <c r="ETN28" s="1887"/>
      <c r="ETO28" s="1888"/>
      <c r="ETP28" s="1882"/>
      <c r="ETQ28" s="1882"/>
      <c r="ETR28" s="1882"/>
      <c r="ETT28" s="1887"/>
      <c r="ETU28" s="1888"/>
      <c r="ETV28" s="1882"/>
      <c r="ETW28" s="1882"/>
      <c r="ETX28" s="1882"/>
      <c r="ETZ28" s="1887"/>
      <c r="EUA28" s="1888"/>
      <c r="EUB28" s="1882"/>
      <c r="EUC28" s="1882"/>
      <c r="EUD28" s="1882"/>
      <c r="EUF28" s="1887"/>
      <c r="EUG28" s="1888"/>
      <c r="EUH28" s="1882"/>
      <c r="EUI28" s="1882"/>
      <c r="EUJ28" s="1882"/>
      <c r="EUL28" s="1887"/>
      <c r="EUM28" s="1888"/>
      <c r="EUN28" s="1882"/>
      <c r="EUO28" s="1882"/>
      <c r="EUP28" s="1882"/>
      <c r="EUR28" s="1887"/>
      <c r="EUS28" s="1888"/>
      <c r="EUT28" s="1882"/>
      <c r="EUU28" s="1882"/>
      <c r="EUV28" s="1882"/>
      <c r="EUX28" s="1887"/>
      <c r="EUY28" s="1888"/>
      <c r="EUZ28" s="1882"/>
      <c r="EVA28" s="1882"/>
      <c r="EVB28" s="1882"/>
      <c r="EVD28" s="1887"/>
      <c r="EVE28" s="1888"/>
      <c r="EVF28" s="1882"/>
      <c r="EVG28" s="1882"/>
      <c r="EVH28" s="1882"/>
      <c r="EVJ28" s="1887"/>
      <c r="EVK28" s="1888"/>
      <c r="EVL28" s="1882"/>
      <c r="EVM28" s="1882"/>
      <c r="EVN28" s="1882"/>
      <c r="EVP28" s="1887"/>
      <c r="EVQ28" s="1888"/>
      <c r="EVR28" s="1882"/>
      <c r="EVS28" s="1882"/>
      <c r="EVT28" s="1882"/>
      <c r="EVV28" s="1887"/>
      <c r="EVW28" s="1888"/>
      <c r="EVX28" s="1882"/>
      <c r="EVY28" s="1882"/>
      <c r="EVZ28" s="1882"/>
      <c r="EWB28" s="1887"/>
      <c r="EWC28" s="1888"/>
      <c r="EWD28" s="1882"/>
      <c r="EWE28" s="1882"/>
      <c r="EWF28" s="1882"/>
      <c r="EWH28" s="1887"/>
      <c r="EWI28" s="1888"/>
      <c r="EWJ28" s="1882"/>
      <c r="EWK28" s="1882"/>
      <c r="EWL28" s="1882"/>
      <c r="EWN28" s="1887"/>
      <c r="EWO28" s="1888"/>
      <c r="EWP28" s="1882"/>
      <c r="EWQ28" s="1882"/>
      <c r="EWR28" s="1882"/>
      <c r="EWT28" s="1887"/>
      <c r="EWU28" s="1888"/>
      <c r="EWV28" s="1882"/>
      <c r="EWW28" s="1882"/>
      <c r="EWX28" s="1882"/>
      <c r="EWZ28" s="1887"/>
      <c r="EXA28" s="1888"/>
      <c r="EXB28" s="1882"/>
      <c r="EXC28" s="1882"/>
      <c r="EXD28" s="1882"/>
      <c r="EXF28" s="1887"/>
      <c r="EXG28" s="1888"/>
      <c r="EXH28" s="1882"/>
      <c r="EXI28" s="1882"/>
      <c r="EXJ28" s="1882"/>
      <c r="EXL28" s="1887"/>
      <c r="EXM28" s="1888"/>
      <c r="EXN28" s="1882"/>
      <c r="EXO28" s="1882"/>
      <c r="EXP28" s="1882"/>
      <c r="EXR28" s="1887"/>
      <c r="EXS28" s="1888"/>
      <c r="EXT28" s="1882"/>
      <c r="EXU28" s="1882"/>
      <c r="EXV28" s="1882"/>
      <c r="EXX28" s="1887"/>
      <c r="EXY28" s="1888"/>
      <c r="EXZ28" s="1882"/>
      <c r="EYA28" s="1882"/>
      <c r="EYB28" s="1882"/>
      <c r="EYD28" s="1887"/>
      <c r="EYE28" s="1888"/>
      <c r="EYF28" s="1882"/>
      <c r="EYG28" s="1882"/>
      <c r="EYH28" s="1882"/>
      <c r="EYJ28" s="1887"/>
      <c r="EYK28" s="1888"/>
      <c r="EYL28" s="1882"/>
      <c r="EYM28" s="1882"/>
      <c r="EYN28" s="1882"/>
      <c r="EYP28" s="1887"/>
      <c r="EYQ28" s="1888"/>
      <c r="EYR28" s="1882"/>
      <c r="EYS28" s="1882"/>
      <c r="EYT28" s="1882"/>
      <c r="EYV28" s="1887"/>
      <c r="EYW28" s="1888"/>
      <c r="EYX28" s="1882"/>
      <c r="EYY28" s="1882"/>
      <c r="EYZ28" s="1882"/>
      <c r="EZB28" s="1887"/>
      <c r="EZC28" s="1888"/>
      <c r="EZD28" s="1882"/>
      <c r="EZE28" s="1882"/>
      <c r="EZF28" s="1882"/>
      <c r="EZH28" s="1887"/>
      <c r="EZI28" s="1888"/>
      <c r="EZJ28" s="1882"/>
      <c r="EZK28" s="1882"/>
      <c r="EZL28" s="1882"/>
      <c r="EZN28" s="1887"/>
      <c r="EZO28" s="1888"/>
      <c r="EZP28" s="1882"/>
      <c r="EZQ28" s="1882"/>
      <c r="EZR28" s="1882"/>
      <c r="EZT28" s="1887"/>
      <c r="EZU28" s="1888"/>
      <c r="EZV28" s="1882"/>
      <c r="EZW28" s="1882"/>
      <c r="EZX28" s="1882"/>
      <c r="EZZ28" s="1887"/>
      <c r="FAA28" s="1888"/>
      <c r="FAB28" s="1882"/>
      <c r="FAC28" s="1882"/>
      <c r="FAD28" s="1882"/>
      <c r="FAF28" s="1887"/>
      <c r="FAG28" s="1888"/>
      <c r="FAH28" s="1882"/>
      <c r="FAI28" s="1882"/>
      <c r="FAJ28" s="1882"/>
      <c r="FAL28" s="1887"/>
      <c r="FAM28" s="1888"/>
      <c r="FAN28" s="1882"/>
      <c r="FAO28" s="1882"/>
      <c r="FAP28" s="1882"/>
      <c r="FAR28" s="1887"/>
      <c r="FAS28" s="1888"/>
      <c r="FAT28" s="1882"/>
      <c r="FAU28" s="1882"/>
      <c r="FAV28" s="1882"/>
      <c r="FAX28" s="1887"/>
      <c r="FAY28" s="1888"/>
      <c r="FAZ28" s="1882"/>
      <c r="FBA28" s="1882"/>
      <c r="FBB28" s="1882"/>
      <c r="FBD28" s="1887"/>
      <c r="FBE28" s="1888"/>
      <c r="FBF28" s="1882"/>
      <c r="FBG28" s="1882"/>
      <c r="FBH28" s="1882"/>
      <c r="FBJ28" s="1887"/>
      <c r="FBK28" s="1888"/>
      <c r="FBL28" s="1882"/>
      <c r="FBM28" s="1882"/>
      <c r="FBN28" s="1882"/>
      <c r="FBP28" s="1887"/>
      <c r="FBQ28" s="1888"/>
      <c r="FBR28" s="1882"/>
      <c r="FBS28" s="1882"/>
      <c r="FBT28" s="1882"/>
      <c r="FBV28" s="1887"/>
      <c r="FBW28" s="1888"/>
      <c r="FBX28" s="1882"/>
      <c r="FBY28" s="1882"/>
      <c r="FBZ28" s="1882"/>
      <c r="FCB28" s="1887"/>
      <c r="FCC28" s="1888"/>
      <c r="FCD28" s="1882"/>
      <c r="FCE28" s="1882"/>
      <c r="FCF28" s="1882"/>
      <c r="FCH28" s="1887"/>
      <c r="FCI28" s="1888"/>
      <c r="FCJ28" s="1882"/>
      <c r="FCK28" s="1882"/>
      <c r="FCL28" s="1882"/>
      <c r="FCN28" s="1887"/>
      <c r="FCO28" s="1888"/>
      <c r="FCP28" s="1882"/>
      <c r="FCQ28" s="1882"/>
      <c r="FCR28" s="1882"/>
      <c r="FCT28" s="1887"/>
      <c r="FCU28" s="1888"/>
      <c r="FCV28" s="1882"/>
      <c r="FCW28" s="1882"/>
      <c r="FCX28" s="1882"/>
      <c r="FCZ28" s="1887"/>
      <c r="FDA28" s="1888"/>
      <c r="FDB28" s="1882"/>
      <c r="FDC28" s="1882"/>
      <c r="FDD28" s="1882"/>
      <c r="FDF28" s="1887"/>
      <c r="FDG28" s="1888"/>
      <c r="FDH28" s="1882"/>
      <c r="FDI28" s="1882"/>
      <c r="FDJ28" s="1882"/>
      <c r="FDL28" s="1887"/>
      <c r="FDM28" s="1888"/>
      <c r="FDN28" s="1882"/>
      <c r="FDO28" s="1882"/>
      <c r="FDP28" s="1882"/>
      <c r="FDR28" s="1887"/>
      <c r="FDS28" s="1888"/>
      <c r="FDT28" s="1882"/>
      <c r="FDU28" s="1882"/>
      <c r="FDV28" s="1882"/>
      <c r="FDX28" s="1887"/>
      <c r="FDY28" s="1888"/>
      <c r="FDZ28" s="1882"/>
      <c r="FEA28" s="1882"/>
      <c r="FEB28" s="1882"/>
      <c r="FED28" s="1887"/>
      <c r="FEE28" s="1888"/>
      <c r="FEF28" s="1882"/>
      <c r="FEG28" s="1882"/>
      <c r="FEH28" s="1882"/>
      <c r="FEJ28" s="1887"/>
      <c r="FEK28" s="1888"/>
      <c r="FEL28" s="1882"/>
      <c r="FEM28" s="1882"/>
      <c r="FEN28" s="1882"/>
      <c r="FEP28" s="1887"/>
      <c r="FEQ28" s="1888"/>
      <c r="FER28" s="1882"/>
      <c r="FES28" s="1882"/>
      <c r="FET28" s="1882"/>
      <c r="FEV28" s="1887"/>
      <c r="FEW28" s="1888"/>
      <c r="FEX28" s="1882"/>
      <c r="FEY28" s="1882"/>
      <c r="FEZ28" s="1882"/>
      <c r="FFB28" s="1887"/>
      <c r="FFC28" s="1888"/>
      <c r="FFD28" s="1882"/>
      <c r="FFE28" s="1882"/>
      <c r="FFF28" s="1882"/>
      <c r="FFH28" s="1887"/>
      <c r="FFI28" s="1888"/>
      <c r="FFJ28" s="1882"/>
      <c r="FFK28" s="1882"/>
      <c r="FFL28" s="1882"/>
      <c r="FFN28" s="1887"/>
      <c r="FFO28" s="1888"/>
      <c r="FFP28" s="1882"/>
      <c r="FFQ28" s="1882"/>
      <c r="FFR28" s="1882"/>
      <c r="FFT28" s="1887"/>
      <c r="FFU28" s="1888"/>
      <c r="FFV28" s="1882"/>
      <c r="FFW28" s="1882"/>
      <c r="FFX28" s="1882"/>
      <c r="FFZ28" s="1887"/>
      <c r="FGA28" s="1888"/>
      <c r="FGB28" s="1882"/>
      <c r="FGC28" s="1882"/>
      <c r="FGD28" s="1882"/>
      <c r="FGF28" s="1887"/>
      <c r="FGG28" s="1888"/>
      <c r="FGH28" s="1882"/>
      <c r="FGI28" s="1882"/>
      <c r="FGJ28" s="1882"/>
      <c r="FGL28" s="1887"/>
      <c r="FGM28" s="1888"/>
      <c r="FGN28" s="1882"/>
      <c r="FGO28" s="1882"/>
      <c r="FGP28" s="1882"/>
      <c r="FGR28" s="1887"/>
      <c r="FGS28" s="1888"/>
      <c r="FGT28" s="1882"/>
      <c r="FGU28" s="1882"/>
      <c r="FGV28" s="1882"/>
      <c r="FGX28" s="1887"/>
      <c r="FGY28" s="1888"/>
      <c r="FGZ28" s="1882"/>
      <c r="FHA28" s="1882"/>
      <c r="FHB28" s="1882"/>
      <c r="FHD28" s="1887"/>
      <c r="FHE28" s="1888"/>
      <c r="FHF28" s="1882"/>
      <c r="FHG28" s="1882"/>
      <c r="FHH28" s="1882"/>
      <c r="FHJ28" s="1887"/>
      <c r="FHK28" s="1888"/>
      <c r="FHL28" s="1882"/>
      <c r="FHM28" s="1882"/>
      <c r="FHN28" s="1882"/>
      <c r="FHP28" s="1887"/>
      <c r="FHQ28" s="1888"/>
      <c r="FHR28" s="1882"/>
      <c r="FHS28" s="1882"/>
      <c r="FHT28" s="1882"/>
      <c r="FHV28" s="1887"/>
      <c r="FHW28" s="1888"/>
      <c r="FHX28" s="1882"/>
      <c r="FHY28" s="1882"/>
      <c r="FHZ28" s="1882"/>
      <c r="FIB28" s="1887"/>
      <c r="FIC28" s="1888"/>
      <c r="FID28" s="1882"/>
      <c r="FIE28" s="1882"/>
      <c r="FIF28" s="1882"/>
      <c r="FIH28" s="1887"/>
      <c r="FII28" s="1888"/>
      <c r="FIJ28" s="1882"/>
      <c r="FIK28" s="1882"/>
      <c r="FIL28" s="1882"/>
      <c r="FIN28" s="1887"/>
      <c r="FIO28" s="1888"/>
      <c r="FIP28" s="1882"/>
      <c r="FIQ28" s="1882"/>
      <c r="FIR28" s="1882"/>
      <c r="FIT28" s="1887"/>
      <c r="FIU28" s="1888"/>
      <c r="FIV28" s="1882"/>
      <c r="FIW28" s="1882"/>
      <c r="FIX28" s="1882"/>
      <c r="FIZ28" s="1887"/>
      <c r="FJA28" s="1888"/>
      <c r="FJB28" s="1882"/>
      <c r="FJC28" s="1882"/>
      <c r="FJD28" s="1882"/>
      <c r="FJF28" s="1887"/>
      <c r="FJG28" s="1888"/>
      <c r="FJH28" s="1882"/>
      <c r="FJI28" s="1882"/>
      <c r="FJJ28" s="1882"/>
      <c r="FJL28" s="1887"/>
      <c r="FJM28" s="1888"/>
      <c r="FJN28" s="1882"/>
      <c r="FJO28" s="1882"/>
      <c r="FJP28" s="1882"/>
      <c r="FJR28" s="1887"/>
      <c r="FJS28" s="1888"/>
      <c r="FJT28" s="1882"/>
      <c r="FJU28" s="1882"/>
      <c r="FJV28" s="1882"/>
      <c r="FJX28" s="1887"/>
      <c r="FJY28" s="1888"/>
      <c r="FJZ28" s="1882"/>
      <c r="FKA28" s="1882"/>
      <c r="FKB28" s="1882"/>
      <c r="FKD28" s="1887"/>
      <c r="FKE28" s="1888"/>
      <c r="FKF28" s="1882"/>
      <c r="FKG28" s="1882"/>
      <c r="FKH28" s="1882"/>
      <c r="FKJ28" s="1887"/>
      <c r="FKK28" s="1888"/>
      <c r="FKL28" s="1882"/>
      <c r="FKM28" s="1882"/>
      <c r="FKN28" s="1882"/>
      <c r="FKP28" s="1887"/>
      <c r="FKQ28" s="1888"/>
      <c r="FKR28" s="1882"/>
      <c r="FKS28" s="1882"/>
      <c r="FKT28" s="1882"/>
      <c r="FKV28" s="1887"/>
      <c r="FKW28" s="1888"/>
      <c r="FKX28" s="1882"/>
      <c r="FKY28" s="1882"/>
      <c r="FKZ28" s="1882"/>
      <c r="FLB28" s="1887"/>
      <c r="FLC28" s="1888"/>
      <c r="FLD28" s="1882"/>
      <c r="FLE28" s="1882"/>
      <c r="FLF28" s="1882"/>
      <c r="FLH28" s="1887"/>
      <c r="FLI28" s="1888"/>
      <c r="FLJ28" s="1882"/>
      <c r="FLK28" s="1882"/>
      <c r="FLL28" s="1882"/>
      <c r="FLN28" s="1887"/>
      <c r="FLO28" s="1888"/>
      <c r="FLP28" s="1882"/>
      <c r="FLQ28" s="1882"/>
      <c r="FLR28" s="1882"/>
      <c r="FLT28" s="1887"/>
      <c r="FLU28" s="1888"/>
      <c r="FLV28" s="1882"/>
      <c r="FLW28" s="1882"/>
      <c r="FLX28" s="1882"/>
      <c r="FLZ28" s="1887"/>
      <c r="FMA28" s="1888"/>
      <c r="FMB28" s="1882"/>
      <c r="FMC28" s="1882"/>
      <c r="FMD28" s="1882"/>
      <c r="FMF28" s="1887"/>
      <c r="FMG28" s="1888"/>
      <c r="FMH28" s="1882"/>
      <c r="FMI28" s="1882"/>
      <c r="FMJ28" s="1882"/>
      <c r="FML28" s="1887"/>
      <c r="FMM28" s="1888"/>
      <c r="FMN28" s="1882"/>
      <c r="FMO28" s="1882"/>
      <c r="FMP28" s="1882"/>
      <c r="FMR28" s="1887"/>
      <c r="FMS28" s="1888"/>
      <c r="FMT28" s="1882"/>
      <c r="FMU28" s="1882"/>
      <c r="FMV28" s="1882"/>
      <c r="FMX28" s="1887"/>
      <c r="FMY28" s="1888"/>
      <c r="FMZ28" s="1882"/>
      <c r="FNA28" s="1882"/>
      <c r="FNB28" s="1882"/>
      <c r="FND28" s="1887"/>
      <c r="FNE28" s="1888"/>
      <c r="FNF28" s="1882"/>
      <c r="FNG28" s="1882"/>
      <c r="FNH28" s="1882"/>
      <c r="FNJ28" s="1887"/>
      <c r="FNK28" s="1888"/>
      <c r="FNL28" s="1882"/>
      <c r="FNM28" s="1882"/>
      <c r="FNN28" s="1882"/>
      <c r="FNP28" s="1887"/>
      <c r="FNQ28" s="1888"/>
      <c r="FNR28" s="1882"/>
      <c r="FNS28" s="1882"/>
      <c r="FNT28" s="1882"/>
      <c r="FNV28" s="1887"/>
      <c r="FNW28" s="1888"/>
      <c r="FNX28" s="1882"/>
      <c r="FNY28" s="1882"/>
      <c r="FNZ28" s="1882"/>
      <c r="FOB28" s="1887"/>
      <c r="FOC28" s="1888"/>
      <c r="FOD28" s="1882"/>
      <c r="FOE28" s="1882"/>
      <c r="FOF28" s="1882"/>
      <c r="FOH28" s="1887"/>
      <c r="FOI28" s="1888"/>
      <c r="FOJ28" s="1882"/>
      <c r="FOK28" s="1882"/>
      <c r="FOL28" s="1882"/>
      <c r="FON28" s="1887"/>
      <c r="FOO28" s="1888"/>
      <c r="FOP28" s="1882"/>
      <c r="FOQ28" s="1882"/>
      <c r="FOR28" s="1882"/>
      <c r="FOT28" s="1887"/>
      <c r="FOU28" s="1888"/>
      <c r="FOV28" s="1882"/>
      <c r="FOW28" s="1882"/>
      <c r="FOX28" s="1882"/>
      <c r="FOZ28" s="1887"/>
      <c r="FPA28" s="1888"/>
      <c r="FPB28" s="1882"/>
      <c r="FPC28" s="1882"/>
      <c r="FPD28" s="1882"/>
      <c r="FPF28" s="1887"/>
      <c r="FPG28" s="1888"/>
      <c r="FPH28" s="1882"/>
      <c r="FPI28" s="1882"/>
      <c r="FPJ28" s="1882"/>
      <c r="FPL28" s="1887"/>
      <c r="FPM28" s="1888"/>
      <c r="FPN28" s="1882"/>
      <c r="FPO28" s="1882"/>
      <c r="FPP28" s="1882"/>
      <c r="FPR28" s="1887"/>
      <c r="FPS28" s="1888"/>
      <c r="FPT28" s="1882"/>
      <c r="FPU28" s="1882"/>
      <c r="FPV28" s="1882"/>
      <c r="FPX28" s="1887"/>
      <c r="FPY28" s="1888"/>
      <c r="FPZ28" s="1882"/>
      <c r="FQA28" s="1882"/>
      <c r="FQB28" s="1882"/>
      <c r="FQD28" s="1887"/>
      <c r="FQE28" s="1888"/>
      <c r="FQF28" s="1882"/>
      <c r="FQG28" s="1882"/>
      <c r="FQH28" s="1882"/>
      <c r="FQJ28" s="1887"/>
      <c r="FQK28" s="1888"/>
      <c r="FQL28" s="1882"/>
      <c r="FQM28" s="1882"/>
      <c r="FQN28" s="1882"/>
      <c r="FQP28" s="1887"/>
      <c r="FQQ28" s="1888"/>
      <c r="FQR28" s="1882"/>
      <c r="FQS28" s="1882"/>
      <c r="FQT28" s="1882"/>
      <c r="FQV28" s="1887"/>
      <c r="FQW28" s="1888"/>
      <c r="FQX28" s="1882"/>
      <c r="FQY28" s="1882"/>
      <c r="FQZ28" s="1882"/>
      <c r="FRB28" s="1887"/>
      <c r="FRC28" s="1888"/>
      <c r="FRD28" s="1882"/>
      <c r="FRE28" s="1882"/>
      <c r="FRF28" s="1882"/>
      <c r="FRH28" s="1887"/>
      <c r="FRI28" s="1888"/>
      <c r="FRJ28" s="1882"/>
      <c r="FRK28" s="1882"/>
      <c r="FRL28" s="1882"/>
      <c r="FRN28" s="1887"/>
      <c r="FRO28" s="1888"/>
      <c r="FRP28" s="1882"/>
      <c r="FRQ28" s="1882"/>
      <c r="FRR28" s="1882"/>
      <c r="FRT28" s="1887"/>
      <c r="FRU28" s="1888"/>
      <c r="FRV28" s="1882"/>
      <c r="FRW28" s="1882"/>
      <c r="FRX28" s="1882"/>
      <c r="FRZ28" s="1887"/>
      <c r="FSA28" s="1888"/>
      <c r="FSB28" s="1882"/>
      <c r="FSC28" s="1882"/>
      <c r="FSD28" s="1882"/>
      <c r="FSF28" s="1887"/>
      <c r="FSG28" s="1888"/>
      <c r="FSH28" s="1882"/>
      <c r="FSI28" s="1882"/>
      <c r="FSJ28" s="1882"/>
      <c r="FSL28" s="1887"/>
      <c r="FSM28" s="1888"/>
      <c r="FSN28" s="1882"/>
      <c r="FSO28" s="1882"/>
      <c r="FSP28" s="1882"/>
      <c r="FSR28" s="1887"/>
      <c r="FSS28" s="1888"/>
      <c r="FST28" s="1882"/>
      <c r="FSU28" s="1882"/>
      <c r="FSV28" s="1882"/>
      <c r="FSX28" s="1887"/>
      <c r="FSY28" s="1888"/>
      <c r="FSZ28" s="1882"/>
      <c r="FTA28" s="1882"/>
      <c r="FTB28" s="1882"/>
      <c r="FTD28" s="1887"/>
      <c r="FTE28" s="1888"/>
      <c r="FTF28" s="1882"/>
      <c r="FTG28" s="1882"/>
      <c r="FTH28" s="1882"/>
      <c r="FTJ28" s="1887"/>
      <c r="FTK28" s="1888"/>
      <c r="FTL28" s="1882"/>
      <c r="FTM28" s="1882"/>
      <c r="FTN28" s="1882"/>
      <c r="FTP28" s="1887"/>
      <c r="FTQ28" s="1888"/>
      <c r="FTR28" s="1882"/>
      <c r="FTS28" s="1882"/>
      <c r="FTT28" s="1882"/>
      <c r="FTV28" s="1887"/>
      <c r="FTW28" s="1888"/>
      <c r="FTX28" s="1882"/>
      <c r="FTY28" s="1882"/>
      <c r="FTZ28" s="1882"/>
      <c r="FUB28" s="1887"/>
      <c r="FUC28" s="1888"/>
      <c r="FUD28" s="1882"/>
      <c r="FUE28" s="1882"/>
      <c r="FUF28" s="1882"/>
      <c r="FUH28" s="1887"/>
      <c r="FUI28" s="1888"/>
      <c r="FUJ28" s="1882"/>
      <c r="FUK28" s="1882"/>
      <c r="FUL28" s="1882"/>
      <c r="FUN28" s="1887"/>
      <c r="FUO28" s="1888"/>
      <c r="FUP28" s="1882"/>
      <c r="FUQ28" s="1882"/>
      <c r="FUR28" s="1882"/>
      <c r="FUT28" s="1887"/>
      <c r="FUU28" s="1888"/>
      <c r="FUV28" s="1882"/>
      <c r="FUW28" s="1882"/>
      <c r="FUX28" s="1882"/>
      <c r="FUZ28" s="1887"/>
      <c r="FVA28" s="1888"/>
      <c r="FVB28" s="1882"/>
      <c r="FVC28" s="1882"/>
      <c r="FVD28" s="1882"/>
      <c r="FVF28" s="1887"/>
      <c r="FVG28" s="1888"/>
      <c r="FVH28" s="1882"/>
      <c r="FVI28" s="1882"/>
      <c r="FVJ28" s="1882"/>
      <c r="FVL28" s="1887"/>
      <c r="FVM28" s="1888"/>
      <c r="FVN28" s="1882"/>
      <c r="FVO28" s="1882"/>
      <c r="FVP28" s="1882"/>
      <c r="FVR28" s="1887"/>
      <c r="FVS28" s="1888"/>
      <c r="FVT28" s="1882"/>
      <c r="FVU28" s="1882"/>
      <c r="FVV28" s="1882"/>
      <c r="FVX28" s="1887"/>
      <c r="FVY28" s="1888"/>
      <c r="FVZ28" s="1882"/>
      <c r="FWA28" s="1882"/>
      <c r="FWB28" s="1882"/>
      <c r="FWD28" s="1887"/>
      <c r="FWE28" s="1888"/>
      <c r="FWF28" s="1882"/>
      <c r="FWG28" s="1882"/>
      <c r="FWH28" s="1882"/>
      <c r="FWJ28" s="1887"/>
      <c r="FWK28" s="1888"/>
      <c r="FWL28" s="1882"/>
      <c r="FWM28" s="1882"/>
      <c r="FWN28" s="1882"/>
      <c r="FWP28" s="1887"/>
      <c r="FWQ28" s="1888"/>
      <c r="FWR28" s="1882"/>
      <c r="FWS28" s="1882"/>
      <c r="FWT28" s="1882"/>
      <c r="FWV28" s="1887"/>
      <c r="FWW28" s="1888"/>
      <c r="FWX28" s="1882"/>
      <c r="FWY28" s="1882"/>
      <c r="FWZ28" s="1882"/>
      <c r="FXB28" s="1887"/>
      <c r="FXC28" s="1888"/>
      <c r="FXD28" s="1882"/>
      <c r="FXE28" s="1882"/>
      <c r="FXF28" s="1882"/>
      <c r="FXH28" s="1887"/>
      <c r="FXI28" s="1888"/>
      <c r="FXJ28" s="1882"/>
      <c r="FXK28" s="1882"/>
      <c r="FXL28" s="1882"/>
      <c r="FXN28" s="1887"/>
      <c r="FXO28" s="1888"/>
      <c r="FXP28" s="1882"/>
      <c r="FXQ28" s="1882"/>
      <c r="FXR28" s="1882"/>
      <c r="FXT28" s="1887"/>
      <c r="FXU28" s="1888"/>
      <c r="FXV28" s="1882"/>
      <c r="FXW28" s="1882"/>
      <c r="FXX28" s="1882"/>
      <c r="FXZ28" s="1887"/>
      <c r="FYA28" s="1888"/>
      <c r="FYB28" s="1882"/>
      <c r="FYC28" s="1882"/>
      <c r="FYD28" s="1882"/>
      <c r="FYF28" s="1887"/>
      <c r="FYG28" s="1888"/>
      <c r="FYH28" s="1882"/>
      <c r="FYI28" s="1882"/>
      <c r="FYJ28" s="1882"/>
      <c r="FYL28" s="1887"/>
      <c r="FYM28" s="1888"/>
      <c r="FYN28" s="1882"/>
      <c r="FYO28" s="1882"/>
      <c r="FYP28" s="1882"/>
      <c r="FYR28" s="1887"/>
      <c r="FYS28" s="1888"/>
      <c r="FYT28" s="1882"/>
      <c r="FYU28" s="1882"/>
      <c r="FYV28" s="1882"/>
      <c r="FYX28" s="1887"/>
      <c r="FYY28" s="1888"/>
      <c r="FYZ28" s="1882"/>
      <c r="FZA28" s="1882"/>
      <c r="FZB28" s="1882"/>
      <c r="FZD28" s="1887"/>
      <c r="FZE28" s="1888"/>
      <c r="FZF28" s="1882"/>
      <c r="FZG28" s="1882"/>
      <c r="FZH28" s="1882"/>
      <c r="FZJ28" s="1887"/>
      <c r="FZK28" s="1888"/>
      <c r="FZL28" s="1882"/>
      <c r="FZM28" s="1882"/>
      <c r="FZN28" s="1882"/>
      <c r="FZP28" s="1887"/>
      <c r="FZQ28" s="1888"/>
      <c r="FZR28" s="1882"/>
      <c r="FZS28" s="1882"/>
      <c r="FZT28" s="1882"/>
      <c r="FZV28" s="1887"/>
      <c r="FZW28" s="1888"/>
      <c r="FZX28" s="1882"/>
      <c r="FZY28" s="1882"/>
      <c r="FZZ28" s="1882"/>
      <c r="GAB28" s="1887"/>
      <c r="GAC28" s="1888"/>
      <c r="GAD28" s="1882"/>
      <c r="GAE28" s="1882"/>
      <c r="GAF28" s="1882"/>
      <c r="GAH28" s="1887"/>
      <c r="GAI28" s="1888"/>
      <c r="GAJ28" s="1882"/>
      <c r="GAK28" s="1882"/>
      <c r="GAL28" s="1882"/>
      <c r="GAN28" s="1887"/>
      <c r="GAO28" s="1888"/>
      <c r="GAP28" s="1882"/>
      <c r="GAQ28" s="1882"/>
      <c r="GAR28" s="1882"/>
      <c r="GAT28" s="1887"/>
      <c r="GAU28" s="1888"/>
      <c r="GAV28" s="1882"/>
      <c r="GAW28" s="1882"/>
      <c r="GAX28" s="1882"/>
      <c r="GAZ28" s="1887"/>
      <c r="GBA28" s="1888"/>
      <c r="GBB28" s="1882"/>
      <c r="GBC28" s="1882"/>
      <c r="GBD28" s="1882"/>
      <c r="GBF28" s="1887"/>
      <c r="GBG28" s="1888"/>
      <c r="GBH28" s="1882"/>
      <c r="GBI28" s="1882"/>
      <c r="GBJ28" s="1882"/>
      <c r="GBL28" s="1887"/>
      <c r="GBM28" s="1888"/>
      <c r="GBN28" s="1882"/>
      <c r="GBO28" s="1882"/>
      <c r="GBP28" s="1882"/>
      <c r="GBR28" s="1887"/>
      <c r="GBS28" s="1888"/>
      <c r="GBT28" s="1882"/>
      <c r="GBU28" s="1882"/>
      <c r="GBV28" s="1882"/>
      <c r="GBX28" s="1887"/>
      <c r="GBY28" s="1888"/>
      <c r="GBZ28" s="1882"/>
      <c r="GCA28" s="1882"/>
      <c r="GCB28" s="1882"/>
      <c r="GCD28" s="1887"/>
      <c r="GCE28" s="1888"/>
      <c r="GCF28" s="1882"/>
      <c r="GCG28" s="1882"/>
      <c r="GCH28" s="1882"/>
      <c r="GCJ28" s="1887"/>
      <c r="GCK28" s="1888"/>
      <c r="GCL28" s="1882"/>
      <c r="GCM28" s="1882"/>
      <c r="GCN28" s="1882"/>
      <c r="GCP28" s="1887"/>
      <c r="GCQ28" s="1888"/>
      <c r="GCR28" s="1882"/>
      <c r="GCS28" s="1882"/>
      <c r="GCT28" s="1882"/>
      <c r="GCV28" s="1887"/>
      <c r="GCW28" s="1888"/>
      <c r="GCX28" s="1882"/>
      <c r="GCY28" s="1882"/>
      <c r="GCZ28" s="1882"/>
      <c r="GDB28" s="1887"/>
      <c r="GDC28" s="1888"/>
      <c r="GDD28" s="1882"/>
      <c r="GDE28" s="1882"/>
      <c r="GDF28" s="1882"/>
      <c r="GDH28" s="1887"/>
      <c r="GDI28" s="1888"/>
      <c r="GDJ28" s="1882"/>
      <c r="GDK28" s="1882"/>
      <c r="GDL28" s="1882"/>
      <c r="GDN28" s="1887"/>
      <c r="GDO28" s="1888"/>
      <c r="GDP28" s="1882"/>
      <c r="GDQ28" s="1882"/>
      <c r="GDR28" s="1882"/>
      <c r="GDT28" s="1887"/>
      <c r="GDU28" s="1888"/>
      <c r="GDV28" s="1882"/>
      <c r="GDW28" s="1882"/>
      <c r="GDX28" s="1882"/>
      <c r="GDZ28" s="1887"/>
      <c r="GEA28" s="1888"/>
      <c r="GEB28" s="1882"/>
      <c r="GEC28" s="1882"/>
      <c r="GED28" s="1882"/>
      <c r="GEF28" s="1887"/>
      <c r="GEG28" s="1888"/>
      <c r="GEH28" s="1882"/>
      <c r="GEI28" s="1882"/>
      <c r="GEJ28" s="1882"/>
      <c r="GEL28" s="1887"/>
      <c r="GEM28" s="1888"/>
      <c r="GEN28" s="1882"/>
      <c r="GEO28" s="1882"/>
      <c r="GEP28" s="1882"/>
      <c r="GER28" s="1887"/>
      <c r="GES28" s="1888"/>
      <c r="GET28" s="1882"/>
      <c r="GEU28" s="1882"/>
      <c r="GEV28" s="1882"/>
      <c r="GEX28" s="1887"/>
      <c r="GEY28" s="1888"/>
      <c r="GEZ28" s="1882"/>
      <c r="GFA28" s="1882"/>
      <c r="GFB28" s="1882"/>
      <c r="GFD28" s="1887"/>
      <c r="GFE28" s="1888"/>
      <c r="GFF28" s="1882"/>
      <c r="GFG28" s="1882"/>
      <c r="GFH28" s="1882"/>
      <c r="GFJ28" s="1887"/>
      <c r="GFK28" s="1888"/>
      <c r="GFL28" s="1882"/>
      <c r="GFM28" s="1882"/>
      <c r="GFN28" s="1882"/>
      <c r="GFP28" s="1887"/>
      <c r="GFQ28" s="1888"/>
      <c r="GFR28" s="1882"/>
      <c r="GFS28" s="1882"/>
      <c r="GFT28" s="1882"/>
      <c r="GFV28" s="1887"/>
      <c r="GFW28" s="1888"/>
      <c r="GFX28" s="1882"/>
      <c r="GFY28" s="1882"/>
      <c r="GFZ28" s="1882"/>
      <c r="GGB28" s="1887"/>
      <c r="GGC28" s="1888"/>
      <c r="GGD28" s="1882"/>
      <c r="GGE28" s="1882"/>
      <c r="GGF28" s="1882"/>
      <c r="GGH28" s="1887"/>
      <c r="GGI28" s="1888"/>
      <c r="GGJ28" s="1882"/>
      <c r="GGK28" s="1882"/>
      <c r="GGL28" s="1882"/>
      <c r="GGN28" s="1887"/>
      <c r="GGO28" s="1888"/>
      <c r="GGP28" s="1882"/>
      <c r="GGQ28" s="1882"/>
      <c r="GGR28" s="1882"/>
      <c r="GGT28" s="1887"/>
      <c r="GGU28" s="1888"/>
      <c r="GGV28" s="1882"/>
      <c r="GGW28" s="1882"/>
      <c r="GGX28" s="1882"/>
      <c r="GGZ28" s="1887"/>
      <c r="GHA28" s="1888"/>
      <c r="GHB28" s="1882"/>
      <c r="GHC28" s="1882"/>
      <c r="GHD28" s="1882"/>
      <c r="GHF28" s="1887"/>
      <c r="GHG28" s="1888"/>
      <c r="GHH28" s="1882"/>
      <c r="GHI28" s="1882"/>
      <c r="GHJ28" s="1882"/>
      <c r="GHL28" s="1887"/>
      <c r="GHM28" s="1888"/>
      <c r="GHN28" s="1882"/>
      <c r="GHO28" s="1882"/>
      <c r="GHP28" s="1882"/>
      <c r="GHR28" s="1887"/>
      <c r="GHS28" s="1888"/>
      <c r="GHT28" s="1882"/>
      <c r="GHU28" s="1882"/>
      <c r="GHV28" s="1882"/>
      <c r="GHX28" s="1887"/>
      <c r="GHY28" s="1888"/>
      <c r="GHZ28" s="1882"/>
      <c r="GIA28" s="1882"/>
      <c r="GIB28" s="1882"/>
      <c r="GID28" s="1887"/>
      <c r="GIE28" s="1888"/>
      <c r="GIF28" s="1882"/>
      <c r="GIG28" s="1882"/>
      <c r="GIH28" s="1882"/>
      <c r="GIJ28" s="1887"/>
      <c r="GIK28" s="1888"/>
      <c r="GIL28" s="1882"/>
      <c r="GIM28" s="1882"/>
      <c r="GIN28" s="1882"/>
      <c r="GIP28" s="1887"/>
      <c r="GIQ28" s="1888"/>
      <c r="GIR28" s="1882"/>
      <c r="GIS28" s="1882"/>
      <c r="GIT28" s="1882"/>
      <c r="GIV28" s="1887"/>
      <c r="GIW28" s="1888"/>
      <c r="GIX28" s="1882"/>
      <c r="GIY28" s="1882"/>
      <c r="GIZ28" s="1882"/>
      <c r="GJB28" s="1887"/>
      <c r="GJC28" s="1888"/>
      <c r="GJD28" s="1882"/>
      <c r="GJE28" s="1882"/>
      <c r="GJF28" s="1882"/>
      <c r="GJH28" s="1887"/>
      <c r="GJI28" s="1888"/>
      <c r="GJJ28" s="1882"/>
      <c r="GJK28" s="1882"/>
      <c r="GJL28" s="1882"/>
      <c r="GJN28" s="1887"/>
      <c r="GJO28" s="1888"/>
      <c r="GJP28" s="1882"/>
      <c r="GJQ28" s="1882"/>
      <c r="GJR28" s="1882"/>
      <c r="GJT28" s="1887"/>
      <c r="GJU28" s="1888"/>
      <c r="GJV28" s="1882"/>
      <c r="GJW28" s="1882"/>
      <c r="GJX28" s="1882"/>
      <c r="GJZ28" s="1887"/>
      <c r="GKA28" s="1888"/>
      <c r="GKB28" s="1882"/>
      <c r="GKC28" s="1882"/>
      <c r="GKD28" s="1882"/>
      <c r="GKF28" s="1887"/>
      <c r="GKG28" s="1888"/>
      <c r="GKH28" s="1882"/>
      <c r="GKI28" s="1882"/>
      <c r="GKJ28" s="1882"/>
      <c r="GKL28" s="1887"/>
      <c r="GKM28" s="1888"/>
      <c r="GKN28" s="1882"/>
      <c r="GKO28" s="1882"/>
      <c r="GKP28" s="1882"/>
      <c r="GKR28" s="1887"/>
      <c r="GKS28" s="1888"/>
      <c r="GKT28" s="1882"/>
      <c r="GKU28" s="1882"/>
      <c r="GKV28" s="1882"/>
      <c r="GKX28" s="1887"/>
      <c r="GKY28" s="1888"/>
      <c r="GKZ28" s="1882"/>
      <c r="GLA28" s="1882"/>
      <c r="GLB28" s="1882"/>
      <c r="GLD28" s="1887"/>
      <c r="GLE28" s="1888"/>
      <c r="GLF28" s="1882"/>
      <c r="GLG28" s="1882"/>
      <c r="GLH28" s="1882"/>
      <c r="GLJ28" s="1887"/>
      <c r="GLK28" s="1888"/>
      <c r="GLL28" s="1882"/>
      <c r="GLM28" s="1882"/>
      <c r="GLN28" s="1882"/>
      <c r="GLP28" s="1887"/>
      <c r="GLQ28" s="1888"/>
      <c r="GLR28" s="1882"/>
      <c r="GLS28" s="1882"/>
      <c r="GLT28" s="1882"/>
      <c r="GLV28" s="1887"/>
      <c r="GLW28" s="1888"/>
      <c r="GLX28" s="1882"/>
      <c r="GLY28" s="1882"/>
      <c r="GLZ28" s="1882"/>
      <c r="GMB28" s="1887"/>
      <c r="GMC28" s="1888"/>
      <c r="GMD28" s="1882"/>
      <c r="GME28" s="1882"/>
      <c r="GMF28" s="1882"/>
      <c r="GMH28" s="1887"/>
      <c r="GMI28" s="1888"/>
      <c r="GMJ28" s="1882"/>
      <c r="GMK28" s="1882"/>
      <c r="GML28" s="1882"/>
      <c r="GMN28" s="1887"/>
      <c r="GMO28" s="1888"/>
      <c r="GMP28" s="1882"/>
      <c r="GMQ28" s="1882"/>
      <c r="GMR28" s="1882"/>
      <c r="GMT28" s="1887"/>
      <c r="GMU28" s="1888"/>
      <c r="GMV28" s="1882"/>
      <c r="GMW28" s="1882"/>
      <c r="GMX28" s="1882"/>
      <c r="GMZ28" s="1887"/>
      <c r="GNA28" s="1888"/>
      <c r="GNB28" s="1882"/>
      <c r="GNC28" s="1882"/>
      <c r="GND28" s="1882"/>
      <c r="GNF28" s="1887"/>
      <c r="GNG28" s="1888"/>
      <c r="GNH28" s="1882"/>
      <c r="GNI28" s="1882"/>
      <c r="GNJ28" s="1882"/>
      <c r="GNL28" s="1887"/>
      <c r="GNM28" s="1888"/>
      <c r="GNN28" s="1882"/>
      <c r="GNO28" s="1882"/>
      <c r="GNP28" s="1882"/>
      <c r="GNR28" s="1887"/>
      <c r="GNS28" s="1888"/>
      <c r="GNT28" s="1882"/>
      <c r="GNU28" s="1882"/>
      <c r="GNV28" s="1882"/>
      <c r="GNX28" s="1887"/>
      <c r="GNY28" s="1888"/>
      <c r="GNZ28" s="1882"/>
      <c r="GOA28" s="1882"/>
      <c r="GOB28" s="1882"/>
      <c r="GOD28" s="1887"/>
      <c r="GOE28" s="1888"/>
      <c r="GOF28" s="1882"/>
      <c r="GOG28" s="1882"/>
      <c r="GOH28" s="1882"/>
      <c r="GOJ28" s="1887"/>
      <c r="GOK28" s="1888"/>
      <c r="GOL28" s="1882"/>
      <c r="GOM28" s="1882"/>
      <c r="GON28" s="1882"/>
      <c r="GOP28" s="1887"/>
      <c r="GOQ28" s="1888"/>
      <c r="GOR28" s="1882"/>
      <c r="GOS28" s="1882"/>
      <c r="GOT28" s="1882"/>
      <c r="GOV28" s="1887"/>
      <c r="GOW28" s="1888"/>
      <c r="GOX28" s="1882"/>
      <c r="GOY28" s="1882"/>
      <c r="GOZ28" s="1882"/>
      <c r="GPB28" s="1887"/>
      <c r="GPC28" s="1888"/>
      <c r="GPD28" s="1882"/>
      <c r="GPE28" s="1882"/>
      <c r="GPF28" s="1882"/>
      <c r="GPH28" s="1887"/>
      <c r="GPI28" s="1888"/>
      <c r="GPJ28" s="1882"/>
      <c r="GPK28" s="1882"/>
      <c r="GPL28" s="1882"/>
      <c r="GPN28" s="1887"/>
      <c r="GPO28" s="1888"/>
      <c r="GPP28" s="1882"/>
      <c r="GPQ28" s="1882"/>
      <c r="GPR28" s="1882"/>
      <c r="GPT28" s="1887"/>
      <c r="GPU28" s="1888"/>
      <c r="GPV28" s="1882"/>
      <c r="GPW28" s="1882"/>
      <c r="GPX28" s="1882"/>
      <c r="GPZ28" s="1887"/>
      <c r="GQA28" s="1888"/>
      <c r="GQB28" s="1882"/>
      <c r="GQC28" s="1882"/>
      <c r="GQD28" s="1882"/>
      <c r="GQF28" s="1887"/>
      <c r="GQG28" s="1888"/>
      <c r="GQH28" s="1882"/>
      <c r="GQI28" s="1882"/>
      <c r="GQJ28" s="1882"/>
      <c r="GQL28" s="1887"/>
      <c r="GQM28" s="1888"/>
      <c r="GQN28" s="1882"/>
      <c r="GQO28" s="1882"/>
      <c r="GQP28" s="1882"/>
      <c r="GQR28" s="1887"/>
      <c r="GQS28" s="1888"/>
      <c r="GQT28" s="1882"/>
      <c r="GQU28" s="1882"/>
      <c r="GQV28" s="1882"/>
      <c r="GQX28" s="1887"/>
      <c r="GQY28" s="1888"/>
      <c r="GQZ28" s="1882"/>
      <c r="GRA28" s="1882"/>
      <c r="GRB28" s="1882"/>
      <c r="GRD28" s="1887"/>
      <c r="GRE28" s="1888"/>
      <c r="GRF28" s="1882"/>
      <c r="GRG28" s="1882"/>
      <c r="GRH28" s="1882"/>
      <c r="GRJ28" s="1887"/>
      <c r="GRK28" s="1888"/>
      <c r="GRL28" s="1882"/>
      <c r="GRM28" s="1882"/>
      <c r="GRN28" s="1882"/>
      <c r="GRP28" s="1887"/>
      <c r="GRQ28" s="1888"/>
      <c r="GRR28" s="1882"/>
      <c r="GRS28" s="1882"/>
      <c r="GRT28" s="1882"/>
      <c r="GRV28" s="1887"/>
      <c r="GRW28" s="1888"/>
      <c r="GRX28" s="1882"/>
      <c r="GRY28" s="1882"/>
      <c r="GRZ28" s="1882"/>
      <c r="GSB28" s="1887"/>
      <c r="GSC28" s="1888"/>
      <c r="GSD28" s="1882"/>
      <c r="GSE28" s="1882"/>
      <c r="GSF28" s="1882"/>
      <c r="GSH28" s="1887"/>
      <c r="GSI28" s="1888"/>
      <c r="GSJ28" s="1882"/>
      <c r="GSK28" s="1882"/>
      <c r="GSL28" s="1882"/>
      <c r="GSN28" s="1887"/>
      <c r="GSO28" s="1888"/>
      <c r="GSP28" s="1882"/>
      <c r="GSQ28" s="1882"/>
      <c r="GSR28" s="1882"/>
      <c r="GST28" s="1887"/>
      <c r="GSU28" s="1888"/>
      <c r="GSV28" s="1882"/>
      <c r="GSW28" s="1882"/>
      <c r="GSX28" s="1882"/>
      <c r="GSZ28" s="1887"/>
      <c r="GTA28" s="1888"/>
      <c r="GTB28" s="1882"/>
      <c r="GTC28" s="1882"/>
      <c r="GTD28" s="1882"/>
      <c r="GTF28" s="1887"/>
      <c r="GTG28" s="1888"/>
      <c r="GTH28" s="1882"/>
      <c r="GTI28" s="1882"/>
      <c r="GTJ28" s="1882"/>
      <c r="GTL28" s="1887"/>
      <c r="GTM28" s="1888"/>
      <c r="GTN28" s="1882"/>
      <c r="GTO28" s="1882"/>
      <c r="GTP28" s="1882"/>
      <c r="GTR28" s="1887"/>
      <c r="GTS28" s="1888"/>
      <c r="GTT28" s="1882"/>
      <c r="GTU28" s="1882"/>
      <c r="GTV28" s="1882"/>
      <c r="GTX28" s="1887"/>
      <c r="GTY28" s="1888"/>
      <c r="GTZ28" s="1882"/>
      <c r="GUA28" s="1882"/>
      <c r="GUB28" s="1882"/>
      <c r="GUD28" s="1887"/>
      <c r="GUE28" s="1888"/>
      <c r="GUF28" s="1882"/>
      <c r="GUG28" s="1882"/>
      <c r="GUH28" s="1882"/>
      <c r="GUJ28" s="1887"/>
      <c r="GUK28" s="1888"/>
      <c r="GUL28" s="1882"/>
      <c r="GUM28" s="1882"/>
      <c r="GUN28" s="1882"/>
      <c r="GUP28" s="1887"/>
      <c r="GUQ28" s="1888"/>
      <c r="GUR28" s="1882"/>
      <c r="GUS28" s="1882"/>
      <c r="GUT28" s="1882"/>
      <c r="GUV28" s="1887"/>
      <c r="GUW28" s="1888"/>
      <c r="GUX28" s="1882"/>
      <c r="GUY28" s="1882"/>
      <c r="GUZ28" s="1882"/>
      <c r="GVB28" s="1887"/>
      <c r="GVC28" s="1888"/>
      <c r="GVD28" s="1882"/>
      <c r="GVE28" s="1882"/>
      <c r="GVF28" s="1882"/>
      <c r="GVH28" s="1887"/>
      <c r="GVI28" s="1888"/>
      <c r="GVJ28" s="1882"/>
      <c r="GVK28" s="1882"/>
      <c r="GVL28" s="1882"/>
      <c r="GVN28" s="1887"/>
      <c r="GVO28" s="1888"/>
      <c r="GVP28" s="1882"/>
      <c r="GVQ28" s="1882"/>
      <c r="GVR28" s="1882"/>
      <c r="GVT28" s="1887"/>
      <c r="GVU28" s="1888"/>
      <c r="GVV28" s="1882"/>
      <c r="GVW28" s="1882"/>
      <c r="GVX28" s="1882"/>
      <c r="GVZ28" s="1887"/>
      <c r="GWA28" s="1888"/>
      <c r="GWB28" s="1882"/>
      <c r="GWC28" s="1882"/>
      <c r="GWD28" s="1882"/>
      <c r="GWF28" s="1887"/>
      <c r="GWG28" s="1888"/>
      <c r="GWH28" s="1882"/>
      <c r="GWI28" s="1882"/>
      <c r="GWJ28" s="1882"/>
      <c r="GWL28" s="1887"/>
      <c r="GWM28" s="1888"/>
      <c r="GWN28" s="1882"/>
      <c r="GWO28" s="1882"/>
      <c r="GWP28" s="1882"/>
      <c r="GWR28" s="1887"/>
      <c r="GWS28" s="1888"/>
      <c r="GWT28" s="1882"/>
      <c r="GWU28" s="1882"/>
      <c r="GWV28" s="1882"/>
      <c r="GWX28" s="1887"/>
      <c r="GWY28" s="1888"/>
      <c r="GWZ28" s="1882"/>
      <c r="GXA28" s="1882"/>
      <c r="GXB28" s="1882"/>
      <c r="GXD28" s="1887"/>
      <c r="GXE28" s="1888"/>
      <c r="GXF28" s="1882"/>
      <c r="GXG28" s="1882"/>
      <c r="GXH28" s="1882"/>
      <c r="GXJ28" s="1887"/>
      <c r="GXK28" s="1888"/>
      <c r="GXL28" s="1882"/>
      <c r="GXM28" s="1882"/>
      <c r="GXN28" s="1882"/>
      <c r="GXP28" s="1887"/>
      <c r="GXQ28" s="1888"/>
      <c r="GXR28" s="1882"/>
      <c r="GXS28" s="1882"/>
      <c r="GXT28" s="1882"/>
      <c r="GXV28" s="1887"/>
      <c r="GXW28" s="1888"/>
      <c r="GXX28" s="1882"/>
      <c r="GXY28" s="1882"/>
      <c r="GXZ28" s="1882"/>
      <c r="GYB28" s="1887"/>
      <c r="GYC28" s="1888"/>
      <c r="GYD28" s="1882"/>
      <c r="GYE28" s="1882"/>
      <c r="GYF28" s="1882"/>
      <c r="GYH28" s="1887"/>
      <c r="GYI28" s="1888"/>
      <c r="GYJ28" s="1882"/>
      <c r="GYK28" s="1882"/>
      <c r="GYL28" s="1882"/>
      <c r="GYN28" s="1887"/>
      <c r="GYO28" s="1888"/>
      <c r="GYP28" s="1882"/>
      <c r="GYQ28" s="1882"/>
      <c r="GYR28" s="1882"/>
      <c r="GYT28" s="1887"/>
      <c r="GYU28" s="1888"/>
      <c r="GYV28" s="1882"/>
      <c r="GYW28" s="1882"/>
      <c r="GYX28" s="1882"/>
      <c r="GYZ28" s="1887"/>
      <c r="GZA28" s="1888"/>
      <c r="GZB28" s="1882"/>
      <c r="GZC28" s="1882"/>
      <c r="GZD28" s="1882"/>
      <c r="GZF28" s="1887"/>
      <c r="GZG28" s="1888"/>
      <c r="GZH28" s="1882"/>
      <c r="GZI28" s="1882"/>
      <c r="GZJ28" s="1882"/>
      <c r="GZL28" s="1887"/>
      <c r="GZM28" s="1888"/>
      <c r="GZN28" s="1882"/>
      <c r="GZO28" s="1882"/>
      <c r="GZP28" s="1882"/>
      <c r="GZR28" s="1887"/>
      <c r="GZS28" s="1888"/>
      <c r="GZT28" s="1882"/>
      <c r="GZU28" s="1882"/>
      <c r="GZV28" s="1882"/>
      <c r="GZX28" s="1887"/>
      <c r="GZY28" s="1888"/>
      <c r="GZZ28" s="1882"/>
      <c r="HAA28" s="1882"/>
      <c r="HAB28" s="1882"/>
      <c r="HAD28" s="1887"/>
      <c r="HAE28" s="1888"/>
      <c r="HAF28" s="1882"/>
      <c r="HAG28" s="1882"/>
      <c r="HAH28" s="1882"/>
      <c r="HAJ28" s="1887"/>
      <c r="HAK28" s="1888"/>
      <c r="HAL28" s="1882"/>
      <c r="HAM28" s="1882"/>
      <c r="HAN28" s="1882"/>
      <c r="HAP28" s="1887"/>
      <c r="HAQ28" s="1888"/>
      <c r="HAR28" s="1882"/>
      <c r="HAS28" s="1882"/>
      <c r="HAT28" s="1882"/>
      <c r="HAV28" s="1887"/>
      <c r="HAW28" s="1888"/>
      <c r="HAX28" s="1882"/>
      <c r="HAY28" s="1882"/>
      <c r="HAZ28" s="1882"/>
      <c r="HBB28" s="1887"/>
      <c r="HBC28" s="1888"/>
      <c r="HBD28" s="1882"/>
      <c r="HBE28" s="1882"/>
      <c r="HBF28" s="1882"/>
      <c r="HBH28" s="1887"/>
      <c r="HBI28" s="1888"/>
      <c r="HBJ28" s="1882"/>
      <c r="HBK28" s="1882"/>
      <c r="HBL28" s="1882"/>
      <c r="HBN28" s="1887"/>
      <c r="HBO28" s="1888"/>
      <c r="HBP28" s="1882"/>
      <c r="HBQ28" s="1882"/>
      <c r="HBR28" s="1882"/>
      <c r="HBT28" s="1887"/>
      <c r="HBU28" s="1888"/>
      <c r="HBV28" s="1882"/>
      <c r="HBW28" s="1882"/>
      <c r="HBX28" s="1882"/>
      <c r="HBZ28" s="1887"/>
      <c r="HCA28" s="1888"/>
      <c r="HCB28" s="1882"/>
      <c r="HCC28" s="1882"/>
      <c r="HCD28" s="1882"/>
      <c r="HCF28" s="1887"/>
      <c r="HCG28" s="1888"/>
      <c r="HCH28" s="1882"/>
      <c r="HCI28" s="1882"/>
      <c r="HCJ28" s="1882"/>
      <c r="HCL28" s="1887"/>
      <c r="HCM28" s="1888"/>
      <c r="HCN28" s="1882"/>
      <c r="HCO28" s="1882"/>
      <c r="HCP28" s="1882"/>
      <c r="HCR28" s="1887"/>
      <c r="HCS28" s="1888"/>
      <c r="HCT28" s="1882"/>
      <c r="HCU28" s="1882"/>
      <c r="HCV28" s="1882"/>
      <c r="HCX28" s="1887"/>
      <c r="HCY28" s="1888"/>
      <c r="HCZ28" s="1882"/>
      <c r="HDA28" s="1882"/>
      <c r="HDB28" s="1882"/>
      <c r="HDD28" s="1887"/>
      <c r="HDE28" s="1888"/>
      <c r="HDF28" s="1882"/>
      <c r="HDG28" s="1882"/>
      <c r="HDH28" s="1882"/>
      <c r="HDJ28" s="1887"/>
      <c r="HDK28" s="1888"/>
      <c r="HDL28" s="1882"/>
      <c r="HDM28" s="1882"/>
      <c r="HDN28" s="1882"/>
      <c r="HDP28" s="1887"/>
      <c r="HDQ28" s="1888"/>
      <c r="HDR28" s="1882"/>
      <c r="HDS28" s="1882"/>
      <c r="HDT28" s="1882"/>
      <c r="HDV28" s="1887"/>
      <c r="HDW28" s="1888"/>
      <c r="HDX28" s="1882"/>
      <c r="HDY28" s="1882"/>
      <c r="HDZ28" s="1882"/>
      <c r="HEB28" s="1887"/>
      <c r="HEC28" s="1888"/>
      <c r="HED28" s="1882"/>
      <c r="HEE28" s="1882"/>
      <c r="HEF28" s="1882"/>
      <c r="HEH28" s="1887"/>
      <c r="HEI28" s="1888"/>
      <c r="HEJ28" s="1882"/>
      <c r="HEK28" s="1882"/>
      <c r="HEL28" s="1882"/>
      <c r="HEN28" s="1887"/>
      <c r="HEO28" s="1888"/>
      <c r="HEP28" s="1882"/>
      <c r="HEQ28" s="1882"/>
      <c r="HER28" s="1882"/>
      <c r="HET28" s="1887"/>
      <c r="HEU28" s="1888"/>
      <c r="HEV28" s="1882"/>
      <c r="HEW28" s="1882"/>
      <c r="HEX28" s="1882"/>
      <c r="HEZ28" s="1887"/>
      <c r="HFA28" s="1888"/>
      <c r="HFB28" s="1882"/>
      <c r="HFC28" s="1882"/>
      <c r="HFD28" s="1882"/>
      <c r="HFF28" s="1887"/>
      <c r="HFG28" s="1888"/>
      <c r="HFH28" s="1882"/>
      <c r="HFI28" s="1882"/>
      <c r="HFJ28" s="1882"/>
      <c r="HFL28" s="1887"/>
      <c r="HFM28" s="1888"/>
      <c r="HFN28" s="1882"/>
      <c r="HFO28" s="1882"/>
      <c r="HFP28" s="1882"/>
      <c r="HFR28" s="1887"/>
      <c r="HFS28" s="1888"/>
      <c r="HFT28" s="1882"/>
      <c r="HFU28" s="1882"/>
      <c r="HFV28" s="1882"/>
      <c r="HFX28" s="1887"/>
      <c r="HFY28" s="1888"/>
      <c r="HFZ28" s="1882"/>
      <c r="HGA28" s="1882"/>
      <c r="HGB28" s="1882"/>
      <c r="HGD28" s="1887"/>
      <c r="HGE28" s="1888"/>
      <c r="HGF28" s="1882"/>
      <c r="HGG28" s="1882"/>
      <c r="HGH28" s="1882"/>
      <c r="HGJ28" s="1887"/>
      <c r="HGK28" s="1888"/>
      <c r="HGL28" s="1882"/>
      <c r="HGM28" s="1882"/>
      <c r="HGN28" s="1882"/>
      <c r="HGP28" s="1887"/>
      <c r="HGQ28" s="1888"/>
      <c r="HGR28" s="1882"/>
      <c r="HGS28" s="1882"/>
      <c r="HGT28" s="1882"/>
      <c r="HGV28" s="1887"/>
      <c r="HGW28" s="1888"/>
      <c r="HGX28" s="1882"/>
      <c r="HGY28" s="1882"/>
      <c r="HGZ28" s="1882"/>
      <c r="HHB28" s="1887"/>
      <c r="HHC28" s="1888"/>
      <c r="HHD28" s="1882"/>
      <c r="HHE28" s="1882"/>
      <c r="HHF28" s="1882"/>
      <c r="HHH28" s="1887"/>
      <c r="HHI28" s="1888"/>
      <c r="HHJ28" s="1882"/>
      <c r="HHK28" s="1882"/>
      <c r="HHL28" s="1882"/>
      <c r="HHN28" s="1887"/>
      <c r="HHO28" s="1888"/>
      <c r="HHP28" s="1882"/>
      <c r="HHQ28" s="1882"/>
      <c r="HHR28" s="1882"/>
      <c r="HHT28" s="1887"/>
      <c r="HHU28" s="1888"/>
      <c r="HHV28" s="1882"/>
      <c r="HHW28" s="1882"/>
      <c r="HHX28" s="1882"/>
      <c r="HHZ28" s="1887"/>
      <c r="HIA28" s="1888"/>
      <c r="HIB28" s="1882"/>
      <c r="HIC28" s="1882"/>
      <c r="HID28" s="1882"/>
      <c r="HIF28" s="1887"/>
      <c r="HIG28" s="1888"/>
      <c r="HIH28" s="1882"/>
      <c r="HII28" s="1882"/>
      <c r="HIJ28" s="1882"/>
      <c r="HIL28" s="1887"/>
      <c r="HIM28" s="1888"/>
      <c r="HIN28" s="1882"/>
      <c r="HIO28" s="1882"/>
      <c r="HIP28" s="1882"/>
      <c r="HIR28" s="1887"/>
      <c r="HIS28" s="1888"/>
      <c r="HIT28" s="1882"/>
      <c r="HIU28" s="1882"/>
      <c r="HIV28" s="1882"/>
      <c r="HIX28" s="1887"/>
      <c r="HIY28" s="1888"/>
      <c r="HIZ28" s="1882"/>
      <c r="HJA28" s="1882"/>
      <c r="HJB28" s="1882"/>
      <c r="HJD28" s="1887"/>
      <c r="HJE28" s="1888"/>
      <c r="HJF28" s="1882"/>
      <c r="HJG28" s="1882"/>
      <c r="HJH28" s="1882"/>
      <c r="HJJ28" s="1887"/>
      <c r="HJK28" s="1888"/>
      <c r="HJL28" s="1882"/>
      <c r="HJM28" s="1882"/>
      <c r="HJN28" s="1882"/>
      <c r="HJP28" s="1887"/>
      <c r="HJQ28" s="1888"/>
      <c r="HJR28" s="1882"/>
      <c r="HJS28" s="1882"/>
      <c r="HJT28" s="1882"/>
      <c r="HJV28" s="1887"/>
      <c r="HJW28" s="1888"/>
      <c r="HJX28" s="1882"/>
      <c r="HJY28" s="1882"/>
      <c r="HJZ28" s="1882"/>
      <c r="HKB28" s="1887"/>
      <c r="HKC28" s="1888"/>
      <c r="HKD28" s="1882"/>
      <c r="HKE28" s="1882"/>
      <c r="HKF28" s="1882"/>
      <c r="HKH28" s="1887"/>
      <c r="HKI28" s="1888"/>
      <c r="HKJ28" s="1882"/>
      <c r="HKK28" s="1882"/>
      <c r="HKL28" s="1882"/>
      <c r="HKN28" s="1887"/>
      <c r="HKO28" s="1888"/>
      <c r="HKP28" s="1882"/>
      <c r="HKQ28" s="1882"/>
      <c r="HKR28" s="1882"/>
      <c r="HKT28" s="1887"/>
      <c r="HKU28" s="1888"/>
      <c r="HKV28" s="1882"/>
      <c r="HKW28" s="1882"/>
      <c r="HKX28" s="1882"/>
      <c r="HKZ28" s="1887"/>
      <c r="HLA28" s="1888"/>
      <c r="HLB28" s="1882"/>
      <c r="HLC28" s="1882"/>
      <c r="HLD28" s="1882"/>
      <c r="HLF28" s="1887"/>
      <c r="HLG28" s="1888"/>
      <c r="HLH28" s="1882"/>
      <c r="HLI28" s="1882"/>
      <c r="HLJ28" s="1882"/>
      <c r="HLL28" s="1887"/>
      <c r="HLM28" s="1888"/>
      <c r="HLN28" s="1882"/>
      <c r="HLO28" s="1882"/>
      <c r="HLP28" s="1882"/>
      <c r="HLR28" s="1887"/>
      <c r="HLS28" s="1888"/>
      <c r="HLT28" s="1882"/>
      <c r="HLU28" s="1882"/>
      <c r="HLV28" s="1882"/>
      <c r="HLX28" s="1887"/>
      <c r="HLY28" s="1888"/>
      <c r="HLZ28" s="1882"/>
      <c r="HMA28" s="1882"/>
      <c r="HMB28" s="1882"/>
      <c r="HMD28" s="1887"/>
      <c r="HME28" s="1888"/>
      <c r="HMF28" s="1882"/>
      <c r="HMG28" s="1882"/>
      <c r="HMH28" s="1882"/>
      <c r="HMJ28" s="1887"/>
      <c r="HMK28" s="1888"/>
      <c r="HML28" s="1882"/>
      <c r="HMM28" s="1882"/>
      <c r="HMN28" s="1882"/>
      <c r="HMP28" s="1887"/>
      <c r="HMQ28" s="1888"/>
      <c r="HMR28" s="1882"/>
      <c r="HMS28" s="1882"/>
      <c r="HMT28" s="1882"/>
      <c r="HMV28" s="1887"/>
      <c r="HMW28" s="1888"/>
      <c r="HMX28" s="1882"/>
      <c r="HMY28" s="1882"/>
      <c r="HMZ28" s="1882"/>
      <c r="HNB28" s="1887"/>
      <c r="HNC28" s="1888"/>
      <c r="HND28" s="1882"/>
      <c r="HNE28" s="1882"/>
      <c r="HNF28" s="1882"/>
      <c r="HNH28" s="1887"/>
      <c r="HNI28" s="1888"/>
      <c r="HNJ28" s="1882"/>
      <c r="HNK28" s="1882"/>
      <c r="HNL28" s="1882"/>
      <c r="HNN28" s="1887"/>
      <c r="HNO28" s="1888"/>
      <c r="HNP28" s="1882"/>
      <c r="HNQ28" s="1882"/>
      <c r="HNR28" s="1882"/>
      <c r="HNT28" s="1887"/>
      <c r="HNU28" s="1888"/>
      <c r="HNV28" s="1882"/>
      <c r="HNW28" s="1882"/>
      <c r="HNX28" s="1882"/>
      <c r="HNZ28" s="1887"/>
      <c r="HOA28" s="1888"/>
      <c r="HOB28" s="1882"/>
      <c r="HOC28" s="1882"/>
      <c r="HOD28" s="1882"/>
      <c r="HOF28" s="1887"/>
      <c r="HOG28" s="1888"/>
      <c r="HOH28" s="1882"/>
      <c r="HOI28" s="1882"/>
      <c r="HOJ28" s="1882"/>
      <c r="HOL28" s="1887"/>
      <c r="HOM28" s="1888"/>
      <c r="HON28" s="1882"/>
      <c r="HOO28" s="1882"/>
      <c r="HOP28" s="1882"/>
      <c r="HOR28" s="1887"/>
      <c r="HOS28" s="1888"/>
      <c r="HOT28" s="1882"/>
      <c r="HOU28" s="1882"/>
      <c r="HOV28" s="1882"/>
      <c r="HOX28" s="1887"/>
      <c r="HOY28" s="1888"/>
      <c r="HOZ28" s="1882"/>
      <c r="HPA28" s="1882"/>
      <c r="HPB28" s="1882"/>
      <c r="HPD28" s="1887"/>
      <c r="HPE28" s="1888"/>
      <c r="HPF28" s="1882"/>
      <c r="HPG28" s="1882"/>
      <c r="HPH28" s="1882"/>
      <c r="HPJ28" s="1887"/>
      <c r="HPK28" s="1888"/>
      <c r="HPL28" s="1882"/>
      <c r="HPM28" s="1882"/>
      <c r="HPN28" s="1882"/>
      <c r="HPP28" s="1887"/>
      <c r="HPQ28" s="1888"/>
      <c r="HPR28" s="1882"/>
      <c r="HPS28" s="1882"/>
      <c r="HPT28" s="1882"/>
      <c r="HPV28" s="1887"/>
      <c r="HPW28" s="1888"/>
      <c r="HPX28" s="1882"/>
      <c r="HPY28" s="1882"/>
      <c r="HPZ28" s="1882"/>
      <c r="HQB28" s="1887"/>
      <c r="HQC28" s="1888"/>
      <c r="HQD28" s="1882"/>
      <c r="HQE28" s="1882"/>
      <c r="HQF28" s="1882"/>
      <c r="HQH28" s="1887"/>
      <c r="HQI28" s="1888"/>
      <c r="HQJ28" s="1882"/>
      <c r="HQK28" s="1882"/>
      <c r="HQL28" s="1882"/>
      <c r="HQN28" s="1887"/>
      <c r="HQO28" s="1888"/>
      <c r="HQP28" s="1882"/>
      <c r="HQQ28" s="1882"/>
      <c r="HQR28" s="1882"/>
      <c r="HQT28" s="1887"/>
      <c r="HQU28" s="1888"/>
      <c r="HQV28" s="1882"/>
      <c r="HQW28" s="1882"/>
      <c r="HQX28" s="1882"/>
      <c r="HQZ28" s="1887"/>
      <c r="HRA28" s="1888"/>
      <c r="HRB28" s="1882"/>
      <c r="HRC28" s="1882"/>
      <c r="HRD28" s="1882"/>
      <c r="HRF28" s="1887"/>
      <c r="HRG28" s="1888"/>
      <c r="HRH28" s="1882"/>
      <c r="HRI28" s="1882"/>
      <c r="HRJ28" s="1882"/>
      <c r="HRL28" s="1887"/>
      <c r="HRM28" s="1888"/>
      <c r="HRN28" s="1882"/>
      <c r="HRO28" s="1882"/>
      <c r="HRP28" s="1882"/>
      <c r="HRR28" s="1887"/>
      <c r="HRS28" s="1888"/>
      <c r="HRT28" s="1882"/>
      <c r="HRU28" s="1882"/>
      <c r="HRV28" s="1882"/>
      <c r="HRX28" s="1887"/>
      <c r="HRY28" s="1888"/>
      <c r="HRZ28" s="1882"/>
      <c r="HSA28" s="1882"/>
      <c r="HSB28" s="1882"/>
      <c r="HSD28" s="1887"/>
      <c r="HSE28" s="1888"/>
      <c r="HSF28" s="1882"/>
      <c r="HSG28" s="1882"/>
      <c r="HSH28" s="1882"/>
      <c r="HSJ28" s="1887"/>
      <c r="HSK28" s="1888"/>
      <c r="HSL28" s="1882"/>
      <c r="HSM28" s="1882"/>
      <c r="HSN28" s="1882"/>
      <c r="HSP28" s="1887"/>
      <c r="HSQ28" s="1888"/>
      <c r="HSR28" s="1882"/>
      <c r="HSS28" s="1882"/>
      <c r="HST28" s="1882"/>
      <c r="HSV28" s="1887"/>
      <c r="HSW28" s="1888"/>
      <c r="HSX28" s="1882"/>
      <c r="HSY28" s="1882"/>
      <c r="HSZ28" s="1882"/>
      <c r="HTB28" s="1887"/>
      <c r="HTC28" s="1888"/>
      <c r="HTD28" s="1882"/>
      <c r="HTE28" s="1882"/>
      <c r="HTF28" s="1882"/>
      <c r="HTH28" s="1887"/>
      <c r="HTI28" s="1888"/>
      <c r="HTJ28" s="1882"/>
      <c r="HTK28" s="1882"/>
      <c r="HTL28" s="1882"/>
      <c r="HTN28" s="1887"/>
      <c r="HTO28" s="1888"/>
      <c r="HTP28" s="1882"/>
      <c r="HTQ28" s="1882"/>
      <c r="HTR28" s="1882"/>
      <c r="HTT28" s="1887"/>
      <c r="HTU28" s="1888"/>
      <c r="HTV28" s="1882"/>
      <c r="HTW28" s="1882"/>
      <c r="HTX28" s="1882"/>
      <c r="HTZ28" s="1887"/>
      <c r="HUA28" s="1888"/>
      <c r="HUB28" s="1882"/>
      <c r="HUC28" s="1882"/>
      <c r="HUD28" s="1882"/>
      <c r="HUF28" s="1887"/>
      <c r="HUG28" s="1888"/>
      <c r="HUH28" s="1882"/>
      <c r="HUI28" s="1882"/>
      <c r="HUJ28" s="1882"/>
      <c r="HUL28" s="1887"/>
      <c r="HUM28" s="1888"/>
      <c r="HUN28" s="1882"/>
      <c r="HUO28" s="1882"/>
      <c r="HUP28" s="1882"/>
      <c r="HUR28" s="1887"/>
      <c r="HUS28" s="1888"/>
      <c r="HUT28" s="1882"/>
      <c r="HUU28" s="1882"/>
      <c r="HUV28" s="1882"/>
      <c r="HUX28" s="1887"/>
      <c r="HUY28" s="1888"/>
      <c r="HUZ28" s="1882"/>
      <c r="HVA28" s="1882"/>
      <c r="HVB28" s="1882"/>
      <c r="HVD28" s="1887"/>
      <c r="HVE28" s="1888"/>
      <c r="HVF28" s="1882"/>
      <c r="HVG28" s="1882"/>
      <c r="HVH28" s="1882"/>
      <c r="HVJ28" s="1887"/>
      <c r="HVK28" s="1888"/>
      <c r="HVL28" s="1882"/>
      <c r="HVM28" s="1882"/>
      <c r="HVN28" s="1882"/>
      <c r="HVP28" s="1887"/>
      <c r="HVQ28" s="1888"/>
      <c r="HVR28" s="1882"/>
      <c r="HVS28" s="1882"/>
      <c r="HVT28" s="1882"/>
      <c r="HVV28" s="1887"/>
      <c r="HVW28" s="1888"/>
      <c r="HVX28" s="1882"/>
      <c r="HVY28" s="1882"/>
      <c r="HVZ28" s="1882"/>
      <c r="HWB28" s="1887"/>
      <c r="HWC28" s="1888"/>
      <c r="HWD28" s="1882"/>
      <c r="HWE28" s="1882"/>
      <c r="HWF28" s="1882"/>
      <c r="HWH28" s="1887"/>
      <c r="HWI28" s="1888"/>
      <c r="HWJ28" s="1882"/>
      <c r="HWK28" s="1882"/>
      <c r="HWL28" s="1882"/>
      <c r="HWN28" s="1887"/>
      <c r="HWO28" s="1888"/>
      <c r="HWP28" s="1882"/>
      <c r="HWQ28" s="1882"/>
      <c r="HWR28" s="1882"/>
      <c r="HWT28" s="1887"/>
      <c r="HWU28" s="1888"/>
      <c r="HWV28" s="1882"/>
      <c r="HWW28" s="1882"/>
      <c r="HWX28" s="1882"/>
      <c r="HWZ28" s="1887"/>
      <c r="HXA28" s="1888"/>
      <c r="HXB28" s="1882"/>
      <c r="HXC28" s="1882"/>
      <c r="HXD28" s="1882"/>
      <c r="HXF28" s="1887"/>
      <c r="HXG28" s="1888"/>
      <c r="HXH28" s="1882"/>
      <c r="HXI28" s="1882"/>
      <c r="HXJ28" s="1882"/>
      <c r="HXL28" s="1887"/>
      <c r="HXM28" s="1888"/>
      <c r="HXN28" s="1882"/>
      <c r="HXO28" s="1882"/>
      <c r="HXP28" s="1882"/>
      <c r="HXR28" s="1887"/>
      <c r="HXS28" s="1888"/>
      <c r="HXT28" s="1882"/>
      <c r="HXU28" s="1882"/>
      <c r="HXV28" s="1882"/>
      <c r="HXX28" s="1887"/>
      <c r="HXY28" s="1888"/>
      <c r="HXZ28" s="1882"/>
      <c r="HYA28" s="1882"/>
      <c r="HYB28" s="1882"/>
      <c r="HYD28" s="1887"/>
      <c r="HYE28" s="1888"/>
      <c r="HYF28" s="1882"/>
      <c r="HYG28" s="1882"/>
      <c r="HYH28" s="1882"/>
      <c r="HYJ28" s="1887"/>
      <c r="HYK28" s="1888"/>
      <c r="HYL28" s="1882"/>
      <c r="HYM28" s="1882"/>
      <c r="HYN28" s="1882"/>
      <c r="HYP28" s="1887"/>
      <c r="HYQ28" s="1888"/>
      <c r="HYR28" s="1882"/>
      <c r="HYS28" s="1882"/>
      <c r="HYT28" s="1882"/>
      <c r="HYV28" s="1887"/>
      <c r="HYW28" s="1888"/>
      <c r="HYX28" s="1882"/>
      <c r="HYY28" s="1882"/>
      <c r="HYZ28" s="1882"/>
      <c r="HZB28" s="1887"/>
      <c r="HZC28" s="1888"/>
      <c r="HZD28" s="1882"/>
      <c r="HZE28" s="1882"/>
      <c r="HZF28" s="1882"/>
      <c r="HZH28" s="1887"/>
      <c r="HZI28" s="1888"/>
      <c r="HZJ28" s="1882"/>
      <c r="HZK28" s="1882"/>
      <c r="HZL28" s="1882"/>
      <c r="HZN28" s="1887"/>
      <c r="HZO28" s="1888"/>
      <c r="HZP28" s="1882"/>
      <c r="HZQ28" s="1882"/>
      <c r="HZR28" s="1882"/>
      <c r="HZT28" s="1887"/>
      <c r="HZU28" s="1888"/>
      <c r="HZV28" s="1882"/>
      <c r="HZW28" s="1882"/>
      <c r="HZX28" s="1882"/>
      <c r="HZZ28" s="1887"/>
      <c r="IAA28" s="1888"/>
      <c r="IAB28" s="1882"/>
      <c r="IAC28" s="1882"/>
      <c r="IAD28" s="1882"/>
      <c r="IAF28" s="1887"/>
      <c r="IAG28" s="1888"/>
      <c r="IAH28" s="1882"/>
      <c r="IAI28" s="1882"/>
      <c r="IAJ28" s="1882"/>
      <c r="IAL28" s="1887"/>
      <c r="IAM28" s="1888"/>
      <c r="IAN28" s="1882"/>
      <c r="IAO28" s="1882"/>
      <c r="IAP28" s="1882"/>
      <c r="IAR28" s="1887"/>
      <c r="IAS28" s="1888"/>
      <c r="IAT28" s="1882"/>
      <c r="IAU28" s="1882"/>
      <c r="IAV28" s="1882"/>
      <c r="IAX28" s="1887"/>
      <c r="IAY28" s="1888"/>
      <c r="IAZ28" s="1882"/>
      <c r="IBA28" s="1882"/>
      <c r="IBB28" s="1882"/>
      <c r="IBD28" s="1887"/>
      <c r="IBE28" s="1888"/>
      <c r="IBF28" s="1882"/>
      <c r="IBG28" s="1882"/>
      <c r="IBH28" s="1882"/>
      <c r="IBJ28" s="1887"/>
      <c r="IBK28" s="1888"/>
      <c r="IBL28" s="1882"/>
      <c r="IBM28" s="1882"/>
      <c r="IBN28" s="1882"/>
      <c r="IBP28" s="1887"/>
      <c r="IBQ28" s="1888"/>
      <c r="IBR28" s="1882"/>
      <c r="IBS28" s="1882"/>
      <c r="IBT28" s="1882"/>
      <c r="IBV28" s="1887"/>
      <c r="IBW28" s="1888"/>
      <c r="IBX28" s="1882"/>
      <c r="IBY28" s="1882"/>
      <c r="IBZ28" s="1882"/>
      <c r="ICB28" s="1887"/>
      <c r="ICC28" s="1888"/>
      <c r="ICD28" s="1882"/>
      <c r="ICE28" s="1882"/>
      <c r="ICF28" s="1882"/>
      <c r="ICH28" s="1887"/>
      <c r="ICI28" s="1888"/>
      <c r="ICJ28" s="1882"/>
      <c r="ICK28" s="1882"/>
      <c r="ICL28" s="1882"/>
      <c r="ICN28" s="1887"/>
      <c r="ICO28" s="1888"/>
      <c r="ICP28" s="1882"/>
      <c r="ICQ28" s="1882"/>
      <c r="ICR28" s="1882"/>
      <c r="ICT28" s="1887"/>
      <c r="ICU28" s="1888"/>
      <c r="ICV28" s="1882"/>
      <c r="ICW28" s="1882"/>
      <c r="ICX28" s="1882"/>
      <c r="ICZ28" s="1887"/>
      <c r="IDA28" s="1888"/>
      <c r="IDB28" s="1882"/>
      <c r="IDC28" s="1882"/>
      <c r="IDD28" s="1882"/>
      <c r="IDF28" s="1887"/>
      <c r="IDG28" s="1888"/>
      <c r="IDH28" s="1882"/>
      <c r="IDI28" s="1882"/>
      <c r="IDJ28" s="1882"/>
      <c r="IDL28" s="1887"/>
      <c r="IDM28" s="1888"/>
      <c r="IDN28" s="1882"/>
      <c r="IDO28" s="1882"/>
      <c r="IDP28" s="1882"/>
      <c r="IDR28" s="1887"/>
      <c r="IDS28" s="1888"/>
      <c r="IDT28" s="1882"/>
      <c r="IDU28" s="1882"/>
      <c r="IDV28" s="1882"/>
      <c r="IDX28" s="1887"/>
      <c r="IDY28" s="1888"/>
      <c r="IDZ28" s="1882"/>
      <c r="IEA28" s="1882"/>
      <c r="IEB28" s="1882"/>
      <c r="IED28" s="1887"/>
      <c r="IEE28" s="1888"/>
      <c r="IEF28" s="1882"/>
      <c r="IEG28" s="1882"/>
      <c r="IEH28" s="1882"/>
      <c r="IEJ28" s="1887"/>
      <c r="IEK28" s="1888"/>
      <c r="IEL28" s="1882"/>
      <c r="IEM28" s="1882"/>
      <c r="IEN28" s="1882"/>
      <c r="IEP28" s="1887"/>
      <c r="IEQ28" s="1888"/>
      <c r="IER28" s="1882"/>
      <c r="IES28" s="1882"/>
      <c r="IET28" s="1882"/>
      <c r="IEV28" s="1887"/>
      <c r="IEW28" s="1888"/>
      <c r="IEX28" s="1882"/>
      <c r="IEY28" s="1882"/>
      <c r="IEZ28" s="1882"/>
      <c r="IFB28" s="1887"/>
      <c r="IFC28" s="1888"/>
      <c r="IFD28" s="1882"/>
      <c r="IFE28" s="1882"/>
      <c r="IFF28" s="1882"/>
      <c r="IFH28" s="1887"/>
      <c r="IFI28" s="1888"/>
      <c r="IFJ28" s="1882"/>
      <c r="IFK28" s="1882"/>
      <c r="IFL28" s="1882"/>
      <c r="IFN28" s="1887"/>
      <c r="IFO28" s="1888"/>
      <c r="IFP28" s="1882"/>
      <c r="IFQ28" s="1882"/>
      <c r="IFR28" s="1882"/>
      <c r="IFT28" s="1887"/>
      <c r="IFU28" s="1888"/>
      <c r="IFV28" s="1882"/>
      <c r="IFW28" s="1882"/>
      <c r="IFX28" s="1882"/>
      <c r="IFZ28" s="1887"/>
      <c r="IGA28" s="1888"/>
      <c r="IGB28" s="1882"/>
      <c r="IGC28" s="1882"/>
      <c r="IGD28" s="1882"/>
      <c r="IGF28" s="1887"/>
      <c r="IGG28" s="1888"/>
      <c r="IGH28" s="1882"/>
      <c r="IGI28" s="1882"/>
      <c r="IGJ28" s="1882"/>
      <c r="IGL28" s="1887"/>
      <c r="IGM28" s="1888"/>
      <c r="IGN28" s="1882"/>
      <c r="IGO28" s="1882"/>
      <c r="IGP28" s="1882"/>
      <c r="IGR28" s="1887"/>
      <c r="IGS28" s="1888"/>
      <c r="IGT28" s="1882"/>
      <c r="IGU28" s="1882"/>
      <c r="IGV28" s="1882"/>
      <c r="IGX28" s="1887"/>
      <c r="IGY28" s="1888"/>
      <c r="IGZ28" s="1882"/>
      <c r="IHA28" s="1882"/>
      <c r="IHB28" s="1882"/>
      <c r="IHD28" s="1887"/>
      <c r="IHE28" s="1888"/>
      <c r="IHF28" s="1882"/>
      <c r="IHG28" s="1882"/>
      <c r="IHH28" s="1882"/>
      <c r="IHJ28" s="1887"/>
      <c r="IHK28" s="1888"/>
      <c r="IHL28" s="1882"/>
      <c r="IHM28" s="1882"/>
      <c r="IHN28" s="1882"/>
      <c r="IHP28" s="1887"/>
      <c r="IHQ28" s="1888"/>
      <c r="IHR28" s="1882"/>
      <c r="IHS28" s="1882"/>
      <c r="IHT28" s="1882"/>
      <c r="IHV28" s="1887"/>
      <c r="IHW28" s="1888"/>
      <c r="IHX28" s="1882"/>
      <c r="IHY28" s="1882"/>
      <c r="IHZ28" s="1882"/>
      <c r="IIB28" s="1887"/>
      <c r="IIC28" s="1888"/>
      <c r="IID28" s="1882"/>
      <c r="IIE28" s="1882"/>
      <c r="IIF28" s="1882"/>
      <c r="IIH28" s="1887"/>
      <c r="III28" s="1888"/>
      <c r="IIJ28" s="1882"/>
      <c r="IIK28" s="1882"/>
      <c r="IIL28" s="1882"/>
      <c r="IIN28" s="1887"/>
      <c r="IIO28" s="1888"/>
      <c r="IIP28" s="1882"/>
      <c r="IIQ28" s="1882"/>
      <c r="IIR28" s="1882"/>
      <c r="IIT28" s="1887"/>
      <c r="IIU28" s="1888"/>
      <c r="IIV28" s="1882"/>
      <c r="IIW28" s="1882"/>
      <c r="IIX28" s="1882"/>
      <c r="IIZ28" s="1887"/>
      <c r="IJA28" s="1888"/>
      <c r="IJB28" s="1882"/>
      <c r="IJC28" s="1882"/>
      <c r="IJD28" s="1882"/>
      <c r="IJF28" s="1887"/>
      <c r="IJG28" s="1888"/>
      <c r="IJH28" s="1882"/>
      <c r="IJI28" s="1882"/>
      <c r="IJJ28" s="1882"/>
      <c r="IJL28" s="1887"/>
      <c r="IJM28" s="1888"/>
      <c r="IJN28" s="1882"/>
      <c r="IJO28" s="1882"/>
      <c r="IJP28" s="1882"/>
      <c r="IJR28" s="1887"/>
      <c r="IJS28" s="1888"/>
      <c r="IJT28" s="1882"/>
      <c r="IJU28" s="1882"/>
      <c r="IJV28" s="1882"/>
      <c r="IJX28" s="1887"/>
      <c r="IJY28" s="1888"/>
      <c r="IJZ28" s="1882"/>
      <c r="IKA28" s="1882"/>
      <c r="IKB28" s="1882"/>
      <c r="IKD28" s="1887"/>
      <c r="IKE28" s="1888"/>
      <c r="IKF28" s="1882"/>
      <c r="IKG28" s="1882"/>
      <c r="IKH28" s="1882"/>
      <c r="IKJ28" s="1887"/>
      <c r="IKK28" s="1888"/>
      <c r="IKL28" s="1882"/>
      <c r="IKM28" s="1882"/>
      <c r="IKN28" s="1882"/>
      <c r="IKP28" s="1887"/>
      <c r="IKQ28" s="1888"/>
      <c r="IKR28" s="1882"/>
      <c r="IKS28" s="1882"/>
      <c r="IKT28" s="1882"/>
      <c r="IKV28" s="1887"/>
      <c r="IKW28" s="1888"/>
      <c r="IKX28" s="1882"/>
      <c r="IKY28" s="1882"/>
      <c r="IKZ28" s="1882"/>
      <c r="ILB28" s="1887"/>
      <c r="ILC28" s="1888"/>
      <c r="ILD28" s="1882"/>
      <c r="ILE28" s="1882"/>
      <c r="ILF28" s="1882"/>
      <c r="ILH28" s="1887"/>
      <c r="ILI28" s="1888"/>
      <c r="ILJ28" s="1882"/>
      <c r="ILK28" s="1882"/>
      <c r="ILL28" s="1882"/>
      <c r="ILN28" s="1887"/>
      <c r="ILO28" s="1888"/>
      <c r="ILP28" s="1882"/>
      <c r="ILQ28" s="1882"/>
      <c r="ILR28" s="1882"/>
      <c r="ILT28" s="1887"/>
      <c r="ILU28" s="1888"/>
      <c r="ILV28" s="1882"/>
      <c r="ILW28" s="1882"/>
      <c r="ILX28" s="1882"/>
      <c r="ILZ28" s="1887"/>
      <c r="IMA28" s="1888"/>
      <c r="IMB28" s="1882"/>
      <c r="IMC28" s="1882"/>
      <c r="IMD28" s="1882"/>
      <c r="IMF28" s="1887"/>
      <c r="IMG28" s="1888"/>
      <c r="IMH28" s="1882"/>
      <c r="IMI28" s="1882"/>
      <c r="IMJ28" s="1882"/>
      <c r="IML28" s="1887"/>
      <c r="IMM28" s="1888"/>
      <c r="IMN28" s="1882"/>
      <c r="IMO28" s="1882"/>
      <c r="IMP28" s="1882"/>
      <c r="IMR28" s="1887"/>
      <c r="IMS28" s="1888"/>
      <c r="IMT28" s="1882"/>
      <c r="IMU28" s="1882"/>
      <c r="IMV28" s="1882"/>
      <c r="IMX28" s="1887"/>
      <c r="IMY28" s="1888"/>
      <c r="IMZ28" s="1882"/>
      <c r="INA28" s="1882"/>
      <c r="INB28" s="1882"/>
      <c r="IND28" s="1887"/>
      <c r="INE28" s="1888"/>
      <c r="INF28" s="1882"/>
      <c r="ING28" s="1882"/>
      <c r="INH28" s="1882"/>
      <c r="INJ28" s="1887"/>
      <c r="INK28" s="1888"/>
      <c r="INL28" s="1882"/>
      <c r="INM28" s="1882"/>
      <c r="INN28" s="1882"/>
      <c r="INP28" s="1887"/>
      <c r="INQ28" s="1888"/>
      <c r="INR28" s="1882"/>
      <c r="INS28" s="1882"/>
      <c r="INT28" s="1882"/>
      <c r="INV28" s="1887"/>
      <c r="INW28" s="1888"/>
      <c r="INX28" s="1882"/>
      <c r="INY28" s="1882"/>
      <c r="INZ28" s="1882"/>
      <c r="IOB28" s="1887"/>
      <c r="IOC28" s="1888"/>
      <c r="IOD28" s="1882"/>
      <c r="IOE28" s="1882"/>
      <c r="IOF28" s="1882"/>
      <c r="IOH28" s="1887"/>
      <c r="IOI28" s="1888"/>
      <c r="IOJ28" s="1882"/>
      <c r="IOK28" s="1882"/>
      <c r="IOL28" s="1882"/>
      <c r="ION28" s="1887"/>
      <c r="IOO28" s="1888"/>
      <c r="IOP28" s="1882"/>
      <c r="IOQ28" s="1882"/>
      <c r="IOR28" s="1882"/>
      <c r="IOT28" s="1887"/>
      <c r="IOU28" s="1888"/>
      <c r="IOV28" s="1882"/>
      <c r="IOW28" s="1882"/>
      <c r="IOX28" s="1882"/>
      <c r="IOZ28" s="1887"/>
      <c r="IPA28" s="1888"/>
      <c r="IPB28" s="1882"/>
      <c r="IPC28" s="1882"/>
      <c r="IPD28" s="1882"/>
      <c r="IPF28" s="1887"/>
      <c r="IPG28" s="1888"/>
      <c r="IPH28" s="1882"/>
      <c r="IPI28" s="1882"/>
      <c r="IPJ28" s="1882"/>
      <c r="IPL28" s="1887"/>
      <c r="IPM28" s="1888"/>
      <c r="IPN28" s="1882"/>
      <c r="IPO28" s="1882"/>
      <c r="IPP28" s="1882"/>
      <c r="IPR28" s="1887"/>
      <c r="IPS28" s="1888"/>
      <c r="IPT28" s="1882"/>
      <c r="IPU28" s="1882"/>
      <c r="IPV28" s="1882"/>
      <c r="IPX28" s="1887"/>
      <c r="IPY28" s="1888"/>
      <c r="IPZ28" s="1882"/>
      <c r="IQA28" s="1882"/>
      <c r="IQB28" s="1882"/>
      <c r="IQD28" s="1887"/>
      <c r="IQE28" s="1888"/>
      <c r="IQF28" s="1882"/>
      <c r="IQG28" s="1882"/>
      <c r="IQH28" s="1882"/>
      <c r="IQJ28" s="1887"/>
      <c r="IQK28" s="1888"/>
      <c r="IQL28" s="1882"/>
      <c r="IQM28" s="1882"/>
      <c r="IQN28" s="1882"/>
      <c r="IQP28" s="1887"/>
      <c r="IQQ28" s="1888"/>
      <c r="IQR28" s="1882"/>
      <c r="IQS28" s="1882"/>
      <c r="IQT28" s="1882"/>
      <c r="IQV28" s="1887"/>
      <c r="IQW28" s="1888"/>
      <c r="IQX28" s="1882"/>
      <c r="IQY28" s="1882"/>
      <c r="IQZ28" s="1882"/>
      <c r="IRB28" s="1887"/>
      <c r="IRC28" s="1888"/>
      <c r="IRD28" s="1882"/>
      <c r="IRE28" s="1882"/>
      <c r="IRF28" s="1882"/>
      <c r="IRH28" s="1887"/>
      <c r="IRI28" s="1888"/>
      <c r="IRJ28" s="1882"/>
      <c r="IRK28" s="1882"/>
      <c r="IRL28" s="1882"/>
      <c r="IRN28" s="1887"/>
      <c r="IRO28" s="1888"/>
      <c r="IRP28" s="1882"/>
      <c r="IRQ28" s="1882"/>
      <c r="IRR28" s="1882"/>
      <c r="IRT28" s="1887"/>
      <c r="IRU28" s="1888"/>
      <c r="IRV28" s="1882"/>
      <c r="IRW28" s="1882"/>
      <c r="IRX28" s="1882"/>
      <c r="IRZ28" s="1887"/>
      <c r="ISA28" s="1888"/>
      <c r="ISB28" s="1882"/>
      <c r="ISC28" s="1882"/>
      <c r="ISD28" s="1882"/>
      <c r="ISF28" s="1887"/>
      <c r="ISG28" s="1888"/>
      <c r="ISH28" s="1882"/>
      <c r="ISI28" s="1882"/>
      <c r="ISJ28" s="1882"/>
      <c r="ISL28" s="1887"/>
      <c r="ISM28" s="1888"/>
      <c r="ISN28" s="1882"/>
      <c r="ISO28" s="1882"/>
      <c r="ISP28" s="1882"/>
      <c r="ISR28" s="1887"/>
      <c r="ISS28" s="1888"/>
      <c r="IST28" s="1882"/>
      <c r="ISU28" s="1882"/>
      <c r="ISV28" s="1882"/>
      <c r="ISX28" s="1887"/>
      <c r="ISY28" s="1888"/>
      <c r="ISZ28" s="1882"/>
      <c r="ITA28" s="1882"/>
      <c r="ITB28" s="1882"/>
      <c r="ITD28" s="1887"/>
      <c r="ITE28" s="1888"/>
      <c r="ITF28" s="1882"/>
      <c r="ITG28" s="1882"/>
      <c r="ITH28" s="1882"/>
      <c r="ITJ28" s="1887"/>
      <c r="ITK28" s="1888"/>
      <c r="ITL28" s="1882"/>
      <c r="ITM28" s="1882"/>
      <c r="ITN28" s="1882"/>
      <c r="ITP28" s="1887"/>
      <c r="ITQ28" s="1888"/>
      <c r="ITR28" s="1882"/>
      <c r="ITS28" s="1882"/>
      <c r="ITT28" s="1882"/>
      <c r="ITV28" s="1887"/>
      <c r="ITW28" s="1888"/>
      <c r="ITX28" s="1882"/>
      <c r="ITY28" s="1882"/>
      <c r="ITZ28" s="1882"/>
      <c r="IUB28" s="1887"/>
      <c r="IUC28" s="1888"/>
      <c r="IUD28" s="1882"/>
      <c r="IUE28" s="1882"/>
      <c r="IUF28" s="1882"/>
      <c r="IUH28" s="1887"/>
      <c r="IUI28" s="1888"/>
      <c r="IUJ28" s="1882"/>
      <c r="IUK28" s="1882"/>
      <c r="IUL28" s="1882"/>
      <c r="IUN28" s="1887"/>
      <c r="IUO28" s="1888"/>
      <c r="IUP28" s="1882"/>
      <c r="IUQ28" s="1882"/>
      <c r="IUR28" s="1882"/>
      <c r="IUT28" s="1887"/>
      <c r="IUU28" s="1888"/>
      <c r="IUV28" s="1882"/>
      <c r="IUW28" s="1882"/>
      <c r="IUX28" s="1882"/>
      <c r="IUZ28" s="1887"/>
      <c r="IVA28" s="1888"/>
      <c r="IVB28" s="1882"/>
      <c r="IVC28" s="1882"/>
      <c r="IVD28" s="1882"/>
      <c r="IVF28" s="1887"/>
      <c r="IVG28" s="1888"/>
      <c r="IVH28" s="1882"/>
      <c r="IVI28" s="1882"/>
      <c r="IVJ28" s="1882"/>
      <c r="IVL28" s="1887"/>
      <c r="IVM28" s="1888"/>
      <c r="IVN28" s="1882"/>
      <c r="IVO28" s="1882"/>
      <c r="IVP28" s="1882"/>
      <c r="IVR28" s="1887"/>
      <c r="IVS28" s="1888"/>
      <c r="IVT28" s="1882"/>
      <c r="IVU28" s="1882"/>
      <c r="IVV28" s="1882"/>
      <c r="IVX28" s="1887"/>
      <c r="IVY28" s="1888"/>
      <c r="IVZ28" s="1882"/>
      <c r="IWA28" s="1882"/>
      <c r="IWB28" s="1882"/>
      <c r="IWD28" s="1887"/>
      <c r="IWE28" s="1888"/>
      <c r="IWF28" s="1882"/>
      <c r="IWG28" s="1882"/>
      <c r="IWH28" s="1882"/>
      <c r="IWJ28" s="1887"/>
      <c r="IWK28" s="1888"/>
      <c r="IWL28" s="1882"/>
      <c r="IWM28" s="1882"/>
      <c r="IWN28" s="1882"/>
      <c r="IWP28" s="1887"/>
      <c r="IWQ28" s="1888"/>
      <c r="IWR28" s="1882"/>
      <c r="IWS28" s="1882"/>
      <c r="IWT28" s="1882"/>
      <c r="IWV28" s="1887"/>
      <c r="IWW28" s="1888"/>
      <c r="IWX28" s="1882"/>
      <c r="IWY28" s="1882"/>
      <c r="IWZ28" s="1882"/>
      <c r="IXB28" s="1887"/>
      <c r="IXC28" s="1888"/>
      <c r="IXD28" s="1882"/>
      <c r="IXE28" s="1882"/>
      <c r="IXF28" s="1882"/>
      <c r="IXH28" s="1887"/>
      <c r="IXI28" s="1888"/>
      <c r="IXJ28" s="1882"/>
      <c r="IXK28" s="1882"/>
      <c r="IXL28" s="1882"/>
      <c r="IXN28" s="1887"/>
      <c r="IXO28" s="1888"/>
      <c r="IXP28" s="1882"/>
      <c r="IXQ28" s="1882"/>
      <c r="IXR28" s="1882"/>
      <c r="IXT28" s="1887"/>
      <c r="IXU28" s="1888"/>
      <c r="IXV28" s="1882"/>
      <c r="IXW28" s="1882"/>
      <c r="IXX28" s="1882"/>
      <c r="IXZ28" s="1887"/>
      <c r="IYA28" s="1888"/>
      <c r="IYB28" s="1882"/>
      <c r="IYC28" s="1882"/>
      <c r="IYD28" s="1882"/>
      <c r="IYF28" s="1887"/>
      <c r="IYG28" s="1888"/>
      <c r="IYH28" s="1882"/>
      <c r="IYI28" s="1882"/>
      <c r="IYJ28" s="1882"/>
      <c r="IYL28" s="1887"/>
      <c r="IYM28" s="1888"/>
      <c r="IYN28" s="1882"/>
      <c r="IYO28" s="1882"/>
      <c r="IYP28" s="1882"/>
      <c r="IYR28" s="1887"/>
      <c r="IYS28" s="1888"/>
      <c r="IYT28" s="1882"/>
      <c r="IYU28" s="1882"/>
      <c r="IYV28" s="1882"/>
      <c r="IYX28" s="1887"/>
      <c r="IYY28" s="1888"/>
      <c r="IYZ28" s="1882"/>
      <c r="IZA28" s="1882"/>
      <c r="IZB28" s="1882"/>
      <c r="IZD28" s="1887"/>
      <c r="IZE28" s="1888"/>
      <c r="IZF28" s="1882"/>
      <c r="IZG28" s="1882"/>
      <c r="IZH28" s="1882"/>
      <c r="IZJ28" s="1887"/>
      <c r="IZK28" s="1888"/>
      <c r="IZL28" s="1882"/>
      <c r="IZM28" s="1882"/>
      <c r="IZN28" s="1882"/>
      <c r="IZP28" s="1887"/>
      <c r="IZQ28" s="1888"/>
      <c r="IZR28" s="1882"/>
      <c r="IZS28" s="1882"/>
      <c r="IZT28" s="1882"/>
      <c r="IZV28" s="1887"/>
      <c r="IZW28" s="1888"/>
      <c r="IZX28" s="1882"/>
      <c r="IZY28" s="1882"/>
      <c r="IZZ28" s="1882"/>
      <c r="JAB28" s="1887"/>
      <c r="JAC28" s="1888"/>
      <c r="JAD28" s="1882"/>
      <c r="JAE28" s="1882"/>
      <c r="JAF28" s="1882"/>
      <c r="JAH28" s="1887"/>
      <c r="JAI28" s="1888"/>
      <c r="JAJ28" s="1882"/>
      <c r="JAK28" s="1882"/>
      <c r="JAL28" s="1882"/>
      <c r="JAN28" s="1887"/>
      <c r="JAO28" s="1888"/>
      <c r="JAP28" s="1882"/>
      <c r="JAQ28" s="1882"/>
      <c r="JAR28" s="1882"/>
      <c r="JAT28" s="1887"/>
      <c r="JAU28" s="1888"/>
      <c r="JAV28" s="1882"/>
      <c r="JAW28" s="1882"/>
      <c r="JAX28" s="1882"/>
      <c r="JAZ28" s="1887"/>
      <c r="JBA28" s="1888"/>
      <c r="JBB28" s="1882"/>
      <c r="JBC28" s="1882"/>
      <c r="JBD28" s="1882"/>
      <c r="JBF28" s="1887"/>
      <c r="JBG28" s="1888"/>
      <c r="JBH28" s="1882"/>
      <c r="JBI28" s="1882"/>
      <c r="JBJ28" s="1882"/>
      <c r="JBL28" s="1887"/>
      <c r="JBM28" s="1888"/>
      <c r="JBN28" s="1882"/>
      <c r="JBO28" s="1882"/>
      <c r="JBP28" s="1882"/>
      <c r="JBR28" s="1887"/>
      <c r="JBS28" s="1888"/>
      <c r="JBT28" s="1882"/>
      <c r="JBU28" s="1882"/>
      <c r="JBV28" s="1882"/>
      <c r="JBX28" s="1887"/>
      <c r="JBY28" s="1888"/>
      <c r="JBZ28" s="1882"/>
      <c r="JCA28" s="1882"/>
      <c r="JCB28" s="1882"/>
      <c r="JCD28" s="1887"/>
      <c r="JCE28" s="1888"/>
      <c r="JCF28" s="1882"/>
      <c r="JCG28" s="1882"/>
      <c r="JCH28" s="1882"/>
      <c r="JCJ28" s="1887"/>
      <c r="JCK28" s="1888"/>
      <c r="JCL28" s="1882"/>
      <c r="JCM28" s="1882"/>
      <c r="JCN28" s="1882"/>
      <c r="JCP28" s="1887"/>
      <c r="JCQ28" s="1888"/>
      <c r="JCR28" s="1882"/>
      <c r="JCS28" s="1882"/>
      <c r="JCT28" s="1882"/>
      <c r="JCV28" s="1887"/>
      <c r="JCW28" s="1888"/>
      <c r="JCX28" s="1882"/>
      <c r="JCY28" s="1882"/>
      <c r="JCZ28" s="1882"/>
      <c r="JDB28" s="1887"/>
      <c r="JDC28" s="1888"/>
      <c r="JDD28" s="1882"/>
      <c r="JDE28" s="1882"/>
      <c r="JDF28" s="1882"/>
      <c r="JDH28" s="1887"/>
      <c r="JDI28" s="1888"/>
      <c r="JDJ28" s="1882"/>
      <c r="JDK28" s="1882"/>
      <c r="JDL28" s="1882"/>
      <c r="JDN28" s="1887"/>
      <c r="JDO28" s="1888"/>
      <c r="JDP28" s="1882"/>
      <c r="JDQ28" s="1882"/>
      <c r="JDR28" s="1882"/>
      <c r="JDT28" s="1887"/>
      <c r="JDU28" s="1888"/>
      <c r="JDV28" s="1882"/>
      <c r="JDW28" s="1882"/>
      <c r="JDX28" s="1882"/>
      <c r="JDZ28" s="1887"/>
      <c r="JEA28" s="1888"/>
      <c r="JEB28" s="1882"/>
      <c r="JEC28" s="1882"/>
      <c r="JED28" s="1882"/>
      <c r="JEF28" s="1887"/>
      <c r="JEG28" s="1888"/>
      <c r="JEH28" s="1882"/>
      <c r="JEI28" s="1882"/>
      <c r="JEJ28" s="1882"/>
      <c r="JEL28" s="1887"/>
      <c r="JEM28" s="1888"/>
      <c r="JEN28" s="1882"/>
      <c r="JEO28" s="1882"/>
      <c r="JEP28" s="1882"/>
      <c r="JER28" s="1887"/>
      <c r="JES28" s="1888"/>
      <c r="JET28" s="1882"/>
      <c r="JEU28" s="1882"/>
      <c r="JEV28" s="1882"/>
      <c r="JEX28" s="1887"/>
      <c r="JEY28" s="1888"/>
      <c r="JEZ28" s="1882"/>
      <c r="JFA28" s="1882"/>
      <c r="JFB28" s="1882"/>
      <c r="JFD28" s="1887"/>
      <c r="JFE28" s="1888"/>
      <c r="JFF28" s="1882"/>
      <c r="JFG28" s="1882"/>
      <c r="JFH28" s="1882"/>
      <c r="JFJ28" s="1887"/>
      <c r="JFK28" s="1888"/>
      <c r="JFL28" s="1882"/>
      <c r="JFM28" s="1882"/>
      <c r="JFN28" s="1882"/>
      <c r="JFP28" s="1887"/>
      <c r="JFQ28" s="1888"/>
      <c r="JFR28" s="1882"/>
      <c r="JFS28" s="1882"/>
      <c r="JFT28" s="1882"/>
      <c r="JFV28" s="1887"/>
      <c r="JFW28" s="1888"/>
      <c r="JFX28" s="1882"/>
      <c r="JFY28" s="1882"/>
      <c r="JFZ28" s="1882"/>
      <c r="JGB28" s="1887"/>
      <c r="JGC28" s="1888"/>
      <c r="JGD28" s="1882"/>
      <c r="JGE28" s="1882"/>
      <c r="JGF28" s="1882"/>
      <c r="JGH28" s="1887"/>
      <c r="JGI28" s="1888"/>
      <c r="JGJ28" s="1882"/>
      <c r="JGK28" s="1882"/>
      <c r="JGL28" s="1882"/>
      <c r="JGN28" s="1887"/>
      <c r="JGO28" s="1888"/>
      <c r="JGP28" s="1882"/>
      <c r="JGQ28" s="1882"/>
      <c r="JGR28" s="1882"/>
      <c r="JGT28" s="1887"/>
      <c r="JGU28" s="1888"/>
      <c r="JGV28" s="1882"/>
      <c r="JGW28" s="1882"/>
      <c r="JGX28" s="1882"/>
      <c r="JGZ28" s="1887"/>
      <c r="JHA28" s="1888"/>
      <c r="JHB28" s="1882"/>
      <c r="JHC28" s="1882"/>
      <c r="JHD28" s="1882"/>
      <c r="JHF28" s="1887"/>
      <c r="JHG28" s="1888"/>
      <c r="JHH28" s="1882"/>
      <c r="JHI28" s="1882"/>
      <c r="JHJ28" s="1882"/>
      <c r="JHL28" s="1887"/>
      <c r="JHM28" s="1888"/>
      <c r="JHN28" s="1882"/>
      <c r="JHO28" s="1882"/>
      <c r="JHP28" s="1882"/>
      <c r="JHR28" s="1887"/>
      <c r="JHS28" s="1888"/>
      <c r="JHT28" s="1882"/>
      <c r="JHU28" s="1882"/>
      <c r="JHV28" s="1882"/>
      <c r="JHX28" s="1887"/>
      <c r="JHY28" s="1888"/>
      <c r="JHZ28" s="1882"/>
      <c r="JIA28" s="1882"/>
      <c r="JIB28" s="1882"/>
      <c r="JID28" s="1887"/>
      <c r="JIE28" s="1888"/>
      <c r="JIF28" s="1882"/>
      <c r="JIG28" s="1882"/>
      <c r="JIH28" s="1882"/>
      <c r="JIJ28" s="1887"/>
      <c r="JIK28" s="1888"/>
      <c r="JIL28" s="1882"/>
      <c r="JIM28" s="1882"/>
      <c r="JIN28" s="1882"/>
      <c r="JIP28" s="1887"/>
      <c r="JIQ28" s="1888"/>
      <c r="JIR28" s="1882"/>
      <c r="JIS28" s="1882"/>
      <c r="JIT28" s="1882"/>
      <c r="JIV28" s="1887"/>
      <c r="JIW28" s="1888"/>
      <c r="JIX28" s="1882"/>
      <c r="JIY28" s="1882"/>
      <c r="JIZ28" s="1882"/>
      <c r="JJB28" s="1887"/>
      <c r="JJC28" s="1888"/>
      <c r="JJD28" s="1882"/>
      <c r="JJE28" s="1882"/>
      <c r="JJF28" s="1882"/>
      <c r="JJH28" s="1887"/>
      <c r="JJI28" s="1888"/>
      <c r="JJJ28" s="1882"/>
      <c r="JJK28" s="1882"/>
      <c r="JJL28" s="1882"/>
      <c r="JJN28" s="1887"/>
      <c r="JJO28" s="1888"/>
      <c r="JJP28" s="1882"/>
      <c r="JJQ28" s="1882"/>
      <c r="JJR28" s="1882"/>
      <c r="JJT28" s="1887"/>
      <c r="JJU28" s="1888"/>
      <c r="JJV28" s="1882"/>
      <c r="JJW28" s="1882"/>
      <c r="JJX28" s="1882"/>
      <c r="JJZ28" s="1887"/>
      <c r="JKA28" s="1888"/>
      <c r="JKB28" s="1882"/>
      <c r="JKC28" s="1882"/>
      <c r="JKD28" s="1882"/>
      <c r="JKF28" s="1887"/>
      <c r="JKG28" s="1888"/>
      <c r="JKH28" s="1882"/>
      <c r="JKI28" s="1882"/>
      <c r="JKJ28" s="1882"/>
      <c r="JKL28" s="1887"/>
      <c r="JKM28" s="1888"/>
      <c r="JKN28" s="1882"/>
      <c r="JKO28" s="1882"/>
      <c r="JKP28" s="1882"/>
      <c r="JKR28" s="1887"/>
      <c r="JKS28" s="1888"/>
      <c r="JKT28" s="1882"/>
      <c r="JKU28" s="1882"/>
      <c r="JKV28" s="1882"/>
      <c r="JKX28" s="1887"/>
      <c r="JKY28" s="1888"/>
      <c r="JKZ28" s="1882"/>
      <c r="JLA28" s="1882"/>
      <c r="JLB28" s="1882"/>
      <c r="JLD28" s="1887"/>
      <c r="JLE28" s="1888"/>
      <c r="JLF28" s="1882"/>
      <c r="JLG28" s="1882"/>
      <c r="JLH28" s="1882"/>
      <c r="JLJ28" s="1887"/>
      <c r="JLK28" s="1888"/>
      <c r="JLL28" s="1882"/>
      <c r="JLM28" s="1882"/>
      <c r="JLN28" s="1882"/>
      <c r="JLP28" s="1887"/>
      <c r="JLQ28" s="1888"/>
      <c r="JLR28" s="1882"/>
      <c r="JLS28" s="1882"/>
      <c r="JLT28" s="1882"/>
      <c r="JLV28" s="1887"/>
      <c r="JLW28" s="1888"/>
      <c r="JLX28" s="1882"/>
      <c r="JLY28" s="1882"/>
      <c r="JLZ28" s="1882"/>
      <c r="JMB28" s="1887"/>
      <c r="JMC28" s="1888"/>
      <c r="JMD28" s="1882"/>
      <c r="JME28" s="1882"/>
      <c r="JMF28" s="1882"/>
      <c r="JMH28" s="1887"/>
      <c r="JMI28" s="1888"/>
      <c r="JMJ28" s="1882"/>
      <c r="JMK28" s="1882"/>
      <c r="JML28" s="1882"/>
      <c r="JMN28" s="1887"/>
      <c r="JMO28" s="1888"/>
      <c r="JMP28" s="1882"/>
      <c r="JMQ28" s="1882"/>
      <c r="JMR28" s="1882"/>
      <c r="JMT28" s="1887"/>
      <c r="JMU28" s="1888"/>
      <c r="JMV28" s="1882"/>
      <c r="JMW28" s="1882"/>
      <c r="JMX28" s="1882"/>
      <c r="JMZ28" s="1887"/>
      <c r="JNA28" s="1888"/>
      <c r="JNB28" s="1882"/>
      <c r="JNC28" s="1882"/>
      <c r="JND28" s="1882"/>
      <c r="JNF28" s="1887"/>
      <c r="JNG28" s="1888"/>
      <c r="JNH28" s="1882"/>
      <c r="JNI28" s="1882"/>
      <c r="JNJ28" s="1882"/>
      <c r="JNL28" s="1887"/>
      <c r="JNM28" s="1888"/>
      <c r="JNN28" s="1882"/>
      <c r="JNO28" s="1882"/>
      <c r="JNP28" s="1882"/>
      <c r="JNR28" s="1887"/>
      <c r="JNS28" s="1888"/>
      <c r="JNT28" s="1882"/>
      <c r="JNU28" s="1882"/>
      <c r="JNV28" s="1882"/>
      <c r="JNX28" s="1887"/>
      <c r="JNY28" s="1888"/>
      <c r="JNZ28" s="1882"/>
      <c r="JOA28" s="1882"/>
      <c r="JOB28" s="1882"/>
      <c r="JOD28" s="1887"/>
      <c r="JOE28" s="1888"/>
      <c r="JOF28" s="1882"/>
      <c r="JOG28" s="1882"/>
      <c r="JOH28" s="1882"/>
      <c r="JOJ28" s="1887"/>
      <c r="JOK28" s="1888"/>
      <c r="JOL28" s="1882"/>
      <c r="JOM28" s="1882"/>
      <c r="JON28" s="1882"/>
      <c r="JOP28" s="1887"/>
      <c r="JOQ28" s="1888"/>
      <c r="JOR28" s="1882"/>
      <c r="JOS28" s="1882"/>
      <c r="JOT28" s="1882"/>
      <c r="JOV28" s="1887"/>
      <c r="JOW28" s="1888"/>
      <c r="JOX28" s="1882"/>
      <c r="JOY28" s="1882"/>
      <c r="JOZ28" s="1882"/>
      <c r="JPB28" s="1887"/>
      <c r="JPC28" s="1888"/>
      <c r="JPD28" s="1882"/>
      <c r="JPE28" s="1882"/>
      <c r="JPF28" s="1882"/>
      <c r="JPH28" s="1887"/>
      <c r="JPI28" s="1888"/>
      <c r="JPJ28" s="1882"/>
      <c r="JPK28" s="1882"/>
      <c r="JPL28" s="1882"/>
      <c r="JPN28" s="1887"/>
      <c r="JPO28" s="1888"/>
      <c r="JPP28" s="1882"/>
      <c r="JPQ28" s="1882"/>
      <c r="JPR28" s="1882"/>
      <c r="JPT28" s="1887"/>
      <c r="JPU28" s="1888"/>
      <c r="JPV28" s="1882"/>
      <c r="JPW28" s="1882"/>
      <c r="JPX28" s="1882"/>
      <c r="JPZ28" s="1887"/>
      <c r="JQA28" s="1888"/>
      <c r="JQB28" s="1882"/>
      <c r="JQC28" s="1882"/>
      <c r="JQD28" s="1882"/>
      <c r="JQF28" s="1887"/>
      <c r="JQG28" s="1888"/>
      <c r="JQH28" s="1882"/>
      <c r="JQI28" s="1882"/>
      <c r="JQJ28" s="1882"/>
      <c r="JQL28" s="1887"/>
      <c r="JQM28" s="1888"/>
      <c r="JQN28" s="1882"/>
      <c r="JQO28" s="1882"/>
      <c r="JQP28" s="1882"/>
      <c r="JQR28" s="1887"/>
      <c r="JQS28" s="1888"/>
      <c r="JQT28" s="1882"/>
      <c r="JQU28" s="1882"/>
      <c r="JQV28" s="1882"/>
      <c r="JQX28" s="1887"/>
      <c r="JQY28" s="1888"/>
      <c r="JQZ28" s="1882"/>
      <c r="JRA28" s="1882"/>
      <c r="JRB28" s="1882"/>
      <c r="JRD28" s="1887"/>
      <c r="JRE28" s="1888"/>
      <c r="JRF28" s="1882"/>
      <c r="JRG28" s="1882"/>
      <c r="JRH28" s="1882"/>
      <c r="JRJ28" s="1887"/>
      <c r="JRK28" s="1888"/>
      <c r="JRL28" s="1882"/>
      <c r="JRM28" s="1882"/>
      <c r="JRN28" s="1882"/>
      <c r="JRP28" s="1887"/>
      <c r="JRQ28" s="1888"/>
      <c r="JRR28" s="1882"/>
      <c r="JRS28" s="1882"/>
      <c r="JRT28" s="1882"/>
      <c r="JRV28" s="1887"/>
      <c r="JRW28" s="1888"/>
      <c r="JRX28" s="1882"/>
      <c r="JRY28" s="1882"/>
      <c r="JRZ28" s="1882"/>
      <c r="JSB28" s="1887"/>
      <c r="JSC28" s="1888"/>
      <c r="JSD28" s="1882"/>
      <c r="JSE28" s="1882"/>
      <c r="JSF28" s="1882"/>
      <c r="JSH28" s="1887"/>
      <c r="JSI28" s="1888"/>
      <c r="JSJ28" s="1882"/>
      <c r="JSK28" s="1882"/>
      <c r="JSL28" s="1882"/>
      <c r="JSN28" s="1887"/>
      <c r="JSO28" s="1888"/>
      <c r="JSP28" s="1882"/>
      <c r="JSQ28" s="1882"/>
      <c r="JSR28" s="1882"/>
      <c r="JST28" s="1887"/>
      <c r="JSU28" s="1888"/>
      <c r="JSV28" s="1882"/>
      <c r="JSW28" s="1882"/>
      <c r="JSX28" s="1882"/>
      <c r="JSZ28" s="1887"/>
      <c r="JTA28" s="1888"/>
      <c r="JTB28" s="1882"/>
      <c r="JTC28" s="1882"/>
      <c r="JTD28" s="1882"/>
      <c r="JTF28" s="1887"/>
      <c r="JTG28" s="1888"/>
      <c r="JTH28" s="1882"/>
      <c r="JTI28" s="1882"/>
      <c r="JTJ28" s="1882"/>
      <c r="JTL28" s="1887"/>
      <c r="JTM28" s="1888"/>
      <c r="JTN28" s="1882"/>
      <c r="JTO28" s="1882"/>
      <c r="JTP28" s="1882"/>
      <c r="JTR28" s="1887"/>
      <c r="JTS28" s="1888"/>
      <c r="JTT28" s="1882"/>
      <c r="JTU28" s="1882"/>
      <c r="JTV28" s="1882"/>
      <c r="JTX28" s="1887"/>
      <c r="JTY28" s="1888"/>
      <c r="JTZ28" s="1882"/>
      <c r="JUA28" s="1882"/>
      <c r="JUB28" s="1882"/>
      <c r="JUD28" s="1887"/>
      <c r="JUE28" s="1888"/>
      <c r="JUF28" s="1882"/>
      <c r="JUG28" s="1882"/>
      <c r="JUH28" s="1882"/>
      <c r="JUJ28" s="1887"/>
      <c r="JUK28" s="1888"/>
      <c r="JUL28" s="1882"/>
      <c r="JUM28" s="1882"/>
      <c r="JUN28" s="1882"/>
      <c r="JUP28" s="1887"/>
      <c r="JUQ28" s="1888"/>
      <c r="JUR28" s="1882"/>
      <c r="JUS28" s="1882"/>
      <c r="JUT28" s="1882"/>
      <c r="JUV28" s="1887"/>
      <c r="JUW28" s="1888"/>
      <c r="JUX28" s="1882"/>
      <c r="JUY28" s="1882"/>
      <c r="JUZ28" s="1882"/>
      <c r="JVB28" s="1887"/>
      <c r="JVC28" s="1888"/>
      <c r="JVD28" s="1882"/>
      <c r="JVE28" s="1882"/>
      <c r="JVF28" s="1882"/>
      <c r="JVH28" s="1887"/>
      <c r="JVI28" s="1888"/>
      <c r="JVJ28" s="1882"/>
      <c r="JVK28" s="1882"/>
      <c r="JVL28" s="1882"/>
      <c r="JVN28" s="1887"/>
      <c r="JVO28" s="1888"/>
      <c r="JVP28" s="1882"/>
      <c r="JVQ28" s="1882"/>
      <c r="JVR28" s="1882"/>
      <c r="JVT28" s="1887"/>
      <c r="JVU28" s="1888"/>
      <c r="JVV28" s="1882"/>
      <c r="JVW28" s="1882"/>
      <c r="JVX28" s="1882"/>
      <c r="JVZ28" s="1887"/>
      <c r="JWA28" s="1888"/>
      <c r="JWB28" s="1882"/>
      <c r="JWC28" s="1882"/>
      <c r="JWD28" s="1882"/>
      <c r="JWF28" s="1887"/>
      <c r="JWG28" s="1888"/>
      <c r="JWH28" s="1882"/>
      <c r="JWI28" s="1882"/>
      <c r="JWJ28" s="1882"/>
      <c r="JWL28" s="1887"/>
      <c r="JWM28" s="1888"/>
      <c r="JWN28" s="1882"/>
      <c r="JWO28" s="1882"/>
      <c r="JWP28" s="1882"/>
      <c r="JWR28" s="1887"/>
      <c r="JWS28" s="1888"/>
      <c r="JWT28" s="1882"/>
      <c r="JWU28" s="1882"/>
      <c r="JWV28" s="1882"/>
      <c r="JWX28" s="1887"/>
      <c r="JWY28" s="1888"/>
      <c r="JWZ28" s="1882"/>
      <c r="JXA28" s="1882"/>
      <c r="JXB28" s="1882"/>
      <c r="JXD28" s="1887"/>
      <c r="JXE28" s="1888"/>
      <c r="JXF28" s="1882"/>
      <c r="JXG28" s="1882"/>
      <c r="JXH28" s="1882"/>
      <c r="JXJ28" s="1887"/>
      <c r="JXK28" s="1888"/>
      <c r="JXL28" s="1882"/>
      <c r="JXM28" s="1882"/>
      <c r="JXN28" s="1882"/>
      <c r="JXP28" s="1887"/>
      <c r="JXQ28" s="1888"/>
      <c r="JXR28" s="1882"/>
      <c r="JXS28" s="1882"/>
      <c r="JXT28" s="1882"/>
      <c r="JXV28" s="1887"/>
      <c r="JXW28" s="1888"/>
      <c r="JXX28" s="1882"/>
      <c r="JXY28" s="1882"/>
      <c r="JXZ28" s="1882"/>
      <c r="JYB28" s="1887"/>
      <c r="JYC28" s="1888"/>
      <c r="JYD28" s="1882"/>
      <c r="JYE28" s="1882"/>
      <c r="JYF28" s="1882"/>
      <c r="JYH28" s="1887"/>
      <c r="JYI28" s="1888"/>
      <c r="JYJ28" s="1882"/>
      <c r="JYK28" s="1882"/>
      <c r="JYL28" s="1882"/>
      <c r="JYN28" s="1887"/>
      <c r="JYO28" s="1888"/>
      <c r="JYP28" s="1882"/>
      <c r="JYQ28" s="1882"/>
      <c r="JYR28" s="1882"/>
      <c r="JYT28" s="1887"/>
      <c r="JYU28" s="1888"/>
      <c r="JYV28" s="1882"/>
      <c r="JYW28" s="1882"/>
      <c r="JYX28" s="1882"/>
      <c r="JYZ28" s="1887"/>
      <c r="JZA28" s="1888"/>
      <c r="JZB28" s="1882"/>
      <c r="JZC28" s="1882"/>
      <c r="JZD28" s="1882"/>
      <c r="JZF28" s="1887"/>
      <c r="JZG28" s="1888"/>
      <c r="JZH28" s="1882"/>
      <c r="JZI28" s="1882"/>
      <c r="JZJ28" s="1882"/>
      <c r="JZL28" s="1887"/>
      <c r="JZM28" s="1888"/>
      <c r="JZN28" s="1882"/>
      <c r="JZO28" s="1882"/>
      <c r="JZP28" s="1882"/>
      <c r="JZR28" s="1887"/>
      <c r="JZS28" s="1888"/>
      <c r="JZT28" s="1882"/>
      <c r="JZU28" s="1882"/>
      <c r="JZV28" s="1882"/>
      <c r="JZX28" s="1887"/>
      <c r="JZY28" s="1888"/>
      <c r="JZZ28" s="1882"/>
      <c r="KAA28" s="1882"/>
      <c r="KAB28" s="1882"/>
      <c r="KAD28" s="1887"/>
      <c r="KAE28" s="1888"/>
      <c r="KAF28" s="1882"/>
      <c r="KAG28" s="1882"/>
      <c r="KAH28" s="1882"/>
      <c r="KAJ28" s="1887"/>
      <c r="KAK28" s="1888"/>
      <c r="KAL28" s="1882"/>
      <c r="KAM28" s="1882"/>
      <c r="KAN28" s="1882"/>
      <c r="KAP28" s="1887"/>
      <c r="KAQ28" s="1888"/>
      <c r="KAR28" s="1882"/>
      <c r="KAS28" s="1882"/>
      <c r="KAT28" s="1882"/>
      <c r="KAV28" s="1887"/>
      <c r="KAW28" s="1888"/>
      <c r="KAX28" s="1882"/>
      <c r="KAY28" s="1882"/>
      <c r="KAZ28" s="1882"/>
      <c r="KBB28" s="1887"/>
      <c r="KBC28" s="1888"/>
      <c r="KBD28" s="1882"/>
      <c r="KBE28" s="1882"/>
      <c r="KBF28" s="1882"/>
      <c r="KBH28" s="1887"/>
      <c r="KBI28" s="1888"/>
      <c r="KBJ28" s="1882"/>
      <c r="KBK28" s="1882"/>
      <c r="KBL28" s="1882"/>
      <c r="KBN28" s="1887"/>
      <c r="KBO28" s="1888"/>
      <c r="KBP28" s="1882"/>
      <c r="KBQ28" s="1882"/>
      <c r="KBR28" s="1882"/>
      <c r="KBT28" s="1887"/>
      <c r="KBU28" s="1888"/>
      <c r="KBV28" s="1882"/>
      <c r="KBW28" s="1882"/>
      <c r="KBX28" s="1882"/>
      <c r="KBZ28" s="1887"/>
      <c r="KCA28" s="1888"/>
      <c r="KCB28" s="1882"/>
      <c r="KCC28" s="1882"/>
      <c r="KCD28" s="1882"/>
      <c r="KCF28" s="1887"/>
      <c r="KCG28" s="1888"/>
      <c r="KCH28" s="1882"/>
      <c r="KCI28" s="1882"/>
      <c r="KCJ28" s="1882"/>
      <c r="KCL28" s="1887"/>
      <c r="KCM28" s="1888"/>
      <c r="KCN28" s="1882"/>
      <c r="KCO28" s="1882"/>
      <c r="KCP28" s="1882"/>
      <c r="KCR28" s="1887"/>
      <c r="KCS28" s="1888"/>
      <c r="KCT28" s="1882"/>
      <c r="KCU28" s="1882"/>
      <c r="KCV28" s="1882"/>
      <c r="KCX28" s="1887"/>
      <c r="KCY28" s="1888"/>
      <c r="KCZ28" s="1882"/>
      <c r="KDA28" s="1882"/>
      <c r="KDB28" s="1882"/>
      <c r="KDD28" s="1887"/>
      <c r="KDE28" s="1888"/>
      <c r="KDF28" s="1882"/>
      <c r="KDG28" s="1882"/>
      <c r="KDH28" s="1882"/>
      <c r="KDJ28" s="1887"/>
      <c r="KDK28" s="1888"/>
      <c r="KDL28" s="1882"/>
      <c r="KDM28" s="1882"/>
      <c r="KDN28" s="1882"/>
      <c r="KDP28" s="1887"/>
      <c r="KDQ28" s="1888"/>
      <c r="KDR28" s="1882"/>
      <c r="KDS28" s="1882"/>
      <c r="KDT28" s="1882"/>
      <c r="KDV28" s="1887"/>
      <c r="KDW28" s="1888"/>
      <c r="KDX28" s="1882"/>
      <c r="KDY28" s="1882"/>
      <c r="KDZ28" s="1882"/>
      <c r="KEB28" s="1887"/>
      <c r="KEC28" s="1888"/>
      <c r="KED28" s="1882"/>
      <c r="KEE28" s="1882"/>
      <c r="KEF28" s="1882"/>
      <c r="KEH28" s="1887"/>
      <c r="KEI28" s="1888"/>
      <c r="KEJ28" s="1882"/>
      <c r="KEK28" s="1882"/>
      <c r="KEL28" s="1882"/>
      <c r="KEN28" s="1887"/>
      <c r="KEO28" s="1888"/>
      <c r="KEP28" s="1882"/>
      <c r="KEQ28" s="1882"/>
      <c r="KER28" s="1882"/>
      <c r="KET28" s="1887"/>
      <c r="KEU28" s="1888"/>
      <c r="KEV28" s="1882"/>
      <c r="KEW28" s="1882"/>
      <c r="KEX28" s="1882"/>
      <c r="KEZ28" s="1887"/>
      <c r="KFA28" s="1888"/>
      <c r="KFB28" s="1882"/>
      <c r="KFC28" s="1882"/>
      <c r="KFD28" s="1882"/>
      <c r="KFF28" s="1887"/>
      <c r="KFG28" s="1888"/>
      <c r="KFH28" s="1882"/>
      <c r="KFI28" s="1882"/>
      <c r="KFJ28" s="1882"/>
      <c r="KFL28" s="1887"/>
      <c r="KFM28" s="1888"/>
      <c r="KFN28" s="1882"/>
      <c r="KFO28" s="1882"/>
      <c r="KFP28" s="1882"/>
      <c r="KFR28" s="1887"/>
      <c r="KFS28" s="1888"/>
      <c r="KFT28" s="1882"/>
      <c r="KFU28" s="1882"/>
      <c r="KFV28" s="1882"/>
      <c r="KFX28" s="1887"/>
      <c r="KFY28" s="1888"/>
      <c r="KFZ28" s="1882"/>
      <c r="KGA28" s="1882"/>
      <c r="KGB28" s="1882"/>
      <c r="KGD28" s="1887"/>
      <c r="KGE28" s="1888"/>
      <c r="KGF28" s="1882"/>
      <c r="KGG28" s="1882"/>
      <c r="KGH28" s="1882"/>
      <c r="KGJ28" s="1887"/>
      <c r="KGK28" s="1888"/>
      <c r="KGL28" s="1882"/>
      <c r="KGM28" s="1882"/>
      <c r="KGN28" s="1882"/>
      <c r="KGP28" s="1887"/>
      <c r="KGQ28" s="1888"/>
      <c r="KGR28" s="1882"/>
      <c r="KGS28" s="1882"/>
      <c r="KGT28" s="1882"/>
      <c r="KGV28" s="1887"/>
      <c r="KGW28" s="1888"/>
      <c r="KGX28" s="1882"/>
      <c r="KGY28" s="1882"/>
      <c r="KGZ28" s="1882"/>
      <c r="KHB28" s="1887"/>
      <c r="KHC28" s="1888"/>
      <c r="KHD28" s="1882"/>
      <c r="KHE28" s="1882"/>
      <c r="KHF28" s="1882"/>
      <c r="KHH28" s="1887"/>
      <c r="KHI28" s="1888"/>
      <c r="KHJ28" s="1882"/>
      <c r="KHK28" s="1882"/>
      <c r="KHL28" s="1882"/>
      <c r="KHN28" s="1887"/>
      <c r="KHO28" s="1888"/>
      <c r="KHP28" s="1882"/>
      <c r="KHQ28" s="1882"/>
      <c r="KHR28" s="1882"/>
      <c r="KHT28" s="1887"/>
      <c r="KHU28" s="1888"/>
      <c r="KHV28" s="1882"/>
      <c r="KHW28" s="1882"/>
      <c r="KHX28" s="1882"/>
      <c r="KHZ28" s="1887"/>
      <c r="KIA28" s="1888"/>
      <c r="KIB28" s="1882"/>
      <c r="KIC28" s="1882"/>
      <c r="KID28" s="1882"/>
      <c r="KIF28" s="1887"/>
      <c r="KIG28" s="1888"/>
      <c r="KIH28" s="1882"/>
      <c r="KII28" s="1882"/>
      <c r="KIJ28" s="1882"/>
      <c r="KIL28" s="1887"/>
      <c r="KIM28" s="1888"/>
      <c r="KIN28" s="1882"/>
      <c r="KIO28" s="1882"/>
      <c r="KIP28" s="1882"/>
      <c r="KIR28" s="1887"/>
      <c r="KIS28" s="1888"/>
      <c r="KIT28" s="1882"/>
      <c r="KIU28" s="1882"/>
      <c r="KIV28" s="1882"/>
      <c r="KIX28" s="1887"/>
      <c r="KIY28" s="1888"/>
      <c r="KIZ28" s="1882"/>
      <c r="KJA28" s="1882"/>
      <c r="KJB28" s="1882"/>
      <c r="KJD28" s="1887"/>
      <c r="KJE28" s="1888"/>
      <c r="KJF28" s="1882"/>
      <c r="KJG28" s="1882"/>
      <c r="KJH28" s="1882"/>
      <c r="KJJ28" s="1887"/>
      <c r="KJK28" s="1888"/>
      <c r="KJL28" s="1882"/>
      <c r="KJM28" s="1882"/>
      <c r="KJN28" s="1882"/>
      <c r="KJP28" s="1887"/>
      <c r="KJQ28" s="1888"/>
      <c r="KJR28" s="1882"/>
      <c r="KJS28" s="1882"/>
      <c r="KJT28" s="1882"/>
      <c r="KJV28" s="1887"/>
      <c r="KJW28" s="1888"/>
      <c r="KJX28" s="1882"/>
      <c r="KJY28" s="1882"/>
      <c r="KJZ28" s="1882"/>
      <c r="KKB28" s="1887"/>
      <c r="KKC28" s="1888"/>
      <c r="KKD28" s="1882"/>
      <c r="KKE28" s="1882"/>
      <c r="KKF28" s="1882"/>
      <c r="KKH28" s="1887"/>
      <c r="KKI28" s="1888"/>
      <c r="KKJ28" s="1882"/>
      <c r="KKK28" s="1882"/>
      <c r="KKL28" s="1882"/>
      <c r="KKN28" s="1887"/>
      <c r="KKO28" s="1888"/>
      <c r="KKP28" s="1882"/>
      <c r="KKQ28" s="1882"/>
      <c r="KKR28" s="1882"/>
      <c r="KKT28" s="1887"/>
      <c r="KKU28" s="1888"/>
      <c r="KKV28" s="1882"/>
      <c r="KKW28" s="1882"/>
      <c r="KKX28" s="1882"/>
      <c r="KKZ28" s="1887"/>
      <c r="KLA28" s="1888"/>
      <c r="KLB28" s="1882"/>
      <c r="KLC28" s="1882"/>
      <c r="KLD28" s="1882"/>
      <c r="KLF28" s="1887"/>
      <c r="KLG28" s="1888"/>
      <c r="KLH28" s="1882"/>
      <c r="KLI28" s="1882"/>
      <c r="KLJ28" s="1882"/>
      <c r="KLL28" s="1887"/>
      <c r="KLM28" s="1888"/>
      <c r="KLN28" s="1882"/>
      <c r="KLO28" s="1882"/>
      <c r="KLP28" s="1882"/>
      <c r="KLR28" s="1887"/>
      <c r="KLS28" s="1888"/>
      <c r="KLT28" s="1882"/>
      <c r="KLU28" s="1882"/>
      <c r="KLV28" s="1882"/>
      <c r="KLX28" s="1887"/>
      <c r="KLY28" s="1888"/>
      <c r="KLZ28" s="1882"/>
      <c r="KMA28" s="1882"/>
      <c r="KMB28" s="1882"/>
      <c r="KMD28" s="1887"/>
      <c r="KME28" s="1888"/>
      <c r="KMF28" s="1882"/>
      <c r="KMG28" s="1882"/>
      <c r="KMH28" s="1882"/>
      <c r="KMJ28" s="1887"/>
      <c r="KMK28" s="1888"/>
      <c r="KML28" s="1882"/>
      <c r="KMM28" s="1882"/>
      <c r="KMN28" s="1882"/>
      <c r="KMP28" s="1887"/>
      <c r="KMQ28" s="1888"/>
      <c r="KMR28" s="1882"/>
      <c r="KMS28" s="1882"/>
      <c r="KMT28" s="1882"/>
      <c r="KMV28" s="1887"/>
      <c r="KMW28" s="1888"/>
      <c r="KMX28" s="1882"/>
      <c r="KMY28" s="1882"/>
      <c r="KMZ28" s="1882"/>
      <c r="KNB28" s="1887"/>
      <c r="KNC28" s="1888"/>
      <c r="KND28" s="1882"/>
      <c r="KNE28" s="1882"/>
      <c r="KNF28" s="1882"/>
      <c r="KNH28" s="1887"/>
      <c r="KNI28" s="1888"/>
      <c r="KNJ28" s="1882"/>
      <c r="KNK28" s="1882"/>
      <c r="KNL28" s="1882"/>
      <c r="KNN28" s="1887"/>
      <c r="KNO28" s="1888"/>
      <c r="KNP28" s="1882"/>
      <c r="KNQ28" s="1882"/>
      <c r="KNR28" s="1882"/>
      <c r="KNT28" s="1887"/>
      <c r="KNU28" s="1888"/>
      <c r="KNV28" s="1882"/>
      <c r="KNW28" s="1882"/>
      <c r="KNX28" s="1882"/>
      <c r="KNZ28" s="1887"/>
      <c r="KOA28" s="1888"/>
      <c r="KOB28" s="1882"/>
      <c r="KOC28" s="1882"/>
      <c r="KOD28" s="1882"/>
      <c r="KOF28" s="1887"/>
      <c r="KOG28" s="1888"/>
      <c r="KOH28" s="1882"/>
      <c r="KOI28" s="1882"/>
      <c r="KOJ28" s="1882"/>
      <c r="KOL28" s="1887"/>
      <c r="KOM28" s="1888"/>
      <c r="KON28" s="1882"/>
      <c r="KOO28" s="1882"/>
      <c r="KOP28" s="1882"/>
      <c r="KOR28" s="1887"/>
      <c r="KOS28" s="1888"/>
      <c r="KOT28" s="1882"/>
      <c r="KOU28" s="1882"/>
      <c r="KOV28" s="1882"/>
      <c r="KOX28" s="1887"/>
      <c r="KOY28" s="1888"/>
      <c r="KOZ28" s="1882"/>
      <c r="KPA28" s="1882"/>
      <c r="KPB28" s="1882"/>
      <c r="KPD28" s="1887"/>
      <c r="KPE28" s="1888"/>
      <c r="KPF28" s="1882"/>
      <c r="KPG28" s="1882"/>
      <c r="KPH28" s="1882"/>
      <c r="KPJ28" s="1887"/>
      <c r="KPK28" s="1888"/>
      <c r="KPL28" s="1882"/>
      <c r="KPM28" s="1882"/>
      <c r="KPN28" s="1882"/>
      <c r="KPP28" s="1887"/>
      <c r="KPQ28" s="1888"/>
      <c r="KPR28" s="1882"/>
      <c r="KPS28" s="1882"/>
      <c r="KPT28" s="1882"/>
      <c r="KPV28" s="1887"/>
      <c r="KPW28" s="1888"/>
      <c r="KPX28" s="1882"/>
      <c r="KPY28" s="1882"/>
      <c r="KPZ28" s="1882"/>
      <c r="KQB28" s="1887"/>
      <c r="KQC28" s="1888"/>
      <c r="KQD28" s="1882"/>
      <c r="KQE28" s="1882"/>
      <c r="KQF28" s="1882"/>
      <c r="KQH28" s="1887"/>
      <c r="KQI28" s="1888"/>
      <c r="KQJ28" s="1882"/>
      <c r="KQK28" s="1882"/>
      <c r="KQL28" s="1882"/>
      <c r="KQN28" s="1887"/>
      <c r="KQO28" s="1888"/>
      <c r="KQP28" s="1882"/>
      <c r="KQQ28" s="1882"/>
      <c r="KQR28" s="1882"/>
      <c r="KQT28" s="1887"/>
      <c r="KQU28" s="1888"/>
      <c r="KQV28" s="1882"/>
      <c r="KQW28" s="1882"/>
      <c r="KQX28" s="1882"/>
      <c r="KQZ28" s="1887"/>
      <c r="KRA28" s="1888"/>
      <c r="KRB28" s="1882"/>
      <c r="KRC28" s="1882"/>
      <c r="KRD28" s="1882"/>
      <c r="KRF28" s="1887"/>
      <c r="KRG28" s="1888"/>
      <c r="KRH28" s="1882"/>
      <c r="KRI28" s="1882"/>
      <c r="KRJ28" s="1882"/>
      <c r="KRL28" s="1887"/>
      <c r="KRM28" s="1888"/>
      <c r="KRN28" s="1882"/>
      <c r="KRO28" s="1882"/>
      <c r="KRP28" s="1882"/>
      <c r="KRR28" s="1887"/>
      <c r="KRS28" s="1888"/>
      <c r="KRT28" s="1882"/>
      <c r="KRU28" s="1882"/>
      <c r="KRV28" s="1882"/>
      <c r="KRX28" s="1887"/>
      <c r="KRY28" s="1888"/>
      <c r="KRZ28" s="1882"/>
      <c r="KSA28" s="1882"/>
      <c r="KSB28" s="1882"/>
      <c r="KSD28" s="1887"/>
      <c r="KSE28" s="1888"/>
      <c r="KSF28" s="1882"/>
      <c r="KSG28" s="1882"/>
      <c r="KSH28" s="1882"/>
      <c r="KSJ28" s="1887"/>
      <c r="KSK28" s="1888"/>
      <c r="KSL28" s="1882"/>
      <c r="KSM28" s="1882"/>
      <c r="KSN28" s="1882"/>
      <c r="KSP28" s="1887"/>
      <c r="KSQ28" s="1888"/>
      <c r="KSR28" s="1882"/>
      <c r="KSS28" s="1882"/>
      <c r="KST28" s="1882"/>
      <c r="KSV28" s="1887"/>
      <c r="KSW28" s="1888"/>
      <c r="KSX28" s="1882"/>
      <c r="KSY28" s="1882"/>
      <c r="KSZ28" s="1882"/>
      <c r="KTB28" s="1887"/>
      <c r="KTC28" s="1888"/>
      <c r="KTD28" s="1882"/>
      <c r="KTE28" s="1882"/>
      <c r="KTF28" s="1882"/>
      <c r="KTH28" s="1887"/>
      <c r="KTI28" s="1888"/>
      <c r="KTJ28" s="1882"/>
      <c r="KTK28" s="1882"/>
      <c r="KTL28" s="1882"/>
      <c r="KTN28" s="1887"/>
      <c r="KTO28" s="1888"/>
      <c r="KTP28" s="1882"/>
      <c r="KTQ28" s="1882"/>
      <c r="KTR28" s="1882"/>
      <c r="KTT28" s="1887"/>
      <c r="KTU28" s="1888"/>
      <c r="KTV28" s="1882"/>
      <c r="KTW28" s="1882"/>
      <c r="KTX28" s="1882"/>
      <c r="KTZ28" s="1887"/>
      <c r="KUA28" s="1888"/>
      <c r="KUB28" s="1882"/>
      <c r="KUC28" s="1882"/>
      <c r="KUD28" s="1882"/>
      <c r="KUF28" s="1887"/>
      <c r="KUG28" s="1888"/>
      <c r="KUH28" s="1882"/>
      <c r="KUI28" s="1882"/>
      <c r="KUJ28" s="1882"/>
      <c r="KUL28" s="1887"/>
      <c r="KUM28" s="1888"/>
      <c r="KUN28" s="1882"/>
      <c r="KUO28" s="1882"/>
      <c r="KUP28" s="1882"/>
      <c r="KUR28" s="1887"/>
      <c r="KUS28" s="1888"/>
      <c r="KUT28" s="1882"/>
      <c r="KUU28" s="1882"/>
      <c r="KUV28" s="1882"/>
      <c r="KUX28" s="1887"/>
      <c r="KUY28" s="1888"/>
      <c r="KUZ28" s="1882"/>
      <c r="KVA28" s="1882"/>
      <c r="KVB28" s="1882"/>
      <c r="KVD28" s="1887"/>
      <c r="KVE28" s="1888"/>
      <c r="KVF28" s="1882"/>
      <c r="KVG28" s="1882"/>
      <c r="KVH28" s="1882"/>
      <c r="KVJ28" s="1887"/>
      <c r="KVK28" s="1888"/>
      <c r="KVL28" s="1882"/>
      <c r="KVM28" s="1882"/>
      <c r="KVN28" s="1882"/>
      <c r="KVP28" s="1887"/>
      <c r="KVQ28" s="1888"/>
      <c r="KVR28" s="1882"/>
      <c r="KVS28" s="1882"/>
      <c r="KVT28" s="1882"/>
      <c r="KVV28" s="1887"/>
      <c r="KVW28" s="1888"/>
      <c r="KVX28" s="1882"/>
      <c r="KVY28" s="1882"/>
      <c r="KVZ28" s="1882"/>
      <c r="KWB28" s="1887"/>
      <c r="KWC28" s="1888"/>
      <c r="KWD28" s="1882"/>
      <c r="KWE28" s="1882"/>
      <c r="KWF28" s="1882"/>
      <c r="KWH28" s="1887"/>
      <c r="KWI28" s="1888"/>
      <c r="KWJ28" s="1882"/>
      <c r="KWK28" s="1882"/>
      <c r="KWL28" s="1882"/>
      <c r="KWN28" s="1887"/>
      <c r="KWO28" s="1888"/>
      <c r="KWP28" s="1882"/>
      <c r="KWQ28" s="1882"/>
      <c r="KWR28" s="1882"/>
      <c r="KWT28" s="1887"/>
      <c r="KWU28" s="1888"/>
      <c r="KWV28" s="1882"/>
      <c r="KWW28" s="1882"/>
      <c r="KWX28" s="1882"/>
      <c r="KWZ28" s="1887"/>
      <c r="KXA28" s="1888"/>
      <c r="KXB28" s="1882"/>
      <c r="KXC28" s="1882"/>
      <c r="KXD28" s="1882"/>
      <c r="KXF28" s="1887"/>
      <c r="KXG28" s="1888"/>
      <c r="KXH28" s="1882"/>
      <c r="KXI28" s="1882"/>
      <c r="KXJ28" s="1882"/>
      <c r="KXL28" s="1887"/>
      <c r="KXM28" s="1888"/>
      <c r="KXN28" s="1882"/>
      <c r="KXO28" s="1882"/>
      <c r="KXP28" s="1882"/>
      <c r="KXR28" s="1887"/>
      <c r="KXS28" s="1888"/>
      <c r="KXT28" s="1882"/>
      <c r="KXU28" s="1882"/>
      <c r="KXV28" s="1882"/>
      <c r="KXX28" s="1887"/>
      <c r="KXY28" s="1888"/>
      <c r="KXZ28" s="1882"/>
      <c r="KYA28" s="1882"/>
      <c r="KYB28" s="1882"/>
      <c r="KYD28" s="1887"/>
      <c r="KYE28" s="1888"/>
      <c r="KYF28" s="1882"/>
      <c r="KYG28" s="1882"/>
      <c r="KYH28" s="1882"/>
      <c r="KYJ28" s="1887"/>
      <c r="KYK28" s="1888"/>
      <c r="KYL28" s="1882"/>
      <c r="KYM28" s="1882"/>
      <c r="KYN28" s="1882"/>
      <c r="KYP28" s="1887"/>
      <c r="KYQ28" s="1888"/>
      <c r="KYR28" s="1882"/>
      <c r="KYS28" s="1882"/>
      <c r="KYT28" s="1882"/>
      <c r="KYV28" s="1887"/>
      <c r="KYW28" s="1888"/>
      <c r="KYX28" s="1882"/>
      <c r="KYY28" s="1882"/>
      <c r="KYZ28" s="1882"/>
      <c r="KZB28" s="1887"/>
      <c r="KZC28" s="1888"/>
      <c r="KZD28" s="1882"/>
      <c r="KZE28" s="1882"/>
      <c r="KZF28" s="1882"/>
      <c r="KZH28" s="1887"/>
      <c r="KZI28" s="1888"/>
      <c r="KZJ28" s="1882"/>
      <c r="KZK28" s="1882"/>
      <c r="KZL28" s="1882"/>
      <c r="KZN28" s="1887"/>
      <c r="KZO28" s="1888"/>
      <c r="KZP28" s="1882"/>
      <c r="KZQ28" s="1882"/>
      <c r="KZR28" s="1882"/>
      <c r="KZT28" s="1887"/>
      <c r="KZU28" s="1888"/>
      <c r="KZV28" s="1882"/>
      <c r="KZW28" s="1882"/>
      <c r="KZX28" s="1882"/>
      <c r="KZZ28" s="1887"/>
      <c r="LAA28" s="1888"/>
      <c r="LAB28" s="1882"/>
      <c r="LAC28" s="1882"/>
      <c r="LAD28" s="1882"/>
      <c r="LAF28" s="1887"/>
      <c r="LAG28" s="1888"/>
      <c r="LAH28" s="1882"/>
      <c r="LAI28" s="1882"/>
      <c r="LAJ28" s="1882"/>
      <c r="LAL28" s="1887"/>
      <c r="LAM28" s="1888"/>
      <c r="LAN28" s="1882"/>
      <c r="LAO28" s="1882"/>
      <c r="LAP28" s="1882"/>
      <c r="LAR28" s="1887"/>
      <c r="LAS28" s="1888"/>
      <c r="LAT28" s="1882"/>
      <c r="LAU28" s="1882"/>
      <c r="LAV28" s="1882"/>
      <c r="LAX28" s="1887"/>
      <c r="LAY28" s="1888"/>
      <c r="LAZ28" s="1882"/>
      <c r="LBA28" s="1882"/>
      <c r="LBB28" s="1882"/>
      <c r="LBD28" s="1887"/>
      <c r="LBE28" s="1888"/>
      <c r="LBF28" s="1882"/>
      <c r="LBG28" s="1882"/>
      <c r="LBH28" s="1882"/>
      <c r="LBJ28" s="1887"/>
      <c r="LBK28" s="1888"/>
      <c r="LBL28" s="1882"/>
      <c r="LBM28" s="1882"/>
      <c r="LBN28" s="1882"/>
      <c r="LBP28" s="1887"/>
      <c r="LBQ28" s="1888"/>
      <c r="LBR28" s="1882"/>
      <c r="LBS28" s="1882"/>
      <c r="LBT28" s="1882"/>
      <c r="LBV28" s="1887"/>
      <c r="LBW28" s="1888"/>
      <c r="LBX28" s="1882"/>
      <c r="LBY28" s="1882"/>
      <c r="LBZ28" s="1882"/>
      <c r="LCB28" s="1887"/>
      <c r="LCC28" s="1888"/>
      <c r="LCD28" s="1882"/>
      <c r="LCE28" s="1882"/>
      <c r="LCF28" s="1882"/>
      <c r="LCH28" s="1887"/>
      <c r="LCI28" s="1888"/>
      <c r="LCJ28" s="1882"/>
      <c r="LCK28" s="1882"/>
      <c r="LCL28" s="1882"/>
      <c r="LCN28" s="1887"/>
      <c r="LCO28" s="1888"/>
      <c r="LCP28" s="1882"/>
      <c r="LCQ28" s="1882"/>
      <c r="LCR28" s="1882"/>
      <c r="LCT28" s="1887"/>
      <c r="LCU28" s="1888"/>
      <c r="LCV28" s="1882"/>
      <c r="LCW28" s="1882"/>
      <c r="LCX28" s="1882"/>
      <c r="LCZ28" s="1887"/>
      <c r="LDA28" s="1888"/>
      <c r="LDB28" s="1882"/>
      <c r="LDC28" s="1882"/>
      <c r="LDD28" s="1882"/>
      <c r="LDF28" s="1887"/>
      <c r="LDG28" s="1888"/>
      <c r="LDH28" s="1882"/>
      <c r="LDI28" s="1882"/>
      <c r="LDJ28" s="1882"/>
      <c r="LDL28" s="1887"/>
      <c r="LDM28" s="1888"/>
      <c r="LDN28" s="1882"/>
      <c r="LDO28" s="1882"/>
      <c r="LDP28" s="1882"/>
      <c r="LDR28" s="1887"/>
      <c r="LDS28" s="1888"/>
      <c r="LDT28" s="1882"/>
      <c r="LDU28" s="1882"/>
      <c r="LDV28" s="1882"/>
      <c r="LDX28" s="1887"/>
      <c r="LDY28" s="1888"/>
      <c r="LDZ28" s="1882"/>
      <c r="LEA28" s="1882"/>
      <c r="LEB28" s="1882"/>
      <c r="LED28" s="1887"/>
      <c r="LEE28" s="1888"/>
      <c r="LEF28" s="1882"/>
      <c r="LEG28" s="1882"/>
      <c r="LEH28" s="1882"/>
      <c r="LEJ28" s="1887"/>
      <c r="LEK28" s="1888"/>
      <c r="LEL28" s="1882"/>
      <c r="LEM28" s="1882"/>
      <c r="LEN28" s="1882"/>
      <c r="LEP28" s="1887"/>
      <c r="LEQ28" s="1888"/>
      <c r="LER28" s="1882"/>
      <c r="LES28" s="1882"/>
      <c r="LET28" s="1882"/>
      <c r="LEV28" s="1887"/>
      <c r="LEW28" s="1888"/>
      <c r="LEX28" s="1882"/>
      <c r="LEY28" s="1882"/>
      <c r="LEZ28" s="1882"/>
      <c r="LFB28" s="1887"/>
      <c r="LFC28" s="1888"/>
      <c r="LFD28" s="1882"/>
      <c r="LFE28" s="1882"/>
      <c r="LFF28" s="1882"/>
      <c r="LFH28" s="1887"/>
      <c r="LFI28" s="1888"/>
      <c r="LFJ28" s="1882"/>
      <c r="LFK28" s="1882"/>
      <c r="LFL28" s="1882"/>
      <c r="LFN28" s="1887"/>
      <c r="LFO28" s="1888"/>
      <c r="LFP28" s="1882"/>
      <c r="LFQ28" s="1882"/>
      <c r="LFR28" s="1882"/>
      <c r="LFT28" s="1887"/>
      <c r="LFU28" s="1888"/>
      <c r="LFV28" s="1882"/>
      <c r="LFW28" s="1882"/>
      <c r="LFX28" s="1882"/>
      <c r="LFZ28" s="1887"/>
      <c r="LGA28" s="1888"/>
      <c r="LGB28" s="1882"/>
      <c r="LGC28" s="1882"/>
      <c r="LGD28" s="1882"/>
      <c r="LGF28" s="1887"/>
      <c r="LGG28" s="1888"/>
      <c r="LGH28" s="1882"/>
      <c r="LGI28" s="1882"/>
      <c r="LGJ28" s="1882"/>
      <c r="LGL28" s="1887"/>
      <c r="LGM28" s="1888"/>
      <c r="LGN28" s="1882"/>
      <c r="LGO28" s="1882"/>
      <c r="LGP28" s="1882"/>
      <c r="LGR28" s="1887"/>
      <c r="LGS28" s="1888"/>
      <c r="LGT28" s="1882"/>
      <c r="LGU28" s="1882"/>
      <c r="LGV28" s="1882"/>
      <c r="LGX28" s="1887"/>
      <c r="LGY28" s="1888"/>
      <c r="LGZ28" s="1882"/>
      <c r="LHA28" s="1882"/>
      <c r="LHB28" s="1882"/>
      <c r="LHD28" s="1887"/>
      <c r="LHE28" s="1888"/>
      <c r="LHF28" s="1882"/>
      <c r="LHG28" s="1882"/>
      <c r="LHH28" s="1882"/>
      <c r="LHJ28" s="1887"/>
      <c r="LHK28" s="1888"/>
      <c r="LHL28" s="1882"/>
      <c r="LHM28" s="1882"/>
      <c r="LHN28" s="1882"/>
      <c r="LHP28" s="1887"/>
      <c r="LHQ28" s="1888"/>
      <c r="LHR28" s="1882"/>
      <c r="LHS28" s="1882"/>
      <c r="LHT28" s="1882"/>
      <c r="LHV28" s="1887"/>
      <c r="LHW28" s="1888"/>
      <c r="LHX28" s="1882"/>
      <c r="LHY28" s="1882"/>
      <c r="LHZ28" s="1882"/>
      <c r="LIB28" s="1887"/>
      <c r="LIC28" s="1888"/>
      <c r="LID28" s="1882"/>
      <c r="LIE28" s="1882"/>
      <c r="LIF28" s="1882"/>
      <c r="LIH28" s="1887"/>
      <c r="LII28" s="1888"/>
      <c r="LIJ28" s="1882"/>
      <c r="LIK28" s="1882"/>
      <c r="LIL28" s="1882"/>
      <c r="LIN28" s="1887"/>
      <c r="LIO28" s="1888"/>
      <c r="LIP28" s="1882"/>
      <c r="LIQ28" s="1882"/>
      <c r="LIR28" s="1882"/>
      <c r="LIT28" s="1887"/>
      <c r="LIU28" s="1888"/>
      <c r="LIV28" s="1882"/>
      <c r="LIW28" s="1882"/>
      <c r="LIX28" s="1882"/>
      <c r="LIZ28" s="1887"/>
      <c r="LJA28" s="1888"/>
      <c r="LJB28" s="1882"/>
      <c r="LJC28" s="1882"/>
      <c r="LJD28" s="1882"/>
      <c r="LJF28" s="1887"/>
      <c r="LJG28" s="1888"/>
      <c r="LJH28" s="1882"/>
      <c r="LJI28" s="1882"/>
      <c r="LJJ28" s="1882"/>
      <c r="LJL28" s="1887"/>
      <c r="LJM28" s="1888"/>
      <c r="LJN28" s="1882"/>
      <c r="LJO28" s="1882"/>
      <c r="LJP28" s="1882"/>
      <c r="LJR28" s="1887"/>
      <c r="LJS28" s="1888"/>
      <c r="LJT28" s="1882"/>
      <c r="LJU28" s="1882"/>
      <c r="LJV28" s="1882"/>
      <c r="LJX28" s="1887"/>
      <c r="LJY28" s="1888"/>
      <c r="LJZ28" s="1882"/>
      <c r="LKA28" s="1882"/>
      <c r="LKB28" s="1882"/>
      <c r="LKD28" s="1887"/>
      <c r="LKE28" s="1888"/>
      <c r="LKF28" s="1882"/>
      <c r="LKG28" s="1882"/>
      <c r="LKH28" s="1882"/>
      <c r="LKJ28" s="1887"/>
      <c r="LKK28" s="1888"/>
      <c r="LKL28" s="1882"/>
      <c r="LKM28" s="1882"/>
      <c r="LKN28" s="1882"/>
      <c r="LKP28" s="1887"/>
      <c r="LKQ28" s="1888"/>
      <c r="LKR28" s="1882"/>
      <c r="LKS28" s="1882"/>
      <c r="LKT28" s="1882"/>
      <c r="LKV28" s="1887"/>
      <c r="LKW28" s="1888"/>
      <c r="LKX28" s="1882"/>
      <c r="LKY28" s="1882"/>
      <c r="LKZ28" s="1882"/>
      <c r="LLB28" s="1887"/>
      <c r="LLC28" s="1888"/>
      <c r="LLD28" s="1882"/>
      <c r="LLE28" s="1882"/>
      <c r="LLF28" s="1882"/>
      <c r="LLH28" s="1887"/>
      <c r="LLI28" s="1888"/>
      <c r="LLJ28" s="1882"/>
      <c r="LLK28" s="1882"/>
      <c r="LLL28" s="1882"/>
      <c r="LLN28" s="1887"/>
      <c r="LLO28" s="1888"/>
      <c r="LLP28" s="1882"/>
      <c r="LLQ28" s="1882"/>
      <c r="LLR28" s="1882"/>
      <c r="LLT28" s="1887"/>
      <c r="LLU28" s="1888"/>
      <c r="LLV28" s="1882"/>
      <c r="LLW28" s="1882"/>
      <c r="LLX28" s="1882"/>
      <c r="LLZ28" s="1887"/>
      <c r="LMA28" s="1888"/>
      <c r="LMB28" s="1882"/>
      <c r="LMC28" s="1882"/>
      <c r="LMD28" s="1882"/>
      <c r="LMF28" s="1887"/>
      <c r="LMG28" s="1888"/>
      <c r="LMH28" s="1882"/>
      <c r="LMI28" s="1882"/>
      <c r="LMJ28" s="1882"/>
      <c r="LML28" s="1887"/>
      <c r="LMM28" s="1888"/>
      <c r="LMN28" s="1882"/>
      <c r="LMO28" s="1882"/>
      <c r="LMP28" s="1882"/>
      <c r="LMR28" s="1887"/>
      <c r="LMS28" s="1888"/>
      <c r="LMT28" s="1882"/>
      <c r="LMU28" s="1882"/>
      <c r="LMV28" s="1882"/>
      <c r="LMX28" s="1887"/>
      <c r="LMY28" s="1888"/>
      <c r="LMZ28" s="1882"/>
      <c r="LNA28" s="1882"/>
      <c r="LNB28" s="1882"/>
      <c r="LND28" s="1887"/>
      <c r="LNE28" s="1888"/>
      <c r="LNF28" s="1882"/>
      <c r="LNG28" s="1882"/>
      <c r="LNH28" s="1882"/>
      <c r="LNJ28" s="1887"/>
      <c r="LNK28" s="1888"/>
      <c r="LNL28" s="1882"/>
      <c r="LNM28" s="1882"/>
      <c r="LNN28" s="1882"/>
      <c r="LNP28" s="1887"/>
      <c r="LNQ28" s="1888"/>
      <c r="LNR28" s="1882"/>
      <c r="LNS28" s="1882"/>
      <c r="LNT28" s="1882"/>
      <c r="LNV28" s="1887"/>
      <c r="LNW28" s="1888"/>
      <c r="LNX28" s="1882"/>
      <c r="LNY28" s="1882"/>
      <c r="LNZ28" s="1882"/>
      <c r="LOB28" s="1887"/>
      <c r="LOC28" s="1888"/>
      <c r="LOD28" s="1882"/>
      <c r="LOE28" s="1882"/>
      <c r="LOF28" s="1882"/>
      <c r="LOH28" s="1887"/>
      <c r="LOI28" s="1888"/>
      <c r="LOJ28" s="1882"/>
      <c r="LOK28" s="1882"/>
      <c r="LOL28" s="1882"/>
      <c r="LON28" s="1887"/>
      <c r="LOO28" s="1888"/>
      <c r="LOP28" s="1882"/>
      <c r="LOQ28" s="1882"/>
      <c r="LOR28" s="1882"/>
      <c r="LOT28" s="1887"/>
      <c r="LOU28" s="1888"/>
      <c r="LOV28" s="1882"/>
      <c r="LOW28" s="1882"/>
      <c r="LOX28" s="1882"/>
      <c r="LOZ28" s="1887"/>
      <c r="LPA28" s="1888"/>
      <c r="LPB28" s="1882"/>
      <c r="LPC28" s="1882"/>
      <c r="LPD28" s="1882"/>
      <c r="LPF28" s="1887"/>
      <c r="LPG28" s="1888"/>
      <c r="LPH28" s="1882"/>
      <c r="LPI28" s="1882"/>
      <c r="LPJ28" s="1882"/>
      <c r="LPL28" s="1887"/>
      <c r="LPM28" s="1888"/>
      <c r="LPN28" s="1882"/>
      <c r="LPO28" s="1882"/>
      <c r="LPP28" s="1882"/>
      <c r="LPR28" s="1887"/>
      <c r="LPS28" s="1888"/>
      <c r="LPT28" s="1882"/>
      <c r="LPU28" s="1882"/>
      <c r="LPV28" s="1882"/>
      <c r="LPX28" s="1887"/>
      <c r="LPY28" s="1888"/>
      <c r="LPZ28" s="1882"/>
      <c r="LQA28" s="1882"/>
      <c r="LQB28" s="1882"/>
      <c r="LQD28" s="1887"/>
      <c r="LQE28" s="1888"/>
      <c r="LQF28" s="1882"/>
      <c r="LQG28" s="1882"/>
      <c r="LQH28" s="1882"/>
      <c r="LQJ28" s="1887"/>
      <c r="LQK28" s="1888"/>
      <c r="LQL28" s="1882"/>
      <c r="LQM28" s="1882"/>
      <c r="LQN28" s="1882"/>
      <c r="LQP28" s="1887"/>
      <c r="LQQ28" s="1888"/>
      <c r="LQR28" s="1882"/>
      <c r="LQS28" s="1882"/>
      <c r="LQT28" s="1882"/>
      <c r="LQV28" s="1887"/>
      <c r="LQW28" s="1888"/>
      <c r="LQX28" s="1882"/>
      <c r="LQY28" s="1882"/>
      <c r="LQZ28" s="1882"/>
      <c r="LRB28" s="1887"/>
      <c r="LRC28" s="1888"/>
      <c r="LRD28" s="1882"/>
      <c r="LRE28" s="1882"/>
      <c r="LRF28" s="1882"/>
      <c r="LRH28" s="1887"/>
      <c r="LRI28" s="1888"/>
      <c r="LRJ28" s="1882"/>
      <c r="LRK28" s="1882"/>
      <c r="LRL28" s="1882"/>
      <c r="LRN28" s="1887"/>
      <c r="LRO28" s="1888"/>
      <c r="LRP28" s="1882"/>
      <c r="LRQ28" s="1882"/>
      <c r="LRR28" s="1882"/>
      <c r="LRT28" s="1887"/>
      <c r="LRU28" s="1888"/>
      <c r="LRV28" s="1882"/>
      <c r="LRW28" s="1882"/>
      <c r="LRX28" s="1882"/>
      <c r="LRZ28" s="1887"/>
      <c r="LSA28" s="1888"/>
      <c r="LSB28" s="1882"/>
      <c r="LSC28" s="1882"/>
      <c r="LSD28" s="1882"/>
      <c r="LSF28" s="1887"/>
      <c r="LSG28" s="1888"/>
      <c r="LSH28" s="1882"/>
      <c r="LSI28" s="1882"/>
      <c r="LSJ28" s="1882"/>
      <c r="LSL28" s="1887"/>
      <c r="LSM28" s="1888"/>
      <c r="LSN28" s="1882"/>
      <c r="LSO28" s="1882"/>
      <c r="LSP28" s="1882"/>
      <c r="LSR28" s="1887"/>
      <c r="LSS28" s="1888"/>
      <c r="LST28" s="1882"/>
      <c r="LSU28" s="1882"/>
      <c r="LSV28" s="1882"/>
      <c r="LSX28" s="1887"/>
      <c r="LSY28" s="1888"/>
      <c r="LSZ28" s="1882"/>
      <c r="LTA28" s="1882"/>
      <c r="LTB28" s="1882"/>
      <c r="LTD28" s="1887"/>
      <c r="LTE28" s="1888"/>
      <c r="LTF28" s="1882"/>
      <c r="LTG28" s="1882"/>
      <c r="LTH28" s="1882"/>
      <c r="LTJ28" s="1887"/>
      <c r="LTK28" s="1888"/>
      <c r="LTL28" s="1882"/>
      <c r="LTM28" s="1882"/>
      <c r="LTN28" s="1882"/>
      <c r="LTP28" s="1887"/>
      <c r="LTQ28" s="1888"/>
      <c r="LTR28" s="1882"/>
      <c r="LTS28" s="1882"/>
      <c r="LTT28" s="1882"/>
      <c r="LTV28" s="1887"/>
      <c r="LTW28" s="1888"/>
      <c r="LTX28" s="1882"/>
      <c r="LTY28" s="1882"/>
      <c r="LTZ28" s="1882"/>
      <c r="LUB28" s="1887"/>
      <c r="LUC28" s="1888"/>
      <c r="LUD28" s="1882"/>
      <c r="LUE28" s="1882"/>
      <c r="LUF28" s="1882"/>
      <c r="LUH28" s="1887"/>
      <c r="LUI28" s="1888"/>
      <c r="LUJ28" s="1882"/>
      <c r="LUK28" s="1882"/>
      <c r="LUL28" s="1882"/>
      <c r="LUN28" s="1887"/>
      <c r="LUO28" s="1888"/>
      <c r="LUP28" s="1882"/>
      <c r="LUQ28" s="1882"/>
      <c r="LUR28" s="1882"/>
      <c r="LUT28" s="1887"/>
      <c r="LUU28" s="1888"/>
      <c r="LUV28" s="1882"/>
      <c r="LUW28" s="1882"/>
      <c r="LUX28" s="1882"/>
      <c r="LUZ28" s="1887"/>
      <c r="LVA28" s="1888"/>
      <c r="LVB28" s="1882"/>
      <c r="LVC28" s="1882"/>
      <c r="LVD28" s="1882"/>
      <c r="LVF28" s="1887"/>
      <c r="LVG28" s="1888"/>
      <c r="LVH28" s="1882"/>
      <c r="LVI28" s="1882"/>
      <c r="LVJ28" s="1882"/>
      <c r="LVL28" s="1887"/>
      <c r="LVM28" s="1888"/>
      <c r="LVN28" s="1882"/>
      <c r="LVO28" s="1882"/>
      <c r="LVP28" s="1882"/>
      <c r="LVR28" s="1887"/>
      <c r="LVS28" s="1888"/>
      <c r="LVT28" s="1882"/>
      <c r="LVU28" s="1882"/>
      <c r="LVV28" s="1882"/>
      <c r="LVX28" s="1887"/>
      <c r="LVY28" s="1888"/>
      <c r="LVZ28" s="1882"/>
      <c r="LWA28" s="1882"/>
      <c r="LWB28" s="1882"/>
      <c r="LWD28" s="1887"/>
      <c r="LWE28" s="1888"/>
      <c r="LWF28" s="1882"/>
      <c r="LWG28" s="1882"/>
      <c r="LWH28" s="1882"/>
      <c r="LWJ28" s="1887"/>
      <c r="LWK28" s="1888"/>
      <c r="LWL28" s="1882"/>
      <c r="LWM28" s="1882"/>
      <c r="LWN28" s="1882"/>
      <c r="LWP28" s="1887"/>
      <c r="LWQ28" s="1888"/>
      <c r="LWR28" s="1882"/>
      <c r="LWS28" s="1882"/>
      <c r="LWT28" s="1882"/>
      <c r="LWV28" s="1887"/>
      <c r="LWW28" s="1888"/>
      <c r="LWX28" s="1882"/>
      <c r="LWY28" s="1882"/>
      <c r="LWZ28" s="1882"/>
      <c r="LXB28" s="1887"/>
      <c r="LXC28" s="1888"/>
      <c r="LXD28" s="1882"/>
      <c r="LXE28" s="1882"/>
      <c r="LXF28" s="1882"/>
      <c r="LXH28" s="1887"/>
      <c r="LXI28" s="1888"/>
      <c r="LXJ28" s="1882"/>
      <c r="LXK28" s="1882"/>
      <c r="LXL28" s="1882"/>
      <c r="LXN28" s="1887"/>
      <c r="LXO28" s="1888"/>
      <c r="LXP28" s="1882"/>
      <c r="LXQ28" s="1882"/>
      <c r="LXR28" s="1882"/>
      <c r="LXT28" s="1887"/>
      <c r="LXU28" s="1888"/>
      <c r="LXV28" s="1882"/>
      <c r="LXW28" s="1882"/>
      <c r="LXX28" s="1882"/>
      <c r="LXZ28" s="1887"/>
      <c r="LYA28" s="1888"/>
      <c r="LYB28" s="1882"/>
      <c r="LYC28" s="1882"/>
      <c r="LYD28" s="1882"/>
      <c r="LYF28" s="1887"/>
      <c r="LYG28" s="1888"/>
      <c r="LYH28" s="1882"/>
      <c r="LYI28" s="1882"/>
      <c r="LYJ28" s="1882"/>
      <c r="LYL28" s="1887"/>
      <c r="LYM28" s="1888"/>
      <c r="LYN28" s="1882"/>
      <c r="LYO28" s="1882"/>
      <c r="LYP28" s="1882"/>
      <c r="LYR28" s="1887"/>
      <c r="LYS28" s="1888"/>
      <c r="LYT28" s="1882"/>
      <c r="LYU28" s="1882"/>
      <c r="LYV28" s="1882"/>
      <c r="LYX28" s="1887"/>
      <c r="LYY28" s="1888"/>
      <c r="LYZ28" s="1882"/>
      <c r="LZA28" s="1882"/>
      <c r="LZB28" s="1882"/>
      <c r="LZD28" s="1887"/>
      <c r="LZE28" s="1888"/>
      <c r="LZF28" s="1882"/>
      <c r="LZG28" s="1882"/>
      <c r="LZH28" s="1882"/>
      <c r="LZJ28" s="1887"/>
      <c r="LZK28" s="1888"/>
      <c r="LZL28" s="1882"/>
      <c r="LZM28" s="1882"/>
      <c r="LZN28" s="1882"/>
      <c r="LZP28" s="1887"/>
      <c r="LZQ28" s="1888"/>
      <c r="LZR28" s="1882"/>
      <c r="LZS28" s="1882"/>
      <c r="LZT28" s="1882"/>
      <c r="LZV28" s="1887"/>
      <c r="LZW28" s="1888"/>
      <c r="LZX28" s="1882"/>
      <c r="LZY28" s="1882"/>
      <c r="LZZ28" s="1882"/>
      <c r="MAB28" s="1887"/>
      <c r="MAC28" s="1888"/>
      <c r="MAD28" s="1882"/>
      <c r="MAE28" s="1882"/>
      <c r="MAF28" s="1882"/>
      <c r="MAH28" s="1887"/>
      <c r="MAI28" s="1888"/>
      <c r="MAJ28" s="1882"/>
      <c r="MAK28" s="1882"/>
      <c r="MAL28" s="1882"/>
      <c r="MAN28" s="1887"/>
      <c r="MAO28" s="1888"/>
      <c r="MAP28" s="1882"/>
      <c r="MAQ28" s="1882"/>
      <c r="MAR28" s="1882"/>
      <c r="MAT28" s="1887"/>
      <c r="MAU28" s="1888"/>
      <c r="MAV28" s="1882"/>
      <c r="MAW28" s="1882"/>
      <c r="MAX28" s="1882"/>
      <c r="MAZ28" s="1887"/>
      <c r="MBA28" s="1888"/>
      <c r="MBB28" s="1882"/>
      <c r="MBC28" s="1882"/>
      <c r="MBD28" s="1882"/>
      <c r="MBF28" s="1887"/>
      <c r="MBG28" s="1888"/>
      <c r="MBH28" s="1882"/>
      <c r="MBI28" s="1882"/>
      <c r="MBJ28" s="1882"/>
      <c r="MBL28" s="1887"/>
      <c r="MBM28" s="1888"/>
      <c r="MBN28" s="1882"/>
      <c r="MBO28" s="1882"/>
      <c r="MBP28" s="1882"/>
      <c r="MBR28" s="1887"/>
      <c r="MBS28" s="1888"/>
      <c r="MBT28" s="1882"/>
      <c r="MBU28" s="1882"/>
      <c r="MBV28" s="1882"/>
      <c r="MBX28" s="1887"/>
      <c r="MBY28" s="1888"/>
      <c r="MBZ28" s="1882"/>
      <c r="MCA28" s="1882"/>
      <c r="MCB28" s="1882"/>
      <c r="MCD28" s="1887"/>
      <c r="MCE28" s="1888"/>
      <c r="MCF28" s="1882"/>
      <c r="MCG28" s="1882"/>
      <c r="MCH28" s="1882"/>
      <c r="MCJ28" s="1887"/>
      <c r="MCK28" s="1888"/>
      <c r="MCL28" s="1882"/>
      <c r="MCM28" s="1882"/>
      <c r="MCN28" s="1882"/>
      <c r="MCP28" s="1887"/>
      <c r="MCQ28" s="1888"/>
      <c r="MCR28" s="1882"/>
      <c r="MCS28" s="1882"/>
      <c r="MCT28" s="1882"/>
      <c r="MCV28" s="1887"/>
      <c r="MCW28" s="1888"/>
      <c r="MCX28" s="1882"/>
      <c r="MCY28" s="1882"/>
      <c r="MCZ28" s="1882"/>
      <c r="MDB28" s="1887"/>
      <c r="MDC28" s="1888"/>
      <c r="MDD28" s="1882"/>
      <c r="MDE28" s="1882"/>
      <c r="MDF28" s="1882"/>
      <c r="MDH28" s="1887"/>
      <c r="MDI28" s="1888"/>
      <c r="MDJ28" s="1882"/>
      <c r="MDK28" s="1882"/>
      <c r="MDL28" s="1882"/>
      <c r="MDN28" s="1887"/>
      <c r="MDO28" s="1888"/>
      <c r="MDP28" s="1882"/>
      <c r="MDQ28" s="1882"/>
      <c r="MDR28" s="1882"/>
      <c r="MDT28" s="1887"/>
      <c r="MDU28" s="1888"/>
      <c r="MDV28" s="1882"/>
      <c r="MDW28" s="1882"/>
      <c r="MDX28" s="1882"/>
      <c r="MDZ28" s="1887"/>
      <c r="MEA28" s="1888"/>
      <c r="MEB28" s="1882"/>
      <c r="MEC28" s="1882"/>
      <c r="MED28" s="1882"/>
      <c r="MEF28" s="1887"/>
      <c r="MEG28" s="1888"/>
      <c r="MEH28" s="1882"/>
      <c r="MEI28" s="1882"/>
      <c r="MEJ28" s="1882"/>
      <c r="MEL28" s="1887"/>
      <c r="MEM28" s="1888"/>
      <c r="MEN28" s="1882"/>
      <c r="MEO28" s="1882"/>
      <c r="MEP28" s="1882"/>
      <c r="MER28" s="1887"/>
      <c r="MES28" s="1888"/>
      <c r="MET28" s="1882"/>
      <c r="MEU28" s="1882"/>
      <c r="MEV28" s="1882"/>
      <c r="MEX28" s="1887"/>
      <c r="MEY28" s="1888"/>
      <c r="MEZ28" s="1882"/>
      <c r="MFA28" s="1882"/>
      <c r="MFB28" s="1882"/>
      <c r="MFD28" s="1887"/>
      <c r="MFE28" s="1888"/>
      <c r="MFF28" s="1882"/>
      <c r="MFG28" s="1882"/>
      <c r="MFH28" s="1882"/>
      <c r="MFJ28" s="1887"/>
      <c r="MFK28" s="1888"/>
      <c r="MFL28" s="1882"/>
      <c r="MFM28" s="1882"/>
      <c r="MFN28" s="1882"/>
      <c r="MFP28" s="1887"/>
      <c r="MFQ28" s="1888"/>
      <c r="MFR28" s="1882"/>
      <c r="MFS28" s="1882"/>
      <c r="MFT28" s="1882"/>
      <c r="MFV28" s="1887"/>
      <c r="MFW28" s="1888"/>
      <c r="MFX28" s="1882"/>
      <c r="MFY28" s="1882"/>
      <c r="MFZ28" s="1882"/>
      <c r="MGB28" s="1887"/>
      <c r="MGC28" s="1888"/>
      <c r="MGD28" s="1882"/>
      <c r="MGE28" s="1882"/>
      <c r="MGF28" s="1882"/>
      <c r="MGH28" s="1887"/>
      <c r="MGI28" s="1888"/>
      <c r="MGJ28" s="1882"/>
      <c r="MGK28" s="1882"/>
      <c r="MGL28" s="1882"/>
      <c r="MGN28" s="1887"/>
      <c r="MGO28" s="1888"/>
      <c r="MGP28" s="1882"/>
      <c r="MGQ28" s="1882"/>
      <c r="MGR28" s="1882"/>
      <c r="MGT28" s="1887"/>
      <c r="MGU28" s="1888"/>
      <c r="MGV28" s="1882"/>
      <c r="MGW28" s="1882"/>
      <c r="MGX28" s="1882"/>
      <c r="MGZ28" s="1887"/>
      <c r="MHA28" s="1888"/>
      <c r="MHB28" s="1882"/>
      <c r="MHC28" s="1882"/>
      <c r="MHD28" s="1882"/>
      <c r="MHF28" s="1887"/>
      <c r="MHG28" s="1888"/>
      <c r="MHH28" s="1882"/>
      <c r="MHI28" s="1882"/>
      <c r="MHJ28" s="1882"/>
      <c r="MHL28" s="1887"/>
      <c r="MHM28" s="1888"/>
      <c r="MHN28" s="1882"/>
      <c r="MHO28" s="1882"/>
      <c r="MHP28" s="1882"/>
      <c r="MHR28" s="1887"/>
      <c r="MHS28" s="1888"/>
      <c r="MHT28" s="1882"/>
      <c r="MHU28" s="1882"/>
      <c r="MHV28" s="1882"/>
      <c r="MHX28" s="1887"/>
      <c r="MHY28" s="1888"/>
      <c r="MHZ28" s="1882"/>
      <c r="MIA28" s="1882"/>
      <c r="MIB28" s="1882"/>
      <c r="MID28" s="1887"/>
      <c r="MIE28" s="1888"/>
      <c r="MIF28" s="1882"/>
      <c r="MIG28" s="1882"/>
      <c r="MIH28" s="1882"/>
      <c r="MIJ28" s="1887"/>
      <c r="MIK28" s="1888"/>
      <c r="MIL28" s="1882"/>
      <c r="MIM28" s="1882"/>
      <c r="MIN28" s="1882"/>
      <c r="MIP28" s="1887"/>
      <c r="MIQ28" s="1888"/>
      <c r="MIR28" s="1882"/>
      <c r="MIS28" s="1882"/>
      <c r="MIT28" s="1882"/>
      <c r="MIV28" s="1887"/>
      <c r="MIW28" s="1888"/>
      <c r="MIX28" s="1882"/>
      <c r="MIY28" s="1882"/>
      <c r="MIZ28" s="1882"/>
      <c r="MJB28" s="1887"/>
      <c r="MJC28" s="1888"/>
      <c r="MJD28" s="1882"/>
      <c r="MJE28" s="1882"/>
      <c r="MJF28" s="1882"/>
      <c r="MJH28" s="1887"/>
      <c r="MJI28" s="1888"/>
      <c r="MJJ28" s="1882"/>
      <c r="MJK28" s="1882"/>
      <c r="MJL28" s="1882"/>
      <c r="MJN28" s="1887"/>
      <c r="MJO28" s="1888"/>
      <c r="MJP28" s="1882"/>
      <c r="MJQ28" s="1882"/>
      <c r="MJR28" s="1882"/>
      <c r="MJT28" s="1887"/>
      <c r="MJU28" s="1888"/>
      <c r="MJV28" s="1882"/>
      <c r="MJW28" s="1882"/>
      <c r="MJX28" s="1882"/>
      <c r="MJZ28" s="1887"/>
      <c r="MKA28" s="1888"/>
      <c r="MKB28" s="1882"/>
      <c r="MKC28" s="1882"/>
      <c r="MKD28" s="1882"/>
      <c r="MKF28" s="1887"/>
      <c r="MKG28" s="1888"/>
      <c r="MKH28" s="1882"/>
      <c r="MKI28" s="1882"/>
      <c r="MKJ28" s="1882"/>
      <c r="MKL28" s="1887"/>
      <c r="MKM28" s="1888"/>
      <c r="MKN28" s="1882"/>
      <c r="MKO28" s="1882"/>
      <c r="MKP28" s="1882"/>
      <c r="MKR28" s="1887"/>
      <c r="MKS28" s="1888"/>
      <c r="MKT28" s="1882"/>
      <c r="MKU28" s="1882"/>
      <c r="MKV28" s="1882"/>
      <c r="MKX28" s="1887"/>
      <c r="MKY28" s="1888"/>
      <c r="MKZ28" s="1882"/>
      <c r="MLA28" s="1882"/>
      <c r="MLB28" s="1882"/>
      <c r="MLD28" s="1887"/>
      <c r="MLE28" s="1888"/>
      <c r="MLF28" s="1882"/>
      <c r="MLG28" s="1882"/>
      <c r="MLH28" s="1882"/>
      <c r="MLJ28" s="1887"/>
      <c r="MLK28" s="1888"/>
      <c r="MLL28" s="1882"/>
      <c r="MLM28" s="1882"/>
      <c r="MLN28" s="1882"/>
      <c r="MLP28" s="1887"/>
      <c r="MLQ28" s="1888"/>
      <c r="MLR28" s="1882"/>
      <c r="MLS28" s="1882"/>
      <c r="MLT28" s="1882"/>
      <c r="MLV28" s="1887"/>
      <c r="MLW28" s="1888"/>
      <c r="MLX28" s="1882"/>
      <c r="MLY28" s="1882"/>
      <c r="MLZ28" s="1882"/>
      <c r="MMB28" s="1887"/>
      <c r="MMC28" s="1888"/>
      <c r="MMD28" s="1882"/>
      <c r="MME28" s="1882"/>
      <c r="MMF28" s="1882"/>
      <c r="MMH28" s="1887"/>
      <c r="MMI28" s="1888"/>
      <c r="MMJ28" s="1882"/>
      <c r="MMK28" s="1882"/>
      <c r="MML28" s="1882"/>
      <c r="MMN28" s="1887"/>
      <c r="MMO28" s="1888"/>
      <c r="MMP28" s="1882"/>
      <c r="MMQ28" s="1882"/>
      <c r="MMR28" s="1882"/>
      <c r="MMT28" s="1887"/>
      <c r="MMU28" s="1888"/>
      <c r="MMV28" s="1882"/>
      <c r="MMW28" s="1882"/>
      <c r="MMX28" s="1882"/>
      <c r="MMZ28" s="1887"/>
      <c r="MNA28" s="1888"/>
      <c r="MNB28" s="1882"/>
      <c r="MNC28" s="1882"/>
      <c r="MND28" s="1882"/>
      <c r="MNF28" s="1887"/>
      <c r="MNG28" s="1888"/>
      <c r="MNH28" s="1882"/>
      <c r="MNI28" s="1882"/>
      <c r="MNJ28" s="1882"/>
      <c r="MNL28" s="1887"/>
      <c r="MNM28" s="1888"/>
      <c r="MNN28" s="1882"/>
      <c r="MNO28" s="1882"/>
      <c r="MNP28" s="1882"/>
      <c r="MNR28" s="1887"/>
      <c r="MNS28" s="1888"/>
      <c r="MNT28" s="1882"/>
      <c r="MNU28" s="1882"/>
      <c r="MNV28" s="1882"/>
      <c r="MNX28" s="1887"/>
      <c r="MNY28" s="1888"/>
      <c r="MNZ28" s="1882"/>
      <c r="MOA28" s="1882"/>
      <c r="MOB28" s="1882"/>
      <c r="MOD28" s="1887"/>
      <c r="MOE28" s="1888"/>
      <c r="MOF28" s="1882"/>
      <c r="MOG28" s="1882"/>
      <c r="MOH28" s="1882"/>
      <c r="MOJ28" s="1887"/>
      <c r="MOK28" s="1888"/>
      <c r="MOL28" s="1882"/>
      <c r="MOM28" s="1882"/>
      <c r="MON28" s="1882"/>
      <c r="MOP28" s="1887"/>
      <c r="MOQ28" s="1888"/>
      <c r="MOR28" s="1882"/>
      <c r="MOS28" s="1882"/>
      <c r="MOT28" s="1882"/>
      <c r="MOV28" s="1887"/>
      <c r="MOW28" s="1888"/>
      <c r="MOX28" s="1882"/>
      <c r="MOY28" s="1882"/>
      <c r="MOZ28" s="1882"/>
      <c r="MPB28" s="1887"/>
      <c r="MPC28" s="1888"/>
      <c r="MPD28" s="1882"/>
      <c r="MPE28" s="1882"/>
      <c r="MPF28" s="1882"/>
      <c r="MPH28" s="1887"/>
      <c r="MPI28" s="1888"/>
      <c r="MPJ28" s="1882"/>
      <c r="MPK28" s="1882"/>
      <c r="MPL28" s="1882"/>
      <c r="MPN28" s="1887"/>
      <c r="MPO28" s="1888"/>
      <c r="MPP28" s="1882"/>
      <c r="MPQ28" s="1882"/>
      <c r="MPR28" s="1882"/>
      <c r="MPT28" s="1887"/>
      <c r="MPU28" s="1888"/>
      <c r="MPV28" s="1882"/>
      <c r="MPW28" s="1882"/>
      <c r="MPX28" s="1882"/>
      <c r="MPZ28" s="1887"/>
      <c r="MQA28" s="1888"/>
      <c r="MQB28" s="1882"/>
      <c r="MQC28" s="1882"/>
      <c r="MQD28" s="1882"/>
      <c r="MQF28" s="1887"/>
      <c r="MQG28" s="1888"/>
      <c r="MQH28" s="1882"/>
      <c r="MQI28" s="1882"/>
      <c r="MQJ28" s="1882"/>
      <c r="MQL28" s="1887"/>
      <c r="MQM28" s="1888"/>
      <c r="MQN28" s="1882"/>
      <c r="MQO28" s="1882"/>
      <c r="MQP28" s="1882"/>
      <c r="MQR28" s="1887"/>
      <c r="MQS28" s="1888"/>
      <c r="MQT28" s="1882"/>
      <c r="MQU28" s="1882"/>
      <c r="MQV28" s="1882"/>
      <c r="MQX28" s="1887"/>
      <c r="MQY28" s="1888"/>
      <c r="MQZ28" s="1882"/>
      <c r="MRA28" s="1882"/>
      <c r="MRB28" s="1882"/>
      <c r="MRD28" s="1887"/>
      <c r="MRE28" s="1888"/>
      <c r="MRF28" s="1882"/>
      <c r="MRG28" s="1882"/>
      <c r="MRH28" s="1882"/>
      <c r="MRJ28" s="1887"/>
      <c r="MRK28" s="1888"/>
      <c r="MRL28" s="1882"/>
      <c r="MRM28" s="1882"/>
      <c r="MRN28" s="1882"/>
      <c r="MRP28" s="1887"/>
      <c r="MRQ28" s="1888"/>
      <c r="MRR28" s="1882"/>
      <c r="MRS28" s="1882"/>
      <c r="MRT28" s="1882"/>
      <c r="MRV28" s="1887"/>
      <c r="MRW28" s="1888"/>
      <c r="MRX28" s="1882"/>
      <c r="MRY28" s="1882"/>
      <c r="MRZ28" s="1882"/>
      <c r="MSB28" s="1887"/>
      <c r="MSC28" s="1888"/>
      <c r="MSD28" s="1882"/>
      <c r="MSE28" s="1882"/>
      <c r="MSF28" s="1882"/>
      <c r="MSH28" s="1887"/>
      <c r="MSI28" s="1888"/>
      <c r="MSJ28" s="1882"/>
      <c r="MSK28" s="1882"/>
      <c r="MSL28" s="1882"/>
      <c r="MSN28" s="1887"/>
      <c r="MSO28" s="1888"/>
      <c r="MSP28" s="1882"/>
      <c r="MSQ28" s="1882"/>
      <c r="MSR28" s="1882"/>
      <c r="MST28" s="1887"/>
      <c r="MSU28" s="1888"/>
      <c r="MSV28" s="1882"/>
      <c r="MSW28" s="1882"/>
      <c r="MSX28" s="1882"/>
      <c r="MSZ28" s="1887"/>
      <c r="MTA28" s="1888"/>
      <c r="MTB28" s="1882"/>
      <c r="MTC28" s="1882"/>
      <c r="MTD28" s="1882"/>
      <c r="MTF28" s="1887"/>
      <c r="MTG28" s="1888"/>
      <c r="MTH28" s="1882"/>
      <c r="MTI28" s="1882"/>
      <c r="MTJ28" s="1882"/>
      <c r="MTL28" s="1887"/>
      <c r="MTM28" s="1888"/>
      <c r="MTN28" s="1882"/>
      <c r="MTO28" s="1882"/>
      <c r="MTP28" s="1882"/>
      <c r="MTR28" s="1887"/>
      <c r="MTS28" s="1888"/>
      <c r="MTT28" s="1882"/>
      <c r="MTU28" s="1882"/>
      <c r="MTV28" s="1882"/>
      <c r="MTX28" s="1887"/>
      <c r="MTY28" s="1888"/>
      <c r="MTZ28" s="1882"/>
      <c r="MUA28" s="1882"/>
      <c r="MUB28" s="1882"/>
      <c r="MUD28" s="1887"/>
      <c r="MUE28" s="1888"/>
      <c r="MUF28" s="1882"/>
      <c r="MUG28" s="1882"/>
      <c r="MUH28" s="1882"/>
      <c r="MUJ28" s="1887"/>
      <c r="MUK28" s="1888"/>
      <c r="MUL28" s="1882"/>
      <c r="MUM28" s="1882"/>
      <c r="MUN28" s="1882"/>
      <c r="MUP28" s="1887"/>
      <c r="MUQ28" s="1888"/>
      <c r="MUR28" s="1882"/>
      <c r="MUS28" s="1882"/>
      <c r="MUT28" s="1882"/>
      <c r="MUV28" s="1887"/>
      <c r="MUW28" s="1888"/>
      <c r="MUX28" s="1882"/>
      <c r="MUY28" s="1882"/>
      <c r="MUZ28" s="1882"/>
      <c r="MVB28" s="1887"/>
      <c r="MVC28" s="1888"/>
      <c r="MVD28" s="1882"/>
      <c r="MVE28" s="1882"/>
      <c r="MVF28" s="1882"/>
      <c r="MVH28" s="1887"/>
      <c r="MVI28" s="1888"/>
      <c r="MVJ28" s="1882"/>
      <c r="MVK28" s="1882"/>
      <c r="MVL28" s="1882"/>
      <c r="MVN28" s="1887"/>
      <c r="MVO28" s="1888"/>
      <c r="MVP28" s="1882"/>
      <c r="MVQ28" s="1882"/>
      <c r="MVR28" s="1882"/>
      <c r="MVT28" s="1887"/>
      <c r="MVU28" s="1888"/>
      <c r="MVV28" s="1882"/>
      <c r="MVW28" s="1882"/>
      <c r="MVX28" s="1882"/>
      <c r="MVZ28" s="1887"/>
      <c r="MWA28" s="1888"/>
      <c r="MWB28" s="1882"/>
      <c r="MWC28" s="1882"/>
      <c r="MWD28" s="1882"/>
      <c r="MWF28" s="1887"/>
      <c r="MWG28" s="1888"/>
      <c r="MWH28" s="1882"/>
      <c r="MWI28" s="1882"/>
      <c r="MWJ28" s="1882"/>
      <c r="MWL28" s="1887"/>
      <c r="MWM28" s="1888"/>
      <c r="MWN28" s="1882"/>
      <c r="MWO28" s="1882"/>
      <c r="MWP28" s="1882"/>
      <c r="MWR28" s="1887"/>
      <c r="MWS28" s="1888"/>
      <c r="MWT28" s="1882"/>
      <c r="MWU28" s="1882"/>
      <c r="MWV28" s="1882"/>
      <c r="MWX28" s="1887"/>
      <c r="MWY28" s="1888"/>
      <c r="MWZ28" s="1882"/>
      <c r="MXA28" s="1882"/>
      <c r="MXB28" s="1882"/>
      <c r="MXD28" s="1887"/>
      <c r="MXE28" s="1888"/>
      <c r="MXF28" s="1882"/>
      <c r="MXG28" s="1882"/>
      <c r="MXH28" s="1882"/>
      <c r="MXJ28" s="1887"/>
      <c r="MXK28" s="1888"/>
      <c r="MXL28" s="1882"/>
      <c r="MXM28" s="1882"/>
      <c r="MXN28" s="1882"/>
      <c r="MXP28" s="1887"/>
      <c r="MXQ28" s="1888"/>
      <c r="MXR28" s="1882"/>
      <c r="MXS28" s="1882"/>
      <c r="MXT28" s="1882"/>
      <c r="MXV28" s="1887"/>
      <c r="MXW28" s="1888"/>
      <c r="MXX28" s="1882"/>
      <c r="MXY28" s="1882"/>
      <c r="MXZ28" s="1882"/>
      <c r="MYB28" s="1887"/>
      <c r="MYC28" s="1888"/>
      <c r="MYD28" s="1882"/>
      <c r="MYE28" s="1882"/>
      <c r="MYF28" s="1882"/>
      <c r="MYH28" s="1887"/>
      <c r="MYI28" s="1888"/>
      <c r="MYJ28" s="1882"/>
      <c r="MYK28" s="1882"/>
      <c r="MYL28" s="1882"/>
      <c r="MYN28" s="1887"/>
      <c r="MYO28" s="1888"/>
      <c r="MYP28" s="1882"/>
      <c r="MYQ28" s="1882"/>
      <c r="MYR28" s="1882"/>
      <c r="MYT28" s="1887"/>
      <c r="MYU28" s="1888"/>
      <c r="MYV28" s="1882"/>
      <c r="MYW28" s="1882"/>
      <c r="MYX28" s="1882"/>
      <c r="MYZ28" s="1887"/>
      <c r="MZA28" s="1888"/>
      <c r="MZB28" s="1882"/>
      <c r="MZC28" s="1882"/>
      <c r="MZD28" s="1882"/>
      <c r="MZF28" s="1887"/>
      <c r="MZG28" s="1888"/>
      <c r="MZH28" s="1882"/>
      <c r="MZI28" s="1882"/>
      <c r="MZJ28" s="1882"/>
      <c r="MZL28" s="1887"/>
      <c r="MZM28" s="1888"/>
      <c r="MZN28" s="1882"/>
      <c r="MZO28" s="1882"/>
      <c r="MZP28" s="1882"/>
      <c r="MZR28" s="1887"/>
      <c r="MZS28" s="1888"/>
      <c r="MZT28" s="1882"/>
      <c r="MZU28" s="1882"/>
      <c r="MZV28" s="1882"/>
      <c r="MZX28" s="1887"/>
      <c r="MZY28" s="1888"/>
      <c r="MZZ28" s="1882"/>
      <c r="NAA28" s="1882"/>
      <c r="NAB28" s="1882"/>
      <c r="NAD28" s="1887"/>
      <c r="NAE28" s="1888"/>
      <c r="NAF28" s="1882"/>
      <c r="NAG28" s="1882"/>
      <c r="NAH28" s="1882"/>
      <c r="NAJ28" s="1887"/>
      <c r="NAK28" s="1888"/>
      <c r="NAL28" s="1882"/>
      <c r="NAM28" s="1882"/>
      <c r="NAN28" s="1882"/>
      <c r="NAP28" s="1887"/>
      <c r="NAQ28" s="1888"/>
      <c r="NAR28" s="1882"/>
      <c r="NAS28" s="1882"/>
      <c r="NAT28" s="1882"/>
      <c r="NAV28" s="1887"/>
      <c r="NAW28" s="1888"/>
      <c r="NAX28" s="1882"/>
      <c r="NAY28" s="1882"/>
      <c r="NAZ28" s="1882"/>
      <c r="NBB28" s="1887"/>
      <c r="NBC28" s="1888"/>
      <c r="NBD28" s="1882"/>
      <c r="NBE28" s="1882"/>
      <c r="NBF28" s="1882"/>
      <c r="NBH28" s="1887"/>
      <c r="NBI28" s="1888"/>
      <c r="NBJ28" s="1882"/>
      <c r="NBK28" s="1882"/>
      <c r="NBL28" s="1882"/>
      <c r="NBN28" s="1887"/>
      <c r="NBO28" s="1888"/>
      <c r="NBP28" s="1882"/>
      <c r="NBQ28" s="1882"/>
      <c r="NBR28" s="1882"/>
      <c r="NBT28" s="1887"/>
      <c r="NBU28" s="1888"/>
      <c r="NBV28" s="1882"/>
      <c r="NBW28" s="1882"/>
      <c r="NBX28" s="1882"/>
      <c r="NBZ28" s="1887"/>
      <c r="NCA28" s="1888"/>
      <c r="NCB28" s="1882"/>
      <c r="NCC28" s="1882"/>
      <c r="NCD28" s="1882"/>
      <c r="NCF28" s="1887"/>
      <c r="NCG28" s="1888"/>
      <c r="NCH28" s="1882"/>
      <c r="NCI28" s="1882"/>
      <c r="NCJ28" s="1882"/>
      <c r="NCL28" s="1887"/>
      <c r="NCM28" s="1888"/>
      <c r="NCN28" s="1882"/>
      <c r="NCO28" s="1882"/>
      <c r="NCP28" s="1882"/>
      <c r="NCR28" s="1887"/>
      <c r="NCS28" s="1888"/>
      <c r="NCT28" s="1882"/>
      <c r="NCU28" s="1882"/>
      <c r="NCV28" s="1882"/>
      <c r="NCX28" s="1887"/>
      <c r="NCY28" s="1888"/>
      <c r="NCZ28" s="1882"/>
      <c r="NDA28" s="1882"/>
      <c r="NDB28" s="1882"/>
      <c r="NDD28" s="1887"/>
      <c r="NDE28" s="1888"/>
      <c r="NDF28" s="1882"/>
      <c r="NDG28" s="1882"/>
      <c r="NDH28" s="1882"/>
      <c r="NDJ28" s="1887"/>
      <c r="NDK28" s="1888"/>
      <c r="NDL28" s="1882"/>
      <c r="NDM28" s="1882"/>
      <c r="NDN28" s="1882"/>
      <c r="NDP28" s="1887"/>
      <c r="NDQ28" s="1888"/>
      <c r="NDR28" s="1882"/>
      <c r="NDS28" s="1882"/>
      <c r="NDT28" s="1882"/>
      <c r="NDV28" s="1887"/>
      <c r="NDW28" s="1888"/>
      <c r="NDX28" s="1882"/>
      <c r="NDY28" s="1882"/>
      <c r="NDZ28" s="1882"/>
      <c r="NEB28" s="1887"/>
      <c r="NEC28" s="1888"/>
      <c r="NED28" s="1882"/>
      <c r="NEE28" s="1882"/>
      <c r="NEF28" s="1882"/>
      <c r="NEH28" s="1887"/>
      <c r="NEI28" s="1888"/>
      <c r="NEJ28" s="1882"/>
      <c r="NEK28" s="1882"/>
      <c r="NEL28" s="1882"/>
      <c r="NEN28" s="1887"/>
      <c r="NEO28" s="1888"/>
      <c r="NEP28" s="1882"/>
      <c r="NEQ28" s="1882"/>
      <c r="NER28" s="1882"/>
      <c r="NET28" s="1887"/>
      <c r="NEU28" s="1888"/>
      <c r="NEV28" s="1882"/>
      <c r="NEW28" s="1882"/>
      <c r="NEX28" s="1882"/>
      <c r="NEZ28" s="1887"/>
      <c r="NFA28" s="1888"/>
      <c r="NFB28" s="1882"/>
      <c r="NFC28" s="1882"/>
      <c r="NFD28" s="1882"/>
      <c r="NFF28" s="1887"/>
      <c r="NFG28" s="1888"/>
      <c r="NFH28" s="1882"/>
      <c r="NFI28" s="1882"/>
      <c r="NFJ28" s="1882"/>
      <c r="NFL28" s="1887"/>
      <c r="NFM28" s="1888"/>
      <c r="NFN28" s="1882"/>
      <c r="NFO28" s="1882"/>
      <c r="NFP28" s="1882"/>
      <c r="NFR28" s="1887"/>
      <c r="NFS28" s="1888"/>
      <c r="NFT28" s="1882"/>
      <c r="NFU28" s="1882"/>
      <c r="NFV28" s="1882"/>
      <c r="NFX28" s="1887"/>
      <c r="NFY28" s="1888"/>
      <c r="NFZ28" s="1882"/>
      <c r="NGA28" s="1882"/>
      <c r="NGB28" s="1882"/>
      <c r="NGD28" s="1887"/>
      <c r="NGE28" s="1888"/>
      <c r="NGF28" s="1882"/>
      <c r="NGG28" s="1882"/>
      <c r="NGH28" s="1882"/>
      <c r="NGJ28" s="1887"/>
      <c r="NGK28" s="1888"/>
      <c r="NGL28" s="1882"/>
      <c r="NGM28" s="1882"/>
      <c r="NGN28" s="1882"/>
      <c r="NGP28" s="1887"/>
      <c r="NGQ28" s="1888"/>
      <c r="NGR28" s="1882"/>
      <c r="NGS28" s="1882"/>
      <c r="NGT28" s="1882"/>
      <c r="NGV28" s="1887"/>
      <c r="NGW28" s="1888"/>
      <c r="NGX28" s="1882"/>
      <c r="NGY28" s="1882"/>
      <c r="NGZ28" s="1882"/>
      <c r="NHB28" s="1887"/>
      <c r="NHC28" s="1888"/>
      <c r="NHD28" s="1882"/>
      <c r="NHE28" s="1882"/>
      <c r="NHF28" s="1882"/>
      <c r="NHH28" s="1887"/>
      <c r="NHI28" s="1888"/>
      <c r="NHJ28" s="1882"/>
      <c r="NHK28" s="1882"/>
      <c r="NHL28" s="1882"/>
      <c r="NHN28" s="1887"/>
      <c r="NHO28" s="1888"/>
      <c r="NHP28" s="1882"/>
      <c r="NHQ28" s="1882"/>
      <c r="NHR28" s="1882"/>
      <c r="NHT28" s="1887"/>
      <c r="NHU28" s="1888"/>
      <c r="NHV28" s="1882"/>
      <c r="NHW28" s="1882"/>
      <c r="NHX28" s="1882"/>
      <c r="NHZ28" s="1887"/>
      <c r="NIA28" s="1888"/>
      <c r="NIB28" s="1882"/>
      <c r="NIC28" s="1882"/>
      <c r="NID28" s="1882"/>
      <c r="NIF28" s="1887"/>
      <c r="NIG28" s="1888"/>
      <c r="NIH28" s="1882"/>
      <c r="NII28" s="1882"/>
      <c r="NIJ28" s="1882"/>
      <c r="NIL28" s="1887"/>
      <c r="NIM28" s="1888"/>
      <c r="NIN28" s="1882"/>
      <c r="NIO28" s="1882"/>
      <c r="NIP28" s="1882"/>
      <c r="NIR28" s="1887"/>
      <c r="NIS28" s="1888"/>
      <c r="NIT28" s="1882"/>
      <c r="NIU28" s="1882"/>
      <c r="NIV28" s="1882"/>
      <c r="NIX28" s="1887"/>
      <c r="NIY28" s="1888"/>
      <c r="NIZ28" s="1882"/>
      <c r="NJA28" s="1882"/>
      <c r="NJB28" s="1882"/>
      <c r="NJD28" s="1887"/>
      <c r="NJE28" s="1888"/>
      <c r="NJF28" s="1882"/>
      <c r="NJG28" s="1882"/>
      <c r="NJH28" s="1882"/>
      <c r="NJJ28" s="1887"/>
      <c r="NJK28" s="1888"/>
      <c r="NJL28" s="1882"/>
      <c r="NJM28" s="1882"/>
      <c r="NJN28" s="1882"/>
      <c r="NJP28" s="1887"/>
      <c r="NJQ28" s="1888"/>
      <c r="NJR28" s="1882"/>
      <c r="NJS28" s="1882"/>
      <c r="NJT28" s="1882"/>
      <c r="NJV28" s="1887"/>
      <c r="NJW28" s="1888"/>
      <c r="NJX28" s="1882"/>
      <c r="NJY28" s="1882"/>
      <c r="NJZ28" s="1882"/>
      <c r="NKB28" s="1887"/>
      <c r="NKC28" s="1888"/>
      <c r="NKD28" s="1882"/>
      <c r="NKE28" s="1882"/>
      <c r="NKF28" s="1882"/>
      <c r="NKH28" s="1887"/>
      <c r="NKI28" s="1888"/>
      <c r="NKJ28" s="1882"/>
      <c r="NKK28" s="1882"/>
      <c r="NKL28" s="1882"/>
      <c r="NKN28" s="1887"/>
      <c r="NKO28" s="1888"/>
      <c r="NKP28" s="1882"/>
      <c r="NKQ28" s="1882"/>
      <c r="NKR28" s="1882"/>
      <c r="NKT28" s="1887"/>
      <c r="NKU28" s="1888"/>
      <c r="NKV28" s="1882"/>
      <c r="NKW28" s="1882"/>
      <c r="NKX28" s="1882"/>
      <c r="NKZ28" s="1887"/>
      <c r="NLA28" s="1888"/>
      <c r="NLB28" s="1882"/>
      <c r="NLC28" s="1882"/>
      <c r="NLD28" s="1882"/>
      <c r="NLF28" s="1887"/>
      <c r="NLG28" s="1888"/>
      <c r="NLH28" s="1882"/>
      <c r="NLI28" s="1882"/>
      <c r="NLJ28" s="1882"/>
      <c r="NLL28" s="1887"/>
      <c r="NLM28" s="1888"/>
      <c r="NLN28" s="1882"/>
      <c r="NLO28" s="1882"/>
      <c r="NLP28" s="1882"/>
      <c r="NLR28" s="1887"/>
      <c r="NLS28" s="1888"/>
      <c r="NLT28" s="1882"/>
      <c r="NLU28" s="1882"/>
      <c r="NLV28" s="1882"/>
      <c r="NLX28" s="1887"/>
      <c r="NLY28" s="1888"/>
      <c r="NLZ28" s="1882"/>
      <c r="NMA28" s="1882"/>
      <c r="NMB28" s="1882"/>
      <c r="NMD28" s="1887"/>
      <c r="NME28" s="1888"/>
      <c r="NMF28" s="1882"/>
      <c r="NMG28" s="1882"/>
      <c r="NMH28" s="1882"/>
      <c r="NMJ28" s="1887"/>
      <c r="NMK28" s="1888"/>
      <c r="NML28" s="1882"/>
      <c r="NMM28" s="1882"/>
      <c r="NMN28" s="1882"/>
      <c r="NMP28" s="1887"/>
      <c r="NMQ28" s="1888"/>
      <c r="NMR28" s="1882"/>
      <c r="NMS28" s="1882"/>
      <c r="NMT28" s="1882"/>
      <c r="NMV28" s="1887"/>
      <c r="NMW28" s="1888"/>
      <c r="NMX28" s="1882"/>
      <c r="NMY28" s="1882"/>
      <c r="NMZ28" s="1882"/>
      <c r="NNB28" s="1887"/>
      <c r="NNC28" s="1888"/>
      <c r="NND28" s="1882"/>
      <c r="NNE28" s="1882"/>
      <c r="NNF28" s="1882"/>
      <c r="NNH28" s="1887"/>
      <c r="NNI28" s="1888"/>
      <c r="NNJ28" s="1882"/>
      <c r="NNK28" s="1882"/>
      <c r="NNL28" s="1882"/>
      <c r="NNN28" s="1887"/>
      <c r="NNO28" s="1888"/>
      <c r="NNP28" s="1882"/>
      <c r="NNQ28" s="1882"/>
      <c r="NNR28" s="1882"/>
      <c r="NNT28" s="1887"/>
      <c r="NNU28" s="1888"/>
      <c r="NNV28" s="1882"/>
      <c r="NNW28" s="1882"/>
      <c r="NNX28" s="1882"/>
      <c r="NNZ28" s="1887"/>
      <c r="NOA28" s="1888"/>
      <c r="NOB28" s="1882"/>
      <c r="NOC28" s="1882"/>
      <c r="NOD28" s="1882"/>
      <c r="NOF28" s="1887"/>
      <c r="NOG28" s="1888"/>
      <c r="NOH28" s="1882"/>
      <c r="NOI28" s="1882"/>
      <c r="NOJ28" s="1882"/>
      <c r="NOL28" s="1887"/>
      <c r="NOM28" s="1888"/>
      <c r="NON28" s="1882"/>
      <c r="NOO28" s="1882"/>
      <c r="NOP28" s="1882"/>
      <c r="NOR28" s="1887"/>
      <c r="NOS28" s="1888"/>
      <c r="NOT28" s="1882"/>
      <c r="NOU28" s="1882"/>
      <c r="NOV28" s="1882"/>
      <c r="NOX28" s="1887"/>
      <c r="NOY28" s="1888"/>
      <c r="NOZ28" s="1882"/>
      <c r="NPA28" s="1882"/>
      <c r="NPB28" s="1882"/>
      <c r="NPD28" s="1887"/>
      <c r="NPE28" s="1888"/>
      <c r="NPF28" s="1882"/>
      <c r="NPG28" s="1882"/>
      <c r="NPH28" s="1882"/>
      <c r="NPJ28" s="1887"/>
      <c r="NPK28" s="1888"/>
      <c r="NPL28" s="1882"/>
      <c r="NPM28" s="1882"/>
      <c r="NPN28" s="1882"/>
      <c r="NPP28" s="1887"/>
      <c r="NPQ28" s="1888"/>
      <c r="NPR28" s="1882"/>
      <c r="NPS28" s="1882"/>
      <c r="NPT28" s="1882"/>
      <c r="NPV28" s="1887"/>
      <c r="NPW28" s="1888"/>
      <c r="NPX28" s="1882"/>
      <c r="NPY28" s="1882"/>
      <c r="NPZ28" s="1882"/>
      <c r="NQB28" s="1887"/>
      <c r="NQC28" s="1888"/>
      <c r="NQD28" s="1882"/>
      <c r="NQE28" s="1882"/>
      <c r="NQF28" s="1882"/>
      <c r="NQH28" s="1887"/>
      <c r="NQI28" s="1888"/>
      <c r="NQJ28" s="1882"/>
      <c r="NQK28" s="1882"/>
      <c r="NQL28" s="1882"/>
      <c r="NQN28" s="1887"/>
      <c r="NQO28" s="1888"/>
      <c r="NQP28" s="1882"/>
      <c r="NQQ28" s="1882"/>
      <c r="NQR28" s="1882"/>
      <c r="NQT28" s="1887"/>
      <c r="NQU28" s="1888"/>
      <c r="NQV28" s="1882"/>
      <c r="NQW28" s="1882"/>
      <c r="NQX28" s="1882"/>
      <c r="NQZ28" s="1887"/>
      <c r="NRA28" s="1888"/>
      <c r="NRB28" s="1882"/>
      <c r="NRC28" s="1882"/>
      <c r="NRD28" s="1882"/>
      <c r="NRF28" s="1887"/>
      <c r="NRG28" s="1888"/>
      <c r="NRH28" s="1882"/>
      <c r="NRI28" s="1882"/>
      <c r="NRJ28" s="1882"/>
      <c r="NRL28" s="1887"/>
      <c r="NRM28" s="1888"/>
      <c r="NRN28" s="1882"/>
      <c r="NRO28" s="1882"/>
      <c r="NRP28" s="1882"/>
      <c r="NRR28" s="1887"/>
      <c r="NRS28" s="1888"/>
      <c r="NRT28" s="1882"/>
      <c r="NRU28" s="1882"/>
      <c r="NRV28" s="1882"/>
      <c r="NRX28" s="1887"/>
      <c r="NRY28" s="1888"/>
      <c r="NRZ28" s="1882"/>
      <c r="NSA28" s="1882"/>
      <c r="NSB28" s="1882"/>
      <c r="NSD28" s="1887"/>
      <c r="NSE28" s="1888"/>
      <c r="NSF28" s="1882"/>
      <c r="NSG28" s="1882"/>
      <c r="NSH28" s="1882"/>
      <c r="NSJ28" s="1887"/>
      <c r="NSK28" s="1888"/>
      <c r="NSL28" s="1882"/>
      <c r="NSM28" s="1882"/>
      <c r="NSN28" s="1882"/>
      <c r="NSP28" s="1887"/>
      <c r="NSQ28" s="1888"/>
      <c r="NSR28" s="1882"/>
      <c r="NSS28" s="1882"/>
      <c r="NST28" s="1882"/>
      <c r="NSV28" s="1887"/>
      <c r="NSW28" s="1888"/>
      <c r="NSX28" s="1882"/>
      <c r="NSY28" s="1882"/>
      <c r="NSZ28" s="1882"/>
      <c r="NTB28" s="1887"/>
      <c r="NTC28" s="1888"/>
      <c r="NTD28" s="1882"/>
      <c r="NTE28" s="1882"/>
      <c r="NTF28" s="1882"/>
      <c r="NTH28" s="1887"/>
      <c r="NTI28" s="1888"/>
      <c r="NTJ28" s="1882"/>
      <c r="NTK28" s="1882"/>
      <c r="NTL28" s="1882"/>
      <c r="NTN28" s="1887"/>
      <c r="NTO28" s="1888"/>
      <c r="NTP28" s="1882"/>
      <c r="NTQ28" s="1882"/>
      <c r="NTR28" s="1882"/>
      <c r="NTT28" s="1887"/>
      <c r="NTU28" s="1888"/>
      <c r="NTV28" s="1882"/>
      <c r="NTW28" s="1882"/>
      <c r="NTX28" s="1882"/>
      <c r="NTZ28" s="1887"/>
      <c r="NUA28" s="1888"/>
      <c r="NUB28" s="1882"/>
      <c r="NUC28" s="1882"/>
      <c r="NUD28" s="1882"/>
      <c r="NUF28" s="1887"/>
      <c r="NUG28" s="1888"/>
      <c r="NUH28" s="1882"/>
      <c r="NUI28" s="1882"/>
      <c r="NUJ28" s="1882"/>
      <c r="NUL28" s="1887"/>
      <c r="NUM28" s="1888"/>
      <c r="NUN28" s="1882"/>
      <c r="NUO28" s="1882"/>
      <c r="NUP28" s="1882"/>
      <c r="NUR28" s="1887"/>
      <c r="NUS28" s="1888"/>
      <c r="NUT28" s="1882"/>
      <c r="NUU28" s="1882"/>
      <c r="NUV28" s="1882"/>
      <c r="NUX28" s="1887"/>
      <c r="NUY28" s="1888"/>
      <c r="NUZ28" s="1882"/>
      <c r="NVA28" s="1882"/>
      <c r="NVB28" s="1882"/>
      <c r="NVD28" s="1887"/>
      <c r="NVE28" s="1888"/>
      <c r="NVF28" s="1882"/>
      <c r="NVG28" s="1882"/>
      <c r="NVH28" s="1882"/>
      <c r="NVJ28" s="1887"/>
      <c r="NVK28" s="1888"/>
      <c r="NVL28" s="1882"/>
      <c r="NVM28" s="1882"/>
      <c r="NVN28" s="1882"/>
      <c r="NVP28" s="1887"/>
      <c r="NVQ28" s="1888"/>
      <c r="NVR28" s="1882"/>
      <c r="NVS28" s="1882"/>
      <c r="NVT28" s="1882"/>
      <c r="NVV28" s="1887"/>
      <c r="NVW28" s="1888"/>
      <c r="NVX28" s="1882"/>
      <c r="NVY28" s="1882"/>
      <c r="NVZ28" s="1882"/>
      <c r="NWB28" s="1887"/>
      <c r="NWC28" s="1888"/>
      <c r="NWD28" s="1882"/>
      <c r="NWE28" s="1882"/>
      <c r="NWF28" s="1882"/>
      <c r="NWH28" s="1887"/>
      <c r="NWI28" s="1888"/>
      <c r="NWJ28" s="1882"/>
      <c r="NWK28" s="1882"/>
      <c r="NWL28" s="1882"/>
      <c r="NWN28" s="1887"/>
      <c r="NWO28" s="1888"/>
      <c r="NWP28" s="1882"/>
      <c r="NWQ28" s="1882"/>
      <c r="NWR28" s="1882"/>
      <c r="NWT28" s="1887"/>
      <c r="NWU28" s="1888"/>
      <c r="NWV28" s="1882"/>
      <c r="NWW28" s="1882"/>
      <c r="NWX28" s="1882"/>
      <c r="NWZ28" s="1887"/>
      <c r="NXA28" s="1888"/>
      <c r="NXB28" s="1882"/>
      <c r="NXC28" s="1882"/>
      <c r="NXD28" s="1882"/>
      <c r="NXF28" s="1887"/>
      <c r="NXG28" s="1888"/>
      <c r="NXH28" s="1882"/>
      <c r="NXI28" s="1882"/>
      <c r="NXJ28" s="1882"/>
      <c r="NXL28" s="1887"/>
      <c r="NXM28" s="1888"/>
      <c r="NXN28" s="1882"/>
      <c r="NXO28" s="1882"/>
      <c r="NXP28" s="1882"/>
      <c r="NXR28" s="1887"/>
      <c r="NXS28" s="1888"/>
      <c r="NXT28" s="1882"/>
      <c r="NXU28" s="1882"/>
      <c r="NXV28" s="1882"/>
      <c r="NXX28" s="1887"/>
      <c r="NXY28" s="1888"/>
      <c r="NXZ28" s="1882"/>
      <c r="NYA28" s="1882"/>
      <c r="NYB28" s="1882"/>
      <c r="NYD28" s="1887"/>
      <c r="NYE28" s="1888"/>
      <c r="NYF28" s="1882"/>
      <c r="NYG28" s="1882"/>
      <c r="NYH28" s="1882"/>
      <c r="NYJ28" s="1887"/>
      <c r="NYK28" s="1888"/>
      <c r="NYL28" s="1882"/>
      <c r="NYM28" s="1882"/>
      <c r="NYN28" s="1882"/>
      <c r="NYP28" s="1887"/>
      <c r="NYQ28" s="1888"/>
      <c r="NYR28" s="1882"/>
      <c r="NYS28" s="1882"/>
      <c r="NYT28" s="1882"/>
      <c r="NYV28" s="1887"/>
      <c r="NYW28" s="1888"/>
      <c r="NYX28" s="1882"/>
      <c r="NYY28" s="1882"/>
      <c r="NYZ28" s="1882"/>
      <c r="NZB28" s="1887"/>
      <c r="NZC28" s="1888"/>
      <c r="NZD28" s="1882"/>
      <c r="NZE28" s="1882"/>
      <c r="NZF28" s="1882"/>
      <c r="NZH28" s="1887"/>
      <c r="NZI28" s="1888"/>
      <c r="NZJ28" s="1882"/>
      <c r="NZK28" s="1882"/>
      <c r="NZL28" s="1882"/>
      <c r="NZN28" s="1887"/>
      <c r="NZO28" s="1888"/>
      <c r="NZP28" s="1882"/>
      <c r="NZQ28" s="1882"/>
      <c r="NZR28" s="1882"/>
      <c r="NZT28" s="1887"/>
      <c r="NZU28" s="1888"/>
      <c r="NZV28" s="1882"/>
      <c r="NZW28" s="1882"/>
      <c r="NZX28" s="1882"/>
      <c r="NZZ28" s="1887"/>
      <c r="OAA28" s="1888"/>
      <c r="OAB28" s="1882"/>
      <c r="OAC28" s="1882"/>
      <c r="OAD28" s="1882"/>
      <c r="OAF28" s="1887"/>
      <c r="OAG28" s="1888"/>
      <c r="OAH28" s="1882"/>
      <c r="OAI28" s="1882"/>
      <c r="OAJ28" s="1882"/>
      <c r="OAL28" s="1887"/>
      <c r="OAM28" s="1888"/>
      <c r="OAN28" s="1882"/>
      <c r="OAO28" s="1882"/>
      <c r="OAP28" s="1882"/>
      <c r="OAR28" s="1887"/>
      <c r="OAS28" s="1888"/>
      <c r="OAT28" s="1882"/>
      <c r="OAU28" s="1882"/>
      <c r="OAV28" s="1882"/>
      <c r="OAX28" s="1887"/>
      <c r="OAY28" s="1888"/>
      <c r="OAZ28" s="1882"/>
      <c r="OBA28" s="1882"/>
      <c r="OBB28" s="1882"/>
      <c r="OBD28" s="1887"/>
      <c r="OBE28" s="1888"/>
      <c r="OBF28" s="1882"/>
      <c r="OBG28" s="1882"/>
      <c r="OBH28" s="1882"/>
      <c r="OBJ28" s="1887"/>
      <c r="OBK28" s="1888"/>
      <c r="OBL28" s="1882"/>
      <c r="OBM28" s="1882"/>
      <c r="OBN28" s="1882"/>
      <c r="OBP28" s="1887"/>
      <c r="OBQ28" s="1888"/>
      <c r="OBR28" s="1882"/>
      <c r="OBS28" s="1882"/>
      <c r="OBT28" s="1882"/>
      <c r="OBV28" s="1887"/>
      <c r="OBW28" s="1888"/>
      <c r="OBX28" s="1882"/>
      <c r="OBY28" s="1882"/>
      <c r="OBZ28" s="1882"/>
      <c r="OCB28" s="1887"/>
      <c r="OCC28" s="1888"/>
      <c r="OCD28" s="1882"/>
      <c r="OCE28" s="1882"/>
      <c r="OCF28" s="1882"/>
      <c r="OCH28" s="1887"/>
      <c r="OCI28" s="1888"/>
      <c r="OCJ28" s="1882"/>
      <c r="OCK28" s="1882"/>
      <c r="OCL28" s="1882"/>
      <c r="OCN28" s="1887"/>
      <c r="OCO28" s="1888"/>
      <c r="OCP28" s="1882"/>
      <c r="OCQ28" s="1882"/>
      <c r="OCR28" s="1882"/>
      <c r="OCT28" s="1887"/>
      <c r="OCU28" s="1888"/>
      <c r="OCV28" s="1882"/>
      <c r="OCW28" s="1882"/>
      <c r="OCX28" s="1882"/>
      <c r="OCZ28" s="1887"/>
      <c r="ODA28" s="1888"/>
      <c r="ODB28" s="1882"/>
      <c r="ODC28" s="1882"/>
      <c r="ODD28" s="1882"/>
      <c r="ODF28" s="1887"/>
      <c r="ODG28" s="1888"/>
      <c r="ODH28" s="1882"/>
      <c r="ODI28" s="1882"/>
      <c r="ODJ28" s="1882"/>
      <c r="ODL28" s="1887"/>
      <c r="ODM28" s="1888"/>
      <c r="ODN28" s="1882"/>
      <c r="ODO28" s="1882"/>
      <c r="ODP28" s="1882"/>
      <c r="ODR28" s="1887"/>
      <c r="ODS28" s="1888"/>
      <c r="ODT28" s="1882"/>
      <c r="ODU28" s="1882"/>
      <c r="ODV28" s="1882"/>
      <c r="ODX28" s="1887"/>
      <c r="ODY28" s="1888"/>
      <c r="ODZ28" s="1882"/>
      <c r="OEA28" s="1882"/>
      <c r="OEB28" s="1882"/>
      <c r="OED28" s="1887"/>
      <c r="OEE28" s="1888"/>
      <c r="OEF28" s="1882"/>
      <c r="OEG28" s="1882"/>
      <c r="OEH28" s="1882"/>
      <c r="OEJ28" s="1887"/>
      <c r="OEK28" s="1888"/>
      <c r="OEL28" s="1882"/>
      <c r="OEM28" s="1882"/>
      <c r="OEN28" s="1882"/>
      <c r="OEP28" s="1887"/>
      <c r="OEQ28" s="1888"/>
      <c r="OER28" s="1882"/>
      <c r="OES28" s="1882"/>
      <c r="OET28" s="1882"/>
      <c r="OEV28" s="1887"/>
      <c r="OEW28" s="1888"/>
      <c r="OEX28" s="1882"/>
      <c r="OEY28" s="1882"/>
      <c r="OEZ28" s="1882"/>
      <c r="OFB28" s="1887"/>
      <c r="OFC28" s="1888"/>
      <c r="OFD28" s="1882"/>
      <c r="OFE28" s="1882"/>
      <c r="OFF28" s="1882"/>
      <c r="OFH28" s="1887"/>
      <c r="OFI28" s="1888"/>
      <c r="OFJ28" s="1882"/>
      <c r="OFK28" s="1882"/>
      <c r="OFL28" s="1882"/>
      <c r="OFN28" s="1887"/>
      <c r="OFO28" s="1888"/>
      <c r="OFP28" s="1882"/>
      <c r="OFQ28" s="1882"/>
      <c r="OFR28" s="1882"/>
      <c r="OFT28" s="1887"/>
      <c r="OFU28" s="1888"/>
      <c r="OFV28" s="1882"/>
      <c r="OFW28" s="1882"/>
      <c r="OFX28" s="1882"/>
      <c r="OFZ28" s="1887"/>
      <c r="OGA28" s="1888"/>
      <c r="OGB28" s="1882"/>
      <c r="OGC28" s="1882"/>
      <c r="OGD28" s="1882"/>
      <c r="OGF28" s="1887"/>
      <c r="OGG28" s="1888"/>
      <c r="OGH28" s="1882"/>
      <c r="OGI28" s="1882"/>
      <c r="OGJ28" s="1882"/>
      <c r="OGL28" s="1887"/>
      <c r="OGM28" s="1888"/>
      <c r="OGN28" s="1882"/>
      <c r="OGO28" s="1882"/>
      <c r="OGP28" s="1882"/>
      <c r="OGR28" s="1887"/>
      <c r="OGS28" s="1888"/>
      <c r="OGT28" s="1882"/>
      <c r="OGU28" s="1882"/>
      <c r="OGV28" s="1882"/>
      <c r="OGX28" s="1887"/>
      <c r="OGY28" s="1888"/>
      <c r="OGZ28" s="1882"/>
      <c r="OHA28" s="1882"/>
      <c r="OHB28" s="1882"/>
      <c r="OHD28" s="1887"/>
      <c r="OHE28" s="1888"/>
      <c r="OHF28" s="1882"/>
      <c r="OHG28" s="1882"/>
      <c r="OHH28" s="1882"/>
      <c r="OHJ28" s="1887"/>
      <c r="OHK28" s="1888"/>
      <c r="OHL28" s="1882"/>
      <c r="OHM28" s="1882"/>
      <c r="OHN28" s="1882"/>
      <c r="OHP28" s="1887"/>
      <c r="OHQ28" s="1888"/>
      <c r="OHR28" s="1882"/>
      <c r="OHS28" s="1882"/>
      <c r="OHT28" s="1882"/>
      <c r="OHV28" s="1887"/>
      <c r="OHW28" s="1888"/>
      <c r="OHX28" s="1882"/>
      <c r="OHY28" s="1882"/>
      <c r="OHZ28" s="1882"/>
      <c r="OIB28" s="1887"/>
      <c r="OIC28" s="1888"/>
      <c r="OID28" s="1882"/>
      <c r="OIE28" s="1882"/>
      <c r="OIF28" s="1882"/>
      <c r="OIH28" s="1887"/>
      <c r="OII28" s="1888"/>
      <c r="OIJ28" s="1882"/>
      <c r="OIK28" s="1882"/>
      <c r="OIL28" s="1882"/>
      <c r="OIN28" s="1887"/>
      <c r="OIO28" s="1888"/>
      <c r="OIP28" s="1882"/>
      <c r="OIQ28" s="1882"/>
      <c r="OIR28" s="1882"/>
      <c r="OIT28" s="1887"/>
      <c r="OIU28" s="1888"/>
      <c r="OIV28" s="1882"/>
      <c r="OIW28" s="1882"/>
      <c r="OIX28" s="1882"/>
      <c r="OIZ28" s="1887"/>
      <c r="OJA28" s="1888"/>
      <c r="OJB28" s="1882"/>
      <c r="OJC28" s="1882"/>
      <c r="OJD28" s="1882"/>
      <c r="OJF28" s="1887"/>
      <c r="OJG28" s="1888"/>
      <c r="OJH28" s="1882"/>
      <c r="OJI28" s="1882"/>
      <c r="OJJ28" s="1882"/>
      <c r="OJL28" s="1887"/>
      <c r="OJM28" s="1888"/>
      <c r="OJN28" s="1882"/>
      <c r="OJO28" s="1882"/>
      <c r="OJP28" s="1882"/>
      <c r="OJR28" s="1887"/>
      <c r="OJS28" s="1888"/>
      <c r="OJT28" s="1882"/>
      <c r="OJU28" s="1882"/>
      <c r="OJV28" s="1882"/>
      <c r="OJX28" s="1887"/>
      <c r="OJY28" s="1888"/>
      <c r="OJZ28" s="1882"/>
      <c r="OKA28" s="1882"/>
      <c r="OKB28" s="1882"/>
      <c r="OKD28" s="1887"/>
      <c r="OKE28" s="1888"/>
      <c r="OKF28" s="1882"/>
      <c r="OKG28" s="1882"/>
      <c r="OKH28" s="1882"/>
      <c r="OKJ28" s="1887"/>
      <c r="OKK28" s="1888"/>
      <c r="OKL28" s="1882"/>
      <c r="OKM28" s="1882"/>
      <c r="OKN28" s="1882"/>
      <c r="OKP28" s="1887"/>
      <c r="OKQ28" s="1888"/>
      <c r="OKR28" s="1882"/>
      <c r="OKS28" s="1882"/>
      <c r="OKT28" s="1882"/>
      <c r="OKV28" s="1887"/>
      <c r="OKW28" s="1888"/>
      <c r="OKX28" s="1882"/>
      <c r="OKY28" s="1882"/>
      <c r="OKZ28" s="1882"/>
      <c r="OLB28" s="1887"/>
      <c r="OLC28" s="1888"/>
      <c r="OLD28" s="1882"/>
      <c r="OLE28" s="1882"/>
      <c r="OLF28" s="1882"/>
      <c r="OLH28" s="1887"/>
      <c r="OLI28" s="1888"/>
      <c r="OLJ28" s="1882"/>
      <c r="OLK28" s="1882"/>
      <c r="OLL28" s="1882"/>
      <c r="OLN28" s="1887"/>
      <c r="OLO28" s="1888"/>
      <c r="OLP28" s="1882"/>
      <c r="OLQ28" s="1882"/>
      <c r="OLR28" s="1882"/>
      <c r="OLT28" s="1887"/>
      <c r="OLU28" s="1888"/>
      <c r="OLV28" s="1882"/>
      <c r="OLW28" s="1882"/>
      <c r="OLX28" s="1882"/>
      <c r="OLZ28" s="1887"/>
      <c r="OMA28" s="1888"/>
      <c r="OMB28" s="1882"/>
      <c r="OMC28" s="1882"/>
      <c r="OMD28" s="1882"/>
      <c r="OMF28" s="1887"/>
      <c r="OMG28" s="1888"/>
      <c r="OMH28" s="1882"/>
      <c r="OMI28" s="1882"/>
      <c r="OMJ28" s="1882"/>
      <c r="OML28" s="1887"/>
      <c r="OMM28" s="1888"/>
      <c r="OMN28" s="1882"/>
      <c r="OMO28" s="1882"/>
      <c r="OMP28" s="1882"/>
      <c r="OMR28" s="1887"/>
      <c r="OMS28" s="1888"/>
      <c r="OMT28" s="1882"/>
      <c r="OMU28" s="1882"/>
      <c r="OMV28" s="1882"/>
      <c r="OMX28" s="1887"/>
      <c r="OMY28" s="1888"/>
      <c r="OMZ28" s="1882"/>
      <c r="ONA28" s="1882"/>
      <c r="ONB28" s="1882"/>
      <c r="OND28" s="1887"/>
      <c r="ONE28" s="1888"/>
      <c r="ONF28" s="1882"/>
      <c r="ONG28" s="1882"/>
      <c r="ONH28" s="1882"/>
      <c r="ONJ28" s="1887"/>
      <c r="ONK28" s="1888"/>
      <c r="ONL28" s="1882"/>
      <c r="ONM28" s="1882"/>
      <c r="ONN28" s="1882"/>
      <c r="ONP28" s="1887"/>
      <c r="ONQ28" s="1888"/>
      <c r="ONR28" s="1882"/>
      <c r="ONS28" s="1882"/>
      <c r="ONT28" s="1882"/>
      <c r="ONV28" s="1887"/>
      <c r="ONW28" s="1888"/>
      <c r="ONX28" s="1882"/>
      <c r="ONY28" s="1882"/>
      <c r="ONZ28" s="1882"/>
      <c r="OOB28" s="1887"/>
      <c r="OOC28" s="1888"/>
      <c r="OOD28" s="1882"/>
      <c r="OOE28" s="1882"/>
      <c r="OOF28" s="1882"/>
      <c r="OOH28" s="1887"/>
      <c r="OOI28" s="1888"/>
      <c r="OOJ28" s="1882"/>
      <c r="OOK28" s="1882"/>
      <c r="OOL28" s="1882"/>
      <c r="OON28" s="1887"/>
      <c r="OOO28" s="1888"/>
      <c r="OOP28" s="1882"/>
      <c r="OOQ28" s="1882"/>
      <c r="OOR28" s="1882"/>
      <c r="OOT28" s="1887"/>
      <c r="OOU28" s="1888"/>
      <c r="OOV28" s="1882"/>
      <c r="OOW28" s="1882"/>
      <c r="OOX28" s="1882"/>
      <c r="OOZ28" s="1887"/>
      <c r="OPA28" s="1888"/>
      <c r="OPB28" s="1882"/>
      <c r="OPC28" s="1882"/>
      <c r="OPD28" s="1882"/>
      <c r="OPF28" s="1887"/>
      <c r="OPG28" s="1888"/>
      <c r="OPH28" s="1882"/>
      <c r="OPI28" s="1882"/>
      <c r="OPJ28" s="1882"/>
      <c r="OPL28" s="1887"/>
      <c r="OPM28" s="1888"/>
      <c r="OPN28" s="1882"/>
      <c r="OPO28" s="1882"/>
      <c r="OPP28" s="1882"/>
      <c r="OPR28" s="1887"/>
      <c r="OPS28" s="1888"/>
      <c r="OPT28" s="1882"/>
      <c r="OPU28" s="1882"/>
      <c r="OPV28" s="1882"/>
      <c r="OPX28" s="1887"/>
      <c r="OPY28" s="1888"/>
      <c r="OPZ28" s="1882"/>
      <c r="OQA28" s="1882"/>
      <c r="OQB28" s="1882"/>
      <c r="OQD28" s="1887"/>
      <c r="OQE28" s="1888"/>
      <c r="OQF28" s="1882"/>
      <c r="OQG28" s="1882"/>
      <c r="OQH28" s="1882"/>
      <c r="OQJ28" s="1887"/>
      <c r="OQK28" s="1888"/>
      <c r="OQL28" s="1882"/>
      <c r="OQM28" s="1882"/>
      <c r="OQN28" s="1882"/>
      <c r="OQP28" s="1887"/>
      <c r="OQQ28" s="1888"/>
      <c r="OQR28" s="1882"/>
      <c r="OQS28" s="1882"/>
      <c r="OQT28" s="1882"/>
      <c r="OQV28" s="1887"/>
      <c r="OQW28" s="1888"/>
      <c r="OQX28" s="1882"/>
      <c r="OQY28" s="1882"/>
      <c r="OQZ28" s="1882"/>
      <c r="ORB28" s="1887"/>
      <c r="ORC28" s="1888"/>
      <c r="ORD28" s="1882"/>
      <c r="ORE28" s="1882"/>
      <c r="ORF28" s="1882"/>
      <c r="ORH28" s="1887"/>
      <c r="ORI28" s="1888"/>
      <c r="ORJ28" s="1882"/>
      <c r="ORK28" s="1882"/>
      <c r="ORL28" s="1882"/>
      <c r="ORN28" s="1887"/>
      <c r="ORO28" s="1888"/>
      <c r="ORP28" s="1882"/>
      <c r="ORQ28" s="1882"/>
      <c r="ORR28" s="1882"/>
      <c r="ORT28" s="1887"/>
      <c r="ORU28" s="1888"/>
      <c r="ORV28" s="1882"/>
      <c r="ORW28" s="1882"/>
      <c r="ORX28" s="1882"/>
      <c r="ORZ28" s="1887"/>
      <c r="OSA28" s="1888"/>
      <c r="OSB28" s="1882"/>
      <c r="OSC28" s="1882"/>
      <c r="OSD28" s="1882"/>
      <c r="OSF28" s="1887"/>
      <c r="OSG28" s="1888"/>
      <c r="OSH28" s="1882"/>
      <c r="OSI28" s="1882"/>
      <c r="OSJ28" s="1882"/>
      <c r="OSL28" s="1887"/>
      <c r="OSM28" s="1888"/>
      <c r="OSN28" s="1882"/>
      <c r="OSO28" s="1882"/>
      <c r="OSP28" s="1882"/>
      <c r="OSR28" s="1887"/>
      <c r="OSS28" s="1888"/>
      <c r="OST28" s="1882"/>
      <c r="OSU28" s="1882"/>
      <c r="OSV28" s="1882"/>
      <c r="OSX28" s="1887"/>
      <c r="OSY28" s="1888"/>
      <c r="OSZ28" s="1882"/>
      <c r="OTA28" s="1882"/>
      <c r="OTB28" s="1882"/>
      <c r="OTD28" s="1887"/>
      <c r="OTE28" s="1888"/>
      <c r="OTF28" s="1882"/>
      <c r="OTG28" s="1882"/>
      <c r="OTH28" s="1882"/>
      <c r="OTJ28" s="1887"/>
      <c r="OTK28" s="1888"/>
      <c r="OTL28" s="1882"/>
      <c r="OTM28" s="1882"/>
      <c r="OTN28" s="1882"/>
      <c r="OTP28" s="1887"/>
      <c r="OTQ28" s="1888"/>
      <c r="OTR28" s="1882"/>
      <c r="OTS28" s="1882"/>
      <c r="OTT28" s="1882"/>
      <c r="OTV28" s="1887"/>
      <c r="OTW28" s="1888"/>
      <c r="OTX28" s="1882"/>
      <c r="OTY28" s="1882"/>
      <c r="OTZ28" s="1882"/>
      <c r="OUB28" s="1887"/>
      <c r="OUC28" s="1888"/>
      <c r="OUD28" s="1882"/>
      <c r="OUE28" s="1882"/>
      <c r="OUF28" s="1882"/>
      <c r="OUH28" s="1887"/>
      <c r="OUI28" s="1888"/>
      <c r="OUJ28" s="1882"/>
      <c r="OUK28" s="1882"/>
      <c r="OUL28" s="1882"/>
      <c r="OUN28" s="1887"/>
      <c r="OUO28" s="1888"/>
      <c r="OUP28" s="1882"/>
      <c r="OUQ28" s="1882"/>
      <c r="OUR28" s="1882"/>
      <c r="OUT28" s="1887"/>
      <c r="OUU28" s="1888"/>
      <c r="OUV28" s="1882"/>
      <c r="OUW28" s="1882"/>
      <c r="OUX28" s="1882"/>
      <c r="OUZ28" s="1887"/>
      <c r="OVA28" s="1888"/>
      <c r="OVB28" s="1882"/>
      <c r="OVC28" s="1882"/>
      <c r="OVD28" s="1882"/>
      <c r="OVF28" s="1887"/>
      <c r="OVG28" s="1888"/>
      <c r="OVH28" s="1882"/>
      <c r="OVI28" s="1882"/>
      <c r="OVJ28" s="1882"/>
      <c r="OVL28" s="1887"/>
      <c r="OVM28" s="1888"/>
      <c r="OVN28" s="1882"/>
      <c r="OVO28" s="1882"/>
      <c r="OVP28" s="1882"/>
      <c r="OVR28" s="1887"/>
      <c r="OVS28" s="1888"/>
      <c r="OVT28" s="1882"/>
      <c r="OVU28" s="1882"/>
      <c r="OVV28" s="1882"/>
      <c r="OVX28" s="1887"/>
      <c r="OVY28" s="1888"/>
      <c r="OVZ28" s="1882"/>
      <c r="OWA28" s="1882"/>
      <c r="OWB28" s="1882"/>
      <c r="OWD28" s="1887"/>
      <c r="OWE28" s="1888"/>
      <c r="OWF28" s="1882"/>
      <c r="OWG28" s="1882"/>
      <c r="OWH28" s="1882"/>
      <c r="OWJ28" s="1887"/>
      <c r="OWK28" s="1888"/>
      <c r="OWL28" s="1882"/>
      <c r="OWM28" s="1882"/>
      <c r="OWN28" s="1882"/>
      <c r="OWP28" s="1887"/>
      <c r="OWQ28" s="1888"/>
      <c r="OWR28" s="1882"/>
      <c r="OWS28" s="1882"/>
      <c r="OWT28" s="1882"/>
      <c r="OWV28" s="1887"/>
      <c r="OWW28" s="1888"/>
      <c r="OWX28" s="1882"/>
      <c r="OWY28" s="1882"/>
      <c r="OWZ28" s="1882"/>
      <c r="OXB28" s="1887"/>
      <c r="OXC28" s="1888"/>
      <c r="OXD28" s="1882"/>
      <c r="OXE28" s="1882"/>
      <c r="OXF28" s="1882"/>
      <c r="OXH28" s="1887"/>
      <c r="OXI28" s="1888"/>
      <c r="OXJ28" s="1882"/>
      <c r="OXK28" s="1882"/>
      <c r="OXL28" s="1882"/>
      <c r="OXN28" s="1887"/>
      <c r="OXO28" s="1888"/>
      <c r="OXP28" s="1882"/>
      <c r="OXQ28" s="1882"/>
      <c r="OXR28" s="1882"/>
      <c r="OXT28" s="1887"/>
      <c r="OXU28" s="1888"/>
      <c r="OXV28" s="1882"/>
      <c r="OXW28" s="1882"/>
      <c r="OXX28" s="1882"/>
      <c r="OXZ28" s="1887"/>
      <c r="OYA28" s="1888"/>
      <c r="OYB28" s="1882"/>
      <c r="OYC28" s="1882"/>
      <c r="OYD28" s="1882"/>
      <c r="OYF28" s="1887"/>
      <c r="OYG28" s="1888"/>
      <c r="OYH28" s="1882"/>
      <c r="OYI28" s="1882"/>
      <c r="OYJ28" s="1882"/>
      <c r="OYL28" s="1887"/>
      <c r="OYM28" s="1888"/>
      <c r="OYN28" s="1882"/>
      <c r="OYO28" s="1882"/>
      <c r="OYP28" s="1882"/>
      <c r="OYR28" s="1887"/>
      <c r="OYS28" s="1888"/>
      <c r="OYT28" s="1882"/>
      <c r="OYU28" s="1882"/>
      <c r="OYV28" s="1882"/>
      <c r="OYX28" s="1887"/>
      <c r="OYY28" s="1888"/>
      <c r="OYZ28" s="1882"/>
      <c r="OZA28" s="1882"/>
      <c r="OZB28" s="1882"/>
      <c r="OZD28" s="1887"/>
      <c r="OZE28" s="1888"/>
      <c r="OZF28" s="1882"/>
      <c r="OZG28" s="1882"/>
      <c r="OZH28" s="1882"/>
      <c r="OZJ28" s="1887"/>
      <c r="OZK28" s="1888"/>
      <c r="OZL28" s="1882"/>
      <c r="OZM28" s="1882"/>
      <c r="OZN28" s="1882"/>
      <c r="OZP28" s="1887"/>
      <c r="OZQ28" s="1888"/>
      <c r="OZR28" s="1882"/>
      <c r="OZS28" s="1882"/>
      <c r="OZT28" s="1882"/>
      <c r="OZV28" s="1887"/>
      <c r="OZW28" s="1888"/>
      <c r="OZX28" s="1882"/>
      <c r="OZY28" s="1882"/>
      <c r="OZZ28" s="1882"/>
      <c r="PAB28" s="1887"/>
      <c r="PAC28" s="1888"/>
      <c r="PAD28" s="1882"/>
      <c r="PAE28" s="1882"/>
      <c r="PAF28" s="1882"/>
      <c r="PAH28" s="1887"/>
      <c r="PAI28" s="1888"/>
      <c r="PAJ28" s="1882"/>
      <c r="PAK28" s="1882"/>
      <c r="PAL28" s="1882"/>
      <c r="PAN28" s="1887"/>
      <c r="PAO28" s="1888"/>
      <c r="PAP28" s="1882"/>
      <c r="PAQ28" s="1882"/>
      <c r="PAR28" s="1882"/>
      <c r="PAT28" s="1887"/>
      <c r="PAU28" s="1888"/>
      <c r="PAV28" s="1882"/>
      <c r="PAW28" s="1882"/>
      <c r="PAX28" s="1882"/>
      <c r="PAZ28" s="1887"/>
      <c r="PBA28" s="1888"/>
      <c r="PBB28" s="1882"/>
      <c r="PBC28" s="1882"/>
      <c r="PBD28" s="1882"/>
      <c r="PBF28" s="1887"/>
      <c r="PBG28" s="1888"/>
      <c r="PBH28" s="1882"/>
      <c r="PBI28" s="1882"/>
      <c r="PBJ28" s="1882"/>
      <c r="PBL28" s="1887"/>
      <c r="PBM28" s="1888"/>
      <c r="PBN28" s="1882"/>
      <c r="PBO28" s="1882"/>
      <c r="PBP28" s="1882"/>
      <c r="PBR28" s="1887"/>
      <c r="PBS28" s="1888"/>
      <c r="PBT28" s="1882"/>
      <c r="PBU28" s="1882"/>
      <c r="PBV28" s="1882"/>
      <c r="PBX28" s="1887"/>
      <c r="PBY28" s="1888"/>
      <c r="PBZ28" s="1882"/>
      <c r="PCA28" s="1882"/>
      <c r="PCB28" s="1882"/>
      <c r="PCD28" s="1887"/>
      <c r="PCE28" s="1888"/>
      <c r="PCF28" s="1882"/>
      <c r="PCG28" s="1882"/>
      <c r="PCH28" s="1882"/>
      <c r="PCJ28" s="1887"/>
      <c r="PCK28" s="1888"/>
      <c r="PCL28" s="1882"/>
      <c r="PCM28" s="1882"/>
      <c r="PCN28" s="1882"/>
      <c r="PCP28" s="1887"/>
      <c r="PCQ28" s="1888"/>
      <c r="PCR28" s="1882"/>
      <c r="PCS28" s="1882"/>
      <c r="PCT28" s="1882"/>
      <c r="PCV28" s="1887"/>
      <c r="PCW28" s="1888"/>
      <c r="PCX28" s="1882"/>
      <c r="PCY28" s="1882"/>
      <c r="PCZ28" s="1882"/>
      <c r="PDB28" s="1887"/>
      <c r="PDC28" s="1888"/>
      <c r="PDD28" s="1882"/>
      <c r="PDE28" s="1882"/>
      <c r="PDF28" s="1882"/>
      <c r="PDH28" s="1887"/>
      <c r="PDI28" s="1888"/>
      <c r="PDJ28" s="1882"/>
      <c r="PDK28" s="1882"/>
      <c r="PDL28" s="1882"/>
      <c r="PDN28" s="1887"/>
      <c r="PDO28" s="1888"/>
      <c r="PDP28" s="1882"/>
      <c r="PDQ28" s="1882"/>
      <c r="PDR28" s="1882"/>
      <c r="PDT28" s="1887"/>
      <c r="PDU28" s="1888"/>
      <c r="PDV28" s="1882"/>
      <c r="PDW28" s="1882"/>
      <c r="PDX28" s="1882"/>
      <c r="PDZ28" s="1887"/>
      <c r="PEA28" s="1888"/>
      <c r="PEB28" s="1882"/>
      <c r="PEC28" s="1882"/>
      <c r="PED28" s="1882"/>
      <c r="PEF28" s="1887"/>
      <c r="PEG28" s="1888"/>
      <c r="PEH28" s="1882"/>
      <c r="PEI28" s="1882"/>
      <c r="PEJ28" s="1882"/>
      <c r="PEL28" s="1887"/>
      <c r="PEM28" s="1888"/>
      <c r="PEN28" s="1882"/>
      <c r="PEO28" s="1882"/>
      <c r="PEP28" s="1882"/>
      <c r="PER28" s="1887"/>
      <c r="PES28" s="1888"/>
      <c r="PET28" s="1882"/>
      <c r="PEU28" s="1882"/>
      <c r="PEV28" s="1882"/>
      <c r="PEX28" s="1887"/>
      <c r="PEY28" s="1888"/>
      <c r="PEZ28" s="1882"/>
      <c r="PFA28" s="1882"/>
      <c r="PFB28" s="1882"/>
      <c r="PFD28" s="1887"/>
      <c r="PFE28" s="1888"/>
      <c r="PFF28" s="1882"/>
      <c r="PFG28" s="1882"/>
      <c r="PFH28" s="1882"/>
      <c r="PFJ28" s="1887"/>
      <c r="PFK28" s="1888"/>
      <c r="PFL28" s="1882"/>
      <c r="PFM28" s="1882"/>
      <c r="PFN28" s="1882"/>
      <c r="PFP28" s="1887"/>
      <c r="PFQ28" s="1888"/>
      <c r="PFR28" s="1882"/>
      <c r="PFS28" s="1882"/>
      <c r="PFT28" s="1882"/>
      <c r="PFV28" s="1887"/>
      <c r="PFW28" s="1888"/>
      <c r="PFX28" s="1882"/>
      <c r="PFY28" s="1882"/>
      <c r="PFZ28" s="1882"/>
      <c r="PGB28" s="1887"/>
      <c r="PGC28" s="1888"/>
      <c r="PGD28" s="1882"/>
      <c r="PGE28" s="1882"/>
      <c r="PGF28" s="1882"/>
      <c r="PGH28" s="1887"/>
      <c r="PGI28" s="1888"/>
      <c r="PGJ28" s="1882"/>
      <c r="PGK28" s="1882"/>
      <c r="PGL28" s="1882"/>
      <c r="PGN28" s="1887"/>
      <c r="PGO28" s="1888"/>
      <c r="PGP28" s="1882"/>
      <c r="PGQ28" s="1882"/>
      <c r="PGR28" s="1882"/>
      <c r="PGT28" s="1887"/>
      <c r="PGU28" s="1888"/>
      <c r="PGV28" s="1882"/>
      <c r="PGW28" s="1882"/>
      <c r="PGX28" s="1882"/>
      <c r="PGZ28" s="1887"/>
      <c r="PHA28" s="1888"/>
      <c r="PHB28" s="1882"/>
      <c r="PHC28" s="1882"/>
      <c r="PHD28" s="1882"/>
      <c r="PHF28" s="1887"/>
      <c r="PHG28" s="1888"/>
      <c r="PHH28" s="1882"/>
      <c r="PHI28" s="1882"/>
      <c r="PHJ28" s="1882"/>
      <c r="PHL28" s="1887"/>
      <c r="PHM28" s="1888"/>
      <c r="PHN28" s="1882"/>
      <c r="PHO28" s="1882"/>
      <c r="PHP28" s="1882"/>
      <c r="PHR28" s="1887"/>
      <c r="PHS28" s="1888"/>
      <c r="PHT28" s="1882"/>
      <c r="PHU28" s="1882"/>
      <c r="PHV28" s="1882"/>
      <c r="PHX28" s="1887"/>
      <c r="PHY28" s="1888"/>
      <c r="PHZ28" s="1882"/>
      <c r="PIA28" s="1882"/>
      <c r="PIB28" s="1882"/>
      <c r="PID28" s="1887"/>
      <c r="PIE28" s="1888"/>
      <c r="PIF28" s="1882"/>
      <c r="PIG28" s="1882"/>
      <c r="PIH28" s="1882"/>
      <c r="PIJ28" s="1887"/>
      <c r="PIK28" s="1888"/>
      <c r="PIL28" s="1882"/>
      <c r="PIM28" s="1882"/>
      <c r="PIN28" s="1882"/>
      <c r="PIP28" s="1887"/>
      <c r="PIQ28" s="1888"/>
      <c r="PIR28" s="1882"/>
      <c r="PIS28" s="1882"/>
      <c r="PIT28" s="1882"/>
      <c r="PIV28" s="1887"/>
      <c r="PIW28" s="1888"/>
      <c r="PIX28" s="1882"/>
      <c r="PIY28" s="1882"/>
      <c r="PIZ28" s="1882"/>
      <c r="PJB28" s="1887"/>
      <c r="PJC28" s="1888"/>
      <c r="PJD28" s="1882"/>
      <c r="PJE28" s="1882"/>
      <c r="PJF28" s="1882"/>
      <c r="PJH28" s="1887"/>
      <c r="PJI28" s="1888"/>
      <c r="PJJ28" s="1882"/>
      <c r="PJK28" s="1882"/>
      <c r="PJL28" s="1882"/>
      <c r="PJN28" s="1887"/>
      <c r="PJO28" s="1888"/>
      <c r="PJP28" s="1882"/>
      <c r="PJQ28" s="1882"/>
      <c r="PJR28" s="1882"/>
      <c r="PJT28" s="1887"/>
      <c r="PJU28" s="1888"/>
      <c r="PJV28" s="1882"/>
      <c r="PJW28" s="1882"/>
      <c r="PJX28" s="1882"/>
      <c r="PJZ28" s="1887"/>
      <c r="PKA28" s="1888"/>
      <c r="PKB28" s="1882"/>
      <c r="PKC28" s="1882"/>
      <c r="PKD28" s="1882"/>
      <c r="PKF28" s="1887"/>
      <c r="PKG28" s="1888"/>
      <c r="PKH28" s="1882"/>
      <c r="PKI28" s="1882"/>
      <c r="PKJ28" s="1882"/>
      <c r="PKL28" s="1887"/>
      <c r="PKM28" s="1888"/>
      <c r="PKN28" s="1882"/>
      <c r="PKO28" s="1882"/>
      <c r="PKP28" s="1882"/>
      <c r="PKR28" s="1887"/>
      <c r="PKS28" s="1888"/>
      <c r="PKT28" s="1882"/>
      <c r="PKU28" s="1882"/>
      <c r="PKV28" s="1882"/>
      <c r="PKX28" s="1887"/>
      <c r="PKY28" s="1888"/>
      <c r="PKZ28" s="1882"/>
      <c r="PLA28" s="1882"/>
      <c r="PLB28" s="1882"/>
      <c r="PLD28" s="1887"/>
      <c r="PLE28" s="1888"/>
      <c r="PLF28" s="1882"/>
      <c r="PLG28" s="1882"/>
      <c r="PLH28" s="1882"/>
      <c r="PLJ28" s="1887"/>
      <c r="PLK28" s="1888"/>
      <c r="PLL28" s="1882"/>
      <c r="PLM28" s="1882"/>
      <c r="PLN28" s="1882"/>
      <c r="PLP28" s="1887"/>
      <c r="PLQ28" s="1888"/>
      <c r="PLR28" s="1882"/>
      <c r="PLS28" s="1882"/>
      <c r="PLT28" s="1882"/>
      <c r="PLV28" s="1887"/>
      <c r="PLW28" s="1888"/>
      <c r="PLX28" s="1882"/>
      <c r="PLY28" s="1882"/>
      <c r="PLZ28" s="1882"/>
      <c r="PMB28" s="1887"/>
      <c r="PMC28" s="1888"/>
      <c r="PMD28" s="1882"/>
      <c r="PME28" s="1882"/>
      <c r="PMF28" s="1882"/>
      <c r="PMH28" s="1887"/>
      <c r="PMI28" s="1888"/>
      <c r="PMJ28" s="1882"/>
      <c r="PMK28" s="1882"/>
      <c r="PML28" s="1882"/>
      <c r="PMN28" s="1887"/>
      <c r="PMO28" s="1888"/>
      <c r="PMP28" s="1882"/>
      <c r="PMQ28" s="1882"/>
      <c r="PMR28" s="1882"/>
      <c r="PMT28" s="1887"/>
      <c r="PMU28" s="1888"/>
      <c r="PMV28" s="1882"/>
      <c r="PMW28" s="1882"/>
      <c r="PMX28" s="1882"/>
      <c r="PMZ28" s="1887"/>
      <c r="PNA28" s="1888"/>
      <c r="PNB28" s="1882"/>
      <c r="PNC28" s="1882"/>
      <c r="PND28" s="1882"/>
      <c r="PNF28" s="1887"/>
      <c r="PNG28" s="1888"/>
      <c r="PNH28" s="1882"/>
      <c r="PNI28" s="1882"/>
      <c r="PNJ28" s="1882"/>
      <c r="PNL28" s="1887"/>
      <c r="PNM28" s="1888"/>
      <c r="PNN28" s="1882"/>
      <c r="PNO28" s="1882"/>
      <c r="PNP28" s="1882"/>
      <c r="PNR28" s="1887"/>
      <c r="PNS28" s="1888"/>
      <c r="PNT28" s="1882"/>
      <c r="PNU28" s="1882"/>
      <c r="PNV28" s="1882"/>
      <c r="PNX28" s="1887"/>
      <c r="PNY28" s="1888"/>
      <c r="PNZ28" s="1882"/>
      <c r="POA28" s="1882"/>
      <c r="POB28" s="1882"/>
      <c r="POD28" s="1887"/>
      <c r="POE28" s="1888"/>
      <c r="POF28" s="1882"/>
      <c r="POG28" s="1882"/>
      <c r="POH28" s="1882"/>
      <c r="POJ28" s="1887"/>
      <c r="POK28" s="1888"/>
      <c r="POL28" s="1882"/>
      <c r="POM28" s="1882"/>
      <c r="PON28" s="1882"/>
      <c r="POP28" s="1887"/>
      <c r="POQ28" s="1888"/>
      <c r="POR28" s="1882"/>
      <c r="POS28" s="1882"/>
      <c r="POT28" s="1882"/>
      <c r="POV28" s="1887"/>
      <c r="POW28" s="1888"/>
      <c r="POX28" s="1882"/>
      <c r="POY28" s="1882"/>
      <c r="POZ28" s="1882"/>
      <c r="PPB28" s="1887"/>
      <c r="PPC28" s="1888"/>
      <c r="PPD28" s="1882"/>
      <c r="PPE28" s="1882"/>
      <c r="PPF28" s="1882"/>
      <c r="PPH28" s="1887"/>
      <c r="PPI28" s="1888"/>
      <c r="PPJ28" s="1882"/>
      <c r="PPK28" s="1882"/>
      <c r="PPL28" s="1882"/>
      <c r="PPN28" s="1887"/>
      <c r="PPO28" s="1888"/>
      <c r="PPP28" s="1882"/>
      <c r="PPQ28" s="1882"/>
      <c r="PPR28" s="1882"/>
      <c r="PPT28" s="1887"/>
      <c r="PPU28" s="1888"/>
      <c r="PPV28" s="1882"/>
      <c r="PPW28" s="1882"/>
      <c r="PPX28" s="1882"/>
      <c r="PPZ28" s="1887"/>
      <c r="PQA28" s="1888"/>
      <c r="PQB28" s="1882"/>
      <c r="PQC28" s="1882"/>
      <c r="PQD28" s="1882"/>
      <c r="PQF28" s="1887"/>
      <c r="PQG28" s="1888"/>
      <c r="PQH28" s="1882"/>
      <c r="PQI28" s="1882"/>
      <c r="PQJ28" s="1882"/>
      <c r="PQL28" s="1887"/>
      <c r="PQM28" s="1888"/>
      <c r="PQN28" s="1882"/>
      <c r="PQO28" s="1882"/>
      <c r="PQP28" s="1882"/>
      <c r="PQR28" s="1887"/>
      <c r="PQS28" s="1888"/>
      <c r="PQT28" s="1882"/>
      <c r="PQU28" s="1882"/>
      <c r="PQV28" s="1882"/>
      <c r="PQX28" s="1887"/>
      <c r="PQY28" s="1888"/>
      <c r="PQZ28" s="1882"/>
      <c r="PRA28" s="1882"/>
      <c r="PRB28" s="1882"/>
      <c r="PRD28" s="1887"/>
      <c r="PRE28" s="1888"/>
      <c r="PRF28" s="1882"/>
      <c r="PRG28" s="1882"/>
      <c r="PRH28" s="1882"/>
      <c r="PRJ28" s="1887"/>
      <c r="PRK28" s="1888"/>
      <c r="PRL28" s="1882"/>
      <c r="PRM28" s="1882"/>
      <c r="PRN28" s="1882"/>
      <c r="PRP28" s="1887"/>
      <c r="PRQ28" s="1888"/>
      <c r="PRR28" s="1882"/>
      <c r="PRS28" s="1882"/>
      <c r="PRT28" s="1882"/>
      <c r="PRV28" s="1887"/>
      <c r="PRW28" s="1888"/>
      <c r="PRX28" s="1882"/>
      <c r="PRY28" s="1882"/>
      <c r="PRZ28" s="1882"/>
      <c r="PSB28" s="1887"/>
      <c r="PSC28" s="1888"/>
      <c r="PSD28" s="1882"/>
      <c r="PSE28" s="1882"/>
      <c r="PSF28" s="1882"/>
      <c r="PSH28" s="1887"/>
      <c r="PSI28" s="1888"/>
      <c r="PSJ28" s="1882"/>
      <c r="PSK28" s="1882"/>
      <c r="PSL28" s="1882"/>
      <c r="PSN28" s="1887"/>
      <c r="PSO28" s="1888"/>
      <c r="PSP28" s="1882"/>
      <c r="PSQ28" s="1882"/>
      <c r="PSR28" s="1882"/>
      <c r="PST28" s="1887"/>
      <c r="PSU28" s="1888"/>
      <c r="PSV28" s="1882"/>
      <c r="PSW28" s="1882"/>
      <c r="PSX28" s="1882"/>
      <c r="PSZ28" s="1887"/>
      <c r="PTA28" s="1888"/>
      <c r="PTB28" s="1882"/>
      <c r="PTC28" s="1882"/>
      <c r="PTD28" s="1882"/>
      <c r="PTF28" s="1887"/>
      <c r="PTG28" s="1888"/>
      <c r="PTH28" s="1882"/>
      <c r="PTI28" s="1882"/>
      <c r="PTJ28" s="1882"/>
      <c r="PTL28" s="1887"/>
      <c r="PTM28" s="1888"/>
      <c r="PTN28" s="1882"/>
      <c r="PTO28" s="1882"/>
      <c r="PTP28" s="1882"/>
      <c r="PTR28" s="1887"/>
      <c r="PTS28" s="1888"/>
      <c r="PTT28" s="1882"/>
      <c r="PTU28" s="1882"/>
      <c r="PTV28" s="1882"/>
      <c r="PTX28" s="1887"/>
      <c r="PTY28" s="1888"/>
      <c r="PTZ28" s="1882"/>
      <c r="PUA28" s="1882"/>
      <c r="PUB28" s="1882"/>
      <c r="PUD28" s="1887"/>
      <c r="PUE28" s="1888"/>
      <c r="PUF28" s="1882"/>
      <c r="PUG28" s="1882"/>
      <c r="PUH28" s="1882"/>
      <c r="PUJ28" s="1887"/>
      <c r="PUK28" s="1888"/>
      <c r="PUL28" s="1882"/>
      <c r="PUM28" s="1882"/>
      <c r="PUN28" s="1882"/>
      <c r="PUP28" s="1887"/>
      <c r="PUQ28" s="1888"/>
      <c r="PUR28" s="1882"/>
      <c r="PUS28" s="1882"/>
      <c r="PUT28" s="1882"/>
      <c r="PUV28" s="1887"/>
      <c r="PUW28" s="1888"/>
      <c r="PUX28" s="1882"/>
      <c r="PUY28" s="1882"/>
      <c r="PUZ28" s="1882"/>
      <c r="PVB28" s="1887"/>
      <c r="PVC28" s="1888"/>
      <c r="PVD28" s="1882"/>
      <c r="PVE28" s="1882"/>
      <c r="PVF28" s="1882"/>
      <c r="PVH28" s="1887"/>
      <c r="PVI28" s="1888"/>
      <c r="PVJ28" s="1882"/>
      <c r="PVK28" s="1882"/>
      <c r="PVL28" s="1882"/>
      <c r="PVN28" s="1887"/>
      <c r="PVO28" s="1888"/>
      <c r="PVP28" s="1882"/>
      <c r="PVQ28" s="1882"/>
      <c r="PVR28" s="1882"/>
      <c r="PVT28" s="1887"/>
      <c r="PVU28" s="1888"/>
      <c r="PVV28" s="1882"/>
      <c r="PVW28" s="1882"/>
      <c r="PVX28" s="1882"/>
      <c r="PVZ28" s="1887"/>
      <c r="PWA28" s="1888"/>
      <c r="PWB28" s="1882"/>
      <c r="PWC28" s="1882"/>
      <c r="PWD28" s="1882"/>
      <c r="PWF28" s="1887"/>
      <c r="PWG28" s="1888"/>
      <c r="PWH28" s="1882"/>
      <c r="PWI28" s="1882"/>
      <c r="PWJ28" s="1882"/>
      <c r="PWL28" s="1887"/>
      <c r="PWM28" s="1888"/>
      <c r="PWN28" s="1882"/>
      <c r="PWO28" s="1882"/>
      <c r="PWP28" s="1882"/>
      <c r="PWR28" s="1887"/>
      <c r="PWS28" s="1888"/>
      <c r="PWT28" s="1882"/>
      <c r="PWU28" s="1882"/>
      <c r="PWV28" s="1882"/>
      <c r="PWX28" s="1887"/>
      <c r="PWY28" s="1888"/>
      <c r="PWZ28" s="1882"/>
      <c r="PXA28" s="1882"/>
      <c r="PXB28" s="1882"/>
      <c r="PXD28" s="1887"/>
      <c r="PXE28" s="1888"/>
      <c r="PXF28" s="1882"/>
      <c r="PXG28" s="1882"/>
      <c r="PXH28" s="1882"/>
      <c r="PXJ28" s="1887"/>
      <c r="PXK28" s="1888"/>
      <c r="PXL28" s="1882"/>
      <c r="PXM28" s="1882"/>
      <c r="PXN28" s="1882"/>
      <c r="PXP28" s="1887"/>
      <c r="PXQ28" s="1888"/>
      <c r="PXR28" s="1882"/>
      <c r="PXS28" s="1882"/>
      <c r="PXT28" s="1882"/>
      <c r="PXV28" s="1887"/>
      <c r="PXW28" s="1888"/>
      <c r="PXX28" s="1882"/>
      <c r="PXY28" s="1882"/>
      <c r="PXZ28" s="1882"/>
      <c r="PYB28" s="1887"/>
      <c r="PYC28" s="1888"/>
      <c r="PYD28" s="1882"/>
      <c r="PYE28" s="1882"/>
      <c r="PYF28" s="1882"/>
      <c r="PYH28" s="1887"/>
      <c r="PYI28" s="1888"/>
      <c r="PYJ28" s="1882"/>
      <c r="PYK28" s="1882"/>
      <c r="PYL28" s="1882"/>
      <c r="PYN28" s="1887"/>
      <c r="PYO28" s="1888"/>
      <c r="PYP28" s="1882"/>
      <c r="PYQ28" s="1882"/>
      <c r="PYR28" s="1882"/>
      <c r="PYT28" s="1887"/>
      <c r="PYU28" s="1888"/>
      <c r="PYV28" s="1882"/>
      <c r="PYW28" s="1882"/>
      <c r="PYX28" s="1882"/>
      <c r="PYZ28" s="1887"/>
      <c r="PZA28" s="1888"/>
      <c r="PZB28" s="1882"/>
      <c r="PZC28" s="1882"/>
      <c r="PZD28" s="1882"/>
      <c r="PZF28" s="1887"/>
      <c r="PZG28" s="1888"/>
      <c r="PZH28" s="1882"/>
      <c r="PZI28" s="1882"/>
      <c r="PZJ28" s="1882"/>
      <c r="PZL28" s="1887"/>
      <c r="PZM28" s="1888"/>
      <c r="PZN28" s="1882"/>
      <c r="PZO28" s="1882"/>
      <c r="PZP28" s="1882"/>
      <c r="PZR28" s="1887"/>
      <c r="PZS28" s="1888"/>
      <c r="PZT28" s="1882"/>
      <c r="PZU28" s="1882"/>
      <c r="PZV28" s="1882"/>
      <c r="PZX28" s="1887"/>
      <c r="PZY28" s="1888"/>
      <c r="PZZ28" s="1882"/>
      <c r="QAA28" s="1882"/>
      <c r="QAB28" s="1882"/>
      <c r="QAD28" s="1887"/>
      <c r="QAE28" s="1888"/>
      <c r="QAF28" s="1882"/>
      <c r="QAG28" s="1882"/>
      <c r="QAH28" s="1882"/>
      <c r="QAJ28" s="1887"/>
      <c r="QAK28" s="1888"/>
      <c r="QAL28" s="1882"/>
      <c r="QAM28" s="1882"/>
      <c r="QAN28" s="1882"/>
      <c r="QAP28" s="1887"/>
      <c r="QAQ28" s="1888"/>
      <c r="QAR28" s="1882"/>
      <c r="QAS28" s="1882"/>
      <c r="QAT28" s="1882"/>
      <c r="QAV28" s="1887"/>
      <c r="QAW28" s="1888"/>
      <c r="QAX28" s="1882"/>
      <c r="QAY28" s="1882"/>
      <c r="QAZ28" s="1882"/>
      <c r="QBB28" s="1887"/>
      <c r="QBC28" s="1888"/>
      <c r="QBD28" s="1882"/>
      <c r="QBE28" s="1882"/>
      <c r="QBF28" s="1882"/>
      <c r="QBH28" s="1887"/>
      <c r="QBI28" s="1888"/>
      <c r="QBJ28" s="1882"/>
      <c r="QBK28" s="1882"/>
      <c r="QBL28" s="1882"/>
      <c r="QBN28" s="1887"/>
      <c r="QBO28" s="1888"/>
      <c r="QBP28" s="1882"/>
      <c r="QBQ28" s="1882"/>
      <c r="QBR28" s="1882"/>
      <c r="QBT28" s="1887"/>
      <c r="QBU28" s="1888"/>
      <c r="QBV28" s="1882"/>
      <c r="QBW28" s="1882"/>
      <c r="QBX28" s="1882"/>
      <c r="QBZ28" s="1887"/>
      <c r="QCA28" s="1888"/>
      <c r="QCB28" s="1882"/>
      <c r="QCC28" s="1882"/>
      <c r="QCD28" s="1882"/>
      <c r="QCF28" s="1887"/>
      <c r="QCG28" s="1888"/>
      <c r="QCH28" s="1882"/>
      <c r="QCI28" s="1882"/>
      <c r="QCJ28" s="1882"/>
      <c r="QCL28" s="1887"/>
      <c r="QCM28" s="1888"/>
      <c r="QCN28" s="1882"/>
      <c r="QCO28" s="1882"/>
      <c r="QCP28" s="1882"/>
      <c r="QCR28" s="1887"/>
      <c r="QCS28" s="1888"/>
      <c r="QCT28" s="1882"/>
      <c r="QCU28" s="1882"/>
      <c r="QCV28" s="1882"/>
      <c r="QCX28" s="1887"/>
      <c r="QCY28" s="1888"/>
      <c r="QCZ28" s="1882"/>
      <c r="QDA28" s="1882"/>
      <c r="QDB28" s="1882"/>
      <c r="QDD28" s="1887"/>
      <c r="QDE28" s="1888"/>
      <c r="QDF28" s="1882"/>
      <c r="QDG28" s="1882"/>
      <c r="QDH28" s="1882"/>
      <c r="QDJ28" s="1887"/>
      <c r="QDK28" s="1888"/>
      <c r="QDL28" s="1882"/>
      <c r="QDM28" s="1882"/>
      <c r="QDN28" s="1882"/>
      <c r="QDP28" s="1887"/>
      <c r="QDQ28" s="1888"/>
      <c r="QDR28" s="1882"/>
      <c r="QDS28" s="1882"/>
      <c r="QDT28" s="1882"/>
      <c r="QDV28" s="1887"/>
      <c r="QDW28" s="1888"/>
      <c r="QDX28" s="1882"/>
      <c r="QDY28" s="1882"/>
      <c r="QDZ28" s="1882"/>
      <c r="QEB28" s="1887"/>
      <c r="QEC28" s="1888"/>
      <c r="QED28" s="1882"/>
      <c r="QEE28" s="1882"/>
      <c r="QEF28" s="1882"/>
      <c r="QEH28" s="1887"/>
      <c r="QEI28" s="1888"/>
      <c r="QEJ28" s="1882"/>
      <c r="QEK28" s="1882"/>
      <c r="QEL28" s="1882"/>
      <c r="QEN28" s="1887"/>
      <c r="QEO28" s="1888"/>
      <c r="QEP28" s="1882"/>
      <c r="QEQ28" s="1882"/>
      <c r="QER28" s="1882"/>
      <c r="QET28" s="1887"/>
      <c r="QEU28" s="1888"/>
      <c r="QEV28" s="1882"/>
      <c r="QEW28" s="1882"/>
      <c r="QEX28" s="1882"/>
      <c r="QEZ28" s="1887"/>
      <c r="QFA28" s="1888"/>
      <c r="QFB28" s="1882"/>
      <c r="QFC28" s="1882"/>
      <c r="QFD28" s="1882"/>
      <c r="QFF28" s="1887"/>
      <c r="QFG28" s="1888"/>
      <c r="QFH28" s="1882"/>
      <c r="QFI28" s="1882"/>
      <c r="QFJ28" s="1882"/>
      <c r="QFL28" s="1887"/>
      <c r="QFM28" s="1888"/>
      <c r="QFN28" s="1882"/>
      <c r="QFO28" s="1882"/>
      <c r="QFP28" s="1882"/>
      <c r="QFR28" s="1887"/>
      <c r="QFS28" s="1888"/>
      <c r="QFT28" s="1882"/>
      <c r="QFU28" s="1882"/>
      <c r="QFV28" s="1882"/>
      <c r="QFX28" s="1887"/>
      <c r="QFY28" s="1888"/>
      <c r="QFZ28" s="1882"/>
      <c r="QGA28" s="1882"/>
      <c r="QGB28" s="1882"/>
      <c r="QGD28" s="1887"/>
      <c r="QGE28" s="1888"/>
      <c r="QGF28" s="1882"/>
      <c r="QGG28" s="1882"/>
      <c r="QGH28" s="1882"/>
      <c r="QGJ28" s="1887"/>
      <c r="QGK28" s="1888"/>
      <c r="QGL28" s="1882"/>
      <c r="QGM28" s="1882"/>
      <c r="QGN28" s="1882"/>
      <c r="QGP28" s="1887"/>
      <c r="QGQ28" s="1888"/>
      <c r="QGR28" s="1882"/>
      <c r="QGS28" s="1882"/>
      <c r="QGT28" s="1882"/>
      <c r="QGV28" s="1887"/>
      <c r="QGW28" s="1888"/>
      <c r="QGX28" s="1882"/>
      <c r="QGY28" s="1882"/>
      <c r="QGZ28" s="1882"/>
      <c r="QHB28" s="1887"/>
      <c r="QHC28" s="1888"/>
      <c r="QHD28" s="1882"/>
      <c r="QHE28" s="1882"/>
      <c r="QHF28" s="1882"/>
      <c r="QHH28" s="1887"/>
      <c r="QHI28" s="1888"/>
      <c r="QHJ28" s="1882"/>
      <c r="QHK28" s="1882"/>
      <c r="QHL28" s="1882"/>
      <c r="QHN28" s="1887"/>
      <c r="QHO28" s="1888"/>
      <c r="QHP28" s="1882"/>
      <c r="QHQ28" s="1882"/>
      <c r="QHR28" s="1882"/>
      <c r="QHT28" s="1887"/>
      <c r="QHU28" s="1888"/>
      <c r="QHV28" s="1882"/>
      <c r="QHW28" s="1882"/>
      <c r="QHX28" s="1882"/>
      <c r="QHZ28" s="1887"/>
      <c r="QIA28" s="1888"/>
      <c r="QIB28" s="1882"/>
      <c r="QIC28" s="1882"/>
      <c r="QID28" s="1882"/>
      <c r="QIF28" s="1887"/>
      <c r="QIG28" s="1888"/>
      <c r="QIH28" s="1882"/>
      <c r="QII28" s="1882"/>
      <c r="QIJ28" s="1882"/>
      <c r="QIL28" s="1887"/>
      <c r="QIM28" s="1888"/>
      <c r="QIN28" s="1882"/>
      <c r="QIO28" s="1882"/>
      <c r="QIP28" s="1882"/>
      <c r="QIR28" s="1887"/>
      <c r="QIS28" s="1888"/>
      <c r="QIT28" s="1882"/>
      <c r="QIU28" s="1882"/>
      <c r="QIV28" s="1882"/>
      <c r="QIX28" s="1887"/>
      <c r="QIY28" s="1888"/>
      <c r="QIZ28" s="1882"/>
      <c r="QJA28" s="1882"/>
      <c r="QJB28" s="1882"/>
      <c r="QJD28" s="1887"/>
      <c r="QJE28" s="1888"/>
      <c r="QJF28" s="1882"/>
      <c r="QJG28" s="1882"/>
      <c r="QJH28" s="1882"/>
      <c r="QJJ28" s="1887"/>
      <c r="QJK28" s="1888"/>
      <c r="QJL28" s="1882"/>
      <c r="QJM28" s="1882"/>
      <c r="QJN28" s="1882"/>
      <c r="QJP28" s="1887"/>
      <c r="QJQ28" s="1888"/>
      <c r="QJR28" s="1882"/>
      <c r="QJS28" s="1882"/>
      <c r="QJT28" s="1882"/>
      <c r="QJV28" s="1887"/>
      <c r="QJW28" s="1888"/>
      <c r="QJX28" s="1882"/>
      <c r="QJY28" s="1882"/>
      <c r="QJZ28" s="1882"/>
      <c r="QKB28" s="1887"/>
      <c r="QKC28" s="1888"/>
      <c r="QKD28" s="1882"/>
      <c r="QKE28" s="1882"/>
      <c r="QKF28" s="1882"/>
      <c r="QKH28" s="1887"/>
      <c r="QKI28" s="1888"/>
      <c r="QKJ28" s="1882"/>
      <c r="QKK28" s="1882"/>
      <c r="QKL28" s="1882"/>
      <c r="QKN28" s="1887"/>
      <c r="QKO28" s="1888"/>
      <c r="QKP28" s="1882"/>
      <c r="QKQ28" s="1882"/>
      <c r="QKR28" s="1882"/>
      <c r="QKT28" s="1887"/>
      <c r="QKU28" s="1888"/>
      <c r="QKV28" s="1882"/>
      <c r="QKW28" s="1882"/>
      <c r="QKX28" s="1882"/>
      <c r="QKZ28" s="1887"/>
      <c r="QLA28" s="1888"/>
      <c r="QLB28" s="1882"/>
      <c r="QLC28" s="1882"/>
      <c r="QLD28" s="1882"/>
      <c r="QLF28" s="1887"/>
      <c r="QLG28" s="1888"/>
      <c r="QLH28" s="1882"/>
      <c r="QLI28" s="1882"/>
      <c r="QLJ28" s="1882"/>
      <c r="QLL28" s="1887"/>
      <c r="QLM28" s="1888"/>
      <c r="QLN28" s="1882"/>
      <c r="QLO28" s="1882"/>
      <c r="QLP28" s="1882"/>
      <c r="QLR28" s="1887"/>
      <c r="QLS28" s="1888"/>
      <c r="QLT28" s="1882"/>
      <c r="QLU28" s="1882"/>
      <c r="QLV28" s="1882"/>
      <c r="QLX28" s="1887"/>
      <c r="QLY28" s="1888"/>
      <c r="QLZ28" s="1882"/>
      <c r="QMA28" s="1882"/>
      <c r="QMB28" s="1882"/>
      <c r="QMD28" s="1887"/>
      <c r="QME28" s="1888"/>
      <c r="QMF28" s="1882"/>
      <c r="QMG28" s="1882"/>
      <c r="QMH28" s="1882"/>
      <c r="QMJ28" s="1887"/>
      <c r="QMK28" s="1888"/>
      <c r="QML28" s="1882"/>
      <c r="QMM28" s="1882"/>
      <c r="QMN28" s="1882"/>
      <c r="QMP28" s="1887"/>
      <c r="QMQ28" s="1888"/>
      <c r="QMR28" s="1882"/>
      <c r="QMS28" s="1882"/>
      <c r="QMT28" s="1882"/>
      <c r="QMV28" s="1887"/>
      <c r="QMW28" s="1888"/>
      <c r="QMX28" s="1882"/>
      <c r="QMY28" s="1882"/>
      <c r="QMZ28" s="1882"/>
      <c r="QNB28" s="1887"/>
      <c r="QNC28" s="1888"/>
      <c r="QND28" s="1882"/>
      <c r="QNE28" s="1882"/>
      <c r="QNF28" s="1882"/>
      <c r="QNH28" s="1887"/>
      <c r="QNI28" s="1888"/>
      <c r="QNJ28" s="1882"/>
      <c r="QNK28" s="1882"/>
      <c r="QNL28" s="1882"/>
      <c r="QNN28" s="1887"/>
      <c r="QNO28" s="1888"/>
      <c r="QNP28" s="1882"/>
      <c r="QNQ28" s="1882"/>
      <c r="QNR28" s="1882"/>
      <c r="QNT28" s="1887"/>
      <c r="QNU28" s="1888"/>
      <c r="QNV28" s="1882"/>
      <c r="QNW28" s="1882"/>
      <c r="QNX28" s="1882"/>
      <c r="QNZ28" s="1887"/>
      <c r="QOA28" s="1888"/>
      <c r="QOB28" s="1882"/>
      <c r="QOC28" s="1882"/>
      <c r="QOD28" s="1882"/>
      <c r="QOF28" s="1887"/>
      <c r="QOG28" s="1888"/>
      <c r="QOH28" s="1882"/>
      <c r="QOI28" s="1882"/>
      <c r="QOJ28" s="1882"/>
      <c r="QOL28" s="1887"/>
      <c r="QOM28" s="1888"/>
      <c r="QON28" s="1882"/>
      <c r="QOO28" s="1882"/>
      <c r="QOP28" s="1882"/>
      <c r="QOR28" s="1887"/>
      <c r="QOS28" s="1888"/>
      <c r="QOT28" s="1882"/>
      <c r="QOU28" s="1882"/>
      <c r="QOV28" s="1882"/>
      <c r="QOX28" s="1887"/>
      <c r="QOY28" s="1888"/>
      <c r="QOZ28" s="1882"/>
      <c r="QPA28" s="1882"/>
      <c r="QPB28" s="1882"/>
      <c r="QPD28" s="1887"/>
      <c r="QPE28" s="1888"/>
      <c r="QPF28" s="1882"/>
      <c r="QPG28" s="1882"/>
      <c r="QPH28" s="1882"/>
      <c r="QPJ28" s="1887"/>
      <c r="QPK28" s="1888"/>
      <c r="QPL28" s="1882"/>
      <c r="QPM28" s="1882"/>
      <c r="QPN28" s="1882"/>
      <c r="QPP28" s="1887"/>
      <c r="QPQ28" s="1888"/>
      <c r="QPR28" s="1882"/>
      <c r="QPS28" s="1882"/>
      <c r="QPT28" s="1882"/>
      <c r="QPV28" s="1887"/>
      <c r="QPW28" s="1888"/>
      <c r="QPX28" s="1882"/>
      <c r="QPY28" s="1882"/>
      <c r="QPZ28" s="1882"/>
      <c r="QQB28" s="1887"/>
      <c r="QQC28" s="1888"/>
      <c r="QQD28" s="1882"/>
      <c r="QQE28" s="1882"/>
      <c r="QQF28" s="1882"/>
      <c r="QQH28" s="1887"/>
      <c r="QQI28" s="1888"/>
      <c r="QQJ28" s="1882"/>
      <c r="QQK28" s="1882"/>
      <c r="QQL28" s="1882"/>
      <c r="QQN28" s="1887"/>
      <c r="QQO28" s="1888"/>
      <c r="QQP28" s="1882"/>
      <c r="QQQ28" s="1882"/>
      <c r="QQR28" s="1882"/>
      <c r="QQT28" s="1887"/>
      <c r="QQU28" s="1888"/>
      <c r="QQV28" s="1882"/>
      <c r="QQW28" s="1882"/>
      <c r="QQX28" s="1882"/>
      <c r="QQZ28" s="1887"/>
      <c r="QRA28" s="1888"/>
      <c r="QRB28" s="1882"/>
      <c r="QRC28" s="1882"/>
      <c r="QRD28" s="1882"/>
      <c r="QRF28" s="1887"/>
      <c r="QRG28" s="1888"/>
      <c r="QRH28" s="1882"/>
      <c r="QRI28" s="1882"/>
      <c r="QRJ28" s="1882"/>
      <c r="QRL28" s="1887"/>
      <c r="QRM28" s="1888"/>
      <c r="QRN28" s="1882"/>
      <c r="QRO28" s="1882"/>
      <c r="QRP28" s="1882"/>
      <c r="QRR28" s="1887"/>
      <c r="QRS28" s="1888"/>
      <c r="QRT28" s="1882"/>
      <c r="QRU28" s="1882"/>
      <c r="QRV28" s="1882"/>
      <c r="QRX28" s="1887"/>
      <c r="QRY28" s="1888"/>
      <c r="QRZ28" s="1882"/>
      <c r="QSA28" s="1882"/>
      <c r="QSB28" s="1882"/>
      <c r="QSD28" s="1887"/>
      <c r="QSE28" s="1888"/>
      <c r="QSF28" s="1882"/>
      <c r="QSG28" s="1882"/>
      <c r="QSH28" s="1882"/>
      <c r="QSJ28" s="1887"/>
      <c r="QSK28" s="1888"/>
      <c r="QSL28" s="1882"/>
      <c r="QSM28" s="1882"/>
      <c r="QSN28" s="1882"/>
      <c r="QSP28" s="1887"/>
      <c r="QSQ28" s="1888"/>
      <c r="QSR28" s="1882"/>
      <c r="QSS28" s="1882"/>
      <c r="QST28" s="1882"/>
      <c r="QSV28" s="1887"/>
      <c r="QSW28" s="1888"/>
      <c r="QSX28" s="1882"/>
      <c r="QSY28" s="1882"/>
      <c r="QSZ28" s="1882"/>
      <c r="QTB28" s="1887"/>
      <c r="QTC28" s="1888"/>
      <c r="QTD28" s="1882"/>
      <c r="QTE28" s="1882"/>
      <c r="QTF28" s="1882"/>
      <c r="QTH28" s="1887"/>
      <c r="QTI28" s="1888"/>
      <c r="QTJ28" s="1882"/>
      <c r="QTK28" s="1882"/>
      <c r="QTL28" s="1882"/>
      <c r="QTN28" s="1887"/>
      <c r="QTO28" s="1888"/>
      <c r="QTP28" s="1882"/>
      <c r="QTQ28" s="1882"/>
      <c r="QTR28" s="1882"/>
      <c r="QTT28" s="1887"/>
      <c r="QTU28" s="1888"/>
      <c r="QTV28" s="1882"/>
      <c r="QTW28" s="1882"/>
      <c r="QTX28" s="1882"/>
      <c r="QTZ28" s="1887"/>
      <c r="QUA28" s="1888"/>
      <c r="QUB28" s="1882"/>
      <c r="QUC28" s="1882"/>
      <c r="QUD28" s="1882"/>
      <c r="QUF28" s="1887"/>
      <c r="QUG28" s="1888"/>
      <c r="QUH28" s="1882"/>
      <c r="QUI28" s="1882"/>
      <c r="QUJ28" s="1882"/>
      <c r="QUL28" s="1887"/>
      <c r="QUM28" s="1888"/>
      <c r="QUN28" s="1882"/>
      <c r="QUO28" s="1882"/>
      <c r="QUP28" s="1882"/>
      <c r="QUR28" s="1887"/>
      <c r="QUS28" s="1888"/>
      <c r="QUT28" s="1882"/>
      <c r="QUU28" s="1882"/>
      <c r="QUV28" s="1882"/>
      <c r="QUX28" s="1887"/>
      <c r="QUY28" s="1888"/>
      <c r="QUZ28" s="1882"/>
      <c r="QVA28" s="1882"/>
      <c r="QVB28" s="1882"/>
      <c r="QVD28" s="1887"/>
      <c r="QVE28" s="1888"/>
      <c r="QVF28" s="1882"/>
      <c r="QVG28" s="1882"/>
      <c r="QVH28" s="1882"/>
      <c r="QVJ28" s="1887"/>
      <c r="QVK28" s="1888"/>
      <c r="QVL28" s="1882"/>
      <c r="QVM28" s="1882"/>
      <c r="QVN28" s="1882"/>
      <c r="QVP28" s="1887"/>
      <c r="QVQ28" s="1888"/>
      <c r="QVR28" s="1882"/>
      <c r="QVS28" s="1882"/>
      <c r="QVT28" s="1882"/>
      <c r="QVV28" s="1887"/>
      <c r="QVW28" s="1888"/>
      <c r="QVX28" s="1882"/>
      <c r="QVY28" s="1882"/>
      <c r="QVZ28" s="1882"/>
      <c r="QWB28" s="1887"/>
      <c r="QWC28" s="1888"/>
      <c r="QWD28" s="1882"/>
      <c r="QWE28" s="1882"/>
      <c r="QWF28" s="1882"/>
      <c r="QWH28" s="1887"/>
      <c r="QWI28" s="1888"/>
      <c r="QWJ28" s="1882"/>
      <c r="QWK28" s="1882"/>
      <c r="QWL28" s="1882"/>
      <c r="QWN28" s="1887"/>
      <c r="QWO28" s="1888"/>
      <c r="QWP28" s="1882"/>
      <c r="QWQ28" s="1882"/>
      <c r="QWR28" s="1882"/>
      <c r="QWT28" s="1887"/>
      <c r="QWU28" s="1888"/>
      <c r="QWV28" s="1882"/>
      <c r="QWW28" s="1882"/>
      <c r="QWX28" s="1882"/>
      <c r="QWZ28" s="1887"/>
      <c r="QXA28" s="1888"/>
      <c r="QXB28" s="1882"/>
      <c r="QXC28" s="1882"/>
      <c r="QXD28" s="1882"/>
      <c r="QXF28" s="1887"/>
      <c r="QXG28" s="1888"/>
      <c r="QXH28" s="1882"/>
      <c r="QXI28" s="1882"/>
      <c r="QXJ28" s="1882"/>
      <c r="QXL28" s="1887"/>
      <c r="QXM28" s="1888"/>
      <c r="QXN28" s="1882"/>
      <c r="QXO28" s="1882"/>
      <c r="QXP28" s="1882"/>
      <c r="QXR28" s="1887"/>
      <c r="QXS28" s="1888"/>
      <c r="QXT28" s="1882"/>
      <c r="QXU28" s="1882"/>
      <c r="QXV28" s="1882"/>
      <c r="QXX28" s="1887"/>
      <c r="QXY28" s="1888"/>
      <c r="QXZ28" s="1882"/>
      <c r="QYA28" s="1882"/>
      <c r="QYB28" s="1882"/>
      <c r="QYD28" s="1887"/>
      <c r="QYE28" s="1888"/>
      <c r="QYF28" s="1882"/>
      <c r="QYG28" s="1882"/>
      <c r="QYH28" s="1882"/>
      <c r="QYJ28" s="1887"/>
      <c r="QYK28" s="1888"/>
      <c r="QYL28" s="1882"/>
      <c r="QYM28" s="1882"/>
      <c r="QYN28" s="1882"/>
      <c r="QYP28" s="1887"/>
      <c r="QYQ28" s="1888"/>
      <c r="QYR28" s="1882"/>
      <c r="QYS28" s="1882"/>
      <c r="QYT28" s="1882"/>
      <c r="QYV28" s="1887"/>
      <c r="QYW28" s="1888"/>
      <c r="QYX28" s="1882"/>
      <c r="QYY28" s="1882"/>
      <c r="QYZ28" s="1882"/>
      <c r="QZB28" s="1887"/>
      <c r="QZC28" s="1888"/>
      <c r="QZD28" s="1882"/>
      <c r="QZE28" s="1882"/>
      <c r="QZF28" s="1882"/>
      <c r="QZH28" s="1887"/>
      <c r="QZI28" s="1888"/>
      <c r="QZJ28" s="1882"/>
      <c r="QZK28" s="1882"/>
      <c r="QZL28" s="1882"/>
      <c r="QZN28" s="1887"/>
      <c r="QZO28" s="1888"/>
      <c r="QZP28" s="1882"/>
      <c r="QZQ28" s="1882"/>
      <c r="QZR28" s="1882"/>
      <c r="QZT28" s="1887"/>
      <c r="QZU28" s="1888"/>
      <c r="QZV28" s="1882"/>
      <c r="QZW28" s="1882"/>
      <c r="QZX28" s="1882"/>
      <c r="QZZ28" s="1887"/>
      <c r="RAA28" s="1888"/>
      <c r="RAB28" s="1882"/>
      <c r="RAC28" s="1882"/>
      <c r="RAD28" s="1882"/>
      <c r="RAF28" s="1887"/>
      <c r="RAG28" s="1888"/>
      <c r="RAH28" s="1882"/>
      <c r="RAI28" s="1882"/>
      <c r="RAJ28" s="1882"/>
      <c r="RAL28" s="1887"/>
      <c r="RAM28" s="1888"/>
      <c r="RAN28" s="1882"/>
      <c r="RAO28" s="1882"/>
      <c r="RAP28" s="1882"/>
      <c r="RAR28" s="1887"/>
      <c r="RAS28" s="1888"/>
      <c r="RAT28" s="1882"/>
      <c r="RAU28" s="1882"/>
      <c r="RAV28" s="1882"/>
      <c r="RAX28" s="1887"/>
      <c r="RAY28" s="1888"/>
      <c r="RAZ28" s="1882"/>
      <c r="RBA28" s="1882"/>
      <c r="RBB28" s="1882"/>
      <c r="RBD28" s="1887"/>
      <c r="RBE28" s="1888"/>
      <c r="RBF28" s="1882"/>
      <c r="RBG28" s="1882"/>
      <c r="RBH28" s="1882"/>
      <c r="RBJ28" s="1887"/>
      <c r="RBK28" s="1888"/>
      <c r="RBL28" s="1882"/>
      <c r="RBM28" s="1882"/>
      <c r="RBN28" s="1882"/>
      <c r="RBP28" s="1887"/>
      <c r="RBQ28" s="1888"/>
      <c r="RBR28" s="1882"/>
      <c r="RBS28" s="1882"/>
      <c r="RBT28" s="1882"/>
      <c r="RBV28" s="1887"/>
      <c r="RBW28" s="1888"/>
      <c r="RBX28" s="1882"/>
      <c r="RBY28" s="1882"/>
      <c r="RBZ28" s="1882"/>
      <c r="RCB28" s="1887"/>
      <c r="RCC28" s="1888"/>
      <c r="RCD28" s="1882"/>
      <c r="RCE28" s="1882"/>
      <c r="RCF28" s="1882"/>
      <c r="RCH28" s="1887"/>
      <c r="RCI28" s="1888"/>
      <c r="RCJ28" s="1882"/>
      <c r="RCK28" s="1882"/>
      <c r="RCL28" s="1882"/>
      <c r="RCN28" s="1887"/>
      <c r="RCO28" s="1888"/>
      <c r="RCP28" s="1882"/>
      <c r="RCQ28" s="1882"/>
      <c r="RCR28" s="1882"/>
      <c r="RCT28" s="1887"/>
      <c r="RCU28" s="1888"/>
      <c r="RCV28" s="1882"/>
      <c r="RCW28" s="1882"/>
      <c r="RCX28" s="1882"/>
      <c r="RCZ28" s="1887"/>
      <c r="RDA28" s="1888"/>
      <c r="RDB28" s="1882"/>
      <c r="RDC28" s="1882"/>
      <c r="RDD28" s="1882"/>
      <c r="RDF28" s="1887"/>
      <c r="RDG28" s="1888"/>
      <c r="RDH28" s="1882"/>
      <c r="RDI28" s="1882"/>
      <c r="RDJ28" s="1882"/>
      <c r="RDL28" s="1887"/>
      <c r="RDM28" s="1888"/>
      <c r="RDN28" s="1882"/>
      <c r="RDO28" s="1882"/>
      <c r="RDP28" s="1882"/>
      <c r="RDR28" s="1887"/>
      <c r="RDS28" s="1888"/>
      <c r="RDT28" s="1882"/>
      <c r="RDU28" s="1882"/>
      <c r="RDV28" s="1882"/>
      <c r="RDX28" s="1887"/>
      <c r="RDY28" s="1888"/>
      <c r="RDZ28" s="1882"/>
      <c r="REA28" s="1882"/>
      <c r="REB28" s="1882"/>
      <c r="RED28" s="1887"/>
      <c r="REE28" s="1888"/>
      <c r="REF28" s="1882"/>
      <c r="REG28" s="1882"/>
      <c r="REH28" s="1882"/>
      <c r="REJ28" s="1887"/>
      <c r="REK28" s="1888"/>
      <c r="REL28" s="1882"/>
      <c r="REM28" s="1882"/>
      <c r="REN28" s="1882"/>
      <c r="REP28" s="1887"/>
      <c r="REQ28" s="1888"/>
      <c r="RER28" s="1882"/>
      <c r="RES28" s="1882"/>
      <c r="RET28" s="1882"/>
      <c r="REV28" s="1887"/>
      <c r="REW28" s="1888"/>
      <c r="REX28" s="1882"/>
      <c r="REY28" s="1882"/>
      <c r="REZ28" s="1882"/>
      <c r="RFB28" s="1887"/>
      <c r="RFC28" s="1888"/>
      <c r="RFD28" s="1882"/>
      <c r="RFE28" s="1882"/>
      <c r="RFF28" s="1882"/>
      <c r="RFH28" s="1887"/>
      <c r="RFI28" s="1888"/>
      <c r="RFJ28" s="1882"/>
      <c r="RFK28" s="1882"/>
      <c r="RFL28" s="1882"/>
      <c r="RFN28" s="1887"/>
      <c r="RFO28" s="1888"/>
      <c r="RFP28" s="1882"/>
      <c r="RFQ28" s="1882"/>
      <c r="RFR28" s="1882"/>
      <c r="RFT28" s="1887"/>
      <c r="RFU28" s="1888"/>
      <c r="RFV28" s="1882"/>
      <c r="RFW28" s="1882"/>
      <c r="RFX28" s="1882"/>
      <c r="RFZ28" s="1887"/>
      <c r="RGA28" s="1888"/>
      <c r="RGB28" s="1882"/>
      <c r="RGC28" s="1882"/>
      <c r="RGD28" s="1882"/>
      <c r="RGF28" s="1887"/>
      <c r="RGG28" s="1888"/>
      <c r="RGH28" s="1882"/>
      <c r="RGI28" s="1882"/>
      <c r="RGJ28" s="1882"/>
      <c r="RGL28" s="1887"/>
      <c r="RGM28" s="1888"/>
      <c r="RGN28" s="1882"/>
      <c r="RGO28" s="1882"/>
      <c r="RGP28" s="1882"/>
      <c r="RGR28" s="1887"/>
      <c r="RGS28" s="1888"/>
      <c r="RGT28" s="1882"/>
      <c r="RGU28" s="1882"/>
      <c r="RGV28" s="1882"/>
      <c r="RGX28" s="1887"/>
      <c r="RGY28" s="1888"/>
      <c r="RGZ28" s="1882"/>
      <c r="RHA28" s="1882"/>
      <c r="RHB28" s="1882"/>
      <c r="RHD28" s="1887"/>
      <c r="RHE28" s="1888"/>
      <c r="RHF28" s="1882"/>
      <c r="RHG28" s="1882"/>
      <c r="RHH28" s="1882"/>
      <c r="RHJ28" s="1887"/>
      <c r="RHK28" s="1888"/>
      <c r="RHL28" s="1882"/>
      <c r="RHM28" s="1882"/>
      <c r="RHN28" s="1882"/>
      <c r="RHP28" s="1887"/>
      <c r="RHQ28" s="1888"/>
      <c r="RHR28" s="1882"/>
      <c r="RHS28" s="1882"/>
      <c r="RHT28" s="1882"/>
      <c r="RHV28" s="1887"/>
      <c r="RHW28" s="1888"/>
      <c r="RHX28" s="1882"/>
      <c r="RHY28" s="1882"/>
      <c r="RHZ28" s="1882"/>
      <c r="RIB28" s="1887"/>
      <c r="RIC28" s="1888"/>
      <c r="RID28" s="1882"/>
      <c r="RIE28" s="1882"/>
      <c r="RIF28" s="1882"/>
      <c r="RIH28" s="1887"/>
      <c r="RII28" s="1888"/>
      <c r="RIJ28" s="1882"/>
      <c r="RIK28" s="1882"/>
      <c r="RIL28" s="1882"/>
      <c r="RIN28" s="1887"/>
      <c r="RIO28" s="1888"/>
      <c r="RIP28" s="1882"/>
      <c r="RIQ28" s="1882"/>
      <c r="RIR28" s="1882"/>
      <c r="RIT28" s="1887"/>
      <c r="RIU28" s="1888"/>
      <c r="RIV28" s="1882"/>
      <c r="RIW28" s="1882"/>
      <c r="RIX28" s="1882"/>
      <c r="RIZ28" s="1887"/>
      <c r="RJA28" s="1888"/>
      <c r="RJB28" s="1882"/>
      <c r="RJC28" s="1882"/>
      <c r="RJD28" s="1882"/>
      <c r="RJF28" s="1887"/>
      <c r="RJG28" s="1888"/>
      <c r="RJH28" s="1882"/>
      <c r="RJI28" s="1882"/>
      <c r="RJJ28" s="1882"/>
      <c r="RJL28" s="1887"/>
      <c r="RJM28" s="1888"/>
      <c r="RJN28" s="1882"/>
      <c r="RJO28" s="1882"/>
      <c r="RJP28" s="1882"/>
      <c r="RJR28" s="1887"/>
      <c r="RJS28" s="1888"/>
      <c r="RJT28" s="1882"/>
      <c r="RJU28" s="1882"/>
      <c r="RJV28" s="1882"/>
      <c r="RJX28" s="1887"/>
      <c r="RJY28" s="1888"/>
      <c r="RJZ28" s="1882"/>
      <c r="RKA28" s="1882"/>
      <c r="RKB28" s="1882"/>
      <c r="RKD28" s="1887"/>
      <c r="RKE28" s="1888"/>
      <c r="RKF28" s="1882"/>
      <c r="RKG28" s="1882"/>
      <c r="RKH28" s="1882"/>
      <c r="RKJ28" s="1887"/>
      <c r="RKK28" s="1888"/>
      <c r="RKL28" s="1882"/>
      <c r="RKM28" s="1882"/>
      <c r="RKN28" s="1882"/>
      <c r="RKP28" s="1887"/>
      <c r="RKQ28" s="1888"/>
      <c r="RKR28" s="1882"/>
      <c r="RKS28" s="1882"/>
      <c r="RKT28" s="1882"/>
      <c r="RKV28" s="1887"/>
      <c r="RKW28" s="1888"/>
      <c r="RKX28" s="1882"/>
      <c r="RKY28" s="1882"/>
      <c r="RKZ28" s="1882"/>
      <c r="RLB28" s="1887"/>
      <c r="RLC28" s="1888"/>
      <c r="RLD28" s="1882"/>
      <c r="RLE28" s="1882"/>
      <c r="RLF28" s="1882"/>
      <c r="RLH28" s="1887"/>
      <c r="RLI28" s="1888"/>
      <c r="RLJ28" s="1882"/>
      <c r="RLK28" s="1882"/>
      <c r="RLL28" s="1882"/>
      <c r="RLN28" s="1887"/>
      <c r="RLO28" s="1888"/>
      <c r="RLP28" s="1882"/>
      <c r="RLQ28" s="1882"/>
      <c r="RLR28" s="1882"/>
      <c r="RLT28" s="1887"/>
      <c r="RLU28" s="1888"/>
      <c r="RLV28" s="1882"/>
      <c r="RLW28" s="1882"/>
      <c r="RLX28" s="1882"/>
      <c r="RLZ28" s="1887"/>
      <c r="RMA28" s="1888"/>
      <c r="RMB28" s="1882"/>
      <c r="RMC28" s="1882"/>
      <c r="RMD28" s="1882"/>
      <c r="RMF28" s="1887"/>
      <c r="RMG28" s="1888"/>
      <c r="RMH28" s="1882"/>
      <c r="RMI28" s="1882"/>
      <c r="RMJ28" s="1882"/>
      <c r="RML28" s="1887"/>
      <c r="RMM28" s="1888"/>
      <c r="RMN28" s="1882"/>
      <c r="RMO28" s="1882"/>
      <c r="RMP28" s="1882"/>
      <c r="RMR28" s="1887"/>
      <c r="RMS28" s="1888"/>
      <c r="RMT28" s="1882"/>
      <c r="RMU28" s="1882"/>
      <c r="RMV28" s="1882"/>
      <c r="RMX28" s="1887"/>
      <c r="RMY28" s="1888"/>
      <c r="RMZ28" s="1882"/>
      <c r="RNA28" s="1882"/>
      <c r="RNB28" s="1882"/>
      <c r="RND28" s="1887"/>
      <c r="RNE28" s="1888"/>
      <c r="RNF28" s="1882"/>
      <c r="RNG28" s="1882"/>
      <c r="RNH28" s="1882"/>
      <c r="RNJ28" s="1887"/>
      <c r="RNK28" s="1888"/>
      <c r="RNL28" s="1882"/>
      <c r="RNM28" s="1882"/>
      <c r="RNN28" s="1882"/>
      <c r="RNP28" s="1887"/>
      <c r="RNQ28" s="1888"/>
      <c r="RNR28" s="1882"/>
      <c r="RNS28" s="1882"/>
      <c r="RNT28" s="1882"/>
      <c r="RNV28" s="1887"/>
      <c r="RNW28" s="1888"/>
      <c r="RNX28" s="1882"/>
      <c r="RNY28" s="1882"/>
      <c r="RNZ28" s="1882"/>
      <c r="ROB28" s="1887"/>
      <c r="ROC28" s="1888"/>
      <c r="ROD28" s="1882"/>
      <c r="ROE28" s="1882"/>
      <c r="ROF28" s="1882"/>
      <c r="ROH28" s="1887"/>
      <c r="ROI28" s="1888"/>
      <c r="ROJ28" s="1882"/>
      <c r="ROK28" s="1882"/>
      <c r="ROL28" s="1882"/>
      <c r="RON28" s="1887"/>
      <c r="ROO28" s="1888"/>
      <c r="ROP28" s="1882"/>
      <c r="ROQ28" s="1882"/>
      <c r="ROR28" s="1882"/>
      <c r="ROT28" s="1887"/>
      <c r="ROU28" s="1888"/>
      <c r="ROV28" s="1882"/>
      <c r="ROW28" s="1882"/>
      <c r="ROX28" s="1882"/>
      <c r="ROZ28" s="1887"/>
      <c r="RPA28" s="1888"/>
      <c r="RPB28" s="1882"/>
      <c r="RPC28" s="1882"/>
      <c r="RPD28" s="1882"/>
      <c r="RPF28" s="1887"/>
      <c r="RPG28" s="1888"/>
      <c r="RPH28" s="1882"/>
      <c r="RPI28" s="1882"/>
      <c r="RPJ28" s="1882"/>
      <c r="RPL28" s="1887"/>
      <c r="RPM28" s="1888"/>
      <c r="RPN28" s="1882"/>
      <c r="RPO28" s="1882"/>
      <c r="RPP28" s="1882"/>
      <c r="RPR28" s="1887"/>
      <c r="RPS28" s="1888"/>
      <c r="RPT28" s="1882"/>
      <c r="RPU28" s="1882"/>
      <c r="RPV28" s="1882"/>
      <c r="RPX28" s="1887"/>
      <c r="RPY28" s="1888"/>
      <c r="RPZ28" s="1882"/>
      <c r="RQA28" s="1882"/>
      <c r="RQB28" s="1882"/>
      <c r="RQD28" s="1887"/>
      <c r="RQE28" s="1888"/>
      <c r="RQF28" s="1882"/>
      <c r="RQG28" s="1882"/>
      <c r="RQH28" s="1882"/>
      <c r="RQJ28" s="1887"/>
      <c r="RQK28" s="1888"/>
      <c r="RQL28" s="1882"/>
      <c r="RQM28" s="1882"/>
      <c r="RQN28" s="1882"/>
      <c r="RQP28" s="1887"/>
      <c r="RQQ28" s="1888"/>
      <c r="RQR28" s="1882"/>
      <c r="RQS28" s="1882"/>
      <c r="RQT28" s="1882"/>
      <c r="RQV28" s="1887"/>
      <c r="RQW28" s="1888"/>
      <c r="RQX28" s="1882"/>
      <c r="RQY28" s="1882"/>
      <c r="RQZ28" s="1882"/>
      <c r="RRB28" s="1887"/>
      <c r="RRC28" s="1888"/>
      <c r="RRD28" s="1882"/>
      <c r="RRE28" s="1882"/>
      <c r="RRF28" s="1882"/>
      <c r="RRH28" s="1887"/>
      <c r="RRI28" s="1888"/>
      <c r="RRJ28" s="1882"/>
      <c r="RRK28" s="1882"/>
      <c r="RRL28" s="1882"/>
      <c r="RRN28" s="1887"/>
      <c r="RRO28" s="1888"/>
      <c r="RRP28" s="1882"/>
      <c r="RRQ28" s="1882"/>
      <c r="RRR28" s="1882"/>
      <c r="RRT28" s="1887"/>
      <c r="RRU28" s="1888"/>
      <c r="RRV28" s="1882"/>
      <c r="RRW28" s="1882"/>
      <c r="RRX28" s="1882"/>
      <c r="RRZ28" s="1887"/>
      <c r="RSA28" s="1888"/>
      <c r="RSB28" s="1882"/>
      <c r="RSC28" s="1882"/>
      <c r="RSD28" s="1882"/>
      <c r="RSF28" s="1887"/>
      <c r="RSG28" s="1888"/>
      <c r="RSH28" s="1882"/>
      <c r="RSI28" s="1882"/>
      <c r="RSJ28" s="1882"/>
      <c r="RSL28" s="1887"/>
      <c r="RSM28" s="1888"/>
      <c r="RSN28" s="1882"/>
      <c r="RSO28" s="1882"/>
      <c r="RSP28" s="1882"/>
      <c r="RSR28" s="1887"/>
      <c r="RSS28" s="1888"/>
      <c r="RST28" s="1882"/>
      <c r="RSU28" s="1882"/>
      <c r="RSV28" s="1882"/>
      <c r="RSX28" s="1887"/>
      <c r="RSY28" s="1888"/>
      <c r="RSZ28" s="1882"/>
      <c r="RTA28" s="1882"/>
      <c r="RTB28" s="1882"/>
      <c r="RTD28" s="1887"/>
      <c r="RTE28" s="1888"/>
      <c r="RTF28" s="1882"/>
      <c r="RTG28" s="1882"/>
      <c r="RTH28" s="1882"/>
      <c r="RTJ28" s="1887"/>
      <c r="RTK28" s="1888"/>
      <c r="RTL28" s="1882"/>
      <c r="RTM28" s="1882"/>
      <c r="RTN28" s="1882"/>
      <c r="RTP28" s="1887"/>
      <c r="RTQ28" s="1888"/>
      <c r="RTR28" s="1882"/>
      <c r="RTS28" s="1882"/>
      <c r="RTT28" s="1882"/>
      <c r="RTV28" s="1887"/>
      <c r="RTW28" s="1888"/>
      <c r="RTX28" s="1882"/>
      <c r="RTY28" s="1882"/>
      <c r="RTZ28" s="1882"/>
      <c r="RUB28" s="1887"/>
      <c r="RUC28" s="1888"/>
      <c r="RUD28" s="1882"/>
      <c r="RUE28" s="1882"/>
      <c r="RUF28" s="1882"/>
      <c r="RUH28" s="1887"/>
      <c r="RUI28" s="1888"/>
      <c r="RUJ28" s="1882"/>
      <c r="RUK28" s="1882"/>
      <c r="RUL28" s="1882"/>
      <c r="RUN28" s="1887"/>
      <c r="RUO28" s="1888"/>
      <c r="RUP28" s="1882"/>
      <c r="RUQ28" s="1882"/>
      <c r="RUR28" s="1882"/>
      <c r="RUT28" s="1887"/>
      <c r="RUU28" s="1888"/>
      <c r="RUV28" s="1882"/>
      <c r="RUW28" s="1882"/>
      <c r="RUX28" s="1882"/>
      <c r="RUZ28" s="1887"/>
      <c r="RVA28" s="1888"/>
      <c r="RVB28" s="1882"/>
      <c r="RVC28" s="1882"/>
      <c r="RVD28" s="1882"/>
      <c r="RVF28" s="1887"/>
      <c r="RVG28" s="1888"/>
      <c r="RVH28" s="1882"/>
      <c r="RVI28" s="1882"/>
      <c r="RVJ28" s="1882"/>
      <c r="RVL28" s="1887"/>
      <c r="RVM28" s="1888"/>
      <c r="RVN28" s="1882"/>
      <c r="RVO28" s="1882"/>
      <c r="RVP28" s="1882"/>
      <c r="RVR28" s="1887"/>
      <c r="RVS28" s="1888"/>
      <c r="RVT28" s="1882"/>
      <c r="RVU28" s="1882"/>
      <c r="RVV28" s="1882"/>
      <c r="RVX28" s="1887"/>
      <c r="RVY28" s="1888"/>
      <c r="RVZ28" s="1882"/>
      <c r="RWA28" s="1882"/>
      <c r="RWB28" s="1882"/>
      <c r="RWD28" s="1887"/>
      <c r="RWE28" s="1888"/>
      <c r="RWF28" s="1882"/>
      <c r="RWG28" s="1882"/>
      <c r="RWH28" s="1882"/>
      <c r="RWJ28" s="1887"/>
      <c r="RWK28" s="1888"/>
      <c r="RWL28" s="1882"/>
      <c r="RWM28" s="1882"/>
      <c r="RWN28" s="1882"/>
      <c r="RWP28" s="1887"/>
      <c r="RWQ28" s="1888"/>
      <c r="RWR28" s="1882"/>
      <c r="RWS28" s="1882"/>
      <c r="RWT28" s="1882"/>
      <c r="RWV28" s="1887"/>
      <c r="RWW28" s="1888"/>
      <c r="RWX28" s="1882"/>
      <c r="RWY28" s="1882"/>
      <c r="RWZ28" s="1882"/>
      <c r="RXB28" s="1887"/>
      <c r="RXC28" s="1888"/>
      <c r="RXD28" s="1882"/>
      <c r="RXE28" s="1882"/>
      <c r="RXF28" s="1882"/>
      <c r="RXH28" s="1887"/>
      <c r="RXI28" s="1888"/>
      <c r="RXJ28" s="1882"/>
      <c r="RXK28" s="1882"/>
      <c r="RXL28" s="1882"/>
      <c r="RXN28" s="1887"/>
      <c r="RXO28" s="1888"/>
      <c r="RXP28" s="1882"/>
      <c r="RXQ28" s="1882"/>
      <c r="RXR28" s="1882"/>
      <c r="RXT28" s="1887"/>
      <c r="RXU28" s="1888"/>
      <c r="RXV28" s="1882"/>
      <c r="RXW28" s="1882"/>
      <c r="RXX28" s="1882"/>
      <c r="RXZ28" s="1887"/>
      <c r="RYA28" s="1888"/>
      <c r="RYB28" s="1882"/>
      <c r="RYC28" s="1882"/>
      <c r="RYD28" s="1882"/>
      <c r="RYF28" s="1887"/>
      <c r="RYG28" s="1888"/>
      <c r="RYH28" s="1882"/>
      <c r="RYI28" s="1882"/>
      <c r="RYJ28" s="1882"/>
      <c r="RYL28" s="1887"/>
      <c r="RYM28" s="1888"/>
      <c r="RYN28" s="1882"/>
      <c r="RYO28" s="1882"/>
      <c r="RYP28" s="1882"/>
      <c r="RYR28" s="1887"/>
      <c r="RYS28" s="1888"/>
      <c r="RYT28" s="1882"/>
      <c r="RYU28" s="1882"/>
      <c r="RYV28" s="1882"/>
      <c r="RYX28" s="1887"/>
      <c r="RYY28" s="1888"/>
      <c r="RYZ28" s="1882"/>
      <c r="RZA28" s="1882"/>
      <c r="RZB28" s="1882"/>
      <c r="RZD28" s="1887"/>
      <c r="RZE28" s="1888"/>
      <c r="RZF28" s="1882"/>
      <c r="RZG28" s="1882"/>
      <c r="RZH28" s="1882"/>
      <c r="RZJ28" s="1887"/>
      <c r="RZK28" s="1888"/>
      <c r="RZL28" s="1882"/>
      <c r="RZM28" s="1882"/>
      <c r="RZN28" s="1882"/>
      <c r="RZP28" s="1887"/>
      <c r="RZQ28" s="1888"/>
      <c r="RZR28" s="1882"/>
      <c r="RZS28" s="1882"/>
      <c r="RZT28" s="1882"/>
      <c r="RZV28" s="1887"/>
      <c r="RZW28" s="1888"/>
      <c r="RZX28" s="1882"/>
      <c r="RZY28" s="1882"/>
      <c r="RZZ28" s="1882"/>
      <c r="SAB28" s="1887"/>
      <c r="SAC28" s="1888"/>
      <c r="SAD28" s="1882"/>
      <c r="SAE28" s="1882"/>
      <c r="SAF28" s="1882"/>
      <c r="SAH28" s="1887"/>
      <c r="SAI28" s="1888"/>
      <c r="SAJ28" s="1882"/>
      <c r="SAK28" s="1882"/>
      <c r="SAL28" s="1882"/>
      <c r="SAN28" s="1887"/>
      <c r="SAO28" s="1888"/>
      <c r="SAP28" s="1882"/>
      <c r="SAQ28" s="1882"/>
      <c r="SAR28" s="1882"/>
      <c r="SAT28" s="1887"/>
      <c r="SAU28" s="1888"/>
      <c r="SAV28" s="1882"/>
      <c r="SAW28" s="1882"/>
      <c r="SAX28" s="1882"/>
      <c r="SAZ28" s="1887"/>
      <c r="SBA28" s="1888"/>
      <c r="SBB28" s="1882"/>
      <c r="SBC28" s="1882"/>
      <c r="SBD28" s="1882"/>
      <c r="SBF28" s="1887"/>
      <c r="SBG28" s="1888"/>
      <c r="SBH28" s="1882"/>
      <c r="SBI28" s="1882"/>
      <c r="SBJ28" s="1882"/>
      <c r="SBL28" s="1887"/>
      <c r="SBM28" s="1888"/>
      <c r="SBN28" s="1882"/>
      <c r="SBO28" s="1882"/>
      <c r="SBP28" s="1882"/>
      <c r="SBR28" s="1887"/>
      <c r="SBS28" s="1888"/>
      <c r="SBT28" s="1882"/>
      <c r="SBU28" s="1882"/>
      <c r="SBV28" s="1882"/>
      <c r="SBX28" s="1887"/>
      <c r="SBY28" s="1888"/>
      <c r="SBZ28" s="1882"/>
      <c r="SCA28" s="1882"/>
      <c r="SCB28" s="1882"/>
      <c r="SCD28" s="1887"/>
      <c r="SCE28" s="1888"/>
      <c r="SCF28" s="1882"/>
      <c r="SCG28" s="1882"/>
      <c r="SCH28" s="1882"/>
      <c r="SCJ28" s="1887"/>
      <c r="SCK28" s="1888"/>
      <c r="SCL28" s="1882"/>
      <c r="SCM28" s="1882"/>
      <c r="SCN28" s="1882"/>
      <c r="SCP28" s="1887"/>
      <c r="SCQ28" s="1888"/>
      <c r="SCR28" s="1882"/>
      <c r="SCS28" s="1882"/>
      <c r="SCT28" s="1882"/>
      <c r="SCV28" s="1887"/>
      <c r="SCW28" s="1888"/>
      <c r="SCX28" s="1882"/>
      <c r="SCY28" s="1882"/>
      <c r="SCZ28" s="1882"/>
      <c r="SDB28" s="1887"/>
      <c r="SDC28" s="1888"/>
      <c r="SDD28" s="1882"/>
      <c r="SDE28" s="1882"/>
      <c r="SDF28" s="1882"/>
      <c r="SDH28" s="1887"/>
      <c r="SDI28" s="1888"/>
      <c r="SDJ28" s="1882"/>
      <c r="SDK28" s="1882"/>
      <c r="SDL28" s="1882"/>
      <c r="SDN28" s="1887"/>
      <c r="SDO28" s="1888"/>
      <c r="SDP28" s="1882"/>
      <c r="SDQ28" s="1882"/>
      <c r="SDR28" s="1882"/>
      <c r="SDT28" s="1887"/>
      <c r="SDU28" s="1888"/>
      <c r="SDV28" s="1882"/>
      <c r="SDW28" s="1882"/>
      <c r="SDX28" s="1882"/>
      <c r="SDZ28" s="1887"/>
      <c r="SEA28" s="1888"/>
      <c r="SEB28" s="1882"/>
      <c r="SEC28" s="1882"/>
      <c r="SED28" s="1882"/>
      <c r="SEF28" s="1887"/>
      <c r="SEG28" s="1888"/>
      <c r="SEH28" s="1882"/>
      <c r="SEI28" s="1882"/>
      <c r="SEJ28" s="1882"/>
      <c r="SEL28" s="1887"/>
      <c r="SEM28" s="1888"/>
      <c r="SEN28" s="1882"/>
      <c r="SEO28" s="1882"/>
      <c r="SEP28" s="1882"/>
      <c r="SER28" s="1887"/>
      <c r="SES28" s="1888"/>
      <c r="SET28" s="1882"/>
      <c r="SEU28" s="1882"/>
      <c r="SEV28" s="1882"/>
      <c r="SEX28" s="1887"/>
      <c r="SEY28" s="1888"/>
      <c r="SEZ28" s="1882"/>
      <c r="SFA28" s="1882"/>
      <c r="SFB28" s="1882"/>
      <c r="SFD28" s="1887"/>
      <c r="SFE28" s="1888"/>
      <c r="SFF28" s="1882"/>
      <c r="SFG28" s="1882"/>
      <c r="SFH28" s="1882"/>
      <c r="SFJ28" s="1887"/>
      <c r="SFK28" s="1888"/>
      <c r="SFL28" s="1882"/>
      <c r="SFM28" s="1882"/>
      <c r="SFN28" s="1882"/>
      <c r="SFP28" s="1887"/>
      <c r="SFQ28" s="1888"/>
      <c r="SFR28" s="1882"/>
      <c r="SFS28" s="1882"/>
      <c r="SFT28" s="1882"/>
      <c r="SFV28" s="1887"/>
      <c r="SFW28" s="1888"/>
      <c r="SFX28" s="1882"/>
      <c r="SFY28" s="1882"/>
      <c r="SFZ28" s="1882"/>
      <c r="SGB28" s="1887"/>
      <c r="SGC28" s="1888"/>
      <c r="SGD28" s="1882"/>
      <c r="SGE28" s="1882"/>
      <c r="SGF28" s="1882"/>
      <c r="SGH28" s="1887"/>
      <c r="SGI28" s="1888"/>
      <c r="SGJ28" s="1882"/>
      <c r="SGK28" s="1882"/>
      <c r="SGL28" s="1882"/>
      <c r="SGN28" s="1887"/>
      <c r="SGO28" s="1888"/>
      <c r="SGP28" s="1882"/>
      <c r="SGQ28" s="1882"/>
      <c r="SGR28" s="1882"/>
      <c r="SGT28" s="1887"/>
      <c r="SGU28" s="1888"/>
      <c r="SGV28" s="1882"/>
      <c r="SGW28" s="1882"/>
      <c r="SGX28" s="1882"/>
      <c r="SGZ28" s="1887"/>
      <c r="SHA28" s="1888"/>
      <c r="SHB28" s="1882"/>
      <c r="SHC28" s="1882"/>
      <c r="SHD28" s="1882"/>
      <c r="SHF28" s="1887"/>
      <c r="SHG28" s="1888"/>
      <c r="SHH28" s="1882"/>
      <c r="SHI28" s="1882"/>
      <c r="SHJ28" s="1882"/>
      <c r="SHL28" s="1887"/>
      <c r="SHM28" s="1888"/>
      <c r="SHN28" s="1882"/>
      <c r="SHO28" s="1882"/>
      <c r="SHP28" s="1882"/>
      <c r="SHR28" s="1887"/>
      <c r="SHS28" s="1888"/>
      <c r="SHT28" s="1882"/>
      <c r="SHU28" s="1882"/>
      <c r="SHV28" s="1882"/>
      <c r="SHX28" s="1887"/>
      <c r="SHY28" s="1888"/>
      <c r="SHZ28" s="1882"/>
      <c r="SIA28" s="1882"/>
      <c r="SIB28" s="1882"/>
      <c r="SID28" s="1887"/>
      <c r="SIE28" s="1888"/>
      <c r="SIF28" s="1882"/>
      <c r="SIG28" s="1882"/>
      <c r="SIH28" s="1882"/>
      <c r="SIJ28" s="1887"/>
      <c r="SIK28" s="1888"/>
      <c r="SIL28" s="1882"/>
      <c r="SIM28" s="1882"/>
      <c r="SIN28" s="1882"/>
      <c r="SIP28" s="1887"/>
      <c r="SIQ28" s="1888"/>
      <c r="SIR28" s="1882"/>
      <c r="SIS28" s="1882"/>
      <c r="SIT28" s="1882"/>
      <c r="SIV28" s="1887"/>
      <c r="SIW28" s="1888"/>
      <c r="SIX28" s="1882"/>
      <c r="SIY28" s="1882"/>
      <c r="SIZ28" s="1882"/>
      <c r="SJB28" s="1887"/>
      <c r="SJC28" s="1888"/>
      <c r="SJD28" s="1882"/>
      <c r="SJE28" s="1882"/>
      <c r="SJF28" s="1882"/>
      <c r="SJH28" s="1887"/>
      <c r="SJI28" s="1888"/>
      <c r="SJJ28" s="1882"/>
      <c r="SJK28" s="1882"/>
      <c r="SJL28" s="1882"/>
      <c r="SJN28" s="1887"/>
      <c r="SJO28" s="1888"/>
      <c r="SJP28" s="1882"/>
      <c r="SJQ28" s="1882"/>
      <c r="SJR28" s="1882"/>
      <c r="SJT28" s="1887"/>
      <c r="SJU28" s="1888"/>
      <c r="SJV28" s="1882"/>
      <c r="SJW28" s="1882"/>
      <c r="SJX28" s="1882"/>
      <c r="SJZ28" s="1887"/>
      <c r="SKA28" s="1888"/>
      <c r="SKB28" s="1882"/>
      <c r="SKC28" s="1882"/>
      <c r="SKD28" s="1882"/>
      <c r="SKF28" s="1887"/>
      <c r="SKG28" s="1888"/>
      <c r="SKH28" s="1882"/>
      <c r="SKI28" s="1882"/>
      <c r="SKJ28" s="1882"/>
      <c r="SKL28" s="1887"/>
      <c r="SKM28" s="1888"/>
      <c r="SKN28" s="1882"/>
      <c r="SKO28" s="1882"/>
      <c r="SKP28" s="1882"/>
      <c r="SKR28" s="1887"/>
      <c r="SKS28" s="1888"/>
      <c r="SKT28" s="1882"/>
      <c r="SKU28" s="1882"/>
      <c r="SKV28" s="1882"/>
      <c r="SKX28" s="1887"/>
      <c r="SKY28" s="1888"/>
      <c r="SKZ28" s="1882"/>
      <c r="SLA28" s="1882"/>
      <c r="SLB28" s="1882"/>
      <c r="SLD28" s="1887"/>
      <c r="SLE28" s="1888"/>
      <c r="SLF28" s="1882"/>
      <c r="SLG28" s="1882"/>
      <c r="SLH28" s="1882"/>
      <c r="SLJ28" s="1887"/>
      <c r="SLK28" s="1888"/>
      <c r="SLL28" s="1882"/>
      <c r="SLM28" s="1882"/>
      <c r="SLN28" s="1882"/>
      <c r="SLP28" s="1887"/>
      <c r="SLQ28" s="1888"/>
      <c r="SLR28" s="1882"/>
      <c r="SLS28" s="1882"/>
      <c r="SLT28" s="1882"/>
      <c r="SLV28" s="1887"/>
      <c r="SLW28" s="1888"/>
      <c r="SLX28" s="1882"/>
      <c r="SLY28" s="1882"/>
      <c r="SLZ28" s="1882"/>
      <c r="SMB28" s="1887"/>
      <c r="SMC28" s="1888"/>
      <c r="SMD28" s="1882"/>
      <c r="SME28" s="1882"/>
      <c r="SMF28" s="1882"/>
      <c r="SMH28" s="1887"/>
      <c r="SMI28" s="1888"/>
      <c r="SMJ28" s="1882"/>
      <c r="SMK28" s="1882"/>
      <c r="SML28" s="1882"/>
      <c r="SMN28" s="1887"/>
      <c r="SMO28" s="1888"/>
      <c r="SMP28" s="1882"/>
      <c r="SMQ28" s="1882"/>
      <c r="SMR28" s="1882"/>
      <c r="SMT28" s="1887"/>
      <c r="SMU28" s="1888"/>
      <c r="SMV28" s="1882"/>
      <c r="SMW28" s="1882"/>
      <c r="SMX28" s="1882"/>
      <c r="SMZ28" s="1887"/>
      <c r="SNA28" s="1888"/>
      <c r="SNB28" s="1882"/>
      <c r="SNC28" s="1882"/>
      <c r="SND28" s="1882"/>
      <c r="SNF28" s="1887"/>
      <c r="SNG28" s="1888"/>
      <c r="SNH28" s="1882"/>
      <c r="SNI28" s="1882"/>
      <c r="SNJ28" s="1882"/>
      <c r="SNL28" s="1887"/>
      <c r="SNM28" s="1888"/>
      <c r="SNN28" s="1882"/>
      <c r="SNO28" s="1882"/>
      <c r="SNP28" s="1882"/>
      <c r="SNR28" s="1887"/>
      <c r="SNS28" s="1888"/>
      <c r="SNT28" s="1882"/>
      <c r="SNU28" s="1882"/>
      <c r="SNV28" s="1882"/>
      <c r="SNX28" s="1887"/>
      <c r="SNY28" s="1888"/>
      <c r="SNZ28" s="1882"/>
      <c r="SOA28" s="1882"/>
      <c r="SOB28" s="1882"/>
      <c r="SOD28" s="1887"/>
      <c r="SOE28" s="1888"/>
      <c r="SOF28" s="1882"/>
      <c r="SOG28" s="1882"/>
      <c r="SOH28" s="1882"/>
      <c r="SOJ28" s="1887"/>
      <c r="SOK28" s="1888"/>
      <c r="SOL28" s="1882"/>
      <c r="SOM28" s="1882"/>
      <c r="SON28" s="1882"/>
      <c r="SOP28" s="1887"/>
      <c r="SOQ28" s="1888"/>
      <c r="SOR28" s="1882"/>
      <c r="SOS28" s="1882"/>
      <c r="SOT28" s="1882"/>
      <c r="SOV28" s="1887"/>
      <c r="SOW28" s="1888"/>
      <c r="SOX28" s="1882"/>
      <c r="SOY28" s="1882"/>
      <c r="SOZ28" s="1882"/>
      <c r="SPB28" s="1887"/>
      <c r="SPC28" s="1888"/>
      <c r="SPD28" s="1882"/>
      <c r="SPE28" s="1882"/>
      <c r="SPF28" s="1882"/>
      <c r="SPH28" s="1887"/>
      <c r="SPI28" s="1888"/>
      <c r="SPJ28" s="1882"/>
      <c r="SPK28" s="1882"/>
      <c r="SPL28" s="1882"/>
      <c r="SPN28" s="1887"/>
      <c r="SPO28" s="1888"/>
      <c r="SPP28" s="1882"/>
      <c r="SPQ28" s="1882"/>
      <c r="SPR28" s="1882"/>
      <c r="SPT28" s="1887"/>
      <c r="SPU28" s="1888"/>
      <c r="SPV28" s="1882"/>
      <c r="SPW28" s="1882"/>
      <c r="SPX28" s="1882"/>
      <c r="SPZ28" s="1887"/>
      <c r="SQA28" s="1888"/>
      <c r="SQB28" s="1882"/>
      <c r="SQC28" s="1882"/>
      <c r="SQD28" s="1882"/>
      <c r="SQF28" s="1887"/>
      <c r="SQG28" s="1888"/>
      <c r="SQH28" s="1882"/>
      <c r="SQI28" s="1882"/>
      <c r="SQJ28" s="1882"/>
      <c r="SQL28" s="1887"/>
      <c r="SQM28" s="1888"/>
      <c r="SQN28" s="1882"/>
      <c r="SQO28" s="1882"/>
      <c r="SQP28" s="1882"/>
      <c r="SQR28" s="1887"/>
      <c r="SQS28" s="1888"/>
      <c r="SQT28" s="1882"/>
      <c r="SQU28" s="1882"/>
      <c r="SQV28" s="1882"/>
      <c r="SQX28" s="1887"/>
      <c r="SQY28" s="1888"/>
      <c r="SQZ28" s="1882"/>
      <c r="SRA28" s="1882"/>
      <c r="SRB28" s="1882"/>
      <c r="SRD28" s="1887"/>
      <c r="SRE28" s="1888"/>
      <c r="SRF28" s="1882"/>
      <c r="SRG28" s="1882"/>
      <c r="SRH28" s="1882"/>
      <c r="SRJ28" s="1887"/>
      <c r="SRK28" s="1888"/>
      <c r="SRL28" s="1882"/>
      <c r="SRM28" s="1882"/>
      <c r="SRN28" s="1882"/>
      <c r="SRP28" s="1887"/>
      <c r="SRQ28" s="1888"/>
      <c r="SRR28" s="1882"/>
      <c r="SRS28" s="1882"/>
      <c r="SRT28" s="1882"/>
      <c r="SRV28" s="1887"/>
      <c r="SRW28" s="1888"/>
      <c r="SRX28" s="1882"/>
      <c r="SRY28" s="1882"/>
      <c r="SRZ28" s="1882"/>
      <c r="SSB28" s="1887"/>
      <c r="SSC28" s="1888"/>
      <c r="SSD28" s="1882"/>
      <c r="SSE28" s="1882"/>
      <c r="SSF28" s="1882"/>
      <c r="SSH28" s="1887"/>
      <c r="SSI28" s="1888"/>
      <c r="SSJ28" s="1882"/>
      <c r="SSK28" s="1882"/>
      <c r="SSL28" s="1882"/>
      <c r="SSN28" s="1887"/>
      <c r="SSO28" s="1888"/>
      <c r="SSP28" s="1882"/>
      <c r="SSQ28" s="1882"/>
      <c r="SSR28" s="1882"/>
      <c r="SST28" s="1887"/>
      <c r="SSU28" s="1888"/>
      <c r="SSV28" s="1882"/>
      <c r="SSW28" s="1882"/>
      <c r="SSX28" s="1882"/>
      <c r="SSZ28" s="1887"/>
      <c r="STA28" s="1888"/>
      <c r="STB28" s="1882"/>
      <c r="STC28" s="1882"/>
      <c r="STD28" s="1882"/>
      <c r="STF28" s="1887"/>
      <c r="STG28" s="1888"/>
      <c r="STH28" s="1882"/>
      <c r="STI28" s="1882"/>
      <c r="STJ28" s="1882"/>
      <c r="STL28" s="1887"/>
      <c r="STM28" s="1888"/>
      <c r="STN28" s="1882"/>
      <c r="STO28" s="1882"/>
      <c r="STP28" s="1882"/>
      <c r="STR28" s="1887"/>
      <c r="STS28" s="1888"/>
      <c r="STT28" s="1882"/>
      <c r="STU28" s="1882"/>
      <c r="STV28" s="1882"/>
      <c r="STX28" s="1887"/>
      <c r="STY28" s="1888"/>
      <c r="STZ28" s="1882"/>
      <c r="SUA28" s="1882"/>
      <c r="SUB28" s="1882"/>
      <c r="SUD28" s="1887"/>
      <c r="SUE28" s="1888"/>
      <c r="SUF28" s="1882"/>
      <c r="SUG28" s="1882"/>
      <c r="SUH28" s="1882"/>
      <c r="SUJ28" s="1887"/>
      <c r="SUK28" s="1888"/>
      <c r="SUL28" s="1882"/>
      <c r="SUM28" s="1882"/>
      <c r="SUN28" s="1882"/>
      <c r="SUP28" s="1887"/>
      <c r="SUQ28" s="1888"/>
      <c r="SUR28" s="1882"/>
      <c r="SUS28" s="1882"/>
      <c r="SUT28" s="1882"/>
      <c r="SUV28" s="1887"/>
      <c r="SUW28" s="1888"/>
      <c r="SUX28" s="1882"/>
      <c r="SUY28" s="1882"/>
      <c r="SUZ28" s="1882"/>
      <c r="SVB28" s="1887"/>
      <c r="SVC28" s="1888"/>
      <c r="SVD28" s="1882"/>
      <c r="SVE28" s="1882"/>
      <c r="SVF28" s="1882"/>
      <c r="SVH28" s="1887"/>
      <c r="SVI28" s="1888"/>
      <c r="SVJ28" s="1882"/>
      <c r="SVK28" s="1882"/>
      <c r="SVL28" s="1882"/>
      <c r="SVN28" s="1887"/>
      <c r="SVO28" s="1888"/>
      <c r="SVP28" s="1882"/>
      <c r="SVQ28" s="1882"/>
      <c r="SVR28" s="1882"/>
      <c r="SVT28" s="1887"/>
      <c r="SVU28" s="1888"/>
      <c r="SVV28" s="1882"/>
      <c r="SVW28" s="1882"/>
      <c r="SVX28" s="1882"/>
      <c r="SVZ28" s="1887"/>
      <c r="SWA28" s="1888"/>
      <c r="SWB28" s="1882"/>
      <c r="SWC28" s="1882"/>
      <c r="SWD28" s="1882"/>
      <c r="SWF28" s="1887"/>
      <c r="SWG28" s="1888"/>
      <c r="SWH28" s="1882"/>
      <c r="SWI28" s="1882"/>
      <c r="SWJ28" s="1882"/>
      <c r="SWL28" s="1887"/>
      <c r="SWM28" s="1888"/>
      <c r="SWN28" s="1882"/>
      <c r="SWO28" s="1882"/>
      <c r="SWP28" s="1882"/>
      <c r="SWR28" s="1887"/>
      <c r="SWS28" s="1888"/>
      <c r="SWT28" s="1882"/>
      <c r="SWU28" s="1882"/>
      <c r="SWV28" s="1882"/>
      <c r="SWX28" s="1887"/>
      <c r="SWY28" s="1888"/>
      <c r="SWZ28" s="1882"/>
      <c r="SXA28" s="1882"/>
      <c r="SXB28" s="1882"/>
      <c r="SXD28" s="1887"/>
      <c r="SXE28" s="1888"/>
      <c r="SXF28" s="1882"/>
      <c r="SXG28" s="1882"/>
      <c r="SXH28" s="1882"/>
      <c r="SXJ28" s="1887"/>
      <c r="SXK28" s="1888"/>
      <c r="SXL28" s="1882"/>
      <c r="SXM28" s="1882"/>
      <c r="SXN28" s="1882"/>
      <c r="SXP28" s="1887"/>
      <c r="SXQ28" s="1888"/>
      <c r="SXR28" s="1882"/>
      <c r="SXS28" s="1882"/>
      <c r="SXT28" s="1882"/>
      <c r="SXV28" s="1887"/>
      <c r="SXW28" s="1888"/>
      <c r="SXX28" s="1882"/>
      <c r="SXY28" s="1882"/>
      <c r="SXZ28" s="1882"/>
      <c r="SYB28" s="1887"/>
      <c r="SYC28" s="1888"/>
      <c r="SYD28" s="1882"/>
      <c r="SYE28" s="1882"/>
      <c r="SYF28" s="1882"/>
      <c r="SYH28" s="1887"/>
      <c r="SYI28" s="1888"/>
      <c r="SYJ28" s="1882"/>
      <c r="SYK28" s="1882"/>
      <c r="SYL28" s="1882"/>
      <c r="SYN28" s="1887"/>
      <c r="SYO28" s="1888"/>
      <c r="SYP28" s="1882"/>
      <c r="SYQ28" s="1882"/>
      <c r="SYR28" s="1882"/>
      <c r="SYT28" s="1887"/>
      <c r="SYU28" s="1888"/>
      <c r="SYV28" s="1882"/>
      <c r="SYW28" s="1882"/>
      <c r="SYX28" s="1882"/>
      <c r="SYZ28" s="1887"/>
      <c r="SZA28" s="1888"/>
      <c r="SZB28" s="1882"/>
      <c r="SZC28" s="1882"/>
      <c r="SZD28" s="1882"/>
      <c r="SZF28" s="1887"/>
      <c r="SZG28" s="1888"/>
      <c r="SZH28" s="1882"/>
      <c r="SZI28" s="1882"/>
      <c r="SZJ28" s="1882"/>
      <c r="SZL28" s="1887"/>
      <c r="SZM28" s="1888"/>
      <c r="SZN28" s="1882"/>
      <c r="SZO28" s="1882"/>
      <c r="SZP28" s="1882"/>
      <c r="SZR28" s="1887"/>
      <c r="SZS28" s="1888"/>
      <c r="SZT28" s="1882"/>
      <c r="SZU28" s="1882"/>
      <c r="SZV28" s="1882"/>
      <c r="SZX28" s="1887"/>
      <c r="SZY28" s="1888"/>
      <c r="SZZ28" s="1882"/>
      <c r="TAA28" s="1882"/>
      <c r="TAB28" s="1882"/>
      <c r="TAD28" s="1887"/>
      <c r="TAE28" s="1888"/>
      <c r="TAF28" s="1882"/>
      <c r="TAG28" s="1882"/>
      <c r="TAH28" s="1882"/>
      <c r="TAJ28" s="1887"/>
      <c r="TAK28" s="1888"/>
      <c r="TAL28" s="1882"/>
      <c r="TAM28" s="1882"/>
      <c r="TAN28" s="1882"/>
      <c r="TAP28" s="1887"/>
      <c r="TAQ28" s="1888"/>
      <c r="TAR28" s="1882"/>
      <c r="TAS28" s="1882"/>
      <c r="TAT28" s="1882"/>
      <c r="TAV28" s="1887"/>
      <c r="TAW28" s="1888"/>
      <c r="TAX28" s="1882"/>
      <c r="TAY28" s="1882"/>
      <c r="TAZ28" s="1882"/>
      <c r="TBB28" s="1887"/>
      <c r="TBC28" s="1888"/>
      <c r="TBD28" s="1882"/>
      <c r="TBE28" s="1882"/>
      <c r="TBF28" s="1882"/>
      <c r="TBH28" s="1887"/>
      <c r="TBI28" s="1888"/>
      <c r="TBJ28" s="1882"/>
      <c r="TBK28" s="1882"/>
      <c r="TBL28" s="1882"/>
      <c r="TBN28" s="1887"/>
      <c r="TBO28" s="1888"/>
      <c r="TBP28" s="1882"/>
      <c r="TBQ28" s="1882"/>
      <c r="TBR28" s="1882"/>
      <c r="TBT28" s="1887"/>
      <c r="TBU28" s="1888"/>
      <c r="TBV28" s="1882"/>
      <c r="TBW28" s="1882"/>
      <c r="TBX28" s="1882"/>
      <c r="TBZ28" s="1887"/>
      <c r="TCA28" s="1888"/>
      <c r="TCB28" s="1882"/>
      <c r="TCC28" s="1882"/>
      <c r="TCD28" s="1882"/>
      <c r="TCF28" s="1887"/>
      <c r="TCG28" s="1888"/>
      <c r="TCH28" s="1882"/>
      <c r="TCI28" s="1882"/>
      <c r="TCJ28" s="1882"/>
      <c r="TCL28" s="1887"/>
      <c r="TCM28" s="1888"/>
      <c r="TCN28" s="1882"/>
      <c r="TCO28" s="1882"/>
      <c r="TCP28" s="1882"/>
      <c r="TCR28" s="1887"/>
      <c r="TCS28" s="1888"/>
      <c r="TCT28" s="1882"/>
      <c r="TCU28" s="1882"/>
      <c r="TCV28" s="1882"/>
      <c r="TCX28" s="1887"/>
      <c r="TCY28" s="1888"/>
      <c r="TCZ28" s="1882"/>
      <c r="TDA28" s="1882"/>
      <c r="TDB28" s="1882"/>
      <c r="TDD28" s="1887"/>
      <c r="TDE28" s="1888"/>
      <c r="TDF28" s="1882"/>
      <c r="TDG28" s="1882"/>
      <c r="TDH28" s="1882"/>
      <c r="TDJ28" s="1887"/>
      <c r="TDK28" s="1888"/>
      <c r="TDL28" s="1882"/>
      <c r="TDM28" s="1882"/>
      <c r="TDN28" s="1882"/>
      <c r="TDP28" s="1887"/>
      <c r="TDQ28" s="1888"/>
      <c r="TDR28" s="1882"/>
      <c r="TDS28" s="1882"/>
      <c r="TDT28" s="1882"/>
      <c r="TDV28" s="1887"/>
      <c r="TDW28" s="1888"/>
      <c r="TDX28" s="1882"/>
      <c r="TDY28" s="1882"/>
      <c r="TDZ28" s="1882"/>
      <c r="TEB28" s="1887"/>
      <c r="TEC28" s="1888"/>
      <c r="TED28" s="1882"/>
      <c r="TEE28" s="1882"/>
      <c r="TEF28" s="1882"/>
      <c r="TEH28" s="1887"/>
      <c r="TEI28" s="1888"/>
      <c r="TEJ28" s="1882"/>
      <c r="TEK28" s="1882"/>
      <c r="TEL28" s="1882"/>
      <c r="TEN28" s="1887"/>
      <c r="TEO28" s="1888"/>
      <c r="TEP28" s="1882"/>
      <c r="TEQ28" s="1882"/>
      <c r="TER28" s="1882"/>
      <c r="TET28" s="1887"/>
      <c r="TEU28" s="1888"/>
      <c r="TEV28" s="1882"/>
      <c r="TEW28" s="1882"/>
      <c r="TEX28" s="1882"/>
      <c r="TEZ28" s="1887"/>
      <c r="TFA28" s="1888"/>
      <c r="TFB28" s="1882"/>
      <c r="TFC28" s="1882"/>
      <c r="TFD28" s="1882"/>
      <c r="TFF28" s="1887"/>
      <c r="TFG28" s="1888"/>
      <c r="TFH28" s="1882"/>
      <c r="TFI28" s="1882"/>
      <c r="TFJ28" s="1882"/>
      <c r="TFL28" s="1887"/>
      <c r="TFM28" s="1888"/>
      <c r="TFN28" s="1882"/>
      <c r="TFO28" s="1882"/>
      <c r="TFP28" s="1882"/>
      <c r="TFR28" s="1887"/>
      <c r="TFS28" s="1888"/>
      <c r="TFT28" s="1882"/>
      <c r="TFU28" s="1882"/>
      <c r="TFV28" s="1882"/>
      <c r="TFX28" s="1887"/>
      <c r="TFY28" s="1888"/>
      <c r="TFZ28" s="1882"/>
      <c r="TGA28" s="1882"/>
      <c r="TGB28" s="1882"/>
      <c r="TGD28" s="1887"/>
      <c r="TGE28" s="1888"/>
      <c r="TGF28" s="1882"/>
      <c r="TGG28" s="1882"/>
      <c r="TGH28" s="1882"/>
      <c r="TGJ28" s="1887"/>
      <c r="TGK28" s="1888"/>
      <c r="TGL28" s="1882"/>
      <c r="TGM28" s="1882"/>
      <c r="TGN28" s="1882"/>
      <c r="TGP28" s="1887"/>
      <c r="TGQ28" s="1888"/>
      <c r="TGR28" s="1882"/>
      <c r="TGS28" s="1882"/>
      <c r="TGT28" s="1882"/>
      <c r="TGV28" s="1887"/>
      <c r="TGW28" s="1888"/>
      <c r="TGX28" s="1882"/>
      <c r="TGY28" s="1882"/>
      <c r="TGZ28" s="1882"/>
      <c r="THB28" s="1887"/>
      <c r="THC28" s="1888"/>
      <c r="THD28" s="1882"/>
      <c r="THE28" s="1882"/>
      <c r="THF28" s="1882"/>
      <c r="THH28" s="1887"/>
      <c r="THI28" s="1888"/>
      <c r="THJ28" s="1882"/>
      <c r="THK28" s="1882"/>
      <c r="THL28" s="1882"/>
      <c r="THN28" s="1887"/>
      <c r="THO28" s="1888"/>
      <c r="THP28" s="1882"/>
      <c r="THQ28" s="1882"/>
      <c r="THR28" s="1882"/>
      <c r="THT28" s="1887"/>
      <c r="THU28" s="1888"/>
      <c r="THV28" s="1882"/>
      <c r="THW28" s="1882"/>
      <c r="THX28" s="1882"/>
      <c r="THZ28" s="1887"/>
      <c r="TIA28" s="1888"/>
      <c r="TIB28" s="1882"/>
      <c r="TIC28" s="1882"/>
      <c r="TID28" s="1882"/>
      <c r="TIF28" s="1887"/>
      <c r="TIG28" s="1888"/>
      <c r="TIH28" s="1882"/>
      <c r="TII28" s="1882"/>
      <c r="TIJ28" s="1882"/>
      <c r="TIL28" s="1887"/>
      <c r="TIM28" s="1888"/>
      <c r="TIN28" s="1882"/>
      <c r="TIO28" s="1882"/>
      <c r="TIP28" s="1882"/>
      <c r="TIR28" s="1887"/>
      <c r="TIS28" s="1888"/>
      <c r="TIT28" s="1882"/>
      <c r="TIU28" s="1882"/>
      <c r="TIV28" s="1882"/>
      <c r="TIX28" s="1887"/>
      <c r="TIY28" s="1888"/>
      <c r="TIZ28" s="1882"/>
      <c r="TJA28" s="1882"/>
      <c r="TJB28" s="1882"/>
      <c r="TJD28" s="1887"/>
      <c r="TJE28" s="1888"/>
      <c r="TJF28" s="1882"/>
      <c r="TJG28" s="1882"/>
      <c r="TJH28" s="1882"/>
      <c r="TJJ28" s="1887"/>
      <c r="TJK28" s="1888"/>
      <c r="TJL28" s="1882"/>
      <c r="TJM28" s="1882"/>
      <c r="TJN28" s="1882"/>
      <c r="TJP28" s="1887"/>
      <c r="TJQ28" s="1888"/>
      <c r="TJR28" s="1882"/>
      <c r="TJS28" s="1882"/>
      <c r="TJT28" s="1882"/>
      <c r="TJV28" s="1887"/>
      <c r="TJW28" s="1888"/>
      <c r="TJX28" s="1882"/>
      <c r="TJY28" s="1882"/>
      <c r="TJZ28" s="1882"/>
      <c r="TKB28" s="1887"/>
      <c r="TKC28" s="1888"/>
      <c r="TKD28" s="1882"/>
      <c r="TKE28" s="1882"/>
      <c r="TKF28" s="1882"/>
      <c r="TKH28" s="1887"/>
      <c r="TKI28" s="1888"/>
      <c r="TKJ28" s="1882"/>
      <c r="TKK28" s="1882"/>
      <c r="TKL28" s="1882"/>
      <c r="TKN28" s="1887"/>
      <c r="TKO28" s="1888"/>
      <c r="TKP28" s="1882"/>
      <c r="TKQ28" s="1882"/>
      <c r="TKR28" s="1882"/>
      <c r="TKT28" s="1887"/>
      <c r="TKU28" s="1888"/>
      <c r="TKV28" s="1882"/>
      <c r="TKW28" s="1882"/>
      <c r="TKX28" s="1882"/>
      <c r="TKZ28" s="1887"/>
      <c r="TLA28" s="1888"/>
      <c r="TLB28" s="1882"/>
      <c r="TLC28" s="1882"/>
      <c r="TLD28" s="1882"/>
      <c r="TLF28" s="1887"/>
      <c r="TLG28" s="1888"/>
      <c r="TLH28" s="1882"/>
      <c r="TLI28" s="1882"/>
      <c r="TLJ28" s="1882"/>
      <c r="TLL28" s="1887"/>
      <c r="TLM28" s="1888"/>
      <c r="TLN28" s="1882"/>
      <c r="TLO28" s="1882"/>
      <c r="TLP28" s="1882"/>
      <c r="TLR28" s="1887"/>
      <c r="TLS28" s="1888"/>
      <c r="TLT28" s="1882"/>
      <c r="TLU28" s="1882"/>
      <c r="TLV28" s="1882"/>
      <c r="TLX28" s="1887"/>
      <c r="TLY28" s="1888"/>
      <c r="TLZ28" s="1882"/>
      <c r="TMA28" s="1882"/>
      <c r="TMB28" s="1882"/>
      <c r="TMD28" s="1887"/>
      <c r="TME28" s="1888"/>
      <c r="TMF28" s="1882"/>
      <c r="TMG28" s="1882"/>
      <c r="TMH28" s="1882"/>
      <c r="TMJ28" s="1887"/>
      <c r="TMK28" s="1888"/>
      <c r="TML28" s="1882"/>
      <c r="TMM28" s="1882"/>
      <c r="TMN28" s="1882"/>
      <c r="TMP28" s="1887"/>
      <c r="TMQ28" s="1888"/>
      <c r="TMR28" s="1882"/>
      <c r="TMS28" s="1882"/>
      <c r="TMT28" s="1882"/>
      <c r="TMV28" s="1887"/>
      <c r="TMW28" s="1888"/>
      <c r="TMX28" s="1882"/>
      <c r="TMY28" s="1882"/>
      <c r="TMZ28" s="1882"/>
      <c r="TNB28" s="1887"/>
      <c r="TNC28" s="1888"/>
      <c r="TND28" s="1882"/>
      <c r="TNE28" s="1882"/>
      <c r="TNF28" s="1882"/>
      <c r="TNH28" s="1887"/>
      <c r="TNI28" s="1888"/>
      <c r="TNJ28" s="1882"/>
      <c r="TNK28" s="1882"/>
      <c r="TNL28" s="1882"/>
      <c r="TNN28" s="1887"/>
      <c r="TNO28" s="1888"/>
      <c r="TNP28" s="1882"/>
      <c r="TNQ28" s="1882"/>
      <c r="TNR28" s="1882"/>
      <c r="TNT28" s="1887"/>
      <c r="TNU28" s="1888"/>
      <c r="TNV28" s="1882"/>
      <c r="TNW28" s="1882"/>
      <c r="TNX28" s="1882"/>
      <c r="TNZ28" s="1887"/>
      <c r="TOA28" s="1888"/>
      <c r="TOB28" s="1882"/>
      <c r="TOC28" s="1882"/>
      <c r="TOD28" s="1882"/>
      <c r="TOF28" s="1887"/>
      <c r="TOG28" s="1888"/>
      <c r="TOH28" s="1882"/>
      <c r="TOI28" s="1882"/>
      <c r="TOJ28" s="1882"/>
      <c r="TOL28" s="1887"/>
      <c r="TOM28" s="1888"/>
      <c r="TON28" s="1882"/>
      <c r="TOO28" s="1882"/>
      <c r="TOP28" s="1882"/>
      <c r="TOR28" s="1887"/>
      <c r="TOS28" s="1888"/>
      <c r="TOT28" s="1882"/>
      <c r="TOU28" s="1882"/>
      <c r="TOV28" s="1882"/>
      <c r="TOX28" s="1887"/>
      <c r="TOY28" s="1888"/>
      <c r="TOZ28" s="1882"/>
      <c r="TPA28" s="1882"/>
      <c r="TPB28" s="1882"/>
      <c r="TPD28" s="1887"/>
      <c r="TPE28" s="1888"/>
      <c r="TPF28" s="1882"/>
      <c r="TPG28" s="1882"/>
      <c r="TPH28" s="1882"/>
      <c r="TPJ28" s="1887"/>
      <c r="TPK28" s="1888"/>
      <c r="TPL28" s="1882"/>
      <c r="TPM28" s="1882"/>
      <c r="TPN28" s="1882"/>
      <c r="TPP28" s="1887"/>
      <c r="TPQ28" s="1888"/>
      <c r="TPR28" s="1882"/>
      <c r="TPS28" s="1882"/>
      <c r="TPT28" s="1882"/>
      <c r="TPV28" s="1887"/>
      <c r="TPW28" s="1888"/>
      <c r="TPX28" s="1882"/>
      <c r="TPY28" s="1882"/>
      <c r="TPZ28" s="1882"/>
      <c r="TQB28" s="1887"/>
      <c r="TQC28" s="1888"/>
      <c r="TQD28" s="1882"/>
      <c r="TQE28" s="1882"/>
      <c r="TQF28" s="1882"/>
      <c r="TQH28" s="1887"/>
      <c r="TQI28" s="1888"/>
      <c r="TQJ28" s="1882"/>
      <c r="TQK28" s="1882"/>
      <c r="TQL28" s="1882"/>
      <c r="TQN28" s="1887"/>
      <c r="TQO28" s="1888"/>
      <c r="TQP28" s="1882"/>
      <c r="TQQ28" s="1882"/>
      <c r="TQR28" s="1882"/>
      <c r="TQT28" s="1887"/>
      <c r="TQU28" s="1888"/>
      <c r="TQV28" s="1882"/>
      <c r="TQW28" s="1882"/>
      <c r="TQX28" s="1882"/>
      <c r="TQZ28" s="1887"/>
      <c r="TRA28" s="1888"/>
      <c r="TRB28" s="1882"/>
      <c r="TRC28" s="1882"/>
      <c r="TRD28" s="1882"/>
      <c r="TRF28" s="1887"/>
      <c r="TRG28" s="1888"/>
      <c r="TRH28" s="1882"/>
      <c r="TRI28" s="1882"/>
      <c r="TRJ28" s="1882"/>
      <c r="TRL28" s="1887"/>
      <c r="TRM28" s="1888"/>
      <c r="TRN28" s="1882"/>
      <c r="TRO28" s="1882"/>
      <c r="TRP28" s="1882"/>
      <c r="TRR28" s="1887"/>
      <c r="TRS28" s="1888"/>
      <c r="TRT28" s="1882"/>
      <c r="TRU28" s="1882"/>
      <c r="TRV28" s="1882"/>
      <c r="TRX28" s="1887"/>
      <c r="TRY28" s="1888"/>
      <c r="TRZ28" s="1882"/>
      <c r="TSA28" s="1882"/>
      <c r="TSB28" s="1882"/>
      <c r="TSD28" s="1887"/>
      <c r="TSE28" s="1888"/>
      <c r="TSF28" s="1882"/>
      <c r="TSG28" s="1882"/>
      <c r="TSH28" s="1882"/>
      <c r="TSJ28" s="1887"/>
      <c r="TSK28" s="1888"/>
      <c r="TSL28" s="1882"/>
      <c r="TSM28" s="1882"/>
      <c r="TSN28" s="1882"/>
      <c r="TSP28" s="1887"/>
      <c r="TSQ28" s="1888"/>
      <c r="TSR28" s="1882"/>
      <c r="TSS28" s="1882"/>
      <c r="TST28" s="1882"/>
      <c r="TSV28" s="1887"/>
      <c r="TSW28" s="1888"/>
      <c r="TSX28" s="1882"/>
      <c r="TSY28" s="1882"/>
      <c r="TSZ28" s="1882"/>
      <c r="TTB28" s="1887"/>
      <c r="TTC28" s="1888"/>
      <c r="TTD28" s="1882"/>
      <c r="TTE28" s="1882"/>
      <c r="TTF28" s="1882"/>
      <c r="TTH28" s="1887"/>
      <c r="TTI28" s="1888"/>
      <c r="TTJ28" s="1882"/>
      <c r="TTK28" s="1882"/>
      <c r="TTL28" s="1882"/>
      <c r="TTN28" s="1887"/>
      <c r="TTO28" s="1888"/>
      <c r="TTP28" s="1882"/>
      <c r="TTQ28" s="1882"/>
      <c r="TTR28" s="1882"/>
      <c r="TTT28" s="1887"/>
      <c r="TTU28" s="1888"/>
      <c r="TTV28" s="1882"/>
      <c r="TTW28" s="1882"/>
      <c r="TTX28" s="1882"/>
      <c r="TTZ28" s="1887"/>
      <c r="TUA28" s="1888"/>
      <c r="TUB28" s="1882"/>
      <c r="TUC28" s="1882"/>
      <c r="TUD28" s="1882"/>
      <c r="TUF28" s="1887"/>
      <c r="TUG28" s="1888"/>
      <c r="TUH28" s="1882"/>
      <c r="TUI28" s="1882"/>
      <c r="TUJ28" s="1882"/>
      <c r="TUL28" s="1887"/>
      <c r="TUM28" s="1888"/>
      <c r="TUN28" s="1882"/>
      <c r="TUO28" s="1882"/>
      <c r="TUP28" s="1882"/>
      <c r="TUR28" s="1887"/>
      <c r="TUS28" s="1888"/>
      <c r="TUT28" s="1882"/>
      <c r="TUU28" s="1882"/>
      <c r="TUV28" s="1882"/>
      <c r="TUX28" s="1887"/>
      <c r="TUY28" s="1888"/>
      <c r="TUZ28" s="1882"/>
      <c r="TVA28" s="1882"/>
      <c r="TVB28" s="1882"/>
      <c r="TVD28" s="1887"/>
      <c r="TVE28" s="1888"/>
      <c r="TVF28" s="1882"/>
      <c r="TVG28" s="1882"/>
      <c r="TVH28" s="1882"/>
      <c r="TVJ28" s="1887"/>
      <c r="TVK28" s="1888"/>
      <c r="TVL28" s="1882"/>
      <c r="TVM28" s="1882"/>
      <c r="TVN28" s="1882"/>
      <c r="TVP28" s="1887"/>
      <c r="TVQ28" s="1888"/>
      <c r="TVR28" s="1882"/>
      <c r="TVS28" s="1882"/>
      <c r="TVT28" s="1882"/>
      <c r="TVV28" s="1887"/>
      <c r="TVW28" s="1888"/>
      <c r="TVX28" s="1882"/>
      <c r="TVY28" s="1882"/>
      <c r="TVZ28" s="1882"/>
      <c r="TWB28" s="1887"/>
      <c r="TWC28" s="1888"/>
      <c r="TWD28" s="1882"/>
      <c r="TWE28" s="1882"/>
      <c r="TWF28" s="1882"/>
      <c r="TWH28" s="1887"/>
      <c r="TWI28" s="1888"/>
      <c r="TWJ28" s="1882"/>
      <c r="TWK28" s="1882"/>
      <c r="TWL28" s="1882"/>
      <c r="TWN28" s="1887"/>
      <c r="TWO28" s="1888"/>
      <c r="TWP28" s="1882"/>
      <c r="TWQ28" s="1882"/>
      <c r="TWR28" s="1882"/>
      <c r="TWT28" s="1887"/>
      <c r="TWU28" s="1888"/>
      <c r="TWV28" s="1882"/>
      <c r="TWW28" s="1882"/>
      <c r="TWX28" s="1882"/>
      <c r="TWZ28" s="1887"/>
      <c r="TXA28" s="1888"/>
      <c r="TXB28" s="1882"/>
      <c r="TXC28" s="1882"/>
      <c r="TXD28" s="1882"/>
      <c r="TXF28" s="1887"/>
      <c r="TXG28" s="1888"/>
      <c r="TXH28" s="1882"/>
      <c r="TXI28" s="1882"/>
      <c r="TXJ28" s="1882"/>
      <c r="TXL28" s="1887"/>
      <c r="TXM28" s="1888"/>
      <c r="TXN28" s="1882"/>
      <c r="TXO28" s="1882"/>
      <c r="TXP28" s="1882"/>
      <c r="TXR28" s="1887"/>
      <c r="TXS28" s="1888"/>
      <c r="TXT28" s="1882"/>
      <c r="TXU28" s="1882"/>
      <c r="TXV28" s="1882"/>
      <c r="TXX28" s="1887"/>
      <c r="TXY28" s="1888"/>
      <c r="TXZ28" s="1882"/>
      <c r="TYA28" s="1882"/>
      <c r="TYB28" s="1882"/>
      <c r="TYD28" s="1887"/>
      <c r="TYE28" s="1888"/>
      <c r="TYF28" s="1882"/>
      <c r="TYG28" s="1882"/>
      <c r="TYH28" s="1882"/>
      <c r="TYJ28" s="1887"/>
      <c r="TYK28" s="1888"/>
      <c r="TYL28" s="1882"/>
      <c r="TYM28" s="1882"/>
      <c r="TYN28" s="1882"/>
      <c r="TYP28" s="1887"/>
      <c r="TYQ28" s="1888"/>
      <c r="TYR28" s="1882"/>
      <c r="TYS28" s="1882"/>
      <c r="TYT28" s="1882"/>
      <c r="TYV28" s="1887"/>
      <c r="TYW28" s="1888"/>
      <c r="TYX28" s="1882"/>
      <c r="TYY28" s="1882"/>
      <c r="TYZ28" s="1882"/>
      <c r="TZB28" s="1887"/>
      <c r="TZC28" s="1888"/>
      <c r="TZD28" s="1882"/>
      <c r="TZE28" s="1882"/>
      <c r="TZF28" s="1882"/>
      <c r="TZH28" s="1887"/>
      <c r="TZI28" s="1888"/>
      <c r="TZJ28" s="1882"/>
      <c r="TZK28" s="1882"/>
      <c r="TZL28" s="1882"/>
      <c r="TZN28" s="1887"/>
      <c r="TZO28" s="1888"/>
      <c r="TZP28" s="1882"/>
      <c r="TZQ28" s="1882"/>
      <c r="TZR28" s="1882"/>
      <c r="TZT28" s="1887"/>
      <c r="TZU28" s="1888"/>
      <c r="TZV28" s="1882"/>
      <c r="TZW28" s="1882"/>
      <c r="TZX28" s="1882"/>
      <c r="TZZ28" s="1887"/>
      <c r="UAA28" s="1888"/>
      <c r="UAB28" s="1882"/>
      <c r="UAC28" s="1882"/>
      <c r="UAD28" s="1882"/>
      <c r="UAF28" s="1887"/>
      <c r="UAG28" s="1888"/>
      <c r="UAH28" s="1882"/>
      <c r="UAI28" s="1882"/>
      <c r="UAJ28" s="1882"/>
      <c r="UAL28" s="1887"/>
      <c r="UAM28" s="1888"/>
      <c r="UAN28" s="1882"/>
      <c r="UAO28" s="1882"/>
      <c r="UAP28" s="1882"/>
      <c r="UAR28" s="1887"/>
      <c r="UAS28" s="1888"/>
      <c r="UAT28" s="1882"/>
      <c r="UAU28" s="1882"/>
      <c r="UAV28" s="1882"/>
      <c r="UAX28" s="1887"/>
      <c r="UAY28" s="1888"/>
      <c r="UAZ28" s="1882"/>
      <c r="UBA28" s="1882"/>
      <c r="UBB28" s="1882"/>
      <c r="UBD28" s="1887"/>
      <c r="UBE28" s="1888"/>
      <c r="UBF28" s="1882"/>
      <c r="UBG28" s="1882"/>
      <c r="UBH28" s="1882"/>
      <c r="UBJ28" s="1887"/>
      <c r="UBK28" s="1888"/>
      <c r="UBL28" s="1882"/>
      <c r="UBM28" s="1882"/>
      <c r="UBN28" s="1882"/>
      <c r="UBP28" s="1887"/>
      <c r="UBQ28" s="1888"/>
      <c r="UBR28" s="1882"/>
      <c r="UBS28" s="1882"/>
      <c r="UBT28" s="1882"/>
      <c r="UBV28" s="1887"/>
      <c r="UBW28" s="1888"/>
      <c r="UBX28" s="1882"/>
      <c r="UBY28" s="1882"/>
      <c r="UBZ28" s="1882"/>
      <c r="UCB28" s="1887"/>
      <c r="UCC28" s="1888"/>
      <c r="UCD28" s="1882"/>
      <c r="UCE28" s="1882"/>
      <c r="UCF28" s="1882"/>
      <c r="UCH28" s="1887"/>
      <c r="UCI28" s="1888"/>
      <c r="UCJ28" s="1882"/>
      <c r="UCK28" s="1882"/>
      <c r="UCL28" s="1882"/>
      <c r="UCN28" s="1887"/>
      <c r="UCO28" s="1888"/>
      <c r="UCP28" s="1882"/>
      <c r="UCQ28" s="1882"/>
      <c r="UCR28" s="1882"/>
      <c r="UCT28" s="1887"/>
      <c r="UCU28" s="1888"/>
      <c r="UCV28" s="1882"/>
      <c r="UCW28" s="1882"/>
      <c r="UCX28" s="1882"/>
      <c r="UCZ28" s="1887"/>
      <c r="UDA28" s="1888"/>
      <c r="UDB28" s="1882"/>
      <c r="UDC28" s="1882"/>
      <c r="UDD28" s="1882"/>
      <c r="UDF28" s="1887"/>
      <c r="UDG28" s="1888"/>
      <c r="UDH28" s="1882"/>
      <c r="UDI28" s="1882"/>
      <c r="UDJ28" s="1882"/>
      <c r="UDL28" s="1887"/>
      <c r="UDM28" s="1888"/>
      <c r="UDN28" s="1882"/>
      <c r="UDO28" s="1882"/>
      <c r="UDP28" s="1882"/>
      <c r="UDR28" s="1887"/>
      <c r="UDS28" s="1888"/>
      <c r="UDT28" s="1882"/>
      <c r="UDU28" s="1882"/>
      <c r="UDV28" s="1882"/>
      <c r="UDX28" s="1887"/>
      <c r="UDY28" s="1888"/>
      <c r="UDZ28" s="1882"/>
      <c r="UEA28" s="1882"/>
      <c r="UEB28" s="1882"/>
      <c r="UED28" s="1887"/>
      <c r="UEE28" s="1888"/>
      <c r="UEF28" s="1882"/>
      <c r="UEG28" s="1882"/>
      <c r="UEH28" s="1882"/>
      <c r="UEJ28" s="1887"/>
      <c r="UEK28" s="1888"/>
      <c r="UEL28" s="1882"/>
      <c r="UEM28" s="1882"/>
      <c r="UEN28" s="1882"/>
      <c r="UEP28" s="1887"/>
      <c r="UEQ28" s="1888"/>
      <c r="UER28" s="1882"/>
      <c r="UES28" s="1882"/>
      <c r="UET28" s="1882"/>
      <c r="UEV28" s="1887"/>
      <c r="UEW28" s="1888"/>
      <c r="UEX28" s="1882"/>
      <c r="UEY28" s="1882"/>
      <c r="UEZ28" s="1882"/>
      <c r="UFB28" s="1887"/>
      <c r="UFC28" s="1888"/>
      <c r="UFD28" s="1882"/>
      <c r="UFE28" s="1882"/>
      <c r="UFF28" s="1882"/>
      <c r="UFH28" s="1887"/>
      <c r="UFI28" s="1888"/>
      <c r="UFJ28" s="1882"/>
      <c r="UFK28" s="1882"/>
      <c r="UFL28" s="1882"/>
      <c r="UFN28" s="1887"/>
      <c r="UFO28" s="1888"/>
      <c r="UFP28" s="1882"/>
      <c r="UFQ28" s="1882"/>
      <c r="UFR28" s="1882"/>
      <c r="UFT28" s="1887"/>
      <c r="UFU28" s="1888"/>
      <c r="UFV28" s="1882"/>
      <c r="UFW28" s="1882"/>
      <c r="UFX28" s="1882"/>
      <c r="UFZ28" s="1887"/>
      <c r="UGA28" s="1888"/>
      <c r="UGB28" s="1882"/>
      <c r="UGC28" s="1882"/>
      <c r="UGD28" s="1882"/>
      <c r="UGF28" s="1887"/>
      <c r="UGG28" s="1888"/>
      <c r="UGH28" s="1882"/>
      <c r="UGI28" s="1882"/>
      <c r="UGJ28" s="1882"/>
      <c r="UGL28" s="1887"/>
      <c r="UGM28" s="1888"/>
      <c r="UGN28" s="1882"/>
      <c r="UGO28" s="1882"/>
      <c r="UGP28" s="1882"/>
      <c r="UGR28" s="1887"/>
      <c r="UGS28" s="1888"/>
      <c r="UGT28" s="1882"/>
      <c r="UGU28" s="1882"/>
      <c r="UGV28" s="1882"/>
      <c r="UGX28" s="1887"/>
      <c r="UGY28" s="1888"/>
      <c r="UGZ28" s="1882"/>
      <c r="UHA28" s="1882"/>
      <c r="UHB28" s="1882"/>
      <c r="UHD28" s="1887"/>
      <c r="UHE28" s="1888"/>
      <c r="UHF28" s="1882"/>
      <c r="UHG28" s="1882"/>
      <c r="UHH28" s="1882"/>
      <c r="UHJ28" s="1887"/>
      <c r="UHK28" s="1888"/>
      <c r="UHL28" s="1882"/>
      <c r="UHM28" s="1882"/>
      <c r="UHN28" s="1882"/>
      <c r="UHP28" s="1887"/>
      <c r="UHQ28" s="1888"/>
      <c r="UHR28" s="1882"/>
      <c r="UHS28" s="1882"/>
      <c r="UHT28" s="1882"/>
      <c r="UHV28" s="1887"/>
      <c r="UHW28" s="1888"/>
      <c r="UHX28" s="1882"/>
      <c r="UHY28" s="1882"/>
      <c r="UHZ28" s="1882"/>
      <c r="UIB28" s="1887"/>
      <c r="UIC28" s="1888"/>
      <c r="UID28" s="1882"/>
      <c r="UIE28" s="1882"/>
      <c r="UIF28" s="1882"/>
      <c r="UIH28" s="1887"/>
      <c r="UII28" s="1888"/>
      <c r="UIJ28" s="1882"/>
      <c r="UIK28" s="1882"/>
      <c r="UIL28" s="1882"/>
      <c r="UIN28" s="1887"/>
      <c r="UIO28" s="1888"/>
      <c r="UIP28" s="1882"/>
      <c r="UIQ28" s="1882"/>
      <c r="UIR28" s="1882"/>
      <c r="UIT28" s="1887"/>
      <c r="UIU28" s="1888"/>
      <c r="UIV28" s="1882"/>
      <c r="UIW28" s="1882"/>
      <c r="UIX28" s="1882"/>
      <c r="UIZ28" s="1887"/>
      <c r="UJA28" s="1888"/>
      <c r="UJB28" s="1882"/>
      <c r="UJC28" s="1882"/>
      <c r="UJD28" s="1882"/>
      <c r="UJF28" s="1887"/>
      <c r="UJG28" s="1888"/>
      <c r="UJH28" s="1882"/>
      <c r="UJI28" s="1882"/>
      <c r="UJJ28" s="1882"/>
      <c r="UJL28" s="1887"/>
      <c r="UJM28" s="1888"/>
      <c r="UJN28" s="1882"/>
      <c r="UJO28" s="1882"/>
      <c r="UJP28" s="1882"/>
      <c r="UJR28" s="1887"/>
      <c r="UJS28" s="1888"/>
      <c r="UJT28" s="1882"/>
      <c r="UJU28" s="1882"/>
      <c r="UJV28" s="1882"/>
      <c r="UJX28" s="1887"/>
      <c r="UJY28" s="1888"/>
      <c r="UJZ28" s="1882"/>
      <c r="UKA28" s="1882"/>
      <c r="UKB28" s="1882"/>
      <c r="UKD28" s="1887"/>
      <c r="UKE28" s="1888"/>
      <c r="UKF28" s="1882"/>
      <c r="UKG28" s="1882"/>
      <c r="UKH28" s="1882"/>
      <c r="UKJ28" s="1887"/>
      <c r="UKK28" s="1888"/>
      <c r="UKL28" s="1882"/>
      <c r="UKM28" s="1882"/>
      <c r="UKN28" s="1882"/>
      <c r="UKP28" s="1887"/>
      <c r="UKQ28" s="1888"/>
      <c r="UKR28" s="1882"/>
      <c r="UKS28" s="1882"/>
      <c r="UKT28" s="1882"/>
      <c r="UKV28" s="1887"/>
      <c r="UKW28" s="1888"/>
      <c r="UKX28" s="1882"/>
      <c r="UKY28" s="1882"/>
      <c r="UKZ28" s="1882"/>
      <c r="ULB28" s="1887"/>
      <c r="ULC28" s="1888"/>
      <c r="ULD28" s="1882"/>
      <c r="ULE28" s="1882"/>
      <c r="ULF28" s="1882"/>
      <c r="ULH28" s="1887"/>
      <c r="ULI28" s="1888"/>
      <c r="ULJ28" s="1882"/>
      <c r="ULK28" s="1882"/>
      <c r="ULL28" s="1882"/>
      <c r="ULN28" s="1887"/>
      <c r="ULO28" s="1888"/>
      <c r="ULP28" s="1882"/>
      <c r="ULQ28" s="1882"/>
      <c r="ULR28" s="1882"/>
      <c r="ULT28" s="1887"/>
      <c r="ULU28" s="1888"/>
      <c r="ULV28" s="1882"/>
      <c r="ULW28" s="1882"/>
      <c r="ULX28" s="1882"/>
      <c r="ULZ28" s="1887"/>
      <c r="UMA28" s="1888"/>
      <c r="UMB28" s="1882"/>
      <c r="UMC28" s="1882"/>
      <c r="UMD28" s="1882"/>
      <c r="UMF28" s="1887"/>
      <c r="UMG28" s="1888"/>
      <c r="UMH28" s="1882"/>
      <c r="UMI28" s="1882"/>
      <c r="UMJ28" s="1882"/>
      <c r="UML28" s="1887"/>
      <c r="UMM28" s="1888"/>
      <c r="UMN28" s="1882"/>
      <c r="UMO28" s="1882"/>
      <c r="UMP28" s="1882"/>
      <c r="UMR28" s="1887"/>
      <c r="UMS28" s="1888"/>
      <c r="UMT28" s="1882"/>
      <c r="UMU28" s="1882"/>
      <c r="UMV28" s="1882"/>
      <c r="UMX28" s="1887"/>
      <c r="UMY28" s="1888"/>
      <c r="UMZ28" s="1882"/>
      <c r="UNA28" s="1882"/>
      <c r="UNB28" s="1882"/>
      <c r="UND28" s="1887"/>
      <c r="UNE28" s="1888"/>
      <c r="UNF28" s="1882"/>
      <c r="UNG28" s="1882"/>
      <c r="UNH28" s="1882"/>
      <c r="UNJ28" s="1887"/>
      <c r="UNK28" s="1888"/>
      <c r="UNL28" s="1882"/>
      <c r="UNM28" s="1882"/>
      <c r="UNN28" s="1882"/>
      <c r="UNP28" s="1887"/>
      <c r="UNQ28" s="1888"/>
      <c r="UNR28" s="1882"/>
      <c r="UNS28" s="1882"/>
      <c r="UNT28" s="1882"/>
      <c r="UNV28" s="1887"/>
      <c r="UNW28" s="1888"/>
      <c r="UNX28" s="1882"/>
      <c r="UNY28" s="1882"/>
      <c r="UNZ28" s="1882"/>
      <c r="UOB28" s="1887"/>
      <c r="UOC28" s="1888"/>
      <c r="UOD28" s="1882"/>
      <c r="UOE28" s="1882"/>
      <c r="UOF28" s="1882"/>
      <c r="UOH28" s="1887"/>
      <c r="UOI28" s="1888"/>
      <c r="UOJ28" s="1882"/>
      <c r="UOK28" s="1882"/>
      <c r="UOL28" s="1882"/>
      <c r="UON28" s="1887"/>
      <c r="UOO28" s="1888"/>
      <c r="UOP28" s="1882"/>
      <c r="UOQ28" s="1882"/>
      <c r="UOR28" s="1882"/>
      <c r="UOT28" s="1887"/>
      <c r="UOU28" s="1888"/>
      <c r="UOV28" s="1882"/>
      <c r="UOW28" s="1882"/>
      <c r="UOX28" s="1882"/>
      <c r="UOZ28" s="1887"/>
      <c r="UPA28" s="1888"/>
      <c r="UPB28" s="1882"/>
      <c r="UPC28" s="1882"/>
      <c r="UPD28" s="1882"/>
      <c r="UPF28" s="1887"/>
      <c r="UPG28" s="1888"/>
      <c r="UPH28" s="1882"/>
      <c r="UPI28" s="1882"/>
      <c r="UPJ28" s="1882"/>
      <c r="UPL28" s="1887"/>
      <c r="UPM28" s="1888"/>
      <c r="UPN28" s="1882"/>
      <c r="UPO28" s="1882"/>
      <c r="UPP28" s="1882"/>
      <c r="UPR28" s="1887"/>
      <c r="UPS28" s="1888"/>
      <c r="UPT28" s="1882"/>
      <c r="UPU28" s="1882"/>
      <c r="UPV28" s="1882"/>
      <c r="UPX28" s="1887"/>
      <c r="UPY28" s="1888"/>
      <c r="UPZ28" s="1882"/>
      <c r="UQA28" s="1882"/>
      <c r="UQB28" s="1882"/>
      <c r="UQD28" s="1887"/>
      <c r="UQE28" s="1888"/>
      <c r="UQF28" s="1882"/>
      <c r="UQG28" s="1882"/>
      <c r="UQH28" s="1882"/>
      <c r="UQJ28" s="1887"/>
      <c r="UQK28" s="1888"/>
      <c r="UQL28" s="1882"/>
      <c r="UQM28" s="1882"/>
      <c r="UQN28" s="1882"/>
      <c r="UQP28" s="1887"/>
      <c r="UQQ28" s="1888"/>
      <c r="UQR28" s="1882"/>
      <c r="UQS28" s="1882"/>
      <c r="UQT28" s="1882"/>
      <c r="UQV28" s="1887"/>
      <c r="UQW28" s="1888"/>
      <c r="UQX28" s="1882"/>
      <c r="UQY28" s="1882"/>
      <c r="UQZ28" s="1882"/>
      <c r="URB28" s="1887"/>
      <c r="URC28" s="1888"/>
      <c r="URD28" s="1882"/>
      <c r="URE28" s="1882"/>
      <c r="URF28" s="1882"/>
      <c r="URH28" s="1887"/>
      <c r="URI28" s="1888"/>
      <c r="URJ28" s="1882"/>
      <c r="URK28" s="1882"/>
      <c r="URL28" s="1882"/>
      <c r="URN28" s="1887"/>
      <c r="URO28" s="1888"/>
      <c r="URP28" s="1882"/>
      <c r="URQ28" s="1882"/>
      <c r="URR28" s="1882"/>
      <c r="URT28" s="1887"/>
      <c r="URU28" s="1888"/>
      <c r="URV28" s="1882"/>
      <c r="URW28" s="1882"/>
      <c r="URX28" s="1882"/>
      <c r="URZ28" s="1887"/>
      <c r="USA28" s="1888"/>
      <c r="USB28" s="1882"/>
      <c r="USC28" s="1882"/>
      <c r="USD28" s="1882"/>
      <c r="USF28" s="1887"/>
      <c r="USG28" s="1888"/>
      <c r="USH28" s="1882"/>
      <c r="USI28" s="1882"/>
      <c r="USJ28" s="1882"/>
      <c r="USL28" s="1887"/>
      <c r="USM28" s="1888"/>
      <c r="USN28" s="1882"/>
      <c r="USO28" s="1882"/>
      <c r="USP28" s="1882"/>
      <c r="USR28" s="1887"/>
      <c r="USS28" s="1888"/>
      <c r="UST28" s="1882"/>
      <c r="USU28" s="1882"/>
      <c r="USV28" s="1882"/>
      <c r="USX28" s="1887"/>
      <c r="USY28" s="1888"/>
      <c r="USZ28" s="1882"/>
      <c r="UTA28" s="1882"/>
      <c r="UTB28" s="1882"/>
      <c r="UTD28" s="1887"/>
      <c r="UTE28" s="1888"/>
      <c r="UTF28" s="1882"/>
      <c r="UTG28" s="1882"/>
      <c r="UTH28" s="1882"/>
      <c r="UTJ28" s="1887"/>
      <c r="UTK28" s="1888"/>
      <c r="UTL28" s="1882"/>
      <c r="UTM28" s="1882"/>
      <c r="UTN28" s="1882"/>
      <c r="UTP28" s="1887"/>
      <c r="UTQ28" s="1888"/>
      <c r="UTR28" s="1882"/>
      <c r="UTS28" s="1882"/>
      <c r="UTT28" s="1882"/>
      <c r="UTV28" s="1887"/>
      <c r="UTW28" s="1888"/>
      <c r="UTX28" s="1882"/>
      <c r="UTY28" s="1882"/>
      <c r="UTZ28" s="1882"/>
      <c r="UUB28" s="1887"/>
      <c r="UUC28" s="1888"/>
      <c r="UUD28" s="1882"/>
      <c r="UUE28" s="1882"/>
      <c r="UUF28" s="1882"/>
      <c r="UUH28" s="1887"/>
      <c r="UUI28" s="1888"/>
      <c r="UUJ28" s="1882"/>
      <c r="UUK28" s="1882"/>
      <c r="UUL28" s="1882"/>
      <c r="UUN28" s="1887"/>
      <c r="UUO28" s="1888"/>
      <c r="UUP28" s="1882"/>
      <c r="UUQ28" s="1882"/>
      <c r="UUR28" s="1882"/>
      <c r="UUT28" s="1887"/>
      <c r="UUU28" s="1888"/>
      <c r="UUV28" s="1882"/>
      <c r="UUW28" s="1882"/>
      <c r="UUX28" s="1882"/>
      <c r="UUZ28" s="1887"/>
      <c r="UVA28" s="1888"/>
      <c r="UVB28" s="1882"/>
      <c r="UVC28" s="1882"/>
      <c r="UVD28" s="1882"/>
      <c r="UVF28" s="1887"/>
      <c r="UVG28" s="1888"/>
      <c r="UVH28" s="1882"/>
      <c r="UVI28" s="1882"/>
      <c r="UVJ28" s="1882"/>
      <c r="UVL28" s="1887"/>
      <c r="UVM28" s="1888"/>
      <c r="UVN28" s="1882"/>
      <c r="UVO28" s="1882"/>
      <c r="UVP28" s="1882"/>
      <c r="UVR28" s="1887"/>
      <c r="UVS28" s="1888"/>
      <c r="UVT28" s="1882"/>
      <c r="UVU28" s="1882"/>
      <c r="UVV28" s="1882"/>
      <c r="UVX28" s="1887"/>
      <c r="UVY28" s="1888"/>
      <c r="UVZ28" s="1882"/>
      <c r="UWA28" s="1882"/>
      <c r="UWB28" s="1882"/>
      <c r="UWD28" s="1887"/>
      <c r="UWE28" s="1888"/>
      <c r="UWF28" s="1882"/>
      <c r="UWG28" s="1882"/>
      <c r="UWH28" s="1882"/>
      <c r="UWJ28" s="1887"/>
      <c r="UWK28" s="1888"/>
      <c r="UWL28" s="1882"/>
      <c r="UWM28" s="1882"/>
      <c r="UWN28" s="1882"/>
      <c r="UWP28" s="1887"/>
      <c r="UWQ28" s="1888"/>
      <c r="UWR28" s="1882"/>
      <c r="UWS28" s="1882"/>
      <c r="UWT28" s="1882"/>
      <c r="UWV28" s="1887"/>
      <c r="UWW28" s="1888"/>
      <c r="UWX28" s="1882"/>
      <c r="UWY28" s="1882"/>
      <c r="UWZ28" s="1882"/>
      <c r="UXB28" s="1887"/>
      <c r="UXC28" s="1888"/>
      <c r="UXD28" s="1882"/>
      <c r="UXE28" s="1882"/>
      <c r="UXF28" s="1882"/>
      <c r="UXH28" s="1887"/>
      <c r="UXI28" s="1888"/>
      <c r="UXJ28" s="1882"/>
      <c r="UXK28" s="1882"/>
      <c r="UXL28" s="1882"/>
      <c r="UXN28" s="1887"/>
      <c r="UXO28" s="1888"/>
      <c r="UXP28" s="1882"/>
      <c r="UXQ28" s="1882"/>
      <c r="UXR28" s="1882"/>
      <c r="UXT28" s="1887"/>
      <c r="UXU28" s="1888"/>
      <c r="UXV28" s="1882"/>
      <c r="UXW28" s="1882"/>
      <c r="UXX28" s="1882"/>
      <c r="UXZ28" s="1887"/>
      <c r="UYA28" s="1888"/>
      <c r="UYB28" s="1882"/>
      <c r="UYC28" s="1882"/>
      <c r="UYD28" s="1882"/>
      <c r="UYF28" s="1887"/>
      <c r="UYG28" s="1888"/>
      <c r="UYH28" s="1882"/>
      <c r="UYI28" s="1882"/>
      <c r="UYJ28" s="1882"/>
      <c r="UYL28" s="1887"/>
      <c r="UYM28" s="1888"/>
      <c r="UYN28" s="1882"/>
      <c r="UYO28" s="1882"/>
      <c r="UYP28" s="1882"/>
      <c r="UYR28" s="1887"/>
      <c r="UYS28" s="1888"/>
      <c r="UYT28" s="1882"/>
      <c r="UYU28" s="1882"/>
      <c r="UYV28" s="1882"/>
      <c r="UYX28" s="1887"/>
      <c r="UYY28" s="1888"/>
      <c r="UYZ28" s="1882"/>
      <c r="UZA28" s="1882"/>
      <c r="UZB28" s="1882"/>
      <c r="UZD28" s="1887"/>
      <c r="UZE28" s="1888"/>
      <c r="UZF28" s="1882"/>
      <c r="UZG28" s="1882"/>
      <c r="UZH28" s="1882"/>
      <c r="UZJ28" s="1887"/>
      <c r="UZK28" s="1888"/>
      <c r="UZL28" s="1882"/>
      <c r="UZM28" s="1882"/>
      <c r="UZN28" s="1882"/>
      <c r="UZP28" s="1887"/>
      <c r="UZQ28" s="1888"/>
      <c r="UZR28" s="1882"/>
      <c r="UZS28" s="1882"/>
      <c r="UZT28" s="1882"/>
      <c r="UZV28" s="1887"/>
      <c r="UZW28" s="1888"/>
      <c r="UZX28" s="1882"/>
      <c r="UZY28" s="1882"/>
      <c r="UZZ28" s="1882"/>
      <c r="VAB28" s="1887"/>
      <c r="VAC28" s="1888"/>
      <c r="VAD28" s="1882"/>
      <c r="VAE28" s="1882"/>
      <c r="VAF28" s="1882"/>
      <c r="VAH28" s="1887"/>
      <c r="VAI28" s="1888"/>
      <c r="VAJ28" s="1882"/>
      <c r="VAK28" s="1882"/>
      <c r="VAL28" s="1882"/>
      <c r="VAN28" s="1887"/>
      <c r="VAO28" s="1888"/>
      <c r="VAP28" s="1882"/>
      <c r="VAQ28" s="1882"/>
      <c r="VAR28" s="1882"/>
      <c r="VAT28" s="1887"/>
      <c r="VAU28" s="1888"/>
      <c r="VAV28" s="1882"/>
      <c r="VAW28" s="1882"/>
      <c r="VAX28" s="1882"/>
      <c r="VAZ28" s="1887"/>
      <c r="VBA28" s="1888"/>
      <c r="VBB28" s="1882"/>
      <c r="VBC28" s="1882"/>
      <c r="VBD28" s="1882"/>
      <c r="VBF28" s="1887"/>
      <c r="VBG28" s="1888"/>
      <c r="VBH28" s="1882"/>
      <c r="VBI28" s="1882"/>
      <c r="VBJ28" s="1882"/>
      <c r="VBL28" s="1887"/>
      <c r="VBM28" s="1888"/>
      <c r="VBN28" s="1882"/>
      <c r="VBO28" s="1882"/>
      <c r="VBP28" s="1882"/>
      <c r="VBR28" s="1887"/>
      <c r="VBS28" s="1888"/>
      <c r="VBT28" s="1882"/>
      <c r="VBU28" s="1882"/>
      <c r="VBV28" s="1882"/>
      <c r="VBX28" s="1887"/>
      <c r="VBY28" s="1888"/>
      <c r="VBZ28" s="1882"/>
      <c r="VCA28" s="1882"/>
      <c r="VCB28" s="1882"/>
      <c r="VCD28" s="1887"/>
      <c r="VCE28" s="1888"/>
      <c r="VCF28" s="1882"/>
      <c r="VCG28" s="1882"/>
      <c r="VCH28" s="1882"/>
      <c r="VCJ28" s="1887"/>
      <c r="VCK28" s="1888"/>
      <c r="VCL28" s="1882"/>
      <c r="VCM28" s="1882"/>
      <c r="VCN28" s="1882"/>
      <c r="VCP28" s="1887"/>
      <c r="VCQ28" s="1888"/>
      <c r="VCR28" s="1882"/>
      <c r="VCS28" s="1882"/>
      <c r="VCT28" s="1882"/>
      <c r="VCV28" s="1887"/>
      <c r="VCW28" s="1888"/>
      <c r="VCX28" s="1882"/>
      <c r="VCY28" s="1882"/>
      <c r="VCZ28" s="1882"/>
      <c r="VDB28" s="1887"/>
      <c r="VDC28" s="1888"/>
      <c r="VDD28" s="1882"/>
      <c r="VDE28" s="1882"/>
      <c r="VDF28" s="1882"/>
      <c r="VDH28" s="1887"/>
      <c r="VDI28" s="1888"/>
      <c r="VDJ28" s="1882"/>
      <c r="VDK28" s="1882"/>
      <c r="VDL28" s="1882"/>
      <c r="VDN28" s="1887"/>
      <c r="VDO28" s="1888"/>
      <c r="VDP28" s="1882"/>
      <c r="VDQ28" s="1882"/>
      <c r="VDR28" s="1882"/>
      <c r="VDT28" s="1887"/>
      <c r="VDU28" s="1888"/>
      <c r="VDV28" s="1882"/>
      <c r="VDW28" s="1882"/>
      <c r="VDX28" s="1882"/>
      <c r="VDZ28" s="1887"/>
      <c r="VEA28" s="1888"/>
      <c r="VEB28" s="1882"/>
      <c r="VEC28" s="1882"/>
      <c r="VED28" s="1882"/>
      <c r="VEF28" s="1887"/>
      <c r="VEG28" s="1888"/>
      <c r="VEH28" s="1882"/>
      <c r="VEI28" s="1882"/>
      <c r="VEJ28" s="1882"/>
      <c r="VEL28" s="1887"/>
      <c r="VEM28" s="1888"/>
      <c r="VEN28" s="1882"/>
      <c r="VEO28" s="1882"/>
      <c r="VEP28" s="1882"/>
      <c r="VER28" s="1887"/>
      <c r="VES28" s="1888"/>
      <c r="VET28" s="1882"/>
      <c r="VEU28" s="1882"/>
      <c r="VEV28" s="1882"/>
      <c r="VEX28" s="1887"/>
      <c r="VEY28" s="1888"/>
      <c r="VEZ28" s="1882"/>
      <c r="VFA28" s="1882"/>
      <c r="VFB28" s="1882"/>
      <c r="VFD28" s="1887"/>
      <c r="VFE28" s="1888"/>
      <c r="VFF28" s="1882"/>
      <c r="VFG28" s="1882"/>
      <c r="VFH28" s="1882"/>
      <c r="VFJ28" s="1887"/>
      <c r="VFK28" s="1888"/>
      <c r="VFL28" s="1882"/>
      <c r="VFM28" s="1882"/>
      <c r="VFN28" s="1882"/>
      <c r="VFP28" s="1887"/>
      <c r="VFQ28" s="1888"/>
      <c r="VFR28" s="1882"/>
      <c r="VFS28" s="1882"/>
      <c r="VFT28" s="1882"/>
      <c r="VFV28" s="1887"/>
      <c r="VFW28" s="1888"/>
      <c r="VFX28" s="1882"/>
      <c r="VFY28" s="1882"/>
      <c r="VFZ28" s="1882"/>
      <c r="VGB28" s="1887"/>
      <c r="VGC28" s="1888"/>
      <c r="VGD28" s="1882"/>
      <c r="VGE28" s="1882"/>
      <c r="VGF28" s="1882"/>
      <c r="VGH28" s="1887"/>
      <c r="VGI28" s="1888"/>
      <c r="VGJ28" s="1882"/>
      <c r="VGK28" s="1882"/>
      <c r="VGL28" s="1882"/>
      <c r="VGN28" s="1887"/>
      <c r="VGO28" s="1888"/>
      <c r="VGP28" s="1882"/>
      <c r="VGQ28" s="1882"/>
      <c r="VGR28" s="1882"/>
      <c r="VGT28" s="1887"/>
      <c r="VGU28" s="1888"/>
      <c r="VGV28" s="1882"/>
      <c r="VGW28" s="1882"/>
      <c r="VGX28" s="1882"/>
      <c r="VGZ28" s="1887"/>
      <c r="VHA28" s="1888"/>
      <c r="VHB28" s="1882"/>
      <c r="VHC28" s="1882"/>
      <c r="VHD28" s="1882"/>
      <c r="VHF28" s="1887"/>
      <c r="VHG28" s="1888"/>
      <c r="VHH28" s="1882"/>
      <c r="VHI28" s="1882"/>
      <c r="VHJ28" s="1882"/>
      <c r="VHL28" s="1887"/>
      <c r="VHM28" s="1888"/>
      <c r="VHN28" s="1882"/>
      <c r="VHO28" s="1882"/>
      <c r="VHP28" s="1882"/>
      <c r="VHR28" s="1887"/>
      <c r="VHS28" s="1888"/>
      <c r="VHT28" s="1882"/>
      <c r="VHU28" s="1882"/>
      <c r="VHV28" s="1882"/>
      <c r="VHX28" s="1887"/>
      <c r="VHY28" s="1888"/>
      <c r="VHZ28" s="1882"/>
      <c r="VIA28" s="1882"/>
      <c r="VIB28" s="1882"/>
      <c r="VID28" s="1887"/>
      <c r="VIE28" s="1888"/>
      <c r="VIF28" s="1882"/>
      <c r="VIG28" s="1882"/>
      <c r="VIH28" s="1882"/>
      <c r="VIJ28" s="1887"/>
      <c r="VIK28" s="1888"/>
      <c r="VIL28" s="1882"/>
      <c r="VIM28" s="1882"/>
      <c r="VIN28" s="1882"/>
      <c r="VIP28" s="1887"/>
      <c r="VIQ28" s="1888"/>
      <c r="VIR28" s="1882"/>
      <c r="VIS28" s="1882"/>
      <c r="VIT28" s="1882"/>
      <c r="VIV28" s="1887"/>
      <c r="VIW28" s="1888"/>
      <c r="VIX28" s="1882"/>
      <c r="VIY28" s="1882"/>
      <c r="VIZ28" s="1882"/>
      <c r="VJB28" s="1887"/>
      <c r="VJC28" s="1888"/>
      <c r="VJD28" s="1882"/>
      <c r="VJE28" s="1882"/>
      <c r="VJF28" s="1882"/>
      <c r="VJH28" s="1887"/>
      <c r="VJI28" s="1888"/>
      <c r="VJJ28" s="1882"/>
      <c r="VJK28" s="1882"/>
      <c r="VJL28" s="1882"/>
      <c r="VJN28" s="1887"/>
      <c r="VJO28" s="1888"/>
      <c r="VJP28" s="1882"/>
      <c r="VJQ28" s="1882"/>
      <c r="VJR28" s="1882"/>
      <c r="VJT28" s="1887"/>
      <c r="VJU28" s="1888"/>
      <c r="VJV28" s="1882"/>
      <c r="VJW28" s="1882"/>
      <c r="VJX28" s="1882"/>
      <c r="VJZ28" s="1887"/>
      <c r="VKA28" s="1888"/>
      <c r="VKB28" s="1882"/>
      <c r="VKC28" s="1882"/>
      <c r="VKD28" s="1882"/>
      <c r="VKF28" s="1887"/>
      <c r="VKG28" s="1888"/>
      <c r="VKH28" s="1882"/>
      <c r="VKI28" s="1882"/>
      <c r="VKJ28" s="1882"/>
      <c r="VKL28" s="1887"/>
      <c r="VKM28" s="1888"/>
      <c r="VKN28" s="1882"/>
      <c r="VKO28" s="1882"/>
      <c r="VKP28" s="1882"/>
      <c r="VKR28" s="1887"/>
      <c r="VKS28" s="1888"/>
      <c r="VKT28" s="1882"/>
      <c r="VKU28" s="1882"/>
      <c r="VKV28" s="1882"/>
      <c r="VKX28" s="1887"/>
      <c r="VKY28" s="1888"/>
      <c r="VKZ28" s="1882"/>
      <c r="VLA28" s="1882"/>
      <c r="VLB28" s="1882"/>
      <c r="VLD28" s="1887"/>
      <c r="VLE28" s="1888"/>
      <c r="VLF28" s="1882"/>
      <c r="VLG28" s="1882"/>
      <c r="VLH28" s="1882"/>
      <c r="VLJ28" s="1887"/>
      <c r="VLK28" s="1888"/>
      <c r="VLL28" s="1882"/>
      <c r="VLM28" s="1882"/>
      <c r="VLN28" s="1882"/>
      <c r="VLP28" s="1887"/>
      <c r="VLQ28" s="1888"/>
      <c r="VLR28" s="1882"/>
      <c r="VLS28" s="1882"/>
      <c r="VLT28" s="1882"/>
      <c r="VLV28" s="1887"/>
      <c r="VLW28" s="1888"/>
      <c r="VLX28" s="1882"/>
      <c r="VLY28" s="1882"/>
      <c r="VLZ28" s="1882"/>
      <c r="VMB28" s="1887"/>
      <c r="VMC28" s="1888"/>
      <c r="VMD28" s="1882"/>
      <c r="VME28" s="1882"/>
      <c r="VMF28" s="1882"/>
      <c r="VMH28" s="1887"/>
      <c r="VMI28" s="1888"/>
      <c r="VMJ28" s="1882"/>
      <c r="VMK28" s="1882"/>
      <c r="VML28" s="1882"/>
      <c r="VMN28" s="1887"/>
      <c r="VMO28" s="1888"/>
      <c r="VMP28" s="1882"/>
      <c r="VMQ28" s="1882"/>
      <c r="VMR28" s="1882"/>
      <c r="VMT28" s="1887"/>
      <c r="VMU28" s="1888"/>
      <c r="VMV28" s="1882"/>
      <c r="VMW28" s="1882"/>
      <c r="VMX28" s="1882"/>
      <c r="VMZ28" s="1887"/>
      <c r="VNA28" s="1888"/>
      <c r="VNB28" s="1882"/>
      <c r="VNC28" s="1882"/>
      <c r="VND28" s="1882"/>
      <c r="VNF28" s="1887"/>
      <c r="VNG28" s="1888"/>
      <c r="VNH28" s="1882"/>
      <c r="VNI28" s="1882"/>
      <c r="VNJ28" s="1882"/>
      <c r="VNL28" s="1887"/>
      <c r="VNM28" s="1888"/>
      <c r="VNN28" s="1882"/>
      <c r="VNO28" s="1882"/>
      <c r="VNP28" s="1882"/>
      <c r="VNR28" s="1887"/>
      <c r="VNS28" s="1888"/>
      <c r="VNT28" s="1882"/>
      <c r="VNU28" s="1882"/>
      <c r="VNV28" s="1882"/>
      <c r="VNX28" s="1887"/>
      <c r="VNY28" s="1888"/>
      <c r="VNZ28" s="1882"/>
      <c r="VOA28" s="1882"/>
      <c r="VOB28" s="1882"/>
      <c r="VOD28" s="1887"/>
      <c r="VOE28" s="1888"/>
      <c r="VOF28" s="1882"/>
      <c r="VOG28" s="1882"/>
      <c r="VOH28" s="1882"/>
      <c r="VOJ28" s="1887"/>
      <c r="VOK28" s="1888"/>
      <c r="VOL28" s="1882"/>
      <c r="VOM28" s="1882"/>
      <c r="VON28" s="1882"/>
      <c r="VOP28" s="1887"/>
      <c r="VOQ28" s="1888"/>
      <c r="VOR28" s="1882"/>
      <c r="VOS28" s="1882"/>
      <c r="VOT28" s="1882"/>
      <c r="VOV28" s="1887"/>
      <c r="VOW28" s="1888"/>
      <c r="VOX28" s="1882"/>
      <c r="VOY28" s="1882"/>
      <c r="VOZ28" s="1882"/>
      <c r="VPB28" s="1887"/>
      <c r="VPC28" s="1888"/>
      <c r="VPD28" s="1882"/>
      <c r="VPE28" s="1882"/>
      <c r="VPF28" s="1882"/>
      <c r="VPH28" s="1887"/>
      <c r="VPI28" s="1888"/>
      <c r="VPJ28" s="1882"/>
      <c r="VPK28" s="1882"/>
      <c r="VPL28" s="1882"/>
      <c r="VPN28" s="1887"/>
      <c r="VPO28" s="1888"/>
      <c r="VPP28" s="1882"/>
      <c r="VPQ28" s="1882"/>
      <c r="VPR28" s="1882"/>
      <c r="VPT28" s="1887"/>
      <c r="VPU28" s="1888"/>
      <c r="VPV28" s="1882"/>
      <c r="VPW28" s="1882"/>
      <c r="VPX28" s="1882"/>
      <c r="VPZ28" s="1887"/>
      <c r="VQA28" s="1888"/>
      <c r="VQB28" s="1882"/>
      <c r="VQC28" s="1882"/>
      <c r="VQD28" s="1882"/>
      <c r="VQF28" s="1887"/>
      <c r="VQG28" s="1888"/>
      <c r="VQH28" s="1882"/>
      <c r="VQI28" s="1882"/>
      <c r="VQJ28" s="1882"/>
      <c r="VQL28" s="1887"/>
      <c r="VQM28" s="1888"/>
      <c r="VQN28" s="1882"/>
      <c r="VQO28" s="1882"/>
      <c r="VQP28" s="1882"/>
      <c r="VQR28" s="1887"/>
      <c r="VQS28" s="1888"/>
      <c r="VQT28" s="1882"/>
      <c r="VQU28" s="1882"/>
      <c r="VQV28" s="1882"/>
      <c r="VQX28" s="1887"/>
      <c r="VQY28" s="1888"/>
      <c r="VQZ28" s="1882"/>
      <c r="VRA28" s="1882"/>
      <c r="VRB28" s="1882"/>
      <c r="VRD28" s="1887"/>
      <c r="VRE28" s="1888"/>
      <c r="VRF28" s="1882"/>
      <c r="VRG28" s="1882"/>
      <c r="VRH28" s="1882"/>
      <c r="VRJ28" s="1887"/>
      <c r="VRK28" s="1888"/>
      <c r="VRL28" s="1882"/>
      <c r="VRM28" s="1882"/>
      <c r="VRN28" s="1882"/>
      <c r="VRP28" s="1887"/>
      <c r="VRQ28" s="1888"/>
      <c r="VRR28" s="1882"/>
      <c r="VRS28" s="1882"/>
      <c r="VRT28" s="1882"/>
      <c r="VRV28" s="1887"/>
      <c r="VRW28" s="1888"/>
      <c r="VRX28" s="1882"/>
      <c r="VRY28" s="1882"/>
      <c r="VRZ28" s="1882"/>
      <c r="VSB28" s="1887"/>
      <c r="VSC28" s="1888"/>
      <c r="VSD28" s="1882"/>
      <c r="VSE28" s="1882"/>
      <c r="VSF28" s="1882"/>
      <c r="VSH28" s="1887"/>
      <c r="VSI28" s="1888"/>
      <c r="VSJ28" s="1882"/>
      <c r="VSK28" s="1882"/>
      <c r="VSL28" s="1882"/>
      <c r="VSN28" s="1887"/>
      <c r="VSO28" s="1888"/>
      <c r="VSP28" s="1882"/>
      <c r="VSQ28" s="1882"/>
      <c r="VSR28" s="1882"/>
      <c r="VST28" s="1887"/>
      <c r="VSU28" s="1888"/>
      <c r="VSV28" s="1882"/>
      <c r="VSW28" s="1882"/>
      <c r="VSX28" s="1882"/>
      <c r="VSZ28" s="1887"/>
      <c r="VTA28" s="1888"/>
      <c r="VTB28" s="1882"/>
      <c r="VTC28" s="1882"/>
      <c r="VTD28" s="1882"/>
      <c r="VTF28" s="1887"/>
      <c r="VTG28" s="1888"/>
      <c r="VTH28" s="1882"/>
      <c r="VTI28" s="1882"/>
      <c r="VTJ28" s="1882"/>
      <c r="VTL28" s="1887"/>
      <c r="VTM28" s="1888"/>
      <c r="VTN28" s="1882"/>
      <c r="VTO28" s="1882"/>
      <c r="VTP28" s="1882"/>
      <c r="VTR28" s="1887"/>
      <c r="VTS28" s="1888"/>
      <c r="VTT28" s="1882"/>
      <c r="VTU28" s="1882"/>
      <c r="VTV28" s="1882"/>
      <c r="VTX28" s="1887"/>
      <c r="VTY28" s="1888"/>
      <c r="VTZ28" s="1882"/>
      <c r="VUA28" s="1882"/>
      <c r="VUB28" s="1882"/>
      <c r="VUD28" s="1887"/>
      <c r="VUE28" s="1888"/>
      <c r="VUF28" s="1882"/>
      <c r="VUG28" s="1882"/>
      <c r="VUH28" s="1882"/>
      <c r="VUJ28" s="1887"/>
      <c r="VUK28" s="1888"/>
      <c r="VUL28" s="1882"/>
      <c r="VUM28" s="1882"/>
      <c r="VUN28" s="1882"/>
      <c r="VUP28" s="1887"/>
      <c r="VUQ28" s="1888"/>
      <c r="VUR28" s="1882"/>
      <c r="VUS28" s="1882"/>
      <c r="VUT28" s="1882"/>
      <c r="VUV28" s="1887"/>
      <c r="VUW28" s="1888"/>
      <c r="VUX28" s="1882"/>
      <c r="VUY28" s="1882"/>
      <c r="VUZ28" s="1882"/>
      <c r="VVB28" s="1887"/>
      <c r="VVC28" s="1888"/>
      <c r="VVD28" s="1882"/>
      <c r="VVE28" s="1882"/>
      <c r="VVF28" s="1882"/>
      <c r="VVH28" s="1887"/>
      <c r="VVI28" s="1888"/>
      <c r="VVJ28" s="1882"/>
      <c r="VVK28" s="1882"/>
      <c r="VVL28" s="1882"/>
      <c r="VVN28" s="1887"/>
      <c r="VVO28" s="1888"/>
      <c r="VVP28" s="1882"/>
      <c r="VVQ28" s="1882"/>
      <c r="VVR28" s="1882"/>
      <c r="VVT28" s="1887"/>
      <c r="VVU28" s="1888"/>
      <c r="VVV28" s="1882"/>
      <c r="VVW28" s="1882"/>
      <c r="VVX28" s="1882"/>
      <c r="VVZ28" s="1887"/>
      <c r="VWA28" s="1888"/>
      <c r="VWB28" s="1882"/>
      <c r="VWC28" s="1882"/>
      <c r="VWD28" s="1882"/>
      <c r="VWF28" s="1887"/>
      <c r="VWG28" s="1888"/>
      <c r="VWH28" s="1882"/>
      <c r="VWI28" s="1882"/>
      <c r="VWJ28" s="1882"/>
      <c r="VWL28" s="1887"/>
      <c r="VWM28" s="1888"/>
      <c r="VWN28" s="1882"/>
      <c r="VWO28" s="1882"/>
      <c r="VWP28" s="1882"/>
      <c r="VWR28" s="1887"/>
      <c r="VWS28" s="1888"/>
      <c r="VWT28" s="1882"/>
      <c r="VWU28" s="1882"/>
      <c r="VWV28" s="1882"/>
      <c r="VWX28" s="1887"/>
      <c r="VWY28" s="1888"/>
      <c r="VWZ28" s="1882"/>
      <c r="VXA28" s="1882"/>
      <c r="VXB28" s="1882"/>
      <c r="VXD28" s="1887"/>
      <c r="VXE28" s="1888"/>
      <c r="VXF28" s="1882"/>
      <c r="VXG28" s="1882"/>
      <c r="VXH28" s="1882"/>
      <c r="VXJ28" s="1887"/>
      <c r="VXK28" s="1888"/>
      <c r="VXL28" s="1882"/>
      <c r="VXM28" s="1882"/>
      <c r="VXN28" s="1882"/>
      <c r="VXP28" s="1887"/>
      <c r="VXQ28" s="1888"/>
      <c r="VXR28" s="1882"/>
      <c r="VXS28" s="1882"/>
      <c r="VXT28" s="1882"/>
      <c r="VXV28" s="1887"/>
      <c r="VXW28" s="1888"/>
      <c r="VXX28" s="1882"/>
      <c r="VXY28" s="1882"/>
      <c r="VXZ28" s="1882"/>
      <c r="VYB28" s="1887"/>
      <c r="VYC28" s="1888"/>
      <c r="VYD28" s="1882"/>
      <c r="VYE28" s="1882"/>
      <c r="VYF28" s="1882"/>
      <c r="VYH28" s="1887"/>
      <c r="VYI28" s="1888"/>
      <c r="VYJ28" s="1882"/>
      <c r="VYK28" s="1882"/>
      <c r="VYL28" s="1882"/>
      <c r="VYN28" s="1887"/>
      <c r="VYO28" s="1888"/>
      <c r="VYP28" s="1882"/>
      <c r="VYQ28" s="1882"/>
      <c r="VYR28" s="1882"/>
      <c r="VYT28" s="1887"/>
      <c r="VYU28" s="1888"/>
      <c r="VYV28" s="1882"/>
      <c r="VYW28" s="1882"/>
      <c r="VYX28" s="1882"/>
      <c r="VYZ28" s="1887"/>
      <c r="VZA28" s="1888"/>
      <c r="VZB28" s="1882"/>
      <c r="VZC28" s="1882"/>
      <c r="VZD28" s="1882"/>
      <c r="VZF28" s="1887"/>
      <c r="VZG28" s="1888"/>
      <c r="VZH28" s="1882"/>
      <c r="VZI28" s="1882"/>
      <c r="VZJ28" s="1882"/>
      <c r="VZL28" s="1887"/>
      <c r="VZM28" s="1888"/>
      <c r="VZN28" s="1882"/>
      <c r="VZO28" s="1882"/>
      <c r="VZP28" s="1882"/>
      <c r="VZR28" s="1887"/>
      <c r="VZS28" s="1888"/>
      <c r="VZT28" s="1882"/>
      <c r="VZU28" s="1882"/>
      <c r="VZV28" s="1882"/>
      <c r="VZX28" s="1887"/>
      <c r="VZY28" s="1888"/>
      <c r="VZZ28" s="1882"/>
      <c r="WAA28" s="1882"/>
      <c r="WAB28" s="1882"/>
      <c r="WAD28" s="1887"/>
      <c r="WAE28" s="1888"/>
      <c r="WAF28" s="1882"/>
      <c r="WAG28" s="1882"/>
      <c r="WAH28" s="1882"/>
      <c r="WAJ28" s="1887"/>
      <c r="WAK28" s="1888"/>
      <c r="WAL28" s="1882"/>
      <c r="WAM28" s="1882"/>
      <c r="WAN28" s="1882"/>
      <c r="WAP28" s="1887"/>
      <c r="WAQ28" s="1888"/>
      <c r="WAR28" s="1882"/>
      <c r="WAS28" s="1882"/>
      <c r="WAT28" s="1882"/>
      <c r="WAV28" s="1887"/>
      <c r="WAW28" s="1888"/>
      <c r="WAX28" s="1882"/>
      <c r="WAY28" s="1882"/>
      <c r="WAZ28" s="1882"/>
      <c r="WBB28" s="1887"/>
      <c r="WBC28" s="1888"/>
      <c r="WBD28" s="1882"/>
      <c r="WBE28" s="1882"/>
      <c r="WBF28" s="1882"/>
      <c r="WBH28" s="1887"/>
      <c r="WBI28" s="1888"/>
      <c r="WBJ28" s="1882"/>
      <c r="WBK28" s="1882"/>
      <c r="WBL28" s="1882"/>
      <c r="WBN28" s="1887"/>
      <c r="WBO28" s="1888"/>
      <c r="WBP28" s="1882"/>
      <c r="WBQ28" s="1882"/>
      <c r="WBR28" s="1882"/>
      <c r="WBT28" s="1887"/>
      <c r="WBU28" s="1888"/>
      <c r="WBV28" s="1882"/>
      <c r="WBW28" s="1882"/>
      <c r="WBX28" s="1882"/>
      <c r="WBZ28" s="1887"/>
      <c r="WCA28" s="1888"/>
      <c r="WCB28" s="1882"/>
      <c r="WCC28" s="1882"/>
      <c r="WCD28" s="1882"/>
      <c r="WCF28" s="1887"/>
      <c r="WCG28" s="1888"/>
      <c r="WCH28" s="1882"/>
      <c r="WCI28" s="1882"/>
      <c r="WCJ28" s="1882"/>
      <c r="WCL28" s="1887"/>
      <c r="WCM28" s="1888"/>
      <c r="WCN28" s="1882"/>
      <c r="WCO28" s="1882"/>
      <c r="WCP28" s="1882"/>
      <c r="WCR28" s="1887"/>
      <c r="WCS28" s="1888"/>
      <c r="WCT28" s="1882"/>
      <c r="WCU28" s="1882"/>
      <c r="WCV28" s="1882"/>
      <c r="WCX28" s="1887"/>
      <c r="WCY28" s="1888"/>
      <c r="WCZ28" s="1882"/>
      <c r="WDA28" s="1882"/>
      <c r="WDB28" s="1882"/>
      <c r="WDD28" s="1887"/>
      <c r="WDE28" s="1888"/>
      <c r="WDF28" s="1882"/>
      <c r="WDG28" s="1882"/>
      <c r="WDH28" s="1882"/>
      <c r="WDJ28" s="1887"/>
      <c r="WDK28" s="1888"/>
      <c r="WDL28" s="1882"/>
      <c r="WDM28" s="1882"/>
      <c r="WDN28" s="1882"/>
      <c r="WDP28" s="1887"/>
      <c r="WDQ28" s="1888"/>
      <c r="WDR28" s="1882"/>
      <c r="WDS28" s="1882"/>
      <c r="WDT28" s="1882"/>
      <c r="WDV28" s="1887"/>
      <c r="WDW28" s="1888"/>
      <c r="WDX28" s="1882"/>
      <c r="WDY28" s="1882"/>
      <c r="WDZ28" s="1882"/>
      <c r="WEB28" s="1887"/>
      <c r="WEC28" s="1888"/>
      <c r="WED28" s="1882"/>
      <c r="WEE28" s="1882"/>
      <c r="WEF28" s="1882"/>
      <c r="WEH28" s="1887"/>
      <c r="WEI28" s="1888"/>
      <c r="WEJ28" s="1882"/>
      <c r="WEK28" s="1882"/>
      <c r="WEL28" s="1882"/>
      <c r="WEN28" s="1887"/>
      <c r="WEO28" s="1888"/>
      <c r="WEP28" s="1882"/>
      <c r="WEQ28" s="1882"/>
      <c r="WER28" s="1882"/>
      <c r="WET28" s="1887"/>
      <c r="WEU28" s="1888"/>
      <c r="WEV28" s="1882"/>
      <c r="WEW28" s="1882"/>
      <c r="WEX28" s="1882"/>
      <c r="WEZ28" s="1887"/>
      <c r="WFA28" s="1888"/>
      <c r="WFB28" s="1882"/>
      <c r="WFC28" s="1882"/>
      <c r="WFD28" s="1882"/>
      <c r="WFF28" s="1887"/>
      <c r="WFG28" s="1888"/>
      <c r="WFH28" s="1882"/>
      <c r="WFI28" s="1882"/>
      <c r="WFJ28" s="1882"/>
      <c r="WFL28" s="1887"/>
      <c r="WFM28" s="1888"/>
      <c r="WFN28" s="1882"/>
      <c r="WFO28" s="1882"/>
      <c r="WFP28" s="1882"/>
      <c r="WFR28" s="1887"/>
      <c r="WFS28" s="1888"/>
      <c r="WFT28" s="1882"/>
      <c r="WFU28" s="1882"/>
      <c r="WFV28" s="1882"/>
      <c r="WFX28" s="1887"/>
      <c r="WFY28" s="1888"/>
      <c r="WFZ28" s="1882"/>
      <c r="WGA28" s="1882"/>
      <c r="WGB28" s="1882"/>
      <c r="WGD28" s="1887"/>
      <c r="WGE28" s="1888"/>
      <c r="WGF28" s="1882"/>
      <c r="WGG28" s="1882"/>
      <c r="WGH28" s="1882"/>
      <c r="WGJ28" s="1887"/>
      <c r="WGK28" s="1888"/>
      <c r="WGL28" s="1882"/>
      <c r="WGM28" s="1882"/>
      <c r="WGN28" s="1882"/>
      <c r="WGP28" s="1887"/>
      <c r="WGQ28" s="1888"/>
      <c r="WGR28" s="1882"/>
      <c r="WGS28" s="1882"/>
      <c r="WGT28" s="1882"/>
      <c r="WGV28" s="1887"/>
      <c r="WGW28" s="1888"/>
      <c r="WGX28" s="1882"/>
      <c r="WGY28" s="1882"/>
      <c r="WGZ28" s="1882"/>
      <c r="WHB28" s="1887"/>
      <c r="WHC28" s="1888"/>
      <c r="WHD28" s="1882"/>
      <c r="WHE28" s="1882"/>
      <c r="WHF28" s="1882"/>
      <c r="WHH28" s="1887"/>
      <c r="WHI28" s="1888"/>
      <c r="WHJ28" s="1882"/>
      <c r="WHK28" s="1882"/>
      <c r="WHL28" s="1882"/>
      <c r="WHN28" s="1887"/>
      <c r="WHO28" s="1888"/>
      <c r="WHP28" s="1882"/>
      <c r="WHQ28" s="1882"/>
      <c r="WHR28" s="1882"/>
      <c r="WHT28" s="1887"/>
      <c r="WHU28" s="1888"/>
      <c r="WHV28" s="1882"/>
      <c r="WHW28" s="1882"/>
      <c r="WHX28" s="1882"/>
      <c r="WHZ28" s="1887"/>
      <c r="WIA28" s="1888"/>
      <c r="WIB28" s="1882"/>
      <c r="WIC28" s="1882"/>
      <c r="WID28" s="1882"/>
      <c r="WIF28" s="1887"/>
      <c r="WIG28" s="1888"/>
      <c r="WIH28" s="1882"/>
      <c r="WII28" s="1882"/>
      <c r="WIJ28" s="1882"/>
      <c r="WIL28" s="1887"/>
      <c r="WIM28" s="1888"/>
      <c r="WIN28" s="1882"/>
      <c r="WIO28" s="1882"/>
      <c r="WIP28" s="1882"/>
      <c r="WIR28" s="1887"/>
      <c r="WIS28" s="1888"/>
      <c r="WIT28" s="1882"/>
      <c r="WIU28" s="1882"/>
      <c r="WIV28" s="1882"/>
      <c r="WIX28" s="1887"/>
      <c r="WIY28" s="1888"/>
      <c r="WIZ28" s="1882"/>
      <c r="WJA28" s="1882"/>
      <c r="WJB28" s="1882"/>
      <c r="WJD28" s="1887"/>
      <c r="WJE28" s="1888"/>
      <c r="WJF28" s="1882"/>
      <c r="WJG28" s="1882"/>
      <c r="WJH28" s="1882"/>
      <c r="WJJ28" s="1887"/>
      <c r="WJK28" s="1888"/>
      <c r="WJL28" s="1882"/>
      <c r="WJM28" s="1882"/>
      <c r="WJN28" s="1882"/>
      <c r="WJP28" s="1887"/>
      <c r="WJQ28" s="1888"/>
      <c r="WJR28" s="1882"/>
      <c r="WJS28" s="1882"/>
      <c r="WJT28" s="1882"/>
      <c r="WJV28" s="1887"/>
      <c r="WJW28" s="1888"/>
      <c r="WJX28" s="1882"/>
      <c r="WJY28" s="1882"/>
      <c r="WJZ28" s="1882"/>
      <c r="WKB28" s="1887"/>
      <c r="WKC28" s="1888"/>
      <c r="WKD28" s="1882"/>
      <c r="WKE28" s="1882"/>
      <c r="WKF28" s="1882"/>
      <c r="WKH28" s="1887"/>
      <c r="WKI28" s="1888"/>
      <c r="WKJ28" s="1882"/>
      <c r="WKK28" s="1882"/>
      <c r="WKL28" s="1882"/>
      <c r="WKN28" s="1887"/>
      <c r="WKO28" s="1888"/>
      <c r="WKP28" s="1882"/>
      <c r="WKQ28" s="1882"/>
      <c r="WKR28" s="1882"/>
      <c r="WKT28" s="1887"/>
      <c r="WKU28" s="1888"/>
      <c r="WKV28" s="1882"/>
      <c r="WKW28" s="1882"/>
      <c r="WKX28" s="1882"/>
      <c r="WKZ28" s="1887"/>
      <c r="WLA28" s="1888"/>
      <c r="WLB28" s="1882"/>
      <c r="WLC28" s="1882"/>
      <c r="WLD28" s="1882"/>
      <c r="WLF28" s="1887"/>
      <c r="WLG28" s="1888"/>
      <c r="WLH28" s="1882"/>
      <c r="WLI28" s="1882"/>
      <c r="WLJ28" s="1882"/>
      <c r="WLL28" s="1887"/>
      <c r="WLM28" s="1888"/>
      <c r="WLN28" s="1882"/>
      <c r="WLO28" s="1882"/>
      <c r="WLP28" s="1882"/>
      <c r="WLR28" s="1887"/>
      <c r="WLS28" s="1888"/>
      <c r="WLT28" s="1882"/>
      <c r="WLU28" s="1882"/>
      <c r="WLV28" s="1882"/>
      <c r="WLX28" s="1887"/>
      <c r="WLY28" s="1888"/>
      <c r="WLZ28" s="1882"/>
      <c r="WMA28" s="1882"/>
      <c r="WMB28" s="1882"/>
      <c r="WMD28" s="1887"/>
      <c r="WME28" s="1888"/>
      <c r="WMF28" s="1882"/>
      <c r="WMG28" s="1882"/>
      <c r="WMH28" s="1882"/>
      <c r="WMJ28" s="1887"/>
      <c r="WMK28" s="1888"/>
      <c r="WML28" s="1882"/>
      <c r="WMM28" s="1882"/>
      <c r="WMN28" s="1882"/>
      <c r="WMP28" s="1887"/>
      <c r="WMQ28" s="1888"/>
      <c r="WMR28" s="1882"/>
      <c r="WMS28" s="1882"/>
      <c r="WMT28" s="1882"/>
      <c r="WMV28" s="1887"/>
      <c r="WMW28" s="1888"/>
      <c r="WMX28" s="1882"/>
      <c r="WMY28" s="1882"/>
      <c r="WMZ28" s="1882"/>
      <c r="WNB28" s="1887"/>
      <c r="WNC28" s="1888"/>
      <c r="WND28" s="1882"/>
      <c r="WNE28" s="1882"/>
      <c r="WNF28" s="1882"/>
      <c r="WNH28" s="1887"/>
      <c r="WNI28" s="1888"/>
      <c r="WNJ28" s="1882"/>
      <c r="WNK28" s="1882"/>
      <c r="WNL28" s="1882"/>
      <c r="WNN28" s="1887"/>
      <c r="WNO28" s="1888"/>
      <c r="WNP28" s="1882"/>
      <c r="WNQ28" s="1882"/>
      <c r="WNR28" s="1882"/>
      <c r="WNT28" s="1887"/>
      <c r="WNU28" s="1888"/>
      <c r="WNV28" s="1882"/>
      <c r="WNW28" s="1882"/>
      <c r="WNX28" s="1882"/>
      <c r="WNZ28" s="1887"/>
      <c r="WOA28" s="1888"/>
      <c r="WOB28" s="1882"/>
      <c r="WOC28" s="1882"/>
      <c r="WOD28" s="1882"/>
      <c r="WOF28" s="1887"/>
      <c r="WOG28" s="1888"/>
      <c r="WOH28" s="1882"/>
      <c r="WOI28" s="1882"/>
      <c r="WOJ28" s="1882"/>
      <c r="WOL28" s="1887"/>
      <c r="WOM28" s="1888"/>
      <c r="WON28" s="1882"/>
      <c r="WOO28" s="1882"/>
      <c r="WOP28" s="1882"/>
      <c r="WOR28" s="1887"/>
      <c r="WOS28" s="1888"/>
      <c r="WOT28" s="1882"/>
      <c r="WOU28" s="1882"/>
      <c r="WOV28" s="1882"/>
      <c r="WOX28" s="1887"/>
      <c r="WOY28" s="1888"/>
      <c r="WOZ28" s="1882"/>
      <c r="WPA28" s="1882"/>
      <c r="WPB28" s="1882"/>
      <c r="WPD28" s="1887"/>
      <c r="WPE28" s="1888"/>
      <c r="WPF28" s="1882"/>
      <c r="WPG28" s="1882"/>
      <c r="WPH28" s="1882"/>
      <c r="WPJ28" s="1887"/>
      <c r="WPK28" s="1888"/>
      <c r="WPL28" s="1882"/>
      <c r="WPM28" s="1882"/>
      <c r="WPN28" s="1882"/>
      <c r="WPP28" s="1887"/>
      <c r="WPQ28" s="1888"/>
      <c r="WPR28" s="1882"/>
      <c r="WPS28" s="1882"/>
      <c r="WPT28" s="1882"/>
      <c r="WPV28" s="1887"/>
      <c r="WPW28" s="1888"/>
      <c r="WPX28" s="1882"/>
      <c r="WPY28" s="1882"/>
      <c r="WPZ28" s="1882"/>
      <c r="WQB28" s="1887"/>
      <c r="WQC28" s="1888"/>
      <c r="WQD28" s="1882"/>
      <c r="WQE28" s="1882"/>
      <c r="WQF28" s="1882"/>
      <c r="WQH28" s="1887"/>
      <c r="WQI28" s="1888"/>
      <c r="WQJ28" s="1882"/>
      <c r="WQK28" s="1882"/>
      <c r="WQL28" s="1882"/>
      <c r="WQN28" s="1887"/>
      <c r="WQO28" s="1888"/>
      <c r="WQP28" s="1882"/>
      <c r="WQQ28" s="1882"/>
      <c r="WQR28" s="1882"/>
      <c r="WQT28" s="1887"/>
      <c r="WQU28" s="1888"/>
      <c r="WQV28" s="1882"/>
      <c r="WQW28" s="1882"/>
      <c r="WQX28" s="1882"/>
      <c r="WQZ28" s="1887"/>
      <c r="WRA28" s="1888"/>
      <c r="WRB28" s="1882"/>
      <c r="WRC28" s="1882"/>
      <c r="WRD28" s="1882"/>
      <c r="WRF28" s="1887"/>
      <c r="WRG28" s="1888"/>
      <c r="WRH28" s="1882"/>
      <c r="WRI28" s="1882"/>
      <c r="WRJ28" s="1882"/>
      <c r="WRL28" s="1887"/>
      <c r="WRM28" s="1888"/>
      <c r="WRN28" s="1882"/>
      <c r="WRO28" s="1882"/>
      <c r="WRP28" s="1882"/>
      <c r="WRR28" s="1887"/>
      <c r="WRS28" s="1888"/>
      <c r="WRT28" s="1882"/>
      <c r="WRU28" s="1882"/>
      <c r="WRV28" s="1882"/>
      <c r="WRX28" s="1887"/>
      <c r="WRY28" s="1888"/>
      <c r="WRZ28" s="1882"/>
      <c r="WSA28" s="1882"/>
      <c r="WSB28" s="1882"/>
      <c r="WSD28" s="1887"/>
      <c r="WSE28" s="1888"/>
      <c r="WSF28" s="1882"/>
      <c r="WSG28" s="1882"/>
      <c r="WSH28" s="1882"/>
      <c r="WSJ28" s="1887"/>
      <c r="WSK28" s="1888"/>
      <c r="WSL28" s="1882"/>
      <c r="WSM28" s="1882"/>
      <c r="WSN28" s="1882"/>
      <c r="WSP28" s="1887"/>
      <c r="WSQ28" s="1888"/>
      <c r="WSR28" s="1882"/>
      <c r="WSS28" s="1882"/>
      <c r="WST28" s="1882"/>
      <c r="WSV28" s="1887"/>
      <c r="WSW28" s="1888"/>
      <c r="WSX28" s="1882"/>
      <c r="WSY28" s="1882"/>
      <c r="WSZ28" s="1882"/>
      <c r="WTB28" s="1887"/>
      <c r="WTC28" s="1888"/>
      <c r="WTD28" s="1882"/>
      <c r="WTE28" s="1882"/>
      <c r="WTF28" s="1882"/>
      <c r="WTH28" s="1887"/>
      <c r="WTI28" s="1888"/>
      <c r="WTJ28" s="1882"/>
      <c r="WTK28" s="1882"/>
      <c r="WTL28" s="1882"/>
      <c r="WTN28" s="1887"/>
      <c r="WTO28" s="1888"/>
      <c r="WTP28" s="1882"/>
      <c r="WTQ28" s="1882"/>
      <c r="WTR28" s="1882"/>
      <c r="WTT28" s="1887"/>
      <c r="WTU28" s="1888"/>
      <c r="WTV28" s="1882"/>
      <c r="WTW28" s="1882"/>
      <c r="WTX28" s="1882"/>
      <c r="WTZ28" s="1887"/>
      <c r="WUA28" s="1888"/>
      <c r="WUB28" s="1882"/>
      <c r="WUC28" s="1882"/>
      <c r="WUD28" s="1882"/>
      <c r="WUF28" s="1887"/>
      <c r="WUG28" s="1888"/>
      <c r="WUH28" s="1882"/>
      <c r="WUI28" s="1882"/>
      <c r="WUJ28" s="1882"/>
      <c r="WUL28" s="1887"/>
      <c r="WUM28" s="1888"/>
      <c r="WUN28" s="1882"/>
      <c r="WUO28" s="1882"/>
      <c r="WUP28" s="1882"/>
      <c r="WUR28" s="1887"/>
      <c r="WUS28" s="1888"/>
      <c r="WUT28" s="1882"/>
      <c r="WUU28" s="1882"/>
      <c r="WUV28" s="1882"/>
      <c r="WUX28" s="1887"/>
      <c r="WUY28" s="1888"/>
      <c r="WUZ28" s="1882"/>
      <c r="WVA28" s="1882"/>
      <c r="WVB28" s="1882"/>
      <c r="WVD28" s="1887"/>
      <c r="WVE28" s="1888"/>
      <c r="WVF28" s="1882"/>
      <c r="WVG28" s="1882"/>
      <c r="WVH28" s="1882"/>
      <c r="WVJ28" s="1887"/>
      <c r="WVK28" s="1888"/>
      <c r="WVL28" s="1882"/>
      <c r="WVM28" s="1882"/>
      <c r="WVN28" s="1882"/>
      <c r="WVP28" s="1887"/>
      <c r="WVQ28" s="1888"/>
      <c r="WVR28" s="1882"/>
      <c r="WVS28" s="1882"/>
      <c r="WVT28" s="1882"/>
      <c r="WVV28" s="1887"/>
      <c r="WVW28" s="1888"/>
      <c r="WVX28" s="1882"/>
      <c r="WVY28" s="1882"/>
      <c r="WVZ28" s="1882"/>
      <c r="WWB28" s="1887"/>
      <c r="WWC28" s="1888"/>
      <c r="WWD28" s="1882"/>
      <c r="WWE28" s="1882"/>
      <c r="WWF28" s="1882"/>
      <c r="WWH28" s="1887"/>
      <c r="WWI28" s="1888"/>
      <c r="WWJ28" s="1882"/>
      <c r="WWK28" s="1882"/>
      <c r="WWL28" s="1882"/>
      <c r="WWN28" s="1887"/>
      <c r="WWO28" s="1888"/>
      <c r="WWP28" s="1882"/>
      <c r="WWQ28" s="1882"/>
      <c r="WWR28" s="1882"/>
      <c r="WWT28" s="1887"/>
      <c r="WWU28" s="1888"/>
      <c r="WWV28" s="1882"/>
      <c r="WWW28" s="1882"/>
      <c r="WWX28" s="1882"/>
      <c r="WWZ28" s="1887"/>
      <c r="WXA28" s="1888"/>
      <c r="WXB28" s="1882"/>
      <c r="WXC28" s="1882"/>
      <c r="WXD28" s="1882"/>
      <c r="WXF28" s="1887"/>
      <c r="WXG28" s="1888"/>
      <c r="WXH28" s="1882"/>
      <c r="WXI28" s="1882"/>
      <c r="WXJ28" s="1882"/>
      <c r="WXL28" s="1887"/>
      <c r="WXM28" s="1888"/>
      <c r="WXN28" s="1882"/>
      <c r="WXO28" s="1882"/>
      <c r="WXP28" s="1882"/>
      <c r="WXR28" s="1887"/>
      <c r="WXS28" s="1888"/>
      <c r="WXT28" s="1882"/>
      <c r="WXU28" s="1882"/>
      <c r="WXV28" s="1882"/>
      <c r="WXX28" s="1887"/>
      <c r="WXY28" s="1888"/>
      <c r="WXZ28" s="1882"/>
      <c r="WYA28" s="1882"/>
      <c r="WYB28" s="1882"/>
      <c r="WYD28" s="1887"/>
      <c r="WYE28" s="1888"/>
      <c r="WYF28" s="1882"/>
      <c r="WYG28" s="1882"/>
      <c r="WYH28" s="1882"/>
      <c r="WYJ28" s="1887"/>
      <c r="WYK28" s="1888"/>
      <c r="WYL28" s="1882"/>
      <c r="WYM28" s="1882"/>
      <c r="WYN28" s="1882"/>
      <c r="WYP28" s="1887"/>
      <c r="WYQ28" s="1888"/>
      <c r="WYR28" s="1882"/>
      <c r="WYS28" s="1882"/>
      <c r="WYT28" s="1882"/>
      <c r="WYV28" s="1887"/>
      <c r="WYW28" s="1888"/>
      <c r="WYX28" s="1882"/>
      <c r="WYY28" s="1882"/>
      <c r="WYZ28" s="1882"/>
      <c r="WZB28" s="1887"/>
      <c r="WZC28" s="1888"/>
      <c r="WZD28" s="1882"/>
      <c r="WZE28" s="1882"/>
      <c r="WZF28" s="1882"/>
      <c r="WZH28" s="1887"/>
      <c r="WZI28" s="1888"/>
      <c r="WZJ28" s="1882"/>
      <c r="WZK28" s="1882"/>
      <c r="WZL28" s="1882"/>
      <c r="WZN28" s="1887"/>
      <c r="WZO28" s="1888"/>
      <c r="WZP28" s="1882"/>
      <c r="WZQ28" s="1882"/>
      <c r="WZR28" s="1882"/>
      <c r="WZT28" s="1887"/>
      <c r="WZU28" s="1888"/>
      <c r="WZV28" s="1882"/>
      <c r="WZW28" s="1882"/>
      <c r="WZX28" s="1882"/>
      <c r="WZZ28" s="1887"/>
      <c r="XAA28" s="1888"/>
      <c r="XAB28" s="1882"/>
      <c r="XAC28" s="1882"/>
      <c r="XAD28" s="1882"/>
      <c r="XAF28" s="1887"/>
      <c r="XAG28" s="1888"/>
      <c r="XAH28" s="1882"/>
      <c r="XAI28" s="1882"/>
      <c r="XAJ28" s="1882"/>
      <c r="XAL28" s="1887"/>
      <c r="XAM28" s="1888"/>
      <c r="XAN28" s="1882"/>
      <c r="XAO28" s="1882"/>
      <c r="XAP28" s="1882"/>
      <c r="XAR28" s="1887"/>
      <c r="XAS28" s="1888"/>
      <c r="XAT28" s="1882"/>
      <c r="XAU28" s="1882"/>
      <c r="XAV28" s="1882"/>
      <c r="XAX28" s="1887"/>
      <c r="XAY28" s="1888"/>
      <c r="XAZ28" s="1882"/>
      <c r="XBA28" s="1882"/>
      <c r="XBB28" s="1882"/>
      <c r="XBD28" s="1887"/>
      <c r="XBE28" s="1888"/>
      <c r="XBF28" s="1882"/>
      <c r="XBG28" s="1882"/>
      <c r="XBH28" s="1882"/>
      <c r="XBJ28" s="1887"/>
      <c r="XBK28" s="1888"/>
      <c r="XBL28" s="1882"/>
      <c r="XBM28" s="1882"/>
      <c r="XBN28" s="1882"/>
      <c r="XBP28" s="1887"/>
      <c r="XBQ28" s="1888"/>
      <c r="XBR28" s="1882"/>
      <c r="XBS28" s="1882"/>
      <c r="XBT28" s="1882"/>
      <c r="XBV28" s="1887"/>
      <c r="XBW28" s="1888"/>
      <c r="XBX28" s="1882"/>
      <c r="XBY28" s="1882"/>
      <c r="XBZ28" s="1882"/>
      <c r="XCB28" s="1887"/>
      <c r="XCC28" s="1888"/>
      <c r="XCD28" s="1882"/>
      <c r="XCE28" s="1882"/>
      <c r="XCF28" s="1882"/>
      <c r="XCH28" s="1887"/>
      <c r="XCI28" s="1888"/>
      <c r="XCJ28" s="1882"/>
      <c r="XCK28" s="1882"/>
      <c r="XCL28" s="1882"/>
      <c r="XCN28" s="1887"/>
      <c r="XCO28" s="1888"/>
      <c r="XCP28" s="1882"/>
      <c r="XCQ28" s="1882"/>
      <c r="XCR28" s="1882"/>
      <c r="XCT28" s="1887"/>
      <c r="XCU28" s="1888"/>
      <c r="XCV28" s="1882"/>
      <c r="XCW28" s="1882"/>
      <c r="XCX28" s="1882"/>
      <c r="XCZ28" s="1887"/>
      <c r="XDA28" s="1888"/>
      <c r="XDB28" s="1882"/>
      <c r="XDC28" s="1882"/>
      <c r="XDD28" s="1882"/>
      <c r="XDF28" s="1887"/>
      <c r="XDG28" s="1888"/>
      <c r="XDH28" s="1882"/>
      <c r="XDI28" s="1882"/>
      <c r="XDJ28" s="1882"/>
      <c r="XDL28" s="1887"/>
      <c r="XDM28" s="1888"/>
      <c r="XDN28" s="1882"/>
      <c r="XDO28" s="1882"/>
      <c r="XDP28" s="1882"/>
      <c r="XDR28" s="1887"/>
      <c r="XDS28" s="1888"/>
      <c r="XDT28" s="1882"/>
      <c r="XDU28" s="1882"/>
      <c r="XDV28" s="1882"/>
      <c r="XDX28" s="1887"/>
      <c r="XDY28" s="1888"/>
      <c r="XDZ28" s="1882"/>
      <c r="XEA28" s="1882"/>
      <c r="XEB28" s="1882"/>
      <c r="XED28" s="1887"/>
      <c r="XEE28" s="1888"/>
      <c r="XEF28" s="1882"/>
      <c r="XEG28" s="1882"/>
      <c r="XEH28" s="1882"/>
      <c r="XEJ28" s="1887"/>
      <c r="XEK28" s="1888"/>
      <c r="XEL28" s="1882"/>
      <c r="XEM28" s="1882"/>
      <c r="XEN28" s="1882"/>
      <c r="XEP28" s="1887"/>
      <c r="XEQ28" s="1888"/>
      <c r="XER28" s="1882"/>
      <c r="XES28" s="1882"/>
      <c r="XET28" s="1882"/>
      <c r="XEV28" s="1887"/>
      <c r="XEW28" s="1888"/>
      <c r="XEX28" s="1882"/>
      <c r="XEY28" s="1882"/>
      <c r="XEZ28" s="1882"/>
      <c r="XFB28" s="1887"/>
      <c r="XFC28" s="1888"/>
      <c r="XFD28" s="1882"/>
    </row>
    <row r="29" spans="1:3072 3074:6144 6146:9216 9218:12288 12290:15360 15362:16384" ht="12.75" customHeight="1">
      <c r="A29" s="1880" t="s">
        <v>1069</v>
      </c>
      <c r="B29" s="1880" t="s">
        <v>1517</v>
      </c>
      <c r="C29" s="1880" t="s">
        <v>1578</v>
      </c>
      <c r="D29" s="1881">
        <v>0.89100000000000001</v>
      </c>
      <c r="E29" s="1723">
        <v>0.55000000000000004</v>
      </c>
      <c r="F29" s="1723">
        <f>ROUND(D29*E29,2)</f>
        <v>0.49</v>
      </c>
      <c r="H29" s="1887"/>
      <c r="I29" s="1888"/>
      <c r="J29" s="1882"/>
      <c r="K29" s="1882"/>
      <c r="L29" s="1882"/>
      <c r="N29" s="1887"/>
      <c r="O29" s="1888"/>
      <c r="P29" s="1882"/>
      <c r="Q29" s="1882"/>
      <c r="R29" s="1882"/>
      <c r="T29" s="1887"/>
      <c r="U29" s="1888"/>
      <c r="V29" s="1882"/>
      <c r="W29" s="1882"/>
      <c r="X29" s="1882"/>
      <c r="Z29" s="1887"/>
      <c r="AA29" s="1888"/>
      <c r="AB29" s="1882"/>
      <c r="AC29" s="1882"/>
      <c r="AD29" s="1882"/>
      <c r="AF29" s="1887"/>
      <c r="AG29" s="1888"/>
      <c r="AH29" s="1882"/>
      <c r="AI29" s="1882"/>
      <c r="AJ29" s="1882"/>
      <c r="AL29" s="1887"/>
      <c r="AM29" s="1888"/>
      <c r="AN29" s="1882"/>
      <c r="AO29" s="1882"/>
      <c r="AP29" s="1882"/>
      <c r="AR29" s="1887"/>
      <c r="AS29" s="1888"/>
      <c r="AT29" s="1882"/>
      <c r="AU29" s="1882"/>
      <c r="AV29" s="1882"/>
      <c r="AX29" s="1887"/>
      <c r="AY29" s="1888"/>
      <c r="AZ29" s="1882"/>
      <c r="BA29" s="1882"/>
      <c r="BB29" s="1882"/>
      <c r="BD29" s="1887"/>
      <c r="BE29" s="1888"/>
      <c r="BF29" s="1882"/>
      <c r="BG29" s="1882"/>
      <c r="BH29" s="1882"/>
      <c r="BJ29" s="1887"/>
      <c r="BK29" s="1888"/>
      <c r="BL29" s="1882"/>
      <c r="BM29" s="1882"/>
      <c r="BN29" s="1882"/>
      <c r="BP29" s="1887"/>
      <c r="BQ29" s="1888"/>
      <c r="BR29" s="1882"/>
      <c r="BS29" s="1882"/>
      <c r="BT29" s="1882"/>
      <c r="BV29" s="1887"/>
      <c r="BW29" s="1888"/>
      <c r="BX29" s="1882"/>
      <c r="BY29" s="1882"/>
      <c r="BZ29" s="1882"/>
      <c r="CB29" s="1887"/>
      <c r="CC29" s="1888"/>
      <c r="CD29" s="1882"/>
      <c r="CE29" s="1882"/>
      <c r="CF29" s="1882"/>
      <c r="CH29" s="1887"/>
      <c r="CI29" s="1888"/>
      <c r="CJ29" s="1882"/>
      <c r="CK29" s="1882"/>
      <c r="CL29" s="1882"/>
      <c r="CN29" s="1887"/>
      <c r="CO29" s="1888"/>
      <c r="CP29" s="1882"/>
      <c r="CQ29" s="1882"/>
      <c r="CR29" s="1882"/>
      <c r="CT29" s="1887"/>
      <c r="CU29" s="1888"/>
      <c r="CV29" s="1882"/>
      <c r="CW29" s="1882"/>
      <c r="CX29" s="1882"/>
      <c r="CZ29" s="1887"/>
      <c r="DA29" s="1888"/>
      <c r="DB29" s="1882"/>
      <c r="DC29" s="1882"/>
      <c r="DD29" s="1882"/>
      <c r="DF29" s="1887"/>
      <c r="DG29" s="1888"/>
      <c r="DH29" s="1882"/>
      <c r="DI29" s="1882"/>
      <c r="DJ29" s="1882"/>
      <c r="DL29" s="1887"/>
      <c r="DM29" s="1888"/>
      <c r="DN29" s="1882"/>
      <c r="DO29" s="1882"/>
      <c r="DP29" s="1882"/>
      <c r="DR29" s="1887"/>
      <c r="DS29" s="1888"/>
      <c r="DT29" s="1882"/>
      <c r="DU29" s="1882"/>
      <c r="DV29" s="1882"/>
      <c r="DX29" s="1887"/>
      <c r="DY29" s="1888"/>
      <c r="DZ29" s="1882"/>
      <c r="EA29" s="1882"/>
      <c r="EB29" s="1882"/>
      <c r="ED29" s="1887"/>
      <c r="EE29" s="1888"/>
      <c r="EF29" s="1882"/>
      <c r="EG29" s="1882"/>
      <c r="EH29" s="1882"/>
      <c r="EJ29" s="1887"/>
      <c r="EK29" s="1888"/>
      <c r="EL29" s="1882"/>
      <c r="EM29" s="1882"/>
      <c r="EN29" s="1882"/>
      <c r="EP29" s="1887"/>
      <c r="EQ29" s="1888"/>
      <c r="ER29" s="1882"/>
      <c r="ES29" s="1882"/>
      <c r="ET29" s="1882"/>
      <c r="EV29" s="1887"/>
      <c r="EW29" s="1888"/>
      <c r="EX29" s="1882"/>
      <c r="EY29" s="1882"/>
      <c r="EZ29" s="1882"/>
      <c r="FB29" s="1887"/>
      <c r="FC29" s="1888"/>
      <c r="FD29" s="1882"/>
      <c r="FE29" s="1882"/>
      <c r="FF29" s="1882"/>
      <c r="FH29" s="1887"/>
      <c r="FI29" s="1888"/>
      <c r="FJ29" s="1882"/>
      <c r="FK29" s="1882"/>
      <c r="FL29" s="1882"/>
      <c r="FN29" s="1887"/>
      <c r="FO29" s="1888"/>
      <c r="FP29" s="1882"/>
      <c r="FQ29" s="1882"/>
      <c r="FR29" s="1882"/>
      <c r="FT29" s="1887"/>
      <c r="FU29" s="1888"/>
      <c r="FV29" s="1882"/>
      <c r="FW29" s="1882"/>
      <c r="FX29" s="1882"/>
      <c r="FZ29" s="1887"/>
      <c r="GA29" s="1888"/>
      <c r="GB29" s="1882"/>
      <c r="GC29" s="1882"/>
      <c r="GD29" s="1882"/>
      <c r="GF29" s="1887"/>
      <c r="GG29" s="1888"/>
      <c r="GH29" s="1882"/>
      <c r="GI29" s="1882"/>
      <c r="GJ29" s="1882"/>
      <c r="GL29" s="1887"/>
      <c r="GM29" s="1888"/>
      <c r="GN29" s="1882"/>
      <c r="GO29" s="1882"/>
      <c r="GP29" s="1882"/>
      <c r="GR29" s="1887"/>
      <c r="GS29" s="1888"/>
      <c r="GT29" s="1882"/>
      <c r="GU29" s="1882"/>
      <c r="GV29" s="1882"/>
      <c r="GX29" s="1887"/>
      <c r="GY29" s="1888"/>
      <c r="GZ29" s="1882"/>
      <c r="HA29" s="1882"/>
      <c r="HB29" s="1882"/>
      <c r="HD29" s="1887"/>
      <c r="HE29" s="1888"/>
      <c r="HF29" s="1882"/>
      <c r="HG29" s="1882"/>
      <c r="HH29" s="1882"/>
      <c r="HJ29" s="1887"/>
      <c r="HK29" s="1888"/>
      <c r="HL29" s="1882"/>
      <c r="HM29" s="1882"/>
      <c r="HN29" s="1882"/>
      <c r="HP29" s="1887"/>
      <c r="HQ29" s="1888"/>
      <c r="HR29" s="1882"/>
      <c r="HS29" s="1882"/>
      <c r="HT29" s="1882"/>
      <c r="HV29" s="1887"/>
      <c r="HW29" s="1888"/>
      <c r="HX29" s="1882"/>
      <c r="HY29" s="1882"/>
      <c r="HZ29" s="1882"/>
      <c r="IB29" s="1887"/>
      <c r="IC29" s="1888"/>
      <c r="ID29" s="1882"/>
      <c r="IE29" s="1882"/>
      <c r="IF29" s="1882"/>
      <c r="IH29" s="1887"/>
      <c r="II29" s="1888"/>
      <c r="IJ29" s="1882"/>
      <c r="IK29" s="1882"/>
      <c r="IL29" s="1882"/>
      <c r="IN29" s="1887"/>
      <c r="IO29" s="1888"/>
      <c r="IP29" s="1882"/>
      <c r="IQ29" s="1882"/>
      <c r="IR29" s="1882"/>
      <c r="IT29" s="1887"/>
      <c r="IU29" s="1888"/>
      <c r="IV29" s="1882"/>
      <c r="IW29" s="1882"/>
      <c r="IX29" s="1882"/>
      <c r="IZ29" s="1887"/>
      <c r="JA29" s="1888"/>
      <c r="JB29" s="1882"/>
      <c r="JC29" s="1882"/>
      <c r="JD29" s="1882"/>
      <c r="JF29" s="1887"/>
      <c r="JG29" s="1888"/>
      <c r="JH29" s="1882"/>
      <c r="JI29" s="1882"/>
      <c r="JJ29" s="1882"/>
      <c r="JL29" s="1887"/>
      <c r="JM29" s="1888"/>
      <c r="JN29" s="1882"/>
      <c r="JO29" s="1882"/>
      <c r="JP29" s="1882"/>
      <c r="JR29" s="1887"/>
      <c r="JS29" s="1888"/>
      <c r="JT29" s="1882"/>
      <c r="JU29" s="1882"/>
      <c r="JV29" s="1882"/>
      <c r="JX29" s="1887"/>
      <c r="JY29" s="1888"/>
      <c r="JZ29" s="1882"/>
      <c r="KA29" s="1882"/>
      <c r="KB29" s="1882"/>
      <c r="KD29" s="1887"/>
      <c r="KE29" s="1888"/>
      <c r="KF29" s="1882"/>
      <c r="KG29" s="1882"/>
      <c r="KH29" s="1882"/>
      <c r="KJ29" s="1887"/>
      <c r="KK29" s="1888"/>
      <c r="KL29" s="1882"/>
      <c r="KM29" s="1882"/>
      <c r="KN29" s="1882"/>
      <c r="KP29" s="1887"/>
      <c r="KQ29" s="1888"/>
      <c r="KR29" s="1882"/>
      <c r="KS29" s="1882"/>
      <c r="KT29" s="1882"/>
      <c r="KV29" s="1887"/>
      <c r="KW29" s="1888"/>
      <c r="KX29" s="1882"/>
      <c r="KY29" s="1882"/>
      <c r="KZ29" s="1882"/>
      <c r="LB29" s="1887"/>
      <c r="LC29" s="1888"/>
      <c r="LD29" s="1882"/>
      <c r="LE29" s="1882"/>
      <c r="LF29" s="1882"/>
      <c r="LH29" s="1887"/>
      <c r="LI29" s="1888"/>
      <c r="LJ29" s="1882"/>
      <c r="LK29" s="1882"/>
      <c r="LL29" s="1882"/>
      <c r="LN29" s="1887"/>
      <c r="LO29" s="1888"/>
      <c r="LP29" s="1882"/>
      <c r="LQ29" s="1882"/>
      <c r="LR29" s="1882"/>
      <c r="LT29" s="1887"/>
      <c r="LU29" s="1888"/>
      <c r="LV29" s="1882"/>
      <c r="LW29" s="1882"/>
      <c r="LX29" s="1882"/>
      <c r="LZ29" s="1887"/>
      <c r="MA29" s="1888"/>
      <c r="MB29" s="1882"/>
      <c r="MC29" s="1882"/>
      <c r="MD29" s="1882"/>
      <c r="MF29" s="1887"/>
      <c r="MG29" s="1888"/>
      <c r="MH29" s="1882"/>
      <c r="MI29" s="1882"/>
      <c r="MJ29" s="1882"/>
      <c r="ML29" s="1887"/>
      <c r="MM29" s="1888"/>
      <c r="MN29" s="1882"/>
      <c r="MO29" s="1882"/>
      <c r="MP29" s="1882"/>
      <c r="MR29" s="1887"/>
      <c r="MS29" s="1888"/>
      <c r="MT29" s="1882"/>
      <c r="MU29" s="1882"/>
      <c r="MV29" s="1882"/>
      <c r="MX29" s="1887"/>
      <c r="MY29" s="1888"/>
      <c r="MZ29" s="1882"/>
      <c r="NA29" s="1882"/>
      <c r="NB29" s="1882"/>
      <c r="ND29" s="1887"/>
      <c r="NE29" s="1888"/>
      <c r="NF29" s="1882"/>
      <c r="NG29" s="1882"/>
      <c r="NH29" s="1882"/>
      <c r="NJ29" s="1887"/>
      <c r="NK29" s="1888"/>
      <c r="NL29" s="1882"/>
      <c r="NM29" s="1882"/>
      <c r="NN29" s="1882"/>
      <c r="NP29" s="1887"/>
      <c r="NQ29" s="1888"/>
      <c r="NR29" s="1882"/>
      <c r="NS29" s="1882"/>
      <c r="NT29" s="1882"/>
      <c r="NV29" s="1887"/>
      <c r="NW29" s="1888"/>
      <c r="NX29" s="1882"/>
      <c r="NY29" s="1882"/>
      <c r="NZ29" s="1882"/>
      <c r="OB29" s="1887"/>
      <c r="OC29" s="1888"/>
      <c r="OD29" s="1882"/>
      <c r="OE29" s="1882"/>
      <c r="OF29" s="1882"/>
      <c r="OH29" s="1887"/>
      <c r="OI29" s="1888"/>
      <c r="OJ29" s="1882"/>
      <c r="OK29" s="1882"/>
      <c r="OL29" s="1882"/>
      <c r="ON29" s="1887"/>
      <c r="OO29" s="1888"/>
      <c r="OP29" s="1882"/>
      <c r="OQ29" s="1882"/>
      <c r="OR29" s="1882"/>
      <c r="OT29" s="1887"/>
      <c r="OU29" s="1888"/>
      <c r="OV29" s="1882"/>
      <c r="OW29" s="1882"/>
      <c r="OX29" s="1882"/>
      <c r="OZ29" s="1887"/>
      <c r="PA29" s="1888"/>
      <c r="PB29" s="1882"/>
      <c r="PC29" s="1882"/>
      <c r="PD29" s="1882"/>
      <c r="PF29" s="1887"/>
      <c r="PG29" s="1888"/>
      <c r="PH29" s="1882"/>
      <c r="PI29" s="1882"/>
      <c r="PJ29" s="1882"/>
      <c r="PL29" s="1887"/>
      <c r="PM29" s="1888"/>
      <c r="PN29" s="1882"/>
      <c r="PO29" s="1882"/>
      <c r="PP29" s="1882"/>
      <c r="PR29" s="1887"/>
      <c r="PS29" s="1888"/>
      <c r="PT29" s="1882"/>
      <c r="PU29" s="1882"/>
      <c r="PV29" s="1882"/>
      <c r="PX29" s="1887"/>
      <c r="PY29" s="1888"/>
      <c r="PZ29" s="1882"/>
      <c r="QA29" s="1882"/>
      <c r="QB29" s="1882"/>
      <c r="QD29" s="1887"/>
      <c r="QE29" s="1888"/>
      <c r="QF29" s="1882"/>
      <c r="QG29" s="1882"/>
      <c r="QH29" s="1882"/>
      <c r="QJ29" s="1887"/>
      <c r="QK29" s="1888"/>
      <c r="QL29" s="1882"/>
      <c r="QM29" s="1882"/>
      <c r="QN29" s="1882"/>
      <c r="QP29" s="1887"/>
      <c r="QQ29" s="1888"/>
      <c r="QR29" s="1882"/>
      <c r="QS29" s="1882"/>
      <c r="QT29" s="1882"/>
      <c r="QV29" s="1887"/>
      <c r="QW29" s="1888"/>
      <c r="QX29" s="1882"/>
      <c r="QY29" s="1882"/>
      <c r="QZ29" s="1882"/>
      <c r="RB29" s="1887"/>
      <c r="RC29" s="1888"/>
      <c r="RD29" s="1882"/>
      <c r="RE29" s="1882"/>
      <c r="RF29" s="1882"/>
      <c r="RH29" s="1887"/>
      <c r="RI29" s="1888"/>
      <c r="RJ29" s="1882"/>
      <c r="RK29" s="1882"/>
      <c r="RL29" s="1882"/>
      <c r="RN29" s="1887"/>
      <c r="RO29" s="1888"/>
      <c r="RP29" s="1882"/>
      <c r="RQ29" s="1882"/>
      <c r="RR29" s="1882"/>
      <c r="RT29" s="1887"/>
      <c r="RU29" s="1888"/>
      <c r="RV29" s="1882"/>
      <c r="RW29" s="1882"/>
      <c r="RX29" s="1882"/>
      <c r="RZ29" s="1887"/>
      <c r="SA29" s="1888"/>
      <c r="SB29" s="1882"/>
      <c r="SC29" s="1882"/>
      <c r="SD29" s="1882"/>
      <c r="SF29" s="1887"/>
      <c r="SG29" s="1888"/>
      <c r="SH29" s="1882"/>
      <c r="SI29" s="1882"/>
      <c r="SJ29" s="1882"/>
      <c r="SL29" s="1887"/>
      <c r="SM29" s="1888"/>
      <c r="SN29" s="1882"/>
      <c r="SO29" s="1882"/>
      <c r="SP29" s="1882"/>
      <c r="SR29" s="1887"/>
      <c r="SS29" s="1888"/>
      <c r="ST29" s="1882"/>
      <c r="SU29" s="1882"/>
      <c r="SV29" s="1882"/>
      <c r="SX29" s="1887"/>
      <c r="SY29" s="1888"/>
      <c r="SZ29" s="1882"/>
      <c r="TA29" s="1882"/>
      <c r="TB29" s="1882"/>
      <c r="TD29" s="1887"/>
      <c r="TE29" s="1888"/>
      <c r="TF29" s="1882"/>
      <c r="TG29" s="1882"/>
      <c r="TH29" s="1882"/>
      <c r="TJ29" s="1887"/>
      <c r="TK29" s="1888"/>
      <c r="TL29" s="1882"/>
      <c r="TM29" s="1882"/>
      <c r="TN29" s="1882"/>
      <c r="TP29" s="1887"/>
      <c r="TQ29" s="1888"/>
      <c r="TR29" s="1882"/>
      <c r="TS29" s="1882"/>
      <c r="TT29" s="1882"/>
      <c r="TV29" s="1887"/>
      <c r="TW29" s="1888"/>
      <c r="TX29" s="1882"/>
      <c r="TY29" s="1882"/>
      <c r="TZ29" s="1882"/>
      <c r="UB29" s="1887"/>
      <c r="UC29" s="1888"/>
      <c r="UD29" s="1882"/>
      <c r="UE29" s="1882"/>
      <c r="UF29" s="1882"/>
      <c r="UH29" s="1887"/>
      <c r="UI29" s="1888"/>
      <c r="UJ29" s="1882"/>
      <c r="UK29" s="1882"/>
      <c r="UL29" s="1882"/>
      <c r="UN29" s="1887"/>
      <c r="UO29" s="1888"/>
      <c r="UP29" s="1882"/>
      <c r="UQ29" s="1882"/>
      <c r="UR29" s="1882"/>
      <c r="UT29" s="1887"/>
      <c r="UU29" s="1888"/>
      <c r="UV29" s="1882"/>
      <c r="UW29" s="1882"/>
      <c r="UX29" s="1882"/>
      <c r="UZ29" s="1887"/>
      <c r="VA29" s="1888"/>
      <c r="VB29" s="1882"/>
      <c r="VC29" s="1882"/>
      <c r="VD29" s="1882"/>
      <c r="VF29" s="1887"/>
      <c r="VG29" s="1888"/>
      <c r="VH29" s="1882"/>
      <c r="VI29" s="1882"/>
      <c r="VJ29" s="1882"/>
      <c r="VL29" s="1887"/>
      <c r="VM29" s="1888"/>
      <c r="VN29" s="1882"/>
      <c r="VO29" s="1882"/>
      <c r="VP29" s="1882"/>
      <c r="VR29" s="1887"/>
      <c r="VS29" s="1888"/>
      <c r="VT29" s="1882"/>
      <c r="VU29" s="1882"/>
      <c r="VV29" s="1882"/>
      <c r="VX29" s="1887"/>
      <c r="VY29" s="1888"/>
      <c r="VZ29" s="1882"/>
      <c r="WA29" s="1882"/>
      <c r="WB29" s="1882"/>
      <c r="WD29" s="1887"/>
      <c r="WE29" s="1888"/>
      <c r="WF29" s="1882"/>
      <c r="WG29" s="1882"/>
      <c r="WH29" s="1882"/>
      <c r="WJ29" s="1887"/>
      <c r="WK29" s="1888"/>
      <c r="WL29" s="1882"/>
      <c r="WM29" s="1882"/>
      <c r="WN29" s="1882"/>
      <c r="WP29" s="1887"/>
      <c r="WQ29" s="1888"/>
      <c r="WR29" s="1882"/>
      <c r="WS29" s="1882"/>
      <c r="WT29" s="1882"/>
      <c r="WV29" s="1887"/>
      <c r="WW29" s="1888"/>
      <c r="WX29" s="1882"/>
      <c r="WY29" s="1882"/>
      <c r="WZ29" s="1882"/>
      <c r="XB29" s="1887"/>
      <c r="XC29" s="1888"/>
      <c r="XD29" s="1882"/>
      <c r="XE29" s="1882"/>
      <c r="XF29" s="1882"/>
      <c r="XH29" s="1887"/>
      <c r="XI29" s="1888"/>
      <c r="XJ29" s="1882"/>
      <c r="XK29" s="1882"/>
      <c r="XL29" s="1882"/>
      <c r="XN29" s="1887"/>
      <c r="XO29" s="1888"/>
      <c r="XP29" s="1882"/>
      <c r="XQ29" s="1882"/>
      <c r="XR29" s="1882"/>
      <c r="XT29" s="1887"/>
      <c r="XU29" s="1888"/>
      <c r="XV29" s="1882"/>
      <c r="XW29" s="1882"/>
      <c r="XX29" s="1882"/>
      <c r="XZ29" s="1887"/>
      <c r="YA29" s="1888"/>
      <c r="YB29" s="1882"/>
      <c r="YC29" s="1882"/>
      <c r="YD29" s="1882"/>
      <c r="YF29" s="1887"/>
      <c r="YG29" s="1888"/>
      <c r="YH29" s="1882"/>
      <c r="YI29" s="1882"/>
      <c r="YJ29" s="1882"/>
      <c r="YL29" s="1887"/>
      <c r="YM29" s="1888"/>
      <c r="YN29" s="1882"/>
      <c r="YO29" s="1882"/>
      <c r="YP29" s="1882"/>
      <c r="YR29" s="1887"/>
      <c r="YS29" s="1888"/>
      <c r="YT29" s="1882"/>
      <c r="YU29" s="1882"/>
      <c r="YV29" s="1882"/>
      <c r="YX29" s="1887"/>
      <c r="YY29" s="1888"/>
      <c r="YZ29" s="1882"/>
      <c r="ZA29" s="1882"/>
      <c r="ZB29" s="1882"/>
      <c r="ZD29" s="1887"/>
      <c r="ZE29" s="1888"/>
      <c r="ZF29" s="1882"/>
      <c r="ZG29" s="1882"/>
      <c r="ZH29" s="1882"/>
      <c r="ZJ29" s="1887"/>
      <c r="ZK29" s="1888"/>
      <c r="ZL29" s="1882"/>
      <c r="ZM29" s="1882"/>
      <c r="ZN29" s="1882"/>
      <c r="ZP29" s="1887"/>
      <c r="ZQ29" s="1888"/>
      <c r="ZR29" s="1882"/>
      <c r="ZS29" s="1882"/>
      <c r="ZT29" s="1882"/>
      <c r="ZV29" s="1887"/>
      <c r="ZW29" s="1888"/>
      <c r="ZX29" s="1882"/>
      <c r="ZY29" s="1882"/>
      <c r="ZZ29" s="1882"/>
      <c r="AAB29" s="1887"/>
      <c r="AAC29" s="1888"/>
      <c r="AAD29" s="1882"/>
      <c r="AAE29" s="1882"/>
      <c r="AAF29" s="1882"/>
      <c r="AAH29" s="1887"/>
      <c r="AAI29" s="1888"/>
      <c r="AAJ29" s="1882"/>
      <c r="AAK29" s="1882"/>
      <c r="AAL29" s="1882"/>
      <c r="AAN29" s="1887"/>
      <c r="AAO29" s="1888"/>
      <c r="AAP29" s="1882"/>
      <c r="AAQ29" s="1882"/>
      <c r="AAR29" s="1882"/>
      <c r="AAT29" s="1887"/>
      <c r="AAU29" s="1888"/>
      <c r="AAV29" s="1882"/>
      <c r="AAW29" s="1882"/>
      <c r="AAX29" s="1882"/>
      <c r="AAZ29" s="1887"/>
      <c r="ABA29" s="1888"/>
      <c r="ABB29" s="1882"/>
      <c r="ABC29" s="1882"/>
      <c r="ABD29" s="1882"/>
      <c r="ABF29" s="1887"/>
      <c r="ABG29" s="1888"/>
      <c r="ABH29" s="1882"/>
      <c r="ABI29" s="1882"/>
      <c r="ABJ29" s="1882"/>
      <c r="ABL29" s="1887"/>
      <c r="ABM29" s="1888"/>
      <c r="ABN29" s="1882"/>
      <c r="ABO29" s="1882"/>
      <c r="ABP29" s="1882"/>
      <c r="ABR29" s="1887"/>
      <c r="ABS29" s="1888"/>
      <c r="ABT29" s="1882"/>
      <c r="ABU29" s="1882"/>
      <c r="ABV29" s="1882"/>
      <c r="ABX29" s="1887"/>
      <c r="ABY29" s="1888"/>
      <c r="ABZ29" s="1882"/>
      <c r="ACA29" s="1882"/>
      <c r="ACB29" s="1882"/>
      <c r="ACD29" s="1887"/>
      <c r="ACE29" s="1888"/>
      <c r="ACF29" s="1882"/>
      <c r="ACG29" s="1882"/>
      <c r="ACH29" s="1882"/>
      <c r="ACJ29" s="1887"/>
      <c r="ACK29" s="1888"/>
      <c r="ACL29" s="1882"/>
      <c r="ACM29" s="1882"/>
      <c r="ACN29" s="1882"/>
      <c r="ACP29" s="1887"/>
      <c r="ACQ29" s="1888"/>
      <c r="ACR29" s="1882"/>
      <c r="ACS29" s="1882"/>
      <c r="ACT29" s="1882"/>
      <c r="ACV29" s="1887"/>
      <c r="ACW29" s="1888"/>
      <c r="ACX29" s="1882"/>
      <c r="ACY29" s="1882"/>
      <c r="ACZ29" s="1882"/>
      <c r="ADB29" s="1887"/>
      <c r="ADC29" s="1888"/>
      <c r="ADD29" s="1882"/>
      <c r="ADE29" s="1882"/>
      <c r="ADF29" s="1882"/>
      <c r="ADH29" s="1887"/>
      <c r="ADI29" s="1888"/>
      <c r="ADJ29" s="1882"/>
      <c r="ADK29" s="1882"/>
      <c r="ADL29" s="1882"/>
      <c r="ADN29" s="1887"/>
      <c r="ADO29" s="1888"/>
      <c r="ADP29" s="1882"/>
      <c r="ADQ29" s="1882"/>
      <c r="ADR29" s="1882"/>
      <c r="ADT29" s="1887"/>
      <c r="ADU29" s="1888"/>
      <c r="ADV29" s="1882"/>
      <c r="ADW29" s="1882"/>
      <c r="ADX29" s="1882"/>
      <c r="ADZ29" s="1887"/>
      <c r="AEA29" s="1888"/>
      <c r="AEB29" s="1882"/>
      <c r="AEC29" s="1882"/>
      <c r="AED29" s="1882"/>
      <c r="AEF29" s="1887"/>
      <c r="AEG29" s="1888"/>
      <c r="AEH29" s="1882"/>
      <c r="AEI29" s="1882"/>
      <c r="AEJ29" s="1882"/>
      <c r="AEL29" s="1887"/>
      <c r="AEM29" s="1888"/>
      <c r="AEN29" s="1882"/>
      <c r="AEO29" s="1882"/>
      <c r="AEP29" s="1882"/>
      <c r="AER29" s="1887"/>
      <c r="AES29" s="1888"/>
      <c r="AET29" s="1882"/>
      <c r="AEU29" s="1882"/>
      <c r="AEV29" s="1882"/>
      <c r="AEX29" s="1887"/>
      <c r="AEY29" s="1888"/>
      <c r="AEZ29" s="1882"/>
      <c r="AFA29" s="1882"/>
      <c r="AFB29" s="1882"/>
      <c r="AFD29" s="1887"/>
      <c r="AFE29" s="1888"/>
      <c r="AFF29" s="1882"/>
      <c r="AFG29" s="1882"/>
      <c r="AFH29" s="1882"/>
      <c r="AFJ29" s="1887"/>
      <c r="AFK29" s="1888"/>
      <c r="AFL29" s="1882"/>
      <c r="AFM29" s="1882"/>
      <c r="AFN29" s="1882"/>
      <c r="AFP29" s="1887"/>
      <c r="AFQ29" s="1888"/>
      <c r="AFR29" s="1882"/>
      <c r="AFS29" s="1882"/>
      <c r="AFT29" s="1882"/>
      <c r="AFV29" s="1887"/>
      <c r="AFW29" s="1888"/>
      <c r="AFX29" s="1882"/>
      <c r="AFY29" s="1882"/>
      <c r="AFZ29" s="1882"/>
      <c r="AGB29" s="1887"/>
      <c r="AGC29" s="1888"/>
      <c r="AGD29" s="1882"/>
      <c r="AGE29" s="1882"/>
      <c r="AGF29" s="1882"/>
      <c r="AGH29" s="1887"/>
      <c r="AGI29" s="1888"/>
      <c r="AGJ29" s="1882"/>
      <c r="AGK29" s="1882"/>
      <c r="AGL29" s="1882"/>
      <c r="AGN29" s="1887"/>
      <c r="AGO29" s="1888"/>
      <c r="AGP29" s="1882"/>
      <c r="AGQ29" s="1882"/>
      <c r="AGR29" s="1882"/>
      <c r="AGT29" s="1887"/>
      <c r="AGU29" s="1888"/>
      <c r="AGV29" s="1882"/>
      <c r="AGW29" s="1882"/>
      <c r="AGX29" s="1882"/>
      <c r="AGZ29" s="1887"/>
      <c r="AHA29" s="1888"/>
      <c r="AHB29" s="1882"/>
      <c r="AHC29" s="1882"/>
      <c r="AHD29" s="1882"/>
      <c r="AHF29" s="1887"/>
      <c r="AHG29" s="1888"/>
      <c r="AHH29" s="1882"/>
      <c r="AHI29" s="1882"/>
      <c r="AHJ29" s="1882"/>
      <c r="AHL29" s="1887"/>
      <c r="AHM29" s="1888"/>
      <c r="AHN29" s="1882"/>
      <c r="AHO29" s="1882"/>
      <c r="AHP29" s="1882"/>
      <c r="AHR29" s="1887"/>
      <c r="AHS29" s="1888"/>
      <c r="AHT29" s="1882"/>
      <c r="AHU29" s="1882"/>
      <c r="AHV29" s="1882"/>
      <c r="AHX29" s="1887"/>
      <c r="AHY29" s="1888"/>
      <c r="AHZ29" s="1882"/>
      <c r="AIA29" s="1882"/>
      <c r="AIB29" s="1882"/>
      <c r="AID29" s="1887"/>
      <c r="AIE29" s="1888"/>
      <c r="AIF29" s="1882"/>
      <c r="AIG29" s="1882"/>
      <c r="AIH29" s="1882"/>
      <c r="AIJ29" s="1887"/>
      <c r="AIK29" s="1888"/>
      <c r="AIL29" s="1882"/>
      <c r="AIM29" s="1882"/>
      <c r="AIN29" s="1882"/>
      <c r="AIP29" s="1887"/>
      <c r="AIQ29" s="1888"/>
      <c r="AIR29" s="1882"/>
      <c r="AIS29" s="1882"/>
      <c r="AIT29" s="1882"/>
      <c r="AIV29" s="1887"/>
      <c r="AIW29" s="1888"/>
      <c r="AIX29" s="1882"/>
      <c r="AIY29" s="1882"/>
      <c r="AIZ29" s="1882"/>
      <c r="AJB29" s="1887"/>
      <c r="AJC29" s="1888"/>
      <c r="AJD29" s="1882"/>
      <c r="AJE29" s="1882"/>
      <c r="AJF29" s="1882"/>
      <c r="AJH29" s="1887"/>
      <c r="AJI29" s="1888"/>
      <c r="AJJ29" s="1882"/>
      <c r="AJK29" s="1882"/>
      <c r="AJL29" s="1882"/>
      <c r="AJN29" s="1887"/>
      <c r="AJO29" s="1888"/>
      <c r="AJP29" s="1882"/>
      <c r="AJQ29" s="1882"/>
      <c r="AJR29" s="1882"/>
      <c r="AJT29" s="1887"/>
      <c r="AJU29" s="1888"/>
      <c r="AJV29" s="1882"/>
      <c r="AJW29" s="1882"/>
      <c r="AJX29" s="1882"/>
      <c r="AJZ29" s="1887"/>
      <c r="AKA29" s="1888"/>
      <c r="AKB29" s="1882"/>
      <c r="AKC29" s="1882"/>
      <c r="AKD29" s="1882"/>
      <c r="AKF29" s="1887"/>
      <c r="AKG29" s="1888"/>
      <c r="AKH29" s="1882"/>
      <c r="AKI29" s="1882"/>
      <c r="AKJ29" s="1882"/>
      <c r="AKL29" s="1887"/>
      <c r="AKM29" s="1888"/>
      <c r="AKN29" s="1882"/>
      <c r="AKO29" s="1882"/>
      <c r="AKP29" s="1882"/>
      <c r="AKR29" s="1887"/>
      <c r="AKS29" s="1888"/>
      <c r="AKT29" s="1882"/>
      <c r="AKU29" s="1882"/>
      <c r="AKV29" s="1882"/>
      <c r="AKX29" s="1887"/>
      <c r="AKY29" s="1888"/>
      <c r="AKZ29" s="1882"/>
      <c r="ALA29" s="1882"/>
      <c r="ALB29" s="1882"/>
      <c r="ALD29" s="1887"/>
      <c r="ALE29" s="1888"/>
      <c r="ALF29" s="1882"/>
      <c r="ALG29" s="1882"/>
      <c r="ALH29" s="1882"/>
      <c r="ALJ29" s="1887"/>
      <c r="ALK29" s="1888"/>
      <c r="ALL29" s="1882"/>
      <c r="ALM29" s="1882"/>
      <c r="ALN29" s="1882"/>
      <c r="ALP29" s="1887"/>
      <c r="ALQ29" s="1888"/>
      <c r="ALR29" s="1882"/>
      <c r="ALS29" s="1882"/>
      <c r="ALT29" s="1882"/>
      <c r="ALV29" s="1887"/>
      <c r="ALW29" s="1888"/>
      <c r="ALX29" s="1882"/>
      <c r="ALY29" s="1882"/>
      <c r="ALZ29" s="1882"/>
      <c r="AMB29" s="1887"/>
      <c r="AMC29" s="1888"/>
      <c r="AMD29" s="1882"/>
      <c r="AME29" s="1882"/>
      <c r="AMF29" s="1882"/>
      <c r="AMH29" s="1887"/>
      <c r="AMI29" s="1888"/>
      <c r="AMJ29" s="1882"/>
      <c r="AMK29" s="1882"/>
      <c r="AML29" s="1882"/>
      <c r="AMN29" s="1887"/>
      <c r="AMO29" s="1888"/>
      <c r="AMP29" s="1882"/>
      <c r="AMQ29" s="1882"/>
      <c r="AMR29" s="1882"/>
      <c r="AMT29" s="1887"/>
      <c r="AMU29" s="1888"/>
      <c r="AMV29" s="1882"/>
      <c r="AMW29" s="1882"/>
      <c r="AMX29" s="1882"/>
      <c r="AMZ29" s="1887"/>
      <c r="ANA29" s="1888"/>
      <c r="ANB29" s="1882"/>
      <c r="ANC29" s="1882"/>
      <c r="AND29" s="1882"/>
      <c r="ANF29" s="1887"/>
      <c r="ANG29" s="1888"/>
      <c r="ANH29" s="1882"/>
      <c r="ANI29" s="1882"/>
      <c r="ANJ29" s="1882"/>
      <c r="ANL29" s="1887"/>
      <c r="ANM29" s="1888"/>
      <c r="ANN29" s="1882"/>
      <c r="ANO29" s="1882"/>
      <c r="ANP29" s="1882"/>
      <c r="ANR29" s="1887"/>
      <c r="ANS29" s="1888"/>
      <c r="ANT29" s="1882"/>
      <c r="ANU29" s="1882"/>
      <c r="ANV29" s="1882"/>
      <c r="ANX29" s="1887"/>
      <c r="ANY29" s="1888"/>
      <c r="ANZ29" s="1882"/>
      <c r="AOA29" s="1882"/>
      <c r="AOB29" s="1882"/>
      <c r="AOD29" s="1887"/>
      <c r="AOE29" s="1888"/>
      <c r="AOF29" s="1882"/>
      <c r="AOG29" s="1882"/>
      <c r="AOH29" s="1882"/>
      <c r="AOJ29" s="1887"/>
      <c r="AOK29" s="1888"/>
      <c r="AOL29" s="1882"/>
      <c r="AOM29" s="1882"/>
      <c r="AON29" s="1882"/>
      <c r="AOP29" s="1887"/>
      <c r="AOQ29" s="1888"/>
      <c r="AOR29" s="1882"/>
      <c r="AOS29" s="1882"/>
      <c r="AOT29" s="1882"/>
      <c r="AOV29" s="1887"/>
      <c r="AOW29" s="1888"/>
      <c r="AOX29" s="1882"/>
      <c r="AOY29" s="1882"/>
      <c r="AOZ29" s="1882"/>
      <c r="APB29" s="1887"/>
      <c r="APC29" s="1888"/>
      <c r="APD29" s="1882"/>
      <c r="APE29" s="1882"/>
      <c r="APF29" s="1882"/>
      <c r="APH29" s="1887"/>
      <c r="API29" s="1888"/>
      <c r="APJ29" s="1882"/>
      <c r="APK29" s="1882"/>
      <c r="APL29" s="1882"/>
      <c r="APN29" s="1887"/>
      <c r="APO29" s="1888"/>
      <c r="APP29" s="1882"/>
      <c r="APQ29" s="1882"/>
      <c r="APR29" s="1882"/>
      <c r="APT29" s="1887"/>
      <c r="APU29" s="1888"/>
      <c r="APV29" s="1882"/>
      <c r="APW29" s="1882"/>
      <c r="APX29" s="1882"/>
      <c r="APZ29" s="1887"/>
      <c r="AQA29" s="1888"/>
      <c r="AQB29" s="1882"/>
      <c r="AQC29" s="1882"/>
      <c r="AQD29" s="1882"/>
      <c r="AQF29" s="1887"/>
      <c r="AQG29" s="1888"/>
      <c r="AQH29" s="1882"/>
      <c r="AQI29" s="1882"/>
      <c r="AQJ29" s="1882"/>
      <c r="AQL29" s="1887"/>
      <c r="AQM29" s="1888"/>
      <c r="AQN29" s="1882"/>
      <c r="AQO29" s="1882"/>
      <c r="AQP29" s="1882"/>
      <c r="AQR29" s="1887"/>
      <c r="AQS29" s="1888"/>
      <c r="AQT29" s="1882"/>
      <c r="AQU29" s="1882"/>
      <c r="AQV29" s="1882"/>
      <c r="AQX29" s="1887"/>
      <c r="AQY29" s="1888"/>
      <c r="AQZ29" s="1882"/>
      <c r="ARA29" s="1882"/>
      <c r="ARB29" s="1882"/>
      <c r="ARD29" s="1887"/>
      <c r="ARE29" s="1888"/>
      <c r="ARF29" s="1882"/>
      <c r="ARG29" s="1882"/>
      <c r="ARH29" s="1882"/>
      <c r="ARJ29" s="1887"/>
      <c r="ARK29" s="1888"/>
      <c r="ARL29" s="1882"/>
      <c r="ARM29" s="1882"/>
      <c r="ARN29" s="1882"/>
      <c r="ARP29" s="1887"/>
      <c r="ARQ29" s="1888"/>
      <c r="ARR29" s="1882"/>
      <c r="ARS29" s="1882"/>
      <c r="ART29" s="1882"/>
      <c r="ARV29" s="1887"/>
      <c r="ARW29" s="1888"/>
      <c r="ARX29" s="1882"/>
      <c r="ARY29" s="1882"/>
      <c r="ARZ29" s="1882"/>
      <c r="ASB29" s="1887"/>
      <c r="ASC29" s="1888"/>
      <c r="ASD29" s="1882"/>
      <c r="ASE29" s="1882"/>
      <c r="ASF29" s="1882"/>
      <c r="ASH29" s="1887"/>
      <c r="ASI29" s="1888"/>
      <c r="ASJ29" s="1882"/>
      <c r="ASK29" s="1882"/>
      <c r="ASL29" s="1882"/>
      <c r="ASN29" s="1887"/>
      <c r="ASO29" s="1888"/>
      <c r="ASP29" s="1882"/>
      <c r="ASQ29" s="1882"/>
      <c r="ASR29" s="1882"/>
      <c r="AST29" s="1887"/>
      <c r="ASU29" s="1888"/>
      <c r="ASV29" s="1882"/>
      <c r="ASW29" s="1882"/>
      <c r="ASX29" s="1882"/>
      <c r="ASZ29" s="1887"/>
      <c r="ATA29" s="1888"/>
      <c r="ATB29" s="1882"/>
      <c r="ATC29" s="1882"/>
      <c r="ATD29" s="1882"/>
      <c r="ATF29" s="1887"/>
      <c r="ATG29" s="1888"/>
      <c r="ATH29" s="1882"/>
      <c r="ATI29" s="1882"/>
      <c r="ATJ29" s="1882"/>
      <c r="ATL29" s="1887"/>
      <c r="ATM29" s="1888"/>
      <c r="ATN29" s="1882"/>
      <c r="ATO29" s="1882"/>
      <c r="ATP29" s="1882"/>
      <c r="ATR29" s="1887"/>
      <c r="ATS29" s="1888"/>
      <c r="ATT29" s="1882"/>
      <c r="ATU29" s="1882"/>
      <c r="ATV29" s="1882"/>
      <c r="ATX29" s="1887"/>
      <c r="ATY29" s="1888"/>
      <c r="ATZ29" s="1882"/>
      <c r="AUA29" s="1882"/>
      <c r="AUB29" s="1882"/>
      <c r="AUD29" s="1887"/>
      <c r="AUE29" s="1888"/>
      <c r="AUF29" s="1882"/>
      <c r="AUG29" s="1882"/>
      <c r="AUH29" s="1882"/>
      <c r="AUJ29" s="1887"/>
      <c r="AUK29" s="1888"/>
      <c r="AUL29" s="1882"/>
      <c r="AUM29" s="1882"/>
      <c r="AUN29" s="1882"/>
      <c r="AUP29" s="1887"/>
      <c r="AUQ29" s="1888"/>
      <c r="AUR29" s="1882"/>
      <c r="AUS29" s="1882"/>
      <c r="AUT29" s="1882"/>
      <c r="AUV29" s="1887"/>
      <c r="AUW29" s="1888"/>
      <c r="AUX29" s="1882"/>
      <c r="AUY29" s="1882"/>
      <c r="AUZ29" s="1882"/>
      <c r="AVB29" s="1887"/>
      <c r="AVC29" s="1888"/>
      <c r="AVD29" s="1882"/>
      <c r="AVE29" s="1882"/>
      <c r="AVF29" s="1882"/>
      <c r="AVH29" s="1887"/>
      <c r="AVI29" s="1888"/>
      <c r="AVJ29" s="1882"/>
      <c r="AVK29" s="1882"/>
      <c r="AVL29" s="1882"/>
      <c r="AVN29" s="1887"/>
      <c r="AVO29" s="1888"/>
      <c r="AVP29" s="1882"/>
      <c r="AVQ29" s="1882"/>
      <c r="AVR29" s="1882"/>
      <c r="AVT29" s="1887"/>
      <c r="AVU29" s="1888"/>
      <c r="AVV29" s="1882"/>
      <c r="AVW29" s="1882"/>
      <c r="AVX29" s="1882"/>
      <c r="AVZ29" s="1887"/>
      <c r="AWA29" s="1888"/>
      <c r="AWB29" s="1882"/>
      <c r="AWC29" s="1882"/>
      <c r="AWD29" s="1882"/>
      <c r="AWF29" s="1887"/>
      <c r="AWG29" s="1888"/>
      <c r="AWH29" s="1882"/>
      <c r="AWI29" s="1882"/>
      <c r="AWJ29" s="1882"/>
      <c r="AWL29" s="1887"/>
      <c r="AWM29" s="1888"/>
      <c r="AWN29" s="1882"/>
      <c r="AWO29" s="1882"/>
      <c r="AWP29" s="1882"/>
      <c r="AWR29" s="1887"/>
      <c r="AWS29" s="1888"/>
      <c r="AWT29" s="1882"/>
      <c r="AWU29" s="1882"/>
      <c r="AWV29" s="1882"/>
      <c r="AWX29" s="1887"/>
      <c r="AWY29" s="1888"/>
      <c r="AWZ29" s="1882"/>
      <c r="AXA29" s="1882"/>
      <c r="AXB29" s="1882"/>
      <c r="AXD29" s="1887"/>
      <c r="AXE29" s="1888"/>
      <c r="AXF29" s="1882"/>
      <c r="AXG29" s="1882"/>
      <c r="AXH29" s="1882"/>
      <c r="AXJ29" s="1887"/>
      <c r="AXK29" s="1888"/>
      <c r="AXL29" s="1882"/>
      <c r="AXM29" s="1882"/>
      <c r="AXN29" s="1882"/>
      <c r="AXP29" s="1887"/>
      <c r="AXQ29" s="1888"/>
      <c r="AXR29" s="1882"/>
      <c r="AXS29" s="1882"/>
      <c r="AXT29" s="1882"/>
      <c r="AXV29" s="1887"/>
      <c r="AXW29" s="1888"/>
      <c r="AXX29" s="1882"/>
      <c r="AXY29" s="1882"/>
      <c r="AXZ29" s="1882"/>
      <c r="AYB29" s="1887"/>
      <c r="AYC29" s="1888"/>
      <c r="AYD29" s="1882"/>
      <c r="AYE29" s="1882"/>
      <c r="AYF29" s="1882"/>
      <c r="AYH29" s="1887"/>
      <c r="AYI29" s="1888"/>
      <c r="AYJ29" s="1882"/>
      <c r="AYK29" s="1882"/>
      <c r="AYL29" s="1882"/>
      <c r="AYN29" s="1887"/>
      <c r="AYO29" s="1888"/>
      <c r="AYP29" s="1882"/>
      <c r="AYQ29" s="1882"/>
      <c r="AYR29" s="1882"/>
      <c r="AYT29" s="1887"/>
      <c r="AYU29" s="1888"/>
      <c r="AYV29" s="1882"/>
      <c r="AYW29" s="1882"/>
      <c r="AYX29" s="1882"/>
      <c r="AYZ29" s="1887"/>
      <c r="AZA29" s="1888"/>
      <c r="AZB29" s="1882"/>
      <c r="AZC29" s="1882"/>
      <c r="AZD29" s="1882"/>
      <c r="AZF29" s="1887"/>
      <c r="AZG29" s="1888"/>
      <c r="AZH29" s="1882"/>
      <c r="AZI29" s="1882"/>
      <c r="AZJ29" s="1882"/>
      <c r="AZL29" s="1887"/>
      <c r="AZM29" s="1888"/>
      <c r="AZN29" s="1882"/>
      <c r="AZO29" s="1882"/>
      <c r="AZP29" s="1882"/>
      <c r="AZR29" s="1887"/>
      <c r="AZS29" s="1888"/>
      <c r="AZT29" s="1882"/>
      <c r="AZU29" s="1882"/>
      <c r="AZV29" s="1882"/>
      <c r="AZX29" s="1887"/>
      <c r="AZY29" s="1888"/>
      <c r="AZZ29" s="1882"/>
      <c r="BAA29" s="1882"/>
      <c r="BAB29" s="1882"/>
      <c r="BAD29" s="1887"/>
      <c r="BAE29" s="1888"/>
      <c r="BAF29" s="1882"/>
      <c r="BAG29" s="1882"/>
      <c r="BAH29" s="1882"/>
      <c r="BAJ29" s="1887"/>
      <c r="BAK29" s="1888"/>
      <c r="BAL29" s="1882"/>
      <c r="BAM29" s="1882"/>
      <c r="BAN29" s="1882"/>
      <c r="BAP29" s="1887"/>
      <c r="BAQ29" s="1888"/>
      <c r="BAR29" s="1882"/>
      <c r="BAS29" s="1882"/>
      <c r="BAT29" s="1882"/>
      <c r="BAV29" s="1887"/>
      <c r="BAW29" s="1888"/>
      <c r="BAX29" s="1882"/>
      <c r="BAY29" s="1882"/>
      <c r="BAZ29" s="1882"/>
      <c r="BBB29" s="1887"/>
      <c r="BBC29" s="1888"/>
      <c r="BBD29" s="1882"/>
      <c r="BBE29" s="1882"/>
      <c r="BBF29" s="1882"/>
      <c r="BBH29" s="1887"/>
      <c r="BBI29" s="1888"/>
      <c r="BBJ29" s="1882"/>
      <c r="BBK29" s="1882"/>
      <c r="BBL29" s="1882"/>
      <c r="BBN29" s="1887"/>
      <c r="BBO29" s="1888"/>
      <c r="BBP29" s="1882"/>
      <c r="BBQ29" s="1882"/>
      <c r="BBR29" s="1882"/>
      <c r="BBT29" s="1887"/>
      <c r="BBU29" s="1888"/>
      <c r="BBV29" s="1882"/>
      <c r="BBW29" s="1882"/>
      <c r="BBX29" s="1882"/>
      <c r="BBZ29" s="1887"/>
      <c r="BCA29" s="1888"/>
      <c r="BCB29" s="1882"/>
      <c r="BCC29" s="1882"/>
      <c r="BCD29" s="1882"/>
      <c r="BCF29" s="1887"/>
      <c r="BCG29" s="1888"/>
      <c r="BCH29" s="1882"/>
      <c r="BCI29" s="1882"/>
      <c r="BCJ29" s="1882"/>
      <c r="BCL29" s="1887"/>
      <c r="BCM29" s="1888"/>
      <c r="BCN29" s="1882"/>
      <c r="BCO29" s="1882"/>
      <c r="BCP29" s="1882"/>
      <c r="BCR29" s="1887"/>
      <c r="BCS29" s="1888"/>
      <c r="BCT29" s="1882"/>
      <c r="BCU29" s="1882"/>
      <c r="BCV29" s="1882"/>
      <c r="BCX29" s="1887"/>
      <c r="BCY29" s="1888"/>
      <c r="BCZ29" s="1882"/>
      <c r="BDA29" s="1882"/>
      <c r="BDB29" s="1882"/>
      <c r="BDD29" s="1887"/>
      <c r="BDE29" s="1888"/>
      <c r="BDF29" s="1882"/>
      <c r="BDG29" s="1882"/>
      <c r="BDH29" s="1882"/>
      <c r="BDJ29" s="1887"/>
      <c r="BDK29" s="1888"/>
      <c r="BDL29" s="1882"/>
      <c r="BDM29" s="1882"/>
      <c r="BDN29" s="1882"/>
      <c r="BDP29" s="1887"/>
      <c r="BDQ29" s="1888"/>
      <c r="BDR29" s="1882"/>
      <c r="BDS29" s="1882"/>
      <c r="BDT29" s="1882"/>
      <c r="BDV29" s="1887"/>
      <c r="BDW29" s="1888"/>
      <c r="BDX29" s="1882"/>
      <c r="BDY29" s="1882"/>
      <c r="BDZ29" s="1882"/>
      <c r="BEB29" s="1887"/>
      <c r="BEC29" s="1888"/>
      <c r="BED29" s="1882"/>
      <c r="BEE29" s="1882"/>
      <c r="BEF29" s="1882"/>
      <c r="BEH29" s="1887"/>
      <c r="BEI29" s="1888"/>
      <c r="BEJ29" s="1882"/>
      <c r="BEK29" s="1882"/>
      <c r="BEL29" s="1882"/>
      <c r="BEN29" s="1887"/>
      <c r="BEO29" s="1888"/>
      <c r="BEP29" s="1882"/>
      <c r="BEQ29" s="1882"/>
      <c r="BER29" s="1882"/>
      <c r="BET29" s="1887"/>
      <c r="BEU29" s="1888"/>
      <c r="BEV29" s="1882"/>
      <c r="BEW29" s="1882"/>
      <c r="BEX29" s="1882"/>
      <c r="BEZ29" s="1887"/>
      <c r="BFA29" s="1888"/>
      <c r="BFB29" s="1882"/>
      <c r="BFC29" s="1882"/>
      <c r="BFD29" s="1882"/>
      <c r="BFF29" s="1887"/>
      <c r="BFG29" s="1888"/>
      <c r="BFH29" s="1882"/>
      <c r="BFI29" s="1882"/>
      <c r="BFJ29" s="1882"/>
      <c r="BFL29" s="1887"/>
      <c r="BFM29" s="1888"/>
      <c r="BFN29" s="1882"/>
      <c r="BFO29" s="1882"/>
      <c r="BFP29" s="1882"/>
      <c r="BFR29" s="1887"/>
      <c r="BFS29" s="1888"/>
      <c r="BFT29" s="1882"/>
      <c r="BFU29" s="1882"/>
      <c r="BFV29" s="1882"/>
      <c r="BFX29" s="1887"/>
      <c r="BFY29" s="1888"/>
      <c r="BFZ29" s="1882"/>
      <c r="BGA29" s="1882"/>
      <c r="BGB29" s="1882"/>
      <c r="BGD29" s="1887"/>
      <c r="BGE29" s="1888"/>
      <c r="BGF29" s="1882"/>
      <c r="BGG29" s="1882"/>
      <c r="BGH29" s="1882"/>
      <c r="BGJ29" s="1887"/>
      <c r="BGK29" s="1888"/>
      <c r="BGL29" s="1882"/>
      <c r="BGM29" s="1882"/>
      <c r="BGN29" s="1882"/>
      <c r="BGP29" s="1887"/>
      <c r="BGQ29" s="1888"/>
      <c r="BGR29" s="1882"/>
      <c r="BGS29" s="1882"/>
      <c r="BGT29" s="1882"/>
      <c r="BGV29" s="1887"/>
      <c r="BGW29" s="1888"/>
      <c r="BGX29" s="1882"/>
      <c r="BGY29" s="1882"/>
      <c r="BGZ29" s="1882"/>
      <c r="BHB29" s="1887"/>
      <c r="BHC29" s="1888"/>
      <c r="BHD29" s="1882"/>
      <c r="BHE29" s="1882"/>
      <c r="BHF29" s="1882"/>
      <c r="BHH29" s="1887"/>
      <c r="BHI29" s="1888"/>
      <c r="BHJ29" s="1882"/>
      <c r="BHK29" s="1882"/>
      <c r="BHL29" s="1882"/>
      <c r="BHN29" s="1887"/>
      <c r="BHO29" s="1888"/>
      <c r="BHP29" s="1882"/>
      <c r="BHQ29" s="1882"/>
      <c r="BHR29" s="1882"/>
      <c r="BHT29" s="1887"/>
      <c r="BHU29" s="1888"/>
      <c r="BHV29" s="1882"/>
      <c r="BHW29" s="1882"/>
      <c r="BHX29" s="1882"/>
      <c r="BHZ29" s="1887"/>
      <c r="BIA29" s="1888"/>
      <c r="BIB29" s="1882"/>
      <c r="BIC29" s="1882"/>
      <c r="BID29" s="1882"/>
      <c r="BIF29" s="1887"/>
      <c r="BIG29" s="1888"/>
      <c r="BIH29" s="1882"/>
      <c r="BII29" s="1882"/>
      <c r="BIJ29" s="1882"/>
      <c r="BIL29" s="1887"/>
      <c r="BIM29" s="1888"/>
      <c r="BIN29" s="1882"/>
      <c r="BIO29" s="1882"/>
      <c r="BIP29" s="1882"/>
      <c r="BIR29" s="1887"/>
      <c r="BIS29" s="1888"/>
      <c r="BIT29" s="1882"/>
      <c r="BIU29" s="1882"/>
      <c r="BIV29" s="1882"/>
      <c r="BIX29" s="1887"/>
      <c r="BIY29" s="1888"/>
      <c r="BIZ29" s="1882"/>
      <c r="BJA29" s="1882"/>
      <c r="BJB29" s="1882"/>
      <c r="BJD29" s="1887"/>
      <c r="BJE29" s="1888"/>
      <c r="BJF29" s="1882"/>
      <c r="BJG29" s="1882"/>
      <c r="BJH29" s="1882"/>
      <c r="BJJ29" s="1887"/>
      <c r="BJK29" s="1888"/>
      <c r="BJL29" s="1882"/>
      <c r="BJM29" s="1882"/>
      <c r="BJN29" s="1882"/>
      <c r="BJP29" s="1887"/>
      <c r="BJQ29" s="1888"/>
      <c r="BJR29" s="1882"/>
      <c r="BJS29" s="1882"/>
      <c r="BJT29" s="1882"/>
      <c r="BJV29" s="1887"/>
      <c r="BJW29" s="1888"/>
      <c r="BJX29" s="1882"/>
      <c r="BJY29" s="1882"/>
      <c r="BJZ29" s="1882"/>
      <c r="BKB29" s="1887"/>
      <c r="BKC29" s="1888"/>
      <c r="BKD29" s="1882"/>
      <c r="BKE29" s="1882"/>
      <c r="BKF29" s="1882"/>
      <c r="BKH29" s="1887"/>
      <c r="BKI29" s="1888"/>
      <c r="BKJ29" s="1882"/>
      <c r="BKK29" s="1882"/>
      <c r="BKL29" s="1882"/>
      <c r="BKN29" s="1887"/>
      <c r="BKO29" s="1888"/>
      <c r="BKP29" s="1882"/>
      <c r="BKQ29" s="1882"/>
      <c r="BKR29" s="1882"/>
      <c r="BKT29" s="1887"/>
      <c r="BKU29" s="1888"/>
      <c r="BKV29" s="1882"/>
      <c r="BKW29" s="1882"/>
      <c r="BKX29" s="1882"/>
      <c r="BKZ29" s="1887"/>
      <c r="BLA29" s="1888"/>
      <c r="BLB29" s="1882"/>
      <c r="BLC29" s="1882"/>
      <c r="BLD29" s="1882"/>
      <c r="BLF29" s="1887"/>
      <c r="BLG29" s="1888"/>
      <c r="BLH29" s="1882"/>
      <c r="BLI29" s="1882"/>
      <c r="BLJ29" s="1882"/>
      <c r="BLL29" s="1887"/>
      <c r="BLM29" s="1888"/>
      <c r="BLN29" s="1882"/>
      <c r="BLO29" s="1882"/>
      <c r="BLP29" s="1882"/>
      <c r="BLR29" s="1887"/>
      <c r="BLS29" s="1888"/>
      <c r="BLT29" s="1882"/>
      <c r="BLU29" s="1882"/>
      <c r="BLV29" s="1882"/>
      <c r="BLX29" s="1887"/>
      <c r="BLY29" s="1888"/>
      <c r="BLZ29" s="1882"/>
      <c r="BMA29" s="1882"/>
      <c r="BMB29" s="1882"/>
      <c r="BMD29" s="1887"/>
      <c r="BME29" s="1888"/>
      <c r="BMF29" s="1882"/>
      <c r="BMG29" s="1882"/>
      <c r="BMH29" s="1882"/>
      <c r="BMJ29" s="1887"/>
      <c r="BMK29" s="1888"/>
      <c r="BML29" s="1882"/>
      <c r="BMM29" s="1882"/>
      <c r="BMN29" s="1882"/>
      <c r="BMP29" s="1887"/>
      <c r="BMQ29" s="1888"/>
      <c r="BMR29" s="1882"/>
      <c r="BMS29" s="1882"/>
      <c r="BMT29" s="1882"/>
      <c r="BMV29" s="1887"/>
      <c r="BMW29" s="1888"/>
      <c r="BMX29" s="1882"/>
      <c r="BMY29" s="1882"/>
      <c r="BMZ29" s="1882"/>
      <c r="BNB29" s="1887"/>
      <c r="BNC29" s="1888"/>
      <c r="BND29" s="1882"/>
      <c r="BNE29" s="1882"/>
      <c r="BNF29" s="1882"/>
      <c r="BNH29" s="1887"/>
      <c r="BNI29" s="1888"/>
      <c r="BNJ29" s="1882"/>
      <c r="BNK29" s="1882"/>
      <c r="BNL29" s="1882"/>
      <c r="BNN29" s="1887"/>
      <c r="BNO29" s="1888"/>
      <c r="BNP29" s="1882"/>
      <c r="BNQ29" s="1882"/>
      <c r="BNR29" s="1882"/>
      <c r="BNT29" s="1887"/>
      <c r="BNU29" s="1888"/>
      <c r="BNV29" s="1882"/>
      <c r="BNW29" s="1882"/>
      <c r="BNX29" s="1882"/>
      <c r="BNZ29" s="1887"/>
      <c r="BOA29" s="1888"/>
      <c r="BOB29" s="1882"/>
      <c r="BOC29" s="1882"/>
      <c r="BOD29" s="1882"/>
      <c r="BOF29" s="1887"/>
      <c r="BOG29" s="1888"/>
      <c r="BOH29" s="1882"/>
      <c r="BOI29" s="1882"/>
      <c r="BOJ29" s="1882"/>
      <c r="BOL29" s="1887"/>
      <c r="BOM29" s="1888"/>
      <c r="BON29" s="1882"/>
      <c r="BOO29" s="1882"/>
      <c r="BOP29" s="1882"/>
      <c r="BOR29" s="1887"/>
      <c r="BOS29" s="1888"/>
      <c r="BOT29" s="1882"/>
      <c r="BOU29" s="1882"/>
      <c r="BOV29" s="1882"/>
      <c r="BOX29" s="1887"/>
      <c r="BOY29" s="1888"/>
      <c r="BOZ29" s="1882"/>
      <c r="BPA29" s="1882"/>
      <c r="BPB29" s="1882"/>
      <c r="BPD29" s="1887"/>
      <c r="BPE29" s="1888"/>
      <c r="BPF29" s="1882"/>
      <c r="BPG29" s="1882"/>
      <c r="BPH29" s="1882"/>
      <c r="BPJ29" s="1887"/>
      <c r="BPK29" s="1888"/>
      <c r="BPL29" s="1882"/>
      <c r="BPM29" s="1882"/>
      <c r="BPN29" s="1882"/>
      <c r="BPP29" s="1887"/>
      <c r="BPQ29" s="1888"/>
      <c r="BPR29" s="1882"/>
      <c r="BPS29" s="1882"/>
      <c r="BPT29" s="1882"/>
      <c r="BPV29" s="1887"/>
      <c r="BPW29" s="1888"/>
      <c r="BPX29" s="1882"/>
      <c r="BPY29" s="1882"/>
      <c r="BPZ29" s="1882"/>
      <c r="BQB29" s="1887"/>
      <c r="BQC29" s="1888"/>
      <c r="BQD29" s="1882"/>
      <c r="BQE29" s="1882"/>
      <c r="BQF29" s="1882"/>
      <c r="BQH29" s="1887"/>
      <c r="BQI29" s="1888"/>
      <c r="BQJ29" s="1882"/>
      <c r="BQK29" s="1882"/>
      <c r="BQL29" s="1882"/>
      <c r="BQN29" s="1887"/>
      <c r="BQO29" s="1888"/>
      <c r="BQP29" s="1882"/>
      <c r="BQQ29" s="1882"/>
      <c r="BQR29" s="1882"/>
      <c r="BQT29" s="1887"/>
      <c r="BQU29" s="1888"/>
      <c r="BQV29" s="1882"/>
      <c r="BQW29" s="1882"/>
      <c r="BQX29" s="1882"/>
      <c r="BQZ29" s="1887"/>
      <c r="BRA29" s="1888"/>
      <c r="BRB29" s="1882"/>
      <c r="BRC29" s="1882"/>
      <c r="BRD29" s="1882"/>
      <c r="BRF29" s="1887"/>
      <c r="BRG29" s="1888"/>
      <c r="BRH29" s="1882"/>
      <c r="BRI29" s="1882"/>
      <c r="BRJ29" s="1882"/>
      <c r="BRL29" s="1887"/>
      <c r="BRM29" s="1888"/>
      <c r="BRN29" s="1882"/>
      <c r="BRO29" s="1882"/>
      <c r="BRP29" s="1882"/>
      <c r="BRR29" s="1887"/>
      <c r="BRS29" s="1888"/>
      <c r="BRT29" s="1882"/>
      <c r="BRU29" s="1882"/>
      <c r="BRV29" s="1882"/>
      <c r="BRX29" s="1887"/>
      <c r="BRY29" s="1888"/>
      <c r="BRZ29" s="1882"/>
      <c r="BSA29" s="1882"/>
      <c r="BSB29" s="1882"/>
      <c r="BSD29" s="1887"/>
      <c r="BSE29" s="1888"/>
      <c r="BSF29" s="1882"/>
      <c r="BSG29" s="1882"/>
      <c r="BSH29" s="1882"/>
      <c r="BSJ29" s="1887"/>
      <c r="BSK29" s="1888"/>
      <c r="BSL29" s="1882"/>
      <c r="BSM29" s="1882"/>
      <c r="BSN29" s="1882"/>
      <c r="BSP29" s="1887"/>
      <c r="BSQ29" s="1888"/>
      <c r="BSR29" s="1882"/>
      <c r="BSS29" s="1882"/>
      <c r="BST29" s="1882"/>
      <c r="BSV29" s="1887"/>
      <c r="BSW29" s="1888"/>
      <c r="BSX29" s="1882"/>
      <c r="BSY29" s="1882"/>
      <c r="BSZ29" s="1882"/>
      <c r="BTB29" s="1887"/>
      <c r="BTC29" s="1888"/>
      <c r="BTD29" s="1882"/>
      <c r="BTE29" s="1882"/>
      <c r="BTF29" s="1882"/>
      <c r="BTH29" s="1887"/>
      <c r="BTI29" s="1888"/>
      <c r="BTJ29" s="1882"/>
      <c r="BTK29" s="1882"/>
      <c r="BTL29" s="1882"/>
      <c r="BTN29" s="1887"/>
      <c r="BTO29" s="1888"/>
      <c r="BTP29" s="1882"/>
      <c r="BTQ29" s="1882"/>
      <c r="BTR29" s="1882"/>
      <c r="BTT29" s="1887"/>
      <c r="BTU29" s="1888"/>
      <c r="BTV29" s="1882"/>
      <c r="BTW29" s="1882"/>
      <c r="BTX29" s="1882"/>
      <c r="BTZ29" s="1887"/>
      <c r="BUA29" s="1888"/>
      <c r="BUB29" s="1882"/>
      <c r="BUC29" s="1882"/>
      <c r="BUD29" s="1882"/>
      <c r="BUF29" s="1887"/>
      <c r="BUG29" s="1888"/>
      <c r="BUH29" s="1882"/>
      <c r="BUI29" s="1882"/>
      <c r="BUJ29" s="1882"/>
      <c r="BUL29" s="1887"/>
      <c r="BUM29" s="1888"/>
      <c r="BUN29" s="1882"/>
      <c r="BUO29" s="1882"/>
      <c r="BUP29" s="1882"/>
      <c r="BUR29" s="1887"/>
      <c r="BUS29" s="1888"/>
      <c r="BUT29" s="1882"/>
      <c r="BUU29" s="1882"/>
      <c r="BUV29" s="1882"/>
      <c r="BUX29" s="1887"/>
      <c r="BUY29" s="1888"/>
      <c r="BUZ29" s="1882"/>
      <c r="BVA29" s="1882"/>
      <c r="BVB29" s="1882"/>
      <c r="BVD29" s="1887"/>
      <c r="BVE29" s="1888"/>
      <c r="BVF29" s="1882"/>
      <c r="BVG29" s="1882"/>
      <c r="BVH29" s="1882"/>
      <c r="BVJ29" s="1887"/>
      <c r="BVK29" s="1888"/>
      <c r="BVL29" s="1882"/>
      <c r="BVM29" s="1882"/>
      <c r="BVN29" s="1882"/>
      <c r="BVP29" s="1887"/>
      <c r="BVQ29" s="1888"/>
      <c r="BVR29" s="1882"/>
      <c r="BVS29" s="1882"/>
      <c r="BVT29" s="1882"/>
      <c r="BVV29" s="1887"/>
      <c r="BVW29" s="1888"/>
      <c r="BVX29" s="1882"/>
      <c r="BVY29" s="1882"/>
      <c r="BVZ29" s="1882"/>
      <c r="BWB29" s="1887"/>
      <c r="BWC29" s="1888"/>
      <c r="BWD29" s="1882"/>
      <c r="BWE29" s="1882"/>
      <c r="BWF29" s="1882"/>
      <c r="BWH29" s="1887"/>
      <c r="BWI29" s="1888"/>
      <c r="BWJ29" s="1882"/>
      <c r="BWK29" s="1882"/>
      <c r="BWL29" s="1882"/>
      <c r="BWN29" s="1887"/>
      <c r="BWO29" s="1888"/>
      <c r="BWP29" s="1882"/>
      <c r="BWQ29" s="1882"/>
      <c r="BWR29" s="1882"/>
      <c r="BWT29" s="1887"/>
      <c r="BWU29" s="1888"/>
      <c r="BWV29" s="1882"/>
      <c r="BWW29" s="1882"/>
      <c r="BWX29" s="1882"/>
      <c r="BWZ29" s="1887"/>
      <c r="BXA29" s="1888"/>
      <c r="BXB29" s="1882"/>
      <c r="BXC29" s="1882"/>
      <c r="BXD29" s="1882"/>
      <c r="BXF29" s="1887"/>
      <c r="BXG29" s="1888"/>
      <c r="BXH29" s="1882"/>
      <c r="BXI29" s="1882"/>
      <c r="BXJ29" s="1882"/>
      <c r="BXL29" s="1887"/>
      <c r="BXM29" s="1888"/>
      <c r="BXN29" s="1882"/>
      <c r="BXO29" s="1882"/>
      <c r="BXP29" s="1882"/>
      <c r="BXR29" s="1887"/>
      <c r="BXS29" s="1888"/>
      <c r="BXT29" s="1882"/>
      <c r="BXU29" s="1882"/>
      <c r="BXV29" s="1882"/>
      <c r="BXX29" s="1887"/>
      <c r="BXY29" s="1888"/>
      <c r="BXZ29" s="1882"/>
      <c r="BYA29" s="1882"/>
      <c r="BYB29" s="1882"/>
      <c r="BYD29" s="1887"/>
      <c r="BYE29" s="1888"/>
      <c r="BYF29" s="1882"/>
      <c r="BYG29" s="1882"/>
      <c r="BYH29" s="1882"/>
      <c r="BYJ29" s="1887"/>
      <c r="BYK29" s="1888"/>
      <c r="BYL29" s="1882"/>
      <c r="BYM29" s="1882"/>
      <c r="BYN29" s="1882"/>
      <c r="BYP29" s="1887"/>
      <c r="BYQ29" s="1888"/>
      <c r="BYR29" s="1882"/>
      <c r="BYS29" s="1882"/>
      <c r="BYT29" s="1882"/>
      <c r="BYV29" s="1887"/>
      <c r="BYW29" s="1888"/>
      <c r="BYX29" s="1882"/>
      <c r="BYY29" s="1882"/>
      <c r="BYZ29" s="1882"/>
      <c r="BZB29" s="1887"/>
      <c r="BZC29" s="1888"/>
      <c r="BZD29" s="1882"/>
      <c r="BZE29" s="1882"/>
      <c r="BZF29" s="1882"/>
      <c r="BZH29" s="1887"/>
      <c r="BZI29" s="1888"/>
      <c r="BZJ29" s="1882"/>
      <c r="BZK29" s="1882"/>
      <c r="BZL29" s="1882"/>
      <c r="BZN29" s="1887"/>
      <c r="BZO29" s="1888"/>
      <c r="BZP29" s="1882"/>
      <c r="BZQ29" s="1882"/>
      <c r="BZR29" s="1882"/>
      <c r="BZT29" s="1887"/>
      <c r="BZU29" s="1888"/>
      <c r="BZV29" s="1882"/>
      <c r="BZW29" s="1882"/>
      <c r="BZX29" s="1882"/>
      <c r="BZZ29" s="1887"/>
      <c r="CAA29" s="1888"/>
      <c r="CAB29" s="1882"/>
      <c r="CAC29" s="1882"/>
      <c r="CAD29" s="1882"/>
      <c r="CAF29" s="1887"/>
      <c r="CAG29" s="1888"/>
      <c r="CAH29" s="1882"/>
      <c r="CAI29" s="1882"/>
      <c r="CAJ29" s="1882"/>
      <c r="CAL29" s="1887"/>
      <c r="CAM29" s="1888"/>
      <c r="CAN29" s="1882"/>
      <c r="CAO29" s="1882"/>
      <c r="CAP29" s="1882"/>
      <c r="CAR29" s="1887"/>
      <c r="CAS29" s="1888"/>
      <c r="CAT29" s="1882"/>
      <c r="CAU29" s="1882"/>
      <c r="CAV29" s="1882"/>
      <c r="CAX29" s="1887"/>
      <c r="CAY29" s="1888"/>
      <c r="CAZ29" s="1882"/>
      <c r="CBA29" s="1882"/>
      <c r="CBB29" s="1882"/>
      <c r="CBD29" s="1887"/>
      <c r="CBE29" s="1888"/>
      <c r="CBF29" s="1882"/>
      <c r="CBG29" s="1882"/>
      <c r="CBH29" s="1882"/>
      <c r="CBJ29" s="1887"/>
      <c r="CBK29" s="1888"/>
      <c r="CBL29" s="1882"/>
      <c r="CBM29" s="1882"/>
      <c r="CBN29" s="1882"/>
      <c r="CBP29" s="1887"/>
      <c r="CBQ29" s="1888"/>
      <c r="CBR29" s="1882"/>
      <c r="CBS29" s="1882"/>
      <c r="CBT29" s="1882"/>
      <c r="CBV29" s="1887"/>
      <c r="CBW29" s="1888"/>
      <c r="CBX29" s="1882"/>
      <c r="CBY29" s="1882"/>
      <c r="CBZ29" s="1882"/>
      <c r="CCB29" s="1887"/>
      <c r="CCC29" s="1888"/>
      <c r="CCD29" s="1882"/>
      <c r="CCE29" s="1882"/>
      <c r="CCF29" s="1882"/>
      <c r="CCH29" s="1887"/>
      <c r="CCI29" s="1888"/>
      <c r="CCJ29" s="1882"/>
      <c r="CCK29" s="1882"/>
      <c r="CCL29" s="1882"/>
      <c r="CCN29" s="1887"/>
      <c r="CCO29" s="1888"/>
      <c r="CCP29" s="1882"/>
      <c r="CCQ29" s="1882"/>
      <c r="CCR29" s="1882"/>
      <c r="CCT29" s="1887"/>
      <c r="CCU29" s="1888"/>
      <c r="CCV29" s="1882"/>
      <c r="CCW29" s="1882"/>
      <c r="CCX29" s="1882"/>
      <c r="CCZ29" s="1887"/>
      <c r="CDA29" s="1888"/>
      <c r="CDB29" s="1882"/>
      <c r="CDC29" s="1882"/>
      <c r="CDD29" s="1882"/>
      <c r="CDF29" s="1887"/>
      <c r="CDG29" s="1888"/>
      <c r="CDH29" s="1882"/>
      <c r="CDI29" s="1882"/>
      <c r="CDJ29" s="1882"/>
      <c r="CDL29" s="1887"/>
      <c r="CDM29" s="1888"/>
      <c r="CDN29" s="1882"/>
      <c r="CDO29" s="1882"/>
      <c r="CDP29" s="1882"/>
      <c r="CDR29" s="1887"/>
      <c r="CDS29" s="1888"/>
      <c r="CDT29" s="1882"/>
      <c r="CDU29" s="1882"/>
      <c r="CDV29" s="1882"/>
      <c r="CDX29" s="1887"/>
      <c r="CDY29" s="1888"/>
      <c r="CDZ29" s="1882"/>
      <c r="CEA29" s="1882"/>
      <c r="CEB29" s="1882"/>
      <c r="CED29" s="1887"/>
      <c r="CEE29" s="1888"/>
      <c r="CEF29" s="1882"/>
      <c r="CEG29" s="1882"/>
      <c r="CEH29" s="1882"/>
      <c r="CEJ29" s="1887"/>
      <c r="CEK29" s="1888"/>
      <c r="CEL29" s="1882"/>
      <c r="CEM29" s="1882"/>
      <c r="CEN29" s="1882"/>
      <c r="CEP29" s="1887"/>
      <c r="CEQ29" s="1888"/>
      <c r="CER29" s="1882"/>
      <c r="CES29" s="1882"/>
      <c r="CET29" s="1882"/>
      <c r="CEV29" s="1887"/>
      <c r="CEW29" s="1888"/>
      <c r="CEX29" s="1882"/>
      <c r="CEY29" s="1882"/>
      <c r="CEZ29" s="1882"/>
      <c r="CFB29" s="1887"/>
      <c r="CFC29" s="1888"/>
      <c r="CFD29" s="1882"/>
      <c r="CFE29" s="1882"/>
      <c r="CFF29" s="1882"/>
      <c r="CFH29" s="1887"/>
      <c r="CFI29" s="1888"/>
      <c r="CFJ29" s="1882"/>
      <c r="CFK29" s="1882"/>
      <c r="CFL29" s="1882"/>
      <c r="CFN29" s="1887"/>
      <c r="CFO29" s="1888"/>
      <c r="CFP29" s="1882"/>
      <c r="CFQ29" s="1882"/>
      <c r="CFR29" s="1882"/>
      <c r="CFT29" s="1887"/>
      <c r="CFU29" s="1888"/>
      <c r="CFV29" s="1882"/>
      <c r="CFW29" s="1882"/>
      <c r="CFX29" s="1882"/>
      <c r="CFZ29" s="1887"/>
      <c r="CGA29" s="1888"/>
      <c r="CGB29" s="1882"/>
      <c r="CGC29" s="1882"/>
      <c r="CGD29" s="1882"/>
      <c r="CGF29" s="1887"/>
      <c r="CGG29" s="1888"/>
      <c r="CGH29" s="1882"/>
      <c r="CGI29" s="1882"/>
      <c r="CGJ29" s="1882"/>
      <c r="CGL29" s="1887"/>
      <c r="CGM29" s="1888"/>
      <c r="CGN29" s="1882"/>
      <c r="CGO29" s="1882"/>
      <c r="CGP29" s="1882"/>
      <c r="CGR29" s="1887"/>
      <c r="CGS29" s="1888"/>
      <c r="CGT29" s="1882"/>
      <c r="CGU29" s="1882"/>
      <c r="CGV29" s="1882"/>
      <c r="CGX29" s="1887"/>
      <c r="CGY29" s="1888"/>
      <c r="CGZ29" s="1882"/>
      <c r="CHA29" s="1882"/>
      <c r="CHB29" s="1882"/>
      <c r="CHD29" s="1887"/>
      <c r="CHE29" s="1888"/>
      <c r="CHF29" s="1882"/>
      <c r="CHG29" s="1882"/>
      <c r="CHH29" s="1882"/>
      <c r="CHJ29" s="1887"/>
      <c r="CHK29" s="1888"/>
      <c r="CHL29" s="1882"/>
      <c r="CHM29" s="1882"/>
      <c r="CHN29" s="1882"/>
      <c r="CHP29" s="1887"/>
      <c r="CHQ29" s="1888"/>
      <c r="CHR29" s="1882"/>
      <c r="CHS29" s="1882"/>
      <c r="CHT29" s="1882"/>
      <c r="CHV29" s="1887"/>
      <c r="CHW29" s="1888"/>
      <c r="CHX29" s="1882"/>
      <c r="CHY29" s="1882"/>
      <c r="CHZ29" s="1882"/>
      <c r="CIB29" s="1887"/>
      <c r="CIC29" s="1888"/>
      <c r="CID29" s="1882"/>
      <c r="CIE29" s="1882"/>
      <c r="CIF29" s="1882"/>
      <c r="CIH29" s="1887"/>
      <c r="CII29" s="1888"/>
      <c r="CIJ29" s="1882"/>
      <c r="CIK29" s="1882"/>
      <c r="CIL29" s="1882"/>
      <c r="CIN29" s="1887"/>
      <c r="CIO29" s="1888"/>
      <c r="CIP29" s="1882"/>
      <c r="CIQ29" s="1882"/>
      <c r="CIR29" s="1882"/>
      <c r="CIT29" s="1887"/>
      <c r="CIU29" s="1888"/>
      <c r="CIV29" s="1882"/>
      <c r="CIW29" s="1882"/>
      <c r="CIX29" s="1882"/>
      <c r="CIZ29" s="1887"/>
      <c r="CJA29" s="1888"/>
      <c r="CJB29" s="1882"/>
      <c r="CJC29" s="1882"/>
      <c r="CJD29" s="1882"/>
      <c r="CJF29" s="1887"/>
      <c r="CJG29" s="1888"/>
      <c r="CJH29" s="1882"/>
      <c r="CJI29" s="1882"/>
      <c r="CJJ29" s="1882"/>
      <c r="CJL29" s="1887"/>
      <c r="CJM29" s="1888"/>
      <c r="CJN29" s="1882"/>
      <c r="CJO29" s="1882"/>
      <c r="CJP29" s="1882"/>
      <c r="CJR29" s="1887"/>
      <c r="CJS29" s="1888"/>
      <c r="CJT29" s="1882"/>
      <c r="CJU29" s="1882"/>
      <c r="CJV29" s="1882"/>
      <c r="CJX29" s="1887"/>
      <c r="CJY29" s="1888"/>
      <c r="CJZ29" s="1882"/>
      <c r="CKA29" s="1882"/>
      <c r="CKB29" s="1882"/>
      <c r="CKD29" s="1887"/>
      <c r="CKE29" s="1888"/>
      <c r="CKF29" s="1882"/>
      <c r="CKG29" s="1882"/>
      <c r="CKH29" s="1882"/>
      <c r="CKJ29" s="1887"/>
      <c r="CKK29" s="1888"/>
      <c r="CKL29" s="1882"/>
      <c r="CKM29" s="1882"/>
      <c r="CKN29" s="1882"/>
      <c r="CKP29" s="1887"/>
      <c r="CKQ29" s="1888"/>
      <c r="CKR29" s="1882"/>
      <c r="CKS29" s="1882"/>
      <c r="CKT29" s="1882"/>
      <c r="CKV29" s="1887"/>
      <c r="CKW29" s="1888"/>
      <c r="CKX29" s="1882"/>
      <c r="CKY29" s="1882"/>
      <c r="CKZ29" s="1882"/>
      <c r="CLB29" s="1887"/>
      <c r="CLC29" s="1888"/>
      <c r="CLD29" s="1882"/>
      <c r="CLE29" s="1882"/>
      <c r="CLF29" s="1882"/>
      <c r="CLH29" s="1887"/>
      <c r="CLI29" s="1888"/>
      <c r="CLJ29" s="1882"/>
      <c r="CLK29" s="1882"/>
      <c r="CLL29" s="1882"/>
      <c r="CLN29" s="1887"/>
      <c r="CLO29" s="1888"/>
      <c r="CLP29" s="1882"/>
      <c r="CLQ29" s="1882"/>
      <c r="CLR29" s="1882"/>
      <c r="CLT29" s="1887"/>
      <c r="CLU29" s="1888"/>
      <c r="CLV29" s="1882"/>
      <c r="CLW29" s="1882"/>
      <c r="CLX29" s="1882"/>
      <c r="CLZ29" s="1887"/>
      <c r="CMA29" s="1888"/>
      <c r="CMB29" s="1882"/>
      <c r="CMC29" s="1882"/>
      <c r="CMD29" s="1882"/>
      <c r="CMF29" s="1887"/>
      <c r="CMG29" s="1888"/>
      <c r="CMH29" s="1882"/>
      <c r="CMI29" s="1882"/>
      <c r="CMJ29" s="1882"/>
      <c r="CML29" s="1887"/>
      <c r="CMM29" s="1888"/>
      <c r="CMN29" s="1882"/>
      <c r="CMO29" s="1882"/>
      <c r="CMP29" s="1882"/>
      <c r="CMR29" s="1887"/>
      <c r="CMS29" s="1888"/>
      <c r="CMT29" s="1882"/>
      <c r="CMU29" s="1882"/>
      <c r="CMV29" s="1882"/>
      <c r="CMX29" s="1887"/>
      <c r="CMY29" s="1888"/>
      <c r="CMZ29" s="1882"/>
      <c r="CNA29" s="1882"/>
      <c r="CNB29" s="1882"/>
      <c r="CND29" s="1887"/>
      <c r="CNE29" s="1888"/>
      <c r="CNF29" s="1882"/>
      <c r="CNG29" s="1882"/>
      <c r="CNH29" s="1882"/>
      <c r="CNJ29" s="1887"/>
      <c r="CNK29" s="1888"/>
      <c r="CNL29" s="1882"/>
      <c r="CNM29" s="1882"/>
      <c r="CNN29" s="1882"/>
      <c r="CNP29" s="1887"/>
      <c r="CNQ29" s="1888"/>
      <c r="CNR29" s="1882"/>
      <c r="CNS29" s="1882"/>
      <c r="CNT29" s="1882"/>
      <c r="CNV29" s="1887"/>
      <c r="CNW29" s="1888"/>
      <c r="CNX29" s="1882"/>
      <c r="CNY29" s="1882"/>
      <c r="CNZ29" s="1882"/>
      <c r="COB29" s="1887"/>
      <c r="COC29" s="1888"/>
      <c r="COD29" s="1882"/>
      <c r="COE29" s="1882"/>
      <c r="COF29" s="1882"/>
      <c r="COH29" s="1887"/>
      <c r="COI29" s="1888"/>
      <c r="COJ29" s="1882"/>
      <c r="COK29" s="1882"/>
      <c r="COL29" s="1882"/>
      <c r="CON29" s="1887"/>
      <c r="COO29" s="1888"/>
      <c r="COP29" s="1882"/>
      <c r="COQ29" s="1882"/>
      <c r="COR29" s="1882"/>
      <c r="COT29" s="1887"/>
      <c r="COU29" s="1888"/>
      <c r="COV29" s="1882"/>
      <c r="COW29" s="1882"/>
      <c r="COX29" s="1882"/>
      <c r="COZ29" s="1887"/>
      <c r="CPA29" s="1888"/>
      <c r="CPB29" s="1882"/>
      <c r="CPC29" s="1882"/>
      <c r="CPD29" s="1882"/>
      <c r="CPF29" s="1887"/>
      <c r="CPG29" s="1888"/>
      <c r="CPH29" s="1882"/>
      <c r="CPI29" s="1882"/>
      <c r="CPJ29" s="1882"/>
      <c r="CPL29" s="1887"/>
      <c r="CPM29" s="1888"/>
      <c r="CPN29" s="1882"/>
      <c r="CPO29" s="1882"/>
      <c r="CPP29" s="1882"/>
      <c r="CPR29" s="1887"/>
      <c r="CPS29" s="1888"/>
      <c r="CPT29" s="1882"/>
      <c r="CPU29" s="1882"/>
      <c r="CPV29" s="1882"/>
      <c r="CPX29" s="1887"/>
      <c r="CPY29" s="1888"/>
      <c r="CPZ29" s="1882"/>
      <c r="CQA29" s="1882"/>
      <c r="CQB29" s="1882"/>
      <c r="CQD29" s="1887"/>
      <c r="CQE29" s="1888"/>
      <c r="CQF29" s="1882"/>
      <c r="CQG29" s="1882"/>
      <c r="CQH29" s="1882"/>
      <c r="CQJ29" s="1887"/>
      <c r="CQK29" s="1888"/>
      <c r="CQL29" s="1882"/>
      <c r="CQM29" s="1882"/>
      <c r="CQN29" s="1882"/>
      <c r="CQP29" s="1887"/>
      <c r="CQQ29" s="1888"/>
      <c r="CQR29" s="1882"/>
      <c r="CQS29" s="1882"/>
      <c r="CQT29" s="1882"/>
      <c r="CQV29" s="1887"/>
      <c r="CQW29" s="1888"/>
      <c r="CQX29" s="1882"/>
      <c r="CQY29" s="1882"/>
      <c r="CQZ29" s="1882"/>
      <c r="CRB29" s="1887"/>
      <c r="CRC29" s="1888"/>
      <c r="CRD29" s="1882"/>
      <c r="CRE29" s="1882"/>
      <c r="CRF29" s="1882"/>
      <c r="CRH29" s="1887"/>
      <c r="CRI29" s="1888"/>
      <c r="CRJ29" s="1882"/>
      <c r="CRK29" s="1882"/>
      <c r="CRL29" s="1882"/>
      <c r="CRN29" s="1887"/>
      <c r="CRO29" s="1888"/>
      <c r="CRP29" s="1882"/>
      <c r="CRQ29" s="1882"/>
      <c r="CRR29" s="1882"/>
      <c r="CRT29" s="1887"/>
      <c r="CRU29" s="1888"/>
      <c r="CRV29" s="1882"/>
      <c r="CRW29" s="1882"/>
      <c r="CRX29" s="1882"/>
      <c r="CRZ29" s="1887"/>
      <c r="CSA29" s="1888"/>
      <c r="CSB29" s="1882"/>
      <c r="CSC29" s="1882"/>
      <c r="CSD29" s="1882"/>
      <c r="CSF29" s="1887"/>
      <c r="CSG29" s="1888"/>
      <c r="CSH29" s="1882"/>
      <c r="CSI29" s="1882"/>
      <c r="CSJ29" s="1882"/>
      <c r="CSL29" s="1887"/>
      <c r="CSM29" s="1888"/>
      <c r="CSN29" s="1882"/>
      <c r="CSO29" s="1882"/>
      <c r="CSP29" s="1882"/>
      <c r="CSR29" s="1887"/>
      <c r="CSS29" s="1888"/>
      <c r="CST29" s="1882"/>
      <c r="CSU29" s="1882"/>
      <c r="CSV29" s="1882"/>
      <c r="CSX29" s="1887"/>
      <c r="CSY29" s="1888"/>
      <c r="CSZ29" s="1882"/>
      <c r="CTA29" s="1882"/>
      <c r="CTB29" s="1882"/>
      <c r="CTD29" s="1887"/>
      <c r="CTE29" s="1888"/>
      <c r="CTF29" s="1882"/>
      <c r="CTG29" s="1882"/>
      <c r="CTH29" s="1882"/>
      <c r="CTJ29" s="1887"/>
      <c r="CTK29" s="1888"/>
      <c r="CTL29" s="1882"/>
      <c r="CTM29" s="1882"/>
      <c r="CTN29" s="1882"/>
      <c r="CTP29" s="1887"/>
      <c r="CTQ29" s="1888"/>
      <c r="CTR29" s="1882"/>
      <c r="CTS29" s="1882"/>
      <c r="CTT29" s="1882"/>
      <c r="CTV29" s="1887"/>
      <c r="CTW29" s="1888"/>
      <c r="CTX29" s="1882"/>
      <c r="CTY29" s="1882"/>
      <c r="CTZ29" s="1882"/>
      <c r="CUB29" s="1887"/>
      <c r="CUC29" s="1888"/>
      <c r="CUD29" s="1882"/>
      <c r="CUE29" s="1882"/>
      <c r="CUF29" s="1882"/>
      <c r="CUH29" s="1887"/>
      <c r="CUI29" s="1888"/>
      <c r="CUJ29" s="1882"/>
      <c r="CUK29" s="1882"/>
      <c r="CUL29" s="1882"/>
      <c r="CUN29" s="1887"/>
      <c r="CUO29" s="1888"/>
      <c r="CUP29" s="1882"/>
      <c r="CUQ29" s="1882"/>
      <c r="CUR29" s="1882"/>
      <c r="CUT29" s="1887"/>
      <c r="CUU29" s="1888"/>
      <c r="CUV29" s="1882"/>
      <c r="CUW29" s="1882"/>
      <c r="CUX29" s="1882"/>
      <c r="CUZ29" s="1887"/>
      <c r="CVA29" s="1888"/>
      <c r="CVB29" s="1882"/>
      <c r="CVC29" s="1882"/>
      <c r="CVD29" s="1882"/>
      <c r="CVF29" s="1887"/>
      <c r="CVG29" s="1888"/>
      <c r="CVH29" s="1882"/>
      <c r="CVI29" s="1882"/>
      <c r="CVJ29" s="1882"/>
      <c r="CVL29" s="1887"/>
      <c r="CVM29" s="1888"/>
      <c r="CVN29" s="1882"/>
      <c r="CVO29" s="1882"/>
      <c r="CVP29" s="1882"/>
      <c r="CVR29" s="1887"/>
      <c r="CVS29" s="1888"/>
      <c r="CVT29" s="1882"/>
      <c r="CVU29" s="1882"/>
      <c r="CVV29" s="1882"/>
      <c r="CVX29" s="1887"/>
      <c r="CVY29" s="1888"/>
      <c r="CVZ29" s="1882"/>
      <c r="CWA29" s="1882"/>
      <c r="CWB29" s="1882"/>
      <c r="CWD29" s="1887"/>
      <c r="CWE29" s="1888"/>
      <c r="CWF29" s="1882"/>
      <c r="CWG29" s="1882"/>
      <c r="CWH29" s="1882"/>
      <c r="CWJ29" s="1887"/>
      <c r="CWK29" s="1888"/>
      <c r="CWL29" s="1882"/>
      <c r="CWM29" s="1882"/>
      <c r="CWN29" s="1882"/>
      <c r="CWP29" s="1887"/>
      <c r="CWQ29" s="1888"/>
      <c r="CWR29" s="1882"/>
      <c r="CWS29" s="1882"/>
      <c r="CWT29" s="1882"/>
      <c r="CWV29" s="1887"/>
      <c r="CWW29" s="1888"/>
      <c r="CWX29" s="1882"/>
      <c r="CWY29" s="1882"/>
      <c r="CWZ29" s="1882"/>
      <c r="CXB29" s="1887"/>
      <c r="CXC29" s="1888"/>
      <c r="CXD29" s="1882"/>
      <c r="CXE29" s="1882"/>
      <c r="CXF29" s="1882"/>
      <c r="CXH29" s="1887"/>
      <c r="CXI29" s="1888"/>
      <c r="CXJ29" s="1882"/>
      <c r="CXK29" s="1882"/>
      <c r="CXL29" s="1882"/>
      <c r="CXN29" s="1887"/>
      <c r="CXO29" s="1888"/>
      <c r="CXP29" s="1882"/>
      <c r="CXQ29" s="1882"/>
      <c r="CXR29" s="1882"/>
      <c r="CXT29" s="1887"/>
      <c r="CXU29" s="1888"/>
      <c r="CXV29" s="1882"/>
      <c r="CXW29" s="1882"/>
      <c r="CXX29" s="1882"/>
      <c r="CXZ29" s="1887"/>
      <c r="CYA29" s="1888"/>
      <c r="CYB29" s="1882"/>
      <c r="CYC29" s="1882"/>
      <c r="CYD29" s="1882"/>
      <c r="CYF29" s="1887"/>
      <c r="CYG29" s="1888"/>
      <c r="CYH29" s="1882"/>
      <c r="CYI29" s="1882"/>
      <c r="CYJ29" s="1882"/>
      <c r="CYL29" s="1887"/>
      <c r="CYM29" s="1888"/>
      <c r="CYN29" s="1882"/>
      <c r="CYO29" s="1882"/>
      <c r="CYP29" s="1882"/>
      <c r="CYR29" s="1887"/>
      <c r="CYS29" s="1888"/>
      <c r="CYT29" s="1882"/>
      <c r="CYU29" s="1882"/>
      <c r="CYV29" s="1882"/>
      <c r="CYX29" s="1887"/>
      <c r="CYY29" s="1888"/>
      <c r="CYZ29" s="1882"/>
      <c r="CZA29" s="1882"/>
      <c r="CZB29" s="1882"/>
      <c r="CZD29" s="1887"/>
      <c r="CZE29" s="1888"/>
      <c r="CZF29" s="1882"/>
      <c r="CZG29" s="1882"/>
      <c r="CZH29" s="1882"/>
      <c r="CZJ29" s="1887"/>
      <c r="CZK29" s="1888"/>
      <c r="CZL29" s="1882"/>
      <c r="CZM29" s="1882"/>
      <c r="CZN29" s="1882"/>
      <c r="CZP29" s="1887"/>
      <c r="CZQ29" s="1888"/>
      <c r="CZR29" s="1882"/>
      <c r="CZS29" s="1882"/>
      <c r="CZT29" s="1882"/>
      <c r="CZV29" s="1887"/>
      <c r="CZW29" s="1888"/>
      <c r="CZX29" s="1882"/>
      <c r="CZY29" s="1882"/>
      <c r="CZZ29" s="1882"/>
      <c r="DAB29" s="1887"/>
      <c r="DAC29" s="1888"/>
      <c r="DAD29" s="1882"/>
      <c r="DAE29" s="1882"/>
      <c r="DAF29" s="1882"/>
      <c r="DAH29" s="1887"/>
      <c r="DAI29" s="1888"/>
      <c r="DAJ29" s="1882"/>
      <c r="DAK29" s="1882"/>
      <c r="DAL29" s="1882"/>
      <c r="DAN29" s="1887"/>
      <c r="DAO29" s="1888"/>
      <c r="DAP29" s="1882"/>
      <c r="DAQ29" s="1882"/>
      <c r="DAR29" s="1882"/>
      <c r="DAT29" s="1887"/>
      <c r="DAU29" s="1888"/>
      <c r="DAV29" s="1882"/>
      <c r="DAW29" s="1882"/>
      <c r="DAX29" s="1882"/>
      <c r="DAZ29" s="1887"/>
      <c r="DBA29" s="1888"/>
      <c r="DBB29" s="1882"/>
      <c r="DBC29" s="1882"/>
      <c r="DBD29" s="1882"/>
      <c r="DBF29" s="1887"/>
      <c r="DBG29" s="1888"/>
      <c r="DBH29" s="1882"/>
      <c r="DBI29" s="1882"/>
      <c r="DBJ29" s="1882"/>
      <c r="DBL29" s="1887"/>
      <c r="DBM29" s="1888"/>
      <c r="DBN29" s="1882"/>
      <c r="DBO29" s="1882"/>
      <c r="DBP29" s="1882"/>
      <c r="DBR29" s="1887"/>
      <c r="DBS29" s="1888"/>
      <c r="DBT29" s="1882"/>
      <c r="DBU29" s="1882"/>
      <c r="DBV29" s="1882"/>
      <c r="DBX29" s="1887"/>
      <c r="DBY29" s="1888"/>
      <c r="DBZ29" s="1882"/>
      <c r="DCA29" s="1882"/>
      <c r="DCB29" s="1882"/>
      <c r="DCD29" s="1887"/>
      <c r="DCE29" s="1888"/>
      <c r="DCF29" s="1882"/>
      <c r="DCG29" s="1882"/>
      <c r="DCH29" s="1882"/>
      <c r="DCJ29" s="1887"/>
      <c r="DCK29" s="1888"/>
      <c r="DCL29" s="1882"/>
      <c r="DCM29" s="1882"/>
      <c r="DCN29" s="1882"/>
      <c r="DCP29" s="1887"/>
      <c r="DCQ29" s="1888"/>
      <c r="DCR29" s="1882"/>
      <c r="DCS29" s="1882"/>
      <c r="DCT29" s="1882"/>
      <c r="DCV29" s="1887"/>
      <c r="DCW29" s="1888"/>
      <c r="DCX29" s="1882"/>
      <c r="DCY29" s="1882"/>
      <c r="DCZ29" s="1882"/>
      <c r="DDB29" s="1887"/>
      <c r="DDC29" s="1888"/>
      <c r="DDD29" s="1882"/>
      <c r="DDE29" s="1882"/>
      <c r="DDF29" s="1882"/>
      <c r="DDH29" s="1887"/>
      <c r="DDI29" s="1888"/>
      <c r="DDJ29" s="1882"/>
      <c r="DDK29" s="1882"/>
      <c r="DDL29" s="1882"/>
      <c r="DDN29" s="1887"/>
      <c r="DDO29" s="1888"/>
      <c r="DDP29" s="1882"/>
      <c r="DDQ29" s="1882"/>
      <c r="DDR29" s="1882"/>
      <c r="DDT29" s="1887"/>
      <c r="DDU29" s="1888"/>
      <c r="DDV29" s="1882"/>
      <c r="DDW29" s="1882"/>
      <c r="DDX29" s="1882"/>
      <c r="DDZ29" s="1887"/>
      <c r="DEA29" s="1888"/>
      <c r="DEB29" s="1882"/>
      <c r="DEC29" s="1882"/>
      <c r="DED29" s="1882"/>
      <c r="DEF29" s="1887"/>
      <c r="DEG29" s="1888"/>
      <c r="DEH29" s="1882"/>
      <c r="DEI29" s="1882"/>
      <c r="DEJ29" s="1882"/>
      <c r="DEL29" s="1887"/>
      <c r="DEM29" s="1888"/>
      <c r="DEN29" s="1882"/>
      <c r="DEO29" s="1882"/>
      <c r="DEP29" s="1882"/>
      <c r="DER29" s="1887"/>
      <c r="DES29" s="1888"/>
      <c r="DET29" s="1882"/>
      <c r="DEU29" s="1882"/>
      <c r="DEV29" s="1882"/>
      <c r="DEX29" s="1887"/>
      <c r="DEY29" s="1888"/>
      <c r="DEZ29" s="1882"/>
      <c r="DFA29" s="1882"/>
      <c r="DFB29" s="1882"/>
      <c r="DFD29" s="1887"/>
      <c r="DFE29" s="1888"/>
      <c r="DFF29" s="1882"/>
      <c r="DFG29" s="1882"/>
      <c r="DFH29" s="1882"/>
      <c r="DFJ29" s="1887"/>
      <c r="DFK29" s="1888"/>
      <c r="DFL29" s="1882"/>
      <c r="DFM29" s="1882"/>
      <c r="DFN29" s="1882"/>
      <c r="DFP29" s="1887"/>
      <c r="DFQ29" s="1888"/>
      <c r="DFR29" s="1882"/>
      <c r="DFS29" s="1882"/>
      <c r="DFT29" s="1882"/>
      <c r="DFV29" s="1887"/>
      <c r="DFW29" s="1888"/>
      <c r="DFX29" s="1882"/>
      <c r="DFY29" s="1882"/>
      <c r="DFZ29" s="1882"/>
      <c r="DGB29" s="1887"/>
      <c r="DGC29" s="1888"/>
      <c r="DGD29" s="1882"/>
      <c r="DGE29" s="1882"/>
      <c r="DGF29" s="1882"/>
      <c r="DGH29" s="1887"/>
      <c r="DGI29" s="1888"/>
      <c r="DGJ29" s="1882"/>
      <c r="DGK29" s="1882"/>
      <c r="DGL29" s="1882"/>
      <c r="DGN29" s="1887"/>
      <c r="DGO29" s="1888"/>
      <c r="DGP29" s="1882"/>
      <c r="DGQ29" s="1882"/>
      <c r="DGR29" s="1882"/>
      <c r="DGT29" s="1887"/>
      <c r="DGU29" s="1888"/>
      <c r="DGV29" s="1882"/>
      <c r="DGW29" s="1882"/>
      <c r="DGX29" s="1882"/>
      <c r="DGZ29" s="1887"/>
      <c r="DHA29" s="1888"/>
      <c r="DHB29" s="1882"/>
      <c r="DHC29" s="1882"/>
      <c r="DHD29" s="1882"/>
      <c r="DHF29" s="1887"/>
      <c r="DHG29" s="1888"/>
      <c r="DHH29" s="1882"/>
      <c r="DHI29" s="1882"/>
      <c r="DHJ29" s="1882"/>
      <c r="DHL29" s="1887"/>
      <c r="DHM29" s="1888"/>
      <c r="DHN29" s="1882"/>
      <c r="DHO29" s="1882"/>
      <c r="DHP29" s="1882"/>
      <c r="DHR29" s="1887"/>
      <c r="DHS29" s="1888"/>
      <c r="DHT29" s="1882"/>
      <c r="DHU29" s="1882"/>
      <c r="DHV29" s="1882"/>
      <c r="DHX29" s="1887"/>
      <c r="DHY29" s="1888"/>
      <c r="DHZ29" s="1882"/>
      <c r="DIA29" s="1882"/>
      <c r="DIB29" s="1882"/>
      <c r="DID29" s="1887"/>
      <c r="DIE29" s="1888"/>
      <c r="DIF29" s="1882"/>
      <c r="DIG29" s="1882"/>
      <c r="DIH29" s="1882"/>
      <c r="DIJ29" s="1887"/>
      <c r="DIK29" s="1888"/>
      <c r="DIL29" s="1882"/>
      <c r="DIM29" s="1882"/>
      <c r="DIN29" s="1882"/>
      <c r="DIP29" s="1887"/>
      <c r="DIQ29" s="1888"/>
      <c r="DIR29" s="1882"/>
      <c r="DIS29" s="1882"/>
      <c r="DIT29" s="1882"/>
      <c r="DIV29" s="1887"/>
      <c r="DIW29" s="1888"/>
      <c r="DIX29" s="1882"/>
      <c r="DIY29" s="1882"/>
      <c r="DIZ29" s="1882"/>
      <c r="DJB29" s="1887"/>
      <c r="DJC29" s="1888"/>
      <c r="DJD29" s="1882"/>
      <c r="DJE29" s="1882"/>
      <c r="DJF29" s="1882"/>
      <c r="DJH29" s="1887"/>
      <c r="DJI29" s="1888"/>
      <c r="DJJ29" s="1882"/>
      <c r="DJK29" s="1882"/>
      <c r="DJL29" s="1882"/>
      <c r="DJN29" s="1887"/>
      <c r="DJO29" s="1888"/>
      <c r="DJP29" s="1882"/>
      <c r="DJQ29" s="1882"/>
      <c r="DJR29" s="1882"/>
      <c r="DJT29" s="1887"/>
      <c r="DJU29" s="1888"/>
      <c r="DJV29" s="1882"/>
      <c r="DJW29" s="1882"/>
      <c r="DJX29" s="1882"/>
      <c r="DJZ29" s="1887"/>
      <c r="DKA29" s="1888"/>
      <c r="DKB29" s="1882"/>
      <c r="DKC29" s="1882"/>
      <c r="DKD29" s="1882"/>
      <c r="DKF29" s="1887"/>
      <c r="DKG29" s="1888"/>
      <c r="DKH29" s="1882"/>
      <c r="DKI29" s="1882"/>
      <c r="DKJ29" s="1882"/>
      <c r="DKL29" s="1887"/>
      <c r="DKM29" s="1888"/>
      <c r="DKN29" s="1882"/>
      <c r="DKO29" s="1882"/>
      <c r="DKP29" s="1882"/>
      <c r="DKR29" s="1887"/>
      <c r="DKS29" s="1888"/>
      <c r="DKT29" s="1882"/>
      <c r="DKU29" s="1882"/>
      <c r="DKV29" s="1882"/>
      <c r="DKX29" s="1887"/>
      <c r="DKY29" s="1888"/>
      <c r="DKZ29" s="1882"/>
      <c r="DLA29" s="1882"/>
      <c r="DLB29" s="1882"/>
      <c r="DLD29" s="1887"/>
      <c r="DLE29" s="1888"/>
      <c r="DLF29" s="1882"/>
      <c r="DLG29" s="1882"/>
      <c r="DLH29" s="1882"/>
      <c r="DLJ29" s="1887"/>
      <c r="DLK29" s="1888"/>
      <c r="DLL29" s="1882"/>
      <c r="DLM29" s="1882"/>
      <c r="DLN29" s="1882"/>
      <c r="DLP29" s="1887"/>
      <c r="DLQ29" s="1888"/>
      <c r="DLR29" s="1882"/>
      <c r="DLS29" s="1882"/>
      <c r="DLT29" s="1882"/>
      <c r="DLV29" s="1887"/>
      <c r="DLW29" s="1888"/>
      <c r="DLX29" s="1882"/>
      <c r="DLY29" s="1882"/>
      <c r="DLZ29" s="1882"/>
      <c r="DMB29" s="1887"/>
      <c r="DMC29" s="1888"/>
      <c r="DMD29" s="1882"/>
      <c r="DME29" s="1882"/>
      <c r="DMF29" s="1882"/>
      <c r="DMH29" s="1887"/>
      <c r="DMI29" s="1888"/>
      <c r="DMJ29" s="1882"/>
      <c r="DMK29" s="1882"/>
      <c r="DML29" s="1882"/>
      <c r="DMN29" s="1887"/>
      <c r="DMO29" s="1888"/>
      <c r="DMP29" s="1882"/>
      <c r="DMQ29" s="1882"/>
      <c r="DMR29" s="1882"/>
      <c r="DMT29" s="1887"/>
      <c r="DMU29" s="1888"/>
      <c r="DMV29" s="1882"/>
      <c r="DMW29" s="1882"/>
      <c r="DMX29" s="1882"/>
      <c r="DMZ29" s="1887"/>
      <c r="DNA29" s="1888"/>
      <c r="DNB29" s="1882"/>
      <c r="DNC29" s="1882"/>
      <c r="DND29" s="1882"/>
      <c r="DNF29" s="1887"/>
      <c r="DNG29" s="1888"/>
      <c r="DNH29" s="1882"/>
      <c r="DNI29" s="1882"/>
      <c r="DNJ29" s="1882"/>
      <c r="DNL29" s="1887"/>
      <c r="DNM29" s="1888"/>
      <c r="DNN29" s="1882"/>
      <c r="DNO29" s="1882"/>
      <c r="DNP29" s="1882"/>
      <c r="DNR29" s="1887"/>
      <c r="DNS29" s="1888"/>
      <c r="DNT29" s="1882"/>
      <c r="DNU29" s="1882"/>
      <c r="DNV29" s="1882"/>
      <c r="DNX29" s="1887"/>
      <c r="DNY29" s="1888"/>
      <c r="DNZ29" s="1882"/>
      <c r="DOA29" s="1882"/>
      <c r="DOB29" s="1882"/>
      <c r="DOD29" s="1887"/>
      <c r="DOE29" s="1888"/>
      <c r="DOF29" s="1882"/>
      <c r="DOG29" s="1882"/>
      <c r="DOH29" s="1882"/>
      <c r="DOJ29" s="1887"/>
      <c r="DOK29" s="1888"/>
      <c r="DOL29" s="1882"/>
      <c r="DOM29" s="1882"/>
      <c r="DON29" s="1882"/>
      <c r="DOP29" s="1887"/>
      <c r="DOQ29" s="1888"/>
      <c r="DOR29" s="1882"/>
      <c r="DOS29" s="1882"/>
      <c r="DOT29" s="1882"/>
      <c r="DOV29" s="1887"/>
      <c r="DOW29" s="1888"/>
      <c r="DOX29" s="1882"/>
      <c r="DOY29" s="1882"/>
      <c r="DOZ29" s="1882"/>
      <c r="DPB29" s="1887"/>
      <c r="DPC29" s="1888"/>
      <c r="DPD29" s="1882"/>
      <c r="DPE29" s="1882"/>
      <c r="DPF29" s="1882"/>
      <c r="DPH29" s="1887"/>
      <c r="DPI29" s="1888"/>
      <c r="DPJ29" s="1882"/>
      <c r="DPK29" s="1882"/>
      <c r="DPL29" s="1882"/>
      <c r="DPN29" s="1887"/>
      <c r="DPO29" s="1888"/>
      <c r="DPP29" s="1882"/>
      <c r="DPQ29" s="1882"/>
      <c r="DPR29" s="1882"/>
      <c r="DPT29" s="1887"/>
      <c r="DPU29" s="1888"/>
      <c r="DPV29" s="1882"/>
      <c r="DPW29" s="1882"/>
      <c r="DPX29" s="1882"/>
      <c r="DPZ29" s="1887"/>
      <c r="DQA29" s="1888"/>
      <c r="DQB29" s="1882"/>
      <c r="DQC29" s="1882"/>
      <c r="DQD29" s="1882"/>
      <c r="DQF29" s="1887"/>
      <c r="DQG29" s="1888"/>
      <c r="DQH29" s="1882"/>
      <c r="DQI29" s="1882"/>
      <c r="DQJ29" s="1882"/>
      <c r="DQL29" s="1887"/>
      <c r="DQM29" s="1888"/>
      <c r="DQN29" s="1882"/>
      <c r="DQO29" s="1882"/>
      <c r="DQP29" s="1882"/>
      <c r="DQR29" s="1887"/>
      <c r="DQS29" s="1888"/>
      <c r="DQT29" s="1882"/>
      <c r="DQU29" s="1882"/>
      <c r="DQV29" s="1882"/>
      <c r="DQX29" s="1887"/>
      <c r="DQY29" s="1888"/>
      <c r="DQZ29" s="1882"/>
      <c r="DRA29" s="1882"/>
      <c r="DRB29" s="1882"/>
      <c r="DRD29" s="1887"/>
      <c r="DRE29" s="1888"/>
      <c r="DRF29" s="1882"/>
      <c r="DRG29" s="1882"/>
      <c r="DRH29" s="1882"/>
      <c r="DRJ29" s="1887"/>
      <c r="DRK29" s="1888"/>
      <c r="DRL29" s="1882"/>
      <c r="DRM29" s="1882"/>
      <c r="DRN29" s="1882"/>
      <c r="DRP29" s="1887"/>
      <c r="DRQ29" s="1888"/>
      <c r="DRR29" s="1882"/>
      <c r="DRS29" s="1882"/>
      <c r="DRT29" s="1882"/>
      <c r="DRV29" s="1887"/>
      <c r="DRW29" s="1888"/>
      <c r="DRX29" s="1882"/>
      <c r="DRY29" s="1882"/>
      <c r="DRZ29" s="1882"/>
      <c r="DSB29" s="1887"/>
      <c r="DSC29" s="1888"/>
      <c r="DSD29" s="1882"/>
      <c r="DSE29" s="1882"/>
      <c r="DSF29" s="1882"/>
      <c r="DSH29" s="1887"/>
      <c r="DSI29" s="1888"/>
      <c r="DSJ29" s="1882"/>
      <c r="DSK29" s="1882"/>
      <c r="DSL29" s="1882"/>
      <c r="DSN29" s="1887"/>
      <c r="DSO29" s="1888"/>
      <c r="DSP29" s="1882"/>
      <c r="DSQ29" s="1882"/>
      <c r="DSR29" s="1882"/>
      <c r="DST29" s="1887"/>
      <c r="DSU29" s="1888"/>
      <c r="DSV29" s="1882"/>
      <c r="DSW29" s="1882"/>
      <c r="DSX29" s="1882"/>
      <c r="DSZ29" s="1887"/>
      <c r="DTA29" s="1888"/>
      <c r="DTB29" s="1882"/>
      <c r="DTC29" s="1882"/>
      <c r="DTD29" s="1882"/>
      <c r="DTF29" s="1887"/>
      <c r="DTG29" s="1888"/>
      <c r="DTH29" s="1882"/>
      <c r="DTI29" s="1882"/>
      <c r="DTJ29" s="1882"/>
      <c r="DTL29" s="1887"/>
      <c r="DTM29" s="1888"/>
      <c r="DTN29" s="1882"/>
      <c r="DTO29" s="1882"/>
      <c r="DTP29" s="1882"/>
      <c r="DTR29" s="1887"/>
      <c r="DTS29" s="1888"/>
      <c r="DTT29" s="1882"/>
      <c r="DTU29" s="1882"/>
      <c r="DTV29" s="1882"/>
      <c r="DTX29" s="1887"/>
      <c r="DTY29" s="1888"/>
      <c r="DTZ29" s="1882"/>
      <c r="DUA29" s="1882"/>
      <c r="DUB29" s="1882"/>
      <c r="DUD29" s="1887"/>
      <c r="DUE29" s="1888"/>
      <c r="DUF29" s="1882"/>
      <c r="DUG29" s="1882"/>
      <c r="DUH29" s="1882"/>
      <c r="DUJ29" s="1887"/>
      <c r="DUK29" s="1888"/>
      <c r="DUL29" s="1882"/>
      <c r="DUM29" s="1882"/>
      <c r="DUN29" s="1882"/>
      <c r="DUP29" s="1887"/>
      <c r="DUQ29" s="1888"/>
      <c r="DUR29" s="1882"/>
      <c r="DUS29" s="1882"/>
      <c r="DUT29" s="1882"/>
      <c r="DUV29" s="1887"/>
      <c r="DUW29" s="1888"/>
      <c r="DUX29" s="1882"/>
      <c r="DUY29" s="1882"/>
      <c r="DUZ29" s="1882"/>
      <c r="DVB29" s="1887"/>
      <c r="DVC29" s="1888"/>
      <c r="DVD29" s="1882"/>
      <c r="DVE29" s="1882"/>
      <c r="DVF29" s="1882"/>
      <c r="DVH29" s="1887"/>
      <c r="DVI29" s="1888"/>
      <c r="DVJ29" s="1882"/>
      <c r="DVK29" s="1882"/>
      <c r="DVL29" s="1882"/>
      <c r="DVN29" s="1887"/>
      <c r="DVO29" s="1888"/>
      <c r="DVP29" s="1882"/>
      <c r="DVQ29" s="1882"/>
      <c r="DVR29" s="1882"/>
      <c r="DVT29" s="1887"/>
      <c r="DVU29" s="1888"/>
      <c r="DVV29" s="1882"/>
      <c r="DVW29" s="1882"/>
      <c r="DVX29" s="1882"/>
      <c r="DVZ29" s="1887"/>
      <c r="DWA29" s="1888"/>
      <c r="DWB29" s="1882"/>
      <c r="DWC29" s="1882"/>
      <c r="DWD29" s="1882"/>
      <c r="DWF29" s="1887"/>
      <c r="DWG29" s="1888"/>
      <c r="DWH29" s="1882"/>
      <c r="DWI29" s="1882"/>
      <c r="DWJ29" s="1882"/>
      <c r="DWL29" s="1887"/>
      <c r="DWM29" s="1888"/>
      <c r="DWN29" s="1882"/>
      <c r="DWO29" s="1882"/>
      <c r="DWP29" s="1882"/>
      <c r="DWR29" s="1887"/>
      <c r="DWS29" s="1888"/>
      <c r="DWT29" s="1882"/>
      <c r="DWU29" s="1882"/>
      <c r="DWV29" s="1882"/>
      <c r="DWX29" s="1887"/>
      <c r="DWY29" s="1888"/>
      <c r="DWZ29" s="1882"/>
      <c r="DXA29" s="1882"/>
      <c r="DXB29" s="1882"/>
      <c r="DXD29" s="1887"/>
      <c r="DXE29" s="1888"/>
      <c r="DXF29" s="1882"/>
      <c r="DXG29" s="1882"/>
      <c r="DXH29" s="1882"/>
      <c r="DXJ29" s="1887"/>
      <c r="DXK29" s="1888"/>
      <c r="DXL29" s="1882"/>
      <c r="DXM29" s="1882"/>
      <c r="DXN29" s="1882"/>
      <c r="DXP29" s="1887"/>
      <c r="DXQ29" s="1888"/>
      <c r="DXR29" s="1882"/>
      <c r="DXS29" s="1882"/>
      <c r="DXT29" s="1882"/>
      <c r="DXV29" s="1887"/>
      <c r="DXW29" s="1888"/>
      <c r="DXX29" s="1882"/>
      <c r="DXY29" s="1882"/>
      <c r="DXZ29" s="1882"/>
      <c r="DYB29" s="1887"/>
      <c r="DYC29" s="1888"/>
      <c r="DYD29" s="1882"/>
      <c r="DYE29" s="1882"/>
      <c r="DYF29" s="1882"/>
      <c r="DYH29" s="1887"/>
      <c r="DYI29" s="1888"/>
      <c r="DYJ29" s="1882"/>
      <c r="DYK29" s="1882"/>
      <c r="DYL29" s="1882"/>
      <c r="DYN29" s="1887"/>
      <c r="DYO29" s="1888"/>
      <c r="DYP29" s="1882"/>
      <c r="DYQ29" s="1882"/>
      <c r="DYR29" s="1882"/>
      <c r="DYT29" s="1887"/>
      <c r="DYU29" s="1888"/>
      <c r="DYV29" s="1882"/>
      <c r="DYW29" s="1882"/>
      <c r="DYX29" s="1882"/>
      <c r="DYZ29" s="1887"/>
      <c r="DZA29" s="1888"/>
      <c r="DZB29" s="1882"/>
      <c r="DZC29" s="1882"/>
      <c r="DZD29" s="1882"/>
      <c r="DZF29" s="1887"/>
      <c r="DZG29" s="1888"/>
      <c r="DZH29" s="1882"/>
      <c r="DZI29" s="1882"/>
      <c r="DZJ29" s="1882"/>
      <c r="DZL29" s="1887"/>
      <c r="DZM29" s="1888"/>
      <c r="DZN29" s="1882"/>
      <c r="DZO29" s="1882"/>
      <c r="DZP29" s="1882"/>
      <c r="DZR29" s="1887"/>
      <c r="DZS29" s="1888"/>
      <c r="DZT29" s="1882"/>
      <c r="DZU29" s="1882"/>
      <c r="DZV29" s="1882"/>
      <c r="DZX29" s="1887"/>
      <c r="DZY29" s="1888"/>
      <c r="DZZ29" s="1882"/>
      <c r="EAA29" s="1882"/>
      <c r="EAB29" s="1882"/>
      <c r="EAD29" s="1887"/>
      <c r="EAE29" s="1888"/>
      <c r="EAF29" s="1882"/>
      <c r="EAG29" s="1882"/>
      <c r="EAH29" s="1882"/>
      <c r="EAJ29" s="1887"/>
      <c r="EAK29" s="1888"/>
      <c r="EAL29" s="1882"/>
      <c r="EAM29" s="1882"/>
      <c r="EAN29" s="1882"/>
      <c r="EAP29" s="1887"/>
      <c r="EAQ29" s="1888"/>
      <c r="EAR29" s="1882"/>
      <c r="EAS29" s="1882"/>
      <c r="EAT29" s="1882"/>
      <c r="EAV29" s="1887"/>
      <c r="EAW29" s="1888"/>
      <c r="EAX29" s="1882"/>
      <c r="EAY29" s="1882"/>
      <c r="EAZ29" s="1882"/>
      <c r="EBB29" s="1887"/>
      <c r="EBC29" s="1888"/>
      <c r="EBD29" s="1882"/>
      <c r="EBE29" s="1882"/>
      <c r="EBF29" s="1882"/>
      <c r="EBH29" s="1887"/>
      <c r="EBI29" s="1888"/>
      <c r="EBJ29" s="1882"/>
      <c r="EBK29" s="1882"/>
      <c r="EBL29" s="1882"/>
      <c r="EBN29" s="1887"/>
      <c r="EBO29" s="1888"/>
      <c r="EBP29" s="1882"/>
      <c r="EBQ29" s="1882"/>
      <c r="EBR29" s="1882"/>
      <c r="EBT29" s="1887"/>
      <c r="EBU29" s="1888"/>
      <c r="EBV29" s="1882"/>
      <c r="EBW29" s="1882"/>
      <c r="EBX29" s="1882"/>
      <c r="EBZ29" s="1887"/>
      <c r="ECA29" s="1888"/>
      <c r="ECB29" s="1882"/>
      <c r="ECC29" s="1882"/>
      <c r="ECD29" s="1882"/>
      <c r="ECF29" s="1887"/>
      <c r="ECG29" s="1888"/>
      <c r="ECH29" s="1882"/>
      <c r="ECI29" s="1882"/>
      <c r="ECJ29" s="1882"/>
      <c r="ECL29" s="1887"/>
      <c r="ECM29" s="1888"/>
      <c r="ECN29" s="1882"/>
      <c r="ECO29" s="1882"/>
      <c r="ECP29" s="1882"/>
      <c r="ECR29" s="1887"/>
      <c r="ECS29" s="1888"/>
      <c r="ECT29" s="1882"/>
      <c r="ECU29" s="1882"/>
      <c r="ECV29" s="1882"/>
      <c r="ECX29" s="1887"/>
      <c r="ECY29" s="1888"/>
      <c r="ECZ29" s="1882"/>
      <c r="EDA29" s="1882"/>
      <c r="EDB29" s="1882"/>
      <c r="EDD29" s="1887"/>
      <c r="EDE29" s="1888"/>
      <c r="EDF29" s="1882"/>
      <c r="EDG29" s="1882"/>
      <c r="EDH29" s="1882"/>
      <c r="EDJ29" s="1887"/>
      <c r="EDK29" s="1888"/>
      <c r="EDL29" s="1882"/>
      <c r="EDM29" s="1882"/>
      <c r="EDN29" s="1882"/>
      <c r="EDP29" s="1887"/>
      <c r="EDQ29" s="1888"/>
      <c r="EDR29" s="1882"/>
      <c r="EDS29" s="1882"/>
      <c r="EDT29" s="1882"/>
      <c r="EDV29" s="1887"/>
      <c r="EDW29" s="1888"/>
      <c r="EDX29" s="1882"/>
      <c r="EDY29" s="1882"/>
      <c r="EDZ29" s="1882"/>
      <c r="EEB29" s="1887"/>
      <c r="EEC29" s="1888"/>
      <c r="EED29" s="1882"/>
      <c r="EEE29" s="1882"/>
      <c r="EEF29" s="1882"/>
      <c r="EEH29" s="1887"/>
      <c r="EEI29" s="1888"/>
      <c r="EEJ29" s="1882"/>
      <c r="EEK29" s="1882"/>
      <c r="EEL29" s="1882"/>
      <c r="EEN29" s="1887"/>
      <c r="EEO29" s="1888"/>
      <c r="EEP29" s="1882"/>
      <c r="EEQ29" s="1882"/>
      <c r="EER29" s="1882"/>
      <c r="EET29" s="1887"/>
      <c r="EEU29" s="1888"/>
      <c r="EEV29" s="1882"/>
      <c r="EEW29" s="1882"/>
      <c r="EEX29" s="1882"/>
      <c r="EEZ29" s="1887"/>
      <c r="EFA29" s="1888"/>
      <c r="EFB29" s="1882"/>
      <c r="EFC29" s="1882"/>
      <c r="EFD29" s="1882"/>
      <c r="EFF29" s="1887"/>
      <c r="EFG29" s="1888"/>
      <c r="EFH29" s="1882"/>
      <c r="EFI29" s="1882"/>
      <c r="EFJ29" s="1882"/>
      <c r="EFL29" s="1887"/>
      <c r="EFM29" s="1888"/>
      <c r="EFN29" s="1882"/>
      <c r="EFO29" s="1882"/>
      <c r="EFP29" s="1882"/>
      <c r="EFR29" s="1887"/>
      <c r="EFS29" s="1888"/>
      <c r="EFT29" s="1882"/>
      <c r="EFU29" s="1882"/>
      <c r="EFV29" s="1882"/>
      <c r="EFX29" s="1887"/>
      <c r="EFY29" s="1888"/>
      <c r="EFZ29" s="1882"/>
      <c r="EGA29" s="1882"/>
      <c r="EGB29" s="1882"/>
      <c r="EGD29" s="1887"/>
      <c r="EGE29" s="1888"/>
      <c r="EGF29" s="1882"/>
      <c r="EGG29" s="1882"/>
      <c r="EGH29" s="1882"/>
      <c r="EGJ29" s="1887"/>
      <c r="EGK29" s="1888"/>
      <c r="EGL29" s="1882"/>
      <c r="EGM29" s="1882"/>
      <c r="EGN29" s="1882"/>
      <c r="EGP29" s="1887"/>
      <c r="EGQ29" s="1888"/>
      <c r="EGR29" s="1882"/>
      <c r="EGS29" s="1882"/>
      <c r="EGT29" s="1882"/>
      <c r="EGV29" s="1887"/>
      <c r="EGW29" s="1888"/>
      <c r="EGX29" s="1882"/>
      <c r="EGY29" s="1882"/>
      <c r="EGZ29" s="1882"/>
      <c r="EHB29" s="1887"/>
      <c r="EHC29" s="1888"/>
      <c r="EHD29" s="1882"/>
      <c r="EHE29" s="1882"/>
      <c r="EHF29" s="1882"/>
      <c r="EHH29" s="1887"/>
      <c r="EHI29" s="1888"/>
      <c r="EHJ29" s="1882"/>
      <c r="EHK29" s="1882"/>
      <c r="EHL29" s="1882"/>
      <c r="EHN29" s="1887"/>
      <c r="EHO29" s="1888"/>
      <c r="EHP29" s="1882"/>
      <c r="EHQ29" s="1882"/>
      <c r="EHR29" s="1882"/>
      <c r="EHT29" s="1887"/>
      <c r="EHU29" s="1888"/>
      <c r="EHV29" s="1882"/>
      <c r="EHW29" s="1882"/>
      <c r="EHX29" s="1882"/>
      <c r="EHZ29" s="1887"/>
      <c r="EIA29" s="1888"/>
      <c r="EIB29" s="1882"/>
      <c r="EIC29" s="1882"/>
      <c r="EID29" s="1882"/>
      <c r="EIF29" s="1887"/>
      <c r="EIG29" s="1888"/>
      <c r="EIH29" s="1882"/>
      <c r="EII29" s="1882"/>
      <c r="EIJ29" s="1882"/>
      <c r="EIL29" s="1887"/>
      <c r="EIM29" s="1888"/>
      <c r="EIN29" s="1882"/>
      <c r="EIO29" s="1882"/>
      <c r="EIP29" s="1882"/>
      <c r="EIR29" s="1887"/>
      <c r="EIS29" s="1888"/>
      <c r="EIT29" s="1882"/>
      <c r="EIU29" s="1882"/>
      <c r="EIV29" s="1882"/>
      <c r="EIX29" s="1887"/>
      <c r="EIY29" s="1888"/>
      <c r="EIZ29" s="1882"/>
      <c r="EJA29" s="1882"/>
      <c r="EJB29" s="1882"/>
      <c r="EJD29" s="1887"/>
      <c r="EJE29" s="1888"/>
      <c r="EJF29" s="1882"/>
      <c r="EJG29" s="1882"/>
      <c r="EJH29" s="1882"/>
      <c r="EJJ29" s="1887"/>
      <c r="EJK29" s="1888"/>
      <c r="EJL29" s="1882"/>
      <c r="EJM29" s="1882"/>
      <c r="EJN29" s="1882"/>
      <c r="EJP29" s="1887"/>
      <c r="EJQ29" s="1888"/>
      <c r="EJR29" s="1882"/>
      <c r="EJS29" s="1882"/>
      <c r="EJT29" s="1882"/>
      <c r="EJV29" s="1887"/>
      <c r="EJW29" s="1888"/>
      <c r="EJX29" s="1882"/>
      <c r="EJY29" s="1882"/>
      <c r="EJZ29" s="1882"/>
      <c r="EKB29" s="1887"/>
      <c r="EKC29" s="1888"/>
      <c r="EKD29" s="1882"/>
      <c r="EKE29" s="1882"/>
      <c r="EKF29" s="1882"/>
      <c r="EKH29" s="1887"/>
      <c r="EKI29" s="1888"/>
      <c r="EKJ29" s="1882"/>
      <c r="EKK29" s="1882"/>
      <c r="EKL29" s="1882"/>
      <c r="EKN29" s="1887"/>
      <c r="EKO29" s="1888"/>
      <c r="EKP29" s="1882"/>
      <c r="EKQ29" s="1882"/>
      <c r="EKR29" s="1882"/>
      <c r="EKT29" s="1887"/>
      <c r="EKU29" s="1888"/>
      <c r="EKV29" s="1882"/>
      <c r="EKW29" s="1882"/>
      <c r="EKX29" s="1882"/>
      <c r="EKZ29" s="1887"/>
      <c r="ELA29" s="1888"/>
      <c r="ELB29" s="1882"/>
      <c r="ELC29" s="1882"/>
      <c r="ELD29" s="1882"/>
      <c r="ELF29" s="1887"/>
      <c r="ELG29" s="1888"/>
      <c r="ELH29" s="1882"/>
      <c r="ELI29" s="1882"/>
      <c r="ELJ29" s="1882"/>
      <c r="ELL29" s="1887"/>
      <c r="ELM29" s="1888"/>
      <c r="ELN29" s="1882"/>
      <c r="ELO29" s="1882"/>
      <c r="ELP29" s="1882"/>
      <c r="ELR29" s="1887"/>
      <c r="ELS29" s="1888"/>
      <c r="ELT29" s="1882"/>
      <c r="ELU29" s="1882"/>
      <c r="ELV29" s="1882"/>
      <c r="ELX29" s="1887"/>
      <c r="ELY29" s="1888"/>
      <c r="ELZ29" s="1882"/>
      <c r="EMA29" s="1882"/>
      <c r="EMB29" s="1882"/>
      <c r="EMD29" s="1887"/>
      <c r="EME29" s="1888"/>
      <c r="EMF29" s="1882"/>
      <c r="EMG29" s="1882"/>
      <c r="EMH29" s="1882"/>
      <c r="EMJ29" s="1887"/>
      <c r="EMK29" s="1888"/>
      <c r="EML29" s="1882"/>
      <c r="EMM29" s="1882"/>
      <c r="EMN29" s="1882"/>
      <c r="EMP29" s="1887"/>
      <c r="EMQ29" s="1888"/>
      <c r="EMR29" s="1882"/>
      <c r="EMS29" s="1882"/>
      <c r="EMT29" s="1882"/>
      <c r="EMV29" s="1887"/>
      <c r="EMW29" s="1888"/>
      <c r="EMX29" s="1882"/>
      <c r="EMY29" s="1882"/>
      <c r="EMZ29" s="1882"/>
      <c r="ENB29" s="1887"/>
      <c r="ENC29" s="1888"/>
      <c r="END29" s="1882"/>
      <c r="ENE29" s="1882"/>
      <c r="ENF29" s="1882"/>
      <c r="ENH29" s="1887"/>
      <c r="ENI29" s="1888"/>
      <c r="ENJ29" s="1882"/>
      <c r="ENK29" s="1882"/>
      <c r="ENL29" s="1882"/>
      <c r="ENN29" s="1887"/>
      <c r="ENO29" s="1888"/>
      <c r="ENP29" s="1882"/>
      <c r="ENQ29" s="1882"/>
      <c r="ENR29" s="1882"/>
      <c r="ENT29" s="1887"/>
      <c r="ENU29" s="1888"/>
      <c r="ENV29" s="1882"/>
      <c r="ENW29" s="1882"/>
      <c r="ENX29" s="1882"/>
      <c r="ENZ29" s="1887"/>
      <c r="EOA29" s="1888"/>
      <c r="EOB29" s="1882"/>
      <c r="EOC29" s="1882"/>
      <c r="EOD29" s="1882"/>
      <c r="EOF29" s="1887"/>
      <c r="EOG29" s="1888"/>
      <c r="EOH29" s="1882"/>
      <c r="EOI29" s="1882"/>
      <c r="EOJ29" s="1882"/>
      <c r="EOL29" s="1887"/>
      <c r="EOM29" s="1888"/>
      <c r="EON29" s="1882"/>
      <c r="EOO29" s="1882"/>
      <c r="EOP29" s="1882"/>
      <c r="EOR29" s="1887"/>
      <c r="EOS29" s="1888"/>
      <c r="EOT29" s="1882"/>
      <c r="EOU29" s="1882"/>
      <c r="EOV29" s="1882"/>
      <c r="EOX29" s="1887"/>
      <c r="EOY29" s="1888"/>
      <c r="EOZ29" s="1882"/>
      <c r="EPA29" s="1882"/>
      <c r="EPB29" s="1882"/>
      <c r="EPD29" s="1887"/>
      <c r="EPE29" s="1888"/>
      <c r="EPF29" s="1882"/>
      <c r="EPG29" s="1882"/>
      <c r="EPH29" s="1882"/>
      <c r="EPJ29" s="1887"/>
      <c r="EPK29" s="1888"/>
      <c r="EPL29" s="1882"/>
      <c r="EPM29" s="1882"/>
      <c r="EPN29" s="1882"/>
      <c r="EPP29" s="1887"/>
      <c r="EPQ29" s="1888"/>
      <c r="EPR29" s="1882"/>
      <c r="EPS29" s="1882"/>
      <c r="EPT29" s="1882"/>
      <c r="EPV29" s="1887"/>
      <c r="EPW29" s="1888"/>
      <c r="EPX29" s="1882"/>
      <c r="EPY29" s="1882"/>
      <c r="EPZ29" s="1882"/>
      <c r="EQB29" s="1887"/>
      <c r="EQC29" s="1888"/>
      <c r="EQD29" s="1882"/>
      <c r="EQE29" s="1882"/>
      <c r="EQF29" s="1882"/>
      <c r="EQH29" s="1887"/>
      <c r="EQI29" s="1888"/>
      <c r="EQJ29" s="1882"/>
      <c r="EQK29" s="1882"/>
      <c r="EQL29" s="1882"/>
      <c r="EQN29" s="1887"/>
      <c r="EQO29" s="1888"/>
      <c r="EQP29" s="1882"/>
      <c r="EQQ29" s="1882"/>
      <c r="EQR29" s="1882"/>
      <c r="EQT29" s="1887"/>
      <c r="EQU29" s="1888"/>
      <c r="EQV29" s="1882"/>
      <c r="EQW29" s="1882"/>
      <c r="EQX29" s="1882"/>
      <c r="EQZ29" s="1887"/>
      <c r="ERA29" s="1888"/>
      <c r="ERB29" s="1882"/>
      <c r="ERC29" s="1882"/>
      <c r="ERD29" s="1882"/>
      <c r="ERF29" s="1887"/>
      <c r="ERG29" s="1888"/>
      <c r="ERH29" s="1882"/>
      <c r="ERI29" s="1882"/>
      <c r="ERJ29" s="1882"/>
      <c r="ERL29" s="1887"/>
      <c r="ERM29" s="1888"/>
      <c r="ERN29" s="1882"/>
      <c r="ERO29" s="1882"/>
      <c r="ERP29" s="1882"/>
      <c r="ERR29" s="1887"/>
      <c r="ERS29" s="1888"/>
      <c r="ERT29" s="1882"/>
      <c r="ERU29" s="1882"/>
      <c r="ERV29" s="1882"/>
      <c r="ERX29" s="1887"/>
      <c r="ERY29" s="1888"/>
      <c r="ERZ29" s="1882"/>
      <c r="ESA29" s="1882"/>
      <c r="ESB29" s="1882"/>
      <c r="ESD29" s="1887"/>
      <c r="ESE29" s="1888"/>
      <c r="ESF29" s="1882"/>
      <c r="ESG29" s="1882"/>
      <c r="ESH29" s="1882"/>
      <c r="ESJ29" s="1887"/>
      <c r="ESK29" s="1888"/>
      <c r="ESL29" s="1882"/>
      <c r="ESM29" s="1882"/>
      <c r="ESN29" s="1882"/>
      <c r="ESP29" s="1887"/>
      <c r="ESQ29" s="1888"/>
      <c r="ESR29" s="1882"/>
      <c r="ESS29" s="1882"/>
      <c r="EST29" s="1882"/>
      <c r="ESV29" s="1887"/>
      <c r="ESW29" s="1888"/>
      <c r="ESX29" s="1882"/>
      <c r="ESY29" s="1882"/>
      <c r="ESZ29" s="1882"/>
      <c r="ETB29" s="1887"/>
      <c r="ETC29" s="1888"/>
      <c r="ETD29" s="1882"/>
      <c r="ETE29" s="1882"/>
      <c r="ETF29" s="1882"/>
      <c r="ETH29" s="1887"/>
      <c r="ETI29" s="1888"/>
      <c r="ETJ29" s="1882"/>
      <c r="ETK29" s="1882"/>
      <c r="ETL29" s="1882"/>
      <c r="ETN29" s="1887"/>
      <c r="ETO29" s="1888"/>
      <c r="ETP29" s="1882"/>
      <c r="ETQ29" s="1882"/>
      <c r="ETR29" s="1882"/>
      <c r="ETT29" s="1887"/>
      <c r="ETU29" s="1888"/>
      <c r="ETV29" s="1882"/>
      <c r="ETW29" s="1882"/>
      <c r="ETX29" s="1882"/>
      <c r="ETZ29" s="1887"/>
      <c r="EUA29" s="1888"/>
      <c r="EUB29" s="1882"/>
      <c r="EUC29" s="1882"/>
      <c r="EUD29" s="1882"/>
      <c r="EUF29" s="1887"/>
      <c r="EUG29" s="1888"/>
      <c r="EUH29" s="1882"/>
      <c r="EUI29" s="1882"/>
      <c r="EUJ29" s="1882"/>
      <c r="EUL29" s="1887"/>
      <c r="EUM29" s="1888"/>
      <c r="EUN29" s="1882"/>
      <c r="EUO29" s="1882"/>
      <c r="EUP29" s="1882"/>
      <c r="EUR29" s="1887"/>
      <c r="EUS29" s="1888"/>
      <c r="EUT29" s="1882"/>
      <c r="EUU29" s="1882"/>
      <c r="EUV29" s="1882"/>
      <c r="EUX29" s="1887"/>
      <c r="EUY29" s="1888"/>
      <c r="EUZ29" s="1882"/>
      <c r="EVA29" s="1882"/>
      <c r="EVB29" s="1882"/>
      <c r="EVD29" s="1887"/>
      <c r="EVE29" s="1888"/>
      <c r="EVF29" s="1882"/>
      <c r="EVG29" s="1882"/>
      <c r="EVH29" s="1882"/>
      <c r="EVJ29" s="1887"/>
      <c r="EVK29" s="1888"/>
      <c r="EVL29" s="1882"/>
      <c r="EVM29" s="1882"/>
      <c r="EVN29" s="1882"/>
      <c r="EVP29" s="1887"/>
      <c r="EVQ29" s="1888"/>
      <c r="EVR29" s="1882"/>
      <c r="EVS29" s="1882"/>
      <c r="EVT29" s="1882"/>
      <c r="EVV29" s="1887"/>
      <c r="EVW29" s="1888"/>
      <c r="EVX29" s="1882"/>
      <c r="EVY29" s="1882"/>
      <c r="EVZ29" s="1882"/>
      <c r="EWB29" s="1887"/>
      <c r="EWC29" s="1888"/>
      <c r="EWD29" s="1882"/>
      <c r="EWE29" s="1882"/>
      <c r="EWF29" s="1882"/>
      <c r="EWH29" s="1887"/>
      <c r="EWI29" s="1888"/>
      <c r="EWJ29" s="1882"/>
      <c r="EWK29" s="1882"/>
      <c r="EWL29" s="1882"/>
      <c r="EWN29" s="1887"/>
      <c r="EWO29" s="1888"/>
      <c r="EWP29" s="1882"/>
      <c r="EWQ29" s="1882"/>
      <c r="EWR29" s="1882"/>
      <c r="EWT29" s="1887"/>
      <c r="EWU29" s="1888"/>
      <c r="EWV29" s="1882"/>
      <c r="EWW29" s="1882"/>
      <c r="EWX29" s="1882"/>
      <c r="EWZ29" s="1887"/>
      <c r="EXA29" s="1888"/>
      <c r="EXB29" s="1882"/>
      <c r="EXC29" s="1882"/>
      <c r="EXD29" s="1882"/>
      <c r="EXF29" s="1887"/>
      <c r="EXG29" s="1888"/>
      <c r="EXH29" s="1882"/>
      <c r="EXI29" s="1882"/>
      <c r="EXJ29" s="1882"/>
      <c r="EXL29" s="1887"/>
      <c r="EXM29" s="1888"/>
      <c r="EXN29" s="1882"/>
      <c r="EXO29" s="1882"/>
      <c r="EXP29" s="1882"/>
      <c r="EXR29" s="1887"/>
      <c r="EXS29" s="1888"/>
      <c r="EXT29" s="1882"/>
      <c r="EXU29" s="1882"/>
      <c r="EXV29" s="1882"/>
      <c r="EXX29" s="1887"/>
      <c r="EXY29" s="1888"/>
      <c r="EXZ29" s="1882"/>
      <c r="EYA29" s="1882"/>
      <c r="EYB29" s="1882"/>
      <c r="EYD29" s="1887"/>
      <c r="EYE29" s="1888"/>
      <c r="EYF29" s="1882"/>
      <c r="EYG29" s="1882"/>
      <c r="EYH29" s="1882"/>
      <c r="EYJ29" s="1887"/>
      <c r="EYK29" s="1888"/>
      <c r="EYL29" s="1882"/>
      <c r="EYM29" s="1882"/>
      <c r="EYN29" s="1882"/>
      <c r="EYP29" s="1887"/>
      <c r="EYQ29" s="1888"/>
      <c r="EYR29" s="1882"/>
      <c r="EYS29" s="1882"/>
      <c r="EYT29" s="1882"/>
      <c r="EYV29" s="1887"/>
      <c r="EYW29" s="1888"/>
      <c r="EYX29" s="1882"/>
      <c r="EYY29" s="1882"/>
      <c r="EYZ29" s="1882"/>
      <c r="EZB29" s="1887"/>
      <c r="EZC29" s="1888"/>
      <c r="EZD29" s="1882"/>
      <c r="EZE29" s="1882"/>
      <c r="EZF29" s="1882"/>
      <c r="EZH29" s="1887"/>
      <c r="EZI29" s="1888"/>
      <c r="EZJ29" s="1882"/>
      <c r="EZK29" s="1882"/>
      <c r="EZL29" s="1882"/>
      <c r="EZN29" s="1887"/>
      <c r="EZO29" s="1888"/>
      <c r="EZP29" s="1882"/>
      <c r="EZQ29" s="1882"/>
      <c r="EZR29" s="1882"/>
      <c r="EZT29" s="1887"/>
      <c r="EZU29" s="1888"/>
      <c r="EZV29" s="1882"/>
      <c r="EZW29" s="1882"/>
      <c r="EZX29" s="1882"/>
      <c r="EZZ29" s="1887"/>
      <c r="FAA29" s="1888"/>
      <c r="FAB29" s="1882"/>
      <c r="FAC29" s="1882"/>
      <c r="FAD29" s="1882"/>
      <c r="FAF29" s="1887"/>
      <c r="FAG29" s="1888"/>
      <c r="FAH29" s="1882"/>
      <c r="FAI29" s="1882"/>
      <c r="FAJ29" s="1882"/>
      <c r="FAL29" s="1887"/>
      <c r="FAM29" s="1888"/>
      <c r="FAN29" s="1882"/>
      <c r="FAO29" s="1882"/>
      <c r="FAP29" s="1882"/>
      <c r="FAR29" s="1887"/>
      <c r="FAS29" s="1888"/>
      <c r="FAT29" s="1882"/>
      <c r="FAU29" s="1882"/>
      <c r="FAV29" s="1882"/>
      <c r="FAX29" s="1887"/>
      <c r="FAY29" s="1888"/>
      <c r="FAZ29" s="1882"/>
      <c r="FBA29" s="1882"/>
      <c r="FBB29" s="1882"/>
      <c r="FBD29" s="1887"/>
      <c r="FBE29" s="1888"/>
      <c r="FBF29" s="1882"/>
      <c r="FBG29" s="1882"/>
      <c r="FBH29" s="1882"/>
      <c r="FBJ29" s="1887"/>
      <c r="FBK29" s="1888"/>
      <c r="FBL29" s="1882"/>
      <c r="FBM29" s="1882"/>
      <c r="FBN29" s="1882"/>
      <c r="FBP29" s="1887"/>
      <c r="FBQ29" s="1888"/>
      <c r="FBR29" s="1882"/>
      <c r="FBS29" s="1882"/>
      <c r="FBT29" s="1882"/>
      <c r="FBV29" s="1887"/>
      <c r="FBW29" s="1888"/>
      <c r="FBX29" s="1882"/>
      <c r="FBY29" s="1882"/>
      <c r="FBZ29" s="1882"/>
      <c r="FCB29" s="1887"/>
      <c r="FCC29" s="1888"/>
      <c r="FCD29" s="1882"/>
      <c r="FCE29" s="1882"/>
      <c r="FCF29" s="1882"/>
      <c r="FCH29" s="1887"/>
      <c r="FCI29" s="1888"/>
      <c r="FCJ29" s="1882"/>
      <c r="FCK29" s="1882"/>
      <c r="FCL29" s="1882"/>
      <c r="FCN29" s="1887"/>
      <c r="FCO29" s="1888"/>
      <c r="FCP29" s="1882"/>
      <c r="FCQ29" s="1882"/>
      <c r="FCR29" s="1882"/>
      <c r="FCT29" s="1887"/>
      <c r="FCU29" s="1888"/>
      <c r="FCV29" s="1882"/>
      <c r="FCW29" s="1882"/>
      <c r="FCX29" s="1882"/>
      <c r="FCZ29" s="1887"/>
      <c r="FDA29" s="1888"/>
      <c r="FDB29" s="1882"/>
      <c r="FDC29" s="1882"/>
      <c r="FDD29" s="1882"/>
      <c r="FDF29" s="1887"/>
      <c r="FDG29" s="1888"/>
      <c r="FDH29" s="1882"/>
      <c r="FDI29" s="1882"/>
      <c r="FDJ29" s="1882"/>
      <c r="FDL29" s="1887"/>
      <c r="FDM29" s="1888"/>
      <c r="FDN29" s="1882"/>
      <c r="FDO29" s="1882"/>
      <c r="FDP29" s="1882"/>
      <c r="FDR29" s="1887"/>
      <c r="FDS29" s="1888"/>
      <c r="FDT29" s="1882"/>
      <c r="FDU29" s="1882"/>
      <c r="FDV29" s="1882"/>
      <c r="FDX29" s="1887"/>
      <c r="FDY29" s="1888"/>
      <c r="FDZ29" s="1882"/>
      <c r="FEA29" s="1882"/>
      <c r="FEB29" s="1882"/>
      <c r="FED29" s="1887"/>
      <c r="FEE29" s="1888"/>
      <c r="FEF29" s="1882"/>
      <c r="FEG29" s="1882"/>
      <c r="FEH29" s="1882"/>
      <c r="FEJ29" s="1887"/>
      <c r="FEK29" s="1888"/>
      <c r="FEL29" s="1882"/>
      <c r="FEM29" s="1882"/>
      <c r="FEN29" s="1882"/>
      <c r="FEP29" s="1887"/>
      <c r="FEQ29" s="1888"/>
      <c r="FER29" s="1882"/>
      <c r="FES29" s="1882"/>
      <c r="FET29" s="1882"/>
      <c r="FEV29" s="1887"/>
      <c r="FEW29" s="1888"/>
      <c r="FEX29" s="1882"/>
      <c r="FEY29" s="1882"/>
      <c r="FEZ29" s="1882"/>
      <c r="FFB29" s="1887"/>
      <c r="FFC29" s="1888"/>
      <c r="FFD29" s="1882"/>
      <c r="FFE29" s="1882"/>
      <c r="FFF29" s="1882"/>
      <c r="FFH29" s="1887"/>
      <c r="FFI29" s="1888"/>
      <c r="FFJ29" s="1882"/>
      <c r="FFK29" s="1882"/>
      <c r="FFL29" s="1882"/>
      <c r="FFN29" s="1887"/>
      <c r="FFO29" s="1888"/>
      <c r="FFP29" s="1882"/>
      <c r="FFQ29" s="1882"/>
      <c r="FFR29" s="1882"/>
      <c r="FFT29" s="1887"/>
      <c r="FFU29" s="1888"/>
      <c r="FFV29" s="1882"/>
      <c r="FFW29" s="1882"/>
      <c r="FFX29" s="1882"/>
      <c r="FFZ29" s="1887"/>
      <c r="FGA29" s="1888"/>
      <c r="FGB29" s="1882"/>
      <c r="FGC29" s="1882"/>
      <c r="FGD29" s="1882"/>
      <c r="FGF29" s="1887"/>
      <c r="FGG29" s="1888"/>
      <c r="FGH29" s="1882"/>
      <c r="FGI29" s="1882"/>
      <c r="FGJ29" s="1882"/>
      <c r="FGL29" s="1887"/>
      <c r="FGM29" s="1888"/>
      <c r="FGN29" s="1882"/>
      <c r="FGO29" s="1882"/>
      <c r="FGP29" s="1882"/>
      <c r="FGR29" s="1887"/>
      <c r="FGS29" s="1888"/>
      <c r="FGT29" s="1882"/>
      <c r="FGU29" s="1882"/>
      <c r="FGV29" s="1882"/>
      <c r="FGX29" s="1887"/>
      <c r="FGY29" s="1888"/>
      <c r="FGZ29" s="1882"/>
      <c r="FHA29" s="1882"/>
      <c r="FHB29" s="1882"/>
      <c r="FHD29" s="1887"/>
      <c r="FHE29" s="1888"/>
      <c r="FHF29" s="1882"/>
      <c r="FHG29" s="1882"/>
      <c r="FHH29" s="1882"/>
      <c r="FHJ29" s="1887"/>
      <c r="FHK29" s="1888"/>
      <c r="FHL29" s="1882"/>
      <c r="FHM29" s="1882"/>
      <c r="FHN29" s="1882"/>
      <c r="FHP29" s="1887"/>
      <c r="FHQ29" s="1888"/>
      <c r="FHR29" s="1882"/>
      <c r="FHS29" s="1882"/>
      <c r="FHT29" s="1882"/>
      <c r="FHV29" s="1887"/>
      <c r="FHW29" s="1888"/>
      <c r="FHX29" s="1882"/>
      <c r="FHY29" s="1882"/>
      <c r="FHZ29" s="1882"/>
      <c r="FIB29" s="1887"/>
      <c r="FIC29" s="1888"/>
      <c r="FID29" s="1882"/>
      <c r="FIE29" s="1882"/>
      <c r="FIF29" s="1882"/>
      <c r="FIH29" s="1887"/>
      <c r="FII29" s="1888"/>
      <c r="FIJ29" s="1882"/>
      <c r="FIK29" s="1882"/>
      <c r="FIL29" s="1882"/>
      <c r="FIN29" s="1887"/>
      <c r="FIO29" s="1888"/>
      <c r="FIP29" s="1882"/>
      <c r="FIQ29" s="1882"/>
      <c r="FIR29" s="1882"/>
      <c r="FIT29" s="1887"/>
      <c r="FIU29" s="1888"/>
      <c r="FIV29" s="1882"/>
      <c r="FIW29" s="1882"/>
      <c r="FIX29" s="1882"/>
      <c r="FIZ29" s="1887"/>
      <c r="FJA29" s="1888"/>
      <c r="FJB29" s="1882"/>
      <c r="FJC29" s="1882"/>
      <c r="FJD29" s="1882"/>
      <c r="FJF29" s="1887"/>
      <c r="FJG29" s="1888"/>
      <c r="FJH29" s="1882"/>
      <c r="FJI29" s="1882"/>
      <c r="FJJ29" s="1882"/>
      <c r="FJL29" s="1887"/>
      <c r="FJM29" s="1888"/>
      <c r="FJN29" s="1882"/>
      <c r="FJO29" s="1882"/>
      <c r="FJP29" s="1882"/>
      <c r="FJR29" s="1887"/>
      <c r="FJS29" s="1888"/>
      <c r="FJT29" s="1882"/>
      <c r="FJU29" s="1882"/>
      <c r="FJV29" s="1882"/>
      <c r="FJX29" s="1887"/>
      <c r="FJY29" s="1888"/>
      <c r="FJZ29" s="1882"/>
      <c r="FKA29" s="1882"/>
      <c r="FKB29" s="1882"/>
      <c r="FKD29" s="1887"/>
      <c r="FKE29" s="1888"/>
      <c r="FKF29" s="1882"/>
      <c r="FKG29" s="1882"/>
      <c r="FKH29" s="1882"/>
      <c r="FKJ29" s="1887"/>
      <c r="FKK29" s="1888"/>
      <c r="FKL29" s="1882"/>
      <c r="FKM29" s="1882"/>
      <c r="FKN29" s="1882"/>
      <c r="FKP29" s="1887"/>
      <c r="FKQ29" s="1888"/>
      <c r="FKR29" s="1882"/>
      <c r="FKS29" s="1882"/>
      <c r="FKT29" s="1882"/>
      <c r="FKV29" s="1887"/>
      <c r="FKW29" s="1888"/>
      <c r="FKX29" s="1882"/>
      <c r="FKY29" s="1882"/>
      <c r="FKZ29" s="1882"/>
      <c r="FLB29" s="1887"/>
      <c r="FLC29" s="1888"/>
      <c r="FLD29" s="1882"/>
      <c r="FLE29" s="1882"/>
      <c r="FLF29" s="1882"/>
      <c r="FLH29" s="1887"/>
      <c r="FLI29" s="1888"/>
      <c r="FLJ29" s="1882"/>
      <c r="FLK29" s="1882"/>
      <c r="FLL29" s="1882"/>
      <c r="FLN29" s="1887"/>
      <c r="FLO29" s="1888"/>
      <c r="FLP29" s="1882"/>
      <c r="FLQ29" s="1882"/>
      <c r="FLR29" s="1882"/>
      <c r="FLT29" s="1887"/>
      <c r="FLU29" s="1888"/>
      <c r="FLV29" s="1882"/>
      <c r="FLW29" s="1882"/>
      <c r="FLX29" s="1882"/>
      <c r="FLZ29" s="1887"/>
      <c r="FMA29" s="1888"/>
      <c r="FMB29" s="1882"/>
      <c r="FMC29" s="1882"/>
      <c r="FMD29" s="1882"/>
      <c r="FMF29" s="1887"/>
      <c r="FMG29" s="1888"/>
      <c r="FMH29" s="1882"/>
      <c r="FMI29" s="1882"/>
      <c r="FMJ29" s="1882"/>
      <c r="FML29" s="1887"/>
      <c r="FMM29" s="1888"/>
      <c r="FMN29" s="1882"/>
      <c r="FMO29" s="1882"/>
      <c r="FMP29" s="1882"/>
      <c r="FMR29" s="1887"/>
      <c r="FMS29" s="1888"/>
      <c r="FMT29" s="1882"/>
      <c r="FMU29" s="1882"/>
      <c r="FMV29" s="1882"/>
      <c r="FMX29" s="1887"/>
      <c r="FMY29" s="1888"/>
      <c r="FMZ29" s="1882"/>
      <c r="FNA29" s="1882"/>
      <c r="FNB29" s="1882"/>
      <c r="FND29" s="1887"/>
      <c r="FNE29" s="1888"/>
      <c r="FNF29" s="1882"/>
      <c r="FNG29" s="1882"/>
      <c r="FNH29" s="1882"/>
      <c r="FNJ29" s="1887"/>
      <c r="FNK29" s="1888"/>
      <c r="FNL29" s="1882"/>
      <c r="FNM29" s="1882"/>
      <c r="FNN29" s="1882"/>
      <c r="FNP29" s="1887"/>
      <c r="FNQ29" s="1888"/>
      <c r="FNR29" s="1882"/>
      <c r="FNS29" s="1882"/>
      <c r="FNT29" s="1882"/>
      <c r="FNV29" s="1887"/>
      <c r="FNW29" s="1888"/>
      <c r="FNX29" s="1882"/>
      <c r="FNY29" s="1882"/>
      <c r="FNZ29" s="1882"/>
      <c r="FOB29" s="1887"/>
      <c r="FOC29" s="1888"/>
      <c r="FOD29" s="1882"/>
      <c r="FOE29" s="1882"/>
      <c r="FOF29" s="1882"/>
      <c r="FOH29" s="1887"/>
      <c r="FOI29" s="1888"/>
      <c r="FOJ29" s="1882"/>
      <c r="FOK29" s="1882"/>
      <c r="FOL29" s="1882"/>
      <c r="FON29" s="1887"/>
      <c r="FOO29" s="1888"/>
      <c r="FOP29" s="1882"/>
      <c r="FOQ29" s="1882"/>
      <c r="FOR29" s="1882"/>
      <c r="FOT29" s="1887"/>
      <c r="FOU29" s="1888"/>
      <c r="FOV29" s="1882"/>
      <c r="FOW29" s="1882"/>
      <c r="FOX29" s="1882"/>
      <c r="FOZ29" s="1887"/>
      <c r="FPA29" s="1888"/>
      <c r="FPB29" s="1882"/>
      <c r="FPC29" s="1882"/>
      <c r="FPD29" s="1882"/>
      <c r="FPF29" s="1887"/>
      <c r="FPG29" s="1888"/>
      <c r="FPH29" s="1882"/>
      <c r="FPI29" s="1882"/>
      <c r="FPJ29" s="1882"/>
      <c r="FPL29" s="1887"/>
      <c r="FPM29" s="1888"/>
      <c r="FPN29" s="1882"/>
      <c r="FPO29" s="1882"/>
      <c r="FPP29" s="1882"/>
      <c r="FPR29" s="1887"/>
      <c r="FPS29" s="1888"/>
      <c r="FPT29" s="1882"/>
      <c r="FPU29" s="1882"/>
      <c r="FPV29" s="1882"/>
      <c r="FPX29" s="1887"/>
      <c r="FPY29" s="1888"/>
      <c r="FPZ29" s="1882"/>
      <c r="FQA29" s="1882"/>
      <c r="FQB29" s="1882"/>
      <c r="FQD29" s="1887"/>
      <c r="FQE29" s="1888"/>
      <c r="FQF29" s="1882"/>
      <c r="FQG29" s="1882"/>
      <c r="FQH29" s="1882"/>
      <c r="FQJ29" s="1887"/>
      <c r="FQK29" s="1888"/>
      <c r="FQL29" s="1882"/>
      <c r="FQM29" s="1882"/>
      <c r="FQN29" s="1882"/>
      <c r="FQP29" s="1887"/>
      <c r="FQQ29" s="1888"/>
      <c r="FQR29" s="1882"/>
      <c r="FQS29" s="1882"/>
      <c r="FQT29" s="1882"/>
      <c r="FQV29" s="1887"/>
      <c r="FQW29" s="1888"/>
      <c r="FQX29" s="1882"/>
      <c r="FQY29" s="1882"/>
      <c r="FQZ29" s="1882"/>
      <c r="FRB29" s="1887"/>
      <c r="FRC29" s="1888"/>
      <c r="FRD29" s="1882"/>
      <c r="FRE29" s="1882"/>
      <c r="FRF29" s="1882"/>
      <c r="FRH29" s="1887"/>
      <c r="FRI29" s="1888"/>
      <c r="FRJ29" s="1882"/>
      <c r="FRK29" s="1882"/>
      <c r="FRL29" s="1882"/>
      <c r="FRN29" s="1887"/>
      <c r="FRO29" s="1888"/>
      <c r="FRP29" s="1882"/>
      <c r="FRQ29" s="1882"/>
      <c r="FRR29" s="1882"/>
      <c r="FRT29" s="1887"/>
      <c r="FRU29" s="1888"/>
      <c r="FRV29" s="1882"/>
      <c r="FRW29" s="1882"/>
      <c r="FRX29" s="1882"/>
      <c r="FRZ29" s="1887"/>
      <c r="FSA29" s="1888"/>
      <c r="FSB29" s="1882"/>
      <c r="FSC29" s="1882"/>
      <c r="FSD29" s="1882"/>
      <c r="FSF29" s="1887"/>
      <c r="FSG29" s="1888"/>
      <c r="FSH29" s="1882"/>
      <c r="FSI29" s="1882"/>
      <c r="FSJ29" s="1882"/>
      <c r="FSL29" s="1887"/>
      <c r="FSM29" s="1888"/>
      <c r="FSN29" s="1882"/>
      <c r="FSO29" s="1882"/>
      <c r="FSP29" s="1882"/>
      <c r="FSR29" s="1887"/>
      <c r="FSS29" s="1888"/>
      <c r="FST29" s="1882"/>
      <c r="FSU29" s="1882"/>
      <c r="FSV29" s="1882"/>
      <c r="FSX29" s="1887"/>
      <c r="FSY29" s="1888"/>
      <c r="FSZ29" s="1882"/>
      <c r="FTA29" s="1882"/>
      <c r="FTB29" s="1882"/>
      <c r="FTD29" s="1887"/>
      <c r="FTE29" s="1888"/>
      <c r="FTF29" s="1882"/>
      <c r="FTG29" s="1882"/>
      <c r="FTH29" s="1882"/>
      <c r="FTJ29" s="1887"/>
      <c r="FTK29" s="1888"/>
      <c r="FTL29" s="1882"/>
      <c r="FTM29" s="1882"/>
      <c r="FTN29" s="1882"/>
      <c r="FTP29" s="1887"/>
      <c r="FTQ29" s="1888"/>
      <c r="FTR29" s="1882"/>
      <c r="FTS29" s="1882"/>
      <c r="FTT29" s="1882"/>
      <c r="FTV29" s="1887"/>
      <c r="FTW29" s="1888"/>
      <c r="FTX29" s="1882"/>
      <c r="FTY29" s="1882"/>
      <c r="FTZ29" s="1882"/>
      <c r="FUB29" s="1887"/>
      <c r="FUC29" s="1888"/>
      <c r="FUD29" s="1882"/>
      <c r="FUE29" s="1882"/>
      <c r="FUF29" s="1882"/>
      <c r="FUH29" s="1887"/>
      <c r="FUI29" s="1888"/>
      <c r="FUJ29" s="1882"/>
      <c r="FUK29" s="1882"/>
      <c r="FUL29" s="1882"/>
      <c r="FUN29" s="1887"/>
      <c r="FUO29" s="1888"/>
      <c r="FUP29" s="1882"/>
      <c r="FUQ29" s="1882"/>
      <c r="FUR29" s="1882"/>
      <c r="FUT29" s="1887"/>
      <c r="FUU29" s="1888"/>
      <c r="FUV29" s="1882"/>
      <c r="FUW29" s="1882"/>
      <c r="FUX29" s="1882"/>
      <c r="FUZ29" s="1887"/>
      <c r="FVA29" s="1888"/>
      <c r="FVB29" s="1882"/>
      <c r="FVC29" s="1882"/>
      <c r="FVD29" s="1882"/>
      <c r="FVF29" s="1887"/>
      <c r="FVG29" s="1888"/>
      <c r="FVH29" s="1882"/>
      <c r="FVI29" s="1882"/>
      <c r="FVJ29" s="1882"/>
      <c r="FVL29" s="1887"/>
      <c r="FVM29" s="1888"/>
      <c r="FVN29" s="1882"/>
      <c r="FVO29" s="1882"/>
      <c r="FVP29" s="1882"/>
      <c r="FVR29" s="1887"/>
      <c r="FVS29" s="1888"/>
      <c r="FVT29" s="1882"/>
      <c r="FVU29" s="1882"/>
      <c r="FVV29" s="1882"/>
      <c r="FVX29" s="1887"/>
      <c r="FVY29" s="1888"/>
      <c r="FVZ29" s="1882"/>
      <c r="FWA29" s="1882"/>
      <c r="FWB29" s="1882"/>
      <c r="FWD29" s="1887"/>
      <c r="FWE29" s="1888"/>
      <c r="FWF29" s="1882"/>
      <c r="FWG29" s="1882"/>
      <c r="FWH29" s="1882"/>
      <c r="FWJ29" s="1887"/>
      <c r="FWK29" s="1888"/>
      <c r="FWL29" s="1882"/>
      <c r="FWM29" s="1882"/>
      <c r="FWN29" s="1882"/>
      <c r="FWP29" s="1887"/>
      <c r="FWQ29" s="1888"/>
      <c r="FWR29" s="1882"/>
      <c r="FWS29" s="1882"/>
      <c r="FWT29" s="1882"/>
      <c r="FWV29" s="1887"/>
      <c r="FWW29" s="1888"/>
      <c r="FWX29" s="1882"/>
      <c r="FWY29" s="1882"/>
      <c r="FWZ29" s="1882"/>
      <c r="FXB29" s="1887"/>
      <c r="FXC29" s="1888"/>
      <c r="FXD29" s="1882"/>
      <c r="FXE29" s="1882"/>
      <c r="FXF29" s="1882"/>
      <c r="FXH29" s="1887"/>
      <c r="FXI29" s="1888"/>
      <c r="FXJ29" s="1882"/>
      <c r="FXK29" s="1882"/>
      <c r="FXL29" s="1882"/>
      <c r="FXN29" s="1887"/>
      <c r="FXO29" s="1888"/>
      <c r="FXP29" s="1882"/>
      <c r="FXQ29" s="1882"/>
      <c r="FXR29" s="1882"/>
      <c r="FXT29" s="1887"/>
      <c r="FXU29" s="1888"/>
      <c r="FXV29" s="1882"/>
      <c r="FXW29" s="1882"/>
      <c r="FXX29" s="1882"/>
      <c r="FXZ29" s="1887"/>
      <c r="FYA29" s="1888"/>
      <c r="FYB29" s="1882"/>
      <c r="FYC29" s="1882"/>
      <c r="FYD29" s="1882"/>
      <c r="FYF29" s="1887"/>
      <c r="FYG29" s="1888"/>
      <c r="FYH29" s="1882"/>
      <c r="FYI29" s="1882"/>
      <c r="FYJ29" s="1882"/>
      <c r="FYL29" s="1887"/>
      <c r="FYM29" s="1888"/>
      <c r="FYN29" s="1882"/>
      <c r="FYO29" s="1882"/>
      <c r="FYP29" s="1882"/>
      <c r="FYR29" s="1887"/>
      <c r="FYS29" s="1888"/>
      <c r="FYT29" s="1882"/>
      <c r="FYU29" s="1882"/>
      <c r="FYV29" s="1882"/>
      <c r="FYX29" s="1887"/>
      <c r="FYY29" s="1888"/>
      <c r="FYZ29" s="1882"/>
      <c r="FZA29" s="1882"/>
      <c r="FZB29" s="1882"/>
      <c r="FZD29" s="1887"/>
      <c r="FZE29" s="1888"/>
      <c r="FZF29" s="1882"/>
      <c r="FZG29" s="1882"/>
      <c r="FZH29" s="1882"/>
      <c r="FZJ29" s="1887"/>
      <c r="FZK29" s="1888"/>
      <c r="FZL29" s="1882"/>
      <c r="FZM29" s="1882"/>
      <c r="FZN29" s="1882"/>
      <c r="FZP29" s="1887"/>
      <c r="FZQ29" s="1888"/>
      <c r="FZR29" s="1882"/>
      <c r="FZS29" s="1882"/>
      <c r="FZT29" s="1882"/>
      <c r="FZV29" s="1887"/>
      <c r="FZW29" s="1888"/>
      <c r="FZX29" s="1882"/>
      <c r="FZY29" s="1882"/>
      <c r="FZZ29" s="1882"/>
      <c r="GAB29" s="1887"/>
      <c r="GAC29" s="1888"/>
      <c r="GAD29" s="1882"/>
      <c r="GAE29" s="1882"/>
      <c r="GAF29" s="1882"/>
      <c r="GAH29" s="1887"/>
      <c r="GAI29" s="1888"/>
      <c r="GAJ29" s="1882"/>
      <c r="GAK29" s="1882"/>
      <c r="GAL29" s="1882"/>
      <c r="GAN29" s="1887"/>
      <c r="GAO29" s="1888"/>
      <c r="GAP29" s="1882"/>
      <c r="GAQ29" s="1882"/>
      <c r="GAR29" s="1882"/>
      <c r="GAT29" s="1887"/>
      <c r="GAU29" s="1888"/>
      <c r="GAV29" s="1882"/>
      <c r="GAW29" s="1882"/>
      <c r="GAX29" s="1882"/>
      <c r="GAZ29" s="1887"/>
      <c r="GBA29" s="1888"/>
      <c r="GBB29" s="1882"/>
      <c r="GBC29" s="1882"/>
      <c r="GBD29" s="1882"/>
      <c r="GBF29" s="1887"/>
      <c r="GBG29" s="1888"/>
      <c r="GBH29" s="1882"/>
      <c r="GBI29" s="1882"/>
      <c r="GBJ29" s="1882"/>
      <c r="GBL29" s="1887"/>
      <c r="GBM29" s="1888"/>
      <c r="GBN29" s="1882"/>
      <c r="GBO29" s="1882"/>
      <c r="GBP29" s="1882"/>
      <c r="GBR29" s="1887"/>
      <c r="GBS29" s="1888"/>
      <c r="GBT29" s="1882"/>
      <c r="GBU29" s="1882"/>
      <c r="GBV29" s="1882"/>
      <c r="GBX29" s="1887"/>
      <c r="GBY29" s="1888"/>
      <c r="GBZ29" s="1882"/>
      <c r="GCA29" s="1882"/>
      <c r="GCB29" s="1882"/>
      <c r="GCD29" s="1887"/>
      <c r="GCE29" s="1888"/>
      <c r="GCF29" s="1882"/>
      <c r="GCG29" s="1882"/>
      <c r="GCH29" s="1882"/>
      <c r="GCJ29" s="1887"/>
      <c r="GCK29" s="1888"/>
      <c r="GCL29" s="1882"/>
      <c r="GCM29" s="1882"/>
      <c r="GCN29" s="1882"/>
      <c r="GCP29" s="1887"/>
      <c r="GCQ29" s="1888"/>
      <c r="GCR29" s="1882"/>
      <c r="GCS29" s="1882"/>
      <c r="GCT29" s="1882"/>
      <c r="GCV29" s="1887"/>
      <c r="GCW29" s="1888"/>
      <c r="GCX29" s="1882"/>
      <c r="GCY29" s="1882"/>
      <c r="GCZ29" s="1882"/>
      <c r="GDB29" s="1887"/>
      <c r="GDC29" s="1888"/>
      <c r="GDD29" s="1882"/>
      <c r="GDE29" s="1882"/>
      <c r="GDF29" s="1882"/>
      <c r="GDH29" s="1887"/>
      <c r="GDI29" s="1888"/>
      <c r="GDJ29" s="1882"/>
      <c r="GDK29" s="1882"/>
      <c r="GDL29" s="1882"/>
      <c r="GDN29" s="1887"/>
      <c r="GDO29" s="1888"/>
      <c r="GDP29" s="1882"/>
      <c r="GDQ29" s="1882"/>
      <c r="GDR29" s="1882"/>
      <c r="GDT29" s="1887"/>
      <c r="GDU29" s="1888"/>
      <c r="GDV29" s="1882"/>
      <c r="GDW29" s="1882"/>
      <c r="GDX29" s="1882"/>
      <c r="GDZ29" s="1887"/>
      <c r="GEA29" s="1888"/>
      <c r="GEB29" s="1882"/>
      <c r="GEC29" s="1882"/>
      <c r="GED29" s="1882"/>
      <c r="GEF29" s="1887"/>
      <c r="GEG29" s="1888"/>
      <c r="GEH29" s="1882"/>
      <c r="GEI29" s="1882"/>
      <c r="GEJ29" s="1882"/>
      <c r="GEL29" s="1887"/>
      <c r="GEM29" s="1888"/>
      <c r="GEN29" s="1882"/>
      <c r="GEO29" s="1882"/>
      <c r="GEP29" s="1882"/>
      <c r="GER29" s="1887"/>
      <c r="GES29" s="1888"/>
      <c r="GET29" s="1882"/>
      <c r="GEU29" s="1882"/>
      <c r="GEV29" s="1882"/>
      <c r="GEX29" s="1887"/>
      <c r="GEY29" s="1888"/>
      <c r="GEZ29" s="1882"/>
      <c r="GFA29" s="1882"/>
      <c r="GFB29" s="1882"/>
      <c r="GFD29" s="1887"/>
      <c r="GFE29" s="1888"/>
      <c r="GFF29" s="1882"/>
      <c r="GFG29" s="1882"/>
      <c r="GFH29" s="1882"/>
      <c r="GFJ29" s="1887"/>
      <c r="GFK29" s="1888"/>
      <c r="GFL29" s="1882"/>
      <c r="GFM29" s="1882"/>
      <c r="GFN29" s="1882"/>
      <c r="GFP29" s="1887"/>
      <c r="GFQ29" s="1888"/>
      <c r="GFR29" s="1882"/>
      <c r="GFS29" s="1882"/>
      <c r="GFT29" s="1882"/>
      <c r="GFV29" s="1887"/>
      <c r="GFW29" s="1888"/>
      <c r="GFX29" s="1882"/>
      <c r="GFY29" s="1882"/>
      <c r="GFZ29" s="1882"/>
      <c r="GGB29" s="1887"/>
      <c r="GGC29" s="1888"/>
      <c r="GGD29" s="1882"/>
      <c r="GGE29" s="1882"/>
      <c r="GGF29" s="1882"/>
      <c r="GGH29" s="1887"/>
      <c r="GGI29" s="1888"/>
      <c r="GGJ29" s="1882"/>
      <c r="GGK29" s="1882"/>
      <c r="GGL29" s="1882"/>
      <c r="GGN29" s="1887"/>
      <c r="GGO29" s="1888"/>
      <c r="GGP29" s="1882"/>
      <c r="GGQ29" s="1882"/>
      <c r="GGR29" s="1882"/>
      <c r="GGT29" s="1887"/>
      <c r="GGU29" s="1888"/>
      <c r="GGV29" s="1882"/>
      <c r="GGW29" s="1882"/>
      <c r="GGX29" s="1882"/>
      <c r="GGZ29" s="1887"/>
      <c r="GHA29" s="1888"/>
      <c r="GHB29" s="1882"/>
      <c r="GHC29" s="1882"/>
      <c r="GHD29" s="1882"/>
      <c r="GHF29" s="1887"/>
      <c r="GHG29" s="1888"/>
      <c r="GHH29" s="1882"/>
      <c r="GHI29" s="1882"/>
      <c r="GHJ29" s="1882"/>
      <c r="GHL29" s="1887"/>
      <c r="GHM29" s="1888"/>
      <c r="GHN29" s="1882"/>
      <c r="GHO29" s="1882"/>
      <c r="GHP29" s="1882"/>
      <c r="GHR29" s="1887"/>
      <c r="GHS29" s="1888"/>
      <c r="GHT29" s="1882"/>
      <c r="GHU29" s="1882"/>
      <c r="GHV29" s="1882"/>
      <c r="GHX29" s="1887"/>
      <c r="GHY29" s="1888"/>
      <c r="GHZ29" s="1882"/>
      <c r="GIA29" s="1882"/>
      <c r="GIB29" s="1882"/>
      <c r="GID29" s="1887"/>
      <c r="GIE29" s="1888"/>
      <c r="GIF29" s="1882"/>
      <c r="GIG29" s="1882"/>
      <c r="GIH29" s="1882"/>
      <c r="GIJ29" s="1887"/>
      <c r="GIK29" s="1888"/>
      <c r="GIL29" s="1882"/>
      <c r="GIM29" s="1882"/>
      <c r="GIN29" s="1882"/>
      <c r="GIP29" s="1887"/>
      <c r="GIQ29" s="1888"/>
      <c r="GIR29" s="1882"/>
      <c r="GIS29" s="1882"/>
      <c r="GIT29" s="1882"/>
      <c r="GIV29" s="1887"/>
      <c r="GIW29" s="1888"/>
      <c r="GIX29" s="1882"/>
      <c r="GIY29" s="1882"/>
      <c r="GIZ29" s="1882"/>
      <c r="GJB29" s="1887"/>
      <c r="GJC29" s="1888"/>
      <c r="GJD29" s="1882"/>
      <c r="GJE29" s="1882"/>
      <c r="GJF29" s="1882"/>
      <c r="GJH29" s="1887"/>
      <c r="GJI29" s="1888"/>
      <c r="GJJ29" s="1882"/>
      <c r="GJK29" s="1882"/>
      <c r="GJL29" s="1882"/>
      <c r="GJN29" s="1887"/>
      <c r="GJO29" s="1888"/>
      <c r="GJP29" s="1882"/>
      <c r="GJQ29" s="1882"/>
      <c r="GJR29" s="1882"/>
      <c r="GJT29" s="1887"/>
      <c r="GJU29" s="1888"/>
      <c r="GJV29" s="1882"/>
      <c r="GJW29" s="1882"/>
      <c r="GJX29" s="1882"/>
      <c r="GJZ29" s="1887"/>
      <c r="GKA29" s="1888"/>
      <c r="GKB29" s="1882"/>
      <c r="GKC29" s="1882"/>
      <c r="GKD29" s="1882"/>
      <c r="GKF29" s="1887"/>
      <c r="GKG29" s="1888"/>
      <c r="GKH29" s="1882"/>
      <c r="GKI29" s="1882"/>
      <c r="GKJ29" s="1882"/>
      <c r="GKL29" s="1887"/>
      <c r="GKM29" s="1888"/>
      <c r="GKN29" s="1882"/>
      <c r="GKO29" s="1882"/>
      <c r="GKP29" s="1882"/>
      <c r="GKR29" s="1887"/>
      <c r="GKS29" s="1888"/>
      <c r="GKT29" s="1882"/>
      <c r="GKU29" s="1882"/>
      <c r="GKV29" s="1882"/>
      <c r="GKX29" s="1887"/>
      <c r="GKY29" s="1888"/>
      <c r="GKZ29" s="1882"/>
      <c r="GLA29" s="1882"/>
      <c r="GLB29" s="1882"/>
      <c r="GLD29" s="1887"/>
      <c r="GLE29" s="1888"/>
      <c r="GLF29" s="1882"/>
      <c r="GLG29" s="1882"/>
      <c r="GLH29" s="1882"/>
      <c r="GLJ29" s="1887"/>
      <c r="GLK29" s="1888"/>
      <c r="GLL29" s="1882"/>
      <c r="GLM29" s="1882"/>
      <c r="GLN29" s="1882"/>
      <c r="GLP29" s="1887"/>
      <c r="GLQ29" s="1888"/>
      <c r="GLR29" s="1882"/>
      <c r="GLS29" s="1882"/>
      <c r="GLT29" s="1882"/>
      <c r="GLV29" s="1887"/>
      <c r="GLW29" s="1888"/>
      <c r="GLX29" s="1882"/>
      <c r="GLY29" s="1882"/>
      <c r="GLZ29" s="1882"/>
      <c r="GMB29" s="1887"/>
      <c r="GMC29" s="1888"/>
      <c r="GMD29" s="1882"/>
      <c r="GME29" s="1882"/>
      <c r="GMF29" s="1882"/>
      <c r="GMH29" s="1887"/>
      <c r="GMI29" s="1888"/>
      <c r="GMJ29" s="1882"/>
      <c r="GMK29" s="1882"/>
      <c r="GML29" s="1882"/>
      <c r="GMN29" s="1887"/>
      <c r="GMO29" s="1888"/>
      <c r="GMP29" s="1882"/>
      <c r="GMQ29" s="1882"/>
      <c r="GMR29" s="1882"/>
      <c r="GMT29" s="1887"/>
      <c r="GMU29" s="1888"/>
      <c r="GMV29" s="1882"/>
      <c r="GMW29" s="1882"/>
      <c r="GMX29" s="1882"/>
      <c r="GMZ29" s="1887"/>
      <c r="GNA29" s="1888"/>
      <c r="GNB29" s="1882"/>
      <c r="GNC29" s="1882"/>
      <c r="GND29" s="1882"/>
      <c r="GNF29" s="1887"/>
      <c r="GNG29" s="1888"/>
      <c r="GNH29" s="1882"/>
      <c r="GNI29" s="1882"/>
      <c r="GNJ29" s="1882"/>
      <c r="GNL29" s="1887"/>
      <c r="GNM29" s="1888"/>
      <c r="GNN29" s="1882"/>
      <c r="GNO29" s="1882"/>
      <c r="GNP29" s="1882"/>
      <c r="GNR29" s="1887"/>
      <c r="GNS29" s="1888"/>
      <c r="GNT29" s="1882"/>
      <c r="GNU29" s="1882"/>
      <c r="GNV29" s="1882"/>
      <c r="GNX29" s="1887"/>
      <c r="GNY29" s="1888"/>
      <c r="GNZ29" s="1882"/>
      <c r="GOA29" s="1882"/>
      <c r="GOB29" s="1882"/>
      <c r="GOD29" s="1887"/>
      <c r="GOE29" s="1888"/>
      <c r="GOF29" s="1882"/>
      <c r="GOG29" s="1882"/>
      <c r="GOH29" s="1882"/>
      <c r="GOJ29" s="1887"/>
      <c r="GOK29" s="1888"/>
      <c r="GOL29" s="1882"/>
      <c r="GOM29" s="1882"/>
      <c r="GON29" s="1882"/>
      <c r="GOP29" s="1887"/>
      <c r="GOQ29" s="1888"/>
      <c r="GOR29" s="1882"/>
      <c r="GOS29" s="1882"/>
      <c r="GOT29" s="1882"/>
      <c r="GOV29" s="1887"/>
      <c r="GOW29" s="1888"/>
      <c r="GOX29" s="1882"/>
      <c r="GOY29" s="1882"/>
      <c r="GOZ29" s="1882"/>
      <c r="GPB29" s="1887"/>
      <c r="GPC29" s="1888"/>
      <c r="GPD29" s="1882"/>
      <c r="GPE29" s="1882"/>
      <c r="GPF29" s="1882"/>
      <c r="GPH29" s="1887"/>
      <c r="GPI29" s="1888"/>
      <c r="GPJ29" s="1882"/>
      <c r="GPK29" s="1882"/>
      <c r="GPL29" s="1882"/>
      <c r="GPN29" s="1887"/>
      <c r="GPO29" s="1888"/>
      <c r="GPP29" s="1882"/>
      <c r="GPQ29" s="1882"/>
      <c r="GPR29" s="1882"/>
      <c r="GPT29" s="1887"/>
      <c r="GPU29" s="1888"/>
      <c r="GPV29" s="1882"/>
      <c r="GPW29" s="1882"/>
      <c r="GPX29" s="1882"/>
      <c r="GPZ29" s="1887"/>
      <c r="GQA29" s="1888"/>
      <c r="GQB29" s="1882"/>
      <c r="GQC29" s="1882"/>
      <c r="GQD29" s="1882"/>
      <c r="GQF29" s="1887"/>
      <c r="GQG29" s="1888"/>
      <c r="GQH29" s="1882"/>
      <c r="GQI29" s="1882"/>
      <c r="GQJ29" s="1882"/>
      <c r="GQL29" s="1887"/>
      <c r="GQM29" s="1888"/>
      <c r="GQN29" s="1882"/>
      <c r="GQO29" s="1882"/>
      <c r="GQP29" s="1882"/>
      <c r="GQR29" s="1887"/>
      <c r="GQS29" s="1888"/>
      <c r="GQT29" s="1882"/>
      <c r="GQU29" s="1882"/>
      <c r="GQV29" s="1882"/>
      <c r="GQX29" s="1887"/>
      <c r="GQY29" s="1888"/>
      <c r="GQZ29" s="1882"/>
      <c r="GRA29" s="1882"/>
      <c r="GRB29" s="1882"/>
      <c r="GRD29" s="1887"/>
      <c r="GRE29" s="1888"/>
      <c r="GRF29" s="1882"/>
      <c r="GRG29" s="1882"/>
      <c r="GRH29" s="1882"/>
      <c r="GRJ29" s="1887"/>
      <c r="GRK29" s="1888"/>
      <c r="GRL29" s="1882"/>
      <c r="GRM29" s="1882"/>
      <c r="GRN29" s="1882"/>
      <c r="GRP29" s="1887"/>
      <c r="GRQ29" s="1888"/>
      <c r="GRR29" s="1882"/>
      <c r="GRS29" s="1882"/>
      <c r="GRT29" s="1882"/>
      <c r="GRV29" s="1887"/>
      <c r="GRW29" s="1888"/>
      <c r="GRX29" s="1882"/>
      <c r="GRY29" s="1882"/>
      <c r="GRZ29" s="1882"/>
      <c r="GSB29" s="1887"/>
      <c r="GSC29" s="1888"/>
      <c r="GSD29" s="1882"/>
      <c r="GSE29" s="1882"/>
      <c r="GSF29" s="1882"/>
      <c r="GSH29" s="1887"/>
      <c r="GSI29" s="1888"/>
      <c r="GSJ29" s="1882"/>
      <c r="GSK29" s="1882"/>
      <c r="GSL29" s="1882"/>
      <c r="GSN29" s="1887"/>
      <c r="GSO29" s="1888"/>
      <c r="GSP29" s="1882"/>
      <c r="GSQ29" s="1882"/>
      <c r="GSR29" s="1882"/>
      <c r="GST29" s="1887"/>
      <c r="GSU29" s="1888"/>
      <c r="GSV29" s="1882"/>
      <c r="GSW29" s="1882"/>
      <c r="GSX29" s="1882"/>
      <c r="GSZ29" s="1887"/>
      <c r="GTA29" s="1888"/>
      <c r="GTB29" s="1882"/>
      <c r="GTC29" s="1882"/>
      <c r="GTD29" s="1882"/>
      <c r="GTF29" s="1887"/>
      <c r="GTG29" s="1888"/>
      <c r="GTH29" s="1882"/>
      <c r="GTI29" s="1882"/>
      <c r="GTJ29" s="1882"/>
      <c r="GTL29" s="1887"/>
      <c r="GTM29" s="1888"/>
      <c r="GTN29" s="1882"/>
      <c r="GTO29" s="1882"/>
      <c r="GTP29" s="1882"/>
      <c r="GTR29" s="1887"/>
      <c r="GTS29" s="1888"/>
      <c r="GTT29" s="1882"/>
      <c r="GTU29" s="1882"/>
      <c r="GTV29" s="1882"/>
      <c r="GTX29" s="1887"/>
      <c r="GTY29" s="1888"/>
      <c r="GTZ29" s="1882"/>
      <c r="GUA29" s="1882"/>
      <c r="GUB29" s="1882"/>
      <c r="GUD29" s="1887"/>
      <c r="GUE29" s="1888"/>
      <c r="GUF29" s="1882"/>
      <c r="GUG29" s="1882"/>
      <c r="GUH29" s="1882"/>
      <c r="GUJ29" s="1887"/>
      <c r="GUK29" s="1888"/>
      <c r="GUL29" s="1882"/>
      <c r="GUM29" s="1882"/>
      <c r="GUN29" s="1882"/>
      <c r="GUP29" s="1887"/>
      <c r="GUQ29" s="1888"/>
      <c r="GUR29" s="1882"/>
      <c r="GUS29" s="1882"/>
      <c r="GUT29" s="1882"/>
      <c r="GUV29" s="1887"/>
      <c r="GUW29" s="1888"/>
      <c r="GUX29" s="1882"/>
      <c r="GUY29" s="1882"/>
      <c r="GUZ29" s="1882"/>
      <c r="GVB29" s="1887"/>
      <c r="GVC29" s="1888"/>
      <c r="GVD29" s="1882"/>
      <c r="GVE29" s="1882"/>
      <c r="GVF29" s="1882"/>
      <c r="GVH29" s="1887"/>
      <c r="GVI29" s="1888"/>
      <c r="GVJ29" s="1882"/>
      <c r="GVK29" s="1882"/>
      <c r="GVL29" s="1882"/>
      <c r="GVN29" s="1887"/>
      <c r="GVO29" s="1888"/>
      <c r="GVP29" s="1882"/>
      <c r="GVQ29" s="1882"/>
      <c r="GVR29" s="1882"/>
      <c r="GVT29" s="1887"/>
      <c r="GVU29" s="1888"/>
      <c r="GVV29" s="1882"/>
      <c r="GVW29" s="1882"/>
      <c r="GVX29" s="1882"/>
      <c r="GVZ29" s="1887"/>
      <c r="GWA29" s="1888"/>
      <c r="GWB29" s="1882"/>
      <c r="GWC29" s="1882"/>
      <c r="GWD29" s="1882"/>
      <c r="GWF29" s="1887"/>
      <c r="GWG29" s="1888"/>
      <c r="GWH29" s="1882"/>
      <c r="GWI29" s="1882"/>
      <c r="GWJ29" s="1882"/>
      <c r="GWL29" s="1887"/>
      <c r="GWM29" s="1888"/>
      <c r="GWN29" s="1882"/>
      <c r="GWO29" s="1882"/>
      <c r="GWP29" s="1882"/>
      <c r="GWR29" s="1887"/>
      <c r="GWS29" s="1888"/>
      <c r="GWT29" s="1882"/>
      <c r="GWU29" s="1882"/>
      <c r="GWV29" s="1882"/>
      <c r="GWX29" s="1887"/>
      <c r="GWY29" s="1888"/>
      <c r="GWZ29" s="1882"/>
      <c r="GXA29" s="1882"/>
      <c r="GXB29" s="1882"/>
      <c r="GXD29" s="1887"/>
      <c r="GXE29" s="1888"/>
      <c r="GXF29" s="1882"/>
      <c r="GXG29" s="1882"/>
      <c r="GXH29" s="1882"/>
      <c r="GXJ29" s="1887"/>
      <c r="GXK29" s="1888"/>
      <c r="GXL29" s="1882"/>
      <c r="GXM29" s="1882"/>
      <c r="GXN29" s="1882"/>
      <c r="GXP29" s="1887"/>
      <c r="GXQ29" s="1888"/>
      <c r="GXR29" s="1882"/>
      <c r="GXS29" s="1882"/>
      <c r="GXT29" s="1882"/>
      <c r="GXV29" s="1887"/>
      <c r="GXW29" s="1888"/>
      <c r="GXX29" s="1882"/>
      <c r="GXY29" s="1882"/>
      <c r="GXZ29" s="1882"/>
      <c r="GYB29" s="1887"/>
      <c r="GYC29" s="1888"/>
      <c r="GYD29" s="1882"/>
      <c r="GYE29" s="1882"/>
      <c r="GYF29" s="1882"/>
      <c r="GYH29" s="1887"/>
      <c r="GYI29" s="1888"/>
      <c r="GYJ29" s="1882"/>
      <c r="GYK29" s="1882"/>
      <c r="GYL29" s="1882"/>
      <c r="GYN29" s="1887"/>
      <c r="GYO29" s="1888"/>
      <c r="GYP29" s="1882"/>
      <c r="GYQ29" s="1882"/>
      <c r="GYR29" s="1882"/>
      <c r="GYT29" s="1887"/>
      <c r="GYU29" s="1888"/>
      <c r="GYV29" s="1882"/>
      <c r="GYW29" s="1882"/>
      <c r="GYX29" s="1882"/>
      <c r="GYZ29" s="1887"/>
      <c r="GZA29" s="1888"/>
      <c r="GZB29" s="1882"/>
      <c r="GZC29" s="1882"/>
      <c r="GZD29" s="1882"/>
      <c r="GZF29" s="1887"/>
      <c r="GZG29" s="1888"/>
      <c r="GZH29" s="1882"/>
      <c r="GZI29" s="1882"/>
      <c r="GZJ29" s="1882"/>
      <c r="GZL29" s="1887"/>
      <c r="GZM29" s="1888"/>
      <c r="GZN29" s="1882"/>
      <c r="GZO29" s="1882"/>
      <c r="GZP29" s="1882"/>
      <c r="GZR29" s="1887"/>
      <c r="GZS29" s="1888"/>
      <c r="GZT29" s="1882"/>
      <c r="GZU29" s="1882"/>
      <c r="GZV29" s="1882"/>
      <c r="GZX29" s="1887"/>
      <c r="GZY29" s="1888"/>
      <c r="GZZ29" s="1882"/>
      <c r="HAA29" s="1882"/>
      <c r="HAB29" s="1882"/>
      <c r="HAD29" s="1887"/>
      <c r="HAE29" s="1888"/>
      <c r="HAF29" s="1882"/>
      <c r="HAG29" s="1882"/>
      <c r="HAH29" s="1882"/>
      <c r="HAJ29" s="1887"/>
      <c r="HAK29" s="1888"/>
      <c r="HAL29" s="1882"/>
      <c r="HAM29" s="1882"/>
      <c r="HAN29" s="1882"/>
      <c r="HAP29" s="1887"/>
      <c r="HAQ29" s="1888"/>
      <c r="HAR29" s="1882"/>
      <c r="HAS29" s="1882"/>
      <c r="HAT29" s="1882"/>
      <c r="HAV29" s="1887"/>
      <c r="HAW29" s="1888"/>
      <c r="HAX29" s="1882"/>
      <c r="HAY29" s="1882"/>
      <c r="HAZ29" s="1882"/>
      <c r="HBB29" s="1887"/>
      <c r="HBC29" s="1888"/>
      <c r="HBD29" s="1882"/>
      <c r="HBE29" s="1882"/>
      <c r="HBF29" s="1882"/>
      <c r="HBH29" s="1887"/>
      <c r="HBI29" s="1888"/>
      <c r="HBJ29" s="1882"/>
      <c r="HBK29" s="1882"/>
      <c r="HBL29" s="1882"/>
      <c r="HBN29" s="1887"/>
      <c r="HBO29" s="1888"/>
      <c r="HBP29" s="1882"/>
      <c r="HBQ29" s="1882"/>
      <c r="HBR29" s="1882"/>
      <c r="HBT29" s="1887"/>
      <c r="HBU29" s="1888"/>
      <c r="HBV29" s="1882"/>
      <c r="HBW29" s="1882"/>
      <c r="HBX29" s="1882"/>
      <c r="HBZ29" s="1887"/>
      <c r="HCA29" s="1888"/>
      <c r="HCB29" s="1882"/>
      <c r="HCC29" s="1882"/>
      <c r="HCD29" s="1882"/>
      <c r="HCF29" s="1887"/>
      <c r="HCG29" s="1888"/>
      <c r="HCH29" s="1882"/>
      <c r="HCI29" s="1882"/>
      <c r="HCJ29" s="1882"/>
      <c r="HCL29" s="1887"/>
      <c r="HCM29" s="1888"/>
      <c r="HCN29" s="1882"/>
      <c r="HCO29" s="1882"/>
      <c r="HCP29" s="1882"/>
      <c r="HCR29" s="1887"/>
      <c r="HCS29" s="1888"/>
      <c r="HCT29" s="1882"/>
      <c r="HCU29" s="1882"/>
      <c r="HCV29" s="1882"/>
      <c r="HCX29" s="1887"/>
      <c r="HCY29" s="1888"/>
      <c r="HCZ29" s="1882"/>
      <c r="HDA29" s="1882"/>
      <c r="HDB29" s="1882"/>
      <c r="HDD29" s="1887"/>
      <c r="HDE29" s="1888"/>
      <c r="HDF29" s="1882"/>
      <c r="HDG29" s="1882"/>
      <c r="HDH29" s="1882"/>
      <c r="HDJ29" s="1887"/>
      <c r="HDK29" s="1888"/>
      <c r="HDL29" s="1882"/>
      <c r="HDM29" s="1882"/>
      <c r="HDN29" s="1882"/>
      <c r="HDP29" s="1887"/>
      <c r="HDQ29" s="1888"/>
      <c r="HDR29" s="1882"/>
      <c r="HDS29" s="1882"/>
      <c r="HDT29" s="1882"/>
      <c r="HDV29" s="1887"/>
      <c r="HDW29" s="1888"/>
      <c r="HDX29" s="1882"/>
      <c r="HDY29" s="1882"/>
      <c r="HDZ29" s="1882"/>
      <c r="HEB29" s="1887"/>
      <c r="HEC29" s="1888"/>
      <c r="HED29" s="1882"/>
      <c r="HEE29" s="1882"/>
      <c r="HEF29" s="1882"/>
      <c r="HEH29" s="1887"/>
      <c r="HEI29" s="1888"/>
      <c r="HEJ29" s="1882"/>
      <c r="HEK29" s="1882"/>
      <c r="HEL29" s="1882"/>
      <c r="HEN29" s="1887"/>
      <c r="HEO29" s="1888"/>
      <c r="HEP29" s="1882"/>
      <c r="HEQ29" s="1882"/>
      <c r="HER29" s="1882"/>
      <c r="HET29" s="1887"/>
      <c r="HEU29" s="1888"/>
      <c r="HEV29" s="1882"/>
      <c r="HEW29" s="1882"/>
      <c r="HEX29" s="1882"/>
      <c r="HEZ29" s="1887"/>
      <c r="HFA29" s="1888"/>
      <c r="HFB29" s="1882"/>
      <c r="HFC29" s="1882"/>
      <c r="HFD29" s="1882"/>
      <c r="HFF29" s="1887"/>
      <c r="HFG29" s="1888"/>
      <c r="HFH29" s="1882"/>
      <c r="HFI29" s="1882"/>
      <c r="HFJ29" s="1882"/>
      <c r="HFL29" s="1887"/>
      <c r="HFM29" s="1888"/>
      <c r="HFN29" s="1882"/>
      <c r="HFO29" s="1882"/>
      <c r="HFP29" s="1882"/>
      <c r="HFR29" s="1887"/>
      <c r="HFS29" s="1888"/>
      <c r="HFT29" s="1882"/>
      <c r="HFU29" s="1882"/>
      <c r="HFV29" s="1882"/>
      <c r="HFX29" s="1887"/>
      <c r="HFY29" s="1888"/>
      <c r="HFZ29" s="1882"/>
      <c r="HGA29" s="1882"/>
      <c r="HGB29" s="1882"/>
      <c r="HGD29" s="1887"/>
      <c r="HGE29" s="1888"/>
      <c r="HGF29" s="1882"/>
      <c r="HGG29" s="1882"/>
      <c r="HGH29" s="1882"/>
      <c r="HGJ29" s="1887"/>
      <c r="HGK29" s="1888"/>
      <c r="HGL29" s="1882"/>
      <c r="HGM29" s="1882"/>
      <c r="HGN29" s="1882"/>
      <c r="HGP29" s="1887"/>
      <c r="HGQ29" s="1888"/>
      <c r="HGR29" s="1882"/>
      <c r="HGS29" s="1882"/>
      <c r="HGT29" s="1882"/>
      <c r="HGV29" s="1887"/>
      <c r="HGW29" s="1888"/>
      <c r="HGX29" s="1882"/>
      <c r="HGY29" s="1882"/>
      <c r="HGZ29" s="1882"/>
      <c r="HHB29" s="1887"/>
      <c r="HHC29" s="1888"/>
      <c r="HHD29" s="1882"/>
      <c r="HHE29" s="1882"/>
      <c r="HHF29" s="1882"/>
      <c r="HHH29" s="1887"/>
      <c r="HHI29" s="1888"/>
      <c r="HHJ29" s="1882"/>
      <c r="HHK29" s="1882"/>
      <c r="HHL29" s="1882"/>
      <c r="HHN29" s="1887"/>
      <c r="HHO29" s="1888"/>
      <c r="HHP29" s="1882"/>
      <c r="HHQ29" s="1882"/>
      <c r="HHR29" s="1882"/>
      <c r="HHT29" s="1887"/>
      <c r="HHU29" s="1888"/>
      <c r="HHV29" s="1882"/>
      <c r="HHW29" s="1882"/>
      <c r="HHX29" s="1882"/>
      <c r="HHZ29" s="1887"/>
      <c r="HIA29" s="1888"/>
      <c r="HIB29" s="1882"/>
      <c r="HIC29" s="1882"/>
      <c r="HID29" s="1882"/>
      <c r="HIF29" s="1887"/>
      <c r="HIG29" s="1888"/>
      <c r="HIH29" s="1882"/>
      <c r="HII29" s="1882"/>
      <c r="HIJ29" s="1882"/>
      <c r="HIL29" s="1887"/>
      <c r="HIM29" s="1888"/>
      <c r="HIN29" s="1882"/>
      <c r="HIO29" s="1882"/>
      <c r="HIP29" s="1882"/>
      <c r="HIR29" s="1887"/>
      <c r="HIS29" s="1888"/>
      <c r="HIT29" s="1882"/>
      <c r="HIU29" s="1882"/>
      <c r="HIV29" s="1882"/>
      <c r="HIX29" s="1887"/>
      <c r="HIY29" s="1888"/>
      <c r="HIZ29" s="1882"/>
      <c r="HJA29" s="1882"/>
      <c r="HJB29" s="1882"/>
      <c r="HJD29" s="1887"/>
      <c r="HJE29" s="1888"/>
      <c r="HJF29" s="1882"/>
      <c r="HJG29" s="1882"/>
      <c r="HJH29" s="1882"/>
      <c r="HJJ29" s="1887"/>
      <c r="HJK29" s="1888"/>
      <c r="HJL29" s="1882"/>
      <c r="HJM29" s="1882"/>
      <c r="HJN29" s="1882"/>
      <c r="HJP29" s="1887"/>
      <c r="HJQ29" s="1888"/>
      <c r="HJR29" s="1882"/>
      <c r="HJS29" s="1882"/>
      <c r="HJT29" s="1882"/>
      <c r="HJV29" s="1887"/>
      <c r="HJW29" s="1888"/>
      <c r="HJX29" s="1882"/>
      <c r="HJY29" s="1882"/>
      <c r="HJZ29" s="1882"/>
      <c r="HKB29" s="1887"/>
      <c r="HKC29" s="1888"/>
      <c r="HKD29" s="1882"/>
      <c r="HKE29" s="1882"/>
      <c r="HKF29" s="1882"/>
      <c r="HKH29" s="1887"/>
      <c r="HKI29" s="1888"/>
      <c r="HKJ29" s="1882"/>
      <c r="HKK29" s="1882"/>
      <c r="HKL29" s="1882"/>
      <c r="HKN29" s="1887"/>
      <c r="HKO29" s="1888"/>
      <c r="HKP29" s="1882"/>
      <c r="HKQ29" s="1882"/>
      <c r="HKR29" s="1882"/>
      <c r="HKT29" s="1887"/>
      <c r="HKU29" s="1888"/>
      <c r="HKV29" s="1882"/>
      <c r="HKW29" s="1882"/>
      <c r="HKX29" s="1882"/>
      <c r="HKZ29" s="1887"/>
      <c r="HLA29" s="1888"/>
      <c r="HLB29" s="1882"/>
      <c r="HLC29" s="1882"/>
      <c r="HLD29" s="1882"/>
      <c r="HLF29" s="1887"/>
      <c r="HLG29" s="1888"/>
      <c r="HLH29" s="1882"/>
      <c r="HLI29" s="1882"/>
      <c r="HLJ29" s="1882"/>
      <c r="HLL29" s="1887"/>
      <c r="HLM29" s="1888"/>
      <c r="HLN29" s="1882"/>
      <c r="HLO29" s="1882"/>
      <c r="HLP29" s="1882"/>
      <c r="HLR29" s="1887"/>
      <c r="HLS29" s="1888"/>
      <c r="HLT29" s="1882"/>
      <c r="HLU29" s="1882"/>
      <c r="HLV29" s="1882"/>
      <c r="HLX29" s="1887"/>
      <c r="HLY29" s="1888"/>
      <c r="HLZ29" s="1882"/>
      <c r="HMA29" s="1882"/>
      <c r="HMB29" s="1882"/>
      <c r="HMD29" s="1887"/>
      <c r="HME29" s="1888"/>
      <c r="HMF29" s="1882"/>
      <c r="HMG29" s="1882"/>
      <c r="HMH29" s="1882"/>
      <c r="HMJ29" s="1887"/>
      <c r="HMK29" s="1888"/>
      <c r="HML29" s="1882"/>
      <c r="HMM29" s="1882"/>
      <c r="HMN29" s="1882"/>
      <c r="HMP29" s="1887"/>
      <c r="HMQ29" s="1888"/>
      <c r="HMR29" s="1882"/>
      <c r="HMS29" s="1882"/>
      <c r="HMT29" s="1882"/>
      <c r="HMV29" s="1887"/>
      <c r="HMW29" s="1888"/>
      <c r="HMX29" s="1882"/>
      <c r="HMY29" s="1882"/>
      <c r="HMZ29" s="1882"/>
      <c r="HNB29" s="1887"/>
      <c r="HNC29" s="1888"/>
      <c r="HND29" s="1882"/>
      <c r="HNE29" s="1882"/>
      <c r="HNF29" s="1882"/>
      <c r="HNH29" s="1887"/>
      <c r="HNI29" s="1888"/>
      <c r="HNJ29" s="1882"/>
      <c r="HNK29" s="1882"/>
      <c r="HNL29" s="1882"/>
      <c r="HNN29" s="1887"/>
      <c r="HNO29" s="1888"/>
      <c r="HNP29" s="1882"/>
      <c r="HNQ29" s="1882"/>
      <c r="HNR29" s="1882"/>
      <c r="HNT29" s="1887"/>
      <c r="HNU29" s="1888"/>
      <c r="HNV29" s="1882"/>
      <c r="HNW29" s="1882"/>
      <c r="HNX29" s="1882"/>
      <c r="HNZ29" s="1887"/>
      <c r="HOA29" s="1888"/>
      <c r="HOB29" s="1882"/>
      <c r="HOC29" s="1882"/>
      <c r="HOD29" s="1882"/>
      <c r="HOF29" s="1887"/>
      <c r="HOG29" s="1888"/>
      <c r="HOH29" s="1882"/>
      <c r="HOI29" s="1882"/>
      <c r="HOJ29" s="1882"/>
      <c r="HOL29" s="1887"/>
      <c r="HOM29" s="1888"/>
      <c r="HON29" s="1882"/>
      <c r="HOO29" s="1882"/>
      <c r="HOP29" s="1882"/>
      <c r="HOR29" s="1887"/>
      <c r="HOS29" s="1888"/>
      <c r="HOT29" s="1882"/>
      <c r="HOU29" s="1882"/>
      <c r="HOV29" s="1882"/>
      <c r="HOX29" s="1887"/>
      <c r="HOY29" s="1888"/>
      <c r="HOZ29" s="1882"/>
      <c r="HPA29" s="1882"/>
      <c r="HPB29" s="1882"/>
      <c r="HPD29" s="1887"/>
      <c r="HPE29" s="1888"/>
      <c r="HPF29" s="1882"/>
      <c r="HPG29" s="1882"/>
      <c r="HPH29" s="1882"/>
      <c r="HPJ29" s="1887"/>
      <c r="HPK29" s="1888"/>
      <c r="HPL29" s="1882"/>
      <c r="HPM29" s="1882"/>
      <c r="HPN29" s="1882"/>
      <c r="HPP29" s="1887"/>
      <c r="HPQ29" s="1888"/>
      <c r="HPR29" s="1882"/>
      <c r="HPS29" s="1882"/>
      <c r="HPT29" s="1882"/>
      <c r="HPV29" s="1887"/>
      <c r="HPW29" s="1888"/>
      <c r="HPX29" s="1882"/>
      <c r="HPY29" s="1882"/>
      <c r="HPZ29" s="1882"/>
      <c r="HQB29" s="1887"/>
      <c r="HQC29" s="1888"/>
      <c r="HQD29" s="1882"/>
      <c r="HQE29" s="1882"/>
      <c r="HQF29" s="1882"/>
      <c r="HQH29" s="1887"/>
      <c r="HQI29" s="1888"/>
      <c r="HQJ29" s="1882"/>
      <c r="HQK29" s="1882"/>
      <c r="HQL29" s="1882"/>
      <c r="HQN29" s="1887"/>
      <c r="HQO29" s="1888"/>
      <c r="HQP29" s="1882"/>
      <c r="HQQ29" s="1882"/>
      <c r="HQR29" s="1882"/>
      <c r="HQT29" s="1887"/>
      <c r="HQU29" s="1888"/>
      <c r="HQV29" s="1882"/>
      <c r="HQW29" s="1882"/>
      <c r="HQX29" s="1882"/>
      <c r="HQZ29" s="1887"/>
      <c r="HRA29" s="1888"/>
      <c r="HRB29" s="1882"/>
      <c r="HRC29" s="1882"/>
      <c r="HRD29" s="1882"/>
      <c r="HRF29" s="1887"/>
      <c r="HRG29" s="1888"/>
      <c r="HRH29" s="1882"/>
      <c r="HRI29" s="1882"/>
      <c r="HRJ29" s="1882"/>
      <c r="HRL29" s="1887"/>
      <c r="HRM29" s="1888"/>
      <c r="HRN29" s="1882"/>
      <c r="HRO29" s="1882"/>
      <c r="HRP29" s="1882"/>
      <c r="HRR29" s="1887"/>
      <c r="HRS29" s="1888"/>
      <c r="HRT29" s="1882"/>
      <c r="HRU29" s="1882"/>
      <c r="HRV29" s="1882"/>
      <c r="HRX29" s="1887"/>
      <c r="HRY29" s="1888"/>
      <c r="HRZ29" s="1882"/>
      <c r="HSA29" s="1882"/>
      <c r="HSB29" s="1882"/>
      <c r="HSD29" s="1887"/>
      <c r="HSE29" s="1888"/>
      <c r="HSF29" s="1882"/>
      <c r="HSG29" s="1882"/>
      <c r="HSH29" s="1882"/>
      <c r="HSJ29" s="1887"/>
      <c r="HSK29" s="1888"/>
      <c r="HSL29" s="1882"/>
      <c r="HSM29" s="1882"/>
      <c r="HSN29" s="1882"/>
      <c r="HSP29" s="1887"/>
      <c r="HSQ29" s="1888"/>
      <c r="HSR29" s="1882"/>
      <c r="HSS29" s="1882"/>
      <c r="HST29" s="1882"/>
      <c r="HSV29" s="1887"/>
      <c r="HSW29" s="1888"/>
      <c r="HSX29" s="1882"/>
      <c r="HSY29" s="1882"/>
      <c r="HSZ29" s="1882"/>
      <c r="HTB29" s="1887"/>
      <c r="HTC29" s="1888"/>
      <c r="HTD29" s="1882"/>
      <c r="HTE29" s="1882"/>
      <c r="HTF29" s="1882"/>
      <c r="HTH29" s="1887"/>
      <c r="HTI29" s="1888"/>
      <c r="HTJ29" s="1882"/>
      <c r="HTK29" s="1882"/>
      <c r="HTL29" s="1882"/>
      <c r="HTN29" s="1887"/>
      <c r="HTO29" s="1888"/>
      <c r="HTP29" s="1882"/>
      <c r="HTQ29" s="1882"/>
      <c r="HTR29" s="1882"/>
      <c r="HTT29" s="1887"/>
      <c r="HTU29" s="1888"/>
      <c r="HTV29" s="1882"/>
      <c r="HTW29" s="1882"/>
      <c r="HTX29" s="1882"/>
      <c r="HTZ29" s="1887"/>
      <c r="HUA29" s="1888"/>
      <c r="HUB29" s="1882"/>
      <c r="HUC29" s="1882"/>
      <c r="HUD29" s="1882"/>
      <c r="HUF29" s="1887"/>
      <c r="HUG29" s="1888"/>
      <c r="HUH29" s="1882"/>
      <c r="HUI29" s="1882"/>
      <c r="HUJ29" s="1882"/>
      <c r="HUL29" s="1887"/>
      <c r="HUM29" s="1888"/>
      <c r="HUN29" s="1882"/>
      <c r="HUO29" s="1882"/>
      <c r="HUP29" s="1882"/>
      <c r="HUR29" s="1887"/>
      <c r="HUS29" s="1888"/>
      <c r="HUT29" s="1882"/>
      <c r="HUU29" s="1882"/>
      <c r="HUV29" s="1882"/>
      <c r="HUX29" s="1887"/>
      <c r="HUY29" s="1888"/>
      <c r="HUZ29" s="1882"/>
      <c r="HVA29" s="1882"/>
      <c r="HVB29" s="1882"/>
      <c r="HVD29" s="1887"/>
      <c r="HVE29" s="1888"/>
      <c r="HVF29" s="1882"/>
      <c r="HVG29" s="1882"/>
      <c r="HVH29" s="1882"/>
      <c r="HVJ29" s="1887"/>
      <c r="HVK29" s="1888"/>
      <c r="HVL29" s="1882"/>
      <c r="HVM29" s="1882"/>
      <c r="HVN29" s="1882"/>
      <c r="HVP29" s="1887"/>
      <c r="HVQ29" s="1888"/>
      <c r="HVR29" s="1882"/>
      <c r="HVS29" s="1882"/>
      <c r="HVT29" s="1882"/>
      <c r="HVV29" s="1887"/>
      <c r="HVW29" s="1888"/>
      <c r="HVX29" s="1882"/>
      <c r="HVY29" s="1882"/>
      <c r="HVZ29" s="1882"/>
      <c r="HWB29" s="1887"/>
      <c r="HWC29" s="1888"/>
      <c r="HWD29" s="1882"/>
      <c r="HWE29" s="1882"/>
      <c r="HWF29" s="1882"/>
      <c r="HWH29" s="1887"/>
      <c r="HWI29" s="1888"/>
      <c r="HWJ29" s="1882"/>
      <c r="HWK29" s="1882"/>
      <c r="HWL29" s="1882"/>
      <c r="HWN29" s="1887"/>
      <c r="HWO29" s="1888"/>
      <c r="HWP29" s="1882"/>
      <c r="HWQ29" s="1882"/>
      <c r="HWR29" s="1882"/>
      <c r="HWT29" s="1887"/>
      <c r="HWU29" s="1888"/>
      <c r="HWV29" s="1882"/>
      <c r="HWW29" s="1882"/>
      <c r="HWX29" s="1882"/>
      <c r="HWZ29" s="1887"/>
      <c r="HXA29" s="1888"/>
      <c r="HXB29" s="1882"/>
      <c r="HXC29" s="1882"/>
      <c r="HXD29" s="1882"/>
      <c r="HXF29" s="1887"/>
      <c r="HXG29" s="1888"/>
      <c r="HXH29" s="1882"/>
      <c r="HXI29" s="1882"/>
      <c r="HXJ29" s="1882"/>
      <c r="HXL29" s="1887"/>
      <c r="HXM29" s="1888"/>
      <c r="HXN29" s="1882"/>
      <c r="HXO29" s="1882"/>
      <c r="HXP29" s="1882"/>
      <c r="HXR29" s="1887"/>
      <c r="HXS29" s="1888"/>
      <c r="HXT29" s="1882"/>
      <c r="HXU29" s="1882"/>
      <c r="HXV29" s="1882"/>
      <c r="HXX29" s="1887"/>
      <c r="HXY29" s="1888"/>
      <c r="HXZ29" s="1882"/>
      <c r="HYA29" s="1882"/>
      <c r="HYB29" s="1882"/>
      <c r="HYD29" s="1887"/>
      <c r="HYE29" s="1888"/>
      <c r="HYF29" s="1882"/>
      <c r="HYG29" s="1882"/>
      <c r="HYH29" s="1882"/>
      <c r="HYJ29" s="1887"/>
      <c r="HYK29" s="1888"/>
      <c r="HYL29" s="1882"/>
      <c r="HYM29" s="1882"/>
      <c r="HYN29" s="1882"/>
      <c r="HYP29" s="1887"/>
      <c r="HYQ29" s="1888"/>
      <c r="HYR29" s="1882"/>
      <c r="HYS29" s="1882"/>
      <c r="HYT29" s="1882"/>
      <c r="HYV29" s="1887"/>
      <c r="HYW29" s="1888"/>
      <c r="HYX29" s="1882"/>
      <c r="HYY29" s="1882"/>
      <c r="HYZ29" s="1882"/>
      <c r="HZB29" s="1887"/>
      <c r="HZC29" s="1888"/>
      <c r="HZD29" s="1882"/>
      <c r="HZE29" s="1882"/>
      <c r="HZF29" s="1882"/>
      <c r="HZH29" s="1887"/>
      <c r="HZI29" s="1888"/>
      <c r="HZJ29" s="1882"/>
      <c r="HZK29" s="1882"/>
      <c r="HZL29" s="1882"/>
      <c r="HZN29" s="1887"/>
      <c r="HZO29" s="1888"/>
      <c r="HZP29" s="1882"/>
      <c r="HZQ29" s="1882"/>
      <c r="HZR29" s="1882"/>
      <c r="HZT29" s="1887"/>
      <c r="HZU29" s="1888"/>
      <c r="HZV29" s="1882"/>
      <c r="HZW29" s="1882"/>
      <c r="HZX29" s="1882"/>
      <c r="HZZ29" s="1887"/>
      <c r="IAA29" s="1888"/>
      <c r="IAB29" s="1882"/>
      <c r="IAC29" s="1882"/>
      <c r="IAD29" s="1882"/>
      <c r="IAF29" s="1887"/>
      <c r="IAG29" s="1888"/>
      <c r="IAH29" s="1882"/>
      <c r="IAI29" s="1882"/>
      <c r="IAJ29" s="1882"/>
      <c r="IAL29" s="1887"/>
      <c r="IAM29" s="1888"/>
      <c r="IAN29" s="1882"/>
      <c r="IAO29" s="1882"/>
      <c r="IAP29" s="1882"/>
      <c r="IAR29" s="1887"/>
      <c r="IAS29" s="1888"/>
      <c r="IAT29" s="1882"/>
      <c r="IAU29" s="1882"/>
      <c r="IAV29" s="1882"/>
      <c r="IAX29" s="1887"/>
      <c r="IAY29" s="1888"/>
      <c r="IAZ29" s="1882"/>
      <c r="IBA29" s="1882"/>
      <c r="IBB29" s="1882"/>
      <c r="IBD29" s="1887"/>
      <c r="IBE29" s="1888"/>
      <c r="IBF29" s="1882"/>
      <c r="IBG29" s="1882"/>
      <c r="IBH29" s="1882"/>
      <c r="IBJ29" s="1887"/>
      <c r="IBK29" s="1888"/>
      <c r="IBL29" s="1882"/>
      <c r="IBM29" s="1882"/>
      <c r="IBN29" s="1882"/>
      <c r="IBP29" s="1887"/>
      <c r="IBQ29" s="1888"/>
      <c r="IBR29" s="1882"/>
      <c r="IBS29" s="1882"/>
      <c r="IBT29" s="1882"/>
      <c r="IBV29" s="1887"/>
      <c r="IBW29" s="1888"/>
      <c r="IBX29" s="1882"/>
      <c r="IBY29" s="1882"/>
      <c r="IBZ29" s="1882"/>
      <c r="ICB29" s="1887"/>
      <c r="ICC29" s="1888"/>
      <c r="ICD29" s="1882"/>
      <c r="ICE29" s="1882"/>
      <c r="ICF29" s="1882"/>
      <c r="ICH29" s="1887"/>
      <c r="ICI29" s="1888"/>
      <c r="ICJ29" s="1882"/>
      <c r="ICK29" s="1882"/>
      <c r="ICL29" s="1882"/>
      <c r="ICN29" s="1887"/>
      <c r="ICO29" s="1888"/>
      <c r="ICP29" s="1882"/>
      <c r="ICQ29" s="1882"/>
      <c r="ICR29" s="1882"/>
      <c r="ICT29" s="1887"/>
      <c r="ICU29" s="1888"/>
      <c r="ICV29" s="1882"/>
      <c r="ICW29" s="1882"/>
      <c r="ICX29" s="1882"/>
      <c r="ICZ29" s="1887"/>
      <c r="IDA29" s="1888"/>
      <c r="IDB29" s="1882"/>
      <c r="IDC29" s="1882"/>
      <c r="IDD29" s="1882"/>
      <c r="IDF29" s="1887"/>
      <c r="IDG29" s="1888"/>
      <c r="IDH29" s="1882"/>
      <c r="IDI29" s="1882"/>
      <c r="IDJ29" s="1882"/>
      <c r="IDL29" s="1887"/>
      <c r="IDM29" s="1888"/>
      <c r="IDN29" s="1882"/>
      <c r="IDO29" s="1882"/>
      <c r="IDP29" s="1882"/>
      <c r="IDR29" s="1887"/>
      <c r="IDS29" s="1888"/>
      <c r="IDT29" s="1882"/>
      <c r="IDU29" s="1882"/>
      <c r="IDV29" s="1882"/>
      <c r="IDX29" s="1887"/>
      <c r="IDY29" s="1888"/>
      <c r="IDZ29" s="1882"/>
      <c r="IEA29" s="1882"/>
      <c r="IEB29" s="1882"/>
      <c r="IED29" s="1887"/>
      <c r="IEE29" s="1888"/>
      <c r="IEF29" s="1882"/>
      <c r="IEG29" s="1882"/>
      <c r="IEH29" s="1882"/>
      <c r="IEJ29" s="1887"/>
      <c r="IEK29" s="1888"/>
      <c r="IEL29" s="1882"/>
      <c r="IEM29" s="1882"/>
      <c r="IEN29" s="1882"/>
      <c r="IEP29" s="1887"/>
      <c r="IEQ29" s="1888"/>
      <c r="IER29" s="1882"/>
      <c r="IES29" s="1882"/>
      <c r="IET29" s="1882"/>
      <c r="IEV29" s="1887"/>
      <c r="IEW29" s="1888"/>
      <c r="IEX29" s="1882"/>
      <c r="IEY29" s="1882"/>
      <c r="IEZ29" s="1882"/>
      <c r="IFB29" s="1887"/>
      <c r="IFC29" s="1888"/>
      <c r="IFD29" s="1882"/>
      <c r="IFE29" s="1882"/>
      <c r="IFF29" s="1882"/>
      <c r="IFH29" s="1887"/>
      <c r="IFI29" s="1888"/>
      <c r="IFJ29" s="1882"/>
      <c r="IFK29" s="1882"/>
      <c r="IFL29" s="1882"/>
      <c r="IFN29" s="1887"/>
      <c r="IFO29" s="1888"/>
      <c r="IFP29" s="1882"/>
      <c r="IFQ29" s="1882"/>
      <c r="IFR29" s="1882"/>
      <c r="IFT29" s="1887"/>
      <c r="IFU29" s="1888"/>
      <c r="IFV29" s="1882"/>
      <c r="IFW29" s="1882"/>
      <c r="IFX29" s="1882"/>
      <c r="IFZ29" s="1887"/>
      <c r="IGA29" s="1888"/>
      <c r="IGB29" s="1882"/>
      <c r="IGC29" s="1882"/>
      <c r="IGD29" s="1882"/>
      <c r="IGF29" s="1887"/>
      <c r="IGG29" s="1888"/>
      <c r="IGH29" s="1882"/>
      <c r="IGI29" s="1882"/>
      <c r="IGJ29" s="1882"/>
      <c r="IGL29" s="1887"/>
      <c r="IGM29" s="1888"/>
      <c r="IGN29" s="1882"/>
      <c r="IGO29" s="1882"/>
      <c r="IGP29" s="1882"/>
      <c r="IGR29" s="1887"/>
      <c r="IGS29" s="1888"/>
      <c r="IGT29" s="1882"/>
      <c r="IGU29" s="1882"/>
      <c r="IGV29" s="1882"/>
      <c r="IGX29" s="1887"/>
      <c r="IGY29" s="1888"/>
      <c r="IGZ29" s="1882"/>
      <c r="IHA29" s="1882"/>
      <c r="IHB29" s="1882"/>
      <c r="IHD29" s="1887"/>
      <c r="IHE29" s="1888"/>
      <c r="IHF29" s="1882"/>
      <c r="IHG29" s="1882"/>
      <c r="IHH29" s="1882"/>
      <c r="IHJ29" s="1887"/>
      <c r="IHK29" s="1888"/>
      <c r="IHL29" s="1882"/>
      <c r="IHM29" s="1882"/>
      <c r="IHN29" s="1882"/>
      <c r="IHP29" s="1887"/>
      <c r="IHQ29" s="1888"/>
      <c r="IHR29" s="1882"/>
      <c r="IHS29" s="1882"/>
      <c r="IHT29" s="1882"/>
      <c r="IHV29" s="1887"/>
      <c r="IHW29" s="1888"/>
      <c r="IHX29" s="1882"/>
      <c r="IHY29" s="1882"/>
      <c r="IHZ29" s="1882"/>
      <c r="IIB29" s="1887"/>
      <c r="IIC29" s="1888"/>
      <c r="IID29" s="1882"/>
      <c r="IIE29" s="1882"/>
      <c r="IIF29" s="1882"/>
      <c r="IIH29" s="1887"/>
      <c r="III29" s="1888"/>
      <c r="IIJ29" s="1882"/>
      <c r="IIK29" s="1882"/>
      <c r="IIL29" s="1882"/>
      <c r="IIN29" s="1887"/>
      <c r="IIO29" s="1888"/>
      <c r="IIP29" s="1882"/>
      <c r="IIQ29" s="1882"/>
      <c r="IIR29" s="1882"/>
      <c r="IIT29" s="1887"/>
      <c r="IIU29" s="1888"/>
      <c r="IIV29" s="1882"/>
      <c r="IIW29" s="1882"/>
      <c r="IIX29" s="1882"/>
      <c r="IIZ29" s="1887"/>
      <c r="IJA29" s="1888"/>
      <c r="IJB29" s="1882"/>
      <c r="IJC29" s="1882"/>
      <c r="IJD29" s="1882"/>
      <c r="IJF29" s="1887"/>
      <c r="IJG29" s="1888"/>
      <c r="IJH29" s="1882"/>
      <c r="IJI29" s="1882"/>
      <c r="IJJ29" s="1882"/>
      <c r="IJL29" s="1887"/>
      <c r="IJM29" s="1888"/>
      <c r="IJN29" s="1882"/>
      <c r="IJO29" s="1882"/>
      <c r="IJP29" s="1882"/>
      <c r="IJR29" s="1887"/>
      <c r="IJS29" s="1888"/>
      <c r="IJT29" s="1882"/>
      <c r="IJU29" s="1882"/>
      <c r="IJV29" s="1882"/>
      <c r="IJX29" s="1887"/>
      <c r="IJY29" s="1888"/>
      <c r="IJZ29" s="1882"/>
      <c r="IKA29" s="1882"/>
      <c r="IKB29" s="1882"/>
      <c r="IKD29" s="1887"/>
      <c r="IKE29" s="1888"/>
      <c r="IKF29" s="1882"/>
      <c r="IKG29" s="1882"/>
      <c r="IKH29" s="1882"/>
      <c r="IKJ29" s="1887"/>
      <c r="IKK29" s="1888"/>
      <c r="IKL29" s="1882"/>
      <c r="IKM29" s="1882"/>
      <c r="IKN29" s="1882"/>
      <c r="IKP29" s="1887"/>
      <c r="IKQ29" s="1888"/>
      <c r="IKR29" s="1882"/>
      <c r="IKS29" s="1882"/>
      <c r="IKT29" s="1882"/>
      <c r="IKV29" s="1887"/>
      <c r="IKW29" s="1888"/>
      <c r="IKX29" s="1882"/>
      <c r="IKY29" s="1882"/>
      <c r="IKZ29" s="1882"/>
      <c r="ILB29" s="1887"/>
      <c r="ILC29" s="1888"/>
      <c r="ILD29" s="1882"/>
      <c r="ILE29" s="1882"/>
      <c r="ILF29" s="1882"/>
      <c r="ILH29" s="1887"/>
      <c r="ILI29" s="1888"/>
      <c r="ILJ29" s="1882"/>
      <c r="ILK29" s="1882"/>
      <c r="ILL29" s="1882"/>
      <c r="ILN29" s="1887"/>
      <c r="ILO29" s="1888"/>
      <c r="ILP29" s="1882"/>
      <c r="ILQ29" s="1882"/>
      <c r="ILR29" s="1882"/>
      <c r="ILT29" s="1887"/>
      <c r="ILU29" s="1888"/>
      <c r="ILV29" s="1882"/>
      <c r="ILW29" s="1882"/>
      <c r="ILX29" s="1882"/>
      <c r="ILZ29" s="1887"/>
      <c r="IMA29" s="1888"/>
      <c r="IMB29" s="1882"/>
      <c r="IMC29" s="1882"/>
      <c r="IMD29" s="1882"/>
      <c r="IMF29" s="1887"/>
      <c r="IMG29" s="1888"/>
      <c r="IMH29" s="1882"/>
      <c r="IMI29" s="1882"/>
      <c r="IMJ29" s="1882"/>
      <c r="IML29" s="1887"/>
      <c r="IMM29" s="1888"/>
      <c r="IMN29" s="1882"/>
      <c r="IMO29" s="1882"/>
      <c r="IMP29" s="1882"/>
      <c r="IMR29" s="1887"/>
      <c r="IMS29" s="1888"/>
      <c r="IMT29" s="1882"/>
      <c r="IMU29" s="1882"/>
      <c r="IMV29" s="1882"/>
      <c r="IMX29" s="1887"/>
      <c r="IMY29" s="1888"/>
      <c r="IMZ29" s="1882"/>
      <c r="INA29" s="1882"/>
      <c r="INB29" s="1882"/>
      <c r="IND29" s="1887"/>
      <c r="INE29" s="1888"/>
      <c r="INF29" s="1882"/>
      <c r="ING29" s="1882"/>
      <c r="INH29" s="1882"/>
      <c r="INJ29" s="1887"/>
      <c r="INK29" s="1888"/>
      <c r="INL29" s="1882"/>
      <c r="INM29" s="1882"/>
      <c r="INN29" s="1882"/>
      <c r="INP29" s="1887"/>
      <c r="INQ29" s="1888"/>
      <c r="INR29" s="1882"/>
      <c r="INS29" s="1882"/>
      <c r="INT29" s="1882"/>
      <c r="INV29" s="1887"/>
      <c r="INW29" s="1888"/>
      <c r="INX29" s="1882"/>
      <c r="INY29" s="1882"/>
      <c r="INZ29" s="1882"/>
      <c r="IOB29" s="1887"/>
      <c r="IOC29" s="1888"/>
      <c r="IOD29" s="1882"/>
      <c r="IOE29" s="1882"/>
      <c r="IOF29" s="1882"/>
      <c r="IOH29" s="1887"/>
      <c r="IOI29" s="1888"/>
      <c r="IOJ29" s="1882"/>
      <c r="IOK29" s="1882"/>
      <c r="IOL29" s="1882"/>
      <c r="ION29" s="1887"/>
      <c r="IOO29" s="1888"/>
      <c r="IOP29" s="1882"/>
      <c r="IOQ29" s="1882"/>
      <c r="IOR29" s="1882"/>
      <c r="IOT29" s="1887"/>
      <c r="IOU29" s="1888"/>
      <c r="IOV29" s="1882"/>
      <c r="IOW29" s="1882"/>
      <c r="IOX29" s="1882"/>
      <c r="IOZ29" s="1887"/>
      <c r="IPA29" s="1888"/>
      <c r="IPB29" s="1882"/>
      <c r="IPC29" s="1882"/>
      <c r="IPD29" s="1882"/>
      <c r="IPF29" s="1887"/>
      <c r="IPG29" s="1888"/>
      <c r="IPH29" s="1882"/>
      <c r="IPI29" s="1882"/>
      <c r="IPJ29" s="1882"/>
      <c r="IPL29" s="1887"/>
      <c r="IPM29" s="1888"/>
      <c r="IPN29" s="1882"/>
      <c r="IPO29" s="1882"/>
      <c r="IPP29" s="1882"/>
      <c r="IPR29" s="1887"/>
      <c r="IPS29" s="1888"/>
      <c r="IPT29" s="1882"/>
      <c r="IPU29" s="1882"/>
      <c r="IPV29" s="1882"/>
      <c r="IPX29" s="1887"/>
      <c r="IPY29" s="1888"/>
      <c r="IPZ29" s="1882"/>
      <c r="IQA29" s="1882"/>
      <c r="IQB29" s="1882"/>
      <c r="IQD29" s="1887"/>
      <c r="IQE29" s="1888"/>
      <c r="IQF29" s="1882"/>
      <c r="IQG29" s="1882"/>
      <c r="IQH29" s="1882"/>
      <c r="IQJ29" s="1887"/>
      <c r="IQK29" s="1888"/>
      <c r="IQL29" s="1882"/>
      <c r="IQM29" s="1882"/>
      <c r="IQN29" s="1882"/>
      <c r="IQP29" s="1887"/>
      <c r="IQQ29" s="1888"/>
      <c r="IQR29" s="1882"/>
      <c r="IQS29" s="1882"/>
      <c r="IQT29" s="1882"/>
      <c r="IQV29" s="1887"/>
      <c r="IQW29" s="1888"/>
      <c r="IQX29" s="1882"/>
      <c r="IQY29" s="1882"/>
      <c r="IQZ29" s="1882"/>
      <c r="IRB29" s="1887"/>
      <c r="IRC29" s="1888"/>
      <c r="IRD29" s="1882"/>
      <c r="IRE29" s="1882"/>
      <c r="IRF29" s="1882"/>
      <c r="IRH29" s="1887"/>
      <c r="IRI29" s="1888"/>
      <c r="IRJ29" s="1882"/>
      <c r="IRK29" s="1882"/>
      <c r="IRL29" s="1882"/>
      <c r="IRN29" s="1887"/>
      <c r="IRO29" s="1888"/>
      <c r="IRP29" s="1882"/>
      <c r="IRQ29" s="1882"/>
      <c r="IRR29" s="1882"/>
      <c r="IRT29" s="1887"/>
      <c r="IRU29" s="1888"/>
      <c r="IRV29" s="1882"/>
      <c r="IRW29" s="1882"/>
      <c r="IRX29" s="1882"/>
      <c r="IRZ29" s="1887"/>
      <c r="ISA29" s="1888"/>
      <c r="ISB29" s="1882"/>
      <c r="ISC29" s="1882"/>
      <c r="ISD29" s="1882"/>
      <c r="ISF29" s="1887"/>
      <c r="ISG29" s="1888"/>
      <c r="ISH29" s="1882"/>
      <c r="ISI29" s="1882"/>
      <c r="ISJ29" s="1882"/>
      <c r="ISL29" s="1887"/>
      <c r="ISM29" s="1888"/>
      <c r="ISN29" s="1882"/>
      <c r="ISO29" s="1882"/>
      <c r="ISP29" s="1882"/>
      <c r="ISR29" s="1887"/>
      <c r="ISS29" s="1888"/>
      <c r="IST29" s="1882"/>
      <c r="ISU29" s="1882"/>
      <c r="ISV29" s="1882"/>
      <c r="ISX29" s="1887"/>
      <c r="ISY29" s="1888"/>
      <c r="ISZ29" s="1882"/>
      <c r="ITA29" s="1882"/>
      <c r="ITB29" s="1882"/>
      <c r="ITD29" s="1887"/>
      <c r="ITE29" s="1888"/>
      <c r="ITF29" s="1882"/>
      <c r="ITG29" s="1882"/>
      <c r="ITH29" s="1882"/>
      <c r="ITJ29" s="1887"/>
      <c r="ITK29" s="1888"/>
      <c r="ITL29" s="1882"/>
      <c r="ITM29" s="1882"/>
      <c r="ITN29" s="1882"/>
      <c r="ITP29" s="1887"/>
      <c r="ITQ29" s="1888"/>
      <c r="ITR29" s="1882"/>
      <c r="ITS29" s="1882"/>
      <c r="ITT29" s="1882"/>
      <c r="ITV29" s="1887"/>
      <c r="ITW29" s="1888"/>
      <c r="ITX29" s="1882"/>
      <c r="ITY29" s="1882"/>
      <c r="ITZ29" s="1882"/>
      <c r="IUB29" s="1887"/>
      <c r="IUC29" s="1888"/>
      <c r="IUD29" s="1882"/>
      <c r="IUE29" s="1882"/>
      <c r="IUF29" s="1882"/>
      <c r="IUH29" s="1887"/>
      <c r="IUI29" s="1888"/>
      <c r="IUJ29" s="1882"/>
      <c r="IUK29" s="1882"/>
      <c r="IUL29" s="1882"/>
      <c r="IUN29" s="1887"/>
      <c r="IUO29" s="1888"/>
      <c r="IUP29" s="1882"/>
      <c r="IUQ29" s="1882"/>
      <c r="IUR29" s="1882"/>
      <c r="IUT29" s="1887"/>
      <c r="IUU29" s="1888"/>
      <c r="IUV29" s="1882"/>
      <c r="IUW29" s="1882"/>
      <c r="IUX29" s="1882"/>
      <c r="IUZ29" s="1887"/>
      <c r="IVA29" s="1888"/>
      <c r="IVB29" s="1882"/>
      <c r="IVC29" s="1882"/>
      <c r="IVD29" s="1882"/>
      <c r="IVF29" s="1887"/>
      <c r="IVG29" s="1888"/>
      <c r="IVH29" s="1882"/>
      <c r="IVI29" s="1882"/>
      <c r="IVJ29" s="1882"/>
      <c r="IVL29" s="1887"/>
      <c r="IVM29" s="1888"/>
      <c r="IVN29" s="1882"/>
      <c r="IVO29" s="1882"/>
      <c r="IVP29" s="1882"/>
      <c r="IVR29" s="1887"/>
      <c r="IVS29" s="1888"/>
      <c r="IVT29" s="1882"/>
      <c r="IVU29" s="1882"/>
      <c r="IVV29" s="1882"/>
      <c r="IVX29" s="1887"/>
      <c r="IVY29" s="1888"/>
      <c r="IVZ29" s="1882"/>
      <c r="IWA29" s="1882"/>
      <c r="IWB29" s="1882"/>
      <c r="IWD29" s="1887"/>
      <c r="IWE29" s="1888"/>
      <c r="IWF29" s="1882"/>
      <c r="IWG29" s="1882"/>
      <c r="IWH29" s="1882"/>
      <c r="IWJ29" s="1887"/>
      <c r="IWK29" s="1888"/>
      <c r="IWL29" s="1882"/>
      <c r="IWM29" s="1882"/>
      <c r="IWN29" s="1882"/>
      <c r="IWP29" s="1887"/>
      <c r="IWQ29" s="1888"/>
      <c r="IWR29" s="1882"/>
      <c r="IWS29" s="1882"/>
      <c r="IWT29" s="1882"/>
      <c r="IWV29" s="1887"/>
      <c r="IWW29" s="1888"/>
      <c r="IWX29" s="1882"/>
      <c r="IWY29" s="1882"/>
      <c r="IWZ29" s="1882"/>
      <c r="IXB29" s="1887"/>
      <c r="IXC29" s="1888"/>
      <c r="IXD29" s="1882"/>
      <c r="IXE29" s="1882"/>
      <c r="IXF29" s="1882"/>
      <c r="IXH29" s="1887"/>
      <c r="IXI29" s="1888"/>
      <c r="IXJ29" s="1882"/>
      <c r="IXK29" s="1882"/>
      <c r="IXL29" s="1882"/>
      <c r="IXN29" s="1887"/>
      <c r="IXO29" s="1888"/>
      <c r="IXP29" s="1882"/>
      <c r="IXQ29" s="1882"/>
      <c r="IXR29" s="1882"/>
      <c r="IXT29" s="1887"/>
      <c r="IXU29" s="1888"/>
      <c r="IXV29" s="1882"/>
      <c r="IXW29" s="1882"/>
      <c r="IXX29" s="1882"/>
      <c r="IXZ29" s="1887"/>
      <c r="IYA29" s="1888"/>
      <c r="IYB29" s="1882"/>
      <c r="IYC29" s="1882"/>
      <c r="IYD29" s="1882"/>
      <c r="IYF29" s="1887"/>
      <c r="IYG29" s="1888"/>
      <c r="IYH29" s="1882"/>
      <c r="IYI29" s="1882"/>
      <c r="IYJ29" s="1882"/>
      <c r="IYL29" s="1887"/>
      <c r="IYM29" s="1888"/>
      <c r="IYN29" s="1882"/>
      <c r="IYO29" s="1882"/>
      <c r="IYP29" s="1882"/>
      <c r="IYR29" s="1887"/>
      <c r="IYS29" s="1888"/>
      <c r="IYT29" s="1882"/>
      <c r="IYU29" s="1882"/>
      <c r="IYV29" s="1882"/>
      <c r="IYX29" s="1887"/>
      <c r="IYY29" s="1888"/>
      <c r="IYZ29" s="1882"/>
      <c r="IZA29" s="1882"/>
      <c r="IZB29" s="1882"/>
      <c r="IZD29" s="1887"/>
      <c r="IZE29" s="1888"/>
      <c r="IZF29" s="1882"/>
      <c r="IZG29" s="1882"/>
      <c r="IZH29" s="1882"/>
      <c r="IZJ29" s="1887"/>
      <c r="IZK29" s="1888"/>
      <c r="IZL29" s="1882"/>
      <c r="IZM29" s="1882"/>
      <c r="IZN29" s="1882"/>
      <c r="IZP29" s="1887"/>
      <c r="IZQ29" s="1888"/>
      <c r="IZR29" s="1882"/>
      <c r="IZS29" s="1882"/>
      <c r="IZT29" s="1882"/>
      <c r="IZV29" s="1887"/>
      <c r="IZW29" s="1888"/>
      <c r="IZX29" s="1882"/>
      <c r="IZY29" s="1882"/>
      <c r="IZZ29" s="1882"/>
      <c r="JAB29" s="1887"/>
      <c r="JAC29" s="1888"/>
      <c r="JAD29" s="1882"/>
      <c r="JAE29" s="1882"/>
      <c r="JAF29" s="1882"/>
      <c r="JAH29" s="1887"/>
      <c r="JAI29" s="1888"/>
      <c r="JAJ29" s="1882"/>
      <c r="JAK29" s="1882"/>
      <c r="JAL29" s="1882"/>
      <c r="JAN29" s="1887"/>
      <c r="JAO29" s="1888"/>
      <c r="JAP29" s="1882"/>
      <c r="JAQ29" s="1882"/>
      <c r="JAR29" s="1882"/>
      <c r="JAT29" s="1887"/>
      <c r="JAU29" s="1888"/>
      <c r="JAV29" s="1882"/>
      <c r="JAW29" s="1882"/>
      <c r="JAX29" s="1882"/>
      <c r="JAZ29" s="1887"/>
      <c r="JBA29" s="1888"/>
      <c r="JBB29" s="1882"/>
      <c r="JBC29" s="1882"/>
      <c r="JBD29" s="1882"/>
      <c r="JBF29" s="1887"/>
      <c r="JBG29" s="1888"/>
      <c r="JBH29" s="1882"/>
      <c r="JBI29" s="1882"/>
      <c r="JBJ29" s="1882"/>
      <c r="JBL29" s="1887"/>
      <c r="JBM29" s="1888"/>
      <c r="JBN29" s="1882"/>
      <c r="JBO29" s="1882"/>
      <c r="JBP29" s="1882"/>
      <c r="JBR29" s="1887"/>
      <c r="JBS29" s="1888"/>
      <c r="JBT29" s="1882"/>
      <c r="JBU29" s="1882"/>
      <c r="JBV29" s="1882"/>
      <c r="JBX29" s="1887"/>
      <c r="JBY29" s="1888"/>
      <c r="JBZ29" s="1882"/>
      <c r="JCA29" s="1882"/>
      <c r="JCB29" s="1882"/>
      <c r="JCD29" s="1887"/>
      <c r="JCE29" s="1888"/>
      <c r="JCF29" s="1882"/>
      <c r="JCG29" s="1882"/>
      <c r="JCH29" s="1882"/>
      <c r="JCJ29" s="1887"/>
      <c r="JCK29" s="1888"/>
      <c r="JCL29" s="1882"/>
      <c r="JCM29" s="1882"/>
      <c r="JCN29" s="1882"/>
      <c r="JCP29" s="1887"/>
      <c r="JCQ29" s="1888"/>
      <c r="JCR29" s="1882"/>
      <c r="JCS29" s="1882"/>
      <c r="JCT29" s="1882"/>
      <c r="JCV29" s="1887"/>
      <c r="JCW29" s="1888"/>
      <c r="JCX29" s="1882"/>
      <c r="JCY29" s="1882"/>
      <c r="JCZ29" s="1882"/>
      <c r="JDB29" s="1887"/>
      <c r="JDC29" s="1888"/>
      <c r="JDD29" s="1882"/>
      <c r="JDE29" s="1882"/>
      <c r="JDF29" s="1882"/>
      <c r="JDH29" s="1887"/>
      <c r="JDI29" s="1888"/>
      <c r="JDJ29" s="1882"/>
      <c r="JDK29" s="1882"/>
      <c r="JDL29" s="1882"/>
      <c r="JDN29" s="1887"/>
      <c r="JDO29" s="1888"/>
      <c r="JDP29" s="1882"/>
      <c r="JDQ29" s="1882"/>
      <c r="JDR29" s="1882"/>
      <c r="JDT29" s="1887"/>
      <c r="JDU29" s="1888"/>
      <c r="JDV29" s="1882"/>
      <c r="JDW29" s="1882"/>
      <c r="JDX29" s="1882"/>
      <c r="JDZ29" s="1887"/>
      <c r="JEA29" s="1888"/>
      <c r="JEB29" s="1882"/>
      <c r="JEC29" s="1882"/>
      <c r="JED29" s="1882"/>
      <c r="JEF29" s="1887"/>
      <c r="JEG29" s="1888"/>
      <c r="JEH29" s="1882"/>
      <c r="JEI29" s="1882"/>
      <c r="JEJ29" s="1882"/>
      <c r="JEL29" s="1887"/>
      <c r="JEM29" s="1888"/>
      <c r="JEN29" s="1882"/>
      <c r="JEO29" s="1882"/>
      <c r="JEP29" s="1882"/>
      <c r="JER29" s="1887"/>
      <c r="JES29" s="1888"/>
      <c r="JET29" s="1882"/>
      <c r="JEU29" s="1882"/>
      <c r="JEV29" s="1882"/>
      <c r="JEX29" s="1887"/>
      <c r="JEY29" s="1888"/>
      <c r="JEZ29" s="1882"/>
      <c r="JFA29" s="1882"/>
      <c r="JFB29" s="1882"/>
      <c r="JFD29" s="1887"/>
      <c r="JFE29" s="1888"/>
      <c r="JFF29" s="1882"/>
      <c r="JFG29" s="1882"/>
      <c r="JFH29" s="1882"/>
      <c r="JFJ29" s="1887"/>
      <c r="JFK29" s="1888"/>
      <c r="JFL29" s="1882"/>
      <c r="JFM29" s="1882"/>
      <c r="JFN29" s="1882"/>
      <c r="JFP29" s="1887"/>
      <c r="JFQ29" s="1888"/>
      <c r="JFR29" s="1882"/>
      <c r="JFS29" s="1882"/>
      <c r="JFT29" s="1882"/>
      <c r="JFV29" s="1887"/>
      <c r="JFW29" s="1888"/>
      <c r="JFX29" s="1882"/>
      <c r="JFY29" s="1882"/>
      <c r="JFZ29" s="1882"/>
      <c r="JGB29" s="1887"/>
      <c r="JGC29" s="1888"/>
      <c r="JGD29" s="1882"/>
      <c r="JGE29" s="1882"/>
      <c r="JGF29" s="1882"/>
      <c r="JGH29" s="1887"/>
      <c r="JGI29" s="1888"/>
      <c r="JGJ29" s="1882"/>
      <c r="JGK29" s="1882"/>
      <c r="JGL29" s="1882"/>
      <c r="JGN29" s="1887"/>
      <c r="JGO29" s="1888"/>
      <c r="JGP29" s="1882"/>
      <c r="JGQ29" s="1882"/>
      <c r="JGR29" s="1882"/>
      <c r="JGT29" s="1887"/>
      <c r="JGU29" s="1888"/>
      <c r="JGV29" s="1882"/>
      <c r="JGW29" s="1882"/>
      <c r="JGX29" s="1882"/>
      <c r="JGZ29" s="1887"/>
      <c r="JHA29" s="1888"/>
      <c r="JHB29" s="1882"/>
      <c r="JHC29" s="1882"/>
      <c r="JHD29" s="1882"/>
      <c r="JHF29" s="1887"/>
      <c r="JHG29" s="1888"/>
      <c r="JHH29" s="1882"/>
      <c r="JHI29" s="1882"/>
      <c r="JHJ29" s="1882"/>
      <c r="JHL29" s="1887"/>
      <c r="JHM29" s="1888"/>
      <c r="JHN29" s="1882"/>
      <c r="JHO29" s="1882"/>
      <c r="JHP29" s="1882"/>
      <c r="JHR29" s="1887"/>
      <c r="JHS29" s="1888"/>
      <c r="JHT29" s="1882"/>
      <c r="JHU29" s="1882"/>
      <c r="JHV29" s="1882"/>
      <c r="JHX29" s="1887"/>
      <c r="JHY29" s="1888"/>
      <c r="JHZ29" s="1882"/>
      <c r="JIA29" s="1882"/>
      <c r="JIB29" s="1882"/>
      <c r="JID29" s="1887"/>
      <c r="JIE29" s="1888"/>
      <c r="JIF29" s="1882"/>
      <c r="JIG29" s="1882"/>
      <c r="JIH29" s="1882"/>
      <c r="JIJ29" s="1887"/>
      <c r="JIK29" s="1888"/>
      <c r="JIL29" s="1882"/>
      <c r="JIM29" s="1882"/>
      <c r="JIN29" s="1882"/>
      <c r="JIP29" s="1887"/>
      <c r="JIQ29" s="1888"/>
      <c r="JIR29" s="1882"/>
      <c r="JIS29" s="1882"/>
      <c r="JIT29" s="1882"/>
      <c r="JIV29" s="1887"/>
      <c r="JIW29" s="1888"/>
      <c r="JIX29" s="1882"/>
      <c r="JIY29" s="1882"/>
      <c r="JIZ29" s="1882"/>
      <c r="JJB29" s="1887"/>
      <c r="JJC29" s="1888"/>
      <c r="JJD29" s="1882"/>
      <c r="JJE29" s="1882"/>
      <c r="JJF29" s="1882"/>
      <c r="JJH29" s="1887"/>
      <c r="JJI29" s="1888"/>
      <c r="JJJ29" s="1882"/>
      <c r="JJK29" s="1882"/>
      <c r="JJL29" s="1882"/>
      <c r="JJN29" s="1887"/>
      <c r="JJO29" s="1888"/>
      <c r="JJP29" s="1882"/>
      <c r="JJQ29" s="1882"/>
      <c r="JJR29" s="1882"/>
      <c r="JJT29" s="1887"/>
      <c r="JJU29" s="1888"/>
      <c r="JJV29" s="1882"/>
      <c r="JJW29" s="1882"/>
      <c r="JJX29" s="1882"/>
      <c r="JJZ29" s="1887"/>
      <c r="JKA29" s="1888"/>
      <c r="JKB29" s="1882"/>
      <c r="JKC29" s="1882"/>
      <c r="JKD29" s="1882"/>
      <c r="JKF29" s="1887"/>
      <c r="JKG29" s="1888"/>
      <c r="JKH29" s="1882"/>
      <c r="JKI29" s="1882"/>
      <c r="JKJ29" s="1882"/>
      <c r="JKL29" s="1887"/>
      <c r="JKM29" s="1888"/>
      <c r="JKN29" s="1882"/>
      <c r="JKO29" s="1882"/>
      <c r="JKP29" s="1882"/>
      <c r="JKR29" s="1887"/>
      <c r="JKS29" s="1888"/>
      <c r="JKT29" s="1882"/>
      <c r="JKU29" s="1882"/>
      <c r="JKV29" s="1882"/>
      <c r="JKX29" s="1887"/>
      <c r="JKY29" s="1888"/>
      <c r="JKZ29" s="1882"/>
      <c r="JLA29" s="1882"/>
      <c r="JLB29" s="1882"/>
      <c r="JLD29" s="1887"/>
      <c r="JLE29" s="1888"/>
      <c r="JLF29" s="1882"/>
      <c r="JLG29" s="1882"/>
      <c r="JLH29" s="1882"/>
      <c r="JLJ29" s="1887"/>
      <c r="JLK29" s="1888"/>
      <c r="JLL29" s="1882"/>
      <c r="JLM29" s="1882"/>
      <c r="JLN29" s="1882"/>
      <c r="JLP29" s="1887"/>
      <c r="JLQ29" s="1888"/>
      <c r="JLR29" s="1882"/>
      <c r="JLS29" s="1882"/>
      <c r="JLT29" s="1882"/>
      <c r="JLV29" s="1887"/>
      <c r="JLW29" s="1888"/>
      <c r="JLX29" s="1882"/>
      <c r="JLY29" s="1882"/>
      <c r="JLZ29" s="1882"/>
      <c r="JMB29" s="1887"/>
      <c r="JMC29" s="1888"/>
      <c r="JMD29" s="1882"/>
      <c r="JME29" s="1882"/>
      <c r="JMF29" s="1882"/>
      <c r="JMH29" s="1887"/>
      <c r="JMI29" s="1888"/>
      <c r="JMJ29" s="1882"/>
      <c r="JMK29" s="1882"/>
      <c r="JML29" s="1882"/>
      <c r="JMN29" s="1887"/>
      <c r="JMO29" s="1888"/>
      <c r="JMP29" s="1882"/>
      <c r="JMQ29" s="1882"/>
      <c r="JMR29" s="1882"/>
      <c r="JMT29" s="1887"/>
      <c r="JMU29" s="1888"/>
      <c r="JMV29" s="1882"/>
      <c r="JMW29" s="1882"/>
      <c r="JMX29" s="1882"/>
      <c r="JMZ29" s="1887"/>
      <c r="JNA29" s="1888"/>
      <c r="JNB29" s="1882"/>
      <c r="JNC29" s="1882"/>
      <c r="JND29" s="1882"/>
      <c r="JNF29" s="1887"/>
      <c r="JNG29" s="1888"/>
      <c r="JNH29" s="1882"/>
      <c r="JNI29" s="1882"/>
      <c r="JNJ29" s="1882"/>
      <c r="JNL29" s="1887"/>
      <c r="JNM29" s="1888"/>
      <c r="JNN29" s="1882"/>
      <c r="JNO29" s="1882"/>
      <c r="JNP29" s="1882"/>
      <c r="JNR29" s="1887"/>
      <c r="JNS29" s="1888"/>
      <c r="JNT29" s="1882"/>
      <c r="JNU29" s="1882"/>
      <c r="JNV29" s="1882"/>
      <c r="JNX29" s="1887"/>
      <c r="JNY29" s="1888"/>
      <c r="JNZ29" s="1882"/>
      <c r="JOA29" s="1882"/>
      <c r="JOB29" s="1882"/>
      <c r="JOD29" s="1887"/>
      <c r="JOE29" s="1888"/>
      <c r="JOF29" s="1882"/>
      <c r="JOG29" s="1882"/>
      <c r="JOH29" s="1882"/>
      <c r="JOJ29" s="1887"/>
      <c r="JOK29" s="1888"/>
      <c r="JOL29" s="1882"/>
      <c r="JOM29" s="1882"/>
      <c r="JON29" s="1882"/>
      <c r="JOP29" s="1887"/>
      <c r="JOQ29" s="1888"/>
      <c r="JOR29" s="1882"/>
      <c r="JOS29" s="1882"/>
      <c r="JOT29" s="1882"/>
      <c r="JOV29" s="1887"/>
      <c r="JOW29" s="1888"/>
      <c r="JOX29" s="1882"/>
      <c r="JOY29" s="1882"/>
      <c r="JOZ29" s="1882"/>
      <c r="JPB29" s="1887"/>
      <c r="JPC29" s="1888"/>
      <c r="JPD29" s="1882"/>
      <c r="JPE29" s="1882"/>
      <c r="JPF29" s="1882"/>
      <c r="JPH29" s="1887"/>
      <c r="JPI29" s="1888"/>
      <c r="JPJ29" s="1882"/>
      <c r="JPK29" s="1882"/>
      <c r="JPL29" s="1882"/>
      <c r="JPN29" s="1887"/>
      <c r="JPO29" s="1888"/>
      <c r="JPP29" s="1882"/>
      <c r="JPQ29" s="1882"/>
      <c r="JPR29" s="1882"/>
      <c r="JPT29" s="1887"/>
      <c r="JPU29" s="1888"/>
      <c r="JPV29" s="1882"/>
      <c r="JPW29" s="1882"/>
      <c r="JPX29" s="1882"/>
      <c r="JPZ29" s="1887"/>
      <c r="JQA29" s="1888"/>
      <c r="JQB29" s="1882"/>
      <c r="JQC29" s="1882"/>
      <c r="JQD29" s="1882"/>
      <c r="JQF29" s="1887"/>
      <c r="JQG29" s="1888"/>
      <c r="JQH29" s="1882"/>
      <c r="JQI29" s="1882"/>
      <c r="JQJ29" s="1882"/>
      <c r="JQL29" s="1887"/>
      <c r="JQM29" s="1888"/>
      <c r="JQN29" s="1882"/>
      <c r="JQO29" s="1882"/>
      <c r="JQP29" s="1882"/>
      <c r="JQR29" s="1887"/>
      <c r="JQS29" s="1888"/>
      <c r="JQT29" s="1882"/>
      <c r="JQU29" s="1882"/>
      <c r="JQV29" s="1882"/>
      <c r="JQX29" s="1887"/>
      <c r="JQY29" s="1888"/>
      <c r="JQZ29" s="1882"/>
      <c r="JRA29" s="1882"/>
      <c r="JRB29" s="1882"/>
      <c r="JRD29" s="1887"/>
      <c r="JRE29" s="1888"/>
      <c r="JRF29" s="1882"/>
      <c r="JRG29" s="1882"/>
      <c r="JRH29" s="1882"/>
      <c r="JRJ29" s="1887"/>
      <c r="JRK29" s="1888"/>
      <c r="JRL29" s="1882"/>
      <c r="JRM29" s="1882"/>
      <c r="JRN29" s="1882"/>
      <c r="JRP29" s="1887"/>
      <c r="JRQ29" s="1888"/>
      <c r="JRR29" s="1882"/>
      <c r="JRS29" s="1882"/>
      <c r="JRT29" s="1882"/>
      <c r="JRV29" s="1887"/>
      <c r="JRW29" s="1888"/>
      <c r="JRX29" s="1882"/>
      <c r="JRY29" s="1882"/>
      <c r="JRZ29" s="1882"/>
      <c r="JSB29" s="1887"/>
      <c r="JSC29" s="1888"/>
      <c r="JSD29" s="1882"/>
      <c r="JSE29" s="1882"/>
      <c r="JSF29" s="1882"/>
      <c r="JSH29" s="1887"/>
      <c r="JSI29" s="1888"/>
      <c r="JSJ29" s="1882"/>
      <c r="JSK29" s="1882"/>
      <c r="JSL29" s="1882"/>
      <c r="JSN29" s="1887"/>
      <c r="JSO29" s="1888"/>
      <c r="JSP29" s="1882"/>
      <c r="JSQ29" s="1882"/>
      <c r="JSR29" s="1882"/>
      <c r="JST29" s="1887"/>
      <c r="JSU29" s="1888"/>
      <c r="JSV29" s="1882"/>
      <c r="JSW29" s="1882"/>
      <c r="JSX29" s="1882"/>
      <c r="JSZ29" s="1887"/>
      <c r="JTA29" s="1888"/>
      <c r="JTB29" s="1882"/>
      <c r="JTC29" s="1882"/>
      <c r="JTD29" s="1882"/>
      <c r="JTF29" s="1887"/>
      <c r="JTG29" s="1888"/>
      <c r="JTH29" s="1882"/>
      <c r="JTI29" s="1882"/>
      <c r="JTJ29" s="1882"/>
      <c r="JTL29" s="1887"/>
      <c r="JTM29" s="1888"/>
      <c r="JTN29" s="1882"/>
      <c r="JTO29" s="1882"/>
      <c r="JTP29" s="1882"/>
      <c r="JTR29" s="1887"/>
      <c r="JTS29" s="1888"/>
      <c r="JTT29" s="1882"/>
      <c r="JTU29" s="1882"/>
      <c r="JTV29" s="1882"/>
      <c r="JTX29" s="1887"/>
      <c r="JTY29" s="1888"/>
      <c r="JTZ29" s="1882"/>
      <c r="JUA29" s="1882"/>
      <c r="JUB29" s="1882"/>
      <c r="JUD29" s="1887"/>
      <c r="JUE29" s="1888"/>
      <c r="JUF29" s="1882"/>
      <c r="JUG29" s="1882"/>
      <c r="JUH29" s="1882"/>
      <c r="JUJ29" s="1887"/>
      <c r="JUK29" s="1888"/>
      <c r="JUL29" s="1882"/>
      <c r="JUM29" s="1882"/>
      <c r="JUN29" s="1882"/>
      <c r="JUP29" s="1887"/>
      <c r="JUQ29" s="1888"/>
      <c r="JUR29" s="1882"/>
      <c r="JUS29" s="1882"/>
      <c r="JUT29" s="1882"/>
      <c r="JUV29" s="1887"/>
      <c r="JUW29" s="1888"/>
      <c r="JUX29" s="1882"/>
      <c r="JUY29" s="1882"/>
      <c r="JUZ29" s="1882"/>
      <c r="JVB29" s="1887"/>
      <c r="JVC29" s="1888"/>
      <c r="JVD29" s="1882"/>
      <c r="JVE29" s="1882"/>
      <c r="JVF29" s="1882"/>
      <c r="JVH29" s="1887"/>
      <c r="JVI29" s="1888"/>
      <c r="JVJ29" s="1882"/>
      <c r="JVK29" s="1882"/>
      <c r="JVL29" s="1882"/>
      <c r="JVN29" s="1887"/>
      <c r="JVO29" s="1888"/>
      <c r="JVP29" s="1882"/>
      <c r="JVQ29" s="1882"/>
      <c r="JVR29" s="1882"/>
      <c r="JVT29" s="1887"/>
      <c r="JVU29" s="1888"/>
      <c r="JVV29" s="1882"/>
      <c r="JVW29" s="1882"/>
      <c r="JVX29" s="1882"/>
      <c r="JVZ29" s="1887"/>
      <c r="JWA29" s="1888"/>
      <c r="JWB29" s="1882"/>
      <c r="JWC29" s="1882"/>
      <c r="JWD29" s="1882"/>
      <c r="JWF29" s="1887"/>
      <c r="JWG29" s="1888"/>
      <c r="JWH29" s="1882"/>
      <c r="JWI29" s="1882"/>
      <c r="JWJ29" s="1882"/>
      <c r="JWL29" s="1887"/>
      <c r="JWM29" s="1888"/>
      <c r="JWN29" s="1882"/>
      <c r="JWO29" s="1882"/>
      <c r="JWP29" s="1882"/>
      <c r="JWR29" s="1887"/>
      <c r="JWS29" s="1888"/>
      <c r="JWT29" s="1882"/>
      <c r="JWU29" s="1882"/>
      <c r="JWV29" s="1882"/>
      <c r="JWX29" s="1887"/>
      <c r="JWY29" s="1888"/>
      <c r="JWZ29" s="1882"/>
      <c r="JXA29" s="1882"/>
      <c r="JXB29" s="1882"/>
      <c r="JXD29" s="1887"/>
      <c r="JXE29" s="1888"/>
      <c r="JXF29" s="1882"/>
      <c r="JXG29" s="1882"/>
      <c r="JXH29" s="1882"/>
      <c r="JXJ29" s="1887"/>
      <c r="JXK29" s="1888"/>
      <c r="JXL29" s="1882"/>
      <c r="JXM29" s="1882"/>
      <c r="JXN29" s="1882"/>
      <c r="JXP29" s="1887"/>
      <c r="JXQ29" s="1888"/>
      <c r="JXR29" s="1882"/>
      <c r="JXS29" s="1882"/>
      <c r="JXT29" s="1882"/>
      <c r="JXV29" s="1887"/>
      <c r="JXW29" s="1888"/>
      <c r="JXX29" s="1882"/>
      <c r="JXY29" s="1882"/>
      <c r="JXZ29" s="1882"/>
      <c r="JYB29" s="1887"/>
      <c r="JYC29" s="1888"/>
      <c r="JYD29" s="1882"/>
      <c r="JYE29" s="1882"/>
      <c r="JYF29" s="1882"/>
      <c r="JYH29" s="1887"/>
      <c r="JYI29" s="1888"/>
      <c r="JYJ29" s="1882"/>
      <c r="JYK29" s="1882"/>
      <c r="JYL29" s="1882"/>
      <c r="JYN29" s="1887"/>
      <c r="JYO29" s="1888"/>
      <c r="JYP29" s="1882"/>
      <c r="JYQ29" s="1882"/>
      <c r="JYR29" s="1882"/>
      <c r="JYT29" s="1887"/>
      <c r="JYU29" s="1888"/>
      <c r="JYV29" s="1882"/>
      <c r="JYW29" s="1882"/>
      <c r="JYX29" s="1882"/>
      <c r="JYZ29" s="1887"/>
      <c r="JZA29" s="1888"/>
      <c r="JZB29" s="1882"/>
      <c r="JZC29" s="1882"/>
      <c r="JZD29" s="1882"/>
      <c r="JZF29" s="1887"/>
      <c r="JZG29" s="1888"/>
      <c r="JZH29" s="1882"/>
      <c r="JZI29" s="1882"/>
      <c r="JZJ29" s="1882"/>
      <c r="JZL29" s="1887"/>
      <c r="JZM29" s="1888"/>
      <c r="JZN29" s="1882"/>
      <c r="JZO29" s="1882"/>
      <c r="JZP29" s="1882"/>
      <c r="JZR29" s="1887"/>
      <c r="JZS29" s="1888"/>
      <c r="JZT29" s="1882"/>
      <c r="JZU29" s="1882"/>
      <c r="JZV29" s="1882"/>
      <c r="JZX29" s="1887"/>
      <c r="JZY29" s="1888"/>
      <c r="JZZ29" s="1882"/>
      <c r="KAA29" s="1882"/>
      <c r="KAB29" s="1882"/>
      <c r="KAD29" s="1887"/>
      <c r="KAE29" s="1888"/>
      <c r="KAF29" s="1882"/>
      <c r="KAG29" s="1882"/>
      <c r="KAH29" s="1882"/>
      <c r="KAJ29" s="1887"/>
      <c r="KAK29" s="1888"/>
      <c r="KAL29" s="1882"/>
      <c r="KAM29" s="1882"/>
      <c r="KAN29" s="1882"/>
      <c r="KAP29" s="1887"/>
      <c r="KAQ29" s="1888"/>
      <c r="KAR29" s="1882"/>
      <c r="KAS29" s="1882"/>
      <c r="KAT29" s="1882"/>
      <c r="KAV29" s="1887"/>
      <c r="KAW29" s="1888"/>
      <c r="KAX29" s="1882"/>
      <c r="KAY29" s="1882"/>
      <c r="KAZ29" s="1882"/>
      <c r="KBB29" s="1887"/>
      <c r="KBC29" s="1888"/>
      <c r="KBD29" s="1882"/>
      <c r="KBE29" s="1882"/>
      <c r="KBF29" s="1882"/>
      <c r="KBH29" s="1887"/>
      <c r="KBI29" s="1888"/>
      <c r="KBJ29" s="1882"/>
      <c r="KBK29" s="1882"/>
      <c r="KBL29" s="1882"/>
      <c r="KBN29" s="1887"/>
      <c r="KBO29" s="1888"/>
      <c r="KBP29" s="1882"/>
      <c r="KBQ29" s="1882"/>
      <c r="KBR29" s="1882"/>
      <c r="KBT29" s="1887"/>
      <c r="KBU29" s="1888"/>
      <c r="KBV29" s="1882"/>
      <c r="KBW29" s="1882"/>
      <c r="KBX29" s="1882"/>
      <c r="KBZ29" s="1887"/>
      <c r="KCA29" s="1888"/>
      <c r="KCB29" s="1882"/>
      <c r="KCC29" s="1882"/>
      <c r="KCD29" s="1882"/>
      <c r="KCF29" s="1887"/>
      <c r="KCG29" s="1888"/>
      <c r="KCH29" s="1882"/>
      <c r="KCI29" s="1882"/>
      <c r="KCJ29" s="1882"/>
      <c r="KCL29" s="1887"/>
      <c r="KCM29" s="1888"/>
      <c r="KCN29" s="1882"/>
      <c r="KCO29" s="1882"/>
      <c r="KCP29" s="1882"/>
      <c r="KCR29" s="1887"/>
      <c r="KCS29" s="1888"/>
      <c r="KCT29" s="1882"/>
      <c r="KCU29" s="1882"/>
      <c r="KCV29" s="1882"/>
      <c r="KCX29" s="1887"/>
      <c r="KCY29" s="1888"/>
      <c r="KCZ29" s="1882"/>
      <c r="KDA29" s="1882"/>
      <c r="KDB29" s="1882"/>
      <c r="KDD29" s="1887"/>
      <c r="KDE29" s="1888"/>
      <c r="KDF29" s="1882"/>
      <c r="KDG29" s="1882"/>
      <c r="KDH29" s="1882"/>
      <c r="KDJ29" s="1887"/>
      <c r="KDK29" s="1888"/>
      <c r="KDL29" s="1882"/>
      <c r="KDM29" s="1882"/>
      <c r="KDN29" s="1882"/>
      <c r="KDP29" s="1887"/>
      <c r="KDQ29" s="1888"/>
      <c r="KDR29" s="1882"/>
      <c r="KDS29" s="1882"/>
      <c r="KDT29" s="1882"/>
      <c r="KDV29" s="1887"/>
      <c r="KDW29" s="1888"/>
      <c r="KDX29" s="1882"/>
      <c r="KDY29" s="1882"/>
      <c r="KDZ29" s="1882"/>
      <c r="KEB29" s="1887"/>
      <c r="KEC29" s="1888"/>
      <c r="KED29" s="1882"/>
      <c r="KEE29" s="1882"/>
      <c r="KEF29" s="1882"/>
      <c r="KEH29" s="1887"/>
      <c r="KEI29" s="1888"/>
      <c r="KEJ29" s="1882"/>
      <c r="KEK29" s="1882"/>
      <c r="KEL29" s="1882"/>
      <c r="KEN29" s="1887"/>
      <c r="KEO29" s="1888"/>
      <c r="KEP29" s="1882"/>
      <c r="KEQ29" s="1882"/>
      <c r="KER29" s="1882"/>
      <c r="KET29" s="1887"/>
      <c r="KEU29" s="1888"/>
      <c r="KEV29" s="1882"/>
      <c r="KEW29" s="1882"/>
      <c r="KEX29" s="1882"/>
      <c r="KEZ29" s="1887"/>
      <c r="KFA29" s="1888"/>
      <c r="KFB29" s="1882"/>
      <c r="KFC29" s="1882"/>
      <c r="KFD29" s="1882"/>
      <c r="KFF29" s="1887"/>
      <c r="KFG29" s="1888"/>
      <c r="KFH29" s="1882"/>
      <c r="KFI29" s="1882"/>
      <c r="KFJ29" s="1882"/>
      <c r="KFL29" s="1887"/>
      <c r="KFM29" s="1888"/>
      <c r="KFN29" s="1882"/>
      <c r="KFO29" s="1882"/>
      <c r="KFP29" s="1882"/>
      <c r="KFR29" s="1887"/>
      <c r="KFS29" s="1888"/>
      <c r="KFT29" s="1882"/>
      <c r="KFU29" s="1882"/>
      <c r="KFV29" s="1882"/>
      <c r="KFX29" s="1887"/>
      <c r="KFY29" s="1888"/>
      <c r="KFZ29" s="1882"/>
      <c r="KGA29" s="1882"/>
      <c r="KGB29" s="1882"/>
      <c r="KGD29" s="1887"/>
      <c r="KGE29" s="1888"/>
      <c r="KGF29" s="1882"/>
      <c r="KGG29" s="1882"/>
      <c r="KGH29" s="1882"/>
      <c r="KGJ29" s="1887"/>
      <c r="KGK29" s="1888"/>
      <c r="KGL29" s="1882"/>
      <c r="KGM29" s="1882"/>
      <c r="KGN29" s="1882"/>
      <c r="KGP29" s="1887"/>
      <c r="KGQ29" s="1888"/>
      <c r="KGR29" s="1882"/>
      <c r="KGS29" s="1882"/>
      <c r="KGT29" s="1882"/>
      <c r="KGV29" s="1887"/>
      <c r="KGW29" s="1888"/>
      <c r="KGX29" s="1882"/>
      <c r="KGY29" s="1882"/>
      <c r="KGZ29" s="1882"/>
      <c r="KHB29" s="1887"/>
      <c r="KHC29" s="1888"/>
      <c r="KHD29" s="1882"/>
      <c r="KHE29" s="1882"/>
      <c r="KHF29" s="1882"/>
      <c r="KHH29" s="1887"/>
      <c r="KHI29" s="1888"/>
      <c r="KHJ29" s="1882"/>
      <c r="KHK29" s="1882"/>
      <c r="KHL29" s="1882"/>
      <c r="KHN29" s="1887"/>
      <c r="KHO29" s="1888"/>
      <c r="KHP29" s="1882"/>
      <c r="KHQ29" s="1882"/>
      <c r="KHR29" s="1882"/>
      <c r="KHT29" s="1887"/>
      <c r="KHU29" s="1888"/>
      <c r="KHV29" s="1882"/>
      <c r="KHW29" s="1882"/>
      <c r="KHX29" s="1882"/>
      <c r="KHZ29" s="1887"/>
      <c r="KIA29" s="1888"/>
      <c r="KIB29" s="1882"/>
      <c r="KIC29" s="1882"/>
      <c r="KID29" s="1882"/>
      <c r="KIF29" s="1887"/>
      <c r="KIG29" s="1888"/>
      <c r="KIH29" s="1882"/>
      <c r="KII29" s="1882"/>
      <c r="KIJ29" s="1882"/>
      <c r="KIL29" s="1887"/>
      <c r="KIM29" s="1888"/>
      <c r="KIN29" s="1882"/>
      <c r="KIO29" s="1882"/>
      <c r="KIP29" s="1882"/>
      <c r="KIR29" s="1887"/>
      <c r="KIS29" s="1888"/>
      <c r="KIT29" s="1882"/>
      <c r="KIU29" s="1882"/>
      <c r="KIV29" s="1882"/>
      <c r="KIX29" s="1887"/>
      <c r="KIY29" s="1888"/>
      <c r="KIZ29" s="1882"/>
      <c r="KJA29" s="1882"/>
      <c r="KJB29" s="1882"/>
      <c r="KJD29" s="1887"/>
      <c r="KJE29" s="1888"/>
      <c r="KJF29" s="1882"/>
      <c r="KJG29" s="1882"/>
      <c r="KJH29" s="1882"/>
      <c r="KJJ29" s="1887"/>
      <c r="KJK29" s="1888"/>
      <c r="KJL29" s="1882"/>
      <c r="KJM29" s="1882"/>
      <c r="KJN29" s="1882"/>
      <c r="KJP29" s="1887"/>
      <c r="KJQ29" s="1888"/>
      <c r="KJR29" s="1882"/>
      <c r="KJS29" s="1882"/>
      <c r="KJT29" s="1882"/>
      <c r="KJV29" s="1887"/>
      <c r="KJW29" s="1888"/>
      <c r="KJX29" s="1882"/>
      <c r="KJY29" s="1882"/>
      <c r="KJZ29" s="1882"/>
      <c r="KKB29" s="1887"/>
      <c r="KKC29" s="1888"/>
      <c r="KKD29" s="1882"/>
      <c r="KKE29" s="1882"/>
      <c r="KKF29" s="1882"/>
      <c r="KKH29" s="1887"/>
      <c r="KKI29" s="1888"/>
      <c r="KKJ29" s="1882"/>
      <c r="KKK29" s="1882"/>
      <c r="KKL29" s="1882"/>
      <c r="KKN29" s="1887"/>
      <c r="KKO29" s="1888"/>
      <c r="KKP29" s="1882"/>
      <c r="KKQ29" s="1882"/>
      <c r="KKR29" s="1882"/>
      <c r="KKT29" s="1887"/>
      <c r="KKU29" s="1888"/>
      <c r="KKV29" s="1882"/>
      <c r="KKW29" s="1882"/>
      <c r="KKX29" s="1882"/>
      <c r="KKZ29" s="1887"/>
      <c r="KLA29" s="1888"/>
      <c r="KLB29" s="1882"/>
      <c r="KLC29" s="1882"/>
      <c r="KLD29" s="1882"/>
      <c r="KLF29" s="1887"/>
      <c r="KLG29" s="1888"/>
      <c r="KLH29" s="1882"/>
      <c r="KLI29" s="1882"/>
      <c r="KLJ29" s="1882"/>
      <c r="KLL29" s="1887"/>
      <c r="KLM29" s="1888"/>
      <c r="KLN29" s="1882"/>
      <c r="KLO29" s="1882"/>
      <c r="KLP29" s="1882"/>
      <c r="KLR29" s="1887"/>
      <c r="KLS29" s="1888"/>
      <c r="KLT29" s="1882"/>
      <c r="KLU29" s="1882"/>
      <c r="KLV29" s="1882"/>
      <c r="KLX29" s="1887"/>
      <c r="KLY29" s="1888"/>
      <c r="KLZ29" s="1882"/>
      <c r="KMA29" s="1882"/>
      <c r="KMB29" s="1882"/>
      <c r="KMD29" s="1887"/>
      <c r="KME29" s="1888"/>
      <c r="KMF29" s="1882"/>
      <c r="KMG29" s="1882"/>
      <c r="KMH29" s="1882"/>
      <c r="KMJ29" s="1887"/>
      <c r="KMK29" s="1888"/>
      <c r="KML29" s="1882"/>
      <c r="KMM29" s="1882"/>
      <c r="KMN29" s="1882"/>
      <c r="KMP29" s="1887"/>
      <c r="KMQ29" s="1888"/>
      <c r="KMR29" s="1882"/>
      <c r="KMS29" s="1882"/>
      <c r="KMT29" s="1882"/>
      <c r="KMV29" s="1887"/>
      <c r="KMW29" s="1888"/>
      <c r="KMX29" s="1882"/>
      <c r="KMY29" s="1882"/>
      <c r="KMZ29" s="1882"/>
      <c r="KNB29" s="1887"/>
      <c r="KNC29" s="1888"/>
      <c r="KND29" s="1882"/>
      <c r="KNE29" s="1882"/>
      <c r="KNF29" s="1882"/>
      <c r="KNH29" s="1887"/>
      <c r="KNI29" s="1888"/>
      <c r="KNJ29" s="1882"/>
      <c r="KNK29" s="1882"/>
      <c r="KNL29" s="1882"/>
      <c r="KNN29" s="1887"/>
      <c r="KNO29" s="1888"/>
      <c r="KNP29" s="1882"/>
      <c r="KNQ29" s="1882"/>
      <c r="KNR29" s="1882"/>
      <c r="KNT29" s="1887"/>
      <c r="KNU29" s="1888"/>
      <c r="KNV29" s="1882"/>
      <c r="KNW29" s="1882"/>
      <c r="KNX29" s="1882"/>
      <c r="KNZ29" s="1887"/>
      <c r="KOA29" s="1888"/>
      <c r="KOB29" s="1882"/>
      <c r="KOC29" s="1882"/>
      <c r="KOD29" s="1882"/>
      <c r="KOF29" s="1887"/>
      <c r="KOG29" s="1888"/>
      <c r="KOH29" s="1882"/>
      <c r="KOI29" s="1882"/>
      <c r="KOJ29" s="1882"/>
      <c r="KOL29" s="1887"/>
      <c r="KOM29" s="1888"/>
      <c r="KON29" s="1882"/>
      <c r="KOO29" s="1882"/>
      <c r="KOP29" s="1882"/>
      <c r="KOR29" s="1887"/>
      <c r="KOS29" s="1888"/>
      <c r="KOT29" s="1882"/>
      <c r="KOU29" s="1882"/>
      <c r="KOV29" s="1882"/>
      <c r="KOX29" s="1887"/>
      <c r="KOY29" s="1888"/>
      <c r="KOZ29" s="1882"/>
      <c r="KPA29" s="1882"/>
      <c r="KPB29" s="1882"/>
      <c r="KPD29" s="1887"/>
      <c r="KPE29" s="1888"/>
      <c r="KPF29" s="1882"/>
      <c r="KPG29" s="1882"/>
      <c r="KPH29" s="1882"/>
      <c r="KPJ29" s="1887"/>
      <c r="KPK29" s="1888"/>
      <c r="KPL29" s="1882"/>
      <c r="KPM29" s="1882"/>
      <c r="KPN29" s="1882"/>
      <c r="KPP29" s="1887"/>
      <c r="KPQ29" s="1888"/>
      <c r="KPR29" s="1882"/>
      <c r="KPS29" s="1882"/>
      <c r="KPT29" s="1882"/>
      <c r="KPV29" s="1887"/>
      <c r="KPW29" s="1888"/>
      <c r="KPX29" s="1882"/>
      <c r="KPY29" s="1882"/>
      <c r="KPZ29" s="1882"/>
      <c r="KQB29" s="1887"/>
      <c r="KQC29" s="1888"/>
      <c r="KQD29" s="1882"/>
      <c r="KQE29" s="1882"/>
      <c r="KQF29" s="1882"/>
      <c r="KQH29" s="1887"/>
      <c r="KQI29" s="1888"/>
      <c r="KQJ29" s="1882"/>
      <c r="KQK29" s="1882"/>
      <c r="KQL29" s="1882"/>
      <c r="KQN29" s="1887"/>
      <c r="KQO29" s="1888"/>
      <c r="KQP29" s="1882"/>
      <c r="KQQ29" s="1882"/>
      <c r="KQR29" s="1882"/>
      <c r="KQT29" s="1887"/>
      <c r="KQU29" s="1888"/>
      <c r="KQV29" s="1882"/>
      <c r="KQW29" s="1882"/>
      <c r="KQX29" s="1882"/>
      <c r="KQZ29" s="1887"/>
      <c r="KRA29" s="1888"/>
      <c r="KRB29" s="1882"/>
      <c r="KRC29" s="1882"/>
      <c r="KRD29" s="1882"/>
      <c r="KRF29" s="1887"/>
      <c r="KRG29" s="1888"/>
      <c r="KRH29" s="1882"/>
      <c r="KRI29" s="1882"/>
      <c r="KRJ29" s="1882"/>
      <c r="KRL29" s="1887"/>
      <c r="KRM29" s="1888"/>
      <c r="KRN29" s="1882"/>
      <c r="KRO29" s="1882"/>
      <c r="KRP29" s="1882"/>
      <c r="KRR29" s="1887"/>
      <c r="KRS29" s="1888"/>
      <c r="KRT29" s="1882"/>
      <c r="KRU29" s="1882"/>
      <c r="KRV29" s="1882"/>
      <c r="KRX29" s="1887"/>
      <c r="KRY29" s="1888"/>
      <c r="KRZ29" s="1882"/>
      <c r="KSA29" s="1882"/>
      <c r="KSB29" s="1882"/>
      <c r="KSD29" s="1887"/>
      <c r="KSE29" s="1888"/>
      <c r="KSF29" s="1882"/>
      <c r="KSG29" s="1882"/>
      <c r="KSH29" s="1882"/>
      <c r="KSJ29" s="1887"/>
      <c r="KSK29" s="1888"/>
      <c r="KSL29" s="1882"/>
      <c r="KSM29" s="1882"/>
      <c r="KSN29" s="1882"/>
      <c r="KSP29" s="1887"/>
      <c r="KSQ29" s="1888"/>
      <c r="KSR29" s="1882"/>
      <c r="KSS29" s="1882"/>
      <c r="KST29" s="1882"/>
      <c r="KSV29" s="1887"/>
      <c r="KSW29" s="1888"/>
      <c r="KSX29" s="1882"/>
      <c r="KSY29" s="1882"/>
      <c r="KSZ29" s="1882"/>
      <c r="KTB29" s="1887"/>
      <c r="KTC29" s="1888"/>
      <c r="KTD29" s="1882"/>
      <c r="KTE29" s="1882"/>
      <c r="KTF29" s="1882"/>
      <c r="KTH29" s="1887"/>
      <c r="KTI29" s="1888"/>
      <c r="KTJ29" s="1882"/>
      <c r="KTK29" s="1882"/>
      <c r="KTL29" s="1882"/>
      <c r="KTN29" s="1887"/>
      <c r="KTO29" s="1888"/>
      <c r="KTP29" s="1882"/>
      <c r="KTQ29" s="1882"/>
      <c r="KTR29" s="1882"/>
      <c r="KTT29" s="1887"/>
      <c r="KTU29" s="1888"/>
      <c r="KTV29" s="1882"/>
      <c r="KTW29" s="1882"/>
      <c r="KTX29" s="1882"/>
      <c r="KTZ29" s="1887"/>
      <c r="KUA29" s="1888"/>
      <c r="KUB29" s="1882"/>
      <c r="KUC29" s="1882"/>
      <c r="KUD29" s="1882"/>
      <c r="KUF29" s="1887"/>
      <c r="KUG29" s="1888"/>
      <c r="KUH29" s="1882"/>
      <c r="KUI29" s="1882"/>
      <c r="KUJ29" s="1882"/>
      <c r="KUL29" s="1887"/>
      <c r="KUM29" s="1888"/>
      <c r="KUN29" s="1882"/>
      <c r="KUO29" s="1882"/>
      <c r="KUP29" s="1882"/>
      <c r="KUR29" s="1887"/>
      <c r="KUS29" s="1888"/>
      <c r="KUT29" s="1882"/>
      <c r="KUU29" s="1882"/>
      <c r="KUV29" s="1882"/>
      <c r="KUX29" s="1887"/>
      <c r="KUY29" s="1888"/>
      <c r="KUZ29" s="1882"/>
      <c r="KVA29" s="1882"/>
      <c r="KVB29" s="1882"/>
      <c r="KVD29" s="1887"/>
      <c r="KVE29" s="1888"/>
      <c r="KVF29" s="1882"/>
      <c r="KVG29" s="1882"/>
      <c r="KVH29" s="1882"/>
      <c r="KVJ29" s="1887"/>
      <c r="KVK29" s="1888"/>
      <c r="KVL29" s="1882"/>
      <c r="KVM29" s="1882"/>
      <c r="KVN29" s="1882"/>
      <c r="KVP29" s="1887"/>
      <c r="KVQ29" s="1888"/>
      <c r="KVR29" s="1882"/>
      <c r="KVS29" s="1882"/>
      <c r="KVT29" s="1882"/>
      <c r="KVV29" s="1887"/>
      <c r="KVW29" s="1888"/>
      <c r="KVX29" s="1882"/>
      <c r="KVY29" s="1882"/>
      <c r="KVZ29" s="1882"/>
      <c r="KWB29" s="1887"/>
      <c r="KWC29" s="1888"/>
      <c r="KWD29" s="1882"/>
      <c r="KWE29" s="1882"/>
      <c r="KWF29" s="1882"/>
      <c r="KWH29" s="1887"/>
      <c r="KWI29" s="1888"/>
      <c r="KWJ29" s="1882"/>
      <c r="KWK29" s="1882"/>
      <c r="KWL29" s="1882"/>
      <c r="KWN29" s="1887"/>
      <c r="KWO29" s="1888"/>
      <c r="KWP29" s="1882"/>
      <c r="KWQ29" s="1882"/>
      <c r="KWR29" s="1882"/>
      <c r="KWT29" s="1887"/>
      <c r="KWU29" s="1888"/>
      <c r="KWV29" s="1882"/>
      <c r="KWW29" s="1882"/>
      <c r="KWX29" s="1882"/>
      <c r="KWZ29" s="1887"/>
      <c r="KXA29" s="1888"/>
      <c r="KXB29" s="1882"/>
      <c r="KXC29" s="1882"/>
      <c r="KXD29" s="1882"/>
      <c r="KXF29" s="1887"/>
      <c r="KXG29" s="1888"/>
      <c r="KXH29" s="1882"/>
      <c r="KXI29" s="1882"/>
      <c r="KXJ29" s="1882"/>
      <c r="KXL29" s="1887"/>
      <c r="KXM29" s="1888"/>
      <c r="KXN29" s="1882"/>
      <c r="KXO29" s="1882"/>
      <c r="KXP29" s="1882"/>
      <c r="KXR29" s="1887"/>
      <c r="KXS29" s="1888"/>
      <c r="KXT29" s="1882"/>
      <c r="KXU29" s="1882"/>
      <c r="KXV29" s="1882"/>
      <c r="KXX29" s="1887"/>
      <c r="KXY29" s="1888"/>
      <c r="KXZ29" s="1882"/>
      <c r="KYA29" s="1882"/>
      <c r="KYB29" s="1882"/>
      <c r="KYD29" s="1887"/>
      <c r="KYE29" s="1888"/>
      <c r="KYF29" s="1882"/>
      <c r="KYG29" s="1882"/>
      <c r="KYH29" s="1882"/>
      <c r="KYJ29" s="1887"/>
      <c r="KYK29" s="1888"/>
      <c r="KYL29" s="1882"/>
      <c r="KYM29" s="1882"/>
      <c r="KYN29" s="1882"/>
      <c r="KYP29" s="1887"/>
      <c r="KYQ29" s="1888"/>
      <c r="KYR29" s="1882"/>
      <c r="KYS29" s="1882"/>
      <c r="KYT29" s="1882"/>
      <c r="KYV29" s="1887"/>
      <c r="KYW29" s="1888"/>
      <c r="KYX29" s="1882"/>
      <c r="KYY29" s="1882"/>
      <c r="KYZ29" s="1882"/>
      <c r="KZB29" s="1887"/>
      <c r="KZC29" s="1888"/>
      <c r="KZD29" s="1882"/>
      <c r="KZE29" s="1882"/>
      <c r="KZF29" s="1882"/>
      <c r="KZH29" s="1887"/>
      <c r="KZI29" s="1888"/>
      <c r="KZJ29" s="1882"/>
      <c r="KZK29" s="1882"/>
      <c r="KZL29" s="1882"/>
      <c r="KZN29" s="1887"/>
      <c r="KZO29" s="1888"/>
      <c r="KZP29" s="1882"/>
      <c r="KZQ29" s="1882"/>
      <c r="KZR29" s="1882"/>
      <c r="KZT29" s="1887"/>
      <c r="KZU29" s="1888"/>
      <c r="KZV29" s="1882"/>
      <c r="KZW29" s="1882"/>
      <c r="KZX29" s="1882"/>
      <c r="KZZ29" s="1887"/>
      <c r="LAA29" s="1888"/>
      <c r="LAB29" s="1882"/>
      <c r="LAC29" s="1882"/>
      <c r="LAD29" s="1882"/>
      <c r="LAF29" s="1887"/>
      <c r="LAG29" s="1888"/>
      <c r="LAH29" s="1882"/>
      <c r="LAI29" s="1882"/>
      <c r="LAJ29" s="1882"/>
      <c r="LAL29" s="1887"/>
      <c r="LAM29" s="1888"/>
      <c r="LAN29" s="1882"/>
      <c r="LAO29" s="1882"/>
      <c r="LAP29" s="1882"/>
      <c r="LAR29" s="1887"/>
      <c r="LAS29" s="1888"/>
      <c r="LAT29" s="1882"/>
      <c r="LAU29" s="1882"/>
      <c r="LAV29" s="1882"/>
      <c r="LAX29" s="1887"/>
      <c r="LAY29" s="1888"/>
      <c r="LAZ29" s="1882"/>
      <c r="LBA29" s="1882"/>
      <c r="LBB29" s="1882"/>
      <c r="LBD29" s="1887"/>
      <c r="LBE29" s="1888"/>
      <c r="LBF29" s="1882"/>
      <c r="LBG29" s="1882"/>
      <c r="LBH29" s="1882"/>
      <c r="LBJ29" s="1887"/>
      <c r="LBK29" s="1888"/>
      <c r="LBL29" s="1882"/>
      <c r="LBM29" s="1882"/>
      <c r="LBN29" s="1882"/>
      <c r="LBP29" s="1887"/>
      <c r="LBQ29" s="1888"/>
      <c r="LBR29" s="1882"/>
      <c r="LBS29" s="1882"/>
      <c r="LBT29" s="1882"/>
      <c r="LBV29" s="1887"/>
      <c r="LBW29" s="1888"/>
      <c r="LBX29" s="1882"/>
      <c r="LBY29" s="1882"/>
      <c r="LBZ29" s="1882"/>
      <c r="LCB29" s="1887"/>
      <c r="LCC29" s="1888"/>
      <c r="LCD29" s="1882"/>
      <c r="LCE29" s="1882"/>
      <c r="LCF29" s="1882"/>
      <c r="LCH29" s="1887"/>
      <c r="LCI29" s="1888"/>
      <c r="LCJ29" s="1882"/>
      <c r="LCK29" s="1882"/>
      <c r="LCL29" s="1882"/>
      <c r="LCN29" s="1887"/>
      <c r="LCO29" s="1888"/>
      <c r="LCP29" s="1882"/>
      <c r="LCQ29" s="1882"/>
      <c r="LCR29" s="1882"/>
      <c r="LCT29" s="1887"/>
      <c r="LCU29" s="1888"/>
      <c r="LCV29" s="1882"/>
      <c r="LCW29" s="1882"/>
      <c r="LCX29" s="1882"/>
      <c r="LCZ29" s="1887"/>
      <c r="LDA29" s="1888"/>
      <c r="LDB29" s="1882"/>
      <c r="LDC29" s="1882"/>
      <c r="LDD29" s="1882"/>
      <c r="LDF29" s="1887"/>
      <c r="LDG29" s="1888"/>
      <c r="LDH29" s="1882"/>
      <c r="LDI29" s="1882"/>
      <c r="LDJ29" s="1882"/>
      <c r="LDL29" s="1887"/>
      <c r="LDM29" s="1888"/>
      <c r="LDN29" s="1882"/>
      <c r="LDO29" s="1882"/>
      <c r="LDP29" s="1882"/>
      <c r="LDR29" s="1887"/>
      <c r="LDS29" s="1888"/>
      <c r="LDT29" s="1882"/>
      <c r="LDU29" s="1882"/>
      <c r="LDV29" s="1882"/>
      <c r="LDX29" s="1887"/>
      <c r="LDY29" s="1888"/>
      <c r="LDZ29" s="1882"/>
      <c r="LEA29" s="1882"/>
      <c r="LEB29" s="1882"/>
      <c r="LED29" s="1887"/>
      <c r="LEE29" s="1888"/>
      <c r="LEF29" s="1882"/>
      <c r="LEG29" s="1882"/>
      <c r="LEH29" s="1882"/>
      <c r="LEJ29" s="1887"/>
      <c r="LEK29" s="1888"/>
      <c r="LEL29" s="1882"/>
      <c r="LEM29" s="1882"/>
      <c r="LEN29" s="1882"/>
      <c r="LEP29" s="1887"/>
      <c r="LEQ29" s="1888"/>
      <c r="LER29" s="1882"/>
      <c r="LES29" s="1882"/>
      <c r="LET29" s="1882"/>
      <c r="LEV29" s="1887"/>
      <c r="LEW29" s="1888"/>
      <c r="LEX29" s="1882"/>
      <c r="LEY29" s="1882"/>
      <c r="LEZ29" s="1882"/>
      <c r="LFB29" s="1887"/>
      <c r="LFC29" s="1888"/>
      <c r="LFD29" s="1882"/>
      <c r="LFE29" s="1882"/>
      <c r="LFF29" s="1882"/>
      <c r="LFH29" s="1887"/>
      <c r="LFI29" s="1888"/>
      <c r="LFJ29" s="1882"/>
      <c r="LFK29" s="1882"/>
      <c r="LFL29" s="1882"/>
      <c r="LFN29" s="1887"/>
      <c r="LFO29" s="1888"/>
      <c r="LFP29" s="1882"/>
      <c r="LFQ29" s="1882"/>
      <c r="LFR29" s="1882"/>
      <c r="LFT29" s="1887"/>
      <c r="LFU29" s="1888"/>
      <c r="LFV29" s="1882"/>
      <c r="LFW29" s="1882"/>
      <c r="LFX29" s="1882"/>
      <c r="LFZ29" s="1887"/>
      <c r="LGA29" s="1888"/>
      <c r="LGB29" s="1882"/>
      <c r="LGC29" s="1882"/>
      <c r="LGD29" s="1882"/>
      <c r="LGF29" s="1887"/>
      <c r="LGG29" s="1888"/>
      <c r="LGH29" s="1882"/>
      <c r="LGI29" s="1882"/>
      <c r="LGJ29" s="1882"/>
      <c r="LGL29" s="1887"/>
      <c r="LGM29" s="1888"/>
      <c r="LGN29" s="1882"/>
      <c r="LGO29" s="1882"/>
      <c r="LGP29" s="1882"/>
      <c r="LGR29" s="1887"/>
      <c r="LGS29" s="1888"/>
      <c r="LGT29" s="1882"/>
      <c r="LGU29" s="1882"/>
      <c r="LGV29" s="1882"/>
      <c r="LGX29" s="1887"/>
      <c r="LGY29" s="1888"/>
      <c r="LGZ29" s="1882"/>
      <c r="LHA29" s="1882"/>
      <c r="LHB29" s="1882"/>
      <c r="LHD29" s="1887"/>
      <c r="LHE29" s="1888"/>
      <c r="LHF29" s="1882"/>
      <c r="LHG29" s="1882"/>
      <c r="LHH29" s="1882"/>
      <c r="LHJ29" s="1887"/>
      <c r="LHK29" s="1888"/>
      <c r="LHL29" s="1882"/>
      <c r="LHM29" s="1882"/>
      <c r="LHN29" s="1882"/>
      <c r="LHP29" s="1887"/>
      <c r="LHQ29" s="1888"/>
      <c r="LHR29" s="1882"/>
      <c r="LHS29" s="1882"/>
      <c r="LHT29" s="1882"/>
      <c r="LHV29" s="1887"/>
      <c r="LHW29" s="1888"/>
      <c r="LHX29" s="1882"/>
      <c r="LHY29" s="1882"/>
      <c r="LHZ29" s="1882"/>
      <c r="LIB29" s="1887"/>
      <c r="LIC29" s="1888"/>
      <c r="LID29" s="1882"/>
      <c r="LIE29" s="1882"/>
      <c r="LIF29" s="1882"/>
      <c r="LIH29" s="1887"/>
      <c r="LII29" s="1888"/>
      <c r="LIJ29" s="1882"/>
      <c r="LIK29" s="1882"/>
      <c r="LIL29" s="1882"/>
      <c r="LIN29" s="1887"/>
      <c r="LIO29" s="1888"/>
      <c r="LIP29" s="1882"/>
      <c r="LIQ29" s="1882"/>
      <c r="LIR29" s="1882"/>
      <c r="LIT29" s="1887"/>
      <c r="LIU29" s="1888"/>
      <c r="LIV29" s="1882"/>
      <c r="LIW29" s="1882"/>
      <c r="LIX29" s="1882"/>
      <c r="LIZ29" s="1887"/>
      <c r="LJA29" s="1888"/>
      <c r="LJB29" s="1882"/>
      <c r="LJC29" s="1882"/>
      <c r="LJD29" s="1882"/>
      <c r="LJF29" s="1887"/>
      <c r="LJG29" s="1888"/>
      <c r="LJH29" s="1882"/>
      <c r="LJI29" s="1882"/>
      <c r="LJJ29" s="1882"/>
      <c r="LJL29" s="1887"/>
      <c r="LJM29" s="1888"/>
      <c r="LJN29" s="1882"/>
      <c r="LJO29" s="1882"/>
      <c r="LJP29" s="1882"/>
      <c r="LJR29" s="1887"/>
      <c r="LJS29" s="1888"/>
      <c r="LJT29" s="1882"/>
      <c r="LJU29" s="1882"/>
      <c r="LJV29" s="1882"/>
      <c r="LJX29" s="1887"/>
      <c r="LJY29" s="1888"/>
      <c r="LJZ29" s="1882"/>
      <c r="LKA29" s="1882"/>
      <c r="LKB29" s="1882"/>
      <c r="LKD29" s="1887"/>
      <c r="LKE29" s="1888"/>
      <c r="LKF29" s="1882"/>
      <c r="LKG29" s="1882"/>
      <c r="LKH29" s="1882"/>
      <c r="LKJ29" s="1887"/>
      <c r="LKK29" s="1888"/>
      <c r="LKL29" s="1882"/>
      <c r="LKM29" s="1882"/>
      <c r="LKN29" s="1882"/>
      <c r="LKP29" s="1887"/>
      <c r="LKQ29" s="1888"/>
      <c r="LKR29" s="1882"/>
      <c r="LKS29" s="1882"/>
      <c r="LKT29" s="1882"/>
      <c r="LKV29" s="1887"/>
      <c r="LKW29" s="1888"/>
      <c r="LKX29" s="1882"/>
      <c r="LKY29" s="1882"/>
      <c r="LKZ29" s="1882"/>
      <c r="LLB29" s="1887"/>
      <c r="LLC29" s="1888"/>
      <c r="LLD29" s="1882"/>
      <c r="LLE29" s="1882"/>
      <c r="LLF29" s="1882"/>
      <c r="LLH29" s="1887"/>
      <c r="LLI29" s="1888"/>
      <c r="LLJ29" s="1882"/>
      <c r="LLK29" s="1882"/>
      <c r="LLL29" s="1882"/>
      <c r="LLN29" s="1887"/>
      <c r="LLO29" s="1888"/>
      <c r="LLP29" s="1882"/>
      <c r="LLQ29" s="1882"/>
      <c r="LLR29" s="1882"/>
      <c r="LLT29" s="1887"/>
      <c r="LLU29" s="1888"/>
      <c r="LLV29" s="1882"/>
      <c r="LLW29" s="1882"/>
      <c r="LLX29" s="1882"/>
      <c r="LLZ29" s="1887"/>
      <c r="LMA29" s="1888"/>
      <c r="LMB29" s="1882"/>
      <c r="LMC29" s="1882"/>
      <c r="LMD29" s="1882"/>
      <c r="LMF29" s="1887"/>
      <c r="LMG29" s="1888"/>
      <c r="LMH29" s="1882"/>
      <c r="LMI29" s="1882"/>
      <c r="LMJ29" s="1882"/>
      <c r="LML29" s="1887"/>
      <c r="LMM29" s="1888"/>
      <c r="LMN29" s="1882"/>
      <c r="LMO29" s="1882"/>
      <c r="LMP29" s="1882"/>
      <c r="LMR29" s="1887"/>
      <c r="LMS29" s="1888"/>
      <c r="LMT29" s="1882"/>
      <c r="LMU29" s="1882"/>
      <c r="LMV29" s="1882"/>
      <c r="LMX29" s="1887"/>
      <c r="LMY29" s="1888"/>
      <c r="LMZ29" s="1882"/>
      <c r="LNA29" s="1882"/>
      <c r="LNB29" s="1882"/>
      <c r="LND29" s="1887"/>
      <c r="LNE29" s="1888"/>
      <c r="LNF29" s="1882"/>
      <c r="LNG29" s="1882"/>
      <c r="LNH29" s="1882"/>
      <c r="LNJ29" s="1887"/>
      <c r="LNK29" s="1888"/>
      <c r="LNL29" s="1882"/>
      <c r="LNM29" s="1882"/>
      <c r="LNN29" s="1882"/>
      <c r="LNP29" s="1887"/>
      <c r="LNQ29" s="1888"/>
      <c r="LNR29" s="1882"/>
      <c r="LNS29" s="1882"/>
      <c r="LNT29" s="1882"/>
      <c r="LNV29" s="1887"/>
      <c r="LNW29" s="1888"/>
      <c r="LNX29" s="1882"/>
      <c r="LNY29" s="1882"/>
      <c r="LNZ29" s="1882"/>
      <c r="LOB29" s="1887"/>
      <c r="LOC29" s="1888"/>
      <c r="LOD29" s="1882"/>
      <c r="LOE29" s="1882"/>
      <c r="LOF29" s="1882"/>
      <c r="LOH29" s="1887"/>
      <c r="LOI29" s="1888"/>
      <c r="LOJ29" s="1882"/>
      <c r="LOK29" s="1882"/>
      <c r="LOL29" s="1882"/>
      <c r="LON29" s="1887"/>
      <c r="LOO29" s="1888"/>
      <c r="LOP29" s="1882"/>
      <c r="LOQ29" s="1882"/>
      <c r="LOR29" s="1882"/>
      <c r="LOT29" s="1887"/>
      <c r="LOU29" s="1888"/>
      <c r="LOV29" s="1882"/>
      <c r="LOW29" s="1882"/>
      <c r="LOX29" s="1882"/>
      <c r="LOZ29" s="1887"/>
      <c r="LPA29" s="1888"/>
      <c r="LPB29" s="1882"/>
      <c r="LPC29" s="1882"/>
      <c r="LPD29" s="1882"/>
      <c r="LPF29" s="1887"/>
      <c r="LPG29" s="1888"/>
      <c r="LPH29" s="1882"/>
      <c r="LPI29" s="1882"/>
      <c r="LPJ29" s="1882"/>
      <c r="LPL29" s="1887"/>
      <c r="LPM29" s="1888"/>
      <c r="LPN29" s="1882"/>
      <c r="LPO29" s="1882"/>
      <c r="LPP29" s="1882"/>
      <c r="LPR29" s="1887"/>
      <c r="LPS29" s="1888"/>
      <c r="LPT29" s="1882"/>
      <c r="LPU29" s="1882"/>
      <c r="LPV29" s="1882"/>
      <c r="LPX29" s="1887"/>
      <c r="LPY29" s="1888"/>
      <c r="LPZ29" s="1882"/>
      <c r="LQA29" s="1882"/>
      <c r="LQB29" s="1882"/>
      <c r="LQD29" s="1887"/>
      <c r="LQE29" s="1888"/>
      <c r="LQF29" s="1882"/>
      <c r="LQG29" s="1882"/>
      <c r="LQH29" s="1882"/>
      <c r="LQJ29" s="1887"/>
      <c r="LQK29" s="1888"/>
      <c r="LQL29" s="1882"/>
      <c r="LQM29" s="1882"/>
      <c r="LQN29" s="1882"/>
      <c r="LQP29" s="1887"/>
      <c r="LQQ29" s="1888"/>
      <c r="LQR29" s="1882"/>
      <c r="LQS29" s="1882"/>
      <c r="LQT29" s="1882"/>
      <c r="LQV29" s="1887"/>
      <c r="LQW29" s="1888"/>
      <c r="LQX29" s="1882"/>
      <c r="LQY29" s="1882"/>
      <c r="LQZ29" s="1882"/>
      <c r="LRB29" s="1887"/>
      <c r="LRC29" s="1888"/>
      <c r="LRD29" s="1882"/>
      <c r="LRE29" s="1882"/>
      <c r="LRF29" s="1882"/>
      <c r="LRH29" s="1887"/>
      <c r="LRI29" s="1888"/>
      <c r="LRJ29" s="1882"/>
      <c r="LRK29" s="1882"/>
      <c r="LRL29" s="1882"/>
      <c r="LRN29" s="1887"/>
      <c r="LRO29" s="1888"/>
      <c r="LRP29" s="1882"/>
      <c r="LRQ29" s="1882"/>
      <c r="LRR29" s="1882"/>
      <c r="LRT29" s="1887"/>
      <c r="LRU29" s="1888"/>
      <c r="LRV29" s="1882"/>
      <c r="LRW29" s="1882"/>
      <c r="LRX29" s="1882"/>
      <c r="LRZ29" s="1887"/>
      <c r="LSA29" s="1888"/>
      <c r="LSB29" s="1882"/>
      <c r="LSC29" s="1882"/>
      <c r="LSD29" s="1882"/>
      <c r="LSF29" s="1887"/>
      <c r="LSG29" s="1888"/>
      <c r="LSH29" s="1882"/>
      <c r="LSI29" s="1882"/>
      <c r="LSJ29" s="1882"/>
      <c r="LSL29" s="1887"/>
      <c r="LSM29" s="1888"/>
      <c r="LSN29" s="1882"/>
      <c r="LSO29" s="1882"/>
      <c r="LSP29" s="1882"/>
      <c r="LSR29" s="1887"/>
      <c r="LSS29" s="1888"/>
      <c r="LST29" s="1882"/>
      <c r="LSU29" s="1882"/>
      <c r="LSV29" s="1882"/>
      <c r="LSX29" s="1887"/>
      <c r="LSY29" s="1888"/>
      <c r="LSZ29" s="1882"/>
      <c r="LTA29" s="1882"/>
      <c r="LTB29" s="1882"/>
      <c r="LTD29" s="1887"/>
      <c r="LTE29" s="1888"/>
      <c r="LTF29" s="1882"/>
      <c r="LTG29" s="1882"/>
      <c r="LTH29" s="1882"/>
      <c r="LTJ29" s="1887"/>
      <c r="LTK29" s="1888"/>
      <c r="LTL29" s="1882"/>
      <c r="LTM29" s="1882"/>
      <c r="LTN29" s="1882"/>
      <c r="LTP29" s="1887"/>
      <c r="LTQ29" s="1888"/>
      <c r="LTR29" s="1882"/>
      <c r="LTS29" s="1882"/>
      <c r="LTT29" s="1882"/>
      <c r="LTV29" s="1887"/>
      <c r="LTW29" s="1888"/>
      <c r="LTX29" s="1882"/>
      <c r="LTY29" s="1882"/>
      <c r="LTZ29" s="1882"/>
      <c r="LUB29" s="1887"/>
      <c r="LUC29" s="1888"/>
      <c r="LUD29" s="1882"/>
      <c r="LUE29" s="1882"/>
      <c r="LUF29" s="1882"/>
      <c r="LUH29" s="1887"/>
      <c r="LUI29" s="1888"/>
      <c r="LUJ29" s="1882"/>
      <c r="LUK29" s="1882"/>
      <c r="LUL29" s="1882"/>
      <c r="LUN29" s="1887"/>
      <c r="LUO29" s="1888"/>
      <c r="LUP29" s="1882"/>
      <c r="LUQ29" s="1882"/>
      <c r="LUR29" s="1882"/>
      <c r="LUT29" s="1887"/>
      <c r="LUU29" s="1888"/>
      <c r="LUV29" s="1882"/>
      <c r="LUW29" s="1882"/>
      <c r="LUX29" s="1882"/>
      <c r="LUZ29" s="1887"/>
      <c r="LVA29" s="1888"/>
      <c r="LVB29" s="1882"/>
      <c r="LVC29" s="1882"/>
      <c r="LVD29" s="1882"/>
      <c r="LVF29" s="1887"/>
      <c r="LVG29" s="1888"/>
      <c r="LVH29" s="1882"/>
      <c r="LVI29" s="1882"/>
      <c r="LVJ29" s="1882"/>
      <c r="LVL29" s="1887"/>
      <c r="LVM29" s="1888"/>
      <c r="LVN29" s="1882"/>
      <c r="LVO29" s="1882"/>
      <c r="LVP29" s="1882"/>
      <c r="LVR29" s="1887"/>
      <c r="LVS29" s="1888"/>
      <c r="LVT29" s="1882"/>
      <c r="LVU29" s="1882"/>
      <c r="LVV29" s="1882"/>
      <c r="LVX29" s="1887"/>
      <c r="LVY29" s="1888"/>
      <c r="LVZ29" s="1882"/>
      <c r="LWA29" s="1882"/>
      <c r="LWB29" s="1882"/>
      <c r="LWD29" s="1887"/>
      <c r="LWE29" s="1888"/>
      <c r="LWF29" s="1882"/>
      <c r="LWG29" s="1882"/>
      <c r="LWH29" s="1882"/>
      <c r="LWJ29" s="1887"/>
      <c r="LWK29" s="1888"/>
      <c r="LWL29" s="1882"/>
      <c r="LWM29" s="1882"/>
      <c r="LWN29" s="1882"/>
      <c r="LWP29" s="1887"/>
      <c r="LWQ29" s="1888"/>
      <c r="LWR29" s="1882"/>
      <c r="LWS29" s="1882"/>
      <c r="LWT29" s="1882"/>
      <c r="LWV29" s="1887"/>
      <c r="LWW29" s="1888"/>
      <c r="LWX29" s="1882"/>
      <c r="LWY29" s="1882"/>
      <c r="LWZ29" s="1882"/>
      <c r="LXB29" s="1887"/>
      <c r="LXC29" s="1888"/>
      <c r="LXD29" s="1882"/>
      <c r="LXE29" s="1882"/>
      <c r="LXF29" s="1882"/>
      <c r="LXH29" s="1887"/>
      <c r="LXI29" s="1888"/>
      <c r="LXJ29" s="1882"/>
      <c r="LXK29" s="1882"/>
      <c r="LXL29" s="1882"/>
      <c r="LXN29" s="1887"/>
      <c r="LXO29" s="1888"/>
      <c r="LXP29" s="1882"/>
      <c r="LXQ29" s="1882"/>
      <c r="LXR29" s="1882"/>
      <c r="LXT29" s="1887"/>
      <c r="LXU29" s="1888"/>
      <c r="LXV29" s="1882"/>
      <c r="LXW29" s="1882"/>
      <c r="LXX29" s="1882"/>
      <c r="LXZ29" s="1887"/>
      <c r="LYA29" s="1888"/>
      <c r="LYB29" s="1882"/>
      <c r="LYC29" s="1882"/>
      <c r="LYD29" s="1882"/>
      <c r="LYF29" s="1887"/>
      <c r="LYG29" s="1888"/>
      <c r="LYH29" s="1882"/>
      <c r="LYI29" s="1882"/>
      <c r="LYJ29" s="1882"/>
      <c r="LYL29" s="1887"/>
      <c r="LYM29" s="1888"/>
      <c r="LYN29" s="1882"/>
      <c r="LYO29" s="1882"/>
      <c r="LYP29" s="1882"/>
      <c r="LYR29" s="1887"/>
      <c r="LYS29" s="1888"/>
      <c r="LYT29" s="1882"/>
      <c r="LYU29" s="1882"/>
      <c r="LYV29" s="1882"/>
      <c r="LYX29" s="1887"/>
      <c r="LYY29" s="1888"/>
      <c r="LYZ29" s="1882"/>
      <c r="LZA29" s="1882"/>
      <c r="LZB29" s="1882"/>
      <c r="LZD29" s="1887"/>
      <c r="LZE29" s="1888"/>
      <c r="LZF29" s="1882"/>
      <c r="LZG29" s="1882"/>
      <c r="LZH29" s="1882"/>
      <c r="LZJ29" s="1887"/>
      <c r="LZK29" s="1888"/>
      <c r="LZL29" s="1882"/>
      <c r="LZM29" s="1882"/>
      <c r="LZN29" s="1882"/>
      <c r="LZP29" s="1887"/>
      <c r="LZQ29" s="1888"/>
      <c r="LZR29" s="1882"/>
      <c r="LZS29" s="1882"/>
      <c r="LZT29" s="1882"/>
      <c r="LZV29" s="1887"/>
      <c r="LZW29" s="1888"/>
      <c r="LZX29" s="1882"/>
      <c r="LZY29" s="1882"/>
      <c r="LZZ29" s="1882"/>
      <c r="MAB29" s="1887"/>
      <c r="MAC29" s="1888"/>
      <c r="MAD29" s="1882"/>
      <c r="MAE29" s="1882"/>
      <c r="MAF29" s="1882"/>
      <c r="MAH29" s="1887"/>
      <c r="MAI29" s="1888"/>
      <c r="MAJ29" s="1882"/>
      <c r="MAK29" s="1882"/>
      <c r="MAL29" s="1882"/>
      <c r="MAN29" s="1887"/>
      <c r="MAO29" s="1888"/>
      <c r="MAP29" s="1882"/>
      <c r="MAQ29" s="1882"/>
      <c r="MAR29" s="1882"/>
      <c r="MAT29" s="1887"/>
      <c r="MAU29" s="1888"/>
      <c r="MAV29" s="1882"/>
      <c r="MAW29" s="1882"/>
      <c r="MAX29" s="1882"/>
      <c r="MAZ29" s="1887"/>
      <c r="MBA29" s="1888"/>
      <c r="MBB29" s="1882"/>
      <c r="MBC29" s="1882"/>
      <c r="MBD29" s="1882"/>
      <c r="MBF29" s="1887"/>
      <c r="MBG29" s="1888"/>
      <c r="MBH29" s="1882"/>
      <c r="MBI29" s="1882"/>
      <c r="MBJ29" s="1882"/>
      <c r="MBL29" s="1887"/>
      <c r="MBM29" s="1888"/>
      <c r="MBN29" s="1882"/>
      <c r="MBO29" s="1882"/>
      <c r="MBP29" s="1882"/>
      <c r="MBR29" s="1887"/>
      <c r="MBS29" s="1888"/>
      <c r="MBT29" s="1882"/>
      <c r="MBU29" s="1882"/>
      <c r="MBV29" s="1882"/>
      <c r="MBX29" s="1887"/>
      <c r="MBY29" s="1888"/>
      <c r="MBZ29" s="1882"/>
      <c r="MCA29" s="1882"/>
      <c r="MCB29" s="1882"/>
      <c r="MCD29" s="1887"/>
      <c r="MCE29" s="1888"/>
      <c r="MCF29" s="1882"/>
      <c r="MCG29" s="1882"/>
      <c r="MCH29" s="1882"/>
      <c r="MCJ29" s="1887"/>
      <c r="MCK29" s="1888"/>
      <c r="MCL29" s="1882"/>
      <c r="MCM29" s="1882"/>
      <c r="MCN29" s="1882"/>
      <c r="MCP29" s="1887"/>
      <c r="MCQ29" s="1888"/>
      <c r="MCR29" s="1882"/>
      <c r="MCS29" s="1882"/>
      <c r="MCT29" s="1882"/>
      <c r="MCV29" s="1887"/>
      <c r="MCW29" s="1888"/>
      <c r="MCX29" s="1882"/>
      <c r="MCY29" s="1882"/>
      <c r="MCZ29" s="1882"/>
      <c r="MDB29" s="1887"/>
      <c r="MDC29" s="1888"/>
      <c r="MDD29" s="1882"/>
      <c r="MDE29" s="1882"/>
      <c r="MDF29" s="1882"/>
      <c r="MDH29" s="1887"/>
      <c r="MDI29" s="1888"/>
      <c r="MDJ29" s="1882"/>
      <c r="MDK29" s="1882"/>
      <c r="MDL29" s="1882"/>
      <c r="MDN29" s="1887"/>
      <c r="MDO29" s="1888"/>
      <c r="MDP29" s="1882"/>
      <c r="MDQ29" s="1882"/>
      <c r="MDR29" s="1882"/>
      <c r="MDT29" s="1887"/>
      <c r="MDU29" s="1888"/>
      <c r="MDV29" s="1882"/>
      <c r="MDW29" s="1882"/>
      <c r="MDX29" s="1882"/>
      <c r="MDZ29" s="1887"/>
      <c r="MEA29" s="1888"/>
      <c r="MEB29" s="1882"/>
      <c r="MEC29" s="1882"/>
      <c r="MED29" s="1882"/>
      <c r="MEF29" s="1887"/>
      <c r="MEG29" s="1888"/>
      <c r="MEH29" s="1882"/>
      <c r="MEI29" s="1882"/>
      <c r="MEJ29" s="1882"/>
      <c r="MEL29" s="1887"/>
      <c r="MEM29" s="1888"/>
      <c r="MEN29" s="1882"/>
      <c r="MEO29" s="1882"/>
      <c r="MEP29" s="1882"/>
      <c r="MER29" s="1887"/>
      <c r="MES29" s="1888"/>
      <c r="MET29" s="1882"/>
      <c r="MEU29" s="1882"/>
      <c r="MEV29" s="1882"/>
      <c r="MEX29" s="1887"/>
      <c r="MEY29" s="1888"/>
      <c r="MEZ29" s="1882"/>
      <c r="MFA29" s="1882"/>
      <c r="MFB29" s="1882"/>
      <c r="MFD29" s="1887"/>
      <c r="MFE29" s="1888"/>
      <c r="MFF29" s="1882"/>
      <c r="MFG29" s="1882"/>
      <c r="MFH29" s="1882"/>
      <c r="MFJ29" s="1887"/>
      <c r="MFK29" s="1888"/>
      <c r="MFL29" s="1882"/>
      <c r="MFM29" s="1882"/>
      <c r="MFN29" s="1882"/>
      <c r="MFP29" s="1887"/>
      <c r="MFQ29" s="1888"/>
      <c r="MFR29" s="1882"/>
      <c r="MFS29" s="1882"/>
      <c r="MFT29" s="1882"/>
      <c r="MFV29" s="1887"/>
      <c r="MFW29" s="1888"/>
      <c r="MFX29" s="1882"/>
      <c r="MFY29" s="1882"/>
      <c r="MFZ29" s="1882"/>
      <c r="MGB29" s="1887"/>
      <c r="MGC29" s="1888"/>
      <c r="MGD29" s="1882"/>
      <c r="MGE29" s="1882"/>
      <c r="MGF29" s="1882"/>
      <c r="MGH29" s="1887"/>
      <c r="MGI29" s="1888"/>
      <c r="MGJ29" s="1882"/>
      <c r="MGK29" s="1882"/>
      <c r="MGL29" s="1882"/>
      <c r="MGN29" s="1887"/>
      <c r="MGO29" s="1888"/>
      <c r="MGP29" s="1882"/>
      <c r="MGQ29" s="1882"/>
      <c r="MGR29" s="1882"/>
      <c r="MGT29" s="1887"/>
      <c r="MGU29" s="1888"/>
      <c r="MGV29" s="1882"/>
      <c r="MGW29" s="1882"/>
      <c r="MGX29" s="1882"/>
      <c r="MGZ29" s="1887"/>
      <c r="MHA29" s="1888"/>
      <c r="MHB29" s="1882"/>
      <c r="MHC29" s="1882"/>
      <c r="MHD29" s="1882"/>
      <c r="MHF29" s="1887"/>
      <c r="MHG29" s="1888"/>
      <c r="MHH29" s="1882"/>
      <c r="MHI29" s="1882"/>
      <c r="MHJ29" s="1882"/>
      <c r="MHL29" s="1887"/>
      <c r="MHM29" s="1888"/>
      <c r="MHN29" s="1882"/>
      <c r="MHO29" s="1882"/>
      <c r="MHP29" s="1882"/>
      <c r="MHR29" s="1887"/>
      <c r="MHS29" s="1888"/>
      <c r="MHT29" s="1882"/>
      <c r="MHU29" s="1882"/>
      <c r="MHV29" s="1882"/>
      <c r="MHX29" s="1887"/>
      <c r="MHY29" s="1888"/>
      <c r="MHZ29" s="1882"/>
      <c r="MIA29" s="1882"/>
      <c r="MIB29" s="1882"/>
      <c r="MID29" s="1887"/>
      <c r="MIE29" s="1888"/>
      <c r="MIF29" s="1882"/>
      <c r="MIG29" s="1882"/>
      <c r="MIH29" s="1882"/>
      <c r="MIJ29" s="1887"/>
      <c r="MIK29" s="1888"/>
      <c r="MIL29" s="1882"/>
      <c r="MIM29" s="1882"/>
      <c r="MIN29" s="1882"/>
      <c r="MIP29" s="1887"/>
      <c r="MIQ29" s="1888"/>
      <c r="MIR29" s="1882"/>
      <c r="MIS29" s="1882"/>
      <c r="MIT29" s="1882"/>
      <c r="MIV29" s="1887"/>
      <c r="MIW29" s="1888"/>
      <c r="MIX29" s="1882"/>
      <c r="MIY29" s="1882"/>
      <c r="MIZ29" s="1882"/>
      <c r="MJB29" s="1887"/>
      <c r="MJC29" s="1888"/>
      <c r="MJD29" s="1882"/>
      <c r="MJE29" s="1882"/>
      <c r="MJF29" s="1882"/>
      <c r="MJH29" s="1887"/>
      <c r="MJI29" s="1888"/>
      <c r="MJJ29" s="1882"/>
      <c r="MJK29" s="1882"/>
      <c r="MJL29" s="1882"/>
      <c r="MJN29" s="1887"/>
      <c r="MJO29" s="1888"/>
      <c r="MJP29" s="1882"/>
      <c r="MJQ29" s="1882"/>
      <c r="MJR29" s="1882"/>
      <c r="MJT29" s="1887"/>
      <c r="MJU29" s="1888"/>
      <c r="MJV29" s="1882"/>
      <c r="MJW29" s="1882"/>
      <c r="MJX29" s="1882"/>
      <c r="MJZ29" s="1887"/>
      <c r="MKA29" s="1888"/>
      <c r="MKB29" s="1882"/>
      <c r="MKC29" s="1882"/>
      <c r="MKD29" s="1882"/>
      <c r="MKF29" s="1887"/>
      <c r="MKG29" s="1888"/>
      <c r="MKH29" s="1882"/>
      <c r="MKI29" s="1882"/>
      <c r="MKJ29" s="1882"/>
      <c r="MKL29" s="1887"/>
      <c r="MKM29" s="1888"/>
      <c r="MKN29" s="1882"/>
      <c r="MKO29" s="1882"/>
      <c r="MKP29" s="1882"/>
      <c r="MKR29" s="1887"/>
      <c r="MKS29" s="1888"/>
      <c r="MKT29" s="1882"/>
      <c r="MKU29" s="1882"/>
      <c r="MKV29" s="1882"/>
      <c r="MKX29" s="1887"/>
      <c r="MKY29" s="1888"/>
      <c r="MKZ29" s="1882"/>
      <c r="MLA29" s="1882"/>
      <c r="MLB29" s="1882"/>
      <c r="MLD29" s="1887"/>
      <c r="MLE29" s="1888"/>
      <c r="MLF29" s="1882"/>
      <c r="MLG29" s="1882"/>
      <c r="MLH29" s="1882"/>
      <c r="MLJ29" s="1887"/>
      <c r="MLK29" s="1888"/>
      <c r="MLL29" s="1882"/>
      <c r="MLM29" s="1882"/>
      <c r="MLN29" s="1882"/>
      <c r="MLP29" s="1887"/>
      <c r="MLQ29" s="1888"/>
      <c r="MLR29" s="1882"/>
      <c r="MLS29" s="1882"/>
      <c r="MLT29" s="1882"/>
      <c r="MLV29" s="1887"/>
      <c r="MLW29" s="1888"/>
      <c r="MLX29" s="1882"/>
      <c r="MLY29" s="1882"/>
      <c r="MLZ29" s="1882"/>
      <c r="MMB29" s="1887"/>
      <c r="MMC29" s="1888"/>
      <c r="MMD29" s="1882"/>
      <c r="MME29" s="1882"/>
      <c r="MMF29" s="1882"/>
      <c r="MMH29" s="1887"/>
      <c r="MMI29" s="1888"/>
      <c r="MMJ29" s="1882"/>
      <c r="MMK29" s="1882"/>
      <c r="MML29" s="1882"/>
      <c r="MMN29" s="1887"/>
      <c r="MMO29" s="1888"/>
      <c r="MMP29" s="1882"/>
      <c r="MMQ29" s="1882"/>
      <c r="MMR29" s="1882"/>
      <c r="MMT29" s="1887"/>
      <c r="MMU29" s="1888"/>
      <c r="MMV29" s="1882"/>
      <c r="MMW29" s="1882"/>
      <c r="MMX29" s="1882"/>
      <c r="MMZ29" s="1887"/>
      <c r="MNA29" s="1888"/>
      <c r="MNB29" s="1882"/>
      <c r="MNC29" s="1882"/>
      <c r="MND29" s="1882"/>
      <c r="MNF29" s="1887"/>
      <c r="MNG29" s="1888"/>
      <c r="MNH29" s="1882"/>
      <c r="MNI29" s="1882"/>
      <c r="MNJ29" s="1882"/>
      <c r="MNL29" s="1887"/>
      <c r="MNM29" s="1888"/>
      <c r="MNN29" s="1882"/>
      <c r="MNO29" s="1882"/>
      <c r="MNP29" s="1882"/>
      <c r="MNR29" s="1887"/>
      <c r="MNS29" s="1888"/>
      <c r="MNT29" s="1882"/>
      <c r="MNU29" s="1882"/>
      <c r="MNV29" s="1882"/>
      <c r="MNX29" s="1887"/>
      <c r="MNY29" s="1888"/>
      <c r="MNZ29" s="1882"/>
      <c r="MOA29" s="1882"/>
      <c r="MOB29" s="1882"/>
      <c r="MOD29" s="1887"/>
      <c r="MOE29" s="1888"/>
      <c r="MOF29" s="1882"/>
      <c r="MOG29" s="1882"/>
      <c r="MOH29" s="1882"/>
      <c r="MOJ29" s="1887"/>
      <c r="MOK29" s="1888"/>
      <c r="MOL29" s="1882"/>
      <c r="MOM29" s="1882"/>
      <c r="MON29" s="1882"/>
      <c r="MOP29" s="1887"/>
      <c r="MOQ29" s="1888"/>
      <c r="MOR29" s="1882"/>
      <c r="MOS29" s="1882"/>
      <c r="MOT29" s="1882"/>
      <c r="MOV29" s="1887"/>
      <c r="MOW29" s="1888"/>
      <c r="MOX29" s="1882"/>
      <c r="MOY29" s="1882"/>
      <c r="MOZ29" s="1882"/>
      <c r="MPB29" s="1887"/>
      <c r="MPC29" s="1888"/>
      <c r="MPD29" s="1882"/>
      <c r="MPE29" s="1882"/>
      <c r="MPF29" s="1882"/>
      <c r="MPH29" s="1887"/>
      <c r="MPI29" s="1888"/>
      <c r="MPJ29" s="1882"/>
      <c r="MPK29" s="1882"/>
      <c r="MPL29" s="1882"/>
      <c r="MPN29" s="1887"/>
      <c r="MPO29" s="1888"/>
      <c r="MPP29" s="1882"/>
      <c r="MPQ29" s="1882"/>
      <c r="MPR29" s="1882"/>
      <c r="MPT29" s="1887"/>
      <c r="MPU29" s="1888"/>
      <c r="MPV29" s="1882"/>
      <c r="MPW29" s="1882"/>
      <c r="MPX29" s="1882"/>
      <c r="MPZ29" s="1887"/>
      <c r="MQA29" s="1888"/>
      <c r="MQB29" s="1882"/>
      <c r="MQC29" s="1882"/>
      <c r="MQD29" s="1882"/>
      <c r="MQF29" s="1887"/>
      <c r="MQG29" s="1888"/>
      <c r="MQH29" s="1882"/>
      <c r="MQI29" s="1882"/>
      <c r="MQJ29" s="1882"/>
      <c r="MQL29" s="1887"/>
      <c r="MQM29" s="1888"/>
      <c r="MQN29" s="1882"/>
      <c r="MQO29" s="1882"/>
      <c r="MQP29" s="1882"/>
      <c r="MQR29" s="1887"/>
      <c r="MQS29" s="1888"/>
      <c r="MQT29" s="1882"/>
      <c r="MQU29" s="1882"/>
      <c r="MQV29" s="1882"/>
      <c r="MQX29" s="1887"/>
      <c r="MQY29" s="1888"/>
      <c r="MQZ29" s="1882"/>
      <c r="MRA29" s="1882"/>
      <c r="MRB29" s="1882"/>
      <c r="MRD29" s="1887"/>
      <c r="MRE29" s="1888"/>
      <c r="MRF29" s="1882"/>
      <c r="MRG29" s="1882"/>
      <c r="MRH29" s="1882"/>
      <c r="MRJ29" s="1887"/>
      <c r="MRK29" s="1888"/>
      <c r="MRL29" s="1882"/>
      <c r="MRM29" s="1882"/>
      <c r="MRN29" s="1882"/>
      <c r="MRP29" s="1887"/>
      <c r="MRQ29" s="1888"/>
      <c r="MRR29" s="1882"/>
      <c r="MRS29" s="1882"/>
      <c r="MRT29" s="1882"/>
      <c r="MRV29" s="1887"/>
      <c r="MRW29" s="1888"/>
      <c r="MRX29" s="1882"/>
      <c r="MRY29" s="1882"/>
      <c r="MRZ29" s="1882"/>
      <c r="MSB29" s="1887"/>
      <c r="MSC29" s="1888"/>
      <c r="MSD29" s="1882"/>
      <c r="MSE29" s="1882"/>
      <c r="MSF29" s="1882"/>
      <c r="MSH29" s="1887"/>
      <c r="MSI29" s="1888"/>
      <c r="MSJ29" s="1882"/>
      <c r="MSK29" s="1882"/>
      <c r="MSL29" s="1882"/>
      <c r="MSN29" s="1887"/>
      <c r="MSO29" s="1888"/>
      <c r="MSP29" s="1882"/>
      <c r="MSQ29" s="1882"/>
      <c r="MSR29" s="1882"/>
      <c r="MST29" s="1887"/>
      <c r="MSU29" s="1888"/>
      <c r="MSV29" s="1882"/>
      <c r="MSW29" s="1882"/>
      <c r="MSX29" s="1882"/>
      <c r="MSZ29" s="1887"/>
      <c r="MTA29" s="1888"/>
      <c r="MTB29" s="1882"/>
      <c r="MTC29" s="1882"/>
      <c r="MTD29" s="1882"/>
      <c r="MTF29" s="1887"/>
      <c r="MTG29" s="1888"/>
      <c r="MTH29" s="1882"/>
      <c r="MTI29" s="1882"/>
      <c r="MTJ29" s="1882"/>
      <c r="MTL29" s="1887"/>
      <c r="MTM29" s="1888"/>
      <c r="MTN29" s="1882"/>
      <c r="MTO29" s="1882"/>
      <c r="MTP29" s="1882"/>
      <c r="MTR29" s="1887"/>
      <c r="MTS29" s="1888"/>
      <c r="MTT29" s="1882"/>
      <c r="MTU29" s="1882"/>
      <c r="MTV29" s="1882"/>
      <c r="MTX29" s="1887"/>
      <c r="MTY29" s="1888"/>
      <c r="MTZ29" s="1882"/>
      <c r="MUA29" s="1882"/>
      <c r="MUB29" s="1882"/>
      <c r="MUD29" s="1887"/>
      <c r="MUE29" s="1888"/>
      <c r="MUF29" s="1882"/>
      <c r="MUG29" s="1882"/>
      <c r="MUH29" s="1882"/>
      <c r="MUJ29" s="1887"/>
      <c r="MUK29" s="1888"/>
      <c r="MUL29" s="1882"/>
      <c r="MUM29" s="1882"/>
      <c r="MUN29" s="1882"/>
      <c r="MUP29" s="1887"/>
      <c r="MUQ29" s="1888"/>
      <c r="MUR29" s="1882"/>
      <c r="MUS29" s="1882"/>
      <c r="MUT29" s="1882"/>
      <c r="MUV29" s="1887"/>
      <c r="MUW29" s="1888"/>
      <c r="MUX29" s="1882"/>
      <c r="MUY29" s="1882"/>
      <c r="MUZ29" s="1882"/>
      <c r="MVB29" s="1887"/>
      <c r="MVC29" s="1888"/>
      <c r="MVD29" s="1882"/>
      <c r="MVE29" s="1882"/>
      <c r="MVF29" s="1882"/>
      <c r="MVH29" s="1887"/>
      <c r="MVI29" s="1888"/>
      <c r="MVJ29" s="1882"/>
      <c r="MVK29" s="1882"/>
      <c r="MVL29" s="1882"/>
      <c r="MVN29" s="1887"/>
      <c r="MVO29" s="1888"/>
      <c r="MVP29" s="1882"/>
      <c r="MVQ29" s="1882"/>
      <c r="MVR29" s="1882"/>
      <c r="MVT29" s="1887"/>
      <c r="MVU29" s="1888"/>
      <c r="MVV29" s="1882"/>
      <c r="MVW29" s="1882"/>
      <c r="MVX29" s="1882"/>
      <c r="MVZ29" s="1887"/>
      <c r="MWA29" s="1888"/>
      <c r="MWB29" s="1882"/>
      <c r="MWC29" s="1882"/>
      <c r="MWD29" s="1882"/>
      <c r="MWF29" s="1887"/>
      <c r="MWG29" s="1888"/>
      <c r="MWH29" s="1882"/>
      <c r="MWI29" s="1882"/>
      <c r="MWJ29" s="1882"/>
      <c r="MWL29" s="1887"/>
      <c r="MWM29" s="1888"/>
      <c r="MWN29" s="1882"/>
      <c r="MWO29" s="1882"/>
      <c r="MWP29" s="1882"/>
      <c r="MWR29" s="1887"/>
      <c r="MWS29" s="1888"/>
      <c r="MWT29" s="1882"/>
      <c r="MWU29" s="1882"/>
      <c r="MWV29" s="1882"/>
      <c r="MWX29" s="1887"/>
      <c r="MWY29" s="1888"/>
      <c r="MWZ29" s="1882"/>
      <c r="MXA29" s="1882"/>
      <c r="MXB29" s="1882"/>
      <c r="MXD29" s="1887"/>
      <c r="MXE29" s="1888"/>
      <c r="MXF29" s="1882"/>
      <c r="MXG29" s="1882"/>
      <c r="MXH29" s="1882"/>
      <c r="MXJ29" s="1887"/>
      <c r="MXK29" s="1888"/>
      <c r="MXL29" s="1882"/>
      <c r="MXM29" s="1882"/>
      <c r="MXN29" s="1882"/>
      <c r="MXP29" s="1887"/>
      <c r="MXQ29" s="1888"/>
      <c r="MXR29" s="1882"/>
      <c r="MXS29" s="1882"/>
      <c r="MXT29" s="1882"/>
      <c r="MXV29" s="1887"/>
      <c r="MXW29" s="1888"/>
      <c r="MXX29" s="1882"/>
      <c r="MXY29" s="1882"/>
      <c r="MXZ29" s="1882"/>
      <c r="MYB29" s="1887"/>
      <c r="MYC29" s="1888"/>
      <c r="MYD29" s="1882"/>
      <c r="MYE29" s="1882"/>
      <c r="MYF29" s="1882"/>
      <c r="MYH29" s="1887"/>
      <c r="MYI29" s="1888"/>
      <c r="MYJ29" s="1882"/>
      <c r="MYK29" s="1882"/>
      <c r="MYL29" s="1882"/>
      <c r="MYN29" s="1887"/>
      <c r="MYO29" s="1888"/>
      <c r="MYP29" s="1882"/>
      <c r="MYQ29" s="1882"/>
      <c r="MYR29" s="1882"/>
      <c r="MYT29" s="1887"/>
      <c r="MYU29" s="1888"/>
      <c r="MYV29" s="1882"/>
      <c r="MYW29" s="1882"/>
      <c r="MYX29" s="1882"/>
      <c r="MYZ29" s="1887"/>
      <c r="MZA29" s="1888"/>
      <c r="MZB29" s="1882"/>
      <c r="MZC29" s="1882"/>
      <c r="MZD29" s="1882"/>
      <c r="MZF29" s="1887"/>
      <c r="MZG29" s="1888"/>
      <c r="MZH29" s="1882"/>
      <c r="MZI29" s="1882"/>
      <c r="MZJ29" s="1882"/>
      <c r="MZL29" s="1887"/>
      <c r="MZM29" s="1888"/>
      <c r="MZN29" s="1882"/>
      <c r="MZO29" s="1882"/>
      <c r="MZP29" s="1882"/>
      <c r="MZR29" s="1887"/>
      <c r="MZS29" s="1888"/>
      <c r="MZT29" s="1882"/>
      <c r="MZU29" s="1882"/>
      <c r="MZV29" s="1882"/>
      <c r="MZX29" s="1887"/>
      <c r="MZY29" s="1888"/>
      <c r="MZZ29" s="1882"/>
      <c r="NAA29" s="1882"/>
      <c r="NAB29" s="1882"/>
      <c r="NAD29" s="1887"/>
      <c r="NAE29" s="1888"/>
      <c r="NAF29" s="1882"/>
      <c r="NAG29" s="1882"/>
      <c r="NAH29" s="1882"/>
      <c r="NAJ29" s="1887"/>
      <c r="NAK29" s="1888"/>
      <c r="NAL29" s="1882"/>
      <c r="NAM29" s="1882"/>
      <c r="NAN29" s="1882"/>
      <c r="NAP29" s="1887"/>
      <c r="NAQ29" s="1888"/>
      <c r="NAR29" s="1882"/>
      <c r="NAS29" s="1882"/>
      <c r="NAT29" s="1882"/>
      <c r="NAV29" s="1887"/>
      <c r="NAW29" s="1888"/>
      <c r="NAX29" s="1882"/>
      <c r="NAY29" s="1882"/>
      <c r="NAZ29" s="1882"/>
      <c r="NBB29" s="1887"/>
      <c r="NBC29" s="1888"/>
      <c r="NBD29" s="1882"/>
      <c r="NBE29" s="1882"/>
      <c r="NBF29" s="1882"/>
      <c r="NBH29" s="1887"/>
      <c r="NBI29" s="1888"/>
      <c r="NBJ29" s="1882"/>
      <c r="NBK29" s="1882"/>
      <c r="NBL29" s="1882"/>
      <c r="NBN29" s="1887"/>
      <c r="NBO29" s="1888"/>
      <c r="NBP29" s="1882"/>
      <c r="NBQ29" s="1882"/>
      <c r="NBR29" s="1882"/>
      <c r="NBT29" s="1887"/>
      <c r="NBU29" s="1888"/>
      <c r="NBV29" s="1882"/>
      <c r="NBW29" s="1882"/>
      <c r="NBX29" s="1882"/>
      <c r="NBZ29" s="1887"/>
      <c r="NCA29" s="1888"/>
      <c r="NCB29" s="1882"/>
      <c r="NCC29" s="1882"/>
      <c r="NCD29" s="1882"/>
      <c r="NCF29" s="1887"/>
      <c r="NCG29" s="1888"/>
      <c r="NCH29" s="1882"/>
      <c r="NCI29" s="1882"/>
      <c r="NCJ29" s="1882"/>
      <c r="NCL29" s="1887"/>
      <c r="NCM29" s="1888"/>
      <c r="NCN29" s="1882"/>
      <c r="NCO29" s="1882"/>
      <c r="NCP29" s="1882"/>
      <c r="NCR29" s="1887"/>
      <c r="NCS29" s="1888"/>
      <c r="NCT29" s="1882"/>
      <c r="NCU29" s="1882"/>
      <c r="NCV29" s="1882"/>
      <c r="NCX29" s="1887"/>
      <c r="NCY29" s="1888"/>
      <c r="NCZ29" s="1882"/>
      <c r="NDA29" s="1882"/>
      <c r="NDB29" s="1882"/>
      <c r="NDD29" s="1887"/>
      <c r="NDE29" s="1888"/>
      <c r="NDF29" s="1882"/>
      <c r="NDG29" s="1882"/>
      <c r="NDH29" s="1882"/>
      <c r="NDJ29" s="1887"/>
      <c r="NDK29" s="1888"/>
      <c r="NDL29" s="1882"/>
      <c r="NDM29" s="1882"/>
      <c r="NDN29" s="1882"/>
      <c r="NDP29" s="1887"/>
      <c r="NDQ29" s="1888"/>
      <c r="NDR29" s="1882"/>
      <c r="NDS29" s="1882"/>
      <c r="NDT29" s="1882"/>
      <c r="NDV29" s="1887"/>
      <c r="NDW29" s="1888"/>
      <c r="NDX29" s="1882"/>
      <c r="NDY29" s="1882"/>
      <c r="NDZ29" s="1882"/>
      <c r="NEB29" s="1887"/>
      <c r="NEC29" s="1888"/>
      <c r="NED29" s="1882"/>
      <c r="NEE29" s="1882"/>
      <c r="NEF29" s="1882"/>
      <c r="NEH29" s="1887"/>
      <c r="NEI29" s="1888"/>
      <c r="NEJ29" s="1882"/>
      <c r="NEK29" s="1882"/>
      <c r="NEL29" s="1882"/>
      <c r="NEN29" s="1887"/>
      <c r="NEO29" s="1888"/>
      <c r="NEP29" s="1882"/>
      <c r="NEQ29" s="1882"/>
      <c r="NER29" s="1882"/>
      <c r="NET29" s="1887"/>
      <c r="NEU29" s="1888"/>
      <c r="NEV29" s="1882"/>
      <c r="NEW29" s="1882"/>
      <c r="NEX29" s="1882"/>
      <c r="NEZ29" s="1887"/>
      <c r="NFA29" s="1888"/>
      <c r="NFB29" s="1882"/>
      <c r="NFC29" s="1882"/>
      <c r="NFD29" s="1882"/>
      <c r="NFF29" s="1887"/>
      <c r="NFG29" s="1888"/>
      <c r="NFH29" s="1882"/>
      <c r="NFI29" s="1882"/>
      <c r="NFJ29" s="1882"/>
      <c r="NFL29" s="1887"/>
      <c r="NFM29" s="1888"/>
      <c r="NFN29" s="1882"/>
      <c r="NFO29" s="1882"/>
      <c r="NFP29" s="1882"/>
      <c r="NFR29" s="1887"/>
      <c r="NFS29" s="1888"/>
      <c r="NFT29" s="1882"/>
      <c r="NFU29" s="1882"/>
      <c r="NFV29" s="1882"/>
      <c r="NFX29" s="1887"/>
      <c r="NFY29" s="1888"/>
      <c r="NFZ29" s="1882"/>
      <c r="NGA29" s="1882"/>
      <c r="NGB29" s="1882"/>
      <c r="NGD29" s="1887"/>
      <c r="NGE29" s="1888"/>
      <c r="NGF29" s="1882"/>
      <c r="NGG29" s="1882"/>
      <c r="NGH29" s="1882"/>
      <c r="NGJ29" s="1887"/>
      <c r="NGK29" s="1888"/>
      <c r="NGL29" s="1882"/>
      <c r="NGM29" s="1882"/>
      <c r="NGN29" s="1882"/>
      <c r="NGP29" s="1887"/>
      <c r="NGQ29" s="1888"/>
      <c r="NGR29" s="1882"/>
      <c r="NGS29" s="1882"/>
      <c r="NGT29" s="1882"/>
      <c r="NGV29" s="1887"/>
      <c r="NGW29" s="1888"/>
      <c r="NGX29" s="1882"/>
      <c r="NGY29" s="1882"/>
      <c r="NGZ29" s="1882"/>
      <c r="NHB29" s="1887"/>
      <c r="NHC29" s="1888"/>
      <c r="NHD29" s="1882"/>
      <c r="NHE29" s="1882"/>
      <c r="NHF29" s="1882"/>
      <c r="NHH29" s="1887"/>
      <c r="NHI29" s="1888"/>
      <c r="NHJ29" s="1882"/>
      <c r="NHK29" s="1882"/>
      <c r="NHL29" s="1882"/>
      <c r="NHN29" s="1887"/>
      <c r="NHO29" s="1888"/>
      <c r="NHP29" s="1882"/>
      <c r="NHQ29" s="1882"/>
      <c r="NHR29" s="1882"/>
      <c r="NHT29" s="1887"/>
      <c r="NHU29" s="1888"/>
      <c r="NHV29" s="1882"/>
      <c r="NHW29" s="1882"/>
      <c r="NHX29" s="1882"/>
      <c r="NHZ29" s="1887"/>
      <c r="NIA29" s="1888"/>
      <c r="NIB29" s="1882"/>
      <c r="NIC29" s="1882"/>
      <c r="NID29" s="1882"/>
      <c r="NIF29" s="1887"/>
      <c r="NIG29" s="1888"/>
      <c r="NIH29" s="1882"/>
      <c r="NII29" s="1882"/>
      <c r="NIJ29" s="1882"/>
      <c r="NIL29" s="1887"/>
      <c r="NIM29" s="1888"/>
      <c r="NIN29" s="1882"/>
      <c r="NIO29" s="1882"/>
      <c r="NIP29" s="1882"/>
      <c r="NIR29" s="1887"/>
      <c r="NIS29" s="1888"/>
      <c r="NIT29" s="1882"/>
      <c r="NIU29" s="1882"/>
      <c r="NIV29" s="1882"/>
      <c r="NIX29" s="1887"/>
      <c r="NIY29" s="1888"/>
      <c r="NIZ29" s="1882"/>
      <c r="NJA29" s="1882"/>
      <c r="NJB29" s="1882"/>
      <c r="NJD29" s="1887"/>
      <c r="NJE29" s="1888"/>
      <c r="NJF29" s="1882"/>
      <c r="NJG29" s="1882"/>
      <c r="NJH29" s="1882"/>
      <c r="NJJ29" s="1887"/>
      <c r="NJK29" s="1888"/>
      <c r="NJL29" s="1882"/>
      <c r="NJM29" s="1882"/>
      <c r="NJN29" s="1882"/>
      <c r="NJP29" s="1887"/>
      <c r="NJQ29" s="1888"/>
      <c r="NJR29" s="1882"/>
      <c r="NJS29" s="1882"/>
      <c r="NJT29" s="1882"/>
      <c r="NJV29" s="1887"/>
      <c r="NJW29" s="1888"/>
      <c r="NJX29" s="1882"/>
      <c r="NJY29" s="1882"/>
      <c r="NJZ29" s="1882"/>
      <c r="NKB29" s="1887"/>
      <c r="NKC29" s="1888"/>
      <c r="NKD29" s="1882"/>
      <c r="NKE29" s="1882"/>
      <c r="NKF29" s="1882"/>
      <c r="NKH29" s="1887"/>
      <c r="NKI29" s="1888"/>
      <c r="NKJ29" s="1882"/>
      <c r="NKK29" s="1882"/>
      <c r="NKL29" s="1882"/>
      <c r="NKN29" s="1887"/>
      <c r="NKO29" s="1888"/>
      <c r="NKP29" s="1882"/>
      <c r="NKQ29" s="1882"/>
      <c r="NKR29" s="1882"/>
      <c r="NKT29" s="1887"/>
      <c r="NKU29" s="1888"/>
      <c r="NKV29" s="1882"/>
      <c r="NKW29" s="1882"/>
      <c r="NKX29" s="1882"/>
      <c r="NKZ29" s="1887"/>
      <c r="NLA29" s="1888"/>
      <c r="NLB29" s="1882"/>
      <c r="NLC29" s="1882"/>
      <c r="NLD29" s="1882"/>
      <c r="NLF29" s="1887"/>
      <c r="NLG29" s="1888"/>
      <c r="NLH29" s="1882"/>
      <c r="NLI29" s="1882"/>
      <c r="NLJ29" s="1882"/>
      <c r="NLL29" s="1887"/>
      <c r="NLM29" s="1888"/>
      <c r="NLN29" s="1882"/>
      <c r="NLO29" s="1882"/>
      <c r="NLP29" s="1882"/>
      <c r="NLR29" s="1887"/>
      <c r="NLS29" s="1888"/>
      <c r="NLT29" s="1882"/>
      <c r="NLU29" s="1882"/>
      <c r="NLV29" s="1882"/>
      <c r="NLX29" s="1887"/>
      <c r="NLY29" s="1888"/>
      <c r="NLZ29" s="1882"/>
      <c r="NMA29" s="1882"/>
      <c r="NMB29" s="1882"/>
      <c r="NMD29" s="1887"/>
      <c r="NME29" s="1888"/>
      <c r="NMF29" s="1882"/>
      <c r="NMG29" s="1882"/>
      <c r="NMH29" s="1882"/>
      <c r="NMJ29" s="1887"/>
      <c r="NMK29" s="1888"/>
      <c r="NML29" s="1882"/>
      <c r="NMM29" s="1882"/>
      <c r="NMN29" s="1882"/>
      <c r="NMP29" s="1887"/>
      <c r="NMQ29" s="1888"/>
      <c r="NMR29" s="1882"/>
      <c r="NMS29" s="1882"/>
      <c r="NMT29" s="1882"/>
      <c r="NMV29" s="1887"/>
      <c r="NMW29" s="1888"/>
      <c r="NMX29" s="1882"/>
      <c r="NMY29" s="1882"/>
      <c r="NMZ29" s="1882"/>
      <c r="NNB29" s="1887"/>
      <c r="NNC29" s="1888"/>
      <c r="NND29" s="1882"/>
      <c r="NNE29" s="1882"/>
      <c r="NNF29" s="1882"/>
      <c r="NNH29" s="1887"/>
      <c r="NNI29" s="1888"/>
      <c r="NNJ29" s="1882"/>
      <c r="NNK29" s="1882"/>
      <c r="NNL29" s="1882"/>
      <c r="NNN29" s="1887"/>
      <c r="NNO29" s="1888"/>
      <c r="NNP29" s="1882"/>
      <c r="NNQ29" s="1882"/>
      <c r="NNR29" s="1882"/>
      <c r="NNT29" s="1887"/>
      <c r="NNU29" s="1888"/>
      <c r="NNV29" s="1882"/>
      <c r="NNW29" s="1882"/>
      <c r="NNX29" s="1882"/>
      <c r="NNZ29" s="1887"/>
      <c r="NOA29" s="1888"/>
      <c r="NOB29" s="1882"/>
      <c r="NOC29" s="1882"/>
      <c r="NOD29" s="1882"/>
      <c r="NOF29" s="1887"/>
      <c r="NOG29" s="1888"/>
      <c r="NOH29" s="1882"/>
      <c r="NOI29" s="1882"/>
      <c r="NOJ29" s="1882"/>
      <c r="NOL29" s="1887"/>
      <c r="NOM29" s="1888"/>
      <c r="NON29" s="1882"/>
      <c r="NOO29" s="1882"/>
      <c r="NOP29" s="1882"/>
      <c r="NOR29" s="1887"/>
      <c r="NOS29" s="1888"/>
      <c r="NOT29" s="1882"/>
      <c r="NOU29" s="1882"/>
      <c r="NOV29" s="1882"/>
      <c r="NOX29" s="1887"/>
      <c r="NOY29" s="1888"/>
      <c r="NOZ29" s="1882"/>
      <c r="NPA29" s="1882"/>
      <c r="NPB29" s="1882"/>
      <c r="NPD29" s="1887"/>
      <c r="NPE29" s="1888"/>
      <c r="NPF29" s="1882"/>
      <c r="NPG29" s="1882"/>
      <c r="NPH29" s="1882"/>
      <c r="NPJ29" s="1887"/>
      <c r="NPK29" s="1888"/>
      <c r="NPL29" s="1882"/>
      <c r="NPM29" s="1882"/>
      <c r="NPN29" s="1882"/>
      <c r="NPP29" s="1887"/>
      <c r="NPQ29" s="1888"/>
      <c r="NPR29" s="1882"/>
      <c r="NPS29" s="1882"/>
      <c r="NPT29" s="1882"/>
      <c r="NPV29" s="1887"/>
      <c r="NPW29" s="1888"/>
      <c r="NPX29" s="1882"/>
      <c r="NPY29" s="1882"/>
      <c r="NPZ29" s="1882"/>
      <c r="NQB29" s="1887"/>
      <c r="NQC29" s="1888"/>
      <c r="NQD29" s="1882"/>
      <c r="NQE29" s="1882"/>
      <c r="NQF29" s="1882"/>
      <c r="NQH29" s="1887"/>
      <c r="NQI29" s="1888"/>
      <c r="NQJ29" s="1882"/>
      <c r="NQK29" s="1882"/>
      <c r="NQL29" s="1882"/>
      <c r="NQN29" s="1887"/>
      <c r="NQO29" s="1888"/>
      <c r="NQP29" s="1882"/>
      <c r="NQQ29" s="1882"/>
      <c r="NQR29" s="1882"/>
      <c r="NQT29" s="1887"/>
      <c r="NQU29" s="1888"/>
      <c r="NQV29" s="1882"/>
      <c r="NQW29" s="1882"/>
      <c r="NQX29" s="1882"/>
      <c r="NQZ29" s="1887"/>
      <c r="NRA29" s="1888"/>
      <c r="NRB29" s="1882"/>
      <c r="NRC29" s="1882"/>
      <c r="NRD29" s="1882"/>
      <c r="NRF29" s="1887"/>
      <c r="NRG29" s="1888"/>
      <c r="NRH29" s="1882"/>
      <c r="NRI29" s="1882"/>
      <c r="NRJ29" s="1882"/>
      <c r="NRL29" s="1887"/>
      <c r="NRM29" s="1888"/>
      <c r="NRN29" s="1882"/>
      <c r="NRO29" s="1882"/>
      <c r="NRP29" s="1882"/>
      <c r="NRR29" s="1887"/>
      <c r="NRS29" s="1888"/>
      <c r="NRT29" s="1882"/>
      <c r="NRU29" s="1882"/>
      <c r="NRV29" s="1882"/>
      <c r="NRX29" s="1887"/>
      <c r="NRY29" s="1888"/>
      <c r="NRZ29" s="1882"/>
      <c r="NSA29" s="1882"/>
      <c r="NSB29" s="1882"/>
      <c r="NSD29" s="1887"/>
      <c r="NSE29" s="1888"/>
      <c r="NSF29" s="1882"/>
      <c r="NSG29" s="1882"/>
      <c r="NSH29" s="1882"/>
      <c r="NSJ29" s="1887"/>
      <c r="NSK29" s="1888"/>
      <c r="NSL29" s="1882"/>
      <c r="NSM29" s="1882"/>
      <c r="NSN29" s="1882"/>
      <c r="NSP29" s="1887"/>
      <c r="NSQ29" s="1888"/>
      <c r="NSR29" s="1882"/>
      <c r="NSS29" s="1882"/>
      <c r="NST29" s="1882"/>
      <c r="NSV29" s="1887"/>
      <c r="NSW29" s="1888"/>
      <c r="NSX29" s="1882"/>
      <c r="NSY29" s="1882"/>
      <c r="NSZ29" s="1882"/>
      <c r="NTB29" s="1887"/>
      <c r="NTC29" s="1888"/>
      <c r="NTD29" s="1882"/>
      <c r="NTE29" s="1882"/>
      <c r="NTF29" s="1882"/>
      <c r="NTH29" s="1887"/>
      <c r="NTI29" s="1888"/>
      <c r="NTJ29" s="1882"/>
      <c r="NTK29" s="1882"/>
      <c r="NTL29" s="1882"/>
      <c r="NTN29" s="1887"/>
      <c r="NTO29" s="1888"/>
      <c r="NTP29" s="1882"/>
      <c r="NTQ29" s="1882"/>
      <c r="NTR29" s="1882"/>
      <c r="NTT29" s="1887"/>
      <c r="NTU29" s="1888"/>
      <c r="NTV29" s="1882"/>
      <c r="NTW29" s="1882"/>
      <c r="NTX29" s="1882"/>
      <c r="NTZ29" s="1887"/>
      <c r="NUA29" s="1888"/>
      <c r="NUB29" s="1882"/>
      <c r="NUC29" s="1882"/>
      <c r="NUD29" s="1882"/>
      <c r="NUF29" s="1887"/>
      <c r="NUG29" s="1888"/>
      <c r="NUH29" s="1882"/>
      <c r="NUI29" s="1882"/>
      <c r="NUJ29" s="1882"/>
      <c r="NUL29" s="1887"/>
      <c r="NUM29" s="1888"/>
      <c r="NUN29" s="1882"/>
      <c r="NUO29" s="1882"/>
      <c r="NUP29" s="1882"/>
      <c r="NUR29" s="1887"/>
      <c r="NUS29" s="1888"/>
      <c r="NUT29" s="1882"/>
      <c r="NUU29" s="1882"/>
      <c r="NUV29" s="1882"/>
      <c r="NUX29" s="1887"/>
      <c r="NUY29" s="1888"/>
      <c r="NUZ29" s="1882"/>
      <c r="NVA29" s="1882"/>
      <c r="NVB29" s="1882"/>
      <c r="NVD29" s="1887"/>
      <c r="NVE29" s="1888"/>
      <c r="NVF29" s="1882"/>
      <c r="NVG29" s="1882"/>
      <c r="NVH29" s="1882"/>
      <c r="NVJ29" s="1887"/>
      <c r="NVK29" s="1888"/>
      <c r="NVL29" s="1882"/>
      <c r="NVM29" s="1882"/>
      <c r="NVN29" s="1882"/>
      <c r="NVP29" s="1887"/>
      <c r="NVQ29" s="1888"/>
      <c r="NVR29" s="1882"/>
      <c r="NVS29" s="1882"/>
      <c r="NVT29" s="1882"/>
      <c r="NVV29" s="1887"/>
      <c r="NVW29" s="1888"/>
      <c r="NVX29" s="1882"/>
      <c r="NVY29" s="1882"/>
      <c r="NVZ29" s="1882"/>
      <c r="NWB29" s="1887"/>
      <c r="NWC29" s="1888"/>
      <c r="NWD29" s="1882"/>
      <c r="NWE29" s="1882"/>
      <c r="NWF29" s="1882"/>
      <c r="NWH29" s="1887"/>
      <c r="NWI29" s="1888"/>
      <c r="NWJ29" s="1882"/>
      <c r="NWK29" s="1882"/>
      <c r="NWL29" s="1882"/>
      <c r="NWN29" s="1887"/>
      <c r="NWO29" s="1888"/>
      <c r="NWP29" s="1882"/>
      <c r="NWQ29" s="1882"/>
      <c r="NWR29" s="1882"/>
      <c r="NWT29" s="1887"/>
      <c r="NWU29" s="1888"/>
      <c r="NWV29" s="1882"/>
      <c r="NWW29" s="1882"/>
      <c r="NWX29" s="1882"/>
      <c r="NWZ29" s="1887"/>
      <c r="NXA29" s="1888"/>
      <c r="NXB29" s="1882"/>
      <c r="NXC29" s="1882"/>
      <c r="NXD29" s="1882"/>
      <c r="NXF29" s="1887"/>
      <c r="NXG29" s="1888"/>
      <c r="NXH29" s="1882"/>
      <c r="NXI29" s="1882"/>
      <c r="NXJ29" s="1882"/>
      <c r="NXL29" s="1887"/>
      <c r="NXM29" s="1888"/>
      <c r="NXN29" s="1882"/>
      <c r="NXO29" s="1882"/>
      <c r="NXP29" s="1882"/>
      <c r="NXR29" s="1887"/>
      <c r="NXS29" s="1888"/>
      <c r="NXT29" s="1882"/>
      <c r="NXU29" s="1882"/>
      <c r="NXV29" s="1882"/>
      <c r="NXX29" s="1887"/>
      <c r="NXY29" s="1888"/>
      <c r="NXZ29" s="1882"/>
      <c r="NYA29" s="1882"/>
      <c r="NYB29" s="1882"/>
      <c r="NYD29" s="1887"/>
      <c r="NYE29" s="1888"/>
      <c r="NYF29" s="1882"/>
      <c r="NYG29" s="1882"/>
      <c r="NYH29" s="1882"/>
      <c r="NYJ29" s="1887"/>
      <c r="NYK29" s="1888"/>
      <c r="NYL29" s="1882"/>
      <c r="NYM29" s="1882"/>
      <c r="NYN29" s="1882"/>
      <c r="NYP29" s="1887"/>
      <c r="NYQ29" s="1888"/>
      <c r="NYR29" s="1882"/>
      <c r="NYS29" s="1882"/>
      <c r="NYT29" s="1882"/>
      <c r="NYV29" s="1887"/>
      <c r="NYW29" s="1888"/>
      <c r="NYX29" s="1882"/>
      <c r="NYY29" s="1882"/>
      <c r="NYZ29" s="1882"/>
      <c r="NZB29" s="1887"/>
      <c r="NZC29" s="1888"/>
      <c r="NZD29" s="1882"/>
      <c r="NZE29" s="1882"/>
      <c r="NZF29" s="1882"/>
      <c r="NZH29" s="1887"/>
      <c r="NZI29" s="1888"/>
      <c r="NZJ29" s="1882"/>
      <c r="NZK29" s="1882"/>
      <c r="NZL29" s="1882"/>
      <c r="NZN29" s="1887"/>
      <c r="NZO29" s="1888"/>
      <c r="NZP29" s="1882"/>
      <c r="NZQ29" s="1882"/>
      <c r="NZR29" s="1882"/>
      <c r="NZT29" s="1887"/>
      <c r="NZU29" s="1888"/>
      <c r="NZV29" s="1882"/>
      <c r="NZW29" s="1882"/>
      <c r="NZX29" s="1882"/>
      <c r="NZZ29" s="1887"/>
      <c r="OAA29" s="1888"/>
      <c r="OAB29" s="1882"/>
      <c r="OAC29" s="1882"/>
      <c r="OAD29" s="1882"/>
      <c r="OAF29" s="1887"/>
      <c r="OAG29" s="1888"/>
      <c r="OAH29" s="1882"/>
      <c r="OAI29" s="1882"/>
      <c r="OAJ29" s="1882"/>
      <c r="OAL29" s="1887"/>
      <c r="OAM29" s="1888"/>
      <c r="OAN29" s="1882"/>
      <c r="OAO29" s="1882"/>
      <c r="OAP29" s="1882"/>
      <c r="OAR29" s="1887"/>
      <c r="OAS29" s="1888"/>
      <c r="OAT29" s="1882"/>
      <c r="OAU29" s="1882"/>
      <c r="OAV29" s="1882"/>
      <c r="OAX29" s="1887"/>
      <c r="OAY29" s="1888"/>
      <c r="OAZ29" s="1882"/>
      <c r="OBA29" s="1882"/>
      <c r="OBB29" s="1882"/>
      <c r="OBD29" s="1887"/>
      <c r="OBE29" s="1888"/>
      <c r="OBF29" s="1882"/>
      <c r="OBG29" s="1882"/>
      <c r="OBH29" s="1882"/>
      <c r="OBJ29" s="1887"/>
      <c r="OBK29" s="1888"/>
      <c r="OBL29" s="1882"/>
      <c r="OBM29" s="1882"/>
      <c r="OBN29" s="1882"/>
      <c r="OBP29" s="1887"/>
      <c r="OBQ29" s="1888"/>
      <c r="OBR29" s="1882"/>
      <c r="OBS29" s="1882"/>
      <c r="OBT29" s="1882"/>
      <c r="OBV29" s="1887"/>
      <c r="OBW29" s="1888"/>
      <c r="OBX29" s="1882"/>
      <c r="OBY29" s="1882"/>
      <c r="OBZ29" s="1882"/>
      <c r="OCB29" s="1887"/>
      <c r="OCC29" s="1888"/>
      <c r="OCD29" s="1882"/>
      <c r="OCE29" s="1882"/>
      <c r="OCF29" s="1882"/>
      <c r="OCH29" s="1887"/>
      <c r="OCI29" s="1888"/>
      <c r="OCJ29" s="1882"/>
      <c r="OCK29" s="1882"/>
      <c r="OCL29" s="1882"/>
      <c r="OCN29" s="1887"/>
      <c r="OCO29" s="1888"/>
      <c r="OCP29" s="1882"/>
      <c r="OCQ29" s="1882"/>
      <c r="OCR29" s="1882"/>
      <c r="OCT29" s="1887"/>
      <c r="OCU29" s="1888"/>
      <c r="OCV29" s="1882"/>
      <c r="OCW29" s="1882"/>
      <c r="OCX29" s="1882"/>
      <c r="OCZ29" s="1887"/>
      <c r="ODA29" s="1888"/>
      <c r="ODB29" s="1882"/>
      <c r="ODC29" s="1882"/>
      <c r="ODD29" s="1882"/>
      <c r="ODF29" s="1887"/>
      <c r="ODG29" s="1888"/>
      <c r="ODH29" s="1882"/>
      <c r="ODI29" s="1882"/>
      <c r="ODJ29" s="1882"/>
      <c r="ODL29" s="1887"/>
      <c r="ODM29" s="1888"/>
      <c r="ODN29" s="1882"/>
      <c r="ODO29" s="1882"/>
      <c r="ODP29" s="1882"/>
      <c r="ODR29" s="1887"/>
      <c r="ODS29" s="1888"/>
      <c r="ODT29" s="1882"/>
      <c r="ODU29" s="1882"/>
      <c r="ODV29" s="1882"/>
      <c r="ODX29" s="1887"/>
      <c r="ODY29" s="1888"/>
      <c r="ODZ29" s="1882"/>
      <c r="OEA29" s="1882"/>
      <c r="OEB29" s="1882"/>
      <c r="OED29" s="1887"/>
      <c r="OEE29" s="1888"/>
      <c r="OEF29" s="1882"/>
      <c r="OEG29" s="1882"/>
      <c r="OEH29" s="1882"/>
      <c r="OEJ29" s="1887"/>
      <c r="OEK29" s="1888"/>
      <c r="OEL29" s="1882"/>
      <c r="OEM29" s="1882"/>
      <c r="OEN29" s="1882"/>
      <c r="OEP29" s="1887"/>
      <c r="OEQ29" s="1888"/>
      <c r="OER29" s="1882"/>
      <c r="OES29" s="1882"/>
      <c r="OET29" s="1882"/>
      <c r="OEV29" s="1887"/>
      <c r="OEW29" s="1888"/>
      <c r="OEX29" s="1882"/>
      <c r="OEY29" s="1882"/>
      <c r="OEZ29" s="1882"/>
      <c r="OFB29" s="1887"/>
      <c r="OFC29" s="1888"/>
      <c r="OFD29" s="1882"/>
      <c r="OFE29" s="1882"/>
      <c r="OFF29" s="1882"/>
      <c r="OFH29" s="1887"/>
      <c r="OFI29" s="1888"/>
      <c r="OFJ29" s="1882"/>
      <c r="OFK29" s="1882"/>
      <c r="OFL29" s="1882"/>
      <c r="OFN29" s="1887"/>
      <c r="OFO29" s="1888"/>
      <c r="OFP29" s="1882"/>
      <c r="OFQ29" s="1882"/>
      <c r="OFR29" s="1882"/>
      <c r="OFT29" s="1887"/>
      <c r="OFU29" s="1888"/>
      <c r="OFV29" s="1882"/>
      <c r="OFW29" s="1882"/>
      <c r="OFX29" s="1882"/>
      <c r="OFZ29" s="1887"/>
      <c r="OGA29" s="1888"/>
      <c r="OGB29" s="1882"/>
      <c r="OGC29" s="1882"/>
      <c r="OGD29" s="1882"/>
      <c r="OGF29" s="1887"/>
      <c r="OGG29" s="1888"/>
      <c r="OGH29" s="1882"/>
      <c r="OGI29" s="1882"/>
      <c r="OGJ29" s="1882"/>
      <c r="OGL29" s="1887"/>
      <c r="OGM29" s="1888"/>
      <c r="OGN29" s="1882"/>
      <c r="OGO29" s="1882"/>
      <c r="OGP29" s="1882"/>
      <c r="OGR29" s="1887"/>
      <c r="OGS29" s="1888"/>
      <c r="OGT29" s="1882"/>
      <c r="OGU29" s="1882"/>
      <c r="OGV29" s="1882"/>
      <c r="OGX29" s="1887"/>
      <c r="OGY29" s="1888"/>
      <c r="OGZ29" s="1882"/>
      <c r="OHA29" s="1882"/>
      <c r="OHB29" s="1882"/>
      <c r="OHD29" s="1887"/>
      <c r="OHE29" s="1888"/>
      <c r="OHF29" s="1882"/>
      <c r="OHG29" s="1882"/>
      <c r="OHH29" s="1882"/>
      <c r="OHJ29" s="1887"/>
      <c r="OHK29" s="1888"/>
      <c r="OHL29" s="1882"/>
      <c r="OHM29" s="1882"/>
      <c r="OHN29" s="1882"/>
      <c r="OHP29" s="1887"/>
      <c r="OHQ29" s="1888"/>
      <c r="OHR29" s="1882"/>
      <c r="OHS29" s="1882"/>
      <c r="OHT29" s="1882"/>
      <c r="OHV29" s="1887"/>
      <c r="OHW29" s="1888"/>
      <c r="OHX29" s="1882"/>
      <c r="OHY29" s="1882"/>
      <c r="OHZ29" s="1882"/>
      <c r="OIB29" s="1887"/>
      <c r="OIC29" s="1888"/>
      <c r="OID29" s="1882"/>
      <c r="OIE29" s="1882"/>
      <c r="OIF29" s="1882"/>
      <c r="OIH29" s="1887"/>
      <c r="OII29" s="1888"/>
      <c r="OIJ29" s="1882"/>
      <c r="OIK29" s="1882"/>
      <c r="OIL29" s="1882"/>
      <c r="OIN29" s="1887"/>
      <c r="OIO29" s="1888"/>
      <c r="OIP29" s="1882"/>
      <c r="OIQ29" s="1882"/>
      <c r="OIR29" s="1882"/>
      <c r="OIT29" s="1887"/>
      <c r="OIU29" s="1888"/>
      <c r="OIV29" s="1882"/>
      <c r="OIW29" s="1882"/>
      <c r="OIX29" s="1882"/>
      <c r="OIZ29" s="1887"/>
      <c r="OJA29" s="1888"/>
      <c r="OJB29" s="1882"/>
      <c r="OJC29" s="1882"/>
      <c r="OJD29" s="1882"/>
      <c r="OJF29" s="1887"/>
      <c r="OJG29" s="1888"/>
      <c r="OJH29" s="1882"/>
      <c r="OJI29" s="1882"/>
      <c r="OJJ29" s="1882"/>
      <c r="OJL29" s="1887"/>
      <c r="OJM29" s="1888"/>
      <c r="OJN29" s="1882"/>
      <c r="OJO29" s="1882"/>
      <c r="OJP29" s="1882"/>
      <c r="OJR29" s="1887"/>
      <c r="OJS29" s="1888"/>
      <c r="OJT29" s="1882"/>
      <c r="OJU29" s="1882"/>
      <c r="OJV29" s="1882"/>
      <c r="OJX29" s="1887"/>
      <c r="OJY29" s="1888"/>
      <c r="OJZ29" s="1882"/>
      <c r="OKA29" s="1882"/>
      <c r="OKB29" s="1882"/>
      <c r="OKD29" s="1887"/>
      <c r="OKE29" s="1888"/>
      <c r="OKF29" s="1882"/>
      <c r="OKG29" s="1882"/>
      <c r="OKH29" s="1882"/>
      <c r="OKJ29" s="1887"/>
      <c r="OKK29" s="1888"/>
      <c r="OKL29" s="1882"/>
      <c r="OKM29" s="1882"/>
      <c r="OKN29" s="1882"/>
      <c r="OKP29" s="1887"/>
      <c r="OKQ29" s="1888"/>
      <c r="OKR29" s="1882"/>
      <c r="OKS29" s="1882"/>
      <c r="OKT29" s="1882"/>
      <c r="OKV29" s="1887"/>
      <c r="OKW29" s="1888"/>
      <c r="OKX29" s="1882"/>
      <c r="OKY29" s="1882"/>
      <c r="OKZ29" s="1882"/>
      <c r="OLB29" s="1887"/>
      <c r="OLC29" s="1888"/>
      <c r="OLD29" s="1882"/>
      <c r="OLE29" s="1882"/>
      <c r="OLF29" s="1882"/>
      <c r="OLH29" s="1887"/>
      <c r="OLI29" s="1888"/>
      <c r="OLJ29" s="1882"/>
      <c r="OLK29" s="1882"/>
      <c r="OLL29" s="1882"/>
      <c r="OLN29" s="1887"/>
      <c r="OLO29" s="1888"/>
      <c r="OLP29" s="1882"/>
      <c r="OLQ29" s="1882"/>
      <c r="OLR29" s="1882"/>
      <c r="OLT29" s="1887"/>
      <c r="OLU29" s="1888"/>
      <c r="OLV29" s="1882"/>
      <c r="OLW29" s="1882"/>
      <c r="OLX29" s="1882"/>
      <c r="OLZ29" s="1887"/>
      <c r="OMA29" s="1888"/>
      <c r="OMB29" s="1882"/>
      <c r="OMC29" s="1882"/>
      <c r="OMD29" s="1882"/>
      <c r="OMF29" s="1887"/>
      <c r="OMG29" s="1888"/>
      <c r="OMH29" s="1882"/>
      <c r="OMI29" s="1882"/>
      <c r="OMJ29" s="1882"/>
      <c r="OML29" s="1887"/>
      <c r="OMM29" s="1888"/>
      <c r="OMN29" s="1882"/>
      <c r="OMO29" s="1882"/>
      <c r="OMP29" s="1882"/>
      <c r="OMR29" s="1887"/>
      <c r="OMS29" s="1888"/>
      <c r="OMT29" s="1882"/>
      <c r="OMU29" s="1882"/>
      <c r="OMV29" s="1882"/>
      <c r="OMX29" s="1887"/>
      <c r="OMY29" s="1888"/>
      <c r="OMZ29" s="1882"/>
      <c r="ONA29" s="1882"/>
      <c r="ONB29" s="1882"/>
      <c r="OND29" s="1887"/>
      <c r="ONE29" s="1888"/>
      <c r="ONF29" s="1882"/>
      <c r="ONG29" s="1882"/>
      <c r="ONH29" s="1882"/>
      <c r="ONJ29" s="1887"/>
      <c r="ONK29" s="1888"/>
      <c r="ONL29" s="1882"/>
      <c r="ONM29" s="1882"/>
      <c r="ONN29" s="1882"/>
      <c r="ONP29" s="1887"/>
      <c r="ONQ29" s="1888"/>
      <c r="ONR29" s="1882"/>
      <c r="ONS29" s="1882"/>
      <c r="ONT29" s="1882"/>
      <c r="ONV29" s="1887"/>
      <c r="ONW29" s="1888"/>
      <c r="ONX29" s="1882"/>
      <c r="ONY29" s="1882"/>
      <c r="ONZ29" s="1882"/>
      <c r="OOB29" s="1887"/>
      <c r="OOC29" s="1888"/>
      <c r="OOD29" s="1882"/>
      <c r="OOE29" s="1882"/>
      <c r="OOF29" s="1882"/>
      <c r="OOH29" s="1887"/>
      <c r="OOI29" s="1888"/>
      <c r="OOJ29" s="1882"/>
      <c r="OOK29" s="1882"/>
      <c r="OOL29" s="1882"/>
      <c r="OON29" s="1887"/>
      <c r="OOO29" s="1888"/>
      <c r="OOP29" s="1882"/>
      <c r="OOQ29" s="1882"/>
      <c r="OOR29" s="1882"/>
      <c r="OOT29" s="1887"/>
      <c r="OOU29" s="1888"/>
      <c r="OOV29" s="1882"/>
      <c r="OOW29" s="1882"/>
      <c r="OOX29" s="1882"/>
      <c r="OOZ29" s="1887"/>
      <c r="OPA29" s="1888"/>
      <c r="OPB29" s="1882"/>
      <c r="OPC29" s="1882"/>
      <c r="OPD29" s="1882"/>
      <c r="OPF29" s="1887"/>
      <c r="OPG29" s="1888"/>
      <c r="OPH29" s="1882"/>
      <c r="OPI29" s="1882"/>
      <c r="OPJ29" s="1882"/>
      <c r="OPL29" s="1887"/>
      <c r="OPM29" s="1888"/>
      <c r="OPN29" s="1882"/>
      <c r="OPO29" s="1882"/>
      <c r="OPP29" s="1882"/>
      <c r="OPR29" s="1887"/>
      <c r="OPS29" s="1888"/>
      <c r="OPT29" s="1882"/>
      <c r="OPU29" s="1882"/>
      <c r="OPV29" s="1882"/>
      <c r="OPX29" s="1887"/>
      <c r="OPY29" s="1888"/>
      <c r="OPZ29" s="1882"/>
      <c r="OQA29" s="1882"/>
      <c r="OQB29" s="1882"/>
      <c r="OQD29" s="1887"/>
      <c r="OQE29" s="1888"/>
      <c r="OQF29" s="1882"/>
      <c r="OQG29" s="1882"/>
      <c r="OQH29" s="1882"/>
      <c r="OQJ29" s="1887"/>
      <c r="OQK29" s="1888"/>
      <c r="OQL29" s="1882"/>
      <c r="OQM29" s="1882"/>
      <c r="OQN29" s="1882"/>
      <c r="OQP29" s="1887"/>
      <c r="OQQ29" s="1888"/>
      <c r="OQR29" s="1882"/>
      <c r="OQS29" s="1882"/>
      <c r="OQT29" s="1882"/>
      <c r="OQV29" s="1887"/>
      <c r="OQW29" s="1888"/>
      <c r="OQX29" s="1882"/>
      <c r="OQY29" s="1882"/>
      <c r="OQZ29" s="1882"/>
      <c r="ORB29" s="1887"/>
      <c r="ORC29" s="1888"/>
      <c r="ORD29" s="1882"/>
      <c r="ORE29" s="1882"/>
      <c r="ORF29" s="1882"/>
      <c r="ORH29" s="1887"/>
      <c r="ORI29" s="1888"/>
      <c r="ORJ29" s="1882"/>
      <c r="ORK29" s="1882"/>
      <c r="ORL29" s="1882"/>
      <c r="ORN29" s="1887"/>
      <c r="ORO29" s="1888"/>
      <c r="ORP29" s="1882"/>
      <c r="ORQ29" s="1882"/>
      <c r="ORR29" s="1882"/>
      <c r="ORT29" s="1887"/>
      <c r="ORU29" s="1888"/>
      <c r="ORV29" s="1882"/>
      <c r="ORW29" s="1882"/>
      <c r="ORX29" s="1882"/>
      <c r="ORZ29" s="1887"/>
      <c r="OSA29" s="1888"/>
      <c r="OSB29" s="1882"/>
      <c r="OSC29" s="1882"/>
      <c r="OSD29" s="1882"/>
      <c r="OSF29" s="1887"/>
      <c r="OSG29" s="1888"/>
      <c r="OSH29" s="1882"/>
      <c r="OSI29" s="1882"/>
      <c r="OSJ29" s="1882"/>
      <c r="OSL29" s="1887"/>
      <c r="OSM29" s="1888"/>
      <c r="OSN29" s="1882"/>
      <c r="OSO29" s="1882"/>
      <c r="OSP29" s="1882"/>
      <c r="OSR29" s="1887"/>
      <c r="OSS29" s="1888"/>
      <c r="OST29" s="1882"/>
      <c r="OSU29" s="1882"/>
      <c r="OSV29" s="1882"/>
      <c r="OSX29" s="1887"/>
      <c r="OSY29" s="1888"/>
      <c r="OSZ29" s="1882"/>
      <c r="OTA29" s="1882"/>
      <c r="OTB29" s="1882"/>
      <c r="OTD29" s="1887"/>
      <c r="OTE29" s="1888"/>
      <c r="OTF29" s="1882"/>
      <c r="OTG29" s="1882"/>
      <c r="OTH29" s="1882"/>
      <c r="OTJ29" s="1887"/>
      <c r="OTK29" s="1888"/>
      <c r="OTL29" s="1882"/>
      <c r="OTM29" s="1882"/>
      <c r="OTN29" s="1882"/>
      <c r="OTP29" s="1887"/>
      <c r="OTQ29" s="1888"/>
      <c r="OTR29" s="1882"/>
      <c r="OTS29" s="1882"/>
      <c r="OTT29" s="1882"/>
      <c r="OTV29" s="1887"/>
      <c r="OTW29" s="1888"/>
      <c r="OTX29" s="1882"/>
      <c r="OTY29" s="1882"/>
      <c r="OTZ29" s="1882"/>
      <c r="OUB29" s="1887"/>
      <c r="OUC29" s="1888"/>
      <c r="OUD29" s="1882"/>
      <c r="OUE29" s="1882"/>
      <c r="OUF29" s="1882"/>
      <c r="OUH29" s="1887"/>
      <c r="OUI29" s="1888"/>
      <c r="OUJ29" s="1882"/>
      <c r="OUK29" s="1882"/>
      <c r="OUL29" s="1882"/>
      <c r="OUN29" s="1887"/>
      <c r="OUO29" s="1888"/>
      <c r="OUP29" s="1882"/>
      <c r="OUQ29" s="1882"/>
      <c r="OUR29" s="1882"/>
      <c r="OUT29" s="1887"/>
      <c r="OUU29" s="1888"/>
      <c r="OUV29" s="1882"/>
      <c r="OUW29" s="1882"/>
      <c r="OUX29" s="1882"/>
      <c r="OUZ29" s="1887"/>
      <c r="OVA29" s="1888"/>
      <c r="OVB29" s="1882"/>
      <c r="OVC29" s="1882"/>
      <c r="OVD29" s="1882"/>
      <c r="OVF29" s="1887"/>
      <c r="OVG29" s="1888"/>
      <c r="OVH29" s="1882"/>
      <c r="OVI29" s="1882"/>
      <c r="OVJ29" s="1882"/>
      <c r="OVL29" s="1887"/>
      <c r="OVM29" s="1888"/>
      <c r="OVN29" s="1882"/>
      <c r="OVO29" s="1882"/>
      <c r="OVP29" s="1882"/>
      <c r="OVR29" s="1887"/>
      <c r="OVS29" s="1888"/>
      <c r="OVT29" s="1882"/>
      <c r="OVU29" s="1882"/>
      <c r="OVV29" s="1882"/>
      <c r="OVX29" s="1887"/>
      <c r="OVY29" s="1888"/>
      <c r="OVZ29" s="1882"/>
      <c r="OWA29" s="1882"/>
      <c r="OWB29" s="1882"/>
      <c r="OWD29" s="1887"/>
      <c r="OWE29" s="1888"/>
      <c r="OWF29" s="1882"/>
      <c r="OWG29" s="1882"/>
      <c r="OWH29" s="1882"/>
      <c r="OWJ29" s="1887"/>
      <c r="OWK29" s="1888"/>
      <c r="OWL29" s="1882"/>
      <c r="OWM29" s="1882"/>
      <c r="OWN29" s="1882"/>
      <c r="OWP29" s="1887"/>
      <c r="OWQ29" s="1888"/>
      <c r="OWR29" s="1882"/>
      <c r="OWS29" s="1882"/>
      <c r="OWT29" s="1882"/>
      <c r="OWV29" s="1887"/>
      <c r="OWW29" s="1888"/>
      <c r="OWX29" s="1882"/>
      <c r="OWY29" s="1882"/>
      <c r="OWZ29" s="1882"/>
      <c r="OXB29" s="1887"/>
      <c r="OXC29" s="1888"/>
      <c r="OXD29" s="1882"/>
      <c r="OXE29" s="1882"/>
      <c r="OXF29" s="1882"/>
      <c r="OXH29" s="1887"/>
      <c r="OXI29" s="1888"/>
      <c r="OXJ29" s="1882"/>
      <c r="OXK29" s="1882"/>
      <c r="OXL29" s="1882"/>
      <c r="OXN29" s="1887"/>
      <c r="OXO29" s="1888"/>
      <c r="OXP29" s="1882"/>
      <c r="OXQ29" s="1882"/>
      <c r="OXR29" s="1882"/>
      <c r="OXT29" s="1887"/>
      <c r="OXU29" s="1888"/>
      <c r="OXV29" s="1882"/>
      <c r="OXW29" s="1882"/>
      <c r="OXX29" s="1882"/>
      <c r="OXZ29" s="1887"/>
      <c r="OYA29" s="1888"/>
      <c r="OYB29" s="1882"/>
      <c r="OYC29" s="1882"/>
      <c r="OYD29" s="1882"/>
      <c r="OYF29" s="1887"/>
      <c r="OYG29" s="1888"/>
      <c r="OYH29" s="1882"/>
      <c r="OYI29" s="1882"/>
      <c r="OYJ29" s="1882"/>
      <c r="OYL29" s="1887"/>
      <c r="OYM29" s="1888"/>
      <c r="OYN29" s="1882"/>
      <c r="OYO29" s="1882"/>
      <c r="OYP29" s="1882"/>
      <c r="OYR29" s="1887"/>
      <c r="OYS29" s="1888"/>
      <c r="OYT29" s="1882"/>
      <c r="OYU29" s="1882"/>
      <c r="OYV29" s="1882"/>
      <c r="OYX29" s="1887"/>
      <c r="OYY29" s="1888"/>
      <c r="OYZ29" s="1882"/>
      <c r="OZA29" s="1882"/>
      <c r="OZB29" s="1882"/>
      <c r="OZD29" s="1887"/>
      <c r="OZE29" s="1888"/>
      <c r="OZF29" s="1882"/>
      <c r="OZG29" s="1882"/>
      <c r="OZH29" s="1882"/>
      <c r="OZJ29" s="1887"/>
      <c r="OZK29" s="1888"/>
      <c r="OZL29" s="1882"/>
      <c r="OZM29" s="1882"/>
      <c r="OZN29" s="1882"/>
      <c r="OZP29" s="1887"/>
      <c r="OZQ29" s="1888"/>
      <c r="OZR29" s="1882"/>
      <c r="OZS29" s="1882"/>
      <c r="OZT29" s="1882"/>
      <c r="OZV29" s="1887"/>
      <c r="OZW29" s="1888"/>
      <c r="OZX29" s="1882"/>
      <c r="OZY29" s="1882"/>
      <c r="OZZ29" s="1882"/>
      <c r="PAB29" s="1887"/>
      <c r="PAC29" s="1888"/>
      <c r="PAD29" s="1882"/>
      <c r="PAE29" s="1882"/>
      <c r="PAF29" s="1882"/>
      <c r="PAH29" s="1887"/>
      <c r="PAI29" s="1888"/>
      <c r="PAJ29" s="1882"/>
      <c r="PAK29" s="1882"/>
      <c r="PAL29" s="1882"/>
      <c r="PAN29" s="1887"/>
      <c r="PAO29" s="1888"/>
      <c r="PAP29" s="1882"/>
      <c r="PAQ29" s="1882"/>
      <c r="PAR29" s="1882"/>
      <c r="PAT29" s="1887"/>
      <c r="PAU29" s="1888"/>
      <c r="PAV29" s="1882"/>
      <c r="PAW29" s="1882"/>
      <c r="PAX29" s="1882"/>
      <c r="PAZ29" s="1887"/>
      <c r="PBA29" s="1888"/>
      <c r="PBB29" s="1882"/>
      <c r="PBC29" s="1882"/>
      <c r="PBD29" s="1882"/>
      <c r="PBF29" s="1887"/>
      <c r="PBG29" s="1888"/>
      <c r="PBH29" s="1882"/>
      <c r="PBI29" s="1882"/>
      <c r="PBJ29" s="1882"/>
      <c r="PBL29" s="1887"/>
      <c r="PBM29" s="1888"/>
      <c r="PBN29" s="1882"/>
      <c r="PBO29" s="1882"/>
      <c r="PBP29" s="1882"/>
      <c r="PBR29" s="1887"/>
      <c r="PBS29" s="1888"/>
      <c r="PBT29" s="1882"/>
      <c r="PBU29" s="1882"/>
      <c r="PBV29" s="1882"/>
      <c r="PBX29" s="1887"/>
      <c r="PBY29" s="1888"/>
      <c r="PBZ29" s="1882"/>
      <c r="PCA29" s="1882"/>
      <c r="PCB29" s="1882"/>
      <c r="PCD29" s="1887"/>
      <c r="PCE29" s="1888"/>
      <c r="PCF29" s="1882"/>
      <c r="PCG29" s="1882"/>
      <c r="PCH29" s="1882"/>
      <c r="PCJ29" s="1887"/>
      <c r="PCK29" s="1888"/>
      <c r="PCL29" s="1882"/>
      <c r="PCM29" s="1882"/>
      <c r="PCN29" s="1882"/>
      <c r="PCP29" s="1887"/>
      <c r="PCQ29" s="1888"/>
      <c r="PCR29" s="1882"/>
      <c r="PCS29" s="1882"/>
      <c r="PCT29" s="1882"/>
      <c r="PCV29" s="1887"/>
      <c r="PCW29" s="1888"/>
      <c r="PCX29" s="1882"/>
      <c r="PCY29" s="1882"/>
      <c r="PCZ29" s="1882"/>
      <c r="PDB29" s="1887"/>
      <c r="PDC29" s="1888"/>
      <c r="PDD29" s="1882"/>
      <c r="PDE29" s="1882"/>
      <c r="PDF29" s="1882"/>
      <c r="PDH29" s="1887"/>
      <c r="PDI29" s="1888"/>
      <c r="PDJ29" s="1882"/>
      <c r="PDK29" s="1882"/>
      <c r="PDL29" s="1882"/>
      <c r="PDN29" s="1887"/>
      <c r="PDO29" s="1888"/>
      <c r="PDP29" s="1882"/>
      <c r="PDQ29" s="1882"/>
      <c r="PDR29" s="1882"/>
      <c r="PDT29" s="1887"/>
      <c r="PDU29" s="1888"/>
      <c r="PDV29" s="1882"/>
      <c r="PDW29" s="1882"/>
      <c r="PDX29" s="1882"/>
      <c r="PDZ29" s="1887"/>
      <c r="PEA29" s="1888"/>
      <c r="PEB29" s="1882"/>
      <c r="PEC29" s="1882"/>
      <c r="PED29" s="1882"/>
      <c r="PEF29" s="1887"/>
      <c r="PEG29" s="1888"/>
      <c r="PEH29" s="1882"/>
      <c r="PEI29" s="1882"/>
      <c r="PEJ29" s="1882"/>
      <c r="PEL29" s="1887"/>
      <c r="PEM29" s="1888"/>
      <c r="PEN29" s="1882"/>
      <c r="PEO29" s="1882"/>
      <c r="PEP29" s="1882"/>
      <c r="PER29" s="1887"/>
      <c r="PES29" s="1888"/>
      <c r="PET29" s="1882"/>
      <c r="PEU29" s="1882"/>
      <c r="PEV29" s="1882"/>
      <c r="PEX29" s="1887"/>
      <c r="PEY29" s="1888"/>
      <c r="PEZ29" s="1882"/>
      <c r="PFA29" s="1882"/>
      <c r="PFB29" s="1882"/>
      <c r="PFD29" s="1887"/>
      <c r="PFE29" s="1888"/>
      <c r="PFF29" s="1882"/>
      <c r="PFG29" s="1882"/>
      <c r="PFH29" s="1882"/>
      <c r="PFJ29" s="1887"/>
      <c r="PFK29" s="1888"/>
      <c r="PFL29" s="1882"/>
      <c r="PFM29" s="1882"/>
      <c r="PFN29" s="1882"/>
      <c r="PFP29" s="1887"/>
      <c r="PFQ29" s="1888"/>
      <c r="PFR29" s="1882"/>
      <c r="PFS29" s="1882"/>
      <c r="PFT29" s="1882"/>
      <c r="PFV29" s="1887"/>
      <c r="PFW29" s="1888"/>
      <c r="PFX29" s="1882"/>
      <c r="PFY29" s="1882"/>
      <c r="PFZ29" s="1882"/>
      <c r="PGB29" s="1887"/>
      <c r="PGC29" s="1888"/>
      <c r="PGD29" s="1882"/>
      <c r="PGE29" s="1882"/>
      <c r="PGF29" s="1882"/>
      <c r="PGH29" s="1887"/>
      <c r="PGI29" s="1888"/>
      <c r="PGJ29" s="1882"/>
      <c r="PGK29" s="1882"/>
      <c r="PGL29" s="1882"/>
      <c r="PGN29" s="1887"/>
      <c r="PGO29" s="1888"/>
      <c r="PGP29" s="1882"/>
      <c r="PGQ29" s="1882"/>
      <c r="PGR29" s="1882"/>
      <c r="PGT29" s="1887"/>
      <c r="PGU29" s="1888"/>
      <c r="PGV29" s="1882"/>
      <c r="PGW29" s="1882"/>
      <c r="PGX29" s="1882"/>
      <c r="PGZ29" s="1887"/>
      <c r="PHA29" s="1888"/>
      <c r="PHB29" s="1882"/>
      <c r="PHC29" s="1882"/>
      <c r="PHD29" s="1882"/>
      <c r="PHF29" s="1887"/>
      <c r="PHG29" s="1888"/>
      <c r="PHH29" s="1882"/>
      <c r="PHI29" s="1882"/>
      <c r="PHJ29" s="1882"/>
      <c r="PHL29" s="1887"/>
      <c r="PHM29" s="1888"/>
      <c r="PHN29" s="1882"/>
      <c r="PHO29" s="1882"/>
      <c r="PHP29" s="1882"/>
      <c r="PHR29" s="1887"/>
      <c r="PHS29" s="1888"/>
      <c r="PHT29" s="1882"/>
      <c r="PHU29" s="1882"/>
      <c r="PHV29" s="1882"/>
      <c r="PHX29" s="1887"/>
      <c r="PHY29" s="1888"/>
      <c r="PHZ29" s="1882"/>
      <c r="PIA29" s="1882"/>
      <c r="PIB29" s="1882"/>
      <c r="PID29" s="1887"/>
      <c r="PIE29" s="1888"/>
      <c r="PIF29" s="1882"/>
      <c r="PIG29" s="1882"/>
      <c r="PIH29" s="1882"/>
      <c r="PIJ29" s="1887"/>
      <c r="PIK29" s="1888"/>
      <c r="PIL29" s="1882"/>
      <c r="PIM29" s="1882"/>
      <c r="PIN29" s="1882"/>
      <c r="PIP29" s="1887"/>
      <c r="PIQ29" s="1888"/>
      <c r="PIR29" s="1882"/>
      <c r="PIS29" s="1882"/>
      <c r="PIT29" s="1882"/>
      <c r="PIV29" s="1887"/>
      <c r="PIW29" s="1888"/>
      <c r="PIX29" s="1882"/>
      <c r="PIY29" s="1882"/>
      <c r="PIZ29" s="1882"/>
      <c r="PJB29" s="1887"/>
      <c r="PJC29" s="1888"/>
      <c r="PJD29" s="1882"/>
      <c r="PJE29" s="1882"/>
      <c r="PJF29" s="1882"/>
      <c r="PJH29" s="1887"/>
      <c r="PJI29" s="1888"/>
      <c r="PJJ29" s="1882"/>
      <c r="PJK29" s="1882"/>
      <c r="PJL29" s="1882"/>
      <c r="PJN29" s="1887"/>
      <c r="PJO29" s="1888"/>
      <c r="PJP29" s="1882"/>
      <c r="PJQ29" s="1882"/>
      <c r="PJR29" s="1882"/>
      <c r="PJT29" s="1887"/>
      <c r="PJU29" s="1888"/>
      <c r="PJV29" s="1882"/>
      <c r="PJW29" s="1882"/>
      <c r="PJX29" s="1882"/>
      <c r="PJZ29" s="1887"/>
      <c r="PKA29" s="1888"/>
      <c r="PKB29" s="1882"/>
      <c r="PKC29" s="1882"/>
      <c r="PKD29" s="1882"/>
      <c r="PKF29" s="1887"/>
      <c r="PKG29" s="1888"/>
      <c r="PKH29" s="1882"/>
      <c r="PKI29" s="1882"/>
      <c r="PKJ29" s="1882"/>
      <c r="PKL29" s="1887"/>
      <c r="PKM29" s="1888"/>
      <c r="PKN29" s="1882"/>
      <c r="PKO29" s="1882"/>
      <c r="PKP29" s="1882"/>
      <c r="PKR29" s="1887"/>
      <c r="PKS29" s="1888"/>
      <c r="PKT29" s="1882"/>
      <c r="PKU29" s="1882"/>
      <c r="PKV29" s="1882"/>
      <c r="PKX29" s="1887"/>
      <c r="PKY29" s="1888"/>
      <c r="PKZ29" s="1882"/>
      <c r="PLA29" s="1882"/>
      <c r="PLB29" s="1882"/>
      <c r="PLD29" s="1887"/>
      <c r="PLE29" s="1888"/>
      <c r="PLF29" s="1882"/>
      <c r="PLG29" s="1882"/>
      <c r="PLH29" s="1882"/>
      <c r="PLJ29" s="1887"/>
      <c r="PLK29" s="1888"/>
      <c r="PLL29" s="1882"/>
      <c r="PLM29" s="1882"/>
      <c r="PLN29" s="1882"/>
      <c r="PLP29" s="1887"/>
      <c r="PLQ29" s="1888"/>
      <c r="PLR29" s="1882"/>
      <c r="PLS29" s="1882"/>
      <c r="PLT29" s="1882"/>
      <c r="PLV29" s="1887"/>
      <c r="PLW29" s="1888"/>
      <c r="PLX29" s="1882"/>
      <c r="PLY29" s="1882"/>
      <c r="PLZ29" s="1882"/>
      <c r="PMB29" s="1887"/>
      <c r="PMC29" s="1888"/>
      <c r="PMD29" s="1882"/>
      <c r="PME29" s="1882"/>
      <c r="PMF29" s="1882"/>
      <c r="PMH29" s="1887"/>
      <c r="PMI29" s="1888"/>
      <c r="PMJ29" s="1882"/>
      <c r="PMK29" s="1882"/>
      <c r="PML29" s="1882"/>
      <c r="PMN29" s="1887"/>
      <c r="PMO29" s="1888"/>
      <c r="PMP29" s="1882"/>
      <c r="PMQ29" s="1882"/>
      <c r="PMR29" s="1882"/>
      <c r="PMT29" s="1887"/>
      <c r="PMU29" s="1888"/>
      <c r="PMV29" s="1882"/>
      <c r="PMW29" s="1882"/>
      <c r="PMX29" s="1882"/>
      <c r="PMZ29" s="1887"/>
      <c r="PNA29" s="1888"/>
      <c r="PNB29" s="1882"/>
      <c r="PNC29" s="1882"/>
      <c r="PND29" s="1882"/>
      <c r="PNF29" s="1887"/>
      <c r="PNG29" s="1888"/>
      <c r="PNH29" s="1882"/>
      <c r="PNI29" s="1882"/>
      <c r="PNJ29" s="1882"/>
      <c r="PNL29" s="1887"/>
      <c r="PNM29" s="1888"/>
      <c r="PNN29" s="1882"/>
      <c r="PNO29" s="1882"/>
      <c r="PNP29" s="1882"/>
      <c r="PNR29" s="1887"/>
      <c r="PNS29" s="1888"/>
      <c r="PNT29" s="1882"/>
      <c r="PNU29" s="1882"/>
      <c r="PNV29" s="1882"/>
      <c r="PNX29" s="1887"/>
      <c r="PNY29" s="1888"/>
      <c r="PNZ29" s="1882"/>
      <c r="POA29" s="1882"/>
      <c r="POB29" s="1882"/>
      <c r="POD29" s="1887"/>
      <c r="POE29" s="1888"/>
      <c r="POF29" s="1882"/>
      <c r="POG29" s="1882"/>
      <c r="POH29" s="1882"/>
      <c r="POJ29" s="1887"/>
      <c r="POK29" s="1888"/>
      <c r="POL29" s="1882"/>
      <c r="POM29" s="1882"/>
      <c r="PON29" s="1882"/>
      <c r="POP29" s="1887"/>
      <c r="POQ29" s="1888"/>
      <c r="POR29" s="1882"/>
      <c r="POS29" s="1882"/>
      <c r="POT29" s="1882"/>
      <c r="POV29" s="1887"/>
      <c r="POW29" s="1888"/>
      <c r="POX29" s="1882"/>
      <c r="POY29" s="1882"/>
      <c r="POZ29" s="1882"/>
      <c r="PPB29" s="1887"/>
      <c r="PPC29" s="1888"/>
      <c r="PPD29" s="1882"/>
      <c r="PPE29" s="1882"/>
      <c r="PPF29" s="1882"/>
      <c r="PPH29" s="1887"/>
      <c r="PPI29" s="1888"/>
      <c r="PPJ29" s="1882"/>
      <c r="PPK29" s="1882"/>
      <c r="PPL29" s="1882"/>
      <c r="PPN29" s="1887"/>
      <c r="PPO29" s="1888"/>
      <c r="PPP29" s="1882"/>
      <c r="PPQ29" s="1882"/>
      <c r="PPR29" s="1882"/>
      <c r="PPT29" s="1887"/>
      <c r="PPU29" s="1888"/>
      <c r="PPV29" s="1882"/>
      <c r="PPW29" s="1882"/>
      <c r="PPX29" s="1882"/>
      <c r="PPZ29" s="1887"/>
      <c r="PQA29" s="1888"/>
      <c r="PQB29" s="1882"/>
      <c r="PQC29" s="1882"/>
      <c r="PQD29" s="1882"/>
      <c r="PQF29" s="1887"/>
      <c r="PQG29" s="1888"/>
      <c r="PQH29" s="1882"/>
      <c r="PQI29" s="1882"/>
      <c r="PQJ29" s="1882"/>
      <c r="PQL29" s="1887"/>
      <c r="PQM29" s="1888"/>
      <c r="PQN29" s="1882"/>
      <c r="PQO29" s="1882"/>
      <c r="PQP29" s="1882"/>
      <c r="PQR29" s="1887"/>
      <c r="PQS29" s="1888"/>
      <c r="PQT29" s="1882"/>
      <c r="PQU29" s="1882"/>
      <c r="PQV29" s="1882"/>
      <c r="PQX29" s="1887"/>
      <c r="PQY29" s="1888"/>
      <c r="PQZ29" s="1882"/>
      <c r="PRA29" s="1882"/>
      <c r="PRB29" s="1882"/>
      <c r="PRD29" s="1887"/>
      <c r="PRE29" s="1888"/>
      <c r="PRF29" s="1882"/>
      <c r="PRG29" s="1882"/>
      <c r="PRH29" s="1882"/>
      <c r="PRJ29" s="1887"/>
      <c r="PRK29" s="1888"/>
      <c r="PRL29" s="1882"/>
      <c r="PRM29" s="1882"/>
      <c r="PRN29" s="1882"/>
      <c r="PRP29" s="1887"/>
      <c r="PRQ29" s="1888"/>
      <c r="PRR29" s="1882"/>
      <c r="PRS29" s="1882"/>
      <c r="PRT29" s="1882"/>
      <c r="PRV29" s="1887"/>
      <c r="PRW29" s="1888"/>
      <c r="PRX29" s="1882"/>
      <c r="PRY29" s="1882"/>
      <c r="PRZ29" s="1882"/>
      <c r="PSB29" s="1887"/>
      <c r="PSC29" s="1888"/>
      <c r="PSD29" s="1882"/>
      <c r="PSE29" s="1882"/>
      <c r="PSF29" s="1882"/>
      <c r="PSH29" s="1887"/>
      <c r="PSI29" s="1888"/>
      <c r="PSJ29" s="1882"/>
      <c r="PSK29" s="1882"/>
      <c r="PSL29" s="1882"/>
      <c r="PSN29" s="1887"/>
      <c r="PSO29" s="1888"/>
      <c r="PSP29" s="1882"/>
      <c r="PSQ29" s="1882"/>
      <c r="PSR29" s="1882"/>
      <c r="PST29" s="1887"/>
      <c r="PSU29" s="1888"/>
      <c r="PSV29" s="1882"/>
      <c r="PSW29" s="1882"/>
      <c r="PSX29" s="1882"/>
      <c r="PSZ29" s="1887"/>
      <c r="PTA29" s="1888"/>
      <c r="PTB29" s="1882"/>
      <c r="PTC29" s="1882"/>
      <c r="PTD29" s="1882"/>
      <c r="PTF29" s="1887"/>
      <c r="PTG29" s="1888"/>
      <c r="PTH29" s="1882"/>
      <c r="PTI29" s="1882"/>
      <c r="PTJ29" s="1882"/>
      <c r="PTL29" s="1887"/>
      <c r="PTM29" s="1888"/>
      <c r="PTN29" s="1882"/>
      <c r="PTO29" s="1882"/>
      <c r="PTP29" s="1882"/>
      <c r="PTR29" s="1887"/>
      <c r="PTS29" s="1888"/>
      <c r="PTT29" s="1882"/>
      <c r="PTU29" s="1882"/>
      <c r="PTV29" s="1882"/>
      <c r="PTX29" s="1887"/>
      <c r="PTY29" s="1888"/>
      <c r="PTZ29" s="1882"/>
      <c r="PUA29" s="1882"/>
      <c r="PUB29" s="1882"/>
      <c r="PUD29" s="1887"/>
      <c r="PUE29" s="1888"/>
      <c r="PUF29" s="1882"/>
      <c r="PUG29" s="1882"/>
      <c r="PUH29" s="1882"/>
      <c r="PUJ29" s="1887"/>
      <c r="PUK29" s="1888"/>
      <c r="PUL29" s="1882"/>
      <c r="PUM29" s="1882"/>
      <c r="PUN29" s="1882"/>
      <c r="PUP29" s="1887"/>
      <c r="PUQ29" s="1888"/>
      <c r="PUR29" s="1882"/>
      <c r="PUS29" s="1882"/>
      <c r="PUT29" s="1882"/>
      <c r="PUV29" s="1887"/>
      <c r="PUW29" s="1888"/>
      <c r="PUX29" s="1882"/>
      <c r="PUY29" s="1882"/>
      <c r="PUZ29" s="1882"/>
      <c r="PVB29" s="1887"/>
      <c r="PVC29" s="1888"/>
      <c r="PVD29" s="1882"/>
      <c r="PVE29" s="1882"/>
      <c r="PVF29" s="1882"/>
      <c r="PVH29" s="1887"/>
      <c r="PVI29" s="1888"/>
      <c r="PVJ29" s="1882"/>
      <c r="PVK29" s="1882"/>
      <c r="PVL29" s="1882"/>
      <c r="PVN29" s="1887"/>
      <c r="PVO29" s="1888"/>
      <c r="PVP29" s="1882"/>
      <c r="PVQ29" s="1882"/>
      <c r="PVR29" s="1882"/>
      <c r="PVT29" s="1887"/>
      <c r="PVU29" s="1888"/>
      <c r="PVV29" s="1882"/>
      <c r="PVW29" s="1882"/>
      <c r="PVX29" s="1882"/>
      <c r="PVZ29" s="1887"/>
      <c r="PWA29" s="1888"/>
      <c r="PWB29" s="1882"/>
      <c r="PWC29" s="1882"/>
      <c r="PWD29" s="1882"/>
      <c r="PWF29" s="1887"/>
      <c r="PWG29" s="1888"/>
      <c r="PWH29" s="1882"/>
      <c r="PWI29" s="1882"/>
      <c r="PWJ29" s="1882"/>
      <c r="PWL29" s="1887"/>
      <c r="PWM29" s="1888"/>
      <c r="PWN29" s="1882"/>
      <c r="PWO29" s="1882"/>
      <c r="PWP29" s="1882"/>
      <c r="PWR29" s="1887"/>
      <c r="PWS29" s="1888"/>
      <c r="PWT29" s="1882"/>
      <c r="PWU29" s="1882"/>
      <c r="PWV29" s="1882"/>
      <c r="PWX29" s="1887"/>
      <c r="PWY29" s="1888"/>
      <c r="PWZ29" s="1882"/>
      <c r="PXA29" s="1882"/>
      <c r="PXB29" s="1882"/>
      <c r="PXD29" s="1887"/>
      <c r="PXE29" s="1888"/>
      <c r="PXF29" s="1882"/>
      <c r="PXG29" s="1882"/>
      <c r="PXH29" s="1882"/>
      <c r="PXJ29" s="1887"/>
      <c r="PXK29" s="1888"/>
      <c r="PXL29" s="1882"/>
      <c r="PXM29" s="1882"/>
      <c r="PXN29" s="1882"/>
      <c r="PXP29" s="1887"/>
      <c r="PXQ29" s="1888"/>
      <c r="PXR29" s="1882"/>
      <c r="PXS29" s="1882"/>
      <c r="PXT29" s="1882"/>
      <c r="PXV29" s="1887"/>
      <c r="PXW29" s="1888"/>
      <c r="PXX29" s="1882"/>
      <c r="PXY29" s="1882"/>
      <c r="PXZ29" s="1882"/>
      <c r="PYB29" s="1887"/>
      <c r="PYC29" s="1888"/>
      <c r="PYD29" s="1882"/>
      <c r="PYE29" s="1882"/>
      <c r="PYF29" s="1882"/>
      <c r="PYH29" s="1887"/>
      <c r="PYI29" s="1888"/>
      <c r="PYJ29" s="1882"/>
      <c r="PYK29" s="1882"/>
      <c r="PYL29" s="1882"/>
      <c r="PYN29" s="1887"/>
      <c r="PYO29" s="1888"/>
      <c r="PYP29" s="1882"/>
      <c r="PYQ29" s="1882"/>
      <c r="PYR29" s="1882"/>
      <c r="PYT29" s="1887"/>
      <c r="PYU29" s="1888"/>
      <c r="PYV29" s="1882"/>
      <c r="PYW29" s="1882"/>
      <c r="PYX29" s="1882"/>
      <c r="PYZ29" s="1887"/>
      <c r="PZA29" s="1888"/>
      <c r="PZB29" s="1882"/>
      <c r="PZC29" s="1882"/>
      <c r="PZD29" s="1882"/>
      <c r="PZF29" s="1887"/>
      <c r="PZG29" s="1888"/>
      <c r="PZH29" s="1882"/>
      <c r="PZI29" s="1882"/>
      <c r="PZJ29" s="1882"/>
      <c r="PZL29" s="1887"/>
      <c r="PZM29" s="1888"/>
      <c r="PZN29" s="1882"/>
      <c r="PZO29" s="1882"/>
      <c r="PZP29" s="1882"/>
      <c r="PZR29" s="1887"/>
      <c r="PZS29" s="1888"/>
      <c r="PZT29" s="1882"/>
      <c r="PZU29" s="1882"/>
      <c r="PZV29" s="1882"/>
      <c r="PZX29" s="1887"/>
      <c r="PZY29" s="1888"/>
      <c r="PZZ29" s="1882"/>
      <c r="QAA29" s="1882"/>
      <c r="QAB29" s="1882"/>
      <c r="QAD29" s="1887"/>
      <c r="QAE29" s="1888"/>
      <c r="QAF29" s="1882"/>
      <c r="QAG29" s="1882"/>
      <c r="QAH29" s="1882"/>
      <c r="QAJ29" s="1887"/>
      <c r="QAK29" s="1888"/>
      <c r="QAL29" s="1882"/>
      <c r="QAM29" s="1882"/>
      <c r="QAN29" s="1882"/>
      <c r="QAP29" s="1887"/>
      <c r="QAQ29" s="1888"/>
      <c r="QAR29" s="1882"/>
      <c r="QAS29" s="1882"/>
      <c r="QAT29" s="1882"/>
      <c r="QAV29" s="1887"/>
      <c r="QAW29" s="1888"/>
      <c r="QAX29" s="1882"/>
      <c r="QAY29" s="1882"/>
      <c r="QAZ29" s="1882"/>
      <c r="QBB29" s="1887"/>
      <c r="QBC29" s="1888"/>
      <c r="QBD29" s="1882"/>
      <c r="QBE29" s="1882"/>
      <c r="QBF29" s="1882"/>
      <c r="QBH29" s="1887"/>
      <c r="QBI29" s="1888"/>
      <c r="QBJ29" s="1882"/>
      <c r="QBK29" s="1882"/>
      <c r="QBL29" s="1882"/>
      <c r="QBN29" s="1887"/>
      <c r="QBO29" s="1888"/>
      <c r="QBP29" s="1882"/>
      <c r="QBQ29" s="1882"/>
      <c r="QBR29" s="1882"/>
      <c r="QBT29" s="1887"/>
      <c r="QBU29" s="1888"/>
      <c r="QBV29" s="1882"/>
      <c r="QBW29" s="1882"/>
      <c r="QBX29" s="1882"/>
      <c r="QBZ29" s="1887"/>
      <c r="QCA29" s="1888"/>
      <c r="QCB29" s="1882"/>
      <c r="QCC29" s="1882"/>
      <c r="QCD29" s="1882"/>
      <c r="QCF29" s="1887"/>
      <c r="QCG29" s="1888"/>
      <c r="QCH29" s="1882"/>
      <c r="QCI29" s="1882"/>
      <c r="QCJ29" s="1882"/>
      <c r="QCL29" s="1887"/>
      <c r="QCM29" s="1888"/>
      <c r="QCN29" s="1882"/>
      <c r="QCO29" s="1882"/>
      <c r="QCP29" s="1882"/>
      <c r="QCR29" s="1887"/>
      <c r="QCS29" s="1888"/>
      <c r="QCT29" s="1882"/>
      <c r="QCU29" s="1882"/>
      <c r="QCV29" s="1882"/>
      <c r="QCX29" s="1887"/>
      <c r="QCY29" s="1888"/>
      <c r="QCZ29" s="1882"/>
      <c r="QDA29" s="1882"/>
      <c r="QDB29" s="1882"/>
      <c r="QDD29" s="1887"/>
      <c r="QDE29" s="1888"/>
      <c r="QDF29" s="1882"/>
      <c r="QDG29" s="1882"/>
      <c r="QDH29" s="1882"/>
      <c r="QDJ29" s="1887"/>
      <c r="QDK29" s="1888"/>
      <c r="QDL29" s="1882"/>
      <c r="QDM29" s="1882"/>
      <c r="QDN29" s="1882"/>
      <c r="QDP29" s="1887"/>
      <c r="QDQ29" s="1888"/>
      <c r="QDR29" s="1882"/>
      <c r="QDS29" s="1882"/>
      <c r="QDT29" s="1882"/>
      <c r="QDV29" s="1887"/>
      <c r="QDW29" s="1888"/>
      <c r="QDX29" s="1882"/>
      <c r="QDY29" s="1882"/>
      <c r="QDZ29" s="1882"/>
      <c r="QEB29" s="1887"/>
      <c r="QEC29" s="1888"/>
      <c r="QED29" s="1882"/>
      <c r="QEE29" s="1882"/>
      <c r="QEF29" s="1882"/>
      <c r="QEH29" s="1887"/>
      <c r="QEI29" s="1888"/>
      <c r="QEJ29" s="1882"/>
      <c r="QEK29" s="1882"/>
      <c r="QEL29" s="1882"/>
      <c r="QEN29" s="1887"/>
      <c r="QEO29" s="1888"/>
      <c r="QEP29" s="1882"/>
      <c r="QEQ29" s="1882"/>
      <c r="QER29" s="1882"/>
      <c r="QET29" s="1887"/>
      <c r="QEU29" s="1888"/>
      <c r="QEV29" s="1882"/>
      <c r="QEW29" s="1882"/>
      <c r="QEX29" s="1882"/>
      <c r="QEZ29" s="1887"/>
      <c r="QFA29" s="1888"/>
      <c r="QFB29" s="1882"/>
      <c r="QFC29" s="1882"/>
      <c r="QFD29" s="1882"/>
      <c r="QFF29" s="1887"/>
      <c r="QFG29" s="1888"/>
      <c r="QFH29" s="1882"/>
      <c r="QFI29" s="1882"/>
      <c r="QFJ29" s="1882"/>
      <c r="QFL29" s="1887"/>
      <c r="QFM29" s="1888"/>
      <c r="QFN29" s="1882"/>
      <c r="QFO29" s="1882"/>
      <c r="QFP29" s="1882"/>
      <c r="QFR29" s="1887"/>
      <c r="QFS29" s="1888"/>
      <c r="QFT29" s="1882"/>
      <c r="QFU29" s="1882"/>
      <c r="QFV29" s="1882"/>
      <c r="QFX29" s="1887"/>
      <c r="QFY29" s="1888"/>
      <c r="QFZ29" s="1882"/>
      <c r="QGA29" s="1882"/>
      <c r="QGB29" s="1882"/>
      <c r="QGD29" s="1887"/>
      <c r="QGE29" s="1888"/>
      <c r="QGF29" s="1882"/>
      <c r="QGG29" s="1882"/>
      <c r="QGH29" s="1882"/>
      <c r="QGJ29" s="1887"/>
      <c r="QGK29" s="1888"/>
      <c r="QGL29" s="1882"/>
      <c r="QGM29" s="1882"/>
      <c r="QGN29" s="1882"/>
      <c r="QGP29" s="1887"/>
      <c r="QGQ29" s="1888"/>
      <c r="QGR29" s="1882"/>
      <c r="QGS29" s="1882"/>
      <c r="QGT29" s="1882"/>
      <c r="QGV29" s="1887"/>
      <c r="QGW29" s="1888"/>
      <c r="QGX29" s="1882"/>
      <c r="QGY29" s="1882"/>
      <c r="QGZ29" s="1882"/>
      <c r="QHB29" s="1887"/>
      <c r="QHC29" s="1888"/>
      <c r="QHD29" s="1882"/>
      <c r="QHE29" s="1882"/>
      <c r="QHF29" s="1882"/>
      <c r="QHH29" s="1887"/>
      <c r="QHI29" s="1888"/>
      <c r="QHJ29" s="1882"/>
      <c r="QHK29" s="1882"/>
      <c r="QHL29" s="1882"/>
      <c r="QHN29" s="1887"/>
      <c r="QHO29" s="1888"/>
      <c r="QHP29" s="1882"/>
      <c r="QHQ29" s="1882"/>
      <c r="QHR29" s="1882"/>
      <c r="QHT29" s="1887"/>
      <c r="QHU29" s="1888"/>
      <c r="QHV29" s="1882"/>
      <c r="QHW29" s="1882"/>
      <c r="QHX29" s="1882"/>
      <c r="QHZ29" s="1887"/>
      <c r="QIA29" s="1888"/>
      <c r="QIB29" s="1882"/>
      <c r="QIC29" s="1882"/>
      <c r="QID29" s="1882"/>
      <c r="QIF29" s="1887"/>
      <c r="QIG29" s="1888"/>
      <c r="QIH29" s="1882"/>
      <c r="QII29" s="1882"/>
      <c r="QIJ29" s="1882"/>
      <c r="QIL29" s="1887"/>
      <c r="QIM29" s="1888"/>
      <c r="QIN29" s="1882"/>
      <c r="QIO29" s="1882"/>
      <c r="QIP29" s="1882"/>
      <c r="QIR29" s="1887"/>
      <c r="QIS29" s="1888"/>
      <c r="QIT29" s="1882"/>
      <c r="QIU29" s="1882"/>
      <c r="QIV29" s="1882"/>
      <c r="QIX29" s="1887"/>
      <c r="QIY29" s="1888"/>
      <c r="QIZ29" s="1882"/>
      <c r="QJA29" s="1882"/>
      <c r="QJB29" s="1882"/>
      <c r="QJD29" s="1887"/>
      <c r="QJE29" s="1888"/>
      <c r="QJF29" s="1882"/>
      <c r="QJG29" s="1882"/>
      <c r="QJH29" s="1882"/>
      <c r="QJJ29" s="1887"/>
      <c r="QJK29" s="1888"/>
      <c r="QJL29" s="1882"/>
      <c r="QJM29" s="1882"/>
      <c r="QJN29" s="1882"/>
      <c r="QJP29" s="1887"/>
      <c r="QJQ29" s="1888"/>
      <c r="QJR29" s="1882"/>
      <c r="QJS29" s="1882"/>
      <c r="QJT29" s="1882"/>
      <c r="QJV29" s="1887"/>
      <c r="QJW29" s="1888"/>
      <c r="QJX29" s="1882"/>
      <c r="QJY29" s="1882"/>
      <c r="QJZ29" s="1882"/>
      <c r="QKB29" s="1887"/>
      <c r="QKC29" s="1888"/>
      <c r="QKD29" s="1882"/>
      <c r="QKE29" s="1882"/>
      <c r="QKF29" s="1882"/>
      <c r="QKH29" s="1887"/>
      <c r="QKI29" s="1888"/>
      <c r="QKJ29" s="1882"/>
      <c r="QKK29" s="1882"/>
      <c r="QKL29" s="1882"/>
      <c r="QKN29" s="1887"/>
      <c r="QKO29" s="1888"/>
      <c r="QKP29" s="1882"/>
      <c r="QKQ29" s="1882"/>
      <c r="QKR29" s="1882"/>
      <c r="QKT29" s="1887"/>
      <c r="QKU29" s="1888"/>
      <c r="QKV29" s="1882"/>
      <c r="QKW29" s="1882"/>
      <c r="QKX29" s="1882"/>
      <c r="QKZ29" s="1887"/>
      <c r="QLA29" s="1888"/>
      <c r="QLB29" s="1882"/>
      <c r="QLC29" s="1882"/>
      <c r="QLD29" s="1882"/>
      <c r="QLF29" s="1887"/>
      <c r="QLG29" s="1888"/>
      <c r="QLH29" s="1882"/>
      <c r="QLI29" s="1882"/>
      <c r="QLJ29" s="1882"/>
      <c r="QLL29" s="1887"/>
      <c r="QLM29" s="1888"/>
      <c r="QLN29" s="1882"/>
      <c r="QLO29" s="1882"/>
      <c r="QLP29" s="1882"/>
      <c r="QLR29" s="1887"/>
      <c r="QLS29" s="1888"/>
      <c r="QLT29" s="1882"/>
      <c r="QLU29" s="1882"/>
      <c r="QLV29" s="1882"/>
      <c r="QLX29" s="1887"/>
      <c r="QLY29" s="1888"/>
      <c r="QLZ29" s="1882"/>
      <c r="QMA29" s="1882"/>
      <c r="QMB29" s="1882"/>
      <c r="QMD29" s="1887"/>
      <c r="QME29" s="1888"/>
      <c r="QMF29" s="1882"/>
      <c r="QMG29" s="1882"/>
      <c r="QMH29" s="1882"/>
      <c r="QMJ29" s="1887"/>
      <c r="QMK29" s="1888"/>
      <c r="QML29" s="1882"/>
      <c r="QMM29" s="1882"/>
      <c r="QMN29" s="1882"/>
      <c r="QMP29" s="1887"/>
      <c r="QMQ29" s="1888"/>
      <c r="QMR29" s="1882"/>
      <c r="QMS29" s="1882"/>
      <c r="QMT29" s="1882"/>
      <c r="QMV29" s="1887"/>
      <c r="QMW29" s="1888"/>
      <c r="QMX29" s="1882"/>
      <c r="QMY29" s="1882"/>
      <c r="QMZ29" s="1882"/>
      <c r="QNB29" s="1887"/>
      <c r="QNC29" s="1888"/>
      <c r="QND29" s="1882"/>
      <c r="QNE29" s="1882"/>
      <c r="QNF29" s="1882"/>
      <c r="QNH29" s="1887"/>
      <c r="QNI29" s="1888"/>
      <c r="QNJ29" s="1882"/>
      <c r="QNK29" s="1882"/>
      <c r="QNL29" s="1882"/>
      <c r="QNN29" s="1887"/>
      <c r="QNO29" s="1888"/>
      <c r="QNP29" s="1882"/>
      <c r="QNQ29" s="1882"/>
      <c r="QNR29" s="1882"/>
      <c r="QNT29" s="1887"/>
      <c r="QNU29" s="1888"/>
      <c r="QNV29" s="1882"/>
      <c r="QNW29" s="1882"/>
      <c r="QNX29" s="1882"/>
      <c r="QNZ29" s="1887"/>
      <c r="QOA29" s="1888"/>
      <c r="QOB29" s="1882"/>
      <c r="QOC29" s="1882"/>
      <c r="QOD29" s="1882"/>
      <c r="QOF29" s="1887"/>
      <c r="QOG29" s="1888"/>
      <c r="QOH29" s="1882"/>
      <c r="QOI29" s="1882"/>
      <c r="QOJ29" s="1882"/>
      <c r="QOL29" s="1887"/>
      <c r="QOM29" s="1888"/>
      <c r="QON29" s="1882"/>
      <c r="QOO29" s="1882"/>
      <c r="QOP29" s="1882"/>
      <c r="QOR29" s="1887"/>
      <c r="QOS29" s="1888"/>
      <c r="QOT29" s="1882"/>
      <c r="QOU29" s="1882"/>
      <c r="QOV29" s="1882"/>
      <c r="QOX29" s="1887"/>
      <c r="QOY29" s="1888"/>
      <c r="QOZ29" s="1882"/>
      <c r="QPA29" s="1882"/>
      <c r="QPB29" s="1882"/>
      <c r="QPD29" s="1887"/>
      <c r="QPE29" s="1888"/>
      <c r="QPF29" s="1882"/>
      <c r="QPG29" s="1882"/>
      <c r="QPH29" s="1882"/>
      <c r="QPJ29" s="1887"/>
      <c r="QPK29" s="1888"/>
      <c r="QPL29" s="1882"/>
      <c r="QPM29" s="1882"/>
      <c r="QPN29" s="1882"/>
      <c r="QPP29" s="1887"/>
      <c r="QPQ29" s="1888"/>
      <c r="QPR29" s="1882"/>
      <c r="QPS29" s="1882"/>
      <c r="QPT29" s="1882"/>
      <c r="QPV29" s="1887"/>
      <c r="QPW29" s="1888"/>
      <c r="QPX29" s="1882"/>
      <c r="QPY29" s="1882"/>
      <c r="QPZ29" s="1882"/>
      <c r="QQB29" s="1887"/>
      <c r="QQC29" s="1888"/>
      <c r="QQD29" s="1882"/>
      <c r="QQE29" s="1882"/>
      <c r="QQF29" s="1882"/>
      <c r="QQH29" s="1887"/>
      <c r="QQI29" s="1888"/>
      <c r="QQJ29" s="1882"/>
      <c r="QQK29" s="1882"/>
      <c r="QQL29" s="1882"/>
      <c r="QQN29" s="1887"/>
      <c r="QQO29" s="1888"/>
      <c r="QQP29" s="1882"/>
      <c r="QQQ29" s="1882"/>
      <c r="QQR29" s="1882"/>
      <c r="QQT29" s="1887"/>
      <c r="QQU29" s="1888"/>
      <c r="QQV29" s="1882"/>
      <c r="QQW29" s="1882"/>
      <c r="QQX29" s="1882"/>
      <c r="QQZ29" s="1887"/>
      <c r="QRA29" s="1888"/>
      <c r="QRB29" s="1882"/>
      <c r="QRC29" s="1882"/>
      <c r="QRD29" s="1882"/>
      <c r="QRF29" s="1887"/>
      <c r="QRG29" s="1888"/>
      <c r="QRH29" s="1882"/>
      <c r="QRI29" s="1882"/>
      <c r="QRJ29" s="1882"/>
      <c r="QRL29" s="1887"/>
      <c r="QRM29" s="1888"/>
      <c r="QRN29" s="1882"/>
      <c r="QRO29" s="1882"/>
      <c r="QRP29" s="1882"/>
      <c r="QRR29" s="1887"/>
      <c r="QRS29" s="1888"/>
      <c r="QRT29" s="1882"/>
      <c r="QRU29" s="1882"/>
      <c r="QRV29" s="1882"/>
      <c r="QRX29" s="1887"/>
      <c r="QRY29" s="1888"/>
      <c r="QRZ29" s="1882"/>
      <c r="QSA29" s="1882"/>
      <c r="QSB29" s="1882"/>
      <c r="QSD29" s="1887"/>
      <c r="QSE29" s="1888"/>
      <c r="QSF29" s="1882"/>
      <c r="QSG29" s="1882"/>
      <c r="QSH29" s="1882"/>
      <c r="QSJ29" s="1887"/>
      <c r="QSK29" s="1888"/>
      <c r="QSL29" s="1882"/>
      <c r="QSM29" s="1882"/>
      <c r="QSN29" s="1882"/>
      <c r="QSP29" s="1887"/>
      <c r="QSQ29" s="1888"/>
      <c r="QSR29" s="1882"/>
      <c r="QSS29" s="1882"/>
      <c r="QST29" s="1882"/>
      <c r="QSV29" s="1887"/>
      <c r="QSW29" s="1888"/>
      <c r="QSX29" s="1882"/>
      <c r="QSY29" s="1882"/>
      <c r="QSZ29" s="1882"/>
      <c r="QTB29" s="1887"/>
      <c r="QTC29" s="1888"/>
      <c r="QTD29" s="1882"/>
      <c r="QTE29" s="1882"/>
      <c r="QTF29" s="1882"/>
      <c r="QTH29" s="1887"/>
      <c r="QTI29" s="1888"/>
      <c r="QTJ29" s="1882"/>
      <c r="QTK29" s="1882"/>
      <c r="QTL29" s="1882"/>
      <c r="QTN29" s="1887"/>
      <c r="QTO29" s="1888"/>
      <c r="QTP29" s="1882"/>
      <c r="QTQ29" s="1882"/>
      <c r="QTR29" s="1882"/>
      <c r="QTT29" s="1887"/>
      <c r="QTU29" s="1888"/>
      <c r="QTV29" s="1882"/>
      <c r="QTW29" s="1882"/>
      <c r="QTX29" s="1882"/>
      <c r="QTZ29" s="1887"/>
      <c r="QUA29" s="1888"/>
      <c r="QUB29" s="1882"/>
      <c r="QUC29" s="1882"/>
      <c r="QUD29" s="1882"/>
      <c r="QUF29" s="1887"/>
      <c r="QUG29" s="1888"/>
      <c r="QUH29" s="1882"/>
      <c r="QUI29" s="1882"/>
      <c r="QUJ29" s="1882"/>
      <c r="QUL29" s="1887"/>
      <c r="QUM29" s="1888"/>
      <c r="QUN29" s="1882"/>
      <c r="QUO29" s="1882"/>
      <c r="QUP29" s="1882"/>
      <c r="QUR29" s="1887"/>
      <c r="QUS29" s="1888"/>
      <c r="QUT29" s="1882"/>
      <c r="QUU29" s="1882"/>
      <c r="QUV29" s="1882"/>
      <c r="QUX29" s="1887"/>
      <c r="QUY29" s="1888"/>
      <c r="QUZ29" s="1882"/>
      <c r="QVA29" s="1882"/>
      <c r="QVB29" s="1882"/>
      <c r="QVD29" s="1887"/>
      <c r="QVE29" s="1888"/>
      <c r="QVF29" s="1882"/>
      <c r="QVG29" s="1882"/>
      <c r="QVH29" s="1882"/>
      <c r="QVJ29" s="1887"/>
      <c r="QVK29" s="1888"/>
      <c r="QVL29" s="1882"/>
      <c r="QVM29" s="1882"/>
      <c r="QVN29" s="1882"/>
      <c r="QVP29" s="1887"/>
      <c r="QVQ29" s="1888"/>
      <c r="QVR29" s="1882"/>
      <c r="QVS29" s="1882"/>
      <c r="QVT29" s="1882"/>
      <c r="QVV29" s="1887"/>
      <c r="QVW29" s="1888"/>
      <c r="QVX29" s="1882"/>
      <c r="QVY29" s="1882"/>
      <c r="QVZ29" s="1882"/>
      <c r="QWB29" s="1887"/>
      <c r="QWC29" s="1888"/>
      <c r="QWD29" s="1882"/>
      <c r="QWE29" s="1882"/>
      <c r="QWF29" s="1882"/>
      <c r="QWH29" s="1887"/>
      <c r="QWI29" s="1888"/>
      <c r="QWJ29" s="1882"/>
      <c r="QWK29" s="1882"/>
      <c r="QWL29" s="1882"/>
      <c r="QWN29" s="1887"/>
      <c r="QWO29" s="1888"/>
      <c r="QWP29" s="1882"/>
      <c r="QWQ29" s="1882"/>
      <c r="QWR29" s="1882"/>
      <c r="QWT29" s="1887"/>
      <c r="QWU29" s="1888"/>
      <c r="QWV29" s="1882"/>
      <c r="QWW29" s="1882"/>
      <c r="QWX29" s="1882"/>
      <c r="QWZ29" s="1887"/>
      <c r="QXA29" s="1888"/>
      <c r="QXB29" s="1882"/>
      <c r="QXC29" s="1882"/>
      <c r="QXD29" s="1882"/>
      <c r="QXF29" s="1887"/>
      <c r="QXG29" s="1888"/>
      <c r="QXH29" s="1882"/>
      <c r="QXI29" s="1882"/>
      <c r="QXJ29" s="1882"/>
      <c r="QXL29" s="1887"/>
      <c r="QXM29" s="1888"/>
      <c r="QXN29" s="1882"/>
      <c r="QXO29" s="1882"/>
      <c r="QXP29" s="1882"/>
      <c r="QXR29" s="1887"/>
      <c r="QXS29" s="1888"/>
      <c r="QXT29" s="1882"/>
      <c r="QXU29" s="1882"/>
      <c r="QXV29" s="1882"/>
      <c r="QXX29" s="1887"/>
      <c r="QXY29" s="1888"/>
      <c r="QXZ29" s="1882"/>
      <c r="QYA29" s="1882"/>
      <c r="QYB29" s="1882"/>
      <c r="QYD29" s="1887"/>
      <c r="QYE29" s="1888"/>
      <c r="QYF29" s="1882"/>
      <c r="QYG29" s="1882"/>
      <c r="QYH29" s="1882"/>
      <c r="QYJ29" s="1887"/>
      <c r="QYK29" s="1888"/>
      <c r="QYL29" s="1882"/>
      <c r="QYM29" s="1882"/>
      <c r="QYN29" s="1882"/>
      <c r="QYP29" s="1887"/>
      <c r="QYQ29" s="1888"/>
      <c r="QYR29" s="1882"/>
      <c r="QYS29" s="1882"/>
      <c r="QYT29" s="1882"/>
      <c r="QYV29" s="1887"/>
      <c r="QYW29" s="1888"/>
      <c r="QYX29" s="1882"/>
      <c r="QYY29" s="1882"/>
      <c r="QYZ29" s="1882"/>
      <c r="QZB29" s="1887"/>
      <c r="QZC29" s="1888"/>
      <c r="QZD29" s="1882"/>
      <c r="QZE29" s="1882"/>
      <c r="QZF29" s="1882"/>
      <c r="QZH29" s="1887"/>
      <c r="QZI29" s="1888"/>
      <c r="QZJ29" s="1882"/>
      <c r="QZK29" s="1882"/>
      <c r="QZL29" s="1882"/>
      <c r="QZN29" s="1887"/>
      <c r="QZO29" s="1888"/>
      <c r="QZP29" s="1882"/>
      <c r="QZQ29" s="1882"/>
      <c r="QZR29" s="1882"/>
      <c r="QZT29" s="1887"/>
      <c r="QZU29" s="1888"/>
      <c r="QZV29" s="1882"/>
      <c r="QZW29" s="1882"/>
      <c r="QZX29" s="1882"/>
      <c r="QZZ29" s="1887"/>
      <c r="RAA29" s="1888"/>
      <c r="RAB29" s="1882"/>
      <c r="RAC29" s="1882"/>
      <c r="RAD29" s="1882"/>
      <c r="RAF29" s="1887"/>
      <c r="RAG29" s="1888"/>
      <c r="RAH29" s="1882"/>
      <c r="RAI29" s="1882"/>
      <c r="RAJ29" s="1882"/>
      <c r="RAL29" s="1887"/>
      <c r="RAM29" s="1888"/>
      <c r="RAN29" s="1882"/>
      <c r="RAO29" s="1882"/>
      <c r="RAP29" s="1882"/>
      <c r="RAR29" s="1887"/>
      <c r="RAS29" s="1888"/>
      <c r="RAT29" s="1882"/>
      <c r="RAU29" s="1882"/>
      <c r="RAV29" s="1882"/>
      <c r="RAX29" s="1887"/>
      <c r="RAY29" s="1888"/>
      <c r="RAZ29" s="1882"/>
      <c r="RBA29" s="1882"/>
      <c r="RBB29" s="1882"/>
      <c r="RBD29" s="1887"/>
      <c r="RBE29" s="1888"/>
      <c r="RBF29" s="1882"/>
      <c r="RBG29" s="1882"/>
      <c r="RBH29" s="1882"/>
      <c r="RBJ29" s="1887"/>
      <c r="RBK29" s="1888"/>
      <c r="RBL29" s="1882"/>
      <c r="RBM29" s="1882"/>
      <c r="RBN29" s="1882"/>
      <c r="RBP29" s="1887"/>
      <c r="RBQ29" s="1888"/>
      <c r="RBR29" s="1882"/>
      <c r="RBS29" s="1882"/>
      <c r="RBT29" s="1882"/>
      <c r="RBV29" s="1887"/>
      <c r="RBW29" s="1888"/>
      <c r="RBX29" s="1882"/>
      <c r="RBY29" s="1882"/>
      <c r="RBZ29" s="1882"/>
      <c r="RCB29" s="1887"/>
      <c r="RCC29" s="1888"/>
      <c r="RCD29" s="1882"/>
      <c r="RCE29" s="1882"/>
      <c r="RCF29" s="1882"/>
      <c r="RCH29" s="1887"/>
      <c r="RCI29" s="1888"/>
      <c r="RCJ29" s="1882"/>
      <c r="RCK29" s="1882"/>
      <c r="RCL29" s="1882"/>
      <c r="RCN29" s="1887"/>
      <c r="RCO29" s="1888"/>
      <c r="RCP29" s="1882"/>
      <c r="RCQ29" s="1882"/>
      <c r="RCR29" s="1882"/>
      <c r="RCT29" s="1887"/>
      <c r="RCU29" s="1888"/>
      <c r="RCV29" s="1882"/>
      <c r="RCW29" s="1882"/>
      <c r="RCX29" s="1882"/>
      <c r="RCZ29" s="1887"/>
      <c r="RDA29" s="1888"/>
      <c r="RDB29" s="1882"/>
      <c r="RDC29" s="1882"/>
      <c r="RDD29" s="1882"/>
      <c r="RDF29" s="1887"/>
      <c r="RDG29" s="1888"/>
      <c r="RDH29" s="1882"/>
      <c r="RDI29" s="1882"/>
      <c r="RDJ29" s="1882"/>
      <c r="RDL29" s="1887"/>
      <c r="RDM29" s="1888"/>
      <c r="RDN29" s="1882"/>
      <c r="RDO29" s="1882"/>
      <c r="RDP29" s="1882"/>
      <c r="RDR29" s="1887"/>
      <c r="RDS29" s="1888"/>
      <c r="RDT29" s="1882"/>
      <c r="RDU29" s="1882"/>
      <c r="RDV29" s="1882"/>
      <c r="RDX29" s="1887"/>
      <c r="RDY29" s="1888"/>
      <c r="RDZ29" s="1882"/>
      <c r="REA29" s="1882"/>
      <c r="REB29" s="1882"/>
      <c r="RED29" s="1887"/>
      <c r="REE29" s="1888"/>
      <c r="REF29" s="1882"/>
      <c r="REG29" s="1882"/>
      <c r="REH29" s="1882"/>
      <c r="REJ29" s="1887"/>
      <c r="REK29" s="1888"/>
      <c r="REL29" s="1882"/>
      <c r="REM29" s="1882"/>
      <c r="REN29" s="1882"/>
      <c r="REP29" s="1887"/>
      <c r="REQ29" s="1888"/>
      <c r="RER29" s="1882"/>
      <c r="RES29" s="1882"/>
      <c r="RET29" s="1882"/>
      <c r="REV29" s="1887"/>
      <c r="REW29" s="1888"/>
      <c r="REX29" s="1882"/>
      <c r="REY29" s="1882"/>
      <c r="REZ29" s="1882"/>
      <c r="RFB29" s="1887"/>
      <c r="RFC29" s="1888"/>
      <c r="RFD29" s="1882"/>
      <c r="RFE29" s="1882"/>
      <c r="RFF29" s="1882"/>
      <c r="RFH29" s="1887"/>
      <c r="RFI29" s="1888"/>
      <c r="RFJ29" s="1882"/>
      <c r="RFK29" s="1882"/>
      <c r="RFL29" s="1882"/>
      <c r="RFN29" s="1887"/>
      <c r="RFO29" s="1888"/>
      <c r="RFP29" s="1882"/>
      <c r="RFQ29" s="1882"/>
      <c r="RFR29" s="1882"/>
      <c r="RFT29" s="1887"/>
      <c r="RFU29" s="1888"/>
      <c r="RFV29" s="1882"/>
      <c r="RFW29" s="1882"/>
      <c r="RFX29" s="1882"/>
      <c r="RFZ29" s="1887"/>
      <c r="RGA29" s="1888"/>
      <c r="RGB29" s="1882"/>
      <c r="RGC29" s="1882"/>
      <c r="RGD29" s="1882"/>
      <c r="RGF29" s="1887"/>
      <c r="RGG29" s="1888"/>
      <c r="RGH29" s="1882"/>
      <c r="RGI29" s="1882"/>
      <c r="RGJ29" s="1882"/>
      <c r="RGL29" s="1887"/>
      <c r="RGM29" s="1888"/>
      <c r="RGN29" s="1882"/>
      <c r="RGO29" s="1882"/>
      <c r="RGP29" s="1882"/>
      <c r="RGR29" s="1887"/>
      <c r="RGS29" s="1888"/>
      <c r="RGT29" s="1882"/>
      <c r="RGU29" s="1882"/>
      <c r="RGV29" s="1882"/>
      <c r="RGX29" s="1887"/>
      <c r="RGY29" s="1888"/>
      <c r="RGZ29" s="1882"/>
      <c r="RHA29" s="1882"/>
      <c r="RHB29" s="1882"/>
      <c r="RHD29" s="1887"/>
      <c r="RHE29" s="1888"/>
      <c r="RHF29" s="1882"/>
      <c r="RHG29" s="1882"/>
      <c r="RHH29" s="1882"/>
      <c r="RHJ29" s="1887"/>
      <c r="RHK29" s="1888"/>
      <c r="RHL29" s="1882"/>
      <c r="RHM29" s="1882"/>
      <c r="RHN29" s="1882"/>
      <c r="RHP29" s="1887"/>
      <c r="RHQ29" s="1888"/>
      <c r="RHR29" s="1882"/>
      <c r="RHS29" s="1882"/>
      <c r="RHT29" s="1882"/>
      <c r="RHV29" s="1887"/>
      <c r="RHW29" s="1888"/>
      <c r="RHX29" s="1882"/>
      <c r="RHY29" s="1882"/>
      <c r="RHZ29" s="1882"/>
      <c r="RIB29" s="1887"/>
      <c r="RIC29" s="1888"/>
      <c r="RID29" s="1882"/>
      <c r="RIE29" s="1882"/>
      <c r="RIF29" s="1882"/>
      <c r="RIH29" s="1887"/>
      <c r="RII29" s="1888"/>
      <c r="RIJ29" s="1882"/>
      <c r="RIK29" s="1882"/>
      <c r="RIL29" s="1882"/>
      <c r="RIN29" s="1887"/>
      <c r="RIO29" s="1888"/>
      <c r="RIP29" s="1882"/>
      <c r="RIQ29" s="1882"/>
      <c r="RIR29" s="1882"/>
      <c r="RIT29" s="1887"/>
      <c r="RIU29" s="1888"/>
      <c r="RIV29" s="1882"/>
      <c r="RIW29" s="1882"/>
      <c r="RIX29" s="1882"/>
      <c r="RIZ29" s="1887"/>
      <c r="RJA29" s="1888"/>
      <c r="RJB29" s="1882"/>
      <c r="RJC29" s="1882"/>
      <c r="RJD29" s="1882"/>
      <c r="RJF29" s="1887"/>
      <c r="RJG29" s="1888"/>
      <c r="RJH29" s="1882"/>
      <c r="RJI29" s="1882"/>
      <c r="RJJ29" s="1882"/>
      <c r="RJL29" s="1887"/>
      <c r="RJM29" s="1888"/>
      <c r="RJN29" s="1882"/>
      <c r="RJO29" s="1882"/>
      <c r="RJP29" s="1882"/>
      <c r="RJR29" s="1887"/>
      <c r="RJS29" s="1888"/>
      <c r="RJT29" s="1882"/>
      <c r="RJU29" s="1882"/>
      <c r="RJV29" s="1882"/>
      <c r="RJX29" s="1887"/>
      <c r="RJY29" s="1888"/>
      <c r="RJZ29" s="1882"/>
      <c r="RKA29" s="1882"/>
      <c r="RKB29" s="1882"/>
      <c r="RKD29" s="1887"/>
      <c r="RKE29" s="1888"/>
      <c r="RKF29" s="1882"/>
      <c r="RKG29" s="1882"/>
      <c r="RKH29" s="1882"/>
      <c r="RKJ29" s="1887"/>
      <c r="RKK29" s="1888"/>
      <c r="RKL29" s="1882"/>
      <c r="RKM29" s="1882"/>
      <c r="RKN29" s="1882"/>
      <c r="RKP29" s="1887"/>
      <c r="RKQ29" s="1888"/>
      <c r="RKR29" s="1882"/>
      <c r="RKS29" s="1882"/>
      <c r="RKT29" s="1882"/>
      <c r="RKV29" s="1887"/>
      <c r="RKW29" s="1888"/>
      <c r="RKX29" s="1882"/>
      <c r="RKY29" s="1882"/>
      <c r="RKZ29" s="1882"/>
      <c r="RLB29" s="1887"/>
      <c r="RLC29" s="1888"/>
      <c r="RLD29" s="1882"/>
      <c r="RLE29" s="1882"/>
      <c r="RLF29" s="1882"/>
      <c r="RLH29" s="1887"/>
      <c r="RLI29" s="1888"/>
      <c r="RLJ29" s="1882"/>
      <c r="RLK29" s="1882"/>
      <c r="RLL29" s="1882"/>
      <c r="RLN29" s="1887"/>
      <c r="RLO29" s="1888"/>
      <c r="RLP29" s="1882"/>
      <c r="RLQ29" s="1882"/>
      <c r="RLR29" s="1882"/>
      <c r="RLT29" s="1887"/>
      <c r="RLU29" s="1888"/>
      <c r="RLV29" s="1882"/>
      <c r="RLW29" s="1882"/>
      <c r="RLX29" s="1882"/>
      <c r="RLZ29" s="1887"/>
      <c r="RMA29" s="1888"/>
      <c r="RMB29" s="1882"/>
      <c r="RMC29" s="1882"/>
      <c r="RMD29" s="1882"/>
      <c r="RMF29" s="1887"/>
      <c r="RMG29" s="1888"/>
      <c r="RMH29" s="1882"/>
      <c r="RMI29" s="1882"/>
      <c r="RMJ29" s="1882"/>
      <c r="RML29" s="1887"/>
      <c r="RMM29" s="1888"/>
      <c r="RMN29" s="1882"/>
      <c r="RMO29" s="1882"/>
      <c r="RMP29" s="1882"/>
      <c r="RMR29" s="1887"/>
      <c r="RMS29" s="1888"/>
      <c r="RMT29" s="1882"/>
      <c r="RMU29" s="1882"/>
      <c r="RMV29" s="1882"/>
      <c r="RMX29" s="1887"/>
      <c r="RMY29" s="1888"/>
      <c r="RMZ29" s="1882"/>
      <c r="RNA29" s="1882"/>
      <c r="RNB29" s="1882"/>
      <c r="RND29" s="1887"/>
      <c r="RNE29" s="1888"/>
      <c r="RNF29" s="1882"/>
      <c r="RNG29" s="1882"/>
      <c r="RNH29" s="1882"/>
      <c r="RNJ29" s="1887"/>
      <c r="RNK29" s="1888"/>
      <c r="RNL29" s="1882"/>
      <c r="RNM29" s="1882"/>
      <c r="RNN29" s="1882"/>
      <c r="RNP29" s="1887"/>
      <c r="RNQ29" s="1888"/>
      <c r="RNR29" s="1882"/>
      <c r="RNS29" s="1882"/>
      <c r="RNT29" s="1882"/>
      <c r="RNV29" s="1887"/>
      <c r="RNW29" s="1888"/>
      <c r="RNX29" s="1882"/>
      <c r="RNY29" s="1882"/>
      <c r="RNZ29" s="1882"/>
      <c r="ROB29" s="1887"/>
      <c r="ROC29" s="1888"/>
      <c r="ROD29" s="1882"/>
      <c r="ROE29" s="1882"/>
      <c r="ROF29" s="1882"/>
      <c r="ROH29" s="1887"/>
      <c r="ROI29" s="1888"/>
      <c r="ROJ29" s="1882"/>
      <c r="ROK29" s="1882"/>
      <c r="ROL29" s="1882"/>
      <c r="RON29" s="1887"/>
      <c r="ROO29" s="1888"/>
      <c r="ROP29" s="1882"/>
      <c r="ROQ29" s="1882"/>
      <c r="ROR29" s="1882"/>
      <c r="ROT29" s="1887"/>
      <c r="ROU29" s="1888"/>
      <c r="ROV29" s="1882"/>
      <c r="ROW29" s="1882"/>
      <c r="ROX29" s="1882"/>
      <c r="ROZ29" s="1887"/>
      <c r="RPA29" s="1888"/>
      <c r="RPB29" s="1882"/>
      <c r="RPC29" s="1882"/>
      <c r="RPD29" s="1882"/>
      <c r="RPF29" s="1887"/>
      <c r="RPG29" s="1888"/>
      <c r="RPH29" s="1882"/>
      <c r="RPI29" s="1882"/>
      <c r="RPJ29" s="1882"/>
      <c r="RPL29" s="1887"/>
      <c r="RPM29" s="1888"/>
      <c r="RPN29" s="1882"/>
      <c r="RPO29" s="1882"/>
      <c r="RPP29" s="1882"/>
      <c r="RPR29" s="1887"/>
      <c r="RPS29" s="1888"/>
      <c r="RPT29" s="1882"/>
      <c r="RPU29" s="1882"/>
      <c r="RPV29" s="1882"/>
      <c r="RPX29" s="1887"/>
      <c r="RPY29" s="1888"/>
      <c r="RPZ29" s="1882"/>
      <c r="RQA29" s="1882"/>
      <c r="RQB29" s="1882"/>
      <c r="RQD29" s="1887"/>
      <c r="RQE29" s="1888"/>
      <c r="RQF29" s="1882"/>
      <c r="RQG29" s="1882"/>
      <c r="RQH29" s="1882"/>
      <c r="RQJ29" s="1887"/>
      <c r="RQK29" s="1888"/>
      <c r="RQL29" s="1882"/>
      <c r="RQM29" s="1882"/>
      <c r="RQN29" s="1882"/>
      <c r="RQP29" s="1887"/>
      <c r="RQQ29" s="1888"/>
      <c r="RQR29" s="1882"/>
      <c r="RQS29" s="1882"/>
      <c r="RQT29" s="1882"/>
      <c r="RQV29" s="1887"/>
      <c r="RQW29" s="1888"/>
      <c r="RQX29" s="1882"/>
      <c r="RQY29" s="1882"/>
      <c r="RQZ29" s="1882"/>
      <c r="RRB29" s="1887"/>
      <c r="RRC29" s="1888"/>
      <c r="RRD29" s="1882"/>
      <c r="RRE29" s="1882"/>
      <c r="RRF29" s="1882"/>
      <c r="RRH29" s="1887"/>
      <c r="RRI29" s="1888"/>
      <c r="RRJ29" s="1882"/>
      <c r="RRK29" s="1882"/>
      <c r="RRL29" s="1882"/>
      <c r="RRN29" s="1887"/>
      <c r="RRO29" s="1888"/>
      <c r="RRP29" s="1882"/>
      <c r="RRQ29" s="1882"/>
      <c r="RRR29" s="1882"/>
      <c r="RRT29" s="1887"/>
      <c r="RRU29" s="1888"/>
      <c r="RRV29" s="1882"/>
      <c r="RRW29" s="1882"/>
      <c r="RRX29" s="1882"/>
      <c r="RRZ29" s="1887"/>
      <c r="RSA29" s="1888"/>
      <c r="RSB29" s="1882"/>
      <c r="RSC29" s="1882"/>
      <c r="RSD29" s="1882"/>
      <c r="RSF29" s="1887"/>
      <c r="RSG29" s="1888"/>
      <c r="RSH29" s="1882"/>
      <c r="RSI29" s="1882"/>
      <c r="RSJ29" s="1882"/>
      <c r="RSL29" s="1887"/>
      <c r="RSM29" s="1888"/>
      <c r="RSN29" s="1882"/>
      <c r="RSO29" s="1882"/>
      <c r="RSP29" s="1882"/>
      <c r="RSR29" s="1887"/>
      <c r="RSS29" s="1888"/>
      <c r="RST29" s="1882"/>
      <c r="RSU29" s="1882"/>
      <c r="RSV29" s="1882"/>
      <c r="RSX29" s="1887"/>
      <c r="RSY29" s="1888"/>
      <c r="RSZ29" s="1882"/>
      <c r="RTA29" s="1882"/>
      <c r="RTB29" s="1882"/>
      <c r="RTD29" s="1887"/>
      <c r="RTE29" s="1888"/>
      <c r="RTF29" s="1882"/>
      <c r="RTG29" s="1882"/>
      <c r="RTH29" s="1882"/>
      <c r="RTJ29" s="1887"/>
      <c r="RTK29" s="1888"/>
      <c r="RTL29" s="1882"/>
      <c r="RTM29" s="1882"/>
      <c r="RTN29" s="1882"/>
      <c r="RTP29" s="1887"/>
      <c r="RTQ29" s="1888"/>
      <c r="RTR29" s="1882"/>
      <c r="RTS29" s="1882"/>
      <c r="RTT29" s="1882"/>
      <c r="RTV29" s="1887"/>
      <c r="RTW29" s="1888"/>
      <c r="RTX29" s="1882"/>
      <c r="RTY29" s="1882"/>
      <c r="RTZ29" s="1882"/>
      <c r="RUB29" s="1887"/>
      <c r="RUC29" s="1888"/>
      <c r="RUD29" s="1882"/>
      <c r="RUE29" s="1882"/>
      <c r="RUF29" s="1882"/>
      <c r="RUH29" s="1887"/>
      <c r="RUI29" s="1888"/>
      <c r="RUJ29" s="1882"/>
      <c r="RUK29" s="1882"/>
      <c r="RUL29" s="1882"/>
      <c r="RUN29" s="1887"/>
      <c r="RUO29" s="1888"/>
      <c r="RUP29" s="1882"/>
      <c r="RUQ29" s="1882"/>
      <c r="RUR29" s="1882"/>
      <c r="RUT29" s="1887"/>
      <c r="RUU29" s="1888"/>
      <c r="RUV29" s="1882"/>
      <c r="RUW29" s="1882"/>
      <c r="RUX29" s="1882"/>
      <c r="RUZ29" s="1887"/>
      <c r="RVA29" s="1888"/>
      <c r="RVB29" s="1882"/>
      <c r="RVC29" s="1882"/>
      <c r="RVD29" s="1882"/>
      <c r="RVF29" s="1887"/>
      <c r="RVG29" s="1888"/>
      <c r="RVH29" s="1882"/>
      <c r="RVI29" s="1882"/>
      <c r="RVJ29" s="1882"/>
      <c r="RVL29" s="1887"/>
      <c r="RVM29" s="1888"/>
      <c r="RVN29" s="1882"/>
      <c r="RVO29" s="1882"/>
      <c r="RVP29" s="1882"/>
      <c r="RVR29" s="1887"/>
      <c r="RVS29" s="1888"/>
      <c r="RVT29" s="1882"/>
      <c r="RVU29" s="1882"/>
      <c r="RVV29" s="1882"/>
      <c r="RVX29" s="1887"/>
      <c r="RVY29" s="1888"/>
      <c r="RVZ29" s="1882"/>
      <c r="RWA29" s="1882"/>
      <c r="RWB29" s="1882"/>
      <c r="RWD29" s="1887"/>
      <c r="RWE29" s="1888"/>
      <c r="RWF29" s="1882"/>
      <c r="RWG29" s="1882"/>
      <c r="RWH29" s="1882"/>
      <c r="RWJ29" s="1887"/>
      <c r="RWK29" s="1888"/>
      <c r="RWL29" s="1882"/>
      <c r="RWM29" s="1882"/>
      <c r="RWN29" s="1882"/>
      <c r="RWP29" s="1887"/>
      <c r="RWQ29" s="1888"/>
      <c r="RWR29" s="1882"/>
      <c r="RWS29" s="1882"/>
      <c r="RWT29" s="1882"/>
      <c r="RWV29" s="1887"/>
      <c r="RWW29" s="1888"/>
      <c r="RWX29" s="1882"/>
      <c r="RWY29" s="1882"/>
      <c r="RWZ29" s="1882"/>
      <c r="RXB29" s="1887"/>
      <c r="RXC29" s="1888"/>
      <c r="RXD29" s="1882"/>
      <c r="RXE29" s="1882"/>
      <c r="RXF29" s="1882"/>
      <c r="RXH29" s="1887"/>
      <c r="RXI29" s="1888"/>
      <c r="RXJ29" s="1882"/>
      <c r="RXK29" s="1882"/>
      <c r="RXL29" s="1882"/>
      <c r="RXN29" s="1887"/>
      <c r="RXO29" s="1888"/>
      <c r="RXP29" s="1882"/>
      <c r="RXQ29" s="1882"/>
      <c r="RXR29" s="1882"/>
      <c r="RXT29" s="1887"/>
      <c r="RXU29" s="1888"/>
      <c r="RXV29" s="1882"/>
      <c r="RXW29" s="1882"/>
      <c r="RXX29" s="1882"/>
      <c r="RXZ29" s="1887"/>
      <c r="RYA29" s="1888"/>
      <c r="RYB29" s="1882"/>
      <c r="RYC29" s="1882"/>
      <c r="RYD29" s="1882"/>
      <c r="RYF29" s="1887"/>
      <c r="RYG29" s="1888"/>
      <c r="RYH29" s="1882"/>
      <c r="RYI29" s="1882"/>
      <c r="RYJ29" s="1882"/>
      <c r="RYL29" s="1887"/>
      <c r="RYM29" s="1888"/>
      <c r="RYN29" s="1882"/>
      <c r="RYO29" s="1882"/>
      <c r="RYP29" s="1882"/>
      <c r="RYR29" s="1887"/>
      <c r="RYS29" s="1888"/>
      <c r="RYT29" s="1882"/>
      <c r="RYU29" s="1882"/>
      <c r="RYV29" s="1882"/>
      <c r="RYX29" s="1887"/>
      <c r="RYY29" s="1888"/>
      <c r="RYZ29" s="1882"/>
      <c r="RZA29" s="1882"/>
      <c r="RZB29" s="1882"/>
      <c r="RZD29" s="1887"/>
      <c r="RZE29" s="1888"/>
      <c r="RZF29" s="1882"/>
      <c r="RZG29" s="1882"/>
      <c r="RZH29" s="1882"/>
      <c r="RZJ29" s="1887"/>
      <c r="RZK29" s="1888"/>
      <c r="RZL29" s="1882"/>
      <c r="RZM29" s="1882"/>
      <c r="RZN29" s="1882"/>
      <c r="RZP29" s="1887"/>
      <c r="RZQ29" s="1888"/>
      <c r="RZR29" s="1882"/>
      <c r="RZS29" s="1882"/>
      <c r="RZT29" s="1882"/>
      <c r="RZV29" s="1887"/>
      <c r="RZW29" s="1888"/>
      <c r="RZX29" s="1882"/>
      <c r="RZY29" s="1882"/>
      <c r="RZZ29" s="1882"/>
      <c r="SAB29" s="1887"/>
      <c r="SAC29" s="1888"/>
      <c r="SAD29" s="1882"/>
      <c r="SAE29" s="1882"/>
      <c r="SAF29" s="1882"/>
      <c r="SAH29" s="1887"/>
      <c r="SAI29" s="1888"/>
      <c r="SAJ29" s="1882"/>
      <c r="SAK29" s="1882"/>
      <c r="SAL29" s="1882"/>
      <c r="SAN29" s="1887"/>
      <c r="SAO29" s="1888"/>
      <c r="SAP29" s="1882"/>
      <c r="SAQ29" s="1882"/>
      <c r="SAR29" s="1882"/>
      <c r="SAT29" s="1887"/>
      <c r="SAU29" s="1888"/>
      <c r="SAV29" s="1882"/>
      <c r="SAW29" s="1882"/>
      <c r="SAX29" s="1882"/>
      <c r="SAZ29" s="1887"/>
      <c r="SBA29" s="1888"/>
      <c r="SBB29" s="1882"/>
      <c r="SBC29" s="1882"/>
      <c r="SBD29" s="1882"/>
      <c r="SBF29" s="1887"/>
      <c r="SBG29" s="1888"/>
      <c r="SBH29" s="1882"/>
      <c r="SBI29" s="1882"/>
      <c r="SBJ29" s="1882"/>
      <c r="SBL29" s="1887"/>
      <c r="SBM29" s="1888"/>
      <c r="SBN29" s="1882"/>
      <c r="SBO29" s="1882"/>
      <c r="SBP29" s="1882"/>
      <c r="SBR29" s="1887"/>
      <c r="SBS29" s="1888"/>
      <c r="SBT29" s="1882"/>
      <c r="SBU29" s="1882"/>
      <c r="SBV29" s="1882"/>
      <c r="SBX29" s="1887"/>
      <c r="SBY29" s="1888"/>
      <c r="SBZ29" s="1882"/>
      <c r="SCA29" s="1882"/>
      <c r="SCB29" s="1882"/>
      <c r="SCD29" s="1887"/>
      <c r="SCE29" s="1888"/>
      <c r="SCF29" s="1882"/>
      <c r="SCG29" s="1882"/>
      <c r="SCH29" s="1882"/>
      <c r="SCJ29" s="1887"/>
      <c r="SCK29" s="1888"/>
      <c r="SCL29" s="1882"/>
      <c r="SCM29" s="1882"/>
      <c r="SCN29" s="1882"/>
      <c r="SCP29" s="1887"/>
      <c r="SCQ29" s="1888"/>
      <c r="SCR29" s="1882"/>
      <c r="SCS29" s="1882"/>
      <c r="SCT29" s="1882"/>
      <c r="SCV29" s="1887"/>
      <c r="SCW29" s="1888"/>
      <c r="SCX29" s="1882"/>
      <c r="SCY29" s="1882"/>
      <c r="SCZ29" s="1882"/>
      <c r="SDB29" s="1887"/>
      <c r="SDC29" s="1888"/>
      <c r="SDD29" s="1882"/>
      <c r="SDE29" s="1882"/>
      <c r="SDF29" s="1882"/>
      <c r="SDH29" s="1887"/>
      <c r="SDI29" s="1888"/>
      <c r="SDJ29" s="1882"/>
      <c r="SDK29" s="1882"/>
      <c r="SDL29" s="1882"/>
      <c r="SDN29" s="1887"/>
      <c r="SDO29" s="1888"/>
      <c r="SDP29" s="1882"/>
      <c r="SDQ29" s="1882"/>
      <c r="SDR29" s="1882"/>
      <c r="SDT29" s="1887"/>
      <c r="SDU29" s="1888"/>
      <c r="SDV29" s="1882"/>
      <c r="SDW29" s="1882"/>
      <c r="SDX29" s="1882"/>
      <c r="SDZ29" s="1887"/>
      <c r="SEA29" s="1888"/>
      <c r="SEB29" s="1882"/>
      <c r="SEC29" s="1882"/>
      <c r="SED29" s="1882"/>
      <c r="SEF29" s="1887"/>
      <c r="SEG29" s="1888"/>
      <c r="SEH29" s="1882"/>
      <c r="SEI29" s="1882"/>
      <c r="SEJ29" s="1882"/>
      <c r="SEL29" s="1887"/>
      <c r="SEM29" s="1888"/>
      <c r="SEN29" s="1882"/>
      <c r="SEO29" s="1882"/>
      <c r="SEP29" s="1882"/>
      <c r="SER29" s="1887"/>
      <c r="SES29" s="1888"/>
      <c r="SET29" s="1882"/>
      <c r="SEU29" s="1882"/>
      <c r="SEV29" s="1882"/>
      <c r="SEX29" s="1887"/>
      <c r="SEY29" s="1888"/>
      <c r="SEZ29" s="1882"/>
      <c r="SFA29" s="1882"/>
      <c r="SFB29" s="1882"/>
      <c r="SFD29" s="1887"/>
      <c r="SFE29" s="1888"/>
      <c r="SFF29" s="1882"/>
      <c r="SFG29" s="1882"/>
      <c r="SFH29" s="1882"/>
      <c r="SFJ29" s="1887"/>
      <c r="SFK29" s="1888"/>
      <c r="SFL29" s="1882"/>
      <c r="SFM29" s="1882"/>
      <c r="SFN29" s="1882"/>
      <c r="SFP29" s="1887"/>
      <c r="SFQ29" s="1888"/>
      <c r="SFR29" s="1882"/>
      <c r="SFS29" s="1882"/>
      <c r="SFT29" s="1882"/>
      <c r="SFV29" s="1887"/>
      <c r="SFW29" s="1888"/>
      <c r="SFX29" s="1882"/>
      <c r="SFY29" s="1882"/>
      <c r="SFZ29" s="1882"/>
      <c r="SGB29" s="1887"/>
      <c r="SGC29" s="1888"/>
      <c r="SGD29" s="1882"/>
      <c r="SGE29" s="1882"/>
      <c r="SGF29" s="1882"/>
      <c r="SGH29" s="1887"/>
      <c r="SGI29" s="1888"/>
      <c r="SGJ29" s="1882"/>
      <c r="SGK29" s="1882"/>
      <c r="SGL29" s="1882"/>
      <c r="SGN29" s="1887"/>
      <c r="SGO29" s="1888"/>
      <c r="SGP29" s="1882"/>
      <c r="SGQ29" s="1882"/>
      <c r="SGR29" s="1882"/>
      <c r="SGT29" s="1887"/>
      <c r="SGU29" s="1888"/>
      <c r="SGV29" s="1882"/>
      <c r="SGW29" s="1882"/>
      <c r="SGX29" s="1882"/>
      <c r="SGZ29" s="1887"/>
      <c r="SHA29" s="1888"/>
      <c r="SHB29" s="1882"/>
      <c r="SHC29" s="1882"/>
      <c r="SHD29" s="1882"/>
      <c r="SHF29" s="1887"/>
      <c r="SHG29" s="1888"/>
      <c r="SHH29" s="1882"/>
      <c r="SHI29" s="1882"/>
      <c r="SHJ29" s="1882"/>
      <c r="SHL29" s="1887"/>
      <c r="SHM29" s="1888"/>
      <c r="SHN29" s="1882"/>
      <c r="SHO29" s="1882"/>
      <c r="SHP29" s="1882"/>
      <c r="SHR29" s="1887"/>
      <c r="SHS29" s="1888"/>
      <c r="SHT29" s="1882"/>
      <c r="SHU29" s="1882"/>
      <c r="SHV29" s="1882"/>
      <c r="SHX29" s="1887"/>
      <c r="SHY29" s="1888"/>
      <c r="SHZ29" s="1882"/>
      <c r="SIA29" s="1882"/>
      <c r="SIB29" s="1882"/>
      <c r="SID29" s="1887"/>
      <c r="SIE29" s="1888"/>
      <c r="SIF29" s="1882"/>
      <c r="SIG29" s="1882"/>
      <c r="SIH29" s="1882"/>
      <c r="SIJ29" s="1887"/>
      <c r="SIK29" s="1888"/>
      <c r="SIL29" s="1882"/>
      <c r="SIM29" s="1882"/>
      <c r="SIN29" s="1882"/>
      <c r="SIP29" s="1887"/>
      <c r="SIQ29" s="1888"/>
      <c r="SIR29" s="1882"/>
      <c r="SIS29" s="1882"/>
      <c r="SIT29" s="1882"/>
      <c r="SIV29" s="1887"/>
      <c r="SIW29" s="1888"/>
      <c r="SIX29" s="1882"/>
      <c r="SIY29" s="1882"/>
      <c r="SIZ29" s="1882"/>
      <c r="SJB29" s="1887"/>
      <c r="SJC29" s="1888"/>
      <c r="SJD29" s="1882"/>
      <c r="SJE29" s="1882"/>
      <c r="SJF29" s="1882"/>
      <c r="SJH29" s="1887"/>
      <c r="SJI29" s="1888"/>
      <c r="SJJ29" s="1882"/>
      <c r="SJK29" s="1882"/>
      <c r="SJL29" s="1882"/>
      <c r="SJN29" s="1887"/>
      <c r="SJO29" s="1888"/>
      <c r="SJP29" s="1882"/>
      <c r="SJQ29" s="1882"/>
      <c r="SJR29" s="1882"/>
      <c r="SJT29" s="1887"/>
      <c r="SJU29" s="1888"/>
      <c r="SJV29" s="1882"/>
      <c r="SJW29" s="1882"/>
      <c r="SJX29" s="1882"/>
      <c r="SJZ29" s="1887"/>
      <c r="SKA29" s="1888"/>
      <c r="SKB29" s="1882"/>
      <c r="SKC29" s="1882"/>
      <c r="SKD29" s="1882"/>
      <c r="SKF29" s="1887"/>
      <c r="SKG29" s="1888"/>
      <c r="SKH29" s="1882"/>
      <c r="SKI29" s="1882"/>
      <c r="SKJ29" s="1882"/>
      <c r="SKL29" s="1887"/>
      <c r="SKM29" s="1888"/>
      <c r="SKN29" s="1882"/>
      <c r="SKO29" s="1882"/>
      <c r="SKP29" s="1882"/>
      <c r="SKR29" s="1887"/>
      <c r="SKS29" s="1888"/>
      <c r="SKT29" s="1882"/>
      <c r="SKU29" s="1882"/>
      <c r="SKV29" s="1882"/>
      <c r="SKX29" s="1887"/>
      <c r="SKY29" s="1888"/>
      <c r="SKZ29" s="1882"/>
      <c r="SLA29" s="1882"/>
      <c r="SLB29" s="1882"/>
      <c r="SLD29" s="1887"/>
      <c r="SLE29" s="1888"/>
      <c r="SLF29" s="1882"/>
      <c r="SLG29" s="1882"/>
      <c r="SLH29" s="1882"/>
      <c r="SLJ29" s="1887"/>
      <c r="SLK29" s="1888"/>
      <c r="SLL29" s="1882"/>
      <c r="SLM29" s="1882"/>
      <c r="SLN29" s="1882"/>
      <c r="SLP29" s="1887"/>
      <c r="SLQ29" s="1888"/>
      <c r="SLR29" s="1882"/>
      <c r="SLS29" s="1882"/>
      <c r="SLT29" s="1882"/>
      <c r="SLV29" s="1887"/>
      <c r="SLW29" s="1888"/>
      <c r="SLX29" s="1882"/>
      <c r="SLY29" s="1882"/>
      <c r="SLZ29" s="1882"/>
      <c r="SMB29" s="1887"/>
      <c r="SMC29" s="1888"/>
      <c r="SMD29" s="1882"/>
      <c r="SME29" s="1882"/>
      <c r="SMF29" s="1882"/>
      <c r="SMH29" s="1887"/>
      <c r="SMI29" s="1888"/>
      <c r="SMJ29" s="1882"/>
      <c r="SMK29" s="1882"/>
      <c r="SML29" s="1882"/>
      <c r="SMN29" s="1887"/>
      <c r="SMO29" s="1888"/>
      <c r="SMP29" s="1882"/>
      <c r="SMQ29" s="1882"/>
      <c r="SMR29" s="1882"/>
      <c r="SMT29" s="1887"/>
      <c r="SMU29" s="1888"/>
      <c r="SMV29" s="1882"/>
      <c r="SMW29" s="1882"/>
      <c r="SMX29" s="1882"/>
      <c r="SMZ29" s="1887"/>
      <c r="SNA29" s="1888"/>
      <c r="SNB29" s="1882"/>
      <c r="SNC29" s="1882"/>
      <c r="SND29" s="1882"/>
      <c r="SNF29" s="1887"/>
      <c r="SNG29" s="1888"/>
      <c r="SNH29" s="1882"/>
      <c r="SNI29" s="1882"/>
      <c r="SNJ29" s="1882"/>
      <c r="SNL29" s="1887"/>
      <c r="SNM29" s="1888"/>
      <c r="SNN29" s="1882"/>
      <c r="SNO29" s="1882"/>
      <c r="SNP29" s="1882"/>
      <c r="SNR29" s="1887"/>
      <c r="SNS29" s="1888"/>
      <c r="SNT29" s="1882"/>
      <c r="SNU29" s="1882"/>
      <c r="SNV29" s="1882"/>
      <c r="SNX29" s="1887"/>
      <c r="SNY29" s="1888"/>
      <c r="SNZ29" s="1882"/>
      <c r="SOA29" s="1882"/>
      <c r="SOB29" s="1882"/>
      <c r="SOD29" s="1887"/>
      <c r="SOE29" s="1888"/>
      <c r="SOF29" s="1882"/>
      <c r="SOG29" s="1882"/>
      <c r="SOH29" s="1882"/>
      <c r="SOJ29" s="1887"/>
      <c r="SOK29" s="1888"/>
      <c r="SOL29" s="1882"/>
      <c r="SOM29" s="1882"/>
      <c r="SON29" s="1882"/>
      <c r="SOP29" s="1887"/>
      <c r="SOQ29" s="1888"/>
      <c r="SOR29" s="1882"/>
      <c r="SOS29" s="1882"/>
      <c r="SOT29" s="1882"/>
      <c r="SOV29" s="1887"/>
      <c r="SOW29" s="1888"/>
      <c r="SOX29" s="1882"/>
      <c r="SOY29" s="1882"/>
      <c r="SOZ29" s="1882"/>
      <c r="SPB29" s="1887"/>
      <c r="SPC29" s="1888"/>
      <c r="SPD29" s="1882"/>
      <c r="SPE29" s="1882"/>
      <c r="SPF29" s="1882"/>
      <c r="SPH29" s="1887"/>
      <c r="SPI29" s="1888"/>
      <c r="SPJ29" s="1882"/>
      <c r="SPK29" s="1882"/>
      <c r="SPL29" s="1882"/>
      <c r="SPN29" s="1887"/>
      <c r="SPO29" s="1888"/>
      <c r="SPP29" s="1882"/>
      <c r="SPQ29" s="1882"/>
      <c r="SPR29" s="1882"/>
      <c r="SPT29" s="1887"/>
      <c r="SPU29" s="1888"/>
      <c r="SPV29" s="1882"/>
      <c r="SPW29" s="1882"/>
      <c r="SPX29" s="1882"/>
      <c r="SPZ29" s="1887"/>
      <c r="SQA29" s="1888"/>
      <c r="SQB29" s="1882"/>
      <c r="SQC29" s="1882"/>
      <c r="SQD29" s="1882"/>
      <c r="SQF29" s="1887"/>
      <c r="SQG29" s="1888"/>
      <c r="SQH29" s="1882"/>
      <c r="SQI29" s="1882"/>
      <c r="SQJ29" s="1882"/>
      <c r="SQL29" s="1887"/>
      <c r="SQM29" s="1888"/>
      <c r="SQN29" s="1882"/>
      <c r="SQO29" s="1882"/>
      <c r="SQP29" s="1882"/>
      <c r="SQR29" s="1887"/>
      <c r="SQS29" s="1888"/>
      <c r="SQT29" s="1882"/>
      <c r="SQU29" s="1882"/>
      <c r="SQV29" s="1882"/>
      <c r="SQX29" s="1887"/>
      <c r="SQY29" s="1888"/>
      <c r="SQZ29" s="1882"/>
      <c r="SRA29" s="1882"/>
      <c r="SRB29" s="1882"/>
      <c r="SRD29" s="1887"/>
      <c r="SRE29" s="1888"/>
      <c r="SRF29" s="1882"/>
      <c r="SRG29" s="1882"/>
      <c r="SRH29" s="1882"/>
      <c r="SRJ29" s="1887"/>
      <c r="SRK29" s="1888"/>
      <c r="SRL29" s="1882"/>
      <c r="SRM29" s="1882"/>
      <c r="SRN29" s="1882"/>
      <c r="SRP29" s="1887"/>
      <c r="SRQ29" s="1888"/>
      <c r="SRR29" s="1882"/>
      <c r="SRS29" s="1882"/>
      <c r="SRT29" s="1882"/>
      <c r="SRV29" s="1887"/>
      <c r="SRW29" s="1888"/>
      <c r="SRX29" s="1882"/>
      <c r="SRY29" s="1882"/>
      <c r="SRZ29" s="1882"/>
      <c r="SSB29" s="1887"/>
      <c r="SSC29" s="1888"/>
      <c r="SSD29" s="1882"/>
      <c r="SSE29" s="1882"/>
      <c r="SSF29" s="1882"/>
      <c r="SSH29" s="1887"/>
      <c r="SSI29" s="1888"/>
      <c r="SSJ29" s="1882"/>
      <c r="SSK29" s="1882"/>
      <c r="SSL29" s="1882"/>
      <c r="SSN29" s="1887"/>
      <c r="SSO29" s="1888"/>
      <c r="SSP29" s="1882"/>
      <c r="SSQ29" s="1882"/>
      <c r="SSR29" s="1882"/>
      <c r="SST29" s="1887"/>
      <c r="SSU29" s="1888"/>
      <c r="SSV29" s="1882"/>
      <c r="SSW29" s="1882"/>
      <c r="SSX29" s="1882"/>
      <c r="SSZ29" s="1887"/>
      <c r="STA29" s="1888"/>
      <c r="STB29" s="1882"/>
      <c r="STC29" s="1882"/>
      <c r="STD29" s="1882"/>
      <c r="STF29" s="1887"/>
      <c r="STG29" s="1888"/>
      <c r="STH29" s="1882"/>
      <c r="STI29" s="1882"/>
      <c r="STJ29" s="1882"/>
      <c r="STL29" s="1887"/>
      <c r="STM29" s="1888"/>
      <c r="STN29" s="1882"/>
      <c r="STO29" s="1882"/>
      <c r="STP29" s="1882"/>
      <c r="STR29" s="1887"/>
      <c r="STS29" s="1888"/>
      <c r="STT29" s="1882"/>
      <c r="STU29" s="1882"/>
      <c r="STV29" s="1882"/>
      <c r="STX29" s="1887"/>
      <c r="STY29" s="1888"/>
      <c r="STZ29" s="1882"/>
      <c r="SUA29" s="1882"/>
      <c r="SUB29" s="1882"/>
      <c r="SUD29" s="1887"/>
      <c r="SUE29" s="1888"/>
      <c r="SUF29" s="1882"/>
      <c r="SUG29" s="1882"/>
      <c r="SUH29" s="1882"/>
      <c r="SUJ29" s="1887"/>
      <c r="SUK29" s="1888"/>
      <c r="SUL29" s="1882"/>
      <c r="SUM29" s="1882"/>
      <c r="SUN29" s="1882"/>
      <c r="SUP29" s="1887"/>
      <c r="SUQ29" s="1888"/>
      <c r="SUR29" s="1882"/>
      <c r="SUS29" s="1882"/>
      <c r="SUT29" s="1882"/>
      <c r="SUV29" s="1887"/>
      <c r="SUW29" s="1888"/>
      <c r="SUX29" s="1882"/>
      <c r="SUY29" s="1882"/>
      <c r="SUZ29" s="1882"/>
      <c r="SVB29" s="1887"/>
      <c r="SVC29" s="1888"/>
      <c r="SVD29" s="1882"/>
      <c r="SVE29" s="1882"/>
      <c r="SVF29" s="1882"/>
      <c r="SVH29" s="1887"/>
      <c r="SVI29" s="1888"/>
      <c r="SVJ29" s="1882"/>
      <c r="SVK29" s="1882"/>
      <c r="SVL29" s="1882"/>
      <c r="SVN29" s="1887"/>
      <c r="SVO29" s="1888"/>
      <c r="SVP29" s="1882"/>
      <c r="SVQ29" s="1882"/>
      <c r="SVR29" s="1882"/>
      <c r="SVT29" s="1887"/>
      <c r="SVU29" s="1888"/>
      <c r="SVV29" s="1882"/>
      <c r="SVW29" s="1882"/>
      <c r="SVX29" s="1882"/>
      <c r="SVZ29" s="1887"/>
      <c r="SWA29" s="1888"/>
      <c r="SWB29" s="1882"/>
      <c r="SWC29" s="1882"/>
      <c r="SWD29" s="1882"/>
      <c r="SWF29" s="1887"/>
      <c r="SWG29" s="1888"/>
      <c r="SWH29" s="1882"/>
      <c r="SWI29" s="1882"/>
      <c r="SWJ29" s="1882"/>
      <c r="SWL29" s="1887"/>
      <c r="SWM29" s="1888"/>
      <c r="SWN29" s="1882"/>
      <c r="SWO29" s="1882"/>
      <c r="SWP29" s="1882"/>
      <c r="SWR29" s="1887"/>
      <c r="SWS29" s="1888"/>
      <c r="SWT29" s="1882"/>
      <c r="SWU29" s="1882"/>
      <c r="SWV29" s="1882"/>
      <c r="SWX29" s="1887"/>
      <c r="SWY29" s="1888"/>
      <c r="SWZ29" s="1882"/>
      <c r="SXA29" s="1882"/>
      <c r="SXB29" s="1882"/>
      <c r="SXD29" s="1887"/>
      <c r="SXE29" s="1888"/>
      <c r="SXF29" s="1882"/>
      <c r="SXG29" s="1882"/>
      <c r="SXH29" s="1882"/>
      <c r="SXJ29" s="1887"/>
      <c r="SXK29" s="1888"/>
      <c r="SXL29" s="1882"/>
      <c r="SXM29" s="1882"/>
      <c r="SXN29" s="1882"/>
      <c r="SXP29" s="1887"/>
      <c r="SXQ29" s="1888"/>
      <c r="SXR29" s="1882"/>
      <c r="SXS29" s="1882"/>
      <c r="SXT29" s="1882"/>
      <c r="SXV29" s="1887"/>
      <c r="SXW29" s="1888"/>
      <c r="SXX29" s="1882"/>
      <c r="SXY29" s="1882"/>
      <c r="SXZ29" s="1882"/>
      <c r="SYB29" s="1887"/>
      <c r="SYC29" s="1888"/>
      <c r="SYD29" s="1882"/>
      <c r="SYE29" s="1882"/>
      <c r="SYF29" s="1882"/>
      <c r="SYH29" s="1887"/>
      <c r="SYI29" s="1888"/>
      <c r="SYJ29" s="1882"/>
      <c r="SYK29" s="1882"/>
      <c r="SYL29" s="1882"/>
      <c r="SYN29" s="1887"/>
      <c r="SYO29" s="1888"/>
      <c r="SYP29" s="1882"/>
      <c r="SYQ29" s="1882"/>
      <c r="SYR29" s="1882"/>
      <c r="SYT29" s="1887"/>
      <c r="SYU29" s="1888"/>
      <c r="SYV29" s="1882"/>
      <c r="SYW29" s="1882"/>
      <c r="SYX29" s="1882"/>
      <c r="SYZ29" s="1887"/>
      <c r="SZA29" s="1888"/>
      <c r="SZB29" s="1882"/>
      <c r="SZC29" s="1882"/>
      <c r="SZD29" s="1882"/>
      <c r="SZF29" s="1887"/>
      <c r="SZG29" s="1888"/>
      <c r="SZH29" s="1882"/>
      <c r="SZI29" s="1882"/>
      <c r="SZJ29" s="1882"/>
      <c r="SZL29" s="1887"/>
      <c r="SZM29" s="1888"/>
      <c r="SZN29" s="1882"/>
      <c r="SZO29" s="1882"/>
      <c r="SZP29" s="1882"/>
      <c r="SZR29" s="1887"/>
      <c r="SZS29" s="1888"/>
      <c r="SZT29" s="1882"/>
      <c r="SZU29" s="1882"/>
      <c r="SZV29" s="1882"/>
      <c r="SZX29" s="1887"/>
      <c r="SZY29" s="1888"/>
      <c r="SZZ29" s="1882"/>
      <c r="TAA29" s="1882"/>
      <c r="TAB29" s="1882"/>
      <c r="TAD29" s="1887"/>
      <c r="TAE29" s="1888"/>
      <c r="TAF29" s="1882"/>
      <c r="TAG29" s="1882"/>
      <c r="TAH29" s="1882"/>
      <c r="TAJ29" s="1887"/>
      <c r="TAK29" s="1888"/>
      <c r="TAL29" s="1882"/>
      <c r="TAM29" s="1882"/>
      <c r="TAN29" s="1882"/>
      <c r="TAP29" s="1887"/>
      <c r="TAQ29" s="1888"/>
      <c r="TAR29" s="1882"/>
      <c r="TAS29" s="1882"/>
      <c r="TAT29" s="1882"/>
      <c r="TAV29" s="1887"/>
      <c r="TAW29" s="1888"/>
      <c r="TAX29" s="1882"/>
      <c r="TAY29" s="1882"/>
      <c r="TAZ29" s="1882"/>
      <c r="TBB29" s="1887"/>
      <c r="TBC29" s="1888"/>
      <c r="TBD29" s="1882"/>
      <c r="TBE29" s="1882"/>
      <c r="TBF29" s="1882"/>
      <c r="TBH29" s="1887"/>
      <c r="TBI29" s="1888"/>
      <c r="TBJ29" s="1882"/>
      <c r="TBK29" s="1882"/>
      <c r="TBL29" s="1882"/>
      <c r="TBN29" s="1887"/>
      <c r="TBO29" s="1888"/>
      <c r="TBP29" s="1882"/>
      <c r="TBQ29" s="1882"/>
      <c r="TBR29" s="1882"/>
      <c r="TBT29" s="1887"/>
      <c r="TBU29" s="1888"/>
      <c r="TBV29" s="1882"/>
      <c r="TBW29" s="1882"/>
      <c r="TBX29" s="1882"/>
      <c r="TBZ29" s="1887"/>
      <c r="TCA29" s="1888"/>
      <c r="TCB29" s="1882"/>
      <c r="TCC29" s="1882"/>
      <c r="TCD29" s="1882"/>
      <c r="TCF29" s="1887"/>
      <c r="TCG29" s="1888"/>
      <c r="TCH29" s="1882"/>
      <c r="TCI29" s="1882"/>
      <c r="TCJ29" s="1882"/>
      <c r="TCL29" s="1887"/>
      <c r="TCM29" s="1888"/>
      <c r="TCN29" s="1882"/>
      <c r="TCO29" s="1882"/>
      <c r="TCP29" s="1882"/>
      <c r="TCR29" s="1887"/>
      <c r="TCS29" s="1888"/>
      <c r="TCT29" s="1882"/>
      <c r="TCU29" s="1882"/>
      <c r="TCV29" s="1882"/>
      <c r="TCX29" s="1887"/>
      <c r="TCY29" s="1888"/>
      <c r="TCZ29" s="1882"/>
      <c r="TDA29" s="1882"/>
      <c r="TDB29" s="1882"/>
      <c r="TDD29" s="1887"/>
      <c r="TDE29" s="1888"/>
      <c r="TDF29" s="1882"/>
      <c r="TDG29" s="1882"/>
      <c r="TDH29" s="1882"/>
      <c r="TDJ29" s="1887"/>
      <c r="TDK29" s="1888"/>
      <c r="TDL29" s="1882"/>
      <c r="TDM29" s="1882"/>
      <c r="TDN29" s="1882"/>
      <c r="TDP29" s="1887"/>
      <c r="TDQ29" s="1888"/>
      <c r="TDR29" s="1882"/>
      <c r="TDS29" s="1882"/>
      <c r="TDT29" s="1882"/>
      <c r="TDV29" s="1887"/>
      <c r="TDW29" s="1888"/>
      <c r="TDX29" s="1882"/>
      <c r="TDY29" s="1882"/>
      <c r="TDZ29" s="1882"/>
      <c r="TEB29" s="1887"/>
      <c r="TEC29" s="1888"/>
      <c r="TED29" s="1882"/>
      <c r="TEE29" s="1882"/>
      <c r="TEF29" s="1882"/>
      <c r="TEH29" s="1887"/>
      <c r="TEI29" s="1888"/>
      <c r="TEJ29" s="1882"/>
      <c r="TEK29" s="1882"/>
      <c r="TEL29" s="1882"/>
      <c r="TEN29" s="1887"/>
      <c r="TEO29" s="1888"/>
      <c r="TEP29" s="1882"/>
      <c r="TEQ29" s="1882"/>
      <c r="TER29" s="1882"/>
      <c r="TET29" s="1887"/>
      <c r="TEU29" s="1888"/>
      <c r="TEV29" s="1882"/>
      <c r="TEW29" s="1882"/>
      <c r="TEX29" s="1882"/>
      <c r="TEZ29" s="1887"/>
      <c r="TFA29" s="1888"/>
      <c r="TFB29" s="1882"/>
      <c r="TFC29" s="1882"/>
      <c r="TFD29" s="1882"/>
      <c r="TFF29" s="1887"/>
      <c r="TFG29" s="1888"/>
      <c r="TFH29" s="1882"/>
      <c r="TFI29" s="1882"/>
      <c r="TFJ29" s="1882"/>
      <c r="TFL29" s="1887"/>
      <c r="TFM29" s="1888"/>
      <c r="TFN29" s="1882"/>
      <c r="TFO29" s="1882"/>
      <c r="TFP29" s="1882"/>
      <c r="TFR29" s="1887"/>
      <c r="TFS29" s="1888"/>
      <c r="TFT29" s="1882"/>
      <c r="TFU29" s="1882"/>
      <c r="TFV29" s="1882"/>
      <c r="TFX29" s="1887"/>
      <c r="TFY29" s="1888"/>
      <c r="TFZ29" s="1882"/>
      <c r="TGA29" s="1882"/>
      <c r="TGB29" s="1882"/>
      <c r="TGD29" s="1887"/>
      <c r="TGE29" s="1888"/>
      <c r="TGF29" s="1882"/>
      <c r="TGG29" s="1882"/>
      <c r="TGH29" s="1882"/>
      <c r="TGJ29" s="1887"/>
      <c r="TGK29" s="1888"/>
      <c r="TGL29" s="1882"/>
      <c r="TGM29" s="1882"/>
      <c r="TGN29" s="1882"/>
      <c r="TGP29" s="1887"/>
      <c r="TGQ29" s="1888"/>
      <c r="TGR29" s="1882"/>
      <c r="TGS29" s="1882"/>
      <c r="TGT29" s="1882"/>
      <c r="TGV29" s="1887"/>
      <c r="TGW29" s="1888"/>
      <c r="TGX29" s="1882"/>
      <c r="TGY29" s="1882"/>
      <c r="TGZ29" s="1882"/>
      <c r="THB29" s="1887"/>
      <c r="THC29" s="1888"/>
      <c r="THD29" s="1882"/>
      <c r="THE29" s="1882"/>
      <c r="THF29" s="1882"/>
      <c r="THH29" s="1887"/>
      <c r="THI29" s="1888"/>
      <c r="THJ29" s="1882"/>
      <c r="THK29" s="1882"/>
      <c r="THL29" s="1882"/>
      <c r="THN29" s="1887"/>
      <c r="THO29" s="1888"/>
      <c r="THP29" s="1882"/>
      <c r="THQ29" s="1882"/>
      <c r="THR29" s="1882"/>
      <c r="THT29" s="1887"/>
      <c r="THU29" s="1888"/>
      <c r="THV29" s="1882"/>
      <c r="THW29" s="1882"/>
      <c r="THX29" s="1882"/>
      <c r="THZ29" s="1887"/>
      <c r="TIA29" s="1888"/>
      <c r="TIB29" s="1882"/>
      <c r="TIC29" s="1882"/>
      <c r="TID29" s="1882"/>
      <c r="TIF29" s="1887"/>
      <c r="TIG29" s="1888"/>
      <c r="TIH29" s="1882"/>
      <c r="TII29" s="1882"/>
      <c r="TIJ29" s="1882"/>
      <c r="TIL29" s="1887"/>
      <c r="TIM29" s="1888"/>
      <c r="TIN29" s="1882"/>
      <c r="TIO29" s="1882"/>
      <c r="TIP29" s="1882"/>
      <c r="TIR29" s="1887"/>
      <c r="TIS29" s="1888"/>
      <c r="TIT29" s="1882"/>
      <c r="TIU29" s="1882"/>
      <c r="TIV29" s="1882"/>
      <c r="TIX29" s="1887"/>
      <c r="TIY29" s="1888"/>
      <c r="TIZ29" s="1882"/>
      <c r="TJA29" s="1882"/>
      <c r="TJB29" s="1882"/>
      <c r="TJD29" s="1887"/>
      <c r="TJE29" s="1888"/>
      <c r="TJF29" s="1882"/>
      <c r="TJG29" s="1882"/>
      <c r="TJH29" s="1882"/>
      <c r="TJJ29" s="1887"/>
      <c r="TJK29" s="1888"/>
      <c r="TJL29" s="1882"/>
      <c r="TJM29" s="1882"/>
      <c r="TJN29" s="1882"/>
      <c r="TJP29" s="1887"/>
      <c r="TJQ29" s="1888"/>
      <c r="TJR29" s="1882"/>
      <c r="TJS29" s="1882"/>
      <c r="TJT29" s="1882"/>
      <c r="TJV29" s="1887"/>
      <c r="TJW29" s="1888"/>
      <c r="TJX29" s="1882"/>
      <c r="TJY29" s="1882"/>
      <c r="TJZ29" s="1882"/>
      <c r="TKB29" s="1887"/>
      <c r="TKC29" s="1888"/>
      <c r="TKD29" s="1882"/>
      <c r="TKE29" s="1882"/>
      <c r="TKF29" s="1882"/>
      <c r="TKH29" s="1887"/>
      <c r="TKI29" s="1888"/>
      <c r="TKJ29" s="1882"/>
      <c r="TKK29" s="1882"/>
      <c r="TKL29" s="1882"/>
      <c r="TKN29" s="1887"/>
      <c r="TKO29" s="1888"/>
      <c r="TKP29" s="1882"/>
      <c r="TKQ29" s="1882"/>
      <c r="TKR29" s="1882"/>
      <c r="TKT29" s="1887"/>
      <c r="TKU29" s="1888"/>
      <c r="TKV29" s="1882"/>
      <c r="TKW29" s="1882"/>
      <c r="TKX29" s="1882"/>
      <c r="TKZ29" s="1887"/>
      <c r="TLA29" s="1888"/>
      <c r="TLB29" s="1882"/>
      <c r="TLC29" s="1882"/>
      <c r="TLD29" s="1882"/>
      <c r="TLF29" s="1887"/>
      <c r="TLG29" s="1888"/>
      <c r="TLH29" s="1882"/>
      <c r="TLI29" s="1882"/>
      <c r="TLJ29" s="1882"/>
      <c r="TLL29" s="1887"/>
      <c r="TLM29" s="1888"/>
      <c r="TLN29" s="1882"/>
      <c r="TLO29" s="1882"/>
      <c r="TLP29" s="1882"/>
      <c r="TLR29" s="1887"/>
      <c r="TLS29" s="1888"/>
      <c r="TLT29" s="1882"/>
      <c r="TLU29" s="1882"/>
      <c r="TLV29" s="1882"/>
      <c r="TLX29" s="1887"/>
      <c r="TLY29" s="1888"/>
      <c r="TLZ29" s="1882"/>
      <c r="TMA29" s="1882"/>
      <c r="TMB29" s="1882"/>
      <c r="TMD29" s="1887"/>
      <c r="TME29" s="1888"/>
      <c r="TMF29" s="1882"/>
      <c r="TMG29" s="1882"/>
      <c r="TMH29" s="1882"/>
      <c r="TMJ29" s="1887"/>
      <c r="TMK29" s="1888"/>
      <c r="TML29" s="1882"/>
      <c r="TMM29" s="1882"/>
      <c r="TMN29" s="1882"/>
      <c r="TMP29" s="1887"/>
      <c r="TMQ29" s="1888"/>
      <c r="TMR29" s="1882"/>
      <c r="TMS29" s="1882"/>
      <c r="TMT29" s="1882"/>
      <c r="TMV29" s="1887"/>
      <c r="TMW29" s="1888"/>
      <c r="TMX29" s="1882"/>
      <c r="TMY29" s="1882"/>
      <c r="TMZ29" s="1882"/>
      <c r="TNB29" s="1887"/>
      <c r="TNC29" s="1888"/>
      <c r="TND29" s="1882"/>
      <c r="TNE29" s="1882"/>
      <c r="TNF29" s="1882"/>
      <c r="TNH29" s="1887"/>
      <c r="TNI29" s="1888"/>
      <c r="TNJ29" s="1882"/>
      <c r="TNK29" s="1882"/>
      <c r="TNL29" s="1882"/>
      <c r="TNN29" s="1887"/>
      <c r="TNO29" s="1888"/>
      <c r="TNP29" s="1882"/>
      <c r="TNQ29" s="1882"/>
      <c r="TNR29" s="1882"/>
      <c r="TNT29" s="1887"/>
      <c r="TNU29" s="1888"/>
      <c r="TNV29" s="1882"/>
      <c r="TNW29" s="1882"/>
      <c r="TNX29" s="1882"/>
      <c r="TNZ29" s="1887"/>
      <c r="TOA29" s="1888"/>
      <c r="TOB29" s="1882"/>
      <c r="TOC29" s="1882"/>
      <c r="TOD29" s="1882"/>
      <c r="TOF29" s="1887"/>
      <c r="TOG29" s="1888"/>
      <c r="TOH29" s="1882"/>
      <c r="TOI29" s="1882"/>
      <c r="TOJ29" s="1882"/>
      <c r="TOL29" s="1887"/>
      <c r="TOM29" s="1888"/>
      <c r="TON29" s="1882"/>
      <c r="TOO29" s="1882"/>
      <c r="TOP29" s="1882"/>
      <c r="TOR29" s="1887"/>
      <c r="TOS29" s="1888"/>
      <c r="TOT29" s="1882"/>
      <c r="TOU29" s="1882"/>
      <c r="TOV29" s="1882"/>
      <c r="TOX29" s="1887"/>
      <c r="TOY29" s="1888"/>
      <c r="TOZ29" s="1882"/>
      <c r="TPA29" s="1882"/>
      <c r="TPB29" s="1882"/>
      <c r="TPD29" s="1887"/>
      <c r="TPE29" s="1888"/>
      <c r="TPF29" s="1882"/>
      <c r="TPG29" s="1882"/>
      <c r="TPH29" s="1882"/>
      <c r="TPJ29" s="1887"/>
      <c r="TPK29" s="1888"/>
      <c r="TPL29" s="1882"/>
      <c r="TPM29" s="1882"/>
      <c r="TPN29" s="1882"/>
      <c r="TPP29" s="1887"/>
      <c r="TPQ29" s="1888"/>
      <c r="TPR29" s="1882"/>
      <c r="TPS29" s="1882"/>
      <c r="TPT29" s="1882"/>
      <c r="TPV29" s="1887"/>
      <c r="TPW29" s="1888"/>
      <c r="TPX29" s="1882"/>
      <c r="TPY29" s="1882"/>
      <c r="TPZ29" s="1882"/>
      <c r="TQB29" s="1887"/>
      <c r="TQC29" s="1888"/>
      <c r="TQD29" s="1882"/>
      <c r="TQE29" s="1882"/>
      <c r="TQF29" s="1882"/>
      <c r="TQH29" s="1887"/>
      <c r="TQI29" s="1888"/>
      <c r="TQJ29" s="1882"/>
      <c r="TQK29" s="1882"/>
      <c r="TQL29" s="1882"/>
      <c r="TQN29" s="1887"/>
      <c r="TQO29" s="1888"/>
      <c r="TQP29" s="1882"/>
      <c r="TQQ29" s="1882"/>
      <c r="TQR29" s="1882"/>
      <c r="TQT29" s="1887"/>
      <c r="TQU29" s="1888"/>
      <c r="TQV29" s="1882"/>
      <c r="TQW29" s="1882"/>
      <c r="TQX29" s="1882"/>
      <c r="TQZ29" s="1887"/>
      <c r="TRA29" s="1888"/>
      <c r="TRB29" s="1882"/>
      <c r="TRC29" s="1882"/>
      <c r="TRD29" s="1882"/>
      <c r="TRF29" s="1887"/>
      <c r="TRG29" s="1888"/>
      <c r="TRH29" s="1882"/>
      <c r="TRI29" s="1882"/>
      <c r="TRJ29" s="1882"/>
      <c r="TRL29" s="1887"/>
      <c r="TRM29" s="1888"/>
      <c r="TRN29" s="1882"/>
      <c r="TRO29" s="1882"/>
      <c r="TRP29" s="1882"/>
      <c r="TRR29" s="1887"/>
      <c r="TRS29" s="1888"/>
      <c r="TRT29" s="1882"/>
      <c r="TRU29" s="1882"/>
      <c r="TRV29" s="1882"/>
      <c r="TRX29" s="1887"/>
      <c r="TRY29" s="1888"/>
      <c r="TRZ29" s="1882"/>
      <c r="TSA29" s="1882"/>
      <c r="TSB29" s="1882"/>
      <c r="TSD29" s="1887"/>
      <c r="TSE29" s="1888"/>
      <c r="TSF29" s="1882"/>
      <c r="TSG29" s="1882"/>
      <c r="TSH29" s="1882"/>
      <c r="TSJ29" s="1887"/>
      <c r="TSK29" s="1888"/>
      <c r="TSL29" s="1882"/>
      <c r="TSM29" s="1882"/>
      <c r="TSN29" s="1882"/>
      <c r="TSP29" s="1887"/>
      <c r="TSQ29" s="1888"/>
      <c r="TSR29" s="1882"/>
      <c r="TSS29" s="1882"/>
      <c r="TST29" s="1882"/>
      <c r="TSV29" s="1887"/>
      <c r="TSW29" s="1888"/>
      <c r="TSX29" s="1882"/>
      <c r="TSY29" s="1882"/>
      <c r="TSZ29" s="1882"/>
      <c r="TTB29" s="1887"/>
      <c r="TTC29" s="1888"/>
      <c r="TTD29" s="1882"/>
      <c r="TTE29" s="1882"/>
      <c r="TTF29" s="1882"/>
      <c r="TTH29" s="1887"/>
      <c r="TTI29" s="1888"/>
      <c r="TTJ29" s="1882"/>
      <c r="TTK29" s="1882"/>
      <c r="TTL29" s="1882"/>
      <c r="TTN29" s="1887"/>
      <c r="TTO29" s="1888"/>
      <c r="TTP29" s="1882"/>
      <c r="TTQ29" s="1882"/>
      <c r="TTR29" s="1882"/>
      <c r="TTT29" s="1887"/>
      <c r="TTU29" s="1888"/>
      <c r="TTV29" s="1882"/>
      <c r="TTW29" s="1882"/>
      <c r="TTX29" s="1882"/>
      <c r="TTZ29" s="1887"/>
      <c r="TUA29" s="1888"/>
      <c r="TUB29" s="1882"/>
      <c r="TUC29" s="1882"/>
      <c r="TUD29" s="1882"/>
      <c r="TUF29" s="1887"/>
      <c r="TUG29" s="1888"/>
      <c r="TUH29" s="1882"/>
      <c r="TUI29" s="1882"/>
      <c r="TUJ29" s="1882"/>
      <c r="TUL29" s="1887"/>
      <c r="TUM29" s="1888"/>
      <c r="TUN29" s="1882"/>
      <c r="TUO29" s="1882"/>
      <c r="TUP29" s="1882"/>
      <c r="TUR29" s="1887"/>
      <c r="TUS29" s="1888"/>
      <c r="TUT29" s="1882"/>
      <c r="TUU29" s="1882"/>
      <c r="TUV29" s="1882"/>
      <c r="TUX29" s="1887"/>
      <c r="TUY29" s="1888"/>
      <c r="TUZ29" s="1882"/>
      <c r="TVA29" s="1882"/>
      <c r="TVB29" s="1882"/>
      <c r="TVD29" s="1887"/>
      <c r="TVE29" s="1888"/>
      <c r="TVF29" s="1882"/>
      <c r="TVG29" s="1882"/>
      <c r="TVH29" s="1882"/>
      <c r="TVJ29" s="1887"/>
      <c r="TVK29" s="1888"/>
      <c r="TVL29" s="1882"/>
      <c r="TVM29" s="1882"/>
      <c r="TVN29" s="1882"/>
      <c r="TVP29" s="1887"/>
      <c r="TVQ29" s="1888"/>
      <c r="TVR29" s="1882"/>
      <c r="TVS29" s="1882"/>
      <c r="TVT29" s="1882"/>
      <c r="TVV29" s="1887"/>
      <c r="TVW29" s="1888"/>
      <c r="TVX29" s="1882"/>
      <c r="TVY29" s="1882"/>
      <c r="TVZ29" s="1882"/>
      <c r="TWB29" s="1887"/>
      <c r="TWC29" s="1888"/>
      <c r="TWD29" s="1882"/>
      <c r="TWE29" s="1882"/>
      <c r="TWF29" s="1882"/>
      <c r="TWH29" s="1887"/>
      <c r="TWI29" s="1888"/>
      <c r="TWJ29" s="1882"/>
      <c r="TWK29" s="1882"/>
      <c r="TWL29" s="1882"/>
      <c r="TWN29" s="1887"/>
      <c r="TWO29" s="1888"/>
      <c r="TWP29" s="1882"/>
      <c r="TWQ29" s="1882"/>
      <c r="TWR29" s="1882"/>
      <c r="TWT29" s="1887"/>
      <c r="TWU29" s="1888"/>
      <c r="TWV29" s="1882"/>
      <c r="TWW29" s="1882"/>
      <c r="TWX29" s="1882"/>
      <c r="TWZ29" s="1887"/>
      <c r="TXA29" s="1888"/>
      <c r="TXB29" s="1882"/>
      <c r="TXC29" s="1882"/>
      <c r="TXD29" s="1882"/>
      <c r="TXF29" s="1887"/>
      <c r="TXG29" s="1888"/>
      <c r="TXH29" s="1882"/>
      <c r="TXI29" s="1882"/>
      <c r="TXJ29" s="1882"/>
      <c r="TXL29" s="1887"/>
      <c r="TXM29" s="1888"/>
      <c r="TXN29" s="1882"/>
      <c r="TXO29" s="1882"/>
      <c r="TXP29" s="1882"/>
      <c r="TXR29" s="1887"/>
      <c r="TXS29" s="1888"/>
      <c r="TXT29" s="1882"/>
      <c r="TXU29" s="1882"/>
      <c r="TXV29" s="1882"/>
      <c r="TXX29" s="1887"/>
      <c r="TXY29" s="1888"/>
      <c r="TXZ29" s="1882"/>
      <c r="TYA29" s="1882"/>
      <c r="TYB29" s="1882"/>
      <c r="TYD29" s="1887"/>
      <c r="TYE29" s="1888"/>
      <c r="TYF29" s="1882"/>
      <c r="TYG29" s="1882"/>
      <c r="TYH29" s="1882"/>
      <c r="TYJ29" s="1887"/>
      <c r="TYK29" s="1888"/>
      <c r="TYL29" s="1882"/>
      <c r="TYM29" s="1882"/>
      <c r="TYN29" s="1882"/>
      <c r="TYP29" s="1887"/>
      <c r="TYQ29" s="1888"/>
      <c r="TYR29" s="1882"/>
      <c r="TYS29" s="1882"/>
      <c r="TYT29" s="1882"/>
      <c r="TYV29" s="1887"/>
      <c r="TYW29" s="1888"/>
      <c r="TYX29" s="1882"/>
      <c r="TYY29" s="1882"/>
      <c r="TYZ29" s="1882"/>
      <c r="TZB29" s="1887"/>
      <c r="TZC29" s="1888"/>
      <c r="TZD29" s="1882"/>
      <c r="TZE29" s="1882"/>
      <c r="TZF29" s="1882"/>
      <c r="TZH29" s="1887"/>
      <c r="TZI29" s="1888"/>
      <c r="TZJ29" s="1882"/>
      <c r="TZK29" s="1882"/>
      <c r="TZL29" s="1882"/>
      <c r="TZN29" s="1887"/>
      <c r="TZO29" s="1888"/>
      <c r="TZP29" s="1882"/>
      <c r="TZQ29" s="1882"/>
      <c r="TZR29" s="1882"/>
      <c r="TZT29" s="1887"/>
      <c r="TZU29" s="1888"/>
      <c r="TZV29" s="1882"/>
      <c r="TZW29" s="1882"/>
      <c r="TZX29" s="1882"/>
      <c r="TZZ29" s="1887"/>
      <c r="UAA29" s="1888"/>
      <c r="UAB29" s="1882"/>
      <c r="UAC29" s="1882"/>
      <c r="UAD29" s="1882"/>
      <c r="UAF29" s="1887"/>
      <c r="UAG29" s="1888"/>
      <c r="UAH29" s="1882"/>
      <c r="UAI29" s="1882"/>
      <c r="UAJ29" s="1882"/>
      <c r="UAL29" s="1887"/>
      <c r="UAM29" s="1888"/>
      <c r="UAN29" s="1882"/>
      <c r="UAO29" s="1882"/>
      <c r="UAP29" s="1882"/>
      <c r="UAR29" s="1887"/>
      <c r="UAS29" s="1888"/>
      <c r="UAT29" s="1882"/>
      <c r="UAU29" s="1882"/>
      <c r="UAV29" s="1882"/>
      <c r="UAX29" s="1887"/>
      <c r="UAY29" s="1888"/>
      <c r="UAZ29" s="1882"/>
      <c r="UBA29" s="1882"/>
      <c r="UBB29" s="1882"/>
      <c r="UBD29" s="1887"/>
      <c r="UBE29" s="1888"/>
      <c r="UBF29" s="1882"/>
      <c r="UBG29" s="1882"/>
      <c r="UBH29" s="1882"/>
      <c r="UBJ29" s="1887"/>
      <c r="UBK29" s="1888"/>
      <c r="UBL29" s="1882"/>
      <c r="UBM29" s="1882"/>
      <c r="UBN29" s="1882"/>
      <c r="UBP29" s="1887"/>
      <c r="UBQ29" s="1888"/>
      <c r="UBR29" s="1882"/>
      <c r="UBS29" s="1882"/>
      <c r="UBT29" s="1882"/>
      <c r="UBV29" s="1887"/>
      <c r="UBW29" s="1888"/>
      <c r="UBX29" s="1882"/>
      <c r="UBY29" s="1882"/>
      <c r="UBZ29" s="1882"/>
      <c r="UCB29" s="1887"/>
      <c r="UCC29" s="1888"/>
      <c r="UCD29" s="1882"/>
      <c r="UCE29" s="1882"/>
      <c r="UCF29" s="1882"/>
      <c r="UCH29" s="1887"/>
      <c r="UCI29" s="1888"/>
      <c r="UCJ29" s="1882"/>
      <c r="UCK29" s="1882"/>
      <c r="UCL29" s="1882"/>
      <c r="UCN29" s="1887"/>
      <c r="UCO29" s="1888"/>
      <c r="UCP29" s="1882"/>
      <c r="UCQ29" s="1882"/>
      <c r="UCR29" s="1882"/>
      <c r="UCT29" s="1887"/>
      <c r="UCU29" s="1888"/>
      <c r="UCV29" s="1882"/>
      <c r="UCW29" s="1882"/>
      <c r="UCX29" s="1882"/>
      <c r="UCZ29" s="1887"/>
      <c r="UDA29" s="1888"/>
      <c r="UDB29" s="1882"/>
      <c r="UDC29" s="1882"/>
      <c r="UDD29" s="1882"/>
      <c r="UDF29" s="1887"/>
      <c r="UDG29" s="1888"/>
      <c r="UDH29" s="1882"/>
      <c r="UDI29" s="1882"/>
      <c r="UDJ29" s="1882"/>
      <c r="UDL29" s="1887"/>
      <c r="UDM29" s="1888"/>
      <c r="UDN29" s="1882"/>
      <c r="UDO29" s="1882"/>
      <c r="UDP29" s="1882"/>
      <c r="UDR29" s="1887"/>
      <c r="UDS29" s="1888"/>
      <c r="UDT29" s="1882"/>
      <c r="UDU29" s="1882"/>
      <c r="UDV29" s="1882"/>
      <c r="UDX29" s="1887"/>
      <c r="UDY29" s="1888"/>
      <c r="UDZ29" s="1882"/>
      <c r="UEA29" s="1882"/>
      <c r="UEB29" s="1882"/>
      <c r="UED29" s="1887"/>
      <c r="UEE29" s="1888"/>
      <c r="UEF29" s="1882"/>
      <c r="UEG29" s="1882"/>
      <c r="UEH29" s="1882"/>
      <c r="UEJ29" s="1887"/>
      <c r="UEK29" s="1888"/>
      <c r="UEL29" s="1882"/>
      <c r="UEM29" s="1882"/>
      <c r="UEN29" s="1882"/>
      <c r="UEP29" s="1887"/>
      <c r="UEQ29" s="1888"/>
      <c r="UER29" s="1882"/>
      <c r="UES29" s="1882"/>
      <c r="UET29" s="1882"/>
      <c r="UEV29" s="1887"/>
      <c r="UEW29" s="1888"/>
      <c r="UEX29" s="1882"/>
      <c r="UEY29" s="1882"/>
      <c r="UEZ29" s="1882"/>
      <c r="UFB29" s="1887"/>
      <c r="UFC29" s="1888"/>
      <c r="UFD29" s="1882"/>
      <c r="UFE29" s="1882"/>
      <c r="UFF29" s="1882"/>
      <c r="UFH29" s="1887"/>
      <c r="UFI29" s="1888"/>
      <c r="UFJ29" s="1882"/>
      <c r="UFK29" s="1882"/>
      <c r="UFL29" s="1882"/>
      <c r="UFN29" s="1887"/>
      <c r="UFO29" s="1888"/>
      <c r="UFP29" s="1882"/>
      <c r="UFQ29" s="1882"/>
      <c r="UFR29" s="1882"/>
      <c r="UFT29" s="1887"/>
      <c r="UFU29" s="1888"/>
      <c r="UFV29" s="1882"/>
      <c r="UFW29" s="1882"/>
      <c r="UFX29" s="1882"/>
      <c r="UFZ29" s="1887"/>
      <c r="UGA29" s="1888"/>
      <c r="UGB29" s="1882"/>
      <c r="UGC29" s="1882"/>
      <c r="UGD29" s="1882"/>
      <c r="UGF29" s="1887"/>
      <c r="UGG29" s="1888"/>
      <c r="UGH29" s="1882"/>
      <c r="UGI29" s="1882"/>
      <c r="UGJ29" s="1882"/>
      <c r="UGL29" s="1887"/>
      <c r="UGM29" s="1888"/>
      <c r="UGN29" s="1882"/>
      <c r="UGO29" s="1882"/>
      <c r="UGP29" s="1882"/>
      <c r="UGR29" s="1887"/>
      <c r="UGS29" s="1888"/>
      <c r="UGT29" s="1882"/>
      <c r="UGU29" s="1882"/>
      <c r="UGV29" s="1882"/>
      <c r="UGX29" s="1887"/>
      <c r="UGY29" s="1888"/>
      <c r="UGZ29" s="1882"/>
      <c r="UHA29" s="1882"/>
      <c r="UHB29" s="1882"/>
      <c r="UHD29" s="1887"/>
      <c r="UHE29" s="1888"/>
      <c r="UHF29" s="1882"/>
      <c r="UHG29" s="1882"/>
      <c r="UHH29" s="1882"/>
      <c r="UHJ29" s="1887"/>
      <c r="UHK29" s="1888"/>
      <c r="UHL29" s="1882"/>
      <c r="UHM29" s="1882"/>
      <c r="UHN29" s="1882"/>
      <c r="UHP29" s="1887"/>
      <c r="UHQ29" s="1888"/>
      <c r="UHR29" s="1882"/>
      <c r="UHS29" s="1882"/>
      <c r="UHT29" s="1882"/>
      <c r="UHV29" s="1887"/>
      <c r="UHW29" s="1888"/>
      <c r="UHX29" s="1882"/>
      <c r="UHY29" s="1882"/>
      <c r="UHZ29" s="1882"/>
      <c r="UIB29" s="1887"/>
      <c r="UIC29" s="1888"/>
      <c r="UID29" s="1882"/>
      <c r="UIE29" s="1882"/>
      <c r="UIF29" s="1882"/>
      <c r="UIH29" s="1887"/>
      <c r="UII29" s="1888"/>
      <c r="UIJ29" s="1882"/>
      <c r="UIK29" s="1882"/>
      <c r="UIL29" s="1882"/>
      <c r="UIN29" s="1887"/>
      <c r="UIO29" s="1888"/>
      <c r="UIP29" s="1882"/>
      <c r="UIQ29" s="1882"/>
      <c r="UIR29" s="1882"/>
      <c r="UIT29" s="1887"/>
      <c r="UIU29" s="1888"/>
      <c r="UIV29" s="1882"/>
      <c r="UIW29" s="1882"/>
      <c r="UIX29" s="1882"/>
      <c r="UIZ29" s="1887"/>
      <c r="UJA29" s="1888"/>
      <c r="UJB29" s="1882"/>
      <c r="UJC29" s="1882"/>
      <c r="UJD29" s="1882"/>
      <c r="UJF29" s="1887"/>
      <c r="UJG29" s="1888"/>
      <c r="UJH29" s="1882"/>
      <c r="UJI29" s="1882"/>
      <c r="UJJ29" s="1882"/>
      <c r="UJL29" s="1887"/>
      <c r="UJM29" s="1888"/>
      <c r="UJN29" s="1882"/>
      <c r="UJO29" s="1882"/>
      <c r="UJP29" s="1882"/>
      <c r="UJR29" s="1887"/>
      <c r="UJS29" s="1888"/>
      <c r="UJT29" s="1882"/>
      <c r="UJU29" s="1882"/>
      <c r="UJV29" s="1882"/>
      <c r="UJX29" s="1887"/>
      <c r="UJY29" s="1888"/>
      <c r="UJZ29" s="1882"/>
      <c r="UKA29" s="1882"/>
      <c r="UKB29" s="1882"/>
      <c r="UKD29" s="1887"/>
      <c r="UKE29" s="1888"/>
      <c r="UKF29" s="1882"/>
      <c r="UKG29" s="1882"/>
      <c r="UKH29" s="1882"/>
      <c r="UKJ29" s="1887"/>
      <c r="UKK29" s="1888"/>
      <c r="UKL29" s="1882"/>
      <c r="UKM29" s="1882"/>
      <c r="UKN29" s="1882"/>
      <c r="UKP29" s="1887"/>
      <c r="UKQ29" s="1888"/>
      <c r="UKR29" s="1882"/>
      <c r="UKS29" s="1882"/>
      <c r="UKT29" s="1882"/>
      <c r="UKV29" s="1887"/>
      <c r="UKW29" s="1888"/>
      <c r="UKX29" s="1882"/>
      <c r="UKY29" s="1882"/>
      <c r="UKZ29" s="1882"/>
      <c r="ULB29" s="1887"/>
      <c r="ULC29" s="1888"/>
      <c r="ULD29" s="1882"/>
      <c r="ULE29" s="1882"/>
      <c r="ULF29" s="1882"/>
      <c r="ULH29" s="1887"/>
      <c r="ULI29" s="1888"/>
      <c r="ULJ29" s="1882"/>
      <c r="ULK29" s="1882"/>
      <c r="ULL29" s="1882"/>
      <c r="ULN29" s="1887"/>
      <c r="ULO29" s="1888"/>
      <c r="ULP29" s="1882"/>
      <c r="ULQ29" s="1882"/>
      <c r="ULR29" s="1882"/>
      <c r="ULT29" s="1887"/>
      <c r="ULU29" s="1888"/>
      <c r="ULV29" s="1882"/>
      <c r="ULW29" s="1882"/>
      <c r="ULX29" s="1882"/>
      <c r="ULZ29" s="1887"/>
      <c r="UMA29" s="1888"/>
      <c r="UMB29" s="1882"/>
      <c r="UMC29" s="1882"/>
      <c r="UMD29" s="1882"/>
      <c r="UMF29" s="1887"/>
      <c r="UMG29" s="1888"/>
      <c r="UMH29" s="1882"/>
      <c r="UMI29" s="1882"/>
      <c r="UMJ29" s="1882"/>
      <c r="UML29" s="1887"/>
      <c r="UMM29" s="1888"/>
      <c r="UMN29" s="1882"/>
      <c r="UMO29" s="1882"/>
      <c r="UMP29" s="1882"/>
      <c r="UMR29" s="1887"/>
      <c r="UMS29" s="1888"/>
      <c r="UMT29" s="1882"/>
      <c r="UMU29" s="1882"/>
      <c r="UMV29" s="1882"/>
      <c r="UMX29" s="1887"/>
      <c r="UMY29" s="1888"/>
      <c r="UMZ29" s="1882"/>
      <c r="UNA29" s="1882"/>
      <c r="UNB29" s="1882"/>
      <c r="UND29" s="1887"/>
      <c r="UNE29" s="1888"/>
      <c r="UNF29" s="1882"/>
      <c r="UNG29" s="1882"/>
      <c r="UNH29" s="1882"/>
      <c r="UNJ29" s="1887"/>
      <c r="UNK29" s="1888"/>
      <c r="UNL29" s="1882"/>
      <c r="UNM29" s="1882"/>
      <c r="UNN29" s="1882"/>
      <c r="UNP29" s="1887"/>
      <c r="UNQ29" s="1888"/>
      <c r="UNR29" s="1882"/>
      <c r="UNS29" s="1882"/>
      <c r="UNT29" s="1882"/>
      <c r="UNV29" s="1887"/>
      <c r="UNW29" s="1888"/>
      <c r="UNX29" s="1882"/>
      <c r="UNY29" s="1882"/>
      <c r="UNZ29" s="1882"/>
      <c r="UOB29" s="1887"/>
      <c r="UOC29" s="1888"/>
      <c r="UOD29" s="1882"/>
      <c r="UOE29" s="1882"/>
      <c r="UOF29" s="1882"/>
      <c r="UOH29" s="1887"/>
      <c r="UOI29" s="1888"/>
      <c r="UOJ29" s="1882"/>
      <c r="UOK29" s="1882"/>
      <c r="UOL29" s="1882"/>
      <c r="UON29" s="1887"/>
      <c r="UOO29" s="1888"/>
      <c r="UOP29" s="1882"/>
      <c r="UOQ29" s="1882"/>
      <c r="UOR29" s="1882"/>
      <c r="UOT29" s="1887"/>
      <c r="UOU29" s="1888"/>
      <c r="UOV29" s="1882"/>
      <c r="UOW29" s="1882"/>
      <c r="UOX29" s="1882"/>
      <c r="UOZ29" s="1887"/>
      <c r="UPA29" s="1888"/>
      <c r="UPB29" s="1882"/>
      <c r="UPC29" s="1882"/>
      <c r="UPD29" s="1882"/>
      <c r="UPF29" s="1887"/>
      <c r="UPG29" s="1888"/>
      <c r="UPH29" s="1882"/>
      <c r="UPI29" s="1882"/>
      <c r="UPJ29" s="1882"/>
      <c r="UPL29" s="1887"/>
      <c r="UPM29" s="1888"/>
      <c r="UPN29" s="1882"/>
      <c r="UPO29" s="1882"/>
      <c r="UPP29" s="1882"/>
      <c r="UPR29" s="1887"/>
      <c r="UPS29" s="1888"/>
      <c r="UPT29" s="1882"/>
      <c r="UPU29" s="1882"/>
      <c r="UPV29" s="1882"/>
      <c r="UPX29" s="1887"/>
      <c r="UPY29" s="1888"/>
      <c r="UPZ29" s="1882"/>
      <c r="UQA29" s="1882"/>
      <c r="UQB29" s="1882"/>
      <c r="UQD29" s="1887"/>
      <c r="UQE29" s="1888"/>
      <c r="UQF29" s="1882"/>
      <c r="UQG29" s="1882"/>
      <c r="UQH29" s="1882"/>
      <c r="UQJ29" s="1887"/>
      <c r="UQK29" s="1888"/>
      <c r="UQL29" s="1882"/>
      <c r="UQM29" s="1882"/>
      <c r="UQN29" s="1882"/>
      <c r="UQP29" s="1887"/>
      <c r="UQQ29" s="1888"/>
      <c r="UQR29" s="1882"/>
      <c r="UQS29" s="1882"/>
      <c r="UQT29" s="1882"/>
      <c r="UQV29" s="1887"/>
      <c r="UQW29" s="1888"/>
      <c r="UQX29" s="1882"/>
      <c r="UQY29" s="1882"/>
      <c r="UQZ29" s="1882"/>
      <c r="URB29" s="1887"/>
      <c r="URC29" s="1888"/>
      <c r="URD29" s="1882"/>
      <c r="URE29" s="1882"/>
      <c r="URF29" s="1882"/>
      <c r="URH29" s="1887"/>
      <c r="URI29" s="1888"/>
      <c r="URJ29" s="1882"/>
      <c r="URK29" s="1882"/>
      <c r="URL29" s="1882"/>
      <c r="URN29" s="1887"/>
      <c r="URO29" s="1888"/>
      <c r="URP29" s="1882"/>
      <c r="URQ29" s="1882"/>
      <c r="URR29" s="1882"/>
      <c r="URT29" s="1887"/>
      <c r="URU29" s="1888"/>
      <c r="URV29" s="1882"/>
      <c r="URW29" s="1882"/>
      <c r="URX29" s="1882"/>
      <c r="URZ29" s="1887"/>
      <c r="USA29" s="1888"/>
      <c r="USB29" s="1882"/>
      <c r="USC29" s="1882"/>
      <c r="USD29" s="1882"/>
      <c r="USF29" s="1887"/>
      <c r="USG29" s="1888"/>
      <c r="USH29" s="1882"/>
      <c r="USI29" s="1882"/>
      <c r="USJ29" s="1882"/>
      <c r="USL29" s="1887"/>
      <c r="USM29" s="1888"/>
      <c r="USN29" s="1882"/>
      <c r="USO29" s="1882"/>
      <c r="USP29" s="1882"/>
      <c r="USR29" s="1887"/>
      <c r="USS29" s="1888"/>
      <c r="UST29" s="1882"/>
      <c r="USU29" s="1882"/>
      <c r="USV29" s="1882"/>
      <c r="USX29" s="1887"/>
      <c r="USY29" s="1888"/>
      <c r="USZ29" s="1882"/>
      <c r="UTA29" s="1882"/>
      <c r="UTB29" s="1882"/>
      <c r="UTD29" s="1887"/>
      <c r="UTE29" s="1888"/>
      <c r="UTF29" s="1882"/>
      <c r="UTG29" s="1882"/>
      <c r="UTH29" s="1882"/>
      <c r="UTJ29" s="1887"/>
      <c r="UTK29" s="1888"/>
      <c r="UTL29" s="1882"/>
      <c r="UTM29" s="1882"/>
      <c r="UTN29" s="1882"/>
      <c r="UTP29" s="1887"/>
      <c r="UTQ29" s="1888"/>
      <c r="UTR29" s="1882"/>
      <c r="UTS29" s="1882"/>
      <c r="UTT29" s="1882"/>
      <c r="UTV29" s="1887"/>
      <c r="UTW29" s="1888"/>
      <c r="UTX29" s="1882"/>
      <c r="UTY29" s="1882"/>
      <c r="UTZ29" s="1882"/>
      <c r="UUB29" s="1887"/>
      <c r="UUC29" s="1888"/>
      <c r="UUD29" s="1882"/>
      <c r="UUE29" s="1882"/>
      <c r="UUF29" s="1882"/>
      <c r="UUH29" s="1887"/>
      <c r="UUI29" s="1888"/>
      <c r="UUJ29" s="1882"/>
      <c r="UUK29" s="1882"/>
      <c r="UUL29" s="1882"/>
      <c r="UUN29" s="1887"/>
      <c r="UUO29" s="1888"/>
      <c r="UUP29" s="1882"/>
      <c r="UUQ29" s="1882"/>
      <c r="UUR29" s="1882"/>
      <c r="UUT29" s="1887"/>
      <c r="UUU29" s="1888"/>
      <c r="UUV29" s="1882"/>
      <c r="UUW29" s="1882"/>
      <c r="UUX29" s="1882"/>
      <c r="UUZ29" s="1887"/>
      <c r="UVA29" s="1888"/>
      <c r="UVB29" s="1882"/>
      <c r="UVC29" s="1882"/>
      <c r="UVD29" s="1882"/>
      <c r="UVF29" s="1887"/>
      <c r="UVG29" s="1888"/>
      <c r="UVH29" s="1882"/>
      <c r="UVI29" s="1882"/>
      <c r="UVJ29" s="1882"/>
      <c r="UVL29" s="1887"/>
      <c r="UVM29" s="1888"/>
      <c r="UVN29" s="1882"/>
      <c r="UVO29" s="1882"/>
      <c r="UVP29" s="1882"/>
      <c r="UVR29" s="1887"/>
      <c r="UVS29" s="1888"/>
      <c r="UVT29" s="1882"/>
      <c r="UVU29" s="1882"/>
      <c r="UVV29" s="1882"/>
      <c r="UVX29" s="1887"/>
      <c r="UVY29" s="1888"/>
      <c r="UVZ29" s="1882"/>
      <c r="UWA29" s="1882"/>
      <c r="UWB29" s="1882"/>
      <c r="UWD29" s="1887"/>
      <c r="UWE29" s="1888"/>
      <c r="UWF29" s="1882"/>
      <c r="UWG29" s="1882"/>
      <c r="UWH29" s="1882"/>
      <c r="UWJ29" s="1887"/>
      <c r="UWK29" s="1888"/>
      <c r="UWL29" s="1882"/>
      <c r="UWM29" s="1882"/>
      <c r="UWN29" s="1882"/>
      <c r="UWP29" s="1887"/>
      <c r="UWQ29" s="1888"/>
      <c r="UWR29" s="1882"/>
      <c r="UWS29" s="1882"/>
      <c r="UWT29" s="1882"/>
      <c r="UWV29" s="1887"/>
      <c r="UWW29" s="1888"/>
      <c r="UWX29" s="1882"/>
      <c r="UWY29" s="1882"/>
      <c r="UWZ29" s="1882"/>
      <c r="UXB29" s="1887"/>
      <c r="UXC29" s="1888"/>
      <c r="UXD29" s="1882"/>
      <c r="UXE29" s="1882"/>
      <c r="UXF29" s="1882"/>
      <c r="UXH29" s="1887"/>
      <c r="UXI29" s="1888"/>
      <c r="UXJ29" s="1882"/>
      <c r="UXK29" s="1882"/>
      <c r="UXL29" s="1882"/>
      <c r="UXN29" s="1887"/>
      <c r="UXO29" s="1888"/>
      <c r="UXP29" s="1882"/>
      <c r="UXQ29" s="1882"/>
      <c r="UXR29" s="1882"/>
      <c r="UXT29" s="1887"/>
      <c r="UXU29" s="1888"/>
      <c r="UXV29" s="1882"/>
      <c r="UXW29" s="1882"/>
      <c r="UXX29" s="1882"/>
      <c r="UXZ29" s="1887"/>
      <c r="UYA29" s="1888"/>
      <c r="UYB29" s="1882"/>
      <c r="UYC29" s="1882"/>
      <c r="UYD29" s="1882"/>
      <c r="UYF29" s="1887"/>
      <c r="UYG29" s="1888"/>
      <c r="UYH29" s="1882"/>
      <c r="UYI29" s="1882"/>
      <c r="UYJ29" s="1882"/>
      <c r="UYL29" s="1887"/>
      <c r="UYM29" s="1888"/>
      <c r="UYN29" s="1882"/>
      <c r="UYO29" s="1882"/>
      <c r="UYP29" s="1882"/>
      <c r="UYR29" s="1887"/>
      <c r="UYS29" s="1888"/>
      <c r="UYT29" s="1882"/>
      <c r="UYU29" s="1882"/>
      <c r="UYV29" s="1882"/>
      <c r="UYX29" s="1887"/>
      <c r="UYY29" s="1888"/>
      <c r="UYZ29" s="1882"/>
      <c r="UZA29" s="1882"/>
      <c r="UZB29" s="1882"/>
      <c r="UZD29" s="1887"/>
      <c r="UZE29" s="1888"/>
      <c r="UZF29" s="1882"/>
      <c r="UZG29" s="1882"/>
      <c r="UZH29" s="1882"/>
      <c r="UZJ29" s="1887"/>
      <c r="UZK29" s="1888"/>
      <c r="UZL29" s="1882"/>
      <c r="UZM29" s="1882"/>
      <c r="UZN29" s="1882"/>
      <c r="UZP29" s="1887"/>
      <c r="UZQ29" s="1888"/>
      <c r="UZR29" s="1882"/>
      <c r="UZS29" s="1882"/>
      <c r="UZT29" s="1882"/>
      <c r="UZV29" s="1887"/>
      <c r="UZW29" s="1888"/>
      <c r="UZX29" s="1882"/>
      <c r="UZY29" s="1882"/>
      <c r="UZZ29" s="1882"/>
      <c r="VAB29" s="1887"/>
      <c r="VAC29" s="1888"/>
      <c r="VAD29" s="1882"/>
      <c r="VAE29" s="1882"/>
      <c r="VAF29" s="1882"/>
      <c r="VAH29" s="1887"/>
      <c r="VAI29" s="1888"/>
      <c r="VAJ29" s="1882"/>
      <c r="VAK29" s="1882"/>
      <c r="VAL29" s="1882"/>
      <c r="VAN29" s="1887"/>
      <c r="VAO29" s="1888"/>
      <c r="VAP29" s="1882"/>
      <c r="VAQ29" s="1882"/>
      <c r="VAR29" s="1882"/>
      <c r="VAT29" s="1887"/>
      <c r="VAU29" s="1888"/>
      <c r="VAV29" s="1882"/>
      <c r="VAW29" s="1882"/>
      <c r="VAX29" s="1882"/>
      <c r="VAZ29" s="1887"/>
      <c r="VBA29" s="1888"/>
      <c r="VBB29" s="1882"/>
      <c r="VBC29" s="1882"/>
      <c r="VBD29" s="1882"/>
      <c r="VBF29" s="1887"/>
      <c r="VBG29" s="1888"/>
      <c r="VBH29" s="1882"/>
      <c r="VBI29" s="1882"/>
      <c r="VBJ29" s="1882"/>
      <c r="VBL29" s="1887"/>
      <c r="VBM29" s="1888"/>
      <c r="VBN29" s="1882"/>
      <c r="VBO29" s="1882"/>
      <c r="VBP29" s="1882"/>
      <c r="VBR29" s="1887"/>
      <c r="VBS29" s="1888"/>
      <c r="VBT29" s="1882"/>
      <c r="VBU29" s="1882"/>
      <c r="VBV29" s="1882"/>
      <c r="VBX29" s="1887"/>
      <c r="VBY29" s="1888"/>
      <c r="VBZ29" s="1882"/>
      <c r="VCA29" s="1882"/>
      <c r="VCB29" s="1882"/>
      <c r="VCD29" s="1887"/>
      <c r="VCE29" s="1888"/>
      <c r="VCF29" s="1882"/>
      <c r="VCG29" s="1882"/>
      <c r="VCH29" s="1882"/>
      <c r="VCJ29" s="1887"/>
      <c r="VCK29" s="1888"/>
      <c r="VCL29" s="1882"/>
      <c r="VCM29" s="1882"/>
      <c r="VCN29" s="1882"/>
      <c r="VCP29" s="1887"/>
      <c r="VCQ29" s="1888"/>
      <c r="VCR29" s="1882"/>
      <c r="VCS29" s="1882"/>
      <c r="VCT29" s="1882"/>
      <c r="VCV29" s="1887"/>
      <c r="VCW29" s="1888"/>
      <c r="VCX29" s="1882"/>
      <c r="VCY29" s="1882"/>
      <c r="VCZ29" s="1882"/>
      <c r="VDB29" s="1887"/>
      <c r="VDC29" s="1888"/>
      <c r="VDD29" s="1882"/>
      <c r="VDE29" s="1882"/>
      <c r="VDF29" s="1882"/>
      <c r="VDH29" s="1887"/>
      <c r="VDI29" s="1888"/>
      <c r="VDJ29" s="1882"/>
      <c r="VDK29" s="1882"/>
      <c r="VDL29" s="1882"/>
      <c r="VDN29" s="1887"/>
      <c r="VDO29" s="1888"/>
      <c r="VDP29" s="1882"/>
      <c r="VDQ29" s="1882"/>
      <c r="VDR29" s="1882"/>
      <c r="VDT29" s="1887"/>
      <c r="VDU29" s="1888"/>
      <c r="VDV29" s="1882"/>
      <c r="VDW29" s="1882"/>
      <c r="VDX29" s="1882"/>
      <c r="VDZ29" s="1887"/>
      <c r="VEA29" s="1888"/>
      <c r="VEB29" s="1882"/>
      <c r="VEC29" s="1882"/>
      <c r="VED29" s="1882"/>
      <c r="VEF29" s="1887"/>
      <c r="VEG29" s="1888"/>
      <c r="VEH29" s="1882"/>
      <c r="VEI29" s="1882"/>
      <c r="VEJ29" s="1882"/>
      <c r="VEL29" s="1887"/>
      <c r="VEM29" s="1888"/>
      <c r="VEN29" s="1882"/>
      <c r="VEO29" s="1882"/>
      <c r="VEP29" s="1882"/>
      <c r="VER29" s="1887"/>
      <c r="VES29" s="1888"/>
      <c r="VET29" s="1882"/>
      <c r="VEU29" s="1882"/>
      <c r="VEV29" s="1882"/>
      <c r="VEX29" s="1887"/>
      <c r="VEY29" s="1888"/>
      <c r="VEZ29" s="1882"/>
      <c r="VFA29" s="1882"/>
      <c r="VFB29" s="1882"/>
      <c r="VFD29" s="1887"/>
      <c r="VFE29" s="1888"/>
      <c r="VFF29" s="1882"/>
      <c r="VFG29" s="1882"/>
      <c r="VFH29" s="1882"/>
      <c r="VFJ29" s="1887"/>
      <c r="VFK29" s="1888"/>
      <c r="VFL29" s="1882"/>
      <c r="VFM29" s="1882"/>
      <c r="VFN29" s="1882"/>
      <c r="VFP29" s="1887"/>
      <c r="VFQ29" s="1888"/>
      <c r="VFR29" s="1882"/>
      <c r="VFS29" s="1882"/>
      <c r="VFT29" s="1882"/>
      <c r="VFV29" s="1887"/>
      <c r="VFW29" s="1888"/>
      <c r="VFX29" s="1882"/>
      <c r="VFY29" s="1882"/>
      <c r="VFZ29" s="1882"/>
      <c r="VGB29" s="1887"/>
      <c r="VGC29" s="1888"/>
      <c r="VGD29" s="1882"/>
      <c r="VGE29" s="1882"/>
      <c r="VGF29" s="1882"/>
      <c r="VGH29" s="1887"/>
      <c r="VGI29" s="1888"/>
      <c r="VGJ29" s="1882"/>
      <c r="VGK29" s="1882"/>
      <c r="VGL29" s="1882"/>
      <c r="VGN29" s="1887"/>
      <c r="VGO29" s="1888"/>
      <c r="VGP29" s="1882"/>
      <c r="VGQ29" s="1882"/>
      <c r="VGR29" s="1882"/>
      <c r="VGT29" s="1887"/>
      <c r="VGU29" s="1888"/>
      <c r="VGV29" s="1882"/>
      <c r="VGW29" s="1882"/>
      <c r="VGX29" s="1882"/>
      <c r="VGZ29" s="1887"/>
      <c r="VHA29" s="1888"/>
      <c r="VHB29" s="1882"/>
      <c r="VHC29" s="1882"/>
      <c r="VHD29" s="1882"/>
      <c r="VHF29" s="1887"/>
      <c r="VHG29" s="1888"/>
      <c r="VHH29" s="1882"/>
      <c r="VHI29" s="1882"/>
      <c r="VHJ29" s="1882"/>
      <c r="VHL29" s="1887"/>
      <c r="VHM29" s="1888"/>
      <c r="VHN29" s="1882"/>
      <c r="VHO29" s="1882"/>
      <c r="VHP29" s="1882"/>
      <c r="VHR29" s="1887"/>
      <c r="VHS29" s="1888"/>
      <c r="VHT29" s="1882"/>
      <c r="VHU29" s="1882"/>
      <c r="VHV29" s="1882"/>
      <c r="VHX29" s="1887"/>
      <c r="VHY29" s="1888"/>
      <c r="VHZ29" s="1882"/>
      <c r="VIA29" s="1882"/>
      <c r="VIB29" s="1882"/>
      <c r="VID29" s="1887"/>
      <c r="VIE29" s="1888"/>
      <c r="VIF29" s="1882"/>
      <c r="VIG29" s="1882"/>
      <c r="VIH29" s="1882"/>
      <c r="VIJ29" s="1887"/>
      <c r="VIK29" s="1888"/>
      <c r="VIL29" s="1882"/>
      <c r="VIM29" s="1882"/>
      <c r="VIN29" s="1882"/>
      <c r="VIP29" s="1887"/>
      <c r="VIQ29" s="1888"/>
      <c r="VIR29" s="1882"/>
      <c r="VIS29" s="1882"/>
      <c r="VIT29" s="1882"/>
      <c r="VIV29" s="1887"/>
      <c r="VIW29" s="1888"/>
      <c r="VIX29" s="1882"/>
      <c r="VIY29" s="1882"/>
      <c r="VIZ29" s="1882"/>
      <c r="VJB29" s="1887"/>
      <c r="VJC29" s="1888"/>
      <c r="VJD29" s="1882"/>
      <c r="VJE29" s="1882"/>
      <c r="VJF29" s="1882"/>
      <c r="VJH29" s="1887"/>
      <c r="VJI29" s="1888"/>
      <c r="VJJ29" s="1882"/>
      <c r="VJK29" s="1882"/>
      <c r="VJL29" s="1882"/>
      <c r="VJN29" s="1887"/>
      <c r="VJO29" s="1888"/>
      <c r="VJP29" s="1882"/>
      <c r="VJQ29" s="1882"/>
      <c r="VJR29" s="1882"/>
      <c r="VJT29" s="1887"/>
      <c r="VJU29" s="1888"/>
      <c r="VJV29" s="1882"/>
      <c r="VJW29" s="1882"/>
      <c r="VJX29" s="1882"/>
      <c r="VJZ29" s="1887"/>
      <c r="VKA29" s="1888"/>
      <c r="VKB29" s="1882"/>
      <c r="VKC29" s="1882"/>
      <c r="VKD29" s="1882"/>
      <c r="VKF29" s="1887"/>
      <c r="VKG29" s="1888"/>
      <c r="VKH29" s="1882"/>
      <c r="VKI29" s="1882"/>
      <c r="VKJ29" s="1882"/>
      <c r="VKL29" s="1887"/>
      <c r="VKM29" s="1888"/>
      <c r="VKN29" s="1882"/>
      <c r="VKO29" s="1882"/>
      <c r="VKP29" s="1882"/>
      <c r="VKR29" s="1887"/>
      <c r="VKS29" s="1888"/>
      <c r="VKT29" s="1882"/>
      <c r="VKU29" s="1882"/>
      <c r="VKV29" s="1882"/>
      <c r="VKX29" s="1887"/>
      <c r="VKY29" s="1888"/>
      <c r="VKZ29" s="1882"/>
      <c r="VLA29" s="1882"/>
      <c r="VLB29" s="1882"/>
      <c r="VLD29" s="1887"/>
      <c r="VLE29" s="1888"/>
      <c r="VLF29" s="1882"/>
      <c r="VLG29" s="1882"/>
      <c r="VLH29" s="1882"/>
      <c r="VLJ29" s="1887"/>
      <c r="VLK29" s="1888"/>
      <c r="VLL29" s="1882"/>
      <c r="VLM29" s="1882"/>
      <c r="VLN29" s="1882"/>
      <c r="VLP29" s="1887"/>
      <c r="VLQ29" s="1888"/>
      <c r="VLR29" s="1882"/>
      <c r="VLS29" s="1882"/>
      <c r="VLT29" s="1882"/>
      <c r="VLV29" s="1887"/>
      <c r="VLW29" s="1888"/>
      <c r="VLX29" s="1882"/>
      <c r="VLY29" s="1882"/>
      <c r="VLZ29" s="1882"/>
      <c r="VMB29" s="1887"/>
      <c r="VMC29" s="1888"/>
      <c r="VMD29" s="1882"/>
      <c r="VME29" s="1882"/>
      <c r="VMF29" s="1882"/>
      <c r="VMH29" s="1887"/>
      <c r="VMI29" s="1888"/>
      <c r="VMJ29" s="1882"/>
      <c r="VMK29" s="1882"/>
      <c r="VML29" s="1882"/>
      <c r="VMN29" s="1887"/>
      <c r="VMO29" s="1888"/>
      <c r="VMP29" s="1882"/>
      <c r="VMQ29" s="1882"/>
      <c r="VMR29" s="1882"/>
      <c r="VMT29" s="1887"/>
      <c r="VMU29" s="1888"/>
      <c r="VMV29" s="1882"/>
      <c r="VMW29" s="1882"/>
      <c r="VMX29" s="1882"/>
      <c r="VMZ29" s="1887"/>
      <c r="VNA29" s="1888"/>
      <c r="VNB29" s="1882"/>
      <c r="VNC29" s="1882"/>
      <c r="VND29" s="1882"/>
      <c r="VNF29" s="1887"/>
      <c r="VNG29" s="1888"/>
      <c r="VNH29" s="1882"/>
      <c r="VNI29" s="1882"/>
      <c r="VNJ29" s="1882"/>
      <c r="VNL29" s="1887"/>
      <c r="VNM29" s="1888"/>
      <c r="VNN29" s="1882"/>
      <c r="VNO29" s="1882"/>
      <c r="VNP29" s="1882"/>
      <c r="VNR29" s="1887"/>
      <c r="VNS29" s="1888"/>
      <c r="VNT29" s="1882"/>
      <c r="VNU29" s="1882"/>
      <c r="VNV29" s="1882"/>
      <c r="VNX29" s="1887"/>
      <c r="VNY29" s="1888"/>
      <c r="VNZ29" s="1882"/>
      <c r="VOA29" s="1882"/>
      <c r="VOB29" s="1882"/>
      <c r="VOD29" s="1887"/>
      <c r="VOE29" s="1888"/>
      <c r="VOF29" s="1882"/>
      <c r="VOG29" s="1882"/>
      <c r="VOH29" s="1882"/>
      <c r="VOJ29" s="1887"/>
      <c r="VOK29" s="1888"/>
      <c r="VOL29" s="1882"/>
      <c r="VOM29" s="1882"/>
      <c r="VON29" s="1882"/>
      <c r="VOP29" s="1887"/>
      <c r="VOQ29" s="1888"/>
      <c r="VOR29" s="1882"/>
      <c r="VOS29" s="1882"/>
      <c r="VOT29" s="1882"/>
      <c r="VOV29" s="1887"/>
      <c r="VOW29" s="1888"/>
      <c r="VOX29" s="1882"/>
      <c r="VOY29" s="1882"/>
      <c r="VOZ29" s="1882"/>
      <c r="VPB29" s="1887"/>
      <c r="VPC29" s="1888"/>
      <c r="VPD29" s="1882"/>
      <c r="VPE29" s="1882"/>
      <c r="VPF29" s="1882"/>
      <c r="VPH29" s="1887"/>
      <c r="VPI29" s="1888"/>
      <c r="VPJ29" s="1882"/>
      <c r="VPK29" s="1882"/>
      <c r="VPL29" s="1882"/>
      <c r="VPN29" s="1887"/>
      <c r="VPO29" s="1888"/>
      <c r="VPP29" s="1882"/>
      <c r="VPQ29" s="1882"/>
      <c r="VPR29" s="1882"/>
      <c r="VPT29" s="1887"/>
      <c r="VPU29" s="1888"/>
      <c r="VPV29" s="1882"/>
      <c r="VPW29" s="1882"/>
      <c r="VPX29" s="1882"/>
      <c r="VPZ29" s="1887"/>
      <c r="VQA29" s="1888"/>
      <c r="VQB29" s="1882"/>
      <c r="VQC29" s="1882"/>
      <c r="VQD29" s="1882"/>
      <c r="VQF29" s="1887"/>
      <c r="VQG29" s="1888"/>
      <c r="VQH29" s="1882"/>
      <c r="VQI29" s="1882"/>
      <c r="VQJ29" s="1882"/>
      <c r="VQL29" s="1887"/>
      <c r="VQM29" s="1888"/>
      <c r="VQN29" s="1882"/>
      <c r="VQO29" s="1882"/>
      <c r="VQP29" s="1882"/>
      <c r="VQR29" s="1887"/>
      <c r="VQS29" s="1888"/>
      <c r="VQT29" s="1882"/>
      <c r="VQU29" s="1882"/>
      <c r="VQV29" s="1882"/>
      <c r="VQX29" s="1887"/>
      <c r="VQY29" s="1888"/>
      <c r="VQZ29" s="1882"/>
      <c r="VRA29" s="1882"/>
      <c r="VRB29" s="1882"/>
      <c r="VRD29" s="1887"/>
      <c r="VRE29" s="1888"/>
      <c r="VRF29" s="1882"/>
      <c r="VRG29" s="1882"/>
      <c r="VRH29" s="1882"/>
      <c r="VRJ29" s="1887"/>
      <c r="VRK29" s="1888"/>
      <c r="VRL29" s="1882"/>
      <c r="VRM29" s="1882"/>
      <c r="VRN29" s="1882"/>
      <c r="VRP29" s="1887"/>
      <c r="VRQ29" s="1888"/>
      <c r="VRR29" s="1882"/>
      <c r="VRS29" s="1882"/>
      <c r="VRT29" s="1882"/>
      <c r="VRV29" s="1887"/>
      <c r="VRW29" s="1888"/>
      <c r="VRX29" s="1882"/>
      <c r="VRY29" s="1882"/>
      <c r="VRZ29" s="1882"/>
      <c r="VSB29" s="1887"/>
      <c r="VSC29" s="1888"/>
      <c r="VSD29" s="1882"/>
      <c r="VSE29" s="1882"/>
      <c r="VSF29" s="1882"/>
      <c r="VSH29" s="1887"/>
      <c r="VSI29" s="1888"/>
      <c r="VSJ29" s="1882"/>
      <c r="VSK29" s="1882"/>
      <c r="VSL29" s="1882"/>
      <c r="VSN29" s="1887"/>
      <c r="VSO29" s="1888"/>
      <c r="VSP29" s="1882"/>
      <c r="VSQ29" s="1882"/>
      <c r="VSR29" s="1882"/>
      <c r="VST29" s="1887"/>
      <c r="VSU29" s="1888"/>
      <c r="VSV29" s="1882"/>
      <c r="VSW29" s="1882"/>
      <c r="VSX29" s="1882"/>
      <c r="VSZ29" s="1887"/>
      <c r="VTA29" s="1888"/>
      <c r="VTB29" s="1882"/>
      <c r="VTC29" s="1882"/>
      <c r="VTD29" s="1882"/>
      <c r="VTF29" s="1887"/>
      <c r="VTG29" s="1888"/>
      <c r="VTH29" s="1882"/>
      <c r="VTI29" s="1882"/>
      <c r="VTJ29" s="1882"/>
      <c r="VTL29" s="1887"/>
      <c r="VTM29" s="1888"/>
      <c r="VTN29" s="1882"/>
      <c r="VTO29" s="1882"/>
      <c r="VTP29" s="1882"/>
      <c r="VTR29" s="1887"/>
      <c r="VTS29" s="1888"/>
      <c r="VTT29" s="1882"/>
      <c r="VTU29" s="1882"/>
      <c r="VTV29" s="1882"/>
      <c r="VTX29" s="1887"/>
      <c r="VTY29" s="1888"/>
      <c r="VTZ29" s="1882"/>
      <c r="VUA29" s="1882"/>
      <c r="VUB29" s="1882"/>
      <c r="VUD29" s="1887"/>
      <c r="VUE29" s="1888"/>
      <c r="VUF29" s="1882"/>
      <c r="VUG29" s="1882"/>
      <c r="VUH29" s="1882"/>
      <c r="VUJ29" s="1887"/>
      <c r="VUK29" s="1888"/>
      <c r="VUL29" s="1882"/>
      <c r="VUM29" s="1882"/>
      <c r="VUN29" s="1882"/>
      <c r="VUP29" s="1887"/>
      <c r="VUQ29" s="1888"/>
      <c r="VUR29" s="1882"/>
      <c r="VUS29" s="1882"/>
      <c r="VUT29" s="1882"/>
      <c r="VUV29" s="1887"/>
      <c r="VUW29" s="1888"/>
      <c r="VUX29" s="1882"/>
      <c r="VUY29" s="1882"/>
      <c r="VUZ29" s="1882"/>
      <c r="VVB29" s="1887"/>
      <c r="VVC29" s="1888"/>
      <c r="VVD29" s="1882"/>
      <c r="VVE29" s="1882"/>
      <c r="VVF29" s="1882"/>
      <c r="VVH29" s="1887"/>
      <c r="VVI29" s="1888"/>
      <c r="VVJ29" s="1882"/>
      <c r="VVK29" s="1882"/>
      <c r="VVL29" s="1882"/>
      <c r="VVN29" s="1887"/>
      <c r="VVO29" s="1888"/>
      <c r="VVP29" s="1882"/>
      <c r="VVQ29" s="1882"/>
      <c r="VVR29" s="1882"/>
      <c r="VVT29" s="1887"/>
      <c r="VVU29" s="1888"/>
      <c r="VVV29" s="1882"/>
      <c r="VVW29" s="1882"/>
      <c r="VVX29" s="1882"/>
      <c r="VVZ29" s="1887"/>
      <c r="VWA29" s="1888"/>
      <c r="VWB29" s="1882"/>
      <c r="VWC29" s="1882"/>
      <c r="VWD29" s="1882"/>
      <c r="VWF29" s="1887"/>
      <c r="VWG29" s="1888"/>
      <c r="VWH29" s="1882"/>
      <c r="VWI29" s="1882"/>
      <c r="VWJ29" s="1882"/>
      <c r="VWL29" s="1887"/>
      <c r="VWM29" s="1888"/>
      <c r="VWN29" s="1882"/>
      <c r="VWO29" s="1882"/>
      <c r="VWP29" s="1882"/>
      <c r="VWR29" s="1887"/>
      <c r="VWS29" s="1888"/>
      <c r="VWT29" s="1882"/>
      <c r="VWU29" s="1882"/>
      <c r="VWV29" s="1882"/>
      <c r="VWX29" s="1887"/>
      <c r="VWY29" s="1888"/>
      <c r="VWZ29" s="1882"/>
      <c r="VXA29" s="1882"/>
      <c r="VXB29" s="1882"/>
      <c r="VXD29" s="1887"/>
      <c r="VXE29" s="1888"/>
      <c r="VXF29" s="1882"/>
      <c r="VXG29" s="1882"/>
      <c r="VXH29" s="1882"/>
      <c r="VXJ29" s="1887"/>
      <c r="VXK29" s="1888"/>
      <c r="VXL29" s="1882"/>
      <c r="VXM29" s="1882"/>
      <c r="VXN29" s="1882"/>
      <c r="VXP29" s="1887"/>
      <c r="VXQ29" s="1888"/>
      <c r="VXR29" s="1882"/>
      <c r="VXS29" s="1882"/>
      <c r="VXT29" s="1882"/>
      <c r="VXV29" s="1887"/>
      <c r="VXW29" s="1888"/>
      <c r="VXX29" s="1882"/>
      <c r="VXY29" s="1882"/>
      <c r="VXZ29" s="1882"/>
      <c r="VYB29" s="1887"/>
      <c r="VYC29" s="1888"/>
      <c r="VYD29" s="1882"/>
      <c r="VYE29" s="1882"/>
      <c r="VYF29" s="1882"/>
      <c r="VYH29" s="1887"/>
      <c r="VYI29" s="1888"/>
      <c r="VYJ29" s="1882"/>
      <c r="VYK29" s="1882"/>
      <c r="VYL29" s="1882"/>
      <c r="VYN29" s="1887"/>
      <c r="VYO29" s="1888"/>
      <c r="VYP29" s="1882"/>
      <c r="VYQ29" s="1882"/>
      <c r="VYR29" s="1882"/>
      <c r="VYT29" s="1887"/>
      <c r="VYU29" s="1888"/>
      <c r="VYV29" s="1882"/>
      <c r="VYW29" s="1882"/>
      <c r="VYX29" s="1882"/>
      <c r="VYZ29" s="1887"/>
      <c r="VZA29" s="1888"/>
      <c r="VZB29" s="1882"/>
      <c r="VZC29" s="1882"/>
      <c r="VZD29" s="1882"/>
      <c r="VZF29" s="1887"/>
      <c r="VZG29" s="1888"/>
      <c r="VZH29" s="1882"/>
      <c r="VZI29" s="1882"/>
      <c r="VZJ29" s="1882"/>
      <c r="VZL29" s="1887"/>
      <c r="VZM29" s="1888"/>
      <c r="VZN29" s="1882"/>
      <c r="VZO29" s="1882"/>
      <c r="VZP29" s="1882"/>
      <c r="VZR29" s="1887"/>
      <c r="VZS29" s="1888"/>
      <c r="VZT29" s="1882"/>
      <c r="VZU29" s="1882"/>
      <c r="VZV29" s="1882"/>
      <c r="VZX29" s="1887"/>
      <c r="VZY29" s="1888"/>
      <c r="VZZ29" s="1882"/>
      <c r="WAA29" s="1882"/>
      <c r="WAB29" s="1882"/>
      <c r="WAD29" s="1887"/>
      <c r="WAE29" s="1888"/>
      <c r="WAF29" s="1882"/>
      <c r="WAG29" s="1882"/>
      <c r="WAH29" s="1882"/>
      <c r="WAJ29" s="1887"/>
      <c r="WAK29" s="1888"/>
      <c r="WAL29" s="1882"/>
      <c r="WAM29" s="1882"/>
      <c r="WAN29" s="1882"/>
      <c r="WAP29" s="1887"/>
      <c r="WAQ29" s="1888"/>
      <c r="WAR29" s="1882"/>
      <c r="WAS29" s="1882"/>
      <c r="WAT29" s="1882"/>
      <c r="WAV29" s="1887"/>
      <c r="WAW29" s="1888"/>
      <c r="WAX29" s="1882"/>
      <c r="WAY29" s="1882"/>
      <c r="WAZ29" s="1882"/>
      <c r="WBB29" s="1887"/>
      <c r="WBC29" s="1888"/>
      <c r="WBD29" s="1882"/>
      <c r="WBE29" s="1882"/>
      <c r="WBF29" s="1882"/>
      <c r="WBH29" s="1887"/>
      <c r="WBI29" s="1888"/>
      <c r="WBJ29" s="1882"/>
      <c r="WBK29" s="1882"/>
      <c r="WBL29" s="1882"/>
      <c r="WBN29" s="1887"/>
      <c r="WBO29" s="1888"/>
      <c r="WBP29" s="1882"/>
      <c r="WBQ29" s="1882"/>
      <c r="WBR29" s="1882"/>
      <c r="WBT29" s="1887"/>
      <c r="WBU29" s="1888"/>
      <c r="WBV29" s="1882"/>
      <c r="WBW29" s="1882"/>
      <c r="WBX29" s="1882"/>
      <c r="WBZ29" s="1887"/>
      <c r="WCA29" s="1888"/>
      <c r="WCB29" s="1882"/>
      <c r="WCC29" s="1882"/>
      <c r="WCD29" s="1882"/>
      <c r="WCF29" s="1887"/>
      <c r="WCG29" s="1888"/>
      <c r="WCH29" s="1882"/>
      <c r="WCI29" s="1882"/>
      <c r="WCJ29" s="1882"/>
      <c r="WCL29" s="1887"/>
      <c r="WCM29" s="1888"/>
      <c r="WCN29" s="1882"/>
      <c r="WCO29" s="1882"/>
      <c r="WCP29" s="1882"/>
      <c r="WCR29" s="1887"/>
      <c r="WCS29" s="1888"/>
      <c r="WCT29" s="1882"/>
      <c r="WCU29" s="1882"/>
      <c r="WCV29" s="1882"/>
      <c r="WCX29" s="1887"/>
      <c r="WCY29" s="1888"/>
      <c r="WCZ29" s="1882"/>
      <c r="WDA29" s="1882"/>
      <c r="WDB29" s="1882"/>
      <c r="WDD29" s="1887"/>
      <c r="WDE29" s="1888"/>
      <c r="WDF29" s="1882"/>
      <c r="WDG29" s="1882"/>
      <c r="WDH29" s="1882"/>
      <c r="WDJ29" s="1887"/>
      <c r="WDK29" s="1888"/>
      <c r="WDL29" s="1882"/>
      <c r="WDM29" s="1882"/>
      <c r="WDN29" s="1882"/>
      <c r="WDP29" s="1887"/>
      <c r="WDQ29" s="1888"/>
      <c r="WDR29" s="1882"/>
      <c r="WDS29" s="1882"/>
      <c r="WDT29" s="1882"/>
      <c r="WDV29" s="1887"/>
      <c r="WDW29" s="1888"/>
      <c r="WDX29" s="1882"/>
      <c r="WDY29" s="1882"/>
      <c r="WDZ29" s="1882"/>
      <c r="WEB29" s="1887"/>
      <c r="WEC29" s="1888"/>
      <c r="WED29" s="1882"/>
      <c r="WEE29" s="1882"/>
      <c r="WEF29" s="1882"/>
      <c r="WEH29" s="1887"/>
      <c r="WEI29" s="1888"/>
      <c r="WEJ29" s="1882"/>
      <c r="WEK29" s="1882"/>
      <c r="WEL29" s="1882"/>
      <c r="WEN29" s="1887"/>
      <c r="WEO29" s="1888"/>
      <c r="WEP29" s="1882"/>
      <c r="WEQ29" s="1882"/>
      <c r="WER29" s="1882"/>
      <c r="WET29" s="1887"/>
      <c r="WEU29" s="1888"/>
      <c r="WEV29" s="1882"/>
      <c r="WEW29" s="1882"/>
      <c r="WEX29" s="1882"/>
      <c r="WEZ29" s="1887"/>
      <c r="WFA29" s="1888"/>
      <c r="WFB29" s="1882"/>
      <c r="WFC29" s="1882"/>
      <c r="WFD29" s="1882"/>
      <c r="WFF29" s="1887"/>
      <c r="WFG29" s="1888"/>
      <c r="WFH29" s="1882"/>
      <c r="WFI29" s="1882"/>
      <c r="WFJ29" s="1882"/>
      <c r="WFL29" s="1887"/>
      <c r="WFM29" s="1888"/>
      <c r="WFN29" s="1882"/>
      <c r="WFO29" s="1882"/>
      <c r="WFP29" s="1882"/>
      <c r="WFR29" s="1887"/>
      <c r="WFS29" s="1888"/>
      <c r="WFT29" s="1882"/>
      <c r="WFU29" s="1882"/>
      <c r="WFV29" s="1882"/>
      <c r="WFX29" s="1887"/>
      <c r="WFY29" s="1888"/>
      <c r="WFZ29" s="1882"/>
      <c r="WGA29" s="1882"/>
      <c r="WGB29" s="1882"/>
      <c r="WGD29" s="1887"/>
      <c r="WGE29" s="1888"/>
      <c r="WGF29" s="1882"/>
      <c r="WGG29" s="1882"/>
      <c r="WGH29" s="1882"/>
      <c r="WGJ29" s="1887"/>
      <c r="WGK29" s="1888"/>
      <c r="WGL29" s="1882"/>
      <c r="WGM29" s="1882"/>
      <c r="WGN29" s="1882"/>
      <c r="WGP29" s="1887"/>
      <c r="WGQ29" s="1888"/>
      <c r="WGR29" s="1882"/>
      <c r="WGS29" s="1882"/>
      <c r="WGT29" s="1882"/>
      <c r="WGV29" s="1887"/>
      <c r="WGW29" s="1888"/>
      <c r="WGX29" s="1882"/>
      <c r="WGY29" s="1882"/>
      <c r="WGZ29" s="1882"/>
      <c r="WHB29" s="1887"/>
      <c r="WHC29" s="1888"/>
      <c r="WHD29" s="1882"/>
      <c r="WHE29" s="1882"/>
      <c r="WHF29" s="1882"/>
      <c r="WHH29" s="1887"/>
      <c r="WHI29" s="1888"/>
      <c r="WHJ29" s="1882"/>
      <c r="WHK29" s="1882"/>
      <c r="WHL29" s="1882"/>
      <c r="WHN29" s="1887"/>
      <c r="WHO29" s="1888"/>
      <c r="WHP29" s="1882"/>
      <c r="WHQ29" s="1882"/>
      <c r="WHR29" s="1882"/>
      <c r="WHT29" s="1887"/>
      <c r="WHU29" s="1888"/>
      <c r="WHV29" s="1882"/>
      <c r="WHW29" s="1882"/>
      <c r="WHX29" s="1882"/>
      <c r="WHZ29" s="1887"/>
      <c r="WIA29" s="1888"/>
      <c r="WIB29" s="1882"/>
      <c r="WIC29" s="1882"/>
      <c r="WID29" s="1882"/>
      <c r="WIF29" s="1887"/>
      <c r="WIG29" s="1888"/>
      <c r="WIH29" s="1882"/>
      <c r="WII29" s="1882"/>
      <c r="WIJ29" s="1882"/>
      <c r="WIL29" s="1887"/>
      <c r="WIM29" s="1888"/>
      <c r="WIN29" s="1882"/>
      <c r="WIO29" s="1882"/>
      <c r="WIP29" s="1882"/>
      <c r="WIR29" s="1887"/>
      <c r="WIS29" s="1888"/>
      <c r="WIT29" s="1882"/>
      <c r="WIU29" s="1882"/>
      <c r="WIV29" s="1882"/>
      <c r="WIX29" s="1887"/>
      <c r="WIY29" s="1888"/>
      <c r="WIZ29" s="1882"/>
      <c r="WJA29" s="1882"/>
      <c r="WJB29" s="1882"/>
      <c r="WJD29" s="1887"/>
      <c r="WJE29" s="1888"/>
      <c r="WJF29" s="1882"/>
      <c r="WJG29" s="1882"/>
      <c r="WJH29" s="1882"/>
      <c r="WJJ29" s="1887"/>
      <c r="WJK29" s="1888"/>
      <c r="WJL29" s="1882"/>
      <c r="WJM29" s="1882"/>
      <c r="WJN29" s="1882"/>
      <c r="WJP29" s="1887"/>
      <c r="WJQ29" s="1888"/>
      <c r="WJR29" s="1882"/>
      <c r="WJS29" s="1882"/>
      <c r="WJT29" s="1882"/>
      <c r="WJV29" s="1887"/>
      <c r="WJW29" s="1888"/>
      <c r="WJX29" s="1882"/>
      <c r="WJY29" s="1882"/>
      <c r="WJZ29" s="1882"/>
      <c r="WKB29" s="1887"/>
      <c r="WKC29" s="1888"/>
      <c r="WKD29" s="1882"/>
      <c r="WKE29" s="1882"/>
      <c r="WKF29" s="1882"/>
      <c r="WKH29" s="1887"/>
      <c r="WKI29" s="1888"/>
      <c r="WKJ29" s="1882"/>
      <c r="WKK29" s="1882"/>
      <c r="WKL29" s="1882"/>
      <c r="WKN29" s="1887"/>
      <c r="WKO29" s="1888"/>
      <c r="WKP29" s="1882"/>
      <c r="WKQ29" s="1882"/>
      <c r="WKR29" s="1882"/>
      <c r="WKT29" s="1887"/>
      <c r="WKU29" s="1888"/>
      <c r="WKV29" s="1882"/>
      <c r="WKW29" s="1882"/>
      <c r="WKX29" s="1882"/>
      <c r="WKZ29" s="1887"/>
      <c r="WLA29" s="1888"/>
      <c r="WLB29" s="1882"/>
      <c r="WLC29" s="1882"/>
      <c r="WLD29" s="1882"/>
      <c r="WLF29" s="1887"/>
      <c r="WLG29" s="1888"/>
      <c r="WLH29" s="1882"/>
      <c r="WLI29" s="1882"/>
      <c r="WLJ29" s="1882"/>
      <c r="WLL29" s="1887"/>
      <c r="WLM29" s="1888"/>
      <c r="WLN29" s="1882"/>
      <c r="WLO29" s="1882"/>
      <c r="WLP29" s="1882"/>
      <c r="WLR29" s="1887"/>
      <c r="WLS29" s="1888"/>
      <c r="WLT29" s="1882"/>
      <c r="WLU29" s="1882"/>
      <c r="WLV29" s="1882"/>
      <c r="WLX29" s="1887"/>
      <c r="WLY29" s="1888"/>
      <c r="WLZ29" s="1882"/>
      <c r="WMA29" s="1882"/>
      <c r="WMB29" s="1882"/>
      <c r="WMD29" s="1887"/>
      <c r="WME29" s="1888"/>
      <c r="WMF29" s="1882"/>
      <c r="WMG29" s="1882"/>
      <c r="WMH29" s="1882"/>
      <c r="WMJ29" s="1887"/>
      <c r="WMK29" s="1888"/>
      <c r="WML29" s="1882"/>
      <c r="WMM29" s="1882"/>
      <c r="WMN29" s="1882"/>
      <c r="WMP29" s="1887"/>
      <c r="WMQ29" s="1888"/>
      <c r="WMR29" s="1882"/>
      <c r="WMS29" s="1882"/>
      <c r="WMT29" s="1882"/>
      <c r="WMV29" s="1887"/>
      <c r="WMW29" s="1888"/>
      <c r="WMX29" s="1882"/>
      <c r="WMY29" s="1882"/>
      <c r="WMZ29" s="1882"/>
      <c r="WNB29" s="1887"/>
      <c r="WNC29" s="1888"/>
      <c r="WND29" s="1882"/>
      <c r="WNE29" s="1882"/>
      <c r="WNF29" s="1882"/>
      <c r="WNH29" s="1887"/>
      <c r="WNI29" s="1888"/>
      <c r="WNJ29" s="1882"/>
      <c r="WNK29" s="1882"/>
      <c r="WNL29" s="1882"/>
      <c r="WNN29" s="1887"/>
      <c r="WNO29" s="1888"/>
      <c r="WNP29" s="1882"/>
      <c r="WNQ29" s="1882"/>
      <c r="WNR29" s="1882"/>
      <c r="WNT29" s="1887"/>
      <c r="WNU29" s="1888"/>
      <c r="WNV29" s="1882"/>
      <c r="WNW29" s="1882"/>
      <c r="WNX29" s="1882"/>
      <c r="WNZ29" s="1887"/>
      <c r="WOA29" s="1888"/>
      <c r="WOB29" s="1882"/>
      <c r="WOC29" s="1882"/>
      <c r="WOD29" s="1882"/>
      <c r="WOF29" s="1887"/>
      <c r="WOG29" s="1888"/>
      <c r="WOH29" s="1882"/>
      <c r="WOI29" s="1882"/>
      <c r="WOJ29" s="1882"/>
      <c r="WOL29" s="1887"/>
      <c r="WOM29" s="1888"/>
      <c r="WON29" s="1882"/>
      <c r="WOO29" s="1882"/>
      <c r="WOP29" s="1882"/>
      <c r="WOR29" s="1887"/>
      <c r="WOS29" s="1888"/>
      <c r="WOT29" s="1882"/>
      <c r="WOU29" s="1882"/>
      <c r="WOV29" s="1882"/>
      <c r="WOX29" s="1887"/>
      <c r="WOY29" s="1888"/>
      <c r="WOZ29" s="1882"/>
      <c r="WPA29" s="1882"/>
      <c r="WPB29" s="1882"/>
      <c r="WPD29" s="1887"/>
      <c r="WPE29" s="1888"/>
      <c r="WPF29" s="1882"/>
      <c r="WPG29" s="1882"/>
      <c r="WPH29" s="1882"/>
      <c r="WPJ29" s="1887"/>
      <c r="WPK29" s="1888"/>
      <c r="WPL29" s="1882"/>
      <c r="WPM29" s="1882"/>
      <c r="WPN29" s="1882"/>
      <c r="WPP29" s="1887"/>
      <c r="WPQ29" s="1888"/>
      <c r="WPR29" s="1882"/>
      <c r="WPS29" s="1882"/>
      <c r="WPT29" s="1882"/>
      <c r="WPV29" s="1887"/>
      <c r="WPW29" s="1888"/>
      <c r="WPX29" s="1882"/>
      <c r="WPY29" s="1882"/>
      <c r="WPZ29" s="1882"/>
      <c r="WQB29" s="1887"/>
      <c r="WQC29" s="1888"/>
      <c r="WQD29" s="1882"/>
      <c r="WQE29" s="1882"/>
      <c r="WQF29" s="1882"/>
      <c r="WQH29" s="1887"/>
      <c r="WQI29" s="1888"/>
      <c r="WQJ29" s="1882"/>
      <c r="WQK29" s="1882"/>
      <c r="WQL29" s="1882"/>
      <c r="WQN29" s="1887"/>
      <c r="WQO29" s="1888"/>
      <c r="WQP29" s="1882"/>
      <c r="WQQ29" s="1882"/>
      <c r="WQR29" s="1882"/>
      <c r="WQT29" s="1887"/>
      <c r="WQU29" s="1888"/>
      <c r="WQV29" s="1882"/>
      <c r="WQW29" s="1882"/>
      <c r="WQX29" s="1882"/>
      <c r="WQZ29" s="1887"/>
      <c r="WRA29" s="1888"/>
      <c r="WRB29" s="1882"/>
      <c r="WRC29" s="1882"/>
      <c r="WRD29" s="1882"/>
      <c r="WRF29" s="1887"/>
      <c r="WRG29" s="1888"/>
      <c r="WRH29" s="1882"/>
      <c r="WRI29" s="1882"/>
      <c r="WRJ29" s="1882"/>
      <c r="WRL29" s="1887"/>
      <c r="WRM29" s="1888"/>
      <c r="WRN29" s="1882"/>
      <c r="WRO29" s="1882"/>
      <c r="WRP29" s="1882"/>
      <c r="WRR29" s="1887"/>
      <c r="WRS29" s="1888"/>
      <c r="WRT29" s="1882"/>
      <c r="WRU29" s="1882"/>
      <c r="WRV29" s="1882"/>
      <c r="WRX29" s="1887"/>
      <c r="WRY29" s="1888"/>
      <c r="WRZ29" s="1882"/>
      <c r="WSA29" s="1882"/>
      <c r="WSB29" s="1882"/>
      <c r="WSD29" s="1887"/>
      <c r="WSE29" s="1888"/>
      <c r="WSF29" s="1882"/>
      <c r="WSG29" s="1882"/>
      <c r="WSH29" s="1882"/>
      <c r="WSJ29" s="1887"/>
      <c r="WSK29" s="1888"/>
      <c r="WSL29" s="1882"/>
      <c r="WSM29" s="1882"/>
      <c r="WSN29" s="1882"/>
      <c r="WSP29" s="1887"/>
      <c r="WSQ29" s="1888"/>
      <c r="WSR29" s="1882"/>
      <c r="WSS29" s="1882"/>
      <c r="WST29" s="1882"/>
      <c r="WSV29" s="1887"/>
      <c r="WSW29" s="1888"/>
      <c r="WSX29" s="1882"/>
      <c r="WSY29" s="1882"/>
      <c r="WSZ29" s="1882"/>
      <c r="WTB29" s="1887"/>
      <c r="WTC29" s="1888"/>
      <c r="WTD29" s="1882"/>
      <c r="WTE29" s="1882"/>
      <c r="WTF29" s="1882"/>
      <c r="WTH29" s="1887"/>
      <c r="WTI29" s="1888"/>
      <c r="WTJ29" s="1882"/>
      <c r="WTK29" s="1882"/>
      <c r="WTL29" s="1882"/>
      <c r="WTN29" s="1887"/>
      <c r="WTO29" s="1888"/>
      <c r="WTP29" s="1882"/>
      <c r="WTQ29" s="1882"/>
      <c r="WTR29" s="1882"/>
      <c r="WTT29" s="1887"/>
      <c r="WTU29" s="1888"/>
      <c r="WTV29" s="1882"/>
      <c r="WTW29" s="1882"/>
      <c r="WTX29" s="1882"/>
      <c r="WTZ29" s="1887"/>
      <c r="WUA29" s="1888"/>
      <c r="WUB29" s="1882"/>
      <c r="WUC29" s="1882"/>
      <c r="WUD29" s="1882"/>
      <c r="WUF29" s="1887"/>
      <c r="WUG29" s="1888"/>
      <c r="WUH29" s="1882"/>
      <c r="WUI29" s="1882"/>
      <c r="WUJ29" s="1882"/>
      <c r="WUL29" s="1887"/>
      <c r="WUM29" s="1888"/>
      <c r="WUN29" s="1882"/>
      <c r="WUO29" s="1882"/>
      <c r="WUP29" s="1882"/>
      <c r="WUR29" s="1887"/>
      <c r="WUS29" s="1888"/>
      <c r="WUT29" s="1882"/>
      <c r="WUU29" s="1882"/>
      <c r="WUV29" s="1882"/>
      <c r="WUX29" s="1887"/>
      <c r="WUY29" s="1888"/>
      <c r="WUZ29" s="1882"/>
      <c r="WVA29" s="1882"/>
      <c r="WVB29" s="1882"/>
      <c r="WVD29" s="1887"/>
      <c r="WVE29" s="1888"/>
      <c r="WVF29" s="1882"/>
      <c r="WVG29" s="1882"/>
      <c r="WVH29" s="1882"/>
      <c r="WVJ29" s="1887"/>
      <c r="WVK29" s="1888"/>
      <c r="WVL29" s="1882"/>
      <c r="WVM29" s="1882"/>
      <c r="WVN29" s="1882"/>
      <c r="WVP29" s="1887"/>
      <c r="WVQ29" s="1888"/>
      <c r="WVR29" s="1882"/>
      <c r="WVS29" s="1882"/>
      <c r="WVT29" s="1882"/>
      <c r="WVV29" s="1887"/>
      <c r="WVW29" s="1888"/>
      <c r="WVX29" s="1882"/>
      <c r="WVY29" s="1882"/>
      <c r="WVZ29" s="1882"/>
      <c r="WWB29" s="1887"/>
      <c r="WWC29" s="1888"/>
      <c r="WWD29" s="1882"/>
      <c r="WWE29" s="1882"/>
      <c r="WWF29" s="1882"/>
      <c r="WWH29" s="1887"/>
      <c r="WWI29" s="1888"/>
      <c r="WWJ29" s="1882"/>
      <c r="WWK29" s="1882"/>
      <c r="WWL29" s="1882"/>
      <c r="WWN29" s="1887"/>
      <c r="WWO29" s="1888"/>
      <c r="WWP29" s="1882"/>
      <c r="WWQ29" s="1882"/>
      <c r="WWR29" s="1882"/>
      <c r="WWT29" s="1887"/>
      <c r="WWU29" s="1888"/>
      <c r="WWV29" s="1882"/>
      <c r="WWW29" s="1882"/>
      <c r="WWX29" s="1882"/>
      <c r="WWZ29" s="1887"/>
      <c r="WXA29" s="1888"/>
      <c r="WXB29" s="1882"/>
      <c r="WXC29" s="1882"/>
      <c r="WXD29" s="1882"/>
      <c r="WXF29" s="1887"/>
      <c r="WXG29" s="1888"/>
      <c r="WXH29" s="1882"/>
      <c r="WXI29" s="1882"/>
      <c r="WXJ29" s="1882"/>
      <c r="WXL29" s="1887"/>
      <c r="WXM29" s="1888"/>
      <c r="WXN29" s="1882"/>
      <c r="WXO29" s="1882"/>
      <c r="WXP29" s="1882"/>
      <c r="WXR29" s="1887"/>
      <c r="WXS29" s="1888"/>
      <c r="WXT29" s="1882"/>
      <c r="WXU29" s="1882"/>
      <c r="WXV29" s="1882"/>
      <c r="WXX29" s="1887"/>
      <c r="WXY29" s="1888"/>
      <c r="WXZ29" s="1882"/>
      <c r="WYA29" s="1882"/>
      <c r="WYB29" s="1882"/>
      <c r="WYD29" s="1887"/>
      <c r="WYE29" s="1888"/>
      <c r="WYF29" s="1882"/>
      <c r="WYG29" s="1882"/>
      <c r="WYH29" s="1882"/>
      <c r="WYJ29" s="1887"/>
      <c r="WYK29" s="1888"/>
      <c r="WYL29" s="1882"/>
      <c r="WYM29" s="1882"/>
      <c r="WYN29" s="1882"/>
      <c r="WYP29" s="1887"/>
      <c r="WYQ29" s="1888"/>
      <c r="WYR29" s="1882"/>
      <c r="WYS29" s="1882"/>
      <c r="WYT29" s="1882"/>
      <c r="WYV29" s="1887"/>
      <c r="WYW29" s="1888"/>
      <c r="WYX29" s="1882"/>
      <c r="WYY29" s="1882"/>
      <c r="WYZ29" s="1882"/>
      <c r="WZB29" s="1887"/>
      <c r="WZC29" s="1888"/>
      <c r="WZD29" s="1882"/>
      <c r="WZE29" s="1882"/>
      <c r="WZF29" s="1882"/>
      <c r="WZH29" s="1887"/>
      <c r="WZI29" s="1888"/>
      <c r="WZJ29" s="1882"/>
      <c r="WZK29" s="1882"/>
      <c r="WZL29" s="1882"/>
      <c r="WZN29" s="1887"/>
      <c r="WZO29" s="1888"/>
      <c r="WZP29" s="1882"/>
      <c r="WZQ29" s="1882"/>
      <c r="WZR29" s="1882"/>
      <c r="WZT29" s="1887"/>
      <c r="WZU29" s="1888"/>
      <c r="WZV29" s="1882"/>
      <c r="WZW29" s="1882"/>
      <c r="WZX29" s="1882"/>
      <c r="WZZ29" s="1887"/>
      <c r="XAA29" s="1888"/>
      <c r="XAB29" s="1882"/>
      <c r="XAC29" s="1882"/>
      <c r="XAD29" s="1882"/>
      <c r="XAF29" s="1887"/>
      <c r="XAG29" s="1888"/>
      <c r="XAH29" s="1882"/>
      <c r="XAI29" s="1882"/>
      <c r="XAJ29" s="1882"/>
      <c r="XAL29" s="1887"/>
      <c r="XAM29" s="1888"/>
      <c r="XAN29" s="1882"/>
      <c r="XAO29" s="1882"/>
      <c r="XAP29" s="1882"/>
      <c r="XAR29" s="1887"/>
      <c r="XAS29" s="1888"/>
      <c r="XAT29" s="1882"/>
      <c r="XAU29" s="1882"/>
      <c r="XAV29" s="1882"/>
      <c r="XAX29" s="1887"/>
      <c r="XAY29" s="1888"/>
      <c r="XAZ29" s="1882"/>
      <c r="XBA29" s="1882"/>
      <c r="XBB29" s="1882"/>
      <c r="XBD29" s="1887"/>
      <c r="XBE29" s="1888"/>
      <c r="XBF29" s="1882"/>
      <c r="XBG29" s="1882"/>
      <c r="XBH29" s="1882"/>
      <c r="XBJ29" s="1887"/>
      <c r="XBK29" s="1888"/>
      <c r="XBL29" s="1882"/>
      <c r="XBM29" s="1882"/>
      <c r="XBN29" s="1882"/>
      <c r="XBP29" s="1887"/>
      <c r="XBQ29" s="1888"/>
      <c r="XBR29" s="1882"/>
      <c r="XBS29" s="1882"/>
      <c r="XBT29" s="1882"/>
      <c r="XBV29" s="1887"/>
      <c r="XBW29" s="1888"/>
      <c r="XBX29" s="1882"/>
      <c r="XBY29" s="1882"/>
      <c r="XBZ29" s="1882"/>
      <c r="XCB29" s="1887"/>
      <c r="XCC29" s="1888"/>
      <c r="XCD29" s="1882"/>
      <c r="XCE29" s="1882"/>
      <c r="XCF29" s="1882"/>
      <c r="XCH29" s="1887"/>
      <c r="XCI29" s="1888"/>
      <c r="XCJ29" s="1882"/>
      <c r="XCK29" s="1882"/>
      <c r="XCL29" s="1882"/>
      <c r="XCN29" s="1887"/>
      <c r="XCO29" s="1888"/>
      <c r="XCP29" s="1882"/>
      <c r="XCQ29" s="1882"/>
      <c r="XCR29" s="1882"/>
      <c r="XCT29" s="1887"/>
      <c r="XCU29" s="1888"/>
      <c r="XCV29" s="1882"/>
      <c r="XCW29" s="1882"/>
      <c r="XCX29" s="1882"/>
      <c r="XCZ29" s="1887"/>
      <c r="XDA29" s="1888"/>
      <c r="XDB29" s="1882"/>
      <c r="XDC29" s="1882"/>
      <c r="XDD29" s="1882"/>
      <c r="XDF29" s="1887"/>
      <c r="XDG29" s="1888"/>
      <c r="XDH29" s="1882"/>
      <c r="XDI29" s="1882"/>
      <c r="XDJ29" s="1882"/>
      <c r="XDL29" s="1887"/>
      <c r="XDM29" s="1888"/>
      <c r="XDN29" s="1882"/>
      <c r="XDO29" s="1882"/>
      <c r="XDP29" s="1882"/>
      <c r="XDR29" s="1887"/>
      <c r="XDS29" s="1888"/>
      <c r="XDT29" s="1882"/>
      <c r="XDU29" s="1882"/>
      <c r="XDV29" s="1882"/>
      <c r="XDX29" s="1887"/>
      <c r="XDY29" s="1888"/>
      <c r="XDZ29" s="1882"/>
      <c r="XEA29" s="1882"/>
      <c r="XEB29" s="1882"/>
      <c r="XED29" s="1887"/>
      <c r="XEE29" s="1888"/>
      <c r="XEF29" s="1882"/>
      <c r="XEG29" s="1882"/>
      <c r="XEH29" s="1882"/>
      <c r="XEJ29" s="1887"/>
      <c r="XEK29" s="1888"/>
      <c r="XEL29" s="1882"/>
      <c r="XEM29" s="1882"/>
      <c r="XEN29" s="1882"/>
      <c r="XEP29" s="1887"/>
      <c r="XEQ29" s="1888"/>
      <c r="XER29" s="1882"/>
      <c r="XES29" s="1882"/>
      <c r="XET29" s="1882"/>
      <c r="XEV29" s="1887"/>
      <c r="XEW29" s="1888"/>
      <c r="XEX29" s="1882"/>
      <c r="XEY29" s="1882"/>
      <c r="XEZ29" s="1882"/>
      <c r="XFB29" s="1887"/>
      <c r="XFC29" s="1888"/>
      <c r="XFD29" s="1882"/>
    </row>
    <row r="30" spans="1:3072 3074:6144 6146:9216 9218:12288 12290:15360 15362:16384" ht="12.75" customHeight="1">
      <c r="A30" s="1880" t="s">
        <v>1394</v>
      </c>
      <c r="B30" s="1880" t="s">
        <v>1577</v>
      </c>
      <c r="C30" s="1880" t="s">
        <v>1579</v>
      </c>
      <c r="D30" s="1881">
        <v>0.51500000000000001</v>
      </c>
      <c r="E30" s="1723">
        <v>92.54</v>
      </c>
      <c r="F30" s="1723">
        <f>ROUND(D30*E30,2)</f>
        <v>47.66</v>
      </c>
      <c r="H30" s="1887"/>
      <c r="I30" s="1888"/>
      <c r="J30" s="1882"/>
      <c r="K30" s="1882"/>
      <c r="L30" s="1882"/>
      <c r="N30" s="1887"/>
      <c r="O30" s="1888"/>
      <c r="P30" s="1882"/>
      <c r="Q30" s="1882"/>
      <c r="R30" s="1882"/>
      <c r="T30" s="1887"/>
      <c r="U30" s="1888"/>
      <c r="V30" s="1882"/>
      <c r="W30" s="1882"/>
      <c r="X30" s="1882"/>
      <c r="Z30" s="1887"/>
      <c r="AA30" s="1888"/>
      <c r="AB30" s="1882"/>
      <c r="AC30" s="1882"/>
      <c r="AD30" s="1882"/>
      <c r="AF30" s="1887"/>
      <c r="AG30" s="1888"/>
      <c r="AH30" s="1882"/>
      <c r="AI30" s="1882"/>
      <c r="AJ30" s="1882"/>
      <c r="AL30" s="1887"/>
      <c r="AM30" s="1888"/>
      <c r="AN30" s="1882"/>
      <c r="AO30" s="1882"/>
      <c r="AP30" s="1882"/>
      <c r="AR30" s="1887"/>
      <c r="AS30" s="1888"/>
      <c r="AT30" s="1882"/>
      <c r="AU30" s="1882"/>
      <c r="AV30" s="1882"/>
      <c r="AX30" s="1887"/>
      <c r="AY30" s="1888"/>
      <c r="AZ30" s="1882"/>
      <c r="BA30" s="1882"/>
      <c r="BB30" s="1882"/>
      <c r="BD30" s="1887"/>
      <c r="BE30" s="1888"/>
      <c r="BF30" s="1882"/>
      <c r="BG30" s="1882"/>
      <c r="BH30" s="1882"/>
      <c r="BJ30" s="1887"/>
      <c r="BK30" s="1888"/>
      <c r="BL30" s="1882"/>
      <c r="BM30" s="1882"/>
      <c r="BN30" s="1882"/>
      <c r="BP30" s="1887"/>
      <c r="BQ30" s="1888"/>
      <c r="BR30" s="1882"/>
      <c r="BS30" s="1882"/>
      <c r="BT30" s="1882"/>
      <c r="BV30" s="1887"/>
      <c r="BW30" s="1888"/>
      <c r="BX30" s="1882"/>
      <c r="BY30" s="1882"/>
      <c r="BZ30" s="1882"/>
      <c r="CB30" s="1887"/>
      <c r="CC30" s="1888"/>
      <c r="CD30" s="1882"/>
      <c r="CE30" s="1882"/>
      <c r="CF30" s="1882"/>
      <c r="CH30" s="1887"/>
      <c r="CI30" s="1888"/>
      <c r="CJ30" s="1882"/>
      <c r="CK30" s="1882"/>
      <c r="CL30" s="1882"/>
      <c r="CN30" s="1887"/>
      <c r="CO30" s="1888"/>
      <c r="CP30" s="1882"/>
      <c r="CQ30" s="1882"/>
      <c r="CR30" s="1882"/>
      <c r="CT30" s="1887"/>
      <c r="CU30" s="1888"/>
      <c r="CV30" s="1882"/>
      <c r="CW30" s="1882"/>
      <c r="CX30" s="1882"/>
      <c r="CZ30" s="1887"/>
      <c r="DA30" s="1888"/>
      <c r="DB30" s="1882"/>
      <c r="DC30" s="1882"/>
      <c r="DD30" s="1882"/>
      <c r="DF30" s="1887"/>
      <c r="DG30" s="1888"/>
      <c r="DH30" s="1882"/>
      <c r="DI30" s="1882"/>
      <c r="DJ30" s="1882"/>
      <c r="DL30" s="1887"/>
      <c r="DM30" s="1888"/>
      <c r="DN30" s="1882"/>
      <c r="DO30" s="1882"/>
      <c r="DP30" s="1882"/>
      <c r="DR30" s="1887"/>
      <c r="DS30" s="1888"/>
      <c r="DT30" s="1882"/>
      <c r="DU30" s="1882"/>
      <c r="DV30" s="1882"/>
      <c r="DX30" s="1887"/>
      <c r="DY30" s="1888"/>
      <c r="DZ30" s="1882"/>
      <c r="EA30" s="1882"/>
      <c r="EB30" s="1882"/>
      <c r="ED30" s="1887"/>
      <c r="EE30" s="1888"/>
      <c r="EF30" s="1882"/>
      <c r="EG30" s="1882"/>
      <c r="EH30" s="1882"/>
      <c r="EJ30" s="1887"/>
      <c r="EK30" s="1888"/>
      <c r="EL30" s="1882"/>
      <c r="EM30" s="1882"/>
      <c r="EN30" s="1882"/>
      <c r="EP30" s="1887"/>
      <c r="EQ30" s="1888"/>
      <c r="ER30" s="1882"/>
      <c r="ES30" s="1882"/>
      <c r="ET30" s="1882"/>
      <c r="EV30" s="1887"/>
      <c r="EW30" s="1888"/>
      <c r="EX30" s="1882"/>
      <c r="EY30" s="1882"/>
      <c r="EZ30" s="1882"/>
      <c r="FB30" s="1887"/>
      <c r="FC30" s="1888"/>
      <c r="FD30" s="1882"/>
      <c r="FE30" s="1882"/>
      <c r="FF30" s="1882"/>
      <c r="FH30" s="1887"/>
      <c r="FI30" s="1888"/>
      <c r="FJ30" s="1882"/>
      <c r="FK30" s="1882"/>
      <c r="FL30" s="1882"/>
      <c r="FN30" s="1887"/>
      <c r="FO30" s="1888"/>
      <c r="FP30" s="1882"/>
      <c r="FQ30" s="1882"/>
      <c r="FR30" s="1882"/>
      <c r="FT30" s="1887"/>
      <c r="FU30" s="1888"/>
      <c r="FV30" s="1882"/>
      <c r="FW30" s="1882"/>
      <c r="FX30" s="1882"/>
      <c r="FZ30" s="1887"/>
      <c r="GA30" s="1888"/>
      <c r="GB30" s="1882"/>
      <c r="GC30" s="1882"/>
      <c r="GD30" s="1882"/>
      <c r="GF30" s="1887"/>
      <c r="GG30" s="1888"/>
      <c r="GH30" s="1882"/>
      <c r="GI30" s="1882"/>
      <c r="GJ30" s="1882"/>
      <c r="GL30" s="1887"/>
      <c r="GM30" s="1888"/>
      <c r="GN30" s="1882"/>
      <c r="GO30" s="1882"/>
      <c r="GP30" s="1882"/>
      <c r="GR30" s="1887"/>
      <c r="GS30" s="1888"/>
      <c r="GT30" s="1882"/>
      <c r="GU30" s="1882"/>
      <c r="GV30" s="1882"/>
      <c r="GX30" s="1887"/>
      <c r="GY30" s="1888"/>
      <c r="GZ30" s="1882"/>
      <c r="HA30" s="1882"/>
      <c r="HB30" s="1882"/>
      <c r="HD30" s="1887"/>
      <c r="HE30" s="1888"/>
      <c r="HF30" s="1882"/>
      <c r="HG30" s="1882"/>
      <c r="HH30" s="1882"/>
      <c r="HJ30" s="1887"/>
      <c r="HK30" s="1888"/>
      <c r="HL30" s="1882"/>
      <c r="HM30" s="1882"/>
      <c r="HN30" s="1882"/>
      <c r="HP30" s="1887"/>
      <c r="HQ30" s="1888"/>
      <c r="HR30" s="1882"/>
      <c r="HS30" s="1882"/>
      <c r="HT30" s="1882"/>
      <c r="HV30" s="1887"/>
      <c r="HW30" s="1888"/>
      <c r="HX30" s="1882"/>
      <c r="HY30" s="1882"/>
      <c r="HZ30" s="1882"/>
      <c r="IB30" s="1887"/>
      <c r="IC30" s="1888"/>
      <c r="ID30" s="1882"/>
      <c r="IE30" s="1882"/>
      <c r="IF30" s="1882"/>
      <c r="IH30" s="1887"/>
      <c r="II30" s="1888"/>
      <c r="IJ30" s="1882"/>
      <c r="IK30" s="1882"/>
      <c r="IL30" s="1882"/>
      <c r="IN30" s="1887"/>
      <c r="IO30" s="1888"/>
      <c r="IP30" s="1882"/>
      <c r="IQ30" s="1882"/>
      <c r="IR30" s="1882"/>
      <c r="IT30" s="1887"/>
      <c r="IU30" s="1888"/>
      <c r="IV30" s="1882"/>
      <c r="IW30" s="1882"/>
      <c r="IX30" s="1882"/>
      <c r="IZ30" s="1887"/>
      <c r="JA30" s="1888"/>
      <c r="JB30" s="1882"/>
      <c r="JC30" s="1882"/>
      <c r="JD30" s="1882"/>
      <c r="JF30" s="1887"/>
      <c r="JG30" s="1888"/>
      <c r="JH30" s="1882"/>
      <c r="JI30" s="1882"/>
      <c r="JJ30" s="1882"/>
      <c r="JL30" s="1887"/>
      <c r="JM30" s="1888"/>
      <c r="JN30" s="1882"/>
      <c r="JO30" s="1882"/>
      <c r="JP30" s="1882"/>
      <c r="JR30" s="1887"/>
      <c r="JS30" s="1888"/>
      <c r="JT30" s="1882"/>
      <c r="JU30" s="1882"/>
      <c r="JV30" s="1882"/>
      <c r="JX30" s="1887"/>
      <c r="JY30" s="1888"/>
      <c r="JZ30" s="1882"/>
      <c r="KA30" s="1882"/>
      <c r="KB30" s="1882"/>
      <c r="KD30" s="1887"/>
      <c r="KE30" s="1888"/>
      <c r="KF30" s="1882"/>
      <c r="KG30" s="1882"/>
      <c r="KH30" s="1882"/>
      <c r="KJ30" s="1887"/>
      <c r="KK30" s="1888"/>
      <c r="KL30" s="1882"/>
      <c r="KM30" s="1882"/>
      <c r="KN30" s="1882"/>
      <c r="KP30" s="1887"/>
      <c r="KQ30" s="1888"/>
      <c r="KR30" s="1882"/>
      <c r="KS30" s="1882"/>
      <c r="KT30" s="1882"/>
      <c r="KV30" s="1887"/>
      <c r="KW30" s="1888"/>
      <c r="KX30" s="1882"/>
      <c r="KY30" s="1882"/>
      <c r="KZ30" s="1882"/>
      <c r="LB30" s="1887"/>
      <c r="LC30" s="1888"/>
      <c r="LD30" s="1882"/>
      <c r="LE30" s="1882"/>
      <c r="LF30" s="1882"/>
      <c r="LH30" s="1887"/>
      <c r="LI30" s="1888"/>
      <c r="LJ30" s="1882"/>
      <c r="LK30" s="1882"/>
      <c r="LL30" s="1882"/>
      <c r="LN30" s="1887"/>
      <c r="LO30" s="1888"/>
      <c r="LP30" s="1882"/>
      <c r="LQ30" s="1882"/>
      <c r="LR30" s="1882"/>
      <c r="LT30" s="1887"/>
      <c r="LU30" s="1888"/>
      <c r="LV30" s="1882"/>
      <c r="LW30" s="1882"/>
      <c r="LX30" s="1882"/>
      <c r="LZ30" s="1887"/>
      <c r="MA30" s="1888"/>
      <c r="MB30" s="1882"/>
      <c r="MC30" s="1882"/>
      <c r="MD30" s="1882"/>
      <c r="MF30" s="1887"/>
      <c r="MG30" s="1888"/>
      <c r="MH30" s="1882"/>
      <c r="MI30" s="1882"/>
      <c r="MJ30" s="1882"/>
      <c r="ML30" s="1887"/>
      <c r="MM30" s="1888"/>
      <c r="MN30" s="1882"/>
      <c r="MO30" s="1882"/>
      <c r="MP30" s="1882"/>
      <c r="MR30" s="1887"/>
      <c r="MS30" s="1888"/>
      <c r="MT30" s="1882"/>
      <c r="MU30" s="1882"/>
      <c r="MV30" s="1882"/>
      <c r="MX30" s="1887"/>
      <c r="MY30" s="1888"/>
      <c r="MZ30" s="1882"/>
      <c r="NA30" s="1882"/>
      <c r="NB30" s="1882"/>
      <c r="ND30" s="1887"/>
      <c r="NE30" s="1888"/>
      <c r="NF30" s="1882"/>
      <c r="NG30" s="1882"/>
      <c r="NH30" s="1882"/>
      <c r="NJ30" s="1887"/>
      <c r="NK30" s="1888"/>
      <c r="NL30" s="1882"/>
      <c r="NM30" s="1882"/>
      <c r="NN30" s="1882"/>
      <c r="NP30" s="1887"/>
      <c r="NQ30" s="1888"/>
      <c r="NR30" s="1882"/>
      <c r="NS30" s="1882"/>
      <c r="NT30" s="1882"/>
      <c r="NV30" s="1887"/>
      <c r="NW30" s="1888"/>
      <c r="NX30" s="1882"/>
      <c r="NY30" s="1882"/>
      <c r="NZ30" s="1882"/>
      <c r="OB30" s="1887"/>
      <c r="OC30" s="1888"/>
      <c r="OD30" s="1882"/>
      <c r="OE30" s="1882"/>
      <c r="OF30" s="1882"/>
      <c r="OH30" s="1887"/>
      <c r="OI30" s="1888"/>
      <c r="OJ30" s="1882"/>
      <c r="OK30" s="1882"/>
      <c r="OL30" s="1882"/>
      <c r="ON30" s="1887"/>
      <c r="OO30" s="1888"/>
      <c r="OP30" s="1882"/>
      <c r="OQ30" s="1882"/>
      <c r="OR30" s="1882"/>
      <c r="OT30" s="1887"/>
      <c r="OU30" s="1888"/>
      <c r="OV30" s="1882"/>
      <c r="OW30" s="1882"/>
      <c r="OX30" s="1882"/>
      <c r="OZ30" s="1887"/>
      <c r="PA30" s="1888"/>
      <c r="PB30" s="1882"/>
      <c r="PC30" s="1882"/>
      <c r="PD30" s="1882"/>
      <c r="PF30" s="1887"/>
      <c r="PG30" s="1888"/>
      <c r="PH30" s="1882"/>
      <c r="PI30" s="1882"/>
      <c r="PJ30" s="1882"/>
      <c r="PL30" s="1887"/>
      <c r="PM30" s="1888"/>
      <c r="PN30" s="1882"/>
      <c r="PO30" s="1882"/>
      <c r="PP30" s="1882"/>
      <c r="PR30" s="1887"/>
      <c r="PS30" s="1888"/>
      <c r="PT30" s="1882"/>
      <c r="PU30" s="1882"/>
      <c r="PV30" s="1882"/>
      <c r="PX30" s="1887"/>
      <c r="PY30" s="1888"/>
      <c r="PZ30" s="1882"/>
      <c r="QA30" s="1882"/>
      <c r="QB30" s="1882"/>
      <c r="QD30" s="1887"/>
      <c r="QE30" s="1888"/>
      <c r="QF30" s="1882"/>
      <c r="QG30" s="1882"/>
      <c r="QH30" s="1882"/>
      <c r="QJ30" s="1887"/>
      <c r="QK30" s="1888"/>
      <c r="QL30" s="1882"/>
      <c r="QM30" s="1882"/>
      <c r="QN30" s="1882"/>
      <c r="QP30" s="1887"/>
      <c r="QQ30" s="1888"/>
      <c r="QR30" s="1882"/>
      <c r="QS30" s="1882"/>
      <c r="QT30" s="1882"/>
      <c r="QV30" s="1887"/>
      <c r="QW30" s="1888"/>
      <c r="QX30" s="1882"/>
      <c r="QY30" s="1882"/>
      <c r="QZ30" s="1882"/>
      <c r="RB30" s="1887"/>
      <c r="RC30" s="1888"/>
      <c r="RD30" s="1882"/>
      <c r="RE30" s="1882"/>
      <c r="RF30" s="1882"/>
      <c r="RH30" s="1887"/>
      <c r="RI30" s="1888"/>
      <c r="RJ30" s="1882"/>
      <c r="RK30" s="1882"/>
      <c r="RL30" s="1882"/>
      <c r="RN30" s="1887"/>
      <c r="RO30" s="1888"/>
      <c r="RP30" s="1882"/>
      <c r="RQ30" s="1882"/>
      <c r="RR30" s="1882"/>
      <c r="RT30" s="1887"/>
      <c r="RU30" s="1888"/>
      <c r="RV30" s="1882"/>
      <c r="RW30" s="1882"/>
      <c r="RX30" s="1882"/>
      <c r="RZ30" s="1887"/>
      <c r="SA30" s="1888"/>
      <c r="SB30" s="1882"/>
      <c r="SC30" s="1882"/>
      <c r="SD30" s="1882"/>
      <c r="SF30" s="1887"/>
      <c r="SG30" s="1888"/>
      <c r="SH30" s="1882"/>
      <c r="SI30" s="1882"/>
      <c r="SJ30" s="1882"/>
      <c r="SL30" s="1887"/>
      <c r="SM30" s="1888"/>
      <c r="SN30" s="1882"/>
      <c r="SO30" s="1882"/>
      <c r="SP30" s="1882"/>
      <c r="SR30" s="1887"/>
      <c r="SS30" s="1888"/>
      <c r="ST30" s="1882"/>
      <c r="SU30" s="1882"/>
      <c r="SV30" s="1882"/>
      <c r="SX30" s="1887"/>
      <c r="SY30" s="1888"/>
      <c r="SZ30" s="1882"/>
      <c r="TA30" s="1882"/>
      <c r="TB30" s="1882"/>
      <c r="TD30" s="1887"/>
      <c r="TE30" s="1888"/>
      <c r="TF30" s="1882"/>
      <c r="TG30" s="1882"/>
      <c r="TH30" s="1882"/>
      <c r="TJ30" s="1887"/>
      <c r="TK30" s="1888"/>
      <c r="TL30" s="1882"/>
      <c r="TM30" s="1882"/>
      <c r="TN30" s="1882"/>
      <c r="TP30" s="1887"/>
      <c r="TQ30" s="1888"/>
      <c r="TR30" s="1882"/>
      <c r="TS30" s="1882"/>
      <c r="TT30" s="1882"/>
      <c r="TV30" s="1887"/>
      <c r="TW30" s="1888"/>
      <c r="TX30" s="1882"/>
      <c r="TY30" s="1882"/>
      <c r="TZ30" s="1882"/>
      <c r="UB30" s="1887"/>
      <c r="UC30" s="1888"/>
      <c r="UD30" s="1882"/>
      <c r="UE30" s="1882"/>
      <c r="UF30" s="1882"/>
      <c r="UH30" s="1887"/>
      <c r="UI30" s="1888"/>
      <c r="UJ30" s="1882"/>
      <c r="UK30" s="1882"/>
      <c r="UL30" s="1882"/>
      <c r="UN30" s="1887"/>
      <c r="UO30" s="1888"/>
      <c r="UP30" s="1882"/>
      <c r="UQ30" s="1882"/>
      <c r="UR30" s="1882"/>
      <c r="UT30" s="1887"/>
      <c r="UU30" s="1888"/>
      <c r="UV30" s="1882"/>
      <c r="UW30" s="1882"/>
      <c r="UX30" s="1882"/>
      <c r="UZ30" s="1887"/>
      <c r="VA30" s="1888"/>
      <c r="VB30" s="1882"/>
      <c r="VC30" s="1882"/>
      <c r="VD30" s="1882"/>
      <c r="VF30" s="1887"/>
      <c r="VG30" s="1888"/>
      <c r="VH30" s="1882"/>
      <c r="VI30" s="1882"/>
      <c r="VJ30" s="1882"/>
      <c r="VL30" s="1887"/>
      <c r="VM30" s="1888"/>
      <c r="VN30" s="1882"/>
      <c r="VO30" s="1882"/>
      <c r="VP30" s="1882"/>
      <c r="VR30" s="1887"/>
      <c r="VS30" s="1888"/>
      <c r="VT30" s="1882"/>
      <c r="VU30" s="1882"/>
      <c r="VV30" s="1882"/>
      <c r="VX30" s="1887"/>
      <c r="VY30" s="1888"/>
      <c r="VZ30" s="1882"/>
      <c r="WA30" s="1882"/>
      <c r="WB30" s="1882"/>
      <c r="WD30" s="1887"/>
      <c r="WE30" s="1888"/>
      <c r="WF30" s="1882"/>
      <c r="WG30" s="1882"/>
      <c r="WH30" s="1882"/>
      <c r="WJ30" s="1887"/>
      <c r="WK30" s="1888"/>
      <c r="WL30" s="1882"/>
      <c r="WM30" s="1882"/>
      <c r="WN30" s="1882"/>
      <c r="WP30" s="1887"/>
      <c r="WQ30" s="1888"/>
      <c r="WR30" s="1882"/>
      <c r="WS30" s="1882"/>
      <c r="WT30" s="1882"/>
      <c r="WV30" s="1887"/>
      <c r="WW30" s="1888"/>
      <c r="WX30" s="1882"/>
      <c r="WY30" s="1882"/>
      <c r="WZ30" s="1882"/>
      <c r="XB30" s="1887"/>
      <c r="XC30" s="1888"/>
      <c r="XD30" s="1882"/>
      <c r="XE30" s="1882"/>
      <c r="XF30" s="1882"/>
      <c r="XH30" s="1887"/>
      <c r="XI30" s="1888"/>
      <c r="XJ30" s="1882"/>
      <c r="XK30" s="1882"/>
      <c r="XL30" s="1882"/>
      <c r="XN30" s="1887"/>
      <c r="XO30" s="1888"/>
      <c r="XP30" s="1882"/>
      <c r="XQ30" s="1882"/>
      <c r="XR30" s="1882"/>
      <c r="XT30" s="1887"/>
      <c r="XU30" s="1888"/>
      <c r="XV30" s="1882"/>
      <c r="XW30" s="1882"/>
      <c r="XX30" s="1882"/>
      <c r="XZ30" s="1887"/>
      <c r="YA30" s="1888"/>
      <c r="YB30" s="1882"/>
      <c r="YC30" s="1882"/>
      <c r="YD30" s="1882"/>
      <c r="YF30" s="1887"/>
      <c r="YG30" s="1888"/>
      <c r="YH30" s="1882"/>
      <c r="YI30" s="1882"/>
      <c r="YJ30" s="1882"/>
      <c r="YL30" s="1887"/>
      <c r="YM30" s="1888"/>
      <c r="YN30" s="1882"/>
      <c r="YO30" s="1882"/>
      <c r="YP30" s="1882"/>
      <c r="YR30" s="1887"/>
      <c r="YS30" s="1888"/>
      <c r="YT30" s="1882"/>
      <c r="YU30" s="1882"/>
      <c r="YV30" s="1882"/>
      <c r="YX30" s="1887"/>
      <c r="YY30" s="1888"/>
      <c r="YZ30" s="1882"/>
      <c r="ZA30" s="1882"/>
      <c r="ZB30" s="1882"/>
      <c r="ZD30" s="1887"/>
      <c r="ZE30" s="1888"/>
      <c r="ZF30" s="1882"/>
      <c r="ZG30" s="1882"/>
      <c r="ZH30" s="1882"/>
      <c r="ZJ30" s="1887"/>
      <c r="ZK30" s="1888"/>
      <c r="ZL30" s="1882"/>
      <c r="ZM30" s="1882"/>
      <c r="ZN30" s="1882"/>
      <c r="ZP30" s="1887"/>
      <c r="ZQ30" s="1888"/>
      <c r="ZR30" s="1882"/>
      <c r="ZS30" s="1882"/>
      <c r="ZT30" s="1882"/>
      <c r="ZV30" s="1887"/>
      <c r="ZW30" s="1888"/>
      <c r="ZX30" s="1882"/>
      <c r="ZY30" s="1882"/>
      <c r="ZZ30" s="1882"/>
      <c r="AAB30" s="1887"/>
      <c r="AAC30" s="1888"/>
      <c r="AAD30" s="1882"/>
      <c r="AAE30" s="1882"/>
      <c r="AAF30" s="1882"/>
      <c r="AAH30" s="1887"/>
      <c r="AAI30" s="1888"/>
      <c r="AAJ30" s="1882"/>
      <c r="AAK30" s="1882"/>
      <c r="AAL30" s="1882"/>
      <c r="AAN30" s="1887"/>
      <c r="AAO30" s="1888"/>
      <c r="AAP30" s="1882"/>
      <c r="AAQ30" s="1882"/>
      <c r="AAR30" s="1882"/>
      <c r="AAT30" s="1887"/>
      <c r="AAU30" s="1888"/>
      <c r="AAV30" s="1882"/>
      <c r="AAW30" s="1882"/>
      <c r="AAX30" s="1882"/>
      <c r="AAZ30" s="1887"/>
      <c r="ABA30" s="1888"/>
      <c r="ABB30" s="1882"/>
      <c r="ABC30" s="1882"/>
      <c r="ABD30" s="1882"/>
      <c r="ABF30" s="1887"/>
      <c r="ABG30" s="1888"/>
      <c r="ABH30" s="1882"/>
      <c r="ABI30" s="1882"/>
      <c r="ABJ30" s="1882"/>
      <c r="ABL30" s="1887"/>
      <c r="ABM30" s="1888"/>
      <c r="ABN30" s="1882"/>
      <c r="ABO30" s="1882"/>
      <c r="ABP30" s="1882"/>
      <c r="ABR30" s="1887"/>
      <c r="ABS30" s="1888"/>
      <c r="ABT30" s="1882"/>
      <c r="ABU30" s="1882"/>
      <c r="ABV30" s="1882"/>
      <c r="ABX30" s="1887"/>
      <c r="ABY30" s="1888"/>
      <c r="ABZ30" s="1882"/>
      <c r="ACA30" s="1882"/>
      <c r="ACB30" s="1882"/>
      <c r="ACD30" s="1887"/>
      <c r="ACE30" s="1888"/>
      <c r="ACF30" s="1882"/>
      <c r="ACG30" s="1882"/>
      <c r="ACH30" s="1882"/>
      <c r="ACJ30" s="1887"/>
      <c r="ACK30" s="1888"/>
      <c r="ACL30" s="1882"/>
      <c r="ACM30" s="1882"/>
      <c r="ACN30" s="1882"/>
      <c r="ACP30" s="1887"/>
      <c r="ACQ30" s="1888"/>
      <c r="ACR30" s="1882"/>
      <c r="ACS30" s="1882"/>
      <c r="ACT30" s="1882"/>
      <c r="ACV30" s="1887"/>
      <c r="ACW30" s="1888"/>
      <c r="ACX30" s="1882"/>
      <c r="ACY30" s="1882"/>
      <c r="ACZ30" s="1882"/>
      <c r="ADB30" s="1887"/>
      <c r="ADC30" s="1888"/>
      <c r="ADD30" s="1882"/>
      <c r="ADE30" s="1882"/>
      <c r="ADF30" s="1882"/>
      <c r="ADH30" s="1887"/>
      <c r="ADI30" s="1888"/>
      <c r="ADJ30" s="1882"/>
      <c r="ADK30" s="1882"/>
      <c r="ADL30" s="1882"/>
      <c r="ADN30" s="1887"/>
      <c r="ADO30" s="1888"/>
      <c r="ADP30" s="1882"/>
      <c r="ADQ30" s="1882"/>
      <c r="ADR30" s="1882"/>
      <c r="ADT30" s="1887"/>
      <c r="ADU30" s="1888"/>
      <c r="ADV30" s="1882"/>
      <c r="ADW30" s="1882"/>
      <c r="ADX30" s="1882"/>
      <c r="ADZ30" s="1887"/>
      <c r="AEA30" s="1888"/>
      <c r="AEB30" s="1882"/>
      <c r="AEC30" s="1882"/>
      <c r="AED30" s="1882"/>
      <c r="AEF30" s="1887"/>
      <c r="AEG30" s="1888"/>
      <c r="AEH30" s="1882"/>
      <c r="AEI30" s="1882"/>
      <c r="AEJ30" s="1882"/>
      <c r="AEL30" s="1887"/>
      <c r="AEM30" s="1888"/>
      <c r="AEN30" s="1882"/>
      <c r="AEO30" s="1882"/>
      <c r="AEP30" s="1882"/>
      <c r="AER30" s="1887"/>
      <c r="AES30" s="1888"/>
      <c r="AET30" s="1882"/>
      <c r="AEU30" s="1882"/>
      <c r="AEV30" s="1882"/>
      <c r="AEX30" s="1887"/>
      <c r="AEY30" s="1888"/>
      <c r="AEZ30" s="1882"/>
      <c r="AFA30" s="1882"/>
      <c r="AFB30" s="1882"/>
      <c r="AFD30" s="1887"/>
      <c r="AFE30" s="1888"/>
      <c r="AFF30" s="1882"/>
      <c r="AFG30" s="1882"/>
      <c r="AFH30" s="1882"/>
      <c r="AFJ30" s="1887"/>
      <c r="AFK30" s="1888"/>
      <c r="AFL30" s="1882"/>
      <c r="AFM30" s="1882"/>
      <c r="AFN30" s="1882"/>
      <c r="AFP30" s="1887"/>
      <c r="AFQ30" s="1888"/>
      <c r="AFR30" s="1882"/>
      <c r="AFS30" s="1882"/>
      <c r="AFT30" s="1882"/>
      <c r="AFV30" s="1887"/>
      <c r="AFW30" s="1888"/>
      <c r="AFX30" s="1882"/>
      <c r="AFY30" s="1882"/>
      <c r="AFZ30" s="1882"/>
      <c r="AGB30" s="1887"/>
      <c r="AGC30" s="1888"/>
      <c r="AGD30" s="1882"/>
      <c r="AGE30" s="1882"/>
      <c r="AGF30" s="1882"/>
      <c r="AGH30" s="1887"/>
      <c r="AGI30" s="1888"/>
      <c r="AGJ30" s="1882"/>
      <c r="AGK30" s="1882"/>
      <c r="AGL30" s="1882"/>
      <c r="AGN30" s="1887"/>
      <c r="AGO30" s="1888"/>
      <c r="AGP30" s="1882"/>
      <c r="AGQ30" s="1882"/>
      <c r="AGR30" s="1882"/>
      <c r="AGT30" s="1887"/>
      <c r="AGU30" s="1888"/>
      <c r="AGV30" s="1882"/>
      <c r="AGW30" s="1882"/>
      <c r="AGX30" s="1882"/>
      <c r="AGZ30" s="1887"/>
      <c r="AHA30" s="1888"/>
      <c r="AHB30" s="1882"/>
      <c r="AHC30" s="1882"/>
      <c r="AHD30" s="1882"/>
      <c r="AHF30" s="1887"/>
      <c r="AHG30" s="1888"/>
      <c r="AHH30" s="1882"/>
      <c r="AHI30" s="1882"/>
      <c r="AHJ30" s="1882"/>
      <c r="AHL30" s="1887"/>
      <c r="AHM30" s="1888"/>
      <c r="AHN30" s="1882"/>
      <c r="AHO30" s="1882"/>
      <c r="AHP30" s="1882"/>
      <c r="AHR30" s="1887"/>
      <c r="AHS30" s="1888"/>
      <c r="AHT30" s="1882"/>
      <c r="AHU30" s="1882"/>
      <c r="AHV30" s="1882"/>
      <c r="AHX30" s="1887"/>
      <c r="AHY30" s="1888"/>
      <c r="AHZ30" s="1882"/>
      <c r="AIA30" s="1882"/>
      <c r="AIB30" s="1882"/>
      <c r="AID30" s="1887"/>
      <c r="AIE30" s="1888"/>
      <c r="AIF30" s="1882"/>
      <c r="AIG30" s="1882"/>
      <c r="AIH30" s="1882"/>
      <c r="AIJ30" s="1887"/>
      <c r="AIK30" s="1888"/>
      <c r="AIL30" s="1882"/>
      <c r="AIM30" s="1882"/>
      <c r="AIN30" s="1882"/>
      <c r="AIP30" s="1887"/>
      <c r="AIQ30" s="1888"/>
      <c r="AIR30" s="1882"/>
      <c r="AIS30" s="1882"/>
      <c r="AIT30" s="1882"/>
      <c r="AIV30" s="1887"/>
      <c r="AIW30" s="1888"/>
      <c r="AIX30" s="1882"/>
      <c r="AIY30" s="1882"/>
      <c r="AIZ30" s="1882"/>
      <c r="AJB30" s="1887"/>
      <c r="AJC30" s="1888"/>
      <c r="AJD30" s="1882"/>
      <c r="AJE30" s="1882"/>
      <c r="AJF30" s="1882"/>
      <c r="AJH30" s="1887"/>
      <c r="AJI30" s="1888"/>
      <c r="AJJ30" s="1882"/>
      <c r="AJK30" s="1882"/>
      <c r="AJL30" s="1882"/>
      <c r="AJN30" s="1887"/>
      <c r="AJO30" s="1888"/>
      <c r="AJP30" s="1882"/>
      <c r="AJQ30" s="1882"/>
      <c r="AJR30" s="1882"/>
      <c r="AJT30" s="1887"/>
      <c r="AJU30" s="1888"/>
      <c r="AJV30" s="1882"/>
      <c r="AJW30" s="1882"/>
      <c r="AJX30" s="1882"/>
      <c r="AJZ30" s="1887"/>
      <c r="AKA30" s="1888"/>
      <c r="AKB30" s="1882"/>
      <c r="AKC30" s="1882"/>
      <c r="AKD30" s="1882"/>
      <c r="AKF30" s="1887"/>
      <c r="AKG30" s="1888"/>
      <c r="AKH30" s="1882"/>
      <c r="AKI30" s="1882"/>
      <c r="AKJ30" s="1882"/>
      <c r="AKL30" s="1887"/>
      <c r="AKM30" s="1888"/>
      <c r="AKN30" s="1882"/>
      <c r="AKO30" s="1882"/>
      <c r="AKP30" s="1882"/>
      <c r="AKR30" s="1887"/>
      <c r="AKS30" s="1888"/>
      <c r="AKT30" s="1882"/>
      <c r="AKU30" s="1882"/>
      <c r="AKV30" s="1882"/>
      <c r="AKX30" s="1887"/>
      <c r="AKY30" s="1888"/>
      <c r="AKZ30" s="1882"/>
      <c r="ALA30" s="1882"/>
      <c r="ALB30" s="1882"/>
      <c r="ALD30" s="1887"/>
      <c r="ALE30" s="1888"/>
      <c r="ALF30" s="1882"/>
      <c r="ALG30" s="1882"/>
      <c r="ALH30" s="1882"/>
      <c r="ALJ30" s="1887"/>
      <c r="ALK30" s="1888"/>
      <c r="ALL30" s="1882"/>
      <c r="ALM30" s="1882"/>
      <c r="ALN30" s="1882"/>
      <c r="ALP30" s="1887"/>
      <c r="ALQ30" s="1888"/>
      <c r="ALR30" s="1882"/>
      <c r="ALS30" s="1882"/>
      <c r="ALT30" s="1882"/>
      <c r="ALV30" s="1887"/>
      <c r="ALW30" s="1888"/>
      <c r="ALX30" s="1882"/>
      <c r="ALY30" s="1882"/>
      <c r="ALZ30" s="1882"/>
      <c r="AMB30" s="1887"/>
      <c r="AMC30" s="1888"/>
      <c r="AMD30" s="1882"/>
      <c r="AME30" s="1882"/>
      <c r="AMF30" s="1882"/>
      <c r="AMH30" s="1887"/>
      <c r="AMI30" s="1888"/>
      <c r="AMJ30" s="1882"/>
      <c r="AMK30" s="1882"/>
      <c r="AML30" s="1882"/>
      <c r="AMN30" s="1887"/>
      <c r="AMO30" s="1888"/>
      <c r="AMP30" s="1882"/>
      <c r="AMQ30" s="1882"/>
      <c r="AMR30" s="1882"/>
      <c r="AMT30" s="1887"/>
      <c r="AMU30" s="1888"/>
      <c r="AMV30" s="1882"/>
      <c r="AMW30" s="1882"/>
      <c r="AMX30" s="1882"/>
      <c r="AMZ30" s="1887"/>
      <c r="ANA30" s="1888"/>
      <c r="ANB30" s="1882"/>
      <c r="ANC30" s="1882"/>
      <c r="AND30" s="1882"/>
      <c r="ANF30" s="1887"/>
      <c r="ANG30" s="1888"/>
      <c r="ANH30" s="1882"/>
      <c r="ANI30" s="1882"/>
      <c r="ANJ30" s="1882"/>
      <c r="ANL30" s="1887"/>
      <c r="ANM30" s="1888"/>
      <c r="ANN30" s="1882"/>
      <c r="ANO30" s="1882"/>
      <c r="ANP30" s="1882"/>
      <c r="ANR30" s="1887"/>
      <c r="ANS30" s="1888"/>
      <c r="ANT30" s="1882"/>
      <c r="ANU30" s="1882"/>
      <c r="ANV30" s="1882"/>
      <c r="ANX30" s="1887"/>
      <c r="ANY30" s="1888"/>
      <c r="ANZ30" s="1882"/>
      <c r="AOA30" s="1882"/>
      <c r="AOB30" s="1882"/>
      <c r="AOD30" s="1887"/>
      <c r="AOE30" s="1888"/>
      <c r="AOF30" s="1882"/>
      <c r="AOG30" s="1882"/>
      <c r="AOH30" s="1882"/>
      <c r="AOJ30" s="1887"/>
      <c r="AOK30" s="1888"/>
      <c r="AOL30" s="1882"/>
      <c r="AOM30" s="1882"/>
      <c r="AON30" s="1882"/>
      <c r="AOP30" s="1887"/>
      <c r="AOQ30" s="1888"/>
      <c r="AOR30" s="1882"/>
      <c r="AOS30" s="1882"/>
      <c r="AOT30" s="1882"/>
      <c r="AOV30" s="1887"/>
      <c r="AOW30" s="1888"/>
      <c r="AOX30" s="1882"/>
      <c r="AOY30" s="1882"/>
      <c r="AOZ30" s="1882"/>
      <c r="APB30" s="1887"/>
      <c r="APC30" s="1888"/>
      <c r="APD30" s="1882"/>
      <c r="APE30" s="1882"/>
      <c r="APF30" s="1882"/>
      <c r="APH30" s="1887"/>
      <c r="API30" s="1888"/>
      <c r="APJ30" s="1882"/>
      <c r="APK30" s="1882"/>
      <c r="APL30" s="1882"/>
      <c r="APN30" s="1887"/>
      <c r="APO30" s="1888"/>
      <c r="APP30" s="1882"/>
      <c r="APQ30" s="1882"/>
      <c r="APR30" s="1882"/>
      <c r="APT30" s="1887"/>
      <c r="APU30" s="1888"/>
      <c r="APV30" s="1882"/>
      <c r="APW30" s="1882"/>
      <c r="APX30" s="1882"/>
      <c r="APZ30" s="1887"/>
      <c r="AQA30" s="1888"/>
      <c r="AQB30" s="1882"/>
      <c r="AQC30" s="1882"/>
      <c r="AQD30" s="1882"/>
      <c r="AQF30" s="1887"/>
      <c r="AQG30" s="1888"/>
      <c r="AQH30" s="1882"/>
      <c r="AQI30" s="1882"/>
      <c r="AQJ30" s="1882"/>
      <c r="AQL30" s="1887"/>
      <c r="AQM30" s="1888"/>
      <c r="AQN30" s="1882"/>
      <c r="AQO30" s="1882"/>
      <c r="AQP30" s="1882"/>
      <c r="AQR30" s="1887"/>
      <c r="AQS30" s="1888"/>
      <c r="AQT30" s="1882"/>
      <c r="AQU30" s="1882"/>
      <c r="AQV30" s="1882"/>
      <c r="AQX30" s="1887"/>
      <c r="AQY30" s="1888"/>
      <c r="AQZ30" s="1882"/>
      <c r="ARA30" s="1882"/>
      <c r="ARB30" s="1882"/>
      <c r="ARD30" s="1887"/>
      <c r="ARE30" s="1888"/>
      <c r="ARF30" s="1882"/>
      <c r="ARG30" s="1882"/>
      <c r="ARH30" s="1882"/>
      <c r="ARJ30" s="1887"/>
      <c r="ARK30" s="1888"/>
      <c r="ARL30" s="1882"/>
      <c r="ARM30" s="1882"/>
      <c r="ARN30" s="1882"/>
      <c r="ARP30" s="1887"/>
      <c r="ARQ30" s="1888"/>
      <c r="ARR30" s="1882"/>
      <c r="ARS30" s="1882"/>
      <c r="ART30" s="1882"/>
      <c r="ARV30" s="1887"/>
      <c r="ARW30" s="1888"/>
      <c r="ARX30" s="1882"/>
      <c r="ARY30" s="1882"/>
      <c r="ARZ30" s="1882"/>
      <c r="ASB30" s="1887"/>
      <c r="ASC30" s="1888"/>
      <c r="ASD30" s="1882"/>
      <c r="ASE30" s="1882"/>
      <c r="ASF30" s="1882"/>
      <c r="ASH30" s="1887"/>
      <c r="ASI30" s="1888"/>
      <c r="ASJ30" s="1882"/>
      <c r="ASK30" s="1882"/>
      <c r="ASL30" s="1882"/>
      <c r="ASN30" s="1887"/>
      <c r="ASO30" s="1888"/>
      <c r="ASP30" s="1882"/>
      <c r="ASQ30" s="1882"/>
      <c r="ASR30" s="1882"/>
      <c r="AST30" s="1887"/>
      <c r="ASU30" s="1888"/>
      <c r="ASV30" s="1882"/>
      <c r="ASW30" s="1882"/>
      <c r="ASX30" s="1882"/>
      <c r="ASZ30" s="1887"/>
      <c r="ATA30" s="1888"/>
      <c r="ATB30" s="1882"/>
      <c r="ATC30" s="1882"/>
      <c r="ATD30" s="1882"/>
      <c r="ATF30" s="1887"/>
      <c r="ATG30" s="1888"/>
      <c r="ATH30" s="1882"/>
      <c r="ATI30" s="1882"/>
      <c r="ATJ30" s="1882"/>
      <c r="ATL30" s="1887"/>
      <c r="ATM30" s="1888"/>
      <c r="ATN30" s="1882"/>
      <c r="ATO30" s="1882"/>
      <c r="ATP30" s="1882"/>
      <c r="ATR30" s="1887"/>
      <c r="ATS30" s="1888"/>
      <c r="ATT30" s="1882"/>
      <c r="ATU30" s="1882"/>
      <c r="ATV30" s="1882"/>
      <c r="ATX30" s="1887"/>
      <c r="ATY30" s="1888"/>
      <c r="ATZ30" s="1882"/>
      <c r="AUA30" s="1882"/>
      <c r="AUB30" s="1882"/>
      <c r="AUD30" s="1887"/>
      <c r="AUE30" s="1888"/>
      <c r="AUF30" s="1882"/>
      <c r="AUG30" s="1882"/>
      <c r="AUH30" s="1882"/>
      <c r="AUJ30" s="1887"/>
      <c r="AUK30" s="1888"/>
      <c r="AUL30" s="1882"/>
      <c r="AUM30" s="1882"/>
      <c r="AUN30" s="1882"/>
      <c r="AUP30" s="1887"/>
      <c r="AUQ30" s="1888"/>
      <c r="AUR30" s="1882"/>
      <c r="AUS30" s="1882"/>
      <c r="AUT30" s="1882"/>
      <c r="AUV30" s="1887"/>
      <c r="AUW30" s="1888"/>
      <c r="AUX30" s="1882"/>
      <c r="AUY30" s="1882"/>
      <c r="AUZ30" s="1882"/>
      <c r="AVB30" s="1887"/>
      <c r="AVC30" s="1888"/>
      <c r="AVD30" s="1882"/>
      <c r="AVE30" s="1882"/>
      <c r="AVF30" s="1882"/>
      <c r="AVH30" s="1887"/>
      <c r="AVI30" s="1888"/>
      <c r="AVJ30" s="1882"/>
      <c r="AVK30" s="1882"/>
      <c r="AVL30" s="1882"/>
      <c r="AVN30" s="1887"/>
      <c r="AVO30" s="1888"/>
      <c r="AVP30" s="1882"/>
      <c r="AVQ30" s="1882"/>
      <c r="AVR30" s="1882"/>
      <c r="AVT30" s="1887"/>
      <c r="AVU30" s="1888"/>
      <c r="AVV30" s="1882"/>
      <c r="AVW30" s="1882"/>
      <c r="AVX30" s="1882"/>
      <c r="AVZ30" s="1887"/>
      <c r="AWA30" s="1888"/>
      <c r="AWB30" s="1882"/>
      <c r="AWC30" s="1882"/>
      <c r="AWD30" s="1882"/>
      <c r="AWF30" s="1887"/>
      <c r="AWG30" s="1888"/>
      <c r="AWH30" s="1882"/>
      <c r="AWI30" s="1882"/>
      <c r="AWJ30" s="1882"/>
      <c r="AWL30" s="1887"/>
      <c r="AWM30" s="1888"/>
      <c r="AWN30" s="1882"/>
      <c r="AWO30" s="1882"/>
      <c r="AWP30" s="1882"/>
      <c r="AWR30" s="1887"/>
      <c r="AWS30" s="1888"/>
      <c r="AWT30" s="1882"/>
      <c r="AWU30" s="1882"/>
      <c r="AWV30" s="1882"/>
      <c r="AWX30" s="1887"/>
      <c r="AWY30" s="1888"/>
      <c r="AWZ30" s="1882"/>
      <c r="AXA30" s="1882"/>
      <c r="AXB30" s="1882"/>
      <c r="AXD30" s="1887"/>
      <c r="AXE30" s="1888"/>
      <c r="AXF30" s="1882"/>
      <c r="AXG30" s="1882"/>
      <c r="AXH30" s="1882"/>
      <c r="AXJ30" s="1887"/>
      <c r="AXK30" s="1888"/>
      <c r="AXL30" s="1882"/>
      <c r="AXM30" s="1882"/>
      <c r="AXN30" s="1882"/>
      <c r="AXP30" s="1887"/>
      <c r="AXQ30" s="1888"/>
      <c r="AXR30" s="1882"/>
      <c r="AXS30" s="1882"/>
      <c r="AXT30" s="1882"/>
      <c r="AXV30" s="1887"/>
      <c r="AXW30" s="1888"/>
      <c r="AXX30" s="1882"/>
      <c r="AXY30" s="1882"/>
      <c r="AXZ30" s="1882"/>
      <c r="AYB30" s="1887"/>
      <c r="AYC30" s="1888"/>
      <c r="AYD30" s="1882"/>
      <c r="AYE30" s="1882"/>
      <c r="AYF30" s="1882"/>
      <c r="AYH30" s="1887"/>
      <c r="AYI30" s="1888"/>
      <c r="AYJ30" s="1882"/>
      <c r="AYK30" s="1882"/>
      <c r="AYL30" s="1882"/>
      <c r="AYN30" s="1887"/>
      <c r="AYO30" s="1888"/>
      <c r="AYP30" s="1882"/>
      <c r="AYQ30" s="1882"/>
      <c r="AYR30" s="1882"/>
      <c r="AYT30" s="1887"/>
      <c r="AYU30" s="1888"/>
      <c r="AYV30" s="1882"/>
      <c r="AYW30" s="1882"/>
      <c r="AYX30" s="1882"/>
      <c r="AYZ30" s="1887"/>
      <c r="AZA30" s="1888"/>
      <c r="AZB30" s="1882"/>
      <c r="AZC30" s="1882"/>
      <c r="AZD30" s="1882"/>
      <c r="AZF30" s="1887"/>
      <c r="AZG30" s="1888"/>
      <c r="AZH30" s="1882"/>
      <c r="AZI30" s="1882"/>
      <c r="AZJ30" s="1882"/>
      <c r="AZL30" s="1887"/>
      <c r="AZM30" s="1888"/>
      <c r="AZN30" s="1882"/>
      <c r="AZO30" s="1882"/>
      <c r="AZP30" s="1882"/>
      <c r="AZR30" s="1887"/>
      <c r="AZS30" s="1888"/>
      <c r="AZT30" s="1882"/>
      <c r="AZU30" s="1882"/>
      <c r="AZV30" s="1882"/>
      <c r="AZX30" s="1887"/>
      <c r="AZY30" s="1888"/>
      <c r="AZZ30" s="1882"/>
      <c r="BAA30" s="1882"/>
      <c r="BAB30" s="1882"/>
      <c r="BAD30" s="1887"/>
      <c r="BAE30" s="1888"/>
      <c r="BAF30" s="1882"/>
      <c r="BAG30" s="1882"/>
      <c r="BAH30" s="1882"/>
      <c r="BAJ30" s="1887"/>
      <c r="BAK30" s="1888"/>
      <c r="BAL30" s="1882"/>
      <c r="BAM30" s="1882"/>
      <c r="BAN30" s="1882"/>
      <c r="BAP30" s="1887"/>
      <c r="BAQ30" s="1888"/>
      <c r="BAR30" s="1882"/>
      <c r="BAS30" s="1882"/>
      <c r="BAT30" s="1882"/>
      <c r="BAV30" s="1887"/>
      <c r="BAW30" s="1888"/>
      <c r="BAX30" s="1882"/>
      <c r="BAY30" s="1882"/>
      <c r="BAZ30" s="1882"/>
      <c r="BBB30" s="1887"/>
      <c r="BBC30" s="1888"/>
      <c r="BBD30" s="1882"/>
      <c r="BBE30" s="1882"/>
      <c r="BBF30" s="1882"/>
      <c r="BBH30" s="1887"/>
      <c r="BBI30" s="1888"/>
      <c r="BBJ30" s="1882"/>
      <c r="BBK30" s="1882"/>
      <c r="BBL30" s="1882"/>
      <c r="BBN30" s="1887"/>
      <c r="BBO30" s="1888"/>
      <c r="BBP30" s="1882"/>
      <c r="BBQ30" s="1882"/>
      <c r="BBR30" s="1882"/>
      <c r="BBT30" s="1887"/>
      <c r="BBU30" s="1888"/>
      <c r="BBV30" s="1882"/>
      <c r="BBW30" s="1882"/>
      <c r="BBX30" s="1882"/>
      <c r="BBZ30" s="1887"/>
      <c r="BCA30" s="1888"/>
      <c r="BCB30" s="1882"/>
      <c r="BCC30" s="1882"/>
      <c r="BCD30" s="1882"/>
      <c r="BCF30" s="1887"/>
      <c r="BCG30" s="1888"/>
      <c r="BCH30" s="1882"/>
      <c r="BCI30" s="1882"/>
      <c r="BCJ30" s="1882"/>
      <c r="BCL30" s="1887"/>
      <c r="BCM30" s="1888"/>
      <c r="BCN30" s="1882"/>
      <c r="BCO30" s="1882"/>
      <c r="BCP30" s="1882"/>
      <c r="BCR30" s="1887"/>
      <c r="BCS30" s="1888"/>
      <c r="BCT30" s="1882"/>
      <c r="BCU30" s="1882"/>
      <c r="BCV30" s="1882"/>
      <c r="BCX30" s="1887"/>
      <c r="BCY30" s="1888"/>
      <c r="BCZ30" s="1882"/>
      <c r="BDA30" s="1882"/>
      <c r="BDB30" s="1882"/>
      <c r="BDD30" s="1887"/>
      <c r="BDE30" s="1888"/>
      <c r="BDF30" s="1882"/>
      <c r="BDG30" s="1882"/>
      <c r="BDH30" s="1882"/>
      <c r="BDJ30" s="1887"/>
      <c r="BDK30" s="1888"/>
      <c r="BDL30" s="1882"/>
      <c r="BDM30" s="1882"/>
      <c r="BDN30" s="1882"/>
      <c r="BDP30" s="1887"/>
      <c r="BDQ30" s="1888"/>
      <c r="BDR30" s="1882"/>
      <c r="BDS30" s="1882"/>
      <c r="BDT30" s="1882"/>
      <c r="BDV30" s="1887"/>
      <c r="BDW30" s="1888"/>
      <c r="BDX30" s="1882"/>
      <c r="BDY30" s="1882"/>
      <c r="BDZ30" s="1882"/>
      <c r="BEB30" s="1887"/>
      <c r="BEC30" s="1888"/>
      <c r="BED30" s="1882"/>
      <c r="BEE30" s="1882"/>
      <c r="BEF30" s="1882"/>
      <c r="BEH30" s="1887"/>
      <c r="BEI30" s="1888"/>
      <c r="BEJ30" s="1882"/>
      <c r="BEK30" s="1882"/>
      <c r="BEL30" s="1882"/>
      <c r="BEN30" s="1887"/>
      <c r="BEO30" s="1888"/>
      <c r="BEP30" s="1882"/>
      <c r="BEQ30" s="1882"/>
      <c r="BER30" s="1882"/>
      <c r="BET30" s="1887"/>
      <c r="BEU30" s="1888"/>
      <c r="BEV30" s="1882"/>
      <c r="BEW30" s="1882"/>
      <c r="BEX30" s="1882"/>
      <c r="BEZ30" s="1887"/>
      <c r="BFA30" s="1888"/>
      <c r="BFB30" s="1882"/>
      <c r="BFC30" s="1882"/>
      <c r="BFD30" s="1882"/>
      <c r="BFF30" s="1887"/>
      <c r="BFG30" s="1888"/>
      <c r="BFH30" s="1882"/>
      <c r="BFI30" s="1882"/>
      <c r="BFJ30" s="1882"/>
      <c r="BFL30" s="1887"/>
      <c r="BFM30" s="1888"/>
      <c r="BFN30" s="1882"/>
      <c r="BFO30" s="1882"/>
      <c r="BFP30" s="1882"/>
      <c r="BFR30" s="1887"/>
      <c r="BFS30" s="1888"/>
      <c r="BFT30" s="1882"/>
      <c r="BFU30" s="1882"/>
      <c r="BFV30" s="1882"/>
      <c r="BFX30" s="1887"/>
      <c r="BFY30" s="1888"/>
      <c r="BFZ30" s="1882"/>
      <c r="BGA30" s="1882"/>
      <c r="BGB30" s="1882"/>
      <c r="BGD30" s="1887"/>
      <c r="BGE30" s="1888"/>
      <c r="BGF30" s="1882"/>
      <c r="BGG30" s="1882"/>
      <c r="BGH30" s="1882"/>
      <c r="BGJ30" s="1887"/>
      <c r="BGK30" s="1888"/>
      <c r="BGL30" s="1882"/>
      <c r="BGM30" s="1882"/>
      <c r="BGN30" s="1882"/>
      <c r="BGP30" s="1887"/>
      <c r="BGQ30" s="1888"/>
      <c r="BGR30" s="1882"/>
      <c r="BGS30" s="1882"/>
      <c r="BGT30" s="1882"/>
      <c r="BGV30" s="1887"/>
      <c r="BGW30" s="1888"/>
      <c r="BGX30" s="1882"/>
      <c r="BGY30" s="1882"/>
      <c r="BGZ30" s="1882"/>
      <c r="BHB30" s="1887"/>
      <c r="BHC30" s="1888"/>
      <c r="BHD30" s="1882"/>
      <c r="BHE30" s="1882"/>
      <c r="BHF30" s="1882"/>
      <c r="BHH30" s="1887"/>
      <c r="BHI30" s="1888"/>
      <c r="BHJ30" s="1882"/>
      <c r="BHK30" s="1882"/>
      <c r="BHL30" s="1882"/>
      <c r="BHN30" s="1887"/>
      <c r="BHO30" s="1888"/>
      <c r="BHP30" s="1882"/>
      <c r="BHQ30" s="1882"/>
      <c r="BHR30" s="1882"/>
      <c r="BHT30" s="1887"/>
      <c r="BHU30" s="1888"/>
      <c r="BHV30" s="1882"/>
      <c r="BHW30" s="1882"/>
      <c r="BHX30" s="1882"/>
      <c r="BHZ30" s="1887"/>
      <c r="BIA30" s="1888"/>
      <c r="BIB30" s="1882"/>
      <c r="BIC30" s="1882"/>
      <c r="BID30" s="1882"/>
      <c r="BIF30" s="1887"/>
      <c r="BIG30" s="1888"/>
      <c r="BIH30" s="1882"/>
      <c r="BII30" s="1882"/>
      <c r="BIJ30" s="1882"/>
      <c r="BIL30" s="1887"/>
      <c r="BIM30" s="1888"/>
      <c r="BIN30" s="1882"/>
      <c r="BIO30" s="1882"/>
      <c r="BIP30" s="1882"/>
      <c r="BIR30" s="1887"/>
      <c r="BIS30" s="1888"/>
      <c r="BIT30" s="1882"/>
      <c r="BIU30" s="1882"/>
      <c r="BIV30" s="1882"/>
      <c r="BIX30" s="1887"/>
      <c r="BIY30" s="1888"/>
      <c r="BIZ30" s="1882"/>
      <c r="BJA30" s="1882"/>
      <c r="BJB30" s="1882"/>
      <c r="BJD30" s="1887"/>
      <c r="BJE30" s="1888"/>
      <c r="BJF30" s="1882"/>
      <c r="BJG30" s="1882"/>
      <c r="BJH30" s="1882"/>
      <c r="BJJ30" s="1887"/>
      <c r="BJK30" s="1888"/>
      <c r="BJL30" s="1882"/>
      <c r="BJM30" s="1882"/>
      <c r="BJN30" s="1882"/>
      <c r="BJP30" s="1887"/>
      <c r="BJQ30" s="1888"/>
      <c r="BJR30" s="1882"/>
      <c r="BJS30" s="1882"/>
      <c r="BJT30" s="1882"/>
      <c r="BJV30" s="1887"/>
      <c r="BJW30" s="1888"/>
      <c r="BJX30" s="1882"/>
      <c r="BJY30" s="1882"/>
      <c r="BJZ30" s="1882"/>
      <c r="BKB30" s="1887"/>
      <c r="BKC30" s="1888"/>
      <c r="BKD30" s="1882"/>
      <c r="BKE30" s="1882"/>
      <c r="BKF30" s="1882"/>
      <c r="BKH30" s="1887"/>
      <c r="BKI30" s="1888"/>
      <c r="BKJ30" s="1882"/>
      <c r="BKK30" s="1882"/>
      <c r="BKL30" s="1882"/>
      <c r="BKN30" s="1887"/>
      <c r="BKO30" s="1888"/>
      <c r="BKP30" s="1882"/>
      <c r="BKQ30" s="1882"/>
      <c r="BKR30" s="1882"/>
      <c r="BKT30" s="1887"/>
      <c r="BKU30" s="1888"/>
      <c r="BKV30" s="1882"/>
      <c r="BKW30" s="1882"/>
      <c r="BKX30" s="1882"/>
      <c r="BKZ30" s="1887"/>
      <c r="BLA30" s="1888"/>
      <c r="BLB30" s="1882"/>
      <c r="BLC30" s="1882"/>
      <c r="BLD30" s="1882"/>
      <c r="BLF30" s="1887"/>
      <c r="BLG30" s="1888"/>
      <c r="BLH30" s="1882"/>
      <c r="BLI30" s="1882"/>
      <c r="BLJ30" s="1882"/>
      <c r="BLL30" s="1887"/>
      <c r="BLM30" s="1888"/>
      <c r="BLN30" s="1882"/>
      <c r="BLO30" s="1882"/>
      <c r="BLP30" s="1882"/>
      <c r="BLR30" s="1887"/>
      <c r="BLS30" s="1888"/>
      <c r="BLT30" s="1882"/>
      <c r="BLU30" s="1882"/>
      <c r="BLV30" s="1882"/>
      <c r="BLX30" s="1887"/>
      <c r="BLY30" s="1888"/>
      <c r="BLZ30" s="1882"/>
      <c r="BMA30" s="1882"/>
      <c r="BMB30" s="1882"/>
      <c r="BMD30" s="1887"/>
      <c r="BME30" s="1888"/>
      <c r="BMF30" s="1882"/>
      <c r="BMG30" s="1882"/>
      <c r="BMH30" s="1882"/>
      <c r="BMJ30" s="1887"/>
      <c r="BMK30" s="1888"/>
      <c r="BML30" s="1882"/>
      <c r="BMM30" s="1882"/>
      <c r="BMN30" s="1882"/>
      <c r="BMP30" s="1887"/>
      <c r="BMQ30" s="1888"/>
      <c r="BMR30" s="1882"/>
      <c r="BMS30" s="1882"/>
      <c r="BMT30" s="1882"/>
      <c r="BMV30" s="1887"/>
      <c r="BMW30" s="1888"/>
      <c r="BMX30" s="1882"/>
      <c r="BMY30" s="1882"/>
      <c r="BMZ30" s="1882"/>
      <c r="BNB30" s="1887"/>
      <c r="BNC30" s="1888"/>
      <c r="BND30" s="1882"/>
      <c r="BNE30" s="1882"/>
      <c r="BNF30" s="1882"/>
      <c r="BNH30" s="1887"/>
      <c r="BNI30" s="1888"/>
      <c r="BNJ30" s="1882"/>
      <c r="BNK30" s="1882"/>
      <c r="BNL30" s="1882"/>
      <c r="BNN30" s="1887"/>
      <c r="BNO30" s="1888"/>
      <c r="BNP30" s="1882"/>
      <c r="BNQ30" s="1882"/>
      <c r="BNR30" s="1882"/>
      <c r="BNT30" s="1887"/>
      <c r="BNU30" s="1888"/>
      <c r="BNV30" s="1882"/>
      <c r="BNW30" s="1882"/>
      <c r="BNX30" s="1882"/>
      <c r="BNZ30" s="1887"/>
      <c r="BOA30" s="1888"/>
      <c r="BOB30" s="1882"/>
      <c r="BOC30" s="1882"/>
      <c r="BOD30" s="1882"/>
      <c r="BOF30" s="1887"/>
      <c r="BOG30" s="1888"/>
      <c r="BOH30" s="1882"/>
      <c r="BOI30" s="1882"/>
      <c r="BOJ30" s="1882"/>
      <c r="BOL30" s="1887"/>
      <c r="BOM30" s="1888"/>
      <c r="BON30" s="1882"/>
      <c r="BOO30" s="1882"/>
      <c r="BOP30" s="1882"/>
      <c r="BOR30" s="1887"/>
      <c r="BOS30" s="1888"/>
      <c r="BOT30" s="1882"/>
      <c r="BOU30" s="1882"/>
      <c r="BOV30" s="1882"/>
      <c r="BOX30" s="1887"/>
      <c r="BOY30" s="1888"/>
      <c r="BOZ30" s="1882"/>
      <c r="BPA30" s="1882"/>
      <c r="BPB30" s="1882"/>
      <c r="BPD30" s="1887"/>
      <c r="BPE30" s="1888"/>
      <c r="BPF30" s="1882"/>
      <c r="BPG30" s="1882"/>
      <c r="BPH30" s="1882"/>
      <c r="BPJ30" s="1887"/>
      <c r="BPK30" s="1888"/>
      <c r="BPL30" s="1882"/>
      <c r="BPM30" s="1882"/>
      <c r="BPN30" s="1882"/>
      <c r="BPP30" s="1887"/>
      <c r="BPQ30" s="1888"/>
      <c r="BPR30" s="1882"/>
      <c r="BPS30" s="1882"/>
      <c r="BPT30" s="1882"/>
      <c r="BPV30" s="1887"/>
      <c r="BPW30" s="1888"/>
      <c r="BPX30" s="1882"/>
      <c r="BPY30" s="1882"/>
      <c r="BPZ30" s="1882"/>
      <c r="BQB30" s="1887"/>
      <c r="BQC30" s="1888"/>
      <c r="BQD30" s="1882"/>
      <c r="BQE30" s="1882"/>
      <c r="BQF30" s="1882"/>
      <c r="BQH30" s="1887"/>
      <c r="BQI30" s="1888"/>
      <c r="BQJ30" s="1882"/>
      <c r="BQK30" s="1882"/>
      <c r="BQL30" s="1882"/>
      <c r="BQN30" s="1887"/>
      <c r="BQO30" s="1888"/>
      <c r="BQP30" s="1882"/>
      <c r="BQQ30" s="1882"/>
      <c r="BQR30" s="1882"/>
      <c r="BQT30" s="1887"/>
      <c r="BQU30" s="1888"/>
      <c r="BQV30" s="1882"/>
      <c r="BQW30" s="1882"/>
      <c r="BQX30" s="1882"/>
      <c r="BQZ30" s="1887"/>
      <c r="BRA30" s="1888"/>
      <c r="BRB30" s="1882"/>
      <c r="BRC30" s="1882"/>
      <c r="BRD30" s="1882"/>
      <c r="BRF30" s="1887"/>
      <c r="BRG30" s="1888"/>
      <c r="BRH30" s="1882"/>
      <c r="BRI30" s="1882"/>
      <c r="BRJ30" s="1882"/>
      <c r="BRL30" s="1887"/>
      <c r="BRM30" s="1888"/>
      <c r="BRN30" s="1882"/>
      <c r="BRO30" s="1882"/>
      <c r="BRP30" s="1882"/>
      <c r="BRR30" s="1887"/>
      <c r="BRS30" s="1888"/>
      <c r="BRT30" s="1882"/>
      <c r="BRU30" s="1882"/>
      <c r="BRV30" s="1882"/>
      <c r="BRX30" s="1887"/>
      <c r="BRY30" s="1888"/>
      <c r="BRZ30" s="1882"/>
      <c r="BSA30" s="1882"/>
      <c r="BSB30" s="1882"/>
      <c r="BSD30" s="1887"/>
      <c r="BSE30" s="1888"/>
      <c r="BSF30" s="1882"/>
      <c r="BSG30" s="1882"/>
      <c r="BSH30" s="1882"/>
      <c r="BSJ30" s="1887"/>
      <c r="BSK30" s="1888"/>
      <c r="BSL30" s="1882"/>
      <c r="BSM30" s="1882"/>
      <c r="BSN30" s="1882"/>
      <c r="BSP30" s="1887"/>
      <c r="BSQ30" s="1888"/>
      <c r="BSR30" s="1882"/>
      <c r="BSS30" s="1882"/>
      <c r="BST30" s="1882"/>
      <c r="BSV30" s="1887"/>
      <c r="BSW30" s="1888"/>
      <c r="BSX30" s="1882"/>
      <c r="BSY30" s="1882"/>
      <c r="BSZ30" s="1882"/>
      <c r="BTB30" s="1887"/>
      <c r="BTC30" s="1888"/>
      <c r="BTD30" s="1882"/>
      <c r="BTE30" s="1882"/>
      <c r="BTF30" s="1882"/>
      <c r="BTH30" s="1887"/>
      <c r="BTI30" s="1888"/>
      <c r="BTJ30" s="1882"/>
      <c r="BTK30" s="1882"/>
      <c r="BTL30" s="1882"/>
      <c r="BTN30" s="1887"/>
      <c r="BTO30" s="1888"/>
      <c r="BTP30" s="1882"/>
      <c r="BTQ30" s="1882"/>
      <c r="BTR30" s="1882"/>
      <c r="BTT30" s="1887"/>
      <c r="BTU30" s="1888"/>
      <c r="BTV30" s="1882"/>
      <c r="BTW30" s="1882"/>
      <c r="BTX30" s="1882"/>
      <c r="BTZ30" s="1887"/>
      <c r="BUA30" s="1888"/>
      <c r="BUB30" s="1882"/>
      <c r="BUC30" s="1882"/>
      <c r="BUD30" s="1882"/>
      <c r="BUF30" s="1887"/>
      <c r="BUG30" s="1888"/>
      <c r="BUH30" s="1882"/>
      <c r="BUI30" s="1882"/>
      <c r="BUJ30" s="1882"/>
      <c r="BUL30" s="1887"/>
      <c r="BUM30" s="1888"/>
      <c r="BUN30" s="1882"/>
      <c r="BUO30" s="1882"/>
      <c r="BUP30" s="1882"/>
      <c r="BUR30" s="1887"/>
      <c r="BUS30" s="1888"/>
      <c r="BUT30" s="1882"/>
      <c r="BUU30" s="1882"/>
      <c r="BUV30" s="1882"/>
      <c r="BUX30" s="1887"/>
      <c r="BUY30" s="1888"/>
      <c r="BUZ30" s="1882"/>
      <c r="BVA30" s="1882"/>
      <c r="BVB30" s="1882"/>
      <c r="BVD30" s="1887"/>
      <c r="BVE30" s="1888"/>
      <c r="BVF30" s="1882"/>
      <c r="BVG30" s="1882"/>
      <c r="BVH30" s="1882"/>
      <c r="BVJ30" s="1887"/>
      <c r="BVK30" s="1888"/>
      <c r="BVL30" s="1882"/>
      <c r="BVM30" s="1882"/>
      <c r="BVN30" s="1882"/>
      <c r="BVP30" s="1887"/>
      <c r="BVQ30" s="1888"/>
      <c r="BVR30" s="1882"/>
      <c r="BVS30" s="1882"/>
      <c r="BVT30" s="1882"/>
      <c r="BVV30" s="1887"/>
      <c r="BVW30" s="1888"/>
      <c r="BVX30" s="1882"/>
      <c r="BVY30" s="1882"/>
      <c r="BVZ30" s="1882"/>
      <c r="BWB30" s="1887"/>
      <c r="BWC30" s="1888"/>
      <c r="BWD30" s="1882"/>
      <c r="BWE30" s="1882"/>
      <c r="BWF30" s="1882"/>
      <c r="BWH30" s="1887"/>
      <c r="BWI30" s="1888"/>
      <c r="BWJ30" s="1882"/>
      <c r="BWK30" s="1882"/>
      <c r="BWL30" s="1882"/>
      <c r="BWN30" s="1887"/>
      <c r="BWO30" s="1888"/>
      <c r="BWP30" s="1882"/>
      <c r="BWQ30" s="1882"/>
      <c r="BWR30" s="1882"/>
      <c r="BWT30" s="1887"/>
      <c r="BWU30" s="1888"/>
      <c r="BWV30" s="1882"/>
      <c r="BWW30" s="1882"/>
      <c r="BWX30" s="1882"/>
      <c r="BWZ30" s="1887"/>
      <c r="BXA30" s="1888"/>
      <c r="BXB30" s="1882"/>
      <c r="BXC30" s="1882"/>
      <c r="BXD30" s="1882"/>
      <c r="BXF30" s="1887"/>
      <c r="BXG30" s="1888"/>
      <c r="BXH30" s="1882"/>
      <c r="BXI30" s="1882"/>
      <c r="BXJ30" s="1882"/>
      <c r="BXL30" s="1887"/>
      <c r="BXM30" s="1888"/>
      <c r="BXN30" s="1882"/>
      <c r="BXO30" s="1882"/>
      <c r="BXP30" s="1882"/>
      <c r="BXR30" s="1887"/>
      <c r="BXS30" s="1888"/>
      <c r="BXT30" s="1882"/>
      <c r="BXU30" s="1882"/>
      <c r="BXV30" s="1882"/>
      <c r="BXX30" s="1887"/>
      <c r="BXY30" s="1888"/>
      <c r="BXZ30" s="1882"/>
      <c r="BYA30" s="1882"/>
      <c r="BYB30" s="1882"/>
      <c r="BYD30" s="1887"/>
      <c r="BYE30" s="1888"/>
      <c r="BYF30" s="1882"/>
      <c r="BYG30" s="1882"/>
      <c r="BYH30" s="1882"/>
      <c r="BYJ30" s="1887"/>
      <c r="BYK30" s="1888"/>
      <c r="BYL30" s="1882"/>
      <c r="BYM30" s="1882"/>
      <c r="BYN30" s="1882"/>
      <c r="BYP30" s="1887"/>
      <c r="BYQ30" s="1888"/>
      <c r="BYR30" s="1882"/>
      <c r="BYS30" s="1882"/>
      <c r="BYT30" s="1882"/>
      <c r="BYV30" s="1887"/>
      <c r="BYW30" s="1888"/>
      <c r="BYX30" s="1882"/>
      <c r="BYY30" s="1882"/>
      <c r="BYZ30" s="1882"/>
      <c r="BZB30" s="1887"/>
      <c r="BZC30" s="1888"/>
      <c r="BZD30" s="1882"/>
      <c r="BZE30" s="1882"/>
      <c r="BZF30" s="1882"/>
      <c r="BZH30" s="1887"/>
      <c r="BZI30" s="1888"/>
      <c r="BZJ30" s="1882"/>
      <c r="BZK30" s="1882"/>
      <c r="BZL30" s="1882"/>
      <c r="BZN30" s="1887"/>
      <c r="BZO30" s="1888"/>
      <c r="BZP30" s="1882"/>
      <c r="BZQ30" s="1882"/>
      <c r="BZR30" s="1882"/>
      <c r="BZT30" s="1887"/>
      <c r="BZU30" s="1888"/>
      <c r="BZV30" s="1882"/>
      <c r="BZW30" s="1882"/>
      <c r="BZX30" s="1882"/>
      <c r="BZZ30" s="1887"/>
      <c r="CAA30" s="1888"/>
      <c r="CAB30" s="1882"/>
      <c r="CAC30" s="1882"/>
      <c r="CAD30" s="1882"/>
      <c r="CAF30" s="1887"/>
      <c r="CAG30" s="1888"/>
      <c r="CAH30" s="1882"/>
      <c r="CAI30" s="1882"/>
      <c r="CAJ30" s="1882"/>
      <c r="CAL30" s="1887"/>
      <c r="CAM30" s="1888"/>
      <c r="CAN30" s="1882"/>
      <c r="CAO30" s="1882"/>
      <c r="CAP30" s="1882"/>
      <c r="CAR30" s="1887"/>
      <c r="CAS30" s="1888"/>
      <c r="CAT30" s="1882"/>
      <c r="CAU30" s="1882"/>
      <c r="CAV30" s="1882"/>
      <c r="CAX30" s="1887"/>
      <c r="CAY30" s="1888"/>
      <c r="CAZ30" s="1882"/>
      <c r="CBA30" s="1882"/>
      <c r="CBB30" s="1882"/>
      <c r="CBD30" s="1887"/>
      <c r="CBE30" s="1888"/>
      <c r="CBF30" s="1882"/>
      <c r="CBG30" s="1882"/>
      <c r="CBH30" s="1882"/>
      <c r="CBJ30" s="1887"/>
      <c r="CBK30" s="1888"/>
      <c r="CBL30" s="1882"/>
      <c r="CBM30" s="1882"/>
      <c r="CBN30" s="1882"/>
      <c r="CBP30" s="1887"/>
      <c r="CBQ30" s="1888"/>
      <c r="CBR30" s="1882"/>
      <c r="CBS30" s="1882"/>
      <c r="CBT30" s="1882"/>
      <c r="CBV30" s="1887"/>
      <c r="CBW30" s="1888"/>
      <c r="CBX30" s="1882"/>
      <c r="CBY30" s="1882"/>
      <c r="CBZ30" s="1882"/>
      <c r="CCB30" s="1887"/>
      <c r="CCC30" s="1888"/>
      <c r="CCD30" s="1882"/>
      <c r="CCE30" s="1882"/>
      <c r="CCF30" s="1882"/>
      <c r="CCH30" s="1887"/>
      <c r="CCI30" s="1888"/>
      <c r="CCJ30" s="1882"/>
      <c r="CCK30" s="1882"/>
      <c r="CCL30" s="1882"/>
      <c r="CCN30" s="1887"/>
      <c r="CCO30" s="1888"/>
      <c r="CCP30" s="1882"/>
      <c r="CCQ30" s="1882"/>
      <c r="CCR30" s="1882"/>
      <c r="CCT30" s="1887"/>
      <c r="CCU30" s="1888"/>
      <c r="CCV30" s="1882"/>
      <c r="CCW30" s="1882"/>
      <c r="CCX30" s="1882"/>
      <c r="CCZ30" s="1887"/>
      <c r="CDA30" s="1888"/>
      <c r="CDB30" s="1882"/>
      <c r="CDC30" s="1882"/>
      <c r="CDD30" s="1882"/>
      <c r="CDF30" s="1887"/>
      <c r="CDG30" s="1888"/>
      <c r="CDH30" s="1882"/>
      <c r="CDI30" s="1882"/>
      <c r="CDJ30" s="1882"/>
      <c r="CDL30" s="1887"/>
      <c r="CDM30" s="1888"/>
      <c r="CDN30" s="1882"/>
      <c r="CDO30" s="1882"/>
      <c r="CDP30" s="1882"/>
      <c r="CDR30" s="1887"/>
      <c r="CDS30" s="1888"/>
      <c r="CDT30" s="1882"/>
      <c r="CDU30" s="1882"/>
      <c r="CDV30" s="1882"/>
      <c r="CDX30" s="1887"/>
      <c r="CDY30" s="1888"/>
      <c r="CDZ30" s="1882"/>
      <c r="CEA30" s="1882"/>
      <c r="CEB30" s="1882"/>
      <c r="CED30" s="1887"/>
      <c r="CEE30" s="1888"/>
      <c r="CEF30" s="1882"/>
      <c r="CEG30" s="1882"/>
      <c r="CEH30" s="1882"/>
      <c r="CEJ30" s="1887"/>
      <c r="CEK30" s="1888"/>
      <c r="CEL30" s="1882"/>
      <c r="CEM30" s="1882"/>
      <c r="CEN30" s="1882"/>
      <c r="CEP30" s="1887"/>
      <c r="CEQ30" s="1888"/>
      <c r="CER30" s="1882"/>
      <c r="CES30" s="1882"/>
      <c r="CET30" s="1882"/>
      <c r="CEV30" s="1887"/>
      <c r="CEW30" s="1888"/>
      <c r="CEX30" s="1882"/>
      <c r="CEY30" s="1882"/>
      <c r="CEZ30" s="1882"/>
      <c r="CFB30" s="1887"/>
      <c r="CFC30" s="1888"/>
      <c r="CFD30" s="1882"/>
      <c r="CFE30" s="1882"/>
      <c r="CFF30" s="1882"/>
      <c r="CFH30" s="1887"/>
      <c r="CFI30" s="1888"/>
      <c r="CFJ30" s="1882"/>
      <c r="CFK30" s="1882"/>
      <c r="CFL30" s="1882"/>
      <c r="CFN30" s="1887"/>
      <c r="CFO30" s="1888"/>
      <c r="CFP30" s="1882"/>
      <c r="CFQ30" s="1882"/>
      <c r="CFR30" s="1882"/>
      <c r="CFT30" s="1887"/>
      <c r="CFU30" s="1888"/>
      <c r="CFV30" s="1882"/>
      <c r="CFW30" s="1882"/>
      <c r="CFX30" s="1882"/>
      <c r="CFZ30" s="1887"/>
      <c r="CGA30" s="1888"/>
      <c r="CGB30" s="1882"/>
      <c r="CGC30" s="1882"/>
      <c r="CGD30" s="1882"/>
      <c r="CGF30" s="1887"/>
      <c r="CGG30" s="1888"/>
      <c r="CGH30" s="1882"/>
      <c r="CGI30" s="1882"/>
      <c r="CGJ30" s="1882"/>
      <c r="CGL30" s="1887"/>
      <c r="CGM30" s="1888"/>
      <c r="CGN30" s="1882"/>
      <c r="CGO30" s="1882"/>
      <c r="CGP30" s="1882"/>
      <c r="CGR30" s="1887"/>
      <c r="CGS30" s="1888"/>
      <c r="CGT30" s="1882"/>
      <c r="CGU30" s="1882"/>
      <c r="CGV30" s="1882"/>
      <c r="CGX30" s="1887"/>
      <c r="CGY30" s="1888"/>
      <c r="CGZ30" s="1882"/>
      <c r="CHA30" s="1882"/>
      <c r="CHB30" s="1882"/>
      <c r="CHD30" s="1887"/>
      <c r="CHE30" s="1888"/>
      <c r="CHF30" s="1882"/>
      <c r="CHG30" s="1882"/>
      <c r="CHH30" s="1882"/>
      <c r="CHJ30" s="1887"/>
      <c r="CHK30" s="1888"/>
      <c r="CHL30" s="1882"/>
      <c r="CHM30" s="1882"/>
      <c r="CHN30" s="1882"/>
      <c r="CHP30" s="1887"/>
      <c r="CHQ30" s="1888"/>
      <c r="CHR30" s="1882"/>
      <c r="CHS30" s="1882"/>
      <c r="CHT30" s="1882"/>
      <c r="CHV30" s="1887"/>
      <c r="CHW30" s="1888"/>
      <c r="CHX30" s="1882"/>
      <c r="CHY30" s="1882"/>
      <c r="CHZ30" s="1882"/>
      <c r="CIB30" s="1887"/>
      <c r="CIC30" s="1888"/>
      <c r="CID30" s="1882"/>
      <c r="CIE30" s="1882"/>
      <c r="CIF30" s="1882"/>
      <c r="CIH30" s="1887"/>
      <c r="CII30" s="1888"/>
      <c r="CIJ30" s="1882"/>
      <c r="CIK30" s="1882"/>
      <c r="CIL30" s="1882"/>
      <c r="CIN30" s="1887"/>
      <c r="CIO30" s="1888"/>
      <c r="CIP30" s="1882"/>
      <c r="CIQ30" s="1882"/>
      <c r="CIR30" s="1882"/>
      <c r="CIT30" s="1887"/>
      <c r="CIU30" s="1888"/>
      <c r="CIV30" s="1882"/>
      <c r="CIW30" s="1882"/>
      <c r="CIX30" s="1882"/>
      <c r="CIZ30" s="1887"/>
      <c r="CJA30" s="1888"/>
      <c r="CJB30" s="1882"/>
      <c r="CJC30" s="1882"/>
      <c r="CJD30" s="1882"/>
      <c r="CJF30" s="1887"/>
      <c r="CJG30" s="1888"/>
      <c r="CJH30" s="1882"/>
      <c r="CJI30" s="1882"/>
      <c r="CJJ30" s="1882"/>
      <c r="CJL30" s="1887"/>
      <c r="CJM30" s="1888"/>
      <c r="CJN30" s="1882"/>
      <c r="CJO30" s="1882"/>
      <c r="CJP30" s="1882"/>
      <c r="CJR30" s="1887"/>
      <c r="CJS30" s="1888"/>
      <c r="CJT30" s="1882"/>
      <c r="CJU30" s="1882"/>
      <c r="CJV30" s="1882"/>
      <c r="CJX30" s="1887"/>
      <c r="CJY30" s="1888"/>
      <c r="CJZ30" s="1882"/>
      <c r="CKA30" s="1882"/>
      <c r="CKB30" s="1882"/>
      <c r="CKD30" s="1887"/>
      <c r="CKE30" s="1888"/>
      <c r="CKF30" s="1882"/>
      <c r="CKG30" s="1882"/>
      <c r="CKH30" s="1882"/>
      <c r="CKJ30" s="1887"/>
      <c r="CKK30" s="1888"/>
      <c r="CKL30" s="1882"/>
      <c r="CKM30" s="1882"/>
      <c r="CKN30" s="1882"/>
      <c r="CKP30" s="1887"/>
      <c r="CKQ30" s="1888"/>
      <c r="CKR30" s="1882"/>
      <c r="CKS30" s="1882"/>
      <c r="CKT30" s="1882"/>
      <c r="CKV30" s="1887"/>
      <c r="CKW30" s="1888"/>
      <c r="CKX30" s="1882"/>
      <c r="CKY30" s="1882"/>
      <c r="CKZ30" s="1882"/>
      <c r="CLB30" s="1887"/>
      <c r="CLC30" s="1888"/>
      <c r="CLD30" s="1882"/>
      <c r="CLE30" s="1882"/>
      <c r="CLF30" s="1882"/>
      <c r="CLH30" s="1887"/>
      <c r="CLI30" s="1888"/>
      <c r="CLJ30" s="1882"/>
      <c r="CLK30" s="1882"/>
      <c r="CLL30" s="1882"/>
      <c r="CLN30" s="1887"/>
      <c r="CLO30" s="1888"/>
      <c r="CLP30" s="1882"/>
      <c r="CLQ30" s="1882"/>
      <c r="CLR30" s="1882"/>
      <c r="CLT30" s="1887"/>
      <c r="CLU30" s="1888"/>
      <c r="CLV30" s="1882"/>
      <c r="CLW30" s="1882"/>
      <c r="CLX30" s="1882"/>
      <c r="CLZ30" s="1887"/>
      <c r="CMA30" s="1888"/>
      <c r="CMB30" s="1882"/>
      <c r="CMC30" s="1882"/>
      <c r="CMD30" s="1882"/>
      <c r="CMF30" s="1887"/>
      <c r="CMG30" s="1888"/>
      <c r="CMH30" s="1882"/>
      <c r="CMI30" s="1882"/>
      <c r="CMJ30" s="1882"/>
      <c r="CML30" s="1887"/>
      <c r="CMM30" s="1888"/>
      <c r="CMN30" s="1882"/>
      <c r="CMO30" s="1882"/>
      <c r="CMP30" s="1882"/>
      <c r="CMR30" s="1887"/>
      <c r="CMS30" s="1888"/>
      <c r="CMT30" s="1882"/>
      <c r="CMU30" s="1882"/>
      <c r="CMV30" s="1882"/>
      <c r="CMX30" s="1887"/>
      <c r="CMY30" s="1888"/>
      <c r="CMZ30" s="1882"/>
      <c r="CNA30" s="1882"/>
      <c r="CNB30" s="1882"/>
      <c r="CND30" s="1887"/>
      <c r="CNE30" s="1888"/>
      <c r="CNF30" s="1882"/>
      <c r="CNG30" s="1882"/>
      <c r="CNH30" s="1882"/>
      <c r="CNJ30" s="1887"/>
      <c r="CNK30" s="1888"/>
      <c r="CNL30" s="1882"/>
      <c r="CNM30" s="1882"/>
      <c r="CNN30" s="1882"/>
      <c r="CNP30" s="1887"/>
      <c r="CNQ30" s="1888"/>
      <c r="CNR30" s="1882"/>
      <c r="CNS30" s="1882"/>
      <c r="CNT30" s="1882"/>
      <c r="CNV30" s="1887"/>
      <c r="CNW30" s="1888"/>
      <c r="CNX30" s="1882"/>
      <c r="CNY30" s="1882"/>
      <c r="CNZ30" s="1882"/>
      <c r="COB30" s="1887"/>
      <c r="COC30" s="1888"/>
      <c r="COD30" s="1882"/>
      <c r="COE30" s="1882"/>
      <c r="COF30" s="1882"/>
      <c r="COH30" s="1887"/>
      <c r="COI30" s="1888"/>
      <c r="COJ30" s="1882"/>
      <c r="COK30" s="1882"/>
      <c r="COL30" s="1882"/>
      <c r="CON30" s="1887"/>
      <c r="COO30" s="1888"/>
      <c r="COP30" s="1882"/>
      <c r="COQ30" s="1882"/>
      <c r="COR30" s="1882"/>
      <c r="COT30" s="1887"/>
      <c r="COU30" s="1888"/>
      <c r="COV30" s="1882"/>
      <c r="COW30" s="1882"/>
      <c r="COX30" s="1882"/>
      <c r="COZ30" s="1887"/>
      <c r="CPA30" s="1888"/>
      <c r="CPB30" s="1882"/>
      <c r="CPC30" s="1882"/>
      <c r="CPD30" s="1882"/>
      <c r="CPF30" s="1887"/>
      <c r="CPG30" s="1888"/>
      <c r="CPH30" s="1882"/>
      <c r="CPI30" s="1882"/>
      <c r="CPJ30" s="1882"/>
      <c r="CPL30" s="1887"/>
      <c r="CPM30" s="1888"/>
      <c r="CPN30" s="1882"/>
      <c r="CPO30" s="1882"/>
      <c r="CPP30" s="1882"/>
      <c r="CPR30" s="1887"/>
      <c r="CPS30" s="1888"/>
      <c r="CPT30" s="1882"/>
      <c r="CPU30" s="1882"/>
      <c r="CPV30" s="1882"/>
      <c r="CPX30" s="1887"/>
      <c r="CPY30" s="1888"/>
      <c r="CPZ30" s="1882"/>
      <c r="CQA30" s="1882"/>
      <c r="CQB30" s="1882"/>
      <c r="CQD30" s="1887"/>
      <c r="CQE30" s="1888"/>
      <c r="CQF30" s="1882"/>
      <c r="CQG30" s="1882"/>
      <c r="CQH30" s="1882"/>
      <c r="CQJ30" s="1887"/>
      <c r="CQK30" s="1888"/>
      <c r="CQL30" s="1882"/>
      <c r="CQM30" s="1882"/>
      <c r="CQN30" s="1882"/>
      <c r="CQP30" s="1887"/>
      <c r="CQQ30" s="1888"/>
      <c r="CQR30" s="1882"/>
      <c r="CQS30" s="1882"/>
      <c r="CQT30" s="1882"/>
      <c r="CQV30" s="1887"/>
      <c r="CQW30" s="1888"/>
      <c r="CQX30" s="1882"/>
      <c r="CQY30" s="1882"/>
      <c r="CQZ30" s="1882"/>
      <c r="CRB30" s="1887"/>
      <c r="CRC30" s="1888"/>
      <c r="CRD30" s="1882"/>
      <c r="CRE30" s="1882"/>
      <c r="CRF30" s="1882"/>
      <c r="CRH30" s="1887"/>
      <c r="CRI30" s="1888"/>
      <c r="CRJ30" s="1882"/>
      <c r="CRK30" s="1882"/>
      <c r="CRL30" s="1882"/>
      <c r="CRN30" s="1887"/>
      <c r="CRO30" s="1888"/>
      <c r="CRP30" s="1882"/>
      <c r="CRQ30" s="1882"/>
      <c r="CRR30" s="1882"/>
      <c r="CRT30" s="1887"/>
      <c r="CRU30" s="1888"/>
      <c r="CRV30" s="1882"/>
      <c r="CRW30" s="1882"/>
      <c r="CRX30" s="1882"/>
      <c r="CRZ30" s="1887"/>
      <c r="CSA30" s="1888"/>
      <c r="CSB30" s="1882"/>
      <c r="CSC30" s="1882"/>
      <c r="CSD30" s="1882"/>
      <c r="CSF30" s="1887"/>
      <c r="CSG30" s="1888"/>
      <c r="CSH30" s="1882"/>
      <c r="CSI30" s="1882"/>
      <c r="CSJ30" s="1882"/>
      <c r="CSL30" s="1887"/>
      <c r="CSM30" s="1888"/>
      <c r="CSN30" s="1882"/>
      <c r="CSO30" s="1882"/>
      <c r="CSP30" s="1882"/>
      <c r="CSR30" s="1887"/>
      <c r="CSS30" s="1888"/>
      <c r="CST30" s="1882"/>
      <c r="CSU30" s="1882"/>
      <c r="CSV30" s="1882"/>
      <c r="CSX30" s="1887"/>
      <c r="CSY30" s="1888"/>
      <c r="CSZ30" s="1882"/>
      <c r="CTA30" s="1882"/>
      <c r="CTB30" s="1882"/>
      <c r="CTD30" s="1887"/>
      <c r="CTE30" s="1888"/>
      <c r="CTF30" s="1882"/>
      <c r="CTG30" s="1882"/>
      <c r="CTH30" s="1882"/>
      <c r="CTJ30" s="1887"/>
      <c r="CTK30" s="1888"/>
      <c r="CTL30" s="1882"/>
      <c r="CTM30" s="1882"/>
      <c r="CTN30" s="1882"/>
      <c r="CTP30" s="1887"/>
      <c r="CTQ30" s="1888"/>
      <c r="CTR30" s="1882"/>
      <c r="CTS30" s="1882"/>
      <c r="CTT30" s="1882"/>
      <c r="CTV30" s="1887"/>
      <c r="CTW30" s="1888"/>
      <c r="CTX30" s="1882"/>
      <c r="CTY30" s="1882"/>
      <c r="CTZ30" s="1882"/>
      <c r="CUB30" s="1887"/>
      <c r="CUC30" s="1888"/>
      <c r="CUD30" s="1882"/>
      <c r="CUE30" s="1882"/>
      <c r="CUF30" s="1882"/>
      <c r="CUH30" s="1887"/>
      <c r="CUI30" s="1888"/>
      <c r="CUJ30" s="1882"/>
      <c r="CUK30" s="1882"/>
      <c r="CUL30" s="1882"/>
      <c r="CUN30" s="1887"/>
      <c r="CUO30" s="1888"/>
      <c r="CUP30" s="1882"/>
      <c r="CUQ30" s="1882"/>
      <c r="CUR30" s="1882"/>
      <c r="CUT30" s="1887"/>
      <c r="CUU30" s="1888"/>
      <c r="CUV30" s="1882"/>
      <c r="CUW30" s="1882"/>
      <c r="CUX30" s="1882"/>
      <c r="CUZ30" s="1887"/>
      <c r="CVA30" s="1888"/>
      <c r="CVB30" s="1882"/>
      <c r="CVC30" s="1882"/>
      <c r="CVD30" s="1882"/>
      <c r="CVF30" s="1887"/>
      <c r="CVG30" s="1888"/>
      <c r="CVH30" s="1882"/>
      <c r="CVI30" s="1882"/>
      <c r="CVJ30" s="1882"/>
      <c r="CVL30" s="1887"/>
      <c r="CVM30" s="1888"/>
      <c r="CVN30" s="1882"/>
      <c r="CVO30" s="1882"/>
      <c r="CVP30" s="1882"/>
      <c r="CVR30" s="1887"/>
      <c r="CVS30" s="1888"/>
      <c r="CVT30" s="1882"/>
      <c r="CVU30" s="1882"/>
      <c r="CVV30" s="1882"/>
      <c r="CVX30" s="1887"/>
      <c r="CVY30" s="1888"/>
      <c r="CVZ30" s="1882"/>
      <c r="CWA30" s="1882"/>
      <c r="CWB30" s="1882"/>
      <c r="CWD30" s="1887"/>
      <c r="CWE30" s="1888"/>
      <c r="CWF30" s="1882"/>
      <c r="CWG30" s="1882"/>
      <c r="CWH30" s="1882"/>
      <c r="CWJ30" s="1887"/>
      <c r="CWK30" s="1888"/>
      <c r="CWL30" s="1882"/>
      <c r="CWM30" s="1882"/>
      <c r="CWN30" s="1882"/>
      <c r="CWP30" s="1887"/>
      <c r="CWQ30" s="1888"/>
      <c r="CWR30" s="1882"/>
      <c r="CWS30" s="1882"/>
      <c r="CWT30" s="1882"/>
      <c r="CWV30" s="1887"/>
      <c r="CWW30" s="1888"/>
      <c r="CWX30" s="1882"/>
      <c r="CWY30" s="1882"/>
      <c r="CWZ30" s="1882"/>
      <c r="CXB30" s="1887"/>
      <c r="CXC30" s="1888"/>
      <c r="CXD30" s="1882"/>
      <c r="CXE30" s="1882"/>
      <c r="CXF30" s="1882"/>
      <c r="CXH30" s="1887"/>
      <c r="CXI30" s="1888"/>
      <c r="CXJ30" s="1882"/>
      <c r="CXK30" s="1882"/>
      <c r="CXL30" s="1882"/>
      <c r="CXN30" s="1887"/>
      <c r="CXO30" s="1888"/>
      <c r="CXP30" s="1882"/>
      <c r="CXQ30" s="1882"/>
      <c r="CXR30" s="1882"/>
      <c r="CXT30" s="1887"/>
      <c r="CXU30" s="1888"/>
      <c r="CXV30" s="1882"/>
      <c r="CXW30" s="1882"/>
      <c r="CXX30" s="1882"/>
      <c r="CXZ30" s="1887"/>
      <c r="CYA30" s="1888"/>
      <c r="CYB30" s="1882"/>
      <c r="CYC30" s="1882"/>
      <c r="CYD30" s="1882"/>
      <c r="CYF30" s="1887"/>
      <c r="CYG30" s="1888"/>
      <c r="CYH30" s="1882"/>
      <c r="CYI30" s="1882"/>
      <c r="CYJ30" s="1882"/>
      <c r="CYL30" s="1887"/>
      <c r="CYM30" s="1888"/>
      <c r="CYN30" s="1882"/>
      <c r="CYO30" s="1882"/>
      <c r="CYP30" s="1882"/>
      <c r="CYR30" s="1887"/>
      <c r="CYS30" s="1888"/>
      <c r="CYT30" s="1882"/>
      <c r="CYU30" s="1882"/>
      <c r="CYV30" s="1882"/>
      <c r="CYX30" s="1887"/>
      <c r="CYY30" s="1888"/>
      <c r="CYZ30" s="1882"/>
      <c r="CZA30" s="1882"/>
      <c r="CZB30" s="1882"/>
      <c r="CZD30" s="1887"/>
      <c r="CZE30" s="1888"/>
      <c r="CZF30" s="1882"/>
      <c r="CZG30" s="1882"/>
      <c r="CZH30" s="1882"/>
      <c r="CZJ30" s="1887"/>
      <c r="CZK30" s="1888"/>
      <c r="CZL30" s="1882"/>
      <c r="CZM30" s="1882"/>
      <c r="CZN30" s="1882"/>
      <c r="CZP30" s="1887"/>
      <c r="CZQ30" s="1888"/>
      <c r="CZR30" s="1882"/>
      <c r="CZS30" s="1882"/>
      <c r="CZT30" s="1882"/>
      <c r="CZV30" s="1887"/>
      <c r="CZW30" s="1888"/>
      <c r="CZX30" s="1882"/>
      <c r="CZY30" s="1882"/>
      <c r="CZZ30" s="1882"/>
      <c r="DAB30" s="1887"/>
      <c r="DAC30" s="1888"/>
      <c r="DAD30" s="1882"/>
      <c r="DAE30" s="1882"/>
      <c r="DAF30" s="1882"/>
      <c r="DAH30" s="1887"/>
      <c r="DAI30" s="1888"/>
      <c r="DAJ30" s="1882"/>
      <c r="DAK30" s="1882"/>
      <c r="DAL30" s="1882"/>
      <c r="DAN30" s="1887"/>
      <c r="DAO30" s="1888"/>
      <c r="DAP30" s="1882"/>
      <c r="DAQ30" s="1882"/>
      <c r="DAR30" s="1882"/>
      <c r="DAT30" s="1887"/>
      <c r="DAU30" s="1888"/>
      <c r="DAV30" s="1882"/>
      <c r="DAW30" s="1882"/>
      <c r="DAX30" s="1882"/>
      <c r="DAZ30" s="1887"/>
      <c r="DBA30" s="1888"/>
      <c r="DBB30" s="1882"/>
      <c r="DBC30" s="1882"/>
      <c r="DBD30" s="1882"/>
      <c r="DBF30" s="1887"/>
      <c r="DBG30" s="1888"/>
      <c r="DBH30" s="1882"/>
      <c r="DBI30" s="1882"/>
      <c r="DBJ30" s="1882"/>
      <c r="DBL30" s="1887"/>
      <c r="DBM30" s="1888"/>
      <c r="DBN30" s="1882"/>
      <c r="DBO30" s="1882"/>
      <c r="DBP30" s="1882"/>
      <c r="DBR30" s="1887"/>
      <c r="DBS30" s="1888"/>
      <c r="DBT30" s="1882"/>
      <c r="DBU30" s="1882"/>
      <c r="DBV30" s="1882"/>
      <c r="DBX30" s="1887"/>
      <c r="DBY30" s="1888"/>
      <c r="DBZ30" s="1882"/>
      <c r="DCA30" s="1882"/>
      <c r="DCB30" s="1882"/>
      <c r="DCD30" s="1887"/>
      <c r="DCE30" s="1888"/>
      <c r="DCF30" s="1882"/>
      <c r="DCG30" s="1882"/>
      <c r="DCH30" s="1882"/>
      <c r="DCJ30" s="1887"/>
      <c r="DCK30" s="1888"/>
      <c r="DCL30" s="1882"/>
      <c r="DCM30" s="1882"/>
      <c r="DCN30" s="1882"/>
      <c r="DCP30" s="1887"/>
      <c r="DCQ30" s="1888"/>
      <c r="DCR30" s="1882"/>
      <c r="DCS30" s="1882"/>
      <c r="DCT30" s="1882"/>
      <c r="DCV30" s="1887"/>
      <c r="DCW30" s="1888"/>
      <c r="DCX30" s="1882"/>
      <c r="DCY30" s="1882"/>
      <c r="DCZ30" s="1882"/>
      <c r="DDB30" s="1887"/>
      <c r="DDC30" s="1888"/>
      <c r="DDD30" s="1882"/>
      <c r="DDE30" s="1882"/>
      <c r="DDF30" s="1882"/>
      <c r="DDH30" s="1887"/>
      <c r="DDI30" s="1888"/>
      <c r="DDJ30" s="1882"/>
      <c r="DDK30" s="1882"/>
      <c r="DDL30" s="1882"/>
      <c r="DDN30" s="1887"/>
      <c r="DDO30" s="1888"/>
      <c r="DDP30" s="1882"/>
      <c r="DDQ30" s="1882"/>
      <c r="DDR30" s="1882"/>
      <c r="DDT30" s="1887"/>
      <c r="DDU30" s="1888"/>
      <c r="DDV30" s="1882"/>
      <c r="DDW30" s="1882"/>
      <c r="DDX30" s="1882"/>
      <c r="DDZ30" s="1887"/>
      <c r="DEA30" s="1888"/>
      <c r="DEB30" s="1882"/>
      <c r="DEC30" s="1882"/>
      <c r="DED30" s="1882"/>
      <c r="DEF30" s="1887"/>
      <c r="DEG30" s="1888"/>
      <c r="DEH30" s="1882"/>
      <c r="DEI30" s="1882"/>
      <c r="DEJ30" s="1882"/>
      <c r="DEL30" s="1887"/>
      <c r="DEM30" s="1888"/>
      <c r="DEN30" s="1882"/>
      <c r="DEO30" s="1882"/>
      <c r="DEP30" s="1882"/>
      <c r="DER30" s="1887"/>
      <c r="DES30" s="1888"/>
      <c r="DET30" s="1882"/>
      <c r="DEU30" s="1882"/>
      <c r="DEV30" s="1882"/>
      <c r="DEX30" s="1887"/>
      <c r="DEY30" s="1888"/>
      <c r="DEZ30" s="1882"/>
      <c r="DFA30" s="1882"/>
      <c r="DFB30" s="1882"/>
      <c r="DFD30" s="1887"/>
      <c r="DFE30" s="1888"/>
      <c r="DFF30" s="1882"/>
      <c r="DFG30" s="1882"/>
      <c r="DFH30" s="1882"/>
      <c r="DFJ30" s="1887"/>
      <c r="DFK30" s="1888"/>
      <c r="DFL30" s="1882"/>
      <c r="DFM30" s="1882"/>
      <c r="DFN30" s="1882"/>
      <c r="DFP30" s="1887"/>
      <c r="DFQ30" s="1888"/>
      <c r="DFR30" s="1882"/>
      <c r="DFS30" s="1882"/>
      <c r="DFT30" s="1882"/>
      <c r="DFV30" s="1887"/>
      <c r="DFW30" s="1888"/>
      <c r="DFX30" s="1882"/>
      <c r="DFY30" s="1882"/>
      <c r="DFZ30" s="1882"/>
      <c r="DGB30" s="1887"/>
      <c r="DGC30" s="1888"/>
      <c r="DGD30" s="1882"/>
      <c r="DGE30" s="1882"/>
      <c r="DGF30" s="1882"/>
      <c r="DGH30" s="1887"/>
      <c r="DGI30" s="1888"/>
      <c r="DGJ30" s="1882"/>
      <c r="DGK30" s="1882"/>
      <c r="DGL30" s="1882"/>
      <c r="DGN30" s="1887"/>
      <c r="DGO30" s="1888"/>
      <c r="DGP30" s="1882"/>
      <c r="DGQ30" s="1882"/>
      <c r="DGR30" s="1882"/>
      <c r="DGT30" s="1887"/>
      <c r="DGU30" s="1888"/>
      <c r="DGV30" s="1882"/>
      <c r="DGW30" s="1882"/>
      <c r="DGX30" s="1882"/>
      <c r="DGZ30" s="1887"/>
      <c r="DHA30" s="1888"/>
      <c r="DHB30" s="1882"/>
      <c r="DHC30" s="1882"/>
      <c r="DHD30" s="1882"/>
      <c r="DHF30" s="1887"/>
      <c r="DHG30" s="1888"/>
      <c r="DHH30" s="1882"/>
      <c r="DHI30" s="1882"/>
      <c r="DHJ30" s="1882"/>
      <c r="DHL30" s="1887"/>
      <c r="DHM30" s="1888"/>
      <c r="DHN30" s="1882"/>
      <c r="DHO30" s="1882"/>
      <c r="DHP30" s="1882"/>
      <c r="DHR30" s="1887"/>
      <c r="DHS30" s="1888"/>
      <c r="DHT30" s="1882"/>
      <c r="DHU30" s="1882"/>
      <c r="DHV30" s="1882"/>
      <c r="DHX30" s="1887"/>
      <c r="DHY30" s="1888"/>
      <c r="DHZ30" s="1882"/>
      <c r="DIA30" s="1882"/>
      <c r="DIB30" s="1882"/>
      <c r="DID30" s="1887"/>
      <c r="DIE30" s="1888"/>
      <c r="DIF30" s="1882"/>
      <c r="DIG30" s="1882"/>
      <c r="DIH30" s="1882"/>
      <c r="DIJ30" s="1887"/>
      <c r="DIK30" s="1888"/>
      <c r="DIL30" s="1882"/>
      <c r="DIM30" s="1882"/>
      <c r="DIN30" s="1882"/>
      <c r="DIP30" s="1887"/>
      <c r="DIQ30" s="1888"/>
      <c r="DIR30" s="1882"/>
      <c r="DIS30" s="1882"/>
      <c r="DIT30" s="1882"/>
      <c r="DIV30" s="1887"/>
      <c r="DIW30" s="1888"/>
      <c r="DIX30" s="1882"/>
      <c r="DIY30" s="1882"/>
      <c r="DIZ30" s="1882"/>
      <c r="DJB30" s="1887"/>
      <c r="DJC30" s="1888"/>
      <c r="DJD30" s="1882"/>
      <c r="DJE30" s="1882"/>
      <c r="DJF30" s="1882"/>
      <c r="DJH30" s="1887"/>
      <c r="DJI30" s="1888"/>
      <c r="DJJ30" s="1882"/>
      <c r="DJK30" s="1882"/>
      <c r="DJL30" s="1882"/>
      <c r="DJN30" s="1887"/>
      <c r="DJO30" s="1888"/>
      <c r="DJP30" s="1882"/>
      <c r="DJQ30" s="1882"/>
      <c r="DJR30" s="1882"/>
      <c r="DJT30" s="1887"/>
      <c r="DJU30" s="1888"/>
      <c r="DJV30" s="1882"/>
      <c r="DJW30" s="1882"/>
      <c r="DJX30" s="1882"/>
      <c r="DJZ30" s="1887"/>
      <c r="DKA30" s="1888"/>
      <c r="DKB30" s="1882"/>
      <c r="DKC30" s="1882"/>
      <c r="DKD30" s="1882"/>
      <c r="DKF30" s="1887"/>
      <c r="DKG30" s="1888"/>
      <c r="DKH30" s="1882"/>
      <c r="DKI30" s="1882"/>
      <c r="DKJ30" s="1882"/>
      <c r="DKL30" s="1887"/>
      <c r="DKM30" s="1888"/>
      <c r="DKN30" s="1882"/>
      <c r="DKO30" s="1882"/>
      <c r="DKP30" s="1882"/>
      <c r="DKR30" s="1887"/>
      <c r="DKS30" s="1888"/>
      <c r="DKT30" s="1882"/>
      <c r="DKU30" s="1882"/>
      <c r="DKV30" s="1882"/>
      <c r="DKX30" s="1887"/>
      <c r="DKY30" s="1888"/>
      <c r="DKZ30" s="1882"/>
      <c r="DLA30" s="1882"/>
      <c r="DLB30" s="1882"/>
      <c r="DLD30" s="1887"/>
      <c r="DLE30" s="1888"/>
      <c r="DLF30" s="1882"/>
      <c r="DLG30" s="1882"/>
      <c r="DLH30" s="1882"/>
      <c r="DLJ30" s="1887"/>
      <c r="DLK30" s="1888"/>
      <c r="DLL30" s="1882"/>
      <c r="DLM30" s="1882"/>
      <c r="DLN30" s="1882"/>
      <c r="DLP30" s="1887"/>
      <c r="DLQ30" s="1888"/>
      <c r="DLR30" s="1882"/>
      <c r="DLS30" s="1882"/>
      <c r="DLT30" s="1882"/>
      <c r="DLV30" s="1887"/>
      <c r="DLW30" s="1888"/>
      <c r="DLX30" s="1882"/>
      <c r="DLY30" s="1882"/>
      <c r="DLZ30" s="1882"/>
      <c r="DMB30" s="1887"/>
      <c r="DMC30" s="1888"/>
      <c r="DMD30" s="1882"/>
      <c r="DME30" s="1882"/>
      <c r="DMF30" s="1882"/>
      <c r="DMH30" s="1887"/>
      <c r="DMI30" s="1888"/>
      <c r="DMJ30" s="1882"/>
      <c r="DMK30" s="1882"/>
      <c r="DML30" s="1882"/>
      <c r="DMN30" s="1887"/>
      <c r="DMO30" s="1888"/>
      <c r="DMP30" s="1882"/>
      <c r="DMQ30" s="1882"/>
      <c r="DMR30" s="1882"/>
      <c r="DMT30" s="1887"/>
      <c r="DMU30" s="1888"/>
      <c r="DMV30" s="1882"/>
      <c r="DMW30" s="1882"/>
      <c r="DMX30" s="1882"/>
      <c r="DMZ30" s="1887"/>
      <c r="DNA30" s="1888"/>
      <c r="DNB30" s="1882"/>
      <c r="DNC30" s="1882"/>
      <c r="DND30" s="1882"/>
      <c r="DNF30" s="1887"/>
      <c r="DNG30" s="1888"/>
      <c r="DNH30" s="1882"/>
      <c r="DNI30" s="1882"/>
      <c r="DNJ30" s="1882"/>
      <c r="DNL30" s="1887"/>
      <c r="DNM30" s="1888"/>
      <c r="DNN30" s="1882"/>
      <c r="DNO30" s="1882"/>
      <c r="DNP30" s="1882"/>
      <c r="DNR30" s="1887"/>
      <c r="DNS30" s="1888"/>
      <c r="DNT30" s="1882"/>
      <c r="DNU30" s="1882"/>
      <c r="DNV30" s="1882"/>
      <c r="DNX30" s="1887"/>
      <c r="DNY30" s="1888"/>
      <c r="DNZ30" s="1882"/>
      <c r="DOA30" s="1882"/>
      <c r="DOB30" s="1882"/>
      <c r="DOD30" s="1887"/>
      <c r="DOE30" s="1888"/>
      <c r="DOF30" s="1882"/>
      <c r="DOG30" s="1882"/>
      <c r="DOH30" s="1882"/>
      <c r="DOJ30" s="1887"/>
      <c r="DOK30" s="1888"/>
      <c r="DOL30" s="1882"/>
      <c r="DOM30" s="1882"/>
      <c r="DON30" s="1882"/>
      <c r="DOP30" s="1887"/>
      <c r="DOQ30" s="1888"/>
      <c r="DOR30" s="1882"/>
      <c r="DOS30" s="1882"/>
      <c r="DOT30" s="1882"/>
      <c r="DOV30" s="1887"/>
      <c r="DOW30" s="1888"/>
      <c r="DOX30" s="1882"/>
      <c r="DOY30" s="1882"/>
      <c r="DOZ30" s="1882"/>
      <c r="DPB30" s="1887"/>
      <c r="DPC30" s="1888"/>
      <c r="DPD30" s="1882"/>
      <c r="DPE30" s="1882"/>
      <c r="DPF30" s="1882"/>
      <c r="DPH30" s="1887"/>
      <c r="DPI30" s="1888"/>
      <c r="DPJ30" s="1882"/>
      <c r="DPK30" s="1882"/>
      <c r="DPL30" s="1882"/>
      <c r="DPN30" s="1887"/>
      <c r="DPO30" s="1888"/>
      <c r="DPP30" s="1882"/>
      <c r="DPQ30" s="1882"/>
      <c r="DPR30" s="1882"/>
      <c r="DPT30" s="1887"/>
      <c r="DPU30" s="1888"/>
      <c r="DPV30" s="1882"/>
      <c r="DPW30" s="1882"/>
      <c r="DPX30" s="1882"/>
      <c r="DPZ30" s="1887"/>
      <c r="DQA30" s="1888"/>
      <c r="DQB30" s="1882"/>
      <c r="DQC30" s="1882"/>
      <c r="DQD30" s="1882"/>
      <c r="DQF30" s="1887"/>
      <c r="DQG30" s="1888"/>
      <c r="DQH30" s="1882"/>
      <c r="DQI30" s="1882"/>
      <c r="DQJ30" s="1882"/>
      <c r="DQL30" s="1887"/>
      <c r="DQM30" s="1888"/>
      <c r="DQN30" s="1882"/>
      <c r="DQO30" s="1882"/>
      <c r="DQP30" s="1882"/>
      <c r="DQR30" s="1887"/>
      <c r="DQS30" s="1888"/>
      <c r="DQT30" s="1882"/>
      <c r="DQU30" s="1882"/>
      <c r="DQV30" s="1882"/>
      <c r="DQX30" s="1887"/>
      <c r="DQY30" s="1888"/>
      <c r="DQZ30" s="1882"/>
      <c r="DRA30" s="1882"/>
      <c r="DRB30" s="1882"/>
      <c r="DRD30" s="1887"/>
      <c r="DRE30" s="1888"/>
      <c r="DRF30" s="1882"/>
      <c r="DRG30" s="1882"/>
      <c r="DRH30" s="1882"/>
      <c r="DRJ30" s="1887"/>
      <c r="DRK30" s="1888"/>
      <c r="DRL30" s="1882"/>
      <c r="DRM30" s="1882"/>
      <c r="DRN30" s="1882"/>
      <c r="DRP30" s="1887"/>
      <c r="DRQ30" s="1888"/>
      <c r="DRR30" s="1882"/>
      <c r="DRS30" s="1882"/>
      <c r="DRT30" s="1882"/>
      <c r="DRV30" s="1887"/>
      <c r="DRW30" s="1888"/>
      <c r="DRX30" s="1882"/>
      <c r="DRY30" s="1882"/>
      <c r="DRZ30" s="1882"/>
      <c r="DSB30" s="1887"/>
      <c r="DSC30" s="1888"/>
      <c r="DSD30" s="1882"/>
      <c r="DSE30" s="1882"/>
      <c r="DSF30" s="1882"/>
      <c r="DSH30" s="1887"/>
      <c r="DSI30" s="1888"/>
      <c r="DSJ30" s="1882"/>
      <c r="DSK30" s="1882"/>
      <c r="DSL30" s="1882"/>
      <c r="DSN30" s="1887"/>
      <c r="DSO30" s="1888"/>
      <c r="DSP30" s="1882"/>
      <c r="DSQ30" s="1882"/>
      <c r="DSR30" s="1882"/>
      <c r="DST30" s="1887"/>
      <c r="DSU30" s="1888"/>
      <c r="DSV30" s="1882"/>
      <c r="DSW30" s="1882"/>
      <c r="DSX30" s="1882"/>
      <c r="DSZ30" s="1887"/>
      <c r="DTA30" s="1888"/>
      <c r="DTB30" s="1882"/>
      <c r="DTC30" s="1882"/>
      <c r="DTD30" s="1882"/>
      <c r="DTF30" s="1887"/>
      <c r="DTG30" s="1888"/>
      <c r="DTH30" s="1882"/>
      <c r="DTI30" s="1882"/>
      <c r="DTJ30" s="1882"/>
      <c r="DTL30" s="1887"/>
      <c r="DTM30" s="1888"/>
      <c r="DTN30" s="1882"/>
      <c r="DTO30" s="1882"/>
      <c r="DTP30" s="1882"/>
      <c r="DTR30" s="1887"/>
      <c r="DTS30" s="1888"/>
      <c r="DTT30" s="1882"/>
      <c r="DTU30" s="1882"/>
      <c r="DTV30" s="1882"/>
      <c r="DTX30" s="1887"/>
      <c r="DTY30" s="1888"/>
      <c r="DTZ30" s="1882"/>
      <c r="DUA30" s="1882"/>
      <c r="DUB30" s="1882"/>
      <c r="DUD30" s="1887"/>
      <c r="DUE30" s="1888"/>
      <c r="DUF30" s="1882"/>
      <c r="DUG30" s="1882"/>
      <c r="DUH30" s="1882"/>
      <c r="DUJ30" s="1887"/>
      <c r="DUK30" s="1888"/>
      <c r="DUL30" s="1882"/>
      <c r="DUM30" s="1882"/>
      <c r="DUN30" s="1882"/>
      <c r="DUP30" s="1887"/>
      <c r="DUQ30" s="1888"/>
      <c r="DUR30" s="1882"/>
      <c r="DUS30" s="1882"/>
      <c r="DUT30" s="1882"/>
      <c r="DUV30" s="1887"/>
      <c r="DUW30" s="1888"/>
      <c r="DUX30" s="1882"/>
      <c r="DUY30" s="1882"/>
      <c r="DUZ30" s="1882"/>
      <c r="DVB30" s="1887"/>
      <c r="DVC30" s="1888"/>
      <c r="DVD30" s="1882"/>
      <c r="DVE30" s="1882"/>
      <c r="DVF30" s="1882"/>
      <c r="DVH30" s="1887"/>
      <c r="DVI30" s="1888"/>
      <c r="DVJ30" s="1882"/>
      <c r="DVK30" s="1882"/>
      <c r="DVL30" s="1882"/>
      <c r="DVN30" s="1887"/>
      <c r="DVO30" s="1888"/>
      <c r="DVP30" s="1882"/>
      <c r="DVQ30" s="1882"/>
      <c r="DVR30" s="1882"/>
      <c r="DVT30" s="1887"/>
      <c r="DVU30" s="1888"/>
      <c r="DVV30" s="1882"/>
      <c r="DVW30" s="1882"/>
      <c r="DVX30" s="1882"/>
      <c r="DVZ30" s="1887"/>
      <c r="DWA30" s="1888"/>
      <c r="DWB30" s="1882"/>
      <c r="DWC30" s="1882"/>
      <c r="DWD30" s="1882"/>
      <c r="DWF30" s="1887"/>
      <c r="DWG30" s="1888"/>
      <c r="DWH30" s="1882"/>
      <c r="DWI30" s="1882"/>
      <c r="DWJ30" s="1882"/>
      <c r="DWL30" s="1887"/>
      <c r="DWM30" s="1888"/>
      <c r="DWN30" s="1882"/>
      <c r="DWO30" s="1882"/>
      <c r="DWP30" s="1882"/>
      <c r="DWR30" s="1887"/>
      <c r="DWS30" s="1888"/>
      <c r="DWT30" s="1882"/>
      <c r="DWU30" s="1882"/>
      <c r="DWV30" s="1882"/>
      <c r="DWX30" s="1887"/>
      <c r="DWY30" s="1888"/>
      <c r="DWZ30" s="1882"/>
      <c r="DXA30" s="1882"/>
      <c r="DXB30" s="1882"/>
      <c r="DXD30" s="1887"/>
      <c r="DXE30" s="1888"/>
      <c r="DXF30" s="1882"/>
      <c r="DXG30" s="1882"/>
      <c r="DXH30" s="1882"/>
      <c r="DXJ30" s="1887"/>
      <c r="DXK30" s="1888"/>
      <c r="DXL30" s="1882"/>
      <c r="DXM30" s="1882"/>
      <c r="DXN30" s="1882"/>
      <c r="DXP30" s="1887"/>
      <c r="DXQ30" s="1888"/>
      <c r="DXR30" s="1882"/>
      <c r="DXS30" s="1882"/>
      <c r="DXT30" s="1882"/>
      <c r="DXV30" s="1887"/>
      <c r="DXW30" s="1888"/>
      <c r="DXX30" s="1882"/>
      <c r="DXY30" s="1882"/>
      <c r="DXZ30" s="1882"/>
      <c r="DYB30" s="1887"/>
      <c r="DYC30" s="1888"/>
      <c r="DYD30" s="1882"/>
      <c r="DYE30" s="1882"/>
      <c r="DYF30" s="1882"/>
      <c r="DYH30" s="1887"/>
      <c r="DYI30" s="1888"/>
      <c r="DYJ30" s="1882"/>
      <c r="DYK30" s="1882"/>
      <c r="DYL30" s="1882"/>
      <c r="DYN30" s="1887"/>
      <c r="DYO30" s="1888"/>
      <c r="DYP30" s="1882"/>
      <c r="DYQ30" s="1882"/>
      <c r="DYR30" s="1882"/>
      <c r="DYT30" s="1887"/>
      <c r="DYU30" s="1888"/>
      <c r="DYV30" s="1882"/>
      <c r="DYW30" s="1882"/>
      <c r="DYX30" s="1882"/>
      <c r="DYZ30" s="1887"/>
      <c r="DZA30" s="1888"/>
      <c r="DZB30" s="1882"/>
      <c r="DZC30" s="1882"/>
      <c r="DZD30" s="1882"/>
      <c r="DZF30" s="1887"/>
      <c r="DZG30" s="1888"/>
      <c r="DZH30" s="1882"/>
      <c r="DZI30" s="1882"/>
      <c r="DZJ30" s="1882"/>
      <c r="DZL30" s="1887"/>
      <c r="DZM30" s="1888"/>
      <c r="DZN30" s="1882"/>
      <c r="DZO30" s="1882"/>
      <c r="DZP30" s="1882"/>
      <c r="DZR30" s="1887"/>
      <c r="DZS30" s="1888"/>
      <c r="DZT30" s="1882"/>
      <c r="DZU30" s="1882"/>
      <c r="DZV30" s="1882"/>
      <c r="DZX30" s="1887"/>
      <c r="DZY30" s="1888"/>
      <c r="DZZ30" s="1882"/>
      <c r="EAA30" s="1882"/>
      <c r="EAB30" s="1882"/>
      <c r="EAD30" s="1887"/>
      <c r="EAE30" s="1888"/>
      <c r="EAF30" s="1882"/>
      <c r="EAG30" s="1882"/>
      <c r="EAH30" s="1882"/>
      <c r="EAJ30" s="1887"/>
      <c r="EAK30" s="1888"/>
      <c r="EAL30" s="1882"/>
      <c r="EAM30" s="1882"/>
      <c r="EAN30" s="1882"/>
      <c r="EAP30" s="1887"/>
      <c r="EAQ30" s="1888"/>
      <c r="EAR30" s="1882"/>
      <c r="EAS30" s="1882"/>
      <c r="EAT30" s="1882"/>
      <c r="EAV30" s="1887"/>
      <c r="EAW30" s="1888"/>
      <c r="EAX30" s="1882"/>
      <c r="EAY30" s="1882"/>
      <c r="EAZ30" s="1882"/>
      <c r="EBB30" s="1887"/>
      <c r="EBC30" s="1888"/>
      <c r="EBD30" s="1882"/>
      <c r="EBE30" s="1882"/>
      <c r="EBF30" s="1882"/>
      <c r="EBH30" s="1887"/>
      <c r="EBI30" s="1888"/>
      <c r="EBJ30" s="1882"/>
      <c r="EBK30" s="1882"/>
      <c r="EBL30" s="1882"/>
      <c r="EBN30" s="1887"/>
      <c r="EBO30" s="1888"/>
      <c r="EBP30" s="1882"/>
      <c r="EBQ30" s="1882"/>
      <c r="EBR30" s="1882"/>
      <c r="EBT30" s="1887"/>
      <c r="EBU30" s="1888"/>
      <c r="EBV30" s="1882"/>
      <c r="EBW30" s="1882"/>
      <c r="EBX30" s="1882"/>
      <c r="EBZ30" s="1887"/>
      <c r="ECA30" s="1888"/>
      <c r="ECB30" s="1882"/>
      <c r="ECC30" s="1882"/>
      <c r="ECD30" s="1882"/>
      <c r="ECF30" s="1887"/>
      <c r="ECG30" s="1888"/>
      <c r="ECH30" s="1882"/>
      <c r="ECI30" s="1882"/>
      <c r="ECJ30" s="1882"/>
      <c r="ECL30" s="1887"/>
      <c r="ECM30" s="1888"/>
      <c r="ECN30" s="1882"/>
      <c r="ECO30" s="1882"/>
      <c r="ECP30" s="1882"/>
      <c r="ECR30" s="1887"/>
      <c r="ECS30" s="1888"/>
      <c r="ECT30" s="1882"/>
      <c r="ECU30" s="1882"/>
      <c r="ECV30" s="1882"/>
      <c r="ECX30" s="1887"/>
      <c r="ECY30" s="1888"/>
      <c r="ECZ30" s="1882"/>
      <c r="EDA30" s="1882"/>
      <c r="EDB30" s="1882"/>
      <c r="EDD30" s="1887"/>
      <c r="EDE30" s="1888"/>
      <c r="EDF30" s="1882"/>
      <c r="EDG30" s="1882"/>
      <c r="EDH30" s="1882"/>
      <c r="EDJ30" s="1887"/>
      <c r="EDK30" s="1888"/>
      <c r="EDL30" s="1882"/>
      <c r="EDM30" s="1882"/>
      <c r="EDN30" s="1882"/>
      <c r="EDP30" s="1887"/>
      <c r="EDQ30" s="1888"/>
      <c r="EDR30" s="1882"/>
      <c r="EDS30" s="1882"/>
      <c r="EDT30" s="1882"/>
      <c r="EDV30" s="1887"/>
      <c r="EDW30" s="1888"/>
      <c r="EDX30" s="1882"/>
      <c r="EDY30" s="1882"/>
      <c r="EDZ30" s="1882"/>
      <c r="EEB30" s="1887"/>
      <c r="EEC30" s="1888"/>
      <c r="EED30" s="1882"/>
      <c r="EEE30" s="1882"/>
      <c r="EEF30" s="1882"/>
      <c r="EEH30" s="1887"/>
      <c r="EEI30" s="1888"/>
      <c r="EEJ30" s="1882"/>
      <c r="EEK30" s="1882"/>
      <c r="EEL30" s="1882"/>
      <c r="EEN30" s="1887"/>
      <c r="EEO30" s="1888"/>
      <c r="EEP30" s="1882"/>
      <c r="EEQ30" s="1882"/>
      <c r="EER30" s="1882"/>
      <c r="EET30" s="1887"/>
      <c r="EEU30" s="1888"/>
      <c r="EEV30" s="1882"/>
      <c r="EEW30" s="1882"/>
      <c r="EEX30" s="1882"/>
      <c r="EEZ30" s="1887"/>
      <c r="EFA30" s="1888"/>
      <c r="EFB30" s="1882"/>
      <c r="EFC30" s="1882"/>
      <c r="EFD30" s="1882"/>
      <c r="EFF30" s="1887"/>
      <c r="EFG30" s="1888"/>
      <c r="EFH30" s="1882"/>
      <c r="EFI30" s="1882"/>
      <c r="EFJ30" s="1882"/>
      <c r="EFL30" s="1887"/>
      <c r="EFM30" s="1888"/>
      <c r="EFN30" s="1882"/>
      <c r="EFO30" s="1882"/>
      <c r="EFP30" s="1882"/>
      <c r="EFR30" s="1887"/>
      <c r="EFS30" s="1888"/>
      <c r="EFT30" s="1882"/>
      <c r="EFU30" s="1882"/>
      <c r="EFV30" s="1882"/>
      <c r="EFX30" s="1887"/>
      <c r="EFY30" s="1888"/>
      <c r="EFZ30" s="1882"/>
      <c r="EGA30" s="1882"/>
      <c r="EGB30" s="1882"/>
      <c r="EGD30" s="1887"/>
      <c r="EGE30" s="1888"/>
      <c r="EGF30" s="1882"/>
      <c r="EGG30" s="1882"/>
      <c r="EGH30" s="1882"/>
      <c r="EGJ30" s="1887"/>
      <c r="EGK30" s="1888"/>
      <c r="EGL30" s="1882"/>
      <c r="EGM30" s="1882"/>
      <c r="EGN30" s="1882"/>
      <c r="EGP30" s="1887"/>
      <c r="EGQ30" s="1888"/>
      <c r="EGR30" s="1882"/>
      <c r="EGS30" s="1882"/>
      <c r="EGT30" s="1882"/>
      <c r="EGV30" s="1887"/>
      <c r="EGW30" s="1888"/>
      <c r="EGX30" s="1882"/>
      <c r="EGY30" s="1882"/>
      <c r="EGZ30" s="1882"/>
      <c r="EHB30" s="1887"/>
      <c r="EHC30" s="1888"/>
      <c r="EHD30" s="1882"/>
      <c r="EHE30" s="1882"/>
      <c r="EHF30" s="1882"/>
      <c r="EHH30" s="1887"/>
      <c r="EHI30" s="1888"/>
      <c r="EHJ30" s="1882"/>
      <c r="EHK30" s="1882"/>
      <c r="EHL30" s="1882"/>
      <c r="EHN30" s="1887"/>
      <c r="EHO30" s="1888"/>
      <c r="EHP30" s="1882"/>
      <c r="EHQ30" s="1882"/>
      <c r="EHR30" s="1882"/>
      <c r="EHT30" s="1887"/>
      <c r="EHU30" s="1888"/>
      <c r="EHV30" s="1882"/>
      <c r="EHW30" s="1882"/>
      <c r="EHX30" s="1882"/>
      <c r="EHZ30" s="1887"/>
      <c r="EIA30" s="1888"/>
      <c r="EIB30" s="1882"/>
      <c r="EIC30" s="1882"/>
      <c r="EID30" s="1882"/>
      <c r="EIF30" s="1887"/>
      <c r="EIG30" s="1888"/>
      <c r="EIH30" s="1882"/>
      <c r="EII30" s="1882"/>
      <c r="EIJ30" s="1882"/>
      <c r="EIL30" s="1887"/>
      <c r="EIM30" s="1888"/>
      <c r="EIN30" s="1882"/>
      <c r="EIO30" s="1882"/>
      <c r="EIP30" s="1882"/>
      <c r="EIR30" s="1887"/>
      <c r="EIS30" s="1888"/>
      <c r="EIT30" s="1882"/>
      <c r="EIU30" s="1882"/>
      <c r="EIV30" s="1882"/>
      <c r="EIX30" s="1887"/>
      <c r="EIY30" s="1888"/>
      <c r="EIZ30" s="1882"/>
      <c r="EJA30" s="1882"/>
      <c r="EJB30" s="1882"/>
      <c r="EJD30" s="1887"/>
      <c r="EJE30" s="1888"/>
      <c r="EJF30" s="1882"/>
      <c r="EJG30" s="1882"/>
      <c r="EJH30" s="1882"/>
      <c r="EJJ30" s="1887"/>
      <c r="EJK30" s="1888"/>
      <c r="EJL30" s="1882"/>
      <c r="EJM30" s="1882"/>
      <c r="EJN30" s="1882"/>
      <c r="EJP30" s="1887"/>
      <c r="EJQ30" s="1888"/>
      <c r="EJR30" s="1882"/>
      <c r="EJS30" s="1882"/>
      <c r="EJT30" s="1882"/>
      <c r="EJV30" s="1887"/>
      <c r="EJW30" s="1888"/>
      <c r="EJX30" s="1882"/>
      <c r="EJY30" s="1882"/>
      <c r="EJZ30" s="1882"/>
      <c r="EKB30" s="1887"/>
      <c r="EKC30" s="1888"/>
      <c r="EKD30" s="1882"/>
      <c r="EKE30" s="1882"/>
      <c r="EKF30" s="1882"/>
      <c r="EKH30" s="1887"/>
      <c r="EKI30" s="1888"/>
      <c r="EKJ30" s="1882"/>
      <c r="EKK30" s="1882"/>
      <c r="EKL30" s="1882"/>
      <c r="EKN30" s="1887"/>
      <c r="EKO30" s="1888"/>
      <c r="EKP30" s="1882"/>
      <c r="EKQ30" s="1882"/>
      <c r="EKR30" s="1882"/>
      <c r="EKT30" s="1887"/>
      <c r="EKU30" s="1888"/>
      <c r="EKV30" s="1882"/>
      <c r="EKW30" s="1882"/>
      <c r="EKX30" s="1882"/>
      <c r="EKZ30" s="1887"/>
      <c r="ELA30" s="1888"/>
      <c r="ELB30" s="1882"/>
      <c r="ELC30" s="1882"/>
      <c r="ELD30" s="1882"/>
      <c r="ELF30" s="1887"/>
      <c r="ELG30" s="1888"/>
      <c r="ELH30" s="1882"/>
      <c r="ELI30" s="1882"/>
      <c r="ELJ30" s="1882"/>
      <c r="ELL30" s="1887"/>
      <c r="ELM30" s="1888"/>
      <c r="ELN30" s="1882"/>
      <c r="ELO30" s="1882"/>
      <c r="ELP30" s="1882"/>
      <c r="ELR30" s="1887"/>
      <c r="ELS30" s="1888"/>
      <c r="ELT30" s="1882"/>
      <c r="ELU30" s="1882"/>
      <c r="ELV30" s="1882"/>
      <c r="ELX30" s="1887"/>
      <c r="ELY30" s="1888"/>
      <c r="ELZ30" s="1882"/>
      <c r="EMA30" s="1882"/>
      <c r="EMB30" s="1882"/>
      <c r="EMD30" s="1887"/>
      <c r="EME30" s="1888"/>
      <c r="EMF30" s="1882"/>
      <c r="EMG30" s="1882"/>
      <c r="EMH30" s="1882"/>
      <c r="EMJ30" s="1887"/>
      <c r="EMK30" s="1888"/>
      <c r="EML30" s="1882"/>
      <c r="EMM30" s="1882"/>
      <c r="EMN30" s="1882"/>
      <c r="EMP30" s="1887"/>
      <c r="EMQ30" s="1888"/>
      <c r="EMR30" s="1882"/>
      <c r="EMS30" s="1882"/>
      <c r="EMT30" s="1882"/>
      <c r="EMV30" s="1887"/>
      <c r="EMW30" s="1888"/>
      <c r="EMX30" s="1882"/>
      <c r="EMY30" s="1882"/>
      <c r="EMZ30" s="1882"/>
      <c r="ENB30" s="1887"/>
      <c r="ENC30" s="1888"/>
      <c r="END30" s="1882"/>
      <c r="ENE30" s="1882"/>
      <c r="ENF30" s="1882"/>
      <c r="ENH30" s="1887"/>
      <c r="ENI30" s="1888"/>
      <c r="ENJ30" s="1882"/>
      <c r="ENK30" s="1882"/>
      <c r="ENL30" s="1882"/>
      <c r="ENN30" s="1887"/>
      <c r="ENO30" s="1888"/>
      <c r="ENP30" s="1882"/>
      <c r="ENQ30" s="1882"/>
      <c r="ENR30" s="1882"/>
      <c r="ENT30" s="1887"/>
      <c r="ENU30" s="1888"/>
      <c r="ENV30" s="1882"/>
      <c r="ENW30" s="1882"/>
      <c r="ENX30" s="1882"/>
      <c r="ENZ30" s="1887"/>
      <c r="EOA30" s="1888"/>
      <c r="EOB30" s="1882"/>
      <c r="EOC30" s="1882"/>
      <c r="EOD30" s="1882"/>
      <c r="EOF30" s="1887"/>
      <c r="EOG30" s="1888"/>
      <c r="EOH30" s="1882"/>
      <c r="EOI30" s="1882"/>
      <c r="EOJ30" s="1882"/>
      <c r="EOL30" s="1887"/>
      <c r="EOM30" s="1888"/>
      <c r="EON30" s="1882"/>
      <c r="EOO30" s="1882"/>
      <c r="EOP30" s="1882"/>
      <c r="EOR30" s="1887"/>
      <c r="EOS30" s="1888"/>
      <c r="EOT30" s="1882"/>
      <c r="EOU30" s="1882"/>
      <c r="EOV30" s="1882"/>
      <c r="EOX30" s="1887"/>
      <c r="EOY30" s="1888"/>
      <c r="EOZ30" s="1882"/>
      <c r="EPA30" s="1882"/>
      <c r="EPB30" s="1882"/>
      <c r="EPD30" s="1887"/>
      <c r="EPE30" s="1888"/>
      <c r="EPF30" s="1882"/>
      <c r="EPG30" s="1882"/>
      <c r="EPH30" s="1882"/>
      <c r="EPJ30" s="1887"/>
      <c r="EPK30" s="1888"/>
      <c r="EPL30" s="1882"/>
      <c r="EPM30" s="1882"/>
      <c r="EPN30" s="1882"/>
      <c r="EPP30" s="1887"/>
      <c r="EPQ30" s="1888"/>
      <c r="EPR30" s="1882"/>
      <c r="EPS30" s="1882"/>
      <c r="EPT30" s="1882"/>
      <c r="EPV30" s="1887"/>
      <c r="EPW30" s="1888"/>
      <c r="EPX30" s="1882"/>
      <c r="EPY30" s="1882"/>
      <c r="EPZ30" s="1882"/>
      <c r="EQB30" s="1887"/>
      <c r="EQC30" s="1888"/>
      <c r="EQD30" s="1882"/>
      <c r="EQE30" s="1882"/>
      <c r="EQF30" s="1882"/>
      <c r="EQH30" s="1887"/>
      <c r="EQI30" s="1888"/>
      <c r="EQJ30" s="1882"/>
      <c r="EQK30" s="1882"/>
      <c r="EQL30" s="1882"/>
      <c r="EQN30" s="1887"/>
      <c r="EQO30" s="1888"/>
      <c r="EQP30" s="1882"/>
      <c r="EQQ30" s="1882"/>
      <c r="EQR30" s="1882"/>
      <c r="EQT30" s="1887"/>
      <c r="EQU30" s="1888"/>
      <c r="EQV30" s="1882"/>
      <c r="EQW30" s="1882"/>
      <c r="EQX30" s="1882"/>
      <c r="EQZ30" s="1887"/>
      <c r="ERA30" s="1888"/>
      <c r="ERB30" s="1882"/>
      <c r="ERC30" s="1882"/>
      <c r="ERD30" s="1882"/>
      <c r="ERF30" s="1887"/>
      <c r="ERG30" s="1888"/>
      <c r="ERH30" s="1882"/>
      <c r="ERI30" s="1882"/>
      <c r="ERJ30" s="1882"/>
      <c r="ERL30" s="1887"/>
      <c r="ERM30" s="1888"/>
      <c r="ERN30" s="1882"/>
      <c r="ERO30" s="1882"/>
      <c r="ERP30" s="1882"/>
      <c r="ERR30" s="1887"/>
      <c r="ERS30" s="1888"/>
      <c r="ERT30" s="1882"/>
      <c r="ERU30" s="1882"/>
      <c r="ERV30" s="1882"/>
      <c r="ERX30" s="1887"/>
      <c r="ERY30" s="1888"/>
      <c r="ERZ30" s="1882"/>
      <c r="ESA30" s="1882"/>
      <c r="ESB30" s="1882"/>
      <c r="ESD30" s="1887"/>
      <c r="ESE30" s="1888"/>
      <c r="ESF30" s="1882"/>
      <c r="ESG30" s="1882"/>
      <c r="ESH30" s="1882"/>
      <c r="ESJ30" s="1887"/>
      <c r="ESK30" s="1888"/>
      <c r="ESL30" s="1882"/>
      <c r="ESM30" s="1882"/>
      <c r="ESN30" s="1882"/>
      <c r="ESP30" s="1887"/>
      <c r="ESQ30" s="1888"/>
      <c r="ESR30" s="1882"/>
      <c r="ESS30" s="1882"/>
      <c r="EST30" s="1882"/>
      <c r="ESV30" s="1887"/>
      <c r="ESW30" s="1888"/>
      <c r="ESX30" s="1882"/>
      <c r="ESY30" s="1882"/>
      <c r="ESZ30" s="1882"/>
      <c r="ETB30" s="1887"/>
      <c r="ETC30" s="1888"/>
      <c r="ETD30" s="1882"/>
      <c r="ETE30" s="1882"/>
      <c r="ETF30" s="1882"/>
      <c r="ETH30" s="1887"/>
      <c r="ETI30" s="1888"/>
      <c r="ETJ30" s="1882"/>
      <c r="ETK30" s="1882"/>
      <c r="ETL30" s="1882"/>
      <c r="ETN30" s="1887"/>
      <c r="ETO30" s="1888"/>
      <c r="ETP30" s="1882"/>
      <c r="ETQ30" s="1882"/>
      <c r="ETR30" s="1882"/>
      <c r="ETT30" s="1887"/>
      <c r="ETU30" s="1888"/>
      <c r="ETV30" s="1882"/>
      <c r="ETW30" s="1882"/>
      <c r="ETX30" s="1882"/>
      <c r="ETZ30" s="1887"/>
      <c r="EUA30" s="1888"/>
      <c r="EUB30" s="1882"/>
      <c r="EUC30" s="1882"/>
      <c r="EUD30" s="1882"/>
      <c r="EUF30" s="1887"/>
      <c r="EUG30" s="1888"/>
      <c r="EUH30" s="1882"/>
      <c r="EUI30" s="1882"/>
      <c r="EUJ30" s="1882"/>
      <c r="EUL30" s="1887"/>
      <c r="EUM30" s="1888"/>
      <c r="EUN30" s="1882"/>
      <c r="EUO30" s="1882"/>
      <c r="EUP30" s="1882"/>
      <c r="EUR30" s="1887"/>
      <c r="EUS30" s="1888"/>
      <c r="EUT30" s="1882"/>
      <c r="EUU30" s="1882"/>
      <c r="EUV30" s="1882"/>
      <c r="EUX30" s="1887"/>
      <c r="EUY30" s="1888"/>
      <c r="EUZ30" s="1882"/>
      <c r="EVA30" s="1882"/>
      <c r="EVB30" s="1882"/>
      <c r="EVD30" s="1887"/>
      <c r="EVE30" s="1888"/>
      <c r="EVF30" s="1882"/>
      <c r="EVG30" s="1882"/>
      <c r="EVH30" s="1882"/>
      <c r="EVJ30" s="1887"/>
      <c r="EVK30" s="1888"/>
      <c r="EVL30" s="1882"/>
      <c r="EVM30" s="1882"/>
      <c r="EVN30" s="1882"/>
      <c r="EVP30" s="1887"/>
      <c r="EVQ30" s="1888"/>
      <c r="EVR30" s="1882"/>
      <c r="EVS30" s="1882"/>
      <c r="EVT30" s="1882"/>
      <c r="EVV30" s="1887"/>
      <c r="EVW30" s="1888"/>
      <c r="EVX30" s="1882"/>
      <c r="EVY30" s="1882"/>
      <c r="EVZ30" s="1882"/>
      <c r="EWB30" s="1887"/>
      <c r="EWC30" s="1888"/>
      <c r="EWD30" s="1882"/>
      <c r="EWE30" s="1882"/>
      <c r="EWF30" s="1882"/>
      <c r="EWH30" s="1887"/>
      <c r="EWI30" s="1888"/>
      <c r="EWJ30" s="1882"/>
      <c r="EWK30" s="1882"/>
      <c r="EWL30" s="1882"/>
      <c r="EWN30" s="1887"/>
      <c r="EWO30" s="1888"/>
      <c r="EWP30" s="1882"/>
      <c r="EWQ30" s="1882"/>
      <c r="EWR30" s="1882"/>
      <c r="EWT30" s="1887"/>
      <c r="EWU30" s="1888"/>
      <c r="EWV30" s="1882"/>
      <c r="EWW30" s="1882"/>
      <c r="EWX30" s="1882"/>
      <c r="EWZ30" s="1887"/>
      <c r="EXA30" s="1888"/>
      <c r="EXB30" s="1882"/>
      <c r="EXC30" s="1882"/>
      <c r="EXD30" s="1882"/>
      <c r="EXF30" s="1887"/>
      <c r="EXG30" s="1888"/>
      <c r="EXH30" s="1882"/>
      <c r="EXI30" s="1882"/>
      <c r="EXJ30" s="1882"/>
      <c r="EXL30" s="1887"/>
      <c r="EXM30" s="1888"/>
      <c r="EXN30" s="1882"/>
      <c r="EXO30" s="1882"/>
      <c r="EXP30" s="1882"/>
      <c r="EXR30" s="1887"/>
      <c r="EXS30" s="1888"/>
      <c r="EXT30" s="1882"/>
      <c r="EXU30" s="1882"/>
      <c r="EXV30" s="1882"/>
      <c r="EXX30" s="1887"/>
      <c r="EXY30" s="1888"/>
      <c r="EXZ30" s="1882"/>
      <c r="EYA30" s="1882"/>
      <c r="EYB30" s="1882"/>
      <c r="EYD30" s="1887"/>
      <c r="EYE30" s="1888"/>
      <c r="EYF30" s="1882"/>
      <c r="EYG30" s="1882"/>
      <c r="EYH30" s="1882"/>
      <c r="EYJ30" s="1887"/>
      <c r="EYK30" s="1888"/>
      <c r="EYL30" s="1882"/>
      <c r="EYM30" s="1882"/>
      <c r="EYN30" s="1882"/>
      <c r="EYP30" s="1887"/>
      <c r="EYQ30" s="1888"/>
      <c r="EYR30" s="1882"/>
      <c r="EYS30" s="1882"/>
      <c r="EYT30" s="1882"/>
      <c r="EYV30" s="1887"/>
      <c r="EYW30" s="1888"/>
      <c r="EYX30" s="1882"/>
      <c r="EYY30" s="1882"/>
      <c r="EYZ30" s="1882"/>
      <c r="EZB30" s="1887"/>
      <c r="EZC30" s="1888"/>
      <c r="EZD30" s="1882"/>
      <c r="EZE30" s="1882"/>
      <c r="EZF30" s="1882"/>
      <c r="EZH30" s="1887"/>
      <c r="EZI30" s="1888"/>
      <c r="EZJ30" s="1882"/>
      <c r="EZK30" s="1882"/>
      <c r="EZL30" s="1882"/>
      <c r="EZN30" s="1887"/>
      <c r="EZO30" s="1888"/>
      <c r="EZP30" s="1882"/>
      <c r="EZQ30" s="1882"/>
      <c r="EZR30" s="1882"/>
      <c r="EZT30" s="1887"/>
      <c r="EZU30" s="1888"/>
      <c r="EZV30" s="1882"/>
      <c r="EZW30" s="1882"/>
      <c r="EZX30" s="1882"/>
      <c r="EZZ30" s="1887"/>
      <c r="FAA30" s="1888"/>
      <c r="FAB30" s="1882"/>
      <c r="FAC30" s="1882"/>
      <c r="FAD30" s="1882"/>
      <c r="FAF30" s="1887"/>
      <c r="FAG30" s="1888"/>
      <c r="FAH30" s="1882"/>
      <c r="FAI30" s="1882"/>
      <c r="FAJ30" s="1882"/>
      <c r="FAL30" s="1887"/>
      <c r="FAM30" s="1888"/>
      <c r="FAN30" s="1882"/>
      <c r="FAO30" s="1882"/>
      <c r="FAP30" s="1882"/>
      <c r="FAR30" s="1887"/>
      <c r="FAS30" s="1888"/>
      <c r="FAT30" s="1882"/>
      <c r="FAU30" s="1882"/>
      <c r="FAV30" s="1882"/>
      <c r="FAX30" s="1887"/>
      <c r="FAY30" s="1888"/>
      <c r="FAZ30" s="1882"/>
      <c r="FBA30" s="1882"/>
      <c r="FBB30" s="1882"/>
      <c r="FBD30" s="1887"/>
      <c r="FBE30" s="1888"/>
      <c r="FBF30" s="1882"/>
      <c r="FBG30" s="1882"/>
      <c r="FBH30" s="1882"/>
      <c r="FBJ30" s="1887"/>
      <c r="FBK30" s="1888"/>
      <c r="FBL30" s="1882"/>
      <c r="FBM30" s="1882"/>
      <c r="FBN30" s="1882"/>
      <c r="FBP30" s="1887"/>
      <c r="FBQ30" s="1888"/>
      <c r="FBR30" s="1882"/>
      <c r="FBS30" s="1882"/>
      <c r="FBT30" s="1882"/>
      <c r="FBV30" s="1887"/>
      <c r="FBW30" s="1888"/>
      <c r="FBX30" s="1882"/>
      <c r="FBY30" s="1882"/>
      <c r="FBZ30" s="1882"/>
      <c r="FCB30" s="1887"/>
      <c r="FCC30" s="1888"/>
      <c r="FCD30" s="1882"/>
      <c r="FCE30" s="1882"/>
      <c r="FCF30" s="1882"/>
      <c r="FCH30" s="1887"/>
      <c r="FCI30" s="1888"/>
      <c r="FCJ30" s="1882"/>
      <c r="FCK30" s="1882"/>
      <c r="FCL30" s="1882"/>
      <c r="FCN30" s="1887"/>
      <c r="FCO30" s="1888"/>
      <c r="FCP30" s="1882"/>
      <c r="FCQ30" s="1882"/>
      <c r="FCR30" s="1882"/>
      <c r="FCT30" s="1887"/>
      <c r="FCU30" s="1888"/>
      <c r="FCV30" s="1882"/>
      <c r="FCW30" s="1882"/>
      <c r="FCX30" s="1882"/>
      <c r="FCZ30" s="1887"/>
      <c r="FDA30" s="1888"/>
      <c r="FDB30" s="1882"/>
      <c r="FDC30" s="1882"/>
      <c r="FDD30" s="1882"/>
      <c r="FDF30" s="1887"/>
      <c r="FDG30" s="1888"/>
      <c r="FDH30" s="1882"/>
      <c r="FDI30" s="1882"/>
      <c r="FDJ30" s="1882"/>
      <c r="FDL30" s="1887"/>
      <c r="FDM30" s="1888"/>
      <c r="FDN30" s="1882"/>
      <c r="FDO30" s="1882"/>
      <c r="FDP30" s="1882"/>
      <c r="FDR30" s="1887"/>
      <c r="FDS30" s="1888"/>
      <c r="FDT30" s="1882"/>
      <c r="FDU30" s="1882"/>
      <c r="FDV30" s="1882"/>
      <c r="FDX30" s="1887"/>
      <c r="FDY30" s="1888"/>
      <c r="FDZ30" s="1882"/>
      <c r="FEA30" s="1882"/>
      <c r="FEB30" s="1882"/>
      <c r="FED30" s="1887"/>
      <c r="FEE30" s="1888"/>
      <c r="FEF30" s="1882"/>
      <c r="FEG30" s="1882"/>
      <c r="FEH30" s="1882"/>
      <c r="FEJ30" s="1887"/>
      <c r="FEK30" s="1888"/>
      <c r="FEL30" s="1882"/>
      <c r="FEM30" s="1882"/>
      <c r="FEN30" s="1882"/>
      <c r="FEP30" s="1887"/>
      <c r="FEQ30" s="1888"/>
      <c r="FER30" s="1882"/>
      <c r="FES30" s="1882"/>
      <c r="FET30" s="1882"/>
      <c r="FEV30" s="1887"/>
      <c r="FEW30" s="1888"/>
      <c r="FEX30" s="1882"/>
      <c r="FEY30" s="1882"/>
      <c r="FEZ30" s="1882"/>
      <c r="FFB30" s="1887"/>
      <c r="FFC30" s="1888"/>
      <c r="FFD30" s="1882"/>
      <c r="FFE30" s="1882"/>
      <c r="FFF30" s="1882"/>
      <c r="FFH30" s="1887"/>
      <c r="FFI30" s="1888"/>
      <c r="FFJ30" s="1882"/>
      <c r="FFK30" s="1882"/>
      <c r="FFL30" s="1882"/>
      <c r="FFN30" s="1887"/>
      <c r="FFO30" s="1888"/>
      <c r="FFP30" s="1882"/>
      <c r="FFQ30" s="1882"/>
      <c r="FFR30" s="1882"/>
      <c r="FFT30" s="1887"/>
      <c r="FFU30" s="1888"/>
      <c r="FFV30" s="1882"/>
      <c r="FFW30" s="1882"/>
      <c r="FFX30" s="1882"/>
      <c r="FFZ30" s="1887"/>
      <c r="FGA30" s="1888"/>
      <c r="FGB30" s="1882"/>
      <c r="FGC30" s="1882"/>
      <c r="FGD30" s="1882"/>
      <c r="FGF30" s="1887"/>
      <c r="FGG30" s="1888"/>
      <c r="FGH30" s="1882"/>
      <c r="FGI30" s="1882"/>
      <c r="FGJ30" s="1882"/>
      <c r="FGL30" s="1887"/>
      <c r="FGM30" s="1888"/>
      <c r="FGN30" s="1882"/>
      <c r="FGO30" s="1882"/>
      <c r="FGP30" s="1882"/>
      <c r="FGR30" s="1887"/>
      <c r="FGS30" s="1888"/>
      <c r="FGT30" s="1882"/>
      <c r="FGU30" s="1882"/>
      <c r="FGV30" s="1882"/>
      <c r="FGX30" s="1887"/>
      <c r="FGY30" s="1888"/>
      <c r="FGZ30" s="1882"/>
      <c r="FHA30" s="1882"/>
      <c r="FHB30" s="1882"/>
      <c r="FHD30" s="1887"/>
      <c r="FHE30" s="1888"/>
      <c r="FHF30" s="1882"/>
      <c r="FHG30" s="1882"/>
      <c r="FHH30" s="1882"/>
      <c r="FHJ30" s="1887"/>
      <c r="FHK30" s="1888"/>
      <c r="FHL30" s="1882"/>
      <c r="FHM30" s="1882"/>
      <c r="FHN30" s="1882"/>
      <c r="FHP30" s="1887"/>
      <c r="FHQ30" s="1888"/>
      <c r="FHR30" s="1882"/>
      <c r="FHS30" s="1882"/>
      <c r="FHT30" s="1882"/>
      <c r="FHV30" s="1887"/>
      <c r="FHW30" s="1888"/>
      <c r="FHX30" s="1882"/>
      <c r="FHY30" s="1882"/>
      <c r="FHZ30" s="1882"/>
      <c r="FIB30" s="1887"/>
      <c r="FIC30" s="1888"/>
      <c r="FID30" s="1882"/>
      <c r="FIE30" s="1882"/>
      <c r="FIF30" s="1882"/>
      <c r="FIH30" s="1887"/>
      <c r="FII30" s="1888"/>
      <c r="FIJ30" s="1882"/>
      <c r="FIK30" s="1882"/>
      <c r="FIL30" s="1882"/>
      <c r="FIN30" s="1887"/>
      <c r="FIO30" s="1888"/>
      <c r="FIP30" s="1882"/>
      <c r="FIQ30" s="1882"/>
      <c r="FIR30" s="1882"/>
      <c r="FIT30" s="1887"/>
      <c r="FIU30" s="1888"/>
      <c r="FIV30" s="1882"/>
      <c r="FIW30" s="1882"/>
      <c r="FIX30" s="1882"/>
      <c r="FIZ30" s="1887"/>
      <c r="FJA30" s="1888"/>
      <c r="FJB30" s="1882"/>
      <c r="FJC30" s="1882"/>
      <c r="FJD30" s="1882"/>
      <c r="FJF30" s="1887"/>
      <c r="FJG30" s="1888"/>
      <c r="FJH30" s="1882"/>
      <c r="FJI30" s="1882"/>
      <c r="FJJ30" s="1882"/>
      <c r="FJL30" s="1887"/>
      <c r="FJM30" s="1888"/>
      <c r="FJN30" s="1882"/>
      <c r="FJO30" s="1882"/>
      <c r="FJP30" s="1882"/>
      <c r="FJR30" s="1887"/>
      <c r="FJS30" s="1888"/>
      <c r="FJT30" s="1882"/>
      <c r="FJU30" s="1882"/>
      <c r="FJV30" s="1882"/>
      <c r="FJX30" s="1887"/>
      <c r="FJY30" s="1888"/>
      <c r="FJZ30" s="1882"/>
      <c r="FKA30" s="1882"/>
      <c r="FKB30" s="1882"/>
      <c r="FKD30" s="1887"/>
      <c r="FKE30" s="1888"/>
      <c r="FKF30" s="1882"/>
      <c r="FKG30" s="1882"/>
      <c r="FKH30" s="1882"/>
      <c r="FKJ30" s="1887"/>
      <c r="FKK30" s="1888"/>
      <c r="FKL30" s="1882"/>
      <c r="FKM30" s="1882"/>
      <c r="FKN30" s="1882"/>
      <c r="FKP30" s="1887"/>
      <c r="FKQ30" s="1888"/>
      <c r="FKR30" s="1882"/>
      <c r="FKS30" s="1882"/>
      <c r="FKT30" s="1882"/>
      <c r="FKV30" s="1887"/>
      <c r="FKW30" s="1888"/>
      <c r="FKX30" s="1882"/>
      <c r="FKY30" s="1882"/>
      <c r="FKZ30" s="1882"/>
      <c r="FLB30" s="1887"/>
      <c r="FLC30" s="1888"/>
      <c r="FLD30" s="1882"/>
      <c r="FLE30" s="1882"/>
      <c r="FLF30" s="1882"/>
      <c r="FLH30" s="1887"/>
      <c r="FLI30" s="1888"/>
      <c r="FLJ30" s="1882"/>
      <c r="FLK30" s="1882"/>
      <c r="FLL30" s="1882"/>
      <c r="FLN30" s="1887"/>
      <c r="FLO30" s="1888"/>
      <c r="FLP30" s="1882"/>
      <c r="FLQ30" s="1882"/>
      <c r="FLR30" s="1882"/>
      <c r="FLT30" s="1887"/>
      <c r="FLU30" s="1888"/>
      <c r="FLV30" s="1882"/>
      <c r="FLW30" s="1882"/>
      <c r="FLX30" s="1882"/>
      <c r="FLZ30" s="1887"/>
      <c r="FMA30" s="1888"/>
      <c r="FMB30" s="1882"/>
      <c r="FMC30" s="1882"/>
      <c r="FMD30" s="1882"/>
      <c r="FMF30" s="1887"/>
      <c r="FMG30" s="1888"/>
      <c r="FMH30" s="1882"/>
      <c r="FMI30" s="1882"/>
      <c r="FMJ30" s="1882"/>
      <c r="FML30" s="1887"/>
      <c r="FMM30" s="1888"/>
      <c r="FMN30" s="1882"/>
      <c r="FMO30" s="1882"/>
      <c r="FMP30" s="1882"/>
      <c r="FMR30" s="1887"/>
      <c r="FMS30" s="1888"/>
      <c r="FMT30" s="1882"/>
      <c r="FMU30" s="1882"/>
      <c r="FMV30" s="1882"/>
      <c r="FMX30" s="1887"/>
      <c r="FMY30" s="1888"/>
      <c r="FMZ30" s="1882"/>
      <c r="FNA30" s="1882"/>
      <c r="FNB30" s="1882"/>
      <c r="FND30" s="1887"/>
      <c r="FNE30" s="1888"/>
      <c r="FNF30" s="1882"/>
      <c r="FNG30" s="1882"/>
      <c r="FNH30" s="1882"/>
      <c r="FNJ30" s="1887"/>
      <c r="FNK30" s="1888"/>
      <c r="FNL30" s="1882"/>
      <c r="FNM30" s="1882"/>
      <c r="FNN30" s="1882"/>
      <c r="FNP30" s="1887"/>
      <c r="FNQ30" s="1888"/>
      <c r="FNR30" s="1882"/>
      <c r="FNS30" s="1882"/>
      <c r="FNT30" s="1882"/>
      <c r="FNV30" s="1887"/>
      <c r="FNW30" s="1888"/>
      <c r="FNX30" s="1882"/>
      <c r="FNY30" s="1882"/>
      <c r="FNZ30" s="1882"/>
      <c r="FOB30" s="1887"/>
      <c r="FOC30" s="1888"/>
      <c r="FOD30" s="1882"/>
      <c r="FOE30" s="1882"/>
      <c r="FOF30" s="1882"/>
      <c r="FOH30" s="1887"/>
      <c r="FOI30" s="1888"/>
      <c r="FOJ30" s="1882"/>
      <c r="FOK30" s="1882"/>
      <c r="FOL30" s="1882"/>
      <c r="FON30" s="1887"/>
      <c r="FOO30" s="1888"/>
      <c r="FOP30" s="1882"/>
      <c r="FOQ30" s="1882"/>
      <c r="FOR30" s="1882"/>
      <c r="FOT30" s="1887"/>
      <c r="FOU30" s="1888"/>
      <c r="FOV30" s="1882"/>
      <c r="FOW30" s="1882"/>
      <c r="FOX30" s="1882"/>
      <c r="FOZ30" s="1887"/>
      <c r="FPA30" s="1888"/>
      <c r="FPB30" s="1882"/>
      <c r="FPC30" s="1882"/>
      <c r="FPD30" s="1882"/>
      <c r="FPF30" s="1887"/>
      <c r="FPG30" s="1888"/>
      <c r="FPH30" s="1882"/>
      <c r="FPI30" s="1882"/>
      <c r="FPJ30" s="1882"/>
      <c r="FPL30" s="1887"/>
      <c r="FPM30" s="1888"/>
      <c r="FPN30" s="1882"/>
      <c r="FPO30" s="1882"/>
      <c r="FPP30" s="1882"/>
      <c r="FPR30" s="1887"/>
      <c r="FPS30" s="1888"/>
      <c r="FPT30" s="1882"/>
      <c r="FPU30" s="1882"/>
      <c r="FPV30" s="1882"/>
      <c r="FPX30" s="1887"/>
      <c r="FPY30" s="1888"/>
      <c r="FPZ30" s="1882"/>
      <c r="FQA30" s="1882"/>
      <c r="FQB30" s="1882"/>
      <c r="FQD30" s="1887"/>
      <c r="FQE30" s="1888"/>
      <c r="FQF30" s="1882"/>
      <c r="FQG30" s="1882"/>
      <c r="FQH30" s="1882"/>
      <c r="FQJ30" s="1887"/>
      <c r="FQK30" s="1888"/>
      <c r="FQL30" s="1882"/>
      <c r="FQM30" s="1882"/>
      <c r="FQN30" s="1882"/>
      <c r="FQP30" s="1887"/>
      <c r="FQQ30" s="1888"/>
      <c r="FQR30" s="1882"/>
      <c r="FQS30" s="1882"/>
      <c r="FQT30" s="1882"/>
      <c r="FQV30" s="1887"/>
      <c r="FQW30" s="1888"/>
      <c r="FQX30" s="1882"/>
      <c r="FQY30" s="1882"/>
      <c r="FQZ30" s="1882"/>
      <c r="FRB30" s="1887"/>
      <c r="FRC30" s="1888"/>
      <c r="FRD30" s="1882"/>
      <c r="FRE30" s="1882"/>
      <c r="FRF30" s="1882"/>
      <c r="FRH30" s="1887"/>
      <c r="FRI30" s="1888"/>
      <c r="FRJ30" s="1882"/>
      <c r="FRK30" s="1882"/>
      <c r="FRL30" s="1882"/>
      <c r="FRN30" s="1887"/>
      <c r="FRO30" s="1888"/>
      <c r="FRP30" s="1882"/>
      <c r="FRQ30" s="1882"/>
      <c r="FRR30" s="1882"/>
      <c r="FRT30" s="1887"/>
      <c r="FRU30" s="1888"/>
      <c r="FRV30" s="1882"/>
      <c r="FRW30" s="1882"/>
      <c r="FRX30" s="1882"/>
      <c r="FRZ30" s="1887"/>
      <c r="FSA30" s="1888"/>
      <c r="FSB30" s="1882"/>
      <c r="FSC30" s="1882"/>
      <c r="FSD30" s="1882"/>
      <c r="FSF30" s="1887"/>
      <c r="FSG30" s="1888"/>
      <c r="FSH30" s="1882"/>
      <c r="FSI30" s="1882"/>
      <c r="FSJ30" s="1882"/>
      <c r="FSL30" s="1887"/>
      <c r="FSM30" s="1888"/>
      <c r="FSN30" s="1882"/>
      <c r="FSO30" s="1882"/>
      <c r="FSP30" s="1882"/>
      <c r="FSR30" s="1887"/>
      <c r="FSS30" s="1888"/>
      <c r="FST30" s="1882"/>
      <c r="FSU30" s="1882"/>
      <c r="FSV30" s="1882"/>
      <c r="FSX30" s="1887"/>
      <c r="FSY30" s="1888"/>
      <c r="FSZ30" s="1882"/>
      <c r="FTA30" s="1882"/>
      <c r="FTB30" s="1882"/>
      <c r="FTD30" s="1887"/>
      <c r="FTE30" s="1888"/>
      <c r="FTF30" s="1882"/>
      <c r="FTG30" s="1882"/>
      <c r="FTH30" s="1882"/>
      <c r="FTJ30" s="1887"/>
      <c r="FTK30" s="1888"/>
      <c r="FTL30" s="1882"/>
      <c r="FTM30" s="1882"/>
      <c r="FTN30" s="1882"/>
      <c r="FTP30" s="1887"/>
      <c r="FTQ30" s="1888"/>
      <c r="FTR30" s="1882"/>
      <c r="FTS30" s="1882"/>
      <c r="FTT30" s="1882"/>
      <c r="FTV30" s="1887"/>
      <c r="FTW30" s="1888"/>
      <c r="FTX30" s="1882"/>
      <c r="FTY30" s="1882"/>
      <c r="FTZ30" s="1882"/>
      <c r="FUB30" s="1887"/>
      <c r="FUC30" s="1888"/>
      <c r="FUD30" s="1882"/>
      <c r="FUE30" s="1882"/>
      <c r="FUF30" s="1882"/>
      <c r="FUH30" s="1887"/>
      <c r="FUI30" s="1888"/>
      <c r="FUJ30" s="1882"/>
      <c r="FUK30" s="1882"/>
      <c r="FUL30" s="1882"/>
      <c r="FUN30" s="1887"/>
      <c r="FUO30" s="1888"/>
      <c r="FUP30" s="1882"/>
      <c r="FUQ30" s="1882"/>
      <c r="FUR30" s="1882"/>
      <c r="FUT30" s="1887"/>
      <c r="FUU30" s="1888"/>
      <c r="FUV30" s="1882"/>
      <c r="FUW30" s="1882"/>
      <c r="FUX30" s="1882"/>
      <c r="FUZ30" s="1887"/>
      <c r="FVA30" s="1888"/>
      <c r="FVB30" s="1882"/>
      <c r="FVC30" s="1882"/>
      <c r="FVD30" s="1882"/>
      <c r="FVF30" s="1887"/>
      <c r="FVG30" s="1888"/>
      <c r="FVH30" s="1882"/>
      <c r="FVI30" s="1882"/>
      <c r="FVJ30" s="1882"/>
      <c r="FVL30" s="1887"/>
      <c r="FVM30" s="1888"/>
      <c r="FVN30" s="1882"/>
      <c r="FVO30" s="1882"/>
      <c r="FVP30" s="1882"/>
      <c r="FVR30" s="1887"/>
      <c r="FVS30" s="1888"/>
      <c r="FVT30" s="1882"/>
      <c r="FVU30" s="1882"/>
      <c r="FVV30" s="1882"/>
      <c r="FVX30" s="1887"/>
      <c r="FVY30" s="1888"/>
      <c r="FVZ30" s="1882"/>
      <c r="FWA30" s="1882"/>
      <c r="FWB30" s="1882"/>
      <c r="FWD30" s="1887"/>
      <c r="FWE30" s="1888"/>
      <c r="FWF30" s="1882"/>
      <c r="FWG30" s="1882"/>
      <c r="FWH30" s="1882"/>
      <c r="FWJ30" s="1887"/>
      <c r="FWK30" s="1888"/>
      <c r="FWL30" s="1882"/>
      <c r="FWM30" s="1882"/>
      <c r="FWN30" s="1882"/>
      <c r="FWP30" s="1887"/>
      <c r="FWQ30" s="1888"/>
      <c r="FWR30" s="1882"/>
      <c r="FWS30" s="1882"/>
      <c r="FWT30" s="1882"/>
      <c r="FWV30" s="1887"/>
      <c r="FWW30" s="1888"/>
      <c r="FWX30" s="1882"/>
      <c r="FWY30" s="1882"/>
      <c r="FWZ30" s="1882"/>
      <c r="FXB30" s="1887"/>
      <c r="FXC30" s="1888"/>
      <c r="FXD30" s="1882"/>
      <c r="FXE30" s="1882"/>
      <c r="FXF30" s="1882"/>
      <c r="FXH30" s="1887"/>
      <c r="FXI30" s="1888"/>
      <c r="FXJ30" s="1882"/>
      <c r="FXK30" s="1882"/>
      <c r="FXL30" s="1882"/>
      <c r="FXN30" s="1887"/>
      <c r="FXO30" s="1888"/>
      <c r="FXP30" s="1882"/>
      <c r="FXQ30" s="1882"/>
      <c r="FXR30" s="1882"/>
      <c r="FXT30" s="1887"/>
      <c r="FXU30" s="1888"/>
      <c r="FXV30" s="1882"/>
      <c r="FXW30" s="1882"/>
      <c r="FXX30" s="1882"/>
      <c r="FXZ30" s="1887"/>
      <c r="FYA30" s="1888"/>
      <c r="FYB30" s="1882"/>
      <c r="FYC30" s="1882"/>
      <c r="FYD30" s="1882"/>
      <c r="FYF30" s="1887"/>
      <c r="FYG30" s="1888"/>
      <c r="FYH30" s="1882"/>
      <c r="FYI30" s="1882"/>
      <c r="FYJ30" s="1882"/>
      <c r="FYL30" s="1887"/>
      <c r="FYM30" s="1888"/>
      <c r="FYN30" s="1882"/>
      <c r="FYO30" s="1882"/>
      <c r="FYP30" s="1882"/>
      <c r="FYR30" s="1887"/>
      <c r="FYS30" s="1888"/>
      <c r="FYT30" s="1882"/>
      <c r="FYU30" s="1882"/>
      <c r="FYV30" s="1882"/>
      <c r="FYX30" s="1887"/>
      <c r="FYY30" s="1888"/>
      <c r="FYZ30" s="1882"/>
      <c r="FZA30" s="1882"/>
      <c r="FZB30" s="1882"/>
      <c r="FZD30" s="1887"/>
      <c r="FZE30" s="1888"/>
      <c r="FZF30" s="1882"/>
      <c r="FZG30" s="1882"/>
      <c r="FZH30" s="1882"/>
      <c r="FZJ30" s="1887"/>
      <c r="FZK30" s="1888"/>
      <c r="FZL30" s="1882"/>
      <c r="FZM30" s="1882"/>
      <c r="FZN30" s="1882"/>
      <c r="FZP30" s="1887"/>
      <c r="FZQ30" s="1888"/>
      <c r="FZR30" s="1882"/>
      <c r="FZS30" s="1882"/>
      <c r="FZT30" s="1882"/>
      <c r="FZV30" s="1887"/>
      <c r="FZW30" s="1888"/>
      <c r="FZX30" s="1882"/>
      <c r="FZY30" s="1882"/>
      <c r="FZZ30" s="1882"/>
      <c r="GAB30" s="1887"/>
      <c r="GAC30" s="1888"/>
      <c r="GAD30" s="1882"/>
      <c r="GAE30" s="1882"/>
      <c r="GAF30" s="1882"/>
      <c r="GAH30" s="1887"/>
      <c r="GAI30" s="1888"/>
      <c r="GAJ30" s="1882"/>
      <c r="GAK30" s="1882"/>
      <c r="GAL30" s="1882"/>
      <c r="GAN30" s="1887"/>
      <c r="GAO30" s="1888"/>
      <c r="GAP30" s="1882"/>
      <c r="GAQ30" s="1882"/>
      <c r="GAR30" s="1882"/>
      <c r="GAT30" s="1887"/>
      <c r="GAU30" s="1888"/>
      <c r="GAV30" s="1882"/>
      <c r="GAW30" s="1882"/>
      <c r="GAX30" s="1882"/>
      <c r="GAZ30" s="1887"/>
      <c r="GBA30" s="1888"/>
      <c r="GBB30" s="1882"/>
      <c r="GBC30" s="1882"/>
      <c r="GBD30" s="1882"/>
      <c r="GBF30" s="1887"/>
      <c r="GBG30" s="1888"/>
      <c r="GBH30" s="1882"/>
      <c r="GBI30" s="1882"/>
      <c r="GBJ30" s="1882"/>
      <c r="GBL30" s="1887"/>
      <c r="GBM30" s="1888"/>
      <c r="GBN30" s="1882"/>
      <c r="GBO30" s="1882"/>
      <c r="GBP30" s="1882"/>
      <c r="GBR30" s="1887"/>
      <c r="GBS30" s="1888"/>
      <c r="GBT30" s="1882"/>
      <c r="GBU30" s="1882"/>
      <c r="GBV30" s="1882"/>
      <c r="GBX30" s="1887"/>
      <c r="GBY30" s="1888"/>
      <c r="GBZ30" s="1882"/>
      <c r="GCA30" s="1882"/>
      <c r="GCB30" s="1882"/>
      <c r="GCD30" s="1887"/>
      <c r="GCE30" s="1888"/>
      <c r="GCF30" s="1882"/>
      <c r="GCG30" s="1882"/>
      <c r="GCH30" s="1882"/>
      <c r="GCJ30" s="1887"/>
      <c r="GCK30" s="1888"/>
      <c r="GCL30" s="1882"/>
      <c r="GCM30" s="1882"/>
      <c r="GCN30" s="1882"/>
      <c r="GCP30" s="1887"/>
      <c r="GCQ30" s="1888"/>
      <c r="GCR30" s="1882"/>
      <c r="GCS30" s="1882"/>
      <c r="GCT30" s="1882"/>
      <c r="GCV30" s="1887"/>
      <c r="GCW30" s="1888"/>
      <c r="GCX30" s="1882"/>
      <c r="GCY30" s="1882"/>
      <c r="GCZ30" s="1882"/>
      <c r="GDB30" s="1887"/>
      <c r="GDC30" s="1888"/>
      <c r="GDD30" s="1882"/>
      <c r="GDE30" s="1882"/>
      <c r="GDF30" s="1882"/>
      <c r="GDH30" s="1887"/>
      <c r="GDI30" s="1888"/>
      <c r="GDJ30" s="1882"/>
      <c r="GDK30" s="1882"/>
      <c r="GDL30" s="1882"/>
      <c r="GDN30" s="1887"/>
      <c r="GDO30" s="1888"/>
      <c r="GDP30" s="1882"/>
      <c r="GDQ30" s="1882"/>
      <c r="GDR30" s="1882"/>
      <c r="GDT30" s="1887"/>
      <c r="GDU30" s="1888"/>
      <c r="GDV30" s="1882"/>
      <c r="GDW30" s="1882"/>
      <c r="GDX30" s="1882"/>
      <c r="GDZ30" s="1887"/>
      <c r="GEA30" s="1888"/>
      <c r="GEB30" s="1882"/>
      <c r="GEC30" s="1882"/>
      <c r="GED30" s="1882"/>
      <c r="GEF30" s="1887"/>
      <c r="GEG30" s="1888"/>
      <c r="GEH30" s="1882"/>
      <c r="GEI30" s="1882"/>
      <c r="GEJ30" s="1882"/>
      <c r="GEL30" s="1887"/>
      <c r="GEM30" s="1888"/>
      <c r="GEN30" s="1882"/>
      <c r="GEO30" s="1882"/>
      <c r="GEP30" s="1882"/>
      <c r="GER30" s="1887"/>
      <c r="GES30" s="1888"/>
      <c r="GET30" s="1882"/>
      <c r="GEU30" s="1882"/>
      <c r="GEV30" s="1882"/>
      <c r="GEX30" s="1887"/>
      <c r="GEY30" s="1888"/>
      <c r="GEZ30" s="1882"/>
      <c r="GFA30" s="1882"/>
      <c r="GFB30" s="1882"/>
      <c r="GFD30" s="1887"/>
      <c r="GFE30" s="1888"/>
      <c r="GFF30" s="1882"/>
      <c r="GFG30" s="1882"/>
      <c r="GFH30" s="1882"/>
      <c r="GFJ30" s="1887"/>
      <c r="GFK30" s="1888"/>
      <c r="GFL30" s="1882"/>
      <c r="GFM30" s="1882"/>
      <c r="GFN30" s="1882"/>
      <c r="GFP30" s="1887"/>
      <c r="GFQ30" s="1888"/>
      <c r="GFR30" s="1882"/>
      <c r="GFS30" s="1882"/>
      <c r="GFT30" s="1882"/>
      <c r="GFV30" s="1887"/>
      <c r="GFW30" s="1888"/>
      <c r="GFX30" s="1882"/>
      <c r="GFY30" s="1882"/>
      <c r="GFZ30" s="1882"/>
      <c r="GGB30" s="1887"/>
      <c r="GGC30" s="1888"/>
      <c r="GGD30" s="1882"/>
      <c r="GGE30" s="1882"/>
      <c r="GGF30" s="1882"/>
      <c r="GGH30" s="1887"/>
      <c r="GGI30" s="1888"/>
      <c r="GGJ30" s="1882"/>
      <c r="GGK30" s="1882"/>
      <c r="GGL30" s="1882"/>
      <c r="GGN30" s="1887"/>
      <c r="GGO30" s="1888"/>
      <c r="GGP30" s="1882"/>
      <c r="GGQ30" s="1882"/>
      <c r="GGR30" s="1882"/>
      <c r="GGT30" s="1887"/>
      <c r="GGU30" s="1888"/>
      <c r="GGV30" s="1882"/>
      <c r="GGW30" s="1882"/>
      <c r="GGX30" s="1882"/>
      <c r="GGZ30" s="1887"/>
      <c r="GHA30" s="1888"/>
      <c r="GHB30" s="1882"/>
      <c r="GHC30" s="1882"/>
      <c r="GHD30" s="1882"/>
      <c r="GHF30" s="1887"/>
      <c r="GHG30" s="1888"/>
      <c r="GHH30" s="1882"/>
      <c r="GHI30" s="1882"/>
      <c r="GHJ30" s="1882"/>
      <c r="GHL30" s="1887"/>
      <c r="GHM30" s="1888"/>
      <c r="GHN30" s="1882"/>
      <c r="GHO30" s="1882"/>
      <c r="GHP30" s="1882"/>
      <c r="GHR30" s="1887"/>
      <c r="GHS30" s="1888"/>
      <c r="GHT30" s="1882"/>
      <c r="GHU30" s="1882"/>
      <c r="GHV30" s="1882"/>
      <c r="GHX30" s="1887"/>
      <c r="GHY30" s="1888"/>
      <c r="GHZ30" s="1882"/>
      <c r="GIA30" s="1882"/>
      <c r="GIB30" s="1882"/>
      <c r="GID30" s="1887"/>
      <c r="GIE30" s="1888"/>
      <c r="GIF30" s="1882"/>
      <c r="GIG30" s="1882"/>
      <c r="GIH30" s="1882"/>
      <c r="GIJ30" s="1887"/>
      <c r="GIK30" s="1888"/>
      <c r="GIL30" s="1882"/>
      <c r="GIM30" s="1882"/>
      <c r="GIN30" s="1882"/>
      <c r="GIP30" s="1887"/>
      <c r="GIQ30" s="1888"/>
      <c r="GIR30" s="1882"/>
      <c r="GIS30" s="1882"/>
      <c r="GIT30" s="1882"/>
      <c r="GIV30" s="1887"/>
      <c r="GIW30" s="1888"/>
      <c r="GIX30" s="1882"/>
      <c r="GIY30" s="1882"/>
      <c r="GIZ30" s="1882"/>
      <c r="GJB30" s="1887"/>
      <c r="GJC30" s="1888"/>
      <c r="GJD30" s="1882"/>
      <c r="GJE30" s="1882"/>
      <c r="GJF30" s="1882"/>
      <c r="GJH30" s="1887"/>
      <c r="GJI30" s="1888"/>
      <c r="GJJ30" s="1882"/>
      <c r="GJK30" s="1882"/>
      <c r="GJL30" s="1882"/>
      <c r="GJN30" s="1887"/>
      <c r="GJO30" s="1888"/>
      <c r="GJP30" s="1882"/>
      <c r="GJQ30" s="1882"/>
      <c r="GJR30" s="1882"/>
      <c r="GJT30" s="1887"/>
      <c r="GJU30" s="1888"/>
      <c r="GJV30" s="1882"/>
      <c r="GJW30" s="1882"/>
      <c r="GJX30" s="1882"/>
      <c r="GJZ30" s="1887"/>
      <c r="GKA30" s="1888"/>
      <c r="GKB30" s="1882"/>
      <c r="GKC30" s="1882"/>
      <c r="GKD30" s="1882"/>
      <c r="GKF30" s="1887"/>
      <c r="GKG30" s="1888"/>
      <c r="GKH30" s="1882"/>
      <c r="GKI30" s="1882"/>
      <c r="GKJ30" s="1882"/>
      <c r="GKL30" s="1887"/>
      <c r="GKM30" s="1888"/>
      <c r="GKN30" s="1882"/>
      <c r="GKO30" s="1882"/>
      <c r="GKP30" s="1882"/>
      <c r="GKR30" s="1887"/>
      <c r="GKS30" s="1888"/>
      <c r="GKT30" s="1882"/>
      <c r="GKU30" s="1882"/>
      <c r="GKV30" s="1882"/>
      <c r="GKX30" s="1887"/>
      <c r="GKY30" s="1888"/>
      <c r="GKZ30" s="1882"/>
      <c r="GLA30" s="1882"/>
      <c r="GLB30" s="1882"/>
      <c r="GLD30" s="1887"/>
      <c r="GLE30" s="1888"/>
      <c r="GLF30" s="1882"/>
      <c r="GLG30" s="1882"/>
      <c r="GLH30" s="1882"/>
      <c r="GLJ30" s="1887"/>
      <c r="GLK30" s="1888"/>
      <c r="GLL30" s="1882"/>
      <c r="GLM30" s="1882"/>
      <c r="GLN30" s="1882"/>
      <c r="GLP30" s="1887"/>
      <c r="GLQ30" s="1888"/>
      <c r="GLR30" s="1882"/>
      <c r="GLS30" s="1882"/>
      <c r="GLT30" s="1882"/>
      <c r="GLV30" s="1887"/>
      <c r="GLW30" s="1888"/>
      <c r="GLX30" s="1882"/>
      <c r="GLY30" s="1882"/>
      <c r="GLZ30" s="1882"/>
      <c r="GMB30" s="1887"/>
      <c r="GMC30" s="1888"/>
      <c r="GMD30" s="1882"/>
      <c r="GME30" s="1882"/>
      <c r="GMF30" s="1882"/>
      <c r="GMH30" s="1887"/>
      <c r="GMI30" s="1888"/>
      <c r="GMJ30" s="1882"/>
      <c r="GMK30" s="1882"/>
      <c r="GML30" s="1882"/>
      <c r="GMN30" s="1887"/>
      <c r="GMO30" s="1888"/>
      <c r="GMP30" s="1882"/>
      <c r="GMQ30" s="1882"/>
      <c r="GMR30" s="1882"/>
      <c r="GMT30" s="1887"/>
      <c r="GMU30" s="1888"/>
      <c r="GMV30" s="1882"/>
      <c r="GMW30" s="1882"/>
      <c r="GMX30" s="1882"/>
      <c r="GMZ30" s="1887"/>
      <c r="GNA30" s="1888"/>
      <c r="GNB30" s="1882"/>
      <c r="GNC30" s="1882"/>
      <c r="GND30" s="1882"/>
      <c r="GNF30" s="1887"/>
      <c r="GNG30" s="1888"/>
      <c r="GNH30" s="1882"/>
      <c r="GNI30" s="1882"/>
      <c r="GNJ30" s="1882"/>
      <c r="GNL30" s="1887"/>
      <c r="GNM30" s="1888"/>
      <c r="GNN30" s="1882"/>
      <c r="GNO30" s="1882"/>
      <c r="GNP30" s="1882"/>
      <c r="GNR30" s="1887"/>
      <c r="GNS30" s="1888"/>
      <c r="GNT30" s="1882"/>
      <c r="GNU30" s="1882"/>
      <c r="GNV30" s="1882"/>
      <c r="GNX30" s="1887"/>
      <c r="GNY30" s="1888"/>
      <c r="GNZ30" s="1882"/>
      <c r="GOA30" s="1882"/>
      <c r="GOB30" s="1882"/>
      <c r="GOD30" s="1887"/>
      <c r="GOE30" s="1888"/>
      <c r="GOF30" s="1882"/>
      <c r="GOG30" s="1882"/>
      <c r="GOH30" s="1882"/>
      <c r="GOJ30" s="1887"/>
      <c r="GOK30" s="1888"/>
      <c r="GOL30" s="1882"/>
      <c r="GOM30" s="1882"/>
      <c r="GON30" s="1882"/>
      <c r="GOP30" s="1887"/>
      <c r="GOQ30" s="1888"/>
      <c r="GOR30" s="1882"/>
      <c r="GOS30" s="1882"/>
      <c r="GOT30" s="1882"/>
      <c r="GOV30" s="1887"/>
      <c r="GOW30" s="1888"/>
      <c r="GOX30" s="1882"/>
      <c r="GOY30" s="1882"/>
      <c r="GOZ30" s="1882"/>
      <c r="GPB30" s="1887"/>
      <c r="GPC30" s="1888"/>
      <c r="GPD30" s="1882"/>
      <c r="GPE30" s="1882"/>
      <c r="GPF30" s="1882"/>
      <c r="GPH30" s="1887"/>
      <c r="GPI30" s="1888"/>
      <c r="GPJ30" s="1882"/>
      <c r="GPK30" s="1882"/>
      <c r="GPL30" s="1882"/>
      <c r="GPN30" s="1887"/>
      <c r="GPO30" s="1888"/>
      <c r="GPP30" s="1882"/>
      <c r="GPQ30" s="1882"/>
      <c r="GPR30" s="1882"/>
      <c r="GPT30" s="1887"/>
      <c r="GPU30" s="1888"/>
      <c r="GPV30" s="1882"/>
      <c r="GPW30" s="1882"/>
      <c r="GPX30" s="1882"/>
      <c r="GPZ30" s="1887"/>
      <c r="GQA30" s="1888"/>
      <c r="GQB30" s="1882"/>
      <c r="GQC30" s="1882"/>
      <c r="GQD30" s="1882"/>
      <c r="GQF30" s="1887"/>
      <c r="GQG30" s="1888"/>
      <c r="GQH30" s="1882"/>
      <c r="GQI30" s="1882"/>
      <c r="GQJ30" s="1882"/>
      <c r="GQL30" s="1887"/>
      <c r="GQM30" s="1888"/>
      <c r="GQN30" s="1882"/>
      <c r="GQO30" s="1882"/>
      <c r="GQP30" s="1882"/>
      <c r="GQR30" s="1887"/>
      <c r="GQS30" s="1888"/>
      <c r="GQT30" s="1882"/>
      <c r="GQU30" s="1882"/>
      <c r="GQV30" s="1882"/>
      <c r="GQX30" s="1887"/>
      <c r="GQY30" s="1888"/>
      <c r="GQZ30" s="1882"/>
      <c r="GRA30" s="1882"/>
      <c r="GRB30" s="1882"/>
      <c r="GRD30" s="1887"/>
      <c r="GRE30" s="1888"/>
      <c r="GRF30" s="1882"/>
      <c r="GRG30" s="1882"/>
      <c r="GRH30" s="1882"/>
      <c r="GRJ30" s="1887"/>
      <c r="GRK30" s="1888"/>
      <c r="GRL30" s="1882"/>
      <c r="GRM30" s="1882"/>
      <c r="GRN30" s="1882"/>
      <c r="GRP30" s="1887"/>
      <c r="GRQ30" s="1888"/>
      <c r="GRR30" s="1882"/>
      <c r="GRS30" s="1882"/>
      <c r="GRT30" s="1882"/>
      <c r="GRV30" s="1887"/>
      <c r="GRW30" s="1888"/>
      <c r="GRX30" s="1882"/>
      <c r="GRY30" s="1882"/>
      <c r="GRZ30" s="1882"/>
      <c r="GSB30" s="1887"/>
      <c r="GSC30" s="1888"/>
      <c r="GSD30" s="1882"/>
      <c r="GSE30" s="1882"/>
      <c r="GSF30" s="1882"/>
      <c r="GSH30" s="1887"/>
      <c r="GSI30" s="1888"/>
      <c r="GSJ30" s="1882"/>
      <c r="GSK30" s="1882"/>
      <c r="GSL30" s="1882"/>
      <c r="GSN30" s="1887"/>
      <c r="GSO30" s="1888"/>
      <c r="GSP30" s="1882"/>
      <c r="GSQ30" s="1882"/>
      <c r="GSR30" s="1882"/>
      <c r="GST30" s="1887"/>
      <c r="GSU30" s="1888"/>
      <c r="GSV30" s="1882"/>
      <c r="GSW30" s="1882"/>
      <c r="GSX30" s="1882"/>
      <c r="GSZ30" s="1887"/>
      <c r="GTA30" s="1888"/>
      <c r="GTB30" s="1882"/>
      <c r="GTC30" s="1882"/>
      <c r="GTD30" s="1882"/>
      <c r="GTF30" s="1887"/>
      <c r="GTG30" s="1888"/>
      <c r="GTH30" s="1882"/>
      <c r="GTI30" s="1882"/>
      <c r="GTJ30" s="1882"/>
      <c r="GTL30" s="1887"/>
      <c r="GTM30" s="1888"/>
      <c r="GTN30" s="1882"/>
      <c r="GTO30" s="1882"/>
      <c r="GTP30" s="1882"/>
      <c r="GTR30" s="1887"/>
      <c r="GTS30" s="1888"/>
      <c r="GTT30" s="1882"/>
      <c r="GTU30" s="1882"/>
      <c r="GTV30" s="1882"/>
      <c r="GTX30" s="1887"/>
      <c r="GTY30" s="1888"/>
      <c r="GTZ30" s="1882"/>
      <c r="GUA30" s="1882"/>
      <c r="GUB30" s="1882"/>
      <c r="GUD30" s="1887"/>
      <c r="GUE30" s="1888"/>
      <c r="GUF30" s="1882"/>
      <c r="GUG30" s="1882"/>
      <c r="GUH30" s="1882"/>
      <c r="GUJ30" s="1887"/>
      <c r="GUK30" s="1888"/>
      <c r="GUL30" s="1882"/>
      <c r="GUM30" s="1882"/>
      <c r="GUN30" s="1882"/>
      <c r="GUP30" s="1887"/>
      <c r="GUQ30" s="1888"/>
      <c r="GUR30" s="1882"/>
      <c r="GUS30" s="1882"/>
      <c r="GUT30" s="1882"/>
      <c r="GUV30" s="1887"/>
      <c r="GUW30" s="1888"/>
      <c r="GUX30" s="1882"/>
      <c r="GUY30" s="1882"/>
      <c r="GUZ30" s="1882"/>
      <c r="GVB30" s="1887"/>
      <c r="GVC30" s="1888"/>
      <c r="GVD30" s="1882"/>
      <c r="GVE30" s="1882"/>
      <c r="GVF30" s="1882"/>
      <c r="GVH30" s="1887"/>
      <c r="GVI30" s="1888"/>
      <c r="GVJ30" s="1882"/>
      <c r="GVK30" s="1882"/>
      <c r="GVL30" s="1882"/>
      <c r="GVN30" s="1887"/>
      <c r="GVO30" s="1888"/>
      <c r="GVP30" s="1882"/>
      <c r="GVQ30" s="1882"/>
      <c r="GVR30" s="1882"/>
      <c r="GVT30" s="1887"/>
      <c r="GVU30" s="1888"/>
      <c r="GVV30" s="1882"/>
      <c r="GVW30" s="1882"/>
      <c r="GVX30" s="1882"/>
      <c r="GVZ30" s="1887"/>
      <c r="GWA30" s="1888"/>
      <c r="GWB30" s="1882"/>
      <c r="GWC30" s="1882"/>
      <c r="GWD30" s="1882"/>
      <c r="GWF30" s="1887"/>
      <c r="GWG30" s="1888"/>
      <c r="GWH30" s="1882"/>
      <c r="GWI30" s="1882"/>
      <c r="GWJ30" s="1882"/>
      <c r="GWL30" s="1887"/>
      <c r="GWM30" s="1888"/>
      <c r="GWN30" s="1882"/>
      <c r="GWO30" s="1882"/>
      <c r="GWP30" s="1882"/>
      <c r="GWR30" s="1887"/>
      <c r="GWS30" s="1888"/>
      <c r="GWT30" s="1882"/>
      <c r="GWU30" s="1882"/>
      <c r="GWV30" s="1882"/>
      <c r="GWX30" s="1887"/>
      <c r="GWY30" s="1888"/>
      <c r="GWZ30" s="1882"/>
      <c r="GXA30" s="1882"/>
      <c r="GXB30" s="1882"/>
      <c r="GXD30" s="1887"/>
      <c r="GXE30" s="1888"/>
      <c r="GXF30" s="1882"/>
      <c r="GXG30" s="1882"/>
      <c r="GXH30" s="1882"/>
      <c r="GXJ30" s="1887"/>
      <c r="GXK30" s="1888"/>
      <c r="GXL30" s="1882"/>
      <c r="GXM30" s="1882"/>
      <c r="GXN30" s="1882"/>
      <c r="GXP30" s="1887"/>
      <c r="GXQ30" s="1888"/>
      <c r="GXR30" s="1882"/>
      <c r="GXS30" s="1882"/>
      <c r="GXT30" s="1882"/>
      <c r="GXV30" s="1887"/>
      <c r="GXW30" s="1888"/>
      <c r="GXX30" s="1882"/>
      <c r="GXY30" s="1882"/>
      <c r="GXZ30" s="1882"/>
      <c r="GYB30" s="1887"/>
      <c r="GYC30" s="1888"/>
      <c r="GYD30" s="1882"/>
      <c r="GYE30" s="1882"/>
      <c r="GYF30" s="1882"/>
      <c r="GYH30" s="1887"/>
      <c r="GYI30" s="1888"/>
      <c r="GYJ30" s="1882"/>
      <c r="GYK30" s="1882"/>
      <c r="GYL30" s="1882"/>
      <c r="GYN30" s="1887"/>
      <c r="GYO30" s="1888"/>
      <c r="GYP30" s="1882"/>
      <c r="GYQ30" s="1882"/>
      <c r="GYR30" s="1882"/>
      <c r="GYT30" s="1887"/>
      <c r="GYU30" s="1888"/>
      <c r="GYV30" s="1882"/>
      <c r="GYW30" s="1882"/>
      <c r="GYX30" s="1882"/>
      <c r="GYZ30" s="1887"/>
      <c r="GZA30" s="1888"/>
      <c r="GZB30" s="1882"/>
      <c r="GZC30" s="1882"/>
      <c r="GZD30" s="1882"/>
      <c r="GZF30" s="1887"/>
      <c r="GZG30" s="1888"/>
      <c r="GZH30" s="1882"/>
      <c r="GZI30" s="1882"/>
      <c r="GZJ30" s="1882"/>
      <c r="GZL30" s="1887"/>
      <c r="GZM30" s="1888"/>
      <c r="GZN30" s="1882"/>
      <c r="GZO30" s="1882"/>
      <c r="GZP30" s="1882"/>
      <c r="GZR30" s="1887"/>
      <c r="GZS30" s="1888"/>
      <c r="GZT30" s="1882"/>
      <c r="GZU30" s="1882"/>
      <c r="GZV30" s="1882"/>
      <c r="GZX30" s="1887"/>
      <c r="GZY30" s="1888"/>
      <c r="GZZ30" s="1882"/>
      <c r="HAA30" s="1882"/>
      <c r="HAB30" s="1882"/>
      <c r="HAD30" s="1887"/>
      <c r="HAE30" s="1888"/>
      <c r="HAF30" s="1882"/>
      <c r="HAG30" s="1882"/>
      <c r="HAH30" s="1882"/>
      <c r="HAJ30" s="1887"/>
      <c r="HAK30" s="1888"/>
      <c r="HAL30" s="1882"/>
      <c r="HAM30" s="1882"/>
      <c r="HAN30" s="1882"/>
      <c r="HAP30" s="1887"/>
      <c r="HAQ30" s="1888"/>
      <c r="HAR30" s="1882"/>
      <c r="HAS30" s="1882"/>
      <c r="HAT30" s="1882"/>
      <c r="HAV30" s="1887"/>
      <c r="HAW30" s="1888"/>
      <c r="HAX30" s="1882"/>
      <c r="HAY30" s="1882"/>
      <c r="HAZ30" s="1882"/>
      <c r="HBB30" s="1887"/>
      <c r="HBC30" s="1888"/>
      <c r="HBD30" s="1882"/>
      <c r="HBE30" s="1882"/>
      <c r="HBF30" s="1882"/>
      <c r="HBH30" s="1887"/>
      <c r="HBI30" s="1888"/>
      <c r="HBJ30" s="1882"/>
      <c r="HBK30" s="1882"/>
      <c r="HBL30" s="1882"/>
      <c r="HBN30" s="1887"/>
      <c r="HBO30" s="1888"/>
      <c r="HBP30" s="1882"/>
      <c r="HBQ30" s="1882"/>
      <c r="HBR30" s="1882"/>
      <c r="HBT30" s="1887"/>
      <c r="HBU30" s="1888"/>
      <c r="HBV30" s="1882"/>
      <c r="HBW30" s="1882"/>
      <c r="HBX30" s="1882"/>
      <c r="HBZ30" s="1887"/>
      <c r="HCA30" s="1888"/>
      <c r="HCB30" s="1882"/>
      <c r="HCC30" s="1882"/>
      <c r="HCD30" s="1882"/>
      <c r="HCF30" s="1887"/>
      <c r="HCG30" s="1888"/>
      <c r="HCH30" s="1882"/>
      <c r="HCI30" s="1882"/>
      <c r="HCJ30" s="1882"/>
      <c r="HCL30" s="1887"/>
      <c r="HCM30" s="1888"/>
      <c r="HCN30" s="1882"/>
      <c r="HCO30" s="1882"/>
      <c r="HCP30" s="1882"/>
      <c r="HCR30" s="1887"/>
      <c r="HCS30" s="1888"/>
      <c r="HCT30" s="1882"/>
      <c r="HCU30" s="1882"/>
      <c r="HCV30" s="1882"/>
      <c r="HCX30" s="1887"/>
      <c r="HCY30" s="1888"/>
      <c r="HCZ30" s="1882"/>
      <c r="HDA30" s="1882"/>
      <c r="HDB30" s="1882"/>
      <c r="HDD30" s="1887"/>
      <c r="HDE30" s="1888"/>
      <c r="HDF30" s="1882"/>
      <c r="HDG30" s="1882"/>
      <c r="HDH30" s="1882"/>
      <c r="HDJ30" s="1887"/>
      <c r="HDK30" s="1888"/>
      <c r="HDL30" s="1882"/>
      <c r="HDM30" s="1882"/>
      <c r="HDN30" s="1882"/>
      <c r="HDP30" s="1887"/>
      <c r="HDQ30" s="1888"/>
      <c r="HDR30" s="1882"/>
      <c r="HDS30" s="1882"/>
      <c r="HDT30" s="1882"/>
      <c r="HDV30" s="1887"/>
      <c r="HDW30" s="1888"/>
      <c r="HDX30" s="1882"/>
      <c r="HDY30" s="1882"/>
      <c r="HDZ30" s="1882"/>
      <c r="HEB30" s="1887"/>
      <c r="HEC30" s="1888"/>
      <c r="HED30" s="1882"/>
      <c r="HEE30" s="1882"/>
      <c r="HEF30" s="1882"/>
      <c r="HEH30" s="1887"/>
      <c r="HEI30" s="1888"/>
      <c r="HEJ30" s="1882"/>
      <c r="HEK30" s="1882"/>
      <c r="HEL30" s="1882"/>
      <c r="HEN30" s="1887"/>
      <c r="HEO30" s="1888"/>
      <c r="HEP30" s="1882"/>
      <c r="HEQ30" s="1882"/>
      <c r="HER30" s="1882"/>
      <c r="HET30" s="1887"/>
      <c r="HEU30" s="1888"/>
      <c r="HEV30" s="1882"/>
      <c r="HEW30" s="1882"/>
      <c r="HEX30" s="1882"/>
      <c r="HEZ30" s="1887"/>
      <c r="HFA30" s="1888"/>
      <c r="HFB30" s="1882"/>
      <c r="HFC30" s="1882"/>
      <c r="HFD30" s="1882"/>
      <c r="HFF30" s="1887"/>
      <c r="HFG30" s="1888"/>
      <c r="HFH30" s="1882"/>
      <c r="HFI30" s="1882"/>
      <c r="HFJ30" s="1882"/>
      <c r="HFL30" s="1887"/>
      <c r="HFM30" s="1888"/>
      <c r="HFN30" s="1882"/>
      <c r="HFO30" s="1882"/>
      <c r="HFP30" s="1882"/>
      <c r="HFR30" s="1887"/>
      <c r="HFS30" s="1888"/>
      <c r="HFT30" s="1882"/>
      <c r="HFU30" s="1882"/>
      <c r="HFV30" s="1882"/>
      <c r="HFX30" s="1887"/>
      <c r="HFY30" s="1888"/>
      <c r="HFZ30" s="1882"/>
      <c r="HGA30" s="1882"/>
      <c r="HGB30" s="1882"/>
      <c r="HGD30" s="1887"/>
      <c r="HGE30" s="1888"/>
      <c r="HGF30" s="1882"/>
      <c r="HGG30" s="1882"/>
      <c r="HGH30" s="1882"/>
      <c r="HGJ30" s="1887"/>
      <c r="HGK30" s="1888"/>
      <c r="HGL30" s="1882"/>
      <c r="HGM30" s="1882"/>
      <c r="HGN30" s="1882"/>
      <c r="HGP30" s="1887"/>
      <c r="HGQ30" s="1888"/>
      <c r="HGR30" s="1882"/>
      <c r="HGS30" s="1882"/>
      <c r="HGT30" s="1882"/>
      <c r="HGV30" s="1887"/>
      <c r="HGW30" s="1888"/>
      <c r="HGX30" s="1882"/>
      <c r="HGY30" s="1882"/>
      <c r="HGZ30" s="1882"/>
      <c r="HHB30" s="1887"/>
      <c r="HHC30" s="1888"/>
      <c r="HHD30" s="1882"/>
      <c r="HHE30" s="1882"/>
      <c r="HHF30" s="1882"/>
      <c r="HHH30" s="1887"/>
      <c r="HHI30" s="1888"/>
      <c r="HHJ30" s="1882"/>
      <c r="HHK30" s="1882"/>
      <c r="HHL30" s="1882"/>
      <c r="HHN30" s="1887"/>
      <c r="HHO30" s="1888"/>
      <c r="HHP30" s="1882"/>
      <c r="HHQ30" s="1882"/>
      <c r="HHR30" s="1882"/>
      <c r="HHT30" s="1887"/>
      <c r="HHU30" s="1888"/>
      <c r="HHV30" s="1882"/>
      <c r="HHW30" s="1882"/>
      <c r="HHX30" s="1882"/>
      <c r="HHZ30" s="1887"/>
      <c r="HIA30" s="1888"/>
      <c r="HIB30" s="1882"/>
      <c r="HIC30" s="1882"/>
      <c r="HID30" s="1882"/>
      <c r="HIF30" s="1887"/>
      <c r="HIG30" s="1888"/>
      <c r="HIH30" s="1882"/>
      <c r="HII30" s="1882"/>
      <c r="HIJ30" s="1882"/>
      <c r="HIL30" s="1887"/>
      <c r="HIM30" s="1888"/>
      <c r="HIN30" s="1882"/>
      <c r="HIO30" s="1882"/>
      <c r="HIP30" s="1882"/>
      <c r="HIR30" s="1887"/>
      <c r="HIS30" s="1888"/>
      <c r="HIT30" s="1882"/>
      <c r="HIU30" s="1882"/>
      <c r="HIV30" s="1882"/>
      <c r="HIX30" s="1887"/>
      <c r="HIY30" s="1888"/>
      <c r="HIZ30" s="1882"/>
      <c r="HJA30" s="1882"/>
      <c r="HJB30" s="1882"/>
      <c r="HJD30" s="1887"/>
      <c r="HJE30" s="1888"/>
      <c r="HJF30" s="1882"/>
      <c r="HJG30" s="1882"/>
      <c r="HJH30" s="1882"/>
      <c r="HJJ30" s="1887"/>
      <c r="HJK30" s="1888"/>
      <c r="HJL30" s="1882"/>
      <c r="HJM30" s="1882"/>
      <c r="HJN30" s="1882"/>
      <c r="HJP30" s="1887"/>
      <c r="HJQ30" s="1888"/>
      <c r="HJR30" s="1882"/>
      <c r="HJS30" s="1882"/>
      <c r="HJT30" s="1882"/>
      <c r="HJV30" s="1887"/>
      <c r="HJW30" s="1888"/>
      <c r="HJX30" s="1882"/>
      <c r="HJY30" s="1882"/>
      <c r="HJZ30" s="1882"/>
      <c r="HKB30" s="1887"/>
      <c r="HKC30" s="1888"/>
      <c r="HKD30" s="1882"/>
      <c r="HKE30" s="1882"/>
      <c r="HKF30" s="1882"/>
      <c r="HKH30" s="1887"/>
      <c r="HKI30" s="1888"/>
      <c r="HKJ30" s="1882"/>
      <c r="HKK30" s="1882"/>
      <c r="HKL30" s="1882"/>
      <c r="HKN30" s="1887"/>
      <c r="HKO30" s="1888"/>
      <c r="HKP30" s="1882"/>
      <c r="HKQ30" s="1882"/>
      <c r="HKR30" s="1882"/>
      <c r="HKT30" s="1887"/>
      <c r="HKU30" s="1888"/>
      <c r="HKV30" s="1882"/>
      <c r="HKW30" s="1882"/>
      <c r="HKX30" s="1882"/>
      <c r="HKZ30" s="1887"/>
      <c r="HLA30" s="1888"/>
      <c r="HLB30" s="1882"/>
      <c r="HLC30" s="1882"/>
      <c r="HLD30" s="1882"/>
      <c r="HLF30" s="1887"/>
      <c r="HLG30" s="1888"/>
      <c r="HLH30" s="1882"/>
      <c r="HLI30" s="1882"/>
      <c r="HLJ30" s="1882"/>
      <c r="HLL30" s="1887"/>
      <c r="HLM30" s="1888"/>
      <c r="HLN30" s="1882"/>
      <c r="HLO30" s="1882"/>
      <c r="HLP30" s="1882"/>
      <c r="HLR30" s="1887"/>
      <c r="HLS30" s="1888"/>
      <c r="HLT30" s="1882"/>
      <c r="HLU30" s="1882"/>
      <c r="HLV30" s="1882"/>
      <c r="HLX30" s="1887"/>
      <c r="HLY30" s="1888"/>
      <c r="HLZ30" s="1882"/>
      <c r="HMA30" s="1882"/>
      <c r="HMB30" s="1882"/>
      <c r="HMD30" s="1887"/>
      <c r="HME30" s="1888"/>
      <c r="HMF30" s="1882"/>
      <c r="HMG30" s="1882"/>
      <c r="HMH30" s="1882"/>
      <c r="HMJ30" s="1887"/>
      <c r="HMK30" s="1888"/>
      <c r="HML30" s="1882"/>
      <c r="HMM30" s="1882"/>
      <c r="HMN30" s="1882"/>
      <c r="HMP30" s="1887"/>
      <c r="HMQ30" s="1888"/>
      <c r="HMR30" s="1882"/>
      <c r="HMS30" s="1882"/>
      <c r="HMT30" s="1882"/>
      <c r="HMV30" s="1887"/>
      <c r="HMW30" s="1888"/>
      <c r="HMX30" s="1882"/>
      <c r="HMY30" s="1882"/>
      <c r="HMZ30" s="1882"/>
      <c r="HNB30" s="1887"/>
      <c r="HNC30" s="1888"/>
      <c r="HND30" s="1882"/>
      <c r="HNE30" s="1882"/>
      <c r="HNF30" s="1882"/>
      <c r="HNH30" s="1887"/>
      <c r="HNI30" s="1888"/>
      <c r="HNJ30" s="1882"/>
      <c r="HNK30" s="1882"/>
      <c r="HNL30" s="1882"/>
      <c r="HNN30" s="1887"/>
      <c r="HNO30" s="1888"/>
      <c r="HNP30" s="1882"/>
      <c r="HNQ30" s="1882"/>
      <c r="HNR30" s="1882"/>
      <c r="HNT30" s="1887"/>
      <c r="HNU30" s="1888"/>
      <c r="HNV30" s="1882"/>
      <c r="HNW30" s="1882"/>
      <c r="HNX30" s="1882"/>
      <c r="HNZ30" s="1887"/>
      <c r="HOA30" s="1888"/>
      <c r="HOB30" s="1882"/>
      <c r="HOC30" s="1882"/>
      <c r="HOD30" s="1882"/>
      <c r="HOF30" s="1887"/>
      <c r="HOG30" s="1888"/>
      <c r="HOH30" s="1882"/>
      <c r="HOI30" s="1882"/>
      <c r="HOJ30" s="1882"/>
      <c r="HOL30" s="1887"/>
      <c r="HOM30" s="1888"/>
      <c r="HON30" s="1882"/>
      <c r="HOO30" s="1882"/>
      <c r="HOP30" s="1882"/>
      <c r="HOR30" s="1887"/>
      <c r="HOS30" s="1888"/>
      <c r="HOT30" s="1882"/>
      <c r="HOU30" s="1882"/>
      <c r="HOV30" s="1882"/>
      <c r="HOX30" s="1887"/>
      <c r="HOY30" s="1888"/>
      <c r="HOZ30" s="1882"/>
      <c r="HPA30" s="1882"/>
      <c r="HPB30" s="1882"/>
      <c r="HPD30" s="1887"/>
      <c r="HPE30" s="1888"/>
      <c r="HPF30" s="1882"/>
      <c r="HPG30" s="1882"/>
      <c r="HPH30" s="1882"/>
      <c r="HPJ30" s="1887"/>
      <c r="HPK30" s="1888"/>
      <c r="HPL30" s="1882"/>
      <c r="HPM30" s="1882"/>
      <c r="HPN30" s="1882"/>
      <c r="HPP30" s="1887"/>
      <c r="HPQ30" s="1888"/>
      <c r="HPR30" s="1882"/>
      <c r="HPS30" s="1882"/>
      <c r="HPT30" s="1882"/>
      <c r="HPV30" s="1887"/>
      <c r="HPW30" s="1888"/>
      <c r="HPX30" s="1882"/>
      <c r="HPY30" s="1882"/>
      <c r="HPZ30" s="1882"/>
      <c r="HQB30" s="1887"/>
      <c r="HQC30" s="1888"/>
      <c r="HQD30" s="1882"/>
      <c r="HQE30" s="1882"/>
      <c r="HQF30" s="1882"/>
      <c r="HQH30" s="1887"/>
      <c r="HQI30" s="1888"/>
      <c r="HQJ30" s="1882"/>
      <c r="HQK30" s="1882"/>
      <c r="HQL30" s="1882"/>
      <c r="HQN30" s="1887"/>
      <c r="HQO30" s="1888"/>
      <c r="HQP30" s="1882"/>
      <c r="HQQ30" s="1882"/>
      <c r="HQR30" s="1882"/>
      <c r="HQT30" s="1887"/>
      <c r="HQU30" s="1888"/>
      <c r="HQV30" s="1882"/>
      <c r="HQW30" s="1882"/>
      <c r="HQX30" s="1882"/>
      <c r="HQZ30" s="1887"/>
      <c r="HRA30" s="1888"/>
      <c r="HRB30" s="1882"/>
      <c r="HRC30" s="1882"/>
      <c r="HRD30" s="1882"/>
      <c r="HRF30" s="1887"/>
      <c r="HRG30" s="1888"/>
      <c r="HRH30" s="1882"/>
      <c r="HRI30" s="1882"/>
      <c r="HRJ30" s="1882"/>
      <c r="HRL30" s="1887"/>
      <c r="HRM30" s="1888"/>
      <c r="HRN30" s="1882"/>
      <c r="HRO30" s="1882"/>
      <c r="HRP30" s="1882"/>
      <c r="HRR30" s="1887"/>
      <c r="HRS30" s="1888"/>
      <c r="HRT30" s="1882"/>
      <c r="HRU30" s="1882"/>
      <c r="HRV30" s="1882"/>
      <c r="HRX30" s="1887"/>
      <c r="HRY30" s="1888"/>
      <c r="HRZ30" s="1882"/>
      <c r="HSA30" s="1882"/>
      <c r="HSB30" s="1882"/>
      <c r="HSD30" s="1887"/>
      <c r="HSE30" s="1888"/>
      <c r="HSF30" s="1882"/>
      <c r="HSG30" s="1882"/>
      <c r="HSH30" s="1882"/>
      <c r="HSJ30" s="1887"/>
      <c r="HSK30" s="1888"/>
      <c r="HSL30" s="1882"/>
      <c r="HSM30" s="1882"/>
      <c r="HSN30" s="1882"/>
      <c r="HSP30" s="1887"/>
      <c r="HSQ30" s="1888"/>
      <c r="HSR30" s="1882"/>
      <c r="HSS30" s="1882"/>
      <c r="HST30" s="1882"/>
      <c r="HSV30" s="1887"/>
      <c r="HSW30" s="1888"/>
      <c r="HSX30" s="1882"/>
      <c r="HSY30" s="1882"/>
      <c r="HSZ30" s="1882"/>
      <c r="HTB30" s="1887"/>
      <c r="HTC30" s="1888"/>
      <c r="HTD30" s="1882"/>
      <c r="HTE30" s="1882"/>
      <c r="HTF30" s="1882"/>
      <c r="HTH30" s="1887"/>
      <c r="HTI30" s="1888"/>
      <c r="HTJ30" s="1882"/>
      <c r="HTK30" s="1882"/>
      <c r="HTL30" s="1882"/>
      <c r="HTN30" s="1887"/>
      <c r="HTO30" s="1888"/>
      <c r="HTP30" s="1882"/>
      <c r="HTQ30" s="1882"/>
      <c r="HTR30" s="1882"/>
      <c r="HTT30" s="1887"/>
      <c r="HTU30" s="1888"/>
      <c r="HTV30" s="1882"/>
      <c r="HTW30" s="1882"/>
      <c r="HTX30" s="1882"/>
      <c r="HTZ30" s="1887"/>
      <c r="HUA30" s="1888"/>
      <c r="HUB30" s="1882"/>
      <c r="HUC30" s="1882"/>
      <c r="HUD30" s="1882"/>
      <c r="HUF30" s="1887"/>
      <c r="HUG30" s="1888"/>
      <c r="HUH30" s="1882"/>
      <c r="HUI30" s="1882"/>
      <c r="HUJ30" s="1882"/>
      <c r="HUL30" s="1887"/>
      <c r="HUM30" s="1888"/>
      <c r="HUN30" s="1882"/>
      <c r="HUO30" s="1882"/>
      <c r="HUP30" s="1882"/>
      <c r="HUR30" s="1887"/>
      <c r="HUS30" s="1888"/>
      <c r="HUT30" s="1882"/>
      <c r="HUU30" s="1882"/>
      <c r="HUV30" s="1882"/>
      <c r="HUX30" s="1887"/>
      <c r="HUY30" s="1888"/>
      <c r="HUZ30" s="1882"/>
      <c r="HVA30" s="1882"/>
      <c r="HVB30" s="1882"/>
      <c r="HVD30" s="1887"/>
      <c r="HVE30" s="1888"/>
      <c r="HVF30" s="1882"/>
      <c r="HVG30" s="1882"/>
      <c r="HVH30" s="1882"/>
      <c r="HVJ30" s="1887"/>
      <c r="HVK30" s="1888"/>
      <c r="HVL30" s="1882"/>
      <c r="HVM30" s="1882"/>
      <c r="HVN30" s="1882"/>
      <c r="HVP30" s="1887"/>
      <c r="HVQ30" s="1888"/>
      <c r="HVR30" s="1882"/>
      <c r="HVS30" s="1882"/>
      <c r="HVT30" s="1882"/>
      <c r="HVV30" s="1887"/>
      <c r="HVW30" s="1888"/>
      <c r="HVX30" s="1882"/>
      <c r="HVY30" s="1882"/>
      <c r="HVZ30" s="1882"/>
      <c r="HWB30" s="1887"/>
      <c r="HWC30" s="1888"/>
      <c r="HWD30" s="1882"/>
      <c r="HWE30" s="1882"/>
      <c r="HWF30" s="1882"/>
      <c r="HWH30" s="1887"/>
      <c r="HWI30" s="1888"/>
      <c r="HWJ30" s="1882"/>
      <c r="HWK30" s="1882"/>
      <c r="HWL30" s="1882"/>
      <c r="HWN30" s="1887"/>
      <c r="HWO30" s="1888"/>
      <c r="HWP30" s="1882"/>
      <c r="HWQ30" s="1882"/>
      <c r="HWR30" s="1882"/>
      <c r="HWT30" s="1887"/>
      <c r="HWU30" s="1888"/>
      <c r="HWV30" s="1882"/>
      <c r="HWW30" s="1882"/>
      <c r="HWX30" s="1882"/>
      <c r="HWZ30" s="1887"/>
      <c r="HXA30" s="1888"/>
      <c r="HXB30" s="1882"/>
      <c r="HXC30" s="1882"/>
      <c r="HXD30" s="1882"/>
      <c r="HXF30" s="1887"/>
      <c r="HXG30" s="1888"/>
      <c r="HXH30" s="1882"/>
      <c r="HXI30" s="1882"/>
      <c r="HXJ30" s="1882"/>
      <c r="HXL30" s="1887"/>
      <c r="HXM30" s="1888"/>
      <c r="HXN30" s="1882"/>
      <c r="HXO30" s="1882"/>
      <c r="HXP30" s="1882"/>
      <c r="HXR30" s="1887"/>
      <c r="HXS30" s="1888"/>
      <c r="HXT30" s="1882"/>
      <c r="HXU30" s="1882"/>
      <c r="HXV30" s="1882"/>
      <c r="HXX30" s="1887"/>
      <c r="HXY30" s="1888"/>
      <c r="HXZ30" s="1882"/>
      <c r="HYA30" s="1882"/>
      <c r="HYB30" s="1882"/>
      <c r="HYD30" s="1887"/>
      <c r="HYE30" s="1888"/>
      <c r="HYF30" s="1882"/>
      <c r="HYG30" s="1882"/>
      <c r="HYH30" s="1882"/>
      <c r="HYJ30" s="1887"/>
      <c r="HYK30" s="1888"/>
      <c r="HYL30" s="1882"/>
      <c r="HYM30" s="1882"/>
      <c r="HYN30" s="1882"/>
      <c r="HYP30" s="1887"/>
      <c r="HYQ30" s="1888"/>
      <c r="HYR30" s="1882"/>
      <c r="HYS30" s="1882"/>
      <c r="HYT30" s="1882"/>
      <c r="HYV30" s="1887"/>
      <c r="HYW30" s="1888"/>
      <c r="HYX30" s="1882"/>
      <c r="HYY30" s="1882"/>
      <c r="HYZ30" s="1882"/>
      <c r="HZB30" s="1887"/>
      <c r="HZC30" s="1888"/>
      <c r="HZD30" s="1882"/>
      <c r="HZE30" s="1882"/>
      <c r="HZF30" s="1882"/>
      <c r="HZH30" s="1887"/>
      <c r="HZI30" s="1888"/>
      <c r="HZJ30" s="1882"/>
      <c r="HZK30" s="1882"/>
      <c r="HZL30" s="1882"/>
      <c r="HZN30" s="1887"/>
      <c r="HZO30" s="1888"/>
      <c r="HZP30" s="1882"/>
      <c r="HZQ30" s="1882"/>
      <c r="HZR30" s="1882"/>
      <c r="HZT30" s="1887"/>
      <c r="HZU30" s="1888"/>
      <c r="HZV30" s="1882"/>
      <c r="HZW30" s="1882"/>
      <c r="HZX30" s="1882"/>
      <c r="HZZ30" s="1887"/>
      <c r="IAA30" s="1888"/>
      <c r="IAB30" s="1882"/>
      <c r="IAC30" s="1882"/>
      <c r="IAD30" s="1882"/>
      <c r="IAF30" s="1887"/>
      <c r="IAG30" s="1888"/>
      <c r="IAH30" s="1882"/>
      <c r="IAI30" s="1882"/>
      <c r="IAJ30" s="1882"/>
      <c r="IAL30" s="1887"/>
      <c r="IAM30" s="1888"/>
      <c r="IAN30" s="1882"/>
      <c r="IAO30" s="1882"/>
      <c r="IAP30" s="1882"/>
      <c r="IAR30" s="1887"/>
      <c r="IAS30" s="1888"/>
      <c r="IAT30" s="1882"/>
      <c r="IAU30" s="1882"/>
      <c r="IAV30" s="1882"/>
      <c r="IAX30" s="1887"/>
      <c r="IAY30" s="1888"/>
      <c r="IAZ30" s="1882"/>
      <c r="IBA30" s="1882"/>
      <c r="IBB30" s="1882"/>
      <c r="IBD30" s="1887"/>
      <c r="IBE30" s="1888"/>
      <c r="IBF30" s="1882"/>
      <c r="IBG30" s="1882"/>
      <c r="IBH30" s="1882"/>
      <c r="IBJ30" s="1887"/>
      <c r="IBK30" s="1888"/>
      <c r="IBL30" s="1882"/>
      <c r="IBM30" s="1882"/>
      <c r="IBN30" s="1882"/>
      <c r="IBP30" s="1887"/>
      <c r="IBQ30" s="1888"/>
      <c r="IBR30" s="1882"/>
      <c r="IBS30" s="1882"/>
      <c r="IBT30" s="1882"/>
      <c r="IBV30" s="1887"/>
      <c r="IBW30" s="1888"/>
      <c r="IBX30" s="1882"/>
      <c r="IBY30" s="1882"/>
      <c r="IBZ30" s="1882"/>
      <c r="ICB30" s="1887"/>
      <c r="ICC30" s="1888"/>
      <c r="ICD30" s="1882"/>
      <c r="ICE30" s="1882"/>
      <c r="ICF30" s="1882"/>
      <c r="ICH30" s="1887"/>
      <c r="ICI30" s="1888"/>
      <c r="ICJ30" s="1882"/>
      <c r="ICK30" s="1882"/>
      <c r="ICL30" s="1882"/>
      <c r="ICN30" s="1887"/>
      <c r="ICO30" s="1888"/>
      <c r="ICP30" s="1882"/>
      <c r="ICQ30" s="1882"/>
      <c r="ICR30" s="1882"/>
      <c r="ICT30" s="1887"/>
      <c r="ICU30" s="1888"/>
      <c r="ICV30" s="1882"/>
      <c r="ICW30" s="1882"/>
      <c r="ICX30" s="1882"/>
      <c r="ICZ30" s="1887"/>
      <c r="IDA30" s="1888"/>
      <c r="IDB30" s="1882"/>
      <c r="IDC30" s="1882"/>
      <c r="IDD30" s="1882"/>
      <c r="IDF30" s="1887"/>
      <c r="IDG30" s="1888"/>
      <c r="IDH30" s="1882"/>
      <c r="IDI30" s="1882"/>
      <c r="IDJ30" s="1882"/>
      <c r="IDL30" s="1887"/>
      <c r="IDM30" s="1888"/>
      <c r="IDN30" s="1882"/>
      <c r="IDO30" s="1882"/>
      <c r="IDP30" s="1882"/>
      <c r="IDR30" s="1887"/>
      <c r="IDS30" s="1888"/>
      <c r="IDT30" s="1882"/>
      <c r="IDU30" s="1882"/>
      <c r="IDV30" s="1882"/>
      <c r="IDX30" s="1887"/>
      <c r="IDY30" s="1888"/>
      <c r="IDZ30" s="1882"/>
      <c r="IEA30" s="1882"/>
      <c r="IEB30" s="1882"/>
      <c r="IED30" s="1887"/>
      <c r="IEE30" s="1888"/>
      <c r="IEF30" s="1882"/>
      <c r="IEG30" s="1882"/>
      <c r="IEH30" s="1882"/>
      <c r="IEJ30" s="1887"/>
      <c r="IEK30" s="1888"/>
      <c r="IEL30" s="1882"/>
      <c r="IEM30" s="1882"/>
      <c r="IEN30" s="1882"/>
      <c r="IEP30" s="1887"/>
      <c r="IEQ30" s="1888"/>
      <c r="IER30" s="1882"/>
      <c r="IES30" s="1882"/>
      <c r="IET30" s="1882"/>
      <c r="IEV30" s="1887"/>
      <c r="IEW30" s="1888"/>
      <c r="IEX30" s="1882"/>
      <c r="IEY30" s="1882"/>
      <c r="IEZ30" s="1882"/>
      <c r="IFB30" s="1887"/>
      <c r="IFC30" s="1888"/>
      <c r="IFD30" s="1882"/>
      <c r="IFE30" s="1882"/>
      <c r="IFF30" s="1882"/>
      <c r="IFH30" s="1887"/>
      <c r="IFI30" s="1888"/>
      <c r="IFJ30" s="1882"/>
      <c r="IFK30" s="1882"/>
      <c r="IFL30" s="1882"/>
      <c r="IFN30" s="1887"/>
      <c r="IFO30" s="1888"/>
      <c r="IFP30" s="1882"/>
      <c r="IFQ30" s="1882"/>
      <c r="IFR30" s="1882"/>
      <c r="IFT30" s="1887"/>
      <c r="IFU30" s="1888"/>
      <c r="IFV30" s="1882"/>
      <c r="IFW30" s="1882"/>
      <c r="IFX30" s="1882"/>
      <c r="IFZ30" s="1887"/>
      <c r="IGA30" s="1888"/>
      <c r="IGB30" s="1882"/>
      <c r="IGC30" s="1882"/>
      <c r="IGD30" s="1882"/>
      <c r="IGF30" s="1887"/>
      <c r="IGG30" s="1888"/>
      <c r="IGH30" s="1882"/>
      <c r="IGI30" s="1882"/>
      <c r="IGJ30" s="1882"/>
      <c r="IGL30" s="1887"/>
      <c r="IGM30" s="1888"/>
      <c r="IGN30" s="1882"/>
      <c r="IGO30" s="1882"/>
      <c r="IGP30" s="1882"/>
      <c r="IGR30" s="1887"/>
      <c r="IGS30" s="1888"/>
      <c r="IGT30" s="1882"/>
      <c r="IGU30" s="1882"/>
      <c r="IGV30" s="1882"/>
      <c r="IGX30" s="1887"/>
      <c r="IGY30" s="1888"/>
      <c r="IGZ30" s="1882"/>
      <c r="IHA30" s="1882"/>
      <c r="IHB30" s="1882"/>
      <c r="IHD30" s="1887"/>
      <c r="IHE30" s="1888"/>
      <c r="IHF30" s="1882"/>
      <c r="IHG30" s="1882"/>
      <c r="IHH30" s="1882"/>
      <c r="IHJ30" s="1887"/>
      <c r="IHK30" s="1888"/>
      <c r="IHL30" s="1882"/>
      <c r="IHM30" s="1882"/>
      <c r="IHN30" s="1882"/>
      <c r="IHP30" s="1887"/>
      <c r="IHQ30" s="1888"/>
      <c r="IHR30" s="1882"/>
      <c r="IHS30" s="1882"/>
      <c r="IHT30" s="1882"/>
      <c r="IHV30" s="1887"/>
      <c r="IHW30" s="1888"/>
      <c r="IHX30" s="1882"/>
      <c r="IHY30" s="1882"/>
      <c r="IHZ30" s="1882"/>
      <c r="IIB30" s="1887"/>
      <c r="IIC30" s="1888"/>
      <c r="IID30" s="1882"/>
      <c r="IIE30" s="1882"/>
      <c r="IIF30" s="1882"/>
      <c r="IIH30" s="1887"/>
      <c r="III30" s="1888"/>
      <c r="IIJ30" s="1882"/>
      <c r="IIK30" s="1882"/>
      <c r="IIL30" s="1882"/>
      <c r="IIN30" s="1887"/>
      <c r="IIO30" s="1888"/>
      <c r="IIP30" s="1882"/>
      <c r="IIQ30" s="1882"/>
      <c r="IIR30" s="1882"/>
      <c r="IIT30" s="1887"/>
      <c r="IIU30" s="1888"/>
      <c r="IIV30" s="1882"/>
      <c r="IIW30" s="1882"/>
      <c r="IIX30" s="1882"/>
      <c r="IIZ30" s="1887"/>
      <c r="IJA30" s="1888"/>
      <c r="IJB30" s="1882"/>
      <c r="IJC30" s="1882"/>
      <c r="IJD30" s="1882"/>
      <c r="IJF30" s="1887"/>
      <c r="IJG30" s="1888"/>
      <c r="IJH30" s="1882"/>
      <c r="IJI30" s="1882"/>
      <c r="IJJ30" s="1882"/>
      <c r="IJL30" s="1887"/>
      <c r="IJM30" s="1888"/>
      <c r="IJN30" s="1882"/>
      <c r="IJO30" s="1882"/>
      <c r="IJP30" s="1882"/>
      <c r="IJR30" s="1887"/>
      <c r="IJS30" s="1888"/>
      <c r="IJT30" s="1882"/>
      <c r="IJU30" s="1882"/>
      <c r="IJV30" s="1882"/>
      <c r="IJX30" s="1887"/>
      <c r="IJY30" s="1888"/>
      <c r="IJZ30" s="1882"/>
      <c r="IKA30" s="1882"/>
      <c r="IKB30" s="1882"/>
      <c r="IKD30" s="1887"/>
      <c r="IKE30" s="1888"/>
      <c r="IKF30" s="1882"/>
      <c r="IKG30" s="1882"/>
      <c r="IKH30" s="1882"/>
      <c r="IKJ30" s="1887"/>
      <c r="IKK30" s="1888"/>
      <c r="IKL30" s="1882"/>
      <c r="IKM30" s="1882"/>
      <c r="IKN30" s="1882"/>
      <c r="IKP30" s="1887"/>
      <c r="IKQ30" s="1888"/>
      <c r="IKR30" s="1882"/>
      <c r="IKS30" s="1882"/>
      <c r="IKT30" s="1882"/>
      <c r="IKV30" s="1887"/>
      <c r="IKW30" s="1888"/>
      <c r="IKX30" s="1882"/>
      <c r="IKY30" s="1882"/>
      <c r="IKZ30" s="1882"/>
      <c r="ILB30" s="1887"/>
      <c r="ILC30" s="1888"/>
      <c r="ILD30" s="1882"/>
      <c r="ILE30" s="1882"/>
      <c r="ILF30" s="1882"/>
      <c r="ILH30" s="1887"/>
      <c r="ILI30" s="1888"/>
      <c r="ILJ30" s="1882"/>
      <c r="ILK30" s="1882"/>
      <c r="ILL30" s="1882"/>
      <c r="ILN30" s="1887"/>
      <c r="ILO30" s="1888"/>
      <c r="ILP30" s="1882"/>
      <c r="ILQ30" s="1882"/>
      <c r="ILR30" s="1882"/>
      <c r="ILT30" s="1887"/>
      <c r="ILU30" s="1888"/>
      <c r="ILV30" s="1882"/>
      <c r="ILW30" s="1882"/>
      <c r="ILX30" s="1882"/>
      <c r="ILZ30" s="1887"/>
      <c r="IMA30" s="1888"/>
      <c r="IMB30" s="1882"/>
      <c r="IMC30" s="1882"/>
      <c r="IMD30" s="1882"/>
      <c r="IMF30" s="1887"/>
      <c r="IMG30" s="1888"/>
      <c r="IMH30" s="1882"/>
      <c r="IMI30" s="1882"/>
      <c r="IMJ30" s="1882"/>
      <c r="IML30" s="1887"/>
      <c r="IMM30" s="1888"/>
      <c r="IMN30" s="1882"/>
      <c r="IMO30" s="1882"/>
      <c r="IMP30" s="1882"/>
      <c r="IMR30" s="1887"/>
      <c r="IMS30" s="1888"/>
      <c r="IMT30" s="1882"/>
      <c r="IMU30" s="1882"/>
      <c r="IMV30" s="1882"/>
      <c r="IMX30" s="1887"/>
      <c r="IMY30" s="1888"/>
      <c r="IMZ30" s="1882"/>
      <c r="INA30" s="1882"/>
      <c r="INB30" s="1882"/>
      <c r="IND30" s="1887"/>
      <c r="INE30" s="1888"/>
      <c r="INF30" s="1882"/>
      <c r="ING30" s="1882"/>
      <c r="INH30" s="1882"/>
      <c r="INJ30" s="1887"/>
      <c r="INK30" s="1888"/>
      <c r="INL30" s="1882"/>
      <c r="INM30" s="1882"/>
      <c r="INN30" s="1882"/>
      <c r="INP30" s="1887"/>
      <c r="INQ30" s="1888"/>
      <c r="INR30" s="1882"/>
      <c r="INS30" s="1882"/>
      <c r="INT30" s="1882"/>
      <c r="INV30" s="1887"/>
      <c r="INW30" s="1888"/>
      <c r="INX30" s="1882"/>
      <c r="INY30" s="1882"/>
      <c r="INZ30" s="1882"/>
      <c r="IOB30" s="1887"/>
      <c r="IOC30" s="1888"/>
      <c r="IOD30" s="1882"/>
      <c r="IOE30" s="1882"/>
      <c r="IOF30" s="1882"/>
      <c r="IOH30" s="1887"/>
      <c r="IOI30" s="1888"/>
      <c r="IOJ30" s="1882"/>
      <c r="IOK30" s="1882"/>
      <c r="IOL30" s="1882"/>
      <c r="ION30" s="1887"/>
      <c r="IOO30" s="1888"/>
      <c r="IOP30" s="1882"/>
      <c r="IOQ30" s="1882"/>
      <c r="IOR30" s="1882"/>
      <c r="IOT30" s="1887"/>
      <c r="IOU30" s="1888"/>
      <c r="IOV30" s="1882"/>
      <c r="IOW30" s="1882"/>
      <c r="IOX30" s="1882"/>
      <c r="IOZ30" s="1887"/>
      <c r="IPA30" s="1888"/>
      <c r="IPB30" s="1882"/>
      <c r="IPC30" s="1882"/>
      <c r="IPD30" s="1882"/>
      <c r="IPF30" s="1887"/>
      <c r="IPG30" s="1888"/>
      <c r="IPH30" s="1882"/>
      <c r="IPI30" s="1882"/>
      <c r="IPJ30" s="1882"/>
      <c r="IPL30" s="1887"/>
      <c r="IPM30" s="1888"/>
      <c r="IPN30" s="1882"/>
      <c r="IPO30" s="1882"/>
      <c r="IPP30" s="1882"/>
      <c r="IPR30" s="1887"/>
      <c r="IPS30" s="1888"/>
      <c r="IPT30" s="1882"/>
      <c r="IPU30" s="1882"/>
      <c r="IPV30" s="1882"/>
      <c r="IPX30" s="1887"/>
      <c r="IPY30" s="1888"/>
      <c r="IPZ30" s="1882"/>
      <c r="IQA30" s="1882"/>
      <c r="IQB30" s="1882"/>
      <c r="IQD30" s="1887"/>
      <c r="IQE30" s="1888"/>
      <c r="IQF30" s="1882"/>
      <c r="IQG30" s="1882"/>
      <c r="IQH30" s="1882"/>
      <c r="IQJ30" s="1887"/>
      <c r="IQK30" s="1888"/>
      <c r="IQL30" s="1882"/>
      <c r="IQM30" s="1882"/>
      <c r="IQN30" s="1882"/>
      <c r="IQP30" s="1887"/>
      <c r="IQQ30" s="1888"/>
      <c r="IQR30" s="1882"/>
      <c r="IQS30" s="1882"/>
      <c r="IQT30" s="1882"/>
      <c r="IQV30" s="1887"/>
      <c r="IQW30" s="1888"/>
      <c r="IQX30" s="1882"/>
      <c r="IQY30" s="1882"/>
      <c r="IQZ30" s="1882"/>
      <c r="IRB30" s="1887"/>
      <c r="IRC30" s="1888"/>
      <c r="IRD30" s="1882"/>
      <c r="IRE30" s="1882"/>
      <c r="IRF30" s="1882"/>
      <c r="IRH30" s="1887"/>
      <c r="IRI30" s="1888"/>
      <c r="IRJ30" s="1882"/>
      <c r="IRK30" s="1882"/>
      <c r="IRL30" s="1882"/>
      <c r="IRN30" s="1887"/>
      <c r="IRO30" s="1888"/>
      <c r="IRP30" s="1882"/>
      <c r="IRQ30" s="1882"/>
      <c r="IRR30" s="1882"/>
      <c r="IRT30" s="1887"/>
      <c r="IRU30" s="1888"/>
      <c r="IRV30" s="1882"/>
      <c r="IRW30" s="1882"/>
      <c r="IRX30" s="1882"/>
      <c r="IRZ30" s="1887"/>
      <c r="ISA30" s="1888"/>
      <c r="ISB30" s="1882"/>
      <c r="ISC30" s="1882"/>
      <c r="ISD30" s="1882"/>
      <c r="ISF30" s="1887"/>
      <c r="ISG30" s="1888"/>
      <c r="ISH30" s="1882"/>
      <c r="ISI30" s="1882"/>
      <c r="ISJ30" s="1882"/>
      <c r="ISL30" s="1887"/>
      <c r="ISM30" s="1888"/>
      <c r="ISN30" s="1882"/>
      <c r="ISO30" s="1882"/>
      <c r="ISP30" s="1882"/>
      <c r="ISR30" s="1887"/>
      <c r="ISS30" s="1888"/>
      <c r="IST30" s="1882"/>
      <c r="ISU30" s="1882"/>
      <c r="ISV30" s="1882"/>
      <c r="ISX30" s="1887"/>
      <c r="ISY30" s="1888"/>
      <c r="ISZ30" s="1882"/>
      <c r="ITA30" s="1882"/>
      <c r="ITB30" s="1882"/>
      <c r="ITD30" s="1887"/>
      <c r="ITE30" s="1888"/>
      <c r="ITF30" s="1882"/>
      <c r="ITG30" s="1882"/>
      <c r="ITH30" s="1882"/>
      <c r="ITJ30" s="1887"/>
      <c r="ITK30" s="1888"/>
      <c r="ITL30" s="1882"/>
      <c r="ITM30" s="1882"/>
      <c r="ITN30" s="1882"/>
      <c r="ITP30" s="1887"/>
      <c r="ITQ30" s="1888"/>
      <c r="ITR30" s="1882"/>
      <c r="ITS30" s="1882"/>
      <c r="ITT30" s="1882"/>
      <c r="ITV30" s="1887"/>
      <c r="ITW30" s="1888"/>
      <c r="ITX30" s="1882"/>
      <c r="ITY30" s="1882"/>
      <c r="ITZ30" s="1882"/>
      <c r="IUB30" s="1887"/>
      <c r="IUC30" s="1888"/>
      <c r="IUD30" s="1882"/>
      <c r="IUE30" s="1882"/>
      <c r="IUF30" s="1882"/>
      <c r="IUH30" s="1887"/>
      <c r="IUI30" s="1888"/>
      <c r="IUJ30" s="1882"/>
      <c r="IUK30" s="1882"/>
      <c r="IUL30" s="1882"/>
      <c r="IUN30" s="1887"/>
      <c r="IUO30" s="1888"/>
      <c r="IUP30" s="1882"/>
      <c r="IUQ30" s="1882"/>
      <c r="IUR30" s="1882"/>
      <c r="IUT30" s="1887"/>
      <c r="IUU30" s="1888"/>
      <c r="IUV30" s="1882"/>
      <c r="IUW30" s="1882"/>
      <c r="IUX30" s="1882"/>
      <c r="IUZ30" s="1887"/>
      <c r="IVA30" s="1888"/>
      <c r="IVB30" s="1882"/>
      <c r="IVC30" s="1882"/>
      <c r="IVD30" s="1882"/>
      <c r="IVF30" s="1887"/>
      <c r="IVG30" s="1888"/>
      <c r="IVH30" s="1882"/>
      <c r="IVI30" s="1882"/>
      <c r="IVJ30" s="1882"/>
      <c r="IVL30" s="1887"/>
      <c r="IVM30" s="1888"/>
      <c r="IVN30" s="1882"/>
      <c r="IVO30" s="1882"/>
      <c r="IVP30" s="1882"/>
      <c r="IVR30" s="1887"/>
      <c r="IVS30" s="1888"/>
      <c r="IVT30" s="1882"/>
      <c r="IVU30" s="1882"/>
      <c r="IVV30" s="1882"/>
      <c r="IVX30" s="1887"/>
      <c r="IVY30" s="1888"/>
      <c r="IVZ30" s="1882"/>
      <c r="IWA30" s="1882"/>
      <c r="IWB30" s="1882"/>
      <c r="IWD30" s="1887"/>
      <c r="IWE30" s="1888"/>
      <c r="IWF30" s="1882"/>
      <c r="IWG30" s="1882"/>
      <c r="IWH30" s="1882"/>
      <c r="IWJ30" s="1887"/>
      <c r="IWK30" s="1888"/>
      <c r="IWL30" s="1882"/>
      <c r="IWM30" s="1882"/>
      <c r="IWN30" s="1882"/>
      <c r="IWP30" s="1887"/>
      <c r="IWQ30" s="1888"/>
      <c r="IWR30" s="1882"/>
      <c r="IWS30" s="1882"/>
      <c r="IWT30" s="1882"/>
      <c r="IWV30" s="1887"/>
      <c r="IWW30" s="1888"/>
      <c r="IWX30" s="1882"/>
      <c r="IWY30" s="1882"/>
      <c r="IWZ30" s="1882"/>
      <c r="IXB30" s="1887"/>
      <c r="IXC30" s="1888"/>
      <c r="IXD30" s="1882"/>
      <c r="IXE30" s="1882"/>
      <c r="IXF30" s="1882"/>
      <c r="IXH30" s="1887"/>
      <c r="IXI30" s="1888"/>
      <c r="IXJ30" s="1882"/>
      <c r="IXK30" s="1882"/>
      <c r="IXL30" s="1882"/>
      <c r="IXN30" s="1887"/>
      <c r="IXO30" s="1888"/>
      <c r="IXP30" s="1882"/>
      <c r="IXQ30" s="1882"/>
      <c r="IXR30" s="1882"/>
      <c r="IXT30" s="1887"/>
      <c r="IXU30" s="1888"/>
      <c r="IXV30" s="1882"/>
      <c r="IXW30" s="1882"/>
      <c r="IXX30" s="1882"/>
      <c r="IXZ30" s="1887"/>
      <c r="IYA30" s="1888"/>
      <c r="IYB30" s="1882"/>
      <c r="IYC30" s="1882"/>
      <c r="IYD30" s="1882"/>
      <c r="IYF30" s="1887"/>
      <c r="IYG30" s="1888"/>
      <c r="IYH30" s="1882"/>
      <c r="IYI30" s="1882"/>
      <c r="IYJ30" s="1882"/>
      <c r="IYL30" s="1887"/>
      <c r="IYM30" s="1888"/>
      <c r="IYN30" s="1882"/>
      <c r="IYO30" s="1882"/>
      <c r="IYP30" s="1882"/>
      <c r="IYR30" s="1887"/>
      <c r="IYS30" s="1888"/>
      <c r="IYT30" s="1882"/>
      <c r="IYU30" s="1882"/>
      <c r="IYV30" s="1882"/>
      <c r="IYX30" s="1887"/>
      <c r="IYY30" s="1888"/>
      <c r="IYZ30" s="1882"/>
      <c r="IZA30" s="1882"/>
      <c r="IZB30" s="1882"/>
      <c r="IZD30" s="1887"/>
      <c r="IZE30" s="1888"/>
      <c r="IZF30" s="1882"/>
      <c r="IZG30" s="1882"/>
      <c r="IZH30" s="1882"/>
      <c r="IZJ30" s="1887"/>
      <c r="IZK30" s="1888"/>
      <c r="IZL30" s="1882"/>
      <c r="IZM30" s="1882"/>
      <c r="IZN30" s="1882"/>
      <c r="IZP30" s="1887"/>
      <c r="IZQ30" s="1888"/>
      <c r="IZR30" s="1882"/>
      <c r="IZS30" s="1882"/>
      <c r="IZT30" s="1882"/>
      <c r="IZV30" s="1887"/>
      <c r="IZW30" s="1888"/>
      <c r="IZX30" s="1882"/>
      <c r="IZY30" s="1882"/>
      <c r="IZZ30" s="1882"/>
      <c r="JAB30" s="1887"/>
      <c r="JAC30" s="1888"/>
      <c r="JAD30" s="1882"/>
      <c r="JAE30" s="1882"/>
      <c r="JAF30" s="1882"/>
      <c r="JAH30" s="1887"/>
      <c r="JAI30" s="1888"/>
      <c r="JAJ30" s="1882"/>
      <c r="JAK30" s="1882"/>
      <c r="JAL30" s="1882"/>
      <c r="JAN30" s="1887"/>
      <c r="JAO30" s="1888"/>
      <c r="JAP30" s="1882"/>
      <c r="JAQ30" s="1882"/>
      <c r="JAR30" s="1882"/>
      <c r="JAT30" s="1887"/>
      <c r="JAU30" s="1888"/>
      <c r="JAV30" s="1882"/>
      <c r="JAW30" s="1882"/>
      <c r="JAX30" s="1882"/>
      <c r="JAZ30" s="1887"/>
      <c r="JBA30" s="1888"/>
      <c r="JBB30" s="1882"/>
      <c r="JBC30" s="1882"/>
      <c r="JBD30" s="1882"/>
      <c r="JBF30" s="1887"/>
      <c r="JBG30" s="1888"/>
      <c r="JBH30" s="1882"/>
      <c r="JBI30" s="1882"/>
      <c r="JBJ30" s="1882"/>
      <c r="JBL30" s="1887"/>
      <c r="JBM30" s="1888"/>
      <c r="JBN30" s="1882"/>
      <c r="JBO30" s="1882"/>
      <c r="JBP30" s="1882"/>
      <c r="JBR30" s="1887"/>
      <c r="JBS30" s="1888"/>
      <c r="JBT30" s="1882"/>
      <c r="JBU30" s="1882"/>
      <c r="JBV30" s="1882"/>
      <c r="JBX30" s="1887"/>
      <c r="JBY30" s="1888"/>
      <c r="JBZ30" s="1882"/>
      <c r="JCA30" s="1882"/>
      <c r="JCB30" s="1882"/>
      <c r="JCD30" s="1887"/>
      <c r="JCE30" s="1888"/>
      <c r="JCF30" s="1882"/>
      <c r="JCG30" s="1882"/>
      <c r="JCH30" s="1882"/>
      <c r="JCJ30" s="1887"/>
      <c r="JCK30" s="1888"/>
      <c r="JCL30" s="1882"/>
      <c r="JCM30" s="1882"/>
      <c r="JCN30" s="1882"/>
      <c r="JCP30" s="1887"/>
      <c r="JCQ30" s="1888"/>
      <c r="JCR30" s="1882"/>
      <c r="JCS30" s="1882"/>
      <c r="JCT30" s="1882"/>
      <c r="JCV30" s="1887"/>
      <c r="JCW30" s="1888"/>
      <c r="JCX30" s="1882"/>
      <c r="JCY30" s="1882"/>
      <c r="JCZ30" s="1882"/>
      <c r="JDB30" s="1887"/>
      <c r="JDC30" s="1888"/>
      <c r="JDD30" s="1882"/>
      <c r="JDE30" s="1882"/>
      <c r="JDF30" s="1882"/>
      <c r="JDH30" s="1887"/>
      <c r="JDI30" s="1888"/>
      <c r="JDJ30" s="1882"/>
      <c r="JDK30" s="1882"/>
      <c r="JDL30" s="1882"/>
      <c r="JDN30" s="1887"/>
      <c r="JDO30" s="1888"/>
      <c r="JDP30" s="1882"/>
      <c r="JDQ30" s="1882"/>
      <c r="JDR30" s="1882"/>
      <c r="JDT30" s="1887"/>
      <c r="JDU30" s="1888"/>
      <c r="JDV30" s="1882"/>
      <c r="JDW30" s="1882"/>
      <c r="JDX30" s="1882"/>
      <c r="JDZ30" s="1887"/>
      <c r="JEA30" s="1888"/>
      <c r="JEB30" s="1882"/>
      <c r="JEC30" s="1882"/>
      <c r="JED30" s="1882"/>
      <c r="JEF30" s="1887"/>
      <c r="JEG30" s="1888"/>
      <c r="JEH30" s="1882"/>
      <c r="JEI30" s="1882"/>
      <c r="JEJ30" s="1882"/>
      <c r="JEL30" s="1887"/>
      <c r="JEM30" s="1888"/>
      <c r="JEN30" s="1882"/>
      <c r="JEO30" s="1882"/>
      <c r="JEP30" s="1882"/>
      <c r="JER30" s="1887"/>
      <c r="JES30" s="1888"/>
      <c r="JET30" s="1882"/>
      <c r="JEU30" s="1882"/>
      <c r="JEV30" s="1882"/>
      <c r="JEX30" s="1887"/>
      <c r="JEY30" s="1888"/>
      <c r="JEZ30" s="1882"/>
      <c r="JFA30" s="1882"/>
      <c r="JFB30" s="1882"/>
      <c r="JFD30" s="1887"/>
      <c r="JFE30" s="1888"/>
      <c r="JFF30" s="1882"/>
      <c r="JFG30" s="1882"/>
      <c r="JFH30" s="1882"/>
      <c r="JFJ30" s="1887"/>
      <c r="JFK30" s="1888"/>
      <c r="JFL30" s="1882"/>
      <c r="JFM30" s="1882"/>
      <c r="JFN30" s="1882"/>
      <c r="JFP30" s="1887"/>
      <c r="JFQ30" s="1888"/>
      <c r="JFR30" s="1882"/>
      <c r="JFS30" s="1882"/>
      <c r="JFT30" s="1882"/>
      <c r="JFV30" s="1887"/>
      <c r="JFW30" s="1888"/>
      <c r="JFX30" s="1882"/>
      <c r="JFY30" s="1882"/>
      <c r="JFZ30" s="1882"/>
      <c r="JGB30" s="1887"/>
      <c r="JGC30" s="1888"/>
      <c r="JGD30" s="1882"/>
      <c r="JGE30" s="1882"/>
      <c r="JGF30" s="1882"/>
      <c r="JGH30" s="1887"/>
      <c r="JGI30" s="1888"/>
      <c r="JGJ30" s="1882"/>
      <c r="JGK30" s="1882"/>
      <c r="JGL30" s="1882"/>
      <c r="JGN30" s="1887"/>
      <c r="JGO30" s="1888"/>
      <c r="JGP30" s="1882"/>
      <c r="JGQ30" s="1882"/>
      <c r="JGR30" s="1882"/>
      <c r="JGT30" s="1887"/>
      <c r="JGU30" s="1888"/>
      <c r="JGV30" s="1882"/>
      <c r="JGW30" s="1882"/>
      <c r="JGX30" s="1882"/>
      <c r="JGZ30" s="1887"/>
      <c r="JHA30" s="1888"/>
      <c r="JHB30" s="1882"/>
      <c r="JHC30" s="1882"/>
      <c r="JHD30" s="1882"/>
      <c r="JHF30" s="1887"/>
      <c r="JHG30" s="1888"/>
      <c r="JHH30" s="1882"/>
      <c r="JHI30" s="1882"/>
      <c r="JHJ30" s="1882"/>
      <c r="JHL30" s="1887"/>
      <c r="JHM30" s="1888"/>
      <c r="JHN30" s="1882"/>
      <c r="JHO30" s="1882"/>
      <c r="JHP30" s="1882"/>
      <c r="JHR30" s="1887"/>
      <c r="JHS30" s="1888"/>
      <c r="JHT30" s="1882"/>
      <c r="JHU30" s="1882"/>
      <c r="JHV30" s="1882"/>
      <c r="JHX30" s="1887"/>
      <c r="JHY30" s="1888"/>
      <c r="JHZ30" s="1882"/>
      <c r="JIA30" s="1882"/>
      <c r="JIB30" s="1882"/>
      <c r="JID30" s="1887"/>
      <c r="JIE30" s="1888"/>
      <c r="JIF30" s="1882"/>
      <c r="JIG30" s="1882"/>
      <c r="JIH30" s="1882"/>
      <c r="JIJ30" s="1887"/>
      <c r="JIK30" s="1888"/>
      <c r="JIL30" s="1882"/>
      <c r="JIM30" s="1882"/>
      <c r="JIN30" s="1882"/>
      <c r="JIP30" s="1887"/>
      <c r="JIQ30" s="1888"/>
      <c r="JIR30" s="1882"/>
      <c r="JIS30" s="1882"/>
      <c r="JIT30" s="1882"/>
      <c r="JIV30" s="1887"/>
      <c r="JIW30" s="1888"/>
      <c r="JIX30" s="1882"/>
      <c r="JIY30" s="1882"/>
      <c r="JIZ30" s="1882"/>
      <c r="JJB30" s="1887"/>
      <c r="JJC30" s="1888"/>
      <c r="JJD30" s="1882"/>
      <c r="JJE30" s="1882"/>
      <c r="JJF30" s="1882"/>
      <c r="JJH30" s="1887"/>
      <c r="JJI30" s="1888"/>
      <c r="JJJ30" s="1882"/>
      <c r="JJK30" s="1882"/>
      <c r="JJL30" s="1882"/>
      <c r="JJN30" s="1887"/>
      <c r="JJO30" s="1888"/>
      <c r="JJP30" s="1882"/>
      <c r="JJQ30" s="1882"/>
      <c r="JJR30" s="1882"/>
      <c r="JJT30" s="1887"/>
      <c r="JJU30" s="1888"/>
      <c r="JJV30" s="1882"/>
      <c r="JJW30" s="1882"/>
      <c r="JJX30" s="1882"/>
      <c r="JJZ30" s="1887"/>
      <c r="JKA30" s="1888"/>
      <c r="JKB30" s="1882"/>
      <c r="JKC30" s="1882"/>
      <c r="JKD30" s="1882"/>
      <c r="JKF30" s="1887"/>
      <c r="JKG30" s="1888"/>
      <c r="JKH30" s="1882"/>
      <c r="JKI30" s="1882"/>
      <c r="JKJ30" s="1882"/>
      <c r="JKL30" s="1887"/>
      <c r="JKM30" s="1888"/>
      <c r="JKN30" s="1882"/>
      <c r="JKO30" s="1882"/>
      <c r="JKP30" s="1882"/>
      <c r="JKR30" s="1887"/>
      <c r="JKS30" s="1888"/>
      <c r="JKT30" s="1882"/>
      <c r="JKU30" s="1882"/>
      <c r="JKV30" s="1882"/>
      <c r="JKX30" s="1887"/>
      <c r="JKY30" s="1888"/>
      <c r="JKZ30" s="1882"/>
      <c r="JLA30" s="1882"/>
      <c r="JLB30" s="1882"/>
      <c r="JLD30" s="1887"/>
      <c r="JLE30" s="1888"/>
      <c r="JLF30" s="1882"/>
      <c r="JLG30" s="1882"/>
      <c r="JLH30" s="1882"/>
      <c r="JLJ30" s="1887"/>
      <c r="JLK30" s="1888"/>
      <c r="JLL30" s="1882"/>
      <c r="JLM30" s="1882"/>
      <c r="JLN30" s="1882"/>
      <c r="JLP30" s="1887"/>
      <c r="JLQ30" s="1888"/>
      <c r="JLR30" s="1882"/>
      <c r="JLS30" s="1882"/>
      <c r="JLT30" s="1882"/>
      <c r="JLV30" s="1887"/>
      <c r="JLW30" s="1888"/>
      <c r="JLX30" s="1882"/>
      <c r="JLY30" s="1882"/>
      <c r="JLZ30" s="1882"/>
      <c r="JMB30" s="1887"/>
      <c r="JMC30" s="1888"/>
      <c r="JMD30" s="1882"/>
      <c r="JME30" s="1882"/>
      <c r="JMF30" s="1882"/>
      <c r="JMH30" s="1887"/>
      <c r="JMI30" s="1888"/>
      <c r="JMJ30" s="1882"/>
      <c r="JMK30" s="1882"/>
      <c r="JML30" s="1882"/>
      <c r="JMN30" s="1887"/>
      <c r="JMO30" s="1888"/>
      <c r="JMP30" s="1882"/>
      <c r="JMQ30" s="1882"/>
      <c r="JMR30" s="1882"/>
      <c r="JMT30" s="1887"/>
      <c r="JMU30" s="1888"/>
      <c r="JMV30" s="1882"/>
      <c r="JMW30" s="1882"/>
      <c r="JMX30" s="1882"/>
      <c r="JMZ30" s="1887"/>
      <c r="JNA30" s="1888"/>
      <c r="JNB30" s="1882"/>
      <c r="JNC30" s="1882"/>
      <c r="JND30" s="1882"/>
      <c r="JNF30" s="1887"/>
      <c r="JNG30" s="1888"/>
      <c r="JNH30" s="1882"/>
      <c r="JNI30" s="1882"/>
      <c r="JNJ30" s="1882"/>
      <c r="JNL30" s="1887"/>
      <c r="JNM30" s="1888"/>
      <c r="JNN30" s="1882"/>
      <c r="JNO30" s="1882"/>
      <c r="JNP30" s="1882"/>
      <c r="JNR30" s="1887"/>
      <c r="JNS30" s="1888"/>
      <c r="JNT30" s="1882"/>
      <c r="JNU30" s="1882"/>
      <c r="JNV30" s="1882"/>
      <c r="JNX30" s="1887"/>
      <c r="JNY30" s="1888"/>
      <c r="JNZ30" s="1882"/>
      <c r="JOA30" s="1882"/>
      <c r="JOB30" s="1882"/>
      <c r="JOD30" s="1887"/>
      <c r="JOE30" s="1888"/>
      <c r="JOF30" s="1882"/>
      <c r="JOG30" s="1882"/>
      <c r="JOH30" s="1882"/>
      <c r="JOJ30" s="1887"/>
      <c r="JOK30" s="1888"/>
      <c r="JOL30" s="1882"/>
      <c r="JOM30" s="1882"/>
      <c r="JON30" s="1882"/>
      <c r="JOP30" s="1887"/>
      <c r="JOQ30" s="1888"/>
      <c r="JOR30" s="1882"/>
      <c r="JOS30" s="1882"/>
      <c r="JOT30" s="1882"/>
      <c r="JOV30" s="1887"/>
      <c r="JOW30" s="1888"/>
      <c r="JOX30" s="1882"/>
      <c r="JOY30" s="1882"/>
      <c r="JOZ30" s="1882"/>
      <c r="JPB30" s="1887"/>
      <c r="JPC30" s="1888"/>
      <c r="JPD30" s="1882"/>
      <c r="JPE30" s="1882"/>
      <c r="JPF30" s="1882"/>
      <c r="JPH30" s="1887"/>
      <c r="JPI30" s="1888"/>
      <c r="JPJ30" s="1882"/>
      <c r="JPK30" s="1882"/>
      <c r="JPL30" s="1882"/>
      <c r="JPN30" s="1887"/>
      <c r="JPO30" s="1888"/>
      <c r="JPP30" s="1882"/>
      <c r="JPQ30" s="1882"/>
      <c r="JPR30" s="1882"/>
      <c r="JPT30" s="1887"/>
      <c r="JPU30" s="1888"/>
      <c r="JPV30" s="1882"/>
      <c r="JPW30" s="1882"/>
      <c r="JPX30" s="1882"/>
      <c r="JPZ30" s="1887"/>
      <c r="JQA30" s="1888"/>
      <c r="JQB30" s="1882"/>
      <c r="JQC30" s="1882"/>
      <c r="JQD30" s="1882"/>
      <c r="JQF30" s="1887"/>
      <c r="JQG30" s="1888"/>
      <c r="JQH30" s="1882"/>
      <c r="JQI30" s="1882"/>
      <c r="JQJ30" s="1882"/>
      <c r="JQL30" s="1887"/>
      <c r="JQM30" s="1888"/>
      <c r="JQN30" s="1882"/>
      <c r="JQO30" s="1882"/>
      <c r="JQP30" s="1882"/>
      <c r="JQR30" s="1887"/>
      <c r="JQS30" s="1888"/>
      <c r="JQT30" s="1882"/>
      <c r="JQU30" s="1882"/>
      <c r="JQV30" s="1882"/>
      <c r="JQX30" s="1887"/>
      <c r="JQY30" s="1888"/>
      <c r="JQZ30" s="1882"/>
      <c r="JRA30" s="1882"/>
      <c r="JRB30" s="1882"/>
      <c r="JRD30" s="1887"/>
      <c r="JRE30" s="1888"/>
      <c r="JRF30" s="1882"/>
      <c r="JRG30" s="1882"/>
      <c r="JRH30" s="1882"/>
      <c r="JRJ30" s="1887"/>
      <c r="JRK30" s="1888"/>
      <c r="JRL30" s="1882"/>
      <c r="JRM30" s="1882"/>
      <c r="JRN30" s="1882"/>
      <c r="JRP30" s="1887"/>
      <c r="JRQ30" s="1888"/>
      <c r="JRR30" s="1882"/>
      <c r="JRS30" s="1882"/>
      <c r="JRT30" s="1882"/>
      <c r="JRV30" s="1887"/>
      <c r="JRW30" s="1888"/>
      <c r="JRX30" s="1882"/>
      <c r="JRY30" s="1882"/>
      <c r="JRZ30" s="1882"/>
      <c r="JSB30" s="1887"/>
      <c r="JSC30" s="1888"/>
      <c r="JSD30" s="1882"/>
      <c r="JSE30" s="1882"/>
      <c r="JSF30" s="1882"/>
      <c r="JSH30" s="1887"/>
      <c r="JSI30" s="1888"/>
      <c r="JSJ30" s="1882"/>
      <c r="JSK30" s="1882"/>
      <c r="JSL30" s="1882"/>
      <c r="JSN30" s="1887"/>
      <c r="JSO30" s="1888"/>
      <c r="JSP30" s="1882"/>
      <c r="JSQ30" s="1882"/>
      <c r="JSR30" s="1882"/>
      <c r="JST30" s="1887"/>
      <c r="JSU30" s="1888"/>
      <c r="JSV30" s="1882"/>
      <c r="JSW30" s="1882"/>
      <c r="JSX30" s="1882"/>
      <c r="JSZ30" s="1887"/>
      <c r="JTA30" s="1888"/>
      <c r="JTB30" s="1882"/>
      <c r="JTC30" s="1882"/>
      <c r="JTD30" s="1882"/>
      <c r="JTF30" s="1887"/>
      <c r="JTG30" s="1888"/>
      <c r="JTH30" s="1882"/>
      <c r="JTI30" s="1882"/>
      <c r="JTJ30" s="1882"/>
      <c r="JTL30" s="1887"/>
      <c r="JTM30" s="1888"/>
      <c r="JTN30" s="1882"/>
      <c r="JTO30" s="1882"/>
      <c r="JTP30" s="1882"/>
      <c r="JTR30" s="1887"/>
      <c r="JTS30" s="1888"/>
      <c r="JTT30" s="1882"/>
      <c r="JTU30" s="1882"/>
      <c r="JTV30" s="1882"/>
      <c r="JTX30" s="1887"/>
      <c r="JTY30" s="1888"/>
      <c r="JTZ30" s="1882"/>
      <c r="JUA30" s="1882"/>
      <c r="JUB30" s="1882"/>
      <c r="JUD30" s="1887"/>
      <c r="JUE30" s="1888"/>
      <c r="JUF30" s="1882"/>
      <c r="JUG30" s="1882"/>
      <c r="JUH30" s="1882"/>
      <c r="JUJ30" s="1887"/>
      <c r="JUK30" s="1888"/>
      <c r="JUL30" s="1882"/>
      <c r="JUM30" s="1882"/>
      <c r="JUN30" s="1882"/>
      <c r="JUP30" s="1887"/>
      <c r="JUQ30" s="1888"/>
      <c r="JUR30" s="1882"/>
      <c r="JUS30" s="1882"/>
      <c r="JUT30" s="1882"/>
      <c r="JUV30" s="1887"/>
      <c r="JUW30" s="1888"/>
      <c r="JUX30" s="1882"/>
      <c r="JUY30" s="1882"/>
      <c r="JUZ30" s="1882"/>
      <c r="JVB30" s="1887"/>
      <c r="JVC30" s="1888"/>
      <c r="JVD30" s="1882"/>
      <c r="JVE30" s="1882"/>
      <c r="JVF30" s="1882"/>
      <c r="JVH30" s="1887"/>
      <c r="JVI30" s="1888"/>
      <c r="JVJ30" s="1882"/>
      <c r="JVK30" s="1882"/>
      <c r="JVL30" s="1882"/>
      <c r="JVN30" s="1887"/>
      <c r="JVO30" s="1888"/>
      <c r="JVP30" s="1882"/>
      <c r="JVQ30" s="1882"/>
      <c r="JVR30" s="1882"/>
      <c r="JVT30" s="1887"/>
      <c r="JVU30" s="1888"/>
      <c r="JVV30" s="1882"/>
      <c r="JVW30" s="1882"/>
      <c r="JVX30" s="1882"/>
      <c r="JVZ30" s="1887"/>
      <c r="JWA30" s="1888"/>
      <c r="JWB30" s="1882"/>
      <c r="JWC30" s="1882"/>
      <c r="JWD30" s="1882"/>
      <c r="JWF30" s="1887"/>
      <c r="JWG30" s="1888"/>
      <c r="JWH30" s="1882"/>
      <c r="JWI30" s="1882"/>
      <c r="JWJ30" s="1882"/>
      <c r="JWL30" s="1887"/>
      <c r="JWM30" s="1888"/>
      <c r="JWN30" s="1882"/>
      <c r="JWO30" s="1882"/>
      <c r="JWP30" s="1882"/>
      <c r="JWR30" s="1887"/>
      <c r="JWS30" s="1888"/>
      <c r="JWT30" s="1882"/>
      <c r="JWU30" s="1882"/>
      <c r="JWV30" s="1882"/>
      <c r="JWX30" s="1887"/>
      <c r="JWY30" s="1888"/>
      <c r="JWZ30" s="1882"/>
      <c r="JXA30" s="1882"/>
      <c r="JXB30" s="1882"/>
      <c r="JXD30" s="1887"/>
      <c r="JXE30" s="1888"/>
      <c r="JXF30" s="1882"/>
      <c r="JXG30" s="1882"/>
      <c r="JXH30" s="1882"/>
      <c r="JXJ30" s="1887"/>
      <c r="JXK30" s="1888"/>
      <c r="JXL30" s="1882"/>
      <c r="JXM30" s="1882"/>
      <c r="JXN30" s="1882"/>
      <c r="JXP30" s="1887"/>
      <c r="JXQ30" s="1888"/>
      <c r="JXR30" s="1882"/>
      <c r="JXS30" s="1882"/>
      <c r="JXT30" s="1882"/>
      <c r="JXV30" s="1887"/>
      <c r="JXW30" s="1888"/>
      <c r="JXX30" s="1882"/>
      <c r="JXY30" s="1882"/>
      <c r="JXZ30" s="1882"/>
      <c r="JYB30" s="1887"/>
      <c r="JYC30" s="1888"/>
      <c r="JYD30" s="1882"/>
      <c r="JYE30" s="1882"/>
      <c r="JYF30" s="1882"/>
      <c r="JYH30" s="1887"/>
      <c r="JYI30" s="1888"/>
      <c r="JYJ30" s="1882"/>
      <c r="JYK30" s="1882"/>
      <c r="JYL30" s="1882"/>
      <c r="JYN30" s="1887"/>
      <c r="JYO30" s="1888"/>
      <c r="JYP30" s="1882"/>
      <c r="JYQ30" s="1882"/>
      <c r="JYR30" s="1882"/>
      <c r="JYT30" s="1887"/>
      <c r="JYU30" s="1888"/>
      <c r="JYV30" s="1882"/>
      <c r="JYW30" s="1882"/>
      <c r="JYX30" s="1882"/>
      <c r="JYZ30" s="1887"/>
      <c r="JZA30" s="1888"/>
      <c r="JZB30" s="1882"/>
      <c r="JZC30" s="1882"/>
      <c r="JZD30" s="1882"/>
      <c r="JZF30" s="1887"/>
      <c r="JZG30" s="1888"/>
      <c r="JZH30" s="1882"/>
      <c r="JZI30" s="1882"/>
      <c r="JZJ30" s="1882"/>
      <c r="JZL30" s="1887"/>
      <c r="JZM30" s="1888"/>
      <c r="JZN30" s="1882"/>
      <c r="JZO30" s="1882"/>
      <c r="JZP30" s="1882"/>
      <c r="JZR30" s="1887"/>
      <c r="JZS30" s="1888"/>
      <c r="JZT30" s="1882"/>
      <c r="JZU30" s="1882"/>
      <c r="JZV30" s="1882"/>
      <c r="JZX30" s="1887"/>
      <c r="JZY30" s="1888"/>
      <c r="JZZ30" s="1882"/>
      <c r="KAA30" s="1882"/>
      <c r="KAB30" s="1882"/>
      <c r="KAD30" s="1887"/>
      <c r="KAE30" s="1888"/>
      <c r="KAF30" s="1882"/>
      <c r="KAG30" s="1882"/>
      <c r="KAH30" s="1882"/>
      <c r="KAJ30" s="1887"/>
      <c r="KAK30" s="1888"/>
      <c r="KAL30" s="1882"/>
      <c r="KAM30" s="1882"/>
      <c r="KAN30" s="1882"/>
      <c r="KAP30" s="1887"/>
      <c r="KAQ30" s="1888"/>
      <c r="KAR30" s="1882"/>
      <c r="KAS30" s="1882"/>
      <c r="KAT30" s="1882"/>
      <c r="KAV30" s="1887"/>
      <c r="KAW30" s="1888"/>
      <c r="KAX30" s="1882"/>
      <c r="KAY30" s="1882"/>
      <c r="KAZ30" s="1882"/>
      <c r="KBB30" s="1887"/>
      <c r="KBC30" s="1888"/>
      <c r="KBD30" s="1882"/>
      <c r="KBE30" s="1882"/>
      <c r="KBF30" s="1882"/>
      <c r="KBH30" s="1887"/>
      <c r="KBI30" s="1888"/>
      <c r="KBJ30" s="1882"/>
      <c r="KBK30" s="1882"/>
      <c r="KBL30" s="1882"/>
      <c r="KBN30" s="1887"/>
      <c r="KBO30" s="1888"/>
      <c r="KBP30" s="1882"/>
      <c r="KBQ30" s="1882"/>
      <c r="KBR30" s="1882"/>
      <c r="KBT30" s="1887"/>
      <c r="KBU30" s="1888"/>
      <c r="KBV30" s="1882"/>
      <c r="KBW30" s="1882"/>
      <c r="KBX30" s="1882"/>
      <c r="KBZ30" s="1887"/>
      <c r="KCA30" s="1888"/>
      <c r="KCB30" s="1882"/>
      <c r="KCC30" s="1882"/>
      <c r="KCD30" s="1882"/>
      <c r="KCF30" s="1887"/>
      <c r="KCG30" s="1888"/>
      <c r="KCH30" s="1882"/>
      <c r="KCI30" s="1882"/>
      <c r="KCJ30" s="1882"/>
      <c r="KCL30" s="1887"/>
      <c r="KCM30" s="1888"/>
      <c r="KCN30" s="1882"/>
      <c r="KCO30" s="1882"/>
      <c r="KCP30" s="1882"/>
      <c r="KCR30" s="1887"/>
      <c r="KCS30" s="1888"/>
      <c r="KCT30" s="1882"/>
      <c r="KCU30" s="1882"/>
      <c r="KCV30" s="1882"/>
      <c r="KCX30" s="1887"/>
      <c r="KCY30" s="1888"/>
      <c r="KCZ30" s="1882"/>
      <c r="KDA30" s="1882"/>
      <c r="KDB30" s="1882"/>
      <c r="KDD30" s="1887"/>
      <c r="KDE30" s="1888"/>
      <c r="KDF30" s="1882"/>
      <c r="KDG30" s="1882"/>
      <c r="KDH30" s="1882"/>
      <c r="KDJ30" s="1887"/>
      <c r="KDK30" s="1888"/>
      <c r="KDL30" s="1882"/>
      <c r="KDM30" s="1882"/>
      <c r="KDN30" s="1882"/>
      <c r="KDP30" s="1887"/>
      <c r="KDQ30" s="1888"/>
      <c r="KDR30" s="1882"/>
      <c r="KDS30" s="1882"/>
      <c r="KDT30" s="1882"/>
      <c r="KDV30" s="1887"/>
      <c r="KDW30" s="1888"/>
      <c r="KDX30" s="1882"/>
      <c r="KDY30" s="1882"/>
      <c r="KDZ30" s="1882"/>
      <c r="KEB30" s="1887"/>
      <c r="KEC30" s="1888"/>
      <c r="KED30" s="1882"/>
      <c r="KEE30" s="1882"/>
      <c r="KEF30" s="1882"/>
      <c r="KEH30" s="1887"/>
      <c r="KEI30" s="1888"/>
      <c r="KEJ30" s="1882"/>
      <c r="KEK30" s="1882"/>
      <c r="KEL30" s="1882"/>
      <c r="KEN30" s="1887"/>
      <c r="KEO30" s="1888"/>
      <c r="KEP30" s="1882"/>
      <c r="KEQ30" s="1882"/>
      <c r="KER30" s="1882"/>
      <c r="KET30" s="1887"/>
      <c r="KEU30" s="1888"/>
      <c r="KEV30" s="1882"/>
      <c r="KEW30" s="1882"/>
      <c r="KEX30" s="1882"/>
      <c r="KEZ30" s="1887"/>
      <c r="KFA30" s="1888"/>
      <c r="KFB30" s="1882"/>
      <c r="KFC30" s="1882"/>
      <c r="KFD30" s="1882"/>
      <c r="KFF30" s="1887"/>
      <c r="KFG30" s="1888"/>
      <c r="KFH30" s="1882"/>
      <c r="KFI30" s="1882"/>
      <c r="KFJ30" s="1882"/>
      <c r="KFL30" s="1887"/>
      <c r="KFM30" s="1888"/>
      <c r="KFN30" s="1882"/>
      <c r="KFO30" s="1882"/>
      <c r="KFP30" s="1882"/>
      <c r="KFR30" s="1887"/>
      <c r="KFS30" s="1888"/>
      <c r="KFT30" s="1882"/>
      <c r="KFU30" s="1882"/>
      <c r="KFV30" s="1882"/>
      <c r="KFX30" s="1887"/>
      <c r="KFY30" s="1888"/>
      <c r="KFZ30" s="1882"/>
      <c r="KGA30" s="1882"/>
      <c r="KGB30" s="1882"/>
      <c r="KGD30" s="1887"/>
      <c r="KGE30" s="1888"/>
      <c r="KGF30" s="1882"/>
      <c r="KGG30" s="1882"/>
      <c r="KGH30" s="1882"/>
      <c r="KGJ30" s="1887"/>
      <c r="KGK30" s="1888"/>
      <c r="KGL30" s="1882"/>
      <c r="KGM30" s="1882"/>
      <c r="KGN30" s="1882"/>
      <c r="KGP30" s="1887"/>
      <c r="KGQ30" s="1888"/>
      <c r="KGR30" s="1882"/>
      <c r="KGS30" s="1882"/>
      <c r="KGT30" s="1882"/>
      <c r="KGV30" s="1887"/>
      <c r="KGW30" s="1888"/>
      <c r="KGX30" s="1882"/>
      <c r="KGY30" s="1882"/>
      <c r="KGZ30" s="1882"/>
      <c r="KHB30" s="1887"/>
      <c r="KHC30" s="1888"/>
      <c r="KHD30" s="1882"/>
      <c r="KHE30" s="1882"/>
      <c r="KHF30" s="1882"/>
      <c r="KHH30" s="1887"/>
      <c r="KHI30" s="1888"/>
      <c r="KHJ30" s="1882"/>
      <c r="KHK30" s="1882"/>
      <c r="KHL30" s="1882"/>
      <c r="KHN30" s="1887"/>
      <c r="KHO30" s="1888"/>
      <c r="KHP30" s="1882"/>
      <c r="KHQ30" s="1882"/>
      <c r="KHR30" s="1882"/>
      <c r="KHT30" s="1887"/>
      <c r="KHU30" s="1888"/>
      <c r="KHV30" s="1882"/>
      <c r="KHW30" s="1882"/>
      <c r="KHX30" s="1882"/>
      <c r="KHZ30" s="1887"/>
      <c r="KIA30" s="1888"/>
      <c r="KIB30" s="1882"/>
      <c r="KIC30" s="1882"/>
      <c r="KID30" s="1882"/>
      <c r="KIF30" s="1887"/>
      <c r="KIG30" s="1888"/>
      <c r="KIH30" s="1882"/>
      <c r="KII30" s="1882"/>
      <c r="KIJ30" s="1882"/>
      <c r="KIL30" s="1887"/>
      <c r="KIM30" s="1888"/>
      <c r="KIN30" s="1882"/>
      <c r="KIO30" s="1882"/>
      <c r="KIP30" s="1882"/>
      <c r="KIR30" s="1887"/>
      <c r="KIS30" s="1888"/>
      <c r="KIT30" s="1882"/>
      <c r="KIU30" s="1882"/>
      <c r="KIV30" s="1882"/>
      <c r="KIX30" s="1887"/>
      <c r="KIY30" s="1888"/>
      <c r="KIZ30" s="1882"/>
      <c r="KJA30" s="1882"/>
      <c r="KJB30" s="1882"/>
      <c r="KJD30" s="1887"/>
      <c r="KJE30" s="1888"/>
      <c r="KJF30" s="1882"/>
      <c r="KJG30" s="1882"/>
      <c r="KJH30" s="1882"/>
      <c r="KJJ30" s="1887"/>
      <c r="KJK30" s="1888"/>
      <c r="KJL30" s="1882"/>
      <c r="KJM30" s="1882"/>
      <c r="KJN30" s="1882"/>
      <c r="KJP30" s="1887"/>
      <c r="KJQ30" s="1888"/>
      <c r="KJR30" s="1882"/>
      <c r="KJS30" s="1882"/>
      <c r="KJT30" s="1882"/>
      <c r="KJV30" s="1887"/>
      <c r="KJW30" s="1888"/>
      <c r="KJX30" s="1882"/>
      <c r="KJY30" s="1882"/>
      <c r="KJZ30" s="1882"/>
      <c r="KKB30" s="1887"/>
      <c r="KKC30" s="1888"/>
      <c r="KKD30" s="1882"/>
      <c r="KKE30" s="1882"/>
      <c r="KKF30" s="1882"/>
      <c r="KKH30" s="1887"/>
      <c r="KKI30" s="1888"/>
      <c r="KKJ30" s="1882"/>
      <c r="KKK30" s="1882"/>
      <c r="KKL30" s="1882"/>
      <c r="KKN30" s="1887"/>
      <c r="KKO30" s="1888"/>
      <c r="KKP30" s="1882"/>
      <c r="KKQ30" s="1882"/>
      <c r="KKR30" s="1882"/>
      <c r="KKT30" s="1887"/>
      <c r="KKU30" s="1888"/>
      <c r="KKV30" s="1882"/>
      <c r="KKW30" s="1882"/>
      <c r="KKX30" s="1882"/>
      <c r="KKZ30" s="1887"/>
      <c r="KLA30" s="1888"/>
      <c r="KLB30" s="1882"/>
      <c r="KLC30" s="1882"/>
      <c r="KLD30" s="1882"/>
      <c r="KLF30" s="1887"/>
      <c r="KLG30" s="1888"/>
      <c r="KLH30" s="1882"/>
      <c r="KLI30" s="1882"/>
      <c r="KLJ30" s="1882"/>
      <c r="KLL30" s="1887"/>
      <c r="KLM30" s="1888"/>
      <c r="KLN30" s="1882"/>
      <c r="KLO30" s="1882"/>
      <c r="KLP30" s="1882"/>
      <c r="KLR30" s="1887"/>
      <c r="KLS30" s="1888"/>
      <c r="KLT30" s="1882"/>
      <c r="KLU30" s="1882"/>
      <c r="KLV30" s="1882"/>
      <c r="KLX30" s="1887"/>
      <c r="KLY30" s="1888"/>
      <c r="KLZ30" s="1882"/>
      <c r="KMA30" s="1882"/>
      <c r="KMB30" s="1882"/>
      <c r="KMD30" s="1887"/>
      <c r="KME30" s="1888"/>
      <c r="KMF30" s="1882"/>
      <c r="KMG30" s="1882"/>
      <c r="KMH30" s="1882"/>
      <c r="KMJ30" s="1887"/>
      <c r="KMK30" s="1888"/>
      <c r="KML30" s="1882"/>
      <c r="KMM30" s="1882"/>
      <c r="KMN30" s="1882"/>
      <c r="KMP30" s="1887"/>
      <c r="KMQ30" s="1888"/>
      <c r="KMR30" s="1882"/>
      <c r="KMS30" s="1882"/>
      <c r="KMT30" s="1882"/>
      <c r="KMV30" s="1887"/>
      <c r="KMW30" s="1888"/>
      <c r="KMX30" s="1882"/>
      <c r="KMY30" s="1882"/>
      <c r="KMZ30" s="1882"/>
      <c r="KNB30" s="1887"/>
      <c r="KNC30" s="1888"/>
      <c r="KND30" s="1882"/>
      <c r="KNE30" s="1882"/>
      <c r="KNF30" s="1882"/>
      <c r="KNH30" s="1887"/>
      <c r="KNI30" s="1888"/>
      <c r="KNJ30" s="1882"/>
      <c r="KNK30" s="1882"/>
      <c r="KNL30" s="1882"/>
      <c r="KNN30" s="1887"/>
      <c r="KNO30" s="1888"/>
      <c r="KNP30" s="1882"/>
      <c r="KNQ30" s="1882"/>
      <c r="KNR30" s="1882"/>
      <c r="KNT30" s="1887"/>
      <c r="KNU30" s="1888"/>
      <c r="KNV30" s="1882"/>
      <c r="KNW30" s="1882"/>
      <c r="KNX30" s="1882"/>
      <c r="KNZ30" s="1887"/>
      <c r="KOA30" s="1888"/>
      <c r="KOB30" s="1882"/>
      <c r="KOC30" s="1882"/>
      <c r="KOD30" s="1882"/>
      <c r="KOF30" s="1887"/>
      <c r="KOG30" s="1888"/>
      <c r="KOH30" s="1882"/>
      <c r="KOI30" s="1882"/>
      <c r="KOJ30" s="1882"/>
      <c r="KOL30" s="1887"/>
      <c r="KOM30" s="1888"/>
      <c r="KON30" s="1882"/>
      <c r="KOO30" s="1882"/>
      <c r="KOP30" s="1882"/>
      <c r="KOR30" s="1887"/>
      <c r="KOS30" s="1888"/>
      <c r="KOT30" s="1882"/>
      <c r="KOU30" s="1882"/>
      <c r="KOV30" s="1882"/>
      <c r="KOX30" s="1887"/>
      <c r="KOY30" s="1888"/>
      <c r="KOZ30" s="1882"/>
      <c r="KPA30" s="1882"/>
      <c r="KPB30" s="1882"/>
      <c r="KPD30" s="1887"/>
      <c r="KPE30" s="1888"/>
      <c r="KPF30" s="1882"/>
      <c r="KPG30" s="1882"/>
      <c r="KPH30" s="1882"/>
      <c r="KPJ30" s="1887"/>
      <c r="KPK30" s="1888"/>
      <c r="KPL30" s="1882"/>
      <c r="KPM30" s="1882"/>
      <c r="KPN30" s="1882"/>
      <c r="KPP30" s="1887"/>
      <c r="KPQ30" s="1888"/>
      <c r="KPR30" s="1882"/>
      <c r="KPS30" s="1882"/>
      <c r="KPT30" s="1882"/>
      <c r="KPV30" s="1887"/>
      <c r="KPW30" s="1888"/>
      <c r="KPX30" s="1882"/>
      <c r="KPY30" s="1882"/>
      <c r="KPZ30" s="1882"/>
      <c r="KQB30" s="1887"/>
      <c r="KQC30" s="1888"/>
      <c r="KQD30" s="1882"/>
      <c r="KQE30" s="1882"/>
      <c r="KQF30" s="1882"/>
      <c r="KQH30" s="1887"/>
      <c r="KQI30" s="1888"/>
      <c r="KQJ30" s="1882"/>
      <c r="KQK30" s="1882"/>
      <c r="KQL30" s="1882"/>
      <c r="KQN30" s="1887"/>
      <c r="KQO30" s="1888"/>
      <c r="KQP30" s="1882"/>
      <c r="KQQ30" s="1882"/>
      <c r="KQR30" s="1882"/>
      <c r="KQT30" s="1887"/>
      <c r="KQU30" s="1888"/>
      <c r="KQV30" s="1882"/>
      <c r="KQW30" s="1882"/>
      <c r="KQX30" s="1882"/>
      <c r="KQZ30" s="1887"/>
      <c r="KRA30" s="1888"/>
      <c r="KRB30" s="1882"/>
      <c r="KRC30" s="1882"/>
      <c r="KRD30" s="1882"/>
      <c r="KRF30" s="1887"/>
      <c r="KRG30" s="1888"/>
      <c r="KRH30" s="1882"/>
      <c r="KRI30" s="1882"/>
      <c r="KRJ30" s="1882"/>
      <c r="KRL30" s="1887"/>
      <c r="KRM30" s="1888"/>
      <c r="KRN30" s="1882"/>
      <c r="KRO30" s="1882"/>
      <c r="KRP30" s="1882"/>
      <c r="KRR30" s="1887"/>
      <c r="KRS30" s="1888"/>
      <c r="KRT30" s="1882"/>
      <c r="KRU30" s="1882"/>
      <c r="KRV30" s="1882"/>
      <c r="KRX30" s="1887"/>
      <c r="KRY30" s="1888"/>
      <c r="KRZ30" s="1882"/>
      <c r="KSA30" s="1882"/>
      <c r="KSB30" s="1882"/>
      <c r="KSD30" s="1887"/>
      <c r="KSE30" s="1888"/>
      <c r="KSF30" s="1882"/>
      <c r="KSG30" s="1882"/>
      <c r="KSH30" s="1882"/>
      <c r="KSJ30" s="1887"/>
      <c r="KSK30" s="1888"/>
      <c r="KSL30" s="1882"/>
      <c r="KSM30" s="1882"/>
      <c r="KSN30" s="1882"/>
      <c r="KSP30" s="1887"/>
      <c r="KSQ30" s="1888"/>
      <c r="KSR30" s="1882"/>
      <c r="KSS30" s="1882"/>
      <c r="KST30" s="1882"/>
      <c r="KSV30" s="1887"/>
      <c r="KSW30" s="1888"/>
      <c r="KSX30" s="1882"/>
      <c r="KSY30" s="1882"/>
      <c r="KSZ30" s="1882"/>
      <c r="KTB30" s="1887"/>
      <c r="KTC30" s="1888"/>
      <c r="KTD30" s="1882"/>
      <c r="KTE30" s="1882"/>
      <c r="KTF30" s="1882"/>
      <c r="KTH30" s="1887"/>
      <c r="KTI30" s="1888"/>
      <c r="KTJ30" s="1882"/>
      <c r="KTK30" s="1882"/>
      <c r="KTL30" s="1882"/>
      <c r="KTN30" s="1887"/>
      <c r="KTO30" s="1888"/>
      <c r="KTP30" s="1882"/>
      <c r="KTQ30" s="1882"/>
      <c r="KTR30" s="1882"/>
      <c r="KTT30" s="1887"/>
      <c r="KTU30" s="1888"/>
      <c r="KTV30" s="1882"/>
      <c r="KTW30" s="1882"/>
      <c r="KTX30" s="1882"/>
      <c r="KTZ30" s="1887"/>
      <c r="KUA30" s="1888"/>
      <c r="KUB30" s="1882"/>
      <c r="KUC30" s="1882"/>
      <c r="KUD30" s="1882"/>
      <c r="KUF30" s="1887"/>
      <c r="KUG30" s="1888"/>
      <c r="KUH30" s="1882"/>
      <c r="KUI30" s="1882"/>
      <c r="KUJ30" s="1882"/>
      <c r="KUL30" s="1887"/>
      <c r="KUM30" s="1888"/>
      <c r="KUN30" s="1882"/>
      <c r="KUO30" s="1882"/>
      <c r="KUP30" s="1882"/>
      <c r="KUR30" s="1887"/>
      <c r="KUS30" s="1888"/>
      <c r="KUT30" s="1882"/>
      <c r="KUU30" s="1882"/>
      <c r="KUV30" s="1882"/>
      <c r="KUX30" s="1887"/>
      <c r="KUY30" s="1888"/>
      <c r="KUZ30" s="1882"/>
      <c r="KVA30" s="1882"/>
      <c r="KVB30" s="1882"/>
      <c r="KVD30" s="1887"/>
      <c r="KVE30" s="1888"/>
      <c r="KVF30" s="1882"/>
      <c r="KVG30" s="1882"/>
      <c r="KVH30" s="1882"/>
      <c r="KVJ30" s="1887"/>
      <c r="KVK30" s="1888"/>
      <c r="KVL30" s="1882"/>
      <c r="KVM30" s="1882"/>
      <c r="KVN30" s="1882"/>
      <c r="KVP30" s="1887"/>
      <c r="KVQ30" s="1888"/>
      <c r="KVR30" s="1882"/>
      <c r="KVS30" s="1882"/>
      <c r="KVT30" s="1882"/>
      <c r="KVV30" s="1887"/>
      <c r="KVW30" s="1888"/>
      <c r="KVX30" s="1882"/>
      <c r="KVY30" s="1882"/>
      <c r="KVZ30" s="1882"/>
      <c r="KWB30" s="1887"/>
      <c r="KWC30" s="1888"/>
      <c r="KWD30" s="1882"/>
      <c r="KWE30" s="1882"/>
      <c r="KWF30" s="1882"/>
      <c r="KWH30" s="1887"/>
      <c r="KWI30" s="1888"/>
      <c r="KWJ30" s="1882"/>
      <c r="KWK30" s="1882"/>
      <c r="KWL30" s="1882"/>
      <c r="KWN30" s="1887"/>
      <c r="KWO30" s="1888"/>
      <c r="KWP30" s="1882"/>
      <c r="KWQ30" s="1882"/>
      <c r="KWR30" s="1882"/>
      <c r="KWT30" s="1887"/>
      <c r="KWU30" s="1888"/>
      <c r="KWV30" s="1882"/>
      <c r="KWW30" s="1882"/>
      <c r="KWX30" s="1882"/>
      <c r="KWZ30" s="1887"/>
      <c r="KXA30" s="1888"/>
      <c r="KXB30" s="1882"/>
      <c r="KXC30" s="1882"/>
      <c r="KXD30" s="1882"/>
      <c r="KXF30" s="1887"/>
      <c r="KXG30" s="1888"/>
      <c r="KXH30" s="1882"/>
      <c r="KXI30" s="1882"/>
      <c r="KXJ30" s="1882"/>
      <c r="KXL30" s="1887"/>
      <c r="KXM30" s="1888"/>
      <c r="KXN30" s="1882"/>
      <c r="KXO30" s="1882"/>
      <c r="KXP30" s="1882"/>
      <c r="KXR30" s="1887"/>
      <c r="KXS30" s="1888"/>
      <c r="KXT30" s="1882"/>
      <c r="KXU30" s="1882"/>
      <c r="KXV30" s="1882"/>
      <c r="KXX30" s="1887"/>
      <c r="KXY30" s="1888"/>
      <c r="KXZ30" s="1882"/>
      <c r="KYA30" s="1882"/>
      <c r="KYB30" s="1882"/>
      <c r="KYD30" s="1887"/>
      <c r="KYE30" s="1888"/>
      <c r="KYF30" s="1882"/>
      <c r="KYG30" s="1882"/>
      <c r="KYH30" s="1882"/>
      <c r="KYJ30" s="1887"/>
      <c r="KYK30" s="1888"/>
      <c r="KYL30" s="1882"/>
      <c r="KYM30" s="1882"/>
      <c r="KYN30" s="1882"/>
      <c r="KYP30" s="1887"/>
      <c r="KYQ30" s="1888"/>
      <c r="KYR30" s="1882"/>
      <c r="KYS30" s="1882"/>
      <c r="KYT30" s="1882"/>
      <c r="KYV30" s="1887"/>
      <c r="KYW30" s="1888"/>
      <c r="KYX30" s="1882"/>
      <c r="KYY30" s="1882"/>
      <c r="KYZ30" s="1882"/>
      <c r="KZB30" s="1887"/>
      <c r="KZC30" s="1888"/>
      <c r="KZD30" s="1882"/>
      <c r="KZE30" s="1882"/>
      <c r="KZF30" s="1882"/>
      <c r="KZH30" s="1887"/>
      <c r="KZI30" s="1888"/>
      <c r="KZJ30" s="1882"/>
      <c r="KZK30" s="1882"/>
      <c r="KZL30" s="1882"/>
      <c r="KZN30" s="1887"/>
      <c r="KZO30" s="1888"/>
      <c r="KZP30" s="1882"/>
      <c r="KZQ30" s="1882"/>
      <c r="KZR30" s="1882"/>
      <c r="KZT30" s="1887"/>
      <c r="KZU30" s="1888"/>
      <c r="KZV30" s="1882"/>
      <c r="KZW30" s="1882"/>
      <c r="KZX30" s="1882"/>
      <c r="KZZ30" s="1887"/>
      <c r="LAA30" s="1888"/>
      <c r="LAB30" s="1882"/>
      <c r="LAC30" s="1882"/>
      <c r="LAD30" s="1882"/>
      <c r="LAF30" s="1887"/>
      <c r="LAG30" s="1888"/>
      <c r="LAH30" s="1882"/>
      <c r="LAI30" s="1882"/>
      <c r="LAJ30" s="1882"/>
      <c r="LAL30" s="1887"/>
      <c r="LAM30" s="1888"/>
      <c r="LAN30" s="1882"/>
      <c r="LAO30" s="1882"/>
      <c r="LAP30" s="1882"/>
      <c r="LAR30" s="1887"/>
      <c r="LAS30" s="1888"/>
      <c r="LAT30" s="1882"/>
      <c r="LAU30" s="1882"/>
      <c r="LAV30" s="1882"/>
      <c r="LAX30" s="1887"/>
      <c r="LAY30" s="1888"/>
      <c r="LAZ30" s="1882"/>
      <c r="LBA30" s="1882"/>
      <c r="LBB30" s="1882"/>
      <c r="LBD30" s="1887"/>
      <c r="LBE30" s="1888"/>
      <c r="LBF30" s="1882"/>
      <c r="LBG30" s="1882"/>
      <c r="LBH30" s="1882"/>
      <c r="LBJ30" s="1887"/>
      <c r="LBK30" s="1888"/>
      <c r="LBL30" s="1882"/>
      <c r="LBM30" s="1882"/>
      <c r="LBN30" s="1882"/>
      <c r="LBP30" s="1887"/>
      <c r="LBQ30" s="1888"/>
      <c r="LBR30" s="1882"/>
      <c r="LBS30" s="1882"/>
      <c r="LBT30" s="1882"/>
      <c r="LBV30" s="1887"/>
      <c r="LBW30" s="1888"/>
      <c r="LBX30" s="1882"/>
      <c r="LBY30" s="1882"/>
      <c r="LBZ30" s="1882"/>
      <c r="LCB30" s="1887"/>
      <c r="LCC30" s="1888"/>
      <c r="LCD30" s="1882"/>
      <c r="LCE30" s="1882"/>
      <c r="LCF30" s="1882"/>
      <c r="LCH30" s="1887"/>
      <c r="LCI30" s="1888"/>
      <c r="LCJ30" s="1882"/>
      <c r="LCK30" s="1882"/>
      <c r="LCL30" s="1882"/>
      <c r="LCN30" s="1887"/>
      <c r="LCO30" s="1888"/>
      <c r="LCP30" s="1882"/>
      <c r="LCQ30" s="1882"/>
      <c r="LCR30" s="1882"/>
      <c r="LCT30" s="1887"/>
      <c r="LCU30" s="1888"/>
      <c r="LCV30" s="1882"/>
      <c r="LCW30" s="1882"/>
      <c r="LCX30" s="1882"/>
      <c r="LCZ30" s="1887"/>
      <c r="LDA30" s="1888"/>
      <c r="LDB30" s="1882"/>
      <c r="LDC30" s="1882"/>
      <c r="LDD30" s="1882"/>
      <c r="LDF30" s="1887"/>
      <c r="LDG30" s="1888"/>
      <c r="LDH30" s="1882"/>
      <c r="LDI30" s="1882"/>
      <c r="LDJ30" s="1882"/>
      <c r="LDL30" s="1887"/>
      <c r="LDM30" s="1888"/>
      <c r="LDN30" s="1882"/>
      <c r="LDO30" s="1882"/>
      <c r="LDP30" s="1882"/>
      <c r="LDR30" s="1887"/>
      <c r="LDS30" s="1888"/>
      <c r="LDT30" s="1882"/>
      <c r="LDU30" s="1882"/>
      <c r="LDV30" s="1882"/>
      <c r="LDX30" s="1887"/>
      <c r="LDY30" s="1888"/>
      <c r="LDZ30" s="1882"/>
      <c r="LEA30" s="1882"/>
      <c r="LEB30" s="1882"/>
      <c r="LED30" s="1887"/>
      <c r="LEE30" s="1888"/>
      <c r="LEF30" s="1882"/>
      <c r="LEG30" s="1882"/>
      <c r="LEH30" s="1882"/>
      <c r="LEJ30" s="1887"/>
      <c r="LEK30" s="1888"/>
      <c r="LEL30" s="1882"/>
      <c r="LEM30" s="1882"/>
      <c r="LEN30" s="1882"/>
      <c r="LEP30" s="1887"/>
      <c r="LEQ30" s="1888"/>
      <c r="LER30" s="1882"/>
      <c r="LES30" s="1882"/>
      <c r="LET30" s="1882"/>
      <c r="LEV30" s="1887"/>
      <c r="LEW30" s="1888"/>
      <c r="LEX30" s="1882"/>
      <c r="LEY30" s="1882"/>
      <c r="LEZ30" s="1882"/>
      <c r="LFB30" s="1887"/>
      <c r="LFC30" s="1888"/>
      <c r="LFD30" s="1882"/>
      <c r="LFE30" s="1882"/>
      <c r="LFF30" s="1882"/>
      <c r="LFH30" s="1887"/>
      <c r="LFI30" s="1888"/>
      <c r="LFJ30" s="1882"/>
      <c r="LFK30" s="1882"/>
      <c r="LFL30" s="1882"/>
      <c r="LFN30" s="1887"/>
      <c r="LFO30" s="1888"/>
      <c r="LFP30" s="1882"/>
      <c r="LFQ30" s="1882"/>
      <c r="LFR30" s="1882"/>
      <c r="LFT30" s="1887"/>
      <c r="LFU30" s="1888"/>
      <c r="LFV30" s="1882"/>
      <c r="LFW30" s="1882"/>
      <c r="LFX30" s="1882"/>
      <c r="LFZ30" s="1887"/>
      <c r="LGA30" s="1888"/>
      <c r="LGB30" s="1882"/>
      <c r="LGC30" s="1882"/>
      <c r="LGD30" s="1882"/>
      <c r="LGF30" s="1887"/>
      <c r="LGG30" s="1888"/>
      <c r="LGH30" s="1882"/>
      <c r="LGI30" s="1882"/>
      <c r="LGJ30" s="1882"/>
      <c r="LGL30" s="1887"/>
      <c r="LGM30" s="1888"/>
      <c r="LGN30" s="1882"/>
      <c r="LGO30" s="1882"/>
      <c r="LGP30" s="1882"/>
      <c r="LGR30" s="1887"/>
      <c r="LGS30" s="1888"/>
      <c r="LGT30" s="1882"/>
      <c r="LGU30" s="1882"/>
      <c r="LGV30" s="1882"/>
      <c r="LGX30" s="1887"/>
      <c r="LGY30" s="1888"/>
      <c r="LGZ30" s="1882"/>
      <c r="LHA30" s="1882"/>
      <c r="LHB30" s="1882"/>
      <c r="LHD30" s="1887"/>
      <c r="LHE30" s="1888"/>
      <c r="LHF30" s="1882"/>
      <c r="LHG30" s="1882"/>
      <c r="LHH30" s="1882"/>
      <c r="LHJ30" s="1887"/>
      <c r="LHK30" s="1888"/>
      <c r="LHL30" s="1882"/>
      <c r="LHM30" s="1882"/>
      <c r="LHN30" s="1882"/>
      <c r="LHP30" s="1887"/>
      <c r="LHQ30" s="1888"/>
      <c r="LHR30" s="1882"/>
      <c r="LHS30" s="1882"/>
      <c r="LHT30" s="1882"/>
      <c r="LHV30" s="1887"/>
      <c r="LHW30" s="1888"/>
      <c r="LHX30" s="1882"/>
      <c r="LHY30" s="1882"/>
      <c r="LHZ30" s="1882"/>
      <c r="LIB30" s="1887"/>
      <c r="LIC30" s="1888"/>
      <c r="LID30" s="1882"/>
      <c r="LIE30" s="1882"/>
      <c r="LIF30" s="1882"/>
      <c r="LIH30" s="1887"/>
      <c r="LII30" s="1888"/>
      <c r="LIJ30" s="1882"/>
      <c r="LIK30" s="1882"/>
      <c r="LIL30" s="1882"/>
      <c r="LIN30" s="1887"/>
      <c r="LIO30" s="1888"/>
      <c r="LIP30" s="1882"/>
      <c r="LIQ30" s="1882"/>
      <c r="LIR30" s="1882"/>
      <c r="LIT30" s="1887"/>
      <c r="LIU30" s="1888"/>
      <c r="LIV30" s="1882"/>
      <c r="LIW30" s="1882"/>
      <c r="LIX30" s="1882"/>
      <c r="LIZ30" s="1887"/>
      <c r="LJA30" s="1888"/>
      <c r="LJB30" s="1882"/>
      <c r="LJC30" s="1882"/>
      <c r="LJD30" s="1882"/>
      <c r="LJF30" s="1887"/>
      <c r="LJG30" s="1888"/>
      <c r="LJH30" s="1882"/>
      <c r="LJI30" s="1882"/>
      <c r="LJJ30" s="1882"/>
      <c r="LJL30" s="1887"/>
      <c r="LJM30" s="1888"/>
      <c r="LJN30" s="1882"/>
      <c r="LJO30" s="1882"/>
      <c r="LJP30" s="1882"/>
      <c r="LJR30" s="1887"/>
      <c r="LJS30" s="1888"/>
      <c r="LJT30" s="1882"/>
      <c r="LJU30" s="1882"/>
      <c r="LJV30" s="1882"/>
      <c r="LJX30" s="1887"/>
      <c r="LJY30" s="1888"/>
      <c r="LJZ30" s="1882"/>
      <c r="LKA30" s="1882"/>
      <c r="LKB30" s="1882"/>
      <c r="LKD30" s="1887"/>
      <c r="LKE30" s="1888"/>
      <c r="LKF30" s="1882"/>
      <c r="LKG30" s="1882"/>
      <c r="LKH30" s="1882"/>
      <c r="LKJ30" s="1887"/>
      <c r="LKK30" s="1888"/>
      <c r="LKL30" s="1882"/>
      <c r="LKM30" s="1882"/>
      <c r="LKN30" s="1882"/>
      <c r="LKP30" s="1887"/>
      <c r="LKQ30" s="1888"/>
      <c r="LKR30" s="1882"/>
      <c r="LKS30" s="1882"/>
      <c r="LKT30" s="1882"/>
      <c r="LKV30" s="1887"/>
      <c r="LKW30" s="1888"/>
      <c r="LKX30" s="1882"/>
      <c r="LKY30" s="1882"/>
      <c r="LKZ30" s="1882"/>
      <c r="LLB30" s="1887"/>
      <c r="LLC30" s="1888"/>
      <c r="LLD30" s="1882"/>
      <c r="LLE30" s="1882"/>
      <c r="LLF30" s="1882"/>
      <c r="LLH30" s="1887"/>
      <c r="LLI30" s="1888"/>
      <c r="LLJ30" s="1882"/>
      <c r="LLK30" s="1882"/>
      <c r="LLL30" s="1882"/>
      <c r="LLN30" s="1887"/>
      <c r="LLO30" s="1888"/>
      <c r="LLP30" s="1882"/>
      <c r="LLQ30" s="1882"/>
      <c r="LLR30" s="1882"/>
      <c r="LLT30" s="1887"/>
      <c r="LLU30" s="1888"/>
      <c r="LLV30" s="1882"/>
      <c r="LLW30" s="1882"/>
      <c r="LLX30" s="1882"/>
      <c r="LLZ30" s="1887"/>
      <c r="LMA30" s="1888"/>
      <c r="LMB30" s="1882"/>
      <c r="LMC30" s="1882"/>
      <c r="LMD30" s="1882"/>
      <c r="LMF30" s="1887"/>
      <c r="LMG30" s="1888"/>
      <c r="LMH30" s="1882"/>
      <c r="LMI30" s="1882"/>
      <c r="LMJ30" s="1882"/>
      <c r="LML30" s="1887"/>
      <c r="LMM30" s="1888"/>
      <c r="LMN30" s="1882"/>
      <c r="LMO30" s="1882"/>
      <c r="LMP30" s="1882"/>
      <c r="LMR30" s="1887"/>
      <c r="LMS30" s="1888"/>
      <c r="LMT30" s="1882"/>
      <c r="LMU30" s="1882"/>
      <c r="LMV30" s="1882"/>
      <c r="LMX30" s="1887"/>
      <c r="LMY30" s="1888"/>
      <c r="LMZ30" s="1882"/>
      <c r="LNA30" s="1882"/>
      <c r="LNB30" s="1882"/>
      <c r="LND30" s="1887"/>
      <c r="LNE30" s="1888"/>
      <c r="LNF30" s="1882"/>
      <c r="LNG30" s="1882"/>
      <c r="LNH30" s="1882"/>
      <c r="LNJ30" s="1887"/>
      <c r="LNK30" s="1888"/>
      <c r="LNL30" s="1882"/>
      <c r="LNM30" s="1882"/>
      <c r="LNN30" s="1882"/>
      <c r="LNP30" s="1887"/>
      <c r="LNQ30" s="1888"/>
      <c r="LNR30" s="1882"/>
      <c r="LNS30" s="1882"/>
      <c r="LNT30" s="1882"/>
      <c r="LNV30" s="1887"/>
      <c r="LNW30" s="1888"/>
      <c r="LNX30" s="1882"/>
      <c r="LNY30" s="1882"/>
      <c r="LNZ30" s="1882"/>
      <c r="LOB30" s="1887"/>
      <c r="LOC30" s="1888"/>
      <c r="LOD30" s="1882"/>
      <c r="LOE30" s="1882"/>
      <c r="LOF30" s="1882"/>
      <c r="LOH30" s="1887"/>
      <c r="LOI30" s="1888"/>
      <c r="LOJ30" s="1882"/>
      <c r="LOK30" s="1882"/>
      <c r="LOL30" s="1882"/>
      <c r="LON30" s="1887"/>
      <c r="LOO30" s="1888"/>
      <c r="LOP30" s="1882"/>
      <c r="LOQ30" s="1882"/>
      <c r="LOR30" s="1882"/>
      <c r="LOT30" s="1887"/>
      <c r="LOU30" s="1888"/>
      <c r="LOV30" s="1882"/>
      <c r="LOW30" s="1882"/>
      <c r="LOX30" s="1882"/>
      <c r="LOZ30" s="1887"/>
      <c r="LPA30" s="1888"/>
      <c r="LPB30" s="1882"/>
      <c r="LPC30" s="1882"/>
      <c r="LPD30" s="1882"/>
      <c r="LPF30" s="1887"/>
      <c r="LPG30" s="1888"/>
      <c r="LPH30" s="1882"/>
      <c r="LPI30" s="1882"/>
      <c r="LPJ30" s="1882"/>
      <c r="LPL30" s="1887"/>
      <c r="LPM30" s="1888"/>
      <c r="LPN30" s="1882"/>
      <c r="LPO30" s="1882"/>
      <c r="LPP30" s="1882"/>
      <c r="LPR30" s="1887"/>
      <c r="LPS30" s="1888"/>
      <c r="LPT30" s="1882"/>
      <c r="LPU30" s="1882"/>
      <c r="LPV30" s="1882"/>
      <c r="LPX30" s="1887"/>
      <c r="LPY30" s="1888"/>
      <c r="LPZ30" s="1882"/>
      <c r="LQA30" s="1882"/>
      <c r="LQB30" s="1882"/>
      <c r="LQD30" s="1887"/>
      <c r="LQE30" s="1888"/>
      <c r="LQF30" s="1882"/>
      <c r="LQG30" s="1882"/>
      <c r="LQH30" s="1882"/>
      <c r="LQJ30" s="1887"/>
      <c r="LQK30" s="1888"/>
      <c r="LQL30" s="1882"/>
      <c r="LQM30" s="1882"/>
      <c r="LQN30" s="1882"/>
      <c r="LQP30" s="1887"/>
      <c r="LQQ30" s="1888"/>
      <c r="LQR30" s="1882"/>
      <c r="LQS30" s="1882"/>
      <c r="LQT30" s="1882"/>
      <c r="LQV30" s="1887"/>
      <c r="LQW30" s="1888"/>
      <c r="LQX30" s="1882"/>
      <c r="LQY30" s="1882"/>
      <c r="LQZ30" s="1882"/>
      <c r="LRB30" s="1887"/>
      <c r="LRC30" s="1888"/>
      <c r="LRD30" s="1882"/>
      <c r="LRE30" s="1882"/>
      <c r="LRF30" s="1882"/>
      <c r="LRH30" s="1887"/>
      <c r="LRI30" s="1888"/>
      <c r="LRJ30" s="1882"/>
      <c r="LRK30" s="1882"/>
      <c r="LRL30" s="1882"/>
      <c r="LRN30" s="1887"/>
      <c r="LRO30" s="1888"/>
      <c r="LRP30" s="1882"/>
      <c r="LRQ30" s="1882"/>
      <c r="LRR30" s="1882"/>
      <c r="LRT30" s="1887"/>
      <c r="LRU30" s="1888"/>
      <c r="LRV30" s="1882"/>
      <c r="LRW30" s="1882"/>
      <c r="LRX30" s="1882"/>
      <c r="LRZ30" s="1887"/>
      <c r="LSA30" s="1888"/>
      <c r="LSB30" s="1882"/>
      <c r="LSC30" s="1882"/>
      <c r="LSD30" s="1882"/>
      <c r="LSF30" s="1887"/>
      <c r="LSG30" s="1888"/>
      <c r="LSH30" s="1882"/>
      <c r="LSI30" s="1882"/>
      <c r="LSJ30" s="1882"/>
      <c r="LSL30" s="1887"/>
      <c r="LSM30" s="1888"/>
      <c r="LSN30" s="1882"/>
      <c r="LSO30" s="1882"/>
      <c r="LSP30" s="1882"/>
      <c r="LSR30" s="1887"/>
      <c r="LSS30" s="1888"/>
      <c r="LST30" s="1882"/>
      <c r="LSU30" s="1882"/>
      <c r="LSV30" s="1882"/>
      <c r="LSX30" s="1887"/>
      <c r="LSY30" s="1888"/>
      <c r="LSZ30" s="1882"/>
      <c r="LTA30" s="1882"/>
      <c r="LTB30" s="1882"/>
      <c r="LTD30" s="1887"/>
      <c r="LTE30" s="1888"/>
      <c r="LTF30" s="1882"/>
      <c r="LTG30" s="1882"/>
      <c r="LTH30" s="1882"/>
      <c r="LTJ30" s="1887"/>
      <c r="LTK30" s="1888"/>
      <c r="LTL30" s="1882"/>
      <c r="LTM30" s="1882"/>
      <c r="LTN30" s="1882"/>
      <c r="LTP30" s="1887"/>
      <c r="LTQ30" s="1888"/>
      <c r="LTR30" s="1882"/>
      <c r="LTS30" s="1882"/>
      <c r="LTT30" s="1882"/>
      <c r="LTV30" s="1887"/>
      <c r="LTW30" s="1888"/>
      <c r="LTX30" s="1882"/>
      <c r="LTY30" s="1882"/>
      <c r="LTZ30" s="1882"/>
      <c r="LUB30" s="1887"/>
      <c r="LUC30" s="1888"/>
      <c r="LUD30" s="1882"/>
      <c r="LUE30" s="1882"/>
      <c r="LUF30" s="1882"/>
      <c r="LUH30" s="1887"/>
      <c r="LUI30" s="1888"/>
      <c r="LUJ30" s="1882"/>
      <c r="LUK30" s="1882"/>
      <c r="LUL30" s="1882"/>
      <c r="LUN30" s="1887"/>
      <c r="LUO30" s="1888"/>
      <c r="LUP30" s="1882"/>
      <c r="LUQ30" s="1882"/>
      <c r="LUR30" s="1882"/>
      <c r="LUT30" s="1887"/>
      <c r="LUU30" s="1888"/>
      <c r="LUV30" s="1882"/>
      <c r="LUW30" s="1882"/>
      <c r="LUX30" s="1882"/>
      <c r="LUZ30" s="1887"/>
      <c r="LVA30" s="1888"/>
      <c r="LVB30" s="1882"/>
      <c r="LVC30" s="1882"/>
      <c r="LVD30" s="1882"/>
      <c r="LVF30" s="1887"/>
      <c r="LVG30" s="1888"/>
      <c r="LVH30" s="1882"/>
      <c r="LVI30" s="1882"/>
      <c r="LVJ30" s="1882"/>
      <c r="LVL30" s="1887"/>
      <c r="LVM30" s="1888"/>
      <c r="LVN30" s="1882"/>
      <c r="LVO30" s="1882"/>
      <c r="LVP30" s="1882"/>
      <c r="LVR30" s="1887"/>
      <c r="LVS30" s="1888"/>
      <c r="LVT30" s="1882"/>
      <c r="LVU30" s="1882"/>
      <c r="LVV30" s="1882"/>
      <c r="LVX30" s="1887"/>
      <c r="LVY30" s="1888"/>
      <c r="LVZ30" s="1882"/>
      <c r="LWA30" s="1882"/>
      <c r="LWB30" s="1882"/>
      <c r="LWD30" s="1887"/>
      <c r="LWE30" s="1888"/>
      <c r="LWF30" s="1882"/>
      <c r="LWG30" s="1882"/>
      <c r="LWH30" s="1882"/>
      <c r="LWJ30" s="1887"/>
      <c r="LWK30" s="1888"/>
      <c r="LWL30" s="1882"/>
      <c r="LWM30" s="1882"/>
      <c r="LWN30" s="1882"/>
      <c r="LWP30" s="1887"/>
      <c r="LWQ30" s="1888"/>
      <c r="LWR30" s="1882"/>
      <c r="LWS30" s="1882"/>
      <c r="LWT30" s="1882"/>
      <c r="LWV30" s="1887"/>
      <c r="LWW30" s="1888"/>
      <c r="LWX30" s="1882"/>
      <c r="LWY30" s="1882"/>
      <c r="LWZ30" s="1882"/>
      <c r="LXB30" s="1887"/>
      <c r="LXC30" s="1888"/>
      <c r="LXD30" s="1882"/>
      <c r="LXE30" s="1882"/>
      <c r="LXF30" s="1882"/>
      <c r="LXH30" s="1887"/>
      <c r="LXI30" s="1888"/>
      <c r="LXJ30" s="1882"/>
      <c r="LXK30" s="1882"/>
      <c r="LXL30" s="1882"/>
      <c r="LXN30" s="1887"/>
      <c r="LXO30" s="1888"/>
      <c r="LXP30" s="1882"/>
      <c r="LXQ30" s="1882"/>
      <c r="LXR30" s="1882"/>
      <c r="LXT30" s="1887"/>
      <c r="LXU30" s="1888"/>
      <c r="LXV30" s="1882"/>
      <c r="LXW30" s="1882"/>
      <c r="LXX30" s="1882"/>
      <c r="LXZ30" s="1887"/>
      <c r="LYA30" s="1888"/>
      <c r="LYB30" s="1882"/>
      <c r="LYC30" s="1882"/>
      <c r="LYD30" s="1882"/>
      <c r="LYF30" s="1887"/>
      <c r="LYG30" s="1888"/>
      <c r="LYH30" s="1882"/>
      <c r="LYI30" s="1882"/>
      <c r="LYJ30" s="1882"/>
      <c r="LYL30" s="1887"/>
      <c r="LYM30" s="1888"/>
      <c r="LYN30" s="1882"/>
      <c r="LYO30" s="1882"/>
      <c r="LYP30" s="1882"/>
      <c r="LYR30" s="1887"/>
      <c r="LYS30" s="1888"/>
      <c r="LYT30" s="1882"/>
      <c r="LYU30" s="1882"/>
      <c r="LYV30" s="1882"/>
      <c r="LYX30" s="1887"/>
      <c r="LYY30" s="1888"/>
      <c r="LYZ30" s="1882"/>
      <c r="LZA30" s="1882"/>
      <c r="LZB30" s="1882"/>
      <c r="LZD30" s="1887"/>
      <c r="LZE30" s="1888"/>
      <c r="LZF30" s="1882"/>
      <c r="LZG30" s="1882"/>
      <c r="LZH30" s="1882"/>
      <c r="LZJ30" s="1887"/>
      <c r="LZK30" s="1888"/>
      <c r="LZL30" s="1882"/>
      <c r="LZM30" s="1882"/>
      <c r="LZN30" s="1882"/>
      <c r="LZP30" s="1887"/>
      <c r="LZQ30" s="1888"/>
      <c r="LZR30" s="1882"/>
      <c r="LZS30" s="1882"/>
      <c r="LZT30" s="1882"/>
      <c r="LZV30" s="1887"/>
      <c r="LZW30" s="1888"/>
      <c r="LZX30" s="1882"/>
      <c r="LZY30" s="1882"/>
      <c r="LZZ30" s="1882"/>
      <c r="MAB30" s="1887"/>
      <c r="MAC30" s="1888"/>
      <c r="MAD30" s="1882"/>
      <c r="MAE30" s="1882"/>
      <c r="MAF30" s="1882"/>
      <c r="MAH30" s="1887"/>
      <c r="MAI30" s="1888"/>
      <c r="MAJ30" s="1882"/>
      <c r="MAK30" s="1882"/>
      <c r="MAL30" s="1882"/>
      <c r="MAN30" s="1887"/>
      <c r="MAO30" s="1888"/>
      <c r="MAP30" s="1882"/>
      <c r="MAQ30" s="1882"/>
      <c r="MAR30" s="1882"/>
      <c r="MAT30" s="1887"/>
      <c r="MAU30" s="1888"/>
      <c r="MAV30" s="1882"/>
      <c r="MAW30" s="1882"/>
      <c r="MAX30" s="1882"/>
      <c r="MAZ30" s="1887"/>
      <c r="MBA30" s="1888"/>
      <c r="MBB30" s="1882"/>
      <c r="MBC30" s="1882"/>
      <c r="MBD30" s="1882"/>
      <c r="MBF30" s="1887"/>
      <c r="MBG30" s="1888"/>
      <c r="MBH30" s="1882"/>
      <c r="MBI30" s="1882"/>
      <c r="MBJ30" s="1882"/>
      <c r="MBL30" s="1887"/>
      <c r="MBM30" s="1888"/>
      <c r="MBN30" s="1882"/>
      <c r="MBO30" s="1882"/>
      <c r="MBP30" s="1882"/>
      <c r="MBR30" s="1887"/>
      <c r="MBS30" s="1888"/>
      <c r="MBT30" s="1882"/>
      <c r="MBU30" s="1882"/>
      <c r="MBV30" s="1882"/>
      <c r="MBX30" s="1887"/>
      <c r="MBY30" s="1888"/>
      <c r="MBZ30" s="1882"/>
      <c r="MCA30" s="1882"/>
      <c r="MCB30" s="1882"/>
      <c r="MCD30" s="1887"/>
      <c r="MCE30" s="1888"/>
      <c r="MCF30" s="1882"/>
      <c r="MCG30" s="1882"/>
      <c r="MCH30" s="1882"/>
      <c r="MCJ30" s="1887"/>
      <c r="MCK30" s="1888"/>
      <c r="MCL30" s="1882"/>
      <c r="MCM30" s="1882"/>
      <c r="MCN30" s="1882"/>
      <c r="MCP30" s="1887"/>
      <c r="MCQ30" s="1888"/>
      <c r="MCR30" s="1882"/>
      <c r="MCS30" s="1882"/>
      <c r="MCT30" s="1882"/>
      <c r="MCV30" s="1887"/>
      <c r="MCW30" s="1888"/>
      <c r="MCX30" s="1882"/>
      <c r="MCY30" s="1882"/>
      <c r="MCZ30" s="1882"/>
      <c r="MDB30" s="1887"/>
      <c r="MDC30" s="1888"/>
      <c r="MDD30" s="1882"/>
      <c r="MDE30" s="1882"/>
      <c r="MDF30" s="1882"/>
      <c r="MDH30" s="1887"/>
      <c r="MDI30" s="1888"/>
      <c r="MDJ30" s="1882"/>
      <c r="MDK30" s="1882"/>
      <c r="MDL30" s="1882"/>
      <c r="MDN30" s="1887"/>
      <c r="MDO30" s="1888"/>
      <c r="MDP30" s="1882"/>
      <c r="MDQ30" s="1882"/>
      <c r="MDR30" s="1882"/>
      <c r="MDT30" s="1887"/>
      <c r="MDU30" s="1888"/>
      <c r="MDV30" s="1882"/>
      <c r="MDW30" s="1882"/>
      <c r="MDX30" s="1882"/>
      <c r="MDZ30" s="1887"/>
      <c r="MEA30" s="1888"/>
      <c r="MEB30" s="1882"/>
      <c r="MEC30" s="1882"/>
      <c r="MED30" s="1882"/>
      <c r="MEF30" s="1887"/>
      <c r="MEG30" s="1888"/>
      <c r="MEH30" s="1882"/>
      <c r="MEI30" s="1882"/>
      <c r="MEJ30" s="1882"/>
      <c r="MEL30" s="1887"/>
      <c r="MEM30" s="1888"/>
      <c r="MEN30" s="1882"/>
      <c r="MEO30" s="1882"/>
      <c r="MEP30" s="1882"/>
      <c r="MER30" s="1887"/>
      <c r="MES30" s="1888"/>
      <c r="MET30" s="1882"/>
      <c r="MEU30" s="1882"/>
      <c r="MEV30" s="1882"/>
      <c r="MEX30" s="1887"/>
      <c r="MEY30" s="1888"/>
      <c r="MEZ30" s="1882"/>
      <c r="MFA30" s="1882"/>
      <c r="MFB30" s="1882"/>
      <c r="MFD30" s="1887"/>
      <c r="MFE30" s="1888"/>
      <c r="MFF30" s="1882"/>
      <c r="MFG30" s="1882"/>
      <c r="MFH30" s="1882"/>
      <c r="MFJ30" s="1887"/>
      <c r="MFK30" s="1888"/>
      <c r="MFL30" s="1882"/>
      <c r="MFM30" s="1882"/>
      <c r="MFN30" s="1882"/>
      <c r="MFP30" s="1887"/>
      <c r="MFQ30" s="1888"/>
      <c r="MFR30" s="1882"/>
      <c r="MFS30" s="1882"/>
      <c r="MFT30" s="1882"/>
      <c r="MFV30" s="1887"/>
      <c r="MFW30" s="1888"/>
      <c r="MFX30" s="1882"/>
      <c r="MFY30" s="1882"/>
      <c r="MFZ30" s="1882"/>
      <c r="MGB30" s="1887"/>
      <c r="MGC30" s="1888"/>
      <c r="MGD30" s="1882"/>
      <c r="MGE30" s="1882"/>
      <c r="MGF30" s="1882"/>
      <c r="MGH30" s="1887"/>
      <c r="MGI30" s="1888"/>
      <c r="MGJ30" s="1882"/>
      <c r="MGK30" s="1882"/>
      <c r="MGL30" s="1882"/>
      <c r="MGN30" s="1887"/>
      <c r="MGO30" s="1888"/>
      <c r="MGP30" s="1882"/>
      <c r="MGQ30" s="1882"/>
      <c r="MGR30" s="1882"/>
      <c r="MGT30" s="1887"/>
      <c r="MGU30" s="1888"/>
      <c r="MGV30" s="1882"/>
      <c r="MGW30" s="1882"/>
      <c r="MGX30" s="1882"/>
      <c r="MGZ30" s="1887"/>
      <c r="MHA30" s="1888"/>
      <c r="MHB30" s="1882"/>
      <c r="MHC30" s="1882"/>
      <c r="MHD30" s="1882"/>
      <c r="MHF30" s="1887"/>
      <c r="MHG30" s="1888"/>
      <c r="MHH30" s="1882"/>
      <c r="MHI30" s="1882"/>
      <c r="MHJ30" s="1882"/>
      <c r="MHL30" s="1887"/>
      <c r="MHM30" s="1888"/>
      <c r="MHN30" s="1882"/>
      <c r="MHO30" s="1882"/>
      <c r="MHP30" s="1882"/>
      <c r="MHR30" s="1887"/>
      <c r="MHS30" s="1888"/>
      <c r="MHT30" s="1882"/>
      <c r="MHU30" s="1882"/>
      <c r="MHV30" s="1882"/>
      <c r="MHX30" s="1887"/>
      <c r="MHY30" s="1888"/>
      <c r="MHZ30" s="1882"/>
      <c r="MIA30" s="1882"/>
      <c r="MIB30" s="1882"/>
      <c r="MID30" s="1887"/>
      <c r="MIE30" s="1888"/>
      <c r="MIF30" s="1882"/>
      <c r="MIG30" s="1882"/>
      <c r="MIH30" s="1882"/>
      <c r="MIJ30" s="1887"/>
      <c r="MIK30" s="1888"/>
      <c r="MIL30" s="1882"/>
      <c r="MIM30" s="1882"/>
      <c r="MIN30" s="1882"/>
      <c r="MIP30" s="1887"/>
      <c r="MIQ30" s="1888"/>
      <c r="MIR30" s="1882"/>
      <c r="MIS30" s="1882"/>
      <c r="MIT30" s="1882"/>
      <c r="MIV30" s="1887"/>
      <c r="MIW30" s="1888"/>
      <c r="MIX30" s="1882"/>
      <c r="MIY30" s="1882"/>
      <c r="MIZ30" s="1882"/>
      <c r="MJB30" s="1887"/>
      <c r="MJC30" s="1888"/>
      <c r="MJD30" s="1882"/>
      <c r="MJE30" s="1882"/>
      <c r="MJF30" s="1882"/>
      <c r="MJH30" s="1887"/>
      <c r="MJI30" s="1888"/>
      <c r="MJJ30" s="1882"/>
      <c r="MJK30" s="1882"/>
      <c r="MJL30" s="1882"/>
      <c r="MJN30" s="1887"/>
      <c r="MJO30" s="1888"/>
      <c r="MJP30" s="1882"/>
      <c r="MJQ30" s="1882"/>
      <c r="MJR30" s="1882"/>
      <c r="MJT30" s="1887"/>
      <c r="MJU30" s="1888"/>
      <c r="MJV30" s="1882"/>
      <c r="MJW30" s="1882"/>
      <c r="MJX30" s="1882"/>
      <c r="MJZ30" s="1887"/>
      <c r="MKA30" s="1888"/>
      <c r="MKB30" s="1882"/>
      <c r="MKC30" s="1882"/>
      <c r="MKD30" s="1882"/>
      <c r="MKF30" s="1887"/>
      <c r="MKG30" s="1888"/>
      <c r="MKH30" s="1882"/>
      <c r="MKI30" s="1882"/>
      <c r="MKJ30" s="1882"/>
      <c r="MKL30" s="1887"/>
      <c r="MKM30" s="1888"/>
      <c r="MKN30" s="1882"/>
      <c r="MKO30" s="1882"/>
      <c r="MKP30" s="1882"/>
      <c r="MKR30" s="1887"/>
      <c r="MKS30" s="1888"/>
      <c r="MKT30" s="1882"/>
      <c r="MKU30" s="1882"/>
      <c r="MKV30" s="1882"/>
      <c r="MKX30" s="1887"/>
      <c r="MKY30" s="1888"/>
      <c r="MKZ30" s="1882"/>
      <c r="MLA30" s="1882"/>
      <c r="MLB30" s="1882"/>
      <c r="MLD30" s="1887"/>
      <c r="MLE30" s="1888"/>
      <c r="MLF30" s="1882"/>
      <c r="MLG30" s="1882"/>
      <c r="MLH30" s="1882"/>
      <c r="MLJ30" s="1887"/>
      <c r="MLK30" s="1888"/>
      <c r="MLL30" s="1882"/>
      <c r="MLM30" s="1882"/>
      <c r="MLN30" s="1882"/>
      <c r="MLP30" s="1887"/>
      <c r="MLQ30" s="1888"/>
      <c r="MLR30" s="1882"/>
      <c r="MLS30" s="1882"/>
      <c r="MLT30" s="1882"/>
      <c r="MLV30" s="1887"/>
      <c r="MLW30" s="1888"/>
      <c r="MLX30" s="1882"/>
      <c r="MLY30" s="1882"/>
      <c r="MLZ30" s="1882"/>
      <c r="MMB30" s="1887"/>
      <c r="MMC30" s="1888"/>
      <c r="MMD30" s="1882"/>
      <c r="MME30" s="1882"/>
      <c r="MMF30" s="1882"/>
      <c r="MMH30" s="1887"/>
      <c r="MMI30" s="1888"/>
      <c r="MMJ30" s="1882"/>
      <c r="MMK30" s="1882"/>
      <c r="MML30" s="1882"/>
      <c r="MMN30" s="1887"/>
      <c r="MMO30" s="1888"/>
      <c r="MMP30" s="1882"/>
      <c r="MMQ30" s="1882"/>
      <c r="MMR30" s="1882"/>
      <c r="MMT30" s="1887"/>
      <c r="MMU30" s="1888"/>
      <c r="MMV30" s="1882"/>
      <c r="MMW30" s="1882"/>
      <c r="MMX30" s="1882"/>
      <c r="MMZ30" s="1887"/>
      <c r="MNA30" s="1888"/>
      <c r="MNB30" s="1882"/>
      <c r="MNC30" s="1882"/>
      <c r="MND30" s="1882"/>
      <c r="MNF30" s="1887"/>
      <c r="MNG30" s="1888"/>
      <c r="MNH30" s="1882"/>
      <c r="MNI30" s="1882"/>
      <c r="MNJ30" s="1882"/>
      <c r="MNL30" s="1887"/>
      <c r="MNM30" s="1888"/>
      <c r="MNN30" s="1882"/>
      <c r="MNO30" s="1882"/>
      <c r="MNP30" s="1882"/>
      <c r="MNR30" s="1887"/>
      <c r="MNS30" s="1888"/>
      <c r="MNT30" s="1882"/>
      <c r="MNU30" s="1882"/>
      <c r="MNV30" s="1882"/>
      <c r="MNX30" s="1887"/>
      <c r="MNY30" s="1888"/>
      <c r="MNZ30" s="1882"/>
      <c r="MOA30" s="1882"/>
      <c r="MOB30" s="1882"/>
      <c r="MOD30" s="1887"/>
      <c r="MOE30" s="1888"/>
      <c r="MOF30" s="1882"/>
      <c r="MOG30" s="1882"/>
      <c r="MOH30" s="1882"/>
      <c r="MOJ30" s="1887"/>
      <c r="MOK30" s="1888"/>
      <c r="MOL30" s="1882"/>
      <c r="MOM30" s="1882"/>
      <c r="MON30" s="1882"/>
      <c r="MOP30" s="1887"/>
      <c r="MOQ30" s="1888"/>
      <c r="MOR30" s="1882"/>
      <c r="MOS30" s="1882"/>
      <c r="MOT30" s="1882"/>
      <c r="MOV30" s="1887"/>
      <c r="MOW30" s="1888"/>
      <c r="MOX30" s="1882"/>
      <c r="MOY30" s="1882"/>
      <c r="MOZ30" s="1882"/>
      <c r="MPB30" s="1887"/>
      <c r="MPC30" s="1888"/>
      <c r="MPD30" s="1882"/>
      <c r="MPE30" s="1882"/>
      <c r="MPF30" s="1882"/>
      <c r="MPH30" s="1887"/>
      <c r="MPI30" s="1888"/>
      <c r="MPJ30" s="1882"/>
      <c r="MPK30" s="1882"/>
      <c r="MPL30" s="1882"/>
      <c r="MPN30" s="1887"/>
      <c r="MPO30" s="1888"/>
      <c r="MPP30" s="1882"/>
      <c r="MPQ30" s="1882"/>
      <c r="MPR30" s="1882"/>
      <c r="MPT30" s="1887"/>
      <c r="MPU30" s="1888"/>
      <c r="MPV30" s="1882"/>
      <c r="MPW30" s="1882"/>
      <c r="MPX30" s="1882"/>
      <c r="MPZ30" s="1887"/>
      <c r="MQA30" s="1888"/>
      <c r="MQB30" s="1882"/>
      <c r="MQC30" s="1882"/>
      <c r="MQD30" s="1882"/>
      <c r="MQF30" s="1887"/>
      <c r="MQG30" s="1888"/>
      <c r="MQH30" s="1882"/>
      <c r="MQI30" s="1882"/>
      <c r="MQJ30" s="1882"/>
      <c r="MQL30" s="1887"/>
      <c r="MQM30" s="1888"/>
      <c r="MQN30" s="1882"/>
      <c r="MQO30" s="1882"/>
      <c r="MQP30" s="1882"/>
      <c r="MQR30" s="1887"/>
      <c r="MQS30" s="1888"/>
      <c r="MQT30" s="1882"/>
      <c r="MQU30" s="1882"/>
      <c r="MQV30" s="1882"/>
      <c r="MQX30" s="1887"/>
      <c r="MQY30" s="1888"/>
      <c r="MQZ30" s="1882"/>
      <c r="MRA30" s="1882"/>
      <c r="MRB30" s="1882"/>
      <c r="MRD30" s="1887"/>
      <c r="MRE30" s="1888"/>
      <c r="MRF30" s="1882"/>
      <c r="MRG30" s="1882"/>
      <c r="MRH30" s="1882"/>
      <c r="MRJ30" s="1887"/>
      <c r="MRK30" s="1888"/>
      <c r="MRL30" s="1882"/>
      <c r="MRM30" s="1882"/>
      <c r="MRN30" s="1882"/>
      <c r="MRP30" s="1887"/>
      <c r="MRQ30" s="1888"/>
      <c r="MRR30" s="1882"/>
      <c r="MRS30" s="1882"/>
      <c r="MRT30" s="1882"/>
      <c r="MRV30" s="1887"/>
      <c r="MRW30" s="1888"/>
      <c r="MRX30" s="1882"/>
      <c r="MRY30" s="1882"/>
      <c r="MRZ30" s="1882"/>
      <c r="MSB30" s="1887"/>
      <c r="MSC30" s="1888"/>
      <c r="MSD30" s="1882"/>
      <c r="MSE30" s="1882"/>
      <c r="MSF30" s="1882"/>
      <c r="MSH30" s="1887"/>
      <c r="MSI30" s="1888"/>
      <c r="MSJ30" s="1882"/>
      <c r="MSK30" s="1882"/>
      <c r="MSL30" s="1882"/>
      <c r="MSN30" s="1887"/>
      <c r="MSO30" s="1888"/>
      <c r="MSP30" s="1882"/>
      <c r="MSQ30" s="1882"/>
      <c r="MSR30" s="1882"/>
      <c r="MST30" s="1887"/>
      <c r="MSU30" s="1888"/>
      <c r="MSV30" s="1882"/>
      <c r="MSW30" s="1882"/>
      <c r="MSX30" s="1882"/>
      <c r="MSZ30" s="1887"/>
      <c r="MTA30" s="1888"/>
      <c r="MTB30" s="1882"/>
      <c r="MTC30" s="1882"/>
      <c r="MTD30" s="1882"/>
      <c r="MTF30" s="1887"/>
      <c r="MTG30" s="1888"/>
      <c r="MTH30" s="1882"/>
      <c r="MTI30" s="1882"/>
      <c r="MTJ30" s="1882"/>
      <c r="MTL30" s="1887"/>
      <c r="MTM30" s="1888"/>
      <c r="MTN30" s="1882"/>
      <c r="MTO30" s="1882"/>
      <c r="MTP30" s="1882"/>
      <c r="MTR30" s="1887"/>
      <c r="MTS30" s="1888"/>
      <c r="MTT30" s="1882"/>
      <c r="MTU30" s="1882"/>
      <c r="MTV30" s="1882"/>
      <c r="MTX30" s="1887"/>
      <c r="MTY30" s="1888"/>
      <c r="MTZ30" s="1882"/>
      <c r="MUA30" s="1882"/>
      <c r="MUB30" s="1882"/>
      <c r="MUD30" s="1887"/>
      <c r="MUE30" s="1888"/>
      <c r="MUF30" s="1882"/>
      <c r="MUG30" s="1882"/>
      <c r="MUH30" s="1882"/>
      <c r="MUJ30" s="1887"/>
      <c r="MUK30" s="1888"/>
      <c r="MUL30" s="1882"/>
      <c r="MUM30" s="1882"/>
      <c r="MUN30" s="1882"/>
      <c r="MUP30" s="1887"/>
      <c r="MUQ30" s="1888"/>
      <c r="MUR30" s="1882"/>
      <c r="MUS30" s="1882"/>
      <c r="MUT30" s="1882"/>
      <c r="MUV30" s="1887"/>
      <c r="MUW30" s="1888"/>
      <c r="MUX30" s="1882"/>
      <c r="MUY30" s="1882"/>
      <c r="MUZ30" s="1882"/>
      <c r="MVB30" s="1887"/>
      <c r="MVC30" s="1888"/>
      <c r="MVD30" s="1882"/>
      <c r="MVE30" s="1882"/>
      <c r="MVF30" s="1882"/>
      <c r="MVH30" s="1887"/>
      <c r="MVI30" s="1888"/>
      <c r="MVJ30" s="1882"/>
      <c r="MVK30" s="1882"/>
      <c r="MVL30" s="1882"/>
      <c r="MVN30" s="1887"/>
      <c r="MVO30" s="1888"/>
      <c r="MVP30" s="1882"/>
      <c r="MVQ30" s="1882"/>
      <c r="MVR30" s="1882"/>
      <c r="MVT30" s="1887"/>
      <c r="MVU30" s="1888"/>
      <c r="MVV30" s="1882"/>
      <c r="MVW30" s="1882"/>
      <c r="MVX30" s="1882"/>
      <c r="MVZ30" s="1887"/>
      <c r="MWA30" s="1888"/>
      <c r="MWB30" s="1882"/>
      <c r="MWC30" s="1882"/>
      <c r="MWD30" s="1882"/>
      <c r="MWF30" s="1887"/>
      <c r="MWG30" s="1888"/>
      <c r="MWH30" s="1882"/>
      <c r="MWI30" s="1882"/>
      <c r="MWJ30" s="1882"/>
      <c r="MWL30" s="1887"/>
      <c r="MWM30" s="1888"/>
      <c r="MWN30" s="1882"/>
      <c r="MWO30" s="1882"/>
      <c r="MWP30" s="1882"/>
      <c r="MWR30" s="1887"/>
      <c r="MWS30" s="1888"/>
      <c r="MWT30" s="1882"/>
      <c r="MWU30" s="1882"/>
      <c r="MWV30" s="1882"/>
      <c r="MWX30" s="1887"/>
      <c r="MWY30" s="1888"/>
      <c r="MWZ30" s="1882"/>
      <c r="MXA30" s="1882"/>
      <c r="MXB30" s="1882"/>
      <c r="MXD30" s="1887"/>
      <c r="MXE30" s="1888"/>
      <c r="MXF30" s="1882"/>
      <c r="MXG30" s="1882"/>
      <c r="MXH30" s="1882"/>
      <c r="MXJ30" s="1887"/>
      <c r="MXK30" s="1888"/>
      <c r="MXL30" s="1882"/>
      <c r="MXM30" s="1882"/>
      <c r="MXN30" s="1882"/>
      <c r="MXP30" s="1887"/>
      <c r="MXQ30" s="1888"/>
      <c r="MXR30" s="1882"/>
      <c r="MXS30" s="1882"/>
      <c r="MXT30" s="1882"/>
      <c r="MXV30" s="1887"/>
      <c r="MXW30" s="1888"/>
      <c r="MXX30" s="1882"/>
      <c r="MXY30" s="1882"/>
      <c r="MXZ30" s="1882"/>
      <c r="MYB30" s="1887"/>
      <c r="MYC30" s="1888"/>
      <c r="MYD30" s="1882"/>
      <c r="MYE30" s="1882"/>
      <c r="MYF30" s="1882"/>
      <c r="MYH30" s="1887"/>
      <c r="MYI30" s="1888"/>
      <c r="MYJ30" s="1882"/>
      <c r="MYK30" s="1882"/>
      <c r="MYL30" s="1882"/>
      <c r="MYN30" s="1887"/>
      <c r="MYO30" s="1888"/>
      <c r="MYP30" s="1882"/>
      <c r="MYQ30" s="1882"/>
      <c r="MYR30" s="1882"/>
      <c r="MYT30" s="1887"/>
      <c r="MYU30" s="1888"/>
      <c r="MYV30" s="1882"/>
      <c r="MYW30" s="1882"/>
      <c r="MYX30" s="1882"/>
      <c r="MYZ30" s="1887"/>
      <c r="MZA30" s="1888"/>
      <c r="MZB30" s="1882"/>
      <c r="MZC30" s="1882"/>
      <c r="MZD30" s="1882"/>
      <c r="MZF30" s="1887"/>
      <c r="MZG30" s="1888"/>
      <c r="MZH30" s="1882"/>
      <c r="MZI30" s="1882"/>
      <c r="MZJ30" s="1882"/>
      <c r="MZL30" s="1887"/>
      <c r="MZM30" s="1888"/>
      <c r="MZN30" s="1882"/>
      <c r="MZO30" s="1882"/>
      <c r="MZP30" s="1882"/>
      <c r="MZR30" s="1887"/>
      <c r="MZS30" s="1888"/>
      <c r="MZT30" s="1882"/>
      <c r="MZU30" s="1882"/>
      <c r="MZV30" s="1882"/>
      <c r="MZX30" s="1887"/>
      <c r="MZY30" s="1888"/>
      <c r="MZZ30" s="1882"/>
      <c r="NAA30" s="1882"/>
      <c r="NAB30" s="1882"/>
      <c r="NAD30" s="1887"/>
      <c r="NAE30" s="1888"/>
      <c r="NAF30" s="1882"/>
      <c r="NAG30" s="1882"/>
      <c r="NAH30" s="1882"/>
      <c r="NAJ30" s="1887"/>
      <c r="NAK30" s="1888"/>
      <c r="NAL30" s="1882"/>
      <c r="NAM30" s="1882"/>
      <c r="NAN30" s="1882"/>
      <c r="NAP30" s="1887"/>
      <c r="NAQ30" s="1888"/>
      <c r="NAR30" s="1882"/>
      <c r="NAS30" s="1882"/>
      <c r="NAT30" s="1882"/>
      <c r="NAV30" s="1887"/>
      <c r="NAW30" s="1888"/>
      <c r="NAX30" s="1882"/>
      <c r="NAY30" s="1882"/>
      <c r="NAZ30" s="1882"/>
      <c r="NBB30" s="1887"/>
      <c r="NBC30" s="1888"/>
      <c r="NBD30" s="1882"/>
      <c r="NBE30" s="1882"/>
      <c r="NBF30" s="1882"/>
      <c r="NBH30" s="1887"/>
      <c r="NBI30" s="1888"/>
      <c r="NBJ30" s="1882"/>
      <c r="NBK30" s="1882"/>
      <c r="NBL30" s="1882"/>
      <c r="NBN30" s="1887"/>
      <c r="NBO30" s="1888"/>
      <c r="NBP30" s="1882"/>
      <c r="NBQ30" s="1882"/>
      <c r="NBR30" s="1882"/>
      <c r="NBT30" s="1887"/>
      <c r="NBU30" s="1888"/>
      <c r="NBV30" s="1882"/>
      <c r="NBW30" s="1882"/>
      <c r="NBX30" s="1882"/>
      <c r="NBZ30" s="1887"/>
      <c r="NCA30" s="1888"/>
      <c r="NCB30" s="1882"/>
      <c r="NCC30" s="1882"/>
      <c r="NCD30" s="1882"/>
      <c r="NCF30" s="1887"/>
      <c r="NCG30" s="1888"/>
      <c r="NCH30" s="1882"/>
      <c r="NCI30" s="1882"/>
      <c r="NCJ30" s="1882"/>
      <c r="NCL30" s="1887"/>
      <c r="NCM30" s="1888"/>
      <c r="NCN30" s="1882"/>
      <c r="NCO30" s="1882"/>
      <c r="NCP30" s="1882"/>
      <c r="NCR30" s="1887"/>
      <c r="NCS30" s="1888"/>
      <c r="NCT30" s="1882"/>
      <c r="NCU30" s="1882"/>
      <c r="NCV30" s="1882"/>
      <c r="NCX30" s="1887"/>
      <c r="NCY30" s="1888"/>
      <c r="NCZ30" s="1882"/>
      <c r="NDA30" s="1882"/>
      <c r="NDB30" s="1882"/>
      <c r="NDD30" s="1887"/>
      <c r="NDE30" s="1888"/>
      <c r="NDF30" s="1882"/>
      <c r="NDG30" s="1882"/>
      <c r="NDH30" s="1882"/>
      <c r="NDJ30" s="1887"/>
      <c r="NDK30" s="1888"/>
      <c r="NDL30" s="1882"/>
      <c r="NDM30" s="1882"/>
      <c r="NDN30" s="1882"/>
      <c r="NDP30" s="1887"/>
      <c r="NDQ30" s="1888"/>
      <c r="NDR30" s="1882"/>
      <c r="NDS30" s="1882"/>
      <c r="NDT30" s="1882"/>
      <c r="NDV30" s="1887"/>
      <c r="NDW30" s="1888"/>
      <c r="NDX30" s="1882"/>
      <c r="NDY30" s="1882"/>
      <c r="NDZ30" s="1882"/>
      <c r="NEB30" s="1887"/>
      <c r="NEC30" s="1888"/>
      <c r="NED30" s="1882"/>
      <c r="NEE30" s="1882"/>
      <c r="NEF30" s="1882"/>
      <c r="NEH30" s="1887"/>
      <c r="NEI30" s="1888"/>
      <c r="NEJ30" s="1882"/>
      <c r="NEK30" s="1882"/>
      <c r="NEL30" s="1882"/>
      <c r="NEN30" s="1887"/>
      <c r="NEO30" s="1888"/>
      <c r="NEP30" s="1882"/>
      <c r="NEQ30" s="1882"/>
      <c r="NER30" s="1882"/>
      <c r="NET30" s="1887"/>
      <c r="NEU30" s="1888"/>
      <c r="NEV30" s="1882"/>
      <c r="NEW30" s="1882"/>
      <c r="NEX30" s="1882"/>
      <c r="NEZ30" s="1887"/>
      <c r="NFA30" s="1888"/>
      <c r="NFB30" s="1882"/>
      <c r="NFC30" s="1882"/>
      <c r="NFD30" s="1882"/>
      <c r="NFF30" s="1887"/>
      <c r="NFG30" s="1888"/>
      <c r="NFH30" s="1882"/>
      <c r="NFI30" s="1882"/>
      <c r="NFJ30" s="1882"/>
      <c r="NFL30" s="1887"/>
      <c r="NFM30" s="1888"/>
      <c r="NFN30" s="1882"/>
      <c r="NFO30" s="1882"/>
      <c r="NFP30" s="1882"/>
      <c r="NFR30" s="1887"/>
      <c r="NFS30" s="1888"/>
      <c r="NFT30" s="1882"/>
      <c r="NFU30" s="1882"/>
      <c r="NFV30" s="1882"/>
      <c r="NFX30" s="1887"/>
      <c r="NFY30" s="1888"/>
      <c r="NFZ30" s="1882"/>
      <c r="NGA30" s="1882"/>
      <c r="NGB30" s="1882"/>
      <c r="NGD30" s="1887"/>
      <c r="NGE30" s="1888"/>
      <c r="NGF30" s="1882"/>
      <c r="NGG30" s="1882"/>
      <c r="NGH30" s="1882"/>
      <c r="NGJ30" s="1887"/>
      <c r="NGK30" s="1888"/>
      <c r="NGL30" s="1882"/>
      <c r="NGM30" s="1882"/>
      <c r="NGN30" s="1882"/>
      <c r="NGP30" s="1887"/>
      <c r="NGQ30" s="1888"/>
      <c r="NGR30" s="1882"/>
      <c r="NGS30" s="1882"/>
      <c r="NGT30" s="1882"/>
      <c r="NGV30" s="1887"/>
      <c r="NGW30" s="1888"/>
      <c r="NGX30" s="1882"/>
      <c r="NGY30" s="1882"/>
      <c r="NGZ30" s="1882"/>
      <c r="NHB30" s="1887"/>
      <c r="NHC30" s="1888"/>
      <c r="NHD30" s="1882"/>
      <c r="NHE30" s="1882"/>
      <c r="NHF30" s="1882"/>
      <c r="NHH30" s="1887"/>
      <c r="NHI30" s="1888"/>
      <c r="NHJ30" s="1882"/>
      <c r="NHK30" s="1882"/>
      <c r="NHL30" s="1882"/>
      <c r="NHN30" s="1887"/>
      <c r="NHO30" s="1888"/>
      <c r="NHP30" s="1882"/>
      <c r="NHQ30" s="1882"/>
      <c r="NHR30" s="1882"/>
      <c r="NHT30" s="1887"/>
      <c r="NHU30" s="1888"/>
      <c r="NHV30" s="1882"/>
      <c r="NHW30" s="1882"/>
      <c r="NHX30" s="1882"/>
      <c r="NHZ30" s="1887"/>
      <c r="NIA30" s="1888"/>
      <c r="NIB30" s="1882"/>
      <c r="NIC30" s="1882"/>
      <c r="NID30" s="1882"/>
      <c r="NIF30" s="1887"/>
      <c r="NIG30" s="1888"/>
      <c r="NIH30" s="1882"/>
      <c r="NII30" s="1882"/>
      <c r="NIJ30" s="1882"/>
      <c r="NIL30" s="1887"/>
      <c r="NIM30" s="1888"/>
      <c r="NIN30" s="1882"/>
      <c r="NIO30" s="1882"/>
      <c r="NIP30" s="1882"/>
      <c r="NIR30" s="1887"/>
      <c r="NIS30" s="1888"/>
      <c r="NIT30" s="1882"/>
      <c r="NIU30" s="1882"/>
      <c r="NIV30" s="1882"/>
      <c r="NIX30" s="1887"/>
      <c r="NIY30" s="1888"/>
      <c r="NIZ30" s="1882"/>
      <c r="NJA30" s="1882"/>
      <c r="NJB30" s="1882"/>
      <c r="NJD30" s="1887"/>
      <c r="NJE30" s="1888"/>
      <c r="NJF30" s="1882"/>
      <c r="NJG30" s="1882"/>
      <c r="NJH30" s="1882"/>
      <c r="NJJ30" s="1887"/>
      <c r="NJK30" s="1888"/>
      <c r="NJL30" s="1882"/>
      <c r="NJM30" s="1882"/>
      <c r="NJN30" s="1882"/>
      <c r="NJP30" s="1887"/>
      <c r="NJQ30" s="1888"/>
      <c r="NJR30" s="1882"/>
      <c r="NJS30" s="1882"/>
      <c r="NJT30" s="1882"/>
      <c r="NJV30" s="1887"/>
      <c r="NJW30" s="1888"/>
      <c r="NJX30" s="1882"/>
      <c r="NJY30" s="1882"/>
      <c r="NJZ30" s="1882"/>
      <c r="NKB30" s="1887"/>
      <c r="NKC30" s="1888"/>
      <c r="NKD30" s="1882"/>
      <c r="NKE30" s="1882"/>
      <c r="NKF30" s="1882"/>
      <c r="NKH30" s="1887"/>
      <c r="NKI30" s="1888"/>
      <c r="NKJ30" s="1882"/>
      <c r="NKK30" s="1882"/>
      <c r="NKL30" s="1882"/>
      <c r="NKN30" s="1887"/>
      <c r="NKO30" s="1888"/>
      <c r="NKP30" s="1882"/>
      <c r="NKQ30" s="1882"/>
      <c r="NKR30" s="1882"/>
      <c r="NKT30" s="1887"/>
      <c r="NKU30" s="1888"/>
      <c r="NKV30" s="1882"/>
      <c r="NKW30" s="1882"/>
      <c r="NKX30" s="1882"/>
      <c r="NKZ30" s="1887"/>
      <c r="NLA30" s="1888"/>
      <c r="NLB30" s="1882"/>
      <c r="NLC30" s="1882"/>
      <c r="NLD30" s="1882"/>
      <c r="NLF30" s="1887"/>
      <c r="NLG30" s="1888"/>
      <c r="NLH30" s="1882"/>
      <c r="NLI30" s="1882"/>
      <c r="NLJ30" s="1882"/>
      <c r="NLL30" s="1887"/>
      <c r="NLM30" s="1888"/>
      <c r="NLN30" s="1882"/>
      <c r="NLO30" s="1882"/>
      <c r="NLP30" s="1882"/>
      <c r="NLR30" s="1887"/>
      <c r="NLS30" s="1888"/>
      <c r="NLT30" s="1882"/>
      <c r="NLU30" s="1882"/>
      <c r="NLV30" s="1882"/>
      <c r="NLX30" s="1887"/>
      <c r="NLY30" s="1888"/>
      <c r="NLZ30" s="1882"/>
      <c r="NMA30" s="1882"/>
      <c r="NMB30" s="1882"/>
      <c r="NMD30" s="1887"/>
      <c r="NME30" s="1888"/>
      <c r="NMF30" s="1882"/>
      <c r="NMG30" s="1882"/>
      <c r="NMH30" s="1882"/>
      <c r="NMJ30" s="1887"/>
      <c r="NMK30" s="1888"/>
      <c r="NML30" s="1882"/>
      <c r="NMM30" s="1882"/>
      <c r="NMN30" s="1882"/>
      <c r="NMP30" s="1887"/>
      <c r="NMQ30" s="1888"/>
      <c r="NMR30" s="1882"/>
      <c r="NMS30" s="1882"/>
      <c r="NMT30" s="1882"/>
      <c r="NMV30" s="1887"/>
      <c r="NMW30" s="1888"/>
      <c r="NMX30" s="1882"/>
      <c r="NMY30" s="1882"/>
      <c r="NMZ30" s="1882"/>
      <c r="NNB30" s="1887"/>
      <c r="NNC30" s="1888"/>
      <c r="NND30" s="1882"/>
      <c r="NNE30" s="1882"/>
      <c r="NNF30" s="1882"/>
      <c r="NNH30" s="1887"/>
      <c r="NNI30" s="1888"/>
      <c r="NNJ30" s="1882"/>
      <c r="NNK30" s="1882"/>
      <c r="NNL30" s="1882"/>
      <c r="NNN30" s="1887"/>
      <c r="NNO30" s="1888"/>
      <c r="NNP30" s="1882"/>
      <c r="NNQ30" s="1882"/>
      <c r="NNR30" s="1882"/>
      <c r="NNT30" s="1887"/>
      <c r="NNU30" s="1888"/>
      <c r="NNV30" s="1882"/>
      <c r="NNW30" s="1882"/>
      <c r="NNX30" s="1882"/>
      <c r="NNZ30" s="1887"/>
      <c r="NOA30" s="1888"/>
      <c r="NOB30" s="1882"/>
      <c r="NOC30" s="1882"/>
      <c r="NOD30" s="1882"/>
      <c r="NOF30" s="1887"/>
      <c r="NOG30" s="1888"/>
      <c r="NOH30" s="1882"/>
      <c r="NOI30" s="1882"/>
      <c r="NOJ30" s="1882"/>
      <c r="NOL30" s="1887"/>
      <c r="NOM30" s="1888"/>
      <c r="NON30" s="1882"/>
      <c r="NOO30" s="1882"/>
      <c r="NOP30" s="1882"/>
      <c r="NOR30" s="1887"/>
      <c r="NOS30" s="1888"/>
      <c r="NOT30" s="1882"/>
      <c r="NOU30" s="1882"/>
      <c r="NOV30" s="1882"/>
      <c r="NOX30" s="1887"/>
      <c r="NOY30" s="1888"/>
      <c r="NOZ30" s="1882"/>
      <c r="NPA30" s="1882"/>
      <c r="NPB30" s="1882"/>
      <c r="NPD30" s="1887"/>
      <c r="NPE30" s="1888"/>
      <c r="NPF30" s="1882"/>
      <c r="NPG30" s="1882"/>
      <c r="NPH30" s="1882"/>
      <c r="NPJ30" s="1887"/>
      <c r="NPK30" s="1888"/>
      <c r="NPL30" s="1882"/>
      <c r="NPM30" s="1882"/>
      <c r="NPN30" s="1882"/>
      <c r="NPP30" s="1887"/>
      <c r="NPQ30" s="1888"/>
      <c r="NPR30" s="1882"/>
      <c r="NPS30" s="1882"/>
      <c r="NPT30" s="1882"/>
      <c r="NPV30" s="1887"/>
      <c r="NPW30" s="1888"/>
      <c r="NPX30" s="1882"/>
      <c r="NPY30" s="1882"/>
      <c r="NPZ30" s="1882"/>
      <c r="NQB30" s="1887"/>
      <c r="NQC30" s="1888"/>
      <c r="NQD30" s="1882"/>
      <c r="NQE30" s="1882"/>
      <c r="NQF30" s="1882"/>
      <c r="NQH30" s="1887"/>
      <c r="NQI30" s="1888"/>
      <c r="NQJ30" s="1882"/>
      <c r="NQK30" s="1882"/>
      <c r="NQL30" s="1882"/>
      <c r="NQN30" s="1887"/>
      <c r="NQO30" s="1888"/>
      <c r="NQP30" s="1882"/>
      <c r="NQQ30" s="1882"/>
      <c r="NQR30" s="1882"/>
      <c r="NQT30" s="1887"/>
      <c r="NQU30" s="1888"/>
      <c r="NQV30" s="1882"/>
      <c r="NQW30" s="1882"/>
      <c r="NQX30" s="1882"/>
      <c r="NQZ30" s="1887"/>
      <c r="NRA30" s="1888"/>
      <c r="NRB30" s="1882"/>
      <c r="NRC30" s="1882"/>
      <c r="NRD30" s="1882"/>
      <c r="NRF30" s="1887"/>
      <c r="NRG30" s="1888"/>
      <c r="NRH30" s="1882"/>
      <c r="NRI30" s="1882"/>
      <c r="NRJ30" s="1882"/>
      <c r="NRL30" s="1887"/>
      <c r="NRM30" s="1888"/>
      <c r="NRN30" s="1882"/>
      <c r="NRO30" s="1882"/>
      <c r="NRP30" s="1882"/>
      <c r="NRR30" s="1887"/>
      <c r="NRS30" s="1888"/>
      <c r="NRT30" s="1882"/>
      <c r="NRU30" s="1882"/>
      <c r="NRV30" s="1882"/>
      <c r="NRX30" s="1887"/>
      <c r="NRY30" s="1888"/>
      <c r="NRZ30" s="1882"/>
      <c r="NSA30" s="1882"/>
      <c r="NSB30" s="1882"/>
      <c r="NSD30" s="1887"/>
      <c r="NSE30" s="1888"/>
      <c r="NSF30" s="1882"/>
      <c r="NSG30" s="1882"/>
      <c r="NSH30" s="1882"/>
      <c r="NSJ30" s="1887"/>
      <c r="NSK30" s="1888"/>
      <c r="NSL30" s="1882"/>
      <c r="NSM30" s="1882"/>
      <c r="NSN30" s="1882"/>
      <c r="NSP30" s="1887"/>
      <c r="NSQ30" s="1888"/>
      <c r="NSR30" s="1882"/>
      <c r="NSS30" s="1882"/>
      <c r="NST30" s="1882"/>
      <c r="NSV30" s="1887"/>
      <c r="NSW30" s="1888"/>
      <c r="NSX30" s="1882"/>
      <c r="NSY30" s="1882"/>
      <c r="NSZ30" s="1882"/>
      <c r="NTB30" s="1887"/>
      <c r="NTC30" s="1888"/>
      <c r="NTD30" s="1882"/>
      <c r="NTE30" s="1882"/>
      <c r="NTF30" s="1882"/>
      <c r="NTH30" s="1887"/>
      <c r="NTI30" s="1888"/>
      <c r="NTJ30" s="1882"/>
      <c r="NTK30" s="1882"/>
      <c r="NTL30" s="1882"/>
      <c r="NTN30" s="1887"/>
      <c r="NTO30" s="1888"/>
      <c r="NTP30" s="1882"/>
      <c r="NTQ30" s="1882"/>
      <c r="NTR30" s="1882"/>
      <c r="NTT30" s="1887"/>
      <c r="NTU30" s="1888"/>
      <c r="NTV30" s="1882"/>
      <c r="NTW30" s="1882"/>
      <c r="NTX30" s="1882"/>
      <c r="NTZ30" s="1887"/>
      <c r="NUA30" s="1888"/>
      <c r="NUB30" s="1882"/>
      <c r="NUC30" s="1882"/>
      <c r="NUD30" s="1882"/>
      <c r="NUF30" s="1887"/>
      <c r="NUG30" s="1888"/>
      <c r="NUH30" s="1882"/>
      <c r="NUI30" s="1882"/>
      <c r="NUJ30" s="1882"/>
      <c r="NUL30" s="1887"/>
      <c r="NUM30" s="1888"/>
      <c r="NUN30" s="1882"/>
      <c r="NUO30" s="1882"/>
      <c r="NUP30" s="1882"/>
      <c r="NUR30" s="1887"/>
      <c r="NUS30" s="1888"/>
      <c r="NUT30" s="1882"/>
      <c r="NUU30" s="1882"/>
      <c r="NUV30" s="1882"/>
      <c r="NUX30" s="1887"/>
      <c r="NUY30" s="1888"/>
      <c r="NUZ30" s="1882"/>
      <c r="NVA30" s="1882"/>
      <c r="NVB30" s="1882"/>
      <c r="NVD30" s="1887"/>
      <c r="NVE30" s="1888"/>
      <c r="NVF30" s="1882"/>
      <c r="NVG30" s="1882"/>
      <c r="NVH30" s="1882"/>
      <c r="NVJ30" s="1887"/>
      <c r="NVK30" s="1888"/>
      <c r="NVL30" s="1882"/>
      <c r="NVM30" s="1882"/>
      <c r="NVN30" s="1882"/>
      <c r="NVP30" s="1887"/>
      <c r="NVQ30" s="1888"/>
      <c r="NVR30" s="1882"/>
      <c r="NVS30" s="1882"/>
      <c r="NVT30" s="1882"/>
      <c r="NVV30" s="1887"/>
      <c r="NVW30" s="1888"/>
      <c r="NVX30" s="1882"/>
      <c r="NVY30" s="1882"/>
      <c r="NVZ30" s="1882"/>
      <c r="NWB30" s="1887"/>
      <c r="NWC30" s="1888"/>
      <c r="NWD30" s="1882"/>
      <c r="NWE30" s="1882"/>
      <c r="NWF30" s="1882"/>
      <c r="NWH30" s="1887"/>
      <c r="NWI30" s="1888"/>
      <c r="NWJ30" s="1882"/>
      <c r="NWK30" s="1882"/>
      <c r="NWL30" s="1882"/>
      <c r="NWN30" s="1887"/>
      <c r="NWO30" s="1888"/>
      <c r="NWP30" s="1882"/>
      <c r="NWQ30" s="1882"/>
      <c r="NWR30" s="1882"/>
      <c r="NWT30" s="1887"/>
      <c r="NWU30" s="1888"/>
      <c r="NWV30" s="1882"/>
      <c r="NWW30" s="1882"/>
      <c r="NWX30" s="1882"/>
      <c r="NWZ30" s="1887"/>
      <c r="NXA30" s="1888"/>
      <c r="NXB30" s="1882"/>
      <c r="NXC30" s="1882"/>
      <c r="NXD30" s="1882"/>
      <c r="NXF30" s="1887"/>
      <c r="NXG30" s="1888"/>
      <c r="NXH30" s="1882"/>
      <c r="NXI30" s="1882"/>
      <c r="NXJ30" s="1882"/>
      <c r="NXL30" s="1887"/>
      <c r="NXM30" s="1888"/>
      <c r="NXN30" s="1882"/>
      <c r="NXO30" s="1882"/>
      <c r="NXP30" s="1882"/>
      <c r="NXR30" s="1887"/>
      <c r="NXS30" s="1888"/>
      <c r="NXT30" s="1882"/>
      <c r="NXU30" s="1882"/>
      <c r="NXV30" s="1882"/>
      <c r="NXX30" s="1887"/>
      <c r="NXY30" s="1888"/>
      <c r="NXZ30" s="1882"/>
      <c r="NYA30" s="1882"/>
      <c r="NYB30" s="1882"/>
      <c r="NYD30" s="1887"/>
      <c r="NYE30" s="1888"/>
      <c r="NYF30" s="1882"/>
      <c r="NYG30" s="1882"/>
      <c r="NYH30" s="1882"/>
      <c r="NYJ30" s="1887"/>
      <c r="NYK30" s="1888"/>
      <c r="NYL30" s="1882"/>
      <c r="NYM30" s="1882"/>
      <c r="NYN30" s="1882"/>
      <c r="NYP30" s="1887"/>
      <c r="NYQ30" s="1888"/>
      <c r="NYR30" s="1882"/>
      <c r="NYS30" s="1882"/>
      <c r="NYT30" s="1882"/>
      <c r="NYV30" s="1887"/>
      <c r="NYW30" s="1888"/>
      <c r="NYX30" s="1882"/>
      <c r="NYY30" s="1882"/>
      <c r="NYZ30" s="1882"/>
      <c r="NZB30" s="1887"/>
      <c r="NZC30" s="1888"/>
      <c r="NZD30" s="1882"/>
      <c r="NZE30" s="1882"/>
      <c r="NZF30" s="1882"/>
      <c r="NZH30" s="1887"/>
      <c r="NZI30" s="1888"/>
      <c r="NZJ30" s="1882"/>
      <c r="NZK30" s="1882"/>
      <c r="NZL30" s="1882"/>
      <c r="NZN30" s="1887"/>
      <c r="NZO30" s="1888"/>
      <c r="NZP30" s="1882"/>
      <c r="NZQ30" s="1882"/>
      <c r="NZR30" s="1882"/>
      <c r="NZT30" s="1887"/>
      <c r="NZU30" s="1888"/>
      <c r="NZV30" s="1882"/>
      <c r="NZW30" s="1882"/>
      <c r="NZX30" s="1882"/>
      <c r="NZZ30" s="1887"/>
      <c r="OAA30" s="1888"/>
      <c r="OAB30" s="1882"/>
      <c r="OAC30" s="1882"/>
      <c r="OAD30" s="1882"/>
      <c r="OAF30" s="1887"/>
      <c r="OAG30" s="1888"/>
      <c r="OAH30" s="1882"/>
      <c r="OAI30" s="1882"/>
      <c r="OAJ30" s="1882"/>
      <c r="OAL30" s="1887"/>
      <c r="OAM30" s="1888"/>
      <c r="OAN30" s="1882"/>
      <c r="OAO30" s="1882"/>
      <c r="OAP30" s="1882"/>
      <c r="OAR30" s="1887"/>
      <c r="OAS30" s="1888"/>
      <c r="OAT30" s="1882"/>
      <c r="OAU30" s="1882"/>
      <c r="OAV30" s="1882"/>
      <c r="OAX30" s="1887"/>
      <c r="OAY30" s="1888"/>
      <c r="OAZ30" s="1882"/>
      <c r="OBA30" s="1882"/>
      <c r="OBB30" s="1882"/>
      <c r="OBD30" s="1887"/>
      <c r="OBE30" s="1888"/>
      <c r="OBF30" s="1882"/>
      <c r="OBG30" s="1882"/>
      <c r="OBH30" s="1882"/>
      <c r="OBJ30" s="1887"/>
      <c r="OBK30" s="1888"/>
      <c r="OBL30" s="1882"/>
      <c r="OBM30" s="1882"/>
      <c r="OBN30" s="1882"/>
      <c r="OBP30" s="1887"/>
      <c r="OBQ30" s="1888"/>
      <c r="OBR30" s="1882"/>
      <c r="OBS30" s="1882"/>
      <c r="OBT30" s="1882"/>
      <c r="OBV30" s="1887"/>
      <c r="OBW30" s="1888"/>
      <c r="OBX30" s="1882"/>
      <c r="OBY30" s="1882"/>
      <c r="OBZ30" s="1882"/>
      <c r="OCB30" s="1887"/>
      <c r="OCC30" s="1888"/>
      <c r="OCD30" s="1882"/>
      <c r="OCE30" s="1882"/>
      <c r="OCF30" s="1882"/>
      <c r="OCH30" s="1887"/>
      <c r="OCI30" s="1888"/>
      <c r="OCJ30" s="1882"/>
      <c r="OCK30" s="1882"/>
      <c r="OCL30" s="1882"/>
      <c r="OCN30" s="1887"/>
      <c r="OCO30" s="1888"/>
      <c r="OCP30" s="1882"/>
      <c r="OCQ30" s="1882"/>
      <c r="OCR30" s="1882"/>
      <c r="OCT30" s="1887"/>
      <c r="OCU30" s="1888"/>
      <c r="OCV30" s="1882"/>
      <c r="OCW30" s="1882"/>
      <c r="OCX30" s="1882"/>
      <c r="OCZ30" s="1887"/>
      <c r="ODA30" s="1888"/>
      <c r="ODB30" s="1882"/>
      <c r="ODC30" s="1882"/>
      <c r="ODD30" s="1882"/>
      <c r="ODF30" s="1887"/>
      <c r="ODG30" s="1888"/>
      <c r="ODH30" s="1882"/>
      <c r="ODI30" s="1882"/>
      <c r="ODJ30" s="1882"/>
      <c r="ODL30" s="1887"/>
      <c r="ODM30" s="1888"/>
      <c r="ODN30" s="1882"/>
      <c r="ODO30" s="1882"/>
      <c r="ODP30" s="1882"/>
      <c r="ODR30" s="1887"/>
      <c r="ODS30" s="1888"/>
      <c r="ODT30" s="1882"/>
      <c r="ODU30" s="1882"/>
      <c r="ODV30" s="1882"/>
      <c r="ODX30" s="1887"/>
      <c r="ODY30" s="1888"/>
      <c r="ODZ30" s="1882"/>
      <c r="OEA30" s="1882"/>
      <c r="OEB30" s="1882"/>
      <c r="OED30" s="1887"/>
      <c r="OEE30" s="1888"/>
      <c r="OEF30" s="1882"/>
      <c r="OEG30" s="1882"/>
      <c r="OEH30" s="1882"/>
      <c r="OEJ30" s="1887"/>
      <c r="OEK30" s="1888"/>
      <c r="OEL30" s="1882"/>
      <c r="OEM30" s="1882"/>
      <c r="OEN30" s="1882"/>
      <c r="OEP30" s="1887"/>
      <c r="OEQ30" s="1888"/>
      <c r="OER30" s="1882"/>
      <c r="OES30" s="1882"/>
      <c r="OET30" s="1882"/>
      <c r="OEV30" s="1887"/>
      <c r="OEW30" s="1888"/>
      <c r="OEX30" s="1882"/>
      <c r="OEY30" s="1882"/>
      <c r="OEZ30" s="1882"/>
      <c r="OFB30" s="1887"/>
      <c r="OFC30" s="1888"/>
      <c r="OFD30" s="1882"/>
      <c r="OFE30" s="1882"/>
      <c r="OFF30" s="1882"/>
      <c r="OFH30" s="1887"/>
      <c r="OFI30" s="1888"/>
      <c r="OFJ30" s="1882"/>
      <c r="OFK30" s="1882"/>
      <c r="OFL30" s="1882"/>
      <c r="OFN30" s="1887"/>
      <c r="OFO30" s="1888"/>
      <c r="OFP30" s="1882"/>
      <c r="OFQ30" s="1882"/>
      <c r="OFR30" s="1882"/>
      <c r="OFT30" s="1887"/>
      <c r="OFU30" s="1888"/>
      <c r="OFV30" s="1882"/>
      <c r="OFW30" s="1882"/>
      <c r="OFX30" s="1882"/>
      <c r="OFZ30" s="1887"/>
      <c r="OGA30" s="1888"/>
      <c r="OGB30" s="1882"/>
      <c r="OGC30" s="1882"/>
      <c r="OGD30" s="1882"/>
      <c r="OGF30" s="1887"/>
      <c r="OGG30" s="1888"/>
      <c r="OGH30" s="1882"/>
      <c r="OGI30" s="1882"/>
      <c r="OGJ30" s="1882"/>
      <c r="OGL30" s="1887"/>
      <c r="OGM30" s="1888"/>
      <c r="OGN30" s="1882"/>
      <c r="OGO30" s="1882"/>
      <c r="OGP30" s="1882"/>
      <c r="OGR30" s="1887"/>
      <c r="OGS30" s="1888"/>
      <c r="OGT30" s="1882"/>
      <c r="OGU30" s="1882"/>
      <c r="OGV30" s="1882"/>
      <c r="OGX30" s="1887"/>
      <c r="OGY30" s="1888"/>
      <c r="OGZ30" s="1882"/>
      <c r="OHA30" s="1882"/>
      <c r="OHB30" s="1882"/>
      <c r="OHD30" s="1887"/>
      <c r="OHE30" s="1888"/>
      <c r="OHF30" s="1882"/>
      <c r="OHG30" s="1882"/>
      <c r="OHH30" s="1882"/>
      <c r="OHJ30" s="1887"/>
      <c r="OHK30" s="1888"/>
      <c r="OHL30" s="1882"/>
      <c r="OHM30" s="1882"/>
      <c r="OHN30" s="1882"/>
      <c r="OHP30" s="1887"/>
      <c r="OHQ30" s="1888"/>
      <c r="OHR30" s="1882"/>
      <c r="OHS30" s="1882"/>
      <c r="OHT30" s="1882"/>
      <c r="OHV30" s="1887"/>
      <c r="OHW30" s="1888"/>
      <c r="OHX30" s="1882"/>
      <c r="OHY30" s="1882"/>
      <c r="OHZ30" s="1882"/>
      <c r="OIB30" s="1887"/>
      <c r="OIC30" s="1888"/>
      <c r="OID30" s="1882"/>
      <c r="OIE30" s="1882"/>
      <c r="OIF30" s="1882"/>
      <c r="OIH30" s="1887"/>
      <c r="OII30" s="1888"/>
      <c r="OIJ30" s="1882"/>
      <c r="OIK30" s="1882"/>
      <c r="OIL30" s="1882"/>
      <c r="OIN30" s="1887"/>
      <c r="OIO30" s="1888"/>
      <c r="OIP30" s="1882"/>
      <c r="OIQ30" s="1882"/>
      <c r="OIR30" s="1882"/>
      <c r="OIT30" s="1887"/>
      <c r="OIU30" s="1888"/>
      <c r="OIV30" s="1882"/>
      <c r="OIW30" s="1882"/>
      <c r="OIX30" s="1882"/>
      <c r="OIZ30" s="1887"/>
      <c r="OJA30" s="1888"/>
      <c r="OJB30" s="1882"/>
      <c r="OJC30" s="1882"/>
      <c r="OJD30" s="1882"/>
      <c r="OJF30" s="1887"/>
      <c r="OJG30" s="1888"/>
      <c r="OJH30" s="1882"/>
      <c r="OJI30" s="1882"/>
      <c r="OJJ30" s="1882"/>
      <c r="OJL30" s="1887"/>
      <c r="OJM30" s="1888"/>
      <c r="OJN30" s="1882"/>
      <c r="OJO30" s="1882"/>
      <c r="OJP30" s="1882"/>
      <c r="OJR30" s="1887"/>
      <c r="OJS30" s="1888"/>
      <c r="OJT30" s="1882"/>
      <c r="OJU30" s="1882"/>
      <c r="OJV30" s="1882"/>
      <c r="OJX30" s="1887"/>
      <c r="OJY30" s="1888"/>
      <c r="OJZ30" s="1882"/>
      <c r="OKA30" s="1882"/>
      <c r="OKB30" s="1882"/>
      <c r="OKD30" s="1887"/>
      <c r="OKE30" s="1888"/>
      <c r="OKF30" s="1882"/>
      <c r="OKG30" s="1882"/>
      <c r="OKH30" s="1882"/>
      <c r="OKJ30" s="1887"/>
      <c r="OKK30" s="1888"/>
      <c r="OKL30" s="1882"/>
      <c r="OKM30" s="1882"/>
      <c r="OKN30" s="1882"/>
      <c r="OKP30" s="1887"/>
      <c r="OKQ30" s="1888"/>
      <c r="OKR30" s="1882"/>
      <c r="OKS30" s="1882"/>
      <c r="OKT30" s="1882"/>
      <c r="OKV30" s="1887"/>
      <c r="OKW30" s="1888"/>
      <c r="OKX30" s="1882"/>
      <c r="OKY30" s="1882"/>
      <c r="OKZ30" s="1882"/>
      <c r="OLB30" s="1887"/>
      <c r="OLC30" s="1888"/>
      <c r="OLD30" s="1882"/>
      <c r="OLE30" s="1882"/>
      <c r="OLF30" s="1882"/>
      <c r="OLH30" s="1887"/>
      <c r="OLI30" s="1888"/>
      <c r="OLJ30" s="1882"/>
      <c r="OLK30" s="1882"/>
      <c r="OLL30" s="1882"/>
      <c r="OLN30" s="1887"/>
      <c r="OLO30" s="1888"/>
      <c r="OLP30" s="1882"/>
      <c r="OLQ30" s="1882"/>
      <c r="OLR30" s="1882"/>
      <c r="OLT30" s="1887"/>
      <c r="OLU30" s="1888"/>
      <c r="OLV30" s="1882"/>
      <c r="OLW30" s="1882"/>
      <c r="OLX30" s="1882"/>
      <c r="OLZ30" s="1887"/>
      <c r="OMA30" s="1888"/>
      <c r="OMB30" s="1882"/>
      <c r="OMC30" s="1882"/>
      <c r="OMD30" s="1882"/>
      <c r="OMF30" s="1887"/>
      <c r="OMG30" s="1888"/>
      <c r="OMH30" s="1882"/>
      <c r="OMI30" s="1882"/>
      <c r="OMJ30" s="1882"/>
      <c r="OML30" s="1887"/>
      <c r="OMM30" s="1888"/>
      <c r="OMN30" s="1882"/>
      <c r="OMO30" s="1882"/>
      <c r="OMP30" s="1882"/>
      <c r="OMR30" s="1887"/>
      <c r="OMS30" s="1888"/>
      <c r="OMT30" s="1882"/>
      <c r="OMU30" s="1882"/>
      <c r="OMV30" s="1882"/>
      <c r="OMX30" s="1887"/>
      <c r="OMY30" s="1888"/>
      <c r="OMZ30" s="1882"/>
      <c r="ONA30" s="1882"/>
      <c r="ONB30" s="1882"/>
      <c r="OND30" s="1887"/>
      <c r="ONE30" s="1888"/>
      <c r="ONF30" s="1882"/>
      <c r="ONG30" s="1882"/>
      <c r="ONH30" s="1882"/>
      <c r="ONJ30" s="1887"/>
      <c r="ONK30" s="1888"/>
      <c r="ONL30" s="1882"/>
      <c r="ONM30" s="1882"/>
      <c r="ONN30" s="1882"/>
      <c r="ONP30" s="1887"/>
      <c r="ONQ30" s="1888"/>
      <c r="ONR30" s="1882"/>
      <c r="ONS30" s="1882"/>
      <c r="ONT30" s="1882"/>
      <c r="ONV30" s="1887"/>
      <c r="ONW30" s="1888"/>
      <c r="ONX30" s="1882"/>
      <c r="ONY30" s="1882"/>
      <c r="ONZ30" s="1882"/>
      <c r="OOB30" s="1887"/>
      <c r="OOC30" s="1888"/>
      <c r="OOD30" s="1882"/>
      <c r="OOE30" s="1882"/>
      <c r="OOF30" s="1882"/>
      <c r="OOH30" s="1887"/>
      <c r="OOI30" s="1888"/>
      <c r="OOJ30" s="1882"/>
      <c r="OOK30" s="1882"/>
      <c r="OOL30" s="1882"/>
      <c r="OON30" s="1887"/>
      <c r="OOO30" s="1888"/>
      <c r="OOP30" s="1882"/>
      <c r="OOQ30" s="1882"/>
      <c r="OOR30" s="1882"/>
      <c r="OOT30" s="1887"/>
      <c r="OOU30" s="1888"/>
      <c r="OOV30" s="1882"/>
      <c r="OOW30" s="1882"/>
      <c r="OOX30" s="1882"/>
      <c r="OOZ30" s="1887"/>
      <c r="OPA30" s="1888"/>
      <c r="OPB30" s="1882"/>
      <c r="OPC30" s="1882"/>
      <c r="OPD30" s="1882"/>
      <c r="OPF30" s="1887"/>
      <c r="OPG30" s="1888"/>
      <c r="OPH30" s="1882"/>
      <c r="OPI30" s="1882"/>
      <c r="OPJ30" s="1882"/>
      <c r="OPL30" s="1887"/>
      <c r="OPM30" s="1888"/>
      <c r="OPN30" s="1882"/>
      <c r="OPO30" s="1882"/>
      <c r="OPP30" s="1882"/>
      <c r="OPR30" s="1887"/>
      <c r="OPS30" s="1888"/>
      <c r="OPT30" s="1882"/>
      <c r="OPU30" s="1882"/>
      <c r="OPV30" s="1882"/>
      <c r="OPX30" s="1887"/>
      <c r="OPY30" s="1888"/>
      <c r="OPZ30" s="1882"/>
      <c r="OQA30" s="1882"/>
      <c r="OQB30" s="1882"/>
      <c r="OQD30" s="1887"/>
      <c r="OQE30" s="1888"/>
      <c r="OQF30" s="1882"/>
      <c r="OQG30" s="1882"/>
      <c r="OQH30" s="1882"/>
      <c r="OQJ30" s="1887"/>
      <c r="OQK30" s="1888"/>
      <c r="OQL30" s="1882"/>
      <c r="OQM30" s="1882"/>
      <c r="OQN30" s="1882"/>
      <c r="OQP30" s="1887"/>
      <c r="OQQ30" s="1888"/>
      <c r="OQR30" s="1882"/>
      <c r="OQS30" s="1882"/>
      <c r="OQT30" s="1882"/>
      <c r="OQV30" s="1887"/>
      <c r="OQW30" s="1888"/>
      <c r="OQX30" s="1882"/>
      <c r="OQY30" s="1882"/>
      <c r="OQZ30" s="1882"/>
      <c r="ORB30" s="1887"/>
      <c r="ORC30" s="1888"/>
      <c r="ORD30" s="1882"/>
      <c r="ORE30" s="1882"/>
      <c r="ORF30" s="1882"/>
      <c r="ORH30" s="1887"/>
      <c r="ORI30" s="1888"/>
      <c r="ORJ30" s="1882"/>
      <c r="ORK30" s="1882"/>
      <c r="ORL30" s="1882"/>
      <c r="ORN30" s="1887"/>
      <c r="ORO30" s="1888"/>
      <c r="ORP30" s="1882"/>
      <c r="ORQ30" s="1882"/>
      <c r="ORR30" s="1882"/>
      <c r="ORT30" s="1887"/>
      <c r="ORU30" s="1888"/>
      <c r="ORV30" s="1882"/>
      <c r="ORW30" s="1882"/>
      <c r="ORX30" s="1882"/>
      <c r="ORZ30" s="1887"/>
      <c r="OSA30" s="1888"/>
      <c r="OSB30" s="1882"/>
      <c r="OSC30" s="1882"/>
      <c r="OSD30" s="1882"/>
      <c r="OSF30" s="1887"/>
      <c r="OSG30" s="1888"/>
      <c r="OSH30" s="1882"/>
      <c r="OSI30" s="1882"/>
      <c r="OSJ30" s="1882"/>
      <c r="OSL30" s="1887"/>
      <c r="OSM30" s="1888"/>
      <c r="OSN30" s="1882"/>
      <c r="OSO30" s="1882"/>
      <c r="OSP30" s="1882"/>
      <c r="OSR30" s="1887"/>
      <c r="OSS30" s="1888"/>
      <c r="OST30" s="1882"/>
      <c r="OSU30" s="1882"/>
      <c r="OSV30" s="1882"/>
      <c r="OSX30" s="1887"/>
      <c r="OSY30" s="1888"/>
      <c r="OSZ30" s="1882"/>
      <c r="OTA30" s="1882"/>
      <c r="OTB30" s="1882"/>
      <c r="OTD30" s="1887"/>
      <c r="OTE30" s="1888"/>
      <c r="OTF30" s="1882"/>
      <c r="OTG30" s="1882"/>
      <c r="OTH30" s="1882"/>
      <c r="OTJ30" s="1887"/>
      <c r="OTK30" s="1888"/>
      <c r="OTL30" s="1882"/>
      <c r="OTM30" s="1882"/>
      <c r="OTN30" s="1882"/>
      <c r="OTP30" s="1887"/>
      <c r="OTQ30" s="1888"/>
      <c r="OTR30" s="1882"/>
      <c r="OTS30" s="1882"/>
      <c r="OTT30" s="1882"/>
      <c r="OTV30" s="1887"/>
      <c r="OTW30" s="1888"/>
      <c r="OTX30" s="1882"/>
      <c r="OTY30" s="1882"/>
      <c r="OTZ30" s="1882"/>
      <c r="OUB30" s="1887"/>
      <c r="OUC30" s="1888"/>
      <c r="OUD30" s="1882"/>
      <c r="OUE30" s="1882"/>
      <c r="OUF30" s="1882"/>
      <c r="OUH30" s="1887"/>
      <c r="OUI30" s="1888"/>
      <c r="OUJ30" s="1882"/>
      <c r="OUK30" s="1882"/>
      <c r="OUL30" s="1882"/>
      <c r="OUN30" s="1887"/>
      <c r="OUO30" s="1888"/>
      <c r="OUP30" s="1882"/>
      <c r="OUQ30" s="1882"/>
      <c r="OUR30" s="1882"/>
      <c r="OUT30" s="1887"/>
      <c r="OUU30" s="1888"/>
      <c r="OUV30" s="1882"/>
      <c r="OUW30" s="1882"/>
      <c r="OUX30" s="1882"/>
      <c r="OUZ30" s="1887"/>
      <c r="OVA30" s="1888"/>
      <c r="OVB30" s="1882"/>
      <c r="OVC30" s="1882"/>
      <c r="OVD30" s="1882"/>
      <c r="OVF30" s="1887"/>
      <c r="OVG30" s="1888"/>
      <c r="OVH30" s="1882"/>
      <c r="OVI30" s="1882"/>
      <c r="OVJ30" s="1882"/>
      <c r="OVL30" s="1887"/>
      <c r="OVM30" s="1888"/>
      <c r="OVN30" s="1882"/>
      <c r="OVO30" s="1882"/>
      <c r="OVP30" s="1882"/>
      <c r="OVR30" s="1887"/>
      <c r="OVS30" s="1888"/>
      <c r="OVT30" s="1882"/>
      <c r="OVU30" s="1882"/>
      <c r="OVV30" s="1882"/>
      <c r="OVX30" s="1887"/>
      <c r="OVY30" s="1888"/>
      <c r="OVZ30" s="1882"/>
      <c r="OWA30" s="1882"/>
      <c r="OWB30" s="1882"/>
      <c r="OWD30" s="1887"/>
      <c r="OWE30" s="1888"/>
      <c r="OWF30" s="1882"/>
      <c r="OWG30" s="1882"/>
      <c r="OWH30" s="1882"/>
      <c r="OWJ30" s="1887"/>
      <c r="OWK30" s="1888"/>
      <c r="OWL30" s="1882"/>
      <c r="OWM30" s="1882"/>
      <c r="OWN30" s="1882"/>
      <c r="OWP30" s="1887"/>
      <c r="OWQ30" s="1888"/>
      <c r="OWR30" s="1882"/>
      <c r="OWS30" s="1882"/>
      <c r="OWT30" s="1882"/>
      <c r="OWV30" s="1887"/>
      <c r="OWW30" s="1888"/>
      <c r="OWX30" s="1882"/>
      <c r="OWY30" s="1882"/>
      <c r="OWZ30" s="1882"/>
      <c r="OXB30" s="1887"/>
      <c r="OXC30" s="1888"/>
      <c r="OXD30" s="1882"/>
      <c r="OXE30" s="1882"/>
      <c r="OXF30" s="1882"/>
      <c r="OXH30" s="1887"/>
      <c r="OXI30" s="1888"/>
      <c r="OXJ30" s="1882"/>
      <c r="OXK30" s="1882"/>
      <c r="OXL30" s="1882"/>
      <c r="OXN30" s="1887"/>
      <c r="OXO30" s="1888"/>
      <c r="OXP30" s="1882"/>
      <c r="OXQ30" s="1882"/>
      <c r="OXR30" s="1882"/>
      <c r="OXT30" s="1887"/>
      <c r="OXU30" s="1888"/>
      <c r="OXV30" s="1882"/>
      <c r="OXW30" s="1882"/>
      <c r="OXX30" s="1882"/>
      <c r="OXZ30" s="1887"/>
      <c r="OYA30" s="1888"/>
      <c r="OYB30" s="1882"/>
      <c r="OYC30" s="1882"/>
      <c r="OYD30" s="1882"/>
      <c r="OYF30" s="1887"/>
      <c r="OYG30" s="1888"/>
      <c r="OYH30" s="1882"/>
      <c r="OYI30" s="1882"/>
      <c r="OYJ30" s="1882"/>
      <c r="OYL30" s="1887"/>
      <c r="OYM30" s="1888"/>
      <c r="OYN30" s="1882"/>
      <c r="OYO30" s="1882"/>
      <c r="OYP30" s="1882"/>
      <c r="OYR30" s="1887"/>
      <c r="OYS30" s="1888"/>
      <c r="OYT30" s="1882"/>
      <c r="OYU30" s="1882"/>
      <c r="OYV30" s="1882"/>
      <c r="OYX30" s="1887"/>
      <c r="OYY30" s="1888"/>
      <c r="OYZ30" s="1882"/>
      <c r="OZA30" s="1882"/>
      <c r="OZB30" s="1882"/>
      <c r="OZD30" s="1887"/>
      <c r="OZE30" s="1888"/>
      <c r="OZF30" s="1882"/>
      <c r="OZG30" s="1882"/>
      <c r="OZH30" s="1882"/>
      <c r="OZJ30" s="1887"/>
      <c r="OZK30" s="1888"/>
      <c r="OZL30" s="1882"/>
      <c r="OZM30" s="1882"/>
      <c r="OZN30" s="1882"/>
      <c r="OZP30" s="1887"/>
      <c r="OZQ30" s="1888"/>
      <c r="OZR30" s="1882"/>
      <c r="OZS30" s="1882"/>
      <c r="OZT30" s="1882"/>
      <c r="OZV30" s="1887"/>
      <c r="OZW30" s="1888"/>
      <c r="OZX30" s="1882"/>
      <c r="OZY30" s="1882"/>
      <c r="OZZ30" s="1882"/>
      <c r="PAB30" s="1887"/>
      <c r="PAC30" s="1888"/>
      <c r="PAD30" s="1882"/>
      <c r="PAE30" s="1882"/>
      <c r="PAF30" s="1882"/>
      <c r="PAH30" s="1887"/>
      <c r="PAI30" s="1888"/>
      <c r="PAJ30" s="1882"/>
      <c r="PAK30" s="1882"/>
      <c r="PAL30" s="1882"/>
      <c r="PAN30" s="1887"/>
      <c r="PAO30" s="1888"/>
      <c r="PAP30" s="1882"/>
      <c r="PAQ30" s="1882"/>
      <c r="PAR30" s="1882"/>
      <c r="PAT30" s="1887"/>
      <c r="PAU30" s="1888"/>
      <c r="PAV30" s="1882"/>
      <c r="PAW30" s="1882"/>
      <c r="PAX30" s="1882"/>
      <c r="PAZ30" s="1887"/>
      <c r="PBA30" s="1888"/>
      <c r="PBB30" s="1882"/>
      <c r="PBC30" s="1882"/>
      <c r="PBD30" s="1882"/>
      <c r="PBF30" s="1887"/>
      <c r="PBG30" s="1888"/>
      <c r="PBH30" s="1882"/>
      <c r="PBI30" s="1882"/>
      <c r="PBJ30" s="1882"/>
      <c r="PBL30" s="1887"/>
      <c r="PBM30" s="1888"/>
      <c r="PBN30" s="1882"/>
      <c r="PBO30" s="1882"/>
      <c r="PBP30" s="1882"/>
      <c r="PBR30" s="1887"/>
      <c r="PBS30" s="1888"/>
      <c r="PBT30" s="1882"/>
      <c r="PBU30" s="1882"/>
      <c r="PBV30" s="1882"/>
      <c r="PBX30" s="1887"/>
      <c r="PBY30" s="1888"/>
      <c r="PBZ30" s="1882"/>
      <c r="PCA30" s="1882"/>
      <c r="PCB30" s="1882"/>
      <c r="PCD30" s="1887"/>
      <c r="PCE30" s="1888"/>
      <c r="PCF30" s="1882"/>
      <c r="PCG30" s="1882"/>
      <c r="PCH30" s="1882"/>
      <c r="PCJ30" s="1887"/>
      <c r="PCK30" s="1888"/>
      <c r="PCL30" s="1882"/>
      <c r="PCM30" s="1882"/>
      <c r="PCN30" s="1882"/>
      <c r="PCP30" s="1887"/>
      <c r="PCQ30" s="1888"/>
      <c r="PCR30" s="1882"/>
      <c r="PCS30" s="1882"/>
      <c r="PCT30" s="1882"/>
      <c r="PCV30" s="1887"/>
      <c r="PCW30" s="1888"/>
      <c r="PCX30" s="1882"/>
      <c r="PCY30" s="1882"/>
      <c r="PCZ30" s="1882"/>
      <c r="PDB30" s="1887"/>
      <c r="PDC30" s="1888"/>
      <c r="PDD30" s="1882"/>
      <c r="PDE30" s="1882"/>
      <c r="PDF30" s="1882"/>
      <c r="PDH30" s="1887"/>
      <c r="PDI30" s="1888"/>
      <c r="PDJ30" s="1882"/>
      <c r="PDK30" s="1882"/>
      <c r="PDL30" s="1882"/>
      <c r="PDN30" s="1887"/>
      <c r="PDO30" s="1888"/>
      <c r="PDP30" s="1882"/>
      <c r="PDQ30" s="1882"/>
      <c r="PDR30" s="1882"/>
      <c r="PDT30" s="1887"/>
      <c r="PDU30" s="1888"/>
      <c r="PDV30" s="1882"/>
      <c r="PDW30" s="1882"/>
      <c r="PDX30" s="1882"/>
      <c r="PDZ30" s="1887"/>
      <c r="PEA30" s="1888"/>
      <c r="PEB30" s="1882"/>
      <c r="PEC30" s="1882"/>
      <c r="PED30" s="1882"/>
      <c r="PEF30" s="1887"/>
      <c r="PEG30" s="1888"/>
      <c r="PEH30" s="1882"/>
      <c r="PEI30" s="1882"/>
      <c r="PEJ30" s="1882"/>
      <c r="PEL30" s="1887"/>
      <c r="PEM30" s="1888"/>
      <c r="PEN30" s="1882"/>
      <c r="PEO30" s="1882"/>
      <c r="PEP30" s="1882"/>
      <c r="PER30" s="1887"/>
      <c r="PES30" s="1888"/>
      <c r="PET30" s="1882"/>
      <c r="PEU30" s="1882"/>
      <c r="PEV30" s="1882"/>
      <c r="PEX30" s="1887"/>
      <c r="PEY30" s="1888"/>
      <c r="PEZ30" s="1882"/>
      <c r="PFA30" s="1882"/>
      <c r="PFB30" s="1882"/>
      <c r="PFD30" s="1887"/>
      <c r="PFE30" s="1888"/>
      <c r="PFF30" s="1882"/>
      <c r="PFG30" s="1882"/>
      <c r="PFH30" s="1882"/>
      <c r="PFJ30" s="1887"/>
      <c r="PFK30" s="1888"/>
      <c r="PFL30" s="1882"/>
      <c r="PFM30" s="1882"/>
      <c r="PFN30" s="1882"/>
      <c r="PFP30" s="1887"/>
      <c r="PFQ30" s="1888"/>
      <c r="PFR30" s="1882"/>
      <c r="PFS30" s="1882"/>
      <c r="PFT30" s="1882"/>
      <c r="PFV30" s="1887"/>
      <c r="PFW30" s="1888"/>
      <c r="PFX30" s="1882"/>
      <c r="PFY30" s="1882"/>
      <c r="PFZ30" s="1882"/>
      <c r="PGB30" s="1887"/>
      <c r="PGC30" s="1888"/>
      <c r="PGD30" s="1882"/>
      <c r="PGE30" s="1882"/>
      <c r="PGF30" s="1882"/>
      <c r="PGH30" s="1887"/>
      <c r="PGI30" s="1888"/>
      <c r="PGJ30" s="1882"/>
      <c r="PGK30" s="1882"/>
      <c r="PGL30" s="1882"/>
      <c r="PGN30" s="1887"/>
      <c r="PGO30" s="1888"/>
      <c r="PGP30" s="1882"/>
      <c r="PGQ30" s="1882"/>
      <c r="PGR30" s="1882"/>
      <c r="PGT30" s="1887"/>
      <c r="PGU30" s="1888"/>
      <c r="PGV30" s="1882"/>
      <c r="PGW30" s="1882"/>
      <c r="PGX30" s="1882"/>
      <c r="PGZ30" s="1887"/>
      <c r="PHA30" s="1888"/>
      <c r="PHB30" s="1882"/>
      <c r="PHC30" s="1882"/>
      <c r="PHD30" s="1882"/>
      <c r="PHF30" s="1887"/>
      <c r="PHG30" s="1888"/>
      <c r="PHH30" s="1882"/>
      <c r="PHI30" s="1882"/>
      <c r="PHJ30" s="1882"/>
      <c r="PHL30" s="1887"/>
      <c r="PHM30" s="1888"/>
      <c r="PHN30" s="1882"/>
      <c r="PHO30" s="1882"/>
      <c r="PHP30" s="1882"/>
      <c r="PHR30" s="1887"/>
      <c r="PHS30" s="1888"/>
      <c r="PHT30" s="1882"/>
      <c r="PHU30" s="1882"/>
      <c r="PHV30" s="1882"/>
      <c r="PHX30" s="1887"/>
      <c r="PHY30" s="1888"/>
      <c r="PHZ30" s="1882"/>
      <c r="PIA30" s="1882"/>
      <c r="PIB30" s="1882"/>
      <c r="PID30" s="1887"/>
      <c r="PIE30" s="1888"/>
      <c r="PIF30" s="1882"/>
      <c r="PIG30" s="1882"/>
      <c r="PIH30" s="1882"/>
      <c r="PIJ30" s="1887"/>
      <c r="PIK30" s="1888"/>
      <c r="PIL30" s="1882"/>
      <c r="PIM30" s="1882"/>
      <c r="PIN30" s="1882"/>
      <c r="PIP30" s="1887"/>
      <c r="PIQ30" s="1888"/>
      <c r="PIR30" s="1882"/>
      <c r="PIS30" s="1882"/>
      <c r="PIT30" s="1882"/>
      <c r="PIV30" s="1887"/>
      <c r="PIW30" s="1888"/>
      <c r="PIX30" s="1882"/>
      <c r="PIY30" s="1882"/>
      <c r="PIZ30" s="1882"/>
      <c r="PJB30" s="1887"/>
      <c r="PJC30" s="1888"/>
      <c r="PJD30" s="1882"/>
      <c r="PJE30" s="1882"/>
      <c r="PJF30" s="1882"/>
      <c r="PJH30" s="1887"/>
      <c r="PJI30" s="1888"/>
      <c r="PJJ30" s="1882"/>
      <c r="PJK30" s="1882"/>
      <c r="PJL30" s="1882"/>
      <c r="PJN30" s="1887"/>
      <c r="PJO30" s="1888"/>
      <c r="PJP30" s="1882"/>
      <c r="PJQ30" s="1882"/>
      <c r="PJR30" s="1882"/>
      <c r="PJT30" s="1887"/>
      <c r="PJU30" s="1888"/>
      <c r="PJV30" s="1882"/>
      <c r="PJW30" s="1882"/>
      <c r="PJX30" s="1882"/>
      <c r="PJZ30" s="1887"/>
      <c r="PKA30" s="1888"/>
      <c r="PKB30" s="1882"/>
      <c r="PKC30" s="1882"/>
      <c r="PKD30" s="1882"/>
      <c r="PKF30" s="1887"/>
      <c r="PKG30" s="1888"/>
      <c r="PKH30" s="1882"/>
      <c r="PKI30" s="1882"/>
      <c r="PKJ30" s="1882"/>
      <c r="PKL30" s="1887"/>
      <c r="PKM30" s="1888"/>
      <c r="PKN30" s="1882"/>
      <c r="PKO30" s="1882"/>
      <c r="PKP30" s="1882"/>
      <c r="PKR30" s="1887"/>
      <c r="PKS30" s="1888"/>
      <c r="PKT30" s="1882"/>
      <c r="PKU30" s="1882"/>
      <c r="PKV30" s="1882"/>
      <c r="PKX30" s="1887"/>
      <c r="PKY30" s="1888"/>
      <c r="PKZ30" s="1882"/>
      <c r="PLA30" s="1882"/>
      <c r="PLB30" s="1882"/>
      <c r="PLD30" s="1887"/>
      <c r="PLE30" s="1888"/>
      <c r="PLF30" s="1882"/>
      <c r="PLG30" s="1882"/>
      <c r="PLH30" s="1882"/>
      <c r="PLJ30" s="1887"/>
      <c r="PLK30" s="1888"/>
      <c r="PLL30" s="1882"/>
      <c r="PLM30" s="1882"/>
      <c r="PLN30" s="1882"/>
      <c r="PLP30" s="1887"/>
      <c r="PLQ30" s="1888"/>
      <c r="PLR30" s="1882"/>
      <c r="PLS30" s="1882"/>
      <c r="PLT30" s="1882"/>
      <c r="PLV30" s="1887"/>
      <c r="PLW30" s="1888"/>
      <c r="PLX30" s="1882"/>
      <c r="PLY30" s="1882"/>
      <c r="PLZ30" s="1882"/>
      <c r="PMB30" s="1887"/>
      <c r="PMC30" s="1888"/>
      <c r="PMD30" s="1882"/>
      <c r="PME30" s="1882"/>
      <c r="PMF30" s="1882"/>
      <c r="PMH30" s="1887"/>
      <c r="PMI30" s="1888"/>
      <c r="PMJ30" s="1882"/>
      <c r="PMK30" s="1882"/>
      <c r="PML30" s="1882"/>
      <c r="PMN30" s="1887"/>
      <c r="PMO30" s="1888"/>
      <c r="PMP30" s="1882"/>
      <c r="PMQ30" s="1882"/>
      <c r="PMR30" s="1882"/>
      <c r="PMT30" s="1887"/>
      <c r="PMU30" s="1888"/>
      <c r="PMV30" s="1882"/>
      <c r="PMW30" s="1882"/>
      <c r="PMX30" s="1882"/>
      <c r="PMZ30" s="1887"/>
      <c r="PNA30" s="1888"/>
      <c r="PNB30" s="1882"/>
      <c r="PNC30" s="1882"/>
      <c r="PND30" s="1882"/>
      <c r="PNF30" s="1887"/>
      <c r="PNG30" s="1888"/>
      <c r="PNH30" s="1882"/>
      <c r="PNI30" s="1882"/>
      <c r="PNJ30" s="1882"/>
      <c r="PNL30" s="1887"/>
      <c r="PNM30" s="1888"/>
      <c r="PNN30" s="1882"/>
      <c r="PNO30" s="1882"/>
      <c r="PNP30" s="1882"/>
      <c r="PNR30" s="1887"/>
      <c r="PNS30" s="1888"/>
      <c r="PNT30" s="1882"/>
      <c r="PNU30" s="1882"/>
      <c r="PNV30" s="1882"/>
      <c r="PNX30" s="1887"/>
      <c r="PNY30" s="1888"/>
      <c r="PNZ30" s="1882"/>
      <c r="POA30" s="1882"/>
      <c r="POB30" s="1882"/>
      <c r="POD30" s="1887"/>
      <c r="POE30" s="1888"/>
      <c r="POF30" s="1882"/>
      <c r="POG30" s="1882"/>
      <c r="POH30" s="1882"/>
      <c r="POJ30" s="1887"/>
      <c r="POK30" s="1888"/>
      <c r="POL30" s="1882"/>
      <c r="POM30" s="1882"/>
      <c r="PON30" s="1882"/>
      <c r="POP30" s="1887"/>
      <c r="POQ30" s="1888"/>
      <c r="POR30" s="1882"/>
      <c r="POS30" s="1882"/>
      <c r="POT30" s="1882"/>
      <c r="POV30" s="1887"/>
      <c r="POW30" s="1888"/>
      <c r="POX30" s="1882"/>
      <c r="POY30" s="1882"/>
      <c r="POZ30" s="1882"/>
      <c r="PPB30" s="1887"/>
      <c r="PPC30" s="1888"/>
      <c r="PPD30" s="1882"/>
      <c r="PPE30" s="1882"/>
      <c r="PPF30" s="1882"/>
      <c r="PPH30" s="1887"/>
      <c r="PPI30" s="1888"/>
      <c r="PPJ30" s="1882"/>
      <c r="PPK30" s="1882"/>
      <c r="PPL30" s="1882"/>
      <c r="PPN30" s="1887"/>
      <c r="PPO30" s="1888"/>
      <c r="PPP30" s="1882"/>
      <c r="PPQ30" s="1882"/>
      <c r="PPR30" s="1882"/>
      <c r="PPT30" s="1887"/>
      <c r="PPU30" s="1888"/>
      <c r="PPV30" s="1882"/>
      <c r="PPW30" s="1882"/>
      <c r="PPX30" s="1882"/>
      <c r="PPZ30" s="1887"/>
      <c r="PQA30" s="1888"/>
      <c r="PQB30" s="1882"/>
      <c r="PQC30" s="1882"/>
      <c r="PQD30" s="1882"/>
      <c r="PQF30" s="1887"/>
      <c r="PQG30" s="1888"/>
      <c r="PQH30" s="1882"/>
      <c r="PQI30" s="1882"/>
      <c r="PQJ30" s="1882"/>
      <c r="PQL30" s="1887"/>
      <c r="PQM30" s="1888"/>
      <c r="PQN30" s="1882"/>
      <c r="PQO30" s="1882"/>
      <c r="PQP30" s="1882"/>
      <c r="PQR30" s="1887"/>
      <c r="PQS30" s="1888"/>
      <c r="PQT30" s="1882"/>
      <c r="PQU30" s="1882"/>
      <c r="PQV30" s="1882"/>
      <c r="PQX30" s="1887"/>
      <c r="PQY30" s="1888"/>
      <c r="PQZ30" s="1882"/>
      <c r="PRA30" s="1882"/>
      <c r="PRB30" s="1882"/>
      <c r="PRD30" s="1887"/>
      <c r="PRE30" s="1888"/>
      <c r="PRF30" s="1882"/>
      <c r="PRG30" s="1882"/>
      <c r="PRH30" s="1882"/>
      <c r="PRJ30" s="1887"/>
      <c r="PRK30" s="1888"/>
      <c r="PRL30" s="1882"/>
      <c r="PRM30" s="1882"/>
      <c r="PRN30" s="1882"/>
      <c r="PRP30" s="1887"/>
      <c r="PRQ30" s="1888"/>
      <c r="PRR30" s="1882"/>
      <c r="PRS30" s="1882"/>
      <c r="PRT30" s="1882"/>
      <c r="PRV30" s="1887"/>
      <c r="PRW30" s="1888"/>
      <c r="PRX30" s="1882"/>
      <c r="PRY30" s="1882"/>
      <c r="PRZ30" s="1882"/>
      <c r="PSB30" s="1887"/>
      <c r="PSC30" s="1888"/>
      <c r="PSD30" s="1882"/>
      <c r="PSE30" s="1882"/>
      <c r="PSF30" s="1882"/>
      <c r="PSH30" s="1887"/>
      <c r="PSI30" s="1888"/>
      <c r="PSJ30" s="1882"/>
      <c r="PSK30" s="1882"/>
      <c r="PSL30" s="1882"/>
      <c r="PSN30" s="1887"/>
      <c r="PSO30" s="1888"/>
      <c r="PSP30" s="1882"/>
      <c r="PSQ30" s="1882"/>
      <c r="PSR30" s="1882"/>
      <c r="PST30" s="1887"/>
      <c r="PSU30" s="1888"/>
      <c r="PSV30" s="1882"/>
      <c r="PSW30" s="1882"/>
      <c r="PSX30" s="1882"/>
      <c r="PSZ30" s="1887"/>
      <c r="PTA30" s="1888"/>
      <c r="PTB30" s="1882"/>
      <c r="PTC30" s="1882"/>
      <c r="PTD30" s="1882"/>
      <c r="PTF30" s="1887"/>
      <c r="PTG30" s="1888"/>
      <c r="PTH30" s="1882"/>
      <c r="PTI30" s="1882"/>
      <c r="PTJ30" s="1882"/>
      <c r="PTL30" s="1887"/>
      <c r="PTM30" s="1888"/>
      <c r="PTN30" s="1882"/>
      <c r="PTO30" s="1882"/>
      <c r="PTP30" s="1882"/>
      <c r="PTR30" s="1887"/>
      <c r="PTS30" s="1888"/>
      <c r="PTT30" s="1882"/>
      <c r="PTU30" s="1882"/>
      <c r="PTV30" s="1882"/>
      <c r="PTX30" s="1887"/>
      <c r="PTY30" s="1888"/>
      <c r="PTZ30" s="1882"/>
      <c r="PUA30" s="1882"/>
      <c r="PUB30" s="1882"/>
      <c r="PUD30" s="1887"/>
      <c r="PUE30" s="1888"/>
      <c r="PUF30" s="1882"/>
      <c r="PUG30" s="1882"/>
      <c r="PUH30" s="1882"/>
      <c r="PUJ30" s="1887"/>
      <c r="PUK30" s="1888"/>
      <c r="PUL30" s="1882"/>
      <c r="PUM30" s="1882"/>
      <c r="PUN30" s="1882"/>
      <c r="PUP30" s="1887"/>
      <c r="PUQ30" s="1888"/>
      <c r="PUR30" s="1882"/>
      <c r="PUS30" s="1882"/>
      <c r="PUT30" s="1882"/>
      <c r="PUV30" s="1887"/>
      <c r="PUW30" s="1888"/>
      <c r="PUX30" s="1882"/>
      <c r="PUY30" s="1882"/>
      <c r="PUZ30" s="1882"/>
      <c r="PVB30" s="1887"/>
      <c r="PVC30" s="1888"/>
      <c r="PVD30" s="1882"/>
      <c r="PVE30" s="1882"/>
      <c r="PVF30" s="1882"/>
      <c r="PVH30" s="1887"/>
      <c r="PVI30" s="1888"/>
      <c r="PVJ30" s="1882"/>
      <c r="PVK30" s="1882"/>
      <c r="PVL30" s="1882"/>
      <c r="PVN30" s="1887"/>
      <c r="PVO30" s="1888"/>
      <c r="PVP30" s="1882"/>
      <c r="PVQ30" s="1882"/>
      <c r="PVR30" s="1882"/>
      <c r="PVT30" s="1887"/>
      <c r="PVU30" s="1888"/>
      <c r="PVV30" s="1882"/>
      <c r="PVW30" s="1882"/>
      <c r="PVX30" s="1882"/>
      <c r="PVZ30" s="1887"/>
      <c r="PWA30" s="1888"/>
      <c r="PWB30" s="1882"/>
      <c r="PWC30" s="1882"/>
      <c r="PWD30" s="1882"/>
      <c r="PWF30" s="1887"/>
      <c r="PWG30" s="1888"/>
      <c r="PWH30" s="1882"/>
      <c r="PWI30" s="1882"/>
      <c r="PWJ30" s="1882"/>
      <c r="PWL30" s="1887"/>
      <c r="PWM30" s="1888"/>
      <c r="PWN30" s="1882"/>
      <c r="PWO30" s="1882"/>
      <c r="PWP30" s="1882"/>
      <c r="PWR30" s="1887"/>
      <c r="PWS30" s="1888"/>
      <c r="PWT30" s="1882"/>
      <c r="PWU30" s="1882"/>
      <c r="PWV30" s="1882"/>
      <c r="PWX30" s="1887"/>
      <c r="PWY30" s="1888"/>
      <c r="PWZ30" s="1882"/>
      <c r="PXA30" s="1882"/>
      <c r="PXB30" s="1882"/>
      <c r="PXD30" s="1887"/>
      <c r="PXE30" s="1888"/>
      <c r="PXF30" s="1882"/>
      <c r="PXG30" s="1882"/>
      <c r="PXH30" s="1882"/>
      <c r="PXJ30" s="1887"/>
      <c r="PXK30" s="1888"/>
      <c r="PXL30" s="1882"/>
      <c r="PXM30" s="1882"/>
      <c r="PXN30" s="1882"/>
      <c r="PXP30" s="1887"/>
      <c r="PXQ30" s="1888"/>
      <c r="PXR30" s="1882"/>
      <c r="PXS30" s="1882"/>
      <c r="PXT30" s="1882"/>
      <c r="PXV30" s="1887"/>
      <c r="PXW30" s="1888"/>
      <c r="PXX30" s="1882"/>
      <c r="PXY30" s="1882"/>
      <c r="PXZ30" s="1882"/>
      <c r="PYB30" s="1887"/>
      <c r="PYC30" s="1888"/>
      <c r="PYD30" s="1882"/>
      <c r="PYE30" s="1882"/>
      <c r="PYF30" s="1882"/>
      <c r="PYH30" s="1887"/>
      <c r="PYI30" s="1888"/>
      <c r="PYJ30" s="1882"/>
      <c r="PYK30" s="1882"/>
      <c r="PYL30" s="1882"/>
      <c r="PYN30" s="1887"/>
      <c r="PYO30" s="1888"/>
      <c r="PYP30" s="1882"/>
      <c r="PYQ30" s="1882"/>
      <c r="PYR30" s="1882"/>
      <c r="PYT30" s="1887"/>
      <c r="PYU30" s="1888"/>
      <c r="PYV30" s="1882"/>
      <c r="PYW30" s="1882"/>
      <c r="PYX30" s="1882"/>
      <c r="PYZ30" s="1887"/>
      <c r="PZA30" s="1888"/>
      <c r="PZB30" s="1882"/>
      <c r="PZC30" s="1882"/>
      <c r="PZD30" s="1882"/>
      <c r="PZF30" s="1887"/>
      <c r="PZG30" s="1888"/>
      <c r="PZH30" s="1882"/>
      <c r="PZI30" s="1882"/>
      <c r="PZJ30" s="1882"/>
      <c r="PZL30" s="1887"/>
      <c r="PZM30" s="1888"/>
      <c r="PZN30" s="1882"/>
      <c r="PZO30" s="1882"/>
      <c r="PZP30" s="1882"/>
      <c r="PZR30" s="1887"/>
      <c r="PZS30" s="1888"/>
      <c r="PZT30" s="1882"/>
      <c r="PZU30" s="1882"/>
      <c r="PZV30" s="1882"/>
      <c r="PZX30" s="1887"/>
      <c r="PZY30" s="1888"/>
      <c r="PZZ30" s="1882"/>
      <c r="QAA30" s="1882"/>
      <c r="QAB30" s="1882"/>
      <c r="QAD30" s="1887"/>
      <c r="QAE30" s="1888"/>
      <c r="QAF30" s="1882"/>
      <c r="QAG30" s="1882"/>
      <c r="QAH30" s="1882"/>
      <c r="QAJ30" s="1887"/>
      <c r="QAK30" s="1888"/>
      <c r="QAL30" s="1882"/>
      <c r="QAM30" s="1882"/>
      <c r="QAN30" s="1882"/>
      <c r="QAP30" s="1887"/>
      <c r="QAQ30" s="1888"/>
      <c r="QAR30" s="1882"/>
      <c r="QAS30" s="1882"/>
      <c r="QAT30" s="1882"/>
      <c r="QAV30" s="1887"/>
      <c r="QAW30" s="1888"/>
      <c r="QAX30" s="1882"/>
      <c r="QAY30" s="1882"/>
      <c r="QAZ30" s="1882"/>
      <c r="QBB30" s="1887"/>
      <c r="QBC30" s="1888"/>
      <c r="QBD30" s="1882"/>
      <c r="QBE30" s="1882"/>
      <c r="QBF30" s="1882"/>
      <c r="QBH30" s="1887"/>
      <c r="QBI30" s="1888"/>
      <c r="QBJ30" s="1882"/>
      <c r="QBK30" s="1882"/>
      <c r="QBL30" s="1882"/>
      <c r="QBN30" s="1887"/>
      <c r="QBO30" s="1888"/>
      <c r="QBP30" s="1882"/>
      <c r="QBQ30" s="1882"/>
      <c r="QBR30" s="1882"/>
      <c r="QBT30" s="1887"/>
      <c r="QBU30" s="1888"/>
      <c r="QBV30" s="1882"/>
      <c r="QBW30" s="1882"/>
      <c r="QBX30" s="1882"/>
      <c r="QBZ30" s="1887"/>
      <c r="QCA30" s="1888"/>
      <c r="QCB30" s="1882"/>
      <c r="QCC30" s="1882"/>
      <c r="QCD30" s="1882"/>
      <c r="QCF30" s="1887"/>
      <c r="QCG30" s="1888"/>
      <c r="QCH30" s="1882"/>
      <c r="QCI30" s="1882"/>
      <c r="QCJ30" s="1882"/>
      <c r="QCL30" s="1887"/>
      <c r="QCM30" s="1888"/>
      <c r="QCN30" s="1882"/>
      <c r="QCO30" s="1882"/>
      <c r="QCP30" s="1882"/>
      <c r="QCR30" s="1887"/>
      <c r="QCS30" s="1888"/>
      <c r="QCT30" s="1882"/>
      <c r="QCU30" s="1882"/>
      <c r="QCV30" s="1882"/>
      <c r="QCX30" s="1887"/>
      <c r="QCY30" s="1888"/>
      <c r="QCZ30" s="1882"/>
      <c r="QDA30" s="1882"/>
      <c r="QDB30" s="1882"/>
      <c r="QDD30" s="1887"/>
      <c r="QDE30" s="1888"/>
      <c r="QDF30" s="1882"/>
      <c r="QDG30" s="1882"/>
      <c r="QDH30" s="1882"/>
      <c r="QDJ30" s="1887"/>
      <c r="QDK30" s="1888"/>
      <c r="QDL30" s="1882"/>
      <c r="QDM30" s="1882"/>
      <c r="QDN30" s="1882"/>
      <c r="QDP30" s="1887"/>
      <c r="QDQ30" s="1888"/>
      <c r="QDR30" s="1882"/>
      <c r="QDS30" s="1882"/>
      <c r="QDT30" s="1882"/>
      <c r="QDV30" s="1887"/>
      <c r="QDW30" s="1888"/>
      <c r="QDX30" s="1882"/>
      <c r="QDY30" s="1882"/>
      <c r="QDZ30" s="1882"/>
      <c r="QEB30" s="1887"/>
      <c r="QEC30" s="1888"/>
      <c r="QED30" s="1882"/>
      <c r="QEE30" s="1882"/>
      <c r="QEF30" s="1882"/>
      <c r="QEH30" s="1887"/>
      <c r="QEI30" s="1888"/>
      <c r="QEJ30" s="1882"/>
      <c r="QEK30" s="1882"/>
      <c r="QEL30" s="1882"/>
      <c r="QEN30" s="1887"/>
      <c r="QEO30" s="1888"/>
      <c r="QEP30" s="1882"/>
      <c r="QEQ30" s="1882"/>
      <c r="QER30" s="1882"/>
      <c r="QET30" s="1887"/>
      <c r="QEU30" s="1888"/>
      <c r="QEV30" s="1882"/>
      <c r="QEW30" s="1882"/>
      <c r="QEX30" s="1882"/>
      <c r="QEZ30" s="1887"/>
      <c r="QFA30" s="1888"/>
      <c r="QFB30" s="1882"/>
      <c r="QFC30" s="1882"/>
      <c r="QFD30" s="1882"/>
      <c r="QFF30" s="1887"/>
      <c r="QFG30" s="1888"/>
      <c r="QFH30" s="1882"/>
      <c r="QFI30" s="1882"/>
      <c r="QFJ30" s="1882"/>
      <c r="QFL30" s="1887"/>
      <c r="QFM30" s="1888"/>
      <c r="QFN30" s="1882"/>
      <c r="QFO30" s="1882"/>
      <c r="QFP30" s="1882"/>
      <c r="QFR30" s="1887"/>
      <c r="QFS30" s="1888"/>
      <c r="QFT30" s="1882"/>
      <c r="QFU30" s="1882"/>
      <c r="QFV30" s="1882"/>
      <c r="QFX30" s="1887"/>
      <c r="QFY30" s="1888"/>
      <c r="QFZ30" s="1882"/>
      <c r="QGA30" s="1882"/>
      <c r="QGB30" s="1882"/>
      <c r="QGD30" s="1887"/>
      <c r="QGE30" s="1888"/>
      <c r="QGF30" s="1882"/>
      <c r="QGG30" s="1882"/>
      <c r="QGH30" s="1882"/>
      <c r="QGJ30" s="1887"/>
      <c r="QGK30" s="1888"/>
      <c r="QGL30" s="1882"/>
      <c r="QGM30" s="1882"/>
      <c r="QGN30" s="1882"/>
      <c r="QGP30" s="1887"/>
      <c r="QGQ30" s="1888"/>
      <c r="QGR30" s="1882"/>
      <c r="QGS30" s="1882"/>
      <c r="QGT30" s="1882"/>
      <c r="QGV30" s="1887"/>
      <c r="QGW30" s="1888"/>
      <c r="QGX30" s="1882"/>
      <c r="QGY30" s="1882"/>
      <c r="QGZ30" s="1882"/>
      <c r="QHB30" s="1887"/>
      <c r="QHC30" s="1888"/>
      <c r="QHD30" s="1882"/>
      <c r="QHE30" s="1882"/>
      <c r="QHF30" s="1882"/>
      <c r="QHH30" s="1887"/>
      <c r="QHI30" s="1888"/>
      <c r="QHJ30" s="1882"/>
      <c r="QHK30" s="1882"/>
      <c r="QHL30" s="1882"/>
      <c r="QHN30" s="1887"/>
      <c r="QHO30" s="1888"/>
      <c r="QHP30" s="1882"/>
      <c r="QHQ30" s="1882"/>
      <c r="QHR30" s="1882"/>
      <c r="QHT30" s="1887"/>
      <c r="QHU30" s="1888"/>
      <c r="QHV30" s="1882"/>
      <c r="QHW30" s="1882"/>
      <c r="QHX30" s="1882"/>
      <c r="QHZ30" s="1887"/>
      <c r="QIA30" s="1888"/>
      <c r="QIB30" s="1882"/>
      <c r="QIC30" s="1882"/>
      <c r="QID30" s="1882"/>
      <c r="QIF30" s="1887"/>
      <c r="QIG30" s="1888"/>
      <c r="QIH30" s="1882"/>
      <c r="QII30" s="1882"/>
      <c r="QIJ30" s="1882"/>
      <c r="QIL30" s="1887"/>
      <c r="QIM30" s="1888"/>
      <c r="QIN30" s="1882"/>
      <c r="QIO30" s="1882"/>
      <c r="QIP30" s="1882"/>
      <c r="QIR30" s="1887"/>
      <c r="QIS30" s="1888"/>
      <c r="QIT30" s="1882"/>
      <c r="QIU30" s="1882"/>
      <c r="QIV30" s="1882"/>
      <c r="QIX30" s="1887"/>
      <c r="QIY30" s="1888"/>
      <c r="QIZ30" s="1882"/>
      <c r="QJA30" s="1882"/>
      <c r="QJB30" s="1882"/>
      <c r="QJD30" s="1887"/>
      <c r="QJE30" s="1888"/>
      <c r="QJF30" s="1882"/>
      <c r="QJG30" s="1882"/>
      <c r="QJH30" s="1882"/>
      <c r="QJJ30" s="1887"/>
      <c r="QJK30" s="1888"/>
      <c r="QJL30" s="1882"/>
      <c r="QJM30" s="1882"/>
      <c r="QJN30" s="1882"/>
      <c r="QJP30" s="1887"/>
      <c r="QJQ30" s="1888"/>
      <c r="QJR30" s="1882"/>
      <c r="QJS30" s="1882"/>
      <c r="QJT30" s="1882"/>
      <c r="QJV30" s="1887"/>
      <c r="QJW30" s="1888"/>
      <c r="QJX30" s="1882"/>
      <c r="QJY30" s="1882"/>
      <c r="QJZ30" s="1882"/>
      <c r="QKB30" s="1887"/>
      <c r="QKC30" s="1888"/>
      <c r="QKD30" s="1882"/>
      <c r="QKE30" s="1882"/>
      <c r="QKF30" s="1882"/>
      <c r="QKH30" s="1887"/>
      <c r="QKI30" s="1888"/>
      <c r="QKJ30" s="1882"/>
      <c r="QKK30" s="1882"/>
      <c r="QKL30" s="1882"/>
      <c r="QKN30" s="1887"/>
      <c r="QKO30" s="1888"/>
      <c r="QKP30" s="1882"/>
      <c r="QKQ30" s="1882"/>
      <c r="QKR30" s="1882"/>
      <c r="QKT30" s="1887"/>
      <c r="QKU30" s="1888"/>
      <c r="QKV30" s="1882"/>
      <c r="QKW30" s="1882"/>
      <c r="QKX30" s="1882"/>
      <c r="QKZ30" s="1887"/>
      <c r="QLA30" s="1888"/>
      <c r="QLB30" s="1882"/>
      <c r="QLC30" s="1882"/>
      <c r="QLD30" s="1882"/>
      <c r="QLF30" s="1887"/>
      <c r="QLG30" s="1888"/>
      <c r="QLH30" s="1882"/>
      <c r="QLI30" s="1882"/>
      <c r="QLJ30" s="1882"/>
      <c r="QLL30" s="1887"/>
      <c r="QLM30" s="1888"/>
      <c r="QLN30" s="1882"/>
      <c r="QLO30" s="1882"/>
      <c r="QLP30" s="1882"/>
      <c r="QLR30" s="1887"/>
      <c r="QLS30" s="1888"/>
      <c r="QLT30" s="1882"/>
      <c r="QLU30" s="1882"/>
      <c r="QLV30" s="1882"/>
      <c r="QLX30" s="1887"/>
      <c r="QLY30" s="1888"/>
      <c r="QLZ30" s="1882"/>
      <c r="QMA30" s="1882"/>
      <c r="QMB30" s="1882"/>
      <c r="QMD30" s="1887"/>
      <c r="QME30" s="1888"/>
      <c r="QMF30" s="1882"/>
      <c r="QMG30" s="1882"/>
      <c r="QMH30" s="1882"/>
      <c r="QMJ30" s="1887"/>
      <c r="QMK30" s="1888"/>
      <c r="QML30" s="1882"/>
      <c r="QMM30" s="1882"/>
      <c r="QMN30" s="1882"/>
      <c r="QMP30" s="1887"/>
      <c r="QMQ30" s="1888"/>
      <c r="QMR30" s="1882"/>
      <c r="QMS30" s="1882"/>
      <c r="QMT30" s="1882"/>
      <c r="QMV30" s="1887"/>
      <c r="QMW30" s="1888"/>
      <c r="QMX30" s="1882"/>
      <c r="QMY30" s="1882"/>
      <c r="QMZ30" s="1882"/>
      <c r="QNB30" s="1887"/>
      <c r="QNC30" s="1888"/>
      <c r="QND30" s="1882"/>
      <c r="QNE30" s="1882"/>
      <c r="QNF30" s="1882"/>
      <c r="QNH30" s="1887"/>
      <c r="QNI30" s="1888"/>
      <c r="QNJ30" s="1882"/>
      <c r="QNK30" s="1882"/>
      <c r="QNL30" s="1882"/>
      <c r="QNN30" s="1887"/>
      <c r="QNO30" s="1888"/>
      <c r="QNP30" s="1882"/>
      <c r="QNQ30" s="1882"/>
      <c r="QNR30" s="1882"/>
      <c r="QNT30" s="1887"/>
      <c r="QNU30" s="1888"/>
      <c r="QNV30" s="1882"/>
      <c r="QNW30" s="1882"/>
      <c r="QNX30" s="1882"/>
      <c r="QNZ30" s="1887"/>
      <c r="QOA30" s="1888"/>
      <c r="QOB30" s="1882"/>
      <c r="QOC30" s="1882"/>
      <c r="QOD30" s="1882"/>
      <c r="QOF30" s="1887"/>
      <c r="QOG30" s="1888"/>
      <c r="QOH30" s="1882"/>
      <c r="QOI30" s="1882"/>
      <c r="QOJ30" s="1882"/>
      <c r="QOL30" s="1887"/>
      <c r="QOM30" s="1888"/>
      <c r="QON30" s="1882"/>
      <c r="QOO30" s="1882"/>
      <c r="QOP30" s="1882"/>
      <c r="QOR30" s="1887"/>
      <c r="QOS30" s="1888"/>
      <c r="QOT30" s="1882"/>
      <c r="QOU30" s="1882"/>
      <c r="QOV30" s="1882"/>
      <c r="QOX30" s="1887"/>
      <c r="QOY30" s="1888"/>
      <c r="QOZ30" s="1882"/>
      <c r="QPA30" s="1882"/>
      <c r="QPB30" s="1882"/>
      <c r="QPD30" s="1887"/>
      <c r="QPE30" s="1888"/>
      <c r="QPF30" s="1882"/>
      <c r="QPG30" s="1882"/>
      <c r="QPH30" s="1882"/>
      <c r="QPJ30" s="1887"/>
      <c r="QPK30" s="1888"/>
      <c r="QPL30" s="1882"/>
      <c r="QPM30" s="1882"/>
      <c r="QPN30" s="1882"/>
      <c r="QPP30" s="1887"/>
      <c r="QPQ30" s="1888"/>
      <c r="QPR30" s="1882"/>
      <c r="QPS30" s="1882"/>
      <c r="QPT30" s="1882"/>
      <c r="QPV30" s="1887"/>
      <c r="QPW30" s="1888"/>
      <c r="QPX30" s="1882"/>
      <c r="QPY30" s="1882"/>
      <c r="QPZ30" s="1882"/>
      <c r="QQB30" s="1887"/>
      <c r="QQC30" s="1888"/>
      <c r="QQD30" s="1882"/>
      <c r="QQE30" s="1882"/>
      <c r="QQF30" s="1882"/>
      <c r="QQH30" s="1887"/>
      <c r="QQI30" s="1888"/>
      <c r="QQJ30" s="1882"/>
      <c r="QQK30" s="1882"/>
      <c r="QQL30" s="1882"/>
      <c r="QQN30" s="1887"/>
      <c r="QQO30" s="1888"/>
      <c r="QQP30" s="1882"/>
      <c r="QQQ30" s="1882"/>
      <c r="QQR30" s="1882"/>
      <c r="QQT30" s="1887"/>
      <c r="QQU30" s="1888"/>
      <c r="QQV30" s="1882"/>
      <c r="QQW30" s="1882"/>
      <c r="QQX30" s="1882"/>
      <c r="QQZ30" s="1887"/>
      <c r="QRA30" s="1888"/>
      <c r="QRB30" s="1882"/>
      <c r="QRC30" s="1882"/>
      <c r="QRD30" s="1882"/>
      <c r="QRF30" s="1887"/>
      <c r="QRG30" s="1888"/>
      <c r="QRH30" s="1882"/>
      <c r="QRI30" s="1882"/>
      <c r="QRJ30" s="1882"/>
      <c r="QRL30" s="1887"/>
      <c r="QRM30" s="1888"/>
      <c r="QRN30" s="1882"/>
      <c r="QRO30" s="1882"/>
      <c r="QRP30" s="1882"/>
      <c r="QRR30" s="1887"/>
      <c r="QRS30" s="1888"/>
      <c r="QRT30" s="1882"/>
      <c r="QRU30" s="1882"/>
      <c r="QRV30" s="1882"/>
      <c r="QRX30" s="1887"/>
      <c r="QRY30" s="1888"/>
      <c r="QRZ30" s="1882"/>
      <c r="QSA30" s="1882"/>
      <c r="QSB30" s="1882"/>
      <c r="QSD30" s="1887"/>
      <c r="QSE30" s="1888"/>
      <c r="QSF30" s="1882"/>
      <c r="QSG30" s="1882"/>
      <c r="QSH30" s="1882"/>
      <c r="QSJ30" s="1887"/>
      <c r="QSK30" s="1888"/>
      <c r="QSL30" s="1882"/>
      <c r="QSM30" s="1882"/>
      <c r="QSN30" s="1882"/>
      <c r="QSP30" s="1887"/>
      <c r="QSQ30" s="1888"/>
      <c r="QSR30" s="1882"/>
      <c r="QSS30" s="1882"/>
      <c r="QST30" s="1882"/>
      <c r="QSV30" s="1887"/>
      <c r="QSW30" s="1888"/>
      <c r="QSX30" s="1882"/>
      <c r="QSY30" s="1882"/>
      <c r="QSZ30" s="1882"/>
      <c r="QTB30" s="1887"/>
      <c r="QTC30" s="1888"/>
      <c r="QTD30" s="1882"/>
      <c r="QTE30" s="1882"/>
      <c r="QTF30" s="1882"/>
      <c r="QTH30" s="1887"/>
      <c r="QTI30" s="1888"/>
      <c r="QTJ30" s="1882"/>
      <c r="QTK30" s="1882"/>
      <c r="QTL30" s="1882"/>
      <c r="QTN30" s="1887"/>
      <c r="QTO30" s="1888"/>
      <c r="QTP30" s="1882"/>
      <c r="QTQ30" s="1882"/>
      <c r="QTR30" s="1882"/>
      <c r="QTT30" s="1887"/>
      <c r="QTU30" s="1888"/>
      <c r="QTV30" s="1882"/>
      <c r="QTW30" s="1882"/>
      <c r="QTX30" s="1882"/>
      <c r="QTZ30" s="1887"/>
      <c r="QUA30" s="1888"/>
      <c r="QUB30" s="1882"/>
      <c r="QUC30" s="1882"/>
      <c r="QUD30" s="1882"/>
      <c r="QUF30" s="1887"/>
      <c r="QUG30" s="1888"/>
      <c r="QUH30" s="1882"/>
      <c r="QUI30" s="1882"/>
      <c r="QUJ30" s="1882"/>
      <c r="QUL30" s="1887"/>
      <c r="QUM30" s="1888"/>
      <c r="QUN30" s="1882"/>
      <c r="QUO30" s="1882"/>
      <c r="QUP30" s="1882"/>
      <c r="QUR30" s="1887"/>
      <c r="QUS30" s="1888"/>
      <c r="QUT30" s="1882"/>
      <c r="QUU30" s="1882"/>
      <c r="QUV30" s="1882"/>
      <c r="QUX30" s="1887"/>
      <c r="QUY30" s="1888"/>
      <c r="QUZ30" s="1882"/>
      <c r="QVA30" s="1882"/>
      <c r="QVB30" s="1882"/>
      <c r="QVD30" s="1887"/>
      <c r="QVE30" s="1888"/>
      <c r="QVF30" s="1882"/>
      <c r="QVG30" s="1882"/>
      <c r="QVH30" s="1882"/>
      <c r="QVJ30" s="1887"/>
      <c r="QVK30" s="1888"/>
      <c r="QVL30" s="1882"/>
      <c r="QVM30" s="1882"/>
      <c r="QVN30" s="1882"/>
      <c r="QVP30" s="1887"/>
      <c r="QVQ30" s="1888"/>
      <c r="QVR30" s="1882"/>
      <c r="QVS30" s="1882"/>
      <c r="QVT30" s="1882"/>
      <c r="QVV30" s="1887"/>
      <c r="QVW30" s="1888"/>
      <c r="QVX30" s="1882"/>
      <c r="QVY30" s="1882"/>
      <c r="QVZ30" s="1882"/>
      <c r="QWB30" s="1887"/>
      <c r="QWC30" s="1888"/>
      <c r="QWD30" s="1882"/>
      <c r="QWE30" s="1882"/>
      <c r="QWF30" s="1882"/>
      <c r="QWH30" s="1887"/>
      <c r="QWI30" s="1888"/>
      <c r="QWJ30" s="1882"/>
      <c r="QWK30" s="1882"/>
      <c r="QWL30" s="1882"/>
      <c r="QWN30" s="1887"/>
      <c r="QWO30" s="1888"/>
      <c r="QWP30" s="1882"/>
      <c r="QWQ30" s="1882"/>
      <c r="QWR30" s="1882"/>
      <c r="QWT30" s="1887"/>
      <c r="QWU30" s="1888"/>
      <c r="QWV30" s="1882"/>
      <c r="QWW30" s="1882"/>
      <c r="QWX30" s="1882"/>
      <c r="QWZ30" s="1887"/>
      <c r="QXA30" s="1888"/>
      <c r="QXB30" s="1882"/>
      <c r="QXC30" s="1882"/>
      <c r="QXD30" s="1882"/>
      <c r="QXF30" s="1887"/>
      <c r="QXG30" s="1888"/>
      <c r="QXH30" s="1882"/>
      <c r="QXI30" s="1882"/>
      <c r="QXJ30" s="1882"/>
      <c r="QXL30" s="1887"/>
      <c r="QXM30" s="1888"/>
      <c r="QXN30" s="1882"/>
      <c r="QXO30" s="1882"/>
      <c r="QXP30" s="1882"/>
      <c r="QXR30" s="1887"/>
      <c r="QXS30" s="1888"/>
      <c r="QXT30" s="1882"/>
      <c r="QXU30" s="1882"/>
      <c r="QXV30" s="1882"/>
      <c r="QXX30" s="1887"/>
      <c r="QXY30" s="1888"/>
      <c r="QXZ30" s="1882"/>
      <c r="QYA30" s="1882"/>
      <c r="QYB30" s="1882"/>
      <c r="QYD30" s="1887"/>
      <c r="QYE30" s="1888"/>
      <c r="QYF30" s="1882"/>
      <c r="QYG30" s="1882"/>
      <c r="QYH30" s="1882"/>
      <c r="QYJ30" s="1887"/>
      <c r="QYK30" s="1888"/>
      <c r="QYL30" s="1882"/>
      <c r="QYM30" s="1882"/>
      <c r="QYN30" s="1882"/>
      <c r="QYP30" s="1887"/>
      <c r="QYQ30" s="1888"/>
      <c r="QYR30" s="1882"/>
      <c r="QYS30" s="1882"/>
      <c r="QYT30" s="1882"/>
      <c r="QYV30" s="1887"/>
      <c r="QYW30" s="1888"/>
      <c r="QYX30" s="1882"/>
      <c r="QYY30" s="1882"/>
      <c r="QYZ30" s="1882"/>
      <c r="QZB30" s="1887"/>
      <c r="QZC30" s="1888"/>
      <c r="QZD30" s="1882"/>
      <c r="QZE30" s="1882"/>
      <c r="QZF30" s="1882"/>
      <c r="QZH30" s="1887"/>
      <c r="QZI30" s="1888"/>
      <c r="QZJ30" s="1882"/>
      <c r="QZK30" s="1882"/>
      <c r="QZL30" s="1882"/>
      <c r="QZN30" s="1887"/>
      <c r="QZO30" s="1888"/>
      <c r="QZP30" s="1882"/>
      <c r="QZQ30" s="1882"/>
      <c r="QZR30" s="1882"/>
      <c r="QZT30" s="1887"/>
      <c r="QZU30" s="1888"/>
      <c r="QZV30" s="1882"/>
      <c r="QZW30" s="1882"/>
      <c r="QZX30" s="1882"/>
      <c r="QZZ30" s="1887"/>
      <c r="RAA30" s="1888"/>
      <c r="RAB30" s="1882"/>
      <c r="RAC30" s="1882"/>
      <c r="RAD30" s="1882"/>
      <c r="RAF30" s="1887"/>
      <c r="RAG30" s="1888"/>
      <c r="RAH30" s="1882"/>
      <c r="RAI30" s="1882"/>
      <c r="RAJ30" s="1882"/>
      <c r="RAL30" s="1887"/>
      <c r="RAM30" s="1888"/>
      <c r="RAN30" s="1882"/>
      <c r="RAO30" s="1882"/>
      <c r="RAP30" s="1882"/>
      <c r="RAR30" s="1887"/>
      <c r="RAS30" s="1888"/>
      <c r="RAT30" s="1882"/>
      <c r="RAU30" s="1882"/>
      <c r="RAV30" s="1882"/>
      <c r="RAX30" s="1887"/>
      <c r="RAY30" s="1888"/>
      <c r="RAZ30" s="1882"/>
      <c r="RBA30" s="1882"/>
      <c r="RBB30" s="1882"/>
      <c r="RBD30" s="1887"/>
      <c r="RBE30" s="1888"/>
      <c r="RBF30" s="1882"/>
      <c r="RBG30" s="1882"/>
      <c r="RBH30" s="1882"/>
      <c r="RBJ30" s="1887"/>
      <c r="RBK30" s="1888"/>
      <c r="RBL30" s="1882"/>
      <c r="RBM30" s="1882"/>
      <c r="RBN30" s="1882"/>
      <c r="RBP30" s="1887"/>
      <c r="RBQ30" s="1888"/>
      <c r="RBR30" s="1882"/>
      <c r="RBS30" s="1882"/>
      <c r="RBT30" s="1882"/>
      <c r="RBV30" s="1887"/>
      <c r="RBW30" s="1888"/>
      <c r="RBX30" s="1882"/>
      <c r="RBY30" s="1882"/>
      <c r="RBZ30" s="1882"/>
      <c r="RCB30" s="1887"/>
      <c r="RCC30" s="1888"/>
      <c r="RCD30" s="1882"/>
      <c r="RCE30" s="1882"/>
      <c r="RCF30" s="1882"/>
      <c r="RCH30" s="1887"/>
      <c r="RCI30" s="1888"/>
      <c r="RCJ30" s="1882"/>
      <c r="RCK30" s="1882"/>
      <c r="RCL30" s="1882"/>
      <c r="RCN30" s="1887"/>
      <c r="RCO30" s="1888"/>
      <c r="RCP30" s="1882"/>
      <c r="RCQ30" s="1882"/>
      <c r="RCR30" s="1882"/>
      <c r="RCT30" s="1887"/>
      <c r="RCU30" s="1888"/>
      <c r="RCV30" s="1882"/>
      <c r="RCW30" s="1882"/>
      <c r="RCX30" s="1882"/>
      <c r="RCZ30" s="1887"/>
      <c r="RDA30" s="1888"/>
      <c r="RDB30" s="1882"/>
      <c r="RDC30" s="1882"/>
      <c r="RDD30" s="1882"/>
      <c r="RDF30" s="1887"/>
      <c r="RDG30" s="1888"/>
      <c r="RDH30" s="1882"/>
      <c r="RDI30" s="1882"/>
      <c r="RDJ30" s="1882"/>
      <c r="RDL30" s="1887"/>
      <c r="RDM30" s="1888"/>
      <c r="RDN30" s="1882"/>
      <c r="RDO30" s="1882"/>
      <c r="RDP30" s="1882"/>
      <c r="RDR30" s="1887"/>
      <c r="RDS30" s="1888"/>
      <c r="RDT30" s="1882"/>
      <c r="RDU30" s="1882"/>
      <c r="RDV30" s="1882"/>
      <c r="RDX30" s="1887"/>
      <c r="RDY30" s="1888"/>
      <c r="RDZ30" s="1882"/>
      <c r="REA30" s="1882"/>
      <c r="REB30" s="1882"/>
      <c r="RED30" s="1887"/>
      <c r="REE30" s="1888"/>
      <c r="REF30" s="1882"/>
      <c r="REG30" s="1882"/>
      <c r="REH30" s="1882"/>
      <c r="REJ30" s="1887"/>
      <c r="REK30" s="1888"/>
      <c r="REL30" s="1882"/>
      <c r="REM30" s="1882"/>
      <c r="REN30" s="1882"/>
      <c r="REP30" s="1887"/>
      <c r="REQ30" s="1888"/>
      <c r="RER30" s="1882"/>
      <c r="RES30" s="1882"/>
      <c r="RET30" s="1882"/>
      <c r="REV30" s="1887"/>
      <c r="REW30" s="1888"/>
      <c r="REX30" s="1882"/>
      <c r="REY30" s="1882"/>
      <c r="REZ30" s="1882"/>
      <c r="RFB30" s="1887"/>
      <c r="RFC30" s="1888"/>
      <c r="RFD30" s="1882"/>
      <c r="RFE30" s="1882"/>
      <c r="RFF30" s="1882"/>
      <c r="RFH30" s="1887"/>
      <c r="RFI30" s="1888"/>
      <c r="RFJ30" s="1882"/>
      <c r="RFK30" s="1882"/>
      <c r="RFL30" s="1882"/>
      <c r="RFN30" s="1887"/>
      <c r="RFO30" s="1888"/>
      <c r="RFP30" s="1882"/>
      <c r="RFQ30" s="1882"/>
      <c r="RFR30" s="1882"/>
      <c r="RFT30" s="1887"/>
      <c r="RFU30" s="1888"/>
      <c r="RFV30" s="1882"/>
      <c r="RFW30" s="1882"/>
      <c r="RFX30" s="1882"/>
      <c r="RFZ30" s="1887"/>
      <c r="RGA30" s="1888"/>
      <c r="RGB30" s="1882"/>
      <c r="RGC30" s="1882"/>
      <c r="RGD30" s="1882"/>
      <c r="RGF30" s="1887"/>
      <c r="RGG30" s="1888"/>
      <c r="RGH30" s="1882"/>
      <c r="RGI30" s="1882"/>
      <c r="RGJ30" s="1882"/>
      <c r="RGL30" s="1887"/>
      <c r="RGM30" s="1888"/>
      <c r="RGN30" s="1882"/>
      <c r="RGO30" s="1882"/>
      <c r="RGP30" s="1882"/>
      <c r="RGR30" s="1887"/>
      <c r="RGS30" s="1888"/>
      <c r="RGT30" s="1882"/>
      <c r="RGU30" s="1882"/>
      <c r="RGV30" s="1882"/>
      <c r="RGX30" s="1887"/>
      <c r="RGY30" s="1888"/>
      <c r="RGZ30" s="1882"/>
      <c r="RHA30" s="1882"/>
      <c r="RHB30" s="1882"/>
      <c r="RHD30" s="1887"/>
      <c r="RHE30" s="1888"/>
      <c r="RHF30" s="1882"/>
      <c r="RHG30" s="1882"/>
      <c r="RHH30" s="1882"/>
      <c r="RHJ30" s="1887"/>
      <c r="RHK30" s="1888"/>
      <c r="RHL30" s="1882"/>
      <c r="RHM30" s="1882"/>
      <c r="RHN30" s="1882"/>
      <c r="RHP30" s="1887"/>
      <c r="RHQ30" s="1888"/>
      <c r="RHR30" s="1882"/>
      <c r="RHS30" s="1882"/>
      <c r="RHT30" s="1882"/>
      <c r="RHV30" s="1887"/>
      <c r="RHW30" s="1888"/>
      <c r="RHX30" s="1882"/>
      <c r="RHY30" s="1882"/>
      <c r="RHZ30" s="1882"/>
      <c r="RIB30" s="1887"/>
      <c r="RIC30" s="1888"/>
      <c r="RID30" s="1882"/>
      <c r="RIE30" s="1882"/>
      <c r="RIF30" s="1882"/>
      <c r="RIH30" s="1887"/>
      <c r="RII30" s="1888"/>
      <c r="RIJ30" s="1882"/>
      <c r="RIK30" s="1882"/>
      <c r="RIL30" s="1882"/>
      <c r="RIN30" s="1887"/>
      <c r="RIO30" s="1888"/>
      <c r="RIP30" s="1882"/>
      <c r="RIQ30" s="1882"/>
      <c r="RIR30" s="1882"/>
      <c r="RIT30" s="1887"/>
      <c r="RIU30" s="1888"/>
      <c r="RIV30" s="1882"/>
      <c r="RIW30" s="1882"/>
      <c r="RIX30" s="1882"/>
      <c r="RIZ30" s="1887"/>
      <c r="RJA30" s="1888"/>
      <c r="RJB30" s="1882"/>
      <c r="RJC30" s="1882"/>
      <c r="RJD30" s="1882"/>
      <c r="RJF30" s="1887"/>
      <c r="RJG30" s="1888"/>
      <c r="RJH30" s="1882"/>
      <c r="RJI30" s="1882"/>
      <c r="RJJ30" s="1882"/>
      <c r="RJL30" s="1887"/>
      <c r="RJM30" s="1888"/>
      <c r="RJN30" s="1882"/>
      <c r="RJO30" s="1882"/>
      <c r="RJP30" s="1882"/>
      <c r="RJR30" s="1887"/>
      <c r="RJS30" s="1888"/>
      <c r="RJT30" s="1882"/>
      <c r="RJU30" s="1882"/>
      <c r="RJV30" s="1882"/>
      <c r="RJX30" s="1887"/>
      <c r="RJY30" s="1888"/>
      <c r="RJZ30" s="1882"/>
      <c r="RKA30" s="1882"/>
      <c r="RKB30" s="1882"/>
      <c r="RKD30" s="1887"/>
      <c r="RKE30" s="1888"/>
      <c r="RKF30" s="1882"/>
      <c r="RKG30" s="1882"/>
      <c r="RKH30" s="1882"/>
      <c r="RKJ30" s="1887"/>
      <c r="RKK30" s="1888"/>
      <c r="RKL30" s="1882"/>
      <c r="RKM30" s="1882"/>
      <c r="RKN30" s="1882"/>
      <c r="RKP30" s="1887"/>
      <c r="RKQ30" s="1888"/>
      <c r="RKR30" s="1882"/>
      <c r="RKS30" s="1882"/>
      <c r="RKT30" s="1882"/>
      <c r="RKV30" s="1887"/>
      <c r="RKW30" s="1888"/>
      <c r="RKX30" s="1882"/>
      <c r="RKY30" s="1882"/>
      <c r="RKZ30" s="1882"/>
      <c r="RLB30" s="1887"/>
      <c r="RLC30" s="1888"/>
      <c r="RLD30" s="1882"/>
      <c r="RLE30" s="1882"/>
      <c r="RLF30" s="1882"/>
      <c r="RLH30" s="1887"/>
      <c r="RLI30" s="1888"/>
      <c r="RLJ30" s="1882"/>
      <c r="RLK30" s="1882"/>
      <c r="RLL30" s="1882"/>
      <c r="RLN30" s="1887"/>
      <c r="RLO30" s="1888"/>
      <c r="RLP30" s="1882"/>
      <c r="RLQ30" s="1882"/>
      <c r="RLR30" s="1882"/>
      <c r="RLT30" s="1887"/>
      <c r="RLU30" s="1888"/>
      <c r="RLV30" s="1882"/>
      <c r="RLW30" s="1882"/>
      <c r="RLX30" s="1882"/>
      <c r="RLZ30" s="1887"/>
      <c r="RMA30" s="1888"/>
      <c r="RMB30" s="1882"/>
      <c r="RMC30" s="1882"/>
      <c r="RMD30" s="1882"/>
      <c r="RMF30" s="1887"/>
      <c r="RMG30" s="1888"/>
      <c r="RMH30" s="1882"/>
      <c r="RMI30" s="1882"/>
      <c r="RMJ30" s="1882"/>
      <c r="RML30" s="1887"/>
      <c r="RMM30" s="1888"/>
      <c r="RMN30" s="1882"/>
      <c r="RMO30" s="1882"/>
      <c r="RMP30" s="1882"/>
      <c r="RMR30" s="1887"/>
      <c r="RMS30" s="1888"/>
      <c r="RMT30" s="1882"/>
      <c r="RMU30" s="1882"/>
      <c r="RMV30" s="1882"/>
      <c r="RMX30" s="1887"/>
      <c r="RMY30" s="1888"/>
      <c r="RMZ30" s="1882"/>
      <c r="RNA30" s="1882"/>
      <c r="RNB30" s="1882"/>
      <c r="RND30" s="1887"/>
      <c r="RNE30" s="1888"/>
      <c r="RNF30" s="1882"/>
      <c r="RNG30" s="1882"/>
      <c r="RNH30" s="1882"/>
      <c r="RNJ30" s="1887"/>
      <c r="RNK30" s="1888"/>
      <c r="RNL30" s="1882"/>
      <c r="RNM30" s="1882"/>
      <c r="RNN30" s="1882"/>
      <c r="RNP30" s="1887"/>
      <c r="RNQ30" s="1888"/>
      <c r="RNR30" s="1882"/>
      <c r="RNS30" s="1882"/>
      <c r="RNT30" s="1882"/>
      <c r="RNV30" s="1887"/>
      <c r="RNW30" s="1888"/>
      <c r="RNX30" s="1882"/>
      <c r="RNY30" s="1882"/>
      <c r="RNZ30" s="1882"/>
      <c r="ROB30" s="1887"/>
      <c r="ROC30" s="1888"/>
      <c r="ROD30" s="1882"/>
      <c r="ROE30" s="1882"/>
      <c r="ROF30" s="1882"/>
      <c r="ROH30" s="1887"/>
      <c r="ROI30" s="1888"/>
      <c r="ROJ30" s="1882"/>
      <c r="ROK30" s="1882"/>
      <c r="ROL30" s="1882"/>
      <c r="RON30" s="1887"/>
      <c r="ROO30" s="1888"/>
      <c r="ROP30" s="1882"/>
      <c r="ROQ30" s="1882"/>
      <c r="ROR30" s="1882"/>
      <c r="ROT30" s="1887"/>
      <c r="ROU30" s="1888"/>
      <c r="ROV30" s="1882"/>
      <c r="ROW30" s="1882"/>
      <c r="ROX30" s="1882"/>
      <c r="ROZ30" s="1887"/>
      <c r="RPA30" s="1888"/>
      <c r="RPB30" s="1882"/>
      <c r="RPC30" s="1882"/>
      <c r="RPD30" s="1882"/>
      <c r="RPF30" s="1887"/>
      <c r="RPG30" s="1888"/>
      <c r="RPH30" s="1882"/>
      <c r="RPI30" s="1882"/>
      <c r="RPJ30" s="1882"/>
      <c r="RPL30" s="1887"/>
      <c r="RPM30" s="1888"/>
      <c r="RPN30" s="1882"/>
      <c r="RPO30" s="1882"/>
      <c r="RPP30" s="1882"/>
      <c r="RPR30" s="1887"/>
      <c r="RPS30" s="1888"/>
      <c r="RPT30" s="1882"/>
      <c r="RPU30" s="1882"/>
      <c r="RPV30" s="1882"/>
      <c r="RPX30" s="1887"/>
      <c r="RPY30" s="1888"/>
      <c r="RPZ30" s="1882"/>
      <c r="RQA30" s="1882"/>
      <c r="RQB30" s="1882"/>
      <c r="RQD30" s="1887"/>
      <c r="RQE30" s="1888"/>
      <c r="RQF30" s="1882"/>
      <c r="RQG30" s="1882"/>
      <c r="RQH30" s="1882"/>
      <c r="RQJ30" s="1887"/>
      <c r="RQK30" s="1888"/>
      <c r="RQL30" s="1882"/>
      <c r="RQM30" s="1882"/>
      <c r="RQN30" s="1882"/>
      <c r="RQP30" s="1887"/>
      <c r="RQQ30" s="1888"/>
      <c r="RQR30" s="1882"/>
      <c r="RQS30" s="1882"/>
      <c r="RQT30" s="1882"/>
      <c r="RQV30" s="1887"/>
      <c r="RQW30" s="1888"/>
      <c r="RQX30" s="1882"/>
      <c r="RQY30" s="1882"/>
      <c r="RQZ30" s="1882"/>
      <c r="RRB30" s="1887"/>
      <c r="RRC30" s="1888"/>
      <c r="RRD30" s="1882"/>
      <c r="RRE30" s="1882"/>
      <c r="RRF30" s="1882"/>
      <c r="RRH30" s="1887"/>
      <c r="RRI30" s="1888"/>
      <c r="RRJ30" s="1882"/>
      <c r="RRK30" s="1882"/>
      <c r="RRL30" s="1882"/>
      <c r="RRN30" s="1887"/>
      <c r="RRO30" s="1888"/>
      <c r="RRP30" s="1882"/>
      <c r="RRQ30" s="1882"/>
      <c r="RRR30" s="1882"/>
      <c r="RRT30" s="1887"/>
      <c r="RRU30" s="1888"/>
      <c r="RRV30" s="1882"/>
      <c r="RRW30" s="1882"/>
      <c r="RRX30" s="1882"/>
      <c r="RRZ30" s="1887"/>
      <c r="RSA30" s="1888"/>
      <c r="RSB30" s="1882"/>
      <c r="RSC30" s="1882"/>
      <c r="RSD30" s="1882"/>
      <c r="RSF30" s="1887"/>
      <c r="RSG30" s="1888"/>
      <c r="RSH30" s="1882"/>
      <c r="RSI30" s="1882"/>
      <c r="RSJ30" s="1882"/>
      <c r="RSL30" s="1887"/>
      <c r="RSM30" s="1888"/>
      <c r="RSN30" s="1882"/>
      <c r="RSO30" s="1882"/>
      <c r="RSP30" s="1882"/>
      <c r="RSR30" s="1887"/>
      <c r="RSS30" s="1888"/>
      <c r="RST30" s="1882"/>
      <c r="RSU30" s="1882"/>
      <c r="RSV30" s="1882"/>
      <c r="RSX30" s="1887"/>
      <c r="RSY30" s="1888"/>
      <c r="RSZ30" s="1882"/>
      <c r="RTA30" s="1882"/>
      <c r="RTB30" s="1882"/>
      <c r="RTD30" s="1887"/>
      <c r="RTE30" s="1888"/>
      <c r="RTF30" s="1882"/>
      <c r="RTG30" s="1882"/>
      <c r="RTH30" s="1882"/>
      <c r="RTJ30" s="1887"/>
      <c r="RTK30" s="1888"/>
      <c r="RTL30" s="1882"/>
      <c r="RTM30" s="1882"/>
      <c r="RTN30" s="1882"/>
      <c r="RTP30" s="1887"/>
      <c r="RTQ30" s="1888"/>
      <c r="RTR30" s="1882"/>
      <c r="RTS30" s="1882"/>
      <c r="RTT30" s="1882"/>
      <c r="RTV30" s="1887"/>
      <c r="RTW30" s="1888"/>
      <c r="RTX30" s="1882"/>
      <c r="RTY30" s="1882"/>
      <c r="RTZ30" s="1882"/>
      <c r="RUB30" s="1887"/>
      <c r="RUC30" s="1888"/>
      <c r="RUD30" s="1882"/>
      <c r="RUE30" s="1882"/>
      <c r="RUF30" s="1882"/>
      <c r="RUH30" s="1887"/>
      <c r="RUI30" s="1888"/>
      <c r="RUJ30" s="1882"/>
      <c r="RUK30" s="1882"/>
      <c r="RUL30" s="1882"/>
      <c r="RUN30" s="1887"/>
      <c r="RUO30" s="1888"/>
      <c r="RUP30" s="1882"/>
      <c r="RUQ30" s="1882"/>
      <c r="RUR30" s="1882"/>
      <c r="RUT30" s="1887"/>
      <c r="RUU30" s="1888"/>
      <c r="RUV30" s="1882"/>
      <c r="RUW30" s="1882"/>
      <c r="RUX30" s="1882"/>
      <c r="RUZ30" s="1887"/>
      <c r="RVA30" s="1888"/>
      <c r="RVB30" s="1882"/>
      <c r="RVC30" s="1882"/>
      <c r="RVD30" s="1882"/>
      <c r="RVF30" s="1887"/>
      <c r="RVG30" s="1888"/>
      <c r="RVH30" s="1882"/>
      <c r="RVI30" s="1882"/>
      <c r="RVJ30" s="1882"/>
      <c r="RVL30" s="1887"/>
      <c r="RVM30" s="1888"/>
      <c r="RVN30" s="1882"/>
      <c r="RVO30" s="1882"/>
      <c r="RVP30" s="1882"/>
      <c r="RVR30" s="1887"/>
      <c r="RVS30" s="1888"/>
      <c r="RVT30" s="1882"/>
      <c r="RVU30" s="1882"/>
      <c r="RVV30" s="1882"/>
      <c r="RVX30" s="1887"/>
      <c r="RVY30" s="1888"/>
      <c r="RVZ30" s="1882"/>
      <c r="RWA30" s="1882"/>
      <c r="RWB30" s="1882"/>
      <c r="RWD30" s="1887"/>
      <c r="RWE30" s="1888"/>
      <c r="RWF30" s="1882"/>
      <c r="RWG30" s="1882"/>
      <c r="RWH30" s="1882"/>
      <c r="RWJ30" s="1887"/>
      <c r="RWK30" s="1888"/>
      <c r="RWL30" s="1882"/>
      <c r="RWM30" s="1882"/>
      <c r="RWN30" s="1882"/>
      <c r="RWP30" s="1887"/>
      <c r="RWQ30" s="1888"/>
      <c r="RWR30" s="1882"/>
      <c r="RWS30" s="1882"/>
      <c r="RWT30" s="1882"/>
      <c r="RWV30" s="1887"/>
      <c r="RWW30" s="1888"/>
      <c r="RWX30" s="1882"/>
      <c r="RWY30" s="1882"/>
      <c r="RWZ30" s="1882"/>
      <c r="RXB30" s="1887"/>
      <c r="RXC30" s="1888"/>
      <c r="RXD30" s="1882"/>
      <c r="RXE30" s="1882"/>
      <c r="RXF30" s="1882"/>
      <c r="RXH30" s="1887"/>
      <c r="RXI30" s="1888"/>
      <c r="RXJ30" s="1882"/>
      <c r="RXK30" s="1882"/>
      <c r="RXL30" s="1882"/>
      <c r="RXN30" s="1887"/>
      <c r="RXO30" s="1888"/>
      <c r="RXP30" s="1882"/>
      <c r="RXQ30" s="1882"/>
      <c r="RXR30" s="1882"/>
      <c r="RXT30" s="1887"/>
      <c r="RXU30" s="1888"/>
      <c r="RXV30" s="1882"/>
      <c r="RXW30" s="1882"/>
      <c r="RXX30" s="1882"/>
      <c r="RXZ30" s="1887"/>
      <c r="RYA30" s="1888"/>
      <c r="RYB30" s="1882"/>
      <c r="RYC30" s="1882"/>
      <c r="RYD30" s="1882"/>
      <c r="RYF30" s="1887"/>
      <c r="RYG30" s="1888"/>
      <c r="RYH30" s="1882"/>
      <c r="RYI30" s="1882"/>
      <c r="RYJ30" s="1882"/>
      <c r="RYL30" s="1887"/>
      <c r="RYM30" s="1888"/>
      <c r="RYN30" s="1882"/>
      <c r="RYO30" s="1882"/>
      <c r="RYP30" s="1882"/>
      <c r="RYR30" s="1887"/>
      <c r="RYS30" s="1888"/>
      <c r="RYT30" s="1882"/>
      <c r="RYU30" s="1882"/>
      <c r="RYV30" s="1882"/>
      <c r="RYX30" s="1887"/>
      <c r="RYY30" s="1888"/>
      <c r="RYZ30" s="1882"/>
      <c r="RZA30" s="1882"/>
      <c r="RZB30" s="1882"/>
      <c r="RZD30" s="1887"/>
      <c r="RZE30" s="1888"/>
      <c r="RZF30" s="1882"/>
      <c r="RZG30" s="1882"/>
      <c r="RZH30" s="1882"/>
      <c r="RZJ30" s="1887"/>
      <c r="RZK30" s="1888"/>
      <c r="RZL30" s="1882"/>
      <c r="RZM30" s="1882"/>
      <c r="RZN30" s="1882"/>
      <c r="RZP30" s="1887"/>
      <c r="RZQ30" s="1888"/>
      <c r="RZR30" s="1882"/>
      <c r="RZS30" s="1882"/>
      <c r="RZT30" s="1882"/>
      <c r="RZV30" s="1887"/>
      <c r="RZW30" s="1888"/>
      <c r="RZX30" s="1882"/>
      <c r="RZY30" s="1882"/>
      <c r="RZZ30" s="1882"/>
      <c r="SAB30" s="1887"/>
      <c r="SAC30" s="1888"/>
      <c r="SAD30" s="1882"/>
      <c r="SAE30" s="1882"/>
      <c r="SAF30" s="1882"/>
      <c r="SAH30" s="1887"/>
      <c r="SAI30" s="1888"/>
      <c r="SAJ30" s="1882"/>
      <c r="SAK30" s="1882"/>
      <c r="SAL30" s="1882"/>
      <c r="SAN30" s="1887"/>
      <c r="SAO30" s="1888"/>
      <c r="SAP30" s="1882"/>
      <c r="SAQ30" s="1882"/>
      <c r="SAR30" s="1882"/>
      <c r="SAT30" s="1887"/>
      <c r="SAU30" s="1888"/>
      <c r="SAV30" s="1882"/>
      <c r="SAW30" s="1882"/>
      <c r="SAX30" s="1882"/>
      <c r="SAZ30" s="1887"/>
      <c r="SBA30" s="1888"/>
      <c r="SBB30" s="1882"/>
      <c r="SBC30" s="1882"/>
      <c r="SBD30" s="1882"/>
      <c r="SBF30" s="1887"/>
      <c r="SBG30" s="1888"/>
      <c r="SBH30" s="1882"/>
      <c r="SBI30" s="1882"/>
      <c r="SBJ30" s="1882"/>
      <c r="SBL30" s="1887"/>
      <c r="SBM30" s="1888"/>
      <c r="SBN30" s="1882"/>
      <c r="SBO30" s="1882"/>
      <c r="SBP30" s="1882"/>
      <c r="SBR30" s="1887"/>
      <c r="SBS30" s="1888"/>
      <c r="SBT30" s="1882"/>
      <c r="SBU30" s="1882"/>
      <c r="SBV30" s="1882"/>
      <c r="SBX30" s="1887"/>
      <c r="SBY30" s="1888"/>
      <c r="SBZ30" s="1882"/>
      <c r="SCA30" s="1882"/>
      <c r="SCB30" s="1882"/>
      <c r="SCD30" s="1887"/>
      <c r="SCE30" s="1888"/>
      <c r="SCF30" s="1882"/>
      <c r="SCG30" s="1882"/>
      <c r="SCH30" s="1882"/>
      <c r="SCJ30" s="1887"/>
      <c r="SCK30" s="1888"/>
      <c r="SCL30" s="1882"/>
      <c r="SCM30" s="1882"/>
      <c r="SCN30" s="1882"/>
      <c r="SCP30" s="1887"/>
      <c r="SCQ30" s="1888"/>
      <c r="SCR30" s="1882"/>
      <c r="SCS30" s="1882"/>
      <c r="SCT30" s="1882"/>
      <c r="SCV30" s="1887"/>
      <c r="SCW30" s="1888"/>
      <c r="SCX30" s="1882"/>
      <c r="SCY30" s="1882"/>
      <c r="SCZ30" s="1882"/>
      <c r="SDB30" s="1887"/>
      <c r="SDC30" s="1888"/>
      <c r="SDD30" s="1882"/>
      <c r="SDE30" s="1882"/>
      <c r="SDF30" s="1882"/>
      <c r="SDH30" s="1887"/>
      <c r="SDI30" s="1888"/>
      <c r="SDJ30" s="1882"/>
      <c r="SDK30" s="1882"/>
      <c r="SDL30" s="1882"/>
      <c r="SDN30" s="1887"/>
      <c r="SDO30" s="1888"/>
      <c r="SDP30" s="1882"/>
      <c r="SDQ30" s="1882"/>
      <c r="SDR30" s="1882"/>
      <c r="SDT30" s="1887"/>
      <c r="SDU30" s="1888"/>
      <c r="SDV30" s="1882"/>
      <c r="SDW30" s="1882"/>
      <c r="SDX30" s="1882"/>
      <c r="SDZ30" s="1887"/>
      <c r="SEA30" s="1888"/>
      <c r="SEB30" s="1882"/>
      <c r="SEC30" s="1882"/>
      <c r="SED30" s="1882"/>
      <c r="SEF30" s="1887"/>
      <c r="SEG30" s="1888"/>
      <c r="SEH30" s="1882"/>
      <c r="SEI30" s="1882"/>
      <c r="SEJ30" s="1882"/>
      <c r="SEL30" s="1887"/>
      <c r="SEM30" s="1888"/>
      <c r="SEN30" s="1882"/>
      <c r="SEO30" s="1882"/>
      <c r="SEP30" s="1882"/>
      <c r="SER30" s="1887"/>
      <c r="SES30" s="1888"/>
      <c r="SET30" s="1882"/>
      <c r="SEU30" s="1882"/>
      <c r="SEV30" s="1882"/>
      <c r="SEX30" s="1887"/>
      <c r="SEY30" s="1888"/>
      <c r="SEZ30" s="1882"/>
      <c r="SFA30" s="1882"/>
      <c r="SFB30" s="1882"/>
      <c r="SFD30" s="1887"/>
      <c r="SFE30" s="1888"/>
      <c r="SFF30" s="1882"/>
      <c r="SFG30" s="1882"/>
      <c r="SFH30" s="1882"/>
      <c r="SFJ30" s="1887"/>
      <c r="SFK30" s="1888"/>
      <c r="SFL30" s="1882"/>
      <c r="SFM30" s="1882"/>
      <c r="SFN30" s="1882"/>
      <c r="SFP30" s="1887"/>
      <c r="SFQ30" s="1888"/>
      <c r="SFR30" s="1882"/>
      <c r="SFS30" s="1882"/>
      <c r="SFT30" s="1882"/>
      <c r="SFV30" s="1887"/>
      <c r="SFW30" s="1888"/>
      <c r="SFX30" s="1882"/>
      <c r="SFY30" s="1882"/>
      <c r="SFZ30" s="1882"/>
      <c r="SGB30" s="1887"/>
      <c r="SGC30" s="1888"/>
      <c r="SGD30" s="1882"/>
      <c r="SGE30" s="1882"/>
      <c r="SGF30" s="1882"/>
      <c r="SGH30" s="1887"/>
      <c r="SGI30" s="1888"/>
      <c r="SGJ30" s="1882"/>
      <c r="SGK30" s="1882"/>
      <c r="SGL30" s="1882"/>
      <c r="SGN30" s="1887"/>
      <c r="SGO30" s="1888"/>
      <c r="SGP30" s="1882"/>
      <c r="SGQ30" s="1882"/>
      <c r="SGR30" s="1882"/>
      <c r="SGT30" s="1887"/>
      <c r="SGU30" s="1888"/>
      <c r="SGV30" s="1882"/>
      <c r="SGW30" s="1882"/>
      <c r="SGX30" s="1882"/>
      <c r="SGZ30" s="1887"/>
      <c r="SHA30" s="1888"/>
      <c r="SHB30" s="1882"/>
      <c r="SHC30" s="1882"/>
      <c r="SHD30" s="1882"/>
      <c r="SHF30" s="1887"/>
      <c r="SHG30" s="1888"/>
      <c r="SHH30" s="1882"/>
      <c r="SHI30" s="1882"/>
      <c r="SHJ30" s="1882"/>
      <c r="SHL30" s="1887"/>
      <c r="SHM30" s="1888"/>
      <c r="SHN30" s="1882"/>
      <c r="SHO30" s="1882"/>
      <c r="SHP30" s="1882"/>
      <c r="SHR30" s="1887"/>
      <c r="SHS30" s="1888"/>
      <c r="SHT30" s="1882"/>
      <c r="SHU30" s="1882"/>
      <c r="SHV30" s="1882"/>
      <c r="SHX30" s="1887"/>
      <c r="SHY30" s="1888"/>
      <c r="SHZ30" s="1882"/>
      <c r="SIA30" s="1882"/>
      <c r="SIB30" s="1882"/>
      <c r="SID30" s="1887"/>
      <c r="SIE30" s="1888"/>
      <c r="SIF30" s="1882"/>
      <c r="SIG30" s="1882"/>
      <c r="SIH30" s="1882"/>
      <c r="SIJ30" s="1887"/>
      <c r="SIK30" s="1888"/>
      <c r="SIL30" s="1882"/>
      <c r="SIM30" s="1882"/>
      <c r="SIN30" s="1882"/>
      <c r="SIP30" s="1887"/>
      <c r="SIQ30" s="1888"/>
      <c r="SIR30" s="1882"/>
      <c r="SIS30" s="1882"/>
      <c r="SIT30" s="1882"/>
      <c r="SIV30" s="1887"/>
      <c r="SIW30" s="1888"/>
      <c r="SIX30" s="1882"/>
      <c r="SIY30" s="1882"/>
      <c r="SIZ30" s="1882"/>
      <c r="SJB30" s="1887"/>
      <c r="SJC30" s="1888"/>
      <c r="SJD30" s="1882"/>
      <c r="SJE30" s="1882"/>
      <c r="SJF30" s="1882"/>
      <c r="SJH30" s="1887"/>
      <c r="SJI30" s="1888"/>
      <c r="SJJ30" s="1882"/>
      <c r="SJK30" s="1882"/>
      <c r="SJL30" s="1882"/>
      <c r="SJN30" s="1887"/>
      <c r="SJO30" s="1888"/>
      <c r="SJP30" s="1882"/>
      <c r="SJQ30" s="1882"/>
      <c r="SJR30" s="1882"/>
      <c r="SJT30" s="1887"/>
      <c r="SJU30" s="1888"/>
      <c r="SJV30" s="1882"/>
      <c r="SJW30" s="1882"/>
      <c r="SJX30" s="1882"/>
      <c r="SJZ30" s="1887"/>
      <c r="SKA30" s="1888"/>
      <c r="SKB30" s="1882"/>
      <c r="SKC30" s="1882"/>
      <c r="SKD30" s="1882"/>
      <c r="SKF30" s="1887"/>
      <c r="SKG30" s="1888"/>
      <c r="SKH30" s="1882"/>
      <c r="SKI30" s="1882"/>
      <c r="SKJ30" s="1882"/>
      <c r="SKL30" s="1887"/>
      <c r="SKM30" s="1888"/>
      <c r="SKN30" s="1882"/>
      <c r="SKO30" s="1882"/>
      <c r="SKP30" s="1882"/>
      <c r="SKR30" s="1887"/>
      <c r="SKS30" s="1888"/>
      <c r="SKT30" s="1882"/>
      <c r="SKU30" s="1882"/>
      <c r="SKV30" s="1882"/>
      <c r="SKX30" s="1887"/>
      <c r="SKY30" s="1888"/>
      <c r="SKZ30" s="1882"/>
      <c r="SLA30" s="1882"/>
      <c r="SLB30" s="1882"/>
      <c r="SLD30" s="1887"/>
      <c r="SLE30" s="1888"/>
      <c r="SLF30" s="1882"/>
      <c r="SLG30" s="1882"/>
      <c r="SLH30" s="1882"/>
      <c r="SLJ30" s="1887"/>
      <c r="SLK30" s="1888"/>
      <c r="SLL30" s="1882"/>
      <c r="SLM30" s="1882"/>
      <c r="SLN30" s="1882"/>
      <c r="SLP30" s="1887"/>
      <c r="SLQ30" s="1888"/>
      <c r="SLR30" s="1882"/>
      <c r="SLS30" s="1882"/>
      <c r="SLT30" s="1882"/>
      <c r="SLV30" s="1887"/>
      <c r="SLW30" s="1888"/>
      <c r="SLX30" s="1882"/>
      <c r="SLY30" s="1882"/>
      <c r="SLZ30" s="1882"/>
      <c r="SMB30" s="1887"/>
      <c r="SMC30" s="1888"/>
      <c r="SMD30" s="1882"/>
      <c r="SME30" s="1882"/>
      <c r="SMF30" s="1882"/>
      <c r="SMH30" s="1887"/>
      <c r="SMI30" s="1888"/>
      <c r="SMJ30" s="1882"/>
      <c r="SMK30" s="1882"/>
      <c r="SML30" s="1882"/>
      <c r="SMN30" s="1887"/>
      <c r="SMO30" s="1888"/>
      <c r="SMP30" s="1882"/>
      <c r="SMQ30" s="1882"/>
      <c r="SMR30" s="1882"/>
      <c r="SMT30" s="1887"/>
      <c r="SMU30" s="1888"/>
      <c r="SMV30" s="1882"/>
      <c r="SMW30" s="1882"/>
      <c r="SMX30" s="1882"/>
      <c r="SMZ30" s="1887"/>
      <c r="SNA30" s="1888"/>
      <c r="SNB30" s="1882"/>
      <c r="SNC30" s="1882"/>
      <c r="SND30" s="1882"/>
      <c r="SNF30" s="1887"/>
      <c r="SNG30" s="1888"/>
      <c r="SNH30" s="1882"/>
      <c r="SNI30" s="1882"/>
      <c r="SNJ30" s="1882"/>
      <c r="SNL30" s="1887"/>
      <c r="SNM30" s="1888"/>
      <c r="SNN30" s="1882"/>
      <c r="SNO30" s="1882"/>
      <c r="SNP30" s="1882"/>
      <c r="SNR30" s="1887"/>
      <c r="SNS30" s="1888"/>
      <c r="SNT30" s="1882"/>
      <c r="SNU30" s="1882"/>
      <c r="SNV30" s="1882"/>
      <c r="SNX30" s="1887"/>
      <c r="SNY30" s="1888"/>
      <c r="SNZ30" s="1882"/>
      <c r="SOA30" s="1882"/>
      <c r="SOB30" s="1882"/>
      <c r="SOD30" s="1887"/>
      <c r="SOE30" s="1888"/>
      <c r="SOF30" s="1882"/>
      <c r="SOG30" s="1882"/>
      <c r="SOH30" s="1882"/>
      <c r="SOJ30" s="1887"/>
      <c r="SOK30" s="1888"/>
      <c r="SOL30" s="1882"/>
      <c r="SOM30" s="1882"/>
      <c r="SON30" s="1882"/>
      <c r="SOP30" s="1887"/>
      <c r="SOQ30" s="1888"/>
      <c r="SOR30" s="1882"/>
      <c r="SOS30" s="1882"/>
      <c r="SOT30" s="1882"/>
      <c r="SOV30" s="1887"/>
      <c r="SOW30" s="1888"/>
      <c r="SOX30" s="1882"/>
      <c r="SOY30" s="1882"/>
      <c r="SOZ30" s="1882"/>
      <c r="SPB30" s="1887"/>
      <c r="SPC30" s="1888"/>
      <c r="SPD30" s="1882"/>
      <c r="SPE30" s="1882"/>
      <c r="SPF30" s="1882"/>
      <c r="SPH30" s="1887"/>
      <c r="SPI30" s="1888"/>
      <c r="SPJ30" s="1882"/>
      <c r="SPK30" s="1882"/>
      <c r="SPL30" s="1882"/>
      <c r="SPN30" s="1887"/>
      <c r="SPO30" s="1888"/>
      <c r="SPP30" s="1882"/>
      <c r="SPQ30" s="1882"/>
      <c r="SPR30" s="1882"/>
      <c r="SPT30" s="1887"/>
      <c r="SPU30" s="1888"/>
      <c r="SPV30" s="1882"/>
      <c r="SPW30" s="1882"/>
      <c r="SPX30" s="1882"/>
      <c r="SPZ30" s="1887"/>
      <c r="SQA30" s="1888"/>
      <c r="SQB30" s="1882"/>
      <c r="SQC30" s="1882"/>
      <c r="SQD30" s="1882"/>
      <c r="SQF30" s="1887"/>
      <c r="SQG30" s="1888"/>
      <c r="SQH30" s="1882"/>
      <c r="SQI30" s="1882"/>
      <c r="SQJ30" s="1882"/>
      <c r="SQL30" s="1887"/>
      <c r="SQM30" s="1888"/>
      <c r="SQN30" s="1882"/>
      <c r="SQO30" s="1882"/>
      <c r="SQP30" s="1882"/>
      <c r="SQR30" s="1887"/>
      <c r="SQS30" s="1888"/>
      <c r="SQT30" s="1882"/>
      <c r="SQU30" s="1882"/>
      <c r="SQV30" s="1882"/>
      <c r="SQX30" s="1887"/>
      <c r="SQY30" s="1888"/>
      <c r="SQZ30" s="1882"/>
      <c r="SRA30" s="1882"/>
      <c r="SRB30" s="1882"/>
      <c r="SRD30" s="1887"/>
      <c r="SRE30" s="1888"/>
      <c r="SRF30" s="1882"/>
      <c r="SRG30" s="1882"/>
      <c r="SRH30" s="1882"/>
      <c r="SRJ30" s="1887"/>
      <c r="SRK30" s="1888"/>
      <c r="SRL30" s="1882"/>
      <c r="SRM30" s="1882"/>
      <c r="SRN30" s="1882"/>
      <c r="SRP30" s="1887"/>
      <c r="SRQ30" s="1888"/>
      <c r="SRR30" s="1882"/>
      <c r="SRS30" s="1882"/>
      <c r="SRT30" s="1882"/>
      <c r="SRV30" s="1887"/>
      <c r="SRW30" s="1888"/>
      <c r="SRX30" s="1882"/>
      <c r="SRY30" s="1882"/>
      <c r="SRZ30" s="1882"/>
      <c r="SSB30" s="1887"/>
      <c r="SSC30" s="1888"/>
      <c r="SSD30" s="1882"/>
      <c r="SSE30" s="1882"/>
      <c r="SSF30" s="1882"/>
      <c r="SSH30" s="1887"/>
      <c r="SSI30" s="1888"/>
      <c r="SSJ30" s="1882"/>
      <c r="SSK30" s="1882"/>
      <c r="SSL30" s="1882"/>
      <c r="SSN30" s="1887"/>
      <c r="SSO30" s="1888"/>
      <c r="SSP30" s="1882"/>
      <c r="SSQ30" s="1882"/>
      <c r="SSR30" s="1882"/>
      <c r="SST30" s="1887"/>
      <c r="SSU30" s="1888"/>
      <c r="SSV30" s="1882"/>
      <c r="SSW30" s="1882"/>
      <c r="SSX30" s="1882"/>
      <c r="SSZ30" s="1887"/>
      <c r="STA30" s="1888"/>
      <c r="STB30" s="1882"/>
      <c r="STC30" s="1882"/>
      <c r="STD30" s="1882"/>
      <c r="STF30" s="1887"/>
      <c r="STG30" s="1888"/>
      <c r="STH30" s="1882"/>
      <c r="STI30" s="1882"/>
      <c r="STJ30" s="1882"/>
      <c r="STL30" s="1887"/>
      <c r="STM30" s="1888"/>
      <c r="STN30" s="1882"/>
      <c r="STO30" s="1882"/>
      <c r="STP30" s="1882"/>
      <c r="STR30" s="1887"/>
      <c r="STS30" s="1888"/>
      <c r="STT30" s="1882"/>
      <c r="STU30" s="1882"/>
      <c r="STV30" s="1882"/>
      <c r="STX30" s="1887"/>
      <c r="STY30" s="1888"/>
      <c r="STZ30" s="1882"/>
      <c r="SUA30" s="1882"/>
      <c r="SUB30" s="1882"/>
      <c r="SUD30" s="1887"/>
      <c r="SUE30" s="1888"/>
      <c r="SUF30" s="1882"/>
      <c r="SUG30" s="1882"/>
      <c r="SUH30" s="1882"/>
      <c r="SUJ30" s="1887"/>
      <c r="SUK30" s="1888"/>
      <c r="SUL30" s="1882"/>
      <c r="SUM30" s="1882"/>
      <c r="SUN30" s="1882"/>
      <c r="SUP30" s="1887"/>
      <c r="SUQ30" s="1888"/>
      <c r="SUR30" s="1882"/>
      <c r="SUS30" s="1882"/>
      <c r="SUT30" s="1882"/>
      <c r="SUV30" s="1887"/>
      <c r="SUW30" s="1888"/>
      <c r="SUX30" s="1882"/>
      <c r="SUY30" s="1882"/>
      <c r="SUZ30" s="1882"/>
      <c r="SVB30" s="1887"/>
      <c r="SVC30" s="1888"/>
      <c r="SVD30" s="1882"/>
      <c r="SVE30" s="1882"/>
      <c r="SVF30" s="1882"/>
      <c r="SVH30" s="1887"/>
      <c r="SVI30" s="1888"/>
      <c r="SVJ30" s="1882"/>
      <c r="SVK30" s="1882"/>
      <c r="SVL30" s="1882"/>
      <c r="SVN30" s="1887"/>
      <c r="SVO30" s="1888"/>
      <c r="SVP30" s="1882"/>
      <c r="SVQ30" s="1882"/>
      <c r="SVR30" s="1882"/>
      <c r="SVT30" s="1887"/>
      <c r="SVU30" s="1888"/>
      <c r="SVV30" s="1882"/>
      <c r="SVW30" s="1882"/>
      <c r="SVX30" s="1882"/>
      <c r="SVZ30" s="1887"/>
      <c r="SWA30" s="1888"/>
      <c r="SWB30" s="1882"/>
      <c r="SWC30" s="1882"/>
      <c r="SWD30" s="1882"/>
      <c r="SWF30" s="1887"/>
      <c r="SWG30" s="1888"/>
      <c r="SWH30" s="1882"/>
      <c r="SWI30" s="1882"/>
      <c r="SWJ30" s="1882"/>
      <c r="SWL30" s="1887"/>
      <c r="SWM30" s="1888"/>
      <c r="SWN30" s="1882"/>
      <c r="SWO30" s="1882"/>
      <c r="SWP30" s="1882"/>
      <c r="SWR30" s="1887"/>
      <c r="SWS30" s="1888"/>
      <c r="SWT30" s="1882"/>
      <c r="SWU30" s="1882"/>
      <c r="SWV30" s="1882"/>
      <c r="SWX30" s="1887"/>
      <c r="SWY30" s="1888"/>
      <c r="SWZ30" s="1882"/>
      <c r="SXA30" s="1882"/>
      <c r="SXB30" s="1882"/>
      <c r="SXD30" s="1887"/>
      <c r="SXE30" s="1888"/>
      <c r="SXF30" s="1882"/>
      <c r="SXG30" s="1882"/>
      <c r="SXH30" s="1882"/>
      <c r="SXJ30" s="1887"/>
      <c r="SXK30" s="1888"/>
      <c r="SXL30" s="1882"/>
      <c r="SXM30" s="1882"/>
      <c r="SXN30" s="1882"/>
      <c r="SXP30" s="1887"/>
      <c r="SXQ30" s="1888"/>
      <c r="SXR30" s="1882"/>
      <c r="SXS30" s="1882"/>
      <c r="SXT30" s="1882"/>
      <c r="SXV30" s="1887"/>
      <c r="SXW30" s="1888"/>
      <c r="SXX30" s="1882"/>
      <c r="SXY30" s="1882"/>
      <c r="SXZ30" s="1882"/>
      <c r="SYB30" s="1887"/>
      <c r="SYC30" s="1888"/>
      <c r="SYD30" s="1882"/>
      <c r="SYE30" s="1882"/>
      <c r="SYF30" s="1882"/>
      <c r="SYH30" s="1887"/>
      <c r="SYI30" s="1888"/>
      <c r="SYJ30" s="1882"/>
      <c r="SYK30" s="1882"/>
      <c r="SYL30" s="1882"/>
      <c r="SYN30" s="1887"/>
      <c r="SYO30" s="1888"/>
      <c r="SYP30" s="1882"/>
      <c r="SYQ30" s="1882"/>
      <c r="SYR30" s="1882"/>
      <c r="SYT30" s="1887"/>
      <c r="SYU30" s="1888"/>
      <c r="SYV30" s="1882"/>
      <c r="SYW30" s="1882"/>
      <c r="SYX30" s="1882"/>
      <c r="SYZ30" s="1887"/>
      <c r="SZA30" s="1888"/>
      <c r="SZB30" s="1882"/>
      <c r="SZC30" s="1882"/>
      <c r="SZD30" s="1882"/>
      <c r="SZF30" s="1887"/>
      <c r="SZG30" s="1888"/>
      <c r="SZH30" s="1882"/>
      <c r="SZI30" s="1882"/>
      <c r="SZJ30" s="1882"/>
      <c r="SZL30" s="1887"/>
      <c r="SZM30" s="1888"/>
      <c r="SZN30" s="1882"/>
      <c r="SZO30" s="1882"/>
      <c r="SZP30" s="1882"/>
      <c r="SZR30" s="1887"/>
      <c r="SZS30" s="1888"/>
      <c r="SZT30" s="1882"/>
      <c r="SZU30" s="1882"/>
      <c r="SZV30" s="1882"/>
      <c r="SZX30" s="1887"/>
      <c r="SZY30" s="1888"/>
      <c r="SZZ30" s="1882"/>
      <c r="TAA30" s="1882"/>
      <c r="TAB30" s="1882"/>
      <c r="TAD30" s="1887"/>
      <c r="TAE30" s="1888"/>
      <c r="TAF30" s="1882"/>
      <c r="TAG30" s="1882"/>
      <c r="TAH30" s="1882"/>
      <c r="TAJ30" s="1887"/>
      <c r="TAK30" s="1888"/>
      <c r="TAL30" s="1882"/>
      <c r="TAM30" s="1882"/>
      <c r="TAN30" s="1882"/>
      <c r="TAP30" s="1887"/>
      <c r="TAQ30" s="1888"/>
      <c r="TAR30" s="1882"/>
      <c r="TAS30" s="1882"/>
      <c r="TAT30" s="1882"/>
      <c r="TAV30" s="1887"/>
      <c r="TAW30" s="1888"/>
      <c r="TAX30" s="1882"/>
      <c r="TAY30" s="1882"/>
      <c r="TAZ30" s="1882"/>
      <c r="TBB30" s="1887"/>
      <c r="TBC30" s="1888"/>
      <c r="TBD30" s="1882"/>
      <c r="TBE30" s="1882"/>
      <c r="TBF30" s="1882"/>
      <c r="TBH30" s="1887"/>
      <c r="TBI30" s="1888"/>
      <c r="TBJ30" s="1882"/>
      <c r="TBK30" s="1882"/>
      <c r="TBL30" s="1882"/>
      <c r="TBN30" s="1887"/>
      <c r="TBO30" s="1888"/>
      <c r="TBP30" s="1882"/>
      <c r="TBQ30" s="1882"/>
      <c r="TBR30" s="1882"/>
      <c r="TBT30" s="1887"/>
      <c r="TBU30" s="1888"/>
      <c r="TBV30" s="1882"/>
      <c r="TBW30" s="1882"/>
      <c r="TBX30" s="1882"/>
      <c r="TBZ30" s="1887"/>
      <c r="TCA30" s="1888"/>
      <c r="TCB30" s="1882"/>
      <c r="TCC30" s="1882"/>
      <c r="TCD30" s="1882"/>
      <c r="TCF30" s="1887"/>
      <c r="TCG30" s="1888"/>
      <c r="TCH30" s="1882"/>
      <c r="TCI30" s="1882"/>
      <c r="TCJ30" s="1882"/>
      <c r="TCL30" s="1887"/>
      <c r="TCM30" s="1888"/>
      <c r="TCN30" s="1882"/>
      <c r="TCO30" s="1882"/>
      <c r="TCP30" s="1882"/>
      <c r="TCR30" s="1887"/>
      <c r="TCS30" s="1888"/>
      <c r="TCT30" s="1882"/>
      <c r="TCU30" s="1882"/>
      <c r="TCV30" s="1882"/>
      <c r="TCX30" s="1887"/>
      <c r="TCY30" s="1888"/>
      <c r="TCZ30" s="1882"/>
      <c r="TDA30" s="1882"/>
      <c r="TDB30" s="1882"/>
      <c r="TDD30" s="1887"/>
      <c r="TDE30" s="1888"/>
      <c r="TDF30" s="1882"/>
      <c r="TDG30" s="1882"/>
      <c r="TDH30" s="1882"/>
      <c r="TDJ30" s="1887"/>
      <c r="TDK30" s="1888"/>
      <c r="TDL30" s="1882"/>
      <c r="TDM30" s="1882"/>
      <c r="TDN30" s="1882"/>
      <c r="TDP30" s="1887"/>
      <c r="TDQ30" s="1888"/>
      <c r="TDR30" s="1882"/>
      <c r="TDS30" s="1882"/>
      <c r="TDT30" s="1882"/>
      <c r="TDV30" s="1887"/>
      <c r="TDW30" s="1888"/>
      <c r="TDX30" s="1882"/>
      <c r="TDY30" s="1882"/>
      <c r="TDZ30" s="1882"/>
      <c r="TEB30" s="1887"/>
      <c r="TEC30" s="1888"/>
      <c r="TED30" s="1882"/>
      <c r="TEE30" s="1882"/>
      <c r="TEF30" s="1882"/>
      <c r="TEH30" s="1887"/>
      <c r="TEI30" s="1888"/>
      <c r="TEJ30" s="1882"/>
      <c r="TEK30" s="1882"/>
      <c r="TEL30" s="1882"/>
      <c r="TEN30" s="1887"/>
      <c r="TEO30" s="1888"/>
      <c r="TEP30" s="1882"/>
      <c r="TEQ30" s="1882"/>
      <c r="TER30" s="1882"/>
      <c r="TET30" s="1887"/>
      <c r="TEU30" s="1888"/>
      <c r="TEV30" s="1882"/>
      <c r="TEW30" s="1882"/>
      <c r="TEX30" s="1882"/>
      <c r="TEZ30" s="1887"/>
      <c r="TFA30" s="1888"/>
      <c r="TFB30" s="1882"/>
      <c r="TFC30" s="1882"/>
      <c r="TFD30" s="1882"/>
      <c r="TFF30" s="1887"/>
      <c r="TFG30" s="1888"/>
      <c r="TFH30" s="1882"/>
      <c r="TFI30" s="1882"/>
      <c r="TFJ30" s="1882"/>
      <c r="TFL30" s="1887"/>
      <c r="TFM30" s="1888"/>
      <c r="TFN30" s="1882"/>
      <c r="TFO30" s="1882"/>
      <c r="TFP30" s="1882"/>
      <c r="TFR30" s="1887"/>
      <c r="TFS30" s="1888"/>
      <c r="TFT30" s="1882"/>
      <c r="TFU30" s="1882"/>
      <c r="TFV30" s="1882"/>
      <c r="TFX30" s="1887"/>
      <c r="TFY30" s="1888"/>
      <c r="TFZ30" s="1882"/>
      <c r="TGA30" s="1882"/>
      <c r="TGB30" s="1882"/>
      <c r="TGD30" s="1887"/>
      <c r="TGE30" s="1888"/>
      <c r="TGF30" s="1882"/>
      <c r="TGG30" s="1882"/>
      <c r="TGH30" s="1882"/>
      <c r="TGJ30" s="1887"/>
      <c r="TGK30" s="1888"/>
      <c r="TGL30" s="1882"/>
      <c r="TGM30" s="1882"/>
      <c r="TGN30" s="1882"/>
      <c r="TGP30" s="1887"/>
      <c r="TGQ30" s="1888"/>
      <c r="TGR30" s="1882"/>
      <c r="TGS30" s="1882"/>
      <c r="TGT30" s="1882"/>
      <c r="TGV30" s="1887"/>
      <c r="TGW30" s="1888"/>
      <c r="TGX30" s="1882"/>
      <c r="TGY30" s="1882"/>
      <c r="TGZ30" s="1882"/>
      <c r="THB30" s="1887"/>
      <c r="THC30" s="1888"/>
      <c r="THD30" s="1882"/>
      <c r="THE30" s="1882"/>
      <c r="THF30" s="1882"/>
      <c r="THH30" s="1887"/>
      <c r="THI30" s="1888"/>
      <c r="THJ30" s="1882"/>
      <c r="THK30" s="1882"/>
      <c r="THL30" s="1882"/>
      <c r="THN30" s="1887"/>
      <c r="THO30" s="1888"/>
      <c r="THP30" s="1882"/>
      <c r="THQ30" s="1882"/>
      <c r="THR30" s="1882"/>
      <c r="THT30" s="1887"/>
      <c r="THU30" s="1888"/>
      <c r="THV30" s="1882"/>
      <c r="THW30" s="1882"/>
      <c r="THX30" s="1882"/>
      <c r="THZ30" s="1887"/>
      <c r="TIA30" s="1888"/>
      <c r="TIB30" s="1882"/>
      <c r="TIC30" s="1882"/>
      <c r="TID30" s="1882"/>
      <c r="TIF30" s="1887"/>
      <c r="TIG30" s="1888"/>
      <c r="TIH30" s="1882"/>
      <c r="TII30" s="1882"/>
      <c r="TIJ30" s="1882"/>
      <c r="TIL30" s="1887"/>
      <c r="TIM30" s="1888"/>
      <c r="TIN30" s="1882"/>
      <c r="TIO30" s="1882"/>
      <c r="TIP30" s="1882"/>
      <c r="TIR30" s="1887"/>
      <c r="TIS30" s="1888"/>
      <c r="TIT30" s="1882"/>
      <c r="TIU30" s="1882"/>
      <c r="TIV30" s="1882"/>
      <c r="TIX30" s="1887"/>
      <c r="TIY30" s="1888"/>
      <c r="TIZ30" s="1882"/>
      <c r="TJA30" s="1882"/>
      <c r="TJB30" s="1882"/>
      <c r="TJD30" s="1887"/>
      <c r="TJE30" s="1888"/>
      <c r="TJF30" s="1882"/>
      <c r="TJG30" s="1882"/>
      <c r="TJH30" s="1882"/>
      <c r="TJJ30" s="1887"/>
      <c r="TJK30" s="1888"/>
      <c r="TJL30" s="1882"/>
      <c r="TJM30" s="1882"/>
      <c r="TJN30" s="1882"/>
      <c r="TJP30" s="1887"/>
      <c r="TJQ30" s="1888"/>
      <c r="TJR30" s="1882"/>
      <c r="TJS30" s="1882"/>
      <c r="TJT30" s="1882"/>
      <c r="TJV30" s="1887"/>
      <c r="TJW30" s="1888"/>
      <c r="TJX30" s="1882"/>
      <c r="TJY30" s="1882"/>
      <c r="TJZ30" s="1882"/>
      <c r="TKB30" s="1887"/>
      <c r="TKC30" s="1888"/>
      <c r="TKD30" s="1882"/>
      <c r="TKE30" s="1882"/>
      <c r="TKF30" s="1882"/>
      <c r="TKH30" s="1887"/>
      <c r="TKI30" s="1888"/>
      <c r="TKJ30" s="1882"/>
      <c r="TKK30" s="1882"/>
      <c r="TKL30" s="1882"/>
      <c r="TKN30" s="1887"/>
      <c r="TKO30" s="1888"/>
      <c r="TKP30" s="1882"/>
      <c r="TKQ30" s="1882"/>
      <c r="TKR30" s="1882"/>
      <c r="TKT30" s="1887"/>
      <c r="TKU30" s="1888"/>
      <c r="TKV30" s="1882"/>
      <c r="TKW30" s="1882"/>
      <c r="TKX30" s="1882"/>
      <c r="TKZ30" s="1887"/>
      <c r="TLA30" s="1888"/>
      <c r="TLB30" s="1882"/>
      <c r="TLC30" s="1882"/>
      <c r="TLD30" s="1882"/>
      <c r="TLF30" s="1887"/>
      <c r="TLG30" s="1888"/>
      <c r="TLH30" s="1882"/>
      <c r="TLI30" s="1882"/>
      <c r="TLJ30" s="1882"/>
      <c r="TLL30" s="1887"/>
      <c r="TLM30" s="1888"/>
      <c r="TLN30" s="1882"/>
      <c r="TLO30" s="1882"/>
      <c r="TLP30" s="1882"/>
      <c r="TLR30" s="1887"/>
      <c r="TLS30" s="1888"/>
      <c r="TLT30" s="1882"/>
      <c r="TLU30" s="1882"/>
      <c r="TLV30" s="1882"/>
      <c r="TLX30" s="1887"/>
      <c r="TLY30" s="1888"/>
      <c r="TLZ30" s="1882"/>
      <c r="TMA30" s="1882"/>
      <c r="TMB30" s="1882"/>
      <c r="TMD30" s="1887"/>
      <c r="TME30" s="1888"/>
      <c r="TMF30" s="1882"/>
      <c r="TMG30" s="1882"/>
      <c r="TMH30" s="1882"/>
      <c r="TMJ30" s="1887"/>
      <c r="TMK30" s="1888"/>
      <c r="TML30" s="1882"/>
      <c r="TMM30" s="1882"/>
      <c r="TMN30" s="1882"/>
      <c r="TMP30" s="1887"/>
      <c r="TMQ30" s="1888"/>
      <c r="TMR30" s="1882"/>
      <c r="TMS30" s="1882"/>
      <c r="TMT30" s="1882"/>
      <c r="TMV30" s="1887"/>
      <c r="TMW30" s="1888"/>
      <c r="TMX30" s="1882"/>
      <c r="TMY30" s="1882"/>
      <c r="TMZ30" s="1882"/>
      <c r="TNB30" s="1887"/>
      <c r="TNC30" s="1888"/>
      <c r="TND30" s="1882"/>
      <c r="TNE30" s="1882"/>
      <c r="TNF30" s="1882"/>
      <c r="TNH30" s="1887"/>
      <c r="TNI30" s="1888"/>
      <c r="TNJ30" s="1882"/>
      <c r="TNK30" s="1882"/>
      <c r="TNL30" s="1882"/>
      <c r="TNN30" s="1887"/>
      <c r="TNO30" s="1888"/>
      <c r="TNP30" s="1882"/>
      <c r="TNQ30" s="1882"/>
      <c r="TNR30" s="1882"/>
      <c r="TNT30" s="1887"/>
      <c r="TNU30" s="1888"/>
      <c r="TNV30" s="1882"/>
      <c r="TNW30" s="1882"/>
      <c r="TNX30" s="1882"/>
      <c r="TNZ30" s="1887"/>
      <c r="TOA30" s="1888"/>
      <c r="TOB30" s="1882"/>
      <c r="TOC30" s="1882"/>
      <c r="TOD30" s="1882"/>
      <c r="TOF30" s="1887"/>
      <c r="TOG30" s="1888"/>
      <c r="TOH30" s="1882"/>
      <c r="TOI30" s="1882"/>
      <c r="TOJ30" s="1882"/>
      <c r="TOL30" s="1887"/>
      <c r="TOM30" s="1888"/>
      <c r="TON30" s="1882"/>
      <c r="TOO30" s="1882"/>
      <c r="TOP30" s="1882"/>
      <c r="TOR30" s="1887"/>
      <c r="TOS30" s="1888"/>
      <c r="TOT30" s="1882"/>
      <c r="TOU30" s="1882"/>
      <c r="TOV30" s="1882"/>
      <c r="TOX30" s="1887"/>
      <c r="TOY30" s="1888"/>
      <c r="TOZ30" s="1882"/>
      <c r="TPA30" s="1882"/>
      <c r="TPB30" s="1882"/>
      <c r="TPD30" s="1887"/>
      <c r="TPE30" s="1888"/>
      <c r="TPF30" s="1882"/>
      <c r="TPG30" s="1882"/>
      <c r="TPH30" s="1882"/>
      <c r="TPJ30" s="1887"/>
      <c r="TPK30" s="1888"/>
      <c r="TPL30" s="1882"/>
      <c r="TPM30" s="1882"/>
      <c r="TPN30" s="1882"/>
      <c r="TPP30" s="1887"/>
      <c r="TPQ30" s="1888"/>
      <c r="TPR30" s="1882"/>
      <c r="TPS30" s="1882"/>
      <c r="TPT30" s="1882"/>
      <c r="TPV30" s="1887"/>
      <c r="TPW30" s="1888"/>
      <c r="TPX30" s="1882"/>
      <c r="TPY30" s="1882"/>
      <c r="TPZ30" s="1882"/>
      <c r="TQB30" s="1887"/>
      <c r="TQC30" s="1888"/>
      <c r="TQD30" s="1882"/>
      <c r="TQE30" s="1882"/>
      <c r="TQF30" s="1882"/>
      <c r="TQH30" s="1887"/>
      <c r="TQI30" s="1888"/>
      <c r="TQJ30" s="1882"/>
      <c r="TQK30" s="1882"/>
      <c r="TQL30" s="1882"/>
      <c r="TQN30" s="1887"/>
      <c r="TQO30" s="1888"/>
      <c r="TQP30" s="1882"/>
      <c r="TQQ30" s="1882"/>
      <c r="TQR30" s="1882"/>
      <c r="TQT30" s="1887"/>
      <c r="TQU30" s="1888"/>
      <c r="TQV30" s="1882"/>
      <c r="TQW30" s="1882"/>
      <c r="TQX30" s="1882"/>
      <c r="TQZ30" s="1887"/>
      <c r="TRA30" s="1888"/>
      <c r="TRB30" s="1882"/>
      <c r="TRC30" s="1882"/>
      <c r="TRD30" s="1882"/>
      <c r="TRF30" s="1887"/>
      <c r="TRG30" s="1888"/>
      <c r="TRH30" s="1882"/>
      <c r="TRI30" s="1882"/>
      <c r="TRJ30" s="1882"/>
      <c r="TRL30" s="1887"/>
      <c r="TRM30" s="1888"/>
      <c r="TRN30" s="1882"/>
      <c r="TRO30" s="1882"/>
      <c r="TRP30" s="1882"/>
      <c r="TRR30" s="1887"/>
      <c r="TRS30" s="1888"/>
      <c r="TRT30" s="1882"/>
      <c r="TRU30" s="1882"/>
      <c r="TRV30" s="1882"/>
      <c r="TRX30" s="1887"/>
      <c r="TRY30" s="1888"/>
      <c r="TRZ30" s="1882"/>
      <c r="TSA30" s="1882"/>
      <c r="TSB30" s="1882"/>
      <c r="TSD30" s="1887"/>
      <c r="TSE30" s="1888"/>
      <c r="TSF30" s="1882"/>
      <c r="TSG30" s="1882"/>
      <c r="TSH30" s="1882"/>
      <c r="TSJ30" s="1887"/>
      <c r="TSK30" s="1888"/>
      <c r="TSL30" s="1882"/>
      <c r="TSM30" s="1882"/>
      <c r="TSN30" s="1882"/>
      <c r="TSP30" s="1887"/>
      <c r="TSQ30" s="1888"/>
      <c r="TSR30" s="1882"/>
      <c r="TSS30" s="1882"/>
      <c r="TST30" s="1882"/>
      <c r="TSV30" s="1887"/>
      <c r="TSW30" s="1888"/>
      <c r="TSX30" s="1882"/>
      <c r="TSY30" s="1882"/>
      <c r="TSZ30" s="1882"/>
      <c r="TTB30" s="1887"/>
      <c r="TTC30" s="1888"/>
      <c r="TTD30" s="1882"/>
      <c r="TTE30" s="1882"/>
      <c r="TTF30" s="1882"/>
      <c r="TTH30" s="1887"/>
      <c r="TTI30" s="1888"/>
      <c r="TTJ30" s="1882"/>
      <c r="TTK30" s="1882"/>
      <c r="TTL30" s="1882"/>
      <c r="TTN30" s="1887"/>
      <c r="TTO30" s="1888"/>
      <c r="TTP30" s="1882"/>
      <c r="TTQ30" s="1882"/>
      <c r="TTR30" s="1882"/>
      <c r="TTT30" s="1887"/>
      <c r="TTU30" s="1888"/>
      <c r="TTV30" s="1882"/>
      <c r="TTW30" s="1882"/>
      <c r="TTX30" s="1882"/>
      <c r="TTZ30" s="1887"/>
      <c r="TUA30" s="1888"/>
      <c r="TUB30" s="1882"/>
      <c r="TUC30" s="1882"/>
      <c r="TUD30" s="1882"/>
      <c r="TUF30" s="1887"/>
      <c r="TUG30" s="1888"/>
      <c r="TUH30" s="1882"/>
      <c r="TUI30" s="1882"/>
      <c r="TUJ30" s="1882"/>
      <c r="TUL30" s="1887"/>
      <c r="TUM30" s="1888"/>
      <c r="TUN30" s="1882"/>
      <c r="TUO30" s="1882"/>
      <c r="TUP30" s="1882"/>
      <c r="TUR30" s="1887"/>
      <c r="TUS30" s="1888"/>
      <c r="TUT30" s="1882"/>
      <c r="TUU30" s="1882"/>
      <c r="TUV30" s="1882"/>
      <c r="TUX30" s="1887"/>
      <c r="TUY30" s="1888"/>
      <c r="TUZ30" s="1882"/>
      <c r="TVA30" s="1882"/>
      <c r="TVB30" s="1882"/>
      <c r="TVD30" s="1887"/>
      <c r="TVE30" s="1888"/>
      <c r="TVF30" s="1882"/>
      <c r="TVG30" s="1882"/>
      <c r="TVH30" s="1882"/>
      <c r="TVJ30" s="1887"/>
      <c r="TVK30" s="1888"/>
      <c r="TVL30" s="1882"/>
      <c r="TVM30" s="1882"/>
      <c r="TVN30" s="1882"/>
      <c r="TVP30" s="1887"/>
      <c r="TVQ30" s="1888"/>
      <c r="TVR30" s="1882"/>
      <c r="TVS30" s="1882"/>
      <c r="TVT30" s="1882"/>
      <c r="TVV30" s="1887"/>
      <c r="TVW30" s="1888"/>
      <c r="TVX30" s="1882"/>
      <c r="TVY30" s="1882"/>
      <c r="TVZ30" s="1882"/>
      <c r="TWB30" s="1887"/>
      <c r="TWC30" s="1888"/>
      <c r="TWD30" s="1882"/>
      <c r="TWE30" s="1882"/>
      <c r="TWF30" s="1882"/>
      <c r="TWH30" s="1887"/>
      <c r="TWI30" s="1888"/>
      <c r="TWJ30" s="1882"/>
      <c r="TWK30" s="1882"/>
      <c r="TWL30" s="1882"/>
      <c r="TWN30" s="1887"/>
      <c r="TWO30" s="1888"/>
      <c r="TWP30" s="1882"/>
      <c r="TWQ30" s="1882"/>
      <c r="TWR30" s="1882"/>
      <c r="TWT30" s="1887"/>
      <c r="TWU30" s="1888"/>
      <c r="TWV30" s="1882"/>
      <c r="TWW30" s="1882"/>
      <c r="TWX30" s="1882"/>
      <c r="TWZ30" s="1887"/>
      <c r="TXA30" s="1888"/>
      <c r="TXB30" s="1882"/>
      <c r="TXC30" s="1882"/>
      <c r="TXD30" s="1882"/>
      <c r="TXF30" s="1887"/>
      <c r="TXG30" s="1888"/>
      <c r="TXH30" s="1882"/>
      <c r="TXI30" s="1882"/>
      <c r="TXJ30" s="1882"/>
      <c r="TXL30" s="1887"/>
      <c r="TXM30" s="1888"/>
      <c r="TXN30" s="1882"/>
      <c r="TXO30" s="1882"/>
      <c r="TXP30" s="1882"/>
      <c r="TXR30" s="1887"/>
      <c r="TXS30" s="1888"/>
      <c r="TXT30" s="1882"/>
      <c r="TXU30" s="1882"/>
      <c r="TXV30" s="1882"/>
      <c r="TXX30" s="1887"/>
      <c r="TXY30" s="1888"/>
      <c r="TXZ30" s="1882"/>
      <c r="TYA30" s="1882"/>
      <c r="TYB30" s="1882"/>
      <c r="TYD30" s="1887"/>
      <c r="TYE30" s="1888"/>
      <c r="TYF30" s="1882"/>
      <c r="TYG30" s="1882"/>
      <c r="TYH30" s="1882"/>
      <c r="TYJ30" s="1887"/>
      <c r="TYK30" s="1888"/>
      <c r="TYL30" s="1882"/>
      <c r="TYM30" s="1882"/>
      <c r="TYN30" s="1882"/>
      <c r="TYP30" s="1887"/>
      <c r="TYQ30" s="1888"/>
      <c r="TYR30" s="1882"/>
      <c r="TYS30" s="1882"/>
      <c r="TYT30" s="1882"/>
      <c r="TYV30" s="1887"/>
      <c r="TYW30" s="1888"/>
      <c r="TYX30" s="1882"/>
      <c r="TYY30" s="1882"/>
      <c r="TYZ30" s="1882"/>
      <c r="TZB30" s="1887"/>
      <c r="TZC30" s="1888"/>
      <c r="TZD30" s="1882"/>
      <c r="TZE30" s="1882"/>
      <c r="TZF30" s="1882"/>
      <c r="TZH30" s="1887"/>
      <c r="TZI30" s="1888"/>
      <c r="TZJ30" s="1882"/>
      <c r="TZK30" s="1882"/>
      <c r="TZL30" s="1882"/>
      <c r="TZN30" s="1887"/>
      <c r="TZO30" s="1888"/>
      <c r="TZP30" s="1882"/>
      <c r="TZQ30" s="1882"/>
      <c r="TZR30" s="1882"/>
      <c r="TZT30" s="1887"/>
      <c r="TZU30" s="1888"/>
      <c r="TZV30" s="1882"/>
      <c r="TZW30" s="1882"/>
      <c r="TZX30" s="1882"/>
      <c r="TZZ30" s="1887"/>
      <c r="UAA30" s="1888"/>
      <c r="UAB30" s="1882"/>
      <c r="UAC30" s="1882"/>
      <c r="UAD30" s="1882"/>
      <c r="UAF30" s="1887"/>
      <c r="UAG30" s="1888"/>
      <c r="UAH30" s="1882"/>
      <c r="UAI30" s="1882"/>
      <c r="UAJ30" s="1882"/>
      <c r="UAL30" s="1887"/>
      <c r="UAM30" s="1888"/>
      <c r="UAN30" s="1882"/>
      <c r="UAO30" s="1882"/>
      <c r="UAP30" s="1882"/>
      <c r="UAR30" s="1887"/>
      <c r="UAS30" s="1888"/>
      <c r="UAT30" s="1882"/>
      <c r="UAU30" s="1882"/>
      <c r="UAV30" s="1882"/>
      <c r="UAX30" s="1887"/>
      <c r="UAY30" s="1888"/>
      <c r="UAZ30" s="1882"/>
      <c r="UBA30" s="1882"/>
      <c r="UBB30" s="1882"/>
      <c r="UBD30" s="1887"/>
      <c r="UBE30" s="1888"/>
      <c r="UBF30" s="1882"/>
      <c r="UBG30" s="1882"/>
      <c r="UBH30" s="1882"/>
      <c r="UBJ30" s="1887"/>
      <c r="UBK30" s="1888"/>
      <c r="UBL30" s="1882"/>
      <c r="UBM30" s="1882"/>
      <c r="UBN30" s="1882"/>
      <c r="UBP30" s="1887"/>
      <c r="UBQ30" s="1888"/>
      <c r="UBR30" s="1882"/>
      <c r="UBS30" s="1882"/>
      <c r="UBT30" s="1882"/>
      <c r="UBV30" s="1887"/>
      <c r="UBW30" s="1888"/>
      <c r="UBX30" s="1882"/>
      <c r="UBY30" s="1882"/>
      <c r="UBZ30" s="1882"/>
      <c r="UCB30" s="1887"/>
      <c r="UCC30" s="1888"/>
      <c r="UCD30" s="1882"/>
      <c r="UCE30" s="1882"/>
      <c r="UCF30" s="1882"/>
      <c r="UCH30" s="1887"/>
      <c r="UCI30" s="1888"/>
      <c r="UCJ30" s="1882"/>
      <c r="UCK30" s="1882"/>
      <c r="UCL30" s="1882"/>
      <c r="UCN30" s="1887"/>
      <c r="UCO30" s="1888"/>
      <c r="UCP30" s="1882"/>
      <c r="UCQ30" s="1882"/>
      <c r="UCR30" s="1882"/>
      <c r="UCT30" s="1887"/>
      <c r="UCU30" s="1888"/>
      <c r="UCV30" s="1882"/>
      <c r="UCW30" s="1882"/>
      <c r="UCX30" s="1882"/>
      <c r="UCZ30" s="1887"/>
      <c r="UDA30" s="1888"/>
      <c r="UDB30" s="1882"/>
      <c r="UDC30" s="1882"/>
      <c r="UDD30" s="1882"/>
      <c r="UDF30" s="1887"/>
      <c r="UDG30" s="1888"/>
      <c r="UDH30" s="1882"/>
      <c r="UDI30" s="1882"/>
      <c r="UDJ30" s="1882"/>
      <c r="UDL30" s="1887"/>
      <c r="UDM30" s="1888"/>
      <c r="UDN30" s="1882"/>
      <c r="UDO30" s="1882"/>
      <c r="UDP30" s="1882"/>
      <c r="UDR30" s="1887"/>
      <c r="UDS30" s="1888"/>
      <c r="UDT30" s="1882"/>
      <c r="UDU30" s="1882"/>
      <c r="UDV30" s="1882"/>
      <c r="UDX30" s="1887"/>
      <c r="UDY30" s="1888"/>
      <c r="UDZ30" s="1882"/>
      <c r="UEA30" s="1882"/>
      <c r="UEB30" s="1882"/>
      <c r="UED30" s="1887"/>
      <c r="UEE30" s="1888"/>
      <c r="UEF30" s="1882"/>
      <c r="UEG30" s="1882"/>
      <c r="UEH30" s="1882"/>
      <c r="UEJ30" s="1887"/>
      <c r="UEK30" s="1888"/>
      <c r="UEL30" s="1882"/>
      <c r="UEM30" s="1882"/>
      <c r="UEN30" s="1882"/>
      <c r="UEP30" s="1887"/>
      <c r="UEQ30" s="1888"/>
      <c r="UER30" s="1882"/>
      <c r="UES30" s="1882"/>
      <c r="UET30" s="1882"/>
      <c r="UEV30" s="1887"/>
      <c r="UEW30" s="1888"/>
      <c r="UEX30" s="1882"/>
      <c r="UEY30" s="1882"/>
      <c r="UEZ30" s="1882"/>
      <c r="UFB30" s="1887"/>
      <c r="UFC30" s="1888"/>
      <c r="UFD30" s="1882"/>
      <c r="UFE30" s="1882"/>
      <c r="UFF30" s="1882"/>
      <c r="UFH30" s="1887"/>
      <c r="UFI30" s="1888"/>
      <c r="UFJ30" s="1882"/>
      <c r="UFK30" s="1882"/>
      <c r="UFL30" s="1882"/>
      <c r="UFN30" s="1887"/>
      <c r="UFO30" s="1888"/>
      <c r="UFP30" s="1882"/>
      <c r="UFQ30" s="1882"/>
      <c r="UFR30" s="1882"/>
      <c r="UFT30" s="1887"/>
      <c r="UFU30" s="1888"/>
      <c r="UFV30" s="1882"/>
      <c r="UFW30" s="1882"/>
      <c r="UFX30" s="1882"/>
      <c r="UFZ30" s="1887"/>
      <c r="UGA30" s="1888"/>
      <c r="UGB30" s="1882"/>
      <c r="UGC30" s="1882"/>
      <c r="UGD30" s="1882"/>
      <c r="UGF30" s="1887"/>
      <c r="UGG30" s="1888"/>
      <c r="UGH30" s="1882"/>
      <c r="UGI30" s="1882"/>
      <c r="UGJ30" s="1882"/>
      <c r="UGL30" s="1887"/>
      <c r="UGM30" s="1888"/>
      <c r="UGN30" s="1882"/>
      <c r="UGO30" s="1882"/>
      <c r="UGP30" s="1882"/>
      <c r="UGR30" s="1887"/>
      <c r="UGS30" s="1888"/>
      <c r="UGT30" s="1882"/>
      <c r="UGU30" s="1882"/>
      <c r="UGV30" s="1882"/>
      <c r="UGX30" s="1887"/>
      <c r="UGY30" s="1888"/>
      <c r="UGZ30" s="1882"/>
      <c r="UHA30" s="1882"/>
      <c r="UHB30" s="1882"/>
      <c r="UHD30" s="1887"/>
      <c r="UHE30" s="1888"/>
      <c r="UHF30" s="1882"/>
      <c r="UHG30" s="1882"/>
      <c r="UHH30" s="1882"/>
      <c r="UHJ30" s="1887"/>
      <c r="UHK30" s="1888"/>
      <c r="UHL30" s="1882"/>
      <c r="UHM30" s="1882"/>
      <c r="UHN30" s="1882"/>
      <c r="UHP30" s="1887"/>
      <c r="UHQ30" s="1888"/>
      <c r="UHR30" s="1882"/>
      <c r="UHS30" s="1882"/>
      <c r="UHT30" s="1882"/>
      <c r="UHV30" s="1887"/>
      <c r="UHW30" s="1888"/>
      <c r="UHX30" s="1882"/>
      <c r="UHY30" s="1882"/>
      <c r="UHZ30" s="1882"/>
      <c r="UIB30" s="1887"/>
      <c r="UIC30" s="1888"/>
      <c r="UID30" s="1882"/>
      <c r="UIE30" s="1882"/>
      <c r="UIF30" s="1882"/>
      <c r="UIH30" s="1887"/>
      <c r="UII30" s="1888"/>
      <c r="UIJ30" s="1882"/>
      <c r="UIK30" s="1882"/>
      <c r="UIL30" s="1882"/>
      <c r="UIN30" s="1887"/>
      <c r="UIO30" s="1888"/>
      <c r="UIP30" s="1882"/>
      <c r="UIQ30" s="1882"/>
      <c r="UIR30" s="1882"/>
      <c r="UIT30" s="1887"/>
      <c r="UIU30" s="1888"/>
      <c r="UIV30" s="1882"/>
      <c r="UIW30" s="1882"/>
      <c r="UIX30" s="1882"/>
      <c r="UIZ30" s="1887"/>
      <c r="UJA30" s="1888"/>
      <c r="UJB30" s="1882"/>
      <c r="UJC30" s="1882"/>
      <c r="UJD30" s="1882"/>
      <c r="UJF30" s="1887"/>
      <c r="UJG30" s="1888"/>
      <c r="UJH30" s="1882"/>
      <c r="UJI30" s="1882"/>
      <c r="UJJ30" s="1882"/>
      <c r="UJL30" s="1887"/>
      <c r="UJM30" s="1888"/>
      <c r="UJN30" s="1882"/>
      <c r="UJO30" s="1882"/>
      <c r="UJP30" s="1882"/>
      <c r="UJR30" s="1887"/>
      <c r="UJS30" s="1888"/>
      <c r="UJT30" s="1882"/>
      <c r="UJU30" s="1882"/>
      <c r="UJV30" s="1882"/>
      <c r="UJX30" s="1887"/>
      <c r="UJY30" s="1888"/>
      <c r="UJZ30" s="1882"/>
      <c r="UKA30" s="1882"/>
      <c r="UKB30" s="1882"/>
      <c r="UKD30" s="1887"/>
      <c r="UKE30" s="1888"/>
      <c r="UKF30" s="1882"/>
      <c r="UKG30" s="1882"/>
      <c r="UKH30" s="1882"/>
      <c r="UKJ30" s="1887"/>
      <c r="UKK30" s="1888"/>
      <c r="UKL30" s="1882"/>
      <c r="UKM30" s="1882"/>
      <c r="UKN30" s="1882"/>
      <c r="UKP30" s="1887"/>
      <c r="UKQ30" s="1888"/>
      <c r="UKR30" s="1882"/>
      <c r="UKS30" s="1882"/>
      <c r="UKT30" s="1882"/>
      <c r="UKV30" s="1887"/>
      <c r="UKW30" s="1888"/>
      <c r="UKX30" s="1882"/>
      <c r="UKY30" s="1882"/>
      <c r="UKZ30" s="1882"/>
      <c r="ULB30" s="1887"/>
      <c r="ULC30" s="1888"/>
      <c r="ULD30" s="1882"/>
      <c r="ULE30" s="1882"/>
      <c r="ULF30" s="1882"/>
      <c r="ULH30" s="1887"/>
      <c r="ULI30" s="1888"/>
      <c r="ULJ30" s="1882"/>
      <c r="ULK30" s="1882"/>
      <c r="ULL30" s="1882"/>
      <c r="ULN30" s="1887"/>
      <c r="ULO30" s="1888"/>
      <c r="ULP30" s="1882"/>
      <c r="ULQ30" s="1882"/>
      <c r="ULR30" s="1882"/>
      <c r="ULT30" s="1887"/>
      <c r="ULU30" s="1888"/>
      <c r="ULV30" s="1882"/>
      <c r="ULW30" s="1882"/>
      <c r="ULX30" s="1882"/>
      <c r="ULZ30" s="1887"/>
      <c r="UMA30" s="1888"/>
      <c r="UMB30" s="1882"/>
      <c r="UMC30" s="1882"/>
      <c r="UMD30" s="1882"/>
      <c r="UMF30" s="1887"/>
      <c r="UMG30" s="1888"/>
      <c r="UMH30" s="1882"/>
      <c r="UMI30" s="1882"/>
      <c r="UMJ30" s="1882"/>
      <c r="UML30" s="1887"/>
      <c r="UMM30" s="1888"/>
      <c r="UMN30" s="1882"/>
      <c r="UMO30" s="1882"/>
      <c r="UMP30" s="1882"/>
      <c r="UMR30" s="1887"/>
      <c r="UMS30" s="1888"/>
      <c r="UMT30" s="1882"/>
      <c r="UMU30" s="1882"/>
      <c r="UMV30" s="1882"/>
      <c r="UMX30" s="1887"/>
      <c r="UMY30" s="1888"/>
      <c r="UMZ30" s="1882"/>
      <c r="UNA30" s="1882"/>
      <c r="UNB30" s="1882"/>
      <c r="UND30" s="1887"/>
      <c r="UNE30" s="1888"/>
      <c r="UNF30" s="1882"/>
      <c r="UNG30" s="1882"/>
      <c r="UNH30" s="1882"/>
      <c r="UNJ30" s="1887"/>
      <c r="UNK30" s="1888"/>
      <c r="UNL30" s="1882"/>
      <c r="UNM30" s="1882"/>
      <c r="UNN30" s="1882"/>
      <c r="UNP30" s="1887"/>
      <c r="UNQ30" s="1888"/>
      <c r="UNR30" s="1882"/>
      <c r="UNS30" s="1882"/>
      <c r="UNT30" s="1882"/>
      <c r="UNV30" s="1887"/>
      <c r="UNW30" s="1888"/>
      <c r="UNX30" s="1882"/>
      <c r="UNY30" s="1882"/>
      <c r="UNZ30" s="1882"/>
      <c r="UOB30" s="1887"/>
      <c r="UOC30" s="1888"/>
      <c r="UOD30" s="1882"/>
      <c r="UOE30" s="1882"/>
      <c r="UOF30" s="1882"/>
      <c r="UOH30" s="1887"/>
      <c r="UOI30" s="1888"/>
      <c r="UOJ30" s="1882"/>
      <c r="UOK30" s="1882"/>
      <c r="UOL30" s="1882"/>
      <c r="UON30" s="1887"/>
      <c r="UOO30" s="1888"/>
      <c r="UOP30" s="1882"/>
      <c r="UOQ30" s="1882"/>
      <c r="UOR30" s="1882"/>
      <c r="UOT30" s="1887"/>
      <c r="UOU30" s="1888"/>
      <c r="UOV30" s="1882"/>
      <c r="UOW30" s="1882"/>
      <c r="UOX30" s="1882"/>
      <c r="UOZ30" s="1887"/>
      <c r="UPA30" s="1888"/>
      <c r="UPB30" s="1882"/>
      <c r="UPC30" s="1882"/>
      <c r="UPD30" s="1882"/>
      <c r="UPF30" s="1887"/>
      <c r="UPG30" s="1888"/>
      <c r="UPH30" s="1882"/>
      <c r="UPI30" s="1882"/>
      <c r="UPJ30" s="1882"/>
      <c r="UPL30" s="1887"/>
      <c r="UPM30" s="1888"/>
      <c r="UPN30" s="1882"/>
      <c r="UPO30" s="1882"/>
      <c r="UPP30" s="1882"/>
      <c r="UPR30" s="1887"/>
      <c r="UPS30" s="1888"/>
      <c r="UPT30" s="1882"/>
      <c r="UPU30" s="1882"/>
      <c r="UPV30" s="1882"/>
      <c r="UPX30" s="1887"/>
      <c r="UPY30" s="1888"/>
      <c r="UPZ30" s="1882"/>
      <c r="UQA30" s="1882"/>
      <c r="UQB30" s="1882"/>
      <c r="UQD30" s="1887"/>
      <c r="UQE30" s="1888"/>
      <c r="UQF30" s="1882"/>
      <c r="UQG30" s="1882"/>
      <c r="UQH30" s="1882"/>
      <c r="UQJ30" s="1887"/>
      <c r="UQK30" s="1888"/>
      <c r="UQL30" s="1882"/>
      <c r="UQM30" s="1882"/>
      <c r="UQN30" s="1882"/>
      <c r="UQP30" s="1887"/>
      <c r="UQQ30" s="1888"/>
      <c r="UQR30" s="1882"/>
      <c r="UQS30" s="1882"/>
      <c r="UQT30" s="1882"/>
      <c r="UQV30" s="1887"/>
      <c r="UQW30" s="1888"/>
      <c r="UQX30" s="1882"/>
      <c r="UQY30" s="1882"/>
      <c r="UQZ30" s="1882"/>
      <c r="URB30" s="1887"/>
      <c r="URC30" s="1888"/>
      <c r="URD30" s="1882"/>
      <c r="URE30" s="1882"/>
      <c r="URF30" s="1882"/>
      <c r="URH30" s="1887"/>
      <c r="URI30" s="1888"/>
      <c r="URJ30" s="1882"/>
      <c r="URK30" s="1882"/>
      <c r="URL30" s="1882"/>
      <c r="URN30" s="1887"/>
      <c r="URO30" s="1888"/>
      <c r="URP30" s="1882"/>
      <c r="URQ30" s="1882"/>
      <c r="URR30" s="1882"/>
      <c r="URT30" s="1887"/>
      <c r="URU30" s="1888"/>
      <c r="URV30" s="1882"/>
      <c r="URW30" s="1882"/>
      <c r="URX30" s="1882"/>
      <c r="URZ30" s="1887"/>
      <c r="USA30" s="1888"/>
      <c r="USB30" s="1882"/>
      <c r="USC30" s="1882"/>
      <c r="USD30" s="1882"/>
      <c r="USF30" s="1887"/>
      <c r="USG30" s="1888"/>
      <c r="USH30" s="1882"/>
      <c r="USI30" s="1882"/>
      <c r="USJ30" s="1882"/>
      <c r="USL30" s="1887"/>
      <c r="USM30" s="1888"/>
      <c r="USN30" s="1882"/>
      <c r="USO30" s="1882"/>
      <c r="USP30" s="1882"/>
      <c r="USR30" s="1887"/>
      <c r="USS30" s="1888"/>
      <c r="UST30" s="1882"/>
      <c r="USU30" s="1882"/>
      <c r="USV30" s="1882"/>
      <c r="USX30" s="1887"/>
      <c r="USY30" s="1888"/>
      <c r="USZ30" s="1882"/>
      <c r="UTA30" s="1882"/>
      <c r="UTB30" s="1882"/>
      <c r="UTD30" s="1887"/>
      <c r="UTE30" s="1888"/>
      <c r="UTF30" s="1882"/>
      <c r="UTG30" s="1882"/>
      <c r="UTH30" s="1882"/>
      <c r="UTJ30" s="1887"/>
      <c r="UTK30" s="1888"/>
      <c r="UTL30" s="1882"/>
      <c r="UTM30" s="1882"/>
      <c r="UTN30" s="1882"/>
      <c r="UTP30" s="1887"/>
      <c r="UTQ30" s="1888"/>
      <c r="UTR30" s="1882"/>
      <c r="UTS30" s="1882"/>
      <c r="UTT30" s="1882"/>
      <c r="UTV30" s="1887"/>
      <c r="UTW30" s="1888"/>
      <c r="UTX30" s="1882"/>
      <c r="UTY30" s="1882"/>
      <c r="UTZ30" s="1882"/>
      <c r="UUB30" s="1887"/>
      <c r="UUC30" s="1888"/>
      <c r="UUD30" s="1882"/>
      <c r="UUE30" s="1882"/>
      <c r="UUF30" s="1882"/>
      <c r="UUH30" s="1887"/>
      <c r="UUI30" s="1888"/>
      <c r="UUJ30" s="1882"/>
      <c r="UUK30" s="1882"/>
      <c r="UUL30" s="1882"/>
      <c r="UUN30" s="1887"/>
      <c r="UUO30" s="1888"/>
      <c r="UUP30" s="1882"/>
      <c r="UUQ30" s="1882"/>
      <c r="UUR30" s="1882"/>
      <c r="UUT30" s="1887"/>
      <c r="UUU30" s="1888"/>
      <c r="UUV30" s="1882"/>
      <c r="UUW30" s="1882"/>
      <c r="UUX30" s="1882"/>
      <c r="UUZ30" s="1887"/>
      <c r="UVA30" s="1888"/>
      <c r="UVB30" s="1882"/>
      <c r="UVC30" s="1882"/>
      <c r="UVD30" s="1882"/>
      <c r="UVF30" s="1887"/>
      <c r="UVG30" s="1888"/>
      <c r="UVH30" s="1882"/>
      <c r="UVI30" s="1882"/>
      <c r="UVJ30" s="1882"/>
      <c r="UVL30" s="1887"/>
      <c r="UVM30" s="1888"/>
      <c r="UVN30" s="1882"/>
      <c r="UVO30" s="1882"/>
      <c r="UVP30" s="1882"/>
      <c r="UVR30" s="1887"/>
      <c r="UVS30" s="1888"/>
      <c r="UVT30" s="1882"/>
      <c r="UVU30" s="1882"/>
      <c r="UVV30" s="1882"/>
      <c r="UVX30" s="1887"/>
      <c r="UVY30" s="1888"/>
      <c r="UVZ30" s="1882"/>
      <c r="UWA30" s="1882"/>
      <c r="UWB30" s="1882"/>
      <c r="UWD30" s="1887"/>
      <c r="UWE30" s="1888"/>
      <c r="UWF30" s="1882"/>
      <c r="UWG30" s="1882"/>
      <c r="UWH30" s="1882"/>
      <c r="UWJ30" s="1887"/>
      <c r="UWK30" s="1888"/>
      <c r="UWL30" s="1882"/>
      <c r="UWM30" s="1882"/>
      <c r="UWN30" s="1882"/>
      <c r="UWP30" s="1887"/>
      <c r="UWQ30" s="1888"/>
      <c r="UWR30" s="1882"/>
      <c r="UWS30" s="1882"/>
      <c r="UWT30" s="1882"/>
      <c r="UWV30" s="1887"/>
      <c r="UWW30" s="1888"/>
      <c r="UWX30" s="1882"/>
      <c r="UWY30" s="1882"/>
      <c r="UWZ30" s="1882"/>
      <c r="UXB30" s="1887"/>
      <c r="UXC30" s="1888"/>
      <c r="UXD30" s="1882"/>
      <c r="UXE30" s="1882"/>
      <c r="UXF30" s="1882"/>
      <c r="UXH30" s="1887"/>
      <c r="UXI30" s="1888"/>
      <c r="UXJ30" s="1882"/>
      <c r="UXK30" s="1882"/>
      <c r="UXL30" s="1882"/>
      <c r="UXN30" s="1887"/>
      <c r="UXO30" s="1888"/>
      <c r="UXP30" s="1882"/>
      <c r="UXQ30" s="1882"/>
      <c r="UXR30" s="1882"/>
      <c r="UXT30" s="1887"/>
      <c r="UXU30" s="1888"/>
      <c r="UXV30" s="1882"/>
      <c r="UXW30" s="1882"/>
      <c r="UXX30" s="1882"/>
      <c r="UXZ30" s="1887"/>
      <c r="UYA30" s="1888"/>
      <c r="UYB30" s="1882"/>
      <c r="UYC30" s="1882"/>
      <c r="UYD30" s="1882"/>
      <c r="UYF30" s="1887"/>
      <c r="UYG30" s="1888"/>
      <c r="UYH30" s="1882"/>
      <c r="UYI30" s="1882"/>
      <c r="UYJ30" s="1882"/>
      <c r="UYL30" s="1887"/>
      <c r="UYM30" s="1888"/>
      <c r="UYN30" s="1882"/>
      <c r="UYO30" s="1882"/>
      <c r="UYP30" s="1882"/>
      <c r="UYR30" s="1887"/>
      <c r="UYS30" s="1888"/>
      <c r="UYT30" s="1882"/>
      <c r="UYU30" s="1882"/>
      <c r="UYV30" s="1882"/>
      <c r="UYX30" s="1887"/>
      <c r="UYY30" s="1888"/>
      <c r="UYZ30" s="1882"/>
      <c r="UZA30" s="1882"/>
      <c r="UZB30" s="1882"/>
      <c r="UZD30" s="1887"/>
      <c r="UZE30" s="1888"/>
      <c r="UZF30" s="1882"/>
      <c r="UZG30" s="1882"/>
      <c r="UZH30" s="1882"/>
      <c r="UZJ30" s="1887"/>
      <c r="UZK30" s="1888"/>
      <c r="UZL30" s="1882"/>
      <c r="UZM30" s="1882"/>
      <c r="UZN30" s="1882"/>
      <c r="UZP30" s="1887"/>
      <c r="UZQ30" s="1888"/>
      <c r="UZR30" s="1882"/>
      <c r="UZS30" s="1882"/>
      <c r="UZT30" s="1882"/>
      <c r="UZV30" s="1887"/>
      <c r="UZW30" s="1888"/>
      <c r="UZX30" s="1882"/>
      <c r="UZY30" s="1882"/>
      <c r="UZZ30" s="1882"/>
      <c r="VAB30" s="1887"/>
      <c r="VAC30" s="1888"/>
      <c r="VAD30" s="1882"/>
      <c r="VAE30" s="1882"/>
      <c r="VAF30" s="1882"/>
      <c r="VAH30" s="1887"/>
      <c r="VAI30" s="1888"/>
      <c r="VAJ30" s="1882"/>
      <c r="VAK30" s="1882"/>
      <c r="VAL30" s="1882"/>
      <c r="VAN30" s="1887"/>
      <c r="VAO30" s="1888"/>
      <c r="VAP30" s="1882"/>
      <c r="VAQ30" s="1882"/>
      <c r="VAR30" s="1882"/>
      <c r="VAT30" s="1887"/>
      <c r="VAU30" s="1888"/>
      <c r="VAV30" s="1882"/>
      <c r="VAW30" s="1882"/>
      <c r="VAX30" s="1882"/>
      <c r="VAZ30" s="1887"/>
      <c r="VBA30" s="1888"/>
      <c r="VBB30" s="1882"/>
      <c r="VBC30" s="1882"/>
      <c r="VBD30" s="1882"/>
      <c r="VBF30" s="1887"/>
      <c r="VBG30" s="1888"/>
      <c r="VBH30" s="1882"/>
      <c r="VBI30" s="1882"/>
      <c r="VBJ30" s="1882"/>
      <c r="VBL30" s="1887"/>
      <c r="VBM30" s="1888"/>
      <c r="VBN30" s="1882"/>
      <c r="VBO30" s="1882"/>
      <c r="VBP30" s="1882"/>
      <c r="VBR30" s="1887"/>
      <c r="VBS30" s="1888"/>
      <c r="VBT30" s="1882"/>
      <c r="VBU30" s="1882"/>
      <c r="VBV30" s="1882"/>
      <c r="VBX30" s="1887"/>
      <c r="VBY30" s="1888"/>
      <c r="VBZ30" s="1882"/>
      <c r="VCA30" s="1882"/>
      <c r="VCB30" s="1882"/>
      <c r="VCD30" s="1887"/>
      <c r="VCE30" s="1888"/>
      <c r="VCF30" s="1882"/>
      <c r="VCG30" s="1882"/>
      <c r="VCH30" s="1882"/>
      <c r="VCJ30" s="1887"/>
      <c r="VCK30" s="1888"/>
      <c r="VCL30" s="1882"/>
      <c r="VCM30" s="1882"/>
      <c r="VCN30" s="1882"/>
      <c r="VCP30" s="1887"/>
      <c r="VCQ30" s="1888"/>
      <c r="VCR30" s="1882"/>
      <c r="VCS30" s="1882"/>
      <c r="VCT30" s="1882"/>
      <c r="VCV30" s="1887"/>
      <c r="VCW30" s="1888"/>
      <c r="VCX30" s="1882"/>
      <c r="VCY30" s="1882"/>
      <c r="VCZ30" s="1882"/>
      <c r="VDB30" s="1887"/>
      <c r="VDC30" s="1888"/>
      <c r="VDD30" s="1882"/>
      <c r="VDE30" s="1882"/>
      <c r="VDF30" s="1882"/>
      <c r="VDH30" s="1887"/>
      <c r="VDI30" s="1888"/>
      <c r="VDJ30" s="1882"/>
      <c r="VDK30" s="1882"/>
      <c r="VDL30" s="1882"/>
      <c r="VDN30" s="1887"/>
      <c r="VDO30" s="1888"/>
      <c r="VDP30" s="1882"/>
      <c r="VDQ30" s="1882"/>
      <c r="VDR30" s="1882"/>
      <c r="VDT30" s="1887"/>
      <c r="VDU30" s="1888"/>
      <c r="VDV30" s="1882"/>
      <c r="VDW30" s="1882"/>
      <c r="VDX30" s="1882"/>
      <c r="VDZ30" s="1887"/>
      <c r="VEA30" s="1888"/>
      <c r="VEB30" s="1882"/>
      <c r="VEC30" s="1882"/>
      <c r="VED30" s="1882"/>
      <c r="VEF30" s="1887"/>
      <c r="VEG30" s="1888"/>
      <c r="VEH30" s="1882"/>
      <c r="VEI30" s="1882"/>
      <c r="VEJ30" s="1882"/>
      <c r="VEL30" s="1887"/>
      <c r="VEM30" s="1888"/>
      <c r="VEN30" s="1882"/>
      <c r="VEO30" s="1882"/>
      <c r="VEP30" s="1882"/>
      <c r="VER30" s="1887"/>
      <c r="VES30" s="1888"/>
      <c r="VET30" s="1882"/>
      <c r="VEU30" s="1882"/>
      <c r="VEV30" s="1882"/>
      <c r="VEX30" s="1887"/>
      <c r="VEY30" s="1888"/>
      <c r="VEZ30" s="1882"/>
      <c r="VFA30" s="1882"/>
      <c r="VFB30" s="1882"/>
      <c r="VFD30" s="1887"/>
      <c r="VFE30" s="1888"/>
      <c r="VFF30" s="1882"/>
      <c r="VFG30" s="1882"/>
      <c r="VFH30" s="1882"/>
      <c r="VFJ30" s="1887"/>
      <c r="VFK30" s="1888"/>
      <c r="VFL30" s="1882"/>
      <c r="VFM30" s="1882"/>
      <c r="VFN30" s="1882"/>
      <c r="VFP30" s="1887"/>
      <c r="VFQ30" s="1888"/>
      <c r="VFR30" s="1882"/>
      <c r="VFS30" s="1882"/>
      <c r="VFT30" s="1882"/>
      <c r="VFV30" s="1887"/>
      <c r="VFW30" s="1888"/>
      <c r="VFX30" s="1882"/>
      <c r="VFY30" s="1882"/>
      <c r="VFZ30" s="1882"/>
      <c r="VGB30" s="1887"/>
      <c r="VGC30" s="1888"/>
      <c r="VGD30" s="1882"/>
      <c r="VGE30" s="1882"/>
      <c r="VGF30" s="1882"/>
      <c r="VGH30" s="1887"/>
      <c r="VGI30" s="1888"/>
      <c r="VGJ30" s="1882"/>
      <c r="VGK30" s="1882"/>
      <c r="VGL30" s="1882"/>
      <c r="VGN30" s="1887"/>
      <c r="VGO30" s="1888"/>
      <c r="VGP30" s="1882"/>
      <c r="VGQ30" s="1882"/>
      <c r="VGR30" s="1882"/>
      <c r="VGT30" s="1887"/>
      <c r="VGU30" s="1888"/>
      <c r="VGV30" s="1882"/>
      <c r="VGW30" s="1882"/>
      <c r="VGX30" s="1882"/>
      <c r="VGZ30" s="1887"/>
      <c r="VHA30" s="1888"/>
      <c r="VHB30" s="1882"/>
      <c r="VHC30" s="1882"/>
      <c r="VHD30" s="1882"/>
      <c r="VHF30" s="1887"/>
      <c r="VHG30" s="1888"/>
      <c r="VHH30" s="1882"/>
      <c r="VHI30" s="1882"/>
      <c r="VHJ30" s="1882"/>
      <c r="VHL30" s="1887"/>
      <c r="VHM30" s="1888"/>
      <c r="VHN30" s="1882"/>
      <c r="VHO30" s="1882"/>
      <c r="VHP30" s="1882"/>
      <c r="VHR30" s="1887"/>
      <c r="VHS30" s="1888"/>
      <c r="VHT30" s="1882"/>
      <c r="VHU30" s="1882"/>
      <c r="VHV30" s="1882"/>
      <c r="VHX30" s="1887"/>
      <c r="VHY30" s="1888"/>
      <c r="VHZ30" s="1882"/>
      <c r="VIA30" s="1882"/>
      <c r="VIB30" s="1882"/>
      <c r="VID30" s="1887"/>
      <c r="VIE30" s="1888"/>
      <c r="VIF30" s="1882"/>
      <c r="VIG30" s="1882"/>
      <c r="VIH30" s="1882"/>
      <c r="VIJ30" s="1887"/>
      <c r="VIK30" s="1888"/>
      <c r="VIL30" s="1882"/>
      <c r="VIM30" s="1882"/>
      <c r="VIN30" s="1882"/>
      <c r="VIP30" s="1887"/>
      <c r="VIQ30" s="1888"/>
      <c r="VIR30" s="1882"/>
      <c r="VIS30" s="1882"/>
      <c r="VIT30" s="1882"/>
      <c r="VIV30" s="1887"/>
      <c r="VIW30" s="1888"/>
      <c r="VIX30" s="1882"/>
      <c r="VIY30" s="1882"/>
      <c r="VIZ30" s="1882"/>
      <c r="VJB30" s="1887"/>
      <c r="VJC30" s="1888"/>
      <c r="VJD30" s="1882"/>
      <c r="VJE30" s="1882"/>
      <c r="VJF30" s="1882"/>
      <c r="VJH30" s="1887"/>
      <c r="VJI30" s="1888"/>
      <c r="VJJ30" s="1882"/>
      <c r="VJK30" s="1882"/>
      <c r="VJL30" s="1882"/>
      <c r="VJN30" s="1887"/>
      <c r="VJO30" s="1888"/>
      <c r="VJP30" s="1882"/>
      <c r="VJQ30" s="1882"/>
      <c r="VJR30" s="1882"/>
      <c r="VJT30" s="1887"/>
      <c r="VJU30" s="1888"/>
      <c r="VJV30" s="1882"/>
      <c r="VJW30" s="1882"/>
      <c r="VJX30" s="1882"/>
      <c r="VJZ30" s="1887"/>
      <c r="VKA30" s="1888"/>
      <c r="VKB30" s="1882"/>
      <c r="VKC30" s="1882"/>
      <c r="VKD30" s="1882"/>
      <c r="VKF30" s="1887"/>
      <c r="VKG30" s="1888"/>
      <c r="VKH30" s="1882"/>
      <c r="VKI30" s="1882"/>
      <c r="VKJ30" s="1882"/>
      <c r="VKL30" s="1887"/>
      <c r="VKM30" s="1888"/>
      <c r="VKN30" s="1882"/>
      <c r="VKO30" s="1882"/>
      <c r="VKP30" s="1882"/>
      <c r="VKR30" s="1887"/>
      <c r="VKS30" s="1888"/>
      <c r="VKT30" s="1882"/>
      <c r="VKU30" s="1882"/>
      <c r="VKV30" s="1882"/>
      <c r="VKX30" s="1887"/>
      <c r="VKY30" s="1888"/>
      <c r="VKZ30" s="1882"/>
      <c r="VLA30" s="1882"/>
      <c r="VLB30" s="1882"/>
      <c r="VLD30" s="1887"/>
      <c r="VLE30" s="1888"/>
      <c r="VLF30" s="1882"/>
      <c r="VLG30" s="1882"/>
      <c r="VLH30" s="1882"/>
      <c r="VLJ30" s="1887"/>
      <c r="VLK30" s="1888"/>
      <c r="VLL30" s="1882"/>
      <c r="VLM30" s="1882"/>
      <c r="VLN30" s="1882"/>
      <c r="VLP30" s="1887"/>
      <c r="VLQ30" s="1888"/>
      <c r="VLR30" s="1882"/>
      <c r="VLS30" s="1882"/>
      <c r="VLT30" s="1882"/>
      <c r="VLV30" s="1887"/>
      <c r="VLW30" s="1888"/>
      <c r="VLX30" s="1882"/>
      <c r="VLY30" s="1882"/>
      <c r="VLZ30" s="1882"/>
      <c r="VMB30" s="1887"/>
      <c r="VMC30" s="1888"/>
      <c r="VMD30" s="1882"/>
      <c r="VME30" s="1882"/>
      <c r="VMF30" s="1882"/>
      <c r="VMH30" s="1887"/>
      <c r="VMI30" s="1888"/>
      <c r="VMJ30" s="1882"/>
      <c r="VMK30" s="1882"/>
      <c r="VML30" s="1882"/>
      <c r="VMN30" s="1887"/>
      <c r="VMO30" s="1888"/>
      <c r="VMP30" s="1882"/>
      <c r="VMQ30" s="1882"/>
      <c r="VMR30" s="1882"/>
      <c r="VMT30" s="1887"/>
      <c r="VMU30" s="1888"/>
      <c r="VMV30" s="1882"/>
      <c r="VMW30" s="1882"/>
      <c r="VMX30" s="1882"/>
      <c r="VMZ30" s="1887"/>
      <c r="VNA30" s="1888"/>
      <c r="VNB30" s="1882"/>
      <c r="VNC30" s="1882"/>
      <c r="VND30" s="1882"/>
      <c r="VNF30" s="1887"/>
      <c r="VNG30" s="1888"/>
      <c r="VNH30" s="1882"/>
      <c r="VNI30" s="1882"/>
      <c r="VNJ30" s="1882"/>
      <c r="VNL30" s="1887"/>
      <c r="VNM30" s="1888"/>
      <c r="VNN30" s="1882"/>
      <c r="VNO30" s="1882"/>
      <c r="VNP30" s="1882"/>
      <c r="VNR30" s="1887"/>
      <c r="VNS30" s="1888"/>
      <c r="VNT30" s="1882"/>
      <c r="VNU30" s="1882"/>
      <c r="VNV30" s="1882"/>
      <c r="VNX30" s="1887"/>
      <c r="VNY30" s="1888"/>
      <c r="VNZ30" s="1882"/>
      <c r="VOA30" s="1882"/>
      <c r="VOB30" s="1882"/>
      <c r="VOD30" s="1887"/>
      <c r="VOE30" s="1888"/>
      <c r="VOF30" s="1882"/>
      <c r="VOG30" s="1882"/>
      <c r="VOH30" s="1882"/>
      <c r="VOJ30" s="1887"/>
      <c r="VOK30" s="1888"/>
      <c r="VOL30" s="1882"/>
      <c r="VOM30" s="1882"/>
      <c r="VON30" s="1882"/>
      <c r="VOP30" s="1887"/>
      <c r="VOQ30" s="1888"/>
      <c r="VOR30" s="1882"/>
      <c r="VOS30" s="1882"/>
      <c r="VOT30" s="1882"/>
      <c r="VOV30" s="1887"/>
      <c r="VOW30" s="1888"/>
      <c r="VOX30" s="1882"/>
      <c r="VOY30" s="1882"/>
      <c r="VOZ30" s="1882"/>
      <c r="VPB30" s="1887"/>
      <c r="VPC30" s="1888"/>
      <c r="VPD30" s="1882"/>
      <c r="VPE30" s="1882"/>
      <c r="VPF30" s="1882"/>
      <c r="VPH30" s="1887"/>
      <c r="VPI30" s="1888"/>
      <c r="VPJ30" s="1882"/>
      <c r="VPK30" s="1882"/>
      <c r="VPL30" s="1882"/>
      <c r="VPN30" s="1887"/>
      <c r="VPO30" s="1888"/>
      <c r="VPP30" s="1882"/>
      <c r="VPQ30" s="1882"/>
      <c r="VPR30" s="1882"/>
      <c r="VPT30" s="1887"/>
      <c r="VPU30" s="1888"/>
      <c r="VPV30" s="1882"/>
      <c r="VPW30" s="1882"/>
      <c r="VPX30" s="1882"/>
      <c r="VPZ30" s="1887"/>
      <c r="VQA30" s="1888"/>
      <c r="VQB30" s="1882"/>
      <c r="VQC30" s="1882"/>
      <c r="VQD30" s="1882"/>
      <c r="VQF30" s="1887"/>
      <c r="VQG30" s="1888"/>
      <c r="VQH30" s="1882"/>
      <c r="VQI30" s="1882"/>
      <c r="VQJ30" s="1882"/>
      <c r="VQL30" s="1887"/>
      <c r="VQM30" s="1888"/>
      <c r="VQN30" s="1882"/>
      <c r="VQO30" s="1882"/>
      <c r="VQP30" s="1882"/>
      <c r="VQR30" s="1887"/>
      <c r="VQS30" s="1888"/>
      <c r="VQT30" s="1882"/>
      <c r="VQU30" s="1882"/>
      <c r="VQV30" s="1882"/>
      <c r="VQX30" s="1887"/>
      <c r="VQY30" s="1888"/>
      <c r="VQZ30" s="1882"/>
      <c r="VRA30" s="1882"/>
      <c r="VRB30" s="1882"/>
      <c r="VRD30" s="1887"/>
      <c r="VRE30" s="1888"/>
      <c r="VRF30" s="1882"/>
      <c r="VRG30" s="1882"/>
      <c r="VRH30" s="1882"/>
      <c r="VRJ30" s="1887"/>
      <c r="VRK30" s="1888"/>
      <c r="VRL30" s="1882"/>
      <c r="VRM30" s="1882"/>
      <c r="VRN30" s="1882"/>
      <c r="VRP30" s="1887"/>
      <c r="VRQ30" s="1888"/>
      <c r="VRR30" s="1882"/>
      <c r="VRS30" s="1882"/>
      <c r="VRT30" s="1882"/>
      <c r="VRV30" s="1887"/>
      <c r="VRW30" s="1888"/>
      <c r="VRX30" s="1882"/>
      <c r="VRY30" s="1882"/>
      <c r="VRZ30" s="1882"/>
      <c r="VSB30" s="1887"/>
      <c r="VSC30" s="1888"/>
      <c r="VSD30" s="1882"/>
      <c r="VSE30" s="1882"/>
      <c r="VSF30" s="1882"/>
      <c r="VSH30" s="1887"/>
      <c r="VSI30" s="1888"/>
      <c r="VSJ30" s="1882"/>
      <c r="VSK30" s="1882"/>
      <c r="VSL30" s="1882"/>
      <c r="VSN30" s="1887"/>
      <c r="VSO30" s="1888"/>
      <c r="VSP30" s="1882"/>
      <c r="VSQ30" s="1882"/>
      <c r="VSR30" s="1882"/>
      <c r="VST30" s="1887"/>
      <c r="VSU30" s="1888"/>
      <c r="VSV30" s="1882"/>
      <c r="VSW30" s="1882"/>
      <c r="VSX30" s="1882"/>
      <c r="VSZ30" s="1887"/>
      <c r="VTA30" s="1888"/>
      <c r="VTB30" s="1882"/>
      <c r="VTC30" s="1882"/>
      <c r="VTD30" s="1882"/>
      <c r="VTF30" s="1887"/>
      <c r="VTG30" s="1888"/>
      <c r="VTH30" s="1882"/>
      <c r="VTI30" s="1882"/>
      <c r="VTJ30" s="1882"/>
      <c r="VTL30" s="1887"/>
      <c r="VTM30" s="1888"/>
      <c r="VTN30" s="1882"/>
      <c r="VTO30" s="1882"/>
      <c r="VTP30" s="1882"/>
      <c r="VTR30" s="1887"/>
      <c r="VTS30" s="1888"/>
      <c r="VTT30" s="1882"/>
      <c r="VTU30" s="1882"/>
      <c r="VTV30" s="1882"/>
      <c r="VTX30" s="1887"/>
      <c r="VTY30" s="1888"/>
      <c r="VTZ30" s="1882"/>
      <c r="VUA30" s="1882"/>
      <c r="VUB30" s="1882"/>
      <c r="VUD30" s="1887"/>
      <c r="VUE30" s="1888"/>
      <c r="VUF30" s="1882"/>
      <c r="VUG30" s="1882"/>
      <c r="VUH30" s="1882"/>
      <c r="VUJ30" s="1887"/>
      <c r="VUK30" s="1888"/>
      <c r="VUL30" s="1882"/>
      <c r="VUM30" s="1882"/>
      <c r="VUN30" s="1882"/>
      <c r="VUP30" s="1887"/>
      <c r="VUQ30" s="1888"/>
      <c r="VUR30" s="1882"/>
      <c r="VUS30" s="1882"/>
      <c r="VUT30" s="1882"/>
      <c r="VUV30" s="1887"/>
      <c r="VUW30" s="1888"/>
      <c r="VUX30" s="1882"/>
      <c r="VUY30" s="1882"/>
      <c r="VUZ30" s="1882"/>
      <c r="VVB30" s="1887"/>
      <c r="VVC30" s="1888"/>
      <c r="VVD30" s="1882"/>
      <c r="VVE30" s="1882"/>
      <c r="VVF30" s="1882"/>
      <c r="VVH30" s="1887"/>
      <c r="VVI30" s="1888"/>
      <c r="VVJ30" s="1882"/>
      <c r="VVK30" s="1882"/>
      <c r="VVL30" s="1882"/>
      <c r="VVN30" s="1887"/>
      <c r="VVO30" s="1888"/>
      <c r="VVP30" s="1882"/>
      <c r="VVQ30" s="1882"/>
      <c r="VVR30" s="1882"/>
      <c r="VVT30" s="1887"/>
      <c r="VVU30" s="1888"/>
      <c r="VVV30" s="1882"/>
      <c r="VVW30" s="1882"/>
      <c r="VVX30" s="1882"/>
      <c r="VVZ30" s="1887"/>
      <c r="VWA30" s="1888"/>
      <c r="VWB30" s="1882"/>
      <c r="VWC30" s="1882"/>
      <c r="VWD30" s="1882"/>
      <c r="VWF30" s="1887"/>
      <c r="VWG30" s="1888"/>
      <c r="VWH30" s="1882"/>
      <c r="VWI30" s="1882"/>
      <c r="VWJ30" s="1882"/>
      <c r="VWL30" s="1887"/>
      <c r="VWM30" s="1888"/>
      <c r="VWN30" s="1882"/>
      <c r="VWO30" s="1882"/>
      <c r="VWP30" s="1882"/>
      <c r="VWR30" s="1887"/>
      <c r="VWS30" s="1888"/>
      <c r="VWT30" s="1882"/>
      <c r="VWU30" s="1882"/>
      <c r="VWV30" s="1882"/>
      <c r="VWX30" s="1887"/>
      <c r="VWY30" s="1888"/>
      <c r="VWZ30" s="1882"/>
      <c r="VXA30" s="1882"/>
      <c r="VXB30" s="1882"/>
      <c r="VXD30" s="1887"/>
      <c r="VXE30" s="1888"/>
      <c r="VXF30" s="1882"/>
      <c r="VXG30" s="1882"/>
      <c r="VXH30" s="1882"/>
      <c r="VXJ30" s="1887"/>
      <c r="VXK30" s="1888"/>
      <c r="VXL30" s="1882"/>
      <c r="VXM30" s="1882"/>
      <c r="VXN30" s="1882"/>
      <c r="VXP30" s="1887"/>
      <c r="VXQ30" s="1888"/>
      <c r="VXR30" s="1882"/>
      <c r="VXS30" s="1882"/>
      <c r="VXT30" s="1882"/>
      <c r="VXV30" s="1887"/>
      <c r="VXW30" s="1888"/>
      <c r="VXX30" s="1882"/>
      <c r="VXY30" s="1882"/>
      <c r="VXZ30" s="1882"/>
      <c r="VYB30" s="1887"/>
      <c r="VYC30" s="1888"/>
      <c r="VYD30" s="1882"/>
      <c r="VYE30" s="1882"/>
      <c r="VYF30" s="1882"/>
      <c r="VYH30" s="1887"/>
      <c r="VYI30" s="1888"/>
      <c r="VYJ30" s="1882"/>
      <c r="VYK30" s="1882"/>
      <c r="VYL30" s="1882"/>
      <c r="VYN30" s="1887"/>
      <c r="VYO30" s="1888"/>
      <c r="VYP30" s="1882"/>
      <c r="VYQ30" s="1882"/>
      <c r="VYR30" s="1882"/>
      <c r="VYT30" s="1887"/>
      <c r="VYU30" s="1888"/>
      <c r="VYV30" s="1882"/>
      <c r="VYW30" s="1882"/>
      <c r="VYX30" s="1882"/>
      <c r="VYZ30" s="1887"/>
      <c r="VZA30" s="1888"/>
      <c r="VZB30" s="1882"/>
      <c r="VZC30" s="1882"/>
      <c r="VZD30" s="1882"/>
      <c r="VZF30" s="1887"/>
      <c r="VZG30" s="1888"/>
      <c r="VZH30" s="1882"/>
      <c r="VZI30" s="1882"/>
      <c r="VZJ30" s="1882"/>
      <c r="VZL30" s="1887"/>
      <c r="VZM30" s="1888"/>
      <c r="VZN30" s="1882"/>
      <c r="VZO30" s="1882"/>
      <c r="VZP30" s="1882"/>
      <c r="VZR30" s="1887"/>
      <c r="VZS30" s="1888"/>
      <c r="VZT30" s="1882"/>
      <c r="VZU30" s="1882"/>
      <c r="VZV30" s="1882"/>
      <c r="VZX30" s="1887"/>
      <c r="VZY30" s="1888"/>
      <c r="VZZ30" s="1882"/>
      <c r="WAA30" s="1882"/>
      <c r="WAB30" s="1882"/>
      <c r="WAD30" s="1887"/>
      <c r="WAE30" s="1888"/>
      <c r="WAF30" s="1882"/>
      <c r="WAG30" s="1882"/>
      <c r="WAH30" s="1882"/>
      <c r="WAJ30" s="1887"/>
      <c r="WAK30" s="1888"/>
      <c r="WAL30" s="1882"/>
      <c r="WAM30" s="1882"/>
      <c r="WAN30" s="1882"/>
      <c r="WAP30" s="1887"/>
      <c r="WAQ30" s="1888"/>
      <c r="WAR30" s="1882"/>
      <c r="WAS30" s="1882"/>
      <c r="WAT30" s="1882"/>
      <c r="WAV30" s="1887"/>
      <c r="WAW30" s="1888"/>
      <c r="WAX30" s="1882"/>
      <c r="WAY30" s="1882"/>
      <c r="WAZ30" s="1882"/>
      <c r="WBB30" s="1887"/>
      <c r="WBC30" s="1888"/>
      <c r="WBD30" s="1882"/>
      <c r="WBE30" s="1882"/>
      <c r="WBF30" s="1882"/>
      <c r="WBH30" s="1887"/>
      <c r="WBI30" s="1888"/>
      <c r="WBJ30" s="1882"/>
      <c r="WBK30" s="1882"/>
      <c r="WBL30" s="1882"/>
      <c r="WBN30" s="1887"/>
      <c r="WBO30" s="1888"/>
      <c r="WBP30" s="1882"/>
      <c r="WBQ30" s="1882"/>
      <c r="WBR30" s="1882"/>
      <c r="WBT30" s="1887"/>
      <c r="WBU30" s="1888"/>
      <c r="WBV30" s="1882"/>
      <c r="WBW30" s="1882"/>
      <c r="WBX30" s="1882"/>
      <c r="WBZ30" s="1887"/>
      <c r="WCA30" s="1888"/>
      <c r="WCB30" s="1882"/>
      <c r="WCC30" s="1882"/>
      <c r="WCD30" s="1882"/>
      <c r="WCF30" s="1887"/>
      <c r="WCG30" s="1888"/>
      <c r="WCH30" s="1882"/>
      <c r="WCI30" s="1882"/>
      <c r="WCJ30" s="1882"/>
      <c r="WCL30" s="1887"/>
      <c r="WCM30" s="1888"/>
      <c r="WCN30" s="1882"/>
      <c r="WCO30" s="1882"/>
      <c r="WCP30" s="1882"/>
      <c r="WCR30" s="1887"/>
      <c r="WCS30" s="1888"/>
      <c r="WCT30" s="1882"/>
      <c r="WCU30" s="1882"/>
      <c r="WCV30" s="1882"/>
      <c r="WCX30" s="1887"/>
      <c r="WCY30" s="1888"/>
      <c r="WCZ30" s="1882"/>
      <c r="WDA30" s="1882"/>
      <c r="WDB30" s="1882"/>
      <c r="WDD30" s="1887"/>
      <c r="WDE30" s="1888"/>
      <c r="WDF30" s="1882"/>
      <c r="WDG30" s="1882"/>
      <c r="WDH30" s="1882"/>
      <c r="WDJ30" s="1887"/>
      <c r="WDK30" s="1888"/>
      <c r="WDL30" s="1882"/>
      <c r="WDM30" s="1882"/>
      <c r="WDN30" s="1882"/>
      <c r="WDP30" s="1887"/>
      <c r="WDQ30" s="1888"/>
      <c r="WDR30" s="1882"/>
      <c r="WDS30" s="1882"/>
      <c r="WDT30" s="1882"/>
      <c r="WDV30" s="1887"/>
      <c r="WDW30" s="1888"/>
      <c r="WDX30" s="1882"/>
      <c r="WDY30" s="1882"/>
      <c r="WDZ30" s="1882"/>
      <c r="WEB30" s="1887"/>
      <c r="WEC30" s="1888"/>
      <c r="WED30" s="1882"/>
      <c r="WEE30" s="1882"/>
      <c r="WEF30" s="1882"/>
      <c r="WEH30" s="1887"/>
      <c r="WEI30" s="1888"/>
      <c r="WEJ30" s="1882"/>
      <c r="WEK30" s="1882"/>
      <c r="WEL30" s="1882"/>
      <c r="WEN30" s="1887"/>
      <c r="WEO30" s="1888"/>
      <c r="WEP30" s="1882"/>
      <c r="WEQ30" s="1882"/>
      <c r="WER30" s="1882"/>
      <c r="WET30" s="1887"/>
      <c r="WEU30" s="1888"/>
      <c r="WEV30" s="1882"/>
      <c r="WEW30" s="1882"/>
      <c r="WEX30" s="1882"/>
      <c r="WEZ30" s="1887"/>
      <c r="WFA30" s="1888"/>
      <c r="WFB30" s="1882"/>
      <c r="WFC30" s="1882"/>
      <c r="WFD30" s="1882"/>
      <c r="WFF30" s="1887"/>
      <c r="WFG30" s="1888"/>
      <c r="WFH30" s="1882"/>
      <c r="WFI30" s="1882"/>
      <c r="WFJ30" s="1882"/>
      <c r="WFL30" s="1887"/>
      <c r="WFM30" s="1888"/>
      <c r="WFN30" s="1882"/>
      <c r="WFO30" s="1882"/>
      <c r="WFP30" s="1882"/>
      <c r="WFR30" s="1887"/>
      <c r="WFS30" s="1888"/>
      <c r="WFT30" s="1882"/>
      <c r="WFU30" s="1882"/>
      <c r="WFV30" s="1882"/>
      <c r="WFX30" s="1887"/>
      <c r="WFY30" s="1888"/>
      <c r="WFZ30" s="1882"/>
      <c r="WGA30" s="1882"/>
      <c r="WGB30" s="1882"/>
      <c r="WGD30" s="1887"/>
      <c r="WGE30" s="1888"/>
      <c r="WGF30" s="1882"/>
      <c r="WGG30" s="1882"/>
      <c r="WGH30" s="1882"/>
      <c r="WGJ30" s="1887"/>
      <c r="WGK30" s="1888"/>
      <c r="WGL30" s="1882"/>
      <c r="WGM30" s="1882"/>
      <c r="WGN30" s="1882"/>
      <c r="WGP30" s="1887"/>
      <c r="WGQ30" s="1888"/>
      <c r="WGR30" s="1882"/>
      <c r="WGS30" s="1882"/>
      <c r="WGT30" s="1882"/>
      <c r="WGV30" s="1887"/>
      <c r="WGW30" s="1888"/>
      <c r="WGX30" s="1882"/>
      <c r="WGY30" s="1882"/>
      <c r="WGZ30" s="1882"/>
      <c r="WHB30" s="1887"/>
      <c r="WHC30" s="1888"/>
      <c r="WHD30" s="1882"/>
      <c r="WHE30" s="1882"/>
      <c r="WHF30" s="1882"/>
      <c r="WHH30" s="1887"/>
      <c r="WHI30" s="1888"/>
      <c r="WHJ30" s="1882"/>
      <c r="WHK30" s="1882"/>
      <c r="WHL30" s="1882"/>
      <c r="WHN30" s="1887"/>
      <c r="WHO30" s="1888"/>
      <c r="WHP30" s="1882"/>
      <c r="WHQ30" s="1882"/>
      <c r="WHR30" s="1882"/>
      <c r="WHT30" s="1887"/>
      <c r="WHU30" s="1888"/>
      <c r="WHV30" s="1882"/>
      <c r="WHW30" s="1882"/>
      <c r="WHX30" s="1882"/>
      <c r="WHZ30" s="1887"/>
      <c r="WIA30" s="1888"/>
      <c r="WIB30" s="1882"/>
      <c r="WIC30" s="1882"/>
      <c r="WID30" s="1882"/>
      <c r="WIF30" s="1887"/>
      <c r="WIG30" s="1888"/>
      <c r="WIH30" s="1882"/>
      <c r="WII30" s="1882"/>
      <c r="WIJ30" s="1882"/>
      <c r="WIL30" s="1887"/>
      <c r="WIM30" s="1888"/>
      <c r="WIN30" s="1882"/>
      <c r="WIO30" s="1882"/>
      <c r="WIP30" s="1882"/>
      <c r="WIR30" s="1887"/>
      <c r="WIS30" s="1888"/>
      <c r="WIT30" s="1882"/>
      <c r="WIU30" s="1882"/>
      <c r="WIV30" s="1882"/>
      <c r="WIX30" s="1887"/>
      <c r="WIY30" s="1888"/>
      <c r="WIZ30" s="1882"/>
      <c r="WJA30" s="1882"/>
      <c r="WJB30" s="1882"/>
      <c r="WJD30" s="1887"/>
      <c r="WJE30" s="1888"/>
      <c r="WJF30" s="1882"/>
      <c r="WJG30" s="1882"/>
      <c r="WJH30" s="1882"/>
      <c r="WJJ30" s="1887"/>
      <c r="WJK30" s="1888"/>
      <c r="WJL30" s="1882"/>
      <c r="WJM30" s="1882"/>
      <c r="WJN30" s="1882"/>
      <c r="WJP30" s="1887"/>
      <c r="WJQ30" s="1888"/>
      <c r="WJR30" s="1882"/>
      <c r="WJS30" s="1882"/>
      <c r="WJT30" s="1882"/>
      <c r="WJV30" s="1887"/>
      <c r="WJW30" s="1888"/>
      <c r="WJX30" s="1882"/>
      <c r="WJY30" s="1882"/>
      <c r="WJZ30" s="1882"/>
      <c r="WKB30" s="1887"/>
      <c r="WKC30" s="1888"/>
      <c r="WKD30" s="1882"/>
      <c r="WKE30" s="1882"/>
      <c r="WKF30" s="1882"/>
      <c r="WKH30" s="1887"/>
      <c r="WKI30" s="1888"/>
      <c r="WKJ30" s="1882"/>
      <c r="WKK30" s="1882"/>
      <c r="WKL30" s="1882"/>
      <c r="WKN30" s="1887"/>
      <c r="WKO30" s="1888"/>
      <c r="WKP30" s="1882"/>
      <c r="WKQ30" s="1882"/>
      <c r="WKR30" s="1882"/>
      <c r="WKT30" s="1887"/>
      <c r="WKU30" s="1888"/>
      <c r="WKV30" s="1882"/>
      <c r="WKW30" s="1882"/>
      <c r="WKX30" s="1882"/>
      <c r="WKZ30" s="1887"/>
      <c r="WLA30" s="1888"/>
      <c r="WLB30" s="1882"/>
      <c r="WLC30" s="1882"/>
      <c r="WLD30" s="1882"/>
      <c r="WLF30" s="1887"/>
      <c r="WLG30" s="1888"/>
      <c r="WLH30" s="1882"/>
      <c r="WLI30" s="1882"/>
      <c r="WLJ30" s="1882"/>
      <c r="WLL30" s="1887"/>
      <c r="WLM30" s="1888"/>
      <c r="WLN30" s="1882"/>
      <c r="WLO30" s="1882"/>
      <c r="WLP30" s="1882"/>
      <c r="WLR30" s="1887"/>
      <c r="WLS30" s="1888"/>
      <c r="WLT30" s="1882"/>
      <c r="WLU30" s="1882"/>
      <c r="WLV30" s="1882"/>
      <c r="WLX30" s="1887"/>
      <c r="WLY30" s="1888"/>
      <c r="WLZ30" s="1882"/>
      <c r="WMA30" s="1882"/>
      <c r="WMB30" s="1882"/>
      <c r="WMD30" s="1887"/>
      <c r="WME30" s="1888"/>
      <c r="WMF30" s="1882"/>
      <c r="WMG30" s="1882"/>
      <c r="WMH30" s="1882"/>
      <c r="WMJ30" s="1887"/>
      <c r="WMK30" s="1888"/>
      <c r="WML30" s="1882"/>
      <c r="WMM30" s="1882"/>
      <c r="WMN30" s="1882"/>
      <c r="WMP30" s="1887"/>
      <c r="WMQ30" s="1888"/>
      <c r="WMR30" s="1882"/>
      <c r="WMS30" s="1882"/>
      <c r="WMT30" s="1882"/>
      <c r="WMV30" s="1887"/>
      <c r="WMW30" s="1888"/>
      <c r="WMX30" s="1882"/>
      <c r="WMY30" s="1882"/>
      <c r="WMZ30" s="1882"/>
      <c r="WNB30" s="1887"/>
      <c r="WNC30" s="1888"/>
      <c r="WND30" s="1882"/>
      <c r="WNE30" s="1882"/>
      <c r="WNF30" s="1882"/>
      <c r="WNH30" s="1887"/>
      <c r="WNI30" s="1888"/>
      <c r="WNJ30" s="1882"/>
      <c r="WNK30" s="1882"/>
      <c r="WNL30" s="1882"/>
      <c r="WNN30" s="1887"/>
      <c r="WNO30" s="1888"/>
      <c r="WNP30" s="1882"/>
      <c r="WNQ30" s="1882"/>
      <c r="WNR30" s="1882"/>
      <c r="WNT30" s="1887"/>
      <c r="WNU30" s="1888"/>
      <c r="WNV30" s="1882"/>
      <c r="WNW30" s="1882"/>
      <c r="WNX30" s="1882"/>
      <c r="WNZ30" s="1887"/>
      <c r="WOA30" s="1888"/>
      <c r="WOB30" s="1882"/>
      <c r="WOC30" s="1882"/>
      <c r="WOD30" s="1882"/>
      <c r="WOF30" s="1887"/>
      <c r="WOG30" s="1888"/>
      <c r="WOH30" s="1882"/>
      <c r="WOI30" s="1882"/>
      <c r="WOJ30" s="1882"/>
      <c r="WOL30" s="1887"/>
      <c r="WOM30" s="1888"/>
      <c r="WON30" s="1882"/>
      <c r="WOO30" s="1882"/>
      <c r="WOP30" s="1882"/>
      <c r="WOR30" s="1887"/>
      <c r="WOS30" s="1888"/>
      <c r="WOT30" s="1882"/>
      <c r="WOU30" s="1882"/>
      <c r="WOV30" s="1882"/>
      <c r="WOX30" s="1887"/>
      <c r="WOY30" s="1888"/>
      <c r="WOZ30" s="1882"/>
      <c r="WPA30" s="1882"/>
      <c r="WPB30" s="1882"/>
      <c r="WPD30" s="1887"/>
      <c r="WPE30" s="1888"/>
      <c r="WPF30" s="1882"/>
      <c r="WPG30" s="1882"/>
      <c r="WPH30" s="1882"/>
      <c r="WPJ30" s="1887"/>
      <c r="WPK30" s="1888"/>
      <c r="WPL30" s="1882"/>
      <c r="WPM30" s="1882"/>
      <c r="WPN30" s="1882"/>
      <c r="WPP30" s="1887"/>
      <c r="WPQ30" s="1888"/>
      <c r="WPR30" s="1882"/>
      <c r="WPS30" s="1882"/>
      <c r="WPT30" s="1882"/>
      <c r="WPV30" s="1887"/>
      <c r="WPW30" s="1888"/>
      <c r="WPX30" s="1882"/>
      <c r="WPY30" s="1882"/>
      <c r="WPZ30" s="1882"/>
      <c r="WQB30" s="1887"/>
      <c r="WQC30" s="1888"/>
      <c r="WQD30" s="1882"/>
      <c r="WQE30" s="1882"/>
      <c r="WQF30" s="1882"/>
      <c r="WQH30" s="1887"/>
      <c r="WQI30" s="1888"/>
      <c r="WQJ30" s="1882"/>
      <c r="WQK30" s="1882"/>
      <c r="WQL30" s="1882"/>
      <c r="WQN30" s="1887"/>
      <c r="WQO30" s="1888"/>
      <c r="WQP30" s="1882"/>
      <c r="WQQ30" s="1882"/>
      <c r="WQR30" s="1882"/>
      <c r="WQT30" s="1887"/>
      <c r="WQU30" s="1888"/>
      <c r="WQV30" s="1882"/>
      <c r="WQW30" s="1882"/>
      <c r="WQX30" s="1882"/>
      <c r="WQZ30" s="1887"/>
      <c r="WRA30" s="1888"/>
      <c r="WRB30" s="1882"/>
      <c r="WRC30" s="1882"/>
      <c r="WRD30" s="1882"/>
      <c r="WRF30" s="1887"/>
      <c r="WRG30" s="1888"/>
      <c r="WRH30" s="1882"/>
      <c r="WRI30" s="1882"/>
      <c r="WRJ30" s="1882"/>
      <c r="WRL30" s="1887"/>
      <c r="WRM30" s="1888"/>
      <c r="WRN30" s="1882"/>
      <c r="WRO30" s="1882"/>
      <c r="WRP30" s="1882"/>
      <c r="WRR30" s="1887"/>
      <c r="WRS30" s="1888"/>
      <c r="WRT30" s="1882"/>
      <c r="WRU30" s="1882"/>
      <c r="WRV30" s="1882"/>
      <c r="WRX30" s="1887"/>
      <c r="WRY30" s="1888"/>
      <c r="WRZ30" s="1882"/>
      <c r="WSA30" s="1882"/>
      <c r="WSB30" s="1882"/>
      <c r="WSD30" s="1887"/>
      <c r="WSE30" s="1888"/>
      <c r="WSF30" s="1882"/>
      <c r="WSG30" s="1882"/>
      <c r="WSH30" s="1882"/>
      <c r="WSJ30" s="1887"/>
      <c r="WSK30" s="1888"/>
      <c r="WSL30" s="1882"/>
      <c r="WSM30" s="1882"/>
      <c r="WSN30" s="1882"/>
      <c r="WSP30" s="1887"/>
      <c r="WSQ30" s="1888"/>
      <c r="WSR30" s="1882"/>
      <c r="WSS30" s="1882"/>
      <c r="WST30" s="1882"/>
      <c r="WSV30" s="1887"/>
      <c r="WSW30" s="1888"/>
      <c r="WSX30" s="1882"/>
      <c r="WSY30" s="1882"/>
      <c r="WSZ30" s="1882"/>
      <c r="WTB30" s="1887"/>
      <c r="WTC30" s="1888"/>
      <c r="WTD30" s="1882"/>
      <c r="WTE30" s="1882"/>
      <c r="WTF30" s="1882"/>
      <c r="WTH30" s="1887"/>
      <c r="WTI30" s="1888"/>
      <c r="WTJ30" s="1882"/>
      <c r="WTK30" s="1882"/>
      <c r="WTL30" s="1882"/>
      <c r="WTN30" s="1887"/>
      <c r="WTO30" s="1888"/>
      <c r="WTP30" s="1882"/>
      <c r="WTQ30" s="1882"/>
      <c r="WTR30" s="1882"/>
      <c r="WTT30" s="1887"/>
      <c r="WTU30" s="1888"/>
      <c r="WTV30" s="1882"/>
      <c r="WTW30" s="1882"/>
      <c r="WTX30" s="1882"/>
      <c r="WTZ30" s="1887"/>
      <c r="WUA30" s="1888"/>
      <c r="WUB30" s="1882"/>
      <c r="WUC30" s="1882"/>
      <c r="WUD30" s="1882"/>
      <c r="WUF30" s="1887"/>
      <c r="WUG30" s="1888"/>
      <c r="WUH30" s="1882"/>
      <c r="WUI30" s="1882"/>
      <c r="WUJ30" s="1882"/>
      <c r="WUL30" s="1887"/>
      <c r="WUM30" s="1888"/>
      <c r="WUN30" s="1882"/>
      <c r="WUO30" s="1882"/>
      <c r="WUP30" s="1882"/>
      <c r="WUR30" s="1887"/>
      <c r="WUS30" s="1888"/>
      <c r="WUT30" s="1882"/>
      <c r="WUU30" s="1882"/>
      <c r="WUV30" s="1882"/>
      <c r="WUX30" s="1887"/>
      <c r="WUY30" s="1888"/>
      <c r="WUZ30" s="1882"/>
      <c r="WVA30" s="1882"/>
      <c r="WVB30" s="1882"/>
      <c r="WVD30" s="1887"/>
      <c r="WVE30" s="1888"/>
      <c r="WVF30" s="1882"/>
      <c r="WVG30" s="1882"/>
      <c r="WVH30" s="1882"/>
      <c r="WVJ30" s="1887"/>
      <c r="WVK30" s="1888"/>
      <c r="WVL30" s="1882"/>
      <c r="WVM30" s="1882"/>
      <c r="WVN30" s="1882"/>
      <c r="WVP30" s="1887"/>
      <c r="WVQ30" s="1888"/>
      <c r="WVR30" s="1882"/>
      <c r="WVS30" s="1882"/>
      <c r="WVT30" s="1882"/>
      <c r="WVV30" s="1887"/>
      <c r="WVW30" s="1888"/>
      <c r="WVX30" s="1882"/>
      <c r="WVY30" s="1882"/>
      <c r="WVZ30" s="1882"/>
      <c r="WWB30" s="1887"/>
      <c r="WWC30" s="1888"/>
      <c r="WWD30" s="1882"/>
      <c r="WWE30" s="1882"/>
      <c r="WWF30" s="1882"/>
      <c r="WWH30" s="1887"/>
      <c r="WWI30" s="1888"/>
      <c r="WWJ30" s="1882"/>
      <c r="WWK30" s="1882"/>
      <c r="WWL30" s="1882"/>
      <c r="WWN30" s="1887"/>
      <c r="WWO30" s="1888"/>
      <c r="WWP30" s="1882"/>
      <c r="WWQ30" s="1882"/>
      <c r="WWR30" s="1882"/>
      <c r="WWT30" s="1887"/>
      <c r="WWU30" s="1888"/>
      <c r="WWV30" s="1882"/>
      <c r="WWW30" s="1882"/>
      <c r="WWX30" s="1882"/>
      <c r="WWZ30" s="1887"/>
      <c r="WXA30" s="1888"/>
      <c r="WXB30" s="1882"/>
      <c r="WXC30" s="1882"/>
      <c r="WXD30" s="1882"/>
      <c r="WXF30" s="1887"/>
      <c r="WXG30" s="1888"/>
      <c r="WXH30" s="1882"/>
      <c r="WXI30" s="1882"/>
      <c r="WXJ30" s="1882"/>
      <c r="WXL30" s="1887"/>
      <c r="WXM30" s="1888"/>
      <c r="WXN30" s="1882"/>
      <c r="WXO30" s="1882"/>
      <c r="WXP30" s="1882"/>
      <c r="WXR30" s="1887"/>
      <c r="WXS30" s="1888"/>
      <c r="WXT30" s="1882"/>
      <c r="WXU30" s="1882"/>
      <c r="WXV30" s="1882"/>
      <c r="WXX30" s="1887"/>
      <c r="WXY30" s="1888"/>
      <c r="WXZ30" s="1882"/>
      <c r="WYA30" s="1882"/>
      <c r="WYB30" s="1882"/>
      <c r="WYD30" s="1887"/>
      <c r="WYE30" s="1888"/>
      <c r="WYF30" s="1882"/>
      <c r="WYG30" s="1882"/>
      <c r="WYH30" s="1882"/>
      <c r="WYJ30" s="1887"/>
      <c r="WYK30" s="1888"/>
      <c r="WYL30" s="1882"/>
      <c r="WYM30" s="1882"/>
      <c r="WYN30" s="1882"/>
      <c r="WYP30" s="1887"/>
      <c r="WYQ30" s="1888"/>
      <c r="WYR30" s="1882"/>
      <c r="WYS30" s="1882"/>
      <c r="WYT30" s="1882"/>
      <c r="WYV30" s="1887"/>
      <c r="WYW30" s="1888"/>
      <c r="WYX30" s="1882"/>
      <c r="WYY30" s="1882"/>
      <c r="WYZ30" s="1882"/>
      <c r="WZB30" s="1887"/>
      <c r="WZC30" s="1888"/>
      <c r="WZD30" s="1882"/>
      <c r="WZE30" s="1882"/>
      <c r="WZF30" s="1882"/>
      <c r="WZH30" s="1887"/>
      <c r="WZI30" s="1888"/>
      <c r="WZJ30" s="1882"/>
      <c r="WZK30" s="1882"/>
      <c r="WZL30" s="1882"/>
      <c r="WZN30" s="1887"/>
      <c r="WZO30" s="1888"/>
      <c r="WZP30" s="1882"/>
      <c r="WZQ30" s="1882"/>
      <c r="WZR30" s="1882"/>
      <c r="WZT30" s="1887"/>
      <c r="WZU30" s="1888"/>
      <c r="WZV30" s="1882"/>
      <c r="WZW30" s="1882"/>
      <c r="WZX30" s="1882"/>
      <c r="WZZ30" s="1887"/>
      <c r="XAA30" s="1888"/>
      <c r="XAB30" s="1882"/>
      <c r="XAC30" s="1882"/>
      <c r="XAD30" s="1882"/>
      <c r="XAF30" s="1887"/>
      <c r="XAG30" s="1888"/>
      <c r="XAH30" s="1882"/>
      <c r="XAI30" s="1882"/>
      <c r="XAJ30" s="1882"/>
      <c r="XAL30" s="1887"/>
      <c r="XAM30" s="1888"/>
      <c r="XAN30" s="1882"/>
      <c r="XAO30" s="1882"/>
      <c r="XAP30" s="1882"/>
      <c r="XAR30" s="1887"/>
      <c r="XAS30" s="1888"/>
      <c r="XAT30" s="1882"/>
      <c r="XAU30" s="1882"/>
      <c r="XAV30" s="1882"/>
      <c r="XAX30" s="1887"/>
      <c r="XAY30" s="1888"/>
      <c r="XAZ30" s="1882"/>
      <c r="XBA30" s="1882"/>
      <c r="XBB30" s="1882"/>
      <c r="XBD30" s="1887"/>
      <c r="XBE30" s="1888"/>
      <c r="XBF30" s="1882"/>
      <c r="XBG30" s="1882"/>
      <c r="XBH30" s="1882"/>
      <c r="XBJ30" s="1887"/>
      <c r="XBK30" s="1888"/>
      <c r="XBL30" s="1882"/>
      <c r="XBM30" s="1882"/>
      <c r="XBN30" s="1882"/>
      <c r="XBP30" s="1887"/>
      <c r="XBQ30" s="1888"/>
      <c r="XBR30" s="1882"/>
      <c r="XBS30" s="1882"/>
      <c r="XBT30" s="1882"/>
      <c r="XBV30" s="1887"/>
      <c r="XBW30" s="1888"/>
      <c r="XBX30" s="1882"/>
      <c r="XBY30" s="1882"/>
      <c r="XBZ30" s="1882"/>
      <c r="XCB30" s="1887"/>
      <c r="XCC30" s="1888"/>
      <c r="XCD30" s="1882"/>
      <c r="XCE30" s="1882"/>
      <c r="XCF30" s="1882"/>
      <c r="XCH30" s="1887"/>
      <c r="XCI30" s="1888"/>
      <c r="XCJ30" s="1882"/>
      <c r="XCK30" s="1882"/>
      <c r="XCL30" s="1882"/>
      <c r="XCN30" s="1887"/>
      <c r="XCO30" s="1888"/>
      <c r="XCP30" s="1882"/>
      <c r="XCQ30" s="1882"/>
      <c r="XCR30" s="1882"/>
      <c r="XCT30" s="1887"/>
      <c r="XCU30" s="1888"/>
      <c r="XCV30" s="1882"/>
      <c r="XCW30" s="1882"/>
      <c r="XCX30" s="1882"/>
      <c r="XCZ30" s="1887"/>
      <c r="XDA30" s="1888"/>
      <c r="XDB30" s="1882"/>
      <c r="XDC30" s="1882"/>
      <c r="XDD30" s="1882"/>
      <c r="XDF30" s="1887"/>
      <c r="XDG30" s="1888"/>
      <c r="XDH30" s="1882"/>
      <c r="XDI30" s="1882"/>
      <c r="XDJ30" s="1882"/>
      <c r="XDL30" s="1887"/>
      <c r="XDM30" s="1888"/>
      <c r="XDN30" s="1882"/>
      <c r="XDO30" s="1882"/>
      <c r="XDP30" s="1882"/>
      <c r="XDR30" s="1887"/>
      <c r="XDS30" s="1888"/>
      <c r="XDT30" s="1882"/>
      <c r="XDU30" s="1882"/>
      <c r="XDV30" s="1882"/>
      <c r="XDX30" s="1887"/>
      <c r="XDY30" s="1888"/>
      <c r="XDZ30" s="1882"/>
      <c r="XEA30" s="1882"/>
      <c r="XEB30" s="1882"/>
      <c r="XED30" s="1887"/>
      <c r="XEE30" s="1888"/>
      <c r="XEF30" s="1882"/>
      <c r="XEG30" s="1882"/>
      <c r="XEH30" s="1882"/>
      <c r="XEJ30" s="1887"/>
      <c r="XEK30" s="1888"/>
      <c r="XEL30" s="1882"/>
      <c r="XEM30" s="1882"/>
      <c r="XEN30" s="1882"/>
      <c r="XEP30" s="1887"/>
      <c r="XEQ30" s="1888"/>
      <c r="XER30" s="1882"/>
      <c r="XES30" s="1882"/>
      <c r="XET30" s="1882"/>
      <c r="XEV30" s="1887"/>
      <c r="XEW30" s="1888"/>
      <c r="XEX30" s="1882"/>
      <c r="XEY30" s="1882"/>
      <c r="XEZ30" s="1882"/>
      <c r="XFB30" s="1887"/>
      <c r="XFC30" s="1888"/>
      <c r="XFD30" s="1882"/>
    </row>
    <row r="31" spans="1:3072 3074:6144 6146:9216 9218:12288 12290:15360 15362:16384" ht="12.75" customHeight="1">
      <c r="A31" s="1880" t="s">
        <v>1067</v>
      </c>
      <c r="B31" s="1880" t="s">
        <v>1508</v>
      </c>
      <c r="C31" s="1880" t="s">
        <v>1512</v>
      </c>
      <c r="D31" s="1881">
        <v>3.605</v>
      </c>
      <c r="E31" s="1723">
        <v>18.28</v>
      </c>
      <c r="F31" s="1723">
        <f>ROUND(D31*E31,2)</f>
        <v>65.900000000000006</v>
      </c>
      <c r="H31" s="1887"/>
      <c r="I31" s="1888"/>
      <c r="J31" s="1882"/>
      <c r="K31" s="1882"/>
      <c r="L31" s="1882"/>
      <c r="N31" s="1887"/>
      <c r="O31" s="1888"/>
      <c r="P31" s="1882"/>
      <c r="Q31" s="1882"/>
      <c r="R31" s="1882"/>
      <c r="T31" s="1887"/>
      <c r="U31" s="1888"/>
      <c r="V31" s="1882"/>
      <c r="W31" s="1882"/>
      <c r="X31" s="1882"/>
      <c r="Z31" s="1887"/>
      <c r="AA31" s="1888"/>
      <c r="AB31" s="1882"/>
      <c r="AC31" s="1882"/>
      <c r="AD31" s="1882"/>
      <c r="AF31" s="1887"/>
      <c r="AG31" s="1888"/>
      <c r="AH31" s="1882"/>
      <c r="AI31" s="1882"/>
      <c r="AJ31" s="1882"/>
      <c r="AL31" s="1887"/>
      <c r="AM31" s="1888"/>
      <c r="AN31" s="1882"/>
      <c r="AO31" s="1882"/>
      <c r="AP31" s="1882"/>
      <c r="AR31" s="1887"/>
      <c r="AS31" s="1888"/>
      <c r="AT31" s="1882"/>
      <c r="AU31" s="1882"/>
      <c r="AV31" s="1882"/>
      <c r="AX31" s="1887"/>
      <c r="AY31" s="1888"/>
      <c r="AZ31" s="1882"/>
      <c r="BA31" s="1882"/>
      <c r="BB31" s="1882"/>
      <c r="BD31" s="1887"/>
      <c r="BE31" s="1888"/>
      <c r="BF31" s="1882"/>
      <c r="BG31" s="1882"/>
      <c r="BH31" s="1882"/>
      <c r="BJ31" s="1887"/>
      <c r="BK31" s="1888"/>
      <c r="BL31" s="1882"/>
      <c r="BM31" s="1882"/>
      <c r="BN31" s="1882"/>
      <c r="BP31" s="1887"/>
      <c r="BQ31" s="1888"/>
      <c r="BR31" s="1882"/>
      <c r="BS31" s="1882"/>
      <c r="BT31" s="1882"/>
      <c r="BV31" s="1887"/>
      <c r="BW31" s="1888"/>
      <c r="BX31" s="1882"/>
      <c r="BY31" s="1882"/>
      <c r="BZ31" s="1882"/>
      <c r="CB31" s="1887"/>
      <c r="CC31" s="1888"/>
      <c r="CD31" s="1882"/>
      <c r="CE31" s="1882"/>
      <c r="CF31" s="1882"/>
      <c r="CH31" s="1887"/>
      <c r="CI31" s="1888"/>
      <c r="CJ31" s="1882"/>
      <c r="CK31" s="1882"/>
      <c r="CL31" s="1882"/>
      <c r="CN31" s="1887"/>
      <c r="CO31" s="1888"/>
      <c r="CP31" s="1882"/>
      <c r="CQ31" s="1882"/>
      <c r="CR31" s="1882"/>
      <c r="CT31" s="1887"/>
      <c r="CU31" s="1888"/>
      <c r="CV31" s="1882"/>
      <c r="CW31" s="1882"/>
      <c r="CX31" s="1882"/>
      <c r="CZ31" s="1887"/>
      <c r="DA31" s="1888"/>
      <c r="DB31" s="1882"/>
      <c r="DC31" s="1882"/>
      <c r="DD31" s="1882"/>
      <c r="DF31" s="1887"/>
      <c r="DG31" s="1888"/>
      <c r="DH31" s="1882"/>
      <c r="DI31" s="1882"/>
      <c r="DJ31" s="1882"/>
      <c r="DL31" s="1887"/>
      <c r="DM31" s="1888"/>
      <c r="DN31" s="1882"/>
      <c r="DO31" s="1882"/>
      <c r="DP31" s="1882"/>
      <c r="DR31" s="1887"/>
      <c r="DS31" s="1888"/>
      <c r="DT31" s="1882"/>
      <c r="DU31" s="1882"/>
      <c r="DV31" s="1882"/>
      <c r="DX31" s="1887"/>
      <c r="DY31" s="1888"/>
      <c r="DZ31" s="1882"/>
      <c r="EA31" s="1882"/>
      <c r="EB31" s="1882"/>
      <c r="ED31" s="1887"/>
      <c r="EE31" s="1888"/>
      <c r="EF31" s="1882"/>
      <c r="EG31" s="1882"/>
      <c r="EH31" s="1882"/>
      <c r="EJ31" s="1887"/>
      <c r="EK31" s="1888"/>
      <c r="EL31" s="1882"/>
      <c r="EM31" s="1882"/>
      <c r="EN31" s="1882"/>
      <c r="EP31" s="1887"/>
      <c r="EQ31" s="1888"/>
      <c r="ER31" s="1882"/>
      <c r="ES31" s="1882"/>
      <c r="ET31" s="1882"/>
      <c r="EV31" s="1887"/>
      <c r="EW31" s="1888"/>
      <c r="EX31" s="1882"/>
      <c r="EY31" s="1882"/>
      <c r="EZ31" s="1882"/>
      <c r="FB31" s="1887"/>
      <c r="FC31" s="1888"/>
      <c r="FD31" s="1882"/>
      <c r="FE31" s="1882"/>
      <c r="FF31" s="1882"/>
      <c r="FH31" s="1887"/>
      <c r="FI31" s="1888"/>
      <c r="FJ31" s="1882"/>
      <c r="FK31" s="1882"/>
      <c r="FL31" s="1882"/>
      <c r="FN31" s="1887"/>
      <c r="FO31" s="1888"/>
      <c r="FP31" s="1882"/>
      <c r="FQ31" s="1882"/>
      <c r="FR31" s="1882"/>
      <c r="FT31" s="1887"/>
      <c r="FU31" s="1888"/>
      <c r="FV31" s="1882"/>
      <c r="FW31" s="1882"/>
      <c r="FX31" s="1882"/>
      <c r="FZ31" s="1887"/>
      <c r="GA31" s="1888"/>
      <c r="GB31" s="1882"/>
      <c r="GC31" s="1882"/>
      <c r="GD31" s="1882"/>
      <c r="GF31" s="1887"/>
      <c r="GG31" s="1888"/>
      <c r="GH31" s="1882"/>
      <c r="GI31" s="1882"/>
      <c r="GJ31" s="1882"/>
      <c r="GL31" s="1887"/>
      <c r="GM31" s="1888"/>
      <c r="GN31" s="1882"/>
      <c r="GO31" s="1882"/>
      <c r="GP31" s="1882"/>
      <c r="GR31" s="1887"/>
      <c r="GS31" s="1888"/>
      <c r="GT31" s="1882"/>
      <c r="GU31" s="1882"/>
      <c r="GV31" s="1882"/>
      <c r="GX31" s="1887"/>
      <c r="GY31" s="1888"/>
      <c r="GZ31" s="1882"/>
      <c r="HA31" s="1882"/>
      <c r="HB31" s="1882"/>
      <c r="HD31" s="1887"/>
      <c r="HE31" s="1888"/>
      <c r="HF31" s="1882"/>
      <c r="HG31" s="1882"/>
      <c r="HH31" s="1882"/>
      <c r="HJ31" s="1887"/>
      <c r="HK31" s="1888"/>
      <c r="HL31" s="1882"/>
      <c r="HM31" s="1882"/>
      <c r="HN31" s="1882"/>
      <c r="HP31" s="1887"/>
      <c r="HQ31" s="1888"/>
      <c r="HR31" s="1882"/>
      <c r="HS31" s="1882"/>
      <c r="HT31" s="1882"/>
      <c r="HV31" s="1887"/>
      <c r="HW31" s="1888"/>
      <c r="HX31" s="1882"/>
      <c r="HY31" s="1882"/>
      <c r="HZ31" s="1882"/>
      <c r="IB31" s="1887"/>
      <c r="IC31" s="1888"/>
      <c r="ID31" s="1882"/>
      <c r="IE31" s="1882"/>
      <c r="IF31" s="1882"/>
      <c r="IH31" s="1887"/>
      <c r="II31" s="1888"/>
      <c r="IJ31" s="1882"/>
      <c r="IK31" s="1882"/>
      <c r="IL31" s="1882"/>
      <c r="IN31" s="1887"/>
      <c r="IO31" s="1888"/>
      <c r="IP31" s="1882"/>
      <c r="IQ31" s="1882"/>
      <c r="IR31" s="1882"/>
      <c r="IT31" s="1887"/>
      <c r="IU31" s="1888"/>
      <c r="IV31" s="1882"/>
      <c r="IW31" s="1882"/>
      <c r="IX31" s="1882"/>
      <c r="IZ31" s="1887"/>
      <c r="JA31" s="1888"/>
      <c r="JB31" s="1882"/>
      <c r="JC31" s="1882"/>
      <c r="JD31" s="1882"/>
      <c r="JF31" s="1887"/>
      <c r="JG31" s="1888"/>
      <c r="JH31" s="1882"/>
      <c r="JI31" s="1882"/>
      <c r="JJ31" s="1882"/>
      <c r="JL31" s="1887"/>
      <c r="JM31" s="1888"/>
      <c r="JN31" s="1882"/>
      <c r="JO31" s="1882"/>
      <c r="JP31" s="1882"/>
      <c r="JR31" s="1887"/>
      <c r="JS31" s="1888"/>
      <c r="JT31" s="1882"/>
      <c r="JU31" s="1882"/>
      <c r="JV31" s="1882"/>
      <c r="JX31" s="1887"/>
      <c r="JY31" s="1888"/>
      <c r="JZ31" s="1882"/>
      <c r="KA31" s="1882"/>
      <c r="KB31" s="1882"/>
      <c r="KD31" s="1887"/>
      <c r="KE31" s="1888"/>
      <c r="KF31" s="1882"/>
      <c r="KG31" s="1882"/>
      <c r="KH31" s="1882"/>
      <c r="KJ31" s="1887"/>
      <c r="KK31" s="1888"/>
      <c r="KL31" s="1882"/>
      <c r="KM31" s="1882"/>
      <c r="KN31" s="1882"/>
      <c r="KP31" s="1887"/>
      <c r="KQ31" s="1888"/>
      <c r="KR31" s="1882"/>
      <c r="KS31" s="1882"/>
      <c r="KT31" s="1882"/>
      <c r="KV31" s="1887"/>
      <c r="KW31" s="1888"/>
      <c r="KX31" s="1882"/>
      <c r="KY31" s="1882"/>
      <c r="KZ31" s="1882"/>
      <c r="LB31" s="1887"/>
      <c r="LC31" s="1888"/>
      <c r="LD31" s="1882"/>
      <c r="LE31" s="1882"/>
      <c r="LF31" s="1882"/>
      <c r="LH31" s="1887"/>
      <c r="LI31" s="1888"/>
      <c r="LJ31" s="1882"/>
      <c r="LK31" s="1882"/>
      <c r="LL31" s="1882"/>
      <c r="LN31" s="1887"/>
      <c r="LO31" s="1888"/>
      <c r="LP31" s="1882"/>
      <c r="LQ31" s="1882"/>
      <c r="LR31" s="1882"/>
      <c r="LT31" s="1887"/>
      <c r="LU31" s="1888"/>
      <c r="LV31" s="1882"/>
      <c r="LW31" s="1882"/>
      <c r="LX31" s="1882"/>
      <c r="LZ31" s="1887"/>
      <c r="MA31" s="1888"/>
      <c r="MB31" s="1882"/>
      <c r="MC31" s="1882"/>
      <c r="MD31" s="1882"/>
      <c r="MF31" s="1887"/>
      <c r="MG31" s="1888"/>
      <c r="MH31" s="1882"/>
      <c r="MI31" s="1882"/>
      <c r="MJ31" s="1882"/>
      <c r="ML31" s="1887"/>
      <c r="MM31" s="1888"/>
      <c r="MN31" s="1882"/>
      <c r="MO31" s="1882"/>
      <c r="MP31" s="1882"/>
      <c r="MR31" s="1887"/>
      <c r="MS31" s="1888"/>
      <c r="MT31" s="1882"/>
      <c r="MU31" s="1882"/>
      <c r="MV31" s="1882"/>
      <c r="MX31" s="1887"/>
      <c r="MY31" s="1888"/>
      <c r="MZ31" s="1882"/>
      <c r="NA31" s="1882"/>
      <c r="NB31" s="1882"/>
      <c r="ND31" s="1887"/>
      <c r="NE31" s="1888"/>
      <c r="NF31" s="1882"/>
      <c r="NG31" s="1882"/>
      <c r="NH31" s="1882"/>
      <c r="NJ31" s="1887"/>
      <c r="NK31" s="1888"/>
      <c r="NL31" s="1882"/>
      <c r="NM31" s="1882"/>
      <c r="NN31" s="1882"/>
      <c r="NP31" s="1887"/>
      <c r="NQ31" s="1888"/>
      <c r="NR31" s="1882"/>
      <c r="NS31" s="1882"/>
      <c r="NT31" s="1882"/>
      <c r="NV31" s="1887"/>
      <c r="NW31" s="1888"/>
      <c r="NX31" s="1882"/>
      <c r="NY31" s="1882"/>
      <c r="NZ31" s="1882"/>
      <c r="OB31" s="1887"/>
      <c r="OC31" s="1888"/>
      <c r="OD31" s="1882"/>
      <c r="OE31" s="1882"/>
      <c r="OF31" s="1882"/>
      <c r="OH31" s="1887"/>
      <c r="OI31" s="1888"/>
      <c r="OJ31" s="1882"/>
      <c r="OK31" s="1882"/>
      <c r="OL31" s="1882"/>
      <c r="ON31" s="1887"/>
      <c r="OO31" s="1888"/>
      <c r="OP31" s="1882"/>
      <c r="OQ31" s="1882"/>
      <c r="OR31" s="1882"/>
      <c r="OT31" s="1887"/>
      <c r="OU31" s="1888"/>
      <c r="OV31" s="1882"/>
      <c r="OW31" s="1882"/>
      <c r="OX31" s="1882"/>
      <c r="OZ31" s="1887"/>
      <c r="PA31" s="1888"/>
      <c r="PB31" s="1882"/>
      <c r="PC31" s="1882"/>
      <c r="PD31" s="1882"/>
      <c r="PF31" s="1887"/>
      <c r="PG31" s="1888"/>
      <c r="PH31" s="1882"/>
      <c r="PI31" s="1882"/>
      <c r="PJ31" s="1882"/>
      <c r="PL31" s="1887"/>
      <c r="PM31" s="1888"/>
      <c r="PN31" s="1882"/>
      <c r="PO31" s="1882"/>
      <c r="PP31" s="1882"/>
      <c r="PR31" s="1887"/>
      <c r="PS31" s="1888"/>
      <c r="PT31" s="1882"/>
      <c r="PU31" s="1882"/>
      <c r="PV31" s="1882"/>
      <c r="PX31" s="1887"/>
      <c r="PY31" s="1888"/>
      <c r="PZ31" s="1882"/>
      <c r="QA31" s="1882"/>
      <c r="QB31" s="1882"/>
      <c r="QD31" s="1887"/>
      <c r="QE31" s="1888"/>
      <c r="QF31" s="1882"/>
      <c r="QG31" s="1882"/>
      <c r="QH31" s="1882"/>
      <c r="QJ31" s="1887"/>
      <c r="QK31" s="1888"/>
      <c r="QL31" s="1882"/>
      <c r="QM31" s="1882"/>
      <c r="QN31" s="1882"/>
      <c r="QP31" s="1887"/>
      <c r="QQ31" s="1888"/>
      <c r="QR31" s="1882"/>
      <c r="QS31" s="1882"/>
      <c r="QT31" s="1882"/>
      <c r="QV31" s="1887"/>
      <c r="QW31" s="1888"/>
      <c r="QX31" s="1882"/>
      <c r="QY31" s="1882"/>
      <c r="QZ31" s="1882"/>
      <c r="RB31" s="1887"/>
      <c r="RC31" s="1888"/>
      <c r="RD31" s="1882"/>
      <c r="RE31" s="1882"/>
      <c r="RF31" s="1882"/>
      <c r="RH31" s="1887"/>
      <c r="RI31" s="1888"/>
      <c r="RJ31" s="1882"/>
      <c r="RK31" s="1882"/>
      <c r="RL31" s="1882"/>
      <c r="RN31" s="1887"/>
      <c r="RO31" s="1888"/>
      <c r="RP31" s="1882"/>
      <c r="RQ31" s="1882"/>
      <c r="RR31" s="1882"/>
      <c r="RT31" s="1887"/>
      <c r="RU31" s="1888"/>
      <c r="RV31" s="1882"/>
      <c r="RW31" s="1882"/>
      <c r="RX31" s="1882"/>
      <c r="RZ31" s="1887"/>
      <c r="SA31" s="1888"/>
      <c r="SB31" s="1882"/>
      <c r="SC31" s="1882"/>
      <c r="SD31" s="1882"/>
      <c r="SF31" s="1887"/>
      <c r="SG31" s="1888"/>
      <c r="SH31" s="1882"/>
      <c r="SI31" s="1882"/>
      <c r="SJ31" s="1882"/>
      <c r="SL31" s="1887"/>
      <c r="SM31" s="1888"/>
      <c r="SN31" s="1882"/>
      <c r="SO31" s="1882"/>
      <c r="SP31" s="1882"/>
      <c r="SR31" s="1887"/>
      <c r="SS31" s="1888"/>
      <c r="ST31" s="1882"/>
      <c r="SU31" s="1882"/>
      <c r="SV31" s="1882"/>
      <c r="SX31" s="1887"/>
      <c r="SY31" s="1888"/>
      <c r="SZ31" s="1882"/>
      <c r="TA31" s="1882"/>
      <c r="TB31" s="1882"/>
      <c r="TD31" s="1887"/>
      <c r="TE31" s="1888"/>
      <c r="TF31" s="1882"/>
      <c r="TG31" s="1882"/>
      <c r="TH31" s="1882"/>
      <c r="TJ31" s="1887"/>
      <c r="TK31" s="1888"/>
      <c r="TL31" s="1882"/>
      <c r="TM31" s="1882"/>
      <c r="TN31" s="1882"/>
      <c r="TP31" s="1887"/>
      <c r="TQ31" s="1888"/>
      <c r="TR31" s="1882"/>
      <c r="TS31" s="1882"/>
      <c r="TT31" s="1882"/>
      <c r="TV31" s="1887"/>
      <c r="TW31" s="1888"/>
      <c r="TX31" s="1882"/>
      <c r="TY31" s="1882"/>
      <c r="TZ31" s="1882"/>
      <c r="UB31" s="1887"/>
      <c r="UC31" s="1888"/>
      <c r="UD31" s="1882"/>
      <c r="UE31" s="1882"/>
      <c r="UF31" s="1882"/>
      <c r="UH31" s="1887"/>
      <c r="UI31" s="1888"/>
      <c r="UJ31" s="1882"/>
      <c r="UK31" s="1882"/>
      <c r="UL31" s="1882"/>
      <c r="UN31" s="1887"/>
      <c r="UO31" s="1888"/>
      <c r="UP31" s="1882"/>
      <c r="UQ31" s="1882"/>
      <c r="UR31" s="1882"/>
      <c r="UT31" s="1887"/>
      <c r="UU31" s="1888"/>
      <c r="UV31" s="1882"/>
      <c r="UW31" s="1882"/>
      <c r="UX31" s="1882"/>
      <c r="UZ31" s="1887"/>
      <c r="VA31" s="1888"/>
      <c r="VB31" s="1882"/>
      <c r="VC31" s="1882"/>
      <c r="VD31" s="1882"/>
      <c r="VF31" s="1887"/>
      <c r="VG31" s="1888"/>
      <c r="VH31" s="1882"/>
      <c r="VI31" s="1882"/>
      <c r="VJ31" s="1882"/>
      <c r="VL31" s="1887"/>
      <c r="VM31" s="1888"/>
      <c r="VN31" s="1882"/>
      <c r="VO31" s="1882"/>
      <c r="VP31" s="1882"/>
      <c r="VR31" s="1887"/>
      <c r="VS31" s="1888"/>
      <c r="VT31" s="1882"/>
      <c r="VU31" s="1882"/>
      <c r="VV31" s="1882"/>
      <c r="VX31" s="1887"/>
      <c r="VY31" s="1888"/>
      <c r="VZ31" s="1882"/>
      <c r="WA31" s="1882"/>
      <c r="WB31" s="1882"/>
      <c r="WD31" s="1887"/>
      <c r="WE31" s="1888"/>
      <c r="WF31" s="1882"/>
      <c r="WG31" s="1882"/>
      <c r="WH31" s="1882"/>
      <c r="WJ31" s="1887"/>
      <c r="WK31" s="1888"/>
      <c r="WL31" s="1882"/>
      <c r="WM31" s="1882"/>
      <c r="WN31" s="1882"/>
      <c r="WP31" s="1887"/>
      <c r="WQ31" s="1888"/>
      <c r="WR31" s="1882"/>
      <c r="WS31" s="1882"/>
      <c r="WT31" s="1882"/>
      <c r="WV31" s="1887"/>
      <c r="WW31" s="1888"/>
      <c r="WX31" s="1882"/>
      <c r="WY31" s="1882"/>
      <c r="WZ31" s="1882"/>
      <c r="XB31" s="1887"/>
      <c r="XC31" s="1888"/>
      <c r="XD31" s="1882"/>
      <c r="XE31" s="1882"/>
      <c r="XF31" s="1882"/>
      <c r="XH31" s="1887"/>
      <c r="XI31" s="1888"/>
      <c r="XJ31" s="1882"/>
      <c r="XK31" s="1882"/>
      <c r="XL31" s="1882"/>
      <c r="XN31" s="1887"/>
      <c r="XO31" s="1888"/>
      <c r="XP31" s="1882"/>
      <c r="XQ31" s="1882"/>
      <c r="XR31" s="1882"/>
      <c r="XT31" s="1887"/>
      <c r="XU31" s="1888"/>
      <c r="XV31" s="1882"/>
      <c r="XW31" s="1882"/>
      <c r="XX31" s="1882"/>
      <c r="XZ31" s="1887"/>
      <c r="YA31" s="1888"/>
      <c r="YB31" s="1882"/>
      <c r="YC31" s="1882"/>
      <c r="YD31" s="1882"/>
      <c r="YF31" s="1887"/>
      <c r="YG31" s="1888"/>
      <c r="YH31" s="1882"/>
      <c r="YI31" s="1882"/>
      <c r="YJ31" s="1882"/>
      <c r="YL31" s="1887"/>
      <c r="YM31" s="1888"/>
      <c r="YN31" s="1882"/>
      <c r="YO31" s="1882"/>
      <c r="YP31" s="1882"/>
      <c r="YR31" s="1887"/>
      <c r="YS31" s="1888"/>
      <c r="YT31" s="1882"/>
      <c r="YU31" s="1882"/>
      <c r="YV31" s="1882"/>
      <c r="YX31" s="1887"/>
      <c r="YY31" s="1888"/>
      <c r="YZ31" s="1882"/>
      <c r="ZA31" s="1882"/>
      <c r="ZB31" s="1882"/>
      <c r="ZD31" s="1887"/>
      <c r="ZE31" s="1888"/>
      <c r="ZF31" s="1882"/>
      <c r="ZG31" s="1882"/>
      <c r="ZH31" s="1882"/>
      <c r="ZJ31" s="1887"/>
      <c r="ZK31" s="1888"/>
      <c r="ZL31" s="1882"/>
      <c r="ZM31" s="1882"/>
      <c r="ZN31" s="1882"/>
      <c r="ZP31" s="1887"/>
      <c r="ZQ31" s="1888"/>
      <c r="ZR31" s="1882"/>
      <c r="ZS31" s="1882"/>
      <c r="ZT31" s="1882"/>
      <c r="ZV31" s="1887"/>
      <c r="ZW31" s="1888"/>
      <c r="ZX31" s="1882"/>
      <c r="ZY31" s="1882"/>
      <c r="ZZ31" s="1882"/>
      <c r="AAB31" s="1887"/>
      <c r="AAC31" s="1888"/>
      <c r="AAD31" s="1882"/>
      <c r="AAE31" s="1882"/>
      <c r="AAF31" s="1882"/>
      <c r="AAH31" s="1887"/>
      <c r="AAI31" s="1888"/>
      <c r="AAJ31" s="1882"/>
      <c r="AAK31" s="1882"/>
      <c r="AAL31" s="1882"/>
      <c r="AAN31" s="1887"/>
      <c r="AAO31" s="1888"/>
      <c r="AAP31" s="1882"/>
      <c r="AAQ31" s="1882"/>
      <c r="AAR31" s="1882"/>
      <c r="AAT31" s="1887"/>
      <c r="AAU31" s="1888"/>
      <c r="AAV31" s="1882"/>
      <c r="AAW31" s="1882"/>
      <c r="AAX31" s="1882"/>
      <c r="AAZ31" s="1887"/>
      <c r="ABA31" s="1888"/>
      <c r="ABB31" s="1882"/>
      <c r="ABC31" s="1882"/>
      <c r="ABD31" s="1882"/>
      <c r="ABF31" s="1887"/>
      <c r="ABG31" s="1888"/>
      <c r="ABH31" s="1882"/>
      <c r="ABI31" s="1882"/>
      <c r="ABJ31" s="1882"/>
      <c r="ABL31" s="1887"/>
      <c r="ABM31" s="1888"/>
      <c r="ABN31" s="1882"/>
      <c r="ABO31" s="1882"/>
      <c r="ABP31" s="1882"/>
      <c r="ABR31" s="1887"/>
      <c r="ABS31" s="1888"/>
      <c r="ABT31" s="1882"/>
      <c r="ABU31" s="1882"/>
      <c r="ABV31" s="1882"/>
      <c r="ABX31" s="1887"/>
      <c r="ABY31" s="1888"/>
      <c r="ABZ31" s="1882"/>
      <c r="ACA31" s="1882"/>
      <c r="ACB31" s="1882"/>
      <c r="ACD31" s="1887"/>
      <c r="ACE31" s="1888"/>
      <c r="ACF31" s="1882"/>
      <c r="ACG31" s="1882"/>
      <c r="ACH31" s="1882"/>
      <c r="ACJ31" s="1887"/>
      <c r="ACK31" s="1888"/>
      <c r="ACL31" s="1882"/>
      <c r="ACM31" s="1882"/>
      <c r="ACN31" s="1882"/>
      <c r="ACP31" s="1887"/>
      <c r="ACQ31" s="1888"/>
      <c r="ACR31" s="1882"/>
      <c r="ACS31" s="1882"/>
      <c r="ACT31" s="1882"/>
      <c r="ACV31" s="1887"/>
      <c r="ACW31" s="1888"/>
      <c r="ACX31" s="1882"/>
      <c r="ACY31" s="1882"/>
      <c r="ACZ31" s="1882"/>
      <c r="ADB31" s="1887"/>
      <c r="ADC31" s="1888"/>
      <c r="ADD31" s="1882"/>
      <c r="ADE31" s="1882"/>
      <c r="ADF31" s="1882"/>
      <c r="ADH31" s="1887"/>
      <c r="ADI31" s="1888"/>
      <c r="ADJ31" s="1882"/>
      <c r="ADK31" s="1882"/>
      <c r="ADL31" s="1882"/>
      <c r="ADN31" s="1887"/>
      <c r="ADO31" s="1888"/>
      <c r="ADP31" s="1882"/>
      <c r="ADQ31" s="1882"/>
      <c r="ADR31" s="1882"/>
      <c r="ADT31" s="1887"/>
      <c r="ADU31" s="1888"/>
      <c r="ADV31" s="1882"/>
      <c r="ADW31" s="1882"/>
      <c r="ADX31" s="1882"/>
      <c r="ADZ31" s="1887"/>
      <c r="AEA31" s="1888"/>
      <c r="AEB31" s="1882"/>
      <c r="AEC31" s="1882"/>
      <c r="AED31" s="1882"/>
      <c r="AEF31" s="1887"/>
      <c r="AEG31" s="1888"/>
      <c r="AEH31" s="1882"/>
      <c r="AEI31" s="1882"/>
      <c r="AEJ31" s="1882"/>
      <c r="AEL31" s="1887"/>
      <c r="AEM31" s="1888"/>
      <c r="AEN31" s="1882"/>
      <c r="AEO31" s="1882"/>
      <c r="AEP31" s="1882"/>
      <c r="AER31" s="1887"/>
      <c r="AES31" s="1888"/>
      <c r="AET31" s="1882"/>
      <c r="AEU31" s="1882"/>
      <c r="AEV31" s="1882"/>
      <c r="AEX31" s="1887"/>
      <c r="AEY31" s="1888"/>
      <c r="AEZ31" s="1882"/>
      <c r="AFA31" s="1882"/>
      <c r="AFB31" s="1882"/>
      <c r="AFD31" s="1887"/>
      <c r="AFE31" s="1888"/>
      <c r="AFF31" s="1882"/>
      <c r="AFG31" s="1882"/>
      <c r="AFH31" s="1882"/>
      <c r="AFJ31" s="1887"/>
      <c r="AFK31" s="1888"/>
      <c r="AFL31" s="1882"/>
      <c r="AFM31" s="1882"/>
      <c r="AFN31" s="1882"/>
      <c r="AFP31" s="1887"/>
      <c r="AFQ31" s="1888"/>
      <c r="AFR31" s="1882"/>
      <c r="AFS31" s="1882"/>
      <c r="AFT31" s="1882"/>
      <c r="AFV31" s="1887"/>
      <c r="AFW31" s="1888"/>
      <c r="AFX31" s="1882"/>
      <c r="AFY31" s="1882"/>
      <c r="AFZ31" s="1882"/>
      <c r="AGB31" s="1887"/>
      <c r="AGC31" s="1888"/>
      <c r="AGD31" s="1882"/>
      <c r="AGE31" s="1882"/>
      <c r="AGF31" s="1882"/>
      <c r="AGH31" s="1887"/>
      <c r="AGI31" s="1888"/>
      <c r="AGJ31" s="1882"/>
      <c r="AGK31" s="1882"/>
      <c r="AGL31" s="1882"/>
      <c r="AGN31" s="1887"/>
      <c r="AGO31" s="1888"/>
      <c r="AGP31" s="1882"/>
      <c r="AGQ31" s="1882"/>
      <c r="AGR31" s="1882"/>
      <c r="AGT31" s="1887"/>
      <c r="AGU31" s="1888"/>
      <c r="AGV31" s="1882"/>
      <c r="AGW31" s="1882"/>
      <c r="AGX31" s="1882"/>
      <c r="AGZ31" s="1887"/>
      <c r="AHA31" s="1888"/>
      <c r="AHB31" s="1882"/>
      <c r="AHC31" s="1882"/>
      <c r="AHD31" s="1882"/>
      <c r="AHF31" s="1887"/>
      <c r="AHG31" s="1888"/>
      <c r="AHH31" s="1882"/>
      <c r="AHI31" s="1882"/>
      <c r="AHJ31" s="1882"/>
      <c r="AHL31" s="1887"/>
      <c r="AHM31" s="1888"/>
      <c r="AHN31" s="1882"/>
      <c r="AHO31" s="1882"/>
      <c r="AHP31" s="1882"/>
      <c r="AHR31" s="1887"/>
      <c r="AHS31" s="1888"/>
      <c r="AHT31" s="1882"/>
      <c r="AHU31" s="1882"/>
      <c r="AHV31" s="1882"/>
      <c r="AHX31" s="1887"/>
      <c r="AHY31" s="1888"/>
      <c r="AHZ31" s="1882"/>
      <c r="AIA31" s="1882"/>
      <c r="AIB31" s="1882"/>
      <c r="AID31" s="1887"/>
      <c r="AIE31" s="1888"/>
      <c r="AIF31" s="1882"/>
      <c r="AIG31" s="1882"/>
      <c r="AIH31" s="1882"/>
      <c r="AIJ31" s="1887"/>
      <c r="AIK31" s="1888"/>
      <c r="AIL31" s="1882"/>
      <c r="AIM31" s="1882"/>
      <c r="AIN31" s="1882"/>
      <c r="AIP31" s="1887"/>
      <c r="AIQ31" s="1888"/>
      <c r="AIR31" s="1882"/>
      <c r="AIS31" s="1882"/>
      <c r="AIT31" s="1882"/>
      <c r="AIV31" s="1887"/>
      <c r="AIW31" s="1888"/>
      <c r="AIX31" s="1882"/>
      <c r="AIY31" s="1882"/>
      <c r="AIZ31" s="1882"/>
      <c r="AJB31" s="1887"/>
      <c r="AJC31" s="1888"/>
      <c r="AJD31" s="1882"/>
      <c r="AJE31" s="1882"/>
      <c r="AJF31" s="1882"/>
      <c r="AJH31" s="1887"/>
      <c r="AJI31" s="1888"/>
      <c r="AJJ31" s="1882"/>
      <c r="AJK31" s="1882"/>
      <c r="AJL31" s="1882"/>
      <c r="AJN31" s="1887"/>
      <c r="AJO31" s="1888"/>
      <c r="AJP31" s="1882"/>
      <c r="AJQ31" s="1882"/>
      <c r="AJR31" s="1882"/>
      <c r="AJT31" s="1887"/>
      <c r="AJU31" s="1888"/>
      <c r="AJV31" s="1882"/>
      <c r="AJW31" s="1882"/>
      <c r="AJX31" s="1882"/>
      <c r="AJZ31" s="1887"/>
      <c r="AKA31" s="1888"/>
      <c r="AKB31" s="1882"/>
      <c r="AKC31" s="1882"/>
      <c r="AKD31" s="1882"/>
      <c r="AKF31" s="1887"/>
      <c r="AKG31" s="1888"/>
      <c r="AKH31" s="1882"/>
      <c r="AKI31" s="1882"/>
      <c r="AKJ31" s="1882"/>
      <c r="AKL31" s="1887"/>
      <c r="AKM31" s="1888"/>
      <c r="AKN31" s="1882"/>
      <c r="AKO31" s="1882"/>
      <c r="AKP31" s="1882"/>
      <c r="AKR31" s="1887"/>
      <c r="AKS31" s="1888"/>
      <c r="AKT31" s="1882"/>
      <c r="AKU31" s="1882"/>
      <c r="AKV31" s="1882"/>
      <c r="AKX31" s="1887"/>
      <c r="AKY31" s="1888"/>
      <c r="AKZ31" s="1882"/>
      <c r="ALA31" s="1882"/>
      <c r="ALB31" s="1882"/>
      <c r="ALD31" s="1887"/>
      <c r="ALE31" s="1888"/>
      <c r="ALF31" s="1882"/>
      <c r="ALG31" s="1882"/>
      <c r="ALH31" s="1882"/>
      <c r="ALJ31" s="1887"/>
      <c r="ALK31" s="1888"/>
      <c r="ALL31" s="1882"/>
      <c r="ALM31" s="1882"/>
      <c r="ALN31" s="1882"/>
      <c r="ALP31" s="1887"/>
      <c r="ALQ31" s="1888"/>
      <c r="ALR31" s="1882"/>
      <c r="ALS31" s="1882"/>
      <c r="ALT31" s="1882"/>
      <c r="ALV31" s="1887"/>
      <c r="ALW31" s="1888"/>
      <c r="ALX31" s="1882"/>
      <c r="ALY31" s="1882"/>
      <c r="ALZ31" s="1882"/>
      <c r="AMB31" s="1887"/>
      <c r="AMC31" s="1888"/>
      <c r="AMD31" s="1882"/>
      <c r="AME31" s="1882"/>
      <c r="AMF31" s="1882"/>
      <c r="AMH31" s="1887"/>
      <c r="AMI31" s="1888"/>
      <c r="AMJ31" s="1882"/>
      <c r="AMK31" s="1882"/>
      <c r="AML31" s="1882"/>
      <c r="AMN31" s="1887"/>
      <c r="AMO31" s="1888"/>
      <c r="AMP31" s="1882"/>
      <c r="AMQ31" s="1882"/>
      <c r="AMR31" s="1882"/>
      <c r="AMT31" s="1887"/>
      <c r="AMU31" s="1888"/>
      <c r="AMV31" s="1882"/>
      <c r="AMW31" s="1882"/>
      <c r="AMX31" s="1882"/>
      <c r="AMZ31" s="1887"/>
      <c r="ANA31" s="1888"/>
      <c r="ANB31" s="1882"/>
      <c r="ANC31" s="1882"/>
      <c r="AND31" s="1882"/>
      <c r="ANF31" s="1887"/>
      <c r="ANG31" s="1888"/>
      <c r="ANH31" s="1882"/>
      <c r="ANI31" s="1882"/>
      <c r="ANJ31" s="1882"/>
      <c r="ANL31" s="1887"/>
      <c r="ANM31" s="1888"/>
      <c r="ANN31" s="1882"/>
      <c r="ANO31" s="1882"/>
      <c r="ANP31" s="1882"/>
      <c r="ANR31" s="1887"/>
      <c r="ANS31" s="1888"/>
      <c r="ANT31" s="1882"/>
      <c r="ANU31" s="1882"/>
      <c r="ANV31" s="1882"/>
      <c r="ANX31" s="1887"/>
      <c r="ANY31" s="1888"/>
      <c r="ANZ31" s="1882"/>
      <c r="AOA31" s="1882"/>
      <c r="AOB31" s="1882"/>
      <c r="AOD31" s="1887"/>
      <c r="AOE31" s="1888"/>
      <c r="AOF31" s="1882"/>
      <c r="AOG31" s="1882"/>
      <c r="AOH31" s="1882"/>
      <c r="AOJ31" s="1887"/>
      <c r="AOK31" s="1888"/>
      <c r="AOL31" s="1882"/>
      <c r="AOM31" s="1882"/>
      <c r="AON31" s="1882"/>
      <c r="AOP31" s="1887"/>
      <c r="AOQ31" s="1888"/>
      <c r="AOR31" s="1882"/>
      <c r="AOS31" s="1882"/>
      <c r="AOT31" s="1882"/>
      <c r="AOV31" s="1887"/>
      <c r="AOW31" s="1888"/>
      <c r="AOX31" s="1882"/>
      <c r="AOY31" s="1882"/>
      <c r="AOZ31" s="1882"/>
      <c r="APB31" s="1887"/>
      <c r="APC31" s="1888"/>
      <c r="APD31" s="1882"/>
      <c r="APE31" s="1882"/>
      <c r="APF31" s="1882"/>
      <c r="APH31" s="1887"/>
      <c r="API31" s="1888"/>
      <c r="APJ31" s="1882"/>
      <c r="APK31" s="1882"/>
      <c r="APL31" s="1882"/>
      <c r="APN31" s="1887"/>
      <c r="APO31" s="1888"/>
      <c r="APP31" s="1882"/>
      <c r="APQ31" s="1882"/>
      <c r="APR31" s="1882"/>
      <c r="APT31" s="1887"/>
      <c r="APU31" s="1888"/>
      <c r="APV31" s="1882"/>
      <c r="APW31" s="1882"/>
      <c r="APX31" s="1882"/>
      <c r="APZ31" s="1887"/>
      <c r="AQA31" s="1888"/>
      <c r="AQB31" s="1882"/>
      <c r="AQC31" s="1882"/>
      <c r="AQD31" s="1882"/>
      <c r="AQF31" s="1887"/>
      <c r="AQG31" s="1888"/>
      <c r="AQH31" s="1882"/>
      <c r="AQI31" s="1882"/>
      <c r="AQJ31" s="1882"/>
      <c r="AQL31" s="1887"/>
      <c r="AQM31" s="1888"/>
      <c r="AQN31" s="1882"/>
      <c r="AQO31" s="1882"/>
      <c r="AQP31" s="1882"/>
      <c r="AQR31" s="1887"/>
      <c r="AQS31" s="1888"/>
      <c r="AQT31" s="1882"/>
      <c r="AQU31" s="1882"/>
      <c r="AQV31" s="1882"/>
      <c r="AQX31" s="1887"/>
      <c r="AQY31" s="1888"/>
      <c r="AQZ31" s="1882"/>
      <c r="ARA31" s="1882"/>
      <c r="ARB31" s="1882"/>
      <c r="ARD31" s="1887"/>
      <c r="ARE31" s="1888"/>
      <c r="ARF31" s="1882"/>
      <c r="ARG31" s="1882"/>
      <c r="ARH31" s="1882"/>
      <c r="ARJ31" s="1887"/>
      <c r="ARK31" s="1888"/>
      <c r="ARL31" s="1882"/>
      <c r="ARM31" s="1882"/>
      <c r="ARN31" s="1882"/>
      <c r="ARP31" s="1887"/>
      <c r="ARQ31" s="1888"/>
      <c r="ARR31" s="1882"/>
      <c r="ARS31" s="1882"/>
      <c r="ART31" s="1882"/>
      <c r="ARV31" s="1887"/>
      <c r="ARW31" s="1888"/>
      <c r="ARX31" s="1882"/>
      <c r="ARY31" s="1882"/>
      <c r="ARZ31" s="1882"/>
      <c r="ASB31" s="1887"/>
      <c r="ASC31" s="1888"/>
      <c r="ASD31" s="1882"/>
      <c r="ASE31" s="1882"/>
      <c r="ASF31" s="1882"/>
      <c r="ASH31" s="1887"/>
      <c r="ASI31" s="1888"/>
      <c r="ASJ31" s="1882"/>
      <c r="ASK31" s="1882"/>
      <c r="ASL31" s="1882"/>
      <c r="ASN31" s="1887"/>
      <c r="ASO31" s="1888"/>
      <c r="ASP31" s="1882"/>
      <c r="ASQ31" s="1882"/>
      <c r="ASR31" s="1882"/>
      <c r="AST31" s="1887"/>
      <c r="ASU31" s="1888"/>
      <c r="ASV31" s="1882"/>
      <c r="ASW31" s="1882"/>
      <c r="ASX31" s="1882"/>
      <c r="ASZ31" s="1887"/>
      <c r="ATA31" s="1888"/>
      <c r="ATB31" s="1882"/>
      <c r="ATC31" s="1882"/>
      <c r="ATD31" s="1882"/>
      <c r="ATF31" s="1887"/>
      <c r="ATG31" s="1888"/>
      <c r="ATH31" s="1882"/>
      <c r="ATI31" s="1882"/>
      <c r="ATJ31" s="1882"/>
      <c r="ATL31" s="1887"/>
      <c r="ATM31" s="1888"/>
      <c r="ATN31" s="1882"/>
      <c r="ATO31" s="1882"/>
      <c r="ATP31" s="1882"/>
      <c r="ATR31" s="1887"/>
      <c r="ATS31" s="1888"/>
      <c r="ATT31" s="1882"/>
      <c r="ATU31" s="1882"/>
      <c r="ATV31" s="1882"/>
      <c r="ATX31" s="1887"/>
      <c r="ATY31" s="1888"/>
      <c r="ATZ31" s="1882"/>
      <c r="AUA31" s="1882"/>
      <c r="AUB31" s="1882"/>
      <c r="AUD31" s="1887"/>
      <c r="AUE31" s="1888"/>
      <c r="AUF31" s="1882"/>
      <c r="AUG31" s="1882"/>
      <c r="AUH31" s="1882"/>
      <c r="AUJ31" s="1887"/>
      <c r="AUK31" s="1888"/>
      <c r="AUL31" s="1882"/>
      <c r="AUM31" s="1882"/>
      <c r="AUN31" s="1882"/>
      <c r="AUP31" s="1887"/>
      <c r="AUQ31" s="1888"/>
      <c r="AUR31" s="1882"/>
      <c r="AUS31" s="1882"/>
      <c r="AUT31" s="1882"/>
      <c r="AUV31" s="1887"/>
      <c r="AUW31" s="1888"/>
      <c r="AUX31" s="1882"/>
      <c r="AUY31" s="1882"/>
      <c r="AUZ31" s="1882"/>
      <c r="AVB31" s="1887"/>
      <c r="AVC31" s="1888"/>
      <c r="AVD31" s="1882"/>
      <c r="AVE31" s="1882"/>
      <c r="AVF31" s="1882"/>
      <c r="AVH31" s="1887"/>
      <c r="AVI31" s="1888"/>
      <c r="AVJ31" s="1882"/>
      <c r="AVK31" s="1882"/>
      <c r="AVL31" s="1882"/>
      <c r="AVN31" s="1887"/>
      <c r="AVO31" s="1888"/>
      <c r="AVP31" s="1882"/>
      <c r="AVQ31" s="1882"/>
      <c r="AVR31" s="1882"/>
      <c r="AVT31" s="1887"/>
      <c r="AVU31" s="1888"/>
      <c r="AVV31" s="1882"/>
      <c r="AVW31" s="1882"/>
      <c r="AVX31" s="1882"/>
      <c r="AVZ31" s="1887"/>
      <c r="AWA31" s="1888"/>
      <c r="AWB31" s="1882"/>
      <c r="AWC31" s="1882"/>
      <c r="AWD31" s="1882"/>
      <c r="AWF31" s="1887"/>
      <c r="AWG31" s="1888"/>
      <c r="AWH31" s="1882"/>
      <c r="AWI31" s="1882"/>
      <c r="AWJ31" s="1882"/>
      <c r="AWL31" s="1887"/>
      <c r="AWM31" s="1888"/>
      <c r="AWN31" s="1882"/>
      <c r="AWO31" s="1882"/>
      <c r="AWP31" s="1882"/>
      <c r="AWR31" s="1887"/>
      <c r="AWS31" s="1888"/>
      <c r="AWT31" s="1882"/>
      <c r="AWU31" s="1882"/>
      <c r="AWV31" s="1882"/>
      <c r="AWX31" s="1887"/>
      <c r="AWY31" s="1888"/>
      <c r="AWZ31" s="1882"/>
      <c r="AXA31" s="1882"/>
      <c r="AXB31" s="1882"/>
      <c r="AXD31" s="1887"/>
      <c r="AXE31" s="1888"/>
      <c r="AXF31" s="1882"/>
      <c r="AXG31" s="1882"/>
      <c r="AXH31" s="1882"/>
      <c r="AXJ31" s="1887"/>
      <c r="AXK31" s="1888"/>
      <c r="AXL31" s="1882"/>
      <c r="AXM31" s="1882"/>
      <c r="AXN31" s="1882"/>
      <c r="AXP31" s="1887"/>
      <c r="AXQ31" s="1888"/>
      <c r="AXR31" s="1882"/>
      <c r="AXS31" s="1882"/>
      <c r="AXT31" s="1882"/>
      <c r="AXV31" s="1887"/>
      <c r="AXW31" s="1888"/>
      <c r="AXX31" s="1882"/>
      <c r="AXY31" s="1882"/>
      <c r="AXZ31" s="1882"/>
      <c r="AYB31" s="1887"/>
      <c r="AYC31" s="1888"/>
      <c r="AYD31" s="1882"/>
      <c r="AYE31" s="1882"/>
      <c r="AYF31" s="1882"/>
      <c r="AYH31" s="1887"/>
      <c r="AYI31" s="1888"/>
      <c r="AYJ31" s="1882"/>
      <c r="AYK31" s="1882"/>
      <c r="AYL31" s="1882"/>
      <c r="AYN31" s="1887"/>
      <c r="AYO31" s="1888"/>
      <c r="AYP31" s="1882"/>
      <c r="AYQ31" s="1882"/>
      <c r="AYR31" s="1882"/>
      <c r="AYT31" s="1887"/>
      <c r="AYU31" s="1888"/>
      <c r="AYV31" s="1882"/>
      <c r="AYW31" s="1882"/>
      <c r="AYX31" s="1882"/>
      <c r="AYZ31" s="1887"/>
      <c r="AZA31" s="1888"/>
      <c r="AZB31" s="1882"/>
      <c r="AZC31" s="1882"/>
      <c r="AZD31" s="1882"/>
      <c r="AZF31" s="1887"/>
      <c r="AZG31" s="1888"/>
      <c r="AZH31" s="1882"/>
      <c r="AZI31" s="1882"/>
      <c r="AZJ31" s="1882"/>
      <c r="AZL31" s="1887"/>
      <c r="AZM31" s="1888"/>
      <c r="AZN31" s="1882"/>
      <c r="AZO31" s="1882"/>
      <c r="AZP31" s="1882"/>
      <c r="AZR31" s="1887"/>
      <c r="AZS31" s="1888"/>
      <c r="AZT31" s="1882"/>
      <c r="AZU31" s="1882"/>
      <c r="AZV31" s="1882"/>
      <c r="AZX31" s="1887"/>
      <c r="AZY31" s="1888"/>
      <c r="AZZ31" s="1882"/>
      <c r="BAA31" s="1882"/>
      <c r="BAB31" s="1882"/>
      <c r="BAD31" s="1887"/>
      <c r="BAE31" s="1888"/>
      <c r="BAF31" s="1882"/>
      <c r="BAG31" s="1882"/>
      <c r="BAH31" s="1882"/>
      <c r="BAJ31" s="1887"/>
      <c r="BAK31" s="1888"/>
      <c r="BAL31" s="1882"/>
      <c r="BAM31" s="1882"/>
      <c r="BAN31" s="1882"/>
      <c r="BAP31" s="1887"/>
      <c r="BAQ31" s="1888"/>
      <c r="BAR31" s="1882"/>
      <c r="BAS31" s="1882"/>
      <c r="BAT31" s="1882"/>
      <c r="BAV31" s="1887"/>
      <c r="BAW31" s="1888"/>
      <c r="BAX31" s="1882"/>
      <c r="BAY31" s="1882"/>
      <c r="BAZ31" s="1882"/>
      <c r="BBB31" s="1887"/>
      <c r="BBC31" s="1888"/>
      <c r="BBD31" s="1882"/>
      <c r="BBE31" s="1882"/>
      <c r="BBF31" s="1882"/>
      <c r="BBH31" s="1887"/>
      <c r="BBI31" s="1888"/>
      <c r="BBJ31" s="1882"/>
      <c r="BBK31" s="1882"/>
      <c r="BBL31" s="1882"/>
      <c r="BBN31" s="1887"/>
      <c r="BBO31" s="1888"/>
      <c r="BBP31" s="1882"/>
      <c r="BBQ31" s="1882"/>
      <c r="BBR31" s="1882"/>
      <c r="BBT31" s="1887"/>
      <c r="BBU31" s="1888"/>
      <c r="BBV31" s="1882"/>
      <c r="BBW31" s="1882"/>
      <c r="BBX31" s="1882"/>
      <c r="BBZ31" s="1887"/>
      <c r="BCA31" s="1888"/>
      <c r="BCB31" s="1882"/>
      <c r="BCC31" s="1882"/>
      <c r="BCD31" s="1882"/>
      <c r="BCF31" s="1887"/>
      <c r="BCG31" s="1888"/>
      <c r="BCH31" s="1882"/>
      <c r="BCI31" s="1882"/>
      <c r="BCJ31" s="1882"/>
      <c r="BCL31" s="1887"/>
      <c r="BCM31" s="1888"/>
      <c r="BCN31" s="1882"/>
      <c r="BCO31" s="1882"/>
      <c r="BCP31" s="1882"/>
      <c r="BCR31" s="1887"/>
      <c r="BCS31" s="1888"/>
      <c r="BCT31" s="1882"/>
      <c r="BCU31" s="1882"/>
      <c r="BCV31" s="1882"/>
      <c r="BCX31" s="1887"/>
      <c r="BCY31" s="1888"/>
      <c r="BCZ31" s="1882"/>
      <c r="BDA31" s="1882"/>
      <c r="BDB31" s="1882"/>
      <c r="BDD31" s="1887"/>
      <c r="BDE31" s="1888"/>
      <c r="BDF31" s="1882"/>
      <c r="BDG31" s="1882"/>
      <c r="BDH31" s="1882"/>
      <c r="BDJ31" s="1887"/>
      <c r="BDK31" s="1888"/>
      <c r="BDL31" s="1882"/>
      <c r="BDM31" s="1882"/>
      <c r="BDN31" s="1882"/>
      <c r="BDP31" s="1887"/>
      <c r="BDQ31" s="1888"/>
      <c r="BDR31" s="1882"/>
      <c r="BDS31" s="1882"/>
      <c r="BDT31" s="1882"/>
      <c r="BDV31" s="1887"/>
      <c r="BDW31" s="1888"/>
      <c r="BDX31" s="1882"/>
      <c r="BDY31" s="1882"/>
      <c r="BDZ31" s="1882"/>
      <c r="BEB31" s="1887"/>
      <c r="BEC31" s="1888"/>
      <c r="BED31" s="1882"/>
      <c r="BEE31" s="1882"/>
      <c r="BEF31" s="1882"/>
      <c r="BEH31" s="1887"/>
      <c r="BEI31" s="1888"/>
      <c r="BEJ31" s="1882"/>
      <c r="BEK31" s="1882"/>
      <c r="BEL31" s="1882"/>
      <c r="BEN31" s="1887"/>
      <c r="BEO31" s="1888"/>
      <c r="BEP31" s="1882"/>
      <c r="BEQ31" s="1882"/>
      <c r="BER31" s="1882"/>
      <c r="BET31" s="1887"/>
      <c r="BEU31" s="1888"/>
      <c r="BEV31" s="1882"/>
      <c r="BEW31" s="1882"/>
      <c r="BEX31" s="1882"/>
      <c r="BEZ31" s="1887"/>
      <c r="BFA31" s="1888"/>
      <c r="BFB31" s="1882"/>
      <c r="BFC31" s="1882"/>
      <c r="BFD31" s="1882"/>
      <c r="BFF31" s="1887"/>
      <c r="BFG31" s="1888"/>
      <c r="BFH31" s="1882"/>
      <c r="BFI31" s="1882"/>
      <c r="BFJ31" s="1882"/>
      <c r="BFL31" s="1887"/>
      <c r="BFM31" s="1888"/>
      <c r="BFN31" s="1882"/>
      <c r="BFO31" s="1882"/>
      <c r="BFP31" s="1882"/>
      <c r="BFR31" s="1887"/>
      <c r="BFS31" s="1888"/>
      <c r="BFT31" s="1882"/>
      <c r="BFU31" s="1882"/>
      <c r="BFV31" s="1882"/>
      <c r="BFX31" s="1887"/>
      <c r="BFY31" s="1888"/>
      <c r="BFZ31" s="1882"/>
      <c r="BGA31" s="1882"/>
      <c r="BGB31" s="1882"/>
      <c r="BGD31" s="1887"/>
      <c r="BGE31" s="1888"/>
      <c r="BGF31" s="1882"/>
      <c r="BGG31" s="1882"/>
      <c r="BGH31" s="1882"/>
      <c r="BGJ31" s="1887"/>
      <c r="BGK31" s="1888"/>
      <c r="BGL31" s="1882"/>
      <c r="BGM31" s="1882"/>
      <c r="BGN31" s="1882"/>
      <c r="BGP31" s="1887"/>
      <c r="BGQ31" s="1888"/>
      <c r="BGR31" s="1882"/>
      <c r="BGS31" s="1882"/>
      <c r="BGT31" s="1882"/>
      <c r="BGV31" s="1887"/>
      <c r="BGW31" s="1888"/>
      <c r="BGX31" s="1882"/>
      <c r="BGY31" s="1882"/>
      <c r="BGZ31" s="1882"/>
      <c r="BHB31" s="1887"/>
      <c r="BHC31" s="1888"/>
      <c r="BHD31" s="1882"/>
      <c r="BHE31" s="1882"/>
      <c r="BHF31" s="1882"/>
      <c r="BHH31" s="1887"/>
      <c r="BHI31" s="1888"/>
      <c r="BHJ31" s="1882"/>
      <c r="BHK31" s="1882"/>
      <c r="BHL31" s="1882"/>
      <c r="BHN31" s="1887"/>
      <c r="BHO31" s="1888"/>
      <c r="BHP31" s="1882"/>
      <c r="BHQ31" s="1882"/>
      <c r="BHR31" s="1882"/>
      <c r="BHT31" s="1887"/>
      <c r="BHU31" s="1888"/>
      <c r="BHV31" s="1882"/>
      <c r="BHW31" s="1882"/>
      <c r="BHX31" s="1882"/>
      <c r="BHZ31" s="1887"/>
      <c r="BIA31" s="1888"/>
      <c r="BIB31" s="1882"/>
      <c r="BIC31" s="1882"/>
      <c r="BID31" s="1882"/>
      <c r="BIF31" s="1887"/>
      <c r="BIG31" s="1888"/>
      <c r="BIH31" s="1882"/>
      <c r="BII31" s="1882"/>
      <c r="BIJ31" s="1882"/>
      <c r="BIL31" s="1887"/>
      <c r="BIM31" s="1888"/>
      <c r="BIN31" s="1882"/>
      <c r="BIO31" s="1882"/>
      <c r="BIP31" s="1882"/>
      <c r="BIR31" s="1887"/>
      <c r="BIS31" s="1888"/>
      <c r="BIT31" s="1882"/>
      <c r="BIU31" s="1882"/>
      <c r="BIV31" s="1882"/>
      <c r="BIX31" s="1887"/>
      <c r="BIY31" s="1888"/>
      <c r="BIZ31" s="1882"/>
      <c r="BJA31" s="1882"/>
      <c r="BJB31" s="1882"/>
      <c r="BJD31" s="1887"/>
      <c r="BJE31" s="1888"/>
      <c r="BJF31" s="1882"/>
      <c r="BJG31" s="1882"/>
      <c r="BJH31" s="1882"/>
      <c r="BJJ31" s="1887"/>
      <c r="BJK31" s="1888"/>
      <c r="BJL31" s="1882"/>
      <c r="BJM31" s="1882"/>
      <c r="BJN31" s="1882"/>
      <c r="BJP31" s="1887"/>
      <c r="BJQ31" s="1888"/>
      <c r="BJR31" s="1882"/>
      <c r="BJS31" s="1882"/>
      <c r="BJT31" s="1882"/>
      <c r="BJV31" s="1887"/>
      <c r="BJW31" s="1888"/>
      <c r="BJX31" s="1882"/>
      <c r="BJY31" s="1882"/>
      <c r="BJZ31" s="1882"/>
      <c r="BKB31" s="1887"/>
      <c r="BKC31" s="1888"/>
      <c r="BKD31" s="1882"/>
      <c r="BKE31" s="1882"/>
      <c r="BKF31" s="1882"/>
      <c r="BKH31" s="1887"/>
      <c r="BKI31" s="1888"/>
      <c r="BKJ31" s="1882"/>
      <c r="BKK31" s="1882"/>
      <c r="BKL31" s="1882"/>
      <c r="BKN31" s="1887"/>
      <c r="BKO31" s="1888"/>
      <c r="BKP31" s="1882"/>
      <c r="BKQ31" s="1882"/>
      <c r="BKR31" s="1882"/>
      <c r="BKT31" s="1887"/>
      <c r="BKU31" s="1888"/>
      <c r="BKV31" s="1882"/>
      <c r="BKW31" s="1882"/>
      <c r="BKX31" s="1882"/>
      <c r="BKZ31" s="1887"/>
      <c r="BLA31" s="1888"/>
      <c r="BLB31" s="1882"/>
      <c r="BLC31" s="1882"/>
      <c r="BLD31" s="1882"/>
      <c r="BLF31" s="1887"/>
      <c r="BLG31" s="1888"/>
      <c r="BLH31" s="1882"/>
      <c r="BLI31" s="1882"/>
      <c r="BLJ31" s="1882"/>
      <c r="BLL31" s="1887"/>
      <c r="BLM31" s="1888"/>
      <c r="BLN31" s="1882"/>
      <c r="BLO31" s="1882"/>
      <c r="BLP31" s="1882"/>
      <c r="BLR31" s="1887"/>
      <c r="BLS31" s="1888"/>
      <c r="BLT31" s="1882"/>
      <c r="BLU31" s="1882"/>
      <c r="BLV31" s="1882"/>
      <c r="BLX31" s="1887"/>
      <c r="BLY31" s="1888"/>
      <c r="BLZ31" s="1882"/>
      <c r="BMA31" s="1882"/>
      <c r="BMB31" s="1882"/>
      <c r="BMD31" s="1887"/>
      <c r="BME31" s="1888"/>
      <c r="BMF31" s="1882"/>
      <c r="BMG31" s="1882"/>
      <c r="BMH31" s="1882"/>
      <c r="BMJ31" s="1887"/>
      <c r="BMK31" s="1888"/>
      <c r="BML31" s="1882"/>
      <c r="BMM31" s="1882"/>
      <c r="BMN31" s="1882"/>
      <c r="BMP31" s="1887"/>
      <c r="BMQ31" s="1888"/>
      <c r="BMR31" s="1882"/>
      <c r="BMS31" s="1882"/>
      <c r="BMT31" s="1882"/>
      <c r="BMV31" s="1887"/>
      <c r="BMW31" s="1888"/>
      <c r="BMX31" s="1882"/>
      <c r="BMY31" s="1882"/>
      <c r="BMZ31" s="1882"/>
      <c r="BNB31" s="1887"/>
      <c r="BNC31" s="1888"/>
      <c r="BND31" s="1882"/>
      <c r="BNE31" s="1882"/>
      <c r="BNF31" s="1882"/>
      <c r="BNH31" s="1887"/>
      <c r="BNI31" s="1888"/>
      <c r="BNJ31" s="1882"/>
      <c r="BNK31" s="1882"/>
      <c r="BNL31" s="1882"/>
      <c r="BNN31" s="1887"/>
      <c r="BNO31" s="1888"/>
      <c r="BNP31" s="1882"/>
      <c r="BNQ31" s="1882"/>
      <c r="BNR31" s="1882"/>
      <c r="BNT31" s="1887"/>
      <c r="BNU31" s="1888"/>
      <c r="BNV31" s="1882"/>
      <c r="BNW31" s="1882"/>
      <c r="BNX31" s="1882"/>
      <c r="BNZ31" s="1887"/>
      <c r="BOA31" s="1888"/>
      <c r="BOB31" s="1882"/>
      <c r="BOC31" s="1882"/>
      <c r="BOD31" s="1882"/>
      <c r="BOF31" s="1887"/>
      <c r="BOG31" s="1888"/>
      <c r="BOH31" s="1882"/>
      <c r="BOI31" s="1882"/>
      <c r="BOJ31" s="1882"/>
      <c r="BOL31" s="1887"/>
      <c r="BOM31" s="1888"/>
      <c r="BON31" s="1882"/>
      <c r="BOO31" s="1882"/>
      <c r="BOP31" s="1882"/>
      <c r="BOR31" s="1887"/>
      <c r="BOS31" s="1888"/>
      <c r="BOT31" s="1882"/>
      <c r="BOU31" s="1882"/>
      <c r="BOV31" s="1882"/>
      <c r="BOX31" s="1887"/>
      <c r="BOY31" s="1888"/>
      <c r="BOZ31" s="1882"/>
      <c r="BPA31" s="1882"/>
      <c r="BPB31" s="1882"/>
      <c r="BPD31" s="1887"/>
      <c r="BPE31" s="1888"/>
      <c r="BPF31" s="1882"/>
      <c r="BPG31" s="1882"/>
      <c r="BPH31" s="1882"/>
      <c r="BPJ31" s="1887"/>
      <c r="BPK31" s="1888"/>
      <c r="BPL31" s="1882"/>
      <c r="BPM31" s="1882"/>
      <c r="BPN31" s="1882"/>
      <c r="BPP31" s="1887"/>
      <c r="BPQ31" s="1888"/>
      <c r="BPR31" s="1882"/>
      <c r="BPS31" s="1882"/>
      <c r="BPT31" s="1882"/>
      <c r="BPV31" s="1887"/>
      <c r="BPW31" s="1888"/>
      <c r="BPX31" s="1882"/>
      <c r="BPY31" s="1882"/>
      <c r="BPZ31" s="1882"/>
      <c r="BQB31" s="1887"/>
      <c r="BQC31" s="1888"/>
      <c r="BQD31" s="1882"/>
      <c r="BQE31" s="1882"/>
      <c r="BQF31" s="1882"/>
      <c r="BQH31" s="1887"/>
      <c r="BQI31" s="1888"/>
      <c r="BQJ31" s="1882"/>
      <c r="BQK31" s="1882"/>
      <c r="BQL31" s="1882"/>
      <c r="BQN31" s="1887"/>
      <c r="BQO31" s="1888"/>
      <c r="BQP31" s="1882"/>
      <c r="BQQ31" s="1882"/>
      <c r="BQR31" s="1882"/>
      <c r="BQT31" s="1887"/>
      <c r="BQU31" s="1888"/>
      <c r="BQV31" s="1882"/>
      <c r="BQW31" s="1882"/>
      <c r="BQX31" s="1882"/>
      <c r="BQZ31" s="1887"/>
      <c r="BRA31" s="1888"/>
      <c r="BRB31" s="1882"/>
      <c r="BRC31" s="1882"/>
      <c r="BRD31" s="1882"/>
      <c r="BRF31" s="1887"/>
      <c r="BRG31" s="1888"/>
      <c r="BRH31" s="1882"/>
      <c r="BRI31" s="1882"/>
      <c r="BRJ31" s="1882"/>
      <c r="BRL31" s="1887"/>
      <c r="BRM31" s="1888"/>
      <c r="BRN31" s="1882"/>
      <c r="BRO31" s="1882"/>
      <c r="BRP31" s="1882"/>
      <c r="BRR31" s="1887"/>
      <c r="BRS31" s="1888"/>
      <c r="BRT31" s="1882"/>
      <c r="BRU31" s="1882"/>
      <c r="BRV31" s="1882"/>
      <c r="BRX31" s="1887"/>
      <c r="BRY31" s="1888"/>
      <c r="BRZ31" s="1882"/>
      <c r="BSA31" s="1882"/>
      <c r="BSB31" s="1882"/>
      <c r="BSD31" s="1887"/>
      <c r="BSE31" s="1888"/>
      <c r="BSF31" s="1882"/>
      <c r="BSG31" s="1882"/>
      <c r="BSH31" s="1882"/>
      <c r="BSJ31" s="1887"/>
      <c r="BSK31" s="1888"/>
      <c r="BSL31" s="1882"/>
      <c r="BSM31" s="1882"/>
      <c r="BSN31" s="1882"/>
      <c r="BSP31" s="1887"/>
      <c r="BSQ31" s="1888"/>
      <c r="BSR31" s="1882"/>
      <c r="BSS31" s="1882"/>
      <c r="BST31" s="1882"/>
      <c r="BSV31" s="1887"/>
      <c r="BSW31" s="1888"/>
      <c r="BSX31" s="1882"/>
      <c r="BSY31" s="1882"/>
      <c r="BSZ31" s="1882"/>
      <c r="BTB31" s="1887"/>
      <c r="BTC31" s="1888"/>
      <c r="BTD31" s="1882"/>
      <c r="BTE31" s="1882"/>
      <c r="BTF31" s="1882"/>
      <c r="BTH31" s="1887"/>
      <c r="BTI31" s="1888"/>
      <c r="BTJ31" s="1882"/>
      <c r="BTK31" s="1882"/>
      <c r="BTL31" s="1882"/>
      <c r="BTN31" s="1887"/>
      <c r="BTO31" s="1888"/>
      <c r="BTP31" s="1882"/>
      <c r="BTQ31" s="1882"/>
      <c r="BTR31" s="1882"/>
      <c r="BTT31" s="1887"/>
      <c r="BTU31" s="1888"/>
      <c r="BTV31" s="1882"/>
      <c r="BTW31" s="1882"/>
      <c r="BTX31" s="1882"/>
      <c r="BTZ31" s="1887"/>
      <c r="BUA31" s="1888"/>
      <c r="BUB31" s="1882"/>
      <c r="BUC31" s="1882"/>
      <c r="BUD31" s="1882"/>
      <c r="BUF31" s="1887"/>
      <c r="BUG31" s="1888"/>
      <c r="BUH31" s="1882"/>
      <c r="BUI31" s="1882"/>
      <c r="BUJ31" s="1882"/>
      <c r="BUL31" s="1887"/>
      <c r="BUM31" s="1888"/>
      <c r="BUN31" s="1882"/>
      <c r="BUO31" s="1882"/>
      <c r="BUP31" s="1882"/>
      <c r="BUR31" s="1887"/>
      <c r="BUS31" s="1888"/>
      <c r="BUT31" s="1882"/>
      <c r="BUU31" s="1882"/>
      <c r="BUV31" s="1882"/>
      <c r="BUX31" s="1887"/>
      <c r="BUY31" s="1888"/>
      <c r="BUZ31" s="1882"/>
      <c r="BVA31" s="1882"/>
      <c r="BVB31" s="1882"/>
      <c r="BVD31" s="1887"/>
      <c r="BVE31" s="1888"/>
      <c r="BVF31" s="1882"/>
      <c r="BVG31" s="1882"/>
      <c r="BVH31" s="1882"/>
      <c r="BVJ31" s="1887"/>
      <c r="BVK31" s="1888"/>
      <c r="BVL31" s="1882"/>
      <c r="BVM31" s="1882"/>
      <c r="BVN31" s="1882"/>
      <c r="BVP31" s="1887"/>
      <c r="BVQ31" s="1888"/>
      <c r="BVR31" s="1882"/>
      <c r="BVS31" s="1882"/>
      <c r="BVT31" s="1882"/>
      <c r="BVV31" s="1887"/>
      <c r="BVW31" s="1888"/>
      <c r="BVX31" s="1882"/>
      <c r="BVY31" s="1882"/>
      <c r="BVZ31" s="1882"/>
      <c r="BWB31" s="1887"/>
      <c r="BWC31" s="1888"/>
      <c r="BWD31" s="1882"/>
      <c r="BWE31" s="1882"/>
      <c r="BWF31" s="1882"/>
      <c r="BWH31" s="1887"/>
      <c r="BWI31" s="1888"/>
      <c r="BWJ31" s="1882"/>
      <c r="BWK31" s="1882"/>
      <c r="BWL31" s="1882"/>
      <c r="BWN31" s="1887"/>
      <c r="BWO31" s="1888"/>
      <c r="BWP31" s="1882"/>
      <c r="BWQ31" s="1882"/>
      <c r="BWR31" s="1882"/>
      <c r="BWT31" s="1887"/>
      <c r="BWU31" s="1888"/>
      <c r="BWV31" s="1882"/>
      <c r="BWW31" s="1882"/>
      <c r="BWX31" s="1882"/>
      <c r="BWZ31" s="1887"/>
      <c r="BXA31" s="1888"/>
      <c r="BXB31" s="1882"/>
      <c r="BXC31" s="1882"/>
      <c r="BXD31" s="1882"/>
      <c r="BXF31" s="1887"/>
      <c r="BXG31" s="1888"/>
      <c r="BXH31" s="1882"/>
      <c r="BXI31" s="1882"/>
      <c r="BXJ31" s="1882"/>
      <c r="BXL31" s="1887"/>
      <c r="BXM31" s="1888"/>
      <c r="BXN31" s="1882"/>
      <c r="BXO31" s="1882"/>
      <c r="BXP31" s="1882"/>
      <c r="BXR31" s="1887"/>
      <c r="BXS31" s="1888"/>
      <c r="BXT31" s="1882"/>
      <c r="BXU31" s="1882"/>
      <c r="BXV31" s="1882"/>
      <c r="BXX31" s="1887"/>
      <c r="BXY31" s="1888"/>
      <c r="BXZ31" s="1882"/>
      <c r="BYA31" s="1882"/>
      <c r="BYB31" s="1882"/>
      <c r="BYD31" s="1887"/>
      <c r="BYE31" s="1888"/>
      <c r="BYF31" s="1882"/>
      <c r="BYG31" s="1882"/>
      <c r="BYH31" s="1882"/>
      <c r="BYJ31" s="1887"/>
      <c r="BYK31" s="1888"/>
      <c r="BYL31" s="1882"/>
      <c r="BYM31" s="1882"/>
      <c r="BYN31" s="1882"/>
      <c r="BYP31" s="1887"/>
      <c r="BYQ31" s="1888"/>
      <c r="BYR31" s="1882"/>
      <c r="BYS31" s="1882"/>
      <c r="BYT31" s="1882"/>
      <c r="BYV31" s="1887"/>
      <c r="BYW31" s="1888"/>
      <c r="BYX31" s="1882"/>
      <c r="BYY31" s="1882"/>
      <c r="BYZ31" s="1882"/>
      <c r="BZB31" s="1887"/>
      <c r="BZC31" s="1888"/>
      <c r="BZD31" s="1882"/>
      <c r="BZE31" s="1882"/>
      <c r="BZF31" s="1882"/>
      <c r="BZH31" s="1887"/>
      <c r="BZI31" s="1888"/>
      <c r="BZJ31" s="1882"/>
      <c r="BZK31" s="1882"/>
      <c r="BZL31" s="1882"/>
      <c r="BZN31" s="1887"/>
      <c r="BZO31" s="1888"/>
      <c r="BZP31" s="1882"/>
      <c r="BZQ31" s="1882"/>
      <c r="BZR31" s="1882"/>
      <c r="BZT31" s="1887"/>
      <c r="BZU31" s="1888"/>
      <c r="BZV31" s="1882"/>
      <c r="BZW31" s="1882"/>
      <c r="BZX31" s="1882"/>
      <c r="BZZ31" s="1887"/>
      <c r="CAA31" s="1888"/>
      <c r="CAB31" s="1882"/>
      <c r="CAC31" s="1882"/>
      <c r="CAD31" s="1882"/>
      <c r="CAF31" s="1887"/>
      <c r="CAG31" s="1888"/>
      <c r="CAH31" s="1882"/>
      <c r="CAI31" s="1882"/>
      <c r="CAJ31" s="1882"/>
      <c r="CAL31" s="1887"/>
      <c r="CAM31" s="1888"/>
      <c r="CAN31" s="1882"/>
      <c r="CAO31" s="1882"/>
      <c r="CAP31" s="1882"/>
      <c r="CAR31" s="1887"/>
      <c r="CAS31" s="1888"/>
      <c r="CAT31" s="1882"/>
      <c r="CAU31" s="1882"/>
      <c r="CAV31" s="1882"/>
      <c r="CAX31" s="1887"/>
      <c r="CAY31" s="1888"/>
      <c r="CAZ31" s="1882"/>
      <c r="CBA31" s="1882"/>
      <c r="CBB31" s="1882"/>
      <c r="CBD31" s="1887"/>
      <c r="CBE31" s="1888"/>
      <c r="CBF31" s="1882"/>
      <c r="CBG31" s="1882"/>
      <c r="CBH31" s="1882"/>
      <c r="CBJ31" s="1887"/>
      <c r="CBK31" s="1888"/>
      <c r="CBL31" s="1882"/>
      <c r="CBM31" s="1882"/>
      <c r="CBN31" s="1882"/>
      <c r="CBP31" s="1887"/>
      <c r="CBQ31" s="1888"/>
      <c r="CBR31" s="1882"/>
      <c r="CBS31" s="1882"/>
      <c r="CBT31" s="1882"/>
      <c r="CBV31" s="1887"/>
      <c r="CBW31" s="1888"/>
      <c r="CBX31" s="1882"/>
      <c r="CBY31" s="1882"/>
      <c r="CBZ31" s="1882"/>
      <c r="CCB31" s="1887"/>
      <c r="CCC31" s="1888"/>
      <c r="CCD31" s="1882"/>
      <c r="CCE31" s="1882"/>
      <c r="CCF31" s="1882"/>
      <c r="CCH31" s="1887"/>
      <c r="CCI31" s="1888"/>
      <c r="CCJ31" s="1882"/>
      <c r="CCK31" s="1882"/>
      <c r="CCL31" s="1882"/>
      <c r="CCN31" s="1887"/>
      <c r="CCO31" s="1888"/>
      <c r="CCP31" s="1882"/>
      <c r="CCQ31" s="1882"/>
      <c r="CCR31" s="1882"/>
      <c r="CCT31" s="1887"/>
      <c r="CCU31" s="1888"/>
      <c r="CCV31" s="1882"/>
      <c r="CCW31" s="1882"/>
      <c r="CCX31" s="1882"/>
      <c r="CCZ31" s="1887"/>
      <c r="CDA31" s="1888"/>
      <c r="CDB31" s="1882"/>
      <c r="CDC31" s="1882"/>
      <c r="CDD31" s="1882"/>
      <c r="CDF31" s="1887"/>
      <c r="CDG31" s="1888"/>
      <c r="CDH31" s="1882"/>
      <c r="CDI31" s="1882"/>
      <c r="CDJ31" s="1882"/>
      <c r="CDL31" s="1887"/>
      <c r="CDM31" s="1888"/>
      <c r="CDN31" s="1882"/>
      <c r="CDO31" s="1882"/>
      <c r="CDP31" s="1882"/>
      <c r="CDR31" s="1887"/>
      <c r="CDS31" s="1888"/>
      <c r="CDT31" s="1882"/>
      <c r="CDU31" s="1882"/>
      <c r="CDV31" s="1882"/>
      <c r="CDX31" s="1887"/>
      <c r="CDY31" s="1888"/>
      <c r="CDZ31" s="1882"/>
      <c r="CEA31" s="1882"/>
      <c r="CEB31" s="1882"/>
      <c r="CED31" s="1887"/>
      <c r="CEE31" s="1888"/>
      <c r="CEF31" s="1882"/>
      <c r="CEG31" s="1882"/>
      <c r="CEH31" s="1882"/>
      <c r="CEJ31" s="1887"/>
      <c r="CEK31" s="1888"/>
      <c r="CEL31" s="1882"/>
      <c r="CEM31" s="1882"/>
      <c r="CEN31" s="1882"/>
      <c r="CEP31" s="1887"/>
      <c r="CEQ31" s="1888"/>
      <c r="CER31" s="1882"/>
      <c r="CES31" s="1882"/>
      <c r="CET31" s="1882"/>
      <c r="CEV31" s="1887"/>
      <c r="CEW31" s="1888"/>
      <c r="CEX31" s="1882"/>
      <c r="CEY31" s="1882"/>
      <c r="CEZ31" s="1882"/>
      <c r="CFB31" s="1887"/>
      <c r="CFC31" s="1888"/>
      <c r="CFD31" s="1882"/>
      <c r="CFE31" s="1882"/>
      <c r="CFF31" s="1882"/>
      <c r="CFH31" s="1887"/>
      <c r="CFI31" s="1888"/>
      <c r="CFJ31" s="1882"/>
      <c r="CFK31" s="1882"/>
      <c r="CFL31" s="1882"/>
      <c r="CFN31" s="1887"/>
      <c r="CFO31" s="1888"/>
      <c r="CFP31" s="1882"/>
      <c r="CFQ31" s="1882"/>
      <c r="CFR31" s="1882"/>
      <c r="CFT31" s="1887"/>
      <c r="CFU31" s="1888"/>
      <c r="CFV31" s="1882"/>
      <c r="CFW31" s="1882"/>
      <c r="CFX31" s="1882"/>
      <c r="CFZ31" s="1887"/>
      <c r="CGA31" s="1888"/>
      <c r="CGB31" s="1882"/>
      <c r="CGC31" s="1882"/>
      <c r="CGD31" s="1882"/>
      <c r="CGF31" s="1887"/>
      <c r="CGG31" s="1888"/>
      <c r="CGH31" s="1882"/>
      <c r="CGI31" s="1882"/>
      <c r="CGJ31" s="1882"/>
      <c r="CGL31" s="1887"/>
      <c r="CGM31" s="1888"/>
      <c r="CGN31" s="1882"/>
      <c r="CGO31" s="1882"/>
      <c r="CGP31" s="1882"/>
      <c r="CGR31" s="1887"/>
      <c r="CGS31" s="1888"/>
      <c r="CGT31" s="1882"/>
      <c r="CGU31" s="1882"/>
      <c r="CGV31" s="1882"/>
      <c r="CGX31" s="1887"/>
      <c r="CGY31" s="1888"/>
      <c r="CGZ31" s="1882"/>
      <c r="CHA31" s="1882"/>
      <c r="CHB31" s="1882"/>
      <c r="CHD31" s="1887"/>
      <c r="CHE31" s="1888"/>
      <c r="CHF31" s="1882"/>
      <c r="CHG31" s="1882"/>
      <c r="CHH31" s="1882"/>
      <c r="CHJ31" s="1887"/>
      <c r="CHK31" s="1888"/>
      <c r="CHL31" s="1882"/>
      <c r="CHM31" s="1882"/>
      <c r="CHN31" s="1882"/>
      <c r="CHP31" s="1887"/>
      <c r="CHQ31" s="1888"/>
      <c r="CHR31" s="1882"/>
      <c r="CHS31" s="1882"/>
      <c r="CHT31" s="1882"/>
      <c r="CHV31" s="1887"/>
      <c r="CHW31" s="1888"/>
      <c r="CHX31" s="1882"/>
      <c r="CHY31" s="1882"/>
      <c r="CHZ31" s="1882"/>
      <c r="CIB31" s="1887"/>
      <c r="CIC31" s="1888"/>
      <c r="CID31" s="1882"/>
      <c r="CIE31" s="1882"/>
      <c r="CIF31" s="1882"/>
      <c r="CIH31" s="1887"/>
      <c r="CII31" s="1888"/>
      <c r="CIJ31" s="1882"/>
      <c r="CIK31" s="1882"/>
      <c r="CIL31" s="1882"/>
      <c r="CIN31" s="1887"/>
      <c r="CIO31" s="1888"/>
      <c r="CIP31" s="1882"/>
      <c r="CIQ31" s="1882"/>
      <c r="CIR31" s="1882"/>
      <c r="CIT31" s="1887"/>
      <c r="CIU31" s="1888"/>
      <c r="CIV31" s="1882"/>
      <c r="CIW31" s="1882"/>
      <c r="CIX31" s="1882"/>
      <c r="CIZ31" s="1887"/>
      <c r="CJA31" s="1888"/>
      <c r="CJB31" s="1882"/>
      <c r="CJC31" s="1882"/>
      <c r="CJD31" s="1882"/>
      <c r="CJF31" s="1887"/>
      <c r="CJG31" s="1888"/>
      <c r="CJH31" s="1882"/>
      <c r="CJI31" s="1882"/>
      <c r="CJJ31" s="1882"/>
      <c r="CJL31" s="1887"/>
      <c r="CJM31" s="1888"/>
      <c r="CJN31" s="1882"/>
      <c r="CJO31" s="1882"/>
      <c r="CJP31" s="1882"/>
      <c r="CJR31" s="1887"/>
      <c r="CJS31" s="1888"/>
      <c r="CJT31" s="1882"/>
      <c r="CJU31" s="1882"/>
      <c r="CJV31" s="1882"/>
      <c r="CJX31" s="1887"/>
      <c r="CJY31" s="1888"/>
      <c r="CJZ31" s="1882"/>
      <c r="CKA31" s="1882"/>
      <c r="CKB31" s="1882"/>
      <c r="CKD31" s="1887"/>
      <c r="CKE31" s="1888"/>
      <c r="CKF31" s="1882"/>
      <c r="CKG31" s="1882"/>
      <c r="CKH31" s="1882"/>
      <c r="CKJ31" s="1887"/>
      <c r="CKK31" s="1888"/>
      <c r="CKL31" s="1882"/>
      <c r="CKM31" s="1882"/>
      <c r="CKN31" s="1882"/>
      <c r="CKP31" s="1887"/>
      <c r="CKQ31" s="1888"/>
      <c r="CKR31" s="1882"/>
      <c r="CKS31" s="1882"/>
      <c r="CKT31" s="1882"/>
      <c r="CKV31" s="1887"/>
      <c r="CKW31" s="1888"/>
      <c r="CKX31" s="1882"/>
      <c r="CKY31" s="1882"/>
      <c r="CKZ31" s="1882"/>
      <c r="CLB31" s="1887"/>
      <c r="CLC31" s="1888"/>
      <c r="CLD31" s="1882"/>
      <c r="CLE31" s="1882"/>
      <c r="CLF31" s="1882"/>
      <c r="CLH31" s="1887"/>
      <c r="CLI31" s="1888"/>
      <c r="CLJ31" s="1882"/>
      <c r="CLK31" s="1882"/>
      <c r="CLL31" s="1882"/>
      <c r="CLN31" s="1887"/>
      <c r="CLO31" s="1888"/>
      <c r="CLP31" s="1882"/>
      <c r="CLQ31" s="1882"/>
      <c r="CLR31" s="1882"/>
      <c r="CLT31" s="1887"/>
      <c r="CLU31" s="1888"/>
      <c r="CLV31" s="1882"/>
      <c r="CLW31" s="1882"/>
      <c r="CLX31" s="1882"/>
      <c r="CLZ31" s="1887"/>
      <c r="CMA31" s="1888"/>
      <c r="CMB31" s="1882"/>
      <c r="CMC31" s="1882"/>
      <c r="CMD31" s="1882"/>
      <c r="CMF31" s="1887"/>
      <c r="CMG31" s="1888"/>
      <c r="CMH31" s="1882"/>
      <c r="CMI31" s="1882"/>
      <c r="CMJ31" s="1882"/>
      <c r="CML31" s="1887"/>
      <c r="CMM31" s="1888"/>
      <c r="CMN31" s="1882"/>
      <c r="CMO31" s="1882"/>
      <c r="CMP31" s="1882"/>
      <c r="CMR31" s="1887"/>
      <c r="CMS31" s="1888"/>
      <c r="CMT31" s="1882"/>
      <c r="CMU31" s="1882"/>
      <c r="CMV31" s="1882"/>
      <c r="CMX31" s="1887"/>
      <c r="CMY31" s="1888"/>
      <c r="CMZ31" s="1882"/>
      <c r="CNA31" s="1882"/>
      <c r="CNB31" s="1882"/>
      <c r="CND31" s="1887"/>
      <c r="CNE31" s="1888"/>
      <c r="CNF31" s="1882"/>
      <c r="CNG31" s="1882"/>
      <c r="CNH31" s="1882"/>
      <c r="CNJ31" s="1887"/>
      <c r="CNK31" s="1888"/>
      <c r="CNL31" s="1882"/>
      <c r="CNM31" s="1882"/>
      <c r="CNN31" s="1882"/>
      <c r="CNP31" s="1887"/>
      <c r="CNQ31" s="1888"/>
      <c r="CNR31" s="1882"/>
      <c r="CNS31" s="1882"/>
      <c r="CNT31" s="1882"/>
      <c r="CNV31" s="1887"/>
      <c r="CNW31" s="1888"/>
      <c r="CNX31" s="1882"/>
      <c r="CNY31" s="1882"/>
      <c r="CNZ31" s="1882"/>
      <c r="COB31" s="1887"/>
      <c r="COC31" s="1888"/>
      <c r="COD31" s="1882"/>
      <c r="COE31" s="1882"/>
      <c r="COF31" s="1882"/>
      <c r="COH31" s="1887"/>
      <c r="COI31" s="1888"/>
      <c r="COJ31" s="1882"/>
      <c r="COK31" s="1882"/>
      <c r="COL31" s="1882"/>
      <c r="CON31" s="1887"/>
      <c r="COO31" s="1888"/>
      <c r="COP31" s="1882"/>
      <c r="COQ31" s="1882"/>
      <c r="COR31" s="1882"/>
      <c r="COT31" s="1887"/>
      <c r="COU31" s="1888"/>
      <c r="COV31" s="1882"/>
      <c r="COW31" s="1882"/>
      <c r="COX31" s="1882"/>
      <c r="COZ31" s="1887"/>
      <c r="CPA31" s="1888"/>
      <c r="CPB31" s="1882"/>
      <c r="CPC31" s="1882"/>
      <c r="CPD31" s="1882"/>
      <c r="CPF31" s="1887"/>
      <c r="CPG31" s="1888"/>
      <c r="CPH31" s="1882"/>
      <c r="CPI31" s="1882"/>
      <c r="CPJ31" s="1882"/>
      <c r="CPL31" s="1887"/>
      <c r="CPM31" s="1888"/>
      <c r="CPN31" s="1882"/>
      <c r="CPO31" s="1882"/>
      <c r="CPP31" s="1882"/>
      <c r="CPR31" s="1887"/>
      <c r="CPS31" s="1888"/>
      <c r="CPT31" s="1882"/>
      <c r="CPU31" s="1882"/>
      <c r="CPV31" s="1882"/>
      <c r="CPX31" s="1887"/>
      <c r="CPY31" s="1888"/>
      <c r="CPZ31" s="1882"/>
      <c r="CQA31" s="1882"/>
      <c r="CQB31" s="1882"/>
      <c r="CQD31" s="1887"/>
      <c r="CQE31" s="1888"/>
      <c r="CQF31" s="1882"/>
      <c r="CQG31" s="1882"/>
      <c r="CQH31" s="1882"/>
      <c r="CQJ31" s="1887"/>
      <c r="CQK31" s="1888"/>
      <c r="CQL31" s="1882"/>
      <c r="CQM31" s="1882"/>
      <c r="CQN31" s="1882"/>
      <c r="CQP31" s="1887"/>
      <c r="CQQ31" s="1888"/>
      <c r="CQR31" s="1882"/>
      <c r="CQS31" s="1882"/>
      <c r="CQT31" s="1882"/>
      <c r="CQV31" s="1887"/>
      <c r="CQW31" s="1888"/>
      <c r="CQX31" s="1882"/>
      <c r="CQY31" s="1882"/>
      <c r="CQZ31" s="1882"/>
      <c r="CRB31" s="1887"/>
      <c r="CRC31" s="1888"/>
      <c r="CRD31" s="1882"/>
      <c r="CRE31" s="1882"/>
      <c r="CRF31" s="1882"/>
      <c r="CRH31" s="1887"/>
      <c r="CRI31" s="1888"/>
      <c r="CRJ31" s="1882"/>
      <c r="CRK31" s="1882"/>
      <c r="CRL31" s="1882"/>
      <c r="CRN31" s="1887"/>
      <c r="CRO31" s="1888"/>
      <c r="CRP31" s="1882"/>
      <c r="CRQ31" s="1882"/>
      <c r="CRR31" s="1882"/>
      <c r="CRT31" s="1887"/>
      <c r="CRU31" s="1888"/>
      <c r="CRV31" s="1882"/>
      <c r="CRW31" s="1882"/>
      <c r="CRX31" s="1882"/>
      <c r="CRZ31" s="1887"/>
      <c r="CSA31" s="1888"/>
      <c r="CSB31" s="1882"/>
      <c r="CSC31" s="1882"/>
      <c r="CSD31" s="1882"/>
      <c r="CSF31" s="1887"/>
      <c r="CSG31" s="1888"/>
      <c r="CSH31" s="1882"/>
      <c r="CSI31" s="1882"/>
      <c r="CSJ31" s="1882"/>
      <c r="CSL31" s="1887"/>
      <c r="CSM31" s="1888"/>
      <c r="CSN31" s="1882"/>
      <c r="CSO31" s="1882"/>
      <c r="CSP31" s="1882"/>
      <c r="CSR31" s="1887"/>
      <c r="CSS31" s="1888"/>
      <c r="CST31" s="1882"/>
      <c r="CSU31" s="1882"/>
      <c r="CSV31" s="1882"/>
      <c r="CSX31" s="1887"/>
      <c r="CSY31" s="1888"/>
      <c r="CSZ31" s="1882"/>
      <c r="CTA31" s="1882"/>
      <c r="CTB31" s="1882"/>
      <c r="CTD31" s="1887"/>
      <c r="CTE31" s="1888"/>
      <c r="CTF31" s="1882"/>
      <c r="CTG31" s="1882"/>
      <c r="CTH31" s="1882"/>
      <c r="CTJ31" s="1887"/>
      <c r="CTK31" s="1888"/>
      <c r="CTL31" s="1882"/>
      <c r="CTM31" s="1882"/>
      <c r="CTN31" s="1882"/>
      <c r="CTP31" s="1887"/>
      <c r="CTQ31" s="1888"/>
      <c r="CTR31" s="1882"/>
      <c r="CTS31" s="1882"/>
      <c r="CTT31" s="1882"/>
      <c r="CTV31" s="1887"/>
      <c r="CTW31" s="1888"/>
      <c r="CTX31" s="1882"/>
      <c r="CTY31" s="1882"/>
      <c r="CTZ31" s="1882"/>
      <c r="CUB31" s="1887"/>
      <c r="CUC31" s="1888"/>
      <c r="CUD31" s="1882"/>
      <c r="CUE31" s="1882"/>
      <c r="CUF31" s="1882"/>
      <c r="CUH31" s="1887"/>
      <c r="CUI31" s="1888"/>
      <c r="CUJ31" s="1882"/>
      <c r="CUK31" s="1882"/>
      <c r="CUL31" s="1882"/>
      <c r="CUN31" s="1887"/>
      <c r="CUO31" s="1888"/>
      <c r="CUP31" s="1882"/>
      <c r="CUQ31" s="1882"/>
      <c r="CUR31" s="1882"/>
      <c r="CUT31" s="1887"/>
      <c r="CUU31" s="1888"/>
      <c r="CUV31" s="1882"/>
      <c r="CUW31" s="1882"/>
      <c r="CUX31" s="1882"/>
      <c r="CUZ31" s="1887"/>
      <c r="CVA31" s="1888"/>
      <c r="CVB31" s="1882"/>
      <c r="CVC31" s="1882"/>
      <c r="CVD31" s="1882"/>
      <c r="CVF31" s="1887"/>
      <c r="CVG31" s="1888"/>
      <c r="CVH31" s="1882"/>
      <c r="CVI31" s="1882"/>
      <c r="CVJ31" s="1882"/>
      <c r="CVL31" s="1887"/>
      <c r="CVM31" s="1888"/>
      <c r="CVN31" s="1882"/>
      <c r="CVO31" s="1882"/>
      <c r="CVP31" s="1882"/>
      <c r="CVR31" s="1887"/>
      <c r="CVS31" s="1888"/>
      <c r="CVT31" s="1882"/>
      <c r="CVU31" s="1882"/>
      <c r="CVV31" s="1882"/>
      <c r="CVX31" s="1887"/>
      <c r="CVY31" s="1888"/>
      <c r="CVZ31" s="1882"/>
      <c r="CWA31" s="1882"/>
      <c r="CWB31" s="1882"/>
      <c r="CWD31" s="1887"/>
      <c r="CWE31" s="1888"/>
      <c r="CWF31" s="1882"/>
      <c r="CWG31" s="1882"/>
      <c r="CWH31" s="1882"/>
      <c r="CWJ31" s="1887"/>
      <c r="CWK31" s="1888"/>
      <c r="CWL31" s="1882"/>
      <c r="CWM31" s="1882"/>
      <c r="CWN31" s="1882"/>
      <c r="CWP31" s="1887"/>
      <c r="CWQ31" s="1888"/>
      <c r="CWR31" s="1882"/>
      <c r="CWS31" s="1882"/>
      <c r="CWT31" s="1882"/>
      <c r="CWV31" s="1887"/>
      <c r="CWW31" s="1888"/>
      <c r="CWX31" s="1882"/>
      <c r="CWY31" s="1882"/>
      <c r="CWZ31" s="1882"/>
      <c r="CXB31" s="1887"/>
      <c r="CXC31" s="1888"/>
      <c r="CXD31" s="1882"/>
      <c r="CXE31" s="1882"/>
      <c r="CXF31" s="1882"/>
      <c r="CXH31" s="1887"/>
      <c r="CXI31" s="1888"/>
      <c r="CXJ31" s="1882"/>
      <c r="CXK31" s="1882"/>
      <c r="CXL31" s="1882"/>
      <c r="CXN31" s="1887"/>
      <c r="CXO31" s="1888"/>
      <c r="CXP31" s="1882"/>
      <c r="CXQ31" s="1882"/>
      <c r="CXR31" s="1882"/>
      <c r="CXT31" s="1887"/>
      <c r="CXU31" s="1888"/>
      <c r="CXV31" s="1882"/>
      <c r="CXW31" s="1882"/>
      <c r="CXX31" s="1882"/>
      <c r="CXZ31" s="1887"/>
      <c r="CYA31" s="1888"/>
      <c r="CYB31" s="1882"/>
      <c r="CYC31" s="1882"/>
      <c r="CYD31" s="1882"/>
      <c r="CYF31" s="1887"/>
      <c r="CYG31" s="1888"/>
      <c r="CYH31" s="1882"/>
      <c r="CYI31" s="1882"/>
      <c r="CYJ31" s="1882"/>
      <c r="CYL31" s="1887"/>
      <c r="CYM31" s="1888"/>
      <c r="CYN31" s="1882"/>
      <c r="CYO31" s="1882"/>
      <c r="CYP31" s="1882"/>
      <c r="CYR31" s="1887"/>
      <c r="CYS31" s="1888"/>
      <c r="CYT31" s="1882"/>
      <c r="CYU31" s="1882"/>
      <c r="CYV31" s="1882"/>
      <c r="CYX31" s="1887"/>
      <c r="CYY31" s="1888"/>
      <c r="CYZ31" s="1882"/>
      <c r="CZA31" s="1882"/>
      <c r="CZB31" s="1882"/>
      <c r="CZD31" s="1887"/>
      <c r="CZE31" s="1888"/>
      <c r="CZF31" s="1882"/>
      <c r="CZG31" s="1882"/>
      <c r="CZH31" s="1882"/>
      <c r="CZJ31" s="1887"/>
      <c r="CZK31" s="1888"/>
      <c r="CZL31" s="1882"/>
      <c r="CZM31" s="1882"/>
      <c r="CZN31" s="1882"/>
      <c r="CZP31" s="1887"/>
      <c r="CZQ31" s="1888"/>
      <c r="CZR31" s="1882"/>
      <c r="CZS31" s="1882"/>
      <c r="CZT31" s="1882"/>
      <c r="CZV31" s="1887"/>
      <c r="CZW31" s="1888"/>
      <c r="CZX31" s="1882"/>
      <c r="CZY31" s="1882"/>
      <c r="CZZ31" s="1882"/>
      <c r="DAB31" s="1887"/>
      <c r="DAC31" s="1888"/>
      <c r="DAD31" s="1882"/>
      <c r="DAE31" s="1882"/>
      <c r="DAF31" s="1882"/>
      <c r="DAH31" s="1887"/>
      <c r="DAI31" s="1888"/>
      <c r="DAJ31" s="1882"/>
      <c r="DAK31" s="1882"/>
      <c r="DAL31" s="1882"/>
      <c r="DAN31" s="1887"/>
      <c r="DAO31" s="1888"/>
      <c r="DAP31" s="1882"/>
      <c r="DAQ31" s="1882"/>
      <c r="DAR31" s="1882"/>
      <c r="DAT31" s="1887"/>
      <c r="DAU31" s="1888"/>
      <c r="DAV31" s="1882"/>
      <c r="DAW31" s="1882"/>
      <c r="DAX31" s="1882"/>
      <c r="DAZ31" s="1887"/>
      <c r="DBA31" s="1888"/>
      <c r="DBB31" s="1882"/>
      <c r="DBC31" s="1882"/>
      <c r="DBD31" s="1882"/>
      <c r="DBF31" s="1887"/>
      <c r="DBG31" s="1888"/>
      <c r="DBH31" s="1882"/>
      <c r="DBI31" s="1882"/>
      <c r="DBJ31" s="1882"/>
      <c r="DBL31" s="1887"/>
      <c r="DBM31" s="1888"/>
      <c r="DBN31" s="1882"/>
      <c r="DBO31" s="1882"/>
      <c r="DBP31" s="1882"/>
      <c r="DBR31" s="1887"/>
      <c r="DBS31" s="1888"/>
      <c r="DBT31" s="1882"/>
      <c r="DBU31" s="1882"/>
      <c r="DBV31" s="1882"/>
      <c r="DBX31" s="1887"/>
      <c r="DBY31" s="1888"/>
      <c r="DBZ31" s="1882"/>
      <c r="DCA31" s="1882"/>
      <c r="DCB31" s="1882"/>
      <c r="DCD31" s="1887"/>
      <c r="DCE31" s="1888"/>
      <c r="DCF31" s="1882"/>
      <c r="DCG31" s="1882"/>
      <c r="DCH31" s="1882"/>
      <c r="DCJ31" s="1887"/>
      <c r="DCK31" s="1888"/>
      <c r="DCL31" s="1882"/>
      <c r="DCM31" s="1882"/>
      <c r="DCN31" s="1882"/>
      <c r="DCP31" s="1887"/>
      <c r="DCQ31" s="1888"/>
      <c r="DCR31" s="1882"/>
      <c r="DCS31" s="1882"/>
      <c r="DCT31" s="1882"/>
      <c r="DCV31" s="1887"/>
      <c r="DCW31" s="1888"/>
      <c r="DCX31" s="1882"/>
      <c r="DCY31" s="1882"/>
      <c r="DCZ31" s="1882"/>
      <c r="DDB31" s="1887"/>
      <c r="DDC31" s="1888"/>
      <c r="DDD31" s="1882"/>
      <c r="DDE31" s="1882"/>
      <c r="DDF31" s="1882"/>
      <c r="DDH31" s="1887"/>
      <c r="DDI31" s="1888"/>
      <c r="DDJ31" s="1882"/>
      <c r="DDK31" s="1882"/>
      <c r="DDL31" s="1882"/>
      <c r="DDN31" s="1887"/>
      <c r="DDO31" s="1888"/>
      <c r="DDP31" s="1882"/>
      <c r="DDQ31" s="1882"/>
      <c r="DDR31" s="1882"/>
      <c r="DDT31" s="1887"/>
      <c r="DDU31" s="1888"/>
      <c r="DDV31" s="1882"/>
      <c r="DDW31" s="1882"/>
      <c r="DDX31" s="1882"/>
      <c r="DDZ31" s="1887"/>
      <c r="DEA31" s="1888"/>
      <c r="DEB31" s="1882"/>
      <c r="DEC31" s="1882"/>
      <c r="DED31" s="1882"/>
      <c r="DEF31" s="1887"/>
      <c r="DEG31" s="1888"/>
      <c r="DEH31" s="1882"/>
      <c r="DEI31" s="1882"/>
      <c r="DEJ31" s="1882"/>
      <c r="DEL31" s="1887"/>
      <c r="DEM31" s="1888"/>
      <c r="DEN31" s="1882"/>
      <c r="DEO31" s="1882"/>
      <c r="DEP31" s="1882"/>
      <c r="DER31" s="1887"/>
      <c r="DES31" s="1888"/>
      <c r="DET31" s="1882"/>
      <c r="DEU31" s="1882"/>
      <c r="DEV31" s="1882"/>
      <c r="DEX31" s="1887"/>
      <c r="DEY31" s="1888"/>
      <c r="DEZ31" s="1882"/>
      <c r="DFA31" s="1882"/>
      <c r="DFB31" s="1882"/>
      <c r="DFD31" s="1887"/>
      <c r="DFE31" s="1888"/>
      <c r="DFF31" s="1882"/>
      <c r="DFG31" s="1882"/>
      <c r="DFH31" s="1882"/>
      <c r="DFJ31" s="1887"/>
      <c r="DFK31" s="1888"/>
      <c r="DFL31" s="1882"/>
      <c r="DFM31" s="1882"/>
      <c r="DFN31" s="1882"/>
      <c r="DFP31" s="1887"/>
      <c r="DFQ31" s="1888"/>
      <c r="DFR31" s="1882"/>
      <c r="DFS31" s="1882"/>
      <c r="DFT31" s="1882"/>
      <c r="DFV31" s="1887"/>
      <c r="DFW31" s="1888"/>
      <c r="DFX31" s="1882"/>
      <c r="DFY31" s="1882"/>
      <c r="DFZ31" s="1882"/>
      <c r="DGB31" s="1887"/>
      <c r="DGC31" s="1888"/>
      <c r="DGD31" s="1882"/>
      <c r="DGE31" s="1882"/>
      <c r="DGF31" s="1882"/>
      <c r="DGH31" s="1887"/>
      <c r="DGI31" s="1888"/>
      <c r="DGJ31" s="1882"/>
      <c r="DGK31" s="1882"/>
      <c r="DGL31" s="1882"/>
      <c r="DGN31" s="1887"/>
      <c r="DGO31" s="1888"/>
      <c r="DGP31" s="1882"/>
      <c r="DGQ31" s="1882"/>
      <c r="DGR31" s="1882"/>
      <c r="DGT31" s="1887"/>
      <c r="DGU31" s="1888"/>
      <c r="DGV31" s="1882"/>
      <c r="DGW31" s="1882"/>
      <c r="DGX31" s="1882"/>
      <c r="DGZ31" s="1887"/>
      <c r="DHA31" s="1888"/>
      <c r="DHB31" s="1882"/>
      <c r="DHC31" s="1882"/>
      <c r="DHD31" s="1882"/>
      <c r="DHF31" s="1887"/>
      <c r="DHG31" s="1888"/>
      <c r="DHH31" s="1882"/>
      <c r="DHI31" s="1882"/>
      <c r="DHJ31" s="1882"/>
      <c r="DHL31" s="1887"/>
      <c r="DHM31" s="1888"/>
      <c r="DHN31" s="1882"/>
      <c r="DHO31" s="1882"/>
      <c r="DHP31" s="1882"/>
      <c r="DHR31" s="1887"/>
      <c r="DHS31" s="1888"/>
      <c r="DHT31" s="1882"/>
      <c r="DHU31" s="1882"/>
      <c r="DHV31" s="1882"/>
      <c r="DHX31" s="1887"/>
      <c r="DHY31" s="1888"/>
      <c r="DHZ31" s="1882"/>
      <c r="DIA31" s="1882"/>
      <c r="DIB31" s="1882"/>
      <c r="DID31" s="1887"/>
      <c r="DIE31" s="1888"/>
      <c r="DIF31" s="1882"/>
      <c r="DIG31" s="1882"/>
      <c r="DIH31" s="1882"/>
      <c r="DIJ31" s="1887"/>
      <c r="DIK31" s="1888"/>
      <c r="DIL31" s="1882"/>
      <c r="DIM31" s="1882"/>
      <c r="DIN31" s="1882"/>
      <c r="DIP31" s="1887"/>
      <c r="DIQ31" s="1888"/>
      <c r="DIR31" s="1882"/>
      <c r="DIS31" s="1882"/>
      <c r="DIT31" s="1882"/>
      <c r="DIV31" s="1887"/>
      <c r="DIW31" s="1888"/>
      <c r="DIX31" s="1882"/>
      <c r="DIY31" s="1882"/>
      <c r="DIZ31" s="1882"/>
      <c r="DJB31" s="1887"/>
      <c r="DJC31" s="1888"/>
      <c r="DJD31" s="1882"/>
      <c r="DJE31" s="1882"/>
      <c r="DJF31" s="1882"/>
      <c r="DJH31" s="1887"/>
      <c r="DJI31" s="1888"/>
      <c r="DJJ31" s="1882"/>
      <c r="DJK31" s="1882"/>
      <c r="DJL31" s="1882"/>
      <c r="DJN31" s="1887"/>
      <c r="DJO31" s="1888"/>
      <c r="DJP31" s="1882"/>
      <c r="DJQ31" s="1882"/>
      <c r="DJR31" s="1882"/>
      <c r="DJT31" s="1887"/>
      <c r="DJU31" s="1888"/>
      <c r="DJV31" s="1882"/>
      <c r="DJW31" s="1882"/>
      <c r="DJX31" s="1882"/>
      <c r="DJZ31" s="1887"/>
      <c r="DKA31" s="1888"/>
      <c r="DKB31" s="1882"/>
      <c r="DKC31" s="1882"/>
      <c r="DKD31" s="1882"/>
      <c r="DKF31" s="1887"/>
      <c r="DKG31" s="1888"/>
      <c r="DKH31" s="1882"/>
      <c r="DKI31" s="1882"/>
      <c r="DKJ31" s="1882"/>
      <c r="DKL31" s="1887"/>
      <c r="DKM31" s="1888"/>
      <c r="DKN31" s="1882"/>
      <c r="DKO31" s="1882"/>
      <c r="DKP31" s="1882"/>
      <c r="DKR31" s="1887"/>
      <c r="DKS31" s="1888"/>
      <c r="DKT31" s="1882"/>
      <c r="DKU31" s="1882"/>
      <c r="DKV31" s="1882"/>
      <c r="DKX31" s="1887"/>
      <c r="DKY31" s="1888"/>
      <c r="DKZ31" s="1882"/>
      <c r="DLA31" s="1882"/>
      <c r="DLB31" s="1882"/>
      <c r="DLD31" s="1887"/>
      <c r="DLE31" s="1888"/>
      <c r="DLF31" s="1882"/>
      <c r="DLG31" s="1882"/>
      <c r="DLH31" s="1882"/>
      <c r="DLJ31" s="1887"/>
      <c r="DLK31" s="1888"/>
      <c r="DLL31" s="1882"/>
      <c r="DLM31" s="1882"/>
      <c r="DLN31" s="1882"/>
      <c r="DLP31" s="1887"/>
      <c r="DLQ31" s="1888"/>
      <c r="DLR31" s="1882"/>
      <c r="DLS31" s="1882"/>
      <c r="DLT31" s="1882"/>
      <c r="DLV31" s="1887"/>
      <c r="DLW31" s="1888"/>
      <c r="DLX31" s="1882"/>
      <c r="DLY31" s="1882"/>
      <c r="DLZ31" s="1882"/>
      <c r="DMB31" s="1887"/>
      <c r="DMC31" s="1888"/>
      <c r="DMD31" s="1882"/>
      <c r="DME31" s="1882"/>
      <c r="DMF31" s="1882"/>
      <c r="DMH31" s="1887"/>
      <c r="DMI31" s="1888"/>
      <c r="DMJ31" s="1882"/>
      <c r="DMK31" s="1882"/>
      <c r="DML31" s="1882"/>
      <c r="DMN31" s="1887"/>
      <c r="DMO31" s="1888"/>
      <c r="DMP31" s="1882"/>
      <c r="DMQ31" s="1882"/>
      <c r="DMR31" s="1882"/>
      <c r="DMT31" s="1887"/>
      <c r="DMU31" s="1888"/>
      <c r="DMV31" s="1882"/>
      <c r="DMW31" s="1882"/>
      <c r="DMX31" s="1882"/>
      <c r="DMZ31" s="1887"/>
      <c r="DNA31" s="1888"/>
      <c r="DNB31" s="1882"/>
      <c r="DNC31" s="1882"/>
      <c r="DND31" s="1882"/>
      <c r="DNF31" s="1887"/>
      <c r="DNG31" s="1888"/>
      <c r="DNH31" s="1882"/>
      <c r="DNI31" s="1882"/>
      <c r="DNJ31" s="1882"/>
      <c r="DNL31" s="1887"/>
      <c r="DNM31" s="1888"/>
      <c r="DNN31" s="1882"/>
      <c r="DNO31" s="1882"/>
      <c r="DNP31" s="1882"/>
      <c r="DNR31" s="1887"/>
      <c r="DNS31" s="1888"/>
      <c r="DNT31" s="1882"/>
      <c r="DNU31" s="1882"/>
      <c r="DNV31" s="1882"/>
      <c r="DNX31" s="1887"/>
      <c r="DNY31" s="1888"/>
      <c r="DNZ31" s="1882"/>
      <c r="DOA31" s="1882"/>
      <c r="DOB31" s="1882"/>
      <c r="DOD31" s="1887"/>
      <c r="DOE31" s="1888"/>
      <c r="DOF31" s="1882"/>
      <c r="DOG31" s="1882"/>
      <c r="DOH31" s="1882"/>
      <c r="DOJ31" s="1887"/>
      <c r="DOK31" s="1888"/>
      <c r="DOL31" s="1882"/>
      <c r="DOM31" s="1882"/>
      <c r="DON31" s="1882"/>
      <c r="DOP31" s="1887"/>
      <c r="DOQ31" s="1888"/>
      <c r="DOR31" s="1882"/>
      <c r="DOS31" s="1882"/>
      <c r="DOT31" s="1882"/>
      <c r="DOV31" s="1887"/>
      <c r="DOW31" s="1888"/>
      <c r="DOX31" s="1882"/>
      <c r="DOY31" s="1882"/>
      <c r="DOZ31" s="1882"/>
      <c r="DPB31" s="1887"/>
      <c r="DPC31" s="1888"/>
      <c r="DPD31" s="1882"/>
      <c r="DPE31" s="1882"/>
      <c r="DPF31" s="1882"/>
      <c r="DPH31" s="1887"/>
      <c r="DPI31" s="1888"/>
      <c r="DPJ31" s="1882"/>
      <c r="DPK31" s="1882"/>
      <c r="DPL31" s="1882"/>
      <c r="DPN31" s="1887"/>
      <c r="DPO31" s="1888"/>
      <c r="DPP31" s="1882"/>
      <c r="DPQ31" s="1882"/>
      <c r="DPR31" s="1882"/>
      <c r="DPT31" s="1887"/>
      <c r="DPU31" s="1888"/>
      <c r="DPV31" s="1882"/>
      <c r="DPW31" s="1882"/>
      <c r="DPX31" s="1882"/>
      <c r="DPZ31" s="1887"/>
      <c r="DQA31" s="1888"/>
      <c r="DQB31" s="1882"/>
      <c r="DQC31" s="1882"/>
      <c r="DQD31" s="1882"/>
      <c r="DQF31" s="1887"/>
      <c r="DQG31" s="1888"/>
      <c r="DQH31" s="1882"/>
      <c r="DQI31" s="1882"/>
      <c r="DQJ31" s="1882"/>
      <c r="DQL31" s="1887"/>
      <c r="DQM31" s="1888"/>
      <c r="DQN31" s="1882"/>
      <c r="DQO31" s="1882"/>
      <c r="DQP31" s="1882"/>
      <c r="DQR31" s="1887"/>
      <c r="DQS31" s="1888"/>
      <c r="DQT31" s="1882"/>
      <c r="DQU31" s="1882"/>
      <c r="DQV31" s="1882"/>
      <c r="DQX31" s="1887"/>
      <c r="DQY31" s="1888"/>
      <c r="DQZ31" s="1882"/>
      <c r="DRA31" s="1882"/>
      <c r="DRB31" s="1882"/>
      <c r="DRD31" s="1887"/>
      <c r="DRE31" s="1888"/>
      <c r="DRF31" s="1882"/>
      <c r="DRG31" s="1882"/>
      <c r="DRH31" s="1882"/>
      <c r="DRJ31" s="1887"/>
      <c r="DRK31" s="1888"/>
      <c r="DRL31" s="1882"/>
      <c r="DRM31" s="1882"/>
      <c r="DRN31" s="1882"/>
      <c r="DRP31" s="1887"/>
      <c r="DRQ31" s="1888"/>
      <c r="DRR31" s="1882"/>
      <c r="DRS31" s="1882"/>
      <c r="DRT31" s="1882"/>
      <c r="DRV31" s="1887"/>
      <c r="DRW31" s="1888"/>
      <c r="DRX31" s="1882"/>
      <c r="DRY31" s="1882"/>
      <c r="DRZ31" s="1882"/>
      <c r="DSB31" s="1887"/>
      <c r="DSC31" s="1888"/>
      <c r="DSD31" s="1882"/>
      <c r="DSE31" s="1882"/>
      <c r="DSF31" s="1882"/>
      <c r="DSH31" s="1887"/>
      <c r="DSI31" s="1888"/>
      <c r="DSJ31" s="1882"/>
      <c r="DSK31" s="1882"/>
      <c r="DSL31" s="1882"/>
      <c r="DSN31" s="1887"/>
      <c r="DSO31" s="1888"/>
      <c r="DSP31" s="1882"/>
      <c r="DSQ31" s="1882"/>
      <c r="DSR31" s="1882"/>
      <c r="DST31" s="1887"/>
      <c r="DSU31" s="1888"/>
      <c r="DSV31" s="1882"/>
      <c r="DSW31" s="1882"/>
      <c r="DSX31" s="1882"/>
      <c r="DSZ31" s="1887"/>
      <c r="DTA31" s="1888"/>
      <c r="DTB31" s="1882"/>
      <c r="DTC31" s="1882"/>
      <c r="DTD31" s="1882"/>
      <c r="DTF31" s="1887"/>
      <c r="DTG31" s="1888"/>
      <c r="DTH31" s="1882"/>
      <c r="DTI31" s="1882"/>
      <c r="DTJ31" s="1882"/>
      <c r="DTL31" s="1887"/>
      <c r="DTM31" s="1888"/>
      <c r="DTN31" s="1882"/>
      <c r="DTO31" s="1882"/>
      <c r="DTP31" s="1882"/>
      <c r="DTR31" s="1887"/>
      <c r="DTS31" s="1888"/>
      <c r="DTT31" s="1882"/>
      <c r="DTU31" s="1882"/>
      <c r="DTV31" s="1882"/>
      <c r="DTX31" s="1887"/>
      <c r="DTY31" s="1888"/>
      <c r="DTZ31" s="1882"/>
      <c r="DUA31" s="1882"/>
      <c r="DUB31" s="1882"/>
      <c r="DUD31" s="1887"/>
      <c r="DUE31" s="1888"/>
      <c r="DUF31" s="1882"/>
      <c r="DUG31" s="1882"/>
      <c r="DUH31" s="1882"/>
      <c r="DUJ31" s="1887"/>
      <c r="DUK31" s="1888"/>
      <c r="DUL31" s="1882"/>
      <c r="DUM31" s="1882"/>
      <c r="DUN31" s="1882"/>
      <c r="DUP31" s="1887"/>
      <c r="DUQ31" s="1888"/>
      <c r="DUR31" s="1882"/>
      <c r="DUS31" s="1882"/>
      <c r="DUT31" s="1882"/>
      <c r="DUV31" s="1887"/>
      <c r="DUW31" s="1888"/>
      <c r="DUX31" s="1882"/>
      <c r="DUY31" s="1882"/>
      <c r="DUZ31" s="1882"/>
      <c r="DVB31" s="1887"/>
      <c r="DVC31" s="1888"/>
      <c r="DVD31" s="1882"/>
      <c r="DVE31" s="1882"/>
      <c r="DVF31" s="1882"/>
      <c r="DVH31" s="1887"/>
      <c r="DVI31" s="1888"/>
      <c r="DVJ31" s="1882"/>
      <c r="DVK31" s="1882"/>
      <c r="DVL31" s="1882"/>
      <c r="DVN31" s="1887"/>
      <c r="DVO31" s="1888"/>
      <c r="DVP31" s="1882"/>
      <c r="DVQ31" s="1882"/>
      <c r="DVR31" s="1882"/>
      <c r="DVT31" s="1887"/>
      <c r="DVU31" s="1888"/>
      <c r="DVV31" s="1882"/>
      <c r="DVW31" s="1882"/>
      <c r="DVX31" s="1882"/>
      <c r="DVZ31" s="1887"/>
      <c r="DWA31" s="1888"/>
      <c r="DWB31" s="1882"/>
      <c r="DWC31" s="1882"/>
      <c r="DWD31" s="1882"/>
      <c r="DWF31" s="1887"/>
      <c r="DWG31" s="1888"/>
      <c r="DWH31" s="1882"/>
      <c r="DWI31" s="1882"/>
      <c r="DWJ31" s="1882"/>
      <c r="DWL31" s="1887"/>
      <c r="DWM31" s="1888"/>
      <c r="DWN31" s="1882"/>
      <c r="DWO31" s="1882"/>
      <c r="DWP31" s="1882"/>
      <c r="DWR31" s="1887"/>
      <c r="DWS31" s="1888"/>
      <c r="DWT31" s="1882"/>
      <c r="DWU31" s="1882"/>
      <c r="DWV31" s="1882"/>
      <c r="DWX31" s="1887"/>
      <c r="DWY31" s="1888"/>
      <c r="DWZ31" s="1882"/>
      <c r="DXA31" s="1882"/>
      <c r="DXB31" s="1882"/>
      <c r="DXD31" s="1887"/>
      <c r="DXE31" s="1888"/>
      <c r="DXF31" s="1882"/>
      <c r="DXG31" s="1882"/>
      <c r="DXH31" s="1882"/>
      <c r="DXJ31" s="1887"/>
      <c r="DXK31" s="1888"/>
      <c r="DXL31" s="1882"/>
      <c r="DXM31" s="1882"/>
      <c r="DXN31" s="1882"/>
      <c r="DXP31" s="1887"/>
      <c r="DXQ31" s="1888"/>
      <c r="DXR31" s="1882"/>
      <c r="DXS31" s="1882"/>
      <c r="DXT31" s="1882"/>
      <c r="DXV31" s="1887"/>
      <c r="DXW31" s="1888"/>
      <c r="DXX31" s="1882"/>
      <c r="DXY31" s="1882"/>
      <c r="DXZ31" s="1882"/>
      <c r="DYB31" s="1887"/>
      <c r="DYC31" s="1888"/>
      <c r="DYD31" s="1882"/>
      <c r="DYE31" s="1882"/>
      <c r="DYF31" s="1882"/>
      <c r="DYH31" s="1887"/>
      <c r="DYI31" s="1888"/>
      <c r="DYJ31" s="1882"/>
      <c r="DYK31" s="1882"/>
      <c r="DYL31" s="1882"/>
      <c r="DYN31" s="1887"/>
      <c r="DYO31" s="1888"/>
      <c r="DYP31" s="1882"/>
      <c r="DYQ31" s="1882"/>
      <c r="DYR31" s="1882"/>
      <c r="DYT31" s="1887"/>
      <c r="DYU31" s="1888"/>
      <c r="DYV31" s="1882"/>
      <c r="DYW31" s="1882"/>
      <c r="DYX31" s="1882"/>
      <c r="DYZ31" s="1887"/>
      <c r="DZA31" s="1888"/>
      <c r="DZB31" s="1882"/>
      <c r="DZC31" s="1882"/>
      <c r="DZD31" s="1882"/>
      <c r="DZF31" s="1887"/>
      <c r="DZG31" s="1888"/>
      <c r="DZH31" s="1882"/>
      <c r="DZI31" s="1882"/>
      <c r="DZJ31" s="1882"/>
      <c r="DZL31" s="1887"/>
      <c r="DZM31" s="1888"/>
      <c r="DZN31" s="1882"/>
      <c r="DZO31" s="1882"/>
      <c r="DZP31" s="1882"/>
      <c r="DZR31" s="1887"/>
      <c r="DZS31" s="1888"/>
      <c r="DZT31" s="1882"/>
      <c r="DZU31" s="1882"/>
      <c r="DZV31" s="1882"/>
      <c r="DZX31" s="1887"/>
      <c r="DZY31" s="1888"/>
      <c r="DZZ31" s="1882"/>
      <c r="EAA31" s="1882"/>
      <c r="EAB31" s="1882"/>
      <c r="EAD31" s="1887"/>
      <c r="EAE31" s="1888"/>
      <c r="EAF31" s="1882"/>
      <c r="EAG31" s="1882"/>
      <c r="EAH31" s="1882"/>
      <c r="EAJ31" s="1887"/>
      <c r="EAK31" s="1888"/>
      <c r="EAL31" s="1882"/>
      <c r="EAM31" s="1882"/>
      <c r="EAN31" s="1882"/>
      <c r="EAP31" s="1887"/>
      <c r="EAQ31" s="1888"/>
      <c r="EAR31" s="1882"/>
      <c r="EAS31" s="1882"/>
      <c r="EAT31" s="1882"/>
      <c r="EAV31" s="1887"/>
      <c r="EAW31" s="1888"/>
      <c r="EAX31" s="1882"/>
      <c r="EAY31" s="1882"/>
      <c r="EAZ31" s="1882"/>
      <c r="EBB31" s="1887"/>
      <c r="EBC31" s="1888"/>
      <c r="EBD31" s="1882"/>
      <c r="EBE31" s="1882"/>
      <c r="EBF31" s="1882"/>
      <c r="EBH31" s="1887"/>
      <c r="EBI31" s="1888"/>
      <c r="EBJ31" s="1882"/>
      <c r="EBK31" s="1882"/>
      <c r="EBL31" s="1882"/>
      <c r="EBN31" s="1887"/>
      <c r="EBO31" s="1888"/>
      <c r="EBP31" s="1882"/>
      <c r="EBQ31" s="1882"/>
      <c r="EBR31" s="1882"/>
      <c r="EBT31" s="1887"/>
      <c r="EBU31" s="1888"/>
      <c r="EBV31" s="1882"/>
      <c r="EBW31" s="1882"/>
      <c r="EBX31" s="1882"/>
      <c r="EBZ31" s="1887"/>
      <c r="ECA31" s="1888"/>
      <c r="ECB31" s="1882"/>
      <c r="ECC31" s="1882"/>
      <c r="ECD31" s="1882"/>
      <c r="ECF31" s="1887"/>
      <c r="ECG31" s="1888"/>
      <c r="ECH31" s="1882"/>
      <c r="ECI31" s="1882"/>
      <c r="ECJ31" s="1882"/>
      <c r="ECL31" s="1887"/>
      <c r="ECM31" s="1888"/>
      <c r="ECN31" s="1882"/>
      <c r="ECO31" s="1882"/>
      <c r="ECP31" s="1882"/>
      <c r="ECR31" s="1887"/>
      <c r="ECS31" s="1888"/>
      <c r="ECT31" s="1882"/>
      <c r="ECU31" s="1882"/>
      <c r="ECV31" s="1882"/>
      <c r="ECX31" s="1887"/>
      <c r="ECY31" s="1888"/>
      <c r="ECZ31" s="1882"/>
      <c r="EDA31" s="1882"/>
      <c r="EDB31" s="1882"/>
      <c r="EDD31" s="1887"/>
      <c r="EDE31" s="1888"/>
      <c r="EDF31" s="1882"/>
      <c r="EDG31" s="1882"/>
      <c r="EDH31" s="1882"/>
      <c r="EDJ31" s="1887"/>
      <c r="EDK31" s="1888"/>
      <c r="EDL31" s="1882"/>
      <c r="EDM31" s="1882"/>
      <c r="EDN31" s="1882"/>
      <c r="EDP31" s="1887"/>
      <c r="EDQ31" s="1888"/>
      <c r="EDR31" s="1882"/>
      <c r="EDS31" s="1882"/>
      <c r="EDT31" s="1882"/>
      <c r="EDV31" s="1887"/>
      <c r="EDW31" s="1888"/>
      <c r="EDX31" s="1882"/>
      <c r="EDY31" s="1882"/>
      <c r="EDZ31" s="1882"/>
      <c r="EEB31" s="1887"/>
      <c r="EEC31" s="1888"/>
      <c r="EED31" s="1882"/>
      <c r="EEE31" s="1882"/>
      <c r="EEF31" s="1882"/>
      <c r="EEH31" s="1887"/>
      <c r="EEI31" s="1888"/>
      <c r="EEJ31" s="1882"/>
      <c r="EEK31" s="1882"/>
      <c r="EEL31" s="1882"/>
      <c r="EEN31" s="1887"/>
      <c r="EEO31" s="1888"/>
      <c r="EEP31" s="1882"/>
      <c r="EEQ31" s="1882"/>
      <c r="EER31" s="1882"/>
      <c r="EET31" s="1887"/>
      <c r="EEU31" s="1888"/>
      <c r="EEV31" s="1882"/>
      <c r="EEW31" s="1882"/>
      <c r="EEX31" s="1882"/>
      <c r="EEZ31" s="1887"/>
      <c r="EFA31" s="1888"/>
      <c r="EFB31" s="1882"/>
      <c r="EFC31" s="1882"/>
      <c r="EFD31" s="1882"/>
      <c r="EFF31" s="1887"/>
      <c r="EFG31" s="1888"/>
      <c r="EFH31" s="1882"/>
      <c r="EFI31" s="1882"/>
      <c r="EFJ31" s="1882"/>
      <c r="EFL31" s="1887"/>
      <c r="EFM31" s="1888"/>
      <c r="EFN31" s="1882"/>
      <c r="EFO31" s="1882"/>
      <c r="EFP31" s="1882"/>
      <c r="EFR31" s="1887"/>
      <c r="EFS31" s="1888"/>
      <c r="EFT31" s="1882"/>
      <c r="EFU31" s="1882"/>
      <c r="EFV31" s="1882"/>
      <c r="EFX31" s="1887"/>
      <c r="EFY31" s="1888"/>
      <c r="EFZ31" s="1882"/>
      <c r="EGA31" s="1882"/>
      <c r="EGB31" s="1882"/>
      <c r="EGD31" s="1887"/>
      <c r="EGE31" s="1888"/>
      <c r="EGF31" s="1882"/>
      <c r="EGG31" s="1882"/>
      <c r="EGH31" s="1882"/>
      <c r="EGJ31" s="1887"/>
      <c r="EGK31" s="1888"/>
      <c r="EGL31" s="1882"/>
      <c r="EGM31" s="1882"/>
      <c r="EGN31" s="1882"/>
      <c r="EGP31" s="1887"/>
      <c r="EGQ31" s="1888"/>
      <c r="EGR31" s="1882"/>
      <c r="EGS31" s="1882"/>
      <c r="EGT31" s="1882"/>
      <c r="EGV31" s="1887"/>
      <c r="EGW31" s="1888"/>
      <c r="EGX31" s="1882"/>
      <c r="EGY31" s="1882"/>
      <c r="EGZ31" s="1882"/>
      <c r="EHB31" s="1887"/>
      <c r="EHC31" s="1888"/>
      <c r="EHD31" s="1882"/>
      <c r="EHE31" s="1882"/>
      <c r="EHF31" s="1882"/>
      <c r="EHH31" s="1887"/>
      <c r="EHI31" s="1888"/>
      <c r="EHJ31" s="1882"/>
      <c r="EHK31" s="1882"/>
      <c r="EHL31" s="1882"/>
      <c r="EHN31" s="1887"/>
      <c r="EHO31" s="1888"/>
      <c r="EHP31" s="1882"/>
      <c r="EHQ31" s="1882"/>
      <c r="EHR31" s="1882"/>
      <c r="EHT31" s="1887"/>
      <c r="EHU31" s="1888"/>
      <c r="EHV31" s="1882"/>
      <c r="EHW31" s="1882"/>
      <c r="EHX31" s="1882"/>
      <c r="EHZ31" s="1887"/>
      <c r="EIA31" s="1888"/>
      <c r="EIB31" s="1882"/>
      <c r="EIC31" s="1882"/>
      <c r="EID31" s="1882"/>
      <c r="EIF31" s="1887"/>
      <c r="EIG31" s="1888"/>
      <c r="EIH31" s="1882"/>
      <c r="EII31" s="1882"/>
      <c r="EIJ31" s="1882"/>
      <c r="EIL31" s="1887"/>
      <c r="EIM31" s="1888"/>
      <c r="EIN31" s="1882"/>
      <c r="EIO31" s="1882"/>
      <c r="EIP31" s="1882"/>
      <c r="EIR31" s="1887"/>
      <c r="EIS31" s="1888"/>
      <c r="EIT31" s="1882"/>
      <c r="EIU31" s="1882"/>
      <c r="EIV31" s="1882"/>
      <c r="EIX31" s="1887"/>
      <c r="EIY31" s="1888"/>
      <c r="EIZ31" s="1882"/>
      <c r="EJA31" s="1882"/>
      <c r="EJB31" s="1882"/>
      <c r="EJD31" s="1887"/>
      <c r="EJE31" s="1888"/>
      <c r="EJF31" s="1882"/>
      <c r="EJG31" s="1882"/>
      <c r="EJH31" s="1882"/>
      <c r="EJJ31" s="1887"/>
      <c r="EJK31" s="1888"/>
      <c r="EJL31" s="1882"/>
      <c r="EJM31" s="1882"/>
      <c r="EJN31" s="1882"/>
      <c r="EJP31" s="1887"/>
      <c r="EJQ31" s="1888"/>
      <c r="EJR31" s="1882"/>
      <c r="EJS31" s="1882"/>
      <c r="EJT31" s="1882"/>
      <c r="EJV31" s="1887"/>
      <c r="EJW31" s="1888"/>
      <c r="EJX31" s="1882"/>
      <c r="EJY31" s="1882"/>
      <c r="EJZ31" s="1882"/>
      <c r="EKB31" s="1887"/>
      <c r="EKC31" s="1888"/>
      <c r="EKD31" s="1882"/>
      <c r="EKE31" s="1882"/>
      <c r="EKF31" s="1882"/>
      <c r="EKH31" s="1887"/>
      <c r="EKI31" s="1888"/>
      <c r="EKJ31" s="1882"/>
      <c r="EKK31" s="1882"/>
      <c r="EKL31" s="1882"/>
      <c r="EKN31" s="1887"/>
      <c r="EKO31" s="1888"/>
      <c r="EKP31" s="1882"/>
      <c r="EKQ31" s="1882"/>
      <c r="EKR31" s="1882"/>
      <c r="EKT31" s="1887"/>
      <c r="EKU31" s="1888"/>
      <c r="EKV31" s="1882"/>
      <c r="EKW31" s="1882"/>
      <c r="EKX31" s="1882"/>
      <c r="EKZ31" s="1887"/>
      <c r="ELA31" s="1888"/>
      <c r="ELB31" s="1882"/>
      <c r="ELC31" s="1882"/>
      <c r="ELD31" s="1882"/>
      <c r="ELF31" s="1887"/>
      <c r="ELG31" s="1888"/>
      <c r="ELH31" s="1882"/>
      <c r="ELI31" s="1882"/>
      <c r="ELJ31" s="1882"/>
      <c r="ELL31" s="1887"/>
      <c r="ELM31" s="1888"/>
      <c r="ELN31" s="1882"/>
      <c r="ELO31" s="1882"/>
      <c r="ELP31" s="1882"/>
      <c r="ELR31" s="1887"/>
      <c r="ELS31" s="1888"/>
      <c r="ELT31" s="1882"/>
      <c r="ELU31" s="1882"/>
      <c r="ELV31" s="1882"/>
      <c r="ELX31" s="1887"/>
      <c r="ELY31" s="1888"/>
      <c r="ELZ31" s="1882"/>
      <c r="EMA31" s="1882"/>
      <c r="EMB31" s="1882"/>
      <c r="EMD31" s="1887"/>
      <c r="EME31" s="1888"/>
      <c r="EMF31" s="1882"/>
      <c r="EMG31" s="1882"/>
      <c r="EMH31" s="1882"/>
      <c r="EMJ31" s="1887"/>
      <c r="EMK31" s="1888"/>
      <c r="EML31" s="1882"/>
      <c r="EMM31" s="1882"/>
      <c r="EMN31" s="1882"/>
      <c r="EMP31" s="1887"/>
      <c r="EMQ31" s="1888"/>
      <c r="EMR31" s="1882"/>
      <c r="EMS31" s="1882"/>
      <c r="EMT31" s="1882"/>
      <c r="EMV31" s="1887"/>
      <c r="EMW31" s="1888"/>
      <c r="EMX31" s="1882"/>
      <c r="EMY31" s="1882"/>
      <c r="EMZ31" s="1882"/>
      <c r="ENB31" s="1887"/>
      <c r="ENC31" s="1888"/>
      <c r="END31" s="1882"/>
      <c r="ENE31" s="1882"/>
      <c r="ENF31" s="1882"/>
      <c r="ENH31" s="1887"/>
      <c r="ENI31" s="1888"/>
      <c r="ENJ31" s="1882"/>
      <c r="ENK31" s="1882"/>
      <c r="ENL31" s="1882"/>
      <c r="ENN31" s="1887"/>
      <c r="ENO31" s="1888"/>
      <c r="ENP31" s="1882"/>
      <c r="ENQ31" s="1882"/>
      <c r="ENR31" s="1882"/>
      <c r="ENT31" s="1887"/>
      <c r="ENU31" s="1888"/>
      <c r="ENV31" s="1882"/>
      <c r="ENW31" s="1882"/>
      <c r="ENX31" s="1882"/>
      <c r="ENZ31" s="1887"/>
      <c r="EOA31" s="1888"/>
      <c r="EOB31" s="1882"/>
      <c r="EOC31" s="1882"/>
      <c r="EOD31" s="1882"/>
      <c r="EOF31" s="1887"/>
      <c r="EOG31" s="1888"/>
      <c r="EOH31" s="1882"/>
      <c r="EOI31" s="1882"/>
      <c r="EOJ31" s="1882"/>
      <c r="EOL31" s="1887"/>
      <c r="EOM31" s="1888"/>
      <c r="EON31" s="1882"/>
      <c r="EOO31" s="1882"/>
      <c r="EOP31" s="1882"/>
      <c r="EOR31" s="1887"/>
      <c r="EOS31" s="1888"/>
      <c r="EOT31" s="1882"/>
      <c r="EOU31" s="1882"/>
      <c r="EOV31" s="1882"/>
      <c r="EOX31" s="1887"/>
      <c r="EOY31" s="1888"/>
      <c r="EOZ31" s="1882"/>
      <c r="EPA31" s="1882"/>
      <c r="EPB31" s="1882"/>
      <c r="EPD31" s="1887"/>
      <c r="EPE31" s="1888"/>
      <c r="EPF31" s="1882"/>
      <c r="EPG31" s="1882"/>
      <c r="EPH31" s="1882"/>
      <c r="EPJ31" s="1887"/>
      <c r="EPK31" s="1888"/>
      <c r="EPL31" s="1882"/>
      <c r="EPM31" s="1882"/>
      <c r="EPN31" s="1882"/>
      <c r="EPP31" s="1887"/>
      <c r="EPQ31" s="1888"/>
      <c r="EPR31" s="1882"/>
      <c r="EPS31" s="1882"/>
      <c r="EPT31" s="1882"/>
      <c r="EPV31" s="1887"/>
      <c r="EPW31" s="1888"/>
      <c r="EPX31" s="1882"/>
      <c r="EPY31" s="1882"/>
      <c r="EPZ31" s="1882"/>
      <c r="EQB31" s="1887"/>
      <c r="EQC31" s="1888"/>
      <c r="EQD31" s="1882"/>
      <c r="EQE31" s="1882"/>
      <c r="EQF31" s="1882"/>
      <c r="EQH31" s="1887"/>
      <c r="EQI31" s="1888"/>
      <c r="EQJ31" s="1882"/>
      <c r="EQK31" s="1882"/>
      <c r="EQL31" s="1882"/>
      <c r="EQN31" s="1887"/>
      <c r="EQO31" s="1888"/>
      <c r="EQP31" s="1882"/>
      <c r="EQQ31" s="1882"/>
      <c r="EQR31" s="1882"/>
      <c r="EQT31" s="1887"/>
      <c r="EQU31" s="1888"/>
      <c r="EQV31" s="1882"/>
      <c r="EQW31" s="1882"/>
      <c r="EQX31" s="1882"/>
      <c r="EQZ31" s="1887"/>
      <c r="ERA31" s="1888"/>
      <c r="ERB31" s="1882"/>
      <c r="ERC31" s="1882"/>
      <c r="ERD31" s="1882"/>
      <c r="ERF31" s="1887"/>
      <c r="ERG31" s="1888"/>
      <c r="ERH31" s="1882"/>
      <c r="ERI31" s="1882"/>
      <c r="ERJ31" s="1882"/>
      <c r="ERL31" s="1887"/>
      <c r="ERM31" s="1888"/>
      <c r="ERN31" s="1882"/>
      <c r="ERO31" s="1882"/>
      <c r="ERP31" s="1882"/>
      <c r="ERR31" s="1887"/>
      <c r="ERS31" s="1888"/>
      <c r="ERT31" s="1882"/>
      <c r="ERU31" s="1882"/>
      <c r="ERV31" s="1882"/>
      <c r="ERX31" s="1887"/>
      <c r="ERY31" s="1888"/>
      <c r="ERZ31" s="1882"/>
      <c r="ESA31" s="1882"/>
      <c r="ESB31" s="1882"/>
      <c r="ESD31" s="1887"/>
      <c r="ESE31" s="1888"/>
      <c r="ESF31" s="1882"/>
      <c r="ESG31" s="1882"/>
      <c r="ESH31" s="1882"/>
      <c r="ESJ31" s="1887"/>
      <c r="ESK31" s="1888"/>
      <c r="ESL31" s="1882"/>
      <c r="ESM31" s="1882"/>
      <c r="ESN31" s="1882"/>
      <c r="ESP31" s="1887"/>
      <c r="ESQ31" s="1888"/>
      <c r="ESR31" s="1882"/>
      <c r="ESS31" s="1882"/>
      <c r="EST31" s="1882"/>
      <c r="ESV31" s="1887"/>
      <c r="ESW31" s="1888"/>
      <c r="ESX31" s="1882"/>
      <c r="ESY31" s="1882"/>
      <c r="ESZ31" s="1882"/>
      <c r="ETB31" s="1887"/>
      <c r="ETC31" s="1888"/>
      <c r="ETD31" s="1882"/>
      <c r="ETE31" s="1882"/>
      <c r="ETF31" s="1882"/>
      <c r="ETH31" s="1887"/>
      <c r="ETI31" s="1888"/>
      <c r="ETJ31" s="1882"/>
      <c r="ETK31" s="1882"/>
      <c r="ETL31" s="1882"/>
      <c r="ETN31" s="1887"/>
      <c r="ETO31" s="1888"/>
      <c r="ETP31" s="1882"/>
      <c r="ETQ31" s="1882"/>
      <c r="ETR31" s="1882"/>
      <c r="ETT31" s="1887"/>
      <c r="ETU31" s="1888"/>
      <c r="ETV31" s="1882"/>
      <c r="ETW31" s="1882"/>
      <c r="ETX31" s="1882"/>
      <c r="ETZ31" s="1887"/>
      <c r="EUA31" s="1888"/>
      <c r="EUB31" s="1882"/>
      <c r="EUC31" s="1882"/>
      <c r="EUD31" s="1882"/>
      <c r="EUF31" s="1887"/>
      <c r="EUG31" s="1888"/>
      <c r="EUH31" s="1882"/>
      <c r="EUI31" s="1882"/>
      <c r="EUJ31" s="1882"/>
      <c r="EUL31" s="1887"/>
      <c r="EUM31" s="1888"/>
      <c r="EUN31" s="1882"/>
      <c r="EUO31" s="1882"/>
      <c r="EUP31" s="1882"/>
      <c r="EUR31" s="1887"/>
      <c r="EUS31" s="1888"/>
      <c r="EUT31" s="1882"/>
      <c r="EUU31" s="1882"/>
      <c r="EUV31" s="1882"/>
      <c r="EUX31" s="1887"/>
      <c r="EUY31" s="1888"/>
      <c r="EUZ31" s="1882"/>
      <c r="EVA31" s="1882"/>
      <c r="EVB31" s="1882"/>
      <c r="EVD31" s="1887"/>
      <c r="EVE31" s="1888"/>
      <c r="EVF31" s="1882"/>
      <c r="EVG31" s="1882"/>
      <c r="EVH31" s="1882"/>
      <c r="EVJ31" s="1887"/>
      <c r="EVK31" s="1888"/>
      <c r="EVL31" s="1882"/>
      <c r="EVM31" s="1882"/>
      <c r="EVN31" s="1882"/>
      <c r="EVP31" s="1887"/>
      <c r="EVQ31" s="1888"/>
      <c r="EVR31" s="1882"/>
      <c r="EVS31" s="1882"/>
      <c r="EVT31" s="1882"/>
      <c r="EVV31" s="1887"/>
      <c r="EVW31" s="1888"/>
      <c r="EVX31" s="1882"/>
      <c r="EVY31" s="1882"/>
      <c r="EVZ31" s="1882"/>
      <c r="EWB31" s="1887"/>
      <c r="EWC31" s="1888"/>
      <c r="EWD31" s="1882"/>
      <c r="EWE31" s="1882"/>
      <c r="EWF31" s="1882"/>
      <c r="EWH31" s="1887"/>
      <c r="EWI31" s="1888"/>
      <c r="EWJ31" s="1882"/>
      <c r="EWK31" s="1882"/>
      <c r="EWL31" s="1882"/>
      <c r="EWN31" s="1887"/>
      <c r="EWO31" s="1888"/>
      <c r="EWP31" s="1882"/>
      <c r="EWQ31" s="1882"/>
      <c r="EWR31" s="1882"/>
      <c r="EWT31" s="1887"/>
      <c r="EWU31" s="1888"/>
      <c r="EWV31" s="1882"/>
      <c r="EWW31" s="1882"/>
      <c r="EWX31" s="1882"/>
      <c r="EWZ31" s="1887"/>
      <c r="EXA31" s="1888"/>
      <c r="EXB31" s="1882"/>
      <c r="EXC31" s="1882"/>
      <c r="EXD31" s="1882"/>
      <c r="EXF31" s="1887"/>
      <c r="EXG31" s="1888"/>
      <c r="EXH31" s="1882"/>
      <c r="EXI31" s="1882"/>
      <c r="EXJ31" s="1882"/>
      <c r="EXL31" s="1887"/>
      <c r="EXM31" s="1888"/>
      <c r="EXN31" s="1882"/>
      <c r="EXO31" s="1882"/>
      <c r="EXP31" s="1882"/>
      <c r="EXR31" s="1887"/>
      <c r="EXS31" s="1888"/>
      <c r="EXT31" s="1882"/>
      <c r="EXU31" s="1882"/>
      <c r="EXV31" s="1882"/>
      <c r="EXX31" s="1887"/>
      <c r="EXY31" s="1888"/>
      <c r="EXZ31" s="1882"/>
      <c r="EYA31" s="1882"/>
      <c r="EYB31" s="1882"/>
      <c r="EYD31" s="1887"/>
      <c r="EYE31" s="1888"/>
      <c r="EYF31" s="1882"/>
      <c r="EYG31" s="1882"/>
      <c r="EYH31" s="1882"/>
      <c r="EYJ31" s="1887"/>
      <c r="EYK31" s="1888"/>
      <c r="EYL31" s="1882"/>
      <c r="EYM31" s="1882"/>
      <c r="EYN31" s="1882"/>
      <c r="EYP31" s="1887"/>
      <c r="EYQ31" s="1888"/>
      <c r="EYR31" s="1882"/>
      <c r="EYS31" s="1882"/>
      <c r="EYT31" s="1882"/>
      <c r="EYV31" s="1887"/>
      <c r="EYW31" s="1888"/>
      <c r="EYX31" s="1882"/>
      <c r="EYY31" s="1882"/>
      <c r="EYZ31" s="1882"/>
      <c r="EZB31" s="1887"/>
      <c r="EZC31" s="1888"/>
      <c r="EZD31" s="1882"/>
      <c r="EZE31" s="1882"/>
      <c r="EZF31" s="1882"/>
      <c r="EZH31" s="1887"/>
      <c r="EZI31" s="1888"/>
      <c r="EZJ31" s="1882"/>
      <c r="EZK31" s="1882"/>
      <c r="EZL31" s="1882"/>
      <c r="EZN31" s="1887"/>
      <c r="EZO31" s="1888"/>
      <c r="EZP31" s="1882"/>
      <c r="EZQ31" s="1882"/>
      <c r="EZR31" s="1882"/>
      <c r="EZT31" s="1887"/>
      <c r="EZU31" s="1888"/>
      <c r="EZV31" s="1882"/>
      <c r="EZW31" s="1882"/>
      <c r="EZX31" s="1882"/>
      <c r="EZZ31" s="1887"/>
      <c r="FAA31" s="1888"/>
      <c r="FAB31" s="1882"/>
      <c r="FAC31" s="1882"/>
      <c r="FAD31" s="1882"/>
      <c r="FAF31" s="1887"/>
      <c r="FAG31" s="1888"/>
      <c r="FAH31" s="1882"/>
      <c r="FAI31" s="1882"/>
      <c r="FAJ31" s="1882"/>
      <c r="FAL31" s="1887"/>
      <c r="FAM31" s="1888"/>
      <c r="FAN31" s="1882"/>
      <c r="FAO31" s="1882"/>
      <c r="FAP31" s="1882"/>
      <c r="FAR31" s="1887"/>
      <c r="FAS31" s="1888"/>
      <c r="FAT31" s="1882"/>
      <c r="FAU31" s="1882"/>
      <c r="FAV31" s="1882"/>
      <c r="FAX31" s="1887"/>
      <c r="FAY31" s="1888"/>
      <c r="FAZ31" s="1882"/>
      <c r="FBA31" s="1882"/>
      <c r="FBB31" s="1882"/>
      <c r="FBD31" s="1887"/>
      <c r="FBE31" s="1888"/>
      <c r="FBF31" s="1882"/>
      <c r="FBG31" s="1882"/>
      <c r="FBH31" s="1882"/>
      <c r="FBJ31" s="1887"/>
      <c r="FBK31" s="1888"/>
      <c r="FBL31" s="1882"/>
      <c r="FBM31" s="1882"/>
      <c r="FBN31" s="1882"/>
      <c r="FBP31" s="1887"/>
      <c r="FBQ31" s="1888"/>
      <c r="FBR31" s="1882"/>
      <c r="FBS31" s="1882"/>
      <c r="FBT31" s="1882"/>
      <c r="FBV31" s="1887"/>
      <c r="FBW31" s="1888"/>
      <c r="FBX31" s="1882"/>
      <c r="FBY31" s="1882"/>
      <c r="FBZ31" s="1882"/>
      <c r="FCB31" s="1887"/>
      <c r="FCC31" s="1888"/>
      <c r="FCD31" s="1882"/>
      <c r="FCE31" s="1882"/>
      <c r="FCF31" s="1882"/>
      <c r="FCH31" s="1887"/>
      <c r="FCI31" s="1888"/>
      <c r="FCJ31" s="1882"/>
      <c r="FCK31" s="1882"/>
      <c r="FCL31" s="1882"/>
      <c r="FCN31" s="1887"/>
      <c r="FCO31" s="1888"/>
      <c r="FCP31" s="1882"/>
      <c r="FCQ31" s="1882"/>
      <c r="FCR31" s="1882"/>
      <c r="FCT31" s="1887"/>
      <c r="FCU31" s="1888"/>
      <c r="FCV31" s="1882"/>
      <c r="FCW31" s="1882"/>
      <c r="FCX31" s="1882"/>
      <c r="FCZ31" s="1887"/>
      <c r="FDA31" s="1888"/>
      <c r="FDB31" s="1882"/>
      <c r="FDC31" s="1882"/>
      <c r="FDD31" s="1882"/>
      <c r="FDF31" s="1887"/>
      <c r="FDG31" s="1888"/>
      <c r="FDH31" s="1882"/>
      <c r="FDI31" s="1882"/>
      <c r="FDJ31" s="1882"/>
      <c r="FDL31" s="1887"/>
      <c r="FDM31" s="1888"/>
      <c r="FDN31" s="1882"/>
      <c r="FDO31" s="1882"/>
      <c r="FDP31" s="1882"/>
      <c r="FDR31" s="1887"/>
      <c r="FDS31" s="1888"/>
      <c r="FDT31" s="1882"/>
      <c r="FDU31" s="1882"/>
      <c r="FDV31" s="1882"/>
      <c r="FDX31" s="1887"/>
      <c r="FDY31" s="1888"/>
      <c r="FDZ31" s="1882"/>
      <c r="FEA31" s="1882"/>
      <c r="FEB31" s="1882"/>
      <c r="FED31" s="1887"/>
      <c r="FEE31" s="1888"/>
      <c r="FEF31" s="1882"/>
      <c r="FEG31" s="1882"/>
      <c r="FEH31" s="1882"/>
      <c r="FEJ31" s="1887"/>
      <c r="FEK31" s="1888"/>
      <c r="FEL31" s="1882"/>
      <c r="FEM31" s="1882"/>
      <c r="FEN31" s="1882"/>
      <c r="FEP31" s="1887"/>
      <c r="FEQ31" s="1888"/>
      <c r="FER31" s="1882"/>
      <c r="FES31" s="1882"/>
      <c r="FET31" s="1882"/>
      <c r="FEV31" s="1887"/>
      <c r="FEW31" s="1888"/>
      <c r="FEX31" s="1882"/>
      <c r="FEY31" s="1882"/>
      <c r="FEZ31" s="1882"/>
      <c r="FFB31" s="1887"/>
      <c r="FFC31" s="1888"/>
      <c r="FFD31" s="1882"/>
      <c r="FFE31" s="1882"/>
      <c r="FFF31" s="1882"/>
      <c r="FFH31" s="1887"/>
      <c r="FFI31" s="1888"/>
      <c r="FFJ31" s="1882"/>
      <c r="FFK31" s="1882"/>
      <c r="FFL31" s="1882"/>
      <c r="FFN31" s="1887"/>
      <c r="FFO31" s="1888"/>
      <c r="FFP31" s="1882"/>
      <c r="FFQ31" s="1882"/>
      <c r="FFR31" s="1882"/>
      <c r="FFT31" s="1887"/>
      <c r="FFU31" s="1888"/>
      <c r="FFV31" s="1882"/>
      <c r="FFW31" s="1882"/>
      <c r="FFX31" s="1882"/>
      <c r="FFZ31" s="1887"/>
      <c r="FGA31" s="1888"/>
      <c r="FGB31" s="1882"/>
      <c r="FGC31" s="1882"/>
      <c r="FGD31" s="1882"/>
      <c r="FGF31" s="1887"/>
      <c r="FGG31" s="1888"/>
      <c r="FGH31" s="1882"/>
      <c r="FGI31" s="1882"/>
      <c r="FGJ31" s="1882"/>
      <c r="FGL31" s="1887"/>
      <c r="FGM31" s="1888"/>
      <c r="FGN31" s="1882"/>
      <c r="FGO31" s="1882"/>
      <c r="FGP31" s="1882"/>
      <c r="FGR31" s="1887"/>
      <c r="FGS31" s="1888"/>
      <c r="FGT31" s="1882"/>
      <c r="FGU31" s="1882"/>
      <c r="FGV31" s="1882"/>
      <c r="FGX31" s="1887"/>
      <c r="FGY31" s="1888"/>
      <c r="FGZ31" s="1882"/>
      <c r="FHA31" s="1882"/>
      <c r="FHB31" s="1882"/>
      <c r="FHD31" s="1887"/>
      <c r="FHE31" s="1888"/>
      <c r="FHF31" s="1882"/>
      <c r="FHG31" s="1882"/>
      <c r="FHH31" s="1882"/>
      <c r="FHJ31" s="1887"/>
      <c r="FHK31" s="1888"/>
      <c r="FHL31" s="1882"/>
      <c r="FHM31" s="1882"/>
      <c r="FHN31" s="1882"/>
      <c r="FHP31" s="1887"/>
      <c r="FHQ31" s="1888"/>
      <c r="FHR31" s="1882"/>
      <c r="FHS31" s="1882"/>
      <c r="FHT31" s="1882"/>
      <c r="FHV31" s="1887"/>
      <c r="FHW31" s="1888"/>
      <c r="FHX31" s="1882"/>
      <c r="FHY31" s="1882"/>
      <c r="FHZ31" s="1882"/>
      <c r="FIB31" s="1887"/>
      <c r="FIC31" s="1888"/>
      <c r="FID31" s="1882"/>
      <c r="FIE31" s="1882"/>
      <c r="FIF31" s="1882"/>
      <c r="FIH31" s="1887"/>
      <c r="FII31" s="1888"/>
      <c r="FIJ31" s="1882"/>
      <c r="FIK31" s="1882"/>
      <c r="FIL31" s="1882"/>
      <c r="FIN31" s="1887"/>
      <c r="FIO31" s="1888"/>
      <c r="FIP31" s="1882"/>
      <c r="FIQ31" s="1882"/>
      <c r="FIR31" s="1882"/>
      <c r="FIT31" s="1887"/>
      <c r="FIU31" s="1888"/>
      <c r="FIV31" s="1882"/>
      <c r="FIW31" s="1882"/>
      <c r="FIX31" s="1882"/>
      <c r="FIZ31" s="1887"/>
      <c r="FJA31" s="1888"/>
      <c r="FJB31" s="1882"/>
      <c r="FJC31" s="1882"/>
      <c r="FJD31" s="1882"/>
      <c r="FJF31" s="1887"/>
      <c r="FJG31" s="1888"/>
      <c r="FJH31" s="1882"/>
      <c r="FJI31" s="1882"/>
      <c r="FJJ31" s="1882"/>
      <c r="FJL31" s="1887"/>
      <c r="FJM31" s="1888"/>
      <c r="FJN31" s="1882"/>
      <c r="FJO31" s="1882"/>
      <c r="FJP31" s="1882"/>
      <c r="FJR31" s="1887"/>
      <c r="FJS31" s="1888"/>
      <c r="FJT31" s="1882"/>
      <c r="FJU31" s="1882"/>
      <c r="FJV31" s="1882"/>
      <c r="FJX31" s="1887"/>
      <c r="FJY31" s="1888"/>
      <c r="FJZ31" s="1882"/>
      <c r="FKA31" s="1882"/>
      <c r="FKB31" s="1882"/>
      <c r="FKD31" s="1887"/>
      <c r="FKE31" s="1888"/>
      <c r="FKF31" s="1882"/>
      <c r="FKG31" s="1882"/>
      <c r="FKH31" s="1882"/>
      <c r="FKJ31" s="1887"/>
      <c r="FKK31" s="1888"/>
      <c r="FKL31" s="1882"/>
      <c r="FKM31" s="1882"/>
      <c r="FKN31" s="1882"/>
      <c r="FKP31" s="1887"/>
      <c r="FKQ31" s="1888"/>
      <c r="FKR31" s="1882"/>
      <c r="FKS31" s="1882"/>
      <c r="FKT31" s="1882"/>
      <c r="FKV31" s="1887"/>
      <c r="FKW31" s="1888"/>
      <c r="FKX31" s="1882"/>
      <c r="FKY31" s="1882"/>
      <c r="FKZ31" s="1882"/>
      <c r="FLB31" s="1887"/>
      <c r="FLC31" s="1888"/>
      <c r="FLD31" s="1882"/>
      <c r="FLE31" s="1882"/>
      <c r="FLF31" s="1882"/>
      <c r="FLH31" s="1887"/>
      <c r="FLI31" s="1888"/>
      <c r="FLJ31" s="1882"/>
      <c r="FLK31" s="1882"/>
      <c r="FLL31" s="1882"/>
      <c r="FLN31" s="1887"/>
      <c r="FLO31" s="1888"/>
      <c r="FLP31" s="1882"/>
      <c r="FLQ31" s="1882"/>
      <c r="FLR31" s="1882"/>
      <c r="FLT31" s="1887"/>
      <c r="FLU31" s="1888"/>
      <c r="FLV31" s="1882"/>
      <c r="FLW31" s="1882"/>
      <c r="FLX31" s="1882"/>
      <c r="FLZ31" s="1887"/>
      <c r="FMA31" s="1888"/>
      <c r="FMB31" s="1882"/>
      <c r="FMC31" s="1882"/>
      <c r="FMD31" s="1882"/>
      <c r="FMF31" s="1887"/>
      <c r="FMG31" s="1888"/>
      <c r="FMH31" s="1882"/>
      <c r="FMI31" s="1882"/>
      <c r="FMJ31" s="1882"/>
      <c r="FML31" s="1887"/>
      <c r="FMM31" s="1888"/>
      <c r="FMN31" s="1882"/>
      <c r="FMO31" s="1882"/>
      <c r="FMP31" s="1882"/>
      <c r="FMR31" s="1887"/>
      <c r="FMS31" s="1888"/>
      <c r="FMT31" s="1882"/>
      <c r="FMU31" s="1882"/>
      <c r="FMV31" s="1882"/>
      <c r="FMX31" s="1887"/>
      <c r="FMY31" s="1888"/>
      <c r="FMZ31" s="1882"/>
      <c r="FNA31" s="1882"/>
      <c r="FNB31" s="1882"/>
      <c r="FND31" s="1887"/>
      <c r="FNE31" s="1888"/>
      <c r="FNF31" s="1882"/>
      <c r="FNG31" s="1882"/>
      <c r="FNH31" s="1882"/>
      <c r="FNJ31" s="1887"/>
      <c r="FNK31" s="1888"/>
      <c r="FNL31" s="1882"/>
      <c r="FNM31" s="1882"/>
      <c r="FNN31" s="1882"/>
      <c r="FNP31" s="1887"/>
      <c r="FNQ31" s="1888"/>
      <c r="FNR31" s="1882"/>
      <c r="FNS31" s="1882"/>
      <c r="FNT31" s="1882"/>
      <c r="FNV31" s="1887"/>
      <c r="FNW31" s="1888"/>
      <c r="FNX31" s="1882"/>
      <c r="FNY31" s="1882"/>
      <c r="FNZ31" s="1882"/>
      <c r="FOB31" s="1887"/>
      <c r="FOC31" s="1888"/>
      <c r="FOD31" s="1882"/>
      <c r="FOE31" s="1882"/>
      <c r="FOF31" s="1882"/>
      <c r="FOH31" s="1887"/>
      <c r="FOI31" s="1888"/>
      <c r="FOJ31" s="1882"/>
      <c r="FOK31" s="1882"/>
      <c r="FOL31" s="1882"/>
      <c r="FON31" s="1887"/>
      <c r="FOO31" s="1888"/>
      <c r="FOP31" s="1882"/>
      <c r="FOQ31" s="1882"/>
      <c r="FOR31" s="1882"/>
      <c r="FOT31" s="1887"/>
      <c r="FOU31" s="1888"/>
      <c r="FOV31" s="1882"/>
      <c r="FOW31" s="1882"/>
      <c r="FOX31" s="1882"/>
      <c r="FOZ31" s="1887"/>
      <c r="FPA31" s="1888"/>
      <c r="FPB31" s="1882"/>
      <c r="FPC31" s="1882"/>
      <c r="FPD31" s="1882"/>
      <c r="FPF31" s="1887"/>
      <c r="FPG31" s="1888"/>
      <c r="FPH31" s="1882"/>
      <c r="FPI31" s="1882"/>
      <c r="FPJ31" s="1882"/>
      <c r="FPL31" s="1887"/>
      <c r="FPM31" s="1888"/>
      <c r="FPN31" s="1882"/>
      <c r="FPO31" s="1882"/>
      <c r="FPP31" s="1882"/>
      <c r="FPR31" s="1887"/>
      <c r="FPS31" s="1888"/>
      <c r="FPT31" s="1882"/>
      <c r="FPU31" s="1882"/>
      <c r="FPV31" s="1882"/>
      <c r="FPX31" s="1887"/>
      <c r="FPY31" s="1888"/>
      <c r="FPZ31" s="1882"/>
      <c r="FQA31" s="1882"/>
      <c r="FQB31" s="1882"/>
      <c r="FQD31" s="1887"/>
      <c r="FQE31" s="1888"/>
      <c r="FQF31" s="1882"/>
      <c r="FQG31" s="1882"/>
      <c r="FQH31" s="1882"/>
      <c r="FQJ31" s="1887"/>
      <c r="FQK31" s="1888"/>
      <c r="FQL31" s="1882"/>
      <c r="FQM31" s="1882"/>
      <c r="FQN31" s="1882"/>
      <c r="FQP31" s="1887"/>
      <c r="FQQ31" s="1888"/>
      <c r="FQR31" s="1882"/>
      <c r="FQS31" s="1882"/>
      <c r="FQT31" s="1882"/>
      <c r="FQV31" s="1887"/>
      <c r="FQW31" s="1888"/>
      <c r="FQX31" s="1882"/>
      <c r="FQY31" s="1882"/>
      <c r="FQZ31" s="1882"/>
      <c r="FRB31" s="1887"/>
      <c r="FRC31" s="1888"/>
      <c r="FRD31" s="1882"/>
      <c r="FRE31" s="1882"/>
      <c r="FRF31" s="1882"/>
      <c r="FRH31" s="1887"/>
      <c r="FRI31" s="1888"/>
      <c r="FRJ31" s="1882"/>
      <c r="FRK31" s="1882"/>
      <c r="FRL31" s="1882"/>
      <c r="FRN31" s="1887"/>
      <c r="FRO31" s="1888"/>
      <c r="FRP31" s="1882"/>
      <c r="FRQ31" s="1882"/>
      <c r="FRR31" s="1882"/>
      <c r="FRT31" s="1887"/>
      <c r="FRU31" s="1888"/>
      <c r="FRV31" s="1882"/>
      <c r="FRW31" s="1882"/>
      <c r="FRX31" s="1882"/>
      <c r="FRZ31" s="1887"/>
      <c r="FSA31" s="1888"/>
      <c r="FSB31" s="1882"/>
      <c r="FSC31" s="1882"/>
      <c r="FSD31" s="1882"/>
      <c r="FSF31" s="1887"/>
      <c r="FSG31" s="1888"/>
      <c r="FSH31" s="1882"/>
      <c r="FSI31" s="1882"/>
      <c r="FSJ31" s="1882"/>
      <c r="FSL31" s="1887"/>
      <c r="FSM31" s="1888"/>
      <c r="FSN31" s="1882"/>
      <c r="FSO31" s="1882"/>
      <c r="FSP31" s="1882"/>
      <c r="FSR31" s="1887"/>
      <c r="FSS31" s="1888"/>
      <c r="FST31" s="1882"/>
      <c r="FSU31" s="1882"/>
      <c r="FSV31" s="1882"/>
      <c r="FSX31" s="1887"/>
      <c r="FSY31" s="1888"/>
      <c r="FSZ31" s="1882"/>
      <c r="FTA31" s="1882"/>
      <c r="FTB31" s="1882"/>
      <c r="FTD31" s="1887"/>
      <c r="FTE31" s="1888"/>
      <c r="FTF31" s="1882"/>
      <c r="FTG31" s="1882"/>
      <c r="FTH31" s="1882"/>
      <c r="FTJ31" s="1887"/>
      <c r="FTK31" s="1888"/>
      <c r="FTL31" s="1882"/>
      <c r="FTM31" s="1882"/>
      <c r="FTN31" s="1882"/>
      <c r="FTP31" s="1887"/>
      <c r="FTQ31" s="1888"/>
      <c r="FTR31" s="1882"/>
      <c r="FTS31" s="1882"/>
      <c r="FTT31" s="1882"/>
      <c r="FTV31" s="1887"/>
      <c r="FTW31" s="1888"/>
      <c r="FTX31" s="1882"/>
      <c r="FTY31" s="1882"/>
      <c r="FTZ31" s="1882"/>
      <c r="FUB31" s="1887"/>
      <c r="FUC31" s="1888"/>
      <c r="FUD31" s="1882"/>
      <c r="FUE31" s="1882"/>
      <c r="FUF31" s="1882"/>
      <c r="FUH31" s="1887"/>
      <c r="FUI31" s="1888"/>
      <c r="FUJ31" s="1882"/>
      <c r="FUK31" s="1882"/>
      <c r="FUL31" s="1882"/>
      <c r="FUN31" s="1887"/>
      <c r="FUO31" s="1888"/>
      <c r="FUP31" s="1882"/>
      <c r="FUQ31" s="1882"/>
      <c r="FUR31" s="1882"/>
      <c r="FUT31" s="1887"/>
      <c r="FUU31" s="1888"/>
      <c r="FUV31" s="1882"/>
      <c r="FUW31" s="1882"/>
      <c r="FUX31" s="1882"/>
      <c r="FUZ31" s="1887"/>
      <c r="FVA31" s="1888"/>
      <c r="FVB31" s="1882"/>
      <c r="FVC31" s="1882"/>
      <c r="FVD31" s="1882"/>
      <c r="FVF31" s="1887"/>
      <c r="FVG31" s="1888"/>
      <c r="FVH31" s="1882"/>
      <c r="FVI31" s="1882"/>
      <c r="FVJ31" s="1882"/>
      <c r="FVL31" s="1887"/>
      <c r="FVM31" s="1888"/>
      <c r="FVN31" s="1882"/>
      <c r="FVO31" s="1882"/>
      <c r="FVP31" s="1882"/>
      <c r="FVR31" s="1887"/>
      <c r="FVS31" s="1888"/>
      <c r="FVT31" s="1882"/>
      <c r="FVU31" s="1882"/>
      <c r="FVV31" s="1882"/>
      <c r="FVX31" s="1887"/>
      <c r="FVY31" s="1888"/>
      <c r="FVZ31" s="1882"/>
      <c r="FWA31" s="1882"/>
      <c r="FWB31" s="1882"/>
      <c r="FWD31" s="1887"/>
      <c r="FWE31" s="1888"/>
      <c r="FWF31" s="1882"/>
      <c r="FWG31" s="1882"/>
      <c r="FWH31" s="1882"/>
      <c r="FWJ31" s="1887"/>
      <c r="FWK31" s="1888"/>
      <c r="FWL31" s="1882"/>
      <c r="FWM31" s="1882"/>
      <c r="FWN31" s="1882"/>
      <c r="FWP31" s="1887"/>
      <c r="FWQ31" s="1888"/>
      <c r="FWR31" s="1882"/>
      <c r="FWS31" s="1882"/>
      <c r="FWT31" s="1882"/>
      <c r="FWV31" s="1887"/>
      <c r="FWW31" s="1888"/>
      <c r="FWX31" s="1882"/>
      <c r="FWY31" s="1882"/>
      <c r="FWZ31" s="1882"/>
      <c r="FXB31" s="1887"/>
      <c r="FXC31" s="1888"/>
      <c r="FXD31" s="1882"/>
      <c r="FXE31" s="1882"/>
      <c r="FXF31" s="1882"/>
      <c r="FXH31" s="1887"/>
      <c r="FXI31" s="1888"/>
      <c r="FXJ31" s="1882"/>
      <c r="FXK31" s="1882"/>
      <c r="FXL31" s="1882"/>
      <c r="FXN31" s="1887"/>
      <c r="FXO31" s="1888"/>
      <c r="FXP31" s="1882"/>
      <c r="FXQ31" s="1882"/>
      <c r="FXR31" s="1882"/>
      <c r="FXT31" s="1887"/>
      <c r="FXU31" s="1888"/>
      <c r="FXV31" s="1882"/>
      <c r="FXW31" s="1882"/>
      <c r="FXX31" s="1882"/>
      <c r="FXZ31" s="1887"/>
      <c r="FYA31" s="1888"/>
      <c r="FYB31" s="1882"/>
      <c r="FYC31" s="1882"/>
      <c r="FYD31" s="1882"/>
      <c r="FYF31" s="1887"/>
      <c r="FYG31" s="1888"/>
      <c r="FYH31" s="1882"/>
      <c r="FYI31" s="1882"/>
      <c r="FYJ31" s="1882"/>
      <c r="FYL31" s="1887"/>
      <c r="FYM31" s="1888"/>
      <c r="FYN31" s="1882"/>
      <c r="FYO31" s="1882"/>
      <c r="FYP31" s="1882"/>
      <c r="FYR31" s="1887"/>
      <c r="FYS31" s="1888"/>
      <c r="FYT31" s="1882"/>
      <c r="FYU31" s="1882"/>
      <c r="FYV31" s="1882"/>
      <c r="FYX31" s="1887"/>
      <c r="FYY31" s="1888"/>
      <c r="FYZ31" s="1882"/>
      <c r="FZA31" s="1882"/>
      <c r="FZB31" s="1882"/>
      <c r="FZD31" s="1887"/>
      <c r="FZE31" s="1888"/>
      <c r="FZF31" s="1882"/>
      <c r="FZG31" s="1882"/>
      <c r="FZH31" s="1882"/>
      <c r="FZJ31" s="1887"/>
      <c r="FZK31" s="1888"/>
      <c r="FZL31" s="1882"/>
      <c r="FZM31" s="1882"/>
      <c r="FZN31" s="1882"/>
      <c r="FZP31" s="1887"/>
      <c r="FZQ31" s="1888"/>
      <c r="FZR31" s="1882"/>
      <c r="FZS31" s="1882"/>
      <c r="FZT31" s="1882"/>
      <c r="FZV31" s="1887"/>
      <c r="FZW31" s="1888"/>
      <c r="FZX31" s="1882"/>
      <c r="FZY31" s="1882"/>
      <c r="FZZ31" s="1882"/>
      <c r="GAB31" s="1887"/>
      <c r="GAC31" s="1888"/>
      <c r="GAD31" s="1882"/>
      <c r="GAE31" s="1882"/>
      <c r="GAF31" s="1882"/>
      <c r="GAH31" s="1887"/>
      <c r="GAI31" s="1888"/>
      <c r="GAJ31" s="1882"/>
      <c r="GAK31" s="1882"/>
      <c r="GAL31" s="1882"/>
      <c r="GAN31" s="1887"/>
      <c r="GAO31" s="1888"/>
      <c r="GAP31" s="1882"/>
      <c r="GAQ31" s="1882"/>
      <c r="GAR31" s="1882"/>
      <c r="GAT31" s="1887"/>
      <c r="GAU31" s="1888"/>
      <c r="GAV31" s="1882"/>
      <c r="GAW31" s="1882"/>
      <c r="GAX31" s="1882"/>
      <c r="GAZ31" s="1887"/>
      <c r="GBA31" s="1888"/>
      <c r="GBB31" s="1882"/>
      <c r="GBC31" s="1882"/>
      <c r="GBD31" s="1882"/>
      <c r="GBF31" s="1887"/>
      <c r="GBG31" s="1888"/>
      <c r="GBH31" s="1882"/>
      <c r="GBI31" s="1882"/>
      <c r="GBJ31" s="1882"/>
      <c r="GBL31" s="1887"/>
      <c r="GBM31" s="1888"/>
      <c r="GBN31" s="1882"/>
      <c r="GBO31" s="1882"/>
      <c r="GBP31" s="1882"/>
      <c r="GBR31" s="1887"/>
      <c r="GBS31" s="1888"/>
      <c r="GBT31" s="1882"/>
      <c r="GBU31" s="1882"/>
      <c r="GBV31" s="1882"/>
      <c r="GBX31" s="1887"/>
      <c r="GBY31" s="1888"/>
      <c r="GBZ31" s="1882"/>
      <c r="GCA31" s="1882"/>
      <c r="GCB31" s="1882"/>
      <c r="GCD31" s="1887"/>
      <c r="GCE31" s="1888"/>
      <c r="GCF31" s="1882"/>
      <c r="GCG31" s="1882"/>
      <c r="GCH31" s="1882"/>
      <c r="GCJ31" s="1887"/>
      <c r="GCK31" s="1888"/>
      <c r="GCL31" s="1882"/>
      <c r="GCM31" s="1882"/>
      <c r="GCN31" s="1882"/>
      <c r="GCP31" s="1887"/>
      <c r="GCQ31" s="1888"/>
      <c r="GCR31" s="1882"/>
      <c r="GCS31" s="1882"/>
      <c r="GCT31" s="1882"/>
      <c r="GCV31" s="1887"/>
      <c r="GCW31" s="1888"/>
      <c r="GCX31" s="1882"/>
      <c r="GCY31" s="1882"/>
      <c r="GCZ31" s="1882"/>
      <c r="GDB31" s="1887"/>
      <c r="GDC31" s="1888"/>
      <c r="GDD31" s="1882"/>
      <c r="GDE31" s="1882"/>
      <c r="GDF31" s="1882"/>
      <c r="GDH31" s="1887"/>
      <c r="GDI31" s="1888"/>
      <c r="GDJ31" s="1882"/>
      <c r="GDK31" s="1882"/>
      <c r="GDL31" s="1882"/>
      <c r="GDN31" s="1887"/>
      <c r="GDO31" s="1888"/>
      <c r="GDP31" s="1882"/>
      <c r="GDQ31" s="1882"/>
      <c r="GDR31" s="1882"/>
      <c r="GDT31" s="1887"/>
      <c r="GDU31" s="1888"/>
      <c r="GDV31" s="1882"/>
      <c r="GDW31" s="1882"/>
      <c r="GDX31" s="1882"/>
      <c r="GDZ31" s="1887"/>
      <c r="GEA31" s="1888"/>
      <c r="GEB31" s="1882"/>
      <c r="GEC31" s="1882"/>
      <c r="GED31" s="1882"/>
      <c r="GEF31" s="1887"/>
      <c r="GEG31" s="1888"/>
      <c r="GEH31" s="1882"/>
      <c r="GEI31" s="1882"/>
      <c r="GEJ31" s="1882"/>
      <c r="GEL31" s="1887"/>
      <c r="GEM31" s="1888"/>
      <c r="GEN31" s="1882"/>
      <c r="GEO31" s="1882"/>
      <c r="GEP31" s="1882"/>
      <c r="GER31" s="1887"/>
      <c r="GES31" s="1888"/>
      <c r="GET31" s="1882"/>
      <c r="GEU31" s="1882"/>
      <c r="GEV31" s="1882"/>
      <c r="GEX31" s="1887"/>
      <c r="GEY31" s="1888"/>
      <c r="GEZ31" s="1882"/>
      <c r="GFA31" s="1882"/>
      <c r="GFB31" s="1882"/>
      <c r="GFD31" s="1887"/>
      <c r="GFE31" s="1888"/>
      <c r="GFF31" s="1882"/>
      <c r="GFG31" s="1882"/>
      <c r="GFH31" s="1882"/>
      <c r="GFJ31" s="1887"/>
      <c r="GFK31" s="1888"/>
      <c r="GFL31" s="1882"/>
      <c r="GFM31" s="1882"/>
      <c r="GFN31" s="1882"/>
      <c r="GFP31" s="1887"/>
      <c r="GFQ31" s="1888"/>
      <c r="GFR31" s="1882"/>
      <c r="GFS31" s="1882"/>
      <c r="GFT31" s="1882"/>
      <c r="GFV31" s="1887"/>
      <c r="GFW31" s="1888"/>
      <c r="GFX31" s="1882"/>
      <c r="GFY31" s="1882"/>
      <c r="GFZ31" s="1882"/>
      <c r="GGB31" s="1887"/>
      <c r="GGC31" s="1888"/>
      <c r="GGD31" s="1882"/>
      <c r="GGE31" s="1882"/>
      <c r="GGF31" s="1882"/>
      <c r="GGH31" s="1887"/>
      <c r="GGI31" s="1888"/>
      <c r="GGJ31" s="1882"/>
      <c r="GGK31" s="1882"/>
      <c r="GGL31" s="1882"/>
      <c r="GGN31" s="1887"/>
      <c r="GGO31" s="1888"/>
      <c r="GGP31" s="1882"/>
      <c r="GGQ31" s="1882"/>
      <c r="GGR31" s="1882"/>
      <c r="GGT31" s="1887"/>
      <c r="GGU31" s="1888"/>
      <c r="GGV31" s="1882"/>
      <c r="GGW31" s="1882"/>
      <c r="GGX31" s="1882"/>
      <c r="GGZ31" s="1887"/>
      <c r="GHA31" s="1888"/>
      <c r="GHB31" s="1882"/>
      <c r="GHC31" s="1882"/>
      <c r="GHD31" s="1882"/>
      <c r="GHF31" s="1887"/>
      <c r="GHG31" s="1888"/>
      <c r="GHH31" s="1882"/>
      <c r="GHI31" s="1882"/>
      <c r="GHJ31" s="1882"/>
      <c r="GHL31" s="1887"/>
      <c r="GHM31" s="1888"/>
      <c r="GHN31" s="1882"/>
      <c r="GHO31" s="1882"/>
      <c r="GHP31" s="1882"/>
      <c r="GHR31" s="1887"/>
      <c r="GHS31" s="1888"/>
      <c r="GHT31" s="1882"/>
      <c r="GHU31" s="1882"/>
      <c r="GHV31" s="1882"/>
      <c r="GHX31" s="1887"/>
      <c r="GHY31" s="1888"/>
      <c r="GHZ31" s="1882"/>
      <c r="GIA31" s="1882"/>
      <c r="GIB31" s="1882"/>
      <c r="GID31" s="1887"/>
      <c r="GIE31" s="1888"/>
      <c r="GIF31" s="1882"/>
      <c r="GIG31" s="1882"/>
      <c r="GIH31" s="1882"/>
      <c r="GIJ31" s="1887"/>
      <c r="GIK31" s="1888"/>
      <c r="GIL31" s="1882"/>
      <c r="GIM31" s="1882"/>
      <c r="GIN31" s="1882"/>
      <c r="GIP31" s="1887"/>
      <c r="GIQ31" s="1888"/>
      <c r="GIR31" s="1882"/>
      <c r="GIS31" s="1882"/>
      <c r="GIT31" s="1882"/>
      <c r="GIV31" s="1887"/>
      <c r="GIW31" s="1888"/>
      <c r="GIX31" s="1882"/>
      <c r="GIY31" s="1882"/>
      <c r="GIZ31" s="1882"/>
      <c r="GJB31" s="1887"/>
      <c r="GJC31" s="1888"/>
      <c r="GJD31" s="1882"/>
      <c r="GJE31" s="1882"/>
      <c r="GJF31" s="1882"/>
      <c r="GJH31" s="1887"/>
      <c r="GJI31" s="1888"/>
      <c r="GJJ31" s="1882"/>
      <c r="GJK31" s="1882"/>
      <c r="GJL31" s="1882"/>
      <c r="GJN31" s="1887"/>
      <c r="GJO31" s="1888"/>
      <c r="GJP31" s="1882"/>
      <c r="GJQ31" s="1882"/>
      <c r="GJR31" s="1882"/>
      <c r="GJT31" s="1887"/>
      <c r="GJU31" s="1888"/>
      <c r="GJV31" s="1882"/>
      <c r="GJW31" s="1882"/>
      <c r="GJX31" s="1882"/>
      <c r="GJZ31" s="1887"/>
      <c r="GKA31" s="1888"/>
      <c r="GKB31" s="1882"/>
      <c r="GKC31" s="1882"/>
      <c r="GKD31" s="1882"/>
      <c r="GKF31" s="1887"/>
      <c r="GKG31" s="1888"/>
      <c r="GKH31" s="1882"/>
      <c r="GKI31" s="1882"/>
      <c r="GKJ31" s="1882"/>
      <c r="GKL31" s="1887"/>
      <c r="GKM31" s="1888"/>
      <c r="GKN31" s="1882"/>
      <c r="GKO31" s="1882"/>
      <c r="GKP31" s="1882"/>
      <c r="GKR31" s="1887"/>
      <c r="GKS31" s="1888"/>
      <c r="GKT31" s="1882"/>
      <c r="GKU31" s="1882"/>
      <c r="GKV31" s="1882"/>
      <c r="GKX31" s="1887"/>
      <c r="GKY31" s="1888"/>
      <c r="GKZ31" s="1882"/>
      <c r="GLA31" s="1882"/>
      <c r="GLB31" s="1882"/>
      <c r="GLD31" s="1887"/>
      <c r="GLE31" s="1888"/>
      <c r="GLF31" s="1882"/>
      <c r="GLG31" s="1882"/>
      <c r="GLH31" s="1882"/>
      <c r="GLJ31" s="1887"/>
      <c r="GLK31" s="1888"/>
      <c r="GLL31" s="1882"/>
      <c r="GLM31" s="1882"/>
      <c r="GLN31" s="1882"/>
      <c r="GLP31" s="1887"/>
      <c r="GLQ31" s="1888"/>
      <c r="GLR31" s="1882"/>
      <c r="GLS31" s="1882"/>
      <c r="GLT31" s="1882"/>
      <c r="GLV31" s="1887"/>
      <c r="GLW31" s="1888"/>
      <c r="GLX31" s="1882"/>
      <c r="GLY31" s="1882"/>
      <c r="GLZ31" s="1882"/>
      <c r="GMB31" s="1887"/>
      <c r="GMC31" s="1888"/>
      <c r="GMD31" s="1882"/>
      <c r="GME31" s="1882"/>
      <c r="GMF31" s="1882"/>
      <c r="GMH31" s="1887"/>
      <c r="GMI31" s="1888"/>
      <c r="GMJ31" s="1882"/>
      <c r="GMK31" s="1882"/>
      <c r="GML31" s="1882"/>
      <c r="GMN31" s="1887"/>
      <c r="GMO31" s="1888"/>
      <c r="GMP31" s="1882"/>
      <c r="GMQ31" s="1882"/>
      <c r="GMR31" s="1882"/>
      <c r="GMT31" s="1887"/>
      <c r="GMU31" s="1888"/>
      <c r="GMV31" s="1882"/>
      <c r="GMW31" s="1882"/>
      <c r="GMX31" s="1882"/>
      <c r="GMZ31" s="1887"/>
      <c r="GNA31" s="1888"/>
      <c r="GNB31" s="1882"/>
      <c r="GNC31" s="1882"/>
      <c r="GND31" s="1882"/>
      <c r="GNF31" s="1887"/>
      <c r="GNG31" s="1888"/>
      <c r="GNH31" s="1882"/>
      <c r="GNI31" s="1882"/>
      <c r="GNJ31" s="1882"/>
      <c r="GNL31" s="1887"/>
      <c r="GNM31" s="1888"/>
      <c r="GNN31" s="1882"/>
      <c r="GNO31" s="1882"/>
      <c r="GNP31" s="1882"/>
      <c r="GNR31" s="1887"/>
      <c r="GNS31" s="1888"/>
      <c r="GNT31" s="1882"/>
      <c r="GNU31" s="1882"/>
      <c r="GNV31" s="1882"/>
      <c r="GNX31" s="1887"/>
      <c r="GNY31" s="1888"/>
      <c r="GNZ31" s="1882"/>
      <c r="GOA31" s="1882"/>
      <c r="GOB31" s="1882"/>
      <c r="GOD31" s="1887"/>
      <c r="GOE31" s="1888"/>
      <c r="GOF31" s="1882"/>
      <c r="GOG31" s="1882"/>
      <c r="GOH31" s="1882"/>
      <c r="GOJ31" s="1887"/>
      <c r="GOK31" s="1888"/>
      <c r="GOL31" s="1882"/>
      <c r="GOM31" s="1882"/>
      <c r="GON31" s="1882"/>
      <c r="GOP31" s="1887"/>
      <c r="GOQ31" s="1888"/>
      <c r="GOR31" s="1882"/>
      <c r="GOS31" s="1882"/>
      <c r="GOT31" s="1882"/>
      <c r="GOV31" s="1887"/>
      <c r="GOW31" s="1888"/>
      <c r="GOX31" s="1882"/>
      <c r="GOY31" s="1882"/>
      <c r="GOZ31" s="1882"/>
      <c r="GPB31" s="1887"/>
      <c r="GPC31" s="1888"/>
      <c r="GPD31" s="1882"/>
      <c r="GPE31" s="1882"/>
      <c r="GPF31" s="1882"/>
      <c r="GPH31" s="1887"/>
      <c r="GPI31" s="1888"/>
      <c r="GPJ31" s="1882"/>
      <c r="GPK31" s="1882"/>
      <c r="GPL31" s="1882"/>
      <c r="GPN31" s="1887"/>
      <c r="GPO31" s="1888"/>
      <c r="GPP31" s="1882"/>
      <c r="GPQ31" s="1882"/>
      <c r="GPR31" s="1882"/>
      <c r="GPT31" s="1887"/>
      <c r="GPU31" s="1888"/>
      <c r="GPV31" s="1882"/>
      <c r="GPW31" s="1882"/>
      <c r="GPX31" s="1882"/>
      <c r="GPZ31" s="1887"/>
      <c r="GQA31" s="1888"/>
      <c r="GQB31" s="1882"/>
      <c r="GQC31" s="1882"/>
      <c r="GQD31" s="1882"/>
      <c r="GQF31" s="1887"/>
      <c r="GQG31" s="1888"/>
      <c r="GQH31" s="1882"/>
      <c r="GQI31" s="1882"/>
      <c r="GQJ31" s="1882"/>
      <c r="GQL31" s="1887"/>
      <c r="GQM31" s="1888"/>
      <c r="GQN31" s="1882"/>
      <c r="GQO31" s="1882"/>
      <c r="GQP31" s="1882"/>
      <c r="GQR31" s="1887"/>
      <c r="GQS31" s="1888"/>
      <c r="GQT31" s="1882"/>
      <c r="GQU31" s="1882"/>
      <c r="GQV31" s="1882"/>
      <c r="GQX31" s="1887"/>
      <c r="GQY31" s="1888"/>
      <c r="GQZ31" s="1882"/>
      <c r="GRA31" s="1882"/>
      <c r="GRB31" s="1882"/>
      <c r="GRD31" s="1887"/>
      <c r="GRE31" s="1888"/>
      <c r="GRF31" s="1882"/>
      <c r="GRG31" s="1882"/>
      <c r="GRH31" s="1882"/>
      <c r="GRJ31" s="1887"/>
      <c r="GRK31" s="1888"/>
      <c r="GRL31" s="1882"/>
      <c r="GRM31" s="1882"/>
      <c r="GRN31" s="1882"/>
      <c r="GRP31" s="1887"/>
      <c r="GRQ31" s="1888"/>
      <c r="GRR31" s="1882"/>
      <c r="GRS31" s="1882"/>
      <c r="GRT31" s="1882"/>
      <c r="GRV31" s="1887"/>
      <c r="GRW31" s="1888"/>
      <c r="GRX31" s="1882"/>
      <c r="GRY31" s="1882"/>
      <c r="GRZ31" s="1882"/>
      <c r="GSB31" s="1887"/>
      <c r="GSC31" s="1888"/>
      <c r="GSD31" s="1882"/>
      <c r="GSE31" s="1882"/>
      <c r="GSF31" s="1882"/>
      <c r="GSH31" s="1887"/>
      <c r="GSI31" s="1888"/>
      <c r="GSJ31" s="1882"/>
      <c r="GSK31" s="1882"/>
      <c r="GSL31" s="1882"/>
      <c r="GSN31" s="1887"/>
      <c r="GSO31" s="1888"/>
      <c r="GSP31" s="1882"/>
      <c r="GSQ31" s="1882"/>
      <c r="GSR31" s="1882"/>
      <c r="GST31" s="1887"/>
      <c r="GSU31" s="1888"/>
      <c r="GSV31" s="1882"/>
      <c r="GSW31" s="1882"/>
      <c r="GSX31" s="1882"/>
      <c r="GSZ31" s="1887"/>
      <c r="GTA31" s="1888"/>
      <c r="GTB31" s="1882"/>
      <c r="GTC31" s="1882"/>
      <c r="GTD31" s="1882"/>
      <c r="GTF31" s="1887"/>
      <c r="GTG31" s="1888"/>
      <c r="GTH31" s="1882"/>
      <c r="GTI31" s="1882"/>
      <c r="GTJ31" s="1882"/>
      <c r="GTL31" s="1887"/>
      <c r="GTM31" s="1888"/>
      <c r="GTN31" s="1882"/>
      <c r="GTO31" s="1882"/>
      <c r="GTP31" s="1882"/>
      <c r="GTR31" s="1887"/>
      <c r="GTS31" s="1888"/>
      <c r="GTT31" s="1882"/>
      <c r="GTU31" s="1882"/>
      <c r="GTV31" s="1882"/>
      <c r="GTX31" s="1887"/>
      <c r="GTY31" s="1888"/>
      <c r="GTZ31" s="1882"/>
      <c r="GUA31" s="1882"/>
      <c r="GUB31" s="1882"/>
      <c r="GUD31" s="1887"/>
      <c r="GUE31" s="1888"/>
      <c r="GUF31" s="1882"/>
      <c r="GUG31" s="1882"/>
      <c r="GUH31" s="1882"/>
      <c r="GUJ31" s="1887"/>
      <c r="GUK31" s="1888"/>
      <c r="GUL31" s="1882"/>
      <c r="GUM31" s="1882"/>
      <c r="GUN31" s="1882"/>
      <c r="GUP31" s="1887"/>
      <c r="GUQ31" s="1888"/>
      <c r="GUR31" s="1882"/>
      <c r="GUS31" s="1882"/>
      <c r="GUT31" s="1882"/>
      <c r="GUV31" s="1887"/>
      <c r="GUW31" s="1888"/>
      <c r="GUX31" s="1882"/>
      <c r="GUY31" s="1882"/>
      <c r="GUZ31" s="1882"/>
      <c r="GVB31" s="1887"/>
      <c r="GVC31" s="1888"/>
      <c r="GVD31" s="1882"/>
      <c r="GVE31" s="1882"/>
      <c r="GVF31" s="1882"/>
      <c r="GVH31" s="1887"/>
      <c r="GVI31" s="1888"/>
      <c r="GVJ31" s="1882"/>
      <c r="GVK31" s="1882"/>
      <c r="GVL31" s="1882"/>
      <c r="GVN31" s="1887"/>
      <c r="GVO31" s="1888"/>
      <c r="GVP31" s="1882"/>
      <c r="GVQ31" s="1882"/>
      <c r="GVR31" s="1882"/>
      <c r="GVT31" s="1887"/>
      <c r="GVU31" s="1888"/>
      <c r="GVV31" s="1882"/>
      <c r="GVW31" s="1882"/>
      <c r="GVX31" s="1882"/>
      <c r="GVZ31" s="1887"/>
      <c r="GWA31" s="1888"/>
      <c r="GWB31" s="1882"/>
      <c r="GWC31" s="1882"/>
      <c r="GWD31" s="1882"/>
      <c r="GWF31" s="1887"/>
      <c r="GWG31" s="1888"/>
      <c r="GWH31" s="1882"/>
      <c r="GWI31" s="1882"/>
      <c r="GWJ31" s="1882"/>
      <c r="GWL31" s="1887"/>
      <c r="GWM31" s="1888"/>
      <c r="GWN31" s="1882"/>
      <c r="GWO31" s="1882"/>
      <c r="GWP31" s="1882"/>
      <c r="GWR31" s="1887"/>
      <c r="GWS31" s="1888"/>
      <c r="GWT31" s="1882"/>
      <c r="GWU31" s="1882"/>
      <c r="GWV31" s="1882"/>
      <c r="GWX31" s="1887"/>
      <c r="GWY31" s="1888"/>
      <c r="GWZ31" s="1882"/>
      <c r="GXA31" s="1882"/>
      <c r="GXB31" s="1882"/>
      <c r="GXD31" s="1887"/>
      <c r="GXE31" s="1888"/>
      <c r="GXF31" s="1882"/>
      <c r="GXG31" s="1882"/>
      <c r="GXH31" s="1882"/>
      <c r="GXJ31" s="1887"/>
      <c r="GXK31" s="1888"/>
      <c r="GXL31" s="1882"/>
      <c r="GXM31" s="1882"/>
      <c r="GXN31" s="1882"/>
      <c r="GXP31" s="1887"/>
      <c r="GXQ31" s="1888"/>
      <c r="GXR31" s="1882"/>
      <c r="GXS31" s="1882"/>
      <c r="GXT31" s="1882"/>
      <c r="GXV31" s="1887"/>
      <c r="GXW31" s="1888"/>
      <c r="GXX31" s="1882"/>
      <c r="GXY31" s="1882"/>
      <c r="GXZ31" s="1882"/>
      <c r="GYB31" s="1887"/>
      <c r="GYC31" s="1888"/>
      <c r="GYD31" s="1882"/>
      <c r="GYE31" s="1882"/>
      <c r="GYF31" s="1882"/>
      <c r="GYH31" s="1887"/>
      <c r="GYI31" s="1888"/>
      <c r="GYJ31" s="1882"/>
      <c r="GYK31" s="1882"/>
      <c r="GYL31" s="1882"/>
      <c r="GYN31" s="1887"/>
      <c r="GYO31" s="1888"/>
      <c r="GYP31" s="1882"/>
      <c r="GYQ31" s="1882"/>
      <c r="GYR31" s="1882"/>
      <c r="GYT31" s="1887"/>
      <c r="GYU31" s="1888"/>
      <c r="GYV31" s="1882"/>
      <c r="GYW31" s="1882"/>
      <c r="GYX31" s="1882"/>
      <c r="GYZ31" s="1887"/>
      <c r="GZA31" s="1888"/>
      <c r="GZB31" s="1882"/>
      <c r="GZC31" s="1882"/>
      <c r="GZD31" s="1882"/>
      <c r="GZF31" s="1887"/>
      <c r="GZG31" s="1888"/>
      <c r="GZH31" s="1882"/>
      <c r="GZI31" s="1882"/>
      <c r="GZJ31" s="1882"/>
      <c r="GZL31" s="1887"/>
      <c r="GZM31" s="1888"/>
      <c r="GZN31" s="1882"/>
      <c r="GZO31" s="1882"/>
      <c r="GZP31" s="1882"/>
      <c r="GZR31" s="1887"/>
      <c r="GZS31" s="1888"/>
      <c r="GZT31" s="1882"/>
      <c r="GZU31" s="1882"/>
      <c r="GZV31" s="1882"/>
      <c r="GZX31" s="1887"/>
      <c r="GZY31" s="1888"/>
      <c r="GZZ31" s="1882"/>
      <c r="HAA31" s="1882"/>
      <c r="HAB31" s="1882"/>
      <c r="HAD31" s="1887"/>
      <c r="HAE31" s="1888"/>
      <c r="HAF31" s="1882"/>
      <c r="HAG31" s="1882"/>
      <c r="HAH31" s="1882"/>
      <c r="HAJ31" s="1887"/>
      <c r="HAK31" s="1888"/>
      <c r="HAL31" s="1882"/>
      <c r="HAM31" s="1882"/>
      <c r="HAN31" s="1882"/>
      <c r="HAP31" s="1887"/>
      <c r="HAQ31" s="1888"/>
      <c r="HAR31" s="1882"/>
      <c r="HAS31" s="1882"/>
      <c r="HAT31" s="1882"/>
      <c r="HAV31" s="1887"/>
      <c r="HAW31" s="1888"/>
      <c r="HAX31" s="1882"/>
      <c r="HAY31" s="1882"/>
      <c r="HAZ31" s="1882"/>
      <c r="HBB31" s="1887"/>
      <c r="HBC31" s="1888"/>
      <c r="HBD31" s="1882"/>
      <c r="HBE31" s="1882"/>
      <c r="HBF31" s="1882"/>
      <c r="HBH31" s="1887"/>
      <c r="HBI31" s="1888"/>
      <c r="HBJ31" s="1882"/>
      <c r="HBK31" s="1882"/>
      <c r="HBL31" s="1882"/>
      <c r="HBN31" s="1887"/>
      <c r="HBO31" s="1888"/>
      <c r="HBP31" s="1882"/>
      <c r="HBQ31" s="1882"/>
      <c r="HBR31" s="1882"/>
      <c r="HBT31" s="1887"/>
      <c r="HBU31" s="1888"/>
      <c r="HBV31" s="1882"/>
      <c r="HBW31" s="1882"/>
      <c r="HBX31" s="1882"/>
      <c r="HBZ31" s="1887"/>
      <c r="HCA31" s="1888"/>
      <c r="HCB31" s="1882"/>
      <c r="HCC31" s="1882"/>
      <c r="HCD31" s="1882"/>
      <c r="HCF31" s="1887"/>
      <c r="HCG31" s="1888"/>
      <c r="HCH31" s="1882"/>
      <c r="HCI31" s="1882"/>
      <c r="HCJ31" s="1882"/>
      <c r="HCL31" s="1887"/>
      <c r="HCM31" s="1888"/>
      <c r="HCN31" s="1882"/>
      <c r="HCO31" s="1882"/>
      <c r="HCP31" s="1882"/>
      <c r="HCR31" s="1887"/>
      <c r="HCS31" s="1888"/>
      <c r="HCT31" s="1882"/>
      <c r="HCU31" s="1882"/>
      <c r="HCV31" s="1882"/>
      <c r="HCX31" s="1887"/>
      <c r="HCY31" s="1888"/>
      <c r="HCZ31" s="1882"/>
      <c r="HDA31" s="1882"/>
      <c r="HDB31" s="1882"/>
      <c r="HDD31" s="1887"/>
      <c r="HDE31" s="1888"/>
      <c r="HDF31" s="1882"/>
      <c r="HDG31" s="1882"/>
      <c r="HDH31" s="1882"/>
      <c r="HDJ31" s="1887"/>
      <c r="HDK31" s="1888"/>
      <c r="HDL31" s="1882"/>
      <c r="HDM31" s="1882"/>
      <c r="HDN31" s="1882"/>
      <c r="HDP31" s="1887"/>
      <c r="HDQ31" s="1888"/>
      <c r="HDR31" s="1882"/>
      <c r="HDS31" s="1882"/>
      <c r="HDT31" s="1882"/>
      <c r="HDV31" s="1887"/>
      <c r="HDW31" s="1888"/>
      <c r="HDX31" s="1882"/>
      <c r="HDY31" s="1882"/>
      <c r="HDZ31" s="1882"/>
      <c r="HEB31" s="1887"/>
      <c r="HEC31" s="1888"/>
      <c r="HED31" s="1882"/>
      <c r="HEE31" s="1882"/>
      <c r="HEF31" s="1882"/>
      <c r="HEH31" s="1887"/>
      <c r="HEI31" s="1888"/>
      <c r="HEJ31" s="1882"/>
      <c r="HEK31" s="1882"/>
      <c r="HEL31" s="1882"/>
      <c r="HEN31" s="1887"/>
      <c r="HEO31" s="1888"/>
      <c r="HEP31" s="1882"/>
      <c r="HEQ31" s="1882"/>
      <c r="HER31" s="1882"/>
      <c r="HET31" s="1887"/>
      <c r="HEU31" s="1888"/>
      <c r="HEV31" s="1882"/>
      <c r="HEW31" s="1882"/>
      <c r="HEX31" s="1882"/>
      <c r="HEZ31" s="1887"/>
      <c r="HFA31" s="1888"/>
      <c r="HFB31" s="1882"/>
      <c r="HFC31" s="1882"/>
      <c r="HFD31" s="1882"/>
      <c r="HFF31" s="1887"/>
      <c r="HFG31" s="1888"/>
      <c r="HFH31" s="1882"/>
      <c r="HFI31" s="1882"/>
      <c r="HFJ31" s="1882"/>
      <c r="HFL31" s="1887"/>
      <c r="HFM31" s="1888"/>
      <c r="HFN31" s="1882"/>
      <c r="HFO31" s="1882"/>
      <c r="HFP31" s="1882"/>
      <c r="HFR31" s="1887"/>
      <c r="HFS31" s="1888"/>
      <c r="HFT31" s="1882"/>
      <c r="HFU31" s="1882"/>
      <c r="HFV31" s="1882"/>
      <c r="HFX31" s="1887"/>
      <c r="HFY31" s="1888"/>
      <c r="HFZ31" s="1882"/>
      <c r="HGA31" s="1882"/>
      <c r="HGB31" s="1882"/>
      <c r="HGD31" s="1887"/>
      <c r="HGE31" s="1888"/>
      <c r="HGF31" s="1882"/>
      <c r="HGG31" s="1882"/>
      <c r="HGH31" s="1882"/>
      <c r="HGJ31" s="1887"/>
      <c r="HGK31" s="1888"/>
      <c r="HGL31" s="1882"/>
      <c r="HGM31" s="1882"/>
      <c r="HGN31" s="1882"/>
      <c r="HGP31" s="1887"/>
      <c r="HGQ31" s="1888"/>
      <c r="HGR31" s="1882"/>
      <c r="HGS31" s="1882"/>
      <c r="HGT31" s="1882"/>
      <c r="HGV31" s="1887"/>
      <c r="HGW31" s="1888"/>
      <c r="HGX31" s="1882"/>
      <c r="HGY31" s="1882"/>
      <c r="HGZ31" s="1882"/>
      <c r="HHB31" s="1887"/>
      <c r="HHC31" s="1888"/>
      <c r="HHD31" s="1882"/>
      <c r="HHE31" s="1882"/>
      <c r="HHF31" s="1882"/>
      <c r="HHH31" s="1887"/>
      <c r="HHI31" s="1888"/>
      <c r="HHJ31" s="1882"/>
      <c r="HHK31" s="1882"/>
      <c r="HHL31" s="1882"/>
      <c r="HHN31" s="1887"/>
      <c r="HHO31" s="1888"/>
      <c r="HHP31" s="1882"/>
      <c r="HHQ31" s="1882"/>
      <c r="HHR31" s="1882"/>
      <c r="HHT31" s="1887"/>
      <c r="HHU31" s="1888"/>
      <c r="HHV31" s="1882"/>
      <c r="HHW31" s="1882"/>
      <c r="HHX31" s="1882"/>
      <c r="HHZ31" s="1887"/>
      <c r="HIA31" s="1888"/>
      <c r="HIB31" s="1882"/>
      <c r="HIC31" s="1882"/>
      <c r="HID31" s="1882"/>
      <c r="HIF31" s="1887"/>
      <c r="HIG31" s="1888"/>
      <c r="HIH31" s="1882"/>
      <c r="HII31" s="1882"/>
      <c r="HIJ31" s="1882"/>
      <c r="HIL31" s="1887"/>
      <c r="HIM31" s="1888"/>
      <c r="HIN31" s="1882"/>
      <c r="HIO31" s="1882"/>
      <c r="HIP31" s="1882"/>
      <c r="HIR31" s="1887"/>
      <c r="HIS31" s="1888"/>
      <c r="HIT31" s="1882"/>
      <c r="HIU31" s="1882"/>
      <c r="HIV31" s="1882"/>
      <c r="HIX31" s="1887"/>
      <c r="HIY31" s="1888"/>
      <c r="HIZ31" s="1882"/>
      <c r="HJA31" s="1882"/>
      <c r="HJB31" s="1882"/>
      <c r="HJD31" s="1887"/>
      <c r="HJE31" s="1888"/>
      <c r="HJF31" s="1882"/>
      <c r="HJG31" s="1882"/>
      <c r="HJH31" s="1882"/>
      <c r="HJJ31" s="1887"/>
      <c r="HJK31" s="1888"/>
      <c r="HJL31" s="1882"/>
      <c r="HJM31" s="1882"/>
      <c r="HJN31" s="1882"/>
      <c r="HJP31" s="1887"/>
      <c r="HJQ31" s="1888"/>
      <c r="HJR31" s="1882"/>
      <c r="HJS31" s="1882"/>
      <c r="HJT31" s="1882"/>
      <c r="HJV31" s="1887"/>
      <c r="HJW31" s="1888"/>
      <c r="HJX31" s="1882"/>
      <c r="HJY31" s="1882"/>
      <c r="HJZ31" s="1882"/>
      <c r="HKB31" s="1887"/>
      <c r="HKC31" s="1888"/>
      <c r="HKD31" s="1882"/>
      <c r="HKE31" s="1882"/>
      <c r="HKF31" s="1882"/>
      <c r="HKH31" s="1887"/>
      <c r="HKI31" s="1888"/>
      <c r="HKJ31" s="1882"/>
      <c r="HKK31" s="1882"/>
      <c r="HKL31" s="1882"/>
      <c r="HKN31" s="1887"/>
      <c r="HKO31" s="1888"/>
      <c r="HKP31" s="1882"/>
      <c r="HKQ31" s="1882"/>
      <c r="HKR31" s="1882"/>
      <c r="HKT31" s="1887"/>
      <c r="HKU31" s="1888"/>
      <c r="HKV31" s="1882"/>
      <c r="HKW31" s="1882"/>
      <c r="HKX31" s="1882"/>
      <c r="HKZ31" s="1887"/>
      <c r="HLA31" s="1888"/>
      <c r="HLB31" s="1882"/>
      <c r="HLC31" s="1882"/>
      <c r="HLD31" s="1882"/>
      <c r="HLF31" s="1887"/>
      <c r="HLG31" s="1888"/>
      <c r="HLH31" s="1882"/>
      <c r="HLI31" s="1882"/>
      <c r="HLJ31" s="1882"/>
      <c r="HLL31" s="1887"/>
      <c r="HLM31" s="1888"/>
      <c r="HLN31" s="1882"/>
      <c r="HLO31" s="1882"/>
      <c r="HLP31" s="1882"/>
      <c r="HLR31" s="1887"/>
      <c r="HLS31" s="1888"/>
      <c r="HLT31" s="1882"/>
      <c r="HLU31" s="1882"/>
      <c r="HLV31" s="1882"/>
      <c r="HLX31" s="1887"/>
      <c r="HLY31" s="1888"/>
      <c r="HLZ31" s="1882"/>
      <c r="HMA31" s="1882"/>
      <c r="HMB31" s="1882"/>
      <c r="HMD31" s="1887"/>
      <c r="HME31" s="1888"/>
      <c r="HMF31" s="1882"/>
      <c r="HMG31" s="1882"/>
      <c r="HMH31" s="1882"/>
      <c r="HMJ31" s="1887"/>
      <c r="HMK31" s="1888"/>
      <c r="HML31" s="1882"/>
      <c r="HMM31" s="1882"/>
      <c r="HMN31" s="1882"/>
      <c r="HMP31" s="1887"/>
      <c r="HMQ31" s="1888"/>
      <c r="HMR31" s="1882"/>
      <c r="HMS31" s="1882"/>
      <c r="HMT31" s="1882"/>
      <c r="HMV31" s="1887"/>
      <c r="HMW31" s="1888"/>
      <c r="HMX31" s="1882"/>
      <c r="HMY31" s="1882"/>
      <c r="HMZ31" s="1882"/>
      <c r="HNB31" s="1887"/>
      <c r="HNC31" s="1888"/>
      <c r="HND31" s="1882"/>
      <c r="HNE31" s="1882"/>
      <c r="HNF31" s="1882"/>
      <c r="HNH31" s="1887"/>
      <c r="HNI31" s="1888"/>
      <c r="HNJ31" s="1882"/>
      <c r="HNK31" s="1882"/>
      <c r="HNL31" s="1882"/>
      <c r="HNN31" s="1887"/>
      <c r="HNO31" s="1888"/>
      <c r="HNP31" s="1882"/>
      <c r="HNQ31" s="1882"/>
      <c r="HNR31" s="1882"/>
      <c r="HNT31" s="1887"/>
      <c r="HNU31" s="1888"/>
      <c r="HNV31" s="1882"/>
      <c r="HNW31" s="1882"/>
      <c r="HNX31" s="1882"/>
      <c r="HNZ31" s="1887"/>
      <c r="HOA31" s="1888"/>
      <c r="HOB31" s="1882"/>
      <c r="HOC31" s="1882"/>
      <c r="HOD31" s="1882"/>
      <c r="HOF31" s="1887"/>
      <c r="HOG31" s="1888"/>
      <c r="HOH31" s="1882"/>
      <c r="HOI31" s="1882"/>
      <c r="HOJ31" s="1882"/>
      <c r="HOL31" s="1887"/>
      <c r="HOM31" s="1888"/>
      <c r="HON31" s="1882"/>
      <c r="HOO31" s="1882"/>
      <c r="HOP31" s="1882"/>
      <c r="HOR31" s="1887"/>
      <c r="HOS31" s="1888"/>
      <c r="HOT31" s="1882"/>
      <c r="HOU31" s="1882"/>
      <c r="HOV31" s="1882"/>
      <c r="HOX31" s="1887"/>
      <c r="HOY31" s="1888"/>
      <c r="HOZ31" s="1882"/>
      <c r="HPA31" s="1882"/>
      <c r="HPB31" s="1882"/>
      <c r="HPD31" s="1887"/>
      <c r="HPE31" s="1888"/>
      <c r="HPF31" s="1882"/>
      <c r="HPG31" s="1882"/>
      <c r="HPH31" s="1882"/>
      <c r="HPJ31" s="1887"/>
      <c r="HPK31" s="1888"/>
      <c r="HPL31" s="1882"/>
      <c r="HPM31" s="1882"/>
      <c r="HPN31" s="1882"/>
      <c r="HPP31" s="1887"/>
      <c r="HPQ31" s="1888"/>
      <c r="HPR31" s="1882"/>
      <c r="HPS31" s="1882"/>
      <c r="HPT31" s="1882"/>
      <c r="HPV31" s="1887"/>
      <c r="HPW31" s="1888"/>
      <c r="HPX31" s="1882"/>
      <c r="HPY31" s="1882"/>
      <c r="HPZ31" s="1882"/>
      <c r="HQB31" s="1887"/>
      <c r="HQC31" s="1888"/>
      <c r="HQD31" s="1882"/>
      <c r="HQE31" s="1882"/>
      <c r="HQF31" s="1882"/>
      <c r="HQH31" s="1887"/>
      <c r="HQI31" s="1888"/>
      <c r="HQJ31" s="1882"/>
      <c r="HQK31" s="1882"/>
      <c r="HQL31" s="1882"/>
      <c r="HQN31" s="1887"/>
      <c r="HQO31" s="1888"/>
      <c r="HQP31" s="1882"/>
      <c r="HQQ31" s="1882"/>
      <c r="HQR31" s="1882"/>
      <c r="HQT31" s="1887"/>
      <c r="HQU31" s="1888"/>
      <c r="HQV31" s="1882"/>
      <c r="HQW31" s="1882"/>
      <c r="HQX31" s="1882"/>
      <c r="HQZ31" s="1887"/>
      <c r="HRA31" s="1888"/>
      <c r="HRB31" s="1882"/>
      <c r="HRC31" s="1882"/>
      <c r="HRD31" s="1882"/>
      <c r="HRF31" s="1887"/>
      <c r="HRG31" s="1888"/>
      <c r="HRH31" s="1882"/>
      <c r="HRI31" s="1882"/>
      <c r="HRJ31" s="1882"/>
      <c r="HRL31" s="1887"/>
      <c r="HRM31" s="1888"/>
      <c r="HRN31" s="1882"/>
      <c r="HRO31" s="1882"/>
      <c r="HRP31" s="1882"/>
      <c r="HRR31" s="1887"/>
      <c r="HRS31" s="1888"/>
      <c r="HRT31" s="1882"/>
      <c r="HRU31" s="1882"/>
      <c r="HRV31" s="1882"/>
      <c r="HRX31" s="1887"/>
      <c r="HRY31" s="1888"/>
      <c r="HRZ31" s="1882"/>
      <c r="HSA31" s="1882"/>
      <c r="HSB31" s="1882"/>
      <c r="HSD31" s="1887"/>
      <c r="HSE31" s="1888"/>
      <c r="HSF31" s="1882"/>
      <c r="HSG31" s="1882"/>
      <c r="HSH31" s="1882"/>
      <c r="HSJ31" s="1887"/>
      <c r="HSK31" s="1888"/>
      <c r="HSL31" s="1882"/>
      <c r="HSM31" s="1882"/>
      <c r="HSN31" s="1882"/>
      <c r="HSP31" s="1887"/>
      <c r="HSQ31" s="1888"/>
      <c r="HSR31" s="1882"/>
      <c r="HSS31" s="1882"/>
      <c r="HST31" s="1882"/>
      <c r="HSV31" s="1887"/>
      <c r="HSW31" s="1888"/>
      <c r="HSX31" s="1882"/>
      <c r="HSY31" s="1882"/>
      <c r="HSZ31" s="1882"/>
      <c r="HTB31" s="1887"/>
      <c r="HTC31" s="1888"/>
      <c r="HTD31" s="1882"/>
      <c r="HTE31" s="1882"/>
      <c r="HTF31" s="1882"/>
      <c r="HTH31" s="1887"/>
      <c r="HTI31" s="1888"/>
      <c r="HTJ31" s="1882"/>
      <c r="HTK31" s="1882"/>
      <c r="HTL31" s="1882"/>
      <c r="HTN31" s="1887"/>
      <c r="HTO31" s="1888"/>
      <c r="HTP31" s="1882"/>
      <c r="HTQ31" s="1882"/>
      <c r="HTR31" s="1882"/>
      <c r="HTT31" s="1887"/>
      <c r="HTU31" s="1888"/>
      <c r="HTV31" s="1882"/>
      <c r="HTW31" s="1882"/>
      <c r="HTX31" s="1882"/>
      <c r="HTZ31" s="1887"/>
      <c r="HUA31" s="1888"/>
      <c r="HUB31" s="1882"/>
      <c r="HUC31" s="1882"/>
      <c r="HUD31" s="1882"/>
      <c r="HUF31" s="1887"/>
      <c r="HUG31" s="1888"/>
      <c r="HUH31" s="1882"/>
      <c r="HUI31" s="1882"/>
      <c r="HUJ31" s="1882"/>
      <c r="HUL31" s="1887"/>
      <c r="HUM31" s="1888"/>
      <c r="HUN31" s="1882"/>
      <c r="HUO31" s="1882"/>
      <c r="HUP31" s="1882"/>
      <c r="HUR31" s="1887"/>
      <c r="HUS31" s="1888"/>
      <c r="HUT31" s="1882"/>
      <c r="HUU31" s="1882"/>
      <c r="HUV31" s="1882"/>
      <c r="HUX31" s="1887"/>
      <c r="HUY31" s="1888"/>
      <c r="HUZ31" s="1882"/>
      <c r="HVA31" s="1882"/>
      <c r="HVB31" s="1882"/>
      <c r="HVD31" s="1887"/>
      <c r="HVE31" s="1888"/>
      <c r="HVF31" s="1882"/>
      <c r="HVG31" s="1882"/>
      <c r="HVH31" s="1882"/>
      <c r="HVJ31" s="1887"/>
      <c r="HVK31" s="1888"/>
      <c r="HVL31" s="1882"/>
      <c r="HVM31" s="1882"/>
      <c r="HVN31" s="1882"/>
      <c r="HVP31" s="1887"/>
      <c r="HVQ31" s="1888"/>
      <c r="HVR31" s="1882"/>
      <c r="HVS31" s="1882"/>
      <c r="HVT31" s="1882"/>
      <c r="HVV31" s="1887"/>
      <c r="HVW31" s="1888"/>
      <c r="HVX31" s="1882"/>
      <c r="HVY31" s="1882"/>
      <c r="HVZ31" s="1882"/>
      <c r="HWB31" s="1887"/>
      <c r="HWC31" s="1888"/>
      <c r="HWD31" s="1882"/>
      <c r="HWE31" s="1882"/>
      <c r="HWF31" s="1882"/>
      <c r="HWH31" s="1887"/>
      <c r="HWI31" s="1888"/>
      <c r="HWJ31" s="1882"/>
      <c r="HWK31" s="1882"/>
      <c r="HWL31" s="1882"/>
      <c r="HWN31" s="1887"/>
      <c r="HWO31" s="1888"/>
      <c r="HWP31" s="1882"/>
      <c r="HWQ31" s="1882"/>
      <c r="HWR31" s="1882"/>
      <c r="HWT31" s="1887"/>
      <c r="HWU31" s="1888"/>
      <c r="HWV31" s="1882"/>
      <c r="HWW31" s="1882"/>
      <c r="HWX31" s="1882"/>
      <c r="HWZ31" s="1887"/>
      <c r="HXA31" s="1888"/>
      <c r="HXB31" s="1882"/>
      <c r="HXC31" s="1882"/>
      <c r="HXD31" s="1882"/>
      <c r="HXF31" s="1887"/>
      <c r="HXG31" s="1888"/>
      <c r="HXH31" s="1882"/>
      <c r="HXI31" s="1882"/>
      <c r="HXJ31" s="1882"/>
      <c r="HXL31" s="1887"/>
      <c r="HXM31" s="1888"/>
      <c r="HXN31" s="1882"/>
      <c r="HXO31" s="1882"/>
      <c r="HXP31" s="1882"/>
      <c r="HXR31" s="1887"/>
      <c r="HXS31" s="1888"/>
      <c r="HXT31" s="1882"/>
      <c r="HXU31" s="1882"/>
      <c r="HXV31" s="1882"/>
      <c r="HXX31" s="1887"/>
      <c r="HXY31" s="1888"/>
      <c r="HXZ31" s="1882"/>
      <c r="HYA31" s="1882"/>
      <c r="HYB31" s="1882"/>
      <c r="HYD31" s="1887"/>
      <c r="HYE31" s="1888"/>
      <c r="HYF31" s="1882"/>
      <c r="HYG31" s="1882"/>
      <c r="HYH31" s="1882"/>
      <c r="HYJ31" s="1887"/>
      <c r="HYK31" s="1888"/>
      <c r="HYL31" s="1882"/>
      <c r="HYM31" s="1882"/>
      <c r="HYN31" s="1882"/>
      <c r="HYP31" s="1887"/>
      <c r="HYQ31" s="1888"/>
      <c r="HYR31" s="1882"/>
      <c r="HYS31" s="1882"/>
      <c r="HYT31" s="1882"/>
      <c r="HYV31" s="1887"/>
      <c r="HYW31" s="1888"/>
      <c r="HYX31" s="1882"/>
      <c r="HYY31" s="1882"/>
      <c r="HYZ31" s="1882"/>
      <c r="HZB31" s="1887"/>
      <c r="HZC31" s="1888"/>
      <c r="HZD31" s="1882"/>
      <c r="HZE31" s="1882"/>
      <c r="HZF31" s="1882"/>
      <c r="HZH31" s="1887"/>
      <c r="HZI31" s="1888"/>
      <c r="HZJ31" s="1882"/>
      <c r="HZK31" s="1882"/>
      <c r="HZL31" s="1882"/>
      <c r="HZN31" s="1887"/>
      <c r="HZO31" s="1888"/>
      <c r="HZP31" s="1882"/>
      <c r="HZQ31" s="1882"/>
      <c r="HZR31" s="1882"/>
      <c r="HZT31" s="1887"/>
      <c r="HZU31" s="1888"/>
      <c r="HZV31" s="1882"/>
      <c r="HZW31" s="1882"/>
      <c r="HZX31" s="1882"/>
      <c r="HZZ31" s="1887"/>
      <c r="IAA31" s="1888"/>
      <c r="IAB31" s="1882"/>
      <c r="IAC31" s="1882"/>
      <c r="IAD31" s="1882"/>
      <c r="IAF31" s="1887"/>
      <c r="IAG31" s="1888"/>
      <c r="IAH31" s="1882"/>
      <c r="IAI31" s="1882"/>
      <c r="IAJ31" s="1882"/>
      <c r="IAL31" s="1887"/>
      <c r="IAM31" s="1888"/>
      <c r="IAN31" s="1882"/>
      <c r="IAO31" s="1882"/>
      <c r="IAP31" s="1882"/>
      <c r="IAR31" s="1887"/>
      <c r="IAS31" s="1888"/>
      <c r="IAT31" s="1882"/>
      <c r="IAU31" s="1882"/>
      <c r="IAV31" s="1882"/>
      <c r="IAX31" s="1887"/>
      <c r="IAY31" s="1888"/>
      <c r="IAZ31" s="1882"/>
      <c r="IBA31" s="1882"/>
      <c r="IBB31" s="1882"/>
      <c r="IBD31" s="1887"/>
      <c r="IBE31" s="1888"/>
      <c r="IBF31" s="1882"/>
      <c r="IBG31" s="1882"/>
      <c r="IBH31" s="1882"/>
      <c r="IBJ31" s="1887"/>
      <c r="IBK31" s="1888"/>
      <c r="IBL31" s="1882"/>
      <c r="IBM31" s="1882"/>
      <c r="IBN31" s="1882"/>
      <c r="IBP31" s="1887"/>
      <c r="IBQ31" s="1888"/>
      <c r="IBR31" s="1882"/>
      <c r="IBS31" s="1882"/>
      <c r="IBT31" s="1882"/>
      <c r="IBV31" s="1887"/>
      <c r="IBW31" s="1888"/>
      <c r="IBX31" s="1882"/>
      <c r="IBY31" s="1882"/>
      <c r="IBZ31" s="1882"/>
      <c r="ICB31" s="1887"/>
      <c r="ICC31" s="1888"/>
      <c r="ICD31" s="1882"/>
      <c r="ICE31" s="1882"/>
      <c r="ICF31" s="1882"/>
      <c r="ICH31" s="1887"/>
      <c r="ICI31" s="1888"/>
      <c r="ICJ31" s="1882"/>
      <c r="ICK31" s="1882"/>
      <c r="ICL31" s="1882"/>
      <c r="ICN31" s="1887"/>
      <c r="ICO31" s="1888"/>
      <c r="ICP31" s="1882"/>
      <c r="ICQ31" s="1882"/>
      <c r="ICR31" s="1882"/>
      <c r="ICT31" s="1887"/>
      <c r="ICU31" s="1888"/>
      <c r="ICV31" s="1882"/>
      <c r="ICW31" s="1882"/>
      <c r="ICX31" s="1882"/>
      <c r="ICZ31" s="1887"/>
      <c r="IDA31" s="1888"/>
      <c r="IDB31" s="1882"/>
      <c r="IDC31" s="1882"/>
      <c r="IDD31" s="1882"/>
      <c r="IDF31" s="1887"/>
      <c r="IDG31" s="1888"/>
      <c r="IDH31" s="1882"/>
      <c r="IDI31" s="1882"/>
      <c r="IDJ31" s="1882"/>
      <c r="IDL31" s="1887"/>
      <c r="IDM31" s="1888"/>
      <c r="IDN31" s="1882"/>
      <c r="IDO31" s="1882"/>
      <c r="IDP31" s="1882"/>
      <c r="IDR31" s="1887"/>
      <c r="IDS31" s="1888"/>
      <c r="IDT31" s="1882"/>
      <c r="IDU31" s="1882"/>
      <c r="IDV31" s="1882"/>
      <c r="IDX31" s="1887"/>
      <c r="IDY31" s="1888"/>
      <c r="IDZ31" s="1882"/>
      <c r="IEA31" s="1882"/>
      <c r="IEB31" s="1882"/>
      <c r="IED31" s="1887"/>
      <c r="IEE31" s="1888"/>
      <c r="IEF31" s="1882"/>
      <c r="IEG31" s="1882"/>
      <c r="IEH31" s="1882"/>
      <c r="IEJ31" s="1887"/>
      <c r="IEK31" s="1888"/>
      <c r="IEL31" s="1882"/>
      <c r="IEM31" s="1882"/>
      <c r="IEN31" s="1882"/>
      <c r="IEP31" s="1887"/>
      <c r="IEQ31" s="1888"/>
      <c r="IER31" s="1882"/>
      <c r="IES31" s="1882"/>
      <c r="IET31" s="1882"/>
      <c r="IEV31" s="1887"/>
      <c r="IEW31" s="1888"/>
      <c r="IEX31" s="1882"/>
      <c r="IEY31" s="1882"/>
      <c r="IEZ31" s="1882"/>
      <c r="IFB31" s="1887"/>
      <c r="IFC31" s="1888"/>
      <c r="IFD31" s="1882"/>
      <c r="IFE31" s="1882"/>
      <c r="IFF31" s="1882"/>
      <c r="IFH31" s="1887"/>
      <c r="IFI31" s="1888"/>
      <c r="IFJ31" s="1882"/>
      <c r="IFK31" s="1882"/>
      <c r="IFL31" s="1882"/>
      <c r="IFN31" s="1887"/>
      <c r="IFO31" s="1888"/>
      <c r="IFP31" s="1882"/>
      <c r="IFQ31" s="1882"/>
      <c r="IFR31" s="1882"/>
      <c r="IFT31" s="1887"/>
      <c r="IFU31" s="1888"/>
      <c r="IFV31" s="1882"/>
      <c r="IFW31" s="1882"/>
      <c r="IFX31" s="1882"/>
      <c r="IFZ31" s="1887"/>
      <c r="IGA31" s="1888"/>
      <c r="IGB31" s="1882"/>
      <c r="IGC31" s="1882"/>
      <c r="IGD31" s="1882"/>
      <c r="IGF31" s="1887"/>
      <c r="IGG31" s="1888"/>
      <c r="IGH31" s="1882"/>
      <c r="IGI31" s="1882"/>
      <c r="IGJ31" s="1882"/>
      <c r="IGL31" s="1887"/>
      <c r="IGM31" s="1888"/>
      <c r="IGN31" s="1882"/>
      <c r="IGO31" s="1882"/>
      <c r="IGP31" s="1882"/>
      <c r="IGR31" s="1887"/>
      <c r="IGS31" s="1888"/>
      <c r="IGT31" s="1882"/>
      <c r="IGU31" s="1882"/>
      <c r="IGV31" s="1882"/>
      <c r="IGX31" s="1887"/>
      <c r="IGY31" s="1888"/>
      <c r="IGZ31" s="1882"/>
      <c r="IHA31" s="1882"/>
      <c r="IHB31" s="1882"/>
      <c r="IHD31" s="1887"/>
      <c r="IHE31" s="1888"/>
      <c r="IHF31" s="1882"/>
      <c r="IHG31" s="1882"/>
      <c r="IHH31" s="1882"/>
      <c r="IHJ31" s="1887"/>
      <c r="IHK31" s="1888"/>
      <c r="IHL31" s="1882"/>
      <c r="IHM31" s="1882"/>
      <c r="IHN31" s="1882"/>
      <c r="IHP31" s="1887"/>
      <c r="IHQ31" s="1888"/>
      <c r="IHR31" s="1882"/>
      <c r="IHS31" s="1882"/>
      <c r="IHT31" s="1882"/>
      <c r="IHV31" s="1887"/>
      <c r="IHW31" s="1888"/>
      <c r="IHX31" s="1882"/>
      <c r="IHY31" s="1882"/>
      <c r="IHZ31" s="1882"/>
      <c r="IIB31" s="1887"/>
      <c r="IIC31" s="1888"/>
      <c r="IID31" s="1882"/>
      <c r="IIE31" s="1882"/>
      <c r="IIF31" s="1882"/>
      <c r="IIH31" s="1887"/>
      <c r="III31" s="1888"/>
      <c r="IIJ31" s="1882"/>
      <c r="IIK31" s="1882"/>
      <c r="IIL31" s="1882"/>
      <c r="IIN31" s="1887"/>
      <c r="IIO31" s="1888"/>
      <c r="IIP31" s="1882"/>
      <c r="IIQ31" s="1882"/>
      <c r="IIR31" s="1882"/>
      <c r="IIT31" s="1887"/>
      <c r="IIU31" s="1888"/>
      <c r="IIV31" s="1882"/>
      <c r="IIW31" s="1882"/>
      <c r="IIX31" s="1882"/>
      <c r="IIZ31" s="1887"/>
      <c r="IJA31" s="1888"/>
      <c r="IJB31" s="1882"/>
      <c r="IJC31" s="1882"/>
      <c r="IJD31" s="1882"/>
      <c r="IJF31" s="1887"/>
      <c r="IJG31" s="1888"/>
      <c r="IJH31" s="1882"/>
      <c r="IJI31" s="1882"/>
      <c r="IJJ31" s="1882"/>
      <c r="IJL31" s="1887"/>
      <c r="IJM31" s="1888"/>
      <c r="IJN31" s="1882"/>
      <c r="IJO31" s="1882"/>
      <c r="IJP31" s="1882"/>
      <c r="IJR31" s="1887"/>
      <c r="IJS31" s="1888"/>
      <c r="IJT31" s="1882"/>
      <c r="IJU31" s="1882"/>
      <c r="IJV31" s="1882"/>
      <c r="IJX31" s="1887"/>
      <c r="IJY31" s="1888"/>
      <c r="IJZ31" s="1882"/>
      <c r="IKA31" s="1882"/>
      <c r="IKB31" s="1882"/>
      <c r="IKD31" s="1887"/>
      <c r="IKE31" s="1888"/>
      <c r="IKF31" s="1882"/>
      <c r="IKG31" s="1882"/>
      <c r="IKH31" s="1882"/>
      <c r="IKJ31" s="1887"/>
      <c r="IKK31" s="1888"/>
      <c r="IKL31" s="1882"/>
      <c r="IKM31" s="1882"/>
      <c r="IKN31" s="1882"/>
      <c r="IKP31" s="1887"/>
      <c r="IKQ31" s="1888"/>
      <c r="IKR31" s="1882"/>
      <c r="IKS31" s="1882"/>
      <c r="IKT31" s="1882"/>
      <c r="IKV31" s="1887"/>
      <c r="IKW31" s="1888"/>
      <c r="IKX31" s="1882"/>
      <c r="IKY31" s="1882"/>
      <c r="IKZ31" s="1882"/>
      <c r="ILB31" s="1887"/>
      <c r="ILC31" s="1888"/>
      <c r="ILD31" s="1882"/>
      <c r="ILE31" s="1882"/>
      <c r="ILF31" s="1882"/>
      <c r="ILH31" s="1887"/>
      <c r="ILI31" s="1888"/>
      <c r="ILJ31" s="1882"/>
      <c r="ILK31" s="1882"/>
      <c r="ILL31" s="1882"/>
      <c r="ILN31" s="1887"/>
      <c r="ILO31" s="1888"/>
      <c r="ILP31" s="1882"/>
      <c r="ILQ31" s="1882"/>
      <c r="ILR31" s="1882"/>
      <c r="ILT31" s="1887"/>
      <c r="ILU31" s="1888"/>
      <c r="ILV31" s="1882"/>
      <c r="ILW31" s="1882"/>
      <c r="ILX31" s="1882"/>
      <c r="ILZ31" s="1887"/>
      <c r="IMA31" s="1888"/>
      <c r="IMB31" s="1882"/>
      <c r="IMC31" s="1882"/>
      <c r="IMD31" s="1882"/>
      <c r="IMF31" s="1887"/>
      <c r="IMG31" s="1888"/>
      <c r="IMH31" s="1882"/>
      <c r="IMI31" s="1882"/>
      <c r="IMJ31" s="1882"/>
      <c r="IML31" s="1887"/>
      <c r="IMM31" s="1888"/>
      <c r="IMN31" s="1882"/>
      <c r="IMO31" s="1882"/>
      <c r="IMP31" s="1882"/>
      <c r="IMR31" s="1887"/>
      <c r="IMS31" s="1888"/>
      <c r="IMT31" s="1882"/>
      <c r="IMU31" s="1882"/>
      <c r="IMV31" s="1882"/>
      <c r="IMX31" s="1887"/>
      <c r="IMY31" s="1888"/>
      <c r="IMZ31" s="1882"/>
      <c r="INA31" s="1882"/>
      <c r="INB31" s="1882"/>
      <c r="IND31" s="1887"/>
      <c r="INE31" s="1888"/>
      <c r="INF31" s="1882"/>
      <c r="ING31" s="1882"/>
      <c r="INH31" s="1882"/>
      <c r="INJ31" s="1887"/>
      <c r="INK31" s="1888"/>
      <c r="INL31" s="1882"/>
      <c r="INM31" s="1882"/>
      <c r="INN31" s="1882"/>
      <c r="INP31" s="1887"/>
      <c r="INQ31" s="1888"/>
      <c r="INR31" s="1882"/>
      <c r="INS31" s="1882"/>
      <c r="INT31" s="1882"/>
      <c r="INV31" s="1887"/>
      <c r="INW31" s="1888"/>
      <c r="INX31" s="1882"/>
      <c r="INY31" s="1882"/>
      <c r="INZ31" s="1882"/>
      <c r="IOB31" s="1887"/>
      <c r="IOC31" s="1888"/>
      <c r="IOD31" s="1882"/>
      <c r="IOE31" s="1882"/>
      <c r="IOF31" s="1882"/>
      <c r="IOH31" s="1887"/>
      <c r="IOI31" s="1888"/>
      <c r="IOJ31" s="1882"/>
      <c r="IOK31" s="1882"/>
      <c r="IOL31" s="1882"/>
      <c r="ION31" s="1887"/>
      <c r="IOO31" s="1888"/>
      <c r="IOP31" s="1882"/>
      <c r="IOQ31" s="1882"/>
      <c r="IOR31" s="1882"/>
      <c r="IOT31" s="1887"/>
      <c r="IOU31" s="1888"/>
      <c r="IOV31" s="1882"/>
      <c r="IOW31" s="1882"/>
      <c r="IOX31" s="1882"/>
      <c r="IOZ31" s="1887"/>
      <c r="IPA31" s="1888"/>
      <c r="IPB31" s="1882"/>
      <c r="IPC31" s="1882"/>
      <c r="IPD31" s="1882"/>
      <c r="IPF31" s="1887"/>
      <c r="IPG31" s="1888"/>
      <c r="IPH31" s="1882"/>
      <c r="IPI31" s="1882"/>
      <c r="IPJ31" s="1882"/>
      <c r="IPL31" s="1887"/>
      <c r="IPM31" s="1888"/>
      <c r="IPN31" s="1882"/>
      <c r="IPO31" s="1882"/>
      <c r="IPP31" s="1882"/>
      <c r="IPR31" s="1887"/>
      <c r="IPS31" s="1888"/>
      <c r="IPT31" s="1882"/>
      <c r="IPU31" s="1882"/>
      <c r="IPV31" s="1882"/>
      <c r="IPX31" s="1887"/>
      <c r="IPY31" s="1888"/>
      <c r="IPZ31" s="1882"/>
      <c r="IQA31" s="1882"/>
      <c r="IQB31" s="1882"/>
      <c r="IQD31" s="1887"/>
      <c r="IQE31" s="1888"/>
      <c r="IQF31" s="1882"/>
      <c r="IQG31" s="1882"/>
      <c r="IQH31" s="1882"/>
      <c r="IQJ31" s="1887"/>
      <c r="IQK31" s="1888"/>
      <c r="IQL31" s="1882"/>
      <c r="IQM31" s="1882"/>
      <c r="IQN31" s="1882"/>
      <c r="IQP31" s="1887"/>
      <c r="IQQ31" s="1888"/>
      <c r="IQR31" s="1882"/>
      <c r="IQS31" s="1882"/>
      <c r="IQT31" s="1882"/>
      <c r="IQV31" s="1887"/>
      <c r="IQW31" s="1888"/>
      <c r="IQX31" s="1882"/>
      <c r="IQY31" s="1882"/>
      <c r="IQZ31" s="1882"/>
      <c r="IRB31" s="1887"/>
      <c r="IRC31" s="1888"/>
      <c r="IRD31" s="1882"/>
      <c r="IRE31" s="1882"/>
      <c r="IRF31" s="1882"/>
      <c r="IRH31" s="1887"/>
      <c r="IRI31" s="1888"/>
      <c r="IRJ31" s="1882"/>
      <c r="IRK31" s="1882"/>
      <c r="IRL31" s="1882"/>
      <c r="IRN31" s="1887"/>
      <c r="IRO31" s="1888"/>
      <c r="IRP31" s="1882"/>
      <c r="IRQ31" s="1882"/>
      <c r="IRR31" s="1882"/>
      <c r="IRT31" s="1887"/>
      <c r="IRU31" s="1888"/>
      <c r="IRV31" s="1882"/>
      <c r="IRW31" s="1882"/>
      <c r="IRX31" s="1882"/>
      <c r="IRZ31" s="1887"/>
      <c r="ISA31" s="1888"/>
      <c r="ISB31" s="1882"/>
      <c r="ISC31" s="1882"/>
      <c r="ISD31" s="1882"/>
      <c r="ISF31" s="1887"/>
      <c r="ISG31" s="1888"/>
      <c r="ISH31" s="1882"/>
      <c r="ISI31" s="1882"/>
      <c r="ISJ31" s="1882"/>
      <c r="ISL31" s="1887"/>
      <c r="ISM31" s="1888"/>
      <c r="ISN31" s="1882"/>
      <c r="ISO31" s="1882"/>
      <c r="ISP31" s="1882"/>
      <c r="ISR31" s="1887"/>
      <c r="ISS31" s="1888"/>
      <c r="IST31" s="1882"/>
      <c r="ISU31" s="1882"/>
      <c r="ISV31" s="1882"/>
      <c r="ISX31" s="1887"/>
      <c r="ISY31" s="1888"/>
      <c r="ISZ31" s="1882"/>
      <c r="ITA31" s="1882"/>
      <c r="ITB31" s="1882"/>
      <c r="ITD31" s="1887"/>
      <c r="ITE31" s="1888"/>
      <c r="ITF31" s="1882"/>
      <c r="ITG31" s="1882"/>
      <c r="ITH31" s="1882"/>
      <c r="ITJ31" s="1887"/>
      <c r="ITK31" s="1888"/>
      <c r="ITL31" s="1882"/>
      <c r="ITM31" s="1882"/>
      <c r="ITN31" s="1882"/>
      <c r="ITP31" s="1887"/>
      <c r="ITQ31" s="1888"/>
      <c r="ITR31" s="1882"/>
      <c r="ITS31" s="1882"/>
      <c r="ITT31" s="1882"/>
      <c r="ITV31" s="1887"/>
      <c r="ITW31" s="1888"/>
      <c r="ITX31" s="1882"/>
      <c r="ITY31" s="1882"/>
      <c r="ITZ31" s="1882"/>
      <c r="IUB31" s="1887"/>
      <c r="IUC31" s="1888"/>
      <c r="IUD31" s="1882"/>
      <c r="IUE31" s="1882"/>
      <c r="IUF31" s="1882"/>
      <c r="IUH31" s="1887"/>
      <c r="IUI31" s="1888"/>
      <c r="IUJ31" s="1882"/>
      <c r="IUK31" s="1882"/>
      <c r="IUL31" s="1882"/>
      <c r="IUN31" s="1887"/>
      <c r="IUO31" s="1888"/>
      <c r="IUP31" s="1882"/>
      <c r="IUQ31" s="1882"/>
      <c r="IUR31" s="1882"/>
      <c r="IUT31" s="1887"/>
      <c r="IUU31" s="1888"/>
      <c r="IUV31" s="1882"/>
      <c r="IUW31" s="1882"/>
      <c r="IUX31" s="1882"/>
      <c r="IUZ31" s="1887"/>
      <c r="IVA31" s="1888"/>
      <c r="IVB31" s="1882"/>
      <c r="IVC31" s="1882"/>
      <c r="IVD31" s="1882"/>
      <c r="IVF31" s="1887"/>
      <c r="IVG31" s="1888"/>
      <c r="IVH31" s="1882"/>
      <c r="IVI31" s="1882"/>
      <c r="IVJ31" s="1882"/>
      <c r="IVL31" s="1887"/>
      <c r="IVM31" s="1888"/>
      <c r="IVN31" s="1882"/>
      <c r="IVO31" s="1882"/>
      <c r="IVP31" s="1882"/>
      <c r="IVR31" s="1887"/>
      <c r="IVS31" s="1888"/>
      <c r="IVT31" s="1882"/>
      <c r="IVU31" s="1882"/>
      <c r="IVV31" s="1882"/>
      <c r="IVX31" s="1887"/>
      <c r="IVY31" s="1888"/>
      <c r="IVZ31" s="1882"/>
      <c r="IWA31" s="1882"/>
      <c r="IWB31" s="1882"/>
      <c r="IWD31" s="1887"/>
      <c r="IWE31" s="1888"/>
      <c r="IWF31" s="1882"/>
      <c r="IWG31" s="1882"/>
      <c r="IWH31" s="1882"/>
      <c r="IWJ31" s="1887"/>
      <c r="IWK31" s="1888"/>
      <c r="IWL31" s="1882"/>
      <c r="IWM31" s="1882"/>
      <c r="IWN31" s="1882"/>
      <c r="IWP31" s="1887"/>
      <c r="IWQ31" s="1888"/>
      <c r="IWR31" s="1882"/>
      <c r="IWS31" s="1882"/>
      <c r="IWT31" s="1882"/>
      <c r="IWV31" s="1887"/>
      <c r="IWW31" s="1888"/>
      <c r="IWX31" s="1882"/>
      <c r="IWY31" s="1882"/>
      <c r="IWZ31" s="1882"/>
      <c r="IXB31" s="1887"/>
      <c r="IXC31" s="1888"/>
      <c r="IXD31" s="1882"/>
      <c r="IXE31" s="1882"/>
      <c r="IXF31" s="1882"/>
      <c r="IXH31" s="1887"/>
      <c r="IXI31" s="1888"/>
      <c r="IXJ31" s="1882"/>
      <c r="IXK31" s="1882"/>
      <c r="IXL31" s="1882"/>
      <c r="IXN31" s="1887"/>
      <c r="IXO31" s="1888"/>
      <c r="IXP31" s="1882"/>
      <c r="IXQ31" s="1882"/>
      <c r="IXR31" s="1882"/>
      <c r="IXT31" s="1887"/>
      <c r="IXU31" s="1888"/>
      <c r="IXV31" s="1882"/>
      <c r="IXW31" s="1882"/>
      <c r="IXX31" s="1882"/>
      <c r="IXZ31" s="1887"/>
      <c r="IYA31" s="1888"/>
      <c r="IYB31" s="1882"/>
      <c r="IYC31" s="1882"/>
      <c r="IYD31" s="1882"/>
      <c r="IYF31" s="1887"/>
      <c r="IYG31" s="1888"/>
      <c r="IYH31" s="1882"/>
      <c r="IYI31" s="1882"/>
      <c r="IYJ31" s="1882"/>
      <c r="IYL31" s="1887"/>
      <c r="IYM31" s="1888"/>
      <c r="IYN31" s="1882"/>
      <c r="IYO31" s="1882"/>
      <c r="IYP31" s="1882"/>
      <c r="IYR31" s="1887"/>
      <c r="IYS31" s="1888"/>
      <c r="IYT31" s="1882"/>
      <c r="IYU31" s="1882"/>
      <c r="IYV31" s="1882"/>
      <c r="IYX31" s="1887"/>
      <c r="IYY31" s="1888"/>
      <c r="IYZ31" s="1882"/>
      <c r="IZA31" s="1882"/>
      <c r="IZB31" s="1882"/>
      <c r="IZD31" s="1887"/>
      <c r="IZE31" s="1888"/>
      <c r="IZF31" s="1882"/>
      <c r="IZG31" s="1882"/>
      <c r="IZH31" s="1882"/>
      <c r="IZJ31" s="1887"/>
      <c r="IZK31" s="1888"/>
      <c r="IZL31" s="1882"/>
      <c r="IZM31" s="1882"/>
      <c r="IZN31" s="1882"/>
      <c r="IZP31" s="1887"/>
      <c r="IZQ31" s="1888"/>
      <c r="IZR31" s="1882"/>
      <c r="IZS31" s="1882"/>
      <c r="IZT31" s="1882"/>
      <c r="IZV31" s="1887"/>
      <c r="IZW31" s="1888"/>
      <c r="IZX31" s="1882"/>
      <c r="IZY31" s="1882"/>
      <c r="IZZ31" s="1882"/>
      <c r="JAB31" s="1887"/>
      <c r="JAC31" s="1888"/>
      <c r="JAD31" s="1882"/>
      <c r="JAE31" s="1882"/>
      <c r="JAF31" s="1882"/>
      <c r="JAH31" s="1887"/>
      <c r="JAI31" s="1888"/>
      <c r="JAJ31" s="1882"/>
      <c r="JAK31" s="1882"/>
      <c r="JAL31" s="1882"/>
      <c r="JAN31" s="1887"/>
      <c r="JAO31" s="1888"/>
      <c r="JAP31" s="1882"/>
      <c r="JAQ31" s="1882"/>
      <c r="JAR31" s="1882"/>
      <c r="JAT31" s="1887"/>
      <c r="JAU31" s="1888"/>
      <c r="JAV31" s="1882"/>
      <c r="JAW31" s="1882"/>
      <c r="JAX31" s="1882"/>
      <c r="JAZ31" s="1887"/>
      <c r="JBA31" s="1888"/>
      <c r="JBB31" s="1882"/>
      <c r="JBC31" s="1882"/>
      <c r="JBD31" s="1882"/>
      <c r="JBF31" s="1887"/>
      <c r="JBG31" s="1888"/>
      <c r="JBH31" s="1882"/>
      <c r="JBI31" s="1882"/>
      <c r="JBJ31" s="1882"/>
      <c r="JBL31" s="1887"/>
      <c r="JBM31" s="1888"/>
      <c r="JBN31" s="1882"/>
      <c r="JBO31" s="1882"/>
      <c r="JBP31" s="1882"/>
      <c r="JBR31" s="1887"/>
      <c r="JBS31" s="1888"/>
      <c r="JBT31" s="1882"/>
      <c r="JBU31" s="1882"/>
      <c r="JBV31" s="1882"/>
      <c r="JBX31" s="1887"/>
      <c r="JBY31" s="1888"/>
      <c r="JBZ31" s="1882"/>
      <c r="JCA31" s="1882"/>
      <c r="JCB31" s="1882"/>
      <c r="JCD31" s="1887"/>
      <c r="JCE31" s="1888"/>
      <c r="JCF31" s="1882"/>
      <c r="JCG31" s="1882"/>
      <c r="JCH31" s="1882"/>
      <c r="JCJ31" s="1887"/>
      <c r="JCK31" s="1888"/>
      <c r="JCL31" s="1882"/>
      <c r="JCM31" s="1882"/>
      <c r="JCN31" s="1882"/>
      <c r="JCP31" s="1887"/>
      <c r="JCQ31" s="1888"/>
      <c r="JCR31" s="1882"/>
      <c r="JCS31" s="1882"/>
      <c r="JCT31" s="1882"/>
      <c r="JCV31" s="1887"/>
      <c r="JCW31" s="1888"/>
      <c r="JCX31" s="1882"/>
      <c r="JCY31" s="1882"/>
      <c r="JCZ31" s="1882"/>
      <c r="JDB31" s="1887"/>
      <c r="JDC31" s="1888"/>
      <c r="JDD31" s="1882"/>
      <c r="JDE31" s="1882"/>
      <c r="JDF31" s="1882"/>
      <c r="JDH31" s="1887"/>
      <c r="JDI31" s="1888"/>
      <c r="JDJ31" s="1882"/>
      <c r="JDK31" s="1882"/>
      <c r="JDL31" s="1882"/>
      <c r="JDN31" s="1887"/>
      <c r="JDO31" s="1888"/>
      <c r="JDP31" s="1882"/>
      <c r="JDQ31" s="1882"/>
      <c r="JDR31" s="1882"/>
      <c r="JDT31" s="1887"/>
      <c r="JDU31" s="1888"/>
      <c r="JDV31" s="1882"/>
      <c r="JDW31" s="1882"/>
      <c r="JDX31" s="1882"/>
      <c r="JDZ31" s="1887"/>
      <c r="JEA31" s="1888"/>
      <c r="JEB31" s="1882"/>
      <c r="JEC31" s="1882"/>
      <c r="JED31" s="1882"/>
      <c r="JEF31" s="1887"/>
      <c r="JEG31" s="1888"/>
      <c r="JEH31" s="1882"/>
      <c r="JEI31" s="1882"/>
      <c r="JEJ31" s="1882"/>
      <c r="JEL31" s="1887"/>
      <c r="JEM31" s="1888"/>
      <c r="JEN31" s="1882"/>
      <c r="JEO31" s="1882"/>
      <c r="JEP31" s="1882"/>
      <c r="JER31" s="1887"/>
      <c r="JES31" s="1888"/>
      <c r="JET31" s="1882"/>
      <c r="JEU31" s="1882"/>
      <c r="JEV31" s="1882"/>
      <c r="JEX31" s="1887"/>
      <c r="JEY31" s="1888"/>
      <c r="JEZ31" s="1882"/>
      <c r="JFA31" s="1882"/>
      <c r="JFB31" s="1882"/>
      <c r="JFD31" s="1887"/>
      <c r="JFE31" s="1888"/>
      <c r="JFF31" s="1882"/>
      <c r="JFG31" s="1882"/>
      <c r="JFH31" s="1882"/>
      <c r="JFJ31" s="1887"/>
      <c r="JFK31" s="1888"/>
      <c r="JFL31" s="1882"/>
      <c r="JFM31" s="1882"/>
      <c r="JFN31" s="1882"/>
      <c r="JFP31" s="1887"/>
      <c r="JFQ31" s="1888"/>
      <c r="JFR31" s="1882"/>
      <c r="JFS31" s="1882"/>
      <c r="JFT31" s="1882"/>
      <c r="JFV31" s="1887"/>
      <c r="JFW31" s="1888"/>
      <c r="JFX31" s="1882"/>
      <c r="JFY31" s="1882"/>
      <c r="JFZ31" s="1882"/>
      <c r="JGB31" s="1887"/>
      <c r="JGC31" s="1888"/>
      <c r="JGD31" s="1882"/>
      <c r="JGE31" s="1882"/>
      <c r="JGF31" s="1882"/>
      <c r="JGH31" s="1887"/>
      <c r="JGI31" s="1888"/>
      <c r="JGJ31" s="1882"/>
      <c r="JGK31" s="1882"/>
      <c r="JGL31" s="1882"/>
      <c r="JGN31" s="1887"/>
      <c r="JGO31" s="1888"/>
      <c r="JGP31" s="1882"/>
      <c r="JGQ31" s="1882"/>
      <c r="JGR31" s="1882"/>
      <c r="JGT31" s="1887"/>
      <c r="JGU31" s="1888"/>
      <c r="JGV31" s="1882"/>
      <c r="JGW31" s="1882"/>
      <c r="JGX31" s="1882"/>
      <c r="JGZ31" s="1887"/>
      <c r="JHA31" s="1888"/>
      <c r="JHB31" s="1882"/>
      <c r="JHC31" s="1882"/>
      <c r="JHD31" s="1882"/>
      <c r="JHF31" s="1887"/>
      <c r="JHG31" s="1888"/>
      <c r="JHH31" s="1882"/>
      <c r="JHI31" s="1882"/>
      <c r="JHJ31" s="1882"/>
      <c r="JHL31" s="1887"/>
      <c r="JHM31" s="1888"/>
      <c r="JHN31" s="1882"/>
      <c r="JHO31" s="1882"/>
      <c r="JHP31" s="1882"/>
      <c r="JHR31" s="1887"/>
      <c r="JHS31" s="1888"/>
      <c r="JHT31" s="1882"/>
      <c r="JHU31" s="1882"/>
      <c r="JHV31" s="1882"/>
      <c r="JHX31" s="1887"/>
      <c r="JHY31" s="1888"/>
      <c r="JHZ31" s="1882"/>
      <c r="JIA31" s="1882"/>
      <c r="JIB31" s="1882"/>
      <c r="JID31" s="1887"/>
      <c r="JIE31" s="1888"/>
      <c r="JIF31" s="1882"/>
      <c r="JIG31" s="1882"/>
      <c r="JIH31" s="1882"/>
      <c r="JIJ31" s="1887"/>
      <c r="JIK31" s="1888"/>
      <c r="JIL31" s="1882"/>
      <c r="JIM31" s="1882"/>
      <c r="JIN31" s="1882"/>
      <c r="JIP31" s="1887"/>
      <c r="JIQ31" s="1888"/>
      <c r="JIR31" s="1882"/>
      <c r="JIS31" s="1882"/>
      <c r="JIT31" s="1882"/>
      <c r="JIV31" s="1887"/>
      <c r="JIW31" s="1888"/>
      <c r="JIX31" s="1882"/>
      <c r="JIY31" s="1882"/>
      <c r="JIZ31" s="1882"/>
      <c r="JJB31" s="1887"/>
      <c r="JJC31" s="1888"/>
      <c r="JJD31" s="1882"/>
      <c r="JJE31" s="1882"/>
      <c r="JJF31" s="1882"/>
      <c r="JJH31" s="1887"/>
      <c r="JJI31" s="1888"/>
      <c r="JJJ31" s="1882"/>
      <c r="JJK31" s="1882"/>
      <c r="JJL31" s="1882"/>
      <c r="JJN31" s="1887"/>
      <c r="JJO31" s="1888"/>
      <c r="JJP31" s="1882"/>
      <c r="JJQ31" s="1882"/>
      <c r="JJR31" s="1882"/>
      <c r="JJT31" s="1887"/>
      <c r="JJU31" s="1888"/>
      <c r="JJV31" s="1882"/>
      <c r="JJW31" s="1882"/>
      <c r="JJX31" s="1882"/>
      <c r="JJZ31" s="1887"/>
      <c r="JKA31" s="1888"/>
      <c r="JKB31" s="1882"/>
      <c r="JKC31" s="1882"/>
      <c r="JKD31" s="1882"/>
      <c r="JKF31" s="1887"/>
      <c r="JKG31" s="1888"/>
      <c r="JKH31" s="1882"/>
      <c r="JKI31" s="1882"/>
      <c r="JKJ31" s="1882"/>
      <c r="JKL31" s="1887"/>
      <c r="JKM31" s="1888"/>
      <c r="JKN31" s="1882"/>
      <c r="JKO31" s="1882"/>
      <c r="JKP31" s="1882"/>
      <c r="JKR31" s="1887"/>
      <c r="JKS31" s="1888"/>
      <c r="JKT31" s="1882"/>
      <c r="JKU31" s="1882"/>
      <c r="JKV31" s="1882"/>
      <c r="JKX31" s="1887"/>
      <c r="JKY31" s="1888"/>
      <c r="JKZ31" s="1882"/>
      <c r="JLA31" s="1882"/>
      <c r="JLB31" s="1882"/>
      <c r="JLD31" s="1887"/>
      <c r="JLE31" s="1888"/>
      <c r="JLF31" s="1882"/>
      <c r="JLG31" s="1882"/>
      <c r="JLH31" s="1882"/>
      <c r="JLJ31" s="1887"/>
      <c r="JLK31" s="1888"/>
      <c r="JLL31" s="1882"/>
      <c r="JLM31" s="1882"/>
      <c r="JLN31" s="1882"/>
      <c r="JLP31" s="1887"/>
      <c r="JLQ31" s="1888"/>
      <c r="JLR31" s="1882"/>
      <c r="JLS31" s="1882"/>
      <c r="JLT31" s="1882"/>
      <c r="JLV31" s="1887"/>
      <c r="JLW31" s="1888"/>
      <c r="JLX31" s="1882"/>
      <c r="JLY31" s="1882"/>
      <c r="JLZ31" s="1882"/>
      <c r="JMB31" s="1887"/>
      <c r="JMC31" s="1888"/>
      <c r="JMD31" s="1882"/>
      <c r="JME31" s="1882"/>
      <c r="JMF31" s="1882"/>
      <c r="JMH31" s="1887"/>
      <c r="JMI31" s="1888"/>
      <c r="JMJ31" s="1882"/>
      <c r="JMK31" s="1882"/>
      <c r="JML31" s="1882"/>
      <c r="JMN31" s="1887"/>
      <c r="JMO31" s="1888"/>
      <c r="JMP31" s="1882"/>
      <c r="JMQ31" s="1882"/>
      <c r="JMR31" s="1882"/>
      <c r="JMT31" s="1887"/>
      <c r="JMU31" s="1888"/>
      <c r="JMV31" s="1882"/>
      <c r="JMW31" s="1882"/>
      <c r="JMX31" s="1882"/>
      <c r="JMZ31" s="1887"/>
      <c r="JNA31" s="1888"/>
      <c r="JNB31" s="1882"/>
      <c r="JNC31" s="1882"/>
      <c r="JND31" s="1882"/>
      <c r="JNF31" s="1887"/>
      <c r="JNG31" s="1888"/>
      <c r="JNH31" s="1882"/>
      <c r="JNI31" s="1882"/>
      <c r="JNJ31" s="1882"/>
      <c r="JNL31" s="1887"/>
      <c r="JNM31" s="1888"/>
      <c r="JNN31" s="1882"/>
      <c r="JNO31" s="1882"/>
      <c r="JNP31" s="1882"/>
      <c r="JNR31" s="1887"/>
      <c r="JNS31" s="1888"/>
      <c r="JNT31" s="1882"/>
      <c r="JNU31" s="1882"/>
      <c r="JNV31" s="1882"/>
      <c r="JNX31" s="1887"/>
      <c r="JNY31" s="1888"/>
      <c r="JNZ31" s="1882"/>
      <c r="JOA31" s="1882"/>
      <c r="JOB31" s="1882"/>
      <c r="JOD31" s="1887"/>
      <c r="JOE31" s="1888"/>
      <c r="JOF31" s="1882"/>
      <c r="JOG31" s="1882"/>
      <c r="JOH31" s="1882"/>
      <c r="JOJ31" s="1887"/>
      <c r="JOK31" s="1888"/>
      <c r="JOL31" s="1882"/>
      <c r="JOM31" s="1882"/>
      <c r="JON31" s="1882"/>
      <c r="JOP31" s="1887"/>
      <c r="JOQ31" s="1888"/>
      <c r="JOR31" s="1882"/>
      <c r="JOS31" s="1882"/>
      <c r="JOT31" s="1882"/>
      <c r="JOV31" s="1887"/>
      <c r="JOW31" s="1888"/>
      <c r="JOX31" s="1882"/>
      <c r="JOY31" s="1882"/>
      <c r="JOZ31" s="1882"/>
      <c r="JPB31" s="1887"/>
      <c r="JPC31" s="1888"/>
      <c r="JPD31" s="1882"/>
      <c r="JPE31" s="1882"/>
      <c r="JPF31" s="1882"/>
      <c r="JPH31" s="1887"/>
      <c r="JPI31" s="1888"/>
      <c r="JPJ31" s="1882"/>
      <c r="JPK31" s="1882"/>
      <c r="JPL31" s="1882"/>
      <c r="JPN31" s="1887"/>
      <c r="JPO31" s="1888"/>
      <c r="JPP31" s="1882"/>
      <c r="JPQ31" s="1882"/>
      <c r="JPR31" s="1882"/>
      <c r="JPT31" s="1887"/>
      <c r="JPU31" s="1888"/>
      <c r="JPV31" s="1882"/>
      <c r="JPW31" s="1882"/>
      <c r="JPX31" s="1882"/>
      <c r="JPZ31" s="1887"/>
      <c r="JQA31" s="1888"/>
      <c r="JQB31" s="1882"/>
      <c r="JQC31" s="1882"/>
      <c r="JQD31" s="1882"/>
      <c r="JQF31" s="1887"/>
      <c r="JQG31" s="1888"/>
      <c r="JQH31" s="1882"/>
      <c r="JQI31" s="1882"/>
      <c r="JQJ31" s="1882"/>
      <c r="JQL31" s="1887"/>
      <c r="JQM31" s="1888"/>
      <c r="JQN31" s="1882"/>
      <c r="JQO31" s="1882"/>
      <c r="JQP31" s="1882"/>
      <c r="JQR31" s="1887"/>
      <c r="JQS31" s="1888"/>
      <c r="JQT31" s="1882"/>
      <c r="JQU31" s="1882"/>
      <c r="JQV31" s="1882"/>
      <c r="JQX31" s="1887"/>
      <c r="JQY31" s="1888"/>
      <c r="JQZ31" s="1882"/>
      <c r="JRA31" s="1882"/>
      <c r="JRB31" s="1882"/>
      <c r="JRD31" s="1887"/>
      <c r="JRE31" s="1888"/>
      <c r="JRF31" s="1882"/>
      <c r="JRG31" s="1882"/>
      <c r="JRH31" s="1882"/>
      <c r="JRJ31" s="1887"/>
      <c r="JRK31" s="1888"/>
      <c r="JRL31" s="1882"/>
      <c r="JRM31" s="1882"/>
      <c r="JRN31" s="1882"/>
      <c r="JRP31" s="1887"/>
      <c r="JRQ31" s="1888"/>
      <c r="JRR31" s="1882"/>
      <c r="JRS31" s="1882"/>
      <c r="JRT31" s="1882"/>
      <c r="JRV31" s="1887"/>
      <c r="JRW31" s="1888"/>
      <c r="JRX31" s="1882"/>
      <c r="JRY31" s="1882"/>
      <c r="JRZ31" s="1882"/>
      <c r="JSB31" s="1887"/>
      <c r="JSC31" s="1888"/>
      <c r="JSD31" s="1882"/>
      <c r="JSE31" s="1882"/>
      <c r="JSF31" s="1882"/>
      <c r="JSH31" s="1887"/>
      <c r="JSI31" s="1888"/>
      <c r="JSJ31" s="1882"/>
      <c r="JSK31" s="1882"/>
      <c r="JSL31" s="1882"/>
      <c r="JSN31" s="1887"/>
      <c r="JSO31" s="1888"/>
      <c r="JSP31" s="1882"/>
      <c r="JSQ31" s="1882"/>
      <c r="JSR31" s="1882"/>
      <c r="JST31" s="1887"/>
      <c r="JSU31" s="1888"/>
      <c r="JSV31" s="1882"/>
      <c r="JSW31" s="1882"/>
      <c r="JSX31" s="1882"/>
      <c r="JSZ31" s="1887"/>
      <c r="JTA31" s="1888"/>
      <c r="JTB31" s="1882"/>
      <c r="JTC31" s="1882"/>
      <c r="JTD31" s="1882"/>
      <c r="JTF31" s="1887"/>
      <c r="JTG31" s="1888"/>
      <c r="JTH31" s="1882"/>
      <c r="JTI31" s="1882"/>
      <c r="JTJ31" s="1882"/>
      <c r="JTL31" s="1887"/>
      <c r="JTM31" s="1888"/>
      <c r="JTN31" s="1882"/>
      <c r="JTO31" s="1882"/>
      <c r="JTP31" s="1882"/>
      <c r="JTR31" s="1887"/>
      <c r="JTS31" s="1888"/>
      <c r="JTT31" s="1882"/>
      <c r="JTU31" s="1882"/>
      <c r="JTV31" s="1882"/>
      <c r="JTX31" s="1887"/>
      <c r="JTY31" s="1888"/>
      <c r="JTZ31" s="1882"/>
      <c r="JUA31" s="1882"/>
      <c r="JUB31" s="1882"/>
      <c r="JUD31" s="1887"/>
      <c r="JUE31" s="1888"/>
      <c r="JUF31" s="1882"/>
      <c r="JUG31" s="1882"/>
      <c r="JUH31" s="1882"/>
      <c r="JUJ31" s="1887"/>
      <c r="JUK31" s="1888"/>
      <c r="JUL31" s="1882"/>
      <c r="JUM31" s="1882"/>
      <c r="JUN31" s="1882"/>
      <c r="JUP31" s="1887"/>
      <c r="JUQ31" s="1888"/>
      <c r="JUR31" s="1882"/>
      <c r="JUS31" s="1882"/>
      <c r="JUT31" s="1882"/>
      <c r="JUV31" s="1887"/>
      <c r="JUW31" s="1888"/>
      <c r="JUX31" s="1882"/>
      <c r="JUY31" s="1882"/>
      <c r="JUZ31" s="1882"/>
      <c r="JVB31" s="1887"/>
      <c r="JVC31" s="1888"/>
      <c r="JVD31" s="1882"/>
      <c r="JVE31" s="1882"/>
      <c r="JVF31" s="1882"/>
      <c r="JVH31" s="1887"/>
      <c r="JVI31" s="1888"/>
      <c r="JVJ31" s="1882"/>
      <c r="JVK31" s="1882"/>
      <c r="JVL31" s="1882"/>
      <c r="JVN31" s="1887"/>
      <c r="JVO31" s="1888"/>
      <c r="JVP31" s="1882"/>
      <c r="JVQ31" s="1882"/>
      <c r="JVR31" s="1882"/>
      <c r="JVT31" s="1887"/>
      <c r="JVU31" s="1888"/>
      <c r="JVV31" s="1882"/>
      <c r="JVW31" s="1882"/>
      <c r="JVX31" s="1882"/>
      <c r="JVZ31" s="1887"/>
      <c r="JWA31" s="1888"/>
      <c r="JWB31" s="1882"/>
      <c r="JWC31" s="1882"/>
      <c r="JWD31" s="1882"/>
      <c r="JWF31" s="1887"/>
      <c r="JWG31" s="1888"/>
      <c r="JWH31" s="1882"/>
      <c r="JWI31" s="1882"/>
      <c r="JWJ31" s="1882"/>
      <c r="JWL31" s="1887"/>
      <c r="JWM31" s="1888"/>
      <c r="JWN31" s="1882"/>
      <c r="JWO31" s="1882"/>
      <c r="JWP31" s="1882"/>
      <c r="JWR31" s="1887"/>
      <c r="JWS31" s="1888"/>
      <c r="JWT31" s="1882"/>
      <c r="JWU31" s="1882"/>
      <c r="JWV31" s="1882"/>
      <c r="JWX31" s="1887"/>
      <c r="JWY31" s="1888"/>
      <c r="JWZ31" s="1882"/>
      <c r="JXA31" s="1882"/>
      <c r="JXB31" s="1882"/>
      <c r="JXD31" s="1887"/>
      <c r="JXE31" s="1888"/>
      <c r="JXF31" s="1882"/>
      <c r="JXG31" s="1882"/>
      <c r="JXH31" s="1882"/>
      <c r="JXJ31" s="1887"/>
      <c r="JXK31" s="1888"/>
      <c r="JXL31" s="1882"/>
      <c r="JXM31" s="1882"/>
      <c r="JXN31" s="1882"/>
      <c r="JXP31" s="1887"/>
      <c r="JXQ31" s="1888"/>
      <c r="JXR31" s="1882"/>
      <c r="JXS31" s="1882"/>
      <c r="JXT31" s="1882"/>
      <c r="JXV31" s="1887"/>
      <c r="JXW31" s="1888"/>
      <c r="JXX31" s="1882"/>
      <c r="JXY31" s="1882"/>
      <c r="JXZ31" s="1882"/>
      <c r="JYB31" s="1887"/>
      <c r="JYC31" s="1888"/>
      <c r="JYD31" s="1882"/>
      <c r="JYE31" s="1882"/>
      <c r="JYF31" s="1882"/>
      <c r="JYH31" s="1887"/>
      <c r="JYI31" s="1888"/>
      <c r="JYJ31" s="1882"/>
      <c r="JYK31" s="1882"/>
      <c r="JYL31" s="1882"/>
      <c r="JYN31" s="1887"/>
      <c r="JYO31" s="1888"/>
      <c r="JYP31" s="1882"/>
      <c r="JYQ31" s="1882"/>
      <c r="JYR31" s="1882"/>
      <c r="JYT31" s="1887"/>
      <c r="JYU31" s="1888"/>
      <c r="JYV31" s="1882"/>
      <c r="JYW31" s="1882"/>
      <c r="JYX31" s="1882"/>
      <c r="JYZ31" s="1887"/>
      <c r="JZA31" s="1888"/>
      <c r="JZB31" s="1882"/>
      <c r="JZC31" s="1882"/>
      <c r="JZD31" s="1882"/>
      <c r="JZF31" s="1887"/>
      <c r="JZG31" s="1888"/>
      <c r="JZH31" s="1882"/>
      <c r="JZI31" s="1882"/>
      <c r="JZJ31" s="1882"/>
      <c r="JZL31" s="1887"/>
      <c r="JZM31" s="1888"/>
      <c r="JZN31" s="1882"/>
      <c r="JZO31" s="1882"/>
      <c r="JZP31" s="1882"/>
      <c r="JZR31" s="1887"/>
      <c r="JZS31" s="1888"/>
      <c r="JZT31" s="1882"/>
      <c r="JZU31" s="1882"/>
      <c r="JZV31" s="1882"/>
      <c r="JZX31" s="1887"/>
      <c r="JZY31" s="1888"/>
      <c r="JZZ31" s="1882"/>
      <c r="KAA31" s="1882"/>
      <c r="KAB31" s="1882"/>
      <c r="KAD31" s="1887"/>
      <c r="KAE31" s="1888"/>
      <c r="KAF31" s="1882"/>
      <c r="KAG31" s="1882"/>
      <c r="KAH31" s="1882"/>
      <c r="KAJ31" s="1887"/>
      <c r="KAK31" s="1888"/>
      <c r="KAL31" s="1882"/>
      <c r="KAM31" s="1882"/>
      <c r="KAN31" s="1882"/>
      <c r="KAP31" s="1887"/>
      <c r="KAQ31" s="1888"/>
      <c r="KAR31" s="1882"/>
      <c r="KAS31" s="1882"/>
      <c r="KAT31" s="1882"/>
      <c r="KAV31" s="1887"/>
      <c r="KAW31" s="1888"/>
      <c r="KAX31" s="1882"/>
      <c r="KAY31" s="1882"/>
      <c r="KAZ31" s="1882"/>
      <c r="KBB31" s="1887"/>
      <c r="KBC31" s="1888"/>
      <c r="KBD31" s="1882"/>
      <c r="KBE31" s="1882"/>
      <c r="KBF31" s="1882"/>
      <c r="KBH31" s="1887"/>
      <c r="KBI31" s="1888"/>
      <c r="KBJ31" s="1882"/>
      <c r="KBK31" s="1882"/>
      <c r="KBL31" s="1882"/>
      <c r="KBN31" s="1887"/>
      <c r="KBO31" s="1888"/>
      <c r="KBP31" s="1882"/>
      <c r="KBQ31" s="1882"/>
      <c r="KBR31" s="1882"/>
      <c r="KBT31" s="1887"/>
      <c r="KBU31" s="1888"/>
      <c r="KBV31" s="1882"/>
      <c r="KBW31" s="1882"/>
      <c r="KBX31" s="1882"/>
      <c r="KBZ31" s="1887"/>
      <c r="KCA31" s="1888"/>
      <c r="KCB31" s="1882"/>
      <c r="KCC31" s="1882"/>
      <c r="KCD31" s="1882"/>
      <c r="KCF31" s="1887"/>
      <c r="KCG31" s="1888"/>
      <c r="KCH31" s="1882"/>
      <c r="KCI31" s="1882"/>
      <c r="KCJ31" s="1882"/>
      <c r="KCL31" s="1887"/>
      <c r="KCM31" s="1888"/>
      <c r="KCN31" s="1882"/>
      <c r="KCO31" s="1882"/>
      <c r="KCP31" s="1882"/>
      <c r="KCR31" s="1887"/>
      <c r="KCS31" s="1888"/>
      <c r="KCT31" s="1882"/>
      <c r="KCU31" s="1882"/>
      <c r="KCV31" s="1882"/>
      <c r="KCX31" s="1887"/>
      <c r="KCY31" s="1888"/>
      <c r="KCZ31" s="1882"/>
      <c r="KDA31" s="1882"/>
      <c r="KDB31" s="1882"/>
      <c r="KDD31" s="1887"/>
      <c r="KDE31" s="1888"/>
      <c r="KDF31" s="1882"/>
      <c r="KDG31" s="1882"/>
      <c r="KDH31" s="1882"/>
      <c r="KDJ31" s="1887"/>
      <c r="KDK31" s="1888"/>
      <c r="KDL31" s="1882"/>
      <c r="KDM31" s="1882"/>
      <c r="KDN31" s="1882"/>
      <c r="KDP31" s="1887"/>
      <c r="KDQ31" s="1888"/>
      <c r="KDR31" s="1882"/>
      <c r="KDS31" s="1882"/>
      <c r="KDT31" s="1882"/>
      <c r="KDV31" s="1887"/>
      <c r="KDW31" s="1888"/>
      <c r="KDX31" s="1882"/>
      <c r="KDY31" s="1882"/>
      <c r="KDZ31" s="1882"/>
      <c r="KEB31" s="1887"/>
      <c r="KEC31" s="1888"/>
      <c r="KED31" s="1882"/>
      <c r="KEE31" s="1882"/>
      <c r="KEF31" s="1882"/>
      <c r="KEH31" s="1887"/>
      <c r="KEI31" s="1888"/>
      <c r="KEJ31" s="1882"/>
      <c r="KEK31" s="1882"/>
      <c r="KEL31" s="1882"/>
      <c r="KEN31" s="1887"/>
      <c r="KEO31" s="1888"/>
      <c r="KEP31" s="1882"/>
      <c r="KEQ31" s="1882"/>
      <c r="KER31" s="1882"/>
      <c r="KET31" s="1887"/>
      <c r="KEU31" s="1888"/>
      <c r="KEV31" s="1882"/>
      <c r="KEW31" s="1882"/>
      <c r="KEX31" s="1882"/>
      <c r="KEZ31" s="1887"/>
      <c r="KFA31" s="1888"/>
      <c r="KFB31" s="1882"/>
      <c r="KFC31" s="1882"/>
      <c r="KFD31" s="1882"/>
      <c r="KFF31" s="1887"/>
      <c r="KFG31" s="1888"/>
      <c r="KFH31" s="1882"/>
      <c r="KFI31" s="1882"/>
      <c r="KFJ31" s="1882"/>
      <c r="KFL31" s="1887"/>
      <c r="KFM31" s="1888"/>
      <c r="KFN31" s="1882"/>
      <c r="KFO31" s="1882"/>
      <c r="KFP31" s="1882"/>
      <c r="KFR31" s="1887"/>
      <c r="KFS31" s="1888"/>
      <c r="KFT31" s="1882"/>
      <c r="KFU31" s="1882"/>
      <c r="KFV31" s="1882"/>
      <c r="KFX31" s="1887"/>
      <c r="KFY31" s="1888"/>
      <c r="KFZ31" s="1882"/>
      <c r="KGA31" s="1882"/>
      <c r="KGB31" s="1882"/>
      <c r="KGD31" s="1887"/>
      <c r="KGE31" s="1888"/>
      <c r="KGF31" s="1882"/>
      <c r="KGG31" s="1882"/>
      <c r="KGH31" s="1882"/>
      <c r="KGJ31" s="1887"/>
      <c r="KGK31" s="1888"/>
      <c r="KGL31" s="1882"/>
      <c r="KGM31" s="1882"/>
      <c r="KGN31" s="1882"/>
      <c r="KGP31" s="1887"/>
      <c r="KGQ31" s="1888"/>
      <c r="KGR31" s="1882"/>
      <c r="KGS31" s="1882"/>
      <c r="KGT31" s="1882"/>
      <c r="KGV31" s="1887"/>
      <c r="KGW31" s="1888"/>
      <c r="KGX31" s="1882"/>
      <c r="KGY31" s="1882"/>
      <c r="KGZ31" s="1882"/>
      <c r="KHB31" s="1887"/>
      <c r="KHC31" s="1888"/>
      <c r="KHD31" s="1882"/>
      <c r="KHE31" s="1882"/>
      <c r="KHF31" s="1882"/>
      <c r="KHH31" s="1887"/>
      <c r="KHI31" s="1888"/>
      <c r="KHJ31" s="1882"/>
      <c r="KHK31" s="1882"/>
      <c r="KHL31" s="1882"/>
      <c r="KHN31" s="1887"/>
      <c r="KHO31" s="1888"/>
      <c r="KHP31" s="1882"/>
      <c r="KHQ31" s="1882"/>
      <c r="KHR31" s="1882"/>
      <c r="KHT31" s="1887"/>
      <c r="KHU31" s="1888"/>
      <c r="KHV31" s="1882"/>
      <c r="KHW31" s="1882"/>
      <c r="KHX31" s="1882"/>
      <c r="KHZ31" s="1887"/>
      <c r="KIA31" s="1888"/>
      <c r="KIB31" s="1882"/>
      <c r="KIC31" s="1882"/>
      <c r="KID31" s="1882"/>
      <c r="KIF31" s="1887"/>
      <c r="KIG31" s="1888"/>
      <c r="KIH31" s="1882"/>
      <c r="KII31" s="1882"/>
      <c r="KIJ31" s="1882"/>
      <c r="KIL31" s="1887"/>
      <c r="KIM31" s="1888"/>
      <c r="KIN31" s="1882"/>
      <c r="KIO31" s="1882"/>
      <c r="KIP31" s="1882"/>
      <c r="KIR31" s="1887"/>
      <c r="KIS31" s="1888"/>
      <c r="KIT31" s="1882"/>
      <c r="KIU31" s="1882"/>
      <c r="KIV31" s="1882"/>
      <c r="KIX31" s="1887"/>
      <c r="KIY31" s="1888"/>
      <c r="KIZ31" s="1882"/>
      <c r="KJA31" s="1882"/>
      <c r="KJB31" s="1882"/>
      <c r="KJD31" s="1887"/>
      <c r="KJE31" s="1888"/>
      <c r="KJF31" s="1882"/>
      <c r="KJG31" s="1882"/>
      <c r="KJH31" s="1882"/>
      <c r="KJJ31" s="1887"/>
      <c r="KJK31" s="1888"/>
      <c r="KJL31" s="1882"/>
      <c r="KJM31" s="1882"/>
      <c r="KJN31" s="1882"/>
      <c r="KJP31" s="1887"/>
      <c r="KJQ31" s="1888"/>
      <c r="KJR31" s="1882"/>
      <c r="KJS31" s="1882"/>
      <c r="KJT31" s="1882"/>
      <c r="KJV31" s="1887"/>
      <c r="KJW31" s="1888"/>
      <c r="KJX31" s="1882"/>
      <c r="KJY31" s="1882"/>
      <c r="KJZ31" s="1882"/>
      <c r="KKB31" s="1887"/>
      <c r="KKC31" s="1888"/>
      <c r="KKD31" s="1882"/>
      <c r="KKE31" s="1882"/>
      <c r="KKF31" s="1882"/>
      <c r="KKH31" s="1887"/>
      <c r="KKI31" s="1888"/>
      <c r="KKJ31" s="1882"/>
      <c r="KKK31" s="1882"/>
      <c r="KKL31" s="1882"/>
      <c r="KKN31" s="1887"/>
      <c r="KKO31" s="1888"/>
      <c r="KKP31" s="1882"/>
      <c r="KKQ31" s="1882"/>
      <c r="KKR31" s="1882"/>
      <c r="KKT31" s="1887"/>
      <c r="KKU31" s="1888"/>
      <c r="KKV31" s="1882"/>
      <c r="KKW31" s="1882"/>
      <c r="KKX31" s="1882"/>
      <c r="KKZ31" s="1887"/>
      <c r="KLA31" s="1888"/>
      <c r="KLB31" s="1882"/>
      <c r="KLC31" s="1882"/>
      <c r="KLD31" s="1882"/>
      <c r="KLF31" s="1887"/>
      <c r="KLG31" s="1888"/>
      <c r="KLH31" s="1882"/>
      <c r="KLI31" s="1882"/>
      <c r="KLJ31" s="1882"/>
      <c r="KLL31" s="1887"/>
      <c r="KLM31" s="1888"/>
      <c r="KLN31" s="1882"/>
      <c r="KLO31" s="1882"/>
      <c r="KLP31" s="1882"/>
      <c r="KLR31" s="1887"/>
      <c r="KLS31" s="1888"/>
      <c r="KLT31" s="1882"/>
      <c r="KLU31" s="1882"/>
      <c r="KLV31" s="1882"/>
      <c r="KLX31" s="1887"/>
      <c r="KLY31" s="1888"/>
      <c r="KLZ31" s="1882"/>
      <c r="KMA31" s="1882"/>
      <c r="KMB31" s="1882"/>
      <c r="KMD31" s="1887"/>
      <c r="KME31" s="1888"/>
      <c r="KMF31" s="1882"/>
      <c r="KMG31" s="1882"/>
      <c r="KMH31" s="1882"/>
      <c r="KMJ31" s="1887"/>
      <c r="KMK31" s="1888"/>
      <c r="KML31" s="1882"/>
      <c r="KMM31" s="1882"/>
      <c r="KMN31" s="1882"/>
      <c r="KMP31" s="1887"/>
      <c r="KMQ31" s="1888"/>
      <c r="KMR31" s="1882"/>
      <c r="KMS31" s="1882"/>
      <c r="KMT31" s="1882"/>
      <c r="KMV31" s="1887"/>
      <c r="KMW31" s="1888"/>
      <c r="KMX31" s="1882"/>
      <c r="KMY31" s="1882"/>
      <c r="KMZ31" s="1882"/>
      <c r="KNB31" s="1887"/>
      <c r="KNC31" s="1888"/>
      <c r="KND31" s="1882"/>
      <c r="KNE31" s="1882"/>
      <c r="KNF31" s="1882"/>
      <c r="KNH31" s="1887"/>
      <c r="KNI31" s="1888"/>
      <c r="KNJ31" s="1882"/>
      <c r="KNK31" s="1882"/>
      <c r="KNL31" s="1882"/>
      <c r="KNN31" s="1887"/>
      <c r="KNO31" s="1888"/>
      <c r="KNP31" s="1882"/>
      <c r="KNQ31" s="1882"/>
      <c r="KNR31" s="1882"/>
      <c r="KNT31" s="1887"/>
      <c r="KNU31" s="1888"/>
      <c r="KNV31" s="1882"/>
      <c r="KNW31" s="1882"/>
      <c r="KNX31" s="1882"/>
      <c r="KNZ31" s="1887"/>
      <c r="KOA31" s="1888"/>
      <c r="KOB31" s="1882"/>
      <c r="KOC31" s="1882"/>
      <c r="KOD31" s="1882"/>
      <c r="KOF31" s="1887"/>
      <c r="KOG31" s="1888"/>
      <c r="KOH31" s="1882"/>
      <c r="KOI31" s="1882"/>
      <c r="KOJ31" s="1882"/>
      <c r="KOL31" s="1887"/>
      <c r="KOM31" s="1888"/>
      <c r="KON31" s="1882"/>
      <c r="KOO31" s="1882"/>
      <c r="KOP31" s="1882"/>
      <c r="KOR31" s="1887"/>
      <c r="KOS31" s="1888"/>
      <c r="KOT31" s="1882"/>
      <c r="KOU31" s="1882"/>
      <c r="KOV31" s="1882"/>
      <c r="KOX31" s="1887"/>
      <c r="KOY31" s="1888"/>
      <c r="KOZ31" s="1882"/>
      <c r="KPA31" s="1882"/>
      <c r="KPB31" s="1882"/>
      <c r="KPD31" s="1887"/>
      <c r="KPE31" s="1888"/>
      <c r="KPF31" s="1882"/>
      <c r="KPG31" s="1882"/>
      <c r="KPH31" s="1882"/>
      <c r="KPJ31" s="1887"/>
      <c r="KPK31" s="1888"/>
      <c r="KPL31" s="1882"/>
      <c r="KPM31" s="1882"/>
      <c r="KPN31" s="1882"/>
      <c r="KPP31" s="1887"/>
      <c r="KPQ31" s="1888"/>
      <c r="KPR31" s="1882"/>
      <c r="KPS31" s="1882"/>
      <c r="KPT31" s="1882"/>
      <c r="KPV31" s="1887"/>
      <c r="KPW31" s="1888"/>
      <c r="KPX31" s="1882"/>
      <c r="KPY31" s="1882"/>
      <c r="KPZ31" s="1882"/>
      <c r="KQB31" s="1887"/>
      <c r="KQC31" s="1888"/>
      <c r="KQD31" s="1882"/>
      <c r="KQE31" s="1882"/>
      <c r="KQF31" s="1882"/>
      <c r="KQH31" s="1887"/>
      <c r="KQI31" s="1888"/>
      <c r="KQJ31" s="1882"/>
      <c r="KQK31" s="1882"/>
      <c r="KQL31" s="1882"/>
      <c r="KQN31" s="1887"/>
      <c r="KQO31" s="1888"/>
      <c r="KQP31" s="1882"/>
      <c r="KQQ31" s="1882"/>
      <c r="KQR31" s="1882"/>
      <c r="KQT31" s="1887"/>
      <c r="KQU31" s="1888"/>
      <c r="KQV31" s="1882"/>
      <c r="KQW31" s="1882"/>
      <c r="KQX31" s="1882"/>
      <c r="KQZ31" s="1887"/>
      <c r="KRA31" s="1888"/>
      <c r="KRB31" s="1882"/>
      <c r="KRC31" s="1882"/>
      <c r="KRD31" s="1882"/>
      <c r="KRF31" s="1887"/>
      <c r="KRG31" s="1888"/>
      <c r="KRH31" s="1882"/>
      <c r="KRI31" s="1882"/>
      <c r="KRJ31" s="1882"/>
      <c r="KRL31" s="1887"/>
      <c r="KRM31" s="1888"/>
      <c r="KRN31" s="1882"/>
      <c r="KRO31" s="1882"/>
      <c r="KRP31" s="1882"/>
      <c r="KRR31" s="1887"/>
      <c r="KRS31" s="1888"/>
      <c r="KRT31" s="1882"/>
      <c r="KRU31" s="1882"/>
      <c r="KRV31" s="1882"/>
      <c r="KRX31" s="1887"/>
      <c r="KRY31" s="1888"/>
      <c r="KRZ31" s="1882"/>
      <c r="KSA31" s="1882"/>
      <c r="KSB31" s="1882"/>
      <c r="KSD31" s="1887"/>
      <c r="KSE31" s="1888"/>
      <c r="KSF31" s="1882"/>
      <c r="KSG31" s="1882"/>
      <c r="KSH31" s="1882"/>
      <c r="KSJ31" s="1887"/>
      <c r="KSK31" s="1888"/>
      <c r="KSL31" s="1882"/>
      <c r="KSM31" s="1882"/>
      <c r="KSN31" s="1882"/>
      <c r="KSP31" s="1887"/>
      <c r="KSQ31" s="1888"/>
      <c r="KSR31" s="1882"/>
      <c r="KSS31" s="1882"/>
      <c r="KST31" s="1882"/>
      <c r="KSV31" s="1887"/>
      <c r="KSW31" s="1888"/>
      <c r="KSX31" s="1882"/>
      <c r="KSY31" s="1882"/>
      <c r="KSZ31" s="1882"/>
      <c r="KTB31" s="1887"/>
      <c r="KTC31" s="1888"/>
      <c r="KTD31" s="1882"/>
      <c r="KTE31" s="1882"/>
      <c r="KTF31" s="1882"/>
      <c r="KTH31" s="1887"/>
      <c r="KTI31" s="1888"/>
      <c r="KTJ31" s="1882"/>
      <c r="KTK31" s="1882"/>
      <c r="KTL31" s="1882"/>
      <c r="KTN31" s="1887"/>
      <c r="KTO31" s="1888"/>
      <c r="KTP31" s="1882"/>
      <c r="KTQ31" s="1882"/>
      <c r="KTR31" s="1882"/>
      <c r="KTT31" s="1887"/>
      <c r="KTU31" s="1888"/>
      <c r="KTV31" s="1882"/>
      <c r="KTW31" s="1882"/>
      <c r="KTX31" s="1882"/>
      <c r="KTZ31" s="1887"/>
      <c r="KUA31" s="1888"/>
      <c r="KUB31" s="1882"/>
      <c r="KUC31" s="1882"/>
      <c r="KUD31" s="1882"/>
      <c r="KUF31" s="1887"/>
      <c r="KUG31" s="1888"/>
      <c r="KUH31" s="1882"/>
      <c r="KUI31" s="1882"/>
      <c r="KUJ31" s="1882"/>
      <c r="KUL31" s="1887"/>
      <c r="KUM31" s="1888"/>
      <c r="KUN31" s="1882"/>
      <c r="KUO31" s="1882"/>
      <c r="KUP31" s="1882"/>
      <c r="KUR31" s="1887"/>
      <c r="KUS31" s="1888"/>
      <c r="KUT31" s="1882"/>
      <c r="KUU31" s="1882"/>
      <c r="KUV31" s="1882"/>
      <c r="KUX31" s="1887"/>
      <c r="KUY31" s="1888"/>
      <c r="KUZ31" s="1882"/>
      <c r="KVA31" s="1882"/>
      <c r="KVB31" s="1882"/>
      <c r="KVD31" s="1887"/>
      <c r="KVE31" s="1888"/>
      <c r="KVF31" s="1882"/>
      <c r="KVG31" s="1882"/>
      <c r="KVH31" s="1882"/>
      <c r="KVJ31" s="1887"/>
      <c r="KVK31" s="1888"/>
      <c r="KVL31" s="1882"/>
      <c r="KVM31" s="1882"/>
      <c r="KVN31" s="1882"/>
      <c r="KVP31" s="1887"/>
      <c r="KVQ31" s="1888"/>
      <c r="KVR31" s="1882"/>
      <c r="KVS31" s="1882"/>
      <c r="KVT31" s="1882"/>
      <c r="KVV31" s="1887"/>
      <c r="KVW31" s="1888"/>
      <c r="KVX31" s="1882"/>
      <c r="KVY31" s="1882"/>
      <c r="KVZ31" s="1882"/>
      <c r="KWB31" s="1887"/>
      <c r="KWC31" s="1888"/>
      <c r="KWD31" s="1882"/>
      <c r="KWE31" s="1882"/>
      <c r="KWF31" s="1882"/>
      <c r="KWH31" s="1887"/>
      <c r="KWI31" s="1888"/>
      <c r="KWJ31" s="1882"/>
      <c r="KWK31" s="1882"/>
      <c r="KWL31" s="1882"/>
      <c r="KWN31" s="1887"/>
      <c r="KWO31" s="1888"/>
      <c r="KWP31" s="1882"/>
      <c r="KWQ31" s="1882"/>
      <c r="KWR31" s="1882"/>
      <c r="KWT31" s="1887"/>
      <c r="KWU31" s="1888"/>
      <c r="KWV31" s="1882"/>
      <c r="KWW31" s="1882"/>
      <c r="KWX31" s="1882"/>
      <c r="KWZ31" s="1887"/>
      <c r="KXA31" s="1888"/>
      <c r="KXB31" s="1882"/>
      <c r="KXC31" s="1882"/>
      <c r="KXD31" s="1882"/>
      <c r="KXF31" s="1887"/>
      <c r="KXG31" s="1888"/>
      <c r="KXH31" s="1882"/>
      <c r="KXI31" s="1882"/>
      <c r="KXJ31" s="1882"/>
      <c r="KXL31" s="1887"/>
      <c r="KXM31" s="1888"/>
      <c r="KXN31" s="1882"/>
      <c r="KXO31" s="1882"/>
      <c r="KXP31" s="1882"/>
      <c r="KXR31" s="1887"/>
      <c r="KXS31" s="1888"/>
      <c r="KXT31" s="1882"/>
      <c r="KXU31" s="1882"/>
      <c r="KXV31" s="1882"/>
      <c r="KXX31" s="1887"/>
      <c r="KXY31" s="1888"/>
      <c r="KXZ31" s="1882"/>
      <c r="KYA31" s="1882"/>
      <c r="KYB31" s="1882"/>
      <c r="KYD31" s="1887"/>
      <c r="KYE31" s="1888"/>
      <c r="KYF31" s="1882"/>
      <c r="KYG31" s="1882"/>
      <c r="KYH31" s="1882"/>
      <c r="KYJ31" s="1887"/>
      <c r="KYK31" s="1888"/>
      <c r="KYL31" s="1882"/>
      <c r="KYM31" s="1882"/>
      <c r="KYN31" s="1882"/>
      <c r="KYP31" s="1887"/>
      <c r="KYQ31" s="1888"/>
      <c r="KYR31" s="1882"/>
      <c r="KYS31" s="1882"/>
      <c r="KYT31" s="1882"/>
      <c r="KYV31" s="1887"/>
      <c r="KYW31" s="1888"/>
      <c r="KYX31" s="1882"/>
      <c r="KYY31" s="1882"/>
      <c r="KYZ31" s="1882"/>
      <c r="KZB31" s="1887"/>
      <c r="KZC31" s="1888"/>
      <c r="KZD31" s="1882"/>
      <c r="KZE31" s="1882"/>
      <c r="KZF31" s="1882"/>
      <c r="KZH31" s="1887"/>
      <c r="KZI31" s="1888"/>
      <c r="KZJ31" s="1882"/>
      <c r="KZK31" s="1882"/>
      <c r="KZL31" s="1882"/>
      <c r="KZN31" s="1887"/>
      <c r="KZO31" s="1888"/>
      <c r="KZP31" s="1882"/>
      <c r="KZQ31" s="1882"/>
      <c r="KZR31" s="1882"/>
      <c r="KZT31" s="1887"/>
      <c r="KZU31" s="1888"/>
      <c r="KZV31" s="1882"/>
      <c r="KZW31" s="1882"/>
      <c r="KZX31" s="1882"/>
      <c r="KZZ31" s="1887"/>
      <c r="LAA31" s="1888"/>
      <c r="LAB31" s="1882"/>
      <c r="LAC31" s="1882"/>
      <c r="LAD31" s="1882"/>
      <c r="LAF31" s="1887"/>
      <c r="LAG31" s="1888"/>
      <c r="LAH31" s="1882"/>
      <c r="LAI31" s="1882"/>
      <c r="LAJ31" s="1882"/>
      <c r="LAL31" s="1887"/>
      <c r="LAM31" s="1888"/>
      <c r="LAN31" s="1882"/>
      <c r="LAO31" s="1882"/>
      <c r="LAP31" s="1882"/>
      <c r="LAR31" s="1887"/>
      <c r="LAS31" s="1888"/>
      <c r="LAT31" s="1882"/>
      <c r="LAU31" s="1882"/>
      <c r="LAV31" s="1882"/>
      <c r="LAX31" s="1887"/>
      <c r="LAY31" s="1888"/>
      <c r="LAZ31" s="1882"/>
      <c r="LBA31" s="1882"/>
      <c r="LBB31" s="1882"/>
      <c r="LBD31" s="1887"/>
      <c r="LBE31" s="1888"/>
      <c r="LBF31" s="1882"/>
      <c r="LBG31" s="1882"/>
      <c r="LBH31" s="1882"/>
      <c r="LBJ31" s="1887"/>
      <c r="LBK31" s="1888"/>
      <c r="LBL31" s="1882"/>
      <c r="LBM31" s="1882"/>
      <c r="LBN31" s="1882"/>
      <c r="LBP31" s="1887"/>
      <c r="LBQ31" s="1888"/>
      <c r="LBR31" s="1882"/>
      <c r="LBS31" s="1882"/>
      <c r="LBT31" s="1882"/>
      <c r="LBV31" s="1887"/>
      <c r="LBW31" s="1888"/>
      <c r="LBX31" s="1882"/>
      <c r="LBY31" s="1882"/>
      <c r="LBZ31" s="1882"/>
      <c r="LCB31" s="1887"/>
      <c r="LCC31" s="1888"/>
      <c r="LCD31" s="1882"/>
      <c r="LCE31" s="1882"/>
      <c r="LCF31" s="1882"/>
      <c r="LCH31" s="1887"/>
      <c r="LCI31" s="1888"/>
      <c r="LCJ31" s="1882"/>
      <c r="LCK31" s="1882"/>
      <c r="LCL31" s="1882"/>
      <c r="LCN31" s="1887"/>
      <c r="LCO31" s="1888"/>
      <c r="LCP31" s="1882"/>
      <c r="LCQ31" s="1882"/>
      <c r="LCR31" s="1882"/>
      <c r="LCT31" s="1887"/>
      <c r="LCU31" s="1888"/>
      <c r="LCV31" s="1882"/>
      <c r="LCW31" s="1882"/>
      <c r="LCX31" s="1882"/>
      <c r="LCZ31" s="1887"/>
      <c r="LDA31" s="1888"/>
      <c r="LDB31" s="1882"/>
      <c r="LDC31" s="1882"/>
      <c r="LDD31" s="1882"/>
      <c r="LDF31" s="1887"/>
      <c r="LDG31" s="1888"/>
      <c r="LDH31" s="1882"/>
      <c r="LDI31" s="1882"/>
      <c r="LDJ31" s="1882"/>
      <c r="LDL31" s="1887"/>
      <c r="LDM31" s="1888"/>
      <c r="LDN31" s="1882"/>
      <c r="LDO31" s="1882"/>
      <c r="LDP31" s="1882"/>
      <c r="LDR31" s="1887"/>
      <c r="LDS31" s="1888"/>
      <c r="LDT31" s="1882"/>
      <c r="LDU31" s="1882"/>
      <c r="LDV31" s="1882"/>
      <c r="LDX31" s="1887"/>
      <c r="LDY31" s="1888"/>
      <c r="LDZ31" s="1882"/>
      <c r="LEA31" s="1882"/>
      <c r="LEB31" s="1882"/>
      <c r="LED31" s="1887"/>
      <c r="LEE31" s="1888"/>
      <c r="LEF31" s="1882"/>
      <c r="LEG31" s="1882"/>
      <c r="LEH31" s="1882"/>
      <c r="LEJ31" s="1887"/>
      <c r="LEK31" s="1888"/>
      <c r="LEL31" s="1882"/>
      <c r="LEM31" s="1882"/>
      <c r="LEN31" s="1882"/>
      <c r="LEP31" s="1887"/>
      <c r="LEQ31" s="1888"/>
      <c r="LER31" s="1882"/>
      <c r="LES31" s="1882"/>
      <c r="LET31" s="1882"/>
      <c r="LEV31" s="1887"/>
      <c r="LEW31" s="1888"/>
      <c r="LEX31" s="1882"/>
      <c r="LEY31" s="1882"/>
      <c r="LEZ31" s="1882"/>
      <c r="LFB31" s="1887"/>
      <c r="LFC31" s="1888"/>
      <c r="LFD31" s="1882"/>
      <c r="LFE31" s="1882"/>
      <c r="LFF31" s="1882"/>
      <c r="LFH31" s="1887"/>
      <c r="LFI31" s="1888"/>
      <c r="LFJ31" s="1882"/>
      <c r="LFK31" s="1882"/>
      <c r="LFL31" s="1882"/>
      <c r="LFN31" s="1887"/>
      <c r="LFO31" s="1888"/>
      <c r="LFP31" s="1882"/>
      <c r="LFQ31" s="1882"/>
      <c r="LFR31" s="1882"/>
      <c r="LFT31" s="1887"/>
      <c r="LFU31" s="1888"/>
      <c r="LFV31" s="1882"/>
      <c r="LFW31" s="1882"/>
      <c r="LFX31" s="1882"/>
      <c r="LFZ31" s="1887"/>
      <c r="LGA31" s="1888"/>
      <c r="LGB31" s="1882"/>
      <c r="LGC31" s="1882"/>
      <c r="LGD31" s="1882"/>
      <c r="LGF31" s="1887"/>
      <c r="LGG31" s="1888"/>
      <c r="LGH31" s="1882"/>
      <c r="LGI31" s="1882"/>
      <c r="LGJ31" s="1882"/>
      <c r="LGL31" s="1887"/>
      <c r="LGM31" s="1888"/>
      <c r="LGN31" s="1882"/>
      <c r="LGO31" s="1882"/>
      <c r="LGP31" s="1882"/>
      <c r="LGR31" s="1887"/>
      <c r="LGS31" s="1888"/>
      <c r="LGT31" s="1882"/>
      <c r="LGU31" s="1882"/>
      <c r="LGV31" s="1882"/>
      <c r="LGX31" s="1887"/>
      <c r="LGY31" s="1888"/>
      <c r="LGZ31" s="1882"/>
      <c r="LHA31" s="1882"/>
      <c r="LHB31" s="1882"/>
      <c r="LHD31" s="1887"/>
      <c r="LHE31" s="1888"/>
      <c r="LHF31" s="1882"/>
      <c r="LHG31" s="1882"/>
      <c r="LHH31" s="1882"/>
      <c r="LHJ31" s="1887"/>
      <c r="LHK31" s="1888"/>
      <c r="LHL31" s="1882"/>
      <c r="LHM31" s="1882"/>
      <c r="LHN31" s="1882"/>
      <c r="LHP31" s="1887"/>
      <c r="LHQ31" s="1888"/>
      <c r="LHR31" s="1882"/>
      <c r="LHS31" s="1882"/>
      <c r="LHT31" s="1882"/>
      <c r="LHV31" s="1887"/>
      <c r="LHW31" s="1888"/>
      <c r="LHX31" s="1882"/>
      <c r="LHY31" s="1882"/>
      <c r="LHZ31" s="1882"/>
      <c r="LIB31" s="1887"/>
      <c r="LIC31" s="1888"/>
      <c r="LID31" s="1882"/>
      <c r="LIE31" s="1882"/>
      <c r="LIF31" s="1882"/>
      <c r="LIH31" s="1887"/>
      <c r="LII31" s="1888"/>
      <c r="LIJ31" s="1882"/>
      <c r="LIK31" s="1882"/>
      <c r="LIL31" s="1882"/>
      <c r="LIN31" s="1887"/>
      <c r="LIO31" s="1888"/>
      <c r="LIP31" s="1882"/>
      <c r="LIQ31" s="1882"/>
      <c r="LIR31" s="1882"/>
      <c r="LIT31" s="1887"/>
      <c r="LIU31" s="1888"/>
      <c r="LIV31" s="1882"/>
      <c r="LIW31" s="1882"/>
      <c r="LIX31" s="1882"/>
      <c r="LIZ31" s="1887"/>
      <c r="LJA31" s="1888"/>
      <c r="LJB31" s="1882"/>
      <c r="LJC31" s="1882"/>
      <c r="LJD31" s="1882"/>
      <c r="LJF31" s="1887"/>
      <c r="LJG31" s="1888"/>
      <c r="LJH31" s="1882"/>
      <c r="LJI31" s="1882"/>
      <c r="LJJ31" s="1882"/>
      <c r="LJL31" s="1887"/>
      <c r="LJM31" s="1888"/>
      <c r="LJN31" s="1882"/>
      <c r="LJO31" s="1882"/>
      <c r="LJP31" s="1882"/>
      <c r="LJR31" s="1887"/>
      <c r="LJS31" s="1888"/>
      <c r="LJT31" s="1882"/>
      <c r="LJU31" s="1882"/>
      <c r="LJV31" s="1882"/>
      <c r="LJX31" s="1887"/>
      <c r="LJY31" s="1888"/>
      <c r="LJZ31" s="1882"/>
      <c r="LKA31" s="1882"/>
      <c r="LKB31" s="1882"/>
      <c r="LKD31" s="1887"/>
      <c r="LKE31" s="1888"/>
      <c r="LKF31" s="1882"/>
      <c r="LKG31" s="1882"/>
      <c r="LKH31" s="1882"/>
      <c r="LKJ31" s="1887"/>
      <c r="LKK31" s="1888"/>
      <c r="LKL31" s="1882"/>
      <c r="LKM31" s="1882"/>
      <c r="LKN31" s="1882"/>
      <c r="LKP31" s="1887"/>
      <c r="LKQ31" s="1888"/>
      <c r="LKR31" s="1882"/>
      <c r="LKS31" s="1882"/>
      <c r="LKT31" s="1882"/>
      <c r="LKV31" s="1887"/>
      <c r="LKW31" s="1888"/>
      <c r="LKX31" s="1882"/>
      <c r="LKY31" s="1882"/>
      <c r="LKZ31" s="1882"/>
      <c r="LLB31" s="1887"/>
      <c r="LLC31" s="1888"/>
      <c r="LLD31" s="1882"/>
      <c r="LLE31" s="1882"/>
      <c r="LLF31" s="1882"/>
      <c r="LLH31" s="1887"/>
      <c r="LLI31" s="1888"/>
      <c r="LLJ31" s="1882"/>
      <c r="LLK31" s="1882"/>
      <c r="LLL31" s="1882"/>
      <c r="LLN31" s="1887"/>
      <c r="LLO31" s="1888"/>
      <c r="LLP31" s="1882"/>
      <c r="LLQ31" s="1882"/>
      <c r="LLR31" s="1882"/>
      <c r="LLT31" s="1887"/>
      <c r="LLU31" s="1888"/>
      <c r="LLV31" s="1882"/>
      <c r="LLW31" s="1882"/>
      <c r="LLX31" s="1882"/>
      <c r="LLZ31" s="1887"/>
      <c r="LMA31" s="1888"/>
      <c r="LMB31" s="1882"/>
      <c r="LMC31" s="1882"/>
      <c r="LMD31" s="1882"/>
      <c r="LMF31" s="1887"/>
      <c r="LMG31" s="1888"/>
      <c r="LMH31" s="1882"/>
      <c r="LMI31" s="1882"/>
      <c r="LMJ31" s="1882"/>
      <c r="LML31" s="1887"/>
      <c r="LMM31" s="1888"/>
      <c r="LMN31" s="1882"/>
      <c r="LMO31" s="1882"/>
      <c r="LMP31" s="1882"/>
      <c r="LMR31" s="1887"/>
      <c r="LMS31" s="1888"/>
      <c r="LMT31" s="1882"/>
      <c r="LMU31" s="1882"/>
      <c r="LMV31" s="1882"/>
      <c r="LMX31" s="1887"/>
      <c r="LMY31" s="1888"/>
      <c r="LMZ31" s="1882"/>
      <c r="LNA31" s="1882"/>
      <c r="LNB31" s="1882"/>
      <c r="LND31" s="1887"/>
      <c r="LNE31" s="1888"/>
      <c r="LNF31" s="1882"/>
      <c r="LNG31" s="1882"/>
      <c r="LNH31" s="1882"/>
      <c r="LNJ31" s="1887"/>
      <c r="LNK31" s="1888"/>
      <c r="LNL31" s="1882"/>
      <c r="LNM31" s="1882"/>
      <c r="LNN31" s="1882"/>
      <c r="LNP31" s="1887"/>
      <c r="LNQ31" s="1888"/>
      <c r="LNR31" s="1882"/>
      <c r="LNS31" s="1882"/>
      <c r="LNT31" s="1882"/>
      <c r="LNV31" s="1887"/>
      <c r="LNW31" s="1888"/>
      <c r="LNX31" s="1882"/>
      <c r="LNY31" s="1882"/>
      <c r="LNZ31" s="1882"/>
      <c r="LOB31" s="1887"/>
      <c r="LOC31" s="1888"/>
      <c r="LOD31" s="1882"/>
      <c r="LOE31" s="1882"/>
      <c r="LOF31" s="1882"/>
      <c r="LOH31" s="1887"/>
      <c r="LOI31" s="1888"/>
      <c r="LOJ31" s="1882"/>
      <c r="LOK31" s="1882"/>
      <c r="LOL31" s="1882"/>
      <c r="LON31" s="1887"/>
      <c r="LOO31" s="1888"/>
      <c r="LOP31" s="1882"/>
      <c r="LOQ31" s="1882"/>
      <c r="LOR31" s="1882"/>
      <c r="LOT31" s="1887"/>
      <c r="LOU31" s="1888"/>
      <c r="LOV31" s="1882"/>
      <c r="LOW31" s="1882"/>
      <c r="LOX31" s="1882"/>
      <c r="LOZ31" s="1887"/>
      <c r="LPA31" s="1888"/>
      <c r="LPB31" s="1882"/>
      <c r="LPC31" s="1882"/>
      <c r="LPD31" s="1882"/>
      <c r="LPF31" s="1887"/>
      <c r="LPG31" s="1888"/>
      <c r="LPH31" s="1882"/>
      <c r="LPI31" s="1882"/>
      <c r="LPJ31" s="1882"/>
      <c r="LPL31" s="1887"/>
      <c r="LPM31" s="1888"/>
      <c r="LPN31" s="1882"/>
      <c r="LPO31" s="1882"/>
      <c r="LPP31" s="1882"/>
      <c r="LPR31" s="1887"/>
      <c r="LPS31" s="1888"/>
      <c r="LPT31" s="1882"/>
      <c r="LPU31" s="1882"/>
      <c r="LPV31" s="1882"/>
      <c r="LPX31" s="1887"/>
      <c r="LPY31" s="1888"/>
      <c r="LPZ31" s="1882"/>
      <c r="LQA31" s="1882"/>
      <c r="LQB31" s="1882"/>
      <c r="LQD31" s="1887"/>
      <c r="LQE31" s="1888"/>
      <c r="LQF31" s="1882"/>
      <c r="LQG31" s="1882"/>
      <c r="LQH31" s="1882"/>
      <c r="LQJ31" s="1887"/>
      <c r="LQK31" s="1888"/>
      <c r="LQL31" s="1882"/>
      <c r="LQM31" s="1882"/>
      <c r="LQN31" s="1882"/>
      <c r="LQP31" s="1887"/>
      <c r="LQQ31" s="1888"/>
      <c r="LQR31" s="1882"/>
      <c r="LQS31" s="1882"/>
      <c r="LQT31" s="1882"/>
      <c r="LQV31" s="1887"/>
      <c r="LQW31" s="1888"/>
      <c r="LQX31" s="1882"/>
      <c r="LQY31" s="1882"/>
      <c r="LQZ31" s="1882"/>
      <c r="LRB31" s="1887"/>
      <c r="LRC31" s="1888"/>
      <c r="LRD31" s="1882"/>
      <c r="LRE31" s="1882"/>
      <c r="LRF31" s="1882"/>
      <c r="LRH31" s="1887"/>
      <c r="LRI31" s="1888"/>
      <c r="LRJ31" s="1882"/>
      <c r="LRK31" s="1882"/>
      <c r="LRL31" s="1882"/>
      <c r="LRN31" s="1887"/>
      <c r="LRO31" s="1888"/>
      <c r="LRP31" s="1882"/>
      <c r="LRQ31" s="1882"/>
      <c r="LRR31" s="1882"/>
      <c r="LRT31" s="1887"/>
      <c r="LRU31" s="1888"/>
      <c r="LRV31" s="1882"/>
      <c r="LRW31" s="1882"/>
      <c r="LRX31" s="1882"/>
      <c r="LRZ31" s="1887"/>
      <c r="LSA31" s="1888"/>
      <c r="LSB31" s="1882"/>
      <c r="LSC31" s="1882"/>
      <c r="LSD31" s="1882"/>
      <c r="LSF31" s="1887"/>
      <c r="LSG31" s="1888"/>
      <c r="LSH31" s="1882"/>
      <c r="LSI31" s="1882"/>
      <c r="LSJ31" s="1882"/>
      <c r="LSL31" s="1887"/>
      <c r="LSM31" s="1888"/>
      <c r="LSN31" s="1882"/>
      <c r="LSO31" s="1882"/>
      <c r="LSP31" s="1882"/>
      <c r="LSR31" s="1887"/>
      <c r="LSS31" s="1888"/>
      <c r="LST31" s="1882"/>
      <c r="LSU31" s="1882"/>
      <c r="LSV31" s="1882"/>
      <c r="LSX31" s="1887"/>
      <c r="LSY31" s="1888"/>
      <c r="LSZ31" s="1882"/>
      <c r="LTA31" s="1882"/>
      <c r="LTB31" s="1882"/>
      <c r="LTD31" s="1887"/>
      <c r="LTE31" s="1888"/>
      <c r="LTF31" s="1882"/>
      <c r="LTG31" s="1882"/>
      <c r="LTH31" s="1882"/>
      <c r="LTJ31" s="1887"/>
      <c r="LTK31" s="1888"/>
      <c r="LTL31" s="1882"/>
      <c r="LTM31" s="1882"/>
      <c r="LTN31" s="1882"/>
      <c r="LTP31" s="1887"/>
      <c r="LTQ31" s="1888"/>
      <c r="LTR31" s="1882"/>
      <c r="LTS31" s="1882"/>
      <c r="LTT31" s="1882"/>
      <c r="LTV31" s="1887"/>
      <c r="LTW31" s="1888"/>
      <c r="LTX31" s="1882"/>
      <c r="LTY31" s="1882"/>
      <c r="LTZ31" s="1882"/>
      <c r="LUB31" s="1887"/>
      <c r="LUC31" s="1888"/>
      <c r="LUD31" s="1882"/>
      <c r="LUE31" s="1882"/>
      <c r="LUF31" s="1882"/>
      <c r="LUH31" s="1887"/>
      <c r="LUI31" s="1888"/>
      <c r="LUJ31" s="1882"/>
      <c r="LUK31" s="1882"/>
      <c r="LUL31" s="1882"/>
      <c r="LUN31" s="1887"/>
      <c r="LUO31" s="1888"/>
      <c r="LUP31" s="1882"/>
      <c r="LUQ31" s="1882"/>
      <c r="LUR31" s="1882"/>
      <c r="LUT31" s="1887"/>
      <c r="LUU31" s="1888"/>
      <c r="LUV31" s="1882"/>
      <c r="LUW31" s="1882"/>
      <c r="LUX31" s="1882"/>
      <c r="LUZ31" s="1887"/>
      <c r="LVA31" s="1888"/>
      <c r="LVB31" s="1882"/>
      <c r="LVC31" s="1882"/>
      <c r="LVD31" s="1882"/>
      <c r="LVF31" s="1887"/>
      <c r="LVG31" s="1888"/>
      <c r="LVH31" s="1882"/>
      <c r="LVI31" s="1882"/>
      <c r="LVJ31" s="1882"/>
      <c r="LVL31" s="1887"/>
      <c r="LVM31" s="1888"/>
      <c r="LVN31" s="1882"/>
      <c r="LVO31" s="1882"/>
      <c r="LVP31" s="1882"/>
      <c r="LVR31" s="1887"/>
      <c r="LVS31" s="1888"/>
      <c r="LVT31" s="1882"/>
      <c r="LVU31" s="1882"/>
      <c r="LVV31" s="1882"/>
      <c r="LVX31" s="1887"/>
      <c r="LVY31" s="1888"/>
      <c r="LVZ31" s="1882"/>
      <c r="LWA31" s="1882"/>
      <c r="LWB31" s="1882"/>
      <c r="LWD31" s="1887"/>
      <c r="LWE31" s="1888"/>
      <c r="LWF31" s="1882"/>
      <c r="LWG31" s="1882"/>
      <c r="LWH31" s="1882"/>
      <c r="LWJ31" s="1887"/>
      <c r="LWK31" s="1888"/>
      <c r="LWL31" s="1882"/>
      <c r="LWM31" s="1882"/>
      <c r="LWN31" s="1882"/>
      <c r="LWP31" s="1887"/>
      <c r="LWQ31" s="1888"/>
      <c r="LWR31" s="1882"/>
      <c r="LWS31" s="1882"/>
      <c r="LWT31" s="1882"/>
      <c r="LWV31" s="1887"/>
      <c r="LWW31" s="1888"/>
      <c r="LWX31" s="1882"/>
      <c r="LWY31" s="1882"/>
      <c r="LWZ31" s="1882"/>
      <c r="LXB31" s="1887"/>
      <c r="LXC31" s="1888"/>
      <c r="LXD31" s="1882"/>
      <c r="LXE31" s="1882"/>
      <c r="LXF31" s="1882"/>
      <c r="LXH31" s="1887"/>
      <c r="LXI31" s="1888"/>
      <c r="LXJ31" s="1882"/>
      <c r="LXK31" s="1882"/>
      <c r="LXL31" s="1882"/>
      <c r="LXN31" s="1887"/>
      <c r="LXO31" s="1888"/>
      <c r="LXP31" s="1882"/>
      <c r="LXQ31" s="1882"/>
      <c r="LXR31" s="1882"/>
      <c r="LXT31" s="1887"/>
      <c r="LXU31" s="1888"/>
      <c r="LXV31" s="1882"/>
      <c r="LXW31" s="1882"/>
      <c r="LXX31" s="1882"/>
      <c r="LXZ31" s="1887"/>
      <c r="LYA31" s="1888"/>
      <c r="LYB31" s="1882"/>
      <c r="LYC31" s="1882"/>
      <c r="LYD31" s="1882"/>
      <c r="LYF31" s="1887"/>
      <c r="LYG31" s="1888"/>
      <c r="LYH31" s="1882"/>
      <c r="LYI31" s="1882"/>
      <c r="LYJ31" s="1882"/>
      <c r="LYL31" s="1887"/>
      <c r="LYM31" s="1888"/>
      <c r="LYN31" s="1882"/>
      <c r="LYO31" s="1882"/>
      <c r="LYP31" s="1882"/>
      <c r="LYR31" s="1887"/>
      <c r="LYS31" s="1888"/>
      <c r="LYT31" s="1882"/>
      <c r="LYU31" s="1882"/>
      <c r="LYV31" s="1882"/>
      <c r="LYX31" s="1887"/>
      <c r="LYY31" s="1888"/>
      <c r="LYZ31" s="1882"/>
      <c r="LZA31" s="1882"/>
      <c r="LZB31" s="1882"/>
      <c r="LZD31" s="1887"/>
      <c r="LZE31" s="1888"/>
      <c r="LZF31" s="1882"/>
      <c r="LZG31" s="1882"/>
      <c r="LZH31" s="1882"/>
      <c r="LZJ31" s="1887"/>
      <c r="LZK31" s="1888"/>
      <c r="LZL31" s="1882"/>
      <c r="LZM31" s="1882"/>
      <c r="LZN31" s="1882"/>
      <c r="LZP31" s="1887"/>
      <c r="LZQ31" s="1888"/>
      <c r="LZR31" s="1882"/>
      <c r="LZS31" s="1882"/>
      <c r="LZT31" s="1882"/>
      <c r="LZV31" s="1887"/>
      <c r="LZW31" s="1888"/>
      <c r="LZX31" s="1882"/>
      <c r="LZY31" s="1882"/>
      <c r="LZZ31" s="1882"/>
      <c r="MAB31" s="1887"/>
      <c r="MAC31" s="1888"/>
      <c r="MAD31" s="1882"/>
      <c r="MAE31" s="1882"/>
      <c r="MAF31" s="1882"/>
      <c r="MAH31" s="1887"/>
      <c r="MAI31" s="1888"/>
      <c r="MAJ31" s="1882"/>
      <c r="MAK31" s="1882"/>
      <c r="MAL31" s="1882"/>
      <c r="MAN31" s="1887"/>
      <c r="MAO31" s="1888"/>
      <c r="MAP31" s="1882"/>
      <c r="MAQ31" s="1882"/>
      <c r="MAR31" s="1882"/>
      <c r="MAT31" s="1887"/>
      <c r="MAU31" s="1888"/>
      <c r="MAV31" s="1882"/>
      <c r="MAW31" s="1882"/>
      <c r="MAX31" s="1882"/>
      <c r="MAZ31" s="1887"/>
      <c r="MBA31" s="1888"/>
      <c r="MBB31" s="1882"/>
      <c r="MBC31" s="1882"/>
      <c r="MBD31" s="1882"/>
      <c r="MBF31" s="1887"/>
      <c r="MBG31" s="1888"/>
      <c r="MBH31" s="1882"/>
      <c r="MBI31" s="1882"/>
      <c r="MBJ31" s="1882"/>
      <c r="MBL31" s="1887"/>
      <c r="MBM31" s="1888"/>
      <c r="MBN31" s="1882"/>
      <c r="MBO31" s="1882"/>
      <c r="MBP31" s="1882"/>
      <c r="MBR31" s="1887"/>
      <c r="MBS31" s="1888"/>
      <c r="MBT31" s="1882"/>
      <c r="MBU31" s="1882"/>
      <c r="MBV31" s="1882"/>
      <c r="MBX31" s="1887"/>
      <c r="MBY31" s="1888"/>
      <c r="MBZ31" s="1882"/>
      <c r="MCA31" s="1882"/>
      <c r="MCB31" s="1882"/>
      <c r="MCD31" s="1887"/>
      <c r="MCE31" s="1888"/>
      <c r="MCF31" s="1882"/>
      <c r="MCG31" s="1882"/>
      <c r="MCH31" s="1882"/>
      <c r="MCJ31" s="1887"/>
      <c r="MCK31" s="1888"/>
      <c r="MCL31" s="1882"/>
      <c r="MCM31" s="1882"/>
      <c r="MCN31" s="1882"/>
      <c r="MCP31" s="1887"/>
      <c r="MCQ31" s="1888"/>
      <c r="MCR31" s="1882"/>
      <c r="MCS31" s="1882"/>
      <c r="MCT31" s="1882"/>
      <c r="MCV31" s="1887"/>
      <c r="MCW31" s="1888"/>
      <c r="MCX31" s="1882"/>
      <c r="MCY31" s="1882"/>
      <c r="MCZ31" s="1882"/>
      <c r="MDB31" s="1887"/>
      <c r="MDC31" s="1888"/>
      <c r="MDD31" s="1882"/>
      <c r="MDE31" s="1882"/>
      <c r="MDF31" s="1882"/>
      <c r="MDH31" s="1887"/>
      <c r="MDI31" s="1888"/>
      <c r="MDJ31" s="1882"/>
      <c r="MDK31" s="1882"/>
      <c r="MDL31" s="1882"/>
      <c r="MDN31" s="1887"/>
      <c r="MDO31" s="1888"/>
      <c r="MDP31" s="1882"/>
      <c r="MDQ31" s="1882"/>
      <c r="MDR31" s="1882"/>
      <c r="MDT31" s="1887"/>
      <c r="MDU31" s="1888"/>
      <c r="MDV31" s="1882"/>
      <c r="MDW31" s="1882"/>
      <c r="MDX31" s="1882"/>
      <c r="MDZ31" s="1887"/>
      <c r="MEA31" s="1888"/>
      <c r="MEB31" s="1882"/>
      <c r="MEC31" s="1882"/>
      <c r="MED31" s="1882"/>
      <c r="MEF31" s="1887"/>
      <c r="MEG31" s="1888"/>
      <c r="MEH31" s="1882"/>
      <c r="MEI31" s="1882"/>
      <c r="MEJ31" s="1882"/>
      <c r="MEL31" s="1887"/>
      <c r="MEM31" s="1888"/>
      <c r="MEN31" s="1882"/>
      <c r="MEO31" s="1882"/>
      <c r="MEP31" s="1882"/>
      <c r="MER31" s="1887"/>
      <c r="MES31" s="1888"/>
      <c r="MET31" s="1882"/>
      <c r="MEU31" s="1882"/>
      <c r="MEV31" s="1882"/>
      <c r="MEX31" s="1887"/>
      <c r="MEY31" s="1888"/>
      <c r="MEZ31" s="1882"/>
      <c r="MFA31" s="1882"/>
      <c r="MFB31" s="1882"/>
      <c r="MFD31" s="1887"/>
      <c r="MFE31" s="1888"/>
      <c r="MFF31" s="1882"/>
      <c r="MFG31" s="1882"/>
      <c r="MFH31" s="1882"/>
      <c r="MFJ31" s="1887"/>
      <c r="MFK31" s="1888"/>
      <c r="MFL31" s="1882"/>
      <c r="MFM31" s="1882"/>
      <c r="MFN31" s="1882"/>
      <c r="MFP31" s="1887"/>
      <c r="MFQ31" s="1888"/>
      <c r="MFR31" s="1882"/>
      <c r="MFS31" s="1882"/>
      <c r="MFT31" s="1882"/>
      <c r="MFV31" s="1887"/>
      <c r="MFW31" s="1888"/>
      <c r="MFX31" s="1882"/>
      <c r="MFY31" s="1882"/>
      <c r="MFZ31" s="1882"/>
      <c r="MGB31" s="1887"/>
      <c r="MGC31" s="1888"/>
      <c r="MGD31" s="1882"/>
      <c r="MGE31" s="1882"/>
      <c r="MGF31" s="1882"/>
      <c r="MGH31" s="1887"/>
      <c r="MGI31" s="1888"/>
      <c r="MGJ31" s="1882"/>
      <c r="MGK31" s="1882"/>
      <c r="MGL31" s="1882"/>
      <c r="MGN31" s="1887"/>
      <c r="MGO31" s="1888"/>
      <c r="MGP31" s="1882"/>
      <c r="MGQ31" s="1882"/>
      <c r="MGR31" s="1882"/>
      <c r="MGT31" s="1887"/>
      <c r="MGU31" s="1888"/>
      <c r="MGV31" s="1882"/>
      <c r="MGW31" s="1882"/>
      <c r="MGX31" s="1882"/>
      <c r="MGZ31" s="1887"/>
      <c r="MHA31" s="1888"/>
      <c r="MHB31" s="1882"/>
      <c r="MHC31" s="1882"/>
      <c r="MHD31" s="1882"/>
      <c r="MHF31" s="1887"/>
      <c r="MHG31" s="1888"/>
      <c r="MHH31" s="1882"/>
      <c r="MHI31" s="1882"/>
      <c r="MHJ31" s="1882"/>
      <c r="MHL31" s="1887"/>
      <c r="MHM31" s="1888"/>
      <c r="MHN31" s="1882"/>
      <c r="MHO31" s="1882"/>
      <c r="MHP31" s="1882"/>
      <c r="MHR31" s="1887"/>
      <c r="MHS31" s="1888"/>
      <c r="MHT31" s="1882"/>
      <c r="MHU31" s="1882"/>
      <c r="MHV31" s="1882"/>
      <c r="MHX31" s="1887"/>
      <c r="MHY31" s="1888"/>
      <c r="MHZ31" s="1882"/>
      <c r="MIA31" s="1882"/>
      <c r="MIB31" s="1882"/>
      <c r="MID31" s="1887"/>
      <c r="MIE31" s="1888"/>
      <c r="MIF31" s="1882"/>
      <c r="MIG31" s="1882"/>
      <c r="MIH31" s="1882"/>
      <c r="MIJ31" s="1887"/>
      <c r="MIK31" s="1888"/>
      <c r="MIL31" s="1882"/>
      <c r="MIM31" s="1882"/>
      <c r="MIN31" s="1882"/>
      <c r="MIP31" s="1887"/>
      <c r="MIQ31" s="1888"/>
      <c r="MIR31" s="1882"/>
      <c r="MIS31" s="1882"/>
      <c r="MIT31" s="1882"/>
      <c r="MIV31" s="1887"/>
      <c r="MIW31" s="1888"/>
      <c r="MIX31" s="1882"/>
      <c r="MIY31" s="1882"/>
      <c r="MIZ31" s="1882"/>
      <c r="MJB31" s="1887"/>
      <c r="MJC31" s="1888"/>
      <c r="MJD31" s="1882"/>
      <c r="MJE31" s="1882"/>
      <c r="MJF31" s="1882"/>
      <c r="MJH31" s="1887"/>
      <c r="MJI31" s="1888"/>
      <c r="MJJ31" s="1882"/>
      <c r="MJK31" s="1882"/>
      <c r="MJL31" s="1882"/>
      <c r="MJN31" s="1887"/>
      <c r="MJO31" s="1888"/>
      <c r="MJP31" s="1882"/>
      <c r="MJQ31" s="1882"/>
      <c r="MJR31" s="1882"/>
      <c r="MJT31" s="1887"/>
      <c r="MJU31" s="1888"/>
      <c r="MJV31" s="1882"/>
      <c r="MJW31" s="1882"/>
      <c r="MJX31" s="1882"/>
      <c r="MJZ31" s="1887"/>
      <c r="MKA31" s="1888"/>
      <c r="MKB31" s="1882"/>
      <c r="MKC31" s="1882"/>
      <c r="MKD31" s="1882"/>
      <c r="MKF31" s="1887"/>
      <c r="MKG31" s="1888"/>
      <c r="MKH31" s="1882"/>
      <c r="MKI31" s="1882"/>
      <c r="MKJ31" s="1882"/>
      <c r="MKL31" s="1887"/>
      <c r="MKM31" s="1888"/>
      <c r="MKN31" s="1882"/>
      <c r="MKO31" s="1882"/>
      <c r="MKP31" s="1882"/>
      <c r="MKR31" s="1887"/>
      <c r="MKS31" s="1888"/>
      <c r="MKT31" s="1882"/>
      <c r="MKU31" s="1882"/>
      <c r="MKV31" s="1882"/>
      <c r="MKX31" s="1887"/>
      <c r="MKY31" s="1888"/>
      <c r="MKZ31" s="1882"/>
      <c r="MLA31" s="1882"/>
      <c r="MLB31" s="1882"/>
      <c r="MLD31" s="1887"/>
      <c r="MLE31" s="1888"/>
      <c r="MLF31" s="1882"/>
      <c r="MLG31" s="1882"/>
      <c r="MLH31" s="1882"/>
      <c r="MLJ31" s="1887"/>
      <c r="MLK31" s="1888"/>
      <c r="MLL31" s="1882"/>
      <c r="MLM31" s="1882"/>
      <c r="MLN31" s="1882"/>
      <c r="MLP31" s="1887"/>
      <c r="MLQ31" s="1888"/>
      <c r="MLR31" s="1882"/>
      <c r="MLS31" s="1882"/>
      <c r="MLT31" s="1882"/>
      <c r="MLV31" s="1887"/>
      <c r="MLW31" s="1888"/>
      <c r="MLX31" s="1882"/>
      <c r="MLY31" s="1882"/>
      <c r="MLZ31" s="1882"/>
      <c r="MMB31" s="1887"/>
      <c r="MMC31" s="1888"/>
      <c r="MMD31" s="1882"/>
      <c r="MME31" s="1882"/>
      <c r="MMF31" s="1882"/>
      <c r="MMH31" s="1887"/>
      <c r="MMI31" s="1888"/>
      <c r="MMJ31" s="1882"/>
      <c r="MMK31" s="1882"/>
      <c r="MML31" s="1882"/>
      <c r="MMN31" s="1887"/>
      <c r="MMO31" s="1888"/>
      <c r="MMP31" s="1882"/>
      <c r="MMQ31" s="1882"/>
      <c r="MMR31" s="1882"/>
      <c r="MMT31" s="1887"/>
      <c r="MMU31" s="1888"/>
      <c r="MMV31" s="1882"/>
      <c r="MMW31" s="1882"/>
      <c r="MMX31" s="1882"/>
      <c r="MMZ31" s="1887"/>
      <c r="MNA31" s="1888"/>
      <c r="MNB31" s="1882"/>
      <c r="MNC31" s="1882"/>
      <c r="MND31" s="1882"/>
      <c r="MNF31" s="1887"/>
      <c r="MNG31" s="1888"/>
      <c r="MNH31" s="1882"/>
      <c r="MNI31" s="1882"/>
      <c r="MNJ31" s="1882"/>
      <c r="MNL31" s="1887"/>
      <c r="MNM31" s="1888"/>
      <c r="MNN31" s="1882"/>
      <c r="MNO31" s="1882"/>
      <c r="MNP31" s="1882"/>
      <c r="MNR31" s="1887"/>
      <c r="MNS31" s="1888"/>
      <c r="MNT31" s="1882"/>
      <c r="MNU31" s="1882"/>
      <c r="MNV31" s="1882"/>
      <c r="MNX31" s="1887"/>
      <c r="MNY31" s="1888"/>
      <c r="MNZ31" s="1882"/>
      <c r="MOA31" s="1882"/>
      <c r="MOB31" s="1882"/>
      <c r="MOD31" s="1887"/>
      <c r="MOE31" s="1888"/>
      <c r="MOF31" s="1882"/>
      <c r="MOG31" s="1882"/>
      <c r="MOH31" s="1882"/>
      <c r="MOJ31" s="1887"/>
      <c r="MOK31" s="1888"/>
      <c r="MOL31" s="1882"/>
      <c r="MOM31" s="1882"/>
      <c r="MON31" s="1882"/>
      <c r="MOP31" s="1887"/>
      <c r="MOQ31" s="1888"/>
      <c r="MOR31" s="1882"/>
      <c r="MOS31" s="1882"/>
      <c r="MOT31" s="1882"/>
      <c r="MOV31" s="1887"/>
      <c r="MOW31" s="1888"/>
      <c r="MOX31" s="1882"/>
      <c r="MOY31" s="1882"/>
      <c r="MOZ31" s="1882"/>
      <c r="MPB31" s="1887"/>
      <c r="MPC31" s="1888"/>
      <c r="MPD31" s="1882"/>
      <c r="MPE31" s="1882"/>
      <c r="MPF31" s="1882"/>
      <c r="MPH31" s="1887"/>
      <c r="MPI31" s="1888"/>
      <c r="MPJ31" s="1882"/>
      <c r="MPK31" s="1882"/>
      <c r="MPL31" s="1882"/>
      <c r="MPN31" s="1887"/>
      <c r="MPO31" s="1888"/>
      <c r="MPP31" s="1882"/>
      <c r="MPQ31" s="1882"/>
      <c r="MPR31" s="1882"/>
      <c r="MPT31" s="1887"/>
      <c r="MPU31" s="1888"/>
      <c r="MPV31" s="1882"/>
      <c r="MPW31" s="1882"/>
      <c r="MPX31" s="1882"/>
      <c r="MPZ31" s="1887"/>
      <c r="MQA31" s="1888"/>
      <c r="MQB31" s="1882"/>
      <c r="MQC31" s="1882"/>
      <c r="MQD31" s="1882"/>
      <c r="MQF31" s="1887"/>
      <c r="MQG31" s="1888"/>
      <c r="MQH31" s="1882"/>
      <c r="MQI31" s="1882"/>
      <c r="MQJ31" s="1882"/>
      <c r="MQL31" s="1887"/>
      <c r="MQM31" s="1888"/>
      <c r="MQN31" s="1882"/>
      <c r="MQO31" s="1882"/>
      <c r="MQP31" s="1882"/>
      <c r="MQR31" s="1887"/>
      <c r="MQS31" s="1888"/>
      <c r="MQT31" s="1882"/>
      <c r="MQU31" s="1882"/>
      <c r="MQV31" s="1882"/>
      <c r="MQX31" s="1887"/>
      <c r="MQY31" s="1888"/>
      <c r="MQZ31" s="1882"/>
      <c r="MRA31" s="1882"/>
      <c r="MRB31" s="1882"/>
      <c r="MRD31" s="1887"/>
      <c r="MRE31" s="1888"/>
      <c r="MRF31" s="1882"/>
      <c r="MRG31" s="1882"/>
      <c r="MRH31" s="1882"/>
      <c r="MRJ31" s="1887"/>
      <c r="MRK31" s="1888"/>
      <c r="MRL31" s="1882"/>
      <c r="MRM31" s="1882"/>
      <c r="MRN31" s="1882"/>
      <c r="MRP31" s="1887"/>
      <c r="MRQ31" s="1888"/>
      <c r="MRR31" s="1882"/>
      <c r="MRS31" s="1882"/>
      <c r="MRT31" s="1882"/>
      <c r="MRV31" s="1887"/>
      <c r="MRW31" s="1888"/>
      <c r="MRX31" s="1882"/>
      <c r="MRY31" s="1882"/>
      <c r="MRZ31" s="1882"/>
      <c r="MSB31" s="1887"/>
      <c r="MSC31" s="1888"/>
      <c r="MSD31" s="1882"/>
      <c r="MSE31" s="1882"/>
      <c r="MSF31" s="1882"/>
      <c r="MSH31" s="1887"/>
      <c r="MSI31" s="1888"/>
      <c r="MSJ31" s="1882"/>
      <c r="MSK31" s="1882"/>
      <c r="MSL31" s="1882"/>
      <c r="MSN31" s="1887"/>
      <c r="MSO31" s="1888"/>
      <c r="MSP31" s="1882"/>
      <c r="MSQ31" s="1882"/>
      <c r="MSR31" s="1882"/>
      <c r="MST31" s="1887"/>
      <c r="MSU31" s="1888"/>
      <c r="MSV31" s="1882"/>
      <c r="MSW31" s="1882"/>
      <c r="MSX31" s="1882"/>
      <c r="MSZ31" s="1887"/>
      <c r="MTA31" s="1888"/>
      <c r="MTB31" s="1882"/>
      <c r="MTC31" s="1882"/>
      <c r="MTD31" s="1882"/>
      <c r="MTF31" s="1887"/>
      <c r="MTG31" s="1888"/>
      <c r="MTH31" s="1882"/>
      <c r="MTI31" s="1882"/>
      <c r="MTJ31" s="1882"/>
      <c r="MTL31" s="1887"/>
      <c r="MTM31" s="1888"/>
      <c r="MTN31" s="1882"/>
      <c r="MTO31" s="1882"/>
      <c r="MTP31" s="1882"/>
      <c r="MTR31" s="1887"/>
      <c r="MTS31" s="1888"/>
      <c r="MTT31" s="1882"/>
      <c r="MTU31" s="1882"/>
      <c r="MTV31" s="1882"/>
      <c r="MTX31" s="1887"/>
      <c r="MTY31" s="1888"/>
      <c r="MTZ31" s="1882"/>
      <c r="MUA31" s="1882"/>
      <c r="MUB31" s="1882"/>
      <c r="MUD31" s="1887"/>
      <c r="MUE31" s="1888"/>
      <c r="MUF31" s="1882"/>
      <c r="MUG31" s="1882"/>
      <c r="MUH31" s="1882"/>
      <c r="MUJ31" s="1887"/>
      <c r="MUK31" s="1888"/>
      <c r="MUL31" s="1882"/>
      <c r="MUM31" s="1882"/>
      <c r="MUN31" s="1882"/>
      <c r="MUP31" s="1887"/>
      <c r="MUQ31" s="1888"/>
      <c r="MUR31" s="1882"/>
      <c r="MUS31" s="1882"/>
      <c r="MUT31" s="1882"/>
      <c r="MUV31" s="1887"/>
      <c r="MUW31" s="1888"/>
      <c r="MUX31" s="1882"/>
      <c r="MUY31" s="1882"/>
      <c r="MUZ31" s="1882"/>
      <c r="MVB31" s="1887"/>
      <c r="MVC31" s="1888"/>
      <c r="MVD31" s="1882"/>
      <c r="MVE31" s="1882"/>
      <c r="MVF31" s="1882"/>
      <c r="MVH31" s="1887"/>
      <c r="MVI31" s="1888"/>
      <c r="MVJ31" s="1882"/>
      <c r="MVK31" s="1882"/>
      <c r="MVL31" s="1882"/>
      <c r="MVN31" s="1887"/>
      <c r="MVO31" s="1888"/>
      <c r="MVP31" s="1882"/>
      <c r="MVQ31" s="1882"/>
      <c r="MVR31" s="1882"/>
      <c r="MVT31" s="1887"/>
      <c r="MVU31" s="1888"/>
      <c r="MVV31" s="1882"/>
      <c r="MVW31" s="1882"/>
      <c r="MVX31" s="1882"/>
      <c r="MVZ31" s="1887"/>
      <c r="MWA31" s="1888"/>
      <c r="MWB31" s="1882"/>
      <c r="MWC31" s="1882"/>
      <c r="MWD31" s="1882"/>
      <c r="MWF31" s="1887"/>
      <c r="MWG31" s="1888"/>
      <c r="MWH31" s="1882"/>
      <c r="MWI31" s="1882"/>
      <c r="MWJ31" s="1882"/>
      <c r="MWL31" s="1887"/>
      <c r="MWM31" s="1888"/>
      <c r="MWN31" s="1882"/>
      <c r="MWO31" s="1882"/>
      <c r="MWP31" s="1882"/>
      <c r="MWR31" s="1887"/>
      <c r="MWS31" s="1888"/>
      <c r="MWT31" s="1882"/>
      <c r="MWU31" s="1882"/>
      <c r="MWV31" s="1882"/>
      <c r="MWX31" s="1887"/>
      <c r="MWY31" s="1888"/>
      <c r="MWZ31" s="1882"/>
      <c r="MXA31" s="1882"/>
      <c r="MXB31" s="1882"/>
      <c r="MXD31" s="1887"/>
      <c r="MXE31" s="1888"/>
      <c r="MXF31" s="1882"/>
      <c r="MXG31" s="1882"/>
      <c r="MXH31" s="1882"/>
      <c r="MXJ31" s="1887"/>
      <c r="MXK31" s="1888"/>
      <c r="MXL31" s="1882"/>
      <c r="MXM31" s="1882"/>
      <c r="MXN31" s="1882"/>
      <c r="MXP31" s="1887"/>
      <c r="MXQ31" s="1888"/>
      <c r="MXR31" s="1882"/>
      <c r="MXS31" s="1882"/>
      <c r="MXT31" s="1882"/>
      <c r="MXV31" s="1887"/>
      <c r="MXW31" s="1888"/>
      <c r="MXX31" s="1882"/>
      <c r="MXY31" s="1882"/>
      <c r="MXZ31" s="1882"/>
      <c r="MYB31" s="1887"/>
      <c r="MYC31" s="1888"/>
      <c r="MYD31" s="1882"/>
      <c r="MYE31" s="1882"/>
      <c r="MYF31" s="1882"/>
      <c r="MYH31" s="1887"/>
      <c r="MYI31" s="1888"/>
      <c r="MYJ31" s="1882"/>
      <c r="MYK31" s="1882"/>
      <c r="MYL31" s="1882"/>
      <c r="MYN31" s="1887"/>
      <c r="MYO31" s="1888"/>
      <c r="MYP31" s="1882"/>
      <c r="MYQ31" s="1882"/>
      <c r="MYR31" s="1882"/>
      <c r="MYT31" s="1887"/>
      <c r="MYU31" s="1888"/>
      <c r="MYV31" s="1882"/>
      <c r="MYW31" s="1882"/>
      <c r="MYX31" s="1882"/>
      <c r="MYZ31" s="1887"/>
      <c r="MZA31" s="1888"/>
      <c r="MZB31" s="1882"/>
      <c r="MZC31" s="1882"/>
      <c r="MZD31" s="1882"/>
      <c r="MZF31" s="1887"/>
      <c r="MZG31" s="1888"/>
      <c r="MZH31" s="1882"/>
      <c r="MZI31" s="1882"/>
      <c r="MZJ31" s="1882"/>
      <c r="MZL31" s="1887"/>
      <c r="MZM31" s="1888"/>
      <c r="MZN31" s="1882"/>
      <c r="MZO31" s="1882"/>
      <c r="MZP31" s="1882"/>
      <c r="MZR31" s="1887"/>
      <c r="MZS31" s="1888"/>
      <c r="MZT31" s="1882"/>
      <c r="MZU31" s="1882"/>
      <c r="MZV31" s="1882"/>
      <c r="MZX31" s="1887"/>
      <c r="MZY31" s="1888"/>
      <c r="MZZ31" s="1882"/>
      <c r="NAA31" s="1882"/>
      <c r="NAB31" s="1882"/>
      <c r="NAD31" s="1887"/>
      <c r="NAE31" s="1888"/>
      <c r="NAF31" s="1882"/>
      <c r="NAG31" s="1882"/>
      <c r="NAH31" s="1882"/>
      <c r="NAJ31" s="1887"/>
      <c r="NAK31" s="1888"/>
      <c r="NAL31" s="1882"/>
      <c r="NAM31" s="1882"/>
      <c r="NAN31" s="1882"/>
      <c r="NAP31" s="1887"/>
      <c r="NAQ31" s="1888"/>
      <c r="NAR31" s="1882"/>
      <c r="NAS31" s="1882"/>
      <c r="NAT31" s="1882"/>
      <c r="NAV31" s="1887"/>
      <c r="NAW31" s="1888"/>
      <c r="NAX31" s="1882"/>
      <c r="NAY31" s="1882"/>
      <c r="NAZ31" s="1882"/>
      <c r="NBB31" s="1887"/>
      <c r="NBC31" s="1888"/>
      <c r="NBD31" s="1882"/>
      <c r="NBE31" s="1882"/>
      <c r="NBF31" s="1882"/>
      <c r="NBH31" s="1887"/>
      <c r="NBI31" s="1888"/>
      <c r="NBJ31" s="1882"/>
      <c r="NBK31" s="1882"/>
      <c r="NBL31" s="1882"/>
      <c r="NBN31" s="1887"/>
      <c r="NBO31" s="1888"/>
      <c r="NBP31" s="1882"/>
      <c r="NBQ31" s="1882"/>
      <c r="NBR31" s="1882"/>
      <c r="NBT31" s="1887"/>
      <c r="NBU31" s="1888"/>
      <c r="NBV31" s="1882"/>
      <c r="NBW31" s="1882"/>
      <c r="NBX31" s="1882"/>
      <c r="NBZ31" s="1887"/>
      <c r="NCA31" s="1888"/>
      <c r="NCB31" s="1882"/>
      <c r="NCC31" s="1882"/>
      <c r="NCD31" s="1882"/>
      <c r="NCF31" s="1887"/>
      <c r="NCG31" s="1888"/>
      <c r="NCH31" s="1882"/>
      <c r="NCI31" s="1882"/>
      <c r="NCJ31" s="1882"/>
      <c r="NCL31" s="1887"/>
      <c r="NCM31" s="1888"/>
      <c r="NCN31" s="1882"/>
      <c r="NCO31" s="1882"/>
      <c r="NCP31" s="1882"/>
      <c r="NCR31" s="1887"/>
      <c r="NCS31" s="1888"/>
      <c r="NCT31" s="1882"/>
      <c r="NCU31" s="1882"/>
      <c r="NCV31" s="1882"/>
      <c r="NCX31" s="1887"/>
      <c r="NCY31" s="1888"/>
      <c r="NCZ31" s="1882"/>
      <c r="NDA31" s="1882"/>
      <c r="NDB31" s="1882"/>
      <c r="NDD31" s="1887"/>
      <c r="NDE31" s="1888"/>
      <c r="NDF31" s="1882"/>
      <c r="NDG31" s="1882"/>
      <c r="NDH31" s="1882"/>
      <c r="NDJ31" s="1887"/>
      <c r="NDK31" s="1888"/>
      <c r="NDL31" s="1882"/>
      <c r="NDM31" s="1882"/>
      <c r="NDN31" s="1882"/>
      <c r="NDP31" s="1887"/>
      <c r="NDQ31" s="1888"/>
      <c r="NDR31" s="1882"/>
      <c r="NDS31" s="1882"/>
      <c r="NDT31" s="1882"/>
      <c r="NDV31" s="1887"/>
      <c r="NDW31" s="1888"/>
      <c r="NDX31" s="1882"/>
      <c r="NDY31" s="1882"/>
      <c r="NDZ31" s="1882"/>
      <c r="NEB31" s="1887"/>
      <c r="NEC31" s="1888"/>
      <c r="NED31" s="1882"/>
      <c r="NEE31" s="1882"/>
      <c r="NEF31" s="1882"/>
      <c r="NEH31" s="1887"/>
      <c r="NEI31" s="1888"/>
      <c r="NEJ31" s="1882"/>
      <c r="NEK31" s="1882"/>
      <c r="NEL31" s="1882"/>
      <c r="NEN31" s="1887"/>
      <c r="NEO31" s="1888"/>
      <c r="NEP31" s="1882"/>
      <c r="NEQ31" s="1882"/>
      <c r="NER31" s="1882"/>
      <c r="NET31" s="1887"/>
      <c r="NEU31" s="1888"/>
      <c r="NEV31" s="1882"/>
      <c r="NEW31" s="1882"/>
      <c r="NEX31" s="1882"/>
      <c r="NEZ31" s="1887"/>
      <c r="NFA31" s="1888"/>
      <c r="NFB31" s="1882"/>
      <c r="NFC31" s="1882"/>
      <c r="NFD31" s="1882"/>
      <c r="NFF31" s="1887"/>
      <c r="NFG31" s="1888"/>
      <c r="NFH31" s="1882"/>
      <c r="NFI31" s="1882"/>
      <c r="NFJ31" s="1882"/>
      <c r="NFL31" s="1887"/>
      <c r="NFM31" s="1888"/>
      <c r="NFN31" s="1882"/>
      <c r="NFO31" s="1882"/>
      <c r="NFP31" s="1882"/>
      <c r="NFR31" s="1887"/>
      <c r="NFS31" s="1888"/>
      <c r="NFT31" s="1882"/>
      <c r="NFU31" s="1882"/>
      <c r="NFV31" s="1882"/>
      <c r="NFX31" s="1887"/>
      <c r="NFY31" s="1888"/>
      <c r="NFZ31" s="1882"/>
      <c r="NGA31" s="1882"/>
      <c r="NGB31" s="1882"/>
      <c r="NGD31" s="1887"/>
      <c r="NGE31" s="1888"/>
      <c r="NGF31" s="1882"/>
      <c r="NGG31" s="1882"/>
      <c r="NGH31" s="1882"/>
      <c r="NGJ31" s="1887"/>
      <c r="NGK31" s="1888"/>
      <c r="NGL31" s="1882"/>
      <c r="NGM31" s="1882"/>
      <c r="NGN31" s="1882"/>
      <c r="NGP31" s="1887"/>
      <c r="NGQ31" s="1888"/>
      <c r="NGR31" s="1882"/>
      <c r="NGS31" s="1882"/>
      <c r="NGT31" s="1882"/>
      <c r="NGV31" s="1887"/>
      <c r="NGW31" s="1888"/>
      <c r="NGX31" s="1882"/>
      <c r="NGY31" s="1882"/>
      <c r="NGZ31" s="1882"/>
      <c r="NHB31" s="1887"/>
      <c r="NHC31" s="1888"/>
      <c r="NHD31" s="1882"/>
      <c r="NHE31" s="1882"/>
      <c r="NHF31" s="1882"/>
      <c r="NHH31" s="1887"/>
      <c r="NHI31" s="1888"/>
      <c r="NHJ31" s="1882"/>
      <c r="NHK31" s="1882"/>
      <c r="NHL31" s="1882"/>
      <c r="NHN31" s="1887"/>
      <c r="NHO31" s="1888"/>
      <c r="NHP31" s="1882"/>
      <c r="NHQ31" s="1882"/>
      <c r="NHR31" s="1882"/>
      <c r="NHT31" s="1887"/>
      <c r="NHU31" s="1888"/>
      <c r="NHV31" s="1882"/>
      <c r="NHW31" s="1882"/>
      <c r="NHX31" s="1882"/>
      <c r="NHZ31" s="1887"/>
      <c r="NIA31" s="1888"/>
      <c r="NIB31" s="1882"/>
      <c r="NIC31" s="1882"/>
      <c r="NID31" s="1882"/>
      <c r="NIF31" s="1887"/>
      <c r="NIG31" s="1888"/>
      <c r="NIH31" s="1882"/>
      <c r="NII31" s="1882"/>
      <c r="NIJ31" s="1882"/>
      <c r="NIL31" s="1887"/>
      <c r="NIM31" s="1888"/>
      <c r="NIN31" s="1882"/>
      <c r="NIO31" s="1882"/>
      <c r="NIP31" s="1882"/>
      <c r="NIR31" s="1887"/>
      <c r="NIS31" s="1888"/>
      <c r="NIT31" s="1882"/>
      <c r="NIU31" s="1882"/>
      <c r="NIV31" s="1882"/>
      <c r="NIX31" s="1887"/>
      <c r="NIY31" s="1888"/>
      <c r="NIZ31" s="1882"/>
      <c r="NJA31" s="1882"/>
      <c r="NJB31" s="1882"/>
      <c r="NJD31" s="1887"/>
      <c r="NJE31" s="1888"/>
      <c r="NJF31" s="1882"/>
      <c r="NJG31" s="1882"/>
      <c r="NJH31" s="1882"/>
      <c r="NJJ31" s="1887"/>
      <c r="NJK31" s="1888"/>
      <c r="NJL31" s="1882"/>
      <c r="NJM31" s="1882"/>
      <c r="NJN31" s="1882"/>
      <c r="NJP31" s="1887"/>
      <c r="NJQ31" s="1888"/>
      <c r="NJR31" s="1882"/>
      <c r="NJS31" s="1882"/>
      <c r="NJT31" s="1882"/>
      <c r="NJV31" s="1887"/>
      <c r="NJW31" s="1888"/>
      <c r="NJX31" s="1882"/>
      <c r="NJY31" s="1882"/>
      <c r="NJZ31" s="1882"/>
      <c r="NKB31" s="1887"/>
      <c r="NKC31" s="1888"/>
      <c r="NKD31" s="1882"/>
      <c r="NKE31" s="1882"/>
      <c r="NKF31" s="1882"/>
      <c r="NKH31" s="1887"/>
      <c r="NKI31" s="1888"/>
      <c r="NKJ31" s="1882"/>
      <c r="NKK31" s="1882"/>
      <c r="NKL31" s="1882"/>
      <c r="NKN31" s="1887"/>
      <c r="NKO31" s="1888"/>
      <c r="NKP31" s="1882"/>
      <c r="NKQ31" s="1882"/>
      <c r="NKR31" s="1882"/>
      <c r="NKT31" s="1887"/>
      <c r="NKU31" s="1888"/>
      <c r="NKV31" s="1882"/>
      <c r="NKW31" s="1882"/>
      <c r="NKX31" s="1882"/>
      <c r="NKZ31" s="1887"/>
      <c r="NLA31" s="1888"/>
      <c r="NLB31" s="1882"/>
      <c r="NLC31" s="1882"/>
      <c r="NLD31" s="1882"/>
      <c r="NLF31" s="1887"/>
      <c r="NLG31" s="1888"/>
      <c r="NLH31" s="1882"/>
      <c r="NLI31" s="1882"/>
      <c r="NLJ31" s="1882"/>
      <c r="NLL31" s="1887"/>
      <c r="NLM31" s="1888"/>
      <c r="NLN31" s="1882"/>
      <c r="NLO31" s="1882"/>
      <c r="NLP31" s="1882"/>
      <c r="NLR31" s="1887"/>
      <c r="NLS31" s="1888"/>
      <c r="NLT31" s="1882"/>
      <c r="NLU31" s="1882"/>
      <c r="NLV31" s="1882"/>
      <c r="NLX31" s="1887"/>
      <c r="NLY31" s="1888"/>
      <c r="NLZ31" s="1882"/>
      <c r="NMA31" s="1882"/>
      <c r="NMB31" s="1882"/>
      <c r="NMD31" s="1887"/>
      <c r="NME31" s="1888"/>
      <c r="NMF31" s="1882"/>
      <c r="NMG31" s="1882"/>
      <c r="NMH31" s="1882"/>
      <c r="NMJ31" s="1887"/>
      <c r="NMK31" s="1888"/>
      <c r="NML31" s="1882"/>
      <c r="NMM31" s="1882"/>
      <c r="NMN31" s="1882"/>
      <c r="NMP31" s="1887"/>
      <c r="NMQ31" s="1888"/>
      <c r="NMR31" s="1882"/>
      <c r="NMS31" s="1882"/>
      <c r="NMT31" s="1882"/>
      <c r="NMV31" s="1887"/>
      <c r="NMW31" s="1888"/>
      <c r="NMX31" s="1882"/>
      <c r="NMY31" s="1882"/>
      <c r="NMZ31" s="1882"/>
      <c r="NNB31" s="1887"/>
      <c r="NNC31" s="1888"/>
      <c r="NND31" s="1882"/>
      <c r="NNE31" s="1882"/>
      <c r="NNF31" s="1882"/>
      <c r="NNH31" s="1887"/>
      <c r="NNI31" s="1888"/>
      <c r="NNJ31" s="1882"/>
      <c r="NNK31" s="1882"/>
      <c r="NNL31" s="1882"/>
      <c r="NNN31" s="1887"/>
      <c r="NNO31" s="1888"/>
      <c r="NNP31" s="1882"/>
      <c r="NNQ31" s="1882"/>
      <c r="NNR31" s="1882"/>
      <c r="NNT31" s="1887"/>
      <c r="NNU31" s="1888"/>
      <c r="NNV31" s="1882"/>
      <c r="NNW31" s="1882"/>
      <c r="NNX31" s="1882"/>
      <c r="NNZ31" s="1887"/>
      <c r="NOA31" s="1888"/>
      <c r="NOB31" s="1882"/>
      <c r="NOC31" s="1882"/>
      <c r="NOD31" s="1882"/>
      <c r="NOF31" s="1887"/>
      <c r="NOG31" s="1888"/>
      <c r="NOH31" s="1882"/>
      <c r="NOI31" s="1882"/>
      <c r="NOJ31" s="1882"/>
      <c r="NOL31" s="1887"/>
      <c r="NOM31" s="1888"/>
      <c r="NON31" s="1882"/>
      <c r="NOO31" s="1882"/>
      <c r="NOP31" s="1882"/>
      <c r="NOR31" s="1887"/>
      <c r="NOS31" s="1888"/>
      <c r="NOT31" s="1882"/>
      <c r="NOU31" s="1882"/>
      <c r="NOV31" s="1882"/>
      <c r="NOX31" s="1887"/>
      <c r="NOY31" s="1888"/>
      <c r="NOZ31" s="1882"/>
      <c r="NPA31" s="1882"/>
      <c r="NPB31" s="1882"/>
      <c r="NPD31" s="1887"/>
      <c r="NPE31" s="1888"/>
      <c r="NPF31" s="1882"/>
      <c r="NPG31" s="1882"/>
      <c r="NPH31" s="1882"/>
      <c r="NPJ31" s="1887"/>
      <c r="NPK31" s="1888"/>
      <c r="NPL31" s="1882"/>
      <c r="NPM31" s="1882"/>
      <c r="NPN31" s="1882"/>
      <c r="NPP31" s="1887"/>
      <c r="NPQ31" s="1888"/>
      <c r="NPR31" s="1882"/>
      <c r="NPS31" s="1882"/>
      <c r="NPT31" s="1882"/>
      <c r="NPV31" s="1887"/>
      <c r="NPW31" s="1888"/>
      <c r="NPX31" s="1882"/>
      <c r="NPY31" s="1882"/>
      <c r="NPZ31" s="1882"/>
      <c r="NQB31" s="1887"/>
      <c r="NQC31" s="1888"/>
      <c r="NQD31" s="1882"/>
      <c r="NQE31" s="1882"/>
      <c r="NQF31" s="1882"/>
      <c r="NQH31" s="1887"/>
      <c r="NQI31" s="1888"/>
      <c r="NQJ31" s="1882"/>
      <c r="NQK31" s="1882"/>
      <c r="NQL31" s="1882"/>
      <c r="NQN31" s="1887"/>
      <c r="NQO31" s="1888"/>
      <c r="NQP31" s="1882"/>
      <c r="NQQ31" s="1882"/>
      <c r="NQR31" s="1882"/>
      <c r="NQT31" s="1887"/>
      <c r="NQU31" s="1888"/>
      <c r="NQV31" s="1882"/>
      <c r="NQW31" s="1882"/>
      <c r="NQX31" s="1882"/>
      <c r="NQZ31" s="1887"/>
      <c r="NRA31" s="1888"/>
      <c r="NRB31" s="1882"/>
      <c r="NRC31" s="1882"/>
      <c r="NRD31" s="1882"/>
      <c r="NRF31" s="1887"/>
      <c r="NRG31" s="1888"/>
      <c r="NRH31" s="1882"/>
      <c r="NRI31" s="1882"/>
      <c r="NRJ31" s="1882"/>
      <c r="NRL31" s="1887"/>
      <c r="NRM31" s="1888"/>
      <c r="NRN31" s="1882"/>
      <c r="NRO31" s="1882"/>
      <c r="NRP31" s="1882"/>
      <c r="NRR31" s="1887"/>
      <c r="NRS31" s="1888"/>
      <c r="NRT31" s="1882"/>
      <c r="NRU31" s="1882"/>
      <c r="NRV31" s="1882"/>
      <c r="NRX31" s="1887"/>
      <c r="NRY31" s="1888"/>
      <c r="NRZ31" s="1882"/>
      <c r="NSA31" s="1882"/>
      <c r="NSB31" s="1882"/>
      <c r="NSD31" s="1887"/>
      <c r="NSE31" s="1888"/>
      <c r="NSF31" s="1882"/>
      <c r="NSG31" s="1882"/>
      <c r="NSH31" s="1882"/>
      <c r="NSJ31" s="1887"/>
      <c r="NSK31" s="1888"/>
      <c r="NSL31" s="1882"/>
      <c r="NSM31" s="1882"/>
      <c r="NSN31" s="1882"/>
      <c r="NSP31" s="1887"/>
      <c r="NSQ31" s="1888"/>
      <c r="NSR31" s="1882"/>
      <c r="NSS31" s="1882"/>
      <c r="NST31" s="1882"/>
      <c r="NSV31" s="1887"/>
      <c r="NSW31" s="1888"/>
      <c r="NSX31" s="1882"/>
      <c r="NSY31" s="1882"/>
      <c r="NSZ31" s="1882"/>
      <c r="NTB31" s="1887"/>
      <c r="NTC31" s="1888"/>
      <c r="NTD31" s="1882"/>
      <c r="NTE31" s="1882"/>
      <c r="NTF31" s="1882"/>
      <c r="NTH31" s="1887"/>
      <c r="NTI31" s="1888"/>
      <c r="NTJ31" s="1882"/>
      <c r="NTK31" s="1882"/>
      <c r="NTL31" s="1882"/>
      <c r="NTN31" s="1887"/>
      <c r="NTO31" s="1888"/>
      <c r="NTP31" s="1882"/>
      <c r="NTQ31" s="1882"/>
      <c r="NTR31" s="1882"/>
      <c r="NTT31" s="1887"/>
      <c r="NTU31" s="1888"/>
      <c r="NTV31" s="1882"/>
      <c r="NTW31" s="1882"/>
      <c r="NTX31" s="1882"/>
      <c r="NTZ31" s="1887"/>
      <c r="NUA31" s="1888"/>
      <c r="NUB31" s="1882"/>
      <c r="NUC31" s="1882"/>
      <c r="NUD31" s="1882"/>
      <c r="NUF31" s="1887"/>
      <c r="NUG31" s="1888"/>
      <c r="NUH31" s="1882"/>
      <c r="NUI31" s="1882"/>
      <c r="NUJ31" s="1882"/>
      <c r="NUL31" s="1887"/>
      <c r="NUM31" s="1888"/>
      <c r="NUN31" s="1882"/>
      <c r="NUO31" s="1882"/>
      <c r="NUP31" s="1882"/>
      <c r="NUR31" s="1887"/>
      <c r="NUS31" s="1888"/>
      <c r="NUT31" s="1882"/>
      <c r="NUU31" s="1882"/>
      <c r="NUV31" s="1882"/>
      <c r="NUX31" s="1887"/>
      <c r="NUY31" s="1888"/>
      <c r="NUZ31" s="1882"/>
      <c r="NVA31" s="1882"/>
      <c r="NVB31" s="1882"/>
      <c r="NVD31" s="1887"/>
      <c r="NVE31" s="1888"/>
      <c r="NVF31" s="1882"/>
      <c r="NVG31" s="1882"/>
      <c r="NVH31" s="1882"/>
      <c r="NVJ31" s="1887"/>
      <c r="NVK31" s="1888"/>
      <c r="NVL31" s="1882"/>
      <c r="NVM31" s="1882"/>
      <c r="NVN31" s="1882"/>
      <c r="NVP31" s="1887"/>
      <c r="NVQ31" s="1888"/>
      <c r="NVR31" s="1882"/>
      <c r="NVS31" s="1882"/>
      <c r="NVT31" s="1882"/>
      <c r="NVV31" s="1887"/>
      <c r="NVW31" s="1888"/>
      <c r="NVX31" s="1882"/>
      <c r="NVY31" s="1882"/>
      <c r="NVZ31" s="1882"/>
      <c r="NWB31" s="1887"/>
      <c r="NWC31" s="1888"/>
      <c r="NWD31" s="1882"/>
      <c r="NWE31" s="1882"/>
      <c r="NWF31" s="1882"/>
      <c r="NWH31" s="1887"/>
      <c r="NWI31" s="1888"/>
      <c r="NWJ31" s="1882"/>
      <c r="NWK31" s="1882"/>
      <c r="NWL31" s="1882"/>
      <c r="NWN31" s="1887"/>
      <c r="NWO31" s="1888"/>
      <c r="NWP31" s="1882"/>
      <c r="NWQ31" s="1882"/>
      <c r="NWR31" s="1882"/>
      <c r="NWT31" s="1887"/>
      <c r="NWU31" s="1888"/>
      <c r="NWV31" s="1882"/>
      <c r="NWW31" s="1882"/>
      <c r="NWX31" s="1882"/>
      <c r="NWZ31" s="1887"/>
      <c r="NXA31" s="1888"/>
      <c r="NXB31" s="1882"/>
      <c r="NXC31" s="1882"/>
      <c r="NXD31" s="1882"/>
      <c r="NXF31" s="1887"/>
      <c r="NXG31" s="1888"/>
      <c r="NXH31" s="1882"/>
      <c r="NXI31" s="1882"/>
      <c r="NXJ31" s="1882"/>
      <c r="NXL31" s="1887"/>
      <c r="NXM31" s="1888"/>
      <c r="NXN31" s="1882"/>
      <c r="NXO31" s="1882"/>
      <c r="NXP31" s="1882"/>
      <c r="NXR31" s="1887"/>
      <c r="NXS31" s="1888"/>
      <c r="NXT31" s="1882"/>
      <c r="NXU31" s="1882"/>
      <c r="NXV31" s="1882"/>
      <c r="NXX31" s="1887"/>
      <c r="NXY31" s="1888"/>
      <c r="NXZ31" s="1882"/>
      <c r="NYA31" s="1882"/>
      <c r="NYB31" s="1882"/>
      <c r="NYD31" s="1887"/>
      <c r="NYE31" s="1888"/>
      <c r="NYF31" s="1882"/>
      <c r="NYG31" s="1882"/>
      <c r="NYH31" s="1882"/>
      <c r="NYJ31" s="1887"/>
      <c r="NYK31" s="1888"/>
      <c r="NYL31" s="1882"/>
      <c r="NYM31" s="1882"/>
      <c r="NYN31" s="1882"/>
      <c r="NYP31" s="1887"/>
      <c r="NYQ31" s="1888"/>
      <c r="NYR31" s="1882"/>
      <c r="NYS31" s="1882"/>
      <c r="NYT31" s="1882"/>
      <c r="NYV31" s="1887"/>
      <c r="NYW31" s="1888"/>
      <c r="NYX31" s="1882"/>
      <c r="NYY31" s="1882"/>
      <c r="NYZ31" s="1882"/>
      <c r="NZB31" s="1887"/>
      <c r="NZC31" s="1888"/>
      <c r="NZD31" s="1882"/>
      <c r="NZE31" s="1882"/>
      <c r="NZF31" s="1882"/>
      <c r="NZH31" s="1887"/>
      <c r="NZI31" s="1888"/>
      <c r="NZJ31" s="1882"/>
      <c r="NZK31" s="1882"/>
      <c r="NZL31" s="1882"/>
      <c r="NZN31" s="1887"/>
      <c r="NZO31" s="1888"/>
      <c r="NZP31" s="1882"/>
      <c r="NZQ31" s="1882"/>
      <c r="NZR31" s="1882"/>
      <c r="NZT31" s="1887"/>
      <c r="NZU31" s="1888"/>
      <c r="NZV31" s="1882"/>
      <c r="NZW31" s="1882"/>
      <c r="NZX31" s="1882"/>
      <c r="NZZ31" s="1887"/>
      <c r="OAA31" s="1888"/>
      <c r="OAB31" s="1882"/>
      <c r="OAC31" s="1882"/>
      <c r="OAD31" s="1882"/>
      <c r="OAF31" s="1887"/>
      <c r="OAG31" s="1888"/>
      <c r="OAH31" s="1882"/>
      <c r="OAI31" s="1882"/>
      <c r="OAJ31" s="1882"/>
      <c r="OAL31" s="1887"/>
      <c r="OAM31" s="1888"/>
      <c r="OAN31" s="1882"/>
      <c r="OAO31" s="1882"/>
      <c r="OAP31" s="1882"/>
      <c r="OAR31" s="1887"/>
      <c r="OAS31" s="1888"/>
      <c r="OAT31" s="1882"/>
      <c r="OAU31" s="1882"/>
      <c r="OAV31" s="1882"/>
      <c r="OAX31" s="1887"/>
      <c r="OAY31" s="1888"/>
      <c r="OAZ31" s="1882"/>
      <c r="OBA31" s="1882"/>
      <c r="OBB31" s="1882"/>
      <c r="OBD31" s="1887"/>
      <c r="OBE31" s="1888"/>
      <c r="OBF31" s="1882"/>
      <c r="OBG31" s="1882"/>
      <c r="OBH31" s="1882"/>
      <c r="OBJ31" s="1887"/>
      <c r="OBK31" s="1888"/>
      <c r="OBL31" s="1882"/>
      <c r="OBM31" s="1882"/>
      <c r="OBN31" s="1882"/>
      <c r="OBP31" s="1887"/>
      <c r="OBQ31" s="1888"/>
      <c r="OBR31" s="1882"/>
      <c r="OBS31" s="1882"/>
      <c r="OBT31" s="1882"/>
      <c r="OBV31" s="1887"/>
      <c r="OBW31" s="1888"/>
      <c r="OBX31" s="1882"/>
      <c r="OBY31" s="1882"/>
      <c r="OBZ31" s="1882"/>
      <c r="OCB31" s="1887"/>
      <c r="OCC31" s="1888"/>
      <c r="OCD31" s="1882"/>
      <c r="OCE31" s="1882"/>
      <c r="OCF31" s="1882"/>
      <c r="OCH31" s="1887"/>
      <c r="OCI31" s="1888"/>
      <c r="OCJ31" s="1882"/>
      <c r="OCK31" s="1882"/>
      <c r="OCL31" s="1882"/>
      <c r="OCN31" s="1887"/>
      <c r="OCO31" s="1888"/>
      <c r="OCP31" s="1882"/>
      <c r="OCQ31" s="1882"/>
      <c r="OCR31" s="1882"/>
      <c r="OCT31" s="1887"/>
      <c r="OCU31" s="1888"/>
      <c r="OCV31" s="1882"/>
      <c r="OCW31" s="1882"/>
      <c r="OCX31" s="1882"/>
      <c r="OCZ31" s="1887"/>
      <c r="ODA31" s="1888"/>
      <c r="ODB31" s="1882"/>
      <c r="ODC31" s="1882"/>
      <c r="ODD31" s="1882"/>
      <c r="ODF31" s="1887"/>
      <c r="ODG31" s="1888"/>
      <c r="ODH31" s="1882"/>
      <c r="ODI31" s="1882"/>
      <c r="ODJ31" s="1882"/>
      <c r="ODL31" s="1887"/>
      <c r="ODM31" s="1888"/>
      <c r="ODN31" s="1882"/>
      <c r="ODO31" s="1882"/>
      <c r="ODP31" s="1882"/>
      <c r="ODR31" s="1887"/>
      <c r="ODS31" s="1888"/>
      <c r="ODT31" s="1882"/>
      <c r="ODU31" s="1882"/>
      <c r="ODV31" s="1882"/>
      <c r="ODX31" s="1887"/>
      <c r="ODY31" s="1888"/>
      <c r="ODZ31" s="1882"/>
      <c r="OEA31" s="1882"/>
      <c r="OEB31" s="1882"/>
      <c r="OED31" s="1887"/>
      <c r="OEE31" s="1888"/>
      <c r="OEF31" s="1882"/>
      <c r="OEG31" s="1882"/>
      <c r="OEH31" s="1882"/>
      <c r="OEJ31" s="1887"/>
      <c r="OEK31" s="1888"/>
      <c r="OEL31" s="1882"/>
      <c r="OEM31" s="1882"/>
      <c r="OEN31" s="1882"/>
      <c r="OEP31" s="1887"/>
      <c r="OEQ31" s="1888"/>
      <c r="OER31" s="1882"/>
      <c r="OES31" s="1882"/>
      <c r="OET31" s="1882"/>
      <c r="OEV31" s="1887"/>
      <c r="OEW31" s="1888"/>
      <c r="OEX31" s="1882"/>
      <c r="OEY31" s="1882"/>
      <c r="OEZ31" s="1882"/>
      <c r="OFB31" s="1887"/>
      <c r="OFC31" s="1888"/>
      <c r="OFD31" s="1882"/>
      <c r="OFE31" s="1882"/>
      <c r="OFF31" s="1882"/>
      <c r="OFH31" s="1887"/>
      <c r="OFI31" s="1888"/>
      <c r="OFJ31" s="1882"/>
      <c r="OFK31" s="1882"/>
      <c r="OFL31" s="1882"/>
      <c r="OFN31" s="1887"/>
      <c r="OFO31" s="1888"/>
      <c r="OFP31" s="1882"/>
      <c r="OFQ31" s="1882"/>
      <c r="OFR31" s="1882"/>
      <c r="OFT31" s="1887"/>
      <c r="OFU31" s="1888"/>
      <c r="OFV31" s="1882"/>
      <c r="OFW31" s="1882"/>
      <c r="OFX31" s="1882"/>
      <c r="OFZ31" s="1887"/>
      <c r="OGA31" s="1888"/>
      <c r="OGB31" s="1882"/>
      <c r="OGC31" s="1882"/>
      <c r="OGD31" s="1882"/>
      <c r="OGF31" s="1887"/>
      <c r="OGG31" s="1888"/>
      <c r="OGH31" s="1882"/>
      <c r="OGI31" s="1882"/>
      <c r="OGJ31" s="1882"/>
      <c r="OGL31" s="1887"/>
      <c r="OGM31" s="1888"/>
      <c r="OGN31" s="1882"/>
      <c r="OGO31" s="1882"/>
      <c r="OGP31" s="1882"/>
      <c r="OGR31" s="1887"/>
      <c r="OGS31" s="1888"/>
      <c r="OGT31" s="1882"/>
      <c r="OGU31" s="1882"/>
      <c r="OGV31" s="1882"/>
      <c r="OGX31" s="1887"/>
      <c r="OGY31" s="1888"/>
      <c r="OGZ31" s="1882"/>
      <c r="OHA31" s="1882"/>
      <c r="OHB31" s="1882"/>
      <c r="OHD31" s="1887"/>
      <c r="OHE31" s="1888"/>
      <c r="OHF31" s="1882"/>
      <c r="OHG31" s="1882"/>
      <c r="OHH31" s="1882"/>
      <c r="OHJ31" s="1887"/>
      <c r="OHK31" s="1888"/>
      <c r="OHL31" s="1882"/>
      <c r="OHM31" s="1882"/>
      <c r="OHN31" s="1882"/>
      <c r="OHP31" s="1887"/>
      <c r="OHQ31" s="1888"/>
      <c r="OHR31" s="1882"/>
      <c r="OHS31" s="1882"/>
      <c r="OHT31" s="1882"/>
      <c r="OHV31" s="1887"/>
      <c r="OHW31" s="1888"/>
      <c r="OHX31" s="1882"/>
      <c r="OHY31" s="1882"/>
      <c r="OHZ31" s="1882"/>
      <c r="OIB31" s="1887"/>
      <c r="OIC31" s="1888"/>
      <c r="OID31" s="1882"/>
      <c r="OIE31" s="1882"/>
      <c r="OIF31" s="1882"/>
      <c r="OIH31" s="1887"/>
      <c r="OII31" s="1888"/>
      <c r="OIJ31" s="1882"/>
      <c r="OIK31" s="1882"/>
      <c r="OIL31" s="1882"/>
      <c r="OIN31" s="1887"/>
      <c r="OIO31" s="1888"/>
      <c r="OIP31" s="1882"/>
      <c r="OIQ31" s="1882"/>
      <c r="OIR31" s="1882"/>
      <c r="OIT31" s="1887"/>
      <c r="OIU31" s="1888"/>
      <c r="OIV31" s="1882"/>
      <c r="OIW31" s="1882"/>
      <c r="OIX31" s="1882"/>
      <c r="OIZ31" s="1887"/>
      <c r="OJA31" s="1888"/>
      <c r="OJB31" s="1882"/>
      <c r="OJC31" s="1882"/>
      <c r="OJD31" s="1882"/>
      <c r="OJF31" s="1887"/>
      <c r="OJG31" s="1888"/>
      <c r="OJH31" s="1882"/>
      <c r="OJI31" s="1882"/>
      <c r="OJJ31" s="1882"/>
      <c r="OJL31" s="1887"/>
      <c r="OJM31" s="1888"/>
      <c r="OJN31" s="1882"/>
      <c r="OJO31" s="1882"/>
      <c r="OJP31" s="1882"/>
      <c r="OJR31" s="1887"/>
      <c r="OJS31" s="1888"/>
      <c r="OJT31" s="1882"/>
      <c r="OJU31" s="1882"/>
      <c r="OJV31" s="1882"/>
      <c r="OJX31" s="1887"/>
      <c r="OJY31" s="1888"/>
      <c r="OJZ31" s="1882"/>
      <c r="OKA31" s="1882"/>
      <c r="OKB31" s="1882"/>
      <c r="OKD31" s="1887"/>
      <c r="OKE31" s="1888"/>
      <c r="OKF31" s="1882"/>
      <c r="OKG31" s="1882"/>
      <c r="OKH31" s="1882"/>
      <c r="OKJ31" s="1887"/>
      <c r="OKK31" s="1888"/>
      <c r="OKL31" s="1882"/>
      <c r="OKM31" s="1882"/>
      <c r="OKN31" s="1882"/>
      <c r="OKP31" s="1887"/>
      <c r="OKQ31" s="1888"/>
      <c r="OKR31" s="1882"/>
      <c r="OKS31" s="1882"/>
      <c r="OKT31" s="1882"/>
      <c r="OKV31" s="1887"/>
      <c r="OKW31" s="1888"/>
      <c r="OKX31" s="1882"/>
      <c r="OKY31" s="1882"/>
      <c r="OKZ31" s="1882"/>
      <c r="OLB31" s="1887"/>
      <c r="OLC31" s="1888"/>
      <c r="OLD31" s="1882"/>
      <c r="OLE31" s="1882"/>
      <c r="OLF31" s="1882"/>
      <c r="OLH31" s="1887"/>
      <c r="OLI31" s="1888"/>
      <c r="OLJ31" s="1882"/>
      <c r="OLK31" s="1882"/>
      <c r="OLL31" s="1882"/>
      <c r="OLN31" s="1887"/>
      <c r="OLO31" s="1888"/>
      <c r="OLP31" s="1882"/>
      <c r="OLQ31" s="1882"/>
      <c r="OLR31" s="1882"/>
      <c r="OLT31" s="1887"/>
      <c r="OLU31" s="1888"/>
      <c r="OLV31" s="1882"/>
      <c r="OLW31" s="1882"/>
      <c r="OLX31" s="1882"/>
      <c r="OLZ31" s="1887"/>
      <c r="OMA31" s="1888"/>
      <c r="OMB31" s="1882"/>
      <c r="OMC31" s="1882"/>
      <c r="OMD31" s="1882"/>
      <c r="OMF31" s="1887"/>
      <c r="OMG31" s="1888"/>
      <c r="OMH31" s="1882"/>
      <c r="OMI31" s="1882"/>
      <c r="OMJ31" s="1882"/>
      <c r="OML31" s="1887"/>
      <c r="OMM31" s="1888"/>
      <c r="OMN31" s="1882"/>
      <c r="OMO31" s="1882"/>
      <c r="OMP31" s="1882"/>
      <c r="OMR31" s="1887"/>
      <c r="OMS31" s="1888"/>
      <c r="OMT31" s="1882"/>
      <c r="OMU31" s="1882"/>
      <c r="OMV31" s="1882"/>
      <c r="OMX31" s="1887"/>
      <c r="OMY31" s="1888"/>
      <c r="OMZ31" s="1882"/>
      <c r="ONA31" s="1882"/>
      <c r="ONB31" s="1882"/>
      <c r="OND31" s="1887"/>
      <c r="ONE31" s="1888"/>
      <c r="ONF31" s="1882"/>
      <c r="ONG31" s="1882"/>
      <c r="ONH31" s="1882"/>
      <c r="ONJ31" s="1887"/>
      <c r="ONK31" s="1888"/>
      <c r="ONL31" s="1882"/>
      <c r="ONM31" s="1882"/>
      <c r="ONN31" s="1882"/>
      <c r="ONP31" s="1887"/>
      <c r="ONQ31" s="1888"/>
      <c r="ONR31" s="1882"/>
      <c r="ONS31" s="1882"/>
      <c r="ONT31" s="1882"/>
      <c r="ONV31" s="1887"/>
      <c r="ONW31" s="1888"/>
      <c r="ONX31" s="1882"/>
      <c r="ONY31" s="1882"/>
      <c r="ONZ31" s="1882"/>
      <c r="OOB31" s="1887"/>
      <c r="OOC31" s="1888"/>
      <c r="OOD31" s="1882"/>
      <c r="OOE31" s="1882"/>
      <c r="OOF31" s="1882"/>
      <c r="OOH31" s="1887"/>
      <c r="OOI31" s="1888"/>
      <c r="OOJ31" s="1882"/>
      <c r="OOK31" s="1882"/>
      <c r="OOL31" s="1882"/>
      <c r="OON31" s="1887"/>
      <c r="OOO31" s="1888"/>
      <c r="OOP31" s="1882"/>
      <c r="OOQ31" s="1882"/>
      <c r="OOR31" s="1882"/>
      <c r="OOT31" s="1887"/>
      <c r="OOU31" s="1888"/>
      <c r="OOV31" s="1882"/>
      <c r="OOW31" s="1882"/>
      <c r="OOX31" s="1882"/>
      <c r="OOZ31" s="1887"/>
      <c r="OPA31" s="1888"/>
      <c r="OPB31" s="1882"/>
      <c r="OPC31" s="1882"/>
      <c r="OPD31" s="1882"/>
      <c r="OPF31" s="1887"/>
      <c r="OPG31" s="1888"/>
      <c r="OPH31" s="1882"/>
      <c r="OPI31" s="1882"/>
      <c r="OPJ31" s="1882"/>
      <c r="OPL31" s="1887"/>
      <c r="OPM31" s="1888"/>
      <c r="OPN31" s="1882"/>
      <c r="OPO31" s="1882"/>
      <c r="OPP31" s="1882"/>
      <c r="OPR31" s="1887"/>
      <c r="OPS31" s="1888"/>
      <c r="OPT31" s="1882"/>
      <c r="OPU31" s="1882"/>
      <c r="OPV31" s="1882"/>
      <c r="OPX31" s="1887"/>
      <c r="OPY31" s="1888"/>
      <c r="OPZ31" s="1882"/>
      <c r="OQA31" s="1882"/>
      <c r="OQB31" s="1882"/>
      <c r="OQD31" s="1887"/>
      <c r="OQE31" s="1888"/>
      <c r="OQF31" s="1882"/>
      <c r="OQG31" s="1882"/>
      <c r="OQH31" s="1882"/>
      <c r="OQJ31" s="1887"/>
      <c r="OQK31" s="1888"/>
      <c r="OQL31" s="1882"/>
      <c r="OQM31" s="1882"/>
      <c r="OQN31" s="1882"/>
      <c r="OQP31" s="1887"/>
      <c r="OQQ31" s="1888"/>
      <c r="OQR31" s="1882"/>
      <c r="OQS31" s="1882"/>
      <c r="OQT31" s="1882"/>
      <c r="OQV31" s="1887"/>
      <c r="OQW31" s="1888"/>
      <c r="OQX31" s="1882"/>
      <c r="OQY31" s="1882"/>
      <c r="OQZ31" s="1882"/>
      <c r="ORB31" s="1887"/>
      <c r="ORC31" s="1888"/>
      <c r="ORD31" s="1882"/>
      <c r="ORE31" s="1882"/>
      <c r="ORF31" s="1882"/>
      <c r="ORH31" s="1887"/>
      <c r="ORI31" s="1888"/>
      <c r="ORJ31" s="1882"/>
      <c r="ORK31" s="1882"/>
      <c r="ORL31" s="1882"/>
      <c r="ORN31" s="1887"/>
      <c r="ORO31" s="1888"/>
      <c r="ORP31" s="1882"/>
      <c r="ORQ31" s="1882"/>
      <c r="ORR31" s="1882"/>
      <c r="ORT31" s="1887"/>
      <c r="ORU31" s="1888"/>
      <c r="ORV31" s="1882"/>
      <c r="ORW31" s="1882"/>
      <c r="ORX31" s="1882"/>
      <c r="ORZ31" s="1887"/>
      <c r="OSA31" s="1888"/>
      <c r="OSB31" s="1882"/>
      <c r="OSC31" s="1882"/>
      <c r="OSD31" s="1882"/>
      <c r="OSF31" s="1887"/>
      <c r="OSG31" s="1888"/>
      <c r="OSH31" s="1882"/>
      <c r="OSI31" s="1882"/>
      <c r="OSJ31" s="1882"/>
      <c r="OSL31" s="1887"/>
      <c r="OSM31" s="1888"/>
      <c r="OSN31" s="1882"/>
      <c r="OSO31" s="1882"/>
      <c r="OSP31" s="1882"/>
      <c r="OSR31" s="1887"/>
      <c r="OSS31" s="1888"/>
      <c r="OST31" s="1882"/>
      <c r="OSU31" s="1882"/>
      <c r="OSV31" s="1882"/>
      <c r="OSX31" s="1887"/>
      <c r="OSY31" s="1888"/>
      <c r="OSZ31" s="1882"/>
      <c r="OTA31" s="1882"/>
      <c r="OTB31" s="1882"/>
      <c r="OTD31" s="1887"/>
      <c r="OTE31" s="1888"/>
      <c r="OTF31" s="1882"/>
      <c r="OTG31" s="1882"/>
      <c r="OTH31" s="1882"/>
      <c r="OTJ31" s="1887"/>
      <c r="OTK31" s="1888"/>
      <c r="OTL31" s="1882"/>
      <c r="OTM31" s="1882"/>
      <c r="OTN31" s="1882"/>
      <c r="OTP31" s="1887"/>
      <c r="OTQ31" s="1888"/>
      <c r="OTR31" s="1882"/>
      <c r="OTS31" s="1882"/>
      <c r="OTT31" s="1882"/>
      <c r="OTV31" s="1887"/>
      <c r="OTW31" s="1888"/>
      <c r="OTX31" s="1882"/>
      <c r="OTY31" s="1882"/>
      <c r="OTZ31" s="1882"/>
      <c r="OUB31" s="1887"/>
      <c r="OUC31" s="1888"/>
      <c r="OUD31" s="1882"/>
      <c r="OUE31" s="1882"/>
      <c r="OUF31" s="1882"/>
      <c r="OUH31" s="1887"/>
      <c r="OUI31" s="1888"/>
      <c r="OUJ31" s="1882"/>
      <c r="OUK31" s="1882"/>
      <c r="OUL31" s="1882"/>
      <c r="OUN31" s="1887"/>
      <c r="OUO31" s="1888"/>
      <c r="OUP31" s="1882"/>
      <c r="OUQ31" s="1882"/>
      <c r="OUR31" s="1882"/>
      <c r="OUT31" s="1887"/>
      <c r="OUU31" s="1888"/>
      <c r="OUV31" s="1882"/>
      <c r="OUW31" s="1882"/>
      <c r="OUX31" s="1882"/>
      <c r="OUZ31" s="1887"/>
      <c r="OVA31" s="1888"/>
      <c r="OVB31" s="1882"/>
      <c r="OVC31" s="1882"/>
      <c r="OVD31" s="1882"/>
      <c r="OVF31" s="1887"/>
      <c r="OVG31" s="1888"/>
      <c r="OVH31" s="1882"/>
      <c r="OVI31" s="1882"/>
      <c r="OVJ31" s="1882"/>
      <c r="OVL31" s="1887"/>
      <c r="OVM31" s="1888"/>
      <c r="OVN31" s="1882"/>
      <c r="OVO31" s="1882"/>
      <c r="OVP31" s="1882"/>
      <c r="OVR31" s="1887"/>
      <c r="OVS31" s="1888"/>
      <c r="OVT31" s="1882"/>
      <c r="OVU31" s="1882"/>
      <c r="OVV31" s="1882"/>
      <c r="OVX31" s="1887"/>
      <c r="OVY31" s="1888"/>
      <c r="OVZ31" s="1882"/>
      <c r="OWA31" s="1882"/>
      <c r="OWB31" s="1882"/>
      <c r="OWD31" s="1887"/>
      <c r="OWE31" s="1888"/>
      <c r="OWF31" s="1882"/>
      <c r="OWG31" s="1882"/>
      <c r="OWH31" s="1882"/>
      <c r="OWJ31" s="1887"/>
      <c r="OWK31" s="1888"/>
      <c r="OWL31" s="1882"/>
      <c r="OWM31" s="1882"/>
      <c r="OWN31" s="1882"/>
      <c r="OWP31" s="1887"/>
      <c r="OWQ31" s="1888"/>
      <c r="OWR31" s="1882"/>
      <c r="OWS31" s="1882"/>
      <c r="OWT31" s="1882"/>
      <c r="OWV31" s="1887"/>
      <c r="OWW31" s="1888"/>
      <c r="OWX31" s="1882"/>
      <c r="OWY31" s="1882"/>
      <c r="OWZ31" s="1882"/>
      <c r="OXB31" s="1887"/>
      <c r="OXC31" s="1888"/>
      <c r="OXD31" s="1882"/>
      <c r="OXE31" s="1882"/>
      <c r="OXF31" s="1882"/>
      <c r="OXH31" s="1887"/>
      <c r="OXI31" s="1888"/>
      <c r="OXJ31" s="1882"/>
      <c r="OXK31" s="1882"/>
      <c r="OXL31" s="1882"/>
      <c r="OXN31" s="1887"/>
      <c r="OXO31" s="1888"/>
      <c r="OXP31" s="1882"/>
      <c r="OXQ31" s="1882"/>
      <c r="OXR31" s="1882"/>
      <c r="OXT31" s="1887"/>
      <c r="OXU31" s="1888"/>
      <c r="OXV31" s="1882"/>
      <c r="OXW31" s="1882"/>
      <c r="OXX31" s="1882"/>
      <c r="OXZ31" s="1887"/>
      <c r="OYA31" s="1888"/>
      <c r="OYB31" s="1882"/>
      <c r="OYC31" s="1882"/>
      <c r="OYD31" s="1882"/>
      <c r="OYF31" s="1887"/>
      <c r="OYG31" s="1888"/>
      <c r="OYH31" s="1882"/>
      <c r="OYI31" s="1882"/>
      <c r="OYJ31" s="1882"/>
      <c r="OYL31" s="1887"/>
      <c r="OYM31" s="1888"/>
      <c r="OYN31" s="1882"/>
      <c r="OYO31" s="1882"/>
      <c r="OYP31" s="1882"/>
      <c r="OYR31" s="1887"/>
      <c r="OYS31" s="1888"/>
      <c r="OYT31" s="1882"/>
      <c r="OYU31" s="1882"/>
      <c r="OYV31" s="1882"/>
      <c r="OYX31" s="1887"/>
      <c r="OYY31" s="1888"/>
      <c r="OYZ31" s="1882"/>
      <c r="OZA31" s="1882"/>
      <c r="OZB31" s="1882"/>
      <c r="OZD31" s="1887"/>
      <c r="OZE31" s="1888"/>
      <c r="OZF31" s="1882"/>
      <c r="OZG31" s="1882"/>
      <c r="OZH31" s="1882"/>
      <c r="OZJ31" s="1887"/>
      <c r="OZK31" s="1888"/>
      <c r="OZL31" s="1882"/>
      <c r="OZM31" s="1882"/>
      <c r="OZN31" s="1882"/>
      <c r="OZP31" s="1887"/>
      <c r="OZQ31" s="1888"/>
      <c r="OZR31" s="1882"/>
      <c r="OZS31" s="1882"/>
      <c r="OZT31" s="1882"/>
      <c r="OZV31" s="1887"/>
      <c r="OZW31" s="1888"/>
      <c r="OZX31" s="1882"/>
      <c r="OZY31" s="1882"/>
      <c r="OZZ31" s="1882"/>
      <c r="PAB31" s="1887"/>
      <c r="PAC31" s="1888"/>
      <c r="PAD31" s="1882"/>
      <c r="PAE31" s="1882"/>
      <c r="PAF31" s="1882"/>
      <c r="PAH31" s="1887"/>
      <c r="PAI31" s="1888"/>
      <c r="PAJ31" s="1882"/>
      <c r="PAK31" s="1882"/>
      <c r="PAL31" s="1882"/>
      <c r="PAN31" s="1887"/>
      <c r="PAO31" s="1888"/>
      <c r="PAP31" s="1882"/>
      <c r="PAQ31" s="1882"/>
      <c r="PAR31" s="1882"/>
      <c r="PAT31" s="1887"/>
      <c r="PAU31" s="1888"/>
      <c r="PAV31" s="1882"/>
      <c r="PAW31" s="1882"/>
      <c r="PAX31" s="1882"/>
      <c r="PAZ31" s="1887"/>
      <c r="PBA31" s="1888"/>
      <c r="PBB31" s="1882"/>
      <c r="PBC31" s="1882"/>
      <c r="PBD31" s="1882"/>
      <c r="PBF31" s="1887"/>
      <c r="PBG31" s="1888"/>
      <c r="PBH31" s="1882"/>
      <c r="PBI31" s="1882"/>
      <c r="PBJ31" s="1882"/>
      <c r="PBL31" s="1887"/>
      <c r="PBM31" s="1888"/>
      <c r="PBN31" s="1882"/>
      <c r="PBO31" s="1882"/>
      <c r="PBP31" s="1882"/>
      <c r="PBR31" s="1887"/>
      <c r="PBS31" s="1888"/>
      <c r="PBT31" s="1882"/>
      <c r="PBU31" s="1882"/>
      <c r="PBV31" s="1882"/>
      <c r="PBX31" s="1887"/>
      <c r="PBY31" s="1888"/>
      <c r="PBZ31" s="1882"/>
      <c r="PCA31" s="1882"/>
      <c r="PCB31" s="1882"/>
      <c r="PCD31" s="1887"/>
      <c r="PCE31" s="1888"/>
      <c r="PCF31" s="1882"/>
      <c r="PCG31" s="1882"/>
      <c r="PCH31" s="1882"/>
      <c r="PCJ31" s="1887"/>
      <c r="PCK31" s="1888"/>
      <c r="PCL31" s="1882"/>
      <c r="PCM31" s="1882"/>
      <c r="PCN31" s="1882"/>
      <c r="PCP31" s="1887"/>
      <c r="PCQ31" s="1888"/>
      <c r="PCR31" s="1882"/>
      <c r="PCS31" s="1882"/>
      <c r="PCT31" s="1882"/>
      <c r="PCV31" s="1887"/>
      <c r="PCW31" s="1888"/>
      <c r="PCX31" s="1882"/>
      <c r="PCY31" s="1882"/>
      <c r="PCZ31" s="1882"/>
      <c r="PDB31" s="1887"/>
      <c r="PDC31" s="1888"/>
      <c r="PDD31" s="1882"/>
      <c r="PDE31" s="1882"/>
      <c r="PDF31" s="1882"/>
      <c r="PDH31" s="1887"/>
      <c r="PDI31" s="1888"/>
      <c r="PDJ31" s="1882"/>
      <c r="PDK31" s="1882"/>
      <c r="PDL31" s="1882"/>
      <c r="PDN31" s="1887"/>
      <c r="PDO31" s="1888"/>
      <c r="PDP31" s="1882"/>
      <c r="PDQ31" s="1882"/>
      <c r="PDR31" s="1882"/>
      <c r="PDT31" s="1887"/>
      <c r="PDU31" s="1888"/>
      <c r="PDV31" s="1882"/>
      <c r="PDW31" s="1882"/>
      <c r="PDX31" s="1882"/>
      <c r="PDZ31" s="1887"/>
      <c r="PEA31" s="1888"/>
      <c r="PEB31" s="1882"/>
      <c r="PEC31" s="1882"/>
      <c r="PED31" s="1882"/>
      <c r="PEF31" s="1887"/>
      <c r="PEG31" s="1888"/>
      <c r="PEH31" s="1882"/>
      <c r="PEI31" s="1882"/>
      <c r="PEJ31" s="1882"/>
      <c r="PEL31" s="1887"/>
      <c r="PEM31" s="1888"/>
      <c r="PEN31" s="1882"/>
      <c r="PEO31" s="1882"/>
      <c r="PEP31" s="1882"/>
      <c r="PER31" s="1887"/>
      <c r="PES31" s="1888"/>
      <c r="PET31" s="1882"/>
      <c r="PEU31" s="1882"/>
      <c r="PEV31" s="1882"/>
      <c r="PEX31" s="1887"/>
      <c r="PEY31" s="1888"/>
      <c r="PEZ31" s="1882"/>
      <c r="PFA31" s="1882"/>
      <c r="PFB31" s="1882"/>
      <c r="PFD31" s="1887"/>
      <c r="PFE31" s="1888"/>
      <c r="PFF31" s="1882"/>
      <c r="PFG31" s="1882"/>
      <c r="PFH31" s="1882"/>
      <c r="PFJ31" s="1887"/>
      <c r="PFK31" s="1888"/>
      <c r="PFL31" s="1882"/>
      <c r="PFM31" s="1882"/>
      <c r="PFN31" s="1882"/>
      <c r="PFP31" s="1887"/>
      <c r="PFQ31" s="1888"/>
      <c r="PFR31" s="1882"/>
      <c r="PFS31" s="1882"/>
      <c r="PFT31" s="1882"/>
      <c r="PFV31" s="1887"/>
      <c r="PFW31" s="1888"/>
      <c r="PFX31" s="1882"/>
      <c r="PFY31" s="1882"/>
      <c r="PFZ31" s="1882"/>
      <c r="PGB31" s="1887"/>
      <c r="PGC31" s="1888"/>
      <c r="PGD31" s="1882"/>
      <c r="PGE31" s="1882"/>
      <c r="PGF31" s="1882"/>
      <c r="PGH31" s="1887"/>
      <c r="PGI31" s="1888"/>
      <c r="PGJ31" s="1882"/>
      <c r="PGK31" s="1882"/>
      <c r="PGL31" s="1882"/>
      <c r="PGN31" s="1887"/>
      <c r="PGO31" s="1888"/>
      <c r="PGP31" s="1882"/>
      <c r="PGQ31" s="1882"/>
      <c r="PGR31" s="1882"/>
      <c r="PGT31" s="1887"/>
      <c r="PGU31" s="1888"/>
      <c r="PGV31" s="1882"/>
      <c r="PGW31" s="1882"/>
      <c r="PGX31" s="1882"/>
      <c r="PGZ31" s="1887"/>
      <c r="PHA31" s="1888"/>
      <c r="PHB31" s="1882"/>
      <c r="PHC31" s="1882"/>
      <c r="PHD31" s="1882"/>
      <c r="PHF31" s="1887"/>
      <c r="PHG31" s="1888"/>
      <c r="PHH31" s="1882"/>
      <c r="PHI31" s="1882"/>
      <c r="PHJ31" s="1882"/>
      <c r="PHL31" s="1887"/>
      <c r="PHM31" s="1888"/>
      <c r="PHN31" s="1882"/>
      <c r="PHO31" s="1882"/>
      <c r="PHP31" s="1882"/>
      <c r="PHR31" s="1887"/>
      <c r="PHS31" s="1888"/>
      <c r="PHT31" s="1882"/>
      <c r="PHU31" s="1882"/>
      <c r="PHV31" s="1882"/>
      <c r="PHX31" s="1887"/>
      <c r="PHY31" s="1888"/>
      <c r="PHZ31" s="1882"/>
      <c r="PIA31" s="1882"/>
      <c r="PIB31" s="1882"/>
      <c r="PID31" s="1887"/>
      <c r="PIE31" s="1888"/>
      <c r="PIF31" s="1882"/>
      <c r="PIG31" s="1882"/>
      <c r="PIH31" s="1882"/>
      <c r="PIJ31" s="1887"/>
      <c r="PIK31" s="1888"/>
      <c r="PIL31" s="1882"/>
      <c r="PIM31" s="1882"/>
      <c r="PIN31" s="1882"/>
      <c r="PIP31" s="1887"/>
      <c r="PIQ31" s="1888"/>
      <c r="PIR31" s="1882"/>
      <c r="PIS31" s="1882"/>
      <c r="PIT31" s="1882"/>
      <c r="PIV31" s="1887"/>
      <c r="PIW31" s="1888"/>
      <c r="PIX31" s="1882"/>
      <c r="PIY31" s="1882"/>
      <c r="PIZ31" s="1882"/>
      <c r="PJB31" s="1887"/>
      <c r="PJC31" s="1888"/>
      <c r="PJD31" s="1882"/>
      <c r="PJE31" s="1882"/>
      <c r="PJF31" s="1882"/>
      <c r="PJH31" s="1887"/>
      <c r="PJI31" s="1888"/>
      <c r="PJJ31" s="1882"/>
      <c r="PJK31" s="1882"/>
      <c r="PJL31" s="1882"/>
      <c r="PJN31" s="1887"/>
      <c r="PJO31" s="1888"/>
      <c r="PJP31" s="1882"/>
      <c r="PJQ31" s="1882"/>
      <c r="PJR31" s="1882"/>
      <c r="PJT31" s="1887"/>
      <c r="PJU31" s="1888"/>
      <c r="PJV31" s="1882"/>
      <c r="PJW31" s="1882"/>
      <c r="PJX31" s="1882"/>
      <c r="PJZ31" s="1887"/>
      <c r="PKA31" s="1888"/>
      <c r="PKB31" s="1882"/>
      <c r="PKC31" s="1882"/>
      <c r="PKD31" s="1882"/>
      <c r="PKF31" s="1887"/>
      <c r="PKG31" s="1888"/>
      <c r="PKH31" s="1882"/>
      <c r="PKI31" s="1882"/>
      <c r="PKJ31" s="1882"/>
      <c r="PKL31" s="1887"/>
      <c r="PKM31" s="1888"/>
      <c r="PKN31" s="1882"/>
      <c r="PKO31" s="1882"/>
      <c r="PKP31" s="1882"/>
      <c r="PKR31" s="1887"/>
      <c r="PKS31" s="1888"/>
      <c r="PKT31" s="1882"/>
      <c r="PKU31" s="1882"/>
      <c r="PKV31" s="1882"/>
      <c r="PKX31" s="1887"/>
      <c r="PKY31" s="1888"/>
      <c r="PKZ31" s="1882"/>
      <c r="PLA31" s="1882"/>
      <c r="PLB31" s="1882"/>
      <c r="PLD31" s="1887"/>
      <c r="PLE31" s="1888"/>
      <c r="PLF31" s="1882"/>
      <c r="PLG31" s="1882"/>
      <c r="PLH31" s="1882"/>
      <c r="PLJ31" s="1887"/>
      <c r="PLK31" s="1888"/>
      <c r="PLL31" s="1882"/>
      <c r="PLM31" s="1882"/>
      <c r="PLN31" s="1882"/>
      <c r="PLP31" s="1887"/>
      <c r="PLQ31" s="1888"/>
      <c r="PLR31" s="1882"/>
      <c r="PLS31" s="1882"/>
      <c r="PLT31" s="1882"/>
      <c r="PLV31" s="1887"/>
      <c r="PLW31" s="1888"/>
      <c r="PLX31" s="1882"/>
      <c r="PLY31" s="1882"/>
      <c r="PLZ31" s="1882"/>
      <c r="PMB31" s="1887"/>
      <c r="PMC31" s="1888"/>
      <c r="PMD31" s="1882"/>
      <c r="PME31" s="1882"/>
      <c r="PMF31" s="1882"/>
      <c r="PMH31" s="1887"/>
      <c r="PMI31" s="1888"/>
      <c r="PMJ31" s="1882"/>
      <c r="PMK31" s="1882"/>
      <c r="PML31" s="1882"/>
      <c r="PMN31" s="1887"/>
      <c r="PMO31" s="1888"/>
      <c r="PMP31" s="1882"/>
      <c r="PMQ31" s="1882"/>
      <c r="PMR31" s="1882"/>
      <c r="PMT31" s="1887"/>
      <c r="PMU31" s="1888"/>
      <c r="PMV31" s="1882"/>
      <c r="PMW31" s="1882"/>
      <c r="PMX31" s="1882"/>
      <c r="PMZ31" s="1887"/>
      <c r="PNA31" s="1888"/>
      <c r="PNB31" s="1882"/>
      <c r="PNC31" s="1882"/>
      <c r="PND31" s="1882"/>
      <c r="PNF31" s="1887"/>
      <c r="PNG31" s="1888"/>
      <c r="PNH31" s="1882"/>
      <c r="PNI31" s="1882"/>
      <c r="PNJ31" s="1882"/>
      <c r="PNL31" s="1887"/>
      <c r="PNM31" s="1888"/>
      <c r="PNN31" s="1882"/>
      <c r="PNO31" s="1882"/>
      <c r="PNP31" s="1882"/>
      <c r="PNR31" s="1887"/>
      <c r="PNS31" s="1888"/>
      <c r="PNT31" s="1882"/>
      <c r="PNU31" s="1882"/>
      <c r="PNV31" s="1882"/>
      <c r="PNX31" s="1887"/>
      <c r="PNY31" s="1888"/>
      <c r="PNZ31" s="1882"/>
      <c r="POA31" s="1882"/>
      <c r="POB31" s="1882"/>
      <c r="POD31" s="1887"/>
      <c r="POE31" s="1888"/>
      <c r="POF31" s="1882"/>
      <c r="POG31" s="1882"/>
      <c r="POH31" s="1882"/>
      <c r="POJ31" s="1887"/>
      <c r="POK31" s="1888"/>
      <c r="POL31" s="1882"/>
      <c r="POM31" s="1882"/>
      <c r="PON31" s="1882"/>
      <c r="POP31" s="1887"/>
      <c r="POQ31" s="1888"/>
      <c r="POR31" s="1882"/>
      <c r="POS31" s="1882"/>
      <c r="POT31" s="1882"/>
      <c r="POV31" s="1887"/>
      <c r="POW31" s="1888"/>
      <c r="POX31" s="1882"/>
      <c r="POY31" s="1882"/>
      <c r="POZ31" s="1882"/>
      <c r="PPB31" s="1887"/>
      <c r="PPC31" s="1888"/>
      <c r="PPD31" s="1882"/>
      <c r="PPE31" s="1882"/>
      <c r="PPF31" s="1882"/>
      <c r="PPH31" s="1887"/>
      <c r="PPI31" s="1888"/>
      <c r="PPJ31" s="1882"/>
      <c r="PPK31" s="1882"/>
      <c r="PPL31" s="1882"/>
      <c r="PPN31" s="1887"/>
      <c r="PPO31" s="1888"/>
      <c r="PPP31" s="1882"/>
      <c r="PPQ31" s="1882"/>
      <c r="PPR31" s="1882"/>
      <c r="PPT31" s="1887"/>
      <c r="PPU31" s="1888"/>
      <c r="PPV31" s="1882"/>
      <c r="PPW31" s="1882"/>
      <c r="PPX31" s="1882"/>
      <c r="PPZ31" s="1887"/>
      <c r="PQA31" s="1888"/>
      <c r="PQB31" s="1882"/>
      <c r="PQC31" s="1882"/>
      <c r="PQD31" s="1882"/>
      <c r="PQF31" s="1887"/>
      <c r="PQG31" s="1888"/>
      <c r="PQH31" s="1882"/>
      <c r="PQI31" s="1882"/>
      <c r="PQJ31" s="1882"/>
      <c r="PQL31" s="1887"/>
      <c r="PQM31" s="1888"/>
      <c r="PQN31" s="1882"/>
      <c r="PQO31" s="1882"/>
      <c r="PQP31" s="1882"/>
      <c r="PQR31" s="1887"/>
      <c r="PQS31" s="1888"/>
      <c r="PQT31" s="1882"/>
      <c r="PQU31" s="1882"/>
      <c r="PQV31" s="1882"/>
      <c r="PQX31" s="1887"/>
      <c r="PQY31" s="1888"/>
      <c r="PQZ31" s="1882"/>
      <c r="PRA31" s="1882"/>
      <c r="PRB31" s="1882"/>
      <c r="PRD31" s="1887"/>
      <c r="PRE31" s="1888"/>
      <c r="PRF31" s="1882"/>
      <c r="PRG31" s="1882"/>
      <c r="PRH31" s="1882"/>
      <c r="PRJ31" s="1887"/>
      <c r="PRK31" s="1888"/>
      <c r="PRL31" s="1882"/>
      <c r="PRM31" s="1882"/>
      <c r="PRN31" s="1882"/>
      <c r="PRP31" s="1887"/>
      <c r="PRQ31" s="1888"/>
      <c r="PRR31" s="1882"/>
      <c r="PRS31" s="1882"/>
      <c r="PRT31" s="1882"/>
      <c r="PRV31" s="1887"/>
      <c r="PRW31" s="1888"/>
      <c r="PRX31" s="1882"/>
      <c r="PRY31" s="1882"/>
      <c r="PRZ31" s="1882"/>
      <c r="PSB31" s="1887"/>
      <c r="PSC31" s="1888"/>
      <c r="PSD31" s="1882"/>
      <c r="PSE31" s="1882"/>
      <c r="PSF31" s="1882"/>
      <c r="PSH31" s="1887"/>
      <c r="PSI31" s="1888"/>
      <c r="PSJ31" s="1882"/>
      <c r="PSK31" s="1882"/>
      <c r="PSL31" s="1882"/>
      <c r="PSN31" s="1887"/>
      <c r="PSO31" s="1888"/>
      <c r="PSP31" s="1882"/>
      <c r="PSQ31" s="1882"/>
      <c r="PSR31" s="1882"/>
      <c r="PST31" s="1887"/>
      <c r="PSU31" s="1888"/>
      <c r="PSV31" s="1882"/>
      <c r="PSW31" s="1882"/>
      <c r="PSX31" s="1882"/>
      <c r="PSZ31" s="1887"/>
      <c r="PTA31" s="1888"/>
      <c r="PTB31" s="1882"/>
      <c r="PTC31" s="1882"/>
      <c r="PTD31" s="1882"/>
      <c r="PTF31" s="1887"/>
      <c r="PTG31" s="1888"/>
      <c r="PTH31" s="1882"/>
      <c r="PTI31" s="1882"/>
      <c r="PTJ31" s="1882"/>
      <c r="PTL31" s="1887"/>
      <c r="PTM31" s="1888"/>
      <c r="PTN31" s="1882"/>
      <c r="PTO31" s="1882"/>
      <c r="PTP31" s="1882"/>
      <c r="PTR31" s="1887"/>
      <c r="PTS31" s="1888"/>
      <c r="PTT31" s="1882"/>
      <c r="PTU31" s="1882"/>
      <c r="PTV31" s="1882"/>
      <c r="PTX31" s="1887"/>
      <c r="PTY31" s="1888"/>
      <c r="PTZ31" s="1882"/>
      <c r="PUA31" s="1882"/>
      <c r="PUB31" s="1882"/>
      <c r="PUD31" s="1887"/>
      <c r="PUE31" s="1888"/>
      <c r="PUF31" s="1882"/>
      <c r="PUG31" s="1882"/>
      <c r="PUH31" s="1882"/>
      <c r="PUJ31" s="1887"/>
      <c r="PUK31" s="1888"/>
      <c r="PUL31" s="1882"/>
      <c r="PUM31" s="1882"/>
      <c r="PUN31" s="1882"/>
      <c r="PUP31" s="1887"/>
      <c r="PUQ31" s="1888"/>
      <c r="PUR31" s="1882"/>
      <c r="PUS31" s="1882"/>
      <c r="PUT31" s="1882"/>
      <c r="PUV31" s="1887"/>
      <c r="PUW31" s="1888"/>
      <c r="PUX31" s="1882"/>
      <c r="PUY31" s="1882"/>
      <c r="PUZ31" s="1882"/>
      <c r="PVB31" s="1887"/>
      <c r="PVC31" s="1888"/>
      <c r="PVD31" s="1882"/>
      <c r="PVE31" s="1882"/>
      <c r="PVF31" s="1882"/>
      <c r="PVH31" s="1887"/>
      <c r="PVI31" s="1888"/>
      <c r="PVJ31" s="1882"/>
      <c r="PVK31" s="1882"/>
      <c r="PVL31" s="1882"/>
      <c r="PVN31" s="1887"/>
      <c r="PVO31" s="1888"/>
      <c r="PVP31" s="1882"/>
      <c r="PVQ31" s="1882"/>
      <c r="PVR31" s="1882"/>
      <c r="PVT31" s="1887"/>
      <c r="PVU31" s="1888"/>
      <c r="PVV31" s="1882"/>
      <c r="PVW31" s="1882"/>
      <c r="PVX31" s="1882"/>
      <c r="PVZ31" s="1887"/>
      <c r="PWA31" s="1888"/>
      <c r="PWB31" s="1882"/>
      <c r="PWC31" s="1882"/>
      <c r="PWD31" s="1882"/>
      <c r="PWF31" s="1887"/>
      <c r="PWG31" s="1888"/>
      <c r="PWH31" s="1882"/>
      <c r="PWI31" s="1882"/>
      <c r="PWJ31" s="1882"/>
      <c r="PWL31" s="1887"/>
      <c r="PWM31" s="1888"/>
      <c r="PWN31" s="1882"/>
      <c r="PWO31" s="1882"/>
      <c r="PWP31" s="1882"/>
      <c r="PWR31" s="1887"/>
      <c r="PWS31" s="1888"/>
      <c r="PWT31" s="1882"/>
      <c r="PWU31" s="1882"/>
      <c r="PWV31" s="1882"/>
      <c r="PWX31" s="1887"/>
      <c r="PWY31" s="1888"/>
      <c r="PWZ31" s="1882"/>
      <c r="PXA31" s="1882"/>
      <c r="PXB31" s="1882"/>
      <c r="PXD31" s="1887"/>
      <c r="PXE31" s="1888"/>
      <c r="PXF31" s="1882"/>
      <c r="PXG31" s="1882"/>
      <c r="PXH31" s="1882"/>
      <c r="PXJ31" s="1887"/>
      <c r="PXK31" s="1888"/>
      <c r="PXL31" s="1882"/>
      <c r="PXM31" s="1882"/>
      <c r="PXN31" s="1882"/>
      <c r="PXP31" s="1887"/>
      <c r="PXQ31" s="1888"/>
      <c r="PXR31" s="1882"/>
      <c r="PXS31" s="1882"/>
      <c r="PXT31" s="1882"/>
      <c r="PXV31" s="1887"/>
      <c r="PXW31" s="1888"/>
      <c r="PXX31" s="1882"/>
      <c r="PXY31" s="1882"/>
      <c r="PXZ31" s="1882"/>
      <c r="PYB31" s="1887"/>
      <c r="PYC31" s="1888"/>
      <c r="PYD31" s="1882"/>
      <c r="PYE31" s="1882"/>
      <c r="PYF31" s="1882"/>
      <c r="PYH31" s="1887"/>
      <c r="PYI31" s="1888"/>
      <c r="PYJ31" s="1882"/>
      <c r="PYK31" s="1882"/>
      <c r="PYL31" s="1882"/>
      <c r="PYN31" s="1887"/>
      <c r="PYO31" s="1888"/>
      <c r="PYP31" s="1882"/>
      <c r="PYQ31" s="1882"/>
      <c r="PYR31" s="1882"/>
      <c r="PYT31" s="1887"/>
      <c r="PYU31" s="1888"/>
      <c r="PYV31" s="1882"/>
      <c r="PYW31" s="1882"/>
      <c r="PYX31" s="1882"/>
      <c r="PYZ31" s="1887"/>
      <c r="PZA31" s="1888"/>
      <c r="PZB31" s="1882"/>
      <c r="PZC31" s="1882"/>
      <c r="PZD31" s="1882"/>
      <c r="PZF31" s="1887"/>
      <c r="PZG31" s="1888"/>
      <c r="PZH31" s="1882"/>
      <c r="PZI31" s="1882"/>
      <c r="PZJ31" s="1882"/>
      <c r="PZL31" s="1887"/>
      <c r="PZM31" s="1888"/>
      <c r="PZN31" s="1882"/>
      <c r="PZO31" s="1882"/>
      <c r="PZP31" s="1882"/>
      <c r="PZR31" s="1887"/>
      <c r="PZS31" s="1888"/>
      <c r="PZT31" s="1882"/>
      <c r="PZU31" s="1882"/>
      <c r="PZV31" s="1882"/>
      <c r="PZX31" s="1887"/>
      <c r="PZY31" s="1888"/>
      <c r="PZZ31" s="1882"/>
      <c r="QAA31" s="1882"/>
      <c r="QAB31" s="1882"/>
      <c r="QAD31" s="1887"/>
      <c r="QAE31" s="1888"/>
      <c r="QAF31" s="1882"/>
      <c r="QAG31" s="1882"/>
      <c r="QAH31" s="1882"/>
      <c r="QAJ31" s="1887"/>
      <c r="QAK31" s="1888"/>
      <c r="QAL31" s="1882"/>
      <c r="QAM31" s="1882"/>
      <c r="QAN31" s="1882"/>
      <c r="QAP31" s="1887"/>
      <c r="QAQ31" s="1888"/>
      <c r="QAR31" s="1882"/>
      <c r="QAS31" s="1882"/>
      <c r="QAT31" s="1882"/>
      <c r="QAV31" s="1887"/>
      <c r="QAW31" s="1888"/>
      <c r="QAX31" s="1882"/>
      <c r="QAY31" s="1882"/>
      <c r="QAZ31" s="1882"/>
      <c r="QBB31" s="1887"/>
      <c r="QBC31" s="1888"/>
      <c r="QBD31" s="1882"/>
      <c r="QBE31" s="1882"/>
      <c r="QBF31" s="1882"/>
      <c r="QBH31" s="1887"/>
      <c r="QBI31" s="1888"/>
      <c r="QBJ31" s="1882"/>
      <c r="QBK31" s="1882"/>
      <c r="QBL31" s="1882"/>
      <c r="QBN31" s="1887"/>
      <c r="QBO31" s="1888"/>
      <c r="QBP31" s="1882"/>
      <c r="QBQ31" s="1882"/>
      <c r="QBR31" s="1882"/>
      <c r="QBT31" s="1887"/>
      <c r="QBU31" s="1888"/>
      <c r="QBV31" s="1882"/>
      <c r="QBW31" s="1882"/>
      <c r="QBX31" s="1882"/>
      <c r="QBZ31" s="1887"/>
      <c r="QCA31" s="1888"/>
      <c r="QCB31" s="1882"/>
      <c r="QCC31" s="1882"/>
      <c r="QCD31" s="1882"/>
      <c r="QCF31" s="1887"/>
      <c r="QCG31" s="1888"/>
      <c r="QCH31" s="1882"/>
      <c r="QCI31" s="1882"/>
      <c r="QCJ31" s="1882"/>
      <c r="QCL31" s="1887"/>
      <c r="QCM31" s="1888"/>
      <c r="QCN31" s="1882"/>
      <c r="QCO31" s="1882"/>
      <c r="QCP31" s="1882"/>
      <c r="QCR31" s="1887"/>
      <c r="QCS31" s="1888"/>
      <c r="QCT31" s="1882"/>
      <c r="QCU31" s="1882"/>
      <c r="QCV31" s="1882"/>
      <c r="QCX31" s="1887"/>
      <c r="QCY31" s="1888"/>
      <c r="QCZ31" s="1882"/>
      <c r="QDA31" s="1882"/>
      <c r="QDB31" s="1882"/>
      <c r="QDD31" s="1887"/>
      <c r="QDE31" s="1888"/>
      <c r="QDF31" s="1882"/>
      <c r="QDG31" s="1882"/>
      <c r="QDH31" s="1882"/>
      <c r="QDJ31" s="1887"/>
      <c r="QDK31" s="1888"/>
      <c r="QDL31" s="1882"/>
      <c r="QDM31" s="1882"/>
      <c r="QDN31" s="1882"/>
      <c r="QDP31" s="1887"/>
      <c r="QDQ31" s="1888"/>
      <c r="QDR31" s="1882"/>
      <c r="QDS31" s="1882"/>
      <c r="QDT31" s="1882"/>
      <c r="QDV31" s="1887"/>
      <c r="QDW31" s="1888"/>
      <c r="QDX31" s="1882"/>
      <c r="QDY31" s="1882"/>
      <c r="QDZ31" s="1882"/>
      <c r="QEB31" s="1887"/>
      <c r="QEC31" s="1888"/>
      <c r="QED31" s="1882"/>
      <c r="QEE31" s="1882"/>
      <c r="QEF31" s="1882"/>
      <c r="QEH31" s="1887"/>
      <c r="QEI31" s="1888"/>
      <c r="QEJ31" s="1882"/>
      <c r="QEK31" s="1882"/>
      <c r="QEL31" s="1882"/>
      <c r="QEN31" s="1887"/>
      <c r="QEO31" s="1888"/>
      <c r="QEP31" s="1882"/>
      <c r="QEQ31" s="1882"/>
      <c r="QER31" s="1882"/>
      <c r="QET31" s="1887"/>
      <c r="QEU31" s="1888"/>
      <c r="QEV31" s="1882"/>
      <c r="QEW31" s="1882"/>
      <c r="QEX31" s="1882"/>
      <c r="QEZ31" s="1887"/>
      <c r="QFA31" s="1888"/>
      <c r="QFB31" s="1882"/>
      <c r="QFC31" s="1882"/>
      <c r="QFD31" s="1882"/>
      <c r="QFF31" s="1887"/>
      <c r="QFG31" s="1888"/>
      <c r="QFH31" s="1882"/>
      <c r="QFI31" s="1882"/>
      <c r="QFJ31" s="1882"/>
      <c r="QFL31" s="1887"/>
      <c r="QFM31" s="1888"/>
      <c r="QFN31" s="1882"/>
      <c r="QFO31" s="1882"/>
      <c r="QFP31" s="1882"/>
      <c r="QFR31" s="1887"/>
      <c r="QFS31" s="1888"/>
      <c r="QFT31" s="1882"/>
      <c r="QFU31" s="1882"/>
      <c r="QFV31" s="1882"/>
      <c r="QFX31" s="1887"/>
      <c r="QFY31" s="1888"/>
      <c r="QFZ31" s="1882"/>
      <c r="QGA31" s="1882"/>
      <c r="QGB31" s="1882"/>
      <c r="QGD31" s="1887"/>
      <c r="QGE31" s="1888"/>
      <c r="QGF31" s="1882"/>
      <c r="QGG31" s="1882"/>
      <c r="QGH31" s="1882"/>
      <c r="QGJ31" s="1887"/>
      <c r="QGK31" s="1888"/>
      <c r="QGL31" s="1882"/>
      <c r="QGM31" s="1882"/>
      <c r="QGN31" s="1882"/>
      <c r="QGP31" s="1887"/>
      <c r="QGQ31" s="1888"/>
      <c r="QGR31" s="1882"/>
      <c r="QGS31" s="1882"/>
      <c r="QGT31" s="1882"/>
      <c r="QGV31" s="1887"/>
      <c r="QGW31" s="1888"/>
      <c r="QGX31" s="1882"/>
      <c r="QGY31" s="1882"/>
      <c r="QGZ31" s="1882"/>
      <c r="QHB31" s="1887"/>
      <c r="QHC31" s="1888"/>
      <c r="QHD31" s="1882"/>
      <c r="QHE31" s="1882"/>
      <c r="QHF31" s="1882"/>
      <c r="QHH31" s="1887"/>
      <c r="QHI31" s="1888"/>
      <c r="QHJ31" s="1882"/>
      <c r="QHK31" s="1882"/>
      <c r="QHL31" s="1882"/>
      <c r="QHN31" s="1887"/>
      <c r="QHO31" s="1888"/>
      <c r="QHP31" s="1882"/>
      <c r="QHQ31" s="1882"/>
      <c r="QHR31" s="1882"/>
      <c r="QHT31" s="1887"/>
      <c r="QHU31" s="1888"/>
      <c r="QHV31" s="1882"/>
      <c r="QHW31" s="1882"/>
      <c r="QHX31" s="1882"/>
      <c r="QHZ31" s="1887"/>
      <c r="QIA31" s="1888"/>
      <c r="QIB31" s="1882"/>
      <c r="QIC31" s="1882"/>
      <c r="QID31" s="1882"/>
      <c r="QIF31" s="1887"/>
      <c r="QIG31" s="1888"/>
      <c r="QIH31" s="1882"/>
      <c r="QII31" s="1882"/>
      <c r="QIJ31" s="1882"/>
      <c r="QIL31" s="1887"/>
      <c r="QIM31" s="1888"/>
      <c r="QIN31" s="1882"/>
      <c r="QIO31" s="1882"/>
      <c r="QIP31" s="1882"/>
      <c r="QIR31" s="1887"/>
      <c r="QIS31" s="1888"/>
      <c r="QIT31" s="1882"/>
      <c r="QIU31" s="1882"/>
      <c r="QIV31" s="1882"/>
      <c r="QIX31" s="1887"/>
      <c r="QIY31" s="1888"/>
      <c r="QIZ31" s="1882"/>
      <c r="QJA31" s="1882"/>
      <c r="QJB31" s="1882"/>
      <c r="QJD31" s="1887"/>
      <c r="QJE31" s="1888"/>
      <c r="QJF31" s="1882"/>
      <c r="QJG31" s="1882"/>
      <c r="QJH31" s="1882"/>
      <c r="QJJ31" s="1887"/>
      <c r="QJK31" s="1888"/>
      <c r="QJL31" s="1882"/>
      <c r="QJM31" s="1882"/>
      <c r="QJN31" s="1882"/>
      <c r="QJP31" s="1887"/>
      <c r="QJQ31" s="1888"/>
      <c r="QJR31" s="1882"/>
      <c r="QJS31" s="1882"/>
      <c r="QJT31" s="1882"/>
      <c r="QJV31" s="1887"/>
      <c r="QJW31" s="1888"/>
      <c r="QJX31" s="1882"/>
      <c r="QJY31" s="1882"/>
      <c r="QJZ31" s="1882"/>
      <c r="QKB31" s="1887"/>
      <c r="QKC31" s="1888"/>
      <c r="QKD31" s="1882"/>
      <c r="QKE31" s="1882"/>
      <c r="QKF31" s="1882"/>
      <c r="QKH31" s="1887"/>
      <c r="QKI31" s="1888"/>
      <c r="QKJ31" s="1882"/>
      <c r="QKK31" s="1882"/>
      <c r="QKL31" s="1882"/>
      <c r="QKN31" s="1887"/>
      <c r="QKO31" s="1888"/>
      <c r="QKP31" s="1882"/>
      <c r="QKQ31" s="1882"/>
      <c r="QKR31" s="1882"/>
      <c r="QKT31" s="1887"/>
      <c r="QKU31" s="1888"/>
      <c r="QKV31" s="1882"/>
      <c r="QKW31" s="1882"/>
      <c r="QKX31" s="1882"/>
      <c r="QKZ31" s="1887"/>
      <c r="QLA31" s="1888"/>
      <c r="QLB31" s="1882"/>
      <c r="QLC31" s="1882"/>
      <c r="QLD31" s="1882"/>
      <c r="QLF31" s="1887"/>
      <c r="QLG31" s="1888"/>
      <c r="QLH31" s="1882"/>
      <c r="QLI31" s="1882"/>
      <c r="QLJ31" s="1882"/>
      <c r="QLL31" s="1887"/>
      <c r="QLM31" s="1888"/>
      <c r="QLN31" s="1882"/>
      <c r="QLO31" s="1882"/>
      <c r="QLP31" s="1882"/>
      <c r="QLR31" s="1887"/>
      <c r="QLS31" s="1888"/>
      <c r="QLT31" s="1882"/>
      <c r="QLU31" s="1882"/>
      <c r="QLV31" s="1882"/>
      <c r="QLX31" s="1887"/>
      <c r="QLY31" s="1888"/>
      <c r="QLZ31" s="1882"/>
      <c r="QMA31" s="1882"/>
      <c r="QMB31" s="1882"/>
      <c r="QMD31" s="1887"/>
      <c r="QME31" s="1888"/>
      <c r="QMF31" s="1882"/>
      <c r="QMG31" s="1882"/>
      <c r="QMH31" s="1882"/>
      <c r="QMJ31" s="1887"/>
      <c r="QMK31" s="1888"/>
      <c r="QML31" s="1882"/>
      <c r="QMM31" s="1882"/>
      <c r="QMN31" s="1882"/>
      <c r="QMP31" s="1887"/>
      <c r="QMQ31" s="1888"/>
      <c r="QMR31" s="1882"/>
      <c r="QMS31" s="1882"/>
      <c r="QMT31" s="1882"/>
      <c r="QMV31" s="1887"/>
      <c r="QMW31" s="1888"/>
      <c r="QMX31" s="1882"/>
      <c r="QMY31" s="1882"/>
      <c r="QMZ31" s="1882"/>
      <c r="QNB31" s="1887"/>
      <c r="QNC31" s="1888"/>
      <c r="QND31" s="1882"/>
      <c r="QNE31" s="1882"/>
      <c r="QNF31" s="1882"/>
      <c r="QNH31" s="1887"/>
      <c r="QNI31" s="1888"/>
      <c r="QNJ31" s="1882"/>
      <c r="QNK31" s="1882"/>
      <c r="QNL31" s="1882"/>
      <c r="QNN31" s="1887"/>
      <c r="QNO31" s="1888"/>
      <c r="QNP31" s="1882"/>
      <c r="QNQ31" s="1882"/>
      <c r="QNR31" s="1882"/>
      <c r="QNT31" s="1887"/>
      <c r="QNU31" s="1888"/>
      <c r="QNV31" s="1882"/>
      <c r="QNW31" s="1882"/>
      <c r="QNX31" s="1882"/>
      <c r="QNZ31" s="1887"/>
      <c r="QOA31" s="1888"/>
      <c r="QOB31" s="1882"/>
      <c r="QOC31" s="1882"/>
      <c r="QOD31" s="1882"/>
      <c r="QOF31" s="1887"/>
      <c r="QOG31" s="1888"/>
      <c r="QOH31" s="1882"/>
      <c r="QOI31" s="1882"/>
      <c r="QOJ31" s="1882"/>
      <c r="QOL31" s="1887"/>
      <c r="QOM31" s="1888"/>
      <c r="QON31" s="1882"/>
      <c r="QOO31" s="1882"/>
      <c r="QOP31" s="1882"/>
      <c r="QOR31" s="1887"/>
      <c r="QOS31" s="1888"/>
      <c r="QOT31" s="1882"/>
      <c r="QOU31" s="1882"/>
      <c r="QOV31" s="1882"/>
      <c r="QOX31" s="1887"/>
      <c r="QOY31" s="1888"/>
      <c r="QOZ31" s="1882"/>
      <c r="QPA31" s="1882"/>
      <c r="QPB31" s="1882"/>
      <c r="QPD31" s="1887"/>
      <c r="QPE31" s="1888"/>
      <c r="QPF31" s="1882"/>
      <c r="QPG31" s="1882"/>
      <c r="QPH31" s="1882"/>
      <c r="QPJ31" s="1887"/>
      <c r="QPK31" s="1888"/>
      <c r="QPL31" s="1882"/>
      <c r="QPM31" s="1882"/>
      <c r="QPN31" s="1882"/>
      <c r="QPP31" s="1887"/>
      <c r="QPQ31" s="1888"/>
      <c r="QPR31" s="1882"/>
      <c r="QPS31" s="1882"/>
      <c r="QPT31" s="1882"/>
      <c r="QPV31" s="1887"/>
      <c r="QPW31" s="1888"/>
      <c r="QPX31" s="1882"/>
      <c r="QPY31" s="1882"/>
      <c r="QPZ31" s="1882"/>
      <c r="QQB31" s="1887"/>
      <c r="QQC31" s="1888"/>
      <c r="QQD31" s="1882"/>
      <c r="QQE31" s="1882"/>
      <c r="QQF31" s="1882"/>
      <c r="QQH31" s="1887"/>
      <c r="QQI31" s="1888"/>
      <c r="QQJ31" s="1882"/>
      <c r="QQK31" s="1882"/>
      <c r="QQL31" s="1882"/>
      <c r="QQN31" s="1887"/>
      <c r="QQO31" s="1888"/>
      <c r="QQP31" s="1882"/>
      <c r="QQQ31" s="1882"/>
      <c r="QQR31" s="1882"/>
      <c r="QQT31" s="1887"/>
      <c r="QQU31" s="1888"/>
      <c r="QQV31" s="1882"/>
      <c r="QQW31" s="1882"/>
      <c r="QQX31" s="1882"/>
      <c r="QQZ31" s="1887"/>
      <c r="QRA31" s="1888"/>
      <c r="QRB31" s="1882"/>
      <c r="QRC31" s="1882"/>
      <c r="QRD31" s="1882"/>
      <c r="QRF31" s="1887"/>
      <c r="QRG31" s="1888"/>
      <c r="QRH31" s="1882"/>
      <c r="QRI31" s="1882"/>
      <c r="QRJ31" s="1882"/>
      <c r="QRL31" s="1887"/>
      <c r="QRM31" s="1888"/>
      <c r="QRN31" s="1882"/>
      <c r="QRO31" s="1882"/>
      <c r="QRP31" s="1882"/>
      <c r="QRR31" s="1887"/>
      <c r="QRS31" s="1888"/>
      <c r="QRT31" s="1882"/>
      <c r="QRU31" s="1882"/>
      <c r="QRV31" s="1882"/>
      <c r="QRX31" s="1887"/>
      <c r="QRY31" s="1888"/>
      <c r="QRZ31" s="1882"/>
      <c r="QSA31" s="1882"/>
      <c r="QSB31" s="1882"/>
      <c r="QSD31" s="1887"/>
      <c r="QSE31" s="1888"/>
      <c r="QSF31" s="1882"/>
      <c r="QSG31" s="1882"/>
      <c r="QSH31" s="1882"/>
      <c r="QSJ31" s="1887"/>
      <c r="QSK31" s="1888"/>
      <c r="QSL31" s="1882"/>
      <c r="QSM31" s="1882"/>
      <c r="QSN31" s="1882"/>
      <c r="QSP31" s="1887"/>
      <c r="QSQ31" s="1888"/>
      <c r="QSR31" s="1882"/>
      <c r="QSS31" s="1882"/>
      <c r="QST31" s="1882"/>
      <c r="QSV31" s="1887"/>
      <c r="QSW31" s="1888"/>
      <c r="QSX31" s="1882"/>
      <c r="QSY31" s="1882"/>
      <c r="QSZ31" s="1882"/>
      <c r="QTB31" s="1887"/>
      <c r="QTC31" s="1888"/>
      <c r="QTD31" s="1882"/>
      <c r="QTE31" s="1882"/>
      <c r="QTF31" s="1882"/>
      <c r="QTH31" s="1887"/>
      <c r="QTI31" s="1888"/>
      <c r="QTJ31" s="1882"/>
      <c r="QTK31" s="1882"/>
      <c r="QTL31" s="1882"/>
      <c r="QTN31" s="1887"/>
      <c r="QTO31" s="1888"/>
      <c r="QTP31" s="1882"/>
      <c r="QTQ31" s="1882"/>
      <c r="QTR31" s="1882"/>
      <c r="QTT31" s="1887"/>
      <c r="QTU31" s="1888"/>
      <c r="QTV31" s="1882"/>
      <c r="QTW31" s="1882"/>
      <c r="QTX31" s="1882"/>
      <c r="QTZ31" s="1887"/>
      <c r="QUA31" s="1888"/>
      <c r="QUB31" s="1882"/>
      <c r="QUC31" s="1882"/>
      <c r="QUD31" s="1882"/>
      <c r="QUF31" s="1887"/>
      <c r="QUG31" s="1888"/>
      <c r="QUH31" s="1882"/>
      <c r="QUI31" s="1882"/>
      <c r="QUJ31" s="1882"/>
      <c r="QUL31" s="1887"/>
      <c r="QUM31" s="1888"/>
      <c r="QUN31" s="1882"/>
      <c r="QUO31" s="1882"/>
      <c r="QUP31" s="1882"/>
      <c r="QUR31" s="1887"/>
      <c r="QUS31" s="1888"/>
      <c r="QUT31" s="1882"/>
      <c r="QUU31" s="1882"/>
      <c r="QUV31" s="1882"/>
      <c r="QUX31" s="1887"/>
      <c r="QUY31" s="1888"/>
      <c r="QUZ31" s="1882"/>
      <c r="QVA31" s="1882"/>
      <c r="QVB31" s="1882"/>
      <c r="QVD31" s="1887"/>
      <c r="QVE31" s="1888"/>
      <c r="QVF31" s="1882"/>
      <c r="QVG31" s="1882"/>
      <c r="QVH31" s="1882"/>
      <c r="QVJ31" s="1887"/>
      <c r="QVK31" s="1888"/>
      <c r="QVL31" s="1882"/>
      <c r="QVM31" s="1882"/>
      <c r="QVN31" s="1882"/>
      <c r="QVP31" s="1887"/>
      <c r="QVQ31" s="1888"/>
      <c r="QVR31" s="1882"/>
      <c r="QVS31" s="1882"/>
      <c r="QVT31" s="1882"/>
      <c r="QVV31" s="1887"/>
      <c r="QVW31" s="1888"/>
      <c r="QVX31" s="1882"/>
      <c r="QVY31" s="1882"/>
      <c r="QVZ31" s="1882"/>
      <c r="QWB31" s="1887"/>
      <c r="QWC31" s="1888"/>
      <c r="QWD31" s="1882"/>
      <c r="QWE31" s="1882"/>
      <c r="QWF31" s="1882"/>
      <c r="QWH31" s="1887"/>
      <c r="QWI31" s="1888"/>
      <c r="QWJ31" s="1882"/>
      <c r="QWK31" s="1882"/>
      <c r="QWL31" s="1882"/>
      <c r="QWN31" s="1887"/>
      <c r="QWO31" s="1888"/>
      <c r="QWP31" s="1882"/>
      <c r="QWQ31" s="1882"/>
      <c r="QWR31" s="1882"/>
      <c r="QWT31" s="1887"/>
      <c r="QWU31" s="1888"/>
      <c r="QWV31" s="1882"/>
      <c r="QWW31" s="1882"/>
      <c r="QWX31" s="1882"/>
      <c r="QWZ31" s="1887"/>
      <c r="QXA31" s="1888"/>
      <c r="QXB31" s="1882"/>
      <c r="QXC31" s="1882"/>
      <c r="QXD31" s="1882"/>
      <c r="QXF31" s="1887"/>
      <c r="QXG31" s="1888"/>
      <c r="QXH31" s="1882"/>
      <c r="QXI31" s="1882"/>
      <c r="QXJ31" s="1882"/>
      <c r="QXL31" s="1887"/>
      <c r="QXM31" s="1888"/>
      <c r="QXN31" s="1882"/>
      <c r="QXO31" s="1882"/>
      <c r="QXP31" s="1882"/>
      <c r="QXR31" s="1887"/>
      <c r="QXS31" s="1888"/>
      <c r="QXT31" s="1882"/>
      <c r="QXU31" s="1882"/>
      <c r="QXV31" s="1882"/>
      <c r="QXX31" s="1887"/>
      <c r="QXY31" s="1888"/>
      <c r="QXZ31" s="1882"/>
      <c r="QYA31" s="1882"/>
      <c r="QYB31" s="1882"/>
      <c r="QYD31" s="1887"/>
      <c r="QYE31" s="1888"/>
      <c r="QYF31" s="1882"/>
      <c r="QYG31" s="1882"/>
      <c r="QYH31" s="1882"/>
      <c r="QYJ31" s="1887"/>
      <c r="QYK31" s="1888"/>
      <c r="QYL31" s="1882"/>
      <c r="QYM31" s="1882"/>
      <c r="QYN31" s="1882"/>
      <c r="QYP31" s="1887"/>
      <c r="QYQ31" s="1888"/>
      <c r="QYR31" s="1882"/>
      <c r="QYS31" s="1882"/>
      <c r="QYT31" s="1882"/>
      <c r="QYV31" s="1887"/>
      <c r="QYW31" s="1888"/>
      <c r="QYX31" s="1882"/>
      <c r="QYY31" s="1882"/>
      <c r="QYZ31" s="1882"/>
      <c r="QZB31" s="1887"/>
      <c r="QZC31" s="1888"/>
      <c r="QZD31" s="1882"/>
      <c r="QZE31" s="1882"/>
      <c r="QZF31" s="1882"/>
      <c r="QZH31" s="1887"/>
      <c r="QZI31" s="1888"/>
      <c r="QZJ31" s="1882"/>
      <c r="QZK31" s="1882"/>
      <c r="QZL31" s="1882"/>
      <c r="QZN31" s="1887"/>
      <c r="QZO31" s="1888"/>
      <c r="QZP31" s="1882"/>
      <c r="QZQ31" s="1882"/>
      <c r="QZR31" s="1882"/>
      <c r="QZT31" s="1887"/>
      <c r="QZU31" s="1888"/>
      <c r="QZV31" s="1882"/>
      <c r="QZW31" s="1882"/>
      <c r="QZX31" s="1882"/>
      <c r="QZZ31" s="1887"/>
      <c r="RAA31" s="1888"/>
      <c r="RAB31" s="1882"/>
      <c r="RAC31" s="1882"/>
      <c r="RAD31" s="1882"/>
      <c r="RAF31" s="1887"/>
      <c r="RAG31" s="1888"/>
      <c r="RAH31" s="1882"/>
      <c r="RAI31" s="1882"/>
      <c r="RAJ31" s="1882"/>
      <c r="RAL31" s="1887"/>
      <c r="RAM31" s="1888"/>
      <c r="RAN31" s="1882"/>
      <c r="RAO31" s="1882"/>
      <c r="RAP31" s="1882"/>
      <c r="RAR31" s="1887"/>
      <c r="RAS31" s="1888"/>
      <c r="RAT31" s="1882"/>
      <c r="RAU31" s="1882"/>
      <c r="RAV31" s="1882"/>
      <c r="RAX31" s="1887"/>
      <c r="RAY31" s="1888"/>
      <c r="RAZ31" s="1882"/>
      <c r="RBA31" s="1882"/>
      <c r="RBB31" s="1882"/>
      <c r="RBD31" s="1887"/>
      <c r="RBE31" s="1888"/>
      <c r="RBF31" s="1882"/>
      <c r="RBG31" s="1882"/>
      <c r="RBH31" s="1882"/>
      <c r="RBJ31" s="1887"/>
      <c r="RBK31" s="1888"/>
      <c r="RBL31" s="1882"/>
      <c r="RBM31" s="1882"/>
      <c r="RBN31" s="1882"/>
      <c r="RBP31" s="1887"/>
      <c r="RBQ31" s="1888"/>
      <c r="RBR31" s="1882"/>
      <c r="RBS31" s="1882"/>
      <c r="RBT31" s="1882"/>
      <c r="RBV31" s="1887"/>
      <c r="RBW31" s="1888"/>
      <c r="RBX31" s="1882"/>
      <c r="RBY31" s="1882"/>
      <c r="RBZ31" s="1882"/>
      <c r="RCB31" s="1887"/>
      <c r="RCC31" s="1888"/>
      <c r="RCD31" s="1882"/>
      <c r="RCE31" s="1882"/>
      <c r="RCF31" s="1882"/>
      <c r="RCH31" s="1887"/>
      <c r="RCI31" s="1888"/>
      <c r="RCJ31" s="1882"/>
      <c r="RCK31" s="1882"/>
      <c r="RCL31" s="1882"/>
      <c r="RCN31" s="1887"/>
      <c r="RCO31" s="1888"/>
      <c r="RCP31" s="1882"/>
      <c r="RCQ31" s="1882"/>
      <c r="RCR31" s="1882"/>
      <c r="RCT31" s="1887"/>
      <c r="RCU31" s="1888"/>
      <c r="RCV31" s="1882"/>
      <c r="RCW31" s="1882"/>
      <c r="RCX31" s="1882"/>
      <c r="RCZ31" s="1887"/>
      <c r="RDA31" s="1888"/>
      <c r="RDB31" s="1882"/>
      <c r="RDC31" s="1882"/>
      <c r="RDD31" s="1882"/>
      <c r="RDF31" s="1887"/>
      <c r="RDG31" s="1888"/>
      <c r="RDH31" s="1882"/>
      <c r="RDI31" s="1882"/>
      <c r="RDJ31" s="1882"/>
      <c r="RDL31" s="1887"/>
      <c r="RDM31" s="1888"/>
      <c r="RDN31" s="1882"/>
      <c r="RDO31" s="1882"/>
      <c r="RDP31" s="1882"/>
      <c r="RDR31" s="1887"/>
      <c r="RDS31" s="1888"/>
      <c r="RDT31" s="1882"/>
      <c r="RDU31" s="1882"/>
      <c r="RDV31" s="1882"/>
      <c r="RDX31" s="1887"/>
      <c r="RDY31" s="1888"/>
      <c r="RDZ31" s="1882"/>
      <c r="REA31" s="1882"/>
      <c r="REB31" s="1882"/>
      <c r="RED31" s="1887"/>
      <c r="REE31" s="1888"/>
      <c r="REF31" s="1882"/>
      <c r="REG31" s="1882"/>
      <c r="REH31" s="1882"/>
      <c r="REJ31" s="1887"/>
      <c r="REK31" s="1888"/>
      <c r="REL31" s="1882"/>
      <c r="REM31" s="1882"/>
      <c r="REN31" s="1882"/>
      <c r="REP31" s="1887"/>
      <c r="REQ31" s="1888"/>
      <c r="RER31" s="1882"/>
      <c r="RES31" s="1882"/>
      <c r="RET31" s="1882"/>
      <c r="REV31" s="1887"/>
      <c r="REW31" s="1888"/>
      <c r="REX31" s="1882"/>
      <c r="REY31" s="1882"/>
      <c r="REZ31" s="1882"/>
      <c r="RFB31" s="1887"/>
      <c r="RFC31" s="1888"/>
      <c r="RFD31" s="1882"/>
      <c r="RFE31" s="1882"/>
      <c r="RFF31" s="1882"/>
      <c r="RFH31" s="1887"/>
      <c r="RFI31" s="1888"/>
      <c r="RFJ31" s="1882"/>
      <c r="RFK31" s="1882"/>
      <c r="RFL31" s="1882"/>
      <c r="RFN31" s="1887"/>
      <c r="RFO31" s="1888"/>
      <c r="RFP31" s="1882"/>
      <c r="RFQ31" s="1882"/>
      <c r="RFR31" s="1882"/>
      <c r="RFT31" s="1887"/>
      <c r="RFU31" s="1888"/>
      <c r="RFV31" s="1882"/>
      <c r="RFW31" s="1882"/>
      <c r="RFX31" s="1882"/>
      <c r="RFZ31" s="1887"/>
      <c r="RGA31" s="1888"/>
      <c r="RGB31" s="1882"/>
      <c r="RGC31" s="1882"/>
      <c r="RGD31" s="1882"/>
      <c r="RGF31" s="1887"/>
      <c r="RGG31" s="1888"/>
      <c r="RGH31" s="1882"/>
      <c r="RGI31" s="1882"/>
      <c r="RGJ31" s="1882"/>
      <c r="RGL31" s="1887"/>
      <c r="RGM31" s="1888"/>
      <c r="RGN31" s="1882"/>
      <c r="RGO31" s="1882"/>
      <c r="RGP31" s="1882"/>
      <c r="RGR31" s="1887"/>
      <c r="RGS31" s="1888"/>
      <c r="RGT31" s="1882"/>
      <c r="RGU31" s="1882"/>
      <c r="RGV31" s="1882"/>
      <c r="RGX31" s="1887"/>
      <c r="RGY31" s="1888"/>
      <c r="RGZ31" s="1882"/>
      <c r="RHA31" s="1882"/>
      <c r="RHB31" s="1882"/>
      <c r="RHD31" s="1887"/>
      <c r="RHE31" s="1888"/>
      <c r="RHF31" s="1882"/>
      <c r="RHG31" s="1882"/>
      <c r="RHH31" s="1882"/>
      <c r="RHJ31" s="1887"/>
      <c r="RHK31" s="1888"/>
      <c r="RHL31" s="1882"/>
      <c r="RHM31" s="1882"/>
      <c r="RHN31" s="1882"/>
      <c r="RHP31" s="1887"/>
      <c r="RHQ31" s="1888"/>
      <c r="RHR31" s="1882"/>
      <c r="RHS31" s="1882"/>
      <c r="RHT31" s="1882"/>
      <c r="RHV31" s="1887"/>
      <c r="RHW31" s="1888"/>
      <c r="RHX31" s="1882"/>
      <c r="RHY31" s="1882"/>
      <c r="RHZ31" s="1882"/>
      <c r="RIB31" s="1887"/>
      <c r="RIC31" s="1888"/>
      <c r="RID31" s="1882"/>
      <c r="RIE31" s="1882"/>
      <c r="RIF31" s="1882"/>
      <c r="RIH31" s="1887"/>
      <c r="RII31" s="1888"/>
      <c r="RIJ31" s="1882"/>
      <c r="RIK31" s="1882"/>
      <c r="RIL31" s="1882"/>
      <c r="RIN31" s="1887"/>
      <c r="RIO31" s="1888"/>
      <c r="RIP31" s="1882"/>
      <c r="RIQ31" s="1882"/>
      <c r="RIR31" s="1882"/>
      <c r="RIT31" s="1887"/>
      <c r="RIU31" s="1888"/>
      <c r="RIV31" s="1882"/>
      <c r="RIW31" s="1882"/>
      <c r="RIX31" s="1882"/>
      <c r="RIZ31" s="1887"/>
      <c r="RJA31" s="1888"/>
      <c r="RJB31" s="1882"/>
      <c r="RJC31" s="1882"/>
      <c r="RJD31" s="1882"/>
      <c r="RJF31" s="1887"/>
      <c r="RJG31" s="1888"/>
      <c r="RJH31" s="1882"/>
      <c r="RJI31" s="1882"/>
      <c r="RJJ31" s="1882"/>
      <c r="RJL31" s="1887"/>
      <c r="RJM31" s="1888"/>
      <c r="RJN31" s="1882"/>
      <c r="RJO31" s="1882"/>
      <c r="RJP31" s="1882"/>
      <c r="RJR31" s="1887"/>
      <c r="RJS31" s="1888"/>
      <c r="RJT31" s="1882"/>
      <c r="RJU31" s="1882"/>
      <c r="RJV31" s="1882"/>
      <c r="RJX31" s="1887"/>
      <c r="RJY31" s="1888"/>
      <c r="RJZ31" s="1882"/>
      <c r="RKA31" s="1882"/>
      <c r="RKB31" s="1882"/>
      <c r="RKD31" s="1887"/>
      <c r="RKE31" s="1888"/>
      <c r="RKF31" s="1882"/>
      <c r="RKG31" s="1882"/>
      <c r="RKH31" s="1882"/>
      <c r="RKJ31" s="1887"/>
      <c r="RKK31" s="1888"/>
      <c r="RKL31" s="1882"/>
      <c r="RKM31" s="1882"/>
      <c r="RKN31" s="1882"/>
      <c r="RKP31" s="1887"/>
      <c r="RKQ31" s="1888"/>
      <c r="RKR31" s="1882"/>
      <c r="RKS31" s="1882"/>
      <c r="RKT31" s="1882"/>
      <c r="RKV31" s="1887"/>
      <c r="RKW31" s="1888"/>
      <c r="RKX31" s="1882"/>
      <c r="RKY31" s="1882"/>
      <c r="RKZ31" s="1882"/>
      <c r="RLB31" s="1887"/>
      <c r="RLC31" s="1888"/>
      <c r="RLD31" s="1882"/>
      <c r="RLE31" s="1882"/>
      <c r="RLF31" s="1882"/>
      <c r="RLH31" s="1887"/>
      <c r="RLI31" s="1888"/>
      <c r="RLJ31" s="1882"/>
      <c r="RLK31" s="1882"/>
      <c r="RLL31" s="1882"/>
      <c r="RLN31" s="1887"/>
      <c r="RLO31" s="1888"/>
      <c r="RLP31" s="1882"/>
      <c r="RLQ31" s="1882"/>
      <c r="RLR31" s="1882"/>
      <c r="RLT31" s="1887"/>
      <c r="RLU31" s="1888"/>
      <c r="RLV31" s="1882"/>
      <c r="RLW31" s="1882"/>
      <c r="RLX31" s="1882"/>
      <c r="RLZ31" s="1887"/>
      <c r="RMA31" s="1888"/>
      <c r="RMB31" s="1882"/>
      <c r="RMC31" s="1882"/>
      <c r="RMD31" s="1882"/>
      <c r="RMF31" s="1887"/>
      <c r="RMG31" s="1888"/>
      <c r="RMH31" s="1882"/>
      <c r="RMI31" s="1882"/>
      <c r="RMJ31" s="1882"/>
      <c r="RML31" s="1887"/>
      <c r="RMM31" s="1888"/>
      <c r="RMN31" s="1882"/>
      <c r="RMO31" s="1882"/>
      <c r="RMP31" s="1882"/>
      <c r="RMR31" s="1887"/>
      <c r="RMS31" s="1888"/>
      <c r="RMT31" s="1882"/>
      <c r="RMU31" s="1882"/>
      <c r="RMV31" s="1882"/>
      <c r="RMX31" s="1887"/>
      <c r="RMY31" s="1888"/>
      <c r="RMZ31" s="1882"/>
      <c r="RNA31" s="1882"/>
      <c r="RNB31" s="1882"/>
      <c r="RND31" s="1887"/>
      <c r="RNE31" s="1888"/>
      <c r="RNF31" s="1882"/>
      <c r="RNG31" s="1882"/>
      <c r="RNH31" s="1882"/>
      <c r="RNJ31" s="1887"/>
      <c r="RNK31" s="1888"/>
      <c r="RNL31" s="1882"/>
      <c r="RNM31" s="1882"/>
      <c r="RNN31" s="1882"/>
      <c r="RNP31" s="1887"/>
      <c r="RNQ31" s="1888"/>
      <c r="RNR31" s="1882"/>
      <c r="RNS31" s="1882"/>
      <c r="RNT31" s="1882"/>
      <c r="RNV31" s="1887"/>
      <c r="RNW31" s="1888"/>
      <c r="RNX31" s="1882"/>
      <c r="RNY31" s="1882"/>
      <c r="RNZ31" s="1882"/>
      <c r="ROB31" s="1887"/>
      <c r="ROC31" s="1888"/>
      <c r="ROD31" s="1882"/>
      <c r="ROE31" s="1882"/>
      <c r="ROF31" s="1882"/>
      <c r="ROH31" s="1887"/>
      <c r="ROI31" s="1888"/>
      <c r="ROJ31" s="1882"/>
      <c r="ROK31" s="1882"/>
      <c r="ROL31" s="1882"/>
      <c r="RON31" s="1887"/>
      <c r="ROO31" s="1888"/>
      <c r="ROP31" s="1882"/>
      <c r="ROQ31" s="1882"/>
      <c r="ROR31" s="1882"/>
      <c r="ROT31" s="1887"/>
      <c r="ROU31" s="1888"/>
      <c r="ROV31" s="1882"/>
      <c r="ROW31" s="1882"/>
      <c r="ROX31" s="1882"/>
      <c r="ROZ31" s="1887"/>
      <c r="RPA31" s="1888"/>
      <c r="RPB31" s="1882"/>
      <c r="RPC31" s="1882"/>
      <c r="RPD31" s="1882"/>
      <c r="RPF31" s="1887"/>
      <c r="RPG31" s="1888"/>
      <c r="RPH31" s="1882"/>
      <c r="RPI31" s="1882"/>
      <c r="RPJ31" s="1882"/>
      <c r="RPL31" s="1887"/>
      <c r="RPM31" s="1888"/>
      <c r="RPN31" s="1882"/>
      <c r="RPO31" s="1882"/>
      <c r="RPP31" s="1882"/>
      <c r="RPR31" s="1887"/>
      <c r="RPS31" s="1888"/>
      <c r="RPT31" s="1882"/>
      <c r="RPU31" s="1882"/>
      <c r="RPV31" s="1882"/>
      <c r="RPX31" s="1887"/>
      <c r="RPY31" s="1888"/>
      <c r="RPZ31" s="1882"/>
      <c r="RQA31" s="1882"/>
      <c r="RQB31" s="1882"/>
      <c r="RQD31" s="1887"/>
      <c r="RQE31" s="1888"/>
      <c r="RQF31" s="1882"/>
      <c r="RQG31" s="1882"/>
      <c r="RQH31" s="1882"/>
      <c r="RQJ31" s="1887"/>
      <c r="RQK31" s="1888"/>
      <c r="RQL31" s="1882"/>
      <c r="RQM31" s="1882"/>
      <c r="RQN31" s="1882"/>
      <c r="RQP31" s="1887"/>
      <c r="RQQ31" s="1888"/>
      <c r="RQR31" s="1882"/>
      <c r="RQS31" s="1882"/>
      <c r="RQT31" s="1882"/>
      <c r="RQV31" s="1887"/>
      <c r="RQW31" s="1888"/>
      <c r="RQX31" s="1882"/>
      <c r="RQY31" s="1882"/>
      <c r="RQZ31" s="1882"/>
      <c r="RRB31" s="1887"/>
      <c r="RRC31" s="1888"/>
      <c r="RRD31" s="1882"/>
      <c r="RRE31" s="1882"/>
      <c r="RRF31" s="1882"/>
      <c r="RRH31" s="1887"/>
      <c r="RRI31" s="1888"/>
      <c r="RRJ31" s="1882"/>
      <c r="RRK31" s="1882"/>
      <c r="RRL31" s="1882"/>
      <c r="RRN31" s="1887"/>
      <c r="RRO31" s="1888"/>
      <c r="RRP31" s="1882"/>
      <c r="RRQ31" s="1882"/>
      <c r="RRR31" s="1882"/>
      <c r="RRT31" s="1887"/>
      <c r="RRU31" s="1888"/>
      <c r="RRV31" s="1882"/>
      <c r="RRW31" s="1882"/>
      <c r="RRX31" s="1882"/>
      <c r="RRZ31" s="1887"/>
      <c r="RSA31" s="1888"/>
      <c r="RSB31" s="1882"/>
      <c r="RSC31" s="1882"/>
      <c r="RSD31" s="1882"/>
      <c r="RSF31" s="1887"/>
      <c r="RSG31" s="1888"/>
      <c r="RSH31" s="1882"/>
      <c r="RSI31" s="1882"/>
      <c r="RSJ31" s="1882"/>
      <c r="RSL31" s="1887"/>
      <c r="RSM31" s="1888"/>
      <c r="RSN31" s="1882"/>
      <c r="RSO31" s="1882"/>
      <c r="RSP31" s="1882"/>
      <c r="RSR31" s="1887"/>
      <c r="RSS31" s="1888"/>
      <c r="RST31" s="1882"/>
      <c r="RSU31" s="1882"/>
      <c r="RSV31" s="1882"/>
      <c r="RSX31" s="1887"/>
      <c r="RSY31" s="1888"/>
      <c r="RSZ31" s="1882"/>
      <c r="RTA31" s="1882"/>
      <c r="RTB31" s="1882"/>
      <c r="RTD31" s="1887"/>
      <c r="RTE31" s="1888"/>
      <c r="RTF31" s="1882"/>
      <c r="RTG31" s="1882"/>
      <c r="RTH31" s="1882"/>
      <c r="RTJ31" s="1887"/>
      <c r="RTK31" s="1888"/>
      <c r="RTL31" s="1882"/>
      <c r="RTM31" s="1882"/>
      <c r="RTN31" s="1882"/>
      <c r="RTP31" s="1887"/>
      <c r="RTQ31" s="1888"/>
      <c r="RTR31" s="1882"/>
      <c r="RTS31" s="1882"/>
      <c r="RTT31" s="1882"/>
      <c r="RTV31" s="1887"/>
      <c r="RTW31" s="1888"/>
      <c r="RTX31" s="1882"/>
      <c r="RTY31" s="1882"/>
      <c r="RTZ31" s="1882"/>
      <c r="RUB31" s="1887"/>
      <c r="RUC31" s="1888"/>
      <c r="RUD31" s="1882"/>
      <c r="RUE31" s="1882"/>
      <c r="RUF31" s="1882"/>
      <c r="RUH31" s="1887"/>
      <c r="RUI31" s="1888"/>
      <c r="RUJ31" s="1882"/>
      <c r="RUK31" s="1882"/>
      <c r="RUL31" s="1882"/>
      <c r="RUN31" s="1887"/>
      <c r="RUO31" s="1888"/>
      <c r="RUP31" s="1882"/>
      <c r="RUQ31" s="1882"/>
      <c r="RUR31" s="1882"/>
      <c r="RUT31" s="1887"/>
      <c r="RUU31" s="1888"/>
      <c r="RUV31" s="1882"/>
      <c r="RUW31" s="1882"/>
      <c r="RUX31" s="1882"/>
      <c r="RUZ31" s="1887"/>
      <c r="RVA31" s="1888"/>
      <c r="RVB31" s="1882"/>
      <c r="RVC31" s="1882"/>
      <c r="RVD31" s="1882"/>
      <c r="RVF31" s="1887"/>
      <c r="RVG31" s="1888"/>
      <c r="RVH31" s="1882"/>
      <c r="RVI31" s="1882"/>
      <c r="RVJ31" s="1882"/>
      <c r="RVL31" s="1887"/>
      <c r="RVM31" s="1888"/>
      <c r="RVN31" s="1882"/>
      <c r="RVO31" s="1882"/>
      <c r="RVP31" s="1882"/>
      <c r="RVR31" s="1887"/>
      <c r="RVS31" s="1888"/>
      <c r="RVT31" s="1882"/>
      <c r="RVU31" s="1882"/>
      <c r="RVV31" s="1882"/>
      <c r="RVX31" s="1887"/>
      <c r="RVY31" s="1888"/>
      <c r="RVZ31" s="1882"/>
      <c r="RWA31" s="1882"/>
      <c r="RWB31" s="1882"/>
      <c r="RWD31" s="1887"/>
      <c r="RWE31" s="1888"/>
      <c r="RWF31" s="1882"/>
      <c r="RWG31" s="1882"/>
      <c r="RWH31" s="1882"/>
      <c r="RWJ31" s="1887"/>
      <c r="RWK31" s="1888"/>
      <c r="RWL31" s="1882"/>
      <c r="RWM31" s="1882"/>
      <c r="RWN31" s="1882"/>
      <c r="RWP31" s="1887"/>
      <c r="RWQ31" s="1888"/>
      <c r="RWR31" s="1882"/>
      <c r="RWS31" s="1882"/>
      <c r="RWT31" s="1882"/>
      <c r="RWV31" s="1887"/>
      <c r="RWW31" s="1888"/>
      <c r="RWX31" s="1882"/>
      <c r="RWY31" s="1882"/>
      <c r="RWZ31" s="1882"/>
      <c r="RXB31" s="1887"/>
      <c r="RXC31" s="1888"/>
      <c r="RXD31" s="1882"/>
      <c r="RXE31" s="1882"/>
      <c r="RXF31" s="1882"/>
      <c r="RXH31" s="1887"/>
      <c r="RXI31" s="1888"/>
      <c r="RXJ31" s="1882"/>
      <c r="RXK31" s="1882"/>
      <c r="RXL31" s="1882"/>
      <c r="RXN31" s="1887"/>
      <c r="RXO31" s="1888"/>
      <c r="RXP31" s="1882"/>
      <c r="RXQ31" s="1882"/>
      <c r="RXR31" s="1882"/>
      <c r="RXT31" s="1887"/>
      <c r="RXU31" s="1888"/>
      <c r="RXV31" s="1882"/>
      <c r="RXW31" s="1882"/>
      <c r="RXX31" s="1882"/>
      <c r="RXZ31" s="1887"/>
      <c r="RYA31" s="1888"/>
      <c r="RYB31" s="1882"/>
      <c r="RYC31" s="1882"/>
      <c r="RYD31" s="1882"/>
      <c r="RYF31" s="1887"/>
      <c r="RYG31" s="1888"/>
      <c r="RYH31" s="1882"/>
      <c r="RYI31" s="1882"/>
      <c r="RYJ31" s="1882"/>
      <c r="RYL31" s="1887"/>
      <c r="RYM31" s="1888"/>
      <c r="RYN31" s="1882"/>
      <c r="RYO31" s="1882"/>
      <c r="RYP31" s="1882"/>
      <c r="RYR31" s="1887"/>
      <c r="RYS31" s="1888"/>
      <c r="RYT31" s="1882"/>
      <c r="RYU31" s="1882"/>
      <c r="RYV31" s="1882"/>
      <c r="RYX31" s="1887"/>
      <c r="RYY31" s="1888"/>
      <c r="RYZ31" s="1882"/>
      <c r="RZA31" s="1882"/>
      <c r="RZB31" s="1882"/>
      <c r="RZD31" s="1887"/>
      <c r="RZE31" s="1888"/>
      <c r="RZF31" s="1882"/>
      <c r="RZG31" s="1882"/>
      <c r="RZH31" s="1882"/>
      <c r="RZJ31" s="1887"/>
      <c r="RZK31" s="1888"/>
      <c r="RZL31" s="1882"/>
      <c r="RZM31" s="1882"/>
      <c r="RZN31" s="1882"/>
      <c r="RZP31" s="1887"/>
      <c r="RZQ31" s="1888"/>
      <c r="RZR31" s="1882"/>
      <c r="RZS31" s="1882"/>
      <c r="RZT31" s="1882"/>
      <c r="RZV31" s="1887"/>
      <c r="RZW31" s="1888"/>
      <c r="RZX31" s="1882"/>
      <c r="RZY31" s="1882"/>
      <c r="RZZ31" s="1882"/>
      <c r="SAB31" s="1887"/>
      <c r="SAC31" s="1888"/>
      <c r="SAD31" s="1882"/>
      <c r="SAE31" s="1882"/>
      <c r="SAF31" s="1882"/>
      <c r="SAH31" s="1887"/>
      <c r="SAI31" s="1888"/>
      <c r="SAJ31" s="1882"/>
      <c r="SAK31" s="1882"/>
      <c r="SAL31" s="1882"/>
      <c r="SAN31" s="1887"/>
      <c r="SAO31" s="1888"/>
      <c r="SAP31" s="1882"/>
      <c r="SAQ31" s="1882"/>
      <c r="SAR31" s="1882"/>
      <c r="SAT31" s="1887"/>
      <c r="SAU31" s="1888"/>
      <c r="SAV31" s="1882"/>
      <c r="SAW31" s="1882"/>
      <c r="SAX31" s="1882"/>
      <c r="SAZ31" s="1887"/>
      <c r="SBA31" s="1888"/>
      <c r="SBB31" s="1882"/>
      <c r="SBC31" s="1882"/>
      <c r="SBD31" s="1882"/>
      <c r="SBF31" s="1887"/>
      <c r="SBG31" s="1888"/>
      <c r="SBH31" s="1882"/>
      <c r="SBI31" s="1882"/>
      <c r="SBJ31" s="1882"/>
      <c r="SBL31" s="1887"/>
      <c r="SBM31" s="1888"/>
      <c r="SBN31" s="1882"/>
      <c r="SBO31" s="1882"/>
      <c r="SBP31" s="1882"/>
      <c r="SBR31" s="1887"/>
      <c r="SBS31" s="1888"/>
      <c r="SBT31" s="1882"/>
      <c r="SBU31" s="1882"/>
      <c r="SBV31" s="1882"/>
      <c r="SBX31" s="1887"/>
      <c r="SBY31" s="1888"/>
      <c r="SBZ31" s="1882"/>
      <c r="SCA31" s="1882"/>
      <c r="SCB31" s="1882"/>
      <c r="SCD31" s="1887"/>
      <c r="SCE31" s="1888"/>
      <c r="SCF31" s="1882"/>
      <c r="SCG31" s="1882"/>
      <c r="SCH31" s="1882"/>
      <c r="SCJ31" s="1887"/>
      <c r="SCK31" s="1888"/>
      <c r="SCL31" s="1882"/>
      <c r="SCM31" s="1882"/>
      <c r="SCN31" s="1882"/>
      <c r="SCP31" s="1887"/>
      <c r="SCQ31" s="1888"/>
      <c r="SCR31" s="1882"/>
      <c r="SCS31" s="1882"/>
      <c r="SCT31" s="1882"/>
      <c r="SCV31" s="1887"/>
      <c r="SCW31" s="1888"/>
      <c r="SCX31" s="1882"/>
      <c r="SCY31" s="1882"/>
      <c r="SCZ31" s="1882"/>
      <c r="SDB31" s="1887"/>
      <c r="SDC31" s="1888"/>
      <c r="SDD31" s="1882"/>
      <c r="SDE31" s="1882"/>
      <c r="SDF31" s="1882"/>
      <c r="SDH31" s="1887"/>
      <c r="SDI31" s="1888"/>
      <c r="SDJ31" s="1882"/>
      <c r="SDK31" s="1882"/>
      <c r="SDL31" s="1882"/>
      <c r="SDN31" s="1887"/>
      <c r="SDO31" s="1888"/>
      <c r="SDP31" s="1882"/>
      <c r="SDQ31" s="1882"/>
      <c r="SDR31" s="1882"/>
      <c r="SDT31" s="1887"/>
      <c r="SDU31" s="1888"/>
      <c r="SDV31" s="1882"/>
      <c r="SDW31" s="1882"/>
      <c r="SDX31" s="1882"/>
      <c r="SDZ31" s="1887"/>
      <c r="SEA31" s="1888"/>
      <c r="SEB31" s="1882"/>
      <c r="SEC31" s="1882"/>
      <c r="SED31" s="1882"/>
      <c r="SEF31" s="1887"/>
      <c r="SEG31" s="1888"/>
      <c r="SEH31" s="1882"/>
      <c r="SEI31" s="1882"/>
      <c r="SEJ31" s="1882"/>
      <c r="SEL31" s="1887"/>
      <c r="SEM31" s="1888"/>
      <c r="SEN31" s="1882"/>
      <c r="SEO31" s="1882"/>
      <c r="SEP31" s="1882"/>
      <c r="SER31" s="1887"/>
      <c r="SES31" s="1888"/>
      <c r="SET31" s="1882"/>
      <c r="SEU31" s="1882"/>
      <c r="SEV31" s="1882"/>
      <c r="SEX31" s="1887"/>
      <c r="SEY31" s="1888"/>
      <c r="SEZ31" s="1882"/>
      <c r="SFA31" s="1882"/>
      <c r="SFB31" s="1882"/>
      <c r="SFD31" s="1887"/>
      <c r="SFE31" s="1888"/>
      <c r="SFF31" s="1882"/>
      <c r="SFG31" s="1882"/>
      <c r="SFH31" s="1882"/>
      <c r="SFJ31" s="1887"/>
      <c r="SFK31" s="1888"/>
      <c r="SFL31" s="1882"/>
      <c r="SFM31" s="1882"/>
      <c r="SFN31" s="1882"/>
      <c r="SFP31" s="1887"/>
      <c r="SFQ31" s="1888"/>
      <c r="SFR31" s="1882"/>
      <c r="SFS31" s="1882"/>
      <c r="SFT31" s="1882"/>
      <c r="SFV31" s="1887"/>
      <c r="SFW31" s="1888"/>
      <c r="SFX31" s="1882"/>
      <c r="SFY31" s="1882"/>
      <c r="SFZ31" s="1882"/>
      <c r="SGB31" s="1887"/>
      <c r="SGC31" s="1888"/>
      <c r="SGD31" s="1882"/>
      <c r="SGE31" s="1882"/>
      <c r="SGF31" s="1882"/>
      <c r="SGH31" s="1887"/>
      <c r="SGI31" s="1888"/>
      <c r="SGJ31" s="1882"/>
      <c r="SGK31" s="1882"/>
      <c r="SGL31" s="1882"/>
      <c r="SGN31" s="1887"/>
      <c r="SGO31" s="1888"/>
      <c r="SGP31" s="1882"/>
      <c r="SGQ31" s="1882"/>
      <c r="SGR31" s="1882"/>
      <c r="SGT31" s="1887"/>
      <c r="SGU31" s="1888"/>
      <c r="SGV31" s="1882"/>
      <c r="SGW31" s="1882"/>
      <c r="SGX31" s="1882"/>
      <c r="SGZ31" s="1887"/>
      <c r="SHA31" s="1888"/>
      <c r="SHB31" s="1882"/>
      <c r="SHC31" s="1882"/>
      <c r="SHD31" s="1882"/>
      <c r="SHF31" s="1887"/>
      <c r="SHG31" s="1888"/>
      <c r="SHH31" s="1882"/>
      <c r="SHI31" s="1882"/>
      <c r="SHJ31" s="1882"/>
      <c r="SHL31" s="1887"/>
      <c r="SHM31" s="1888"/>
      <c r="SHN31" s="1882"/>
      <c r="SHO31" s="1882"/>
      <c r="SHP31" s="1882"/>
      <c r="SHR31" s="1887"/>
      <c r="SHS31" s="1888"/>
      <c r="SHT31" s="1882"/>
      <c r="SHU31" s="1882"/>
      <c r="SHV31" s="1882"/>
      <c r="SHX31" s="1887"/>
      <c r="SHY31" s="1888"/>
      <c r="SHZ31" s="1882"/>
      <c r="SIA31" s="1882"/>
      <c r="SIB31" s="1882"/>
      <c r="SID31" s="1887"/>
      <c r="SIE31" s="1888"/>
      <c r="SIF31" s="1882"/>
      <c r="SIG31" s="1882"/>
      <c r="SIH31" s="1882"/>
      <c r="SIJ31" s="1887"/>
      <c r="SIK31" s="1888"/>
      <c r="SIL31" s="1882"/>
      <c r="SIM31" s="1882"/>
      <c r="SIN31" s="1882"/>
      <c r="SIP31" s="1887"/>
      <c r="SIQ31" s="1888"/>
      <c r="SIR31" s="1882"/>
      <c r="SIS31" s="1882"/>
      <c r="SIT31" s="1882"/>
      <c r="SIV31" s="1887"/>
      <c r="SIW31" s="1888"/>
      <c r="SIX31" s="1882"/>
      <c r="SIY31" s="1882"/>
      <c r="SIZ31" s="1882"/>
      <c r="SJB31" s="1887"/>
      <c r="SJC31" s="1888"/>
      <c r="SJD31" s="1882"/>
      <c r="SJE31" s="1882"/>
      <c r="SJF31" s="1882"/>
      <c r="SJH31" s="1887"/>
      <c r="SJI31" s="1888"/>
      <c r="SJJ31" s="1882"/>
      <c r="SJK31" s="1882"/>
      <c r="SJL31" s="1882"/>
      <c r="SJN31" s="1887"/>
      <c r="SJO31" s="1888"/>
      <c r="SJP31" s="1882"/>
      <c r="SJQ31" s="1882"/>
      <c r="SJR31" s="1882"/>
      <c r="SJT31" s="1887"/>
      <c r="SJU31" s="1888"/>
      <c r="SJV31" s="1882"/>
      <c r="SJW31" s="1882"/>
      <c r="SJX31" s="1882"/>
      <c r="SJZ31" s="1887"/>
      <c r="SKA31" s="1888"/>
      <c r="SKB31" s="1882"/>
      <c r="SKC31" s="1882"/>
      <c r="SKD31" s="1882"/>
      <c r="SKF31" s="1887"/>
      <c r="SKG31" s="1888"/>
      <c r="SKH31" s="1882"/>
      <c r="SKI31" s="1882"/>
      <c r="SKJ31" s="1882"/>
      <c r="SKL31" s="1887"/>
      <c r="SKM31" s="1888"/>
      <c r="SKN31" s="1882"/>
      <c r="SKO31" s="1882"/>
      <c r="SKP31" s="1882"/>
      <c r="SKR31" s="1887"/>
      <c r="SKS31" s="1888"/>
      <c r="SKT31" s="1882"/>
      <c r="SKU31" s="1882"/>
      <c r="SKV31" s="1882"/>
      <c r="SKX31" s="1887"/>
      <c r="SKY31" s="1888"/>
      <c r="SKZ31" s="1882"/>
      <c r="SLA31" s="1882"/>
      <c r="SLB31" s="1882"/>
      <c r="SLD31" s="1887"/>
      <c r="SLE31" s="1888"/>
      <c r="SLF31" s="1882"/>
      <c r="SLG31" s="1882"/>
      <c r="SLH31" s="1882"/>
      <c r="SLJ31" s="1887"/>
      <c r="SLK31" s="1888"/>
      <c r="SLL31" s="1882"/>
      <c r="SLM31" s="1882"/>
      <c r="SLN31" s="1882"/>
      <c r="SLP31" s="1887"/>
      <c r="SLQ31" s="1888"/>
      <c r="SLR31" s="1882"/>
      <c r="SLS31" s="1882"/>
      <c r="SLT31" s="1882"/>
      <c r="SLV31" s="1887"/>
      <c r="SLW31" s="1888"/>
      <c r="SLX31" s="1882"/>
      <c r="SLY31" s="1882"/>
      <c r="SLZ31" s="1882"/>
      <c r="SMB31" s="1887"/>
      <c r="SMC31" s="1888"/>
      <c r="SMD31" s="1882"/>
      <c r="SME31" s="1882"/>
      <c r="SMF31" s="1882"/>
      <c r="SMH31" s="1887"/>
      <c r="SMI31" s="1888"/>
      <c r="SMJ31" s="1882"/>
      <c r="SMK31" s="1882"/>
      <c r="SML31" s="1882"/>
      <c r="SMN31" s="1887"/>
      <c r="SMO31" s="1888"/>
      <c r="SMP31" s="1882"/>
      <c r="SMQ31" s="1882"/>
      <c r="SMR31" s="1882"/>
      <c r="SMT31" s="1887"/>
      <c r="SMU31" s="1888"/>
      <c r="SMV31" s="1882"/>
      <c r="SMW31" s="1882"/>
      <c r="SMX31" s="1882"/>
      <c r="SMZ31" s="1887"/>
      <c r="SNA31" s="1888"/>
      <c r="SNB31" s="1882"/>
      <c r="SNC31" s="1882"/>
      <c r="SND31" s="1882"/>
      <c r="SNF31" s="1887"/>
      <c r="SNG31" s="1888"/>
      <c r="SNH31" s="1882"/>
      <c r="SNI31" s="1882"/>
      <c r="SNJ31" s="1882"/>
      <c r="SNL31" s="1887"/>
      <c r="SNM31" s="1888"/>
      <c r="SNN31" s="1882"/>
      <c r="SNO31" s="1882"/>
      <c r="SNP31" s="1882"/>
      <c r="SNR31" s="1887"/>
      <c r="SNS31" s="1888"/>
      <c r="SNT31" s="1882"/>
      <c r="SNU31" s="1882"/>
      <c r="SNV31" s="1882"/>
      <c r="SNX31" s="1887"/>
      <c r="SNY31" s="1888"/>
      <c r="SNZ31" s="1882"/>
      <c r="SOA31" s="1882"/>
      <c r="SOB31" s="1882"/>
      <c r="SOD31" s="1887"/>
      <c r="SOE31" s="1888"/>
      <c r="SOF31" s="1882"/>
      <c r="SOG31" s="1882"/>
      <c r="SOH31" s="1882"/>
      <c r="SOJ31" s="1887"/>
      <c r="SOK31" s="1888"/>
      <c r="SOL31" s="1882"/>
      <c r="SOM31" s="1882"/>
      <c r="SON31" s="1882"/>
      <c r="SOP31" s="1887"/>
      <c r="SOQ31" s="1888"/>
      <c r="SOR31" s="1882"/>
      <c r="SOS31" s="1882"/>
      <c r="SOT31" s="1882"/>
      <c r="SOV31" s="1887"/>
      <c r="SOW31" s="1888"/>
      <c r="SOX31" s="1882"/>
      <c r="SOY31" s="1882"/>
      <c r="SOZ31" s="1882"/>
      <c r="SPB31" s="1887"/>
      <c r="SPC31" s="1888"/>
      <c r="SPD31" s="1882"/>
      <c r="SPE31" s="1882"/>
      <c r="SPF31" s="1882"/>
      <c r="SPH31" s="1887"/>
      <c r="SPI31" s="1888"/>
      <c r="SPJ31" s="1882"/>
      <c r="SPK31" s="1882"/>
      <c r="SPL31" s="1882"/>
      <c r="SPN31" s="1887"/>
      <c r="SPO31" s="1888"/>
      <c r="SPP31" s="1882"/>
      <c r="SPQ31" s="1882"/>
      <c r="SPR31" s="1882"/>
      <c r="SPT31" s="1887"/>
      <c r="SPU31" s="1888"/>
      <c r="SPV31" s="1882"/>
      <c r="SPW31" s="1882"/>
      <c r="SPX31" s="1882"/>
      <c r="SPZ31" s="1887"/>
      <c r="SQA31" s="1888"/>
      <c r="SQB31" s="1882"/>
      <c r="SQC31" s="1882"/>
      <c r="SQD31" s="1882"/>
      <c r="SQF31" s="1887"/>
      <c r="SQG31" s="1888"/>
      <c r="SQH31" s="1882"/>
      <c r="SQI31" s="1882"/>
      <c r="SQJ31" s="1882"/>
      <c r="SQL31" s="1887"/>
      <c r="SQM31" s="1888"/>
      <c r="SQN31" s="1882"/>
      <c r="SQO31" s="1882"/>
      <c r="SQP31" s="1882"/>
      <c r="SQR31" s="1887"/>
      <c r="SQS31" s="1888"/>
      <c r="SQT31" s="1882"/>
      <c r="SQU31" s="1882"/>
      <c r="SQV31" s="1882"/>
      <c r="SQX31" s="1887"/>
      <c r="SQY31" s="1888"/>
      <c r="SQZ31" s="1882"/>
      <c r="SRA31" s="1882"/>
      <c r="SRB31" s="1882"/>
      <c r="SRD31" s="1887"/>
      <c r="SRE31" s="1888"/>
      <c r="SRF31" s="1882"/>
      <c r="SRG31" s="1882"/>
      <c r="SRH31" s="1882"/>
      <c r="SRJ31" s="1887"/>
      <c r="SRK31" s="1888"/>
      <c r="SRL31" s="1882"/>
      <c r="SRM31" s="1882"/>
      <c r="SRN31" s="1882"/>
      <c r="SRP31" s="1887"/>
      <c r="SRQ31" s="1888"/>
      <c r="SRR31" s="1882"/>
      <c r="SRS31" s="1882"/>
      <c r="SRT31" s="1882"/>
      <c r="SRV31" s="1887"/>
      <c r="SRW31" s="1888"/>
      <c r="SRX31" s="1882"/>
      <c r="SRY31" s="1882"/>
      <c r="SRZ31" s="1882"/>
      <c r="SSB31" s="1887"/>
      <c r="SSC31" s="1888"/>
      <c r="SSD31" s="1882"/>
      <c r="SSE31" s="1882"/>
      <c r="SSF31" s="1882"/>
      <c r="SSH31" s="1887"/>
      <c r="SSI31" s="1888"/>
      <c r="SSJ31" s="1882"/>
      <c r="SSK31" s="1882"/>
      <c r="SSL31" s="1882"/>
      <c r="SSN31" s="1887"/>
      <c r="SSO31" s="1888"/>
      <c r="SSP31" s="1882"/>
      <c r="SSQ31" s="1882"/>
      <c r="SSR31" s="1882"/>
      <c r="SST31" s="1887"/>
      <c r="SSU31" s="1888"/>
      <c r="SSV31" s="1882"/>
      <c r="SSW31" s="1882"/>
      <c r="SSX31" s="1882"/>
      <c r="SSZ31" s="1887"/>
      <c r="STA31" s="1888"/>
      <c r="STB31" s="1882"/>
      <c r="STC31" s="1882"/>
      <c r="STD31" s="1882"/>
      <c r="STF31" s="1887"/>
      <c r="STG31" s="1888"/>
      <c r="STH31" s="1882"/>
      <c r="STI31" s="1882"/>
      <c r="STJ31" s="1882"/>
      <c r="STL31" s="1887"/>
      <c r="STM31" s="1888"/>
      <c r="STN31" s="1882"/>
      <c r="STO31" s="1882"/>
      <c r="STP31" s="1882"/>
      <c r="STR31" s="1887"/>
      <c r="STS31" s="1888"/>
      <c r="STT31" s="1882"/>
      <c r="STU31" s="1882"/>
      <c r="STV31" s="1882"/>
      <c r="STX31" s="1887"/>
      <c r="STY31" s="1888"/>
      <c r="STZ31" s="1882"/>
      <c r="SUA31" s="1882"/>
      <c r="SUB31" s="1882"/>
      <c r="SUD31" s="1887"/>
      <c r="SUE31" s="1888"/>
      <c r="SUF31" s="1882"/>
      <c r="SUG31" s="1882"/>
      <c r="SUH31" s="1882"/>
      <c r="SUJ31" s="1887"/>
      <c r="SUK31" s="1888"/>
      <c r="SUL31" s="1882"/>
      <c r="SUM31" s="1882"/>
      <c r="SUN31" s="1882"/>
      <c r="SUP31" s="1887"/>
      <c r="SUQ31" s="1888"/>
      <c r="SUR31" s="1882"/>
      <c r="SUS31" s="1882"/>
      <c r="SUT31" s="1882"/>
      <c r="SUV31" s="1887"/>
      <c r="SUW31" s="1888"/>
      <c r="SUX31" s="1882"/>
      <c r="SUY31" s="1882"/>
      <c r="SUZ31" s="1882"/>
      <c r="SVB31" s="1887"/>
      <c r="SVC31" s="1888"/>
      <c r="SVD31" s="1882"/>
      <c r="SVE31" s="1882"/>
      <c r="SVF31" s="1882"/>
      <c r="SVH31" s="1887"/>
      <c r="SVI31" s="1888"/>
      <c r="SVJ31" s="1882"/>
      <c r="SVK31" s="1882"/>
      <c r="SVL31" s="1882"/>
      <c r="SVN31" s="1887"/>
      <c r="SVO31" s="1888"/>
      <c r="SVP31" s="1882"/>
      <c r="SVQ31" s="1882"/>
      <c r="SVR31" s="1882"/>
      <c r="SVT31" s="1887"/>
      <c r="SVU31" s="1888"/>
      <c r="SVV31" s="1882"/>
      <c r="SVW31" s="1882"/>
      <c r="SVX31" s="1882"/>
      <c r="SVZ31" s="1887"/>
      <c r="SWA31" s="1888"/>
      <c r="SWB31" s="1882"/>
      <c r="SWC31" s="1882"/>
      <c r="SWD31" s="1882"/>
      <c r="SWF31" s="1887"/>
      <c r="SWG31" s="1888"/>
      <c r="SWH31" s="1882"/>
      <c r="SWI31" s="1882"/>
      <c r="SWJ31" s="1882"/>
      <c r="SWL31" s="1887"/>
      <c r="SWM31" s="1888"/>
      <c r="SWN31" s="1882"/>
      <c r="SWO31" s="1882"/>
      <c r="SWP31" s="1882"/>
      <c r="SWR31" s="1887"/>
      <c r="SWS31" s="1888"/>
      <c r="SWT31" s="1882"/>
      <c r="SWU31" s="1882"/>
      <c r="SWV31" s="1882"/>
      <c r="SWX31" s="1887"/>
      <c r="SWY31" s="1888"/>
      <c r="SWZ31" s="1882"/>
      <c r="SXA31" s="1882"/>
      <c r="SXB31" s="1882"/>
      <c r="SXD31" s="1887"/>
      <c r="SXE31" s="1888"/>
      <c r="SXF31" s="1882"/>
      <c r="SXG31" s="1882"/>
      <c r="SXH31" s="1882"/>
      <c r="SXJ31" s="1887"/>
      <c r="SXK31" s="1888"/>
      <c r="SXL31" s="1882"/>
      <c r="SXM31" s="1882"/>
      <c r="SXN31" s="1882"/>
      <c r="SXP31" s="1887"/>
      <c r="SXQ31" s="1888"/>
      <c r="SXR31" s="1882"/>
      <c r="SXS31" s="1882"/>
      <c r="SXT31" s="1882"/>
      <c r="SXV31" s="1887"/>
      <c r="SXW31" s="1888"/>
      <c r="SXX31" s="1882"/>
      <c r="SXY31" s="1882"/>
      <c r="SXZ31" s="1882"/>
      <c r="SYB31" s="1887"/>
      <c r="SYC31" s="1888"/>
      <c r="SYD31" s="1882"/>
      <c r="SYE31" s="1882"/>
      <c r="SYF31" s="1882"/>
      <c r="SYH31" s="1887"/>
      <c r="SYI31" s="1888"/>
      <c r="SYJ31" s="1882"/>
      <c r="SYK31" s="1882"/>
      <c r="SYL31" s="1882"/>
      <c r="SYN31" s="1887"/>
      <c r="SYO31" s="1888"/>
      <c r="SYP31" s="1882"/>
      <c r="SYQ31" s="1882"/>
      <c r="SYR31" s="1882"/>
      <c r="SYT31" s="1887"/>
      <c r="SYU31" s="1888"/>
      <c r="SYV31" s="1882"/>
      <c r="SYW31" s="1882"/>
      <c r="SYX31" s="1882"/>
      <c r="SYZ31" s="1887"/>
      <c r="SZA31" s="1888"/>
      <c r="SZB31" s="1882"/>
      <c r="SZC31" s="1882"/>
      <c r="SZD31" s="1882"/>
      <c r="SZF31" s="1887"/>
      <c r="SZG31" s="1888"/>
      <c r="SZH31" s="1882"/>
      <c r="SZI31" s="1882"/>
      <c r="SZJ31" s="1882"/>
      <c r="SZL31" s="1887"/>
      <c r="SZM31" s="1888"/>
      <c r="SZN31" s="1882"/>
      <c r="SZO31" s="1882"/>
      <c r="SZP31" s="1882"/>
      <c r="SZR31" s="1887"/>
      <c r="SZS31" s="1888"/>
      <c r="SZT31" s="1882"/>
      <c r="SZU31" s="1882"/>
      <c r="SZV31" s="1882"/>
      <c r="SZX31" s="1887"/>
      <c r="SZY31" s="1888"/>
      <c r="SZZ31" s="1882"/>
      <c r="TAA31" s="1882"/>
      <c r="TAB31" s="1882"/>
      <c r="TAD31" s="1887"/>
      <c r="TAE31" s="1888"/>
      <c r="TAF31" s="1882"/>
      <c r="TAG31" s="1882"/>
      <c r="TAH31" s="1882"/>
      <c r="TAJ31" s="1887"/>
      <c r="TAK31" s="1888"/>
      <c r="TAL31" s="1882"/>
      <c r="TAM31" s="1882"/>
      <c r="TAN31" s="1882"/>
      <c r="TAP31" s="1887"/>
      <c r="TAQ31" s="1888"/>
      <c r="TAR31" s="1882"/>
      <c r="TAS31" s="1882"/>
      <c r="TAT31" s="1882"/>
      <c r="TAV31" s="1887"/>
      <c r="TAW31" s="1888"/>
      <c r="TAX31" s="1882"/>
      <c r="TAY31" s="1882"/>
      <c r="TAZ31" s="1882"/>
      <c r="TBB31" s="1887"/>
      <c r="TBC31" s="1888"/>
      <c r="TBD31" s="1882"/>
      <c r="TBE31" s="1882"/>
      <c r="TBF31" s="1882"/>
      <c r="TBH31" s="1887"/>
      <c r="TBI31" s="1888"/>
      <c r="TBJ31" s="1882"/>
      <c r="TBK31" s="1882"/>
      <c r="TBL31" s="1882"/>
      <c r="TBN31" s="1887"/>
      <c r="TBO31" s="1888"/>
      <c r="TBP31" s="1882"/>
      <c r="TBQ31" s="1882"/>
      <c r="TBR31" s="1882"/>
      <c r="TBT31" s="1887"/>
      <c r="TBU31" s="1888"/>
      <c r="TBV31" s="1882"/>
      <c r="TBW31" s="1882"/>
      <c r="TBX31" s="1882"/>
      <c r="TBZ31" s="1887"/>
      <c r="TCA31" s="1888"/>
      <c r="TCB31" s="1882"/>
      <c r="TCC31" s="1882"/>
      <c r="TCD31" s="1882"/>
      <c r="TCF31" s="1887"/>
      <c r="TCG31" s="1888"/>
      <c r="TCH31" s="1882"/>
      <c r="TCI31" s="1882"/>
      <c r="TCJ31" s="1882"/>
      <c r="TCL31" s="1887"/>
      <c r="TCM31" s="1888"/>
      <c r="TCN31" s="1882"/>
      <c r="TCO31" s="1882"/>
      <c r="TCP31" s="1882"/>
      <c r="TCR31" s="1887"/>
      <c r="TCS31" s="1888"/>
      <c r="TCT31" s="1882"/>
      <c r="TCU31" s="1882"/>
      <c r="TCV31" s="1882"/>
      <c r="TCX31" s="1887"/>
      <c r="TCY31" s="1888"/>
      <c r="TCZ31" s="1882"/>
      <c r="TDA31" s="1882"/>
      <c r="TDB31" s="1882"/>
      <c r="TDD31" s="1887"/>
      <c r="TDE31" s="1888"/>
      <c r="TDF31" s="1882"/>
      <c r="TDG31" s="1882"/>
      <c r="TDH31" s="1882"/>
      <c r="TDJ31" s="1887"/>
      <c r="TDK31" s="1888"/>
      <c r="TDL31" s="1882"/>
      <c r="TDM31" s="1882"/>
      <c r="TDN31" s="1882"/>
      <c r="TDP31" s="1887"/>
      <c r="TDQ31" s="1888"/>
      <c r="TDR31" s="1882"/>
      <c r="TDS31" s="1882"/>
      <c r="TDT31" s="1882"/>
      <c r="TDV31" s="1887"/>
      <c r="TDW31" s="1888"/>
      <c r="TDX31" s="1882"/>
      <c r="TDY31" s="1882"/>
      <c r="TDZ31" s="1882"/>
      <c r="TEB31" s="1887"/>
      <c r="TEC31" s="1888"/>
      <c r="TED31" s="1882"/>
      <c r="TEE31" s="1882"/>
      <c r="TEF31" s="1882"/>
      <c r="TEH31" s="1887"/>
      <c r="TEI31" s="1888"/>
      <c r="TEJ31" s="1882"/>
      <c r="TEK31" s="1882"/>
      <c r="TEL31" s="1882"/>
      <c r="TEN31" s="1887"/>
      <c r="TEO31" s="1888"/>
      <c r="TEP31" s="1882"/>
      <c r="TEQ31" s="1882"/>
      <c r="TER31" s="1882"/>
      <c r="TET31" s="1887"/>
      <c r="TEU31" s="1888"/>
      <c r="TEV31" s="1882"/>
      <c r="TEW31" s="1882"/>
      <c r="TEX31" s="1882"/>
      <c r="TEZ31" s="1887"/>
      <c r="TFA31" s="1888"/>
      <c r="TFB31" s="1882"/>
      <c r="TFC31" s="1882"/>
      <c r="TFD31" s="1882"/>
      <c r="TFF31" s="1887"/>
      <c r="TFG31" s="1888"/>
      <c r="TFH31" s="1882"/>
      <c r="TFI31" s="1882"/>
      <c r="TFJ31" s="1882"/>
      <c r="TFL31" s="1887"/>
      <c r="TFM31" s="1888"/>
      <c r="TFN31" s="1882"/>
      <c r="TFO31" s="1882"/>
      <c r="TFP31" s="1882"/>
      <c r="TFR31" s="1887"/>
      <c r="TFS31" s="1888"/>
      <c r="TFT31" s="1882"/>
      <c r="TFU31" s="1882"/>
      <c r="TFV31" s="1882"/>
      <c r="TFX31" s="1887"/>
      <c r="TFY31" s="1888"/>
      <c r="TFZ31" s="1882"/>
      <c r="TGA31" s="1882"/>
      <c r="TGB31" s="1882"/>
      <c r="TGD31" s="1887"/>
      <c r="TGE31" s="1888"/>
      <c r="TGF31" s="1882"/>
      <c r="TGG31" s="1882"/>
      <c r="TGH31" s="1882"/>
      <c r="TGJ31" s="1887"/>
      <c r="TGK31" s="1888"/>
      <c r="TGL31" s="1882"/>
      <c r="TGM31" s="1882"/>
      <c r="TGN31" s="1882"/>
      <c r="TGP31" s="1887"/>
      <c r="TGQ31" s="1888"/>
      <c r="TGR31" s="1882"/>
      <c r="TGS31" s="1882"/>
      <c r="TGT31" s="1882"/>
      <c r="TGV31" s="1887"/>
      <c r="TGW31" s="1888"/>
      <c r="TGX31" s="1882"/>
      <c r="TGY31" s="1882"/>
      <c r="TGZ31" s="1882"/>
      <c r="THB31" s="1887"/>
      <c r="THC31" s="1888"/>
      <c r="THD31" s="1882"/>
      <c r="THE31" s="1882"/>
      <c r="THF31" s="1882"/>
      <c r="THH31" s="1887"/>
      <c r="THI31" s="1888"/>
      <c r="THJ31" s="1882"/>
      <c r="THK31" s="1882"/>
      <c r="THL31" s="1882"/>
      <c r="THN31" s="1887"/>
      <c r="THO31" s="1888"/>
      <c r="THP31" s="1882"/>
      <c r="THQ31" s="1882"/>
      <c r="THR31" s="1882"/>
      <c r="THT31" s="1887"/>
      <c r="THU31" s="1888"/>
      <c r="THV31" s="1882"/>
      <c r="THW31" s="1882"/>
      <c r="THX31" s="1882"/>
      <c r="THZ31" s="1887"/>
      <c r="TIA31" s="1888"/>
      <c r="TIB31" s="1882"/>
      <c r="TIC31" s="1882"/>
      <c r="TID31" s="1882"/>
      <c r="TIF31" s="1887"/>
      <c r="TIG31" s="1888"/>
      <c r="TIH31" s="1882"/>
      <c r="TII31" s="1882"/>
      <c r="TIJ31" s="1882"/>
      <c r="TIL31" s="1887"/>
      <c r="TIM31" s="1888"/>
      <c r="TIN31" s="1882"/>
      <c r="TIO31" s="1882"/>
      <c r="TIP31" s="1882"/>
      <c r="TIR31" s="1887"/>
      <c r="TIS31" s="1888"/>
      <c r="TIT31" s="1882"/>
      <c r="TIU31" s="1882"/>
      <c r="TIV31" s="1882"/>
      <c r="TIX31" s="1887"/>
      <c r="TIY31" s="1888"/>
      <c r="TIZ31" s="1882"/>
      <c r="TJA31" s="1882"/>
      <c r="TJB31" s="1882"/>
      <c r="TJD31" s="1887"/>
      <c r="TJE31" s="1888"/>
      <c r="TJF31" s="1882"/>
      <c r="TJG31" s="1882"/>
      <c r="TJH31" s="1882"/>
      <c r="TJJ31" s="1887"/>
      <c r="TJK31" s="1888"/>
      <c r="TJL31" s="1882"/>
      <c r="TJM31" s="1882"/>
      <c r="TJN31" s="1882"/>
      <c r="TJP31" s="1887"/>
      <c r="TJQ31" s="1888"/>
      <c r="TJR31" s="1882"/>
      <c r="TJS31" s="1882"/>
      <c r="TJT31" s="1882"/>
      <c r="TJV31" s="1887"/>
      <c r="TJW31" s="1888"/>
      <c r="TJX31" s="1882"/>
      <c r="TJY31" s="1882"/>
      <c r="TJZ31" s="1882"/>
      <c r="TKB31" s="1887"/>
      <c r="TKC31" s="1888"/>
      <c r="TKD31" s="1882"/>
      <c r="TKE31" s="1882"/>
      <c r="TKF31" s="1882"/>
      <c r="TKH31" s="1887"/>
      <c r="TKI31" s="1888"/>
      <c r="TKJ31" s="1882"/>
      <c r="TKK31" s="1882"/>
      <c r="TKL31" s="1882"/>
      <c r="TKN31" s="1887"/>
      <c r="TKO31" s="1888"/>
      <c r="TKP31" s="1882"/>
      <c r="TKQ31" s="1882"/>
      <c r="TKR31" s="1882"/>
      <c r="TKT31" s="1887"/>
      <c r="TKU31" s="1888"/>
      <c r="TKV31" s="1882"/>
      <c r="TKW31" s="1882"/>
      <c r="TKX31" s="1882"/>
      <c r="TKZ31" s="1887"/>
      <c r="TLA31" s="1888"/>
      <c r="TLB31" s="1882"/>
      <c r="TLC31" s="1882"/>
      <c r="TLD31" s="1882"/>
      <c r="TLF31" s="1887"/>
      <c r="TLG31" s="1888"/>
      <c r="TLH31" s="1882"/>
      <c r="TLI31" s="1882"/>
      <c r="TLJ31" s="1882"/>
      <c r="TLL31" s="1887"/>
      <c r="TLM31" s="1888"/>
      <c r="TLN31" s="1882"/>
      <c r="TLO31" s="1882"/>
      <c r="TLP31" s="1882"/>
      <c r="TLR31" s="1887"/>
      <c r="TLS31" s="1888"/>
      <c r="TLT31" s="1882"/>
      <c r="TLU31" s="1882"/>
      <c r="TLV31" s="1882"/>
      <c r="TLX31" s="1887"/>
      <c r="TLY31" s="1888"/>
      <c r="TLZ31" s="1882"/>
      <c r="TMA31" s="1882"/>
      <c r="TMB31" s="1882"/>
      <c r="TMD31" s="1887"/>
      <c r="TME31" s="1888"/>
      <c r="TMF31" s="1882"/>
      <c r="TMG31" s="1882"/>
      <c r="TMH31" s="1882"/>
      <c r="TMJ31" s="1887"/>
      <c r="TMK31" s="1888"/>
      <c r="TML31" s="1882"/>
      <c r="TMM31" s="1882"/>
      <c r="TMN31" s="1882"/>
      <c r="TMP31" s="1887"/>
      <c r="TMQ31" s="1888"/>
      <c r="TMR31" s="1882"/>
      <c r="TMS31" s="1882"/>
      <c r="TMT31" s="1882"/>
      <c r="TMV31" s="1887"/>
      <c r="TMW31" s="1888"/>
      <c r="TMX31" s="1882"/>
      <c r="TMY31" s="1882"/>
      <c r="TMZ31" s="1882"/>
      <c r="TNB31" s="1887"/>
      <c r="TNC31" s="1888"/>
      <c r="TND31" s="1882"/>
      <c r="TNE31" s="1882"/>
      <c r="TNF31" s="1882"/>
      <c r="TNH31" s="1887"/>
      <c r="TNI31" s="1888"/>
      <c r="TNJ31" s="1882"/>
      <c r="TNK31" s="1882"/>
      <c r="TNL31" s="1882"/>
      <c r="TNN31" s="1887"/>
      <c r="TNO31" s="1888"/>
      <c r="TNP31" s="1882"/>
      <c r="TNQ31" s="1882"/>
      <c r="TNR31" s="1882"/>
      <c r="TNT31" s="1887"/>
      <c r="TNU31" s="1888"/>
      <c r="TNV31" s="1882"/>
      <c r="TNW31" s="1882"/>
      <c r="TNX31" s="1882"/>
      <c r="TNZ31" s="1887"/>
      <c r="TOA31" s="1888"/>
      <c r="TOB31" s="1882"/>
      <c r="TOC31" s="1882"/>
      <c r="TOD31" s="1882"/>
      <c r="TOF31" s="1887"/>
      <c r="TOG31" s="1888"/>
      <c r="TOH31" s="1882"/>
      <c r="TOI31" s="1882"/>
      <c r="TOJ31" s="1882"/>
      <c r="TOL31" s="1887"/>
      <c r="TOM31" s="1888"/>
      <c r="TON31" s="1882"/>
      <c r="TOO31" s="1882"/>
      <c r="TOP31" s="1882"/>
      <c r="TOR31" s="1887"/>
      <c r="TOS31" s="1888"/>
      <c r="TOT31" s="1882"/>
      <c r="TOU31" s="1882"/>
      <c r="TOV31" s="1882"/>
      <c r="TOX31" s="1887"/>
      <c r="TOY31" s="1888"/>
      <c r="TOZ31" s="1882"/>
      <c r="TPA31" s="1882"/>
      <c r="TPB31" s="1882"/>
      <c r="TPD31" s="1887"/>
      <c r="TPE31" s="1888"/>
      <c r="TPF31" s="1882"/>
      <c r="TPG31" s="1882"/>
      <c r="TPH31" s="1882"/>
      <c r="TPJ31" s="1887"/>
      <c r="TPK31" s="1888"/>
      <c r="TPL31" s="1882"/>
      <c r="TPM31" s="1882"/>
      <c r="TPN31" s="1882"/>
      <c r="TPP31" s="1887"/>
      <c r="TPQ31" s="1888"/>
      <c r="TPR31" s="1882"/>
      <c r="TPS31" s="1882"/>
      <c r="TPT31" s="1882"/>
      <c r="TPV31" s="1887"/>
      <c r="TPW31" s="1888"/>
      <c r="TPX31" s="1882"/>
      <c r="TPY31" s="1882"/>
      <c r="TPZ31" s="1882"/>
      <c r="TQB31" s="1887"/>
      <c r="TQC31" s="1888"/>
      <c r="TQD31" s="1882"/>
      <c r="TQE31" s="1882"/>
      <c r="TQF31" s="1882"/>
      <c r="TQH31" s="1887"/>
      <c r="TQI31" s="1888"/>
      <c r="TQJ31" s="1882"/>
      <c r="TQK31" s="1882"/>
      <c r="TQL31" s="1882"/>
      <c r="TQN31" s="1887"/>
      <c r="TQO31" s="1888"/>
      <c r="TQP31" s="1882"/>
      <c r="TQQ31" s="1882"/>
      <c r="TQR31" s="1882"/>
      <c r="TQT31" s="1887"/>
      <c r="TQU31" s="1888"/>
      <c r="TQV31" s="1882"/>
      <c r="TQW31" s="1882"/>
      <c r="TQX31" s="1882"/>
      <c r="TQZ31" s="1887"/>
      <c r="TRA31" s="1888"/>
      <c r="TRB31" s="1882"/>
      <c r="TRC31" s="1882"/>
      <c r="TRD31" s="1882"/>
      <c r="TRF31" s="1887"/>
      <c r="TRG31" s="1888"/>
      <c r="TRH31" s="1882"/>
      <c r="TRI31" s="1882"/>
      <c r="TRJ31" s="1882"/>
      <c r="TRL31" s="1887"/>
      <c r="TRM31" s="1888"/>
      <c r="TRN31" s="1882"/>
      <c r="TRO31" s="1882"/>
      <c r="TRP31" s="1882"/>
      <c r="TRR31" s="1887"/>
      <c r="TRS31" s="1888"/>
      <c r="TRT31" s="1882"/>
      <c r="TRU31" s="1882"/>
      <c r="TRV31" s="1882"/>
      <c r="TRX31" s="1887"/>
      <c r="TRY31" s="1888"/>
      <c r="TRZ31" s="1882"/>
      <c r="TSA31" s="1882"/>
      <c r="TSB31" s="1882"/>
      <c r="TSD31" s="1887"/>
      <c r="TSE31" s="1888"/>
      <c r="TSF31" s="1882"/>
      <c r="TSG31" s="1882"/>
      <c r="TSH31" s="1882"/>
      <c r="TSJ31" s="1887"/>
      <c r="TSK31" s="1888"/>
      <c r="TSL31" s="1882"/>
      <c r="TSM31" s="1882"/>
      <c r="TSN31" s="1882"/>
      <c r="TSP31" s="1887"/>
      <c r="TSQ31" s="1888"/>
      <c r="TSR31" s="1882"/>
      <c r="TSS31" s="1882"/>
      <c r="TST31" s="1882"/>
      <c r="TSV31" s="1887"/>
      <c r="TSW31" s="1888"/>
      <c r="TSX31" s="1882"/>
      <c r="TSY31" s="1882"/>
      <c r="TSZ31" s="1882"/>
      <c r="TTB31" s="1887"/>
      <c r="TTC31" s="1888"/>
      <c r="TTD31" s="1882"/>
      <c r="TTE31" s="1882"/>
      <c r="TTF31" s="1882"/>
      <c r="TTH31" s="1887"/>
      <c r="TTI31" s="1888"/>
      <c r="TTJ31" s="1882"/>
      <c r="TTK31" s="1882"/>
      <c r="TTL31" s="1882"/>
      <c r="TTN31" s="1887"/>
      <c r="TTO31" s="1888"/>
      <c r="TTP31" s="1882"/>
      <c r="TTQ31" s="1882"/>
      <c r="TTR31" s="1882"/>
      <c r="TTT31" s="1887"/>
      <c r="TTU31" s="1888"/>
      <c r="TTV31" s="1882"/>
      <c r="TTW31" s="1882"/>
      <c r="TTX31" s="1882"/>
      <c r="TTZ31" s="1887"/>
      <c r="TUA31" s="1888"/>
      <c r="TUB31" s="1882"/>
      <c r="TUC31" s="1882"/>
      <c r="TUD31" s="1882"/>
      <c r="TUF31" s="1887"/>
      <c r="TUG31" s="1888"/>
      <c r="TUH31" s="1882"/>
      <c r="TUI31" s="1882"/>
      <c r="TUJ31" s="1882"/>
      <c r="TUL31" s="1887"/>
      <c r="TUM31" s="1888"/>
      <c r="TUN31" s="1882"/>
      <c r="TUO31" s="1882"/>
      <c r="TUP31" s="1882"/>
      <c r="TUR31" s="1887"/>
      <c r="TUS31" s="1888"/>
      <c r="TUT31" s="1882"/>
      <c r="TUU31" s="1882"/>
      <c r="TUV31" s="1882"/>
      <c r="TUX31" s="1887"/>
      <c r="TUY31" s="1888"/>
      <c r="TUZ31" s="1882"/>
      <c r="TVA31" s="1882"/>
      <c r="TVB31" s="1882"/>
      <c r="TVD31" s="1887"/>
      <c r="TVE31" s="1888"/>
      <c r="TVF31" s="1882"/>
      <c r="TVG31" s="1882"/>
      <c r="TVH31" s="1882"/>
      <c r="TVJ31" s="1887"/>
      <c r="TVK31" s="1888"/>
      <c r="TVL31" s="1882"/>
      <c r="TVM31" s="1882"/>
      <c r="TVN31" s="1882"/>
      <c r="TVP31" s="1887"/>
      <c r="TVQ31" s="1888"/>
      <c r="TVR31" s="1882"/>
      <c r="TVS31" s="1882"/>
      <c r="TVT31" s="1882"/>
      <c r="TVV31" s="1887"/>
      <c r="TVW31" s="1888"/>
      <c r="TVX31" s="1882"/>
      <c r="TVY31" s="1882"/>
      <c r="TVZ31" s="1882"/>
      <c r="TWB31" s="1887"/>
      <c r="TWC31" s="1888"/>
      <c r="TWD31" s="1882"/>
      <c r="TWE31" s="1882"/>
      <c r="TWF31" s="1882"/>
      <c r="TWH31" s="1887"/>
      <c r="TWI31" s="1888"/>
      <c r="TWJ31" s="1882"/>
      <c r="TWK31" s="1882"/>
      <c r="TWL31" s="1882"/>
      <c r="TWN31" s="1887"/>
      <c r="TWO31" s="1888"/>
      <c r="TWP31" s="1882"/>
      <c r="TWQ31" s="1882"/>
      <c r="TWR31" s="1882"/>
      <c r="TWT31" s="1887"/>
      <c r="TWU31" s="1888"/>
      <c r="TWV31" s="1882"/>
      <c r="TWW31" s="1882"/>
      <c r="TWX31" s="1882"/>
      <c r="TWZ31" s="1887"/>
      <c r="TXA31" s="1888"/>
      <c r="TXB31" s="1882"/>
      <c r="TXC31" s="1882"/>
      <c r="TXD31" s="1882"/>
      <c r="TXF31" s="1887"/>
      <c r="TXG31" s="1888"/>
      <c r="TXH31" s="1882"/>
      <c r="TXI31" s="1882"/>
      <c r="TXJ31" s="1882"/>
      <c r="TXL31" s="1887"/>
      <c r="TXM31" s="1888"/>
      <c r="TXN31" s="1882"/>
      <c r="TXO31" s="1882"/>
      <c r="TXP31" s="1882"/>
      <c r="TXR31" s="1887"/>
      <c r="TXS31" s="1888"/>
      <c r="TXT31" s="1882"/>
      <c r="TXU31" s="1882"/>
      <c r="TXV31" s="1882"/>
      <c r="TXX31" s="1887"/>
      <c r="TXY31" s="1888"/>
      <c r="TXZ31" s="1882"/>
      <c r="TYA31" s="1882"/>
      <c r="TYB31" s="1882"/>
      <c r="TYD31" s="1887"/>
      <c r="TYE31" s="1888"/>
      <c r="TYF31" s="1882"/>
      <c r="TYG31" s="1882"/>
      <c r="TYH31" s="1882"/>
      <c r="TYJ31" s="1887"/>
      <c r="TYK31" s="1888"/>
      <c r="TYL31" s="1882"/>
      <c r="TYM31" s="1882"/>
      <c r="TYN31" s="1882"/>
      <c r="TYP31" s="1887"/>
      <c r="TYQ31" s="1888"/>
      <c r="TYR31" s="1882"/>
      <c r="TYS31" s="1882"/>
      <c r="TYT31" s="1882"/>
      <c r="TYV31" s="1887"/>
      <c r="TYW31" s="1888"/>
      <c r="TYX31" s="1882"/>
      <c r="TYY31" s="1882"/>
      <c r="TYZ31" s="1882"/>
      <c r="TZB31" s="1887"/>
      <c r="TZC31" s="1888"/>
      <c r="TZD31" s="1882"/>
      <c r="TZE31" s="1882"/>
      <c r="TZF31" s="1882"/>
      <c r="TZH31" s="1887"/>
      <c r="TZI31" s="1888"/>
      <c r="TZJ31" s="1882"/>
      <c r="TZK31" s="1882"/>
      <c r="TZL31" s="1882"/>
      <c r="TZN31" s="1887"/>
      <c r="TZO31" s="1888"/>
      <c r="TZP31" s="1882"/>
      <c r="TZQ31" s="1882"/>
      <c r="TZR31" s="1882"/>
      <c r="TZT31" s="1887"/>
      <c r="TZU31" s="1888"/>
      <c r="TZV31" s="1882"/>
      <c r="TZW31" s="1882"/>
      <c r="TZX31" s="1882"/>
      <c r="TZZ31" s="1887"/>
      <c r="UAA31" s="1888"/>
      <c r="UAB31" s="1882"/>
      <c r="UAC31" s="1882"/>
      <c r="UAD31" s="1882"/>
      <c r="UAF31" s="1887"/>
      <c r="UAG31" s="1888"/>
      <c r="UAH31" s="1882"/>
      <c r="UAI31" s="1882"/>
      <c r="UAJ31" s="1882"/>
      <c r="UAL31" s="1887"/>
      <c r="UAM31" s="1888"/>
      <c r="UAN31" s="1882"/>
      <c r="UAO31" s="1882"/>
      <c r="UAP31" s="1882"/>
      <c r="UAR31" s="1887"/>
      <c r="UAS31" s="1888"/>
      <c r="UAT31" s="1882"/>
      <c r="UAU31" s="1882"/>
      <c r="UAV31" s="1882"/>
      <c r="UAX31" s="1887"/>
      <c r="UAY31" s="1888"/>
      <c r="UAZ31" s="1882"/>
      <c r="UBA31" s="1882"/>
      <c r="UBB31" s="1882"/>
      <c r="UBD31" s="1887"/>
      <c r="UBE31" s="1888"/>
      <c r="UBF31" s="1882"/>
      <c r="UBG31" s="1882"/>
      <c r="UBH31" s="1882"/>
      <c r="UBJ31" s="1887"/>
      <c r="UBK31" s="1888"/>
      <c r="UBL31" s="1882"/>
      <c r="UBM31" s="1882"/>
      <c r="UBN31" s="1882"/>
      <c r="UBP31" s="1887"/>
      <c r="UBQ31" s="1888"/>
      <c r="UBR31" s="1882"/>
      <c r="UBS31" s="1882"/>
      <c r="UBT31" s="1882"/>
      <c r="UBV31" s="1887"/>
      <c r="UBW31" s="1888"/>
      <c r="UBX31" s="1882"/>
      <c r="UBY31" s="1882"/>
      <c r="UBZ31" s="1882"/>
      <c r="UCB31" s="1887"/>
      <c r="UCC31" s="1888"/>
      <c r="UCD31" s="1882"/>
      <c r="UCE31" s="1882"/>
      <c r="UCF31" s="1882"/>
      <c r="UCH31" s="1887"/>
      <c r="UCI31" s="1888"/>
      <c r="UCJ31" s="1882"/>
      <c r="UCK31" s="1882"/>
      <c r="UCL31" s="1882"/>
      <c r="UCN31" s="1887"/>
      <c r="UCO31" s="1888"/>
      <c r="UCP31" s="1882"/>
      <c r="UCQ31" s="1882"/>
      <c r="UCR31" s="1882"/>
      <c r="UCT31" s="1887"/>
      <c r="UCU31" s="1888"/>
      <c r="UCV31" s="1882"/>
      <c r="UCW31" s="1882"/>
      <c r="UCX31" s="1882"/>
      <c r="UCZ31" s="1887"/>
      <c r="UDA31" s="1888"/>
      <c r="UDB31" s="1882"/>
      <c r="UDC31" s="1882"/>
      <c r="UDD31" s="1882"/>
      <c r="UDF31" s="1887"/>
      <c r="UDG31" s="1888"/>
      <c r="UDH31" s="1882"/>
      <c r="UDI31" s="1882"/>
      <c r="UDJ31" s="1882"/>
      <c r="UDL31" s="1887"/>
      <c r="UDM31" s="1888"/>
      <c r="UDN31" s="1882"/>
      <c r="UDO31" s="1882"/>
      <c r="UDP31" s="1882"/>
      <c r="UDR31" s="1887"/>
      <c r="UDS31" s="1888"/>
      <c r="UDT31" s="1882"/>
      <c r="UDU31" s="1882"/>
      <c r="UDV31" s="1882"/>
      <c r="UDX31" s="1887"/>
      <c r="UDY31" s="1888"/>
      <c r="UDZ31" s="1882"/>
      <c r="UEA31" s="1882"/>
      <c r="UEB31" s="1882"/>
      <c r="UED31" s="1887"/>
      <c r="UEE31" s="1888"/>
      <c r="UEF31" s="1882"/>
      <c r="UEG31" s="1882"/>
      <c r="UEH31" s="1882"/>
      <c r="UEJ31" s="1887"/>
      <c r="UEK31" s="1888"/>
      <c r="UEL31" s="1882"/>
      <c r="UEM31" s="1882"/>
      <c r="UEN31" s="1882"/>
      <c r="UEP31" s="1887"/>
      <c r="UEQ31" s="1888"/>
      <c r="UER31" s="1882"/>
      <c r="UES31" s="1882"/>
      <c r="UET31" s="1882"/>
      <c r="UEV31" s="1887"/>
      <c r="UEW31" s="1888"/>
      <c r="UEX31" s="1882"/>
      <c r="UEY31" s="1882"/>
      <c r="UEZ31" s="1882"/>
      <c r="UFB31" s="1887"/>
      <c r="UFC31" s="1888"/>
      <c r="UFD31" s="1882"/>
      <c r="UFE31" s="1882"/>
      <c r="UFF31" s="1882"/>
      <c r="UFH31" s="1887"/>
      <c r="UFI31" s="1888"/>
      <c r="UFJ31" s="1882"/>
      <c r="UFK31" s="1882"/>
      <c r="UFL31" s="1882"/>
      <c r="UFN31" s="1887"/>
      <c r="UFO31" s="1888"/>
      <c r="UFP31" s="1882"/>
      <c r="UFQ31" s="1882"/>
      <c r="UFR31" s="1882"/>
      <c r="UFT31" s="1887"/>
      <c r="UFU31" s="1888"/>
      <c r="UFV31" s="1882"/>
      <c r="UFW31" s="1882"/>
      <c r="UFX31" s="1882"/>
      <c r="UFZ31" s="1887"/>
      <c r="UGA31" s="1888"/>
      <c r="UGB31" s="1882"/>
      <c r="UGC31" s="1882"/>
      <c r="UGD31" s="1882"/>
      <c r="UGF31" s="1887"/>
      <c r="UGG31" s="1888"/>
      <c r="UGH31" s="1882"/>
      <c r="UGI31" s="1882"/>
      <c r="UGJ31" s="1882"/>
      <c r="UGL31" s="1887"/>
      <c r="UGM31" s="1888"/>
      <c r="UGN31" s="1882"/>
      <c r="UGO31" s="1882"/>
      <c r="UGP31" s="1882"/>
      <c r="UGR31" s="1887"/>
      <c r="UGS31" s="1888"/>
      <c r="UGT31" s="1882"/>
      <c r="UGU31" s="1882"/>
      <c r="UGV31" s="1882"/>
      <c r="UGX31" s="1887"/>
      <c r="UGY31" s="1888"/>
      <c r="UGZ31" s="1882"/>
      <c r="UHA31" s="1882"/>
      <c r="UHB31" s="1882"/>
      <c r="UHD31" s="1887"/>
      <c r="UHE31" s="1888"/>
      <c r="UHF31" s="1882"/>
      <c r="UHG31" s="1882"/>
      <c r="UHH31" s="1882"/>
      <c r="UHJ31" s="1887"/>
      <c r="UHK31" s="1888"/>
      <c r="UHL31" s="1882"/>
      <c r="UHM31" s="1882"/>
      <c r="UHN31" s="1882"/>
      <c r="UHP31" s="1887"/>
      <c r="UHQ31" s="1888"/>
      <c r="UHR31" s="1882"/>
      <c r="UHS31" s="1882"/>
      <c r="UHT31" s="1882"/>
      <c r="UHV31" s="1887"/>
      <c r="UHW31" s="1888"/>
      <c r="UHX31" s="1882"/>
      <c r="UHY31" s="1882"/>
      <c r="UHZ31" s="1882"/>
      <c r="UIB31" s="1887"/>
      <c r="UIC31" s="1888"/>
      <c r="UID31" s="1882"/>
      <c r="UIE31" s="1882"/>
      <c r="UIF31" s="1882"/>
      <c r="UIH31" s="1887"/>
      <c r="UII31" s="1888"/>
      <c r="UIJ31" s="1882"/>
      <c r="UIK31" s="1882"/>
      <c r="UIL31" s="1882"/>
      <c r="UIN31" s="1887"/>
      <c r="UIO31" s="1888"/>
      <c r="UIP31" s="1882"/>
      <c r="UIQ31" s="1882"/>
      <c r="UIR31" s="1882"/>
      <c r="UIT31" s="1887"/>
      <c r="UIU31" s="1888"/>
      <c r="UIV31" s="1882"/>
      <c r="UIW31" s="1882"/>
      <c r="UIX31" s="1882"/>
      <c r="UIZ31" s="1887"/>
      <c r="UJA31" s="1888"/>
      <c r="UJB31" s="1882"/>
      <c r="UJC31" s="1882"/>
      <c r="UJD31" s="1882"/>
      <c r="UJF31" s="1887"/>
      <c r="UJG31" s="1888"/>
      <c r="UJH31" s="1882"/>
      <c r="UJI31" s="1882"/>
      <c r="UJJ31" s="1882"/>
      <c r="UJL31" s="1887"/>
      <c r="UJM31" s="1888"/>
      <c r="UJN31" s="1882"/>
      <c r="UJO31" s="1882"/>
      <c r="UJP31" s="1882"/>
      <c r="UJR31" s="1887"/>
      <c r="UJS31" s="1888"/>
      <c r="UJT31" s="1882"/>
      <c r="UJU31" s="1882"/>
      <c r="UJV31" s="1882"/>
      <c r="UJX31" s="1887"/>
      <c r="UJY31" s="1888"/>
      <c r="UJZ31" s="1882"/>
      <c r="UKA31" s="1882"/>
      <c r="UKB31" s="1882"/>
      <c r="UKD31" s="1887"/>
      <c r="UKE31" s="1888"/>
      <c r="UKF31" s="1882"/>
      <c r="UKG31" s="1882"/>
      <c r="UKH31" s="1882"/>
      <c r="UKJ31" s="1887"/>
      <c r="UKK31" s="1888"/>
      <c r="UKL31" s="1882"/>
      <c r="UKM31" s="1882"/>
      <c r="UKN31" s="1882"/>
      <c r="UKP31" s="1887"/>
      <c r="UKQ31" s="1888"/>
      <c r="UKR31" s="1882"/>
      <c r="UKS31" s="1882"/>
      <c r="UKT31" s="1882"/>
      <c r="UKV31" s="1887"/>
      <c r="UKW31" s="1888"/>
      <c r="UKX31" s="1882"/>
      <c r="UKY31" s="1882"/>
      <c r="UKZ31" s="1882"/>
      <c r="ULB31" s="1887"/>
      <c r="ULC31" s="1888"/>
      <c r="ULD31" s="1882"/>
      <c r="ULE31" s="1882"/>
      <c r="ULF31" s="1882"/>
      <c r="ULH31" s="1887"/>
      <c r="ULI31" s="1888"/>
      <c r="ULJ31" s="1882"/>
      <c r="ULK31" s="1882"/>
      <c r="ULL31" s="1882"/>
      <c r="ULN31" s="1887"/>
      <c r="ULO31" s="1888"/>
      <c r="ULP31" s="1882"/>
      <c r="ULQ31" s="1882"/>
      <c r="ULR31" s="1882"/>
      <c r="ULT31" s="1887"/>
      <c r="ULU31" s="1888"/>
      <c r="ULV31" s="1882"/>
      <c r="ULW31" s="1882"/>
      <c r="ULX31" s="1882"/>
      <c r="ULZ31" s="1887"/>
      <c r="UMA31" s="1888"/>
      <c r="UMB31" s="1882"/>
      <c r="UMC31" s="1882"/>
      <c r="UMD31" s="1882"/>
      <c r="UMF31" s="1887"/>
      <c r="UMG31" s="1888"/>
      <c r="UMH31" s="1882"/>
      <c r="UMI31" s="1882"/>
      <c r="UMJ31" s="1882"/>
      <c r="UML31" s="1887"/>
      <c r="UMM31" s="1888"/>
      <c r="UMN31" s="1882"/>
      <c r="UMO31" s="1882"/>
      <c r="UMP31" s="1882"/>
      <c r="UMR31" s="1887"/>
      <c r="UMS31" s="1888"/>
      <c r="UMT31" s="1882"/>
      <c r="UMU31" s="1882"/>
      <c r="UMV31" s="1882"/>
      <c r="UMX31" s="1887"/>
      <c r="UMY31" s="1888"/>
      <c r="UMZ31" s="1882"/>
      <c r="UNA31" s="1882"/>
      <c r="UNB31" s="1882"/>
      <c r="UND31" s="1887"/>
      <c r="UNE31" s="1888"/>
      <c r="UNF31" s="1882"/>
      <c r="UNG31" s="1882"/>
      <c r="UNH31" s="1882"/>
      <c r="UNJ31" s="1887"/>
      <c r="UNK31" s="1888"/>
      <c r="UNL31" s="1882"/>
      <c r="UNM31" s="1882"/>
      <c r="UNN31" s="1882"/>
      <c r="UNP31" s="1887"/>
      <c r="UNQ31" s="1888"/>
      <c r="UNR31" s="1882"/>
      <c r="UNS31" s="1882"/>
      <c r="UNT31" s="1882"/>
      <c r="UNV31" s="1887"/>
      <c r="UNW31" s="1888"/>
      <c r="UNX31" s="1882"/>
      <c r="UNY31" s="1882"/>
      <c r="UNZ31" s="1882"/>
      <c r="UOB31" s="1887"/>
      <c r="UOC31" s="1888"/>
      <c r="UOD31" s="1882"/>
      <c r="UOE31" s="1882"/>
      <c r="UOF31" s="1882"/>
      <c r="UOH31" s="1887"/>
      <c r="UOI31" s="1888"/>
      <c r="UOJ31" s="1882"/>
      <c r="UOK31" s="1882"/>
      <c r="UOL31" s="1882"/>
      <c r="UON31" s="1887"/>
      <c r="UOO31" s="1888"/>
      <c r="UOP31" s="1882"/>
      <c r="UOQ31" s="1882"/>
      <c r="UOR31" s="1882"/>
      <c r="UOT31" s="1887"/>
      <c r="UOU31" s="1888"/>
      <c r="UOV31" s="1882"/>
      <c r="UOW31" s="1882"/>
      <c r="UOX31" s="1882"/>
      <c r="UOZ31" s="1887"/>
      <c r="UPA31" s="1888"/>
      <c r="UPB31" s="1882"/>
      <c r="UPC31" s="1882"/>
      <c r="UPD31" s="1882"/>
      <c r="UPF31" s="1887"/>
      <c r="UPG31" s="1888"/>
      <c r="UPH31" s="1882"/>
      <c r="UPI31" s="1882"/>
      <c r="UPJ31" s="1882"/>
      <c r="UPL31" s="1887"/>
      <c r="UPM31" s="1888"/>
      <c r="UPN31" s="1882"/>
      <c r="UPO31" s="1882"/>
      <c r="UPP31" s="1882"/>
      <c r="UPR31" s="1887"/>
      <c r="UPS31" s="1888"/>
      <c r="UPT31" s="1882"/>
      <c r="UPU31" s="1882"/>
      <c r="UPV31" s="1882"/>
      <c r="UPX31" s="1887"/>
      <c r="UPY31" s="1888"/>
      <c r="UPZ31" s="1882"/>
      <c r="UQA31" s="1882"/>
      <c r="UQB31" s="1882"/>
      <c r="UQD31" s="1887"/>
      <c r="UQE31" s="1888"/>
      <c r="UQF31" s="1882"/>
      <c r="UQG31" s="1882"/>
      <c r="UQH31" s="1882"/>
      <c r="UQJ31" s="1887"/>
      <c r="UQK31" s="1888"/>
      <c r="UQL31" s="1882"/>
      <c r="UQM31" s="1882"/>
      <c r="UQN31" s="1882"/>
      <c r="UQP31" s="1887"/>
      <c r="UQQ31" s="1888"/>
      <c r="UQR31" s="1882"/>
      <c r="UQS31" s="1882"/>
      <c r="UQT31" s="1882"/>
      <c r="UQV31" s="1887"/>
      <c r="UQW31" s="1888"/>
      <c r="UQX31" s="1882"/>
      <c r="UQY31" s="1882"/>
      <c r="UQZ31" s="1882"/>
      <c r="URB31" s="1887"/>
      <c r="URC31" s="1888"/>
      <c r="URD31" s="1882"/>
      <c r="URE31" s="1882"/>
      <c r="URF31" s="1882"/>
      <c r="URH31" s="1887"/>
      <c r="URI31" s="1888"/>
      <c r="URJ31" s="1882"/>
      <c r="URK31" s="1882"/>
      <c r="URL31" s="1882"/>
      <c r="URN31" s="1887"/>
      <c r="URO31" s="1888"/>
      <c r="URP31" s="1882"/>
      <c r="URQ31" s="1882"/>
      <c r="URR31" s="1882"/>
      <c r="URT31" s="1887"/>
      <c r="URU31" s="1888"/>
      <c r="URV31" s="1882"/>
      <c r="URW31" s="1882"/>
      <c r="URX31" s="1882"/>
      <c r="URZ31" s="1887"/>
      <c r="USA31" s="1888"/>
      <c r="USB31" s="1882"/>
      <c r="USC31" s="1882"/>
      <c r="USD31" s="1882"/>
      <c r="USF31" s="1887"/>
      <c r="USG31" s="1888"/>
      <c r="USH31" s="1882"/>
      <c r="USI31" s="1882"/>
      <c r="USJ31" s="1882"/>
      <c r="USL31" s="1887"/>
      <c r="USM31" s="1888"/>
      <c r="USN31" s="1882"/>
      <c r="USO31" s="1882"/>
      <c r="USP31" s="1882"/>
      <c r="USR31" s="1887"/>
      <c r="USS31" s="1888"/>
      <c r="UST31" s="1882"/>
      <c r="USU31" s="1882"/>
      <c r="USV31" s="1882"/>
      <c r="USX31" s="1887"/>
      <c r="USY31" s="1888"/>
      <c r="USZ31" s="1882"/>
      <c r="UTA31" s="1882"/>
      <c r="UTB31" s="1882"/>
      <c r="UTD31" s="1887"/>
      <c r="UTE31" s="1888"/>
      <c r="UTF31" s="1882"/>
      <c r="UTG31" s="1882"/>
      <c r="UTH31" s="1882"/>
      <c r="UTJ31" s="1887"/>
      <c r="UTK31" s="1888"/>
      <c r="UTL31" s="1882"/>
      <c r="UTM31" s="1882"/>
      <c r="UTN31" s="1882"/>
      <c r="UTP31" s="1887"/>
      <c r="UTQ31" s="1888"/>
      <c r="UTR31" s="1882"/>
      <c r="UTS31" s="1882"/>
      <c r="UTT31" s="1882"/>
      <c r="UTV31" s="1887"/>
      <c r="UTW31" s="1888"/>
      <c r="UTX31" s="1882"/>
      <c r="UTY31" s="1882"/>
      <c r="UTZ31" s="1882"/>
      <c r="UUB31" s="1887"/>
      <c r="UUC31" s="1888"/>
      <c r="UUD31" s="1882"/>
      <c r="UUE31" s="1882"/>
      <c r="UUF31" s="1882"/>
      <c r="UUH31" s="1887"/>
      <c r="UUI31" s="1888"/>
      <c r="UUJ31" s="1882"/>
      <c r="UUK31" s="1882"/>
      <c r="UUL31" s="1882"/>
      <c r="UUN31" s="1887"/>
      <c r="UUO31" s="1888"/>
      <c r="UUP31" s="1882"/>
      <c r="UUQ31" s="1882"/>
      <c r="UUR31" s="1882"/>
      <c r="UUT31" s="1887"/>
      <c r="UUU31" s="1888"/>
      <c r="UUV31" s="1882"/>
      <c r="UUW31" s="1882"/>
      <c r="UUX31" s="1882"/>
      <c r="UUZ31" s="1887"/>
      <c r="UVA31" s="1888"/>
      <c r="UVB31" s="1882"/>
      <c r="UVC31" s="1882"/>
      <c r="UVD31" s="1882"/>
      <c r="UVF31" s="1887"/>
      <c r="UVG31" s="1888"/>
      <c r="UVH31" s="1882"/>
      <c r="UVI31" s="1882"/>
      <c r="UVJ31" s="1882"/>
      <c r="UVL31" s="1887"/>
      <c r="UVM31" s="1888"/>
      <c r="UVN31" s="1882"/>
      <c r="UVO31" s="1882"/>
      <c r="UVP31" s="1882"/>
      <c r="UVR31" s="1887"/>
      <c r="UVS31" s="1888"/>
      <c r="UVT31" s="1882"/>
      <c r="UVU31" s="1882"/>
      <c r="UVV31" s="1882"/>
      <c r="UVX31" s="1887"/>
      <c r="UVY31" s="1888"/>
      <c r="UVZ31" s="1882"/>
      <c r="UWA31" s="1882"/>
      <c r="UWB31" s="1882"/>
      <c r="UWD31" s="1887"/>
      <c r="UWE31" s="1888"/>
      <c r="UWF31" s="1882"/>
      <c r="UWG31" s="1882"/>
      <c r="UWH31" s="1882"/>
      <c r="UWJ31" s="1887"/>
      <c r="UWK31" s="1888"/>
      <c r="UWL31" s="1882"/>
      <c r="UWM31" s="1882"/>
      <c r="UWN31" s="1882"/>
      <c r="UWP31" s="1887"/>
      <c r="UWQ31" s="1888"/>
      <c r="UWR31" s="1882"/>
      <c r="UWS31" s="1882"/>
      <c r="UWT31" s="1882"/>
      <c r="UWV31" s="1887"/>
      <c r="UWW31" s="1888"/>
      <c r="UWX31" s="1882"/>
      <c r="UWY31" s="1882"/>
      <c r="UWZ31" s="1882"/>
      <c r="UXB31" s="1887"/>
      <c r="UXC31" s="1888"/>
      <c r="UXD31" s="1882"/>
      <c r="UXE31" s="1882"/>
      <c r="UXF31" s="1882"/>
      <c r="UXH31" s="1887"/>
      <c r="UXI31" s="1888"/>
      <c r="UXJ31" s="1882"/>
      <c r="UXK31" s="1882"/>
      <c r="UXL31" s="1882"/>
      <c r="UXN31" s="1887"/>
      <c r="UXO31" s="1888"/>
      <c r="UXP31" s="1882"/>
      <c r="UXQ31" s="1882"/>
      <c r="UXR31" s="1882"/>
      <c r="UXT31" s="1887"/>
      <c r="UXU31" s="1888"/>
      <c r="UXV31" s="1882"/>
      <c r="UXW31" s="1882"/>
      <c r="UXX31" s="1882"/>
      <c r="UXZ31" s="1887"/>
      <c r="UYA31" s="1888"/>
      <c r="UYB31" s="1882"/>
      <c r="UYC31" s="1882"/>
      <c r="UYD31" s="1882"/>
      <c r="UYF31" s="1887"/>
      <c r="UYG31" s="1888"/>
      <c r="UYH31" s="1882"/>
      <c r="UYI31" s="1882"/>
      <c r="UYJ31" s="1882"/>
      <c r="UYL31" s="1887"/>
      <c r="UYM31" s="1888"/>
      <c r="UYN31" s="1882"/>
      <c r="UYO31" s="1882"/>
      <c r="UYP31" s="1882"/>
      <c r="UYR31" s="1887"/>
      <c r="UYS31" s="1888"/>
      <c r="UYT31" s="1882"/>
      <c r="UYU31" s="1882"/>
      <c r="UYV31" s="1882"/>
      <c r="UYX31" s="1887"/>
      <c r="UYY31" s="1888"/>
      <c r="UYZ31" s="1882"/>
      <c r="UZA31" s="1882"/>
      <c r="UZB31" s="1882"/>
      <c r="UZD31" s="1887"/>
      <c r="UZE31" s="1888"/>
      <c r="UZF31" s="1882"/>
      <c r="UZG31" s="1882"/>
      <c r="UZH31" s="1882"/>
      <c r="UZJ31" s="1887"/>
      <c r="UZK31" s="1888"/>
      <c r="UZL31" s="1882"/>
      <c r="UZM31" s="1882"/>
      <c r="UZN31" s="1882"/>
      <c r="UZP31" s="1887"/>
      <c r="UZQ31" s="1888"/>
      <c r="UZR31" s="1882"/>
      <c r="UZS31" s="1882"/>
      <c r="UZT31" s="1882"/>
      <c r="UZV31" s="1887"/>
      <c r="UZW31" s="1888"/>
      <c r="UZX31" s="1882"/>
      <c r="UZY31" s="1882"/>
      <c r="UZZ31" s="1882"/>
      <c r="VAB31" s="1887"/>
      <c r="VAC31" s="1888"/>
      <c r="VAD31" s="1882"/>
      <c r="VAE31" s="1882"/>
      <c r="VAF31" s="1882"/>
      <c r="VAH31" s="1887"/>
      <c r="VAI31" s="1888"/>
      <c r="VAJ31" s="1882"/>
      <c r="VAK31" s="1882"/>
      <c r="VAL31" s="1882"/>
      <c r="VAN31" s="1887"/>
      <c r="VAO31" s="1888"/>
      <c r="VAP31" s="1882"/>
      <c r="VAQ31" s="1882"/>
      <c r="VAR31" s="1882"/>
      <c r="VAT31" s="1887"/>
      <c r="VAU31" s="1888"/>
      <c r="VAV31" s="1882"/>
      <c r="VAW31" s="1882"/>
      <c r="VAX31" s="1882"/>
      <c r="VAZ31" s="1887"/>
      <c r="VBA31" s="1888"/>
      <c r="VBB31" s="1882"/>
      <c r="VBC31" s="1882"/>
      <c r="VBD31" s="1882"/>
      <c r="VBF31" s="1887"/>
      <c r="VBG31" s="1888"/>
      <c r="VBH31" s="1882"/>
      <c r="VBI31" s="1882"/>
      <c r="VBJ31" s="1882"/>
      <c r="VBL31" s="1887"/>
      <c r="VBM31" s="1888"/>
      <c r="VBN31" s="1882"/>
      <c r="VBO31" s="1882"/>
      <c r="VBP31" s="1882"/>
      <c r="VBR31" s="1887"/>
      <c r="VBS31" s="1888"/>
      <c r="VBT31" s="1882"/>
      <c r="VBU31" s="1882"/>
      <c r="VBV31" s="1882"/>
      <c r="VBX31" s="1887"/>
      <c r="VBY31" s="1888"/>
      <c r="VBZ31" s="1882"/>
      <c r="VCA31" s="1882"/>
      <c r="VCB31" s="1882"/>
      <c r="VCD31" s="1887"/>
      <c r="VCE31" s="1888"/>
      <c r="VCF31" s="1882"/>
      <c r="VCG31" s="1882"/>
      <c r="VCH31" s="1882"/>
      <c r="VCJ31" s="1887"/>
      <c r="VCK31" s="1888"/>
      <c r="VCL31" s="1882"/>
      <c r="VCM31" s="1882"/>
      <c r="VCN31" s="1882"/>
      <c r="VCP31" s="1887"/>
      <c r="VCQ31" s="1888"/>
      <c r="VCR31" s="1882"/>
      <c r="VCS31" s="1882"/>
      <c r="VCT31" s="1882"/>
      <c r="VCV31" s="1887"/>
      <c r="VCW31" s="1888"/>
      <c r="VCX31" s="1882"/>
      <c r="VCY31" s="1882"/>
      <c r="VCZ31" s="1882"/>
      <c r="VDB31" s="1887"/>
      <c r="VDC31" s="1888"/>
      <c r="VDD31" s="1882"/>
      <c r="VDE31" s="1882"/>
      <c r="VDF31" s="1882"/>
      <c r="VDH31" s="1887"/>
      <c r="VDI31" s="1888"/>
      <c r="VDJ31" s="1882"/>
      <c r="VDK31" s="1882"/>
      <c r="VDL31" s="1882"/>
      <c r="VDN31" s="1887"/>
      <c r="VDO31" s="1888"/>
      <c r="VDP31" s="1882"/>
      <c r="VDQ31" s="1882"/>
      <c r="VDR31" s="1882"/>
      <c r="VDT31" s="1887"/>
      <c r="VDU31" s="1888"/>
      <c r="VDV31" s="1882"/>
      <c r="VDW31" s="1882"/>
      <c r="VDX31" s="1882"/>
      <c r="VDZ31" s="1887"/>
      <c r="VEA31" s="1888"/>
      <c r="VEB31" s="1882"/>
      <c r="VEC31" s="1882"/>
      <c r="VED31" s="1882"/>
      <c r="VEF31" s="1887"/>
      <c r="VEG31" s="1888"/>
      <c r="VEH31" s="1882"/>
      <c r="VEI31" s="1882"/>
      <c r="VEJ31" s="1882"/>
      <c r="VEL31" s="1887"/>
      <c r="VEM31" s="1888"/>
      <c r="VEN31" s="1882"/>
      <c r="VEO31" s="1882"/>
      <c r="VEP31" s="1882"/>
      <c r="VER31" s="1887"/>
      <c r="VES31" s="1888"/>
      <c r="VET31" s="1882"/>
      <c r="VEU31" s="1882"/>
      <c r="VEV31" s="1882"/>
      <c r="VEX31" s="1887"/>
      <c r="VEY31" s="1888"/>
      <c r="VEZ31" s="1882"/>
      <c r="VFA31" s="1882"/>
      <c r="VFB31" s="1882"/>
      <c r="VFD31" s="1887"/>
      <c r="VFE31" s="1888"/>
      <c r="VFF31" s="1882"/>
      <c r="VFG31" s="1882"/>
      <c r="VFH31" s="1882"/>
      <c r="VFJ31" s="1887"/>
      <c r="VFK31" s="1888"/>
      <c r="VFL31" s="1882"/>
      <c r="VFM31" s="1882"/>
      <c r="VFN31" s="1882"/>
      <c r="VFP31" s="1887"/>
      <c r="VFQ31" s="1888"/>
      <c r="VFR31" s="1882"/>
      <c r="VFS31" s="1882"/>
      <c r="VFT31" s="1882"/>
      <c r="VFV31" s="1887"/>
      <c r="VFW31" s="1888"/>
      <c r="VFX31" s="1882"/>
      <c r="VFY31" s="1882"/>
      <c r="VFZ31" s="1882"/>
      <c r="VGB31" s="1887"/>
      <c r="VGC31" s="1888"/>
      <c r="VGD31" s="1882"/>
      <c r="VGE31" s="1882"/>
      <c r="VGF31" s="1882"/>
      <c r="VGH31" s="1887"/>
      <c r="VGI31" s="1888"/>
      <c r="VGJ31" s="1882"/>
      <c r="VGK31" s="1882"/>
      <c r="VGL31" s="1882"/>
      <c r="VGN31" s="1887"/>
      <c r="VGO31" s="1888"/>
      <c r="VGP31" s="1882"/>
      <c r="VGQ31" s="1882"/>
      <c r="VGR31" s="1882"/>
      <c r="VGT31" s="1887"/>
      <c r="VGU31" s="1888"/>
      <c r="VGV31" s="1882"/>
      <c r="VGW31" s="1882"/>
      <c r="VGX31" s="1882"/>
      <c r="VGZ31" s="1887"/>
      <c r="VHA31" s="1888"/>
      <c r="VHB31" s="1882"/>
      <c r="VHC31" s="1882"/>
      <c r="VHD31" s="1882"/>
      <c r="VHF31" s="1887"/>
      <c r="VHG31" s="1888"/>
      <c r="VHH31" s="1882"/>
      <c r="VHI31" s="1882"/>
      <c r="VHJ31" s="1882"/>
      <c r="VHL31" s="1887"/>
      <c r="VHM31" s="1888"/>
      <c r="VHN31" s="1882"/>
      <c r="VHO31" s="1882"/>
      <c r="VHP31" s="1882"/>
      <c r="VHR31" s="1887"/>
      <c r="VHS31" s="1888"/>
      <c r="VHT31" s="1882"/>
      <c r="VHU31" s="1882"/>
      <c r="VHV31" s="1882"/>
      <c r="VHX31" s="1887"/>
      <c r="VHY31" s="1888"/>
      <c r="VHZ31" s="1882"/>
      <c r="VIA31" s="1882"/>
      <c r="VIB31" s="1882"/>
      <c r="VID31" s="1887"/>
      <c r="VIE31" s="1888"/>
      <c r="VIF31" s="1882"/>
      <c r="VIG31" s="1882"/>
      <c r="VIH31" s="1882"/>
      <c r="VIJ31" s="1887"/>
      <c r="VIK31" s="1888"/>
      <c r="VIL31" s="1882"/>
      <c r="VIM31" s="1882"/>
      <c r="VIN31" s="1882"/>
      <c r="VIP31" s="1887"/>
      <c r="VIQ31" s="1888"/>
      <c r="VIR31" s="1882"/>
      <c r="VIS31" s="1882"/>
      <c r="VIT31" s="1882"/>
      <c r="VIV31" s="1887"/>
      <c r="VIW31" s="1888"/>
      <c r="VIX31" s="1882"/>
      <c r="VIY31" s="1882"/>
      <c r="VIZ31" s="1882"/>
      <c r="VJB31" s="1887"/>
      <c r="VJC31" s="1888"/>
      <c r="VJD31" s="1882"/>
      <c r="VJE31" s="1882"/>
      <c r="VJF31" s="1882"/>
      <c r="VJH31" s="1887"/>
      <c r="VJI31" s="1888"/>
      <c r="VJJ31" s="1882"/>
      <c r="VJK31" s="1882"/>
      <c r="VJL31" s="1882"/>
      <c r="VJN31" s="1887"/>
      <c r="VJO31" s="1888"/>
      <c r="VJP31" s="1882"/>
      <c r="VJQ31" s="1882"/>
      <c r="VJR31" s="1882"/>
      <c r="VJT31" s="1887"/>
      <c r="VJU31" s="1888"/>
      <c r="VJV31" s="1882"/>
      <c r="VJW31" s="1882"/>
      <c r="VJX31" s="1882"/>
      <c r="VJZ31" s="1887"/>
      <c r="VKA31" s="1888"/>
      <c r="VKB31" s="1882"/>
      <c r="VKC31" s="1882"/>
      <c r="VKD31" s="1882"/>
      <c r="VKF31" s="1887"/>
      <c r="VKG31" s="1888"/>
      <c r="VKH31" s="1882"/>
      <c r="VKI31" s="1882"/>
      <c r="VKJ31" s="1882"/>
      <c r="VKL31" s="1887"/>
      <c r="VKM31" s="1888"/>
      <c r="VKN31" s="1882"/>
      <c r="VKO31" s="1882"/>
      <c r="VKP31" s="1882"/>
      <c r="VKR31" s="1887"/>
      <c r="VKS31" s="1888"/>
      <c r="VKT31" s="1882"/>
      <c r="VKU31" s="1882"/>
      <c r="VKV31" s="1882"/>
      <c r="VKX31" s="1887"/>
      <c r="VKY31" s="1888"/>
      <c r="VKZ31" s="1882"/>
      <c r="VLA31" s="1882"/>
      <c r="VLB31" s="1882"/>
      <c r="VLD31" s="1887"/>
      <c r="VLE31" s="1888"/>
      <c r="VLF31" s="1882"/>
      <c r="VLG31" s="1882"/>
      <c r="VLH31" s="1882"/>
      <c r="VLJ31" s="1887"/>
      <c r="VLK31" s="1888"/>
      <c r="VLL31" s="1882"/>
      <c r="VLM31" s="1882"/>
      <c r="VLN31" s="1882"/>
      <c r="VLP31" s="1887"/>
      <c r="VLQ31" s="1888"/>
      <c r="VLR31" s="1882"/>
      <c r="VLS31" s="1882"/>
      <c r="VLT31" s="1882"/>
      <c r="VLV31" s="1887"/>
      <c r="VLW31" s="1888"/>
      <c r="VLX31" s="1882"/>
      <c r="VLY31" s="1882"/>
      <c r="VLZ31" s="1882"/>
      <c r="VMB31" s="1887"/>
      <c r="VMC31" s="1888"/>
      <c r="VMD31" s="1882"/>
      <c r="VME31" s="1882"/>
      <c r="VMF31" s="1882"/>
      <c r="VMH31" s="1887"/>
      <c r="VMI31" s="1888"/>
      <c r="VMJ31" s="1882"/>
      <c r="VMK31" s="1882"/>
      <c r="VML31" s="1882"/>
      <c r="VMN31" s="1887"/>
      <c r="VMO31" s="1888"/>
      <c r="VMP31" s="1882"/>
      <c r="VMQ31" s="1882"/>
      <c r="VMR31" s="1882"/>
      <c r="VMT31" s="1887"/>
      <c r="VMU31" s="1888"/>
      <c r="VMV31" s="1882"/>
      <c r="VMW31" s="1882"/>
      <c r="VMX31" s="1882"/>
      <c r="VMZ31" s="1887"/>
      <c r="VNA31" s="1888"/>
      <c r="VNB31" s="1882"/>
      <c r="VNC31" s="1882"/>
      <c r="VND31" s="1882"/>
      <c r="VNF31" s="1887"/>
      <c r="VNG31" s="1888"/>
      <c r="VNH31" s="1882"/>
      <c r="VNI31" s="1882"/>
      <c r="VNJ31" s="1882"/>
      <c r="VNL31" s="1887"/>
      <c r="VNM31" s="1888"/>
      <c r="VNN31" s="1882"/>
      <c r="VNO31" s="1882"/>
      <c r="VNP31" s="1882"/>
      <c r="VNR31" s="1887"/>
      <c r="VNS31" s="1888"/>
      <c r="VNT31" s="1882"/>
      <c r="VNU31" s="1882"/>
      <c r="VNV31" s="1882"/>
      <c r="VNX31" s="1887"/>
      <c r="VNY31" s="1888"/>
      <c r="VNZ31" s="1882"/>
      <c r="VOA31" s="1882"/>
      <c r="VOB31" s="1882"/>
      <c r="VOD31" s="1887"/>
      <c r="VOE31" s="1888"/>
      <c r="VOF31" s="1882"/>
      <c r="VOG31" s="1882"/>
      <c r="VOH31" s="1882"/>
      <c r="VOJ31" s="1887"/>
      <c r="VOK31" s="1888"/>
      <c r="VOL31" s="1882"/>
      <c r="VOM31" s="1882"/>
      <c r="VON31" s="1882"/>
      <c r="VOP31" s="1887"/>
      <c r="VOQ31" s="1888"/>
      <c r="VOR31" s="1882"/>
      <c r="VOS31" s="1882"/>
      <c r="VOT31" s="1882"/>
      <c r="VOV31" s="1887"/>
      <c r="VOW31" s="1888"/>
      <c r="VOX31" s="1882"/>
      <c r="VOY31" s="1882"/>
      <c r="VOZ31" s="1882"/>
      <c r="VPB31" s="1887"/>
      <c r="VPC31" s="1888"/>
      <c r="VPD31" s="1882"/>
      <c r="VPE31" s="1882"/>
      <c r="VPF31" s="1882"/>
      <c r="VPH31" s="1887"/>
      <c r="VPI31" s="1888"/>
      <c r="VPJ31" s="1882"/>
      <c r="VPK31" s="1882"/>
      <c r="VPL31" s="1882"/>
      <c r="VPN31" s="1887"/>
      <c r="VPO31" s="1888"/>
      <c r="VPP31" s="1882"/>
      <c r="VPQ31" s="1882"/>
      <c r="VPR31" s="1882"/>
      <c r="VPT31" s="1887"/>
      <c r="VPU31" s="1888"/>
      <c r="VPV31" s="1882"/>
      <c r="VPW31" s="1882"/>
      <c r="VPX31" s="1882"/>
      <c r="VPZ31" s="1887"/>
      <c r="VQA31" s="1888"/>
      <c r="VQB31" s="1882"/>
      <c r="VQC31" s="1882"/>
      <c r="VQD31" s="1882"/>
      <c r="VQF31" s="1887"/>
      <c r="VQG31" s="1888"/>
      <c r="VQH31" s="1882"/>
      <c r="VQI31" s="1882"/>
      <c r="VQJ31" s="1882"/>
      <c r="VQL31" s="1887"/>
      <c r="VQM31" s="1888"/>
      <c r="VQN31" s="1882"/>
      <c r="VQO31" s="1882"/>
      <c r="VQP31" s="1882"/>
      <c r="VQR31" s="1887"/>
      <c r="VQS31" s="1888"/>
      <c r="VQT31" s="1882"/>
      <c r="VQU31" s="1882"/>
      <c r="VQV31" s="1882"/>
      <c r="VQX31" s="1887"/>
      <c r="VQY31" s="1888"/>
      <c r="VQZ31" s="1882"/>
      <c r="VRA31" s="1882"/>
      <c r="VRB31" s="1882"/>
      <c r="VRD31" s="1887"/>
      <c r="VRE31" s="1888"/>
      <c r="VRF31" s="1882"/>
      <c r="VRG31" s="1882"/>
      <c r="VRH31" s="1882"/>
      <c r="VRJ31" s="1887"/>
      <c r="VRK31" s="1888"/>
      <c r="VRL31" s="1882"/>
      <c r="VRM31" s="1882"/>
      <c r="VRN31" s="1882"/>
      <c r="VRP31" s="1887"/>
      <c r="VRQ31" s="1888"/>
      <c r="VRR31" s="1882"/>
      <c r="VRS31" s="1882"/>
      <c r="VRT31" s="1882"/>
      <c r="VRV31" s="1887"/>
      <c r="VRW31" s="1888"/>
      <c r="VRX31" s="1882"/>
      <c r="VRY31" s="1882"/>
      <c r="VRZ31" s="1882"/>
      <c r="VSB31" s="1887"/>
      <c r="VSC31" s="1888"/>
      <c r="VSD31" s="1882"/>
      <c r="VSE31" s="1882"/>
      <c r="VSF31" s="1882"/>
      <c r="VSH31" s="1887"/>
      <c r="VSI31" s="1888"/>
      <c r="VSJ31" s="1882"/>
      <c r="VSK31" s="1882"/>
      <c r="VSL31" s="1882"/>
      <c r="VSN31" s="1887"/>
      <c r="VSO31" s="1888"/>
      <c r="VSP31" s="1882"/>
      <c r="VSQ31" s="1882"/>
      <c r="VSR31" s="1882"/>
      <c r="VST31" s="1887"/>
      <c r="VSU31" s="1888"/>
      <c r="VSV31" s="1882"/>
      <c r="VSW31" s="1882"/>
      <c r="VSX31" s="1882"/>
      <c r="VSZ31" s="1887"/>
      <c r="VTA31" s="1888"/>
      <c r="VTB31" s="1882"/>
      <c r="VTC31" s="1882"/>
      <c r="VTD31" s="1882"/>
      <c r="VTF31" s="1887"/>
      <c r="VTG31" s="1888"/>
      <c r="VTH31" s="1882"/>
      <c r="VTI31" s="1882"/>
      <c r="VTJ31" s="1882"/>
      <c r="VTL31" s="1887"/>
      <c r="VTM31" s="1888"/>
      <c r="VTN31" s="1882"/>
      <c r="VTO31" s="1882"/>
      <c r="VTP31" s="1882"/>
      <c r="VTR31" s="1887"/>
      <c r="VTS31" s="1888"/>
      <c r="VTT31" s="1882"/>
      <c r="VTU31" s="1882"/>
      <c r="VTV31" s="1882"/>
      <c r="VTX31" s="1887"/>
      <c r="VTY31" s="1888"/>
      <c r="VTZ31" s="1882"/>
      <c r="VUA31" s="1882"/>
      <c r="VUB31" s="1882"/>
      <c r="VUD31" s="1887"/>
      <c r="VUE31" s="1888"/>
      <c r="VUF31" s="1882"/>
      <c r="VUG31" s="1882"/>
      <c r="VUH31" s="1882"/>
      <c r="VUJ31" s="1887"/>
      <c r="VUK31" s="1888"/>
      <c r="VUL31" s="1882"/>
      <c r="VUM31" s="1882"/>
      <c r="VUN31" s="1882"/>
      <c r="VUP31" s="1887"/>
      <c r="VUQ31" s="1888"/>
      <c r="VUR31" s="1882"/>
      <c r="VUS31" s="1882"/>
      <c r="VUT31" s="1882"/>
      <c r="VUV31" s="1887"/>
      <c r="VUW31" s="1888"/>
      <c r="VUX31" s="1882"/>
      <c r="VUY31" s="1882"/>
      <c r="VUZ31" s="1882"/>
      <c r="VVB31" s="1887"/>
      <c r="VVC31" s="1888"/>
      <c r="VVD31" s="1882"/>
      <c r="VVE31" s="1882"/>
      <c r="VVF31" s="1882"/>
      <c r="VVH31" s="1887"/>
      <c r="VVI31" s="1888"/>
      <c r="VVJ31" s="1882"/>
      <c r="VVK31" s="1882"/>
      <c r="VVL31" s="1882"/>
      <c r="VVN31" s="1887"/>
      <c r="VVO31" s="1888"/>
      <c r="VVP31" s="1882"/>
      <c r="VVQ31" s="1882"/>
      <c r="VVR31" s="1882"/>
      <c r="VVT31" s="1887"/>
      <c r="VVU31" s="1888"/>
      <c r="VVV31" s="1882"/>
      <c r="VVW31" s="1882"/>
      <c r="VVX31" s="1882"/>
      <c r="VVZ31" s="1887"/>
      <c r="VWA31" s="1888"/>
      <c r="VWB31" s="1882"/>
      <c r="VWC31" s="1882"/>
      <c r="VWD31" s="1882"/>
      <c r="VWF31" s="1887"/>
      <c r="VWG31" s="1888"/>
      <c r="VWH31" s="1882"/>
      <c r="VWI31" s="1882"/>
      <c r="VWJ31" s="1882"/>
      <c r="VWL31" s="1887"/>
      <c r="VWM31" s="1888"/>
      <c r="VWN31" s="1882"/>
      <c r="VWO31" s="1882"/>
      <c r="VWP31" s="1882"/>
      <c r="VWR31" s="1887"/>
      <c r="VWS31" s="1888"/>
      <c r="VWT31" s="1882"/>
      <c r="VWU31" s="1882"/>
      <c r="VWV31" s="1882"/>
      <c r="VWX31" s="1887"/>
      <c r="VWY31" s="1888"/>
      <c r="VWZ31" s="1882"/>
      <c r="VXA31" s="1882"/>
      <c r="VXB31" s="1882"/>
      <c r="VXD31" s="1887"/>
      <c r="VXE31" s="1888"/>
      <c r="VXF31" s="1882"/>
      <c r="VXG31" s="1882"/>
      <c r="VXH31" s="1882"/>
      <c r="VXJ31" s="1887"/>
      <c r="VXK31" s="1888"/>
      <c r="VXL31" s="1882"/>
      <c r="VXM31" s="1882"/>
      <c r="VXN31" s="1882"/>
      <c r="VXP31" s="1887"/>
      <c r="VXQ31" s="1888"/>
      <c r="VXR31" s="1882"/>
      <c r="VXS31" s="1882"/>
      <c r="VXT31" s="1882"/>
      <c r="VXV31" s="1887"/>
      <c r="VXW31" s="1888"/>
      <c r="VXX31" s="1882"/>
      <c r="VXY31" s="1882"/>
      <c r="VXZ31" s="1882"/>
      <c r="VYB31" s="1887"/>
      <c r="VYC31" s="1888"/>
      <c r="VYD31" s="1882"/>
      <c r="VYE31" s="1882"/>
      <c r="VYF31" s="1882"/>
      <c r="VYH31" s="1887"/>
      <c r="VYI31" s="1888"/>
      <c r="VYJ31" s="1882"/>
      <c r="VYK31" s="1882"/>
      <c r="VYL31" s="1882"/>
      <c r="VYN31" s="1887"/>
      <c r="VYO31" s="1888"/>
      <c r="VYP31" s="1882"/>
      <c r="VYQ31" s="1882"/>
      <c r="VYR31" s="1882"/>
      <c r="VYT31" s="1887"/>
      <c r="VYU31" s="1888"/>
      <c r="VYV31" s="1882"/>
      <c r="VYW31" s="1882"/>
      <c r="VYX31" s="1882"/>
      <c r="VYZ31" s="1887"/>
      <c r="VZA31" s="1888"/>
      <c r="VZB31" s="1882"/>
      <c r="VZC31" s="1882"/>
      <c r="VZD31" s="1882"/>
      <c r="VZF31" s="1887"/>
      <c r="VZG31" s="1888"/>
      <c r="VZH31" s="1882"/>
      <c r="VZI31" s="1882"/>
      <c r="VZJ31" s="1882"/>
      <c r="VZL31" s="1887"/>
      <c r="VZM31" s="1888"/>
      <c r="VZN31" s="1882"/>
      <c r="VZO31" s="1882"/>
      <c r="VZP31" s="1882"/>
      <c r="VZR31" s="1887"/>
      <c r="VZS31" s="1888"/>
      <c r="VZT31" s="1882"/>
      <c r="VZU31" s="1882"/>
      <c r="VZV31" s="1882"/>
      <c r="VZX31" s="1887"/>
      <c r="VZY31" s="1888"/>
      <c r="VZZ31" s="1882"/>
      <c r="WAA31" s="1882"/>
      <c r="WAB31" s="1882"/>
      <c r="WAD31" s="1887"/>
      <c r="WAE31" s="1888"/>
      <c r="WAF31" s="1882"/>
      <c r="WAG31" s="1882"/>
      <c r="WAH31" s="1882"/>
      <c r="WAJ31" s="1887"/>
      <c r="WAK31" s="1888"/>
      <c r="WAL31" s="1882"/>
      <c r="WAM31" s="1882"/>
      <c r="WAN31" s="1882"/>
      <c r="WAP31" s="1887"/>
      <c r="WAQ31" s="1888"/>
      <c r="WAR31" s="1882"/>
      <c r="WAS31" s="1882"/>
      <c r="WAT31" s="1882"/>
      <c r="WAV31" s="1887"/>
      <c r="WAW31" s="1888"/>
      <c r="WAX31" s="1882"/>
      <c r="WAY31" s="1882"/>
      <c r="WAZ31" s="1882"/>
      <c r="WBB31" s="1887"/>
      <c r="WBC31" s="1888"/>
      <c r="WBD31" s="1882"/>
      <c r="WBE31" s="1882"/>
      <c r="WBF31" s="1882"/>
      <c r="WBH31" s="1887"/>
      <c r="WBI31" s="1888"/>
      <c r="WBJ31" s="1882"/>
      <c r="WBK31" s="1882"/>
      <c r="WBL31" s="1882"/>
      <c r="WBN31" s="1887"/>
      <c r="WBO31" s="1888"/>
      <c r="WBP31" s="1882"/>
      <c r="WBQ31" s="1882"/>
      <c r="WBR31" s="1882"/>
      <c r="WBT31" s="1887"/>
      <c r="WBU31" s="1888"/>
      <c r="WBV31" s="1882"/>
      <c r="WBW31" s="1882"/>
      <c r="WBX31" s="1882"/>
      <c r="WBZ31" s="1887"/>
      <c r="WCA31" s="1888"/>
      <c r="WCB31" s="1882"/>
      <c r="WCC31" s="1882"/>
      <c r="WCD31" s="1882"/>
      <c r="WCF31" s="1887"/>
      <c r="WCG31" s="1888"/>
      <c r="WCH31" s="1882"/>
      <c r="WCI31" s="1882"/>
      <c r="WCJ31" s="1882"/>
      <c r="WCL31" s="1887"/>
      <c r="WCM31" s="1888"/>
      <c r="WCN31" s="1882"/>
      <c r="WCO31" s="1882"/>
      <c r="WCP31" s="1882"/>
      <c r="WCR31" s="1887"/>
      <c r="WCS31" s="1888"/>
      <c r="WCT31" s="1882"/>
      <c r="WCU31" s="1882"/>
      <c r="WCV31" s="1882"/>
      <c r="WCX31" s="1887"/>
      <c r="WCY31" s="1888"/>
      <c r="WCZ31" s="1882"/>
      <c r="WDA31" s="1882"/>
      <c r="WDB31" s="1882"/>
      <c r="WDD31" s="1887"/>
      <c r="WDE31" s="1888"/>
      <c r="WDF31" s="1882"/>
      <c r="WDG31" s="1882"/>
      <c r="WDH31" s="1882"/>
      <c r="WDJ31" s="1887"/>
      <c r="WDK31" s="1888"/>
      <c r="WDL31" s="1882"/>
      <c r="WDM31" s="1882"/>
      <c r="WDN31" s="1882"/>
      <c r="WDP31" s="1887"/>
      <c r="WDQ31" s="1888"/>
      <c r="WDR31" s="1882"/>
      <c r="WDS31" s="1882"/>
      <c r="WDT31" s="1882"/>
      <c r="WDV31" s="1887"/>
      <c r="WDW31" s="1888"/>
      <c r="WDX31" s="1882"/>
      <c r="WDY31" s="1882"/>
      <c r="WDZ31" s="1882"/>
      <c r="WEB31" s="1887"/>
      <c r="WEC31" s="1888"/>
      <c r="WED31" s="1882"/>
      <c r="WEE31" s="1882"/>
      <c r="WEF31" s="1882"/>
      <c r="WEH31" s="1887"/>
      <c r="WEI31" s="1888"/>
      <c r="WEJ31" s="1882"/>
      <c r="WEK31" s="1882"/>
      <c r="WEL31" s="1882"/>
      <c r="WEN31" s="1887"/>
      <c r="WEO31" s="1888"/>
      <c r="WEP31" s="1882"/>
      <c r="WEQ31" s="1882"/>
      <c r="WER31" s="1882"/>
      <c r="WET31" s="1887"/>
      <c r="WEU31" s="1888"/>
      <c r="WEV31" s="1882"/>
      <c r="WEW31" s="1882"/>
      <c r="WEX31" s="1882"/>
      <c r="WEZ31" s="1887"/>
      <c r="WFA31" s="1888"/>
      <c r="WFB31" s="1882"/>
      <c r="WFC31" s="1882"/>
      <c r="WFD31" s="1882"/>
      <c r="WFF31" s="1887"/>
      <c r="WFG31" s="1888"/>
      <c r="WFH31" s="1882"/>
      <c r="WFI31" s="1882"/>
      <c r="WFJ31" s="1882"/>
      <c r="WFL31" s="1887"/>
      <c r="WFM31" s="1888"/>
      <c r="WFN31" s="1882"/>
      <c r="WFO31" s="1882"/>
      <c r="WFP31" s="1882"/>
      <c r="WFR31" s="1887"/>
      <c r="WFS31" s="1888"/>
      <c r="WFT31" s="1882"/>
      <c r="WFU31" s="1882"/>
      <c r="WFV31" s="1882"/>
      <c r="WFX31" s="1887"/>
      <c r="WFY31" s="1888"/>
      <c r="WFZ31" s="1882"/>
      <c r="WGA31" s="1882"/>
      <c r="WGB31" s="1882"/>
      <c r="WGD31" s="1887"/>
      <c r="WGE31" s="1888"/>
      <c r="WGF31" s="1882"/>
      <c r="WGG31" s="1882"/>
      <c r="WGH31" s="1882"/>
      <c r="WGJ31" s="1887"/>
      <c r="WGK31" s="1888"/>
      <c r="WGL31" s="1882"/>
      <c r="WGM31" s="1882"/>
      <c r="WGN31" s="1882"/>
      <c r="WGP31" s="1887"/>
      <c r="WGQ31" s="1888"/>
      <c r="WGR31" s="1882"/>
      <c r="WGS31" s="1882"/>
      <c r="WGT31" s="1882"/>
      <c r="WGV31" s="1887"/>
      <c r="WGW31" s="1888"/>
      <c r="WGX31" s="1882"/>
      <c r="WGY31" s="1882"/>
      <c r="WGZ31" s="1882"/>
      <c r="WHB31" s="1887"/>
      <c r="WHC31" s="1888"/>
      <c r="WHD31" s="1882"/>
      <c r="WHE31" s="1882"/>
      <c r="WHF31" s="1882"/>
      <c r="WHH31" s="1887"/>
      <c r="WHI31" s="1888"/>
      <c r="WHJ31" s="1882"/>
      <c r="WHK31" s="1882"/>
      <c r="WHL31" s="1882"/>
      <c r="WHN31" s="1887"/>
      <c r="WHO31" s="1888"/>
      <c r="WHP31" s="1882"/>
      <c r="WHQ31" s="1882"/>
      <c r="WHR31" s="1882"/>
      <c r="WHT31" s="1887"/>
      <c r="WHU31" s="1888"/>
      <c r="WHV31" s="1882"/>
      <c r="WHW31" s="1882"/>
      <c r="WHX31" s="1882"/>
      <c r="WHZ31" s="1887"/>
      <c r="WIA31" s="1888"/>
      <c r="WIB31" s="1882"/>
      <c r="WIC31" s="1882"/>
      <c r="WID31" s="1882"/>
      <c r="WIF31" s="1887"/>
      <c r="WIG31" s="1888"/>
      <c r="WIH31" s="1882"/>
      <c r="WII31" s="1882"/>
      <c r="WIJ31" s="1882"/>
      <c r="WIL31" s="1887"/>
      <c r="WIM31" s="1888"/>
      <c r="WIN31" s="1882"/>
      <c r="WIO31" s="1882"/>
      <c r="WIP31" s="1882"/>
      <c r="WIR31" s="1887"/>
      <c r="WIS31" s="1888"/>
      <c r="WIT31" s="1882"/>
      <c r="WIU31" s="1882"/>
      <c r="WIV31" s="1882"/>
      <c r="WIX31" s="1887"/>
      <c r="WIY31" s="1888"/>
      <c r="WIZ31" s="1882"/>
      <c r="WJA31" s="1882"/>
      <c r="WJB31" s="1882"/>
      <c r="WJD31" s="1887"/>
      <c r="WJE31" s="1888"/>
      <c r="WJF31" s="1882"/>
      <c r="WJG31" s="1882"/>
      <c r="WJH31" s="1882"/>
      <c r="WJJ31" s="1887"/>
      <c r="WJK31" s="1888"/>
      <c r="WJL31" s="1882"/>
      <c r="WJM31" s="1882"/>
      <c r="WJN31" s="1882"/>
      <c r="WJP31" s="1887"/>
      <c r="WJQ31" s="1888"/>
      <c r="WJR31" s="1882"/>
      <c r="WJS31" s="1882"/>
      <c r="WJT31" s="1882"/>
      <c r="WJV31" s="1887"/>
      <c r="WJW31" s="1888"/>
      <c r="WJX31" s="1882"/>
      <c r="WJY31" s="1882"/>
      <c r="WJZ31" s="1882"/>
      <c r="WKB31" s="1887"/>
      <c r="WKC31" s="1888"/>
      <c r="WKD31" s="1882"/>
      <c r="WKE31" s="1882"/>
      <c r="WKF31" s="1882"/>
      <c r="WKH31" s="1887"/>
      <c r="WKI31" s="1888"/>
      <c r="WKJ31" s="1882"/>
      <c r="WKK31" s="1882"/>
      <c r="WKL31" s="1882"/>
      <c r="WKN31" s="1887"/>
      <c r="WKO31" s="1888"/>
      <c r="WKP31" s="1882"/>
      <c r="WKQ31" s="1882"/>
      <c r="WKR31" s="1882"/>
      <c r="WKT31" s="1887"/>
      <c r="WKU31" s="1888"/>
      <c r="WKV31" s="1882"/>
      <c r="WKW31" s="1882"/>
      <c r="WKX31" s="1882"/>
      <c r="WKZ31" s="1887"/>
      <c r="WLA31" s="1888"/>
      <c r="WLB31" s="1882"/>
      <c r="WLC31" s="1882"/>
      <c r="WLD31" s="1882"/>
      <c r="WLF31" s="1887"/>
      <c r="WLG31" s="1888"/>
      <c r="WLH31" s="1882"/>
      <c r="WLI31" s="1882"/>
      <c r="WLJ31" s="1882"/>
      <c r="WLL31" s="1887"/>
      <c r="WLM31" s="1888"/>
      <c r="WLN31" s="1882"/>
      <c r="WLO31" s="1882"/>
      <c r="WLP31" s="1882"/>
      <c r="WLR31" s="1887"/>
      <c r="WLS31" s="1888"/>
      <c r="WLT31" s="1882"/>
      <c r="WLU31" s="1882"/>
      <c r="WLV31" s="1882"/>
      <c r="WLX31" s="1887"/>
      <c r="WLY31" s="1888"/>
      <c r="WLZ31" s="1882"/>
      <c r="WMA31" s="1882"/>
      <c r="WMB31" s="1882"/>
      <c r="WMD31" s="1887"/>
      <c r="WME31" s="1888"/>
      <c r="WMF31" s="1882"/>
      <c r="WMG31" s="1882"/>
      <c r="WMH31" s="1882"/>
      <c r="WMJ31" s="1887"/>
      <c r="WMK31" s="1888"/>
      <c r="WML31" s="1882"/>
      <c r="WMM31" s="1882"/>
      <c r="WMN31" s="1882"/>
      <c r="WMP31" s="1887"/>
      <c r="WMQ31" s="1888"/>
      <c r="WMR31" s="1882"/>
      <c r="WMS31" s="1882"/>
      <c r="WMT31" s="1882"/>
      <c r="WMV31" s="1887"/>
      <c r="WMW31" s="1888"/>
      <c r="WMX31" s="1882"/>
      <c r="WMY31" s="1882"/>
      <c r="WMZ31" s="1882"/>
      <c r="WNB31" s="1887"/>
      <c r="WNC31" s="1888"/>
      <c r="WND31" s="1882"/>
      <c r="WNE31" s="1882"/>
      <c r="WNF31" s="1882"/>
      <c r="WNH31" s="1887"/>
      <c r="WNI31" s="1888"/>
      <c r="WNJ31" s="1882"/>
      <c r="WNK31" s="1882"/>
      <c r="WNL31" s="1882"/>
      <c r="WNN31" s="1887"/>
      <c r="WNO31" s="1888"/>
      <c r="WNP31" s="1882"/>
      <c r="WNQ31" s="1882"/>
      <c r="WNR31" s="1882"/>
      <c r="WNT31" s="1887"/>
      <c r="WNU31" s="1888"/>
      <c r="WNV31" s="1882"/>
      <c r="WNW31" s="1882"/>
      <c r="WNX31" s="1882"/>
      <c r="WNZ31" s="1887"/>
      <c r="WOA31" s="1888"/>
      <c r="WOB31" s="1882"/>
      <c r="WOC31" s="1882"/>
      <c r="WOD31" s="1882"/>
      <c r="WOF31" s="1887"/>
      <c r="WOG31" s="1888"/>
      <c r="WOH31" s="1882"/>
      <c r="WOI31" s="1882"/>
      <c r="WOJ31" s="1882"/>
      <c r="WOL31" s="1887"/>
      <c r="WOM31" s="1888"/>
      <c r="WON31" s="1882"/>
      <c r="WOO31" s="1882"/>
      <c r="WOP31" s="1882"/>
      <c r="WOR31" s="1887"/>
      <c r="WOS31" s="1888"/>
      <c r="WOT31" s="1882"/>
      <c r="WOU31" s="1882"/>
      <c r="WOV31" s="1882"/>
      <c r="WOX31" s="1887"/>
      <c r="WOY31" s="1888"/>
      <c r="WOZ31" s="1882"/>
      <c r="WPA31" s="1882"/>
      <c r="WPB31" s="1882"/>
      <c r="WPD31" s="1887"/>
      <c r="WPE31" s="1888"/>
      <c r="WPF31" s="1882"/>
      <c r="WPG31" s="1882"/>
      <c r="WPH31" s="1882"/>
      <c r="WPJ31" s="1887"/>
      <c r="WPK31" s="1888"/>
      <c r="WPL31" s="1882"/>
      <c r="WPM31" s="1882"/>
      <c r="WPN31" s="1882"/>
      <c r="WPP31" s="1887"/>
      <c r="WPQ31" s="1888"/>
      <c r="WPR31" s="1882"/>
      <c r="WPS31" s="1882"/>
      <c r="WPT31" s="1882"/>
      <c r="WPV31" s="1887"/>
      <c r="WPW31" s="1888"/>
      <c r="WPX31" s="1882"/>
      <c r="WPY31" s="1882"/>
      <c r="WPZ31" s="1882"/>
      <c r="WQB31" s="1887"/>
      <c r="WQC31" s="1888"/>
      <c r="WQD31" s="1882"/>
      <c r="WQE31" s="1882"/>
      <c r="WQF31" s="1882"/>
      <c r="WQH31" s="1887"/>
      <c r="WQI31" s="1888"/>
      <c r="WQJ31" s="1882"/>
      <c r="WQK31" s="1882"/>
      <c r="WQL31" s="1882"/>
      <c r="WQN31" s="1887"/>
      <c r="WQO31" s="1888"/>
      <c r="WQP31" s="1882"/>
      <c r="WQQ31" s="1882"/>
      <c r="WQR31" s="1882"/>
      <c r="WQT31" s="1887"/>
      <c r="WQU31" s="1888"/>
      <c r="WQV31" s="1882"/>
      <c r="WQW31" s="1882"/>
      <c r="WQX31" s="1882"/>
      <c r="WQZ31" s="1887"/>
      <c r="WRA31" s="1888"/>
      <c r="WRB31" s="1882"/>
      <c r="WRC31" s="1882"/>
      <c r="WRD31" s="1882"/>
      <c r="WRF31" s="1887"/>
      <c r="WRG31" s="1888"/>
      <c r="WRH31" s="1882"/>
      <c r="WRI31" s="1882"/>
      <c r="WRJ31" s="1882"/>
      <c r="WRL31" s="1887"/>
      <c r="WRM31" s="1888"/>
      <c r="WRN31" s="1882"/>
      <c r="WRO31" s="1882"/>
      <c r="WRP31" s="1882"/>
      <c r="WRR31" s="1887"/>
      <c r="WRS31" s="1888"/>
      <c r="WRT31" s="1882"/>
      <c r="WRU31" s="1882"/>
      <c r="WRV31" s="1882"/>
      <c r="WRX31" s="1887"/>
      <c r="WRY31" s="1888"/>
      <c r="WRZ31" s="1882"/>
      <c r="WSA31" s="1882"/>
      <c r="WSB31" s="1882"/>
      <c r="WSD31" s="1887"/>
      <c r="WSE31" s="1888"/>
      <c r="WSF31" s="1882"/>
      <c r="WSG31" s="1882"/>
      <c r="WSH31" s="1882"/>
      <c r="WSJ31" s="1887"/>
      <c r="WSK31" s="1888"/>
      <c r="WSL31" s="1882"/>
      <c r="WSM31" s="1882"/>
      <c r="WSN31" s="1882"/>
      <c r="WSP31" s="1887"/>
      <c r="WSQ31" s="1888"/>
      <c r="WSR31" s="1882"/>
      <c r="WSS31" s="1882"/>
      <c r="WST31" s="1882"/>
      <c r="WSV31" s="1887"/>
      <c r="WSW31" s="1888"/>
      <c r="WSX31" s="1882"/>
      <c r="WSY31" s="1882"/>
      <c r="WSZ31" s="1882"/>
      <c r="WTB31" s="1887"/>
      <c r="WTC31" s="1888"/>
      <c r="WTD31" s="1882"/>
      <c r="WTE31" s="1882"/>
      <c r="WTF31" s="1882"/>
      <c r="WTH31" s="1887"/>
      <c r="WTI31" s="1888"/>
      <c r="WTJ31" s="1882"/>
      <c r="WTK31" s="1882"/>
      <c r="WTL31" s="1882"/>
      <c r="WTN31" s="1887"/>
      <c r="WTO31" s="1888"/>
      <c r="WTP31" s="1882"/>
      <c r="WTQ31" s="1882"/>
      <c r="WTR31" s="1882"/>
      <c r="WTT31" s="1887"/>
      <c r="WTU31" s="1888"/>
      <c r="WTV31" s="1882"/>
      <c r="WTW31" s="1882"/>
      <c r="WTX31" s="1882"/>
      <c r="WTZ31" s="1887"/>
      <c r="WUA31" s="1888"/>
      <c r="WUB31" s="1882"/>
      <c r="WUC31" s="1882"/>
      <c r="WUD31" s="1882"/>
      <c r="WUF31" s="1887"/>
      <c r="WUG31" s="1888"/>
      <c r="WUH31" s="1882"/>
      <c r="WUI31" s="1882"/>
      <c r="WUJ31" s="1882"/>
      <c r="WUL31" s="1887"/>
      <c r="WUM31" s="1888"/>
      <c r="WUN31" s="1882"/>
      <c r="WUO31" s="1882"/>
      <c r="WUP31" s="1882"/>
      <c r="WUR31" s="1887"/>
      <c r="WUS31" s="1888"/>
      <c r="WUT31" s="1882"/>
      <c r="WUU31" s="1882"/>
      <c r="WUV31" s="1882"/>
      <c r="WUX31" s="1887"/>
      <c r="WUY31" s="1888"/>
      <c r="WUZ31" s="1882"/>
      <c r="WVA31" s="1882"/>
      <c r="WVB31" s="1882"/>
      <c r="WVD31" s="1887"/>
      <c r="WVE31" s="1888"/>
      <c r="WVF31" s="1882"/>
      <c r="WVG31" s="1882"/>
      <c r="WVH31" s="1882"/>
      <c r="WVJ31" s="1887"/>
      <c r="WVK31" s="1888"/>
      <c r="WVL31" s="1882"/>
      <c r="WVM31" s="1882"/>
      <c r="WVN31" s="1882"/>
      <c r="WVP31" s="1887"/>
      <c r="WVQ31" s="1888"/>
      <c r="WVR31" s="1882"/>
      <c r="WVS31" s="1882"/>
      <c r="WVT31" s="1882"/>
      <c r="WVV31" s="1887"/>
      <c r="WVW31" s="1888"/>
      <c r="WVX31" s="1882"/>
      <c r="WVY31" s="1882"/>
      <c r="WVZ31" s="1882"/>
      <c r="WWB31" s="1887"/>
      <c r="WWC31" s="1888"/>
      <c r="WWD31" s="1882"/>
      <c r="WWE31" s="1882"/>
      <c r="WWF31" s="1882"/>
      <c r="WWH31" s="1887"/>
      <c r="WWI31" s="1888"/>
      <c r="WWJ31" s="1882"/>
      <c r="WWK31" s="1882"/>
      <c r="WWL31" s="1882"/>
      <c r="WWN31" s="1887"/>
      <c r="WWO31" s="1888"/>
      <c r="WWP31" s="1882"/>
      <c r="WWQ31" s="1882"/>
      <c r="WWR31" s="1882"/>
      <c r="WWT31" s="1887"/>
      <c r="WWU31" s="1888"/>
      <c r="WWV31" s="1882"/>
      <c r="WWW31" s="1882"/>
      <c r="WWX31" s="1882"/>
      <c r="WWZ31" s="1887"/>
      <c r="WXA31" s="1888"/>
      <c r="WXB31" s="1882"/>
      <c r="WXC31" s="1882"/>
      <c r="WXD31" s="1882"/>
      <c r="WXF31" s="1887"/>
      <c r="WXG31" s="1888"/>
      <c r="WXH31" s="1882"/>
      <c r="WXI31" s="1882"/>
      <c r="WXJ31" s="1882"/>
      <c r="WXL31" s="1887"/>
      <c r="WXM31" s="1888"/>
      <c r="WXN31" s="1882"/>
      <c r="WXO31" s="1882"/>
      <c r="WXP31" s="1882"/>
      <c r="WXR31" s="1887"/>
      <c r="WXS31" s="1888"/>
      <c r="WXT31" s="1882"/>
      <c r="WXU31" s="1882"/>
      <c r="WXV31" s="1882"/>
      <c r="WXX31" s="1887"/>
      <c r="WXY31" s="1888"/>
      <c r="WXZ31" s="1882"/>
      <c r="WYA31" s="1882"/>
      <c r="WYB31" s="1882"/>
      <c r="WYD31" s="1887"/>
      <c r="WYE31" s="1888"/>
      <c r="WYF31" s="1882"/>
      <c r="WYG31" s="1882"/>
      <c r="WYH31" s="1882"/>
      <c r="WYJ31" s="1887"/>
      <c r="WYK31" s="1888"/>
      <c r="WYL31" s="1882"/>
      <c r="WYM31" s="1882"/>
      <c r="WYN31" s="1882"/>
      <c r="WYP31" s="1887"/>
      <c r="WYQ31" s="1888"/>
      <c r="WYR31" s="1882"/>
      <c r="WYS31" s="1882"/>
      <c r="WYT31" s="1882"/>
      <c r="WYV31" s="1887"/>
      <c r="WYW31" s="1888"/>
      <c r="WYX31" s="1882"/>
      <c r="WYY31" s="1882"/>
      <c r="WYZ31" s="1882"/>
      <c r="WZB31" s="1887"/>
      <c r="WZC31" s="1888"/>
      <c r="WZD31" s="1882"/>
      <c r="WZE31" s="1882"/>
      <c r="WZF31" s="1882"/>
      <c r="WZH31" s="1887"/>
      <c r="WZI31" s="1888"/>
      <c r="WZJ31" s="1882"/>
      <c r="WZK31" s="1882"/>
      <c r="WZL31" s="1882"/>
      <c r="WZN31" s="1887"/>
      <c r="WZO31" s="1888"/>
      <c r="WZP31" s="1882"/>
      <c r="WZQ31" s="1882"/>
      <c r="WZR31" s="1882"/>
      <c r="WZT31" s="1887"/>
      <c r="WZU31" s="1888"/>
      <c r="WZV31" s="1882"/>
      <c r="WZW31" s="1882"/>
      <c r="WZX31" s="1882"/>
      <c r="WZZ31" s="1887"/>
      <c r="XAA31" s="1888"/>
      <c r="XAB31" s="1882"/>
      <c r="XAC31" s="1882"/>
      <c r="XAD31" s="1882"/>
      <c r="XAF31" s="1887"/>
      <c r="XAG31" s="1888"/>
      <c r="XAH31" s="1882"/>
      <c r="XAI31" s="1882"/>
      <c r="XAJ31" s="1882"/>
      <c r="XAL31" s="1887"/>
      <c r="XAM31" s="1888"/>
      <c r="XAN31" s="1882"/>
      <c r="XAO31" s="1882"/>
      <c r="XAP31" s="1882"/>
      <c r="XAR31" s="1887"/>
      <c r="XAS31" s="1888"/>
      <c r="XAT31" s="1882"/>
      <c r="XAU31" s="1882"/>
      <c r="XAV31" s="1882"/>
      <c r="XAX31" s="1887"/>
      <c r="XAY31" s="1888"/>
      <c r="XAZ31" s="1882"/>
      <c r="XBA31" s="1882"/>
      <c r="XBB31" s="1882"/>
      <c r="XBD31" s="1887"/>
      <c r="XBE31" s="1888"/>
      <c r="XBF31" s="1882"/>
      <c r="XBG31" s="1882"/>
      <c r="XBH31" s="1882"/>
      <c r="XBJ31" s="1887"/>
      <c r="XBK31" s="1888"/>
      <c r="XBL31" s="1882"/>
      <c r="XBM31" s="1882"/>
      <c r="XBN31" s="1882"/>
      <c r="XBP31" s="1887"/>
      <c r="XBQ31" s="1888"/>
      <c r="XBR31" s="1882"/>
      <c r="XBS31" s="1882"/>
      <c r="XBT31" s="1882"/>
      <c r="XBV31" s="1887"/>
      <c r="XBW31" s="1888"/>
      <c r="XBX31" s="1882"/>
      <c r="XBY31" s="1882"/>
      <c r="XBZ31" s="1882"/>
      <c r="XCB31" s="1887"/>
      <c r="XCC31" s="1888"/>
      <c r="XCD31" s="1882"/>
      <c r="XCE31" s="1882"/>
      <c r="XCF31" s="1882"/>
      <c r="XCH31" s="1887"/>
      <c r="XCI31" s="1888"/>
      <c r="XCJ31" s="1882"/>
      <c r="XCK31" s="1882"/>
      <c r="XCL31" s="1882"/>
      <c r="XCN31" s="1887"/>
      <c r="XCO31" s="1888"/>
      <c r="XCP31" s="1882"/>
      <c r="XCQ31" s="1882"/>
      <c r="XCR31" s="1882"/>
      <c r="XCT31" s="1887"/>
      <c r="XCU31" s="1888"/>
      <c r="XCV31" s="1882"/>
      <c r="XCW31" s="1882"/>
      <c r="XCX31" s="1882"/>
      <c r="XCZ31" s="1887"/>
      <c r="XDA31" s="1888"/>
      <c r="XDB31" s="1882"/>
      <c r="XDC31" s="1882"/>
      <c r="XDD31" s="1882"/>
      <c r="XDF31" s="1887"/>
      <c r="XDG31" s="1888"/>
      <c r="XDH31" s="1882"/>
      <c r="XDI31" s="1882"/>
      <c r="XDJ31" s="1882"/>
      <c r="XDL31" s="1887"/>
      <c r="XDM31" s="1888"/>
      <c r="XDN31" s="1882"/>
      <c r="XDO31" s="1882"/>
      <c r="XDP31" s="1882"/>
      <c r="XDR31" s="1887"/>
      <c r="XDS31" s="1888"/>
      <c r="XDT31" s="1882"/>
      <c r="XDU31" s="1882"/>
      <c r="XDV31" s="1882"/>
      <c r="XDX31" s="1887"/>
      <c r="XDY31" s="1888"/>
      <c r="XDZ31" s="1882"/>
      <c r="XEA31" s="1882"/>
      <c r="XEB31" s="1882"/>
      <c r="XED31" s="1887"/>
      <c r="XEE31" s="1888"/>
      <c r="XEF31" s="1882"/>
      <c r="XEG31" s="1882"/>
      <c r="XEH31" s="1882"/>
      <c r="XEJ31" s="1887"/>
      <c r="XEK31" s="1888"/>
      <c r="XEL31" s="1882"/>
      <c r="XEM31" s="1882"/>
      <c r="XEN31" s="1882"/>
      <c r="XEP31" s="1887"/>
      <c r="XEQ31" s="1888"/>
      <c r="XER31" s="1882"/>
      <c r="XES31" s="1882"/>
      <c r="XET31" s="1882"/>
      <c r="XEV31" s="1887"/>
      <c r="XEW31" s="1888"/>
      <c r="XEX31" s="1882"/>
      <c r="XEY31" s="1882"/>
      <c r="XEZ31" s="1882"/>
      <c r="XFB31" s="1887"/>
      <c r="XFC31" s="1888"/>
      <c r="XFD31" s="1882"/>
    </row>
    <row r="32" spans="1:3072 3074:6144 6146:9216 9218:12288 12290:15360 15362:16384" ht="12.75" customHeight="1">
      <c r="A32" s="1882"/>
      <c r="B32" s="1882"/>
      <c r="C32" s="1882"/>
      <c r="D32" s="4909" t="s">
        <v>1848</v>
      </c>
      <c r="E32" s="4910"/>
      <c r="F32" s="1883">
        <f>SUM(F29:F31)</f>
        <v>114.05000000000001</v>
      </c>
      <c r="H32" s="1887"/>
      <c r="I32" s="1888"/>
      <c r="J32" s="1882"/>
      <c r="K32" s="1882"/>
      <c r="L32" s="1882"/>
      <c r="N32" s="1887"/>
      <c r="O32" s="1888"/>
      <c r="P32" s="1882"/>
      <c r="Q32" s="1882"/>
      <c r="R32" s="1882"/>
      <c r="T32" s="1887"/>
      <c r="U32" s="1888"/>
      <c r="V32" s="1882"/>
      <c r="W32" s="1882"/>
      <c r="X32" s="1882"/>
      <c r="Z32" s="1887"/>
      <c r="AA32" s="1888"/>
      <c r="AB32" s="1882"/>
      <c r="AC32" s="1882"/>
      <c r="AD32" s="1882"/>
      <c r="AF32" s="1887"/>
      <c r="AG32" s="1888"/>
      <c r="AH32" s="1882"/>
      <c r="AI32" s="1882"/>
      <c r="AJ32" s="1882"/>
      <c r="AL32" s="1887"/>
      <c r="AM32" s="1888"/>
      <c r="AN32" s="1882"/>
      <c r="AO32" s="1882"/>
      <c r="AP32" s="1882"/>
      <c r="AR32" s="1887"/>
      <c r="AS32" s="1888"/>
      <c r="AT32" s="1882"/>
      <c r="AU32" s="1882"/>
      <c r="AV32" s="1882"/>
      <c r="AX32" s="1887"/>
      <c r="AY32" s="1888"/>
      <c r="AZ32" s="1882"/>
      <c r="BA32" s="1882"/>
      <c r="BB32" s="1882"/>
      <c r="BD32" s="1887"/>
      <c r="BE32" s="1888"/>
      <c r="BF32" s="1882"/>
      <c r="BG32" s="1882"/>
      <c r="BH32" s="1882"/>
      <c r="BJ32" s="1887"/>
      <c r="BK32" s="1888"/>
      <c r="BL32" s="1882"/>
      <c r="BM32" s="1882"/>
      <c r="BN32" s="1882"/>
      <c r="BP32" s="1887"/>
      <c r="BQ32" s="1888"/>
      <c r="BR32" s="1882"/>
      <c r="BS32" s="1882"/>
      <c r="BT32" s="1882"/>
      <c r="BV32" s="1887"/>
      <c r="BW32" s="1888"/>
      <c r="BX32" s="1882"/>
      <c r="BY32" s="1882"/>
      <c r="BZ32" s="1882"/>
      <c r="CB32" s="1887"/>
      <c r="CC32" s="1888"/>
      <c r="CD32" s="1882"/>
      <c r="CE32" s="1882"/>
      <c r="CF32" s="1882"/>
      <c r="CH32" s="1887"/>
      <c r="CI32" s="1888"/>
      <c r="CJ32" s="1882"/>
      <c r="CK32" s="1882"/>
      <c r="CL32" s="1882"/>
      <c r="CN32" s="1887"/>
      <c r="CO32" s="1888"/>
      <c r="CP32" s="1882"/>
      <c r="CQ32" s="1882"/>
      <c r="CR32" s="1882"/>
      <c r="CT32" s="1887"/>
      <c r="CU32" s="1888"/>
      <c r="CV32" s="1882"/>
      <c r="CW32" s="1882"/>
      <c r="CX32" s="1882"/>
      <c r="CZ32" s="1887"/>
      <c r="DA32" s="1888"/>
      <c r="DB32" s="1882"/>
      <c r="DC32" s="1882"/>
      <c r="DD32" s="1882"/>
      <c r="DF32" s="1887"/>
      <c r="DG32" s="1888"/>
      <c r="DH32" s="1882"/>
      <c r="DI32" s="1882"/>
      <c r="DJ32" s="1882"/>
      <c r="DL32" s="1887"/>
      <c r="DM32" s="1888"/>
      <c r="DN32" s="1882"/>
      <c r="DO32" s="1882"/>
      <c r="DP32" s="1882"/>
      <c r="DR32" s="1887"/>
      <c r="DS32" s="1888"/>
      <c r="DT32" s="1882"/>
      <c r="DU32" s="1882"/>
      <c r="DV32" s="1882"/>
      <c r="DX32" s="1887"/>
      <c r="DY32" s="1888"/>
      <c r="DZ32" s="1882"/>
      <c r="EA32" s="1882"/>
      <c r="EB32" s="1882"/>
      <c r="ED32" s="1887"/>
      <c r="EE32" s="1888"/>
      <c r="EF32" s="1882"/>
      <c r="EG32" s="1882"/>
      <c r="EH32" s="1882"/>
      <c r="EJ32" s="1887"/>
      <c r="EK32" s="1888"/>
      <c r="EL32" s="1882"/>
      <c r="EM32" s="1882"/>
      <c r="EN32" s="1882"/>
      <c r="EP32" s="1887"/>
      <c r="EQ32" s="1888"/>
      <c r="ER32" s="1882"/>
      <c r="ES32" s="1882"/>
      <c r="ET32" s="1882"/>
      <c r="EV32" s="1887"/>
      <c r="EW32" s="1888"/>
      <c r="EX32" s="1882"/>
      <c r="EY32" s="1882"/>
      <c r="EZ32" s="1882"/>
      <c r="FB32" s="1887"/>
      <c r="FC32" s="1888"/>
      <c r="FD32" s="1882"/>
      <c r="FE32" s="1882"/>
      <c r="FF32" s="1882"/>
      <c r="FH32" s="1887"/>
      <c r="FI32" s="1888"/>
      <c r="FJ32" s="1882"/>
      <c r="FK32" s="1882"/>
      <c r="FL32" s="1882"/>
      <c r="FN32" s="1887"/>
      <c r="FO32" s="1888"/>
      <c r="FP32" s="1882"/>
      <c r="FQ32" s="1882"/>
      <c r="FR32" s="1882"/>
      <c r="FT32" s="1887"/>
      <c r="FU32" s="1888"/>
      <c r="FV32" s="1882"/>
      <c r="FW32" s="1882"/>
      <c r="FX32" s="1882"/>
      <c r="FZ32" s="1887"/>
      <c r="GA32" s="1888"/>
      <c r="GB32" s="1882"/>
      <c r="GC32" s="1882"/>
      <c r="GD32" s="1882"/>
      <c r="GF32" s="1887"/>
      <c r="GG32" s="1888"/>
      <c r="GH32" s="1882"/>
      <c r="GI32" s="1882"/>
      <c r="GJ32" s="1882"/>
      <c r="GL32" s="1887"/>
      <c r="GM32" s="1888"/>
      <c r="GN32" s="1882"/>
      <c r="GO32" s="1882"/>
      <c r="GP32" s="1882"/>
      <c r="GR32" s="1887"/>
      <c r="GS32" s="1888"/>
      <c r="GT32" s="1882"/>
      <c r="GU32" s="1882"/>
      <c r="GV32" s="1882"/>
      <c r="GX32" s="1887"/>
      <c r="GY32" s="1888"/>
      <c r="GZ32" s="1882"/>
      <c r="HA32" s="1882"/>
      <c r="HB32" s="1882"/>
      <c r="HD32" s="1887"/>
      <c r="HE32" s="1888"/>
      <c r="HF32" s="1882"/>
      <c r="HG32" s="1882"/>
      <c r="HH32" s="1882"/>
      <c r="HJ32" s="1887"/>
      <c r="HK32" s="1888"/>
      <c r="HL32" s="1882"/>
      <c r="HM32" s="1882"/>
      <c r="HN32" s="1882"/>
      <c r="HP32" s="1887"/>
      <c r="HQ32" s="1888"/>
      <c r="HR32" s="1882"/>
      <c r="HS32" s="1882"/>
      <c r="HT32" s="1882"/>
      <c r="HV32" s="1887"/>
      <c r="HW32" s="1888"/>
      <c r="HX32" s="1882"/>
      <c r="HY32" s="1882"/>
      <c r="HZ32" s="1882"/>
      <c r="IB32" s="1887"/>
      <c r="IC32" s="1888"/>
      <c r="ID32" s="1882"/>
      <c r="IE32" s="1882"/>
      <c r="IF32" s="1882"/>
      <c r="IH32" s="1887"/>
      <c r="II32" s="1888"/>
      <c r="IJ32" s="1882"/>
      <c r="IK32" s="1882"/>
      <c r="IL32" s="1882"/>
      <c r="IN32" s="1887"/>
      <c r="IO32" s="1888"/>
      <c r="IP32" s="1882"/>
      <c r="IQ32" s="1882"/>
      <c r="IR32" s="1882"/>
      <c r="IT32" s="1887"/>
      <c r="IU32" s="1888"/>
      <c r="IV32" s="1882"/>
      <c r="IW32" s="1882"/>
      <c r="IX32" s="1882"/>
      <c r="IZ32" s="1887"/>
      <c r="JA32" s="1888"/>
      <c r="JB32" s="1882"/>
      <c r="JC32" s="1882"/>
      <c r="JD32" s="1882"/>
      <c r="JF32" s="1887"/>
      <c r="JG32" s="1888"/>
      <c r="JH32" s="1882"/>
      <c r="JI32" s="1882"/>
      <c r="JJ32" s="1882"/>
      <c r="JL32" s="1887"/>
      <c r="JM32" s="1888"/>
      <c r="JN32" s="1882"/>
      <c r="JO32" s="1882"/>
      <c r="JP32" s="1882"/>
      <c r="JR32" s="1887"/>
      <c r="JS32" s="1888"/>
      <c r="JT32" s="1882"/>
      <c r="JU32" s="1882"/>
      <c r="JV32" s="1882"/>
      <c r="JX32" s="1887"/>
      <c r="JY32" s="1888"/>
      <c r="JZ32" s="1882"/>
      <c r="KA32" s="1882"/>
      <c r="KB32" s="1882"/>
      <c r="KD32" s="1887"/>
      <c r="KE32" s="1888"/>
      <c r="KF32" s="1882"/>
      <c r="KG32" s="1882"/>
      <c r="KH32" s="1882"/>
      <c r="KJ32" s="1887"/>
      <c r="KK32" s="1888"/>
      <c r="KL32" s="1882"/>
      <c r="KM32" s="1882"/>
      <c r="KN32" s="1882"/>
      <c r="KP32" s="1887"/>
      <c r="KQ32" s="1888"/>
      <c r="KR32" s="1882"/>
      <c r="KS32" s="1882"/>
      <c r="KT32" s="1882"/>
      <c r="KV32" s="1887"/>
      <c r="KW32" s="1888"/>
      <c r="KX32" s="1882"/>
      <c r="KY32" s="1882"/>
      <c r="KZ32" s="1882"/>
      <c r="LB32" s="1887"/>
      <c r="LC32" s="1888"/>
      <c r="LD32" s="1882"/>
      <c r="LE32" s="1882"/>
      <c r="LF32" s="1882"/>
      <c r="LH32" s="1887"/>
      <c r="LI32" s="1888"/>
      <c r="LJ32" s="1882"/>
      <c r="LK32" s="1882"/>
      <c r="LL32" s="1882"/>
      <c r="LN32" s="1887"/>
      <c r="LO32" s="1888"/>
      <c r="LP32" s="1882"/>
      <c r="LQ32" s="1882"/>
      <c r="LR32" s="1882"/>
      <c r="LT32" s="1887"/>
      <c r="LU32" s="1888"/>
      <c r="LV32" s="1882"/>
      <c r="LW32" s="1882"/>
      <c r="LX32" s="1882"/>
      <c r="LZ32" s="1887"/>
      <c r="MA32" s="1888"/>
      <c r="MB32" s="1882"/>
      <c r="MC32" s="1882"/>
      <c r="MD32" s="1882"/>
      <c r="MF32" s="1887"/>
      <c r="MG32" s="1888"/>
      <c r="MH32" s="1882"/>
      <c r="MI32" s="1882"/>
      <c r="MJ32" s="1882"/>
      <c r="ML32" s="1887"/>
      <c r="MM32" s="1888"/>
      <c r="MN32" s="1882"/>
      <c r="MO32" s="1882"/>
      <c r="MP32" s="1882"/>
      <c r="MR32" s="1887"/>
      <c r="MS32" s="1888"/>
      <c r="MT32" s="1882"/>
      <c r="MU32" s="1882"/>
      <c r="MV32" s="1882"/>
      <c r="MX32" s="1887"/>
      <c r="MY32" s="1888"/>
      <c r="MZ32" s="1882"/>
      <c r="NA32" s="1882"/>
      <c r="NB32" s="1882"/>
      <c r="ND32" s="1887"/>
      <c r="NE32" s="1888"/>
      <c r="NF32" s="1882"/>
      <c r="NG32" s="1882"/>
      <c r="NH32" s="1882"/>
      <c r="NJ32" s="1887"/>
      <c r="NK32" s="1888"/>
      <c r="NL32" s="1882"/>
      <c r="NM32" s="1882"/>
      <c r="NN32" s="1882"/>
      <c r="NP32" s="1887"/>
      <c r="NQ32" s="1888"/>
      <c r="NR32" s="1882"/>
      <c r="NS32" s="1882"/>
      <c r="NT32" s="1882"/>
      <c r="NV32" s="1887"/>
      <c r="NW32" s="1888"/>
      <c r="NX32" s="1882"/>
      <c r="NY32" s="1882"/>
      <c r="NZ32" s="1882"/>
      <c r="OB32" s="1887"/>
      <c r="OC32" s="1888"/>
      <c r="OD32" s="1882"/>
      <c r="OE32" s="1882"/>
      <c r="OF32" s="1882"/>
      <c r="OH32" s="1887"/>
      <c r="OI32" s="1888"/>
      <c r="OJ32" s="1882"/>
      <c r="OK32" s="1882"/>
      <c r="OL32" s="1882"/>
      <c r="ON32" s="1887"/>
      <c r="OO32" s="1888"/>
      <c r="OP32" s="1882"/>
      <c r="OQ32" s="1882"/>
      <c r="OR32" s="1882"/>
      <c r="OT32" s="1887"/>
      <c r="OU32" s="1888"/>
      <c r="OV32" s="1882"/>
      <c r="OW32" s="1882"/>
      <c r="OX32" s="1882"/>
      <c r="OZ32" s="1887"/>
      <c r="PA32" s="1888"/>
      <c r="PB32" s="1882"/>
      <c r="PC32" s="1882"/>
      <c r="PD32" s="1882"/>
      <c r="PF32" s="1887"/>
      <c r="PG32" s="1888"/>
      <c r="PH32" s="1882"/>
      <c r="PI32" s="1882"/>
      <c r="PJ32" s="1882"/>
      <c r="PL32" s="1887"/>
      <c r="PM32" s="1888"/>
      <c r="PN32" s="1882"/>
      <c r="PO32" s="1882"/>
      <c r="PP32" s="1882"/>
      <c r="PR32" s="1887"/>
      <c r="PS32" s="1888"/>
      <c r="PT32" s="1882"/>
      <c r="PU32" s="1882"/>
      <c r="PV32" s="1882"/>
      <c r="PX32" s="1887"/>
      <c r="PY32" s="1888"/>
      <c r="PZ32" s="1882"/>
      <c r="QA32" s="1882"/>
      <c r="QB32" s="1882"/>
      <c r="QD32" s="1887"/>
      <c r="QE32" s="1888"/>
      <c r="QF32" s="1882"/>
      <c r="QG32" s="1882"/>
      <c r="QH32" s="1882"/>
      <c r="QJ32" s="1887"/>
      <c r="QK32" s="1888"/>
      <c r="QL32" s="1882"/>
      <c r="QM32" s="1882"/>
      <c r="QN32" s="1882"/>
      <c r="QP32" s="1887"/>
      <c r="QQ32" s="1888"/>
      <c r="QR32" s="1882"/>
      <c r="QS32" s="1882"/>
      <c r="QT32" s="1882"/>
      <c r="QV32" s="1887"/>
      <c r="QW32" s="1888"/>
      <c r="QX32" s="1882"/>
      <c r="QY32" s="1882"/>
      <c r="QZ32" s="1882"/>
      <c r="RB32" s="1887"/>
      <c r="RC32" s="1888"/>
      <c r="RD32" s="1882"/>
      <c r="RE32" s="1882"/>
      <c r="RF32" s="1882"/>
      <c r="RH32" s="1887"/>
      <c r="RI32" s="1888"/>
      <c r="RJ32" s="1882"/>
      <c r="RK32" s="1882"/>
      <c r="RL32" s="1882"/>
      <c r="RN32" s="1887"/>
      <c r="RO32" s="1888"/>
      <c r="RP32" s="1882"/>
      <c r="RQ32" s="1882"/>
      <c r="RR32" s="1882"/>
      <c r="RT32" s="1887"/>
      <c r="RU32" s="1888"/>
      <c r="RV32" s="1882"/>
      <c r="RW32" s="1882"/>
      <c r="RX32" s="1882"/>
      <c r="RZ32" s="1887"/>
      <c r="SA32" s="1888"/>
      <c r="SB32" s="1882"/>
      <c r="SC32" s="1882"/>
      <c r="SD32" s="1882"/>
      <c r="SF32" s="1887"/>
      <c r="SG32" s="1888"/>
      <c r="SH32" s="1882"/>
      <c r="SI32" s="1882"/>
      <c r="SJ32" s="1882"/>
      <c r="SL32" s="1887"/>
      <c r="SM32" s="1888"/>
      <c r="SN32" s="1882"/>
      <c r="SO32" s="1882"/>
      <c r="SP32" s="1882"/>
      <c r="SR32" s="1887"/>
      <c r="SS32" s="1888"/>
      <c r="ST32" s="1882"/>
      <c r="SU32" s="1882"/>
      <c r="SV32" s="1882"/>
      <c r="SX32" s="1887"/>
      <c r="SY32" s="1888"/>
      <c r="SZ32" s="1882"/>
      <c r="TA32" s="1882"/>
      <c r="TB32" s="1882"/>
      <c r="TD32" s="1887"/>
      <c r="TE32" s="1888"/>
      <c r="TF32" s="1882"/>
      <c r="TG32" s="1882"/>
      <c r="TH32" s="1882"/>
      <c r="TJ32" s="1887"/>
      <c r="TK32" s="1888"/>
      <c r="TL32" s="1882"/>
      <c r="TM32" s="1882"/>
      <c r="TN32" s="1882"/>
      <c r="TP32" s="1887"/>
      <c r="TQ32" s="1888"/>
      <c r="TR32" s="1882"/>
      <c r="TS32" s="1882"/>
      <c r="TT32" s="1882"/>
      <c r="TV32" s="1887"/>
      <c r="TW32" s="1888"/>
      <c r="TX32" s="1882"/>
      <c r="TY32" s="1882"/>
      <c r="TZ32" s="1882"/>
      <c r="UB32" s="1887"/>
      <c r="UC32" s="1888"/>
      <c r="UD32" s="1882"/>
      <c r="UE32" s="1882"/>
      <c r="UF32" s="1882"/>
      <c r="UH32" s="1887"/>
      <c r="UI32" s="1888"/>
      <c r="UJ32" s="1882"/>
      <c r="UK32" s="1882"/>
      <c r="UL32" s="1882"/>
      <c r="UN32" s="1887"/>
      <c r="UO32" s="1888"/>
      <c r="UP32" s="1882"/>
      <c r="UQ32" s="1882"/>
      <c r="UR32" s="1882"/>
      <c r="UT32" s="1887"/>
      <c r="UU32" s="1888"/>
      <c r="UV32" s="1882"/>
      <c r="UW32" s="1882"/>
      <c r="UX32" s="1882"/>
      <c r="UZ32" s="1887"/>
      <c r="VA32" s="1888"/>
      <c r="VB32" s="1882"/>
      <c r="VC32" s="1882"/>
      <c r="VD32" s="1882"/>
      <c r="VF32" s="1887"/>
      <c r="VG32" s="1888"/>
      <c r="VH32" s="1882"/>
      <c r="VI32" s="1882"/>
      <c r="VJ32" s="1882"/>
      <c r="VL32" s="1887"/>
      <c r="VM32" s="1888"/>
      <c r="VN32" s="1882"/>
      <c r="VO32" s="1882"/>
      <c r="VP32" s="1882"/>
      <c r="VR32" s="1887"/>
      <c r="VS32" s="1888"/>
      <c r="VT32" s="1882"/>
      <c r="VU32" s="1882"/>
      <c r="VV32" s="1882"/>
      <c r="VX32" s="1887"/>
      <c r="VY32" s="1888"/>
      <c r="VZ32" s="1882"/>
      <c r="WA32" s="1882"/>
      <c r="WB32" s="1882"/>
      <c r="WD32" s="1887"/>
      <c r="WE32" s="1888"/>
      <c r="WF32" s="1882"/>
      <c r="WG32" s="1882"/>
      <c r="WH32" s="1882"/>
      <c r="WJ32" s="1887"/>
      <c r="WK32" s="1888"/>
      <c r="WL32" s="1882"/>
      <c r="WM32" s="1882"/>
      <c r="WN32" s="1882"/>
      <c r="WP32" s="1887"/>
      <c r="WQ32" s="1888"/>
      <c r="WR32" s="1882"/>
      <c r="WS32" s="1882"/>
      <c r="WT32" s="1882"/>
      <c r="WV32" s="1887"/>
      <c r="WW32" s="1888"/>
      <c r="WX32" s="1882"/>
      <c r="WY32" s="1882"/>
      <c r="WZ32" s="1882"/>
      <c r="XB32" s="1887"/>
      <c r="XC32" s="1888"/>
      <c r="XD32" s="1882"/>
      <c r="XE32" s="1882"/>
      <c r="XF32" s="1882"/>
      <c r="XH32" s="1887"/>
      <c r="XI32" s="1888"/>
      <c r="XJ32" s="1882"/>
      <c r="XK32" s="1882"/>
      <c r="XL32" s="1882"/>
      <c r="XN32" s="1887"/>
      <c r="XO32" s="1888"/>
      <c r="XP32" s="1882"/>
      <c r="XQ32" s="1882"/>
      <c r="XR32" s="1882"/>
      <c r="XT32" s="1887"/>
      <c r="XU32" s="1888"/>
      <c r="XV32" s="1882"/>
      <c r="XW32" s="1882"/>
      <c r="XX32" s="1882"/>
      <c r="XZ32" s="1887"/>
      <c r="YA32" s="1888"/>
      <c r="YB32" s="1882"/>
      <c r="YC32" s="1882"/>
      <c r="YD32" s="1882"/>
      <c r="YF32" s="1887"/>
      <c r="YG32" s="1888"/>
      <c r="YH32" s="1882"/>
      <c r="YI32" s="1882"/>
      <c r="YJ32" s="1882"/>
      <c r="YL32" s="1887"/>
      <c r="YM32" s="1888"/>
      <c r="YN32" s="1882"/>
      <c r="YO32" s="1882"/>
      <c r="YP32" s="1882"/>
      <c r="YR32" s="1887"/>
      <c r="YS32" s="1888"/>
      <c r="YT32" s="1882"/>
      <c r="YU32" s="1882"/>
      <c r="YV32" s="1882"/>
      <c r="YX32" s="1887"/>
      <c r="YY32" s="1888"/>
      <c r="YZ32" s="1882"/>
      <c r="ZA32" s="1882"/>
      <c r="ZB32" s="1882"/>
      <c r="ZD32" s="1887"/>
      <c r="ZE32" s="1888"/>
      <c r="ZF32" s="1882"/>
      <c r="ZG32" s="1882"/>
      <c r="ZH32" s="1882"/>
      <c r="ZJ32" s="1887"/>
      <c r="ZK32" s="1888"/>
      <c r="ZL32" s="1882"/>
      <c r="ZM32" s="1882"/>
      <c r="ZN32" s="1882"/>
      <c r="ZP32" s="1887"/>
      <c r="ZQ32" s="1888"/>
      <c r="ZR32" s="1882"/>
      <c r="ZS32" s="1882"/>
      <c r="ZT32" s="1882"/>
      <c r="ZV32" s="1887"/>
      <c r="ZW32" s="1888"/>
      <c r="ZX32" s="1882"/>
      <c r="ZY32" s="1882"/>
      <c r="ZZ32" s="1882"/>
      <c r="AAB32" s="1887"/>
      <c r="AAC32" s="1888"/>
      <c r="AAD32" s="1882"/>
      <c r="AAE32" s="1882"/>
      <c r="AAF32" s="1882"/>
      <c r="AAH32" s="1887"/>
      <c r="AAI32" s="1888"/>
      <c r="AAJ32" s="1882"/>
      <c r="AAK32" s="1882"/>
      <c r="AAL32" s="1882"/>
      <c r="AAN32" s="1887"/>
      <c r="AAO32" s="1888"/>
      <c r="AAP32" s="1882"/>
      <c r="AAQ32" s="1882"/>
      <c r="AAR32" s="1882"/>
      <c r="AAT32" s="1887"/>
      <c r="AAU32" s="1888"/>
      <c r="AAV32" s="1882"/>
      <c r="AAW32" s="1882"/>
      <c r="AAX32" s="1882"/>
      <c r="AAZ32" s="1887"/>
      <c r="ABA32" s="1888"/>
      <c r="ABB32" s="1882"/>
      <c r="ABC32" s="1882"/>
      <c r="ABD32" s="1882"/>
      <c r="ABF32" s="1887"/>
      <c r="ABG32" s="1888"/>
      <c r="ABH32" s="1882"/>
      <c r="ABI32" s="1882"/>
      <c r="ABJ32" s="1882"/>
      <c r="ABL32" s="1887"/>
      <c r="ABM32" s="1888"/>
      <c r="ABN32" s="1882"/>
      <c r="ABO32" s="1882"/>
      <c r="ABP32" s="1882"/>
      <c r="ABR32" s="1887"/>
      <c r="ABS32" s="1888"/>
      <c r="ABT32" s="1882"/>
      <c r="ABU32" s="1882"/>
      <c r="ABV32" s="1882"/>
      <c r="ABX32" s="1887"/>
      <c r="ABY32" s="1888"/>
      <c r="ABZ32" s="1882"/>
      <c r="ACA32" s="1882"/>
      <c r="ACB32" s="1882"/>
      <c r="ACD32" s="1887"/>
      <c r="ACE32" s="1888"/>
      <c r="ACF32" s="1882"/>
      <c r="ACG32" s="1882"/>
      <c r="ACH32" s="1882"/>
      <c r="ACJ32" s="1887"/>
      <c r="ACK32" s="1888"/>
      <c r="ACL32" s="1882"/>
      <c r="ACM32" s="1882"/>
      <c r="ACN32" s="1882"/>
      <c r="ACP32" s="1887"/>
      <c r="ACQ32" s="1888"/>
      <c r="ACR32" s="1882"/>
      <c r="ACS32" s="1882"/>
      <c r="ACT32" s="1882"/>
      <c r="ACV32" s="1887"/>
      <c r="ACW32" s="1888"/>
      <c r="ACX32" s="1882"/>
      <c r="ACY32" s="1882"/>
      <c r="ACZ32" s="1882"/>
      <c r="ADB32" s="1887"/>
      <c r="ADC32" s="1888"/>
      <c r="ADD32" s="1882"/>
      <c r="ADE32" s="1882"/>
      <c r="ADF32" s="1882"/>
      <c r="ADH32" s="1887"/>
      <c r="ADI32" s="1888"/>
      <c r="ADJ32" s="1882"/>
      <c r="ADK32" s="1882"/>
      <c r="ADL32" s="1882"/>
      <c r="ADN32" s="1887"/>
      <c r="ADO32" s="1888"/>
      <c r="ADP32" s="1882"/>
      <c r="ADQ32" s="1882"/>
      <c r="ADR32" s="1882"/>
      <c r="ADT32" s="1887"/>
      <c r="ADU32" s="1888"/>
      <c r="ADV32" s="1882"/>
      <c r="ADW32" s="1882"/>
      <c r="ADX32" s="1882"/>
      <c r="ADZ32" s="1887"/>
      <c r="AEA32" s="1888"/>
      <c r="AEB32" s="1882"/>
      <c r="AEC32" s="1882"/>
      <c r="AED32" s="1882"/>
      <c r="AEF32" s="1887"/>
      <c r="AEG32" s="1888"/>
      <c r="AEH32" s="1882"/>
      <c r="AEI32" s="1882"/>
      <c r="AEJ32" s="1882"/>
      <c r="AEL32" s="1887"/>
      <c r="AEM32" s="1888"/>
      <c r="AEN32" s="1882"/>
      <c r="AEO32" s="1882"/>
      <c r="AEP32" s="1882"/>
      <c r="AER32" s="1887"/>
      <c r="AES32" s="1888"/>
      <c r="AET32" s="1882"/>
      <c r="AEU32" s="1882"/>
      <c r="AEV32" s="1882"/>
      <c r="AEX32" s="1887"/>
      <c r="AEY32" s="1888"/>
      <c r="AEZ32" s="1882"/>
      <c r="AFA32" s="1882"/>
      <c r="AFB32" s="1882"/>
      <c r="AFD32" s="1887"/>
      <c r="AFE32" s="1888"/>
      <c r="AFF32" s="1882"/>
      <c r="AFG32" s="1882"/>
      <c r="AFH32" s="1882"/>
      <c r="AFJ32" s="1887"/>
      <c r="AFK32" s="1888"/>
      <c r="AFL32" s="1882"/>
      <c r="AFM32" s="1882"/>
      <c r="AFN32" s="1882"/>
      <c r="AFP32" s="1887"/>
      <c r="AFQ32" s="1888"/>
      <c r="AFR32" s="1882"/>
      <c r="AFS32" s="1882"/>
      <c r="AFT32" s="1882"/>
      <c r="AFV32" s="1887"/>
      <c r="AFW32" s="1888"/>
      <c r="AFX32" s="1882"/>
      <c r="AFY32" s="1882"/>
      <c r="AFZ32" s="1882"/>
      <c r="AGB32" s="1887"/>
      <c r="AGC32" s="1888"/>
      <c r="AGD32" s="1882"/>
      <c r="AGE32" s="1882"/>
      <c r="AGF32" s="1882"/>
      <c r="AGH32" s="1887"/>
      <c r="AGI32" s="1888"/>
      <c r="AGJ32" s="1882"/>
      <c r="AGK32" s="1882"/>
      <c r="AGL32" s="1882"/>
      <c r="AGN32" s="1887"/>
      <c r="AGO32" s="1888"/>
      <c r="AGP32" s="1882"/>
      <c r="AGQ32" s="1882"/>
      <c r="AGR32" s="1882"/>
      <c r="AGT32" s="1887"/>
      <c r="AGU32" s="1888"/>
      <c r="AGV32" s="1882"/>
      <c r="AGW32" s="1882"/>
      <c r="AGX32" s="1882"/>
      <c r="AGZ32" s="1887"/>
      <c r="AHA32" s="1888"/>
      <c r="AHB32" s="1882"/>
      <c r="AHC32" s="1882"/>
      <c r="AHD32" s="1882"/>
      <c r="AHF32" s="1887"/>
      <c r="AHG32" s="1888"/>
      <c r="AHH32" s="1882"/>
      <c r="AHI32" s="1882"/>
      <c r="AHJ32" s="1882"/>
      <c r="AHL32" s="1887"/>
      <c r="AHM32" s="1888"/>
      <c r="AHN32" s="1882"/>
      <c r="AHO32" s="1882"/>
      <c r="AHP32" s="1882"/>
      <c r="AHR32" s="1887"/>
      <c r="AHS32" s="1888"/>
      <c r="AHT32" s="1882"/>
      <c r="AHU32" s="1882"/>
      <c r="AHV32" s="1882"/>
      <c r="AHX32" s="1887"/>
      <c r="AHY32" s="1888"/>
      <c r="AHZ32" s="1882"/>
      <c r="AIA32" s="1882"/>
      <c r="AIB32" s="1882"/>
      <c r="AID32" s="1887"/>
      <c r="AIE32" s="1888"/>
      <c r="AIF32" s="1882"/>
      <c r="AIG32" s="1882"/>
      <c r="AIH32" s="1882"/>
      <c r="AIJ32" s="1887"/>
      <c r="AIK32" s="1888"/>
      <c r="AIL32" s="1882"/>
      <c r="AIM32" s="1882"/>
      <c r="AIN32" s="1882"/>
      <c r="AIP32" s="1887"/>
      <c r="AIQ32" s="1888"/>
      <c r="AIR32" s="1882"/>
      <c r="AIS32" s="1882"/>
      <c r="AIT32" s="1882"/>
      <c r="AIV32" s="1887"/>
      <c r="AIW32" s="1888"/>
      <c r="AIX32" s="1882"/>
      <c r="AIY32" s="1882"/>
      <c r="AIZ32" s="1882"/>
      <c r="AJB32" s="1887"/>
      <c r="AJC32" s="1888"/>
      <c r="AJD32" s="1882"/>
      <c r="AJE32" s="1882"/>
      <c r="AJF32" s="1882"/>
      <c r="AJH32" s="1887"/>
      <c r="AJI32" s="1888"/>
      <c r="AJJ32" s="1882"/>
      <c r="AJK32" s="1882"/>
      <c r="AJL32" s="1882"/>
      <c r="AJN32" s="1887"/>
      <c r="AJO32" s="1888"/>
      <c r="AJP32" s="1882"/>
      <c r="AJQ32" s="1882"/>
      <c r="AJR32" s="1882"/>
      <c r="AJT32" s="1887"/>
      <c r="AJU32" s="1888"/>
      <c r="AJV32" s="1882"/>
      <c r="AJW32" s="1882"/>
      <c r="AJX32" s="1882"/>
      <c r="AJZ32" s="1887"/>
      <c r="AKA32" s="1888"/>
      <c r="AKB32" s="1882"/>
      <c r="AKC32" s="1882"/>
      <c r="AKD32" s="1882"/>
      <c r="AKF32" s="1887"/>
      <c r="AKG32" s="1888"/>
      <c r="AKH32" s="1882"/>
      <c r="AKI32" s="1882"/>
      <c r="AKJ32" s="1882"/>
      <c r="AKL32" s="1887"/>
      <c r="AKM32" s="1888"/>
      <c r="AKN32" s="1882"/>
      <c r="AKO32" s="1882"/>
      <c r="AKP32" s="1882"/>
      <c r="AKR32" s="1887"/>
      <c r="AKS32" s="1888"/>
      <c r="AKT32" s="1882"/>
      <c r="AKU32" s="1882"/>
      <c r="AKV32" s="1882"/>
      <c r="AKX32" s="1887"/>
      <c r="AKY32" s="1888"/>
      <c r="AKZ32" s="1882"/>
      <c r="ALA32" s="1882"/>
      <c r="ALB32" s="1882"/>
      <c r="ALD32" s="1887"/>
      <c r="ALE32" s="1888"/>
      <c r="ALF32" s="1882"/>
      <c r="ALG32" s="1882"/>
      <c r="ALH32" s="1882"/>
      <c r="ALJ32" s="1887"/>
      <c r="ALK32" s="1888"/>
      <c r="ALL32" s="1882"/>
      <c r="ALM32" s="1882"/>
      <c r="ALN32" s="1882"/>
      <c r="ALP32" s="1887"/>
      <c r="ALQ32" s="1888"/>
      <c r="ALR32" s="1882"/>
      <c r="ALS32" s="1882"/>
      <c r="ALT32" s="1882"/>
      <c r="ALV32" s="1887"/>
      <c r="ALW32" s="1888"/>
      <c r="ALX32" s="1882"/>
      <c r="ALY32" s="1882"/>
      <c r="ALZ32" s="1882"/>
      <c r="AMB32" s="1887"/>
      <c r="AMC32" s="1888"/>
      <c r="AMD32" s="1882"/>
      <c r="AME32" s="1882"/>
      <c r="AMF32" s="1882"/>
      <c r="AMH32" s="1887"/>
      <c r="AMI32" s="1888"/>
      <c r="AMJ32" s="1882"/>
      <c r="AMK32" s="1882"/>
      <c r="AML32" s="1882"/>
      <c r="AMN32" s="1887"/>
      <c r="AMO32" s="1888"/>
      <c r="AMP32" s="1882"/>
      <c r="AMQ32" s="1882"/>
      <c r="AMR32" s="1882"/>
      <c r="AMT32" s="1887"/>
      <c r="AMU32" s="1888"/>
      <c r="AMV32" s="1882"/>
      <c r="AMW32" s="1882"/>
      <c r="AMX32" s="1882"/>
      <c r="AMZ32" s="1887"/>
      <c r="ANA32" s="1888"/>
      <c r="ANB32" s="1882"/>
      <c r="ANC32" s="1882"/>
      <c r="AND32" s="1882"/>
      <c r="ANF32" s="1887"/>
      <c r="ANG32" s="1888"/>
      <c r="ANH32" s="1882"/>
      <c r="ANI32" s="1882"/>
      <c r="ANJ32" s="1882"/>
      <c r="ANL32" s="1887"/>
      <c r="ANM32" s="1888"/>
      <c r="ANN32" s="1882"/>
      <c r="ANO32" s="1882"/>
      <c r="ANP32" s="1882"/>
      <c r="ANR32" s="1887"/>
      <c r="ANS32" s="1888"/>
      <c r="ANT32" s="1882"/>
      <c r="ANU32" s="1882"/>
      <c r="ANV32" s="1882"/>
      <c r="ANX32" s="1887"/>
      <c r="ANY32" s="1888"/>
      <c r="ANZ32" s="1882"/>
      <c r="AOA32" s="1882"/>
      <c r="AOB32" s="1882"/>
      <c r="AOD32" s="1887"/>
      <c r="AOE32" s="1888"/>
      <c r="AOF32" s="1882"/>
      <c r="AOG32" s="1882"/>
      <c r="AOH32" s="1882"/>
      <c r="AOJ32" s="1887"/>
      <c r="AOK32" s="1888"/>
      <c r="AOL32" s="1882"/>
      <c r="AOM32" s="1882"/>
      <c r="AON32" s="1882"/>
      <c r="AOP32" s="1887"/>
      <c r="AOQ32" s="1888"/>
      <c r="AOR32" s="1882"/>
      <c r="AOS32" s="1882"/>
      <c r="AOT32" s="1882"/>
      <c r="AOV32" s="1887"/>
      <c r="AOW32" s="1888"/>
      <c r="AOX32" s="1882"/>
      <c r="AOY32" s="1882"/>
      <c r="AOZ32" s="1882"/>
      <c r="APB32" s="1887"/>
      <c r="APC32" s="1888"/>
      <c r="APD32" s="1882"/>
      <c r="APE32" s="1882"/>
      <c r="APF32" s="1882"/>
      <c r="APH32" s="1887"/>
      <c r="API32" s="1888"/>
      <c r="APJ32" s="1882"/>
      <c r="APK32" s="1882"/>
      <c r="APL32" s="1882"/>
      <c r="APN32" s="1887"/>
      <c r="APO32" s="1888"/>
      <c r="APP32" s="1882"/>
      <c r="APQ32" s="1882"/>
      <c r="APR32" s="1882"/>
      <c r="APT32" s="1887"/>
      <c r="APU32" s="1888"/>
      <c r="APV32" s="1882"/>
      <c r="APW32" s="1882"/>
      <c r="APX32" s="1882"/>
      <c r="APZ32" s="1887"/>
      <c r="AQA32" s="1888"/>
      <c r="AQB32" s="1882"/>
      <c r="AQC32" s="1882"/>
      <c r="AQD32" s="1882"/>
      <c r="AQF32" s="1887"/>
      <c r="AQG32" s="1888"/>
      <c r="AQH32" s="1882"/>
      <c r="AQI32" s="1882"/>
      <c r="AQJ32" s="1882"/>
      <c r="AQL32" s="1887"/>
      <c r="AQM32" s="1888"/>
      <c r="AQN32" s="1882"/>
      <c r="AQO32" s="1882"/>
      <c r="AQP32" s="1882"/>
      <c r="AQR32" s="1887"/>
      <c r="AQS32" s="1888"/>
      <c r="AQT32" s="1882"/>
      <c r="AQU32" s="1882"/>
      <c r="AQV32" s="1882"/>
      <c r="AQX32" s="1887"/>
      <c r="AQY32" s="1888"/>
      <c r="AQZ32" s="1882"/>
      <c r="ARA32" s="1882"/>
      <c r="ARB32" s="1882"/>
      <c r="ARD32" s="1887"/>
      <c r="ARE32" s="1888"/>
      <c r="ARF32" s="1882"/>
      <c r="ARG32" s="1882"/>
      <c r="ARH32" s="1882"/>
      <c r="ARJ32" s="1887"/>
      <c r="ARK32" s="1888"/>
      <c r="ARL32" s="1882"/>
      <c r="ARM32" s="1882"/>
      <c r="ARN32" s="1882"/>
      <c r="ARP32" s="1887"/>
      <c r="ARQ32" s="1888"/>
      <c r="ARR32" s="1882"/>
      <c r="ARS32" s="1882"/>
      <c r="ART32" s="1882"/>
      <c r="ARV32" s="1887"/>
      <c r="ARW32" s="1888"/>
      <c r="ARX32" s="1882"/>
      <c r="ARY32" s="1882"/>
      <c r="ARZ32" s="1882"/>
      <c r="ASB32" s="1887"/>
      <c r="ASC32" s="1888"/>
      <c r="ASD32" s="1882"/>
      <c r="ASE32" s="1882"/>
      <c r="ASF32" s="1882"/>
      <c r="ASH32" s="1887"/>
      <c r="ASI32" s="1888"/>
      <c r="ASJ32" s="1882"/>
      <c r="ASK32" s="1882"/>
      <c r="ASL32" s="1882"/>
      <c r="ASN32" s="1887"/>
      <c r="ASO32" s="1888"/>
      <c r="ASP32" s="1882"/>
      <c r="ASQ32" s="1882"/>
      <c r="ASR32" s="1882"/>
      <c r="AST32" s="1887"/>
      <c r="ASU32" s="1888"/>
      <c r="ASV32" s="1882"/>
      <c r="ASW32" s="1882"/>
      <c r="ASX32" s="1882"/>
      <c r="ASZ32" s="1887"/>
      <c r="ATA32" s="1888"/>
      <c r="ATB32" s="1882"/>
      <c r="ATC32" s="1882"/>
      <c r="ATD32" s="1882"/>
      <c r="ATF32" s="1887"/>
      <c r="ATG32" s="1888"/>
      <c r="ATH32" s="1882"/>
      <c r="ATI32" s="1882"/>
      <c r="ATJ32" s="1882"/>
      <c r="ATL32" s="1887"/>
      <c r="ATM32" s="1888"/>
      <c r="ATN32" s="1882"/>
      <c r="ATO32" s="1882"/>
      <c r="ATP32" s="1882"/>
      <c r="ATR32" s="1887"/>
      <c r="ATS32" s="1888"/>
      <c r="ATT32" s="1882"/>
      <c r="ATU32" s="1882"/>
      <c r="ATV32" s="1882"/>
      <c r="ATX32" s="1887"/>
      <c r="ATY32" s="1888"/>
      <c r="ATZ32" s="1882"/>
      <c r="AUA32" s="1882"/>
      <c r="AUB32" s="1882"/>
      <c r="AUD32" s="1887"/>
      <c r="AUE32" s="1888"/>
      <c r="AUF32" s="1882"/>
      <c r="AUG32" s="1882"/>
      <c r="AUH32" s="1882"/>
      <c r="AUJ32" s="1887"/>
      <c r="AUK32" s="1888"/>
      <c r="AUL32" s="1882"/>
      <c r="AUM32" s="1882"/>
      <c r="AUN32" s="1882"/>
      <c r="AUP32" s="1887"/>
      <c r="AUQ32" s="1888"/>
      <c r="AUR32" s="1882"/>
      <c r="AUS32" s="1882"/>
      <c r="AUT32" s="1882"/>
      <c r="AUV32" s="1887"/>
      <c r="AUW32" s="1888"/>
      <c r="AUX32" s="1882"/>
      <c r="AUY32" s="1882"/>
      <c r="AUZ32" s="1882"/>
      <c r="AVB32" s="1887"/>
      <c r="AVC32" s="1888"/>
      <c r="AVD32" s="1882"/>
      <c r="AVE32" s="1882"/>
      <c r="AVF32" s="1882"/>
      <c r="AVH32" s="1887"/>
      <c r="AVI32" s="1888"/>
      <c r="AVJ32" s="1882"/>
      <c r="AVK32" s="1882"/>
      <c r="AVL32" s="1882"/>
      <c r="AVN32" s="1887"/>
      <c r="AVO32" s="1888"/>
      <c r="AVP32" s="1882"/>
      <c r="AVQ32" s="1882"/>
      <c r="AVR32" s="1882"/>
      <c r="AVT32" s="1887"/>
      <c r="AVU32" s="1888"/>
      <c r="AVV32" s="1882"/>
      <c r="AVW32" s="1882"/>
      <c r="AVX32" s="1882"/>
      <c r="AVZ32" s="1887"/>
      <c r="AWA32" s="1888"/>
      <c r="AWB32" s="1882"/>
      <c r="AWC32" s="1882"/>
      <c r="AWD32" s="1882"/>
      <c r="AWF32" s="1887"/>
      <c r="AWG32" s="1888"/>
      <c r="AWH32" s="1882"/>
      <c r="AWI32" s="1882"/>
      <c r="AWJ32" s="1882"/>
      <c r="AWL32" s="1887"/>
      <c r="AWM32" s="1888"/>
      <c r="AWN32" s="1882"/>
      <c r="AWO32" s="1882"/>
      <c r="AWP32" s="1882"/>
      <c r="AWR32" s="1887"/>
      <c r="AWS32" s="1888"/>
      <c r="AWT32" s="1882"/>
      <c r="AWU32" s="1882"/>
      <c r="AWV32" s="1882"/>
      <c r="AWX32" s="1887"/>
      <c r="AWY32" s="1888"/>
      <c r="AWZ32" s="1882"/>
      <c r="AXA32" s="1882"/>
      <c r="AXB32" s="1882"/>
      <c r="AXD32" s="1887"/>
      <c r="AXE32" s="1888"/>
      <c r="AXF32" s="1882"/>
      <c r="AXG32" s="1882"/>
      <c r="AXH32" s="1882"/>
      <c r="AXJ32" s="1887"/>
      <c r="AXK32" s="1888"/>
      <c r="AXL32" s="1882"/>
      <c r="AXM32" s="1882"/>
      <c r="AXN32" s="1882"/>
      <c r="AXP32" s="1887"/>
      <c r="AXQ32" s="1888"/>
      <c r="AXR32" s="1882"/>
      <c r="AXS32" s="1882"/>
      <c r="AXT32" s="1882"/>
      <c r="AXV32" s="1887"/>
      <c r="AXW32" s="1888"/>
      <c r="AXX32" s="1882"/>
      <c r="AXY32" s="1882"/>
      <c r="AXZ32" s="1882"/>
      <c r="AYB32" s="1887"/>
      <c r="AYC32" s="1888"/>
      <c r="AYD32" s="1882"/>
      <c r="AYE32" s="1882"/>
      <c r="AYF32" s="1882"/>
      <c r="AYH32" s="1887"/>
      <c r="AYI32" s="1888"/>
      <c r="AYJ32" s="1882"/>
      <c r="AYK32" s="1882"/>
      <c r="AYL32" s="1882"/>
      <c r="AYN32" s="1887"/>
      <c r="AYO32" s="1888"/>
      <c r="AYP32" s="1882"/>
      <c r="AYQ32" s="1882"/>
      <c r="AYR32" s="1882"/>
      <c r="AYT32" s="1887"/>
      <c r="AYU32" s="1888"/>
      <c r="AYV32" s="1882"/>
      <c r="AYW32" s="1882"/>
      <c r="AYX32" s="1882"/>
      <c r="AYZ32" s="1887"/>
      <c r="AZA32" s="1888"/>
      <c r="AZB32" s="1882"/>
      <c r="AZC32" s="1882"/>
      <c r="AZD32" s="1882"/>
      <c r="AZF32" s="1887"/>
      <c r="AZG32" s="1888"/>
      <c r="AZH32" s="1882"/>
      <c r="AZI32" s="1882"/>
      <c r="AZJ32" s="1882"/>
      <c r="AZL32" s="1887"/>
      <c r="AZM32" s="1888"/>
      <c r="AZN32" s="1882"/>
      <c r="AZO32" s="1882"/>
      <c r="AZP32" s="1882"/>
      <c r="AZR32" s="1887"/>
      <c r="AZS32" s="1888"/>
      <c r="AZT32" s="1882"/>
      <c r="AZU32" s="1882"/>
      <c r="AZV32" s="1882"/>
      <c r="AZX32" s="1887"/>
      <c r="AZY32" s="1888"/>
      <c r="AZZ32" s="1882"/>
      <c r="BAA32" s="1882"/>
      <c r="BAB32" s="1882"/>
      <c r="BAD32" s="1887"/>
      <c r="BAE32" s="1888"/>
      <c r="BAF32" s="1882"/>
      <c r="BAG32" s="1882"/>
      <c r="BAH32" s="1882"/>
      <c r="BAJ32" s="1887"/>
      <c r="BAK32" s="1888"/>
      <c r="BAL32" s="1882"/>
      <c r="BAM32" s="1882"/>
      <c r="BAN32" s="1882"/>
      <c r="BAP32" s="1887"/>
      <c r="BAQ32" s="1888"/>
      <c r="BAR32" s="1882"/>
      <c r="BAS32" s="1882"/>
      <c r="BAT32" s="1882"/>
      <c r="BAV32" s="1887"/>
      <c r="BAW32" s="1888"/>
      <c r="BAX32" s="1882"/>
      <c r="BAY32" s="1882"/>
      <c r="BAZ32" s="1882"/>
      <c r="BBB32" s="1887"/>
      <c r="BBC32" s="1888"/>
      <c r="BBD32" s="1882"/>
      <c r="BBE32" s="1882"/>
      <c r="BBF32" s="1882"/>
      <c r="BBH32" s="1887"/>
      <c r="BBI32" s="1888"/>
      <c r="BBJ32" s="1882"/>
      <c r="BBK32" s="1882"/>
      <c r="BBL32" s="1882"/>
      <c r="BBN32" s="1887"/>
      <c r="BBO32" s="1888"/>
      <c r="BBP32" s="1882"/>
      <c r="BBQ32" s="1882"/>
      <c r="BBR32" s="1882"/>
      <c r="BBT32" s="1887"/>
      <c r="BBU32" s="1888"/>
      <c r="BBV32" s="1882"/>
      <c r="BBW32" s="1882"/>
      <c r="BBX32" s="1882"/>
      <c r="BBZ32" s="1887"/>
      <c r="BCA32" s="1888"/>
      <c r="BCB32" s="1882"/>
      <c r="BCC32" s="1882"/>
      <c r="BCD32" s="1882"/>
      <c r="BCF32" s="1887"/>
      <c r="BCG32" s="1888"/>
      <c r="BCH32" s="1882"/>
      <c r="BCI32" s="1882"/>
      <c r="BCJ32" s="1882"/>
      <c r="BCL32" s="1887"/>
      <c r="BCM32" s="1888"/>
      <c r="BCN32" s="1882"/>
      <c r="BCO32" s="1882"/>
      <c r="BCP32" s="1882"/>
      <c r="BCR32" s="1887"/>
      <c r="BCS32" s="1888"/>
      <c r="BCT32" s="1882"/>
      <c r="BCU32" s="1882"/>
      <c r="BCV32" s="1882"/>
      <c r="BCX32" s="1887"/>
      <c r="BCY32" s="1888"/>
      <c r="BCZ32" s="1882"/>
      <c r="BDA32" s="1882"/>
      <c r="BDB32" s="1882"/>
      <c r="BDD32" s="1887"/>
      <c r="BDE32" s="1888"/>
      <c r="BDF32" s="1882"/>
      <c r="BDG32" s="1882"/>
      <c r="BDH32" s="1882"/>
      <c r="BDJ32" s="1887"/>
      <c r="BDK32" s="1888"/>
      <c r="BDL32" s="1882"/>
      <c r="BDM32" s="1882"/>
      <c r="BDN32" s="1882"/>
      <c r="BDP32" s="1887"/>
      <c r="BDQ32" s="1888"/>
      <c r="BDR32" s="1882"/>
      <c r="BDS32" s="1882"/>
      <c r="BDT32" s="1882"/>
      <c r="BDV32" s="1887"/>
      <c r="BDW32" s="1888"/>
      <c r="BDX32" s="1882"/>
      <c r="BDY32" s="1882"/>
      <c r="BDZ32" s="1882"/>
      <c r="BEB32" s="1887"/>
      <c r="BEC32" s="1888"/>
      <c r="BED32" s="1882"/>
      <c r="BEE32" s="1882"/>
      <c r="BEF32" s="1882"/>
      <c r="BEH32" s="1887"/>
      <c r="BEI32" s="1888"/>
      <c r="BEJ32" s="1882"/>
      <c r="BEK32" s="1882"/>
      <c r="BEL32" s="1882"/>
      <c r="BEN32" s="1887"/>
      <c r="BEO32" s="1888"/>
      <c r="BEP32" s="1882"/>
      <c r="BEQ32" s="1882"/>
      <c r="BER32" s="1882"/>
      <c r="BET32" s="1887"/>
      <c r="BEU32" s="1888"/>
      <c r="BEV32" s="1882"/>
      <c r="BEW32" s="1882"/>
      <c r="BEX32" s="1882"/>
      <c r="BEZ32" s="1887"/>
      <c r="BFA32" s="1888"/>
      <c r="BFB32" s="1882"/>
      <c r="BFC32" s="1882"/>
      <c r="BFD32" s="1882"/>
      <c r="BFF32" s="1887"/>
      <c r="BFG32" s="1888"/>
      <c r="BFH32" s="1882"/>
      <c r="BFI32" s="1882"/>
      <c r="BFJ32" s="1882"/>
      <c r="BFL32" s="1887"/>
      <c r="BFM32" s="1888"/>
      <c r="BFN32" s="1882"/>
      <c r="BFO32" s="1882"/>
      <c r="BFP32" s="1882"/>
      <c r="BFR32" s="1887"/>
      <c r="BFS32" s="1888"/>
      <c r="BFT32" s="1882"/>
      <c r="BFU32" s="1882"/>
      <c r="BFV32" s="1882"/>
      <c r="BFX32" s="1887"/>
      <c r="BFY32" s="1888"/>
      <c r="BFZ32" s="1882"/>
      <c r="BGA32" s="1882"/>
      <c r="BGB32" s="1882"/>
      <c r="BGD32" s="1887"/>
      <c r="BGE32" s="1888"/>
      <c r="BGF32" s="1882"/>
      <c r="BGG32" s="1882"/>
      <c r="BGH32" s="1882"/>
      <c r="BGJ32" s="1887"/>
      <c r="BGK32" s="1888"/>
      <c r="BGL32" s="1882"/>
      <c r="BGM32" s="1882"/>
      <c r="BGN32" s="1882"/>
      <c r="BGP32" s="1887"/>
      <c r="BGQ32" s="1888"/>
      <c r="BGR32" s="1882"/>
      <c r="BGS32" s="1882"/>
      <c r="BGT32" s="1882"/>
      <c r="BGV32" s="1887"/>
      <c r="BGW32" s="1888"/>
      <c r="BGX32" s="1882"/>
      <c r="BGY32" s="1882"/>
      <c r="BGZ32" s="1882"/>
      <c r="BHB32" s="1887"/>
      <c r="BHC32" s="1888"/>
      <c r="BHD32" s="1882"/>
      <c r="BHE32" s="1882"/>
      <c r="BHF32" s="1882"/>
      <c r="BHH32" s="1887"/>
      <c r="BHI32" s="1888"/>
      <c r="BHJ32" s="1882"/>
      <c r="BHK32" s="1882"/>
      <c r="BHL32" s="1882"/>
      <c r="BHN32" s="1887"/>
      <c r="BHO32" s="1888"/>
      <c r="BHP32" s="1882"/>
      <c r="BHQ32" s="1882"/>
      <c r="BHR32" s="1882"/>
      <c r="BHT32" s="1887"/>
      <c r="BHU32" s="1888"/>
      <c r="BHV32" s="1882"/>
      <c r="BHW32" s="1882"/>
      <c r="BHX32" s="1882"/>
      <c r="BHZ32" s="1887"/>
      <c r="BIA32" s="1888"/>
      <c r="BIB32" s="1882"/>
      <c r="BIC32" s="1882"/>
      <c r="BID32" s="1882"/>
      <c r="BIF32" s="1887"/>
      <c r="BIG32" s="1888"/>
      <c r="BIH32" s="1882"/>
      <c r="BII32" s="1882"/>
      <c r="BIJ32" s="1882"/>
      <c r="BIL32" s="1887"/>
      <c r="BIM32" s="1888"/>
      <c r="BIN32" s="1882"/>
      <c r="BIO32" s="1882"/>
      <c r="BIP32" s="1882"/>
      <c r="BIR32" s="1887"/>
      <c r="BIS32" s="1888"/>
      <c r="BIT32" s="1882"/>
      <c r="BIU32" s="1882"/>
      <c r="BIV32" s="1882"/>
      <c r="BIX32" s="1887"/>
      <c r="BIY32" s="1888"/>
      <c r="BIZ32" s="1882"/>
      <c r="BJA32" s="1882"/>
      <c r="BJB32" s="1882"/>
      <c r="BJD32" s="1887"/>
      <c r="BJE32" s="1888"/>
      <c r="BJF32" s="1882"/>
      <c r="BJG32" s="1882"/>
      <c r="BJH32" s="1882"/>
      <c r="BJJ32" s="1887"/>
      <c r="BJK32" s="1888"/>
      <c r="BJL32" s="1882"/>
      <c r="BJM32" s="1882"/>
      <c r="BJN32" s="1882"/>
      <c r="BJP32" s="1887"/>
      <c r="BJQ32" s="1888"/>
      <c r="BJR32" s="1882"/>
      <c r="BJS32" s="1882"/>
      <c r="BJT32" s="1882"/>
      <c r="BJV32" s="1887"/>
      <c r="BJW32" s="1888"/>
      <c r="BJX32" s="1882"/>
      <c r="BJY32" s="1882"/>
      <c r="BJZ32" s="1882"/>
      <c r="BKB32" s="1887"/>
      <c r="BKC32" s="1888"/>
      <c r="BKD32" s="1882"/>
      <c r="BKE32" s="1882"/>
      <c r="BKF32" s="1882"/>
      <c r="BKH32" s="1887"/>
      <c r="BKI32" s="1888"/>
      <c r="BKJ32" s="1882"/>
      <c r="BKK32" s="1882"/>
      <c r="BKL32" s="1882"/>
      <c r="BKN32" s="1887"/>
      <c r="BKO32" s="1888"/>
      <c r="BKP32" s="1882"/>
      <c r="BKQ32" s="1882"/>
      <c r="BKR32" s="1882"/>
      <c r="BKT32" s="1887"/>
      <c r="BKU32" s="1888"/>
      <c r="BKV32" s="1882"/>
      <c r="BKW32" s="1882"/>
      <c r="BKX32" s="1882"/>
      <c r="BKZ32" s="1887"/>
      <c r="BLA32" s="1888"/>
      <c r="BLB32" s="1882"/>
      <c r="BLC32" s="1882"/>
      <c r="BLD32" s="1882"/>
      <c r="BLF32" s="1887"/>
      <c r="BLG32" s="1888"/>
      <c r="BLH32" s="1882"/>
      <c r="BLI32" s="1882"/>
      <c r="BLJ32" s="1882"/>
      <c r="BLL32" s="1887"/>
      <c r="BLM32" s="1888"/>
      <c r="BLN32" s="1882"/>
      <c r="BLO32" s="1882"/>
      <c r="BLP32" s="1882"/>
      <c r="BLR32" s="1887"/>
      <c r="BLS32" s="1888"/>
      <c r="BLT32" s="1882"/>
      <c r="BLU32" s="1882"/>
      <c r="BLV32" s="1882"/>
      <c r="BLX32" s="1887"/>
      <c r="BLY32" s="1888"/>
      <c r="BLZ32" s="1882"/>
      <c r="BMA32" s="1882"/>
      <c r="BMB32" s="1882"/>
      <c r="BMD32" s="1887"/>
      <c r="BME32" s="1888"/>
      <c r="BMF32" s="1882"/>
      <c r="BMG32" s="1882"/>
      <c r="BMH32" s="1882"/>
      <c r="BMJ32" s="1887"/>
      <c r="BMK32" s="1888"/>
      <c r="BML32" s="1882"/>
      <c r="BMM32" s="1882"/>
      <c r="BMN32" s="1882"/>
      <c r="BMP32" s="1887"/>
      <c r="BMQ32" s="1888"/>
      <c r="BMR32" s="1882"/>
      <c r="BMS32" s="1882"/>
      <c r="BMT32" s="1882"/>
      <c r="BMV32" s="1887"/>
      <c r="BMW32" s="1888"/>
      <c r="BMX32" s="1882"/>
      <c r="BMY32" s="1882"/>
      <c r="BMZ32" s="1882"/>
      <c r="BNB32" s="1887"/>
      <c r="BNC32" s="1888"/>
      <c r="BND32" s="1882"/>
      <c r="BNE32" s="1882"/>
      <c r="BNF32" s="1882"/>
      <c r="BNH32" s="1887"/>
      <c r="BNI32" s="1888"/>
      <c r="BNJ32" s="1882"/>
      <c r="BNK32" s="1882"/>
      <c r="BNL32" s="1882"/>
      <c r="BNN32" s="1887"/>
      <c r="BNO32" s="1888"/>
      <c r="BNP32" s="1882"/>
      <c r="BNQ32" s="1882"/>
      <c r="BNR32" s="1882"/>
      <c r="BNT32" s="1887"/>
      <c r="BNU32" s="1888"/>
      <c r="BNV32" s="1882"/>
      <c r="BNW32" s="1882"/>
      <c r="BNX32" s="1882"/>
      <c r="BNZ32" s="1887"/>
      <c r="BOA32" s="1888"/>
      <c r="BOB32" s="1882"/>
      <c r="BOC32" s="1882"/>
      <c r="BOD32" s="1882"/>
      <c r="BOF32" s="1887"/>
      <c r="BOG32" s="1888"/>
      <c r="BOH32" s="1882"/>
      <c r="BOI32" s="1882"/>
      <c r="BOJ32" s="1882"/>
      <c r="BOL32" s="1887"/>
      <c r="BOM32" s="1888"/>
      <c r="BON32" s="1882"/>
      <c r="BOO32" s="1882"/>
      <c r="BOP32" s="1882"/>
      <c r="BOR32" s="1887"/>
      <c r="BOS32" s="1888"/>
      <c r="BOT32" s="1882"/>
      <c r="BOU32" s="1882"/>
      <c r="BOV32" s="1882"/>
      <c r="BOX32" s="1887"/>
      <c r="BOY32" s="1888"/>
      <c r="BOZ32" s="1882"/>
      <c r="BPA32" s="1882"/>
      <c r="BPB32" s="1882"/>
      <c r="BPD32" s="1887"/>
      <c r="BPE32" s="1888"/>
      <c r="BPF32" s="1882"/>
      <c r="BPG32" s="1882"/>
      <c r="BPH32" s="1882"/>
      <c r="BPJ32" s="1887"/>
      <c r="BPK32" s="1888"/>
      <c r="BPL32" s="1882"/>
      <c r="BPM32" s="1882"/>
      <c r="BPN32" s="1882"/>
      <c r="BPP32" s="1887"/>
      <c r="BPQ32" s="1888"/>
      <c r="BPR32" s="1882"/>
      <c r="BPS32" s="1882"/>
      <c r="BPT32" s="1882"/>
      <c r="BPV32" s="1887"/>
      <c r="BPW32" s="1888"/>
      <c r="BPX32" s="1882"/>
      <c r="BPY32" s="1882"/>
      <c r="BPZ32" s="1882"/>
      <c r="BQB32" s="1887"/>
      <c r="BQC32" s="1888"/>
      <c r="BQD32" s="1882"/>
      <c r="BQE32" s="1882"/>
      <c r="BQF32" s="1882"/>
      <c r="BQH32" s="1887"/>
      <c r="BQI32" s="1888"/>
      <c r="BQJ32" s="1882"/>
      <c r="BQK32" s="1882"/>
      <c r="BQL32" s="1882"/>
      <c r="BQN32" s="1887"/>
      <c r="BQO32" s="1888"/>
      <c r="BQP32" s="1882"/>
      <c r="BQQ32" s="1882"/>
      <c r="BQR32" s="1882"/>
      <c r="BQT32" s="1887"/>
      <c r="BQU32" s="1888"/>
      <c r="BQV32" s="1882"/>
      <c r="BQW32" s="1882"/>
      <c r="BQX32" s="1882"/>
      <c r="BQZ32" s="1887"/>
      <c r="BRA32" s="1888"/>
      <c r="BRB32" s="1882"/>
      <c r="BRC32" s="1882"/>
      <c r="BRD32" s="1882"/>
      <c r="BRF32" s="1887"/>
      <c r="BRG32" s="1888"/>
      <c r="BRH32" s="1882"/>
      <c r="BRI32" s="1882"/>
      <c r="BRJ32" s="1882"/>
      <c r="BRL32" s="1887"/>
      <c r="BRM32" s="1888"/>
      <c r="BRN32" s="1882"/>
      <c r="BRO32" s="1882"/>
      <c r="BRP32" s="1882"/>
      <c r="BRR32" s="1887"/>
      <c r="BRS32" s="1888"/>
      <c r="BRT32" s="1882"/>
      <c r="BRU32" s="1882"/>
      <c r="BRV32" s="1882"/>
      <c r="BRX32" s="1887"/>
      <c r="BRY32" s="1888"/>
      <c r="BRZ32" s="1882"/>
      <c r="BSA32" s="1882"/>
      <c r="BSB32" s="1882"/>
      <c r="BSD32" s="1887"/>
      <c r="BSE32" s="1888"/>
      <c r="BSF32" s="1882"/>
      <c r="BSG32" s="1882"/>
      <c r="BSH32" s="1882"/>
      <c r="BSJ32" s="1887"/>
      <c r="BSK32" s="1888"/>
      <c r="BSL32" s="1882"/>
      <c r="BSM32" s="1882"/>
      <c r="BSN32" s="1882"/>
      <c r="BSP32" s="1887"/>
      <c r="BSQ32" s="1888"/>
      <c r="BSR32" s="1882"/>
      <c r="BSS32" s="1882"/>
      <c r="BST32" s="1882"/>
      <c r="BSV32" s="1887"/>
      <c r="BSW32" s="1888"/>
      <c r="BSX32" s="1882"/>
      <c r="BSY32" s="1882"/>
      <c r="BSZ32" s="1882"/>
      <c r="BTB32" s="1887"/>
      <c r="BTC32" s="1888"/>
      <c r="BTD32" s="1882"/>
      <c r="BTE32" s="1882"/>
      <c r="BTF32" s="1882"/>
      <c r="BTH32" s="1887"/>
      <c r="BTI32" s="1888"/>
      <c r="BTJ32" s="1882"/>
      <c r="BTK32" s="1882"/>
      <c r="BTL32" s="1882"/>
      <c r="BTN32" s="1887"/>
      <c r="BTO32" s="1888"/>
      <c r="BTP32" s="1882"/>
      <c r="BTQ32" s="1882"/>
      <c r="BTR32" s="1882"/>
      <c r="BTT32" s="1887"/>
      <c r="BTU32" s="1888"/>
      <c r="BTV32" s="1882"/>
      <c r="BTW32" s="1882"/>
      <c r="BTX32" s="1882"/>
      <c r="BTZ32" s="1887"/>
      <c r="BUA32" s="1888"/>
      <c r="BUB32" s="1882"/>
      <c r="BUC32" s="1882"/>
      <c r="BUD32" s="1882"/>
      <c r="BUF32" s="1887"/>
      <c r="BUG32" s="1888"/>
      <c r="BUH32" s="1882"/>
      <c r="BUI32" s="1882"/>
      <c r="BUJ32" s="1882"/>
      <c r="BUL32" s="1887"/>
      <c r="BUM32" s="1888"/>
      <c r="BUN32" s="1882"/>
      <c r="BUO32" s="1882"/>
      <c r="BUP32" s="1882"/>
      <c r="BUR32" s="1887"/>
      <c r="BUS32" s="1888"/>
      <c r="BUT32" s="1882"/>
      <c r="BUU32" s="1882"/>
      <c r="BUV32" s="1882"/>
      <c r="BUX32" s="1887"/>
      <c r="BUY32" s="1888"/>
      <c r="BUZ32" s="1882"/>
      <c r="BVA32" s="1882"/>
      <c r="BVB32" s="1882"/>
      <c r="BVD32" s="1887"/>
      <c r="BVE32" s="1888"/>
      <c r="BVF32" s="1882"/>
      <c r="BVG32" s="1882"/>
      <c r="BVH32" s="1882"/>
      <c r="BVJ32" s="1887"/>
      <c r="BVK32" s="1888"/>
      <c r="BVL32" s="1882"/>
      <c r="BVM32" s="1882"/>
      <c r="BVN32" s="1882"/>
      <c r="BVP32" s="1887"/>
      <c r="BVQ32" s="1888"/>
      <c r="BVR32" s="1882"/>
      <c r="BVS32" s="1882"/>
      <c r="BVT32" s="1882"/>
      <c r="BVV32" s="1887"/>
      <c r="BVW32" s="1888"/>
      <c r="BVX32" s="1882"/>
      <c r="BVY32" s="1882"/>
      <c r="BVZ32" s="1882"/>
      <c r="BWB32" s="1887"/>
      <c r="BWC32" s="1888"/>
      <c r="BWD32" s="1882"/>
      <c r="BWE32" s="1882"/>
      <c r="BWF32" s="1882"/>
      <c r="BWH32" s="1887"/>
      <c r="BWI32" s="1888"/>
      <c r="BWJ32" s="1882"/>
      <c r="BWK32" s="1882"/>
      <c r="BWL32" s="1882"/>
      <c r="BWN32" s="1887"/>
      <c r="BWO32" s="1888"/>
      <c r="BWP32" s="1882"/>
      <c r="BWQ32" s="1882"/>
      <c r="BWR32" s="1882"/>
      <c r="BWT32" s="1887"/>
      <c r="BWU32" s="1888"/>
      <c r="BWV32" s="1882"/>
      <c r="BWW32" s="1882"/>
      <c r="BWX32" s="1882"/>
      <c r="BWZ32" s="1887"/>
      <c r="BXA32" s="1888"/>
      <c r="BXB32" s="1882"/>
      <c r="BXC32" s="1882"/>
      <c r="BXD32" s="1882"/>
      <c r="BXF32" s="1887"/>
      <c r="BXG32" s="1888"/>
      <c r="BXH32" s="1882"/>
      <c r="BXI32" s="1882"/>
      <c r="BXJ32" s="1882"/>
      <c r="BXL32" s="1887"/>
      <c r="BXM32" s="1888"/>
      <c r="BXN32" s="1882"/>
      <c r="BXO32" s="1882"/>
      <c r="BXP32" s="1882"/>
      <c r="BXR32" s="1887"/>
      <c r="BXS32" s="1888"/>
      <c r="BXT32" s="1882"/>
      <c r="BXU32" s="1882"/>
      <c r="BXV32" s="1882"/>
      <c r="BXX32" s="1887"/>
      <c r="BXY32" s="1888"/>
      <c r="BXZ32" s="1882"/>
      <c r="BYA32" s="1882"/>
      <c r="BYB32" s="1882"/>
      <c r="BYD32" s="1887"/>
      <c r="BYE32" s="1888"/>
      <c r="BYF32" s="1882"/>
      <c r="BYG32" s="1882"/>
      <c r="BYH32" s="1882"/>
      <c r="BYJ32" s="1887"/>
      <c r="BYK32" s="1888"/>
      <c r="BYL32" s="1882"/>
      <c r="BYM32" s="1882"/>
      <c r="BYN32" s="1882"/>
      <c r="BYP32" s="1887"/>
      <c r="BYQ32" s="1888"/>
      <c r="BYR32" s="1882"/>
      <c r="BYS32" s="1882"/>
      <c r="BYT32" s="1882"/>
      <c r="BYV32" s="1887"/>
      <c r="BYW32" s="1888"/>
      <c r="BYX32" s="1882"/>
      <c r="BYY32" s="1882"/>
      <c r="BYZ32" s="1882"/>
      <c r="BZB32" s="1887"/>
      <c r="BZC32" s="1888"/>
      <c r="BZD32" s="1882"/>
      <c r="BZE32" s="1882"/>
      <c r="BZF32" s="1882"/>
      <c r="BZH32" s="1887"/>
      <c r="BZI32" s="1888"/>
      <c r="BZJ32" s="1882"/>
      <c r="BZK32" s="1882"/>
      <c r="BZL32" s="1882"/>
      <c r="BZN32" s="1887"/>
      <c r="BZO32" s="1888"/>
      <c r="BZP32" s="1882"/>
      <c r="BZQ32" s="1882"/>
      <c r="BZR32" s="1882"/>
      <c r="BZT32" s="1887"/>
      <c r="BZU32" s="1888"/>
      <c r="BZV32" s="1882"/>
      <c r="BZW32" s="1882"/>
      <c r="BZX32" s="1882"/>
      <c r="BZZ32" s="1887"/>
      <c r="CAA32" s="1888"/>
      <c r="CAB32" s="1882"/>
      <c r="CAC32" s="1882"/>
      <c r="CAD32" s="1882"/>
      <c r="CAF32" s="1887"/>
      <c r="CAG32" s="1888"/>
      <c r="CAH32" s="1882"/>
      <c r="CAI32" s="1882"/>
      <c r="CAJ32" s="1882"/>
      <c r="CAL32" s="1887"/>
      <c r="CAM32" s="1888"/>
      <c r="CAN32" s="1882"/>
      <c r="CAO32" s="1882"/>
      <c r="CAP32" s="1882"/>
      <c r="CAR32" s="1887"/>
      <c r="CAS32" s="1888"/>
      <c r="CAT32" s="1882"/>
      <c r="CAU32" s="1882"/>
      <c r="CAV32" s="1882"/>
      <c r="CAX32" s="1887"/>
      <c r="CAY32" s="1888"/>
      <c r="CAZ32" s="1882"/>
      <c r="CBA32" s="1882"/>
      <c r="CBB32" s="1882"/>
      <c r="CBD32" s="1887"/>
      <c r="CBE32" s="1888"/>
      <c r="CBF32" s="1882"/>
      <c r="CBG32" s="1882"/>
      <c r="CBH32" s="1882"/>
      <c r="CBJ32" s="1887"/>
      <c r="CBK32" s="1888"/>
      <c r="CBL32" s="1882"/>
      <c r="CBM32" s="1882"/>
      <c r="CBN32" s="1882"/>
      <c r="CBP32" s="1887"/>
      <c r="CBQ32" s="1888"/>
      <c r="CBR32" s="1882"/>
      <c r="CBS32" s="1882"/>
      <c r="CBT32" s="1882"/>
      <c r="CBV32" s="1887"/>
      <c r="CBW32" s="1888"/>
      <c r="CBX32" s="1882"/>
      <c r="CBY32" s="1882"/>
      <c r="CBZ32" s="1882"/>
      <c r="CCB32" s="1887"/>
      <c r="CCC32" s="1888"/>
      <c r="CCD32" s="1882"/>
      <c r="CCE32" s="1882"/>
      <c r="CCF32" s="1882"/>
      <c r="CCH32" s="1887"/>
      <c r="CCI32" s="1888"/>
      <c r="CCJ32" s="1882"/>
      <c r="CCK32" s="1882"/>
      <c r="CCL32" s="1882"/>
      <c r="CCN32" s="1887"/>
      <c r="CCO32" s="1888"/>
      <c r="CCP32" s="1882"/>
      <c r="CCQ32" s="1882"/>
      <c r="CCR32" s="1882"/>
      <c r="CCT32" s="1887"/>
      <c r="CCU32" s="1888"/>
      <c r="CCV32" s="1882"/>
      <c r="CCW32" s="1882"/>
      <c r="CCX32" s="1882"/>
      <c r="CCZ32" s="1887"/>
      <c r="CDA32" s="1888"/>
      <c r="CDB32" s="1882"/>
      <c r="CDC32" s="1882"/>
      <c r="CDD32" s="1882"/>
      <c r="CDF32" s="1887"/>
      <c r="CDG32" s="1888"/>
      <c r="CDH32" s="1882"/>
      <c r="CDI32" s="1882"/>
      <c r="CDJ32" s="1882"/>
      <c r="CDL32" s="1887"/>
      <c r="CDM32" s="1888"/>
      <c r="CDN32" s="1882"/>
      <c r="CDO32" s="1882"/>
      <c r="CDP32" s="1882"/>
      <c r="CDR32" s="1887"/>
      <c r="CDS32" s="1888"/>
      <c r="CDT32" s="1882"/>
      <c r="CDU32" s="1882"/>
      <c r="CDV32" s="1882"/>
      <c r="CDX32" s="1887"/>
      <c r="CDY32" s="1888"/>
      <c r="CDZ32" s="1882"/>
      <c r="CEA32" s="1882"/>
      <c r="CEB32" s="1882"/>
      <c r="CED32" s="1887"/>
      <c r="CEE32" s="1888"/>
      <c r="CEF32" s="1882"/>
      <c r="CEG32" s="1882"/>
      <c r="CEH32" s="1882"/>
      <c r="CEJ32" s="1887"/>
      <c r="CEK32" s="1888"/>
      <c r="CEL32" s="1882"/>
      <c r="CEM32" s="1882"/>
      <c r="CEN32" s="1882"/>
      <c r="CEP32" s="1887"/>
      <c r="CEQ32" s="1888"/>
      <c r="CER32" s="1882"/>
      <c r="CES32" s="1882"/>
      <c r="CET32" s="1882"/>
      <c r="CEV32" s="1887"/>
      <c r="CEW32" s="1888"/>
      <c r="CEX32" s="1882"/>
      <c r="CEY32" s="1882"/>
      <c r="CEZ32" s="1882"/>
      <c r="CFB32" s="1887"/>
      <c r="CFC32" s="1888"/>
      <c r="CFD32" s="1882"/>
      <c r="CFE32" s="1882"/>
      <c r="CFF32" s="1882"/>
      <c r="CFH32" s="1887"/>
      <c r="CFI32" s="1888"/>
      <c r="CFJ32" s="1882"/>
      <c r="CFK32" s="1882"/>
      <c r="CFL32" s="1882"/>
      <c r="CFN32" s="1887"/>
      <c r="CFO32" s="1888"/>
      <c r="CFP32" s="1882"/>
      <c r="CFQ32" s="1882"/>
      <c r="CFR32" s="1882"/>
      <c r="CFT32" s="1887"/>
      <c r="CFU32" s="1888"/>
      <c r="CFV32" s="1882"/>
      <c r="CFW32" s="1882"/>
      <c r="CFX32" s="1882"/>
      <c r="CFZ32" s="1887"/>
      <c r="CGA32" s="1888"/>
      <c r="CGB32" s="1882"/>
      <c r="CGC32" s="1882"/>
      <c r="CGD32" s="1882"/>
      <c r="CGF32" s="1887"/>
      <c r="CGG32" s="1888"/>
      <c r="CGH32" s="1882"/>
      <c r="CGI32" s="1882"/>
      <c r="CGJ32" s="1882"/>
      <c r="CGL32" s="1887"/>
      <c r="CGM32" s="1888"/>
      <c r="CGN32" s="1882"/>
      <c r="CGO32" s="1882"/>
      <c r="CGP32" s="1882"/>
      <c r="CGR32" s="1887"/>
      <c r="CGS32" s="1888"/>
      <c r="CGT32" s="1882"/>
      <c r="CGU32" s="1882"/>
      <c r="CGV32" s="1882"/>
      <c r="CGX32" s="1887"/>
      <c r="CGY32" s="1888"/>
      <c r="CGZ32" s="1882"/>
      <c r="CHA32" s="1882"/>
      <c r="CHB32" s="1882"/>
      <c r="CHD32" s="1887"/>
      <c r="CHE32" s="1888"/>
      <c r="CHF32" s="1882"/>
      <c r="CHG32" s="1882"/>
      <c r="CHH32" s="1882"/>
      <c r="CHJ32" s="1887"/>
      <c r="CHK32" s="1888"/>
      <c r="CHL32" s="1882"/>
      <c r="CHM32" s="1882"/>
      <c r="CHN32" s="1882"/>
      <c r="CHP32" s="1887"/>
      <c r="CHQ32" s="1888"/>
      <c r="CHR32" s="1882"/>
      <c r="CHS32" s="1882"/>
      <c r="CHT32" s="1882"/>
      <c r="CHV32" s="1887"/>
      <c r="CHW32" s="1888"/>
      <c r="CHX32" s="1882"/>
      <c r="CHY32" s="1882"/>
      <c r="CHZ32" s="1882"/>
      <c r="CIB32" s="1887"/>
      <c r="CIC32" s="1888"/>
      <c r="CID32" s="1882"/>
      <c r="CIE32" s="1882"/>
      <c r="CIF32" s="1882"/>
      <c r="CIH32" s="1887"/>
      <c r="CII32" s="1888"/>
      <c r="CIJ32" s="1882"/>
      <c r="CIK32" s="1882"/>
      <c r="CIL32" s="1882"/>
      <c r="CIN32" s="1887"/>
      <c r="CIO32" s="1888"/>
      <c r="CIP32" s="1882"/>
      <c r="CIQ32" s="1882"/>
      <c r="CIR32" s="1882"/>
      <c r="CIT32" s="1887"/>
      <c r="CIU32" s="1888"/>
      <c r="CIV32" s="1882"/>
      <c r="CIW32" s="1882"/>
      <c r="CIX32" s="1882"/>
      <c r="CIZ32" s="1887"/>
      <c r="CJA32" s="1888"/>
      <c r="CJB32" s="1882"/>
      <c r="CJC32" s="1882"/>
      <c r="CJD32" s="1882"/>
      <c r="CJF32" s="1887"/>
      <c r="CJG32" s="1888"/>
      <c r="CJH32" s="1882"/>
      <c r="CJI32" s="1882"/>
      <c r="CJJ32" s="1882"/>
      <c r="CJL32" s="1887"/>
      <c r="CJM32" s="1888"/>
      <c r="CJN32" s="1882"/>
      <c r="CJO32" s="1882"/>
      <c r="CJP32" s="1882"/>
      <c r="CJR32" s="1887"/>
      <c r="CJS32" s="1888"/>
      <c r="CJT32" s="1882"/>
      <c r="CJU32" s="1882"/>
      <c r="CJV32" s="1882"/>
      <c r="CJX32" s="1887"/>
      <c r="CJY32" s="1888"/>
      <c r="CJZ32" s="1882"/>
      <c r="CKA32" s="1882"/>
      <c r="CKB32" s="1882"/>
      <c r="CKD32" s="1887"/>
      <c r="CKE32" s="1888"/>
      <c r="CKF32" s="1882"/>
      <c r="CKG32" s="1882"/>
      <c r="CKH32" s="1882"/>
      <c r="CKJ32" s="1887"/>
      <c r="CKK32" s="1888"/>
      <c r="CKL32" s="1882"/>
      <c r="CKM32" s="1882"/>
      <c r="CKN32" s="1882"/>
      <c r="CKP32" s="1887"/>
      <c r="CKQ32" s="1888"/>
      <c r="CKR32" s="1882"/>
      <c r="CKS32" s="1882"/>
      <c r="CKT32" s="1882"/>
      <c r="CKV32" s="1887"/>
      <c r="CKW32" s="1888"/>
      <c r="CKX32" s="1882"/>
      <c r="CKY32" s="1882"/>
      <c r="CKZ32" s="1882"/>
      <c r="CLB32" s="1887"/>
      <c r="CLC32" s="1888"/>
      <c r="CLD32" s="1882"/>
      <c r="CLE32" s="1882"/>
      <c r="CLF32" s="1882"/>
      <c r="CLH32" s="1887"/>
      <c r="CLI32" s="1888"/>
      <c r="CLJ32" s="1882"/>
      <c r="CLK32" s="1882"/>
      <c r="CLL32" s="1882"/>
      <c r="CLN32" s="1887"/>
      <c r="CLO32" s="1888"/>
      <c r="CLP32" s="1882"/>
      <c r="CLQ32" s="1882"/>
      <c r="CLR32" s="1882"/>
      <c r="CLT32" s="1887"/>
      <c r="CLU32" s="1888"/>
      <c r="CLV32" s="1882"/>
      <c r="CLW32" s="1882"/>
      <c r="CLX32" s="1882"/>
      <c r="CLZ32" s="1887"/>
      <c r="CMA32" s="1888"/>
      <c r="CMB32" s="1882"/>
      <c r="CMC32" s="1882"/>
      <c r="CMD32" s="1882"/>
      <c r="CMF32" s="1887"/>
      <c r="CMG32" s="1888"/>
      <c r="CMH32" s="1882"/>
      <c r="CMI32" s="1882"/>
      <c r="CMJ32" s="1882"/>
      <c r="CML32" s="1887"/>
      <c r="CMM32" s="1888"/>
      <c r="CMN32" s="1882"/>
      <c r="CMO32" s="1882"/>
      <c r="CMP32" s="1882"/>
      <c r="CMR32" s="1887"/>
      <c r="CMS32" s="1888"/>
      <c r="CMT32" s="1882"/>
      <c r="CMU32" s="1882"/>
      <c r="CMV32" s="1882"/>
      <c r="CMX32" s="1887"/>
      <c r="CMY32" s="1888"/>
      <c r="CMZ32" s="1882"/>
      <c r="CNA32" s="1882"/>
      <c r="CNB32" s="1882"/>
      <c r="CND32" s="1887"/>
      <c r="CNE32" s="1888"/>
      <c r="CNF32" s="1882"/>
      <c r="CNG32" s="1882"/>
      <c r="CNH32" s="1882"/>
      <c r="CNJ32" s="1887"/>
      <c r="CNK32" s="1888"/>
      <c r="CNL32" s="1882"/>
      <c r="CNM32" s="1882"/>
      <c r="CNN32" s="1882"/>
      <c r="CNP32" s="1887"/>
      <c r="CNQ32" s="1888"/>
      <c r="CNR32" s="1882"/>
      <c r="CNS32" s="1882"/>
      <c r="CNT32" s="1882"/>
      <c r="CNV32" s="1887"/>
      <c r="CNW32" s="1888"/>
      <c r="CNX32" s="1882"/>
      <c r="CNY32" s="1882"/>
      <c r="CNZ32" s="1882"/>
      <c r="COB32" s="1887"/>
      <c r="COC32" s="1888"/>
      <c r="COD32" s="1882"/>
      <c r="COE32" s="1882"/>
      <c r="COF32" s="1882"/>
      <c r="COH32" s="1887"/>
      <c r="COI32" s="1888"/>
      <c r="COJ32" s="1882"/>
      <c r="COK32" s="1882"/>
      <c r="COL32" s="1882"/>
      <c r="CON32" s="1887"/>
      <c r="COO32" s="1888"/>
      <c r="COP32" s="1882"/>
      <c r="COQ32" s="1882"/>
      <c r="COR32" s="1882"/>
      <c r="COT32" s="1887"/>
      <c r="COU32" s="1888"/>
      <c r="COV32" s="1882"/>
      <c r="COW32" s="1882"/>
      <c r="COX32" s="1882"/>
      <c r="COZ32" s="1887"/>
      <c r="CPA32" s="1888"/>
      <c r="CPB32" s="1882"/>
      <c r="CPC32" s="1882"/>
      <c r="CPD32" s="1882"/>
      <c r="CPF32" s="1887"/>
      <c r="CPG32" s="1888"/>
      <c r="CPH32" s="1882"/>
      <c r="CPI32" s="1882"/>
      <c r="CPJ32" s="1882"/>
      <c r="CPL32" s="1887"/>
      <c r="CPM32" s="1888"/>
      <c r="CPN32" s="1882"/>
      <c r="CPO32" s="1882"/>
      <c r="CPP32" s="1882"/>
      <c r="CPR32" s="1887"/>
      <c r="CPS32" s="1888"/>
      <c r="CPT32" s="1882"/>
      <c r="CPU32" s="1882"/>
      <c r="CPV32" s="1882"/>
      <c r="CPX32" s="1887"/>
      <c r="CPY32" s="1888"/>
      <c r="CPZ32" s="1882"/>
      <c r="CQA32" s="1882"/>
      <c r="CQB32" s="1882"/>
      <c r="CQD32" s="1887"/>
      <c r="CQE32" s="1888"/>
      <c r="CQF32" s="1882"/>
      <c r="CQG32" s="1882"/>
      <c r="CQH32" s="1882"/>
      <c r="CQJ32" s="1887"/>
      <c r="CQK32" s="1888"/>
      <c r="CQL32" s="1882"/>
      <c r="CQM32" s="1882"/>
      <c r="CQN32" s="1882"/>
      <c r="CQP32" s="1887"/>
      <c r="CQQ32" s="1888"/>
      <c r="CQR32" s="1882"/>
      <c r="CQS32" s="1882"/>
      <c r="CQT32" s="1882"/>
      <c r="CQV32" s="1887"/>
      <c r="CQW32" s="1888"/>
      <c r="CQX32" s="1882"/>
      <c r="CQY32" s="1882"/>
      <c r="CQZ32" s="1882"/>
      <c r="CRB32" s="1887"/>
      <c r="CRC32" s="1888"/>
      <c r="CRD32" s="1882"/>
      <c r="CRE32" s="1882"/>
      <c r="CRF32" s="1882"/>
      <c r="CRH32" s="1887"/>
      <c r="CRI32" s="1888"/>
      <c r="CRJ32" s="1882"/>
      <c r="CRK32" s="1882"/>
      <c r="CRL32" s="1882"/>
      <c r="CRN32" s="1887"/>
      <c r="CRO32" s="1888"/>
      <c r="CRP32" s="1882"/>
      <c r="CRQ32" s="1882"/>
      <c r="CRR32" s="1882"/>
      <c r="CRT32" s="1887"/>
      <c r="CRU32" s="1888"/>
      <c r="CRV32" s="1882"/>
      <c r="CRW32" s="1882"/>
      <c r="CRX32" s="1882"/>
      <c r="CRZ32" s="1887"/>
      <c r="CSA32" s="1888"/>
      <c r="CSB32" s="1882"/>
      <c r="CSC32" s="1882"/>
      <c r="CSD32" s="1882"/>
      <c r="CSF32" s="1887"/>
      <c r="CSG32" s="1888"/>
      <c r="CSH32" s="1882"/>
      <c r="CSI32" s="1882"/>
      <c r="CSJ32" s="1882"/>
      <c r="CSL32" s="1887"/>
      <c r="CSM32" s="1888"/>
      <c r="CSN32" s="1882"/>
      <c r="CSO32" s="1882"/>
      <c r="CSP32" s="1882"/>
      <c r="CSR32" s="1887"/>
      <c r="CSS32" s="1888"/>
      <c r="CST32" s="1882"/>
      <c r="CSU32" s="1882"/>
      <c r="CSV32" s="1882"/>
      <c r="CSX32" s="1887"/>
      <c r="CSY32" s="1888"/>
      <c r="CSZ32" s="1882"/>
      <c r="CTA32" s="1882"/>
      <c r="CTB32" s="1882"/>
      <c r="CTD32" s="1887"/>
      <c r="CTE32" s="1888"/>
      <c r="CTF32" s="1882"/>
      <c r="CTG32" s="1882"/>
      <c r="CTH32" s="1882"/>
      <c r="CTJ32" s="1887"/>
      <c r="CTK32" s="1888"/>
      <c r="CTL32" s="1882"/>
      <c r="CTM32" s="1882"/>
      <c r="CTN32" s="1882"/>
      <c r="CTP32" s="1887"/>
      <c r="CTQ32" s="1888"/>
      <c r="CTR32" s="1882"/>
      <c r="CTS32" s="1882"/>
      <c r="CTT32" s="1882"/>
      <c r="CTV32" s="1887"/>
      <c r="CTW32" s="1888"/>
      <c r="CTX32" s="1882"/>
      <c r="CTY32" s="1882"/>
      <c r="CTZ32" s="1882"/>
      <c r="CUB32" s="1887"/>
      <c r="CUC32" s="1888"/>
      <c r="CUD32" s="1882"/>
      <c r="CUE32" s="1882"/>
      <c r="CUF32" s="1882"/>
      <c r="CUH32" s="1887"/>
      <c r="CUI32" s="1888"/>
      <c r="CUJ32" s="1882"/>
      <c r="CUK32" s="1882"/>
      <c r="CUL32" s="1882"/>
      <c r="CUN32" s="1887"/>
      <c r="CUO32" s="1888"/>
      <c r="CUP32" s="1882"/>
      <c r="CUQ32" s="1882"/>
      <c r="CUR32" s="1882"/>
      <c r="CUT32" s="1887"/>
      <c r="CUU32" s="1888"/>
      <c r="CUV32" s="1882"/>
      <c r="CUW32" s="1882"/>
      <c r="CUX32" s="1882"/>
      <c r="CUZ32" s="1887"/>
      <c r="CVA32" s="1888"/>
      <c r="CVB32" s="1882"/>
      <c r="CVC32" s="1882"/>
      <c r="CVD32" s="1882"/>
      <c r="CVF32" s="1887"/>
      <c r="CVG32" s="1888"/>
      <c r="CVH32" s="1882"/>
      <c r="CVI32" s="1882"/>
      <c r="CVJ32" s="1882"/>
      <c r="CVL32" s="1887"/>
      <c r="CVM32" s="1888"/>
      <c r="CVN32" s="1882"/>
      <c r="CVO32" s="1882"/>
      <c r="CVP32" s="1882"/>
      <c r="CVR32" s="1887"/>
      <c r="CVS32" s="1888"/>
      <c r="CVT32" s="1882"/>
      <c r="CVU32" s="1882"/>
      <c r="CVV32" s="1882"/>
      <c r="CVX32" s="1887"/>
      <c r="CVY32" s="1888"/>
      <c r="CVZ32" s="1882"/>
      <c r="CWA32" s="1882"/>
      <c r="CWB32" s="1882"/>
      <c r="CWD32" s="1887"/>
      <c r="CWE32" s="1888"/>
      <c r="CWF32" s="1882"/>
      <c r="CWG32" s="1882"/>
      <c r="CWH32" s="1882"/>
      <c r="CWJ32" s="1887"/>
      <c r="CWK32" s="1888"/>
      <c r="CWL32" s="1882"/>
      <c r="CWM32" s="1882"/>
      <c r="CWN32" s="1882"/>
      <c r="CWP32" s="1887"/>
      <c r="CWQ32" s="1888"/>
      <c r="CWR32" s="1882"/>
      <c r="CWS32" s="1882"/>
      <c r="CWT32" s="1882"/>
      <c r="CWV32" s="1887"/>
      <c r="CWW32" s="1888"/>
      <c r="CWX32" s="1882"/>
      <c r="CWY32" s="1882"/>
      <c r="CWZ32" s="1882"/>
      <c r="CXB32" s="1887"/>
      <c r="CXC32" s="1888"/>
      <c r="CXD32" s="1882"/>
      <c r="CXE32" s="1882"/>
      <c r="CXF32" s="1882"/>
      <c r="CXH32" s="1887"/>
      <c r="CXI32" s="1888"/>
      <c r="CXJ32" s="1882"/>
      <c r="CXK32" s="1882"/>
      <c r="CXL32" s="1882"/>
      <c r="CXN32" s="1887"/>
      <c r="CXO32" s="1888"/>
      <c r="CXP32" s="1882"/>
      <c r="CXQ32" s="1882"/>
      <c r="CXR32" s="1882"/>
      <c r="CXT32" s="1887"/>
      <c r="CXU32" s="1888"/>
      <c r="CXV32" s="1882"/>
      <c r="CXW32" s="1882"/>
      <c r="CXX32" s="1882"/>
      <c r="CXZ32" s="1887"/>
      <c r="CYA32" s="1888"/>
      <c r="CYB32" s="1882"/>
      <c r="CYC32" s="1882"/>
      <c r="CYD32" s="1882"/>
      <c r="CYF32" s="1887"/>
      <c r="CYG32" s="1888"/>
      <c r="CYH32" s="1882"/>
      <c r="CYI32" s="1882"/>
      <c r="CYJ32" s="1882"/>
      <c r="CYL32" s="1887"/>
      <c r="CYM32" s="1888"/>
      <c r="CYN32" s="1882"/>
      <c r="CYO32" s="1882"/>
      <c r="CYP32" s="1882"/>
      <c r="CYR32" s="1887"/>
      <c r="CYS32" s="1888"/>
      <c r="CYT32" s="1882"/>
      <c r="CYU32" s="1882"/>
      <c r="CYV32" s="1882"/>
      <c r="CYX32" s="1887"/>
      <c r="CYY32" s="1888"/>
      <c r="CYZ32" s="1882"/>
      <c r="CZA32" s="1882"/>
      <c r="CZB32" s="1882"/>
      <c r="CZD32" s="1887"/>
      <c r="CZE32" s="1888"/>
      <c r="CZF32" s="1882"/>
      <c r="CZG32" s="1882"/>
      <c r="CZH32" s="1882"/>
      <c r="CZJ32" s="1887"/>
      <c r="CZK32" s="1888"/>
      <c r="CZL32" s="1882"/>
      <c r="CZM32" s="1882"/>
      <c r="CZN32" s="1882"/>
      <c r="CZP32" s="1887"/>
      <c r="CZQ32" s="1888"/>
      <c r="CZR32" s="1882"/>
      <c r="CZS32" s="1882"/>
      <c r="CZT32" s="1882"/>
      <c r="CZV32" s="1887"/>
      <c r="CZW32" s="1888"/>
      <c r="CZX32" s="1882"/>
      <c r="CZY32" s="1882"/>
      <c r="CZZ32" s="1882"/>
      <c r="DAB32" s="1887"/>
      <c r="DAC32" s="1888"/>
      <c r="DAD32" s="1882"/>
      <c r="DAE32" s="1882"/>
      <c r="DAF32" s="1882"/>
      <c r="DAH32" s="1887"/>
      <c r="DAI32" s="1888"/>
      <c r="DAJ32" s="1882"/>
      <c r="DAK32" s="1882"/>
      <c r="DAL32" s="1882"/>
      <c r="DAN32" s="1887"/>
      <c r="DAO32" s="1888"/>
      <c r="DAP32" s="1882"/>
      <c r="DAQ32" s="1882"/>
      <c r="DAR32" s="1882"/>
      <c r="DAT32" s="1887"/>
      <c r="DAU32" s="1888"/>
      <c r="DAV32" s="1882"/>
      <c r="DAW32" s="1882"/>
      <c r="DAX32" s="1882"/>
      <c r="DAZ32" s="1887"/>
      <c r="DBA32" s="1888"/>
      <c r="DBB32" s="1882"/>
      <c r="DBC32" s="1882"/>
      <c r="DBD32" s="1882"/>
      <c r="DBF32" s="1887"/>
      <c r="DBG32" s="1888"/>
      <c r="DBH32" s="1882"/>
      <c r="DBI32" s="1882"/>
      <c r="DBJ32" s="1882"/>
      <c r="DBL32" s="1887"/>
      <c r="DBM32" s="1888"/>
      <c r="DBN32" s="1882"/>
      <c r="DBO32" s="1882"/>
      <c r="DBP32" s="1882"/>
      <c r="DBR32" s="1887"/>
      <c r="DBS32" s="1888"/>
      <c r="DBT32" s="1882"/>
      <c r="DBU32" s="1882"/>
      <c r="DBV32" s="1882"/>
      <c r="DBX32" s="1887"/>
      <c r="DBY32" s="1888"/>
      <c r="DBZ32" s="1882"/>
      <c r="DCA32" s="1882"/>
      <c r="DCB32" s="1882"/>
      <c r="DCD32" s="1887"/>
      <c r="DCE32" s="1888"/>
      <c r="DCF32" s="1882"/>
      <c r="DCG32" s="1882"/>
      <c r="DCH32" s="1882"/>
      <c r="DCJ32" s="1887"/>
      <c r="DCK32" s="1888"/>
      <c r="DCL32" s="1882"/>
      <c r="DCM32" s="1882"/>
      <c r="DCN32" s="1882"/>
      <c r="DCP32" s="1887"/>
      <c r="DCQ32" s="1888"/>
      <c r="DCR32" s="1882"/>
      <c r="DCS32" s="1882"/>
      <c r="DCT32" s="1882"/>
      <c r="DCV32" s="1887"/>
      <c r="DCW32" s="1888"/>
      <c r="DCX32" s="1882"/>
      <c r="DCY32" s="1882"/>
      <c r="DCZ32" s="1882"/>
      <c r="DDB32" s="1887"/>
      <c r="DDC32" s="1888"/>
      <c r="DDD32" s="1882"/>
      <c r="DDE32" s="1882"/>
      <c r="DDF32" s="1882"/>
      <c r="DDH32" s="1887"/>
      <c r="DDI32" s="1888"/>
      <c r="DDJ32" s="1882"/>
      <c r="DDK32" s="1882"/>
      <c r="DDL32" s="1882"/>
      <c r="DDN32" s="1887"/>
      <c r="DDO32" s="1888"/>
      <c r="DDP32" s="1882"/>
      <c r="DDQ32" s="1882"/>
      <c r="DDR32" s="1882"/>
      <c r="DDT32" s="1887"/>
      <c r="DDU32" s="1888"/>
      <c r="DDV32" s="1882"/>
      <c r="DDW32" s="1882"/>
      <c r="DDX32" s="1882"/>
      <c r="DDZ32" s="1887"/>
      <c r="DEA32" s="1888"/>
      <c r="DEB32" s="1882"/>
      <c r="DEC32" s="1882"/>
      <c r="DED32" s="1882"/>
      <c r="DEF32" s="1887"/>
      <c r="DEG32" s="1888"/>
      <c r="DEH32" s="1882"/>
      <c r="DEI32" s="1882"/>
      <c r="DEJ32" s="1882"/>
      <c r="DEL32" s="1887"/>
      <c r="DEM32" s="1888"/>
      <c r="DEN32" s="1882"/>
      <c r="DEO32" s="1882"/>
      <c r="DEP32" s="1882"/>
      <c r="DER32" s="1887"/>
      <c r="DES32" s="1888"/>
      <c r="DET32" s="1882"/>
      <c r="DEU32" s="1882"/>
      <c r="DEV32" s="1882"/>
      <c r="DEX32" s="1887"/>
      <c r="DEY32" s="1888"/>
      <c r="DEZ32" s="1882"/>
      <c r="DFA32" s="1882"/>
      <c r="DFB32" s="1882"/>
      <c r="DFD32" s="1887"/>
      <c r="DFE32" s="1888"/>
      <c r="DFF32" s="1882"/>
      <c r="DFG32" s="1882"/>
      <c r="DFH32" s="1882"/>
      <c r="DFJ32" s="1887"/>
      <c r="DFK32" s="1888"/>
      <c r="DFL32" s="1882"/>
      <c r="DFM32" s="1882"/>
      <c r="DFN32" s="1882"/>
      <c r="DFP32" s="1887"/>
      <c r="DFQ32" s="1888"/>
      <c r="DFR32" s="1882"/>
      <c r="DFS32" s="1882"/>
      <c r="DFT32" s="1882"/>
      <c r="DFV32" s="1887"/>
      <c r="DFW32" s="1888"/>
      <c r="DFX32" s="1882"/>
      <c r="DFY32" s="1882"/>
      <c r="DFZ32" s="1882"/>
      <c r="DGB32" s="1887"/>
      <c r="DGC32" s="1888"/>
      <c r="DGD32" s="1882"/>
      <c r="DGE32" s="1882"/>
      <c r="DGF32" s="1882"/>
      <c r="DGH32" s="1887"/>
      <c r="DGI32" s="1888"/>
      <c r="DGJ32" s="1882"/>
      <c r="DGK32" s="1882"/>
      <c r="DGL32" s="1882"/>
      <c r="DGN32" s="1887"/>
      <c r="DGO32" s="1888"/>
      <c r="DGP32" s="1882"/>
      <c r="DGQ32" s="1882"/>
      <c r="DGR32" s="1882"/>
      <c r="DGT32" s="1887"/>
      <c r="DGU32" s="1888"/>
      <c r="DGV32" s="1882"/>
      <c r="DGW32" s="1882"/>
      <c r="DGX32" s="1882"/>
      <c r="DGZ32" s="1887"/>
      <c r="DHA32" s="1888"/>
      <c r="DHB32" s="1882"/>
      <c r="DHC32" s="1882"/>
      <c r="DHD32" s="1882"/>
      <c r="DHF32" s="1887"/>
      <c r="DHG32" s="1888"/>
      <c r="DHH32" s="1882"/>
      <c r="DHI32" s="1882"/>
      <c r="DHJ32" s="1882"/>
      <c r="DHL32" s="1887"/>
      <c r="DHM32" s="1888"/>
      <c r="DHN32" s="1882"/>
      <c r="DHO32" s="1882"/>
      <c r="DHP32" s="1882"/>
      <c r="DHR32" s="1887"/>
      <c r="DHS32" s="1888"/>
      <c r="DHT32" s="1882"/>
      <c r="DHU32" s="1882"/>
      <c r="DHV32" s="1882"/>
      <c r="DHX32" s="1887"/>
      <c r="DHY32" s="1888"/>
      <c r="DHZ32" s="1882"/>
      <c r="DIA32" s="1882"/>
      <c r="DIB32" s="1882"/>
      <c r="DID32" s="1887"/>
      <c r="DIE32" s="1888"/>
      <c r="DIF32" s="1882"/>
      <c r="DIG32" s="1882"/>
      <c r="DIH32" s="1882"/>
      <c r="DIJ32" s="1887"/>
      <c r="DIK32" s="1888"/>
      <c r="DIL32" s="1882"/>
      <c r="DIM32" s="1882"/>
      <c r="DIN32" s="1882"/>
      <c r="DIP32" s="1887"/>
      <c r="DIQ32" s="1888"/>
      <c r="DIR32" s="1882"/>
      <c r="DIS32" s="1882"/>
      <c r="DIT32" s="1882"/>
      <c r="DIV32" s="1887"/>
      <c r="DIW32" s="1888"/>
      <c r="DIX32" s="1882"/>
      <c r="DIY32" s="1882"/>
      <c r="DIZ32" s="1882"/>
      <c r="DJB32" s="1887"/>
      <c r="DJC32" s="1888"/>
      <c r="DJD32" s="1882"/>
      <c r="DJE32" s="1882"/>
      <c r="DJF32" s="1882"/>
      <c r="DJH32" s="1887"/>
      <c r="DJI32" s="1888"/>
      <c r="DJJ32" s="1882"/>
      <c r="DJK32" s="1882"/>
      <c r="DJL32" s="1882"/>
      <c r="DJN32" s="1887"/>
      <c r="DJO32" s="1888"/>
      <c r="DJP32" s="1882"/>
      <c r="DJQ32" s="1882"/>
      <c r="DJR32" s="1882"/>
      <c r="DJT32" s="1887"/>
      <c r="DJU32" s="1888"/>
      <c r="DJV32" s="1882"/>
      <c r="DJW32" s="1882"/>
      <c r="DJX32" s="1882"/>
      <c r="DJZ32" s="1887"/>
      <c r="DKA32" s="1888"/>
      <c r="DKB32" s="1882"/>
      <c r="DKC32" s="1882"/>
      <c r="DKD32" s="1882"/>
      <c r="DKF32" s="1887"/>
      <c r="DKG32" s="1888"/>
      <c r="DKH32" s="1882"/>
      <c r="DKI32" s="1882"/>
      <c r="DKJ32" s="1882"/>
      <c r="DKL32" s="1887"/>
      <c r="DKM32" s="1888"/>
      <c r="DKN32" s="1882"/>
      <c r="DKO32" s="1882"/>
      <c r="DKP32" s="1882"/>
      <c r="DKR32" s="1887"/>
      <c r="DKS32" s="1888"/>
      <c r="DKT32" s="1882"/>
      <c r="DKU32" s="1882"/>
      <c r="DKV32" s="1882"/>
      <c r="DKX32" s="1887"/>
      <c r="DKY32" s="1888"/>
      <c r="DKZ32" s="1882"/>
      <c r="DLA32" s="1882"/>
      <c r="DLB32" s="1882"/>
      <c r="DLD32" s="1887"/>
      <c r="DLE32" s="1888"/>
      <c r="DLF32" s="1882"/>
      <c r="DLG32" s="1882"/>
      <c r="DLH32" s="1882"/>
      <c r="DLJ32" s="1887"/>
      <c r="DLK32" s="1888"/>
      <c r="DLL32" s="1882"/>
      <c r="DLM32" s="1882"/>
      <c r="DLN32" s="1882"/>
      <c r="DLP32" s="1887"/>
      <c r="DLQ32" s="1888"/>
      <c r="DLR32" s="1882"/>
      <c r="DLS32" s="1882"/>
      <c r="DLT32" s="1882"/>
      <c r="DLV32" s="1887"/>
      <c r="DLW32" s="1888"/>
      <c r="DLX32" s="1882"/>
      <c r="DLY32" s="1882"/>
      <c r="DLZ32" s="1882"/>
      <c r="DMB32" s="1887"/>
      <c r="DMC32" s="1888"/>
      <c r="DMD32" s="1882"/>
      <c r="DME32" s="1882"/>
      <c r="DMF32" s="1882"/>
      <c r="DMH32" s="1887"/>
      <c r="DMI32" s="1888"/>
      <c r="DMJ32" s="1882"/>
      <c r="DMK32" s="1882"/>
      <c r="DML32" s="1882"/>
      <c r="DMN32" s="1887"/>
      <c r="DMO32" s="1888"/>
      <c r="DMP32" s="1882"/>
      <c r="DMQ32" s="1882"/>
      <c r="DMR32" s="1882"/>
      <c r="DMT32" s="1887"/>
      <c r="DMU32" s="1888"/>
      <c r="DMV32" s="1882"/>
      <c r="DMW32" s="1882"/>
      <c r="DMX32" s="1882"/>
      <c r="DMZ32" s="1887"/>
      <c r="DNA32" s="1888"/>
      <c r="DNB32" s="1882"/>
      <c r="DNC32" s="1882"/>
      <c r="DND32" s="1882"/>
      <c r="DNF32" s="1887"/>
      <c r="DNG32" s="1888"/>
      <c r="DNH32" s="1882"/>
      <c r="DNI32" s="1882"/>
      <c r="DNJ32" s="1882"/>
      <c r="DNL32" s="1887"/>
      <c r="DNM32" s="1888"/>
      <c r="DNN32" s="1882"/>
      <c r="DNO32" s="1882"/>
      <c r="DNP32" s="1882"/>
      <c r="DNR32" s="1887"/>
      <c r="DNS32" s="1888"/>
      <c r="DNT32" s="1882"/>
      <c r="DNU32" s="1882"/>
      <c r="DNV32" s="1882"/>
      <c r="DNX32" s="1887"/>
      <c r="DNY32" s="1888"/>
      <c r="DNZ32" s="1882"/>
      <c r="DOA32" s="1882"/>
      <c r="DOB32" s="1882"/>
      <c r="DOD32" s="1887"/>
      <c r="DOE32" s="1888"/>
      <c r="DOF32" s="1882"/>
      <c r="DOG32" s="1882"/>
      <c r="DOH32" s="1882"/>
      <c r="DOJ32" s="1887"/>
      <c r="DOK32" s="1888"/>
      <c r="DOL32" s="1882"/>
      <c r="DOM32" s="1882"/>
      <c r="DON32" s="1882"/>
      <c r="DOP32" s="1887"/>
      <c r="DOQ32" s="1888"/>
      <c r="DOR32" s="1882"/>
      <c r="DOS32" s="1882"/>
      <c r="DOT32" s="1882"/>
      <c r="DOV32" s="1887"/>
      <c r="DOW32" s="1888"/>
      <c r="DOX32" s="1882"/>
      <c r="DOY32" s="1882"/>
      <c r="DOZ32" s="1882"/>
      <c r="DPB32" s="1887"/>
      <c r="DPC32" s="1888"/>
      <c r="DPD32" s="1882"/>
      <c r="DPE32" s="1882"/>
      <c r="DPF32" s="1882"/>
      <c r="DPH32" s="1887"/>
      <c r="DPI32" s="1888"/>
      <c r="DPJ32" s="1882"/>
      <c r="DPK32" s="1882"/>
      <c r="DPL32" s="1882"/>
      <c r="DPN32" s="1887"/>
      <c r="DPO32" s="1888"/>
      <c r="DPP32" s="1882"/>
      <c r="DPQ32" s="1882"/>
      <c r="DPR32" s="1882"/>
      <c r="DPT32" s="1887"/>
      <c r="DPU32" s="1888"/>
      <c r="DPV32" s="1882"/>
      <c r="DPW32" s="1882"/>
      <c r="DPX32" s="1882"/>
      <c r="DPZ32" s="1887"/>
      <c r="DQA32" s="1888"/>
      <c r="DQB32" s="1882"/>
      <c r="DQC32" s="1882"/>
      <c r="DQD32" s="1882"/>
      <c r="DQF32" s="1887"/>
      <c r="DQG32" s="1888"/>
      <c r="DQH32" s="1882"/>
      <c r="DQI32" s="1882"/>
      <c r="DQJ32" s="1882"/>
      <c r="DQL32" s="1887"/>
      <c r="DQM32" s="1888"/>
      <c r="DQN32" s="1882"/>
      <c r="DQO32" s="1882"/>
      <c r="DQP32" s="1882"/>
      <c r="DQR32" s="1887"/>
      <c r="DQS32" s="1888"/>
      <c r="DQT32" s="1882"/>
      <c r="DQU32" s="1882"/>
      <c r="DQV32" s="1882"/>
      <c r="DQX32" s="1887"/>
      <c r="DQY32" s="1888"/>
      <c r="DQZ32" s="1882"/>
      <c r="DRA32" s="1882"/>
      <c r="DRB32" s="1882"/>
      <c r="DRD32" s="1887"/>
      <c r="DRE32" s="1888"/>
      <c r="DRF32" s="1882"/>
      <c r="DRG32" s="1882"/>
      <c r="DRH32" s="1882"/>
      <c r="DRJ32" s="1887"/>
      <c r="DRK32" s="1888"/>
      <c r="DRL32" s="1882"/>
      <c r="DRM32" s="1882"/>
      <c r="DRN32" s="1882"/>
      <c r="DRP32" s="1887"/>
      <c r="DRQ32" s="1888"/>
      <c r="DRR32" s="1882"/>
      <c r="DRS32" s="1882"/>
      <c r="DRT32" s="1882"/>
      <c r="DRV32" s="1887"/>
      <c r="DRW32" s="1888"/>
      <c r="DRX32" s="1882"/>
      <c r="DRY32" s="1882"/>
      <c r="DRZ32" s="1882"/>
      <c r="DSB32" s="1887"/>
      <c r="DSC32" s="1888"/>
      <c r="DSD32" s="1882"/>
      <c r="DSE32" s="1882"/>
      <c r="DSF32" s="1882"/>
      <c r="DSH32" s="1887"/>
      <c r="DSI32" s="1888"/>
      <c r="DSJ32" s="1882"/>
      <c r="DSK32" s="1882"/>
      <c r="DSL32" s="1882"/>
      <c r="DSN32" s="1887"/>
      <c r="DSO32" s="1888"/>
      <c r="DSP32" s="1882"/>
      <c r="DSQ32" s="1882"/>
      <c r="DSR32" s="1882"/>
      <c r="DST32" s="1887"/>
      <c r="DSU32" s="1888"/>
      <c r="DSV32" s="1882"/>
      <c r="DSW32" s="1882"/>
      <c r="DSX32" s="1882"/>
      <c r="DSZ32" s="1887"/>
      <c r="DTA32" s="1888"/>
      <c r="DTB32" s="1882"/>
      <c r="DTC32" s="1882"/>
      <c r="DTD32" s="1882"/>
      <c r="DTF32" s="1887"/>
      <c r="DTG32" s="1888"/>
      <c r="DTH32" s="1882"/>
      <c r="DTI32" s="1882"/>
      <c r="DTJ32" s="1882"/>
      <c r="DTL32" s="1887"/>
      <c r="DTM32" s="1888"/>
      <c r="DTN32" s="1882"/>
      <c r="DTO32" s="1882"/>
      <c r="DTP32" s="1882"/>
      <c r="DTR32" s="1887"/>
      <c r="DTS32" s="1888"/>
      <c r="DTT32" s="1882"/>
      <c r="DTU32" s="1882"/>
      <c r="DTV32" s="1882"/>
      <c r="DTX32" s="1887"/>
      <c r="DTY32" s="1888"/>
      <c r="DTZ32" s="1882"/>
      <c r="DUA32" s="1882"/>
      <c r="DUB32" s="1882"/>
      <c r="DUD32" s="1887"/>
      <c r="DUE32" s="1888"/>
      <c r="DUF32" s="1882"/>
      <c r="DUG32" s="1882"/>
      <c r="DUH32" s="1882"/>
      <c r="DUJ32" s="1887"/>
      <c r="DUK32" s="1888"/>
      <c r="DUL32" s="1882"/>
      <c r="DUM32" s="1882"/>
      <c r="DUN32" s="1882"/>
      <c r="DUP32" s="1887"/>
      <c r="DUQ32" s="1888"/>
      <c r="DUR32" s="1882"/>
      <c r="DUS32" s="1882"/>
      <c r="DUT32" s="1882"/>
      <c r="DUV32" s="1887"/>
      <c r="DUW32" s="1888"/>
      <c r="DUX32" s="1882"/>
      <c r="DUY32" s="1882"/>
      <c r="DUZ32" s="1882"/>
      <c r="DVB32" s="1887"/>
      <c r="DVC32" s="1888"/>
      <c r="DVD32" s="1882"/>
      <c r="DVE32" s="1882"/>
      <c r="DVF32" s="1882"/>
      <c r="DVH32" s="1887"/>
      <c r="DVI32" s="1888"/>
      <c r="DVJ32" s="1882"/>
      <c r="DVK32" s="1882"/>
      <c r="DVL32" s="1882"/>
      <c r="DVN32" s="1887"/>
      <c r="DVO32" s="1888"/>
      <c r="DVP32" s="1882"/>
      <c r="DVQ32" s="1882"/>
      <c r="DVR32" s="1882"/>
      <c r="DVT32" s="1887"/>
      <c r="DVU32" s="1888"/>
      <c r="DVV32" s="1882"/>
      <c r="DVW32" s="1882"/>
      <c r="DVX32" s="1882"/>
      <c r="DVZ32" s="1887"/>
      <c r="DWA32" s="1888"/>
      <c r="DWB32" s="1882"/>
      <c r="DWC32" s="1882"/>
      <c r="DWD32" s="1882"/>
      <c r="DWF32" s="1887"/>
      <c r="DWG32" s="1888"/>
      <c r="DWH32" s="1882"/>
      <c r="DWI32" s="1882"/>
      <c r="DWJ32" s="1882"/>
      <c r="DWL32" s="1887"/>
      <c r="DWM32" s="1888"/>
      <c r="DWN32" s="1882"/>
      <c r="DWO32" s="1882"/>
      <c r="DWP32" s="1882"/>
      <c r="DWR32" s="1887"/>
      <c r="DWS32" s="1888"/>
      <c r="DWT32" s="1882"/>
      <c r="DWU32" s="1882"/>
      <c r="DWV32" s="1882"/>
      <c r="DWX32" s="1887"/>
      <c r="DWY32" s="1888"/>
      <c r="DWZ32" s="1882"/>
      <c r="DXA32" s="1882"/>
      <c r="DXB32" s="1882"/>
      <c r="DXD32" s="1887"/>
      <c r="DXE32" s="1888"/>
      <c r="DXF32" s="1882"/>
      <c r="DXG32" s="1882"/>
      <c r="DXH32" s="1882"/>
      <c r="DXJ32" s="1887"/>
      <c r="DXK32" s="1888"/>
      <c r="DXL32" s="1882"/>
      <c r="DXM32" s="1882"/>
      <c r="DXN32" s="1882"/>
      <c r="DXP32" s="1887"/>
      <c r="DXQ32" s="1888"/>
      <c r="DXR32" s="1882"/>
      <c r="DXS32" s="1882"/>
      <c r="DXT32" s="1882"/>
      <c r="DXV32" s="1887"/>
      <c r="DXW32" s="1888"/>
      <c r="DXX32" s="1882"/>
      <c r="DXY32" s="1882"/>
      <c r="DXZ32" s="1882"/>
      <c r="DYB32" s="1887"/>
      <c r="DYC32" s="1888"/>
      <c r="DYD32" s="1882"/>
      <c r="DYE32" s="1882"/>
      <c r="DYF32" s="1882"/>
      <c r="DYH32" s="1887"/>
      <c r="DYI32" s="1888"/>
      <c r="DYJ32" s="1882"/>
      <c r="DYK32" s="1882"/>
      <c r="DYL32" s="1882"/>
      <c r="DYN32" s="1887"/>
      <c r="DYO32" s="1888"/>
      <c r="DYP32" s="1882"/>
      <c r="DYQ32" s="1882"/>
      <c r="DYR32" s="1882"/>
      <c r="DYT32" s="1887"/>
      <c r="DYU32" s="1888"/>
      <c r="DYV32" s="1882"/>
      <c r="DYW32" s="1882"/>
      <c r="DYX32" s="1882"/>
      <c r="DYZ32" s="1887"/>
      <c r="DZA32" s="1888"/>
      <c r="DZB32" s="1882"/>
      <c r="DZC32" s="1882"/>
      <c r="DZD32" s="1882"/>
      <c r="DZF32" s="1887"/>
      <c r="DZG32" s="1888"/>
      <c r="DZH32" s="1882"/>
      <c r="DZI32" s="1882"/>
      <c r="DZJ32" s="1882"/>
      <c r="DZL32" s="1887"/>
      <c r="DZM32" s="1888"/>
      <c r="DZN32" s="1882"/>
      <c r="DZO32" s="1882"/>
      <c r="DZP32" s="1882"/>
      <c r="DZR32" s="1887"/>
      <c r="DZS32" s="1888"/>
      <c r="DZT32" s="1882"/>
      <c r="DZU32" s="1882"/>
      <c r="DZV32" s="1882"/>
      <c r="DZX32" s="1887"/>
      <c r="DZY32" s="1888"/>
      <c r="DZZ32" s="1882"/>
      <c r="EAA32" s="1882"/>
      <c r="EAB32" s="1882"/>
      <c r="EAD32" s="1887"/>
      <c r="EAE32" s="1888"/>
      <c r="EAF32" s="1882"/>
      <c r="EAG32" s="1882"/>
      <c r="EAH32" s="1882"/>
      <c r="EAJ32" s="1887"/>
      <c r="EAK32" s="1888"/>
      <c r="EAL32" s="1882"/>
      <c r="EAM32" s="1882"/>
      <c r="EAN32" s="1882"/>
      <c r="EAP32" s="1887"/>
      <c r="EAQ32" s="1888"/>
      <c r="EAR32" s="1882"/>
      <c r="EAS32" s="1882"/>
      <c r="EAT32" s="1882"/>
      <c r="EAV32" s="1887"/>
      <c r="EAW32" s="1888"/>
      <c r="EAX32" s="1882"/>
      <c r="EAY32" s="1882"/>
      <c r="EAZ32" s="1882"/>
      <c r="EBB32" s="1887"/>
      <c r="EBC32" s="1888"/>
      <c r="EBD32" s="1882"/>
      <c r="EBE32" s="1882"/>
      <c r="EBF32" s="1882"/>
      <c r="EBH32" s="1887"/>
      <c r="EBI32" s="1888"/>
      <c r="EBJ32" s="1882"/>
      <c r="EBK32" s="1882"/>
      <c r="EBL32" s="1882"/>
      <c r="EBN32" s="1887"/>
      <c r="EBO32" s="1888"/>
      <c r="EBP32" s="1882"/>
      <c r="EBQ32" s="1882"/>
      <c r="EBR32" s="1882"/>
      <c r="EBT32" s="1887"/>
      <c r="EBU32" s="1888"/>
      <c r="EBV32" s="1882"/>
      <c r="EBW32" s="1882"/>
      <c r="EBX32" s="1882"/>
      <c r="EBZ32" s="1887"/>
      <c r="ECA32" s="1888"/>
      <c r="ECB32" s="1882"/>
      <c r="ECC32" s="1882"/>
      <c r="ECD32" s="1882"/>
      <c r="ECF32" s="1887"/>
      <c r="ECG32" s="1888"/>
      <c r="ECH32" s="1882"/>
      <c r="ECI32" s="1882"/>
      <c r="ECJ32" s="1882"/>
      <c r="ECL32" s="1887"/>
      <c r="ECM32" s="1888"/>
      <c r="ECN32" s="1882"/>
      <c r="ECO32" s="1882"/>
      <c r="ECP32" s="1882"/>
      <c r="ECR32" s="1887"/>
      <c r="ECS32" s="1888"/>
      <c r="ECT32" s="1882"/>
      <c r="ECU32" s="1882"/>
      <c r="ECV32" s="1882"/>
      <c r="ECX32" s="1887"/>
      <c r="ECY32" s="1888"/>
      <c r="ECZ32" s="1882"/>
      <c r="EDA32" s="1882"/>
      <c r="EDB32" s="1882"/>
      <c r="EDD32" s="1887"/>
      <c r="EDE32" s="1888"/>
      <c r="EDF32" s="1882"/>
      <c r="EDG32" s="1882"/>
      <c r="EDH32" s="1882"/>
      <c r="EDJ32" s="1887"/>
      <c r="EDK32" s="1888"/>
      <c r="EDL32" s="1882"/>
      <c r="EDM32" s="1882"/>
      <c r="EDN32" s="1882"/>
      <c r="EDP32" s="1887"/>
      <c r="EDQ32" s="1888"/>
      <c r="EDR32" s="1882"/>
      <c r="EDS32" s="1882"/>
      <c r="EDT32" s="1882"/>
      <c r="EDV32" s="1887"/>
      <c r="EDW32" s="1888"/>
      <c r="EDX32" s="1882"/>
      <c r="EDY32" s="1882"/>
      <c r="EDZ32" s="1882"/>
      <c r="EEB32" s="1887"/>
      <c r="EEC32" s="1888"/>
      <c r="EED32" s="1882"/>
      <c r="EEE32" s="1882"/>
      <c r="EEF32" s="1882"/>
      <c r="EEH32" s="1887"/>
      <c r="EEI32" s="1888"/>
      <c r="EEJ32" s="1882"/>
      <c r="EEK32" s="1882"/>
      <c r="EEL32" s="1882"/>
      <c r="EEN32" s="1887"/>
      <c r="EEO32" s="1888"/>
      <c r="EEP32" s="1882"/>
      <c r="EEQ32" s="1882"/>
      <c r="EER32" s="1882"/>
      <c r="EET32" s="1887"/>
      <c r="EEU32" s="1888"/>
      <c r="EEV32" s="1882"/>
      <c r="EEW32" s="1882"/>
      <c r="EEX32" s="1882"/>
      <c r="EEZ32" s="1887"/>
      <c r="EFA32" s="1888"/>
      <c r="EFB32" s="1882"/>
      <c r="EFC32" s="1882"/>
      <c r="EFD32" s="1882"/>
      <c r="EFF32" s="1887"/>
      <c r="EFG32" s="1888"/>
      <c r="EFH32" s="1882"/>
      <c r="EFI32" s="1882"/>
      <c r="EFJ32" s="1882"/>
      <c r="EFL32" s="1887"/>
      <c r="EFM32" s="1888"/>
      <c r="EFN32" s="1882"/>
      <c r="EFO32" s="1882"/>
      <c r="EFP32" s="1882"/>
      <c r="EFR32" s="1887"/>
      <c r="EFS32" s="1888"/>
      <c r="EFT32" s="1882"/>
      <c r="EFU32" s="1882"/>
      <c r="EFV32" s="1882"/>
      <c r="EFX32" s="1887"/>
      <c r="EFY32" s="1888"/>
      <c r="EFZ32" s="1882"/>
      <c r="EGA32" s="1882"/>
      <c r="EGB32" s="1882"/>
      <c r="EGD32" s="1887"/>
      <c r="EGE32" s="1888"/>
      <c r="EGF32" s="1882"/>
      <c r="EGG32" s="1882"/>
      <c r="EGH32" s="1882"/>
      <c r="EGJ32" s="1887"/>
      <c r="EGK32" s="1888"/>
      <c r="EGL32" s="1882"/>
      <c r="EGM32" s="1882"/>
      <c r="EGN32" s="1882"/>
      <c r="EGP32" s="1887"/>
      <c r="EGQ32" s="1888"/>
      <c r="EGR32" s="1882"/>
      <c r="EGS32" s="1882"/>
      <c r="EGT32" s="1882"/>
      <c r="EGV32" s="1887"/>
      <c r="EGW32" s="1888"/>
      <c r="EGX32" s="1882"/>
      <c r="EGY32" s="1882"/>
      <c r="EGZ32" s="1882"/>
      <c r="EHB32" s="1887"/>
      <c r="EHC32" s="1888"/>
      <c r="EHD32" s="1882"/>
      <c r="EHE32" s="1882"/>
      <c r="EHF32" s="1882"/>
      <c r="EHH32" s="1887"/>
      <c r="EHI32" s="1888"/>
      <c r="EHJ32" s="1882"/>
      <c r="EHK32" s="1882"/>
      <c r="EHL32" s="1882"/>
      <c r="EHN32" s="1887"/>
      <c r="EHO32" s="1888"/>
      <c r="EHP32" s="1882"/>
      <c r="EHQ32" s="1882"/>
      <c r="EHR32" s="1882"/>
      <c r="EHT32" s="1887"/>
      <c r="EHU32" s="1888"/>
      <c r="EHV32" s="1882"/>
      <c r="EHW32" s="1882"/>
      <c r="EHX32" s="1882"/>
      <c r="EHZ32" s="1887"/>
      <c r="EIA32" s="1888"/>
      <c r="EIB32" s="1882"/>
      <c r="EIC32" s="1882"/>
      <c r="EID32" s="1882"/>
      <c r="EIF32" s="1887"/>
      <c r="EIG32" s="1888"/>
      <c r="EIH32" s="1882"/>
      <c r="EII32" s="1882"/>
      <c r="EIJ32" s="1882"/>
      <c r="EIL32" s="1887"/>
      <c r="EIM32" s="1888"/>
      <c r="EIN32" s="1882"/>
      <c r="EIO32" s="1882"/>
      <c r="EIP32" s="1882"/>
      <c r="EIR32" s="1887"/>
      <c r="EIS32" s="1888"/>
      <c r="EIT32" s="1882"/>
      <c r="EIU32" s="1882"/>
      <c r="EIV32" s="1882"/>
      <c r="EIX32" s="1887"/>
      <c r="EIY32" s="1888"/>
      <c r="EIZ32" s="1882"/>
      <c r="EJA32" s="1882"/>
      <c r="EJB32" s="1882"/>
      <c r="EJD32" s="1887"/>
      <c r="EJE32" s="1888"/>
      <c r="EJF32" s="1882"/>
      <c r="EJG32" s="1882"/>
      <c r="EJH32" s="1882"/>
      <c r="EJJ32" s="1887"/>
      <c r="EJK32" s="1888"/>
      <c r="EJL32" s="1882"/>
      <c r="EJM32" s="1882"/>
      <c r="EJN32" s="1882"/>
      <c r="EJP32" s="1887"/>
      <c r="EJQ32" s="1888"/>
      <c r="EJR32" s="1882"/>
      <c r="EJS32" s="1882"/>
      <c r="EJT32" s="1882"/>
      <c r="EJV32" s="1887"/>
      <c r="EJW32" s="1888"/>
      <c r="EJX32" s="1882"/>
      <c r="EJY32" s="1882"/>
      <c r="EJZ32" s="1882"/>
      <c r="EKB32" s="1887"/>
      <c r="EKC32" s="1888"/>
      <c r="EKD32" s="1882"/>
      <c r="EKE32" s="1882"/>
      <c r="EKF32" s="1882"/>
      <c r="EKH32" s="1887"/>
      <c r="EKI32" s="1888"/>
      <c r="EKJ32" s="1882"/>
      <c r="EKK32" s="1882"/>
      <c r="EKL32" s="1882"/>
      <c r="EKN32" s="1887"/>
      <c r="EKO32" s="1888"/>
      <c r="EKP32" s="1882"/>
      <c r="EKQ32" s="1882"/>
      <c r="EKR32" s="1882"/>
      <c r="EKT32" s="1887"/>
      <c r="EKU32" s="1888"/>
      <c r="EKV32" s="1882"/>
      <c r="EKW32" s="1882"/>
      <c r="EKX32" s="1882"/>
      <c r="EKZ32" s="1887"/>
      <c r="ELA32" s="1888"/>
      <c r="ELB32" s="1882"/>
      <c r="ELC32" s="1882"/>
      <c r="ELD32" s="1882"/>
      <c r="ELF32" s="1887"/>
      <c r="ELG32" s="1888"/>
      <c r="ELH32" s="1882"/>
      <c r="ELI32" s="1882"/>
      <c r="ELJ32" s="1882"/>
      <c r="ELL32" s="1887"/>
      <c r="ELM32" s="1888"/>
      <c r="ELN32" s="1882"/>
      <c r="ELO32" s="1882"/>
      <c r="ELP32" s="1882"/>
      <c r="ELR32" s="1887"/>
      <c r="ELS32" s="1888"/>
      <c r="ELT32" s="1882"/>
      <c r="ELU32" s="1882"/>
      <c r="ELV32" s="1882"/>
      <c r="ELX32" s="1887"/>
      <c r="ELY32" s="1888"/>
      <c r="ELZ32" s="1882"/>
      <c r="EMA32" s="1882"/>
      <c r="EMB32" s="1882"/>
      <c r="EMD32" s="1887"/>
      <c r="EME32" s="1888"/>
      <c r="EMF32" s="1882"/>
      <c r="EMG32" s="1882"/>
      <c r="EMH32" s="1882"/>
      <c r="EMJ32" s="1887"/>
      <c r="EMK32" s="1888"/>
      <c r="EML32" s="1882"/>
      <c r="EMM32" s="1882"/>
      <c r="EMN32" s="1882"/>
      <c r="EMP32" s="1887"/>
      <c r="EMQ32" s="1888"/>
      <c r="EMR32" s="1882"/>
      <c r="EMS32" s="1882"/>
      <c r="EMT32" s="1882"/>
      <c r="EMV32" s="1887"/>
      <c r="EMW32" s="1888"/>
      <c r="EMX32" s="1882"/>
      <c r="EMY32" s="1882"/>
      <c r="EMZ32" s="1882"/>
      <c r="ENB32" s="1887"/>
      <c r="ENC32" s="1888"/>
      <c r="END32" s="1882"/>
      <c r="ENE32" s="1882"/>
      <c r="ENF32" s="1882"/>
      <c r="ENH32" s="1887"/>
      <c r="ENI32" s="1888"/>
      <c r="ENJ32" s="1882"/>
      <c r="ENK32" s="1882"/>
      <c r="ENL32" s="1882"/>
      <c r="ENN32" s="1887"/>
      <c r="ENO32" s="1888"/>
      <c r="ENP32" s="1882"/>
      <c r="ENQ32" s="1882"/>
      <c r="ENR32" s="1882"/>
      <c r="ENT32" s="1887"/>
      <c r="ENU32" s="1888"/>
      <c r="ENV32" s="1882"/>
      <c r="ENW32" s="1882"/>
      <c r="ENX32" s="1882"/>
      <c r="ENZ32" s="1887"/>
      <c r="EOA32" s="1888"/>
      <c r="EOB32" s="1882"/>
      <c r="EOC32" s="1882"/>
      <c r="EOD32" s="1882"/>
      <c r="EOF32" s="1887"/>
      <c r="EOG32" s="1888"/>
      <c r="EOH32" s="1882"/>
      <c r="EOI32" s="1882"/>
      <c r="EOJ32" s="1882"/>
      <c r="EOL32" s="1887"/>
      <c r="EOM32" s="1888"/>
      <c r="EON32" s="1882"/>
      <c r="EOO32" s="1882"/>
      <c r="EOP32" s="1882"/>
      <c r="EOR32" s="1887"/>
      <c r="EOS32" s="1888"/>
      <c r="EOT32" s="1882"/>
      <c r="EOU32" s="1882"/>
      <c r="EOV32" s="1882"/>
      <c r="EOX32" s="1887"/>
      <c r="EOY32" s="1888"/>
      <c r="EOZ32" s="1882"/>
      <c r="EPA32" s="1882"/>
      <c r="EPB32" s="1882"/>
      <c r="EPD32" s="1887"/>
      <c r="EPE32" s="1888"/>
      <c r="EPF32" s="1882"/>
      <c r="EPG32" s="1882"/>
      <c r="EPH32" s="1882"/>
      <c r="EPJ32" s="1887"/>
      <c r="EPK32" s="1888"/>
      <c r="EPL32" s="1882"/>
      <c r="EPM32" s="1882"/>
      <c r="EPN32" s="1882"/>
      <c r="EPP32" s="1887"/>
      <c r="EPQ32" s="1888"/>
      <c r="EPR32" s="1882"/>
      <c r="EPS32" s="1882"/>
      <c r="EPT32" s="1882"/>
      <c r="EPV32" s="1887"/>
      <c r="EPW32" s="1888"/>
      <c r="EPX32" s="1882"/>
      <c r="EPY32" s="1882"/>
      <c r="EPZ32" s="1882"/>
      <c r="EQB32" s="1887"/>
      <c r="EQC32" s="1888"/>
      <c r="EQD32" s="1882"/>
      <c r="EQE32" s="1882"/>
      <c r="EQF32" s="1882"/>
      <c r="EQH32" s="1887"/>
      <c r="EQI32" s="1888"/>
      <c r="EQJ32" s="1882"/>
      <c r="EQK32" s="1882"/>
      <c r="EQL32" s="1882"/>
      <c r="EQN32" s="1887"/>
      <c r="EQO32" s="1888"/>
      <c r="EQP32" s="1882"/>
      <c r="EQQ32" s="1882"/>
      <c r="EQR32" s="1882"/>
      <c r="EQT32" s="1887"/>
      <c r="EQU32" s="1888"/>
      <c r="EQV32" s="1882"/>
      <c r="EQW32" s="1882"/>
      <c r="EQX32" s="1882"/>
      <c r="EQZ32" s="1887"/>
      <c r="ERA32" s="1888"/>
      <c r="ERB32" s="1882"/>
      <c r="ERC32" s="1882"/>
      <c r="ERD32" s="1882"/>
      <c r="ERF32" s="1887"/>
      <c r="ERG32" s="1888"/>
      <c r="ERH32" s="1882"/>
      <c r="ERI32" s="1882"/>
      <c r="ERJ32" s="1882"/>
      <c r="ERL32" s="1887"/>
      <c r="ERM32" s="1888"/>
      <c r="ERN32" s="1882"/>
      <c r="ERO32" s="1882"/>
      <c r="ERP32" s="1882"/>
      <c r="ERR32" s="1887"/>
      <c r="ERS32" s="1888"/>
      <c r="ERT32" s="1882"/>
      <c r="ERU32" s="1882"/>
      <c r="ERV32" s="1882"/>
      <c r="ERX32" s="1887"/>
      <c r="ERY32" s="1888"/>
      <c r="ERZ32" s="1882"/>
      <c r="ESA32" s="1882"/>
      <c r="ESB32" s="1882"/>
      <c r="ESD32" s="1887"/>
      <c r="ESE32" s="1888"/>
      <c r="ESF32" s="1882"/>
      <c r="ESG32" s="1882"/>
      <c r="ESH32" s="1882"/>
      <c r="ESJ32" s="1887"/>
      <c r="ESK32" s="1888"/>
      <c r="ESL32" s="1882"/>
      <c r="ESM32" s="1882"/>
      <c r="ESN32" s="1882"/>
      <c r="ESP32" s="1887"/>
      <c r="ESQ32" s="1888"/>
      <c r="ESR32" s="1882"/>
      <c r="ESS32" s="1882"/>
      <c r="EST32" s="1882"/>
      <c r="ESV32" s="1887"/>
      <c r="ESW32" s="1888"/>
      <c r="ESX32" s="1882"/>
      <c r="ESY32" s="1882"/>
      <c r="ESZ32" s="1882"/>
      <c r="ETB32" s="1887"/>
      <c r="ETC32" s="1888"/>
      <c r="ETD32" s="1882"/>
      <c r="ETE32" s="1882"/>
      <c r="ETF32" s="1882"/>
      <c r="ETH32" s="1887"/>
      <c r="ETI32" s="1888"/>
      <c r="ETJ32" s="1882"/>
      <c r="ETK32" s="1882"/>
      <c r="ETL32" s="1882"/>
      <c r="ETN32" s="1887"/>
      <c r="ETO32" s="1888"/>
      <c r="ETP32" s="1882"/>
      <c r="ETQ32" s="1882"/>
      <c r="ETR32" s="1882"/>
      <c r="ETT32" s="1887"/>
      <c r="ETU32" s="1888"/>
      <c r="ETV32" s="1882"/>
      <c r="ETW32" s="1882"/>
      <c r="ETX32" s="1882"/>
      <c r="ETZ32" s="1887"/>
      <c r="EUA32" s="1888"/>
      <c r="EUB32" s="1882"/>
      <c r="EUC32" s="1882"/>
      <c r="EUD32" s="1882"/>
      <c r="EUF32" s="1887"/>
      <c r="EUG32" s="1888"/>
      <c r="EUH32" s="1882"/>
      <c r="EUI32" s="1882"/>
      <c r="EUJ32" s="1882"/>
      <c r="EUL32" s="1887"/>
      <c r="EUM32" s="1888"/>
      <c r="EUN32" s="1882"/>
      <c r="EUO32" s="1882"/>
      <c r="EUP32" s="1882"/>
      <c r="EUR32" s="1887"/>
      <c r="EUS32" s="1888"/>
      <c r="EUT32" s="1882"/>
      <c r="EUU32" s="1882"/>
      <c r="EUV32" s="1882"/>
      <c r="EUX32" s="1887"/>
      <c r="EUY32" s="1888"/>
      <c r="EUZ32" s="1882"/>
      <c r="EVA32" s="1882"/>
      <c r="EVB32" s="1882"/>
      <c r="EVD32" s="1887"/>
      <c r="EVE32" s="1888"/>
      <c r="EVF32" s="1882"/>
      <c r="EVG32" s="1882"/>
      <c r="EVH32" s="1882"/>
      <c r="EVJ32" s="1887"/>
      <c r="EVK32" s="1888"/>
      <c r="EVL32" s="1882"/>
      <c r="EVM32" s="1882"/>
      <c r="EVN32" s="1882"/>
      <c r="EVP32" s="1887"/>
      <c r="EVQ32" s="1888"/>
      <c r="EVR32" s="1882"/>
      <c r="EVS32" s="1882"/>
      <c r="EVT32" s="1882"/>
      <c r="EVV32" s="1887"/>
      <c r="EVW32" s="1888"/>
      <c r="EVX32" s="1882"/>
      <c r="EVY32" s="1882"/>
      <c r="EVZ32" s="1882"/>
      <c r="EWB32" s="1887"/>
      <c r="EWC32" s="1888"/>
      <c r="EWD32" s="1882"/>
      <c r="EWE32" s="1882"/>
      <c r="EWF32" s="1882"/>
      <c r="EWH32" s="1887"/>
      <c r="EWI32" s="1888"/>
      <c r="EWJ32" s="1882"/>
      <c r="EWK32" s="1882"/>
      <c r="EWL32" s="1882"/>
      <c r="EWN32" s="1887"/>
      <c r="EWO32" s="1888"/>
      <c r="EWP32" s="1882"/>
      <c r="EWQ32" s="1882"/>
      <c r="EWR32" s="1882"/>
      <c r="EWT32" s="1887"/>
      <c r="EWU32" s="1888"/>
      <c r="EWV32" s="1882"/>
      <c r="EWW32" s="1882"/>
      <c r="EWX32" s="1882"/>
      <c r="EWZ32" s="1887"/>
      <c r="EXA32" s="1888"/>
      <c r="EXB32" s="1882"/>
      <c r="EXC32" s="1882"/>
      <c r="EXD32" s="1882"/>
      <c r="EXF32" s="1887"/>
      <c r="EXG32" s="1888"/>
      <c r="EXH32" s="1882"/>
      <c r="EXI32" s="1882"/>
      <c r="EXJ32" s="1882"/>
      <c r="EXL32" s="1887"/>
      <c r="EXM32" s="1888"/>
      <c r="EXN32" s="1882"/>
      <c r="EXO32" s="1882"/>
      <c r="EXP32" s="1882"/>
      <c r="EXR32" s="1887"/>
      <c r="EXS32" s="1888"/>
      <c r="EXT32" s="1882"/>
      <c r="EXU32" s="1882"/>
      <c r="EXV32" s="1882"/>
      <c r="EXX32" s="1887"/>
      <c r="EXY32" s="1888"/>
      <c r="EXZ32" s="1882"/>
      <c r="EYA32" s="1882"/>
      <c r="EYB32" s="1882"/>
      <c r="EYD32" s="1887"/>
      <c r="EYE32" s="1888"/>
      <c r="EYF32" s="1882"/>
      <c r="EYG32" s="1882"/>
      <c r="EYH32" s="1882"/>
      <c r="EYJ32" s="1887"/>
      <c r="EYK32" s="1888"/>
      <c r="EYL32" s="1882"/>
      <c r="EYM32" s="1882"/>
      <c r="EYN32" s="1882"/>
      <c r="EYP32" s="1887"/>
      <c r="EYQ32" s="1888"/>
      <c r="EYR32" s="1882"/>
      <c r="EYS32" s="1882"/>
      <c r="EYT32" s="1882"/>
      <c r="EYV32" s="1887"/>
      <c r="EYW32" s="1888"/>
      <c r="EYX32" s="1882"/>
      <c r="EYY32" s="1882"/>
      <c r="EYZ32" s="1882"/>
      <c r="EZB32" s="1887"/>
      <c r="EZC32" s="1888"/>
      <c r="EZD32" s="1882"/>
      <c r="EZE32" s="1882"/>
      <c r="EZF32" s="1882"/>
      <c r="EZH32" s="1887"/>
      <c r="EZI32" s="1888"/>
      <c r="EZJ32" s="1882"/>
      <c r="EZK32" s="1882"/>
      <c r="EZL32" s="1882"/>
      <c r="EZN32" s="1887"/>
      <c r="EZO32" s="1888"/>
      <c r="EZP32" s="1882"/>
      <c r="EZQ32" s="1882"/>
      <c r="EZR32" s="1882"/>
      <c r="EZT32" s="1887"/>
      <c r="EZU32" s="1888"/>
      <c r="EZV32" s="1882"/>
      <c r="EZW32" s="1882"/>
      <c r="EZX32" s="1882"/>
      <c r="EZZ32" s="1887"/>
      <c r="FAA32" s="1888"/>
      <c r="FAB32" s="1882"/>
      <c r="FAC32" s="1882"/>
      <c r="FAD32" s="1882"/>
      <c r="FAF32" s="1887"/>
      <c r="FAG32" s="1888"/>
      <c r="FAH32" s="1882"/>
      <c r="FAI32" s="1882"/>
      <c r="FAJ32" s="1882"/>
      <c r="FAL32" s="1887"/>
      <c r="FAM32" s="1888"/>
      <c r="FAN32" s="1882"/>
      <c r="FAO32" s="1882"/>
      <c r="FAP32" s="1882"/>
      <c r="FAR32" s="1887"/>
      <c r="FAS32" s="1888"/>
      <c r="FAT32" s="1882"/>
      <c r="FAU32" s="1882"/>
      <c r="FAV32" s="1882"/>
      <c r="FAX32" s="1887"/>
      <c r="FAY32" s="1888"/>
      <c r="FAZ32" s="1882"/>
      <c r="FBA32" s="1882"/>
      <c r="FBB32" s="1882"/>
      <c r="FBD32" s="1887"/>
      <c r="FBE32" s="1888"/>
      <c r="FBF32" s="1882"/>
      <c r="FBG32" s="1882"/>
      <c r="FBH32" s="1882"/>
      <c r="FBJ32" s="1887"/>
      <c r="FBK32" s="1888"/>
      <c r="FBL32" s="1882"/>
      <c r="FBM32" s="1882"/>
      <c r="FBN32" s="1882"/>
      <c r="FBP32" s="1887"/>
      <c r="FBQ32" s="1888"/>
      <c r="FBR32" s="1882"/>
      <c r="FBS32" s="1882"/>
      <c r="FBT32" s="1882"/>
      <c r="FBV32" s="1887"/>
      <c r="FBW32" s="1888"/>
      <c r="FBX32" s="1882"/>
      <c r="FBY32" s="1882"/>
      <c r="FBZ32" s="1882"/>
      <c r="FCB32" s="1887"/>
      <c r="FCC32" s="1888"/>
      <c r="FCD32" s="1882"/>
      <c r="FCE32" s="1882"/>
      <c r="FCF32" s="1882"/>
      <c r="FCH32" s="1887"/>
      <c r="FCI32" s="1888"/>
      <c r="FCJ32" s="1882"/>
      <c r="FCK32" s="1882"/>
      <c r="FCL32" s="1882"/>
      <c r="FCN32" s="1887"/>
      <c r="FCO32" s="1888"/>
      <c r="FCP32" s="1882"/>
      <c r="FCQ32" s="1882"/>
      <c r="FCR32" s="1882"/>
      <c r="FCT32" s="1887"/>
      <c r="FCU32" s="1888"/>
      <c r="FCV32" s="1882"/>
      <c r="FCW32" s="1882"/>
      <c r="FCX32" s="1882"/>
      <c r="FCZ32" s="1887"/>
      <c r="FDA32" s="1888"/>
      <c r="FDB32" s="1882"/>
      <c r="FDC32" s="1882"/>
      <c r="FDD32" s="1882"/>
      <c r="FDF32" s="1887"/>
      <c r="FDG32" s="1888"/>
      <c r="FDH32" s="1882"/>
      <c r="FDI32" s="1882"/>
      <c r="FDJ32" s="1882"/>
      <c r="FDL32" s="1887"/>
      <c r="FDM32" s="1888"/>
      <c r="FDN32" s="1882"/>
      <c r="FDO32" s="1882"/>
      <c r="FDP32" s="1882"/>
      <c r="FDR32" s="1887"/>
      <c r="FDS32" s="1888"/>
      <c r="FDT32" s="1882"/>
      <c r="FDU32" s="1882"/>
      <c r="FDV32" s="1882"/>
      <c r="FDX32" s="1887"/>
      <c r="FDY32" s="1888"/>
      <c r="FDZ32" s="1882"/>
      <c r="FEA32" s="1882"/>
      <c r="FEB32" s="1882"/>
      <c r="FED32" s="1887"/>
      <c r="FEE32" s="1888"/>
      <c r="FEF32" s="1882"/>
      <c r="FEG32" s="1882"/>
      <c r="FEH32" s="1882"/>
      <c r="FEJ32" s="1887"/>
      <c r="FEK32" s="1888"/>
      <c r="FEL32" s="1882"/>
      <c r="FEM32" s="1882"/>
      <c r="FEN32" s="1882"/>
      <c r="FEP32" s="1887"/>
      <c r="FEQ32" s="1888"/>
      <c r="FER32" s="1882"/>
      <c r="FES32" s="1882"/>
      <c r="FET32" s="1882"/>
      <c r="FEV32" s="1887"/>
      <c r="FEW32" s="1888"/>
      <c r="FEX32" s="1882"/>
      <c r="FEY32" s="1882"/>
      <c r="FEZ32" s="1882"/>
      <c r="FFB32" s="1887"/>
      <c r="FFC32" s="1888"/>
      <c r="FFD32" s="1882"/>
      <c r="FFE32" s="1882"/>
      <c r="FFF32" s="1882"/>
      <c r="FFH32" s="1887"/>
      <c r="FFI32" s="1888"/>
      <c r="FFJ32" s="1882"/>
      <c r="FFK32" s="1882"/>
      <c r="FFL32" s="1882"/>
      <c r="FFN32" s="1887"/>
      <c r="FFO32" s="1888"/>
      <c r="FFP32" s="1882"/>
      <c r="FFQ32" s="1882"/>
      <c r="FFR32" s="1882"/>
      <c r="FFT32" s="1887"/>
      <c r="FFU32" s="1888"/>
      <c r="FFV32" s="1882"/>
      <c r="FFW32" s="1882"/>
      <c r="FFX32" s="1882"/>
      <c r="FFZ32" s="1887"/>
      <c r="FGA32" s="1888"/>
      <c r="FGB32" s="1882"/>
      <c r="FGC32" s="1882"/>
      <c r="FGD32" s="1882"/>
      <c r="FGF32" s="1887"/>
      <c r="FGG32" s="1888"/>
      <c r="FGH32" s="1882"/>
      <c r="FGI32" s="1882"/>
      <c r="FGJ32" s="1882"/>
      <c r="FGL32" s="1887"/>
      <c r="FGM32" s="1888"/>
      <c r="FGN32" s="1882"/>
      <c r="FGO32" s="1882"/>
      <c r="FGP32" s="1882"/>
      <c r="FGR32" s="1887"/>
      <c r="FGS32" s="1888"/>
      <c r="FGT32" s="1882"/>
      <c r="FGU32" s="1882"/>
      <c r="FGV32" s="1882"/>
      <c r="FGX32" s="1887"/>
      <c r="FGY32" s="1888"/>
      <c r="FGZ32" s="1882"/>
      <c r="FHA32" s="1882"/>
      <c r="FHB32" s="1882"/>
      <c r="FHD32" s="1887"/>
      <c r="FHE32" s="1888"/>
      <c r="FHF32" s="1882"/>
      <c r="FHG32" s="1882"/>
      <c r="FHH32" s="1882"/>
      <c r="FHJ32" s="1887"/>
      <c r="FHK32" s="1888"/>
      <c r="FHL32" s="1882"/>
      <c r="FHM32" s="1882"/>
      <c r="FHN32" s="1882"/>
      <c r="FHP32" s="1887"/>
      <c r="FHQ32" s="1888"/>
      <c r="FHR32" s="1882"/>
      <c r="FHS32" s="1882"/>
      <c r="FHT32" s="1882"/>
      <c r="FHV32" s="1887"/>
      <c r="FHW32" s="1888"/>
      <c r="FHX32" s="1882"/>
      <c r="FHY32" s="1882"/>
      <c r="FHZ32" s="1882"/>
      <c r="FIB32" s="1887"/>
      <c r="FIC32" s="1888"/>
      <c r="FID32" s="1882"/>
      <c r="FIE32" s="1882"/>
      <c r="FIF32" s="1882"/>
      <c r="FIH32" s="1887"/>
      <c r="FII32" s="1888"/>
      <c r="FIJ32" s="1882"/>
      <c r="FIK32" s="1882"/>
      <c r="FIL32" s="1882"/>
      <c r="FIN32" s="1887"/>
      <c r="FIO32" s="1888"/>
      <c r="FIP32" s="1882"/>
      <c r="FIQ32" s="1882"/>
      <c r="FIR32" s="1882"/>
      <c r="FIT32" s="1887"/>
      <c r="FIU32" s="1888"/>
      <c r="FIV32" s="1882"/>
      <c r="FIW32" s="1882"/>
      <c r="FIX32" s="1882"/>
      <c r="FIZ32" s="1887"/>
      <c r="FJA32" s="1888"/>
      <c r="FJB32" s="1882"/>
      <c r="FJC32" s="1882"/>
      <c r="FJD32" s="1882"/>
      <c r="FJF32" s="1887"/>
      <c r="FJG32" s="1888"/>
      <c r="FJH32" s="1882"/>
      <c r="FJI32" s="1882"/>
      <c r="FJJ32" s="1882"/>
      <c r="FJL32" s="1887"/>
      <c r="FJM32" s="1888"/>
      <c r="FJN32" s="1882"/>
      <c r="FJO32" s="1882"/>
      <c r="FJP32" s="1882"/>
      <c r="FJR32" s="1887"/>
      <c r="FJS32" s="1888"/>
      <c r="FJT32" s="1882"/>
      <c r="FJU32" s="1882"/>
      <c r="FJV32" s="1882"/>
      <c r="FJX32" s="1887"/>
      <c r="FJY32" s="1888"/>
      <c r="FJZ32" s="1882"/>
      <c r="FKA32" s="1882"/>
      <c r="FKB32" s="1882"/>
      <c r="FKD32" s="1887"/>
      <c r="FKE32" s="1888"/>
      <c r="FKF32" s="1882"/>
      <c r="FKG32" s="1882"/>
      <c r="FKH32" s="1882"/>
      <c r="FKJ32" s="1887"/>
      <c r="FKK32" s="1888"/>
      <c r="FKL32" s="1882"/>
      <c r="FKM32" s="1882"/>
      <c r="FKN32" s="1882"/>
      <c r="FKP32" s="1887"/>
      <c r="FKQ32" s="1888"/>
      <c r="FKR32" s="1882"/>
      <c r="FKS32" s="1882"/>
      <c r="FKT32" s="1882"/>
      <c r="FKV32" s="1887"/>
      <c r="FKW32" s="1888"/>
      <c r="FKX32" s="1882"/>
      <c r="FKY32" s="1882"/>
      <c r="FKZ32" s="1882"/>
      <c r="FLB32" s="1887"/>
      <c r="FLC32" s="1888"/>
      <c r="FLD32" s="1882"/>
      <c r="FLE32" s="1882"/>
      <c r="FLF32" s="1882"/>
      <c r="FLH32" s="1887"/>
      <c r="FLI32" s="1888"/>
      <c r="FLJ32" s="1882"/>
      <c r="FLK32" s="1882"/>
      <c r="FLL32" s="1882"/>
      <c r="FLN32" s="1887"/>
      <c r="FLO32" s="1888"/>
      <c r="FLP32" s="1882"/>
      <c r="FLQ32" s="1882"/>
      <c r="FLR32" s="1882"/>
      <c r="FLT32" s="1887"/>
      <c r="FLU32" s="1888"/>
      <c r="FLV32" s="1882"/>
      <c r="FLW32" s="1882"/>
      <c r="FLX32" s="1882"/>
      <c r="FLZ32" s="1887"/>
      <c r="FMA32" s="1888"/>
      <c r="FMB32" s="1882"/>
      <c r="FMC32" s="1882"/>
      <c r="FMD32" s="1882"/>
      <c r="FMF32" s="1887"/>
      <c r="FMG32" s="1888"/>
      <c r="FMH32" s="1882"/>
      <c r="FMI32" s="1882"/>
      <c r="FMJ32" s="1882"/>
      <c r="FML32" s="1887"/>
      <c r="FMM32" s="1888"/>
      <c r="FMN32" s="1882"/>
      <c r="FMO32" s="1882"/>
      <c r="FMP32" s="1882"/>
      <c r="FMR32" s="1887"/>
      <c r="FMS32" s="1888"/>
      <c r="FMT32" s="1882"/>
      <c r="FMU32" s="1882"/>
      <c r="FMV32" s="1882"/>
      <c r="FMX32" s="1887"/>
      <c r="FMY32" s="1888"/>
      <c r="FMZ32" s="1882"/>
      <c r="FNA32" s="1882"/>
      <c r="FNB32" s="1882"/>
      <c r="FND32" s="1887"/>
      <c r="FNE32" s="1888"/>
      <c r="FNF32" s="1882"/>
      <c r="FNG32" s="1882"/>
      <c r="FNH32" s="1882"/>
      <c r="FNJ32" s="1887"/>
      <c r="FNK32" s="1888"/>
      <c r="FNL32" s="1882"/>
      <c r="FNM32" s="1882"/>
      <c r="FNN32" s="1882"/>
      <c r="FNP32" s="1887"/>
      <c r="FNQ32" s="1888"/>
      <c r="FNR32" s="1882"/>
      <c r="FNS32" s="1882"/>
      <c r="FNT32" s="1882"/>
      <c r="FNV32" s="1887"/>
      <c r="FNW32" s="1888"/>
      <c r="FNX32" s="1882"/>
      <c r="FNY32" s="1882"/>
      <c r="FNZ32" s="1882"/>
      <c r="FOB32" s="1887"/>
      <c r="FOC32" s="1888"/>
      <c r="FOD32" s="1882"/>
      <c r="FOE32" s="1882"/>
      <c r="FOF32" s="1882"/>
      <c r="FOH32" s="1887"/>
      <c r="FOI32" s="1888"/>
      <c r="FOJ32" s="1882"/>
      <c r="FOK32" s="1882"/>
      <c r="FOL32" s="1882"/>
      <c r="FON32" s="1887"/>
      <c r="FOO32" s="1888"/>
      <c r="FOP32" s="1882"/>
      <c r="FOQ32" s="1882"/>
      <c r="FOR32" s="1882"/>
      <c r="FOT32" s="1887"/>
      <c r="FOU32" s="1888"/>
      <c r="FOV32" s="1882"/>
      <c r="FOW32" s="1882"/>
      <c r="FOX32" s="1882"/>
      <c r="FOZ32" s="1887"/>
      <c r="FPA32" s="1888"/>
      <c r="FPB32" s="1882"/>
      <c r="FPC32" s="1882"/>
      <c r="FPD32" s="1882"/>
      <c r="FPF32" s="1887"/>
      <c r="FPG32" s="1888"/>
      <c r="FPH32" s="1882"/>
      <c r="FPI32" s="1882"/>
      <c r="FPJ32" s="1882"/>
      <c r="FPL32" s="1887"/>
      <c r="FPM32" s="1888"/>
      <c r="FPN32" s="1882"/>
      <c r="FPO32" s="1882"/>
      <c r="FPP32" s="1882"/>
      <c r="FPR32" s="1887"/>
      <c r="FPS32" s="1888"/>
      <c r="FPT32" s="1882"/>
      <c r="FPU32" s="1882"/>
      <c r="FPV32" s="1882"/>
      <c r="FPX32" s="1887"/>
      <c r="FPY32" s="1888"/>
      <c r="FPZ32" s="1882"/>
      <c r="FQA32" s="1882"/>
      <c r="FQB32" s="1882"/>
      <c r="FQD32" s="1887"/>
      <c r="FQE32" s="1888"/>
      <c r="FQF32" s="1882"/>
      <c r="FQG32" s="1882"/>
      <c r="FQH32" s="1882"/>
      <c r="FQJ32" s="1887"/>
      <c r="FQK32" s="1888"/>
      <c r="FQL32" s="1882"/>
      <c r="FQM32" s="1882"/>
      <c r="FQN32" s="1882"/>
      <c r="FQP32" s="1887"/>
      <c r="FQQ32" s="1888"/>
      <c r="FQR32" s="1882"/>
      <c r="FQS32" s="1882"/>
      <c r="FQT32" s="1882"/>
      <c r="FQV32" s="1887"/>
      <c r="FQW32" s="1888"/>
      <c r="FQX32" s="1882"/>
      <c r="FQY32" s="1882"/>
      <c r="FQZ32" s="1882"/>
      <c r="FRB32" s="1887"/>
      <c r="FRC32" s="1888"/>
      <c r="FRD32" s="1882"/>
      <c r="FRE32" s="1882"/>
      <c r="FRF32" s="1882"/>
      <c r="FRH32" s="1887"/>
      <c r="FRI32" s="1888"/>
      <c r="FRJ32" s="1882"/>
      <c r="FRK32" s="1882"/>
      <c r="FRL32" s="1882"/>
      <c r="FRN32" s="1887"/>
      <c r="FRO32" s="1888"/>
      <c r="FRP32" s="1882"/>
      <c r="FRQ32" s="1882"/>
      <c r="FRR32" s="1882"/>
      <c r="FRT32" s="1887"/>
      <c r="FRU32" s="1888"/>
      <c r="FRV32" s="1882"/>
      <c r="FRW32" s="1882"/>
      <c r="FRX32" s="1882"/>
      <c r="FRZ32" s="1887"/>
      <c r="FSA32" s="1888"/>
      <c r="FSB32" s="1882"/>
      <c r="FSC32" s="1882"/>
      <c r="FSD32" s="1882"/>
      <c r="FSF32" s="1887"/>
      <c r="FSG32" s="1888"/>
      <c r="FSH32" s="1882"/>
      <c r="FSI32" s="1882"/>
      <c r="FSJ32" s="1882"/>
      <c r="FSL32" s="1887"/>
      <c r="FSM32" s="1888"/>
      <c r="FSN32" s="1882"/>
      <c r="FSO32" s="1882"/>
      <c r="FSP32" s="1882"/>
      <c r="FSR32" s="1887"/>
      <c r="FSS32" s="1888"/>
      <c r="FST32" s="1882"/>
      <c r="FSU32" s="1882"/>
      <c r="FSV32" s="1882"/>
      <c r="FSX32" s="1887"/>
      <c r="FSY32" s="1888"/>
      <c r="FSZ32" s="1882"/>
      <c r="FTA32" s="1882"/>
      <c r="FTB32" s="1882"/>
      <c r="FTD32" s="1887"/>
      <c r="FTE32" s="1888"/>
      <c r="FTF32" s="1882"/>
      <c r="FTG32" s="1882"/>
      <c r="FTH32" s="1882"/>
      <c r="FTJ32" s="1887"/>
      <c r="FTK32" s="1888"/>
      <c r="FTL32" s="1882"/>
      <c r="FTM32" s="1882"/>
      <c r="FTN32" s="1882"/>
      <c r="FTP32" s="1887"/>
      <c r="FTQ32" s="1888"/>
      <c r="FTR32" s="1882"/>
      <c r="FTS32" s="1882"/>
      <c r="FTT32" s="1882"/>
      <c r="FTV32" s="1887"/>
      <c r="FTW32" s="1888"/>
      <c r="FTX32" s="1882"/>
      <c r="FTY32" s="1882"/>
      <c r="FTZ32" s="1882"/>
      <c r="FUB32" s="1887"/>
      <c r="FUC32" s="1888"/>
      <c r="FUD32" s="1882"/>
      <c r="FUE32" s="1882"/>
      <c r="FUF32" s="1882"/>
      <c r="FUH32" s="1887"/>
      <c r="FUI32" s="1888"/>
      <c r="FUJ32" s="1882"/>
      <c r="FUK32" s="1882"/>
      <c r="FUL32" s="1882"/>
      <c r="FUN32" s="1887"/>
      <c r="FUO32" s="1888"/>
      <c r="FUP32" s="1882"/>
      <c r="FUQ32" s="1882"/>
      <c r="FUR32" s="1882"/>
      <c r="FUT32" s="1887"/>
      <c r="FUU32" s="1888"/>
      <c r="FUV32" s="1882"/>
      <c r="FUW32" s="1882"/>
      <c r="FUX32" s="1882"/>
      <c r="FUZ32" s="1887"/>
      <c r="FVA32" s="1888"/>
      <c r="FVB32" s="1882"/>
      <c r="FVC32" s="1882"/>
      <c r="FVD32" s="1882"/>
      <c r="FVF32" s="1887"/>
      <c r="FVG32" s="1888"/>
      <c r="FVH32" s="1882"/>
      <c r="FVI32" s="1882"/>
      <c r="FVJ32" s="1882"/>
      <c r="FVL32" s="1887"/>
      <c r="FVM32" s="1888"/>
      <c r="FVN32" s="1882"/>
      <c r="FVO32" s="1882"/>
      <c r="FVP32" s="1882"/>
      <c r="FVR32" s="1887"/>
      <c r="FVS32" s="1888"/>
      <c r="FVT32" s="1882"/>
      <c r="FVU32" s="1882"/>
      <c r="FVV32" s="1882"/>
      <c r="FVX32" s="1887"/>
      <c r="FVY32" s="1888"/>
      <c r="FVZ32" s="1882"/>
      <c r="FWA32" s="1882"/>
      <c r="FWB32" s="1882"/>
      <c r="FWD32" s="1887"/>
      <c r="FWE32" s="1888"/>
      <c r="FWF32" s="1882"/>
      <c r="FWG32" s="1882"/>
      <c r="FWH32" s="1882"/>
      <c r="FWJ32" s="1887"/>
      <c r="FWK32" s="1888"/>
      <c r="FWL32" s="1882"/>
      <c r="FWM32" s="1882"/>
      <c r="FWN32" s="1882"/>
      <c r="FWP32" s="1887"/>
      <c r="FWQ32" s="1888"/>
      <c r="FWR32" s="1882"/>
      <c r="FWS32" s="1882"/>
      <c r="FWT32" s="1882"/>
      <c r="FWV32" s="1887"/>
      <c r="FWW32" s="1888"/>
      <c r="FWX32" s="1882"/>
      <c r="FWY32" s="1882"/>
      <c r="FWZ32" s="1882"/>
      <c r="FXB32" s="1887"/>
      <c r="FXC32" s="1888"/>
      <c r="FXD32" s="1882"/>
      <c r="FXE32" s="1882"/>
      <c r="FXF32" s="1882"/>
      <c r="FXH32" s="1887"/>
      <c r="FXI32" s="1888"/>
      <c r="FXJ32" s="1882"/>
      <c r="FXK32" s="1882"/>
      <c r="FXL32" s="1882"/>
      <c r="FXN32" s="1887"/>
      <c r="FXO32" s="1888"/>
      <c r="FXP32" s="1882"/>
      <c r="FXQ32" s="1882"/>
      <c r="FXR32" s="1882"/>
      <c r="FXT32" s="1887"/>
      <c r="FXU32" s="1888"/>
      <c r="FXV32" s="1882"/>
      <c r="FXW32" s="1882"/>
      <c r="FXX32" s="1882"/>
      <c r="FXZ32" s="1887"/>
      <c r="FYA32" s="1888"/>
      <c r="FYB32" s="1882"/>
      <c r="FYC32" s="1882"/>
      <c r="FYD32" s="1882"/>
      <c r="FYF32" s="1887"/>
      <c r="FYG32" s="1888"/>
      <c r="FYH32" s="1882"/>
      <c r="FYI32" s="1882"/>
      <c r="FYJ32" s="1882"/>
      <c r="FYL32" s="1887"/>
      <c r="FYM32" s="1888"/>
      <c r="FYN32" s="1882"/>
      <c r="FYO32" s="1882"/>
      <c r="FYP32" s="1882"/>
      <c r="FYR32" s="1887"/>
      <c r="FYS32" s="1888"/>
      <c r="FYT32" s="1882"/>
      <c r="FYU32" s="1882"/>
      <c r="FYV32" s="1882"/>
      <c r="FYX32" s="1887"/>
      <c r="FYY32" s="1888"/>
      <c r="FYZ32" s="1882"/>
      <c r="FZA32" s="1882"/>
      <c r="FZB32" s="1882"/>
      <c r="FZD32" s="1887"/>
      <c r="FZE32" s="1888"/>
      <c r="FZF32" s="1882"/>
      <c r="FZG32" s="1882"/>
      <c r="FZH32" s="1882"/>
      <c r="FZJ32" s="1887"/>
      <c r="FZK32" s="1888"/>
      <c r="FZL32" s="1882"/>
      <c r="FZM32" s="1882"/>
      <c r="FZN32" s="1882"/>
      <c r="FZP32" s="1887"/>
      <c r="FZQ32" s="1888"/>
      <c r="FZR32" s="1882"/>
      <c r="FZS32" s="1882"/>
      <c r="FZT32" s="1882"/>
      <c r="FZV32" s="1887"/>
      <c r="FZW32" s="1888"/>
      <c r="FZX32" s="1882"/>
      <c r="FZY32" s="1882"/>
      <c r="FZZ32" s="1882"/>
      <c r="GAB32" s="1887"/>
      <c r="GAC32" s="1888"/>
      <c r="GAD32" s="1882"/>
      <c r="GAE32" s="1882"/>
      <c r="GAF32" s="1882"/>
      <c r="GAH32" s="1887"/>
      <c r="GAI32" s="1888"/>
      <c r="GAJ32" s="1882"/>
      <c r="GAK32" s="1882"/>
      <c r="GAL32" s="1882"/>
      <c r="GAN32" s="1887"/>
      <c r="GAO32" s="1888"/>
      <c r="GAP32" s="1882"/>
      <c r="GAQ32" s="1882"/>
      <c r="GAR32" s="1882"/>
      <c r="GAT32" s="1887"/>
      <c r="GAU32" s="1888"/>
      <c r="GAV32" s="1882"/>
      <c r="GAW32" s="1882"/>
      <c r="GAX32" s="1882"/>
      <c r="GAZ32" s="1887"/>
      <c r="GBA32" s="1888"/>
      <c r="GBB32" s="1882"/>
      <c r="GBC32" s="1882"/>
      <c r="GBD32" s="1882"/>
      <c r="GBF32" s="1887"/>
      <c r="GBG32" s="1888"/>
      <c r="GBH32" s="1882"/>
      <c r="GBI32" s="1882"/>
      <c r="GBJ32" s="1882"/>
      <c r="GBL32" s="1887"/>
      <c r="GBM32" s="1888"/>
      <c r="GBN32" s="1882"/>
      <c r="GBO32" s="1882"/>
      <c r="GBP32" s="1882"/>
      <c r="GBR32" s="1887"/>
      <c r="GBS32" s="1888"/>
      <c r="GBT32" s="1882"/>
      <c r="GBU32" s="1882"/>
      <c r="GBV32" s="1882"/>
      <c r="GBX32" s="1887"/>
      <c r="GBY32" s="1888"/>
      <c r="GBZ32" s="1882"/>
      <c r="GCA32" s="1882"/>
      <c r="GCB32" s="1882"/>
      <c r="GCD32" s="1887"/>
      <c r="GCE32" s="1888"/>
      <c r="GCF32" s="1882"/>
      <c r="GCG32" s="1882"/>
      <c r="GCH32" s="1882"/>
      <c r="GCJ32" s="1887"/>
      <c r="GCK32" s="1888"/>
      <c r="GCL32" s="1882"/>
      <c r="GCM32" s="1882"/>
      <c r="GCN32" s="1882"/>
      <c r="GCP32" s="1887"/>
      <c r="GCQ32" s="1888"/>
      <c r="GCR32" s="1882"/>
      <c r="GCS32" s="1882"/>
      <c r="GCT32" s="1882"/>
      <c r="GCV32" s="1887"/>
      <c r="GCW32" s="1888"/>
      <c r="GCX32" s="1882"/>
      <c r="GCY32" s="1882"/>
      <c r="GCZ32" s="1882"/>
      <c r="GDB32" s="1887"/>
      <c r="GDC32" s="1888"/>
      <c r="GDD32" s="1882"/>
      <c r="GDE32" s="1882"/>
      <c r="GDF32" s="1882"/>
      <c r="GDH32" s="1887"/>
      <c r="GDI32" s="1888"/>
      <c r="GDJ32" s="1882"/>
      <c r="GDK32" s="1882"/>
      <c r="GDL32" s="1882"/>
      <c r="GDN32" s="1887"/>
      <c r="GDO32" s="1888"/>
      <c r="GDP32" s="1882"/>
      <c r="GDQ32" s="1882"/>
      <c r="GDR32" s="1882"/>
      <c r="GDT32" s="1887"/>
      <c r="GDU32" s="1888"/>
      <c r="GDV32" s="1882"/>
      <c r="GDW32" s="1882"/>
      <c r="GDX32" s="1882"/>
      <c r="GDZ32" s="1887"/>
      <c r="GEA32" s="1888"/>
      <c r="GEB32" s="1882"/>
      <c r="GEC32" s="1882"/>
      <c r="GED32" s="1882"/>
      <c r="GEF32" s="1887"/>
      <c r="GEG32" s="1888"/>
      <c r="GEH32" s="1882"/>
      <c r="GEI32" s="1882"/>
      <c r="GEJ32" s="1882"/>
      <c r="GEL32" s="1887"/>
      <c r="GEM32" s="1888"/>
      <c r="GEN32" s="1882"/>
      <c r="GEO32" s="1882"/>
      <c r="GEP32" s="1882"/>
      <c r="GER32" s="1887"/>
      <c r="GES32" s="1888"/>
      <c r="GET32" s="1882"/>
      <c r="GEU32" s="1882"/>
      <c r="GEV32" s="1882"/>
      <c r="GEX32" s="1887"/>
      <c r="GEY32" s="1888"/>
      <c r="GEZ32" s="1882"/>
      <c r="GFA32" s="1882"/>
      <c r="GFB32" s="1882"/>
      <c r="GFD32" s="1887"/>
      <c r="GFE32" s="1888"/>
      <c r="GFF32" s="1882"/>
      <c r="GFG32" s="1882"/>
      <c r="GFH32" s="1882"/>
      <c r="GFJ32" s="1887"/>
      <c r="GFK32" s="1888"/>
      <c r="GFL32" s="1882"/>
      <c r="GFM32" s="1882"/>
      <c r="GFN32" s="1882"/>
      <c r="GFP32" s="1887"/>
      <c r="GFQ32" s="1888"/>
      <c r="GFR32" s="1882"/>
      <c r="GFS32" s="1882"/>
      <c r="GFT32" s="1882"/>
      <c r="GFV32" s="1887"/>
      <c r="GFW32" s="1888"/>
      <c r="GFX32" s="1882"/>
      <c r="GFY32" s="1882"/>
      <c r="GFZ32" s="1882"/>
      <c r="GGB32" s="1887"/>
      <c r="GGC32" s="1888"/>
      <c r="GGD32" s="1882"/>
      <c r="GGE32" s="1882"/>
      <c r="GGF32" s="1882"/>
      <c r="GGH32" s="1887"/>
      <c r="GGI32" s="1888"/>
      <c r="GGJ32" s="1882"/>
      <c r="GGK32" s="1882"/>
      <c r="GGL32" s="1882"/>
      <c r="GGN32" s="1887"/>
      <c r="GGO32" s="1888"/>
      <c r="GGP32" s="1882"/>
      <c r="GGQ32" s="1882"/>
      <c r="GGR32" s="1882"/>
      <c r="GGT32" s="1887"/>
      <c r="GGU32" s="1888"/>
      <c r="GGV32" s="1882"/>
      <c r="GGW32" s="1882"/>
      <c r="GGX32" s="1882"/>
      <c r="GGZ32" s="1887"/>
      <c r="GHA32" s="1888"/>
      <c r="GHB32" s="1882"/>
      <c r="GHC32" s="1882"/>
      <c r="GHD32" s="1882"/>
      <c r="GHF32" s="1887"/>
      <c r="GHG32" s="1888"/>
      <c r="GHH32" s="1882"/>
      <c r="GHI32" s="1882"/>
      <c r="GHJ32" s="1882"/>
      <c r="GHL32" s="1887"/>
      <c r="GHM32" s="1888"/>
      <c r="GHN32" s="1882"/>
      <c r="GHO32" s="1882"/>
      <c r="GHP32" s="1882"/>
      <c r="GHR32" s="1887"/>
      <c r="GHS32" s="1888"/>
      <c r="GHT32" s="1882"/>
      <c r="GHU32" s="1882"/>
      <c r="GHV32" s="1882"/>
      <c r="GHX32" s="1887"/>
      <c r="GHY32" s="1888"/>
      <c r="GHZ32" s="1882"/>
      <c r="GIA32" s="1882"/>
      <c r="GIB32" s="1882"/>
      <c r="GID32" s="1887"/>
      <c r="GIE32" s="1888"/>
      <c r="GIF32" s="1882"/>
      <c r="GIG32" s="1882"/>
      <c r="GIH32" s="1882"/>
      <c r="GIJ32" s="1887"/>
      <c r="GIK32" s="1888"/>
      <c r="GIL32" s="1882"/>
      <c r="GIM32" s="1882"/>
      <c r="GIN32" s="1882"/>
      <c r="GIP32" s="1887"/>
      <c r="GIQ32" s="1888"/>
      <c r="GIR32" s="1882"/>
      <c r="GIS32" s="1882"/>
      <c r="GIT32" s="1882"/>
      <c r="GIV32" s="1887"/>
      <c r="GIW32" s="1888"/>
      <c r="GIX32" s="1882"/>
      <c r="GIY32" s="1882"/>
      <c r="GIZ32" s="1882"/>
      <c r="GJB32" s="1887"/>
      <c r="GJC32" s="1888"/>
      <c r="GJD32" s="1882"/>
      <c r="GJE32" s="1882"/>
      <c r="GJF32" s="1882"/>
      <c r="GJH32" s="1887"/>
      <c r="GJI32" s="1888"/>
      <c r="GJJ32" s="1882"/>
      <c r="GJK32" s="1882"/>
      <c r="GJL32" s="1882"/>
      <c r="GJN32" s="1887"/>
      <c r="GJO32" s="1888"/>
      <c r="GJP32" s="1882"/>
      <c r="GJQ32" s="1882"/>
      <c r="GJR32" s="1882"/>
      <c r="GJT32" s="1887"/>
      <c r="GJU32" s="1888"/>
      <c r="GJV32" s="1882"/>
      <c r="GJW32" s="1882"/>
      <c r="GJX32" s="1882"/>
      <c r="GJZ32" s="1887"/>
      <c r="GKA32" s="1888"/>
      <c r="GKB32" s="1882"/>
      <c r="GKC32" s="1882"/>
      <c r="GKD32" s="1882"/>
      <c r="GKF32" s="1887"/>
      <c r="GKG32" s="1888"/>
      <c r="GKH32" s="1882"/>
      <c r="GKI32" s="1882"/>
      <c r="GKJ32" s="1882"/>
      <c r="GKL32" s="1887"/>
      <c r="GKM32" s="1888"/>
      <c r="GKN32" s="1882"/>
      <c r="GKO32" s="1882"/>
      <c r="GKP32" s="1882"/>
      <c r="GKR32" s="1887"/>
      <c r="GKS32" s="1888"/>
      <c r="GKT32" s="1882"/>
      <c r="GKU32" s="1882"/>
      <c r="GKV32" s="1882"/>
      <c r="GKX32" s="1887"/>
      <c r="GKY32" s="1888"/>
      <c r="GKZ32" s="1882"/>
      <c r="GLA32" s="1882"/>
      <c r="GLB32" s="1882"/>
      <c r="GLD32" s="1887"/>
      <c r="GLE32" s="1888"/>
      <c r="GLF32" s="1882"/>
      <c r="GLG32" s="1882"/>
      <c r="GLH32" s="1882"/>
      <c r="GLJ32" s="1887"/>
      <c r="GLK32" s="1888"/>
      <c r="GLL32" s="1882"/>
      <c r="GLM32" s="1882"/>
      <c r="GLN32" s="1882"/>
      <c r="GLP32" s="1887"/>
      <c r="GLQ32" s="1888"/>
      <c r="GLR32" s="1882"/>
      <c r="GLS32" s="1882"/>
      <c r="GLT32" s="1882"/>
      <c r="GLV32" s="1887"/>
      <c r="GLW32" s="1888"/>
      <c r="GLX32" s="1882"/>
      <c r="GLY32" s="1882"/>
      <c r="GLZ32" s="1882"/>
      <c r="GMB32" s="1887"/>
      <c r="GMC32" s="1888"/>
      <c r="GMD32" s="1882"/>
      <c r="GME32" s="1882"/>
      <c r="GMF32" s="1882"/>
      <c r="GMH32" s="1887"/>
      <c r="GMI32" s="1888"/>
      <c r="GMJ32" s="1882"/>
      <c r="GMK32" s="1882"/>
      <c r="GML32" s="1882"/>
      <c r="GMN32" s="1887"/>
      <c r="GMO32" s="1888"/>
      <c r="GMP32" s="1882"/>
      <c r="GMQ32" s="1882"/>
      <c r="GMR32" s="1882"/>
      <c r="GMT32" s="1887"/>
      <c r="GMU32" s="1888"/>
      <c r="GMV32" s="1882"/>
      <c r="GMW32" s="1882"/>
      <c r="GMX32" s="1882"/>
      <c r="GMZ32" s="1887"/>
      <c r="GNA32" s="1888"/>
      <c r="GNB32" s="1882"/>
      <c r="GNC32" s="1882"/>
      <c r="GND32" s="1882"/>
      <c r="GNF32" s="1887"/>
      <c r="GNG32" s="1888"/>
      <c r="GNH32" s="1882"/>
      <c r="GNI32" s="1882"/>
      <c r="GNJ32" s="1882"/>
      <c r="GNL32" s="1887"/>
      <c r="GNM32" s="1888"/>
      <c r="GNN32" s="1882"/>
      <c r="GNO32" s="1882"/>
      <c r="GNP32" s="1882"/>
      <c r="GNR32" s="1887"/>
      <c r="GNS32" s="1888"/>
      <c r="GNT32" s="1882"/>
      <c r="GNU32" s="1882"/>
      <c r="GNV32" s="1882"/>
      <c r="GNX32" s="1887"/>
      <c r="GNY32" s="1888"/>
      <c r="GNZ32" s="1882"/>
      <c r="GOA32" s="1882"/>
      <c r="GOB32" s="1882"/>
      <c r="GOD32" s="1887"/>
      <c r="GOE32" s="1888"/>
      <c r="GOF32" s="1882"/>
      <c r="GOG32" s="1882"/>
      <c r="GOH32" s="1882"/>
      <c r="GOJ32" s="1887"/>
      <c r="GOK32" s="1888"/>
      <c r="GOL32" s="1882"/>
      <c r="GOM32" s="1882"/>
      <c r="GON32" s="1882"/>
      <c r="GOP32" s="1887"/>
      <c r="GOQ32" s="1888"/>
      <c r="GOR32" s="1882"/>
      <c r="GOS32" s="1882"/>
      <c r="GOT32" s="1882"/>
      <c r="GOV32" s="1887"/>
      <c r="GOW32" s="1888"/>
      <c r="GOX32" s="1882"/>
      <c r="GOY32" s="1882"/>
      <c r="GOZ32" s="1882"/>
      <c r="GPB32" s="1887"/>
      <c r="GPC32" s="1888"/>
      <c r="GPD32" s="1882"/>
      <c r="GPE32" s="1882"/>
      <c r="GPF32" s="1882"/>
      <c r="GPH32" s="1887"/>
      <c r="GPI32" s="1888"/>
      <c r="GPJ32" s="1882"/>
      <c r="GPK32" s="1882"/>
      <c r="GPL32" s="1882"/>
      <c r="GPN32" s="1887"/>
      <c r="GPO32" s="1888"/>
      <c r="GPP32" s="1882"/>
      <c r="GPQ32" s="1882"/>
      <c r="GPR32" s="1882"/>
      <c r="GPT32" s="1887"/>
      <c r="GPU32" s="1888"/>
      <c r="GPV32" s="1882"/>
      <c r="GPW32" s="1882"/>
      <c r="GPX32" s="1882"/>
      <c r="GPZ32" s="1887"/>
      <c r="GQA32" s="1888"/>
      <c r="GQB32" s="1882"/>
      <c r="GQC32" s="1882"/>
      <c r="GQD32" s="1882"/>
      <c r="GQF32" s="1887"/>
      <c r="GQG32" s="1888"/>
      <c r="GQH32" s="1882"/>
      <c r="GQI32" s="1882"/>
      <c r="GQJ32" s="1882"/>
      <c r="GQL32" s="1887"/>
      <c r="GQM32" s="1888"/>
      <c r="GQN32" s="1882"/>
      <c r="GQO32" s="1882"/>
      <c r="GQP32" s="1882"/>
      <c r="GQR32" s="1887"/>
      <c r="GQS32" s="1888"/>
      <c r="GQT32" s="1882"/>
      <c r="GQU32" s="1882"/>
      <c r="GQV32" s="1882"/>
      <c r="GQX32" s="1887"/>
      <c r="GQY32" s="1888"/>
      <c r="GQZ32" s="1882"/>
      <c r="GRA32" s="1882"/>
      <c r="GRB32" s="1882"/>
      <c r="GRD32" s="1887"/>
      <c r="GRE32" s="1888"/>
      <c r="GRF32" s="1882"/>
      <c r="GRG32" s="1882"/>
      <c r="GRH32" s="1882"/>
      <c r="GRJ32" s="1887"/>
      <c r="GRK32" s="1888"/>
      <c r="GRL32" s="1882"/>
      <c r="GRM32" s="1882"/>
      <c r="GRN32" s="1882"/>
      <c r="GRP32" s="1887"/>
      <c r="GRQ32" s="1888"/>
      <c r="GRR32" s="1882"/>
      <c r="GRS32" s="1882"/>
      <c r="GRT32" s="1882"/>
      <c r="GRV32" s="1887"/>
      <c r="GRW32" s="1888"/>
      <c r="GRX32" s="1882"/>
      <c r="GRY32" s="1882"/>
      <c r="GRZ32" s="1882"/>
      <c r="GSB32" s="1887"/>
      <c r="GSC32" s="1888"/>
      <c r="GSD32" s="1882"/>
      <c r="GSE32" s="1882"/>
      <c r="GSF32" s="1882"/>
      <c r="GSH32" s="1887"/>
      <c r="GSI32" s="1888"/>
      <c r="GSJ32" s="1882"/>
      <c r="GSK32" s="1882"/>
      <c r="GSL32" s="1882"/>
      <c r="GSN32" s="1887"/>
      <c r="GSO32" s="1888"/>
      <c r="GSP32" s="1882"/>
      <c r="GSQ32" s="1882"/>
      <c r="GSR32" s="1882"/>
      <c r="GST32" s="1887"/>
      <c r="GSU32" s="1888"/>
      <c r="GSV32" s="1882"/>
      <c r="GSW32" s="1882"/>
      <c r="GSX32" s="1882"/>
      <c r="GSZ32" s="1887"/>
      <c r="GTA32" s="1888"/>
      <c r="GTB32" s="1882"/>
      <c r="GTC32" s="1882"/>
      <c r="GTD32" s="1882"/>
      <c r="GTF32" s="1887"/>
      <c r="GTG32" s="1888"/>
      <c r="GTH32" s="1882"/>
      <c r="GTI32" s="1882"/>
      <c r="GTJ32" s="1882"/>
      <c r="GTL32" s="1887"/>
      <c r="GTM32" s="1888"/>
      <c r="GTN32" s="1882"/>
      <c r="GTO32" s="1882"/>
      <c r="GTP32" s="1882"/>
      <c r="GTR32" s="1887"/>
      <c r="GTS32" s="1888"/>
      <c r="GTT32" s="1882"/>
      <c r="GTU32" s="1882"/>
      <c r="GTV32" s="1882"/>
      <c r="GTX32" s="1887"/>
      <c r="GTY32" s="1888"/>
      <c r="GTZ32" s="1882"/>
      <c r="GUA32" s="1882"/>
      <c r="GUB32" s="1882"/>
      <c r="GUD32" s="1887"/>
      <c r="GUE32" s="1888"/>
      <c r="GUF32" s="1882"/>
      <c r="GUG32" s="1882"/>
      <c r="GUH32" s="1882"/>
      <c r="GUJ32" s="1887"/>
      <c r="GUK32" s="1888"/>
      <c r="GUL32" s="1882"/>
      <c r="GUM32" s="1882"/>
      <c r="GUN32" s="1882"/>
      <c r="GUP32" s="1887"/>
      <c r="GUQ32" s="1888"/>
      <c r="GUR32" s="1882"/>
      <c r="GUS32" s="1882"/>
      <c r="GUT32" s="1882"/>
      <c r="GUV32" s="1887"/>
      <c r="GUW32" s="1888"/>
      <c r="GUX32" s="1882"/>
      <c r="GUY32" s="1882"/>
      <c r="GUZ32" s="1882"/>
      <c r="GVB32" s="1887"/>
      <c r="GVC32" s="1888"/>
      <c r="GVD32" s="1882"/>
      <c r="GVE32" s="1882"/>
      <c r="GVF32" s="1882"/>
      <c r="GVH32" s="1887"/>
      <c r="GVI32" s="1888"/>
      <c r="GVJ32" s="1882"/>
      <c r="GVK32" s="1882"/>
      <c r="GVL32" s="1882"/>
      <c r="GVN32" s="1887"/>
      <c r="GVO32" s="1888"/>
      <c r="GVP32" s="1882"/>
      <c r="GVQ32" s="1882"/>
      <c r="GVR32" s="1882"/>
      <c r="GVT32" s="1887"/>
      <c r="GVU32" s="1888"/>
      <c r="GVV32" s="1882"/>
      <c r="GVW32" s="1882"/>
      <c r="GVX32" s="1882"/>
      <c r="GVZ32" s="1887"/>
      <c r="GWA32" s="1888"/>
      <c r="GWB32" s="1882"/>
      <c r="GWC32" s="1882"/>
      <c r="GWD32" s="1882"/>
      <c r="GWF32" s="1887"/>
      <c r="GWG32" s="1888"/>
      <c r="GWH32" s="1882"/>
      <c r="GWI32" s="1882"/>
      <c r="GWJ32" s="1882"/>
      <c r="GWL32" s="1887"/>
      <c r="GWM32" s="1888"/>
      <c r="GWN32" s="1882"/>
      <c r="GWO32" s="1882"/>
      <c r="GWP32" s="1882"/>
      <c r="GWR32" s="1887"/>
      <c r="GWS32" s="1888"/>
      <c r="GWT32" s="1882"/>
      <c r="GWU32" s="1882"/>
      <c r="GWV32" s="1882"/>
      <c r="GWX32" s="1887"/>
      <c r="GWY32" s="1888"/>
      <c r="GWZ32" s="1882"/>
      <c r="GXA32" s="1882"/>
      <c r="GXB32" s="1882"/>
      <c r="GXD32" s="1887"/>
      <c r="GXE32" s="1888"/>
      <c r="GXF32" s="1882"/>
      <c r="GXG32" s="1882"/>
      <c r="GXH32" s="1882"/>
      <c r="GXJ32" s="1887"/>
      <c r="GXK32" s="1888"/>
      <c r="GXL32" s="1882"/>
      <c r="GXM32" s="1882"/>
      <c r="GXN32" s="1882"/>
      <c r="GXP32" s="1887"/>
      <c r="GXQ32" s="1888"/>
      <c r="GXR32" s="1882"/>
      <c r="GXS32" s="1882"/>
      <c r="GXT32" s="1882"/>
      <c r="GXV32" s="1887"/>
      <c r="GXW32" s="1888"/>
      <c r="GXX32" s="1882"/>
      <c r="GXY32" s="1882"/>
      <c r="GXZ32" s="1882"/>
      <c r="GYB32" s="1887"/>
      <c r="GYC32" s="1888"/>
      <c r="GYD32" s="1882"/>
      <c r="GYE32" s="1882"/>
      <c r="GYF32" s="1882"/>
      <c r="GYH32" s="1887"/>
      <c r="GYI32" s="1888"/>
      <c r="GYJ32" s="1882"/>
      <c r="GYK32" s="1882"/>
      <c r="GYL32" s="1882"/>
      <c r="GYN32" s="1887"/>
      <c r="GYO32" s="1888"/>
      <c r="GYP32" s="1882"/>
      <c r="GYQ32" s="1882"/>
      <c r="GYR32" s="1882"/>
      <c r="GYT32" s="1887"/>
      <c r="GYU32" s="1888"/>
      <c r="GYV32" s="1882"/>
      <c r="GYW32" s="1882"/>
      <c r="GYX32" s="1882"/>
      <c r="GYZ32" s="1887"/>
      <c r="GZA32" s="1888"/>
      <c r="GZB32" s="1882"/>
      <c r="GZC32" s="1882"/>
      <c r="GZD32" s="1882"/>
      <c r="GZF32" s="1887"/>
      <c r="GZG32" s="1888"/>
      <c r="GZH32" s="1882"/>
      <c r="GZI32" s="1882"/>
      <c r="GZJ32" s="1882"/>
      <c r="GZL32" s="1887"/>
      <c r="GZM32" s="1888"/>
      <c r="GZN32" s="1882"/>
      <c r="GZO32" s="1882"/>
      <c r="GZP32" s="1882"/>
      <c r="GZR32" s="1887"/>
      <c r="GZS32" s="1888"/>
      <c r="GZT32" s="1882"/>
      <c r="GZU32" s="1882"/>
      <c r="GZV32" s="1882"/>
      <c r="GZX32" s="1887"/>
      <c r="GZY32" s="1888"/>
      <c r="GZZ32" s="1882"/>
      <c r="HAA32" s="1882"/>
      <c r="HAB32" s="1882"/>
      <c r="HAD32" s="1887"/>
      <c r="HAE32" s="1888"/>
      <c r="HAF32" s="1882"/>
      <c r="HAG32" s="1882"/>
      <c r="HAH32" s="1882"/>
      <c r="HAJ32" s="1887"/>
      <c r="HAK32" s="1888"/>
      <c r="HAL32" s="1882"/>
      <c r="HAM32" s="1882"/>
      <c r="HAN32" s="1882"/>
      <c r="HAP32" s="1887"/>
      <c r="HAQ32" s="1888"/>
      <c r="HAR32" s="1882"/>
      <c r="HAS32" s="1882"/>
      <c r="HAT32" s="1882"/>
      <c r="HAV32" s="1887"/>
      <c r="HAW32" s="1888"/>
      <c r="HAX32" s="1882"/>
      <c r="HAY32" s="1882"/>
      <c r="HAZ32" s="1882"/>
      <c r="HBB32" s="1887"/>
      <c r="HBC32" s="1888"/>
      <c r="HBD32" s="1882"/>
      <c r="HBE32" s="1882"/>
      <c r="HBF32" s="1882"/>
      <c r="HBH32" s="1887"/>
      <c r="HBI32" s="1888"/>
      <c r="HBJ32" s="1882"/>
      <c r="HBK32" s="1882"/>
      <c r="HBL32" s="1882"/>
      <c r="HBN32" s="1887"/>
      <c r="HBO32" s="1888"/>
      <c r="HBP32" s="1882"/>
      <c r="HBQ32" s="1882"/>
      <c r="HBR32" s="1882"/>
      <c r="HBT32" s="1887"/>
      <c r="HBU32" s="1888"/>
      <c r="HBV32" s="1882"/>
      <c r="HBW32" s="1882"/>
      <c r="HBX32" s="1882"/>
      <c r="HBZ32" s="1887"/>
      <c r="HCA32" s="1888"/>
      <c r="HCB32" s="1882"/>
      <c r="HCC32" s="1882"/>
      <c r="HCD32" s="1882"/>
      <c r="HCF32" s="1887"/>
      <c r="HCG32" s="1888"/>
      <c r="HCH32" s="1882"/>
      <c r="HCI32" s="1882"/>
      <c r="HCJ32" s="1882"/>
      <c r="HCL32" s="1887"/>
      <c r="HCM32" s="1888"/>
      <c r="HCN32" s="1882"/>
      <c r="HCO32" s="1882"/>
      <c r="HCP32" s="1882"/>
      <c r="HCR32" s="1887"/>
      <c r="HCS32" s="1888"/>
      <c r="HCT32" s="1882"/>
      <c r="HCU32" s="1882"/>
      <c r="HCV32" s="1882"/>
      <c r="HCX32" s="1887"/>
      <c r="HCY32" s="1888"/>
      <c r="HCZ32" s="1882"/>
      <c r="HDA32" s="1882"/>
      <c r="HDB32" s="1882"/>
      <c r="HDD32" s="1887"/>
      <c r="HDE32" s="1888"/>
      <c r="HDF32" s="1882"/>
      <c r="HDG32" s="1882"/>
      <c r="HDH32" s="1882"/>
      <c r="HDJ32" s="1887"/>
      <c r="HDK32" s="1888"/>
      <c r="HDL32" s="1882"/>
      <c r="HDM32" s="1882"/>
      <c r="HDN32" s="1882"/>
      <c r="HDP32" s="1887"/>
      <c r="HDQ32" s="1888"/>
      <c r="HDR32" s="1882"/>
      <c r="HDS32" s="1882"/>
      <c r="HDT32" s="1882"/>
      <c r="HDV32" s="1887"/>
      <c r="HDW32" s="1888"/>
      <c r="HDX32" s="1882"/>
      <c r="HDY32" s="1882"/>
      <c r="HDZ32" s="1882"/>
      <c r="HEB32" s="1887"/>
      <c r="HEC32" s="1888"/>
      <c r="HED32" s="1882"/>
      <c r="HEE32" s="1882"/>
      <c r="HEF32" s="1882"/>
      <c r="HEH32" s="1887"/>
      <c r="HEI32" s="1888"/>
      <c r="HEJ32" s="1882"/>
      <c r="HEK32" s="1882"/>
      <c r="HEL32" s="1882"/>
      <c r="HEN32" s="1887"/>
      <c r="HEO32" s="1888"/>
      <c r="HEP32" s="1882"/>
      <c r="HEQ32" s="1882"/>
      <c r="HER32" s="1882"/>
      <c r="HET32" s="1887"/>
      <c r="HEU32" s="1888"/>
      <c r="HEV32" s="1882"/>
      <c r="HEW32" s="1882"/>
      <c r="HEX32" s="1882"/>
      <c r="HEZ32" s="1887"/>
      <c r="HFA32" s="1888"/>
      <c r="HFB32" s="1882"/>
      <c r="HFC32" s="1882"/>
      <c r="HFD32" s="1882"/>
      <c r="HFF32" s="1887"/>
      <c r="HFG32" s="1888"/>
      <c r="HFH32" s="1882"/>
      <c r="HFI32" s="1882"/>
      <c r="HFJ32" s="1882"/>
      <c r="HFL32" s="1887"/>
      <c r="HFM32" s="1888"/>
      <c r="HFN32" s="1882"/>
      <c r="HFO32" s="1882"/>
      <c r="HFP32" s="1882"/>
      <c r="HFR32" s="1887"/>
      <c r="HFS32" s="1888"/>
      <c r="HFT32" s="1882"/>
      <c r="HFU32" s="1882"/>
      <c r="HFV32" s="1882"/>
      <c r="HFX32" s="1887"/>
      <c r="HFY32" s="1888"/>
      <c r="HFZ32" s="1882"/>
      <c r="HGA32" s="1882"/>
      <c r="HGB32" s="1882"/>
      <c r="HGD32" s="1887"/>
      <c r="HGE32" s="1888"/>
      <c r="HGF32" s="1882"/>
      <c r="HGG32" s="1882"/>
      <c r="HGH32" s="1882"/>
      <c r="HGJ32" s="1887"/>
      <c r="HGK32" s="1888"/>
      <c r="HGL32" s="1882"/>
      <c r="HGM32" s="1882"/>
      <c r="HGN32" s="1882"/>
      <c r="HGP32" s="1887"/>
      <c r="HGQ32" s="1888"/>
      <c r="HGR32" s="1882"/>
      <c r="HGS32" s="1882"/>
      <c r="HGT32" s="1882"/>
      <c r="HGV32" s="1887"/>
      <c r="HGW32" s="1888"/>
      <c r="HGX32" s="1882"/>
      <c r="HGY32" s="1882"/>
      <c r="HGZ32" s="1882"/>
      <c r="HHB32" s="1887"/>
      <c r="HHC32" s="1888"/>
      <c r="HHD32" s="1882"/>
      <c r="HHE32" s="1882"/>
      <c r="HHF32" s="1882"/>
      <c r="HHH32" s="1887"/>
      <c r="HHI32" s="1888"/>
      <c r="HHJ32" s="1882"/>
      <c r="HHK32" s="1882"/>
      <c r="HHL32" s="1882"/>
      <c r="HHN32" s="1887"/>
      <c r="HHO32" s="1888"/>
      <c r="HHP32" s="1882"/>
      <c r="HHQ32" s="1882"/>
      <c r="HHR32" s="1882"/>
      <c r="HHT32" s="1887"/>
      <c r="HHU32" s="1888"/>
      <c r="HHV32" s="1882"/>
      <c r="HHW32" s="1882"/>
      <c r="HHX32" s="1882"/>
      <c r="HHZ32" s="1887"/>
      <c r="HIA32" s="1888"/>
      <c r="HIB32" s="1882"/>
      <c r="HIC32" s="1882"/>
      <c r="HID32" s="1882"/>
      <c r="HIF32" s="1887"/>
      <c r="HIG32" s="1888"/>
      <c r="HIH32" s="1882"/>
      <c r="HII32" s="1882"/>
      <c r="HIJ32" s="1882"/>
      <c r="HIL32" s="1887"/>
      <c r="HIM32" s="1888"/>
      <c r="HIN32" s="1882"/>
      <c r="HIO32" s="1882"/>
      <c r="HIP32" s="1882"/>
      <c r="HIR32" s="1887"/>
      <c r="HIS32" s="1888"/>
      <c r="HIT32" s="1882"/>
      <c r="HIU32" s="1882"/>
      <c r="HIV32" s="1882"/>
      <c r="HIX32" s="1887"/>
      <c r="HIY32" s="1888"/>
      <c r="HIZ32" s="1882"/>
      <c r="HJA32" s="1882"/>
      <c r="HJB32" s="1882"/>
      <c r="HJD32" s="1887"/>
      <c r="HJE32" s="1888"/>
      <c r="HJF32" s="1882"/>
      <c r="HJG32" s="1882"/>
      <c r="HJH32" s="1882"/>
      <c r="HJJ32" s="1887"/>
      <c r="HJK32" s="1888"/>
      <c r="HJL32" s="1882"/>
      <c r="HJM32" s="1882"/>
      <c r="HJN32" s="1882"/>
      <c r="HJP32" s="1887"/>
      <c r="HJQ32" s="1888"/>
      <c r="HJR32" s="1882"/>
      <c r="HJS32" s="1882"/>
      <c r="HJT32" s="1882"/>
      <c r="HJV32" s="1887"/>
      <c r="HJW32" s="1888"/>
      <c r="HJX32" s="1882"/>
      <c r="HJY32" s="1882"/>
      <c r="HJZ32" s="1882"/>
      <c r="HKB32" s="1887"/>
      <c r="HKC32" s="1888"/>
      <c r="HKD32" s="1882"/>
      <c r="HKE32" s="1882"/>
      <c r="HKF32" s="1882"/>
      <c r="HKH32" s="1887"/>
      <c r="HKI32" s="1888"/>
      <c r="HKJ32" s="1882"/>
      <c r="HKK32" s="1882"/>
      <c r="HKL32" s="1882"/>
      <c r="HKN32" s="1887"/>
      <c r="HKO32" s="1888"/>
      <c r="HKP32" s="1882"/>
      <c r="HKQ32" s="1882"/>
      <c r="HKR32" s="1882"/>
      <c r="HKT32" s="1887"/>
      <c r="HKU32" s="1888"/>
      <c r="HKV32" s="1882"/>
      <c r="HKW32" s="1882"/>
      <c r="HKX32" s="1882"/>
      <c r="HKZ32" s="1887"/>
      <c r="HLA32" s="1888"/>
      <c r="HLB32" s="1882"/>
      <c r="HLC32" s="1882"/>
      <c r="HLD32" s="1882"/>
      <c r="HLF32" s="1887"/>
      <c r="HLG32" s="1888"/>
      <c r="HLH32" s="1882"/>
      <c r="HLI32" s="1882"/>
      <c r="HLJ32" s="1882"/>
      <c r="HLL32" s="1887"/>
      <c r="HLM32" s="1888"/>
      <c r="HLN32" s="1882"/>
      <c r="HLO32" s="1882"/>
      <c r="HLP32" s="1882"/>
      <c r="HLR32" s="1887"/>
      <c r="HLS32" s="1888"/>
      <c r="HLT32" s="1882"/>
      <c r="HLU32" s="1882"/>
      <c r="HLV32" s="1882"/>
      <c r="HLX32" s="1887"/>
      <c r="HLY32" s="1888"/>
      <c r="HLZ32" s="1882"/>
      <c r="HMA32" s="1882"/>
      <c r="HMB32" s="1882"/>
      <c r="HMD32" s="1887"/>
      <c r="HME32" s="1888"/>
      <c r="HMF32" s="1882"/>
      <c r="HMG32" s="1882"/>
      <c r="HMH32" s="1882"/>
      <c r="HMJ32" s="1887"/>
      <c r="HMK32" s="1888"/>
      <c r="HML32" s="1882"/>
      <c r="HMM32" s="1882"/>
      <c r="HMN32" s="1882"/>
      <c r="HMP32" s="1887"/>
      <c r="HMQ32" s="1888"/>
      <c r="HMR32" s="1882"/>
      <c r="HMS32" s="1882"/>
      <c r="HMT32" s="1882"/>
      <c r="HMV32" s="1887"/>
      <c r="HMW32" s="1888"/>
      <c r="HMX32" s="1882"/>
      <c r="HMY32" s="1882"/>
      <c r="HMZ32" s="1882"/>
      <c r="HNB32" s="1887"/>
      <c r="HNC32" s="1888"/>
      <c r="HND32" s="1882"/>
      <c r="HNE32" s="1882"/>
      <c r="HNF32" s="1882"/>
      <c r="HNH32" s="1887"/>
      <c r="HNI32" s="1888"/>
      <c r="HNJ32" s="1882"/>
      <c r="HNK32" s="1882"/>
      <c r="HNL32" s="1882"/>
      <c r="HNN32" s="1887"/>
      <c r="HNO32" s="1888"/>
      <c r="HNP32" s="1882"/>
      <c r="HNQ32" s="1882"/>
      <c r="HNR32" s="1882"/>
      <c r="HNT32" s="1887"/>
      <c r="HNU32" s="1888"/>
      <c r="HNV32" s="1882"/>
      <c r="HNW32" s="1882"/>
      <c r="HNX32" s="1882"/>
      <c r="HNZ32" s="1887"/>
      <c r="HOA32" s="1888"/>
      <c r="HOB32" s="1882"/>
      <c r="HOC32" s="1882"/>
      <c r="HOD32" s="1882"/>
      <c r="HOF32" s="1887"/>
      <c r="HOG32" s="1888"/>
      <c r="HOH32" s="1882"/>
      <c r="HOI32" s="1882"/>
      <c r="HOJ32" s="1882"/>
      <c r="HOL32" s="1887"/>
      <c r="HOM32" s="1888"/>
      <c r="HON32" s="1882"/>
      <c r="HOO32" s="1882"/>
      <c r="HOP32" s="1882"/>
      <c r="HOR32" s="1887"/>
      <c r="HOS32" s="1888"/>
      <c r="HOT32" s="1882"/>
      <c r="HOU32" s="1882"/>
      <c r="HOV32" s="1882"/>
      <c r="HOX32" s="1887"/>
      <c r="HOY32" s="1888"/>
      <c r="HOZ32" s="1882"/>
      <c r="HPA32" s="1882"/>
      <c r="HPB32" s="1882"/>
      <c r="HPD32" s="1887"/>
      <c r="HPE32" s="1888"/>
      <c r="HPF32" s="1882"/>
      <c r="HPG32" s="1882"/>
      <c r="HPH32" s="1882"/>
      <c r="HPJ32" s="1887"/>
      <c r="HPK32" s="1888"/>
      <c r="HPL32" s="1882"/>
      <c r="HPM32" s="1882"/>
      <c r="HPN32" s="1882"/>
      <c r="HPP32" s="1887"/>
      <c r="HPQ32" s="1888"/>
      <c r="HPR32" s="1882"/>
      <c r="HPS32" s="1882"/>
      <c r="HPT32" s="1882"/>
      <c r="HPV32" s="1887"/>
      <c r="HPW32" s="1888"/>
      <c r="HPX32" s="1882"/>
      <c r="HPY32" s="1882"/>
      <c r="HPZ32" s="1882"/>
      <c r="HQB32" s="1887"/>
      <c r="HQC32" s="1888"/>
      <c r="HQD32" s="1882"/>
      <c r="HQE32" s="1882"/>
      <c r="HQF32" s="1882"/>
      <c r="HQH32" s="1887"/>
      <c r="HQI32" s="1888"/>
      <c r="HQJ32" s="1882"/>
      <c r="HQK32" s="1882"/>
      <c r="HQL32" s="1882"/>
      <c r="HQN32" s="1887"/>
      <c r="HQO32" s="1888"/>
      <c r="HQP32" s="1882"/>
      <c r="HQQ32" s="1882"/>
      <c r="HQR32" s="1882"/>
      <c r="HQT32" s="1887"/>
      <c r="HQU32" s="1888"/>
      <c r="HQV32" s="1882"/>
      <c r="HQW32" s="1882"/>
      <c r="HQX32" s="1882"/>
      <c r="HQZ32" s="1887"/>
      <c r="HRA32" s="1888"/>
      <c r="HRB32" s="1882"/>
      <c r="HRC32" s="1882"/>
      <c r="HRD32" s="1882"/>
      <c r="HRF32" s="1887"/>
      <c r="HRG32" s="1888"/>
      <c r="HRH32" s="1882"/>
      <c r="HRI32" s="1882"/>
      <c r="HRJ32" s="1882"/>
      <c r="HRL32" s="1887"/>
      <c r="HRM32" s="1888"/>
      <c r="HRN32" s="1882"/>
      <c r="HRO32" s="1882"/>
      <c r="HRP32" s="1882"/>
      <c r="HRR32" s="1887"/>
      <c r="HRS32" s="1888"/>
      <c r="HRT32" s="1882"/>
      <c r="HRU32" s="1882"/>
      <c r="HRV32" s="1882"/>
      <c r="HRX32" s="1887"/>
      <c r="HRY32" s="1888"/>
      <c r="HRZ32" s="1882"/>
      <c r="HSA32" s="1882"/>
      <c r="HSB32" s="1882"/>
      <c r="HSD32" s="1887"/>
      <c r="HSE32" s="1888"/>
      <c r="HSF32" s="1882"/>
      <c r="HSG32" s="1882"/>
      <c r="HSH32" s="1882"/>
      <c r="HSJ32" s="1887"/>
      <c r="HSK32" s="1888"/>
      <c r="HSL32" s="1882"/>
      <c r="HSM32" s="1882"/>
      <c r="HSN32" s="1882"/>
      <c r="HSP32" s="1887"/>
      <c r="HSQ32" s="1888"/>
      <c r="HSR32" s="1882"/>
      <c r="HSS32" s="1882"/>
      <c r="HST32" s="1882"/>
      <c r="HSV32" s="1887"/>
      <c r="HSW32" s="1888"/>
      <c r="HSX32" s="1882"/>
      <c r="HSY32" s="1882"/>
      <c r="HSZ32" s="1882"/>
      <c r="HTB32" s="1887"/>
      <c r="HTC32" s="1888"/>
      <c r="HTD32" s="1882"/>
      <c r="HTE32" s="1882"/>
      <c r="HTF32" s="1882"/>
      <c r="HTH32" s="1887"/>
      <c r="HTI32" s="1888"/>
      <c r="HTJ32" s="1882"/>
      <c r="HTK32" s="1882"/>
      <c r="HTL32" s="1882"/>
      <c r="HTN32" s="1887"/>
      <c r="HTO32" s="1888"/>
      <c r="HTP32" s="1882"/>
      <c r="HTQ32" s="1882"/>
      <c r="HTR32" s="1882"/>
      <c r="HTT32" s="1887"/>
      <c r="HTU32" s="1888"/>
      <c r="HTV32" s="1882"/>
      <c r="HTW32" s="1882"/>
      <c r="HTX32" s="1882"/>
      <c r="HTZ32" s="1887"/>
      <c r="HUA32" s="1888"/>
      <c r="HUB32" s="1882"/>
      <c r="HUC32" s="1882"/>
      <c r="HUD32" s="1882"/>
      <c r="HUF32" s="1887"/>
      <c r="HUG32" s="1888"/>
      <c r="HUH32" s="1882"/>
      <c r="HUI32" s="1882"/>
      <c r="HUJ32" s="1882"/>
      <c r="HUL32" s="1887"/>
      <c r="HUM32" s="1888"/>
      <c r="HUN32" s="1882"/>
      <c r="HUO32" s="1882"/>
      <c r="HUP32" s="1882"/>
      <c r="HUR32" s="1887"/>
      <c r="HUS32" s="1888"/>
      <c r="HUT32" s="1882"/>
      <c r="HUU32" s="1882"/>
      <c r="HUV32" s="1882"/>
      <c r="HUX32" s="1887"/>
      <c r="HUY32" s="1888"/>
      <c r="HUZ32" s="1882"/>
      <c r="HVA32" s="1882"/>
      <c r="HVB32" s="1882"/>
      <c r="HVD32" s="1887"/>
      <c r="HVE32" s="1888"/>
      <c r="HVF32" s="1882"/>
      <c r="HVG32" s="1882"/>
      <c r="HVH32" s="1882"/>
      <c r="HVJ32" s="1887"/>
      <c r="HVK32" s="1888"/>
      <c r="HVL32" s="1882"/>
      <c r="HVM32" s="1882"/>
      <c r="HVN32" s="1882"/>
      <c r="HVP32" s="1887"/>
      <c r="HVQ32" s="1888"/>
      <c r="HVR32" s="1882"/>
      <c r="HVS32" s="1882"/>
      <c r="HVT32" s="1882"/>
      <c r="HVV32" s="1887"/>
      <c r="HVW32" s="1888"/>
      <c r="HVX32" s="1882"/>
      <c r="HVY32" s="1882"/>
      <c r="HVZ32" s="1882"/>
      <c r="HWB32" s="1887"/>
      <c r="HWC32" s="1888"/>
      <c r="HWD32" s="1882"/>
      <c r="HWE32" s="1882"/>
      <c r="HWF32" s="1882"/>
      <c r="HWH32" s="1887"/>
      <c r="HWI32" s="1888"/>
      <c r="HWJ32" s="1882"/>
      <c r="HWK32" s="1882"/>
      <c r="HWL32" s="1882"/>
      <c r="HWN32" s="1887"/>
      <c r="HWO32" s="1888"/>
      <c r="HWP32" s="1882"/>
      <c r="HWQ32" s="1882"/>
      <c r="HWR32" s="1882"/>
      <c r="HWT32" s="1887"/>
      <c r="HWU32" s="1888"/>
      <c r="HWV32" s="1882"/>
      <c r="HWW32" s="1882"/>
      <c r="HWX32" s="1882"/>
      <c r="HWZ32" s="1887"/>
      <c r="HXA32" s="1888"/>
      <c r="HXB32" s="1882"/>
      <c r="HXC32" s="1882"/>
      <c r="HXD32" s="1882"/>
      <c r="HXF32" s="1887"/>
      <c r="HXG32" s="1888"/>
      <c r="HXH32" s="1882"/>
      <c r="HXI32" s="1882"/>
      <c r="HXJ32" s="1882"/>
      <c r="HXL32" s="1887"/>
      <c r="HXM32" s="1888"/>
      <c r="HXN32" s="1882"/>
      <c r="HXO32" s="1882"/>
      <c r="HXP32" s="1882"/>
      <c r="HXR32" s="1887"/>
      <c r="HXS32" s="1888"/>
      <c r="HXT32" s="1882"/>
      <c r="HXU32" s="1882"/>
      <c r="HXV32" s="1882"/>
      <c r="HXX32" s="1887"/>
      <c r="HXY32" s="1888"/>
      <c r="HXZ32" s="1882"/>
      <c r="HYA32" s="1882"/>
      <c r="HYB32" s="1882"/>
      <c r="HYD32" s="1887"/>
      <c r="HYE32" s="1888"/>
      <c r="HYF32" s="1882"/>
      <c r="HYG32" s="1882"/>
      <c r="HYH32" s="1882"/>
      <c r="HYJ32" s="1887"/>
      <c r="HYK32" s="1888"/>
      <c r="HYL32" s="1882"/>
      <c r="HYM32" s="1882"/>
      <c r="HYN32" s="1882"/>
      <c r="HYP32" s="1887"/>
      <c r="HYQ32" s="1888"/>
      <c r="HYR32" s="1882"/>
      <c r="HYS32" s="1882"/>
      <c r="HYT32" s="1882"/>
      <c r="HYV32" s="1887"/>
      <c r="HYW32" s="1888"/>
      <c r="HYX32" s="1882"/>
      <c r="HYY32" s="1882"/>
      <c r="HYZ32" s="1882"/>
      <c r="HZB32" s="1887"/>
      <c r="HZC32" s="1888"/>
      <c r="HZD32" s="1882"/>
      <c r="HZE32" s="1882"/>
      <c r="HZF32" s="1882"/>
      <c r="HZH32" s="1887"/>
      <c r="HZI32" s="1888"/>
      <c r="HZJ32" s="1882"/>
      <c r="HZK32" s="1882"/>
      <c r="HZL32" s="1882"/>
      <c r="HZN32" s="1887"/>
      <c r="HZO32" s="1888"/>
      <c r="HZP32" s="1882"/>
      <c r="HZQ32" s="1882"/>
      <c r="HZR32" s="1882"/>
      <c r="HZT32" s="1887"/>
      <c r="HZU32" s="1888"/>
      <c r="HZV32" s="1882"/>
      <c r="HZW32" s="1882"/>
      <c r="HZX32" s="1882"/>
      <c r="HZZ32" s="1887"/>
      <c r="IAA32" s="1888"/>
      <c r="IAB32" s="1882"/>
      <c r="IAC32" s="1882"/>
      <c r="IAD32" s="1882"/>
      <c r="IAF32" s="1887"/>
      <c r="IAG32" s="1888"/>
      <c r="IAH32" s="1882"/>
      <c r="IAI32" s="1882"/>
      <c r="IAJ32" s="1882"/>
      <c r="IAL32" s="1887"/>
      <c r="IAM32" s="1888"/>
      <c r="IAN32" s="1882"/>
      <c r="IAO32" s="1882"/>
      <c r="IAP32" s="1882"/>
      <c r="IAR32" s="1887"/>
      <c r="IAS32" s="1888"/>
      <c r="IAT32" s="1882"/>
      <c r="IAU32" s="1882"/>
      <c r="IAV32" s="1882"/>
      <c r="IAX32" s="1887"/>
      <c r="IAY32" s="1888"/>
      <c r="IAZ32" s="1882"/>
      <c r="IBA32" s="1882"/>
      <c r="IBB32" s="1882"/>
      <c r="IBD32" s="1887"/>
      <c r="IBE32" s="1888"/>
      <c r="IBF32" s="1882"/>
      <c r="IBG32" s="1882"/>
      <c r="IBH32" s="1882"/>
      <c r="IBJ32" s="1887"/>
      <c r="IBK32" s="1888"/>
      <c r="IBL32" s="1882"/>
      <c r="IBM32" s="1882"/>
      <c r="IBN32" s="1882"/>
      <c r="IBP32" s="1887"/>
      <c r="IBQ32" s="1888"/>
      <c r="IBR32" s="1882"/>
      <c r="IBS32" s="1882"/>
      <c r="IBT32" s="1882"/>
      <c r="IBV32" s="1887"/>
      <c r="IBW32" s="1888"/>
      <c r="IBX32" s="1882"/>
      <c r="IBY32" s="1882"/>
      <c r="IBZ32" s="1882"/>
      <c r="ICB32" s="1887"/>
      <c r="ICC32" s="1888"/>
      <c r="ICD32" s="1882"/>
      <c r="ICE32" s="1882"/>
      <c r="ICF32" s="1882"/>
      <c r="ICH32" s="1887"/>
      <c r="ICI32" s="1888"/>
      <c r="ICJ32" s="1882"/>
      <c r="ICK32" s="1882"/>
      <c r="ICL32" s="1882"/>
      <c r="ICN32" s="1887"/>
      <c r="ICO32" s="1888"/>
      <c r="ICP32" s="1882"/>
      <c r="ICQ32" s="1882"/>
      <c r="ICR32" s="1882"/>
      <c r="ICT32" s="1887"/>
      <c r="ICU32" s="1888"/>
      <c r="ICV32" s="1882"/>
      <c r="ICW32" s="1882"/>
      <c r="ICX32" s="1882"/>
      <c r="ICZ32" s="1887"/>
      <c r="IDA32" s="1888"/>
      <c r="IDB32" s="1882"/>
      <c r="IDC32" s="1882"/>
      <c r="IDD32" s="1882"/>
      <c r="IDF32" s="1887"/>
      <c r="IDG32" s="1888"/>
      <c r="IDH32" s="1882"/>
      <c r="IDI32" s="1882"/>
      <c r="IDJ32" s="1882"/>
      <c r="IDL32" s="1887"/>
      <c r="IDM32" s="1888"/>
      <c r="IDN32" s="1882"/>
      <c r="IDO32" s="1882"/>
      <c r="IDP32" s="1882"/>
      <c r="IDR32" s="1887"/>
      <c r="IDS32" s="1888"/>
      <c r="IDT32" s="1882"/>
      <c r="IDU32" s="1882"/>
      <c r="IDV32" s="1882"/>
      <c r="IDX32" s="1887"/>
      <c r="IDY32" s="1888"/>
      <c r="IDZ32" s="1882"/>
      <c r="IEA32" s="1882"/>
      <c r="IEB32" s="1882"/>
      <c r="IED32" s="1887"/>
      <c r="IEE32" s="1888"/>
      <c r="IEF32" s="1882"/>
      <c r="IEG32" s="1882"/>
      <c r="IEH32" s="1882"/>
      <c r="IEJ32" s="1887"/>
      <c r="IEK32" s="1888"/>
      <c r="IEL32" s="1882"/>
      <c r="IEM32" s="1882"/>
      <c r="IEN32" s="1882"/>
      <c r="IEP32" s="1887"/>
      <c r="IEQ32" s="1888"/>
      <c r="IER32" s="1882"/>
      <c r="IES32" s="1882"/>
      <c r="IET32" s="1882"/>
      <c r="IEV32" s="1887"/>
      <c r="IEW32" s="1888"/>
      <c r="IEX32" s="1882"/>
      <c r="IEY32" s="1882"/>
      <c r="IEZ32" s="1882"/>
      <c r="IFB32" s="1887"/>
      <c r="IFC32" s="1888"/>
      <c r="IFD32" s="1882"/>
      <c r="IFE32" s="1882"/>
      <c r="IFF32" s="1882"/>
      <c r="IFH32" s="1887"/>
      <c r="IFI32" s="1888"/>
      <c r="IFJ32" s="1882"/>
      <c r="IFK32" s="1882"/>
      <c r="IFL32" s="1882"/>
      <c r="IFN32" s="1887"/>
      <c r="IFO32" s="1888"/>
      <c r="IFP32" s="1882"/>
      <c r="IFQ32" s="1882"/>
      <c r="IFR32" s="1882"/>
      <c r="IFT32" s="1887"/>
      <c r="IFU32" s="1888"/>
      <c r="IFV32" s="1882"/>
      <c r="IFW32" s="1882"/>
      <c r="IFX32" s="1882"/>
      <c r="IFZ32" s="1887"/>
      <c r="IGA32" s="1888"/>
      <c r="IGB32" s="1882"/>
      <c r="IGC32" s="1882"/>
      <c r="IGD32" s="1882"/>
      <c r="IGF32" s="1887"/>
      <c r="IGG32" s="1888"/>
      <c r="IGH32" s="1882"/>
      <c r="IGI32" s="1882"/>
      <c r="IGJ32" s="1882"/>
      <c r="IGL32" s="1887"/>
      <c r="IGM32" s="1888"/>
      <c r="IGN32" s="1882"/>
      <c r="IGO32" s="1882"/>
      <c r="IGP32" s="1882"/>
      <c r="IGR32" s="1887"/>
      <c r="IGS32" s="1888"/>
      <c r="IGT32" s="1882"/>
      <c r="IGU32" s="1882"/>
      <c r="IGV32" s="1882"/>
      <c r="IGX32" s="1887"/>
      <c r="IGY32" s="1888"/>
      <c r="IGZ32" s="1882"/>
      <c r="IHA32" s="1882"/>
      <c r="IHB32" s="1882"/>
      <c r="IHD32" s="1887"/>
      <c r="IHE32" s="1888"/>
      <c r="IHF32" s="1882"/>
      <c r="IHG32" s="1882"/>
      <c r="IHH32" s="1882"/>
      <c r="IHJ32" s="1887"/>
      <c r="IHK32" s="1888"/>
      <c r="IHL32" s="1882"/>
      <c r="IHM32" s="1882"/>
      <c r="IHN32" s="1882"/>
      <c r="IHP32" s="1887"/>
      <c r="IHQ32" s="1888"/>
      <c r="IHR32" s="1882"/>
      <c r="IHS32" s="1882"/>
      <c r="IHT32" s="1882"/>
      <c r="IHV32" s="1887"/>
      <c r="IHW32" s="1888"/>
      <c r="IHX32" s="1882"/>
      <c r="IHY32" s="1882"/>
      <c r="IHZ32" s="1882"/>
      <c r="IIB32" s="1887"/>
      <c r="IIC32" s="1888"/>
      <c r="IID32" s="1882"/>
      <c r="IIE32" s="1882"/>
      <c r="IIF32" s="1882"/>
      <c r="IIH32" s="1887"/>
      <c r="III32" s="1888"/>
      <c r="IIJ32" s="1882"/>
      <c r="IIK32" s="1882"/>
      <c r="IIL32" s="1882"/>
      <c r="IIN32" s="1887"/>
      <c r="IIO32" s="1888"/>
      <c r="IIP32" s="1882"/>
      <c r="IIQ32" s="1882"/>
      <c r="IIR32" s="1882"/>
      <c r="IIT32" s="1887"/>
      <c r="IIU32" s="1888"/>
      <c r="IIV32" s="1882"/>
      <c r="IIW32" s="1882"/>
      <c r="IIX32" s="1882"/>
      <c r="IIZ32" s="1887"/>
      <c r="IJA32" s="1888"/>
      <c r="IJB32" s="1882"/>
      <c r="IJC32" s="1882"/>
      <c r="IJD32" s="1882"/>
      <c r="IJF32" s="1887"/>
      <c r="IJG32" s="1888"/>
      <c r="IJH32" s="1882"/>
      <c r="IJI32" s="1882"/>
      <c r="IJJ32" s="1882"/>
      <c r="IJL32" s="1887"/>
      <c r="IJM32" s="1888"/>
      <c r="IJN32" s="1882"/>
      <c r="IJO32" s="1882"/>
      <c r="IJP32" s="1882"/>
      <c r="IJR32" s="1887"/>
      <c r="IJS32" s="1888"/>
      <c r="IJT32" s="1882"/>
      <c r="IJU32" s="1882"/>
      <c r="IJV32" s="1882"/>
      <c r="IJX32" s="1887"/>
      <c r="IJY32" s="1888"/>
      <c r="IJZ32" s="1882"/>
      <c r="IKA32" s="1882"/>
      <c r="IKB32" s="1882"/>
      <c r="IKD32" s="1887"/>
      <c r="IKE32" s="1888"/>
      <c r="IKF32" s="1882"/>
      <c r="IKG32" s="1882"/>
      <c r="IKH32" s="1882"/>
      <c r="IKJ32" s="1887"/>
      <c r="IKK32" s="1888"/>
      <c r="IKL32" s="1882"/>
      <c r="IKM32" s="1882"/>
      <c r="IKN32" s="1882"/>
      <c r="IKP32" s="1887"/>
      <c r="IKQ32" s="1888"/>
      <c r="IKR32" s="1882"/>
      <c r="IKS32" s="1882"/>
      <c r="IKT32" s="1882"/>
      <c r="IKV32" s="1887"/>
      <c r="IKW32" s="1888"/>
      <c r="IKX32" s="1882"/>
      <c r="IKY32" s="1882"/>
      <c r="IKZ32" s="1882"/>
      <c r="ILB32" s="1887"/>
      <c r="ILC32" s="1888"/>
      <c r="ILD32" s="1882"/>
      <c r="ILE32" s="1882"/>
      <c r="ILF32" s="1882"/>
      <c r="ILH32" s="1887"/>
      <c r="ILI32" s="1888"/>
      <c r="ILJ32" s="1882"/>
      <c r="ILK32" s="1882"/>
      <c r="ILL32" s="1882"/>
      <c r="ILN32" s="1887"/>
      <c r="ILO32" s="1888"/>
      <c r="ILP32" s="1882"/>
      <c r="ILQ32" s="1882"/>
      <c r="ILR32" s="1882"/>
      <c r="ILT32" s="1887"/>
      <c r="ILU32" s="1888"/>
      <c r="ILV32" s="1882"/>
      <c r="ILW32" s="1882"/>
      <c r="ILX32" s="1882"/>
      <c r="ILZ32" s="1887"/>
      <c r="IMA32" s="1888"/>
      <c r="IMB32" s="1882"/>
      <c r="IMC32" s="1882"/>
      <c r="IMD32" s="1882"/>
      <c r="IMF32" s="1887"/>
      <c r="IMG32" s="1888"/>
      <c r="IMH32" s="1882"/>
      <c r="IMI32" s="1882"/>
      <c r="IMJ32" s="1882"/>
      <c r="IML32" s="1887"/>
      <c r="IMM32" s="1888"/>
      <c r="IMN32" s="1882"/>
      <c r="IMO32" s="1882"/>
      <c r="IMP32" s="1882"/>
      <c r="IMR32" s="1887"/>
      <c r="IMS32" s="1888"/>
      <c r="IMT32" s="1882"/>
      <c r="IMU32" s="1882"/>
      <c r="IMV32" s="1882"/>
      <c r="IMX32" s="1887"/>
      <c r="IMY32" s="1888"/>
      <c r="IMZ32" s="1882"/>
      <c r="INA32" s="1882"/>
      <c r="INB32" s="1882"/>
      <c r="IND32" s="1887"/>
      <c r="INE32" s="1888"/>
      <c r="INF32" s="1882"/>
      <c r="ING32" s="1882"/>
      <c r="INH32" s="1882"/>
      <c r="INJ32" s="1887"/>
      <c r="INK32" s="1888"/>
      <c r="INL32" s="1882"/>
      <c r="INM32" s="1882"/>
      <c r="INN32" s="1882"/>
      <c r="INP32" s="1887"/>
      <c r="INQ32" s="1888"/>
      <c r="INR32" s="1882"/>
      <c r="INS32" s="1882"/>
      <c r="INT32" s="1882"/>
      <c r="INV32" s="1887"/>
      <c r="INW32" s="1888"/>
      <c r="INX32" s="1882"/>
      <c r="INY32" s="1882"/>
      <c r="INZ32" s="1882"/>
      <c r="IOB32" s="1887"/>
      <c r="IOC32" s="1888"/>
      <c r="IOD32" s="1882"/>
      <c r="IOE32" s="1882"/>
      <c r="IOF32" s="1882"/>
      <c r="IOH32" s="1887"/>
      <c r="IOI32" s="1888"/>
      <c r="IOJ32" s="1882"/>
      <c r="IOK32" s="1882"/>
      <c r="IOL32" s="1882"/>
      <c r="ION32" s="1887"/>
      <c r="IOO32" s="1888"/>
      <c r="IOP32" s="1882"/>
      <c r="IOQ32" s="1882"/>
      <c r="IOR32" s="1882"/>
      <c r="IOT32" s="1887"/>
      <c r="IOU32" s="1888"/>
      <c r="IOV32" s="1882"/>
      <c r="IOW32" s="1882"/>
      <c r="IOX32" s="1882"/>
      <c r="IOZ32" s="1887"/>
      <c r="IPA32" s="1888"/>
      <c r="IPB32" s="1882"/>
      <c r="IPC32" s="1882"/>
      <c r="IPD32" s="1882"/>
      <c r="IPF32" s="1887"/>
      <c r="IPG32" s="1888"/>
      <c r="IPH32" s="1882"/>
      <c r="IPI32" s="1882"/>
      <c r="IPJ32" s="1882"/>
      <c r="IPL32" s="1887"/>
      <c r="IPM32" s="1888"/>
      <c r="IPN32" s="1882"/>
      <c r="IPO32" s="1882"/>
      <c r="IPP32" s="1882"/>
      <c r="IPR32" s="1887"/>
      <c r="IPS32" s="1888"/>
      <c r="IPT32" s="1882"/>
      <c r="IPU32" s="1882"/>
      <c r="IPV32" s="1882"/>
      <c r="IPX32" s="1887"/>
      <c r="IPY32" s="1888"/>
      <c r="IPZ32" s="1882"/>
      <c r="IQA32" s="1882"/>
      <c r="IQB32" s="1882"/>
      <c r="IQD32" s="1887"/>
      <c r="IQE32" s="1888"/>
      <c r="IQF32" s="1882"/>
      <c r="IQG32" s="1882"/>
      <c r="IQH32" s="1882"/>
      <c r="IQJ32" s="1887"/>
      <c r="IQK32" s="1888"/>
      <c r="IQL32" s="1882"/>
      <c r="IQM32" s="1882"/>
      <c r="IQN32" s="1882"/>
      <c r="IQP32" s="1887"/>
      <c r="IQQ32" s="1888"/>
      <c r="IQR32" s="1882"/>
      <c r="IQS32" s="1882"/>
      <c r="IQT32" s="1882"/>
      <c r="IQV32" s="1887"/>
      <c r="IQW32" s="1888"/>
      <c r="IQX32" s="1882"/>
      <c r="IQY32" s="1882"/>
      <c r="IQZ32" s="1882"/>
      <c r="IRB32" s="1887"/>
      <c r="IRC32" s="1888"/>
      <c r="IRD32" s="1882"/>
      <c r="IRE32" s="1882"/>
      <c r="IRF32" s="1882"/>
      <c r="IRH32" s="1887"/>
      <c r="IRI32" s="1888"/>
      <c r="IRJ32" s="1882"/>
      <c r="IRK32" s="1882"/>
      <c r="IRL32" s="1882"/>
      <c r="IRN32" s="1887"/>
      <c r="IRO32" s="1888"/>
      <c r="IRP32" s="1882"/>
      <c r="IRQ32" s="1882"/>
      <c r="IRR32" s="1882"/>
      <c r="IRT32" s="1887"/>
      <c r="IRU32" s="1888"/>
      <c r="IRV32" s="1882"/>
      <c r="IRW32" s="1882"/>
      <c r="IRX32" s="1882"/>
      <c r="IRZ32" s="1887"/>
      <c r="ISA32" s="1888"/>
      <c r="ISB32" s="1882"/>
      <c r="ISC32" s="1882"/>
      <c r="ISD32" s="1882"/>
      <c r="ISF32" s="1887"/>
      <c r="ISG32" s="1888"/>
      <c r="ISH32" s="1882"/>
      <c r="ISI32" s="1882"/>
      <c r="ISJ32" s="1882"/>
      <c r="ISL32" s="1887"/>
      <c r="ISM32" s="1888"/>
      <c r="ISN32" s="1882"/>
      <c r="ISO32" s="1882"/>
      <c r="ISP32" s="1882"/>
      <c r="ISR32" s="1887"/>
      <c r="ISS32" s="1888"/>
      <c r="IST32" s="1882"/>
      <c r="ISU32" s="1882"/>
      <c r="ISV32" s="1882"/>
      <c r="ISX32" s="1887"/>
      <c r="ISY32" s="1888"/>
      <c r="ISZ32" s="1882"/>
      <c r="ITA32" s="1882"/>
      <c r="ITB32" s="1882"/>
      <c r="ITD32" s="1887"/>
      <c r="ITE32" s="1888"/>
      <c r="ITF32" s="1882"/>
      <c r="ITG32" s="1882"/>
      <c r="ITH32" s="1882"/>
      <c r="ITJ32" s="1887"/>
      <c r="ITK32" s="1888"/>
      <c r="ITL32" s="1882"/>
      <c r="ITM32" s="1882"/>
      <c r="ITN32" s="1882"/>
      <c r="ITP32" s="1887"/>
      <c r="ITQ32" s="1888"/>
      <c r="ITR32" s="1882"/>
      <c r="ITS32" s="1882"/>
      <c r="ITT32" s="1882"/>
      <c r="ITV32" s="1887"/>
      <c r="ITW32" s="1888"/>
      <c r="ITX32" s="1882"/>
      <c r="ITY32" s="1882"/>
      <c r="ITZ32" s="1882"/>
      <c r="IUB32" s="1887"/>
      <c r="IUC32" s="1888"/>
      <c r="IUD32" s="1882"/>
      <c r="IUE32" s="1882"/>
      <c r="IUF32" s="1882"/>
      <c r="IUH32" s="1887"/>
      <c r="IUI32" s="1888"/>
      <c r="IUJ32" s="1882"/>
      <c r="IUK32" s="1882"/>
      <c r="IUL32" s="1882"/>
      <c r="IUN32" s="1887"/>
      <c r="IUO32" s="1888"/>
      <c r="IUP32" s="1882"/>
      <c r="IUQ32" s="1882"/>
      <c r="IUR32" s="1882"/>
      <c r="IUT32" s="1887"/>
      <c r="IUU32" s="1888"/>
      <c r="IUV32" s="1882"/>
      <c r="IUW32" s="1882"/>
      <c r="IUX32" s="1882"/>
      <c r="IUZ32" s="1887"/>
      <c r="IVA32" s="1888"/>
      <c r="IVB32" s="1882"/>
      <c r="IVC32" s="1882"/>
      <c r="IVD32" s="1882"/>
      <c r="IVF32" s="1887"/>
      <c r="IVG32" s="1888"/>
      <c r="IVH32" s="1882"/>
      <c r="IVI32" s="1882"/>
      <c r="IVJ32" s="1882"/>
      <c r="IVL32" s="1887"/>
      <c r="IVM32" s="1888"/>
      <c r="IVN32" s="1882"/>
      <c r="IVO32" s="1882"/>
      <c r="IVP32" s="1882"/>
      <c r="IVR32" s="1887"/>
      <c r="IVS32" s="1888"/>
      <c r="IVT32" s="1882"/>
      <c r="IVU32" s="1882"/>
      <c r="IVV32" s="1882"/>
      <c r="IVX32" s="1887"/>
      <c r="IVY32" s="1888"/>
      <c r="IVZ32" s="1882"/>
      <c r="IWA32" s="1882"/>
      <c r="IWB32" s="1882"/>
      <c r="IWD32" s="1887"/>
      <c r="IWE32" s="1888"/>
      <c r="IWF32" s="1882"/>
      <c r="IWG32" s="1882"/>
      <c r="IWH32" s="1882"/>
      <c r="IWJ32" s="1887"/>
      <c r="IWK32" s="1888"/>
      <c r="IWL32" s="1882"/>
      <c r="IWM32" s="1882"/>
      <c r="IWN32" s="1882"/>
      <c r="IWP32" s="1887"/>
      <c r="IWQ32" s="1888"/>
      <c r="IWR32" s="1882"/>
      <c r="IWS32" s="1882"/>
      <c r="IWT32" s="1882"/>
      <c r="IWV32" s="1887"/>
      <c r="IWW32" s="1888"/>
      <c r="IWX32" s="1882"/>
      <c r="IWY32" s="1882"/>
      <c r="IWZ32" s="1882"/>
      <c r="IXB32" s="1887"/>
      <c r="IXC32" s="1888"/>
      <c r="IXD32" s="1882"/>
      <c r="IXE32" s="1882"/>
      <c r="IXF32" s="1882"/>
      <c r="IXH32" s="1887"/>
      <c r="IXI32" s="1888"/>
      <c r="IXJ32" s="1882"/>
      <c r="IXK32" s="1882"/>
      <c r="IXL32" s="1882"/>
      <c r="IXN32" s="1887"/>
      <c r="IXO32" s="1888"/>
      <c r="IXP32" s="1882"/>
      <c r="IXQ32" s="1882"/>
      <c r="IXR32" s="1882"/>
      <c r="IXT32" s="1887"/>
      <c r="IXU32" s="1888"/>
      <c r="IXV32" s="1882"/>
      <c r="IXW32" s="1882"/>
      <c r="IXX32" s="1882"/>
      <c r="IXZ32" s="1887"/>
      <c r="IYA32" s="1888"/>
      <c r="IYB32" s="1882"/>
      <c r="IYC32" s="1882"/>
      <c r="IYD32" s="1882"/>
      <c r="IYF32" s="1887"/>
      <c r="IYG32" s="1888"/>
      <c r="IYH32" s="1882"/>
      <c r="IYI32" s="1882"/>
      <c r="IYJ32" s="1882"/>
      <c r="IYL32" s="1887"/>
      <c r="IYM32" s="1888"/>
      <c r="IYN32" s="1882"/>
      <c r="IYO32" s="1882"/>
      <c r="IYP32" s="1882"/>
      <c r="IYR32" s="1887"/>
      <c r="IYS32" s="1888"/>
      <c r="IYT32" s="1882"/>
      <c r="IYU32" s="1882"/>
      <c r="IYV32" s="1882"/>
      <c r="IYX32" s="1887"/>
      <c r="IYY32" s="1888"/>
      <c r="IYZ32" s="1882"/>
      <c r="IZA32" s="1882"/>
      <c r="IZB32" s="1882"/>
      <c r="IZD32" s="1887"/>
      <c r="IZE32" s="1888"/>
      <c r="IZF32" s="1882"/>
      <c r="IZG32" s="1882"/>
      <c r="IZH32" s="1882"/>
      <c r="IZJ32" s="1887"/>
      <c r="IZK32" s="1888"/>
      <c r="IZL32" s="1882"/>
      <c r="IZM32" s="1882"/>
      <c r="IZN32" s="1882"/>
      <c r="IZP32" s="1887"/>
      <c r="IZQ32" s="1888"/>
      <c r="IZR32" s="1882"/>
      <c r="IZS32" s="1882"/>
      <c r="IZT32" s="1882"/>
      <c r="IZV32" s="1887"/>
      <c r="IZW32" s="1888"/>
      <c r="IZX32" s="1882"/>
      <c r="IZY32" s="1882"/>
      <c r="IZZ32" s="1882"/>
      <c r="JAB32" s="1887"/>
      <c r="JAC32" s="1888"/>
      <c r="JAD32" s="1882"/>
      <c r="JAE32" s="1882"/>
      <c r="JAF32" s="1882"/>
      <c r="JAH32" s="1887"/>
      <c r="JAI32" s="1888"/>
      <c r="JAJ32" s="1882"/>
      <c r="JAK32" s="1882"/>
      <c r="JAL32" s="1882"/>
      <c r="JAN32" s="1887"/>
      <c r="JAO32" s="1888"/>
      <c r="JAP32" s="1882"/>
      <c r="JAQ32" s="1882"/>
      <c r="JAR32" s="1882"/>
      <c r="JAT32" s="1887"/>
      <c r="JAU32" s="1888"/>
      <c r="JAV32" s="1882"/>
      <c r="JAW32" s="1882"/>
      <c r="JAX32" s="1882"/>
      <c r="JAZ32" s="1887"/>
      <c r="JBA32" s="1888"/>
      <c r="JBB32" s="1882"/>
      <c r="JBC32" s="1882"/>
      <c r="JBD32" s="1882"/>
      <c r="JBF32" s="1887"/>
      <c r="JBG32" s="1888"/>
      <c r="JBH32" s="1882"/>
      <c r="JBI32" s="1882"/>
      <c r="JBJ32" s="1882"/>
      <c r="JBL32" s="1887"/>
      <c r="JBM32" s="1888"/>
      <c r="JBN32" s="1882"/>
      <c r="JBO32" s="1882"/>
      <c r="JBP32" s="1882"/>
      <c r="JBR32" s="1887"/>
      <c r="JBS32" s="1888"/>
      <c r="JBT32" s="1882"/>
      <c r="JBU32" s="1882"/>
      <c r="JBV32" s="1882"/>
      <c r="JBX32" s="1887"/>
      <c r="JBY32" s="1888"/>
      <c r="JBZ32" s="1882"/>
      <c r="JCA32" s="1882"/>
      <c r="JCB32" s="1882"/>
      <c r="JCD32" s="1887"/>
      <c r="JCE32" s="1888"/>
      <c r="JCF32" s="1882"/>
      <c r="JCG32" s="1882"/>
      <c r="JCH32" s="1882"/>
      <c r="JCJ32" s="1887"/>
      <c r="JCK32" s="1888"/>
      <c r="JCL32" s="1882"/>
      <c r="JCM32" s="1882"/>
      <c r="JCN32" s="1882"/>
      <c r="JCP32" s="1887"/>
      <c r="JCQ32" s="1888"/>
      <c r="JCR32" s="1882"/>
      <c r="JCS32" s="1882"/>
      <c r="JCT32" s="1882"/>
      <c r="JCV32" s="1887"/>
      <c r="JCW32" s="1888"/>
      <c r="JCX32" s="1882"/>
      <c r="JCY32" s="1882"/>
      <c r="JCZ32" s="1882"/>
      <c r="JDB32" s="1887"/>
      <c r="JDC32" s="1888"/>
      <c r="JDD32" s="1882"/>
      <c r="JDE32" s="1882"/>
      <c r="JDF32" s="1882"/>
      <c r="JDH32" s="1887"/>
      <c r="JDI32" s="1888"/>
      <c r="JDJ32" s="1882"/>
      <c r="JDK32" s="1882"/>
      <c r="JDL32" s="1882"/>
      <c r="JDN32" s="1887"/>
      <c r="JDO32" s="1888"/>
      <c r="JDP32" s="1882"/>
      <c r="JDQ32" s="1882"/>
      <c r="JDR32" s="1882"/>
      <c r="JDT32" s="1887"/>
      <c r="JDU32" s="1888"/>
      <c r="JDV32" s="1882"/>
      <c r="JDW32" s="1882"/>
      <c r="JDX32" s="1882"/>
      <c r="JDZ32" s="1887"/>
      <c r="JEA32" s="1888"/>
      <c r="JEB32" s="1882"/>
      <c r="JEC32" s="1882"/>
      <c r="JED32" s="1882"/>
      <c r="JEF32" s="1887"/>
      <c r="JEG32" s="1888"/>
      <c r="JEH32" s="1882"/>
      <c r="JEI32" s="1882"/>
      <c r="JEJ32" s="1882"/>
      <c r="JEL32" s="1887"/>
      <c r="JEM32" s="1888"/>
      <c r="JEN32" s="1882"/>
      <c r="JEO32" s="1882"/>
      <c r="JEP32" s="1882"/>
      <c r="JER32" s="1887"/>
      <c r="JES32" s="1888"/>
      <c r="JET32" s="1882"/>
      <c r="JEU32" s="1882"/>
      <c r="JEV32" s="1882"/>
      <c r="JEX32" s="1887"/>
      <c r="JEY32" s="1888"/>
      <c r="JEZ32" s="1882"/>
      <c r="JFA32" s="1882"/>
      <c r="JFB32" s="1882"/>
      <c r="JFD32" s="1887"/>
      <c r="JFE32" s="1888"/>
      <c r="JFF32" s="1882"/>
      <c r="JFG32" s="1882"/>
      <c r="JFH32" s="1882"/>
      <c r="JFJ32" s="1887"/>
      <c r="JFK32" s="1888"/>
      <c r="JFL32" s="1882"/>
      <c r="JFM32" s="1882"/>
      <c r="JFN32" s="1882"/>
      <c r="JFP32" s="1887"/>
      <c r="JFQ32" s="1888"/>
      <c r="JFR32" s="1882"/>
      <c r="JFS32" s="1882"/>
      <c r="JFT32" s="1882"/>
      <c r="JFV32" s="1887"/>
      <c r="JFW32" s="1888"/>
      <c r="JFX32" s="1882"/>
      <c r="JFY32" s="1882"/>
      <c r="JFZ32" s="1882"/>
      <c r="JGB32" s="1887"/>
      <c r="JGC32" s="1888"/>
      <c r="JGD32" s="1882"/>
      <c r="JGE32" s="1882"/>
      <c r="JGF32" s="1882"/>
      <c r="JGH32" s="1887"/>
      <c r="JGI32" s="1888"/>
      <c r="JGJ32" s="1882"/>
      <c r="JGK32" s="1882"/>
      <c r="JGL32" s="1882"/>
      <c r="JGN32" s="1887"/>
      <c r="JGO32" s="1888"/>
      <c r="JGP32" s="1882"/>
      <c r="JGQ32" s="1882"/>
      <c r="JGR32" s="1882"/>
      <c r="JGT32" s="1887"/>
      <c r="JGU32" s="1888"/>
      <c r="JGV32" s="1882"/>
      <c r="JGW32" s="1882"/>
      <c r="JGX32" s="1882"/>
      <c r="JGZ32" s="1887"/>
      <c r="JHA32" s="1888"/>
      <c r="JHB32" s="1882"/>
      <c r="JHC32" s="1882"/>
      <c r="JHD32" s="1882"/>
      <c r="JHF32" s="1887"/>
      <c r="JHG32" s="1888"/>
      <c r="JHH32" s="1882"/>
      <c r="JHI32" s="1882"/>
      <c r="JHJ32" s="1882"/>
      <c r="JHL32" s="1887"/>
      <c r="JHM32" s="1888"/>
      <c r="JHN32" s="1882"/>
      <c r="JHO32" s="1882"/>
      <c r="JHP32" s="1882"/>
      <c r="JHR32" s="1887"/>
      <c r="JHS32" s="1888"/>
      <c r="JHT32" s="1882"/>
      <c r="JHU32" s="1882"/>
      <c r="JHV32" s="1882"/>
      <c r="JHX32" s="1887"/>
      <c r="JHY32" s="1888"/>
      <c r="JHZ32" s="1882"/>
      <c r="JIA32" s="1882"/>
      <c r="JIB32" s="1882"/>
      <c r="JID32" s="1887"/>
      <c r="JIE32" s="1888"/>
      <c r="JIF32" s="1882"/>
      <c r="JIG32" s="1882"/>
      <c r="JIH32" s="1882"/>
      <c r="JIJ32" s="1887"/>
      <c r="JIK32" s="1888"/>
      <c r="JIL32" s="1882"/>
      <c r="JIM32" s="1882"/>
      <c r="JIN32" s="1882"/>
      <c r="JIP32" s="1887"/>
      <c r="JIQ32" s="1888"/>
      <c r="JIR32" s="1882"/>
      <c r="JIS32" s="1882"/>
      <c r="JIT32" s="1882"/>
      <c r="JIV32" s="1887"/>
      <c r="JIW32" s="1888"/>
      <c r="JIX32" s="1882"/>
      <c r="JIY32" s="1882"/>
      <c r="JIZ32" s="1882"/>
      <c r="JJB32" s="1887"/>
      <c r="JJC32" s="1888"/>
      <c r="JJD32" s="1882"/>
      <c r="JJE32" s="1882"/>
      <c r="JJF32" s="1882"/>
      <c r="JJH32" s="1887"/>
      <c r="JJI32" s="1888"/>
      <c r="JJJ32" s="1882"/>
      <c r="JJK32" s="1882"/>
      <c r="JJL32" s="1882"/>
      <c r="JJN32" s="1887"/>
      <c r="JJO32" s="1888"/>
      <c r="JJP32" s="1882"/>
      <c r="JJQ32" s="1882"/>
      <c r="JJR32" s="1882"/>
      <c r="JJT32" s="1887"/>
      <c r="JJU32" s="1888"/>
      <c r="JJV32" s="1882"/>
      <c r="JJW32" s="1882"/>
      <c r="JJX32" s="1882"/>
      <c r="JJZ32" s="1887"/>
      <c r="JKA32" s="1888"/>
      <c r="JKB32" s="1882"/>
      <c r="JKC32" s="1882"/>
      <c r="JKD32" s="1882"/>
      <c r="JKF32" s="1887"/>
      <c r="JKG32" s="1888"/>
      <c r="JKH32" s="1882"/>
      <c r="JKI32" s="1882"/>
      <c r="JKJ32" s="1882"/>
      <c r="JKL32" s="1887"/>
      <c r="JKM32" s="1888"/>
      <c r="JKN32" s="1882"/>
      <c r="JKO32" s="1882"/>
      <c r="JKP32" s="1882"/>
      <c r="JKR32" s="1887"/>
      <c r="JKS32" s="1888"/>
      <c r="JKT32" s="1882"/>
      <c r="JKU32" s="1882"/>
      <c r="JKV32" s="1882"/>
      <c r="JKX32" s="1887"/>
      <c r="JKY32" s="1888"/>
      <c r="JKZ32" s="1882"/>
      <c r="JLA32" s="1882"/>
      <c r="JLB32" s="1882"/>
      <c r="JLD32" s="1887"/>
      <c r="JLE32" s="1888"/>
      <c r="JLF32" s="1882"/>
      <c r="JLG32" s="1882"/>
      <c r="JLH32" s="1882"/>
      <c r="JLJ32" s="1887"/>
      <c r="JLK32" s="1888"/>
      <c r="JLL32" s="1882"/>
      <c r="JLM32" s="1882"/>
      <c r="JLN32" s="1882"/>
      <c r="JLP32" s="1887"/>
      <c r="JLQ32" s="1888"/>
      <c r="JLR32" s="1882"/>
      <c r="JLS32" s="1882"/>
      <c r="JLT32" s="1882"/>
      <c r="JLV32" s="1887"/>
      <c r="JLW32" s="1888"/>
      <c r="JLX32" s="1882"/>
      <c r="JLY32" s="1882"/>
      <c r="JLZ32" s="1882"/>
      <c r="JMB32" s="1887"/>
      <c r="JMC32" s="1888"/>
      <c r="JMD32" s="1882"/>
      <c r="JME32" s="1882"/>
      <c r="JMF32" s="1882"/>
      <c r="JMH32" s="1887"/>
      <c r="JMI32" s="1888"/>
      <c r="JMJ32" s="1882"/>
      <c r="JMK32" s="1882"/>
      <c r="JML32" s="1882"/>
      <c r="JMN32" s="1887"/>
      <c r="JMO32" s="1888"/>
      <c r="JMP32" s="1882"/>
      <c r="JMQ32" s="1882"/>
      <c r="JMR32" s="1882"/>
      <c r="JMT32" s="1887"/>
      <c r="JMU32" s="1888"/>
      <c r="JMV32" s="1882"/>
      <c r="JMW32" s="1882"/>
      <c r="JMX32" s="1882"/>
      <c r="JMZ32" s="1887"/>
      <c r="JNA32" s="1888"/>
      <c r="JNB32" s="1882"/>
      <c r="JNC32" s="1882"/>
      <c r="JND32" s="1882"/>
      <c r="JNF32" s="1887"/>
      <c r="JNG32" s="1888"/>
      <c r="JNH32" s="1882"/>
      <c r="JNI32" s="1882"/>
      <c r="JNJ32" s="1882"/>
      <c r="JNL32" s="1887"/>
      <c r="JNM32" s="1888"/>
      <c r="JNN32" s="1882"/>
      <c r="JNO32" s="1882"/>
      <c r="JNP32" s="1882"/>
      <c r="JNR32" s="1887"/>
      <c r="JNS32" s="1888"/>
      <c r="JNT32" s="1882"/>
      <c r="JNU32" s="1882"/>
      <c r="JNV32" s="1882"/>
      <c r="JNX32" s="1887"/>
      <c r="JNY32" s="1888"/>
      <c r="JNZ32" s="1882"/>
      <c r="JOA32" s="1882"/>
      <c r="JOB32" s="1882"/>
      <c r="JOD32" s="1887"/>
      <c r="JOE32" s="1888"/>
      <c r="JOF32" s="1882"/>
      <c r="JOG32" s="1882"/>
      <c r="JOH32" s="1882"/>
      <c r="JOJ32" s="1887"/>
      <c r="JOK32" s="1888"/>
      <c r="JOL32" s="1882"/>
      <c r="JOM32" s="1882"/>
      <c r="JON32" s="1882"/>
      <c r="JOP32" s="1887"/>
      <c r="JOQ32" s="1888"/>
      <c r="JOR32" s="1882"/>
      <c r="JOS32" s="1882"/>
      <c r="JOT32" s="1882"/>
      <c r="JOV32" s="1887"/>
      <c r="JOW32" s="1888"/>
      <c r="JOX32" s="1882"/>
      <c r="JOY32" s="1882"/>
      <c r="JOZ32" s="1882"/>
      <c r="JPB32" s="1887"/>
      <c r="JPC32" s="1888"/>
      <c r="JPD32" s="1882"/>
      <c r="JPE32" s="1882"/>
      <c r="JPF32" s="1882"/>
      <c r="JPH32" s="1887"/>
      <c r="JPI32" s="1888"/>
      <c r="JPJ32" s="1882"/>
      <c r="JPK32" s="1882"/>
      <c r="JPL32" s="1882"/>
      <c r="JPN32" s="1887"/>
      <c r="JPO32" s="1888"/>
      <c r="JPP32" s="1882"/>
      <c r="JPQ32" s="1882"/>
      <c r="JPR32" s="1882"/>
      <c r="JPT32" s="1887"/>
      <c r="JPU32" s="1888"/>
      <c r="JPV32" s="1882"/>
      <c r="JPW32" s="1882"/>
      <c r="JPX32" s="1882"/>
      <c r="JPZ32" s="1887"/>
      <c r="JQA32" s="1888"/>
      <c r="JQB32" s="1882"/>
      <c r="JQC32" s="1882"/>
      <c r="JQD32" s="1882"/>
      <c r="JQF32" s="1887"/>
      <c r="JQG32" s="1888"/>
      <c r="JQH32" s="1882"/>
      <c r="JQI32" s="1882"/>
      <c r="JQJ32" s="1882"/>
      <c r="JQL32" s="1887"/>
      <c r="JQM32" s="1888"/>
      <c r="JQN32" s="1882"/>
      <c r="JQO32" s="1882"/>
      <c r="JQP32" s="1882"/>
      <c r="JQR32" s="1887"/>
      <c r="JQS32" s="1888"/>
      <c r="JQT32" s="1882"/>
      <c r="JQU32" s="1882"/>
      <c r="JQV32" s="1882"/>
      <c r="JQX32" s="1887"/>
      <c r="JQY32" s="1888"/>
      <c r="JQZ32" s="1882"/>
      <c r="JRA32" s="1882"/>
      <c r="JRB32" s="1882"/>
      <c r="JRD32" s="1887"/>
      <c r="JRE32" s="1888"/>
      <c r="JRF32" s="1882"/>
      <c r="JRG32" s="1882"/>
      <c r="JRH32" s="1882"/>
      <c r="JRJ32" s="1887"/>
      <c r="JRK32" s="1888"/>
      <c r="JRL32" s="1882"/>
      <c r="JRM32" s="1882"/>
      <c r="JRN32" s="1882"/>
      <c r="JRP32" s="1887"/>
      <c r="JRQ32" s="1888"/>
      <c r="JRR32" s="1882"/>
      <c r="JRS32" s="1882"/>
      <c r="JRT32" s="1882"/>
      <c r="JRV32" s="1887"/>
      <c r="JRW32" s="1888"/>
      <c r="JRX32" s="1882"/>
      <c r="JRY32" s="1882"/>
      <c r="JRZ32" s="1882"/>
      <c r="JSB32" s="1887"/>
      <c r="JSC32" s="1888"/>
      <c r="JSD32" s="1882"/>
      <c r="JSE32" s="1882"/>
      <c r="JSF32" s="1882"/>
      <c r="JSH32" s="1887"/>
      <c r="JSI32" s="1888"/>
      <c r="JSJ32" s="1882"/>
      <c r="JSK32" s="1882"/>
      <c r="JSL32" s="1882"/>
      <c r="JSN32" s="1887"/>
      <c r="JSO32" s="1888"/>
      <c r="JSP32" s="1882"/>
      <c r="JSQ32" s="1882"/>
      <c r="JSR32" s="1882"/>
      <c r="JST32" s="1887"/>
      <c r="JSU32" s="1888"/>
      <c r="JSV32" s="1882"/>
      <c r="JSW32" s="1882"/>
      <c r="JSX32" s="1882"/>
      <c r="JSZ32" s="1887"/>
      <c r="JTA32" s="1888"/>
      <c r="JTB32" s="1882"/>
      <c r="JTC32" s="1882"/>
      <c r="JTD32" s="1882"/>
      <c r="JTF32" s="1887"/>
      <c r="JTG32" s="1888"/>
      <c r="JTH32" s="1882"/>
      <c r="JTI32" s="1882"/>
      <c r="JTJ32" s="1882"/>
      <c r="JTL32" s="1887"/>
      <c r="JTM32" s="1888"/>
      <c r="JTN32" s="1882"/>
      <c r="JTO32" s="1882"/>
      <c r="JTP32" s="1882"/>
      <c r="JTR32" s="1887"/>
      <c r="JTS32" s="1888"/>
      <c r="JTT32" s="1882"/>
      <c r="JTU32" s="1882"/>
      <c r="JTV32" s="1882"/>
      <c r="JTX32" s="1887"/>
      <c r="JTY32" s="1888"/>
      <c r="JTZ32" s="1882"/>
      <c r="JUA32" s="1882"/>
      <c r="JUB32" s="1882"/>
      <c r="JUD32" s="1887"/>
      <c r="JUE32" s="1888"/>
      <c r="JUF32" s="1882"/>
      <c r="JUG32" s="1882"/>
      <c r="JUH32" s="1882"/>
      <c r="JUJ32" s="1887"/>
      <c r="JUK32" s="1888"/>
      <c r="JUL32" s="1882"/>
      <c r="JUM32" s="1882"/>
      <c r="JUN32" s="1882"/>
      <c r="JUP32" s="1887"/>
      <c r="JUQ32" s="1888"/>
      <c r="JUR32" s="1882"/>
      <c r="JUS32" s="1882"/>
      <c r="JUT32" s="1882"/>
      <c r="JUV32" s="1887"/>
      <c r="JUW32" s="1888"/>
      <c r="JUX32" s="1882"/>
      <c r="JUY32" s="1882"/>
      <c r="JUZ32" s="1882"/>
      <c r="JVB32" s="1887"/>
      <c r="JVC32" s="1888"/>
      <c r="JVD32" s="1882"/>
      <c r="JVE32" s="1882"/>
      <c r="JVF32" s="1882"/>
      <c r="JVH32" s="1887"/>
      <c r="JVI32" s="1888"/>
      <c r="JVJ32" s="1882"/>
      <c r="JVK32" s="1882"/>
      <c r="JVL32" s="1882"/>
      <c r="JVN32" s="1887"/>
      <c r="JVO32" s="1888"/>
      <c r="JVP32" s="1882"/>
      <c r="JVQ32" s="1882"/>
      <c r="JVR32" s="1882"/>
      <c r="JVT32" s="1887"/>
      <c r="JVU32" s="1888"/>
      <c r="JVV32" s="1882"/>
      <c r="JVW32" s="1882"/>
      <c r="JVX32" s="1882"/>
      <c r="JVZ32" s="1887"/>
      <c r="JWA32" s="1888"/>
      <c r="JWB32" s="1882"/>
      <c r="JWC32" s="1882"/>
      <c r="JWD32" s="1882"/>
      <c r="JWF32" s="1887"/>
      <c r="JWG32" s="1888"/>
      <c r="JWH32" s="1882"/>
      <c r="JWI32" s="1882"/>
      <c r="JWJ32" s="1882"/>
      <c r="JWL32" s="1887"/>
      <c r="JWM32" s="1888"/>
      <c r="JWN32" s="1882"/>
      <c r="JWO32" s="1882"/>
      <c r="JWP32" s="1882"/>
      <c r="JWR32" s="1887"/>
      <c r="JWS32" s="1888"/>
      <c r="JWT32" s="1882"/>
      <c r="JWU32" s="1882"/>
      <c r="JWV32" s="1882"/>
      <c r="JWX32" s="1887"/>
      <c r="JWY32" s="1888"/>
      <c r="JWZ32" s="1882"/>
      <c r="JXA32" s="1882"/>
      <c r="JXB32" s="1882"/>
      <c r="JXD32" s="1887"/>
      <c r="JXE32" s="1888"/>
      <c r="JXF32" s="1882"/>
      <c r="JXG32" s="1882"/>
      <c r="JXH32" s="1882"/>
      <c r="JXJ32" s="1887"/>
      <c r="JXK32" s="1888"/>
      <c r="JXL32" s="1882"/>
      <c r="JXM32" s="1882"/>
      <c r="JXN32" s="1882"/>
      <c r="JXP32" s="1887"/>
      <c r="JXQ32" s="1888"/>
      <c r="JXR32" s="1882"/>
      <c r="JXS32" s="1882"/>
      <c r="JXT32" s="1882"/>
      <c r="JXV32" s="1887"/>
      <c r="JXW32" s="1888"/>
      <c r="JXX32" s="1882"/>
      <c r="JXY32" s="1882"/>
      <c r="JXZ32" s="1882"/>
      <c r="JYB32" s="1887"/>
      <c r="JYC32" s="1888"/>
      <c r="JYD32" s="1882"/>
      <c r="JYE32" s="1882"/>
      <c r="JYF32" s="1882"/>
      <c r="JYH32" s="1887"/>
      <c r="JYI32" s="1888"/>
      <c r="JYJ32" s="1882"/>
      <c r="JYK32" s="1882"/>
      <c r="JYL32" s="1882"/>
      <c r="JYN32" s="1887"/>
      <c r="JYO32" s="1888"/>
      <c r="JYP32" s="1882"/>
      <c r="JYQ32" s="1882"/>
      <c r="JYR32" s="1882"/>
      <c r="JYT32" s="1887"/>
      <c r="JYU32" s="1888"/>
      <c r="JYV32" s="1882"/>
      <c r="JYW32" s="1882"/>
      <c r="JYX32" s="1882"/>
      <c r="JYZ32" s="1887"/>
      <c r="JZA32" s="1888"/>
      <c r="JZB32" s="1882"/>
      <c r="JZC32" s="1882"/>
      <c r="JZD32" s="1882"/>
      <c r="JZF32" s="1887"/>
      <c r="JZG32" s="1888"/>
      <c r="JZH32" s="1882"/>
      <c r="JZI32" s="1882"/>
      <c r="JZJ32" s="1882"/>
      <c r="JZL32" s="1887"/>
      <c r="JZM32" s="1888"/>
      <c r="JZN32" s="1882"/>
      <c r="JZO32" s="1882"/>
      <c r="JZP32" s="1882"/>
      <c r="JZR32" s="1887"/>
      <c r="JZS32" s="1888"/>
      <c r="JZT32" s="1882"/>
      <c r="JZU32" s="1882"/>
      <c r="JZV32" s="1882"/>
      <c r="JZX32" s="1887"/>
      <c r="JZY32" s="1888"/>
      <c r="JZZ32" s="1882"/>
      <c r="KAA32" s="1882"/>
      <c r="KAB32" s="1882"/>
      <c r="KAD32" s="1887"/>
      <c r="KAE32" s="1888"/>
      <c r="KAF32" s="1882"/>
      <c r="KAG32" s="1882"/>
      <c r="KAH32" s="1882"/>
      <c r="KAJ32" s="1887"/>
      <c r="KAK32" s="1888"/>
      <c r="KAL32" s="1882"/>
      <c r="KAM32" s="1882"/>
      <c r="KAN32" s="1882"/>
      <c r="KAP32" s="1887"/>
      <c r="KAQ32" s="1888"/>
      <c r="KAR32" s="1882"/>
      <c r="KAS32" s="1882"/>
      <c r="KAT32" s="1882"/>
      <c r="KAV32" s="1887"/>
      <c r="KAW32" s="1888"/>
      <c r="KAX32" s="1882"/>
      <c r="KAY32" s="1882"/>
      <c r="KAZ32" s="1882"/>
      <c r="KBB32" s="1887"/>
      <c r="KBC32" s="1888"/>
      <c r="KBD32" s="1882"/>
      <c r="KBE32" s="1882"/>
      <c r="KBF32" s="1882"/>
      <c r="KBH32" s="1887"/>
      <c r="KBI32" s="1888"/>
      <c r="KBJ32" s="1882"/>
      <c r="KBK32" s="1882"/>
      <c r="KBL32" s="1882"/>
      <c r="KBN32" s="1887"/>
      <c r="KBO32" s="1888"/>
      <c r="KBP32" s="1882"/>
      <c r="KBQ32" s="1882"/>
      <c r="KBR32" s="1882"/>
      <c r="KBT32" s="1887"/>
      <c r="KBU32" s="1888"/>
      <c r="KBV32" s="1882"/>
      <c r="KBW32" s="1882"/>
      <c r="KBX32" s="1882"/>
      <c r="KBZ32" s="1887"/>
      <c r="KCA32" s="1888"/>
      <c r="KCB32" s="1882"/>
      <c r="KCC32" s="1882"/>
      <c r="KCD32" s="1882"/>
      <c r="KCF32" s="1887"/>
      <c r="KCG32" s="1888"/>
      <c r="KCH32" s="1882"/>
      <c r="KCI32" s="1882"/>
      <c r="KCJ32" s="1882"/>
      <c r="KCL32" s="1887"/>
      <c r="KCM32" s="1888"/>
      <c r="KCN32" s="1882"/>
      <c r="KCO32" s="1882"/>
      <c r="KCP32" s="1882"/>
      <c r="KCR32" s="1887"/>
      <c r="KCS32" s="1888"/>
      <c r="KCT32" s="1882"/>
      <c r="KCU32" s="1882"/>
      <c r="KCV32" s="1882"/>
      <c r="KCX32" s="1887"/>
      <c r="KCY32" s="1888"/>
      <c r="KCZ32" s="1882"/>
      <c r="KDA32" s="1882"/>
      <c r="KDB32" s="1882"/>
      <c r="KDD32" s="1887"/>
      <c r="KDE32" s="1888"/>
      <c r="KDF32" s="1882"/>
      <c r="KDG32" s="1882"/>
      <c r="KDH32" s="1882"/>
      <c r="KDJ32" s="1887"/>
      <c r="KDK32" s="1888"/>
      <c r="KDL32" s="1882"/>
      <c r="KDM32" s="1882"/>
      <c r="KDN32" s="1882"/>
      <c r="KDP32" s="1887"/>
      <c r="KDQ32" s="1888"/>
      <c r="KDR32" s="1882"/>
      <c r="KDS32" s="1882"/>
      <c r="KDT32" s="1882"/>
      <c r="KDV32" s="1887"/>
      <c r="KDW32" s="1888"/>
      <c r="KDX32" s="1882"/>
      <c r="KDY32" s="1882"/>
      <c r="KDZ32" s="1882"/>
      <c r="KEB32" s="1887"/>
      <c r="KEC32" s="1888"/>
      <c r="KED32" s="1882"/>
      <c r="KEE32" s="1882"/>
      <c r="KEF32" s="1882"/>
      <c r="KEH32" s="1887"/>
      <c r="KEI32" s="1888"/>
      <c r="KEJ32" s="1882"/>
      <c r="KEK32" s="1882"/>
      <c r="KEL32" s="1882"/>
      <c r="KEN32" s="1887"/>
      <c r="KEO32" s="1888"/>
      <c r="KEP32" s="1882"/>
      <c r="KEQ32" s="1882"/>
      <c r="KER32" s="1882"/>
      <c r="KET32" s="1887"/>
      <c r="KEU32" s="1888"/>
      <c r="KEV32" s="1882"/>
      <c r="KEW32" s="1882"/>
      <c r="KEX32" s="1882"/>
      <c r="KEZ32" s="1887"/>
      <c r="KFA32" s="1888"/>
      <c r="KFB32" s="1882"/>
      <c r="KFC32" s="1882"/>
      <c r="KFD32" s="1882"/>
      <c r="KFF32" s="1887"/>
      <c r="KFG32" s="1888"/>
      <c r="KFH32" s="1882"/>
      <c r="KFI32" s="1882"/>
      <c r="KFJ32" s="1882"/>
      <c r="KFL32" s="1887"/>
      <c r="KFM32" s="1888"/>
      <c r="KFN32" s="1882"/>
      <c r="KFO32" s="1882"/>
      <c r="KFP32" s="1882"/>
      <c r="KFR32" s="1887"/>
      <c r="KFS32" s="1888"/>
      <c r="KFT32" s="1882"/>
      <c r="KFU32" s="1882"/>
      <c r="KFV32" s="1882"/>
      <c r="KFX32" s="1887"/>
      <c r="KFY32" s="1888"/>
      <c r="KFZ32" s="1882"/>
      <c r="KGA32" s="1882"/>
      <c r="KGB32" s="1882"/>
      <c r="KGD32" s="1887"/>
      <c r="KGE32" s="1888"/>
      <c r="KGF32" s="1882"/>
      <c r="KGG32" s="1882"/>
      <c r="KGH32" s="1882"/>
      <c r="KGJ32" s="1887"/>
      <c r="KGK32" s="1888"/>
      <c r="KGL32" s="1882"/>
      <c r="KGM32" s="1882"/>
      <c r="KGN32" s="1882"/>
      <c r="KGP32" s="1887"/>
      <c r="KGQ32" s="1888"/>
      <c r="KGR32" s="1882"/>
      <c r="KGS32" s="1882"/>
      <c r="KGT32" s="1882"/>
      <c r="KGV32" s="1887"/>
      <c r="KGW32" s="1888"/>
      <c r="KGX32" s="1882"/>
      <c r="KGY32" s="1882"/>
      <c r="KGZ32" s="1882"/>
      <c r="KHB32" s="1887"/>
      <c r="KHC32" s="1888"/>
      <c r="KHD32" s="1882"/>
      <c r="KHE32" s="1882"/>
      <c r="KHF32" s="1882"/>
      <c r="KHH32" s="1887"/>
      <c r="KHI32" s="1888"/>
      <c r="KHJ32" s="1882"/>
      <c r="KHK32" s="1882"/>
      <c r="KHL32" s="1882"/>
      <c r="KHN32" s="1887"/>
      <c r="KHO32" s="1888"/>
      <c r="KHP32" s="1882"/>
      <c r="KHQ32" s="1882"/>
      <c r="KHR32" s="1882"/>
      <c r="KHT32" s="1887"/>
      <c r="KHU32" s="1888"/>
      <c r="KHV32" s="1882"/>
      <c r="KHW32" s="1882"/>
      <c r="KHX32" s="1882"/>
      <c r="KHZ32" s="1887"/>
      <c r="KIA32" s="1888"/>
      <c r="KIB32" s="1882"/>
      <c r="KIC32" s="1882"/>
      <c r="KID32" s="1882"/>
      <c r="KIF32" s="1887"/>
      <c r="KIG32" s="1888"/>
      <c r="KIH32" s="1882"/>
      <c r="KII32" s="1882"/>
      <c r="KIJ32" s="1882"/>
      <c r="KIL32" s="1887"/>
      <c r="KIM32" s="1888"/>
      <c r="KIN32" s="1882"/>
      <c r="KIO32" s="1882"/>
      <c r="KIP32" s="1882"/>
      <c r="KIR32" s="1887"/>
      <c r="KIS32" s="1888"/>
      <c r="KIT32" s="1882"/>
      <c r="KIU32" s="1882"/>
      <c r="KIV32" s="1882"/>
      <c r="KIX32" s="1887"/>
      <c r="KIY32" s="1888"/>
      <c r="KIZ32" s="1882"/>
      <c r="KJA32" s="1882"/>
      <c r="KJB32" s="1882"/>
      <c r="KJD32" s="1887"/>
      <c r="KJE32" s="1888"/>
      <c r="KJF32" s="1882"/>
      <c r="KJG32" s="1882"/>
      <c r="KJH32" s="1882"/>
      <c r="KJJ32" s="1887"/>
      <c r="KJK32" s="1888"/>
      <c r="KJL32" s="1882"/>
      <c r="KJM32" s="1882"/>
      <c r="KJN32" s="1882"/>
      <c r="KJP32" s="1887"/>
      <c r="KJQ32" s="1888"/>
      <c r="KJR32" s="1882"/>
      <c r="KJS32" s="1882"/>
      <c r="KJT32" s="1882"/>
      <c r="KJV32" s="1887"/>
      <c r="KJW32" s="1888"/>
      <c r="KJX32" s="1882"/>
      <c r="KJY32" s="1882"/>
      <c r="KJZ32" s="1882"/>
      <c r="KKB32" s="1887"/>
      <c r="KKC32" s="1888"/>
      <c r="KKD32" s="1882"/>
      <c r="KKE32" s="1882"/>
      <c r="KKF32" s="1882"/>
      <c r="KKH32" s="1887"/>
      <c r="KKI32" s="1888"/>
      <c r="KKJ32" s="1882"/>
      <c r="KKK32" s="1882"/>
      <c r="KKL32" s="1882"/>
      <c r="KKN32" s="1887"/>
      <c r="KKO32" s="1888"/>
      <c r="KKP32" s="1882"/>
      <c r="KKQ32" s="1882"/>
      <c r="KKR32" s="1882"/>
      <c r="KKT32" s="1887"/>
      <c r="KKU32" s="1888"/>
      <c r="KKV32" s="1882"/>
      <c r="KKW32" s="1882"/>
      <c r="KKX32" s="1882"/>
      <c r="KKZ32" s="1887"/>
      <c r="KLA32" s="1888"/>
      <c r="KLB32" s="1882"/>
      <c r="KLC32" s="1882"/>
      <c r="KLD32" s="1882"/>
      <c r="KLF32" s="1887"/>
      <c r="KLG32" s="1888"/>
      <c r="KLH32" s="1882"/>
      <c r="KLI32" s="1882"/>
      <c r="KLJ32" s="1882"/>
      <c r="KLL32" s="1887"/>
      <c r="KLM32" s="1888"/>
      <c r="KLN32" s="1882"/>
      <c r="KLO32" s="1882"/>
      <c r="KLP32" s="1882"/>
      <c r="KLR32" s="1887"/>
      <c r="KLS32" s="1888"/>
      <c r="KLT32" s="1882"/>
      <c r="KLU32" s="1882"/>
      <c r="KLV32" s="1882"/>
      <c r="KLX32" s="1887"/>
      <c r="KLY32" s="1888"/>
      <c r="KLZ32" s="1882"/>
      <c r="KMA32" s="1882"/>
      <c r="KMB32" s="1882"/>
      <c r="KMD32" s="1887"/>
      <c r="KME32" s="1888"/>
      <c r="KMF32" s="1882"/>
      <c r="KMG32" s="1882"/>
      <c r="KMH32" s="1882"/>
      <c r="KMJ32" s="1887"/>
      <c r="KMK32" s="1888"/>
      <c r="KML32" s="1882"/>
      <c r="KMM32" s="1882"/>
      <c r="KMN32" s="1882"/>
      <c r="KMP32" s="1887"/>
      <c r="KMQ32" s="1888"/>
      <c r="KMR32" s="1882"/>
      <c r="KMS32" s="1882"/>
      <c r="KMT32" s="1882"/>
      <c r="KMV32" s="1887"/>
      <c r="KMW32" s="1888"/>
      <c r="KMX32" s="1882"/>
      <c r="KMY32" s="1882"/>
      <c r="KMZ32" s="1882"/>
      <c r="KNB32" s="1887"/>
      <c r="KNC32" s="1888"/>
      <c r="KND32" s="1882"/>
      <c r="KNE32" s="1882"/>
      <c r="KNF32" s="1882"/>
      <c r="KNH32" s="1887"/>
      <c r="KNI32" s="1888"/>
      <c r="KNJ32" s="1882"/>
      <c r="KNK32" s="1882"/>
      <c r="KNL32" s="1882"/>
      <c r="KNN32" s="1887"/>
      <c r="KNO32" s="1888"/>
      <c r="KNP32" s="1882"/>
      <c r="KNQ32" s="1882"/>
      <c r="KNR32" s="1882"/>
      <c r="KNT32" s="1887"/>
      <c r="KNU32" s="1888"/>
      <c r="KNV32" s="1882"/>
      <c r="KNW32" s="1882"/>
      <c r="KNX32" s="1882"/>
      <c r="KNZ32" s="1887"/>
      <c r="KOA32" s="1888"/>
      <c r="KOB32" s="1882"/>
      <c r="KOC32" s="1882"/>
      <c r="KOD32" s="1882"/>
      <c r="KOF32" s="1887"/>
      <c r="KOG32" s="1888"/>
      <c r="KOH32" s="1882"/>
      <c r="KOI32" s="1882"/>
      <c r="KOJ32" s="1882"/>
      <c r="KOL32" s="1887"/>
      <c r="KOM32" s="1888"/>
      <c r="KON32" s="1882"/>
      <c r="KOO32" s="1882"/>
      <c r="KOP32" s="1882"/>
      <c r="KOR32" s="1887"/>
      <c r="KOS32" s="1888"/>
      <c r="KOT32" s="1882"/>
      <c r="KOU32" s="1882"/>
      <c r="KOV32" s="1882"/>
      <c r="KOX32" s="1887"/>
      <c r="KOY32" s="1888"/>
      <c r="KOZ32" s="1882"/>
      <c r="KPA32" s="1882"/>
      <c r="KPB32" s="1882"/>
      <c r="KPD32" s="1887"/>
      <c r="KPE32" s="1888"/>
      <c r="KPF32" s="1882"/>
      <c r="KPG32" s="1882"/>
      <c r="KPH32" s="1882"/>
      <c r="KPJ32" s="1887"/>
      <c r="KPK32" s="1888"/>
      <c r="KPL32" s="1882"/>
      <c r="KPM32" s="1882"/>
      <c r="KPN32" s="1882"/>
      <c r="KPP32" s="1887"/>
      <c r="KPQ32" s="1888"/>
      <c r="KPR32" s="1882"/>
      <c r="KPS32" s="1882"/>
      <c r="KPT32" s="1882"/>
      <c r="KPV32" s="1887"/>
      <c r="KPW32" s="1888"/>
      <c r="KPX32" s="1882"/>
      <c r="KPY32" s="1882"/>
      <c r="KPZ32" s="1882"/>
      <c r="KQB32" s="1887"/>
      <c r="KQC32" s="1888"/>
      <c r="KQD32" s="1882"/>
      <c r="KQE32" s="1882"/>
      <c r="KQF32" s="1882"/>
      <c r="KQH32" s="1887"/>
      <c r="KQI32" s="1888"/>
      <c r="KQJ32" s="1882"/>
      <c r="KQK32" s="1882"/>
      <c r="KQL32" s="1882"/>
      <c r="KQN32" s="1887"/>
      <c r="KQO32" s="1888"/>
      <c r="KQP32" s="1882"/>
      <c r="KQQ32" s="1882"/>
      <c r="KQR32" s="1882"/>
      <c r="KQT32" s="1887"/>
      <c r="KQU32" s="1888"/>
      <c r="KQV32" s="1882"/>
      <c r="KQW32" s="1882"/>
      <c r="KQX32" s="1882"/>
      <c r="KQZ32" s="1887"/>
      <c r="KRA32" s="1888"/>
      <c r="KRB32" s="1882"/>
      <c r="KRC32" s="1882"/>
      <c r="KRD32" s="1882"/>
      <c r="KRF32" s="1887"/>
      <c r="KRG32" s="1888"/>
      <c r="KRH32" s="1882"/>
      <c r="KRI32" s="1882"/>
      <c r="KRJ32" s="1882"/>
      <c r="KRL32" s="1887"/>
      <c r="KRM32" s="1888"/>
      <c r="KRN32" s="1882"/>
      <c r="KRO32" s="1882"/>
      <c r="KRP32" s="1882"/>
      <c r="KRR32" s="1887"/>
      <c r="KRS32" s="1888"/>
      <c r="KRT32" s="1882"/>
      <c r="KRU32" s="1882"/>
      <c r="KRV32" s="1882"/>
      <c r="KRX32" s="1887"/>
      <c r="KRY32" s="1888"/>
      <c r="KRZ32" s="1882"/>
      <c r="KSA32" s="1882"/>
      <c r="KSB32" s="1882"/>
      <c r="KSD32" s="1887"/>
      <c r="KSE32" s="1888"/>
      <c r="KSF32" s="1882"/>
      <c r="KSG32" s="1882"/>
      <c r="KSH32" s="1882"/>
      <c r="KSJ32" s="1887"/>
      <c r="KSK32" s="1888"/>
      <c r="KSL32" s="1882"/>
      <c r="KSM32" s="1882"/>
      <c r="KSN32" s="1882"/>
      <c r="KSP32" s="1887"/>
      <c r="KSQ32" s="1888"/>
      <c r="KSR32" s="1882"/>
      <c r="KSS32" s="1882"/>
      <c r="KST32" s="1882"/>
      <c r="KSV32" s="1887"/>
      <c r="KSW32" s="1888"/>
      <c r="KSX32" s="1882"/>
      <c r="KSY32" s="1882"/>
      <c r="KSZ32" s="1882"/>
      <c r="KTB32" s="1887"/>
      <c r="KTC32" s="1888"/>
      <c r="KTD32" s="1882"/>
      <c r="KTE32" s="1882"/>
      <c r="KTF32" s="1882"/>
      <c r="KTH32" s="1887"/>
      <c r="KTI32" s="1888"/>
      <c r="KTJ32" s="1882"/>
      <c r="KTK32" s="1882"/>
      <c r="KTL32" s="1882"/>
      <c r="KTN32" s="1887"/>
      <c r="KTO32" s="1888"/>
      <c r="KTP32" s="1882"/>
      <c r="KTQ32" s="1882"/>
      <c r="KTR32" s="1882"/>
      <c r="KTT32" s="1887"/>
      <c r="KTU32" s="1888"/>
      <c r="KTV32" s="1882"/>
      <c r="KTW32" s="1882"/>
      <c r="KTX32" s="1882"/>
      <c r="KTZ32" s="1887"/>
      <c r="KUA32" s="1888"/>
      <c r="KUB32" s="1882"/>
      <c r="KUC32" s="1882"/>
      <c r="KUD32" s="1882"/>
      <c r="KUF32" s="1887"/>
      <c r="KUG32" s="1888"/>
      <c r="KUH32" s="1882"/>
      <c r="KUI32" s="1882"/>
      <c r="KUJ32" s="1882"/>
      <c r="KUL32" s="1887"/>
      <c r="KUM32" s="1888"/>
      <c r="KUN32" s="1882"/>
      <c r="KUO32" s="1882"/>
      <c r="KUP32" s="1882"/>
      <c r="KUR32" s="1887"/>
      <c r="KUS32" s="1888"/>
      <c r="KUT32" s="1882"/>
      <c r="KUU32" s="1882"/>
      <c r="KUV32" s="1882"/>
      <c r="KUX32" s="1887"/>
      <c r="KUY32" s="1888"/>
      <c r="KUZ32" s="1882"/>
      <c r="KVA32" s="1882"/>
      <c r="KVB32" s="1882"/>
      <c r="KVD32" s="1887"/>
      <c r="KVE32" s="1888"/>
      <c r="KVF32" s="1882"/>
      <c r="KVG32" s="1882"/>
      <c r="KVH32" s="1882"/>
      <c r="KVJ32" s="1887"/>
      <c r="KVK32" s="1888"/>
      <c r="KVL32" s="1882"/>
      <c r="KVM32" s="1882"/>
      <c r="KVN32" s="1882"/>
      <c r="KVP32" s="1887"/>
      <c r="KVQ32" s="1888"/>
      <c r="KVR32" s="1882"/>
      <c r="KVS32" s="1882"/>
      <c r="KVT32" s="1882"/>
      <c r="KVV32" s="1887"/>
      <c r="KVW32" s="1888"/>
      <c r="KVX32" s="1882"/>
      <c r="KVY32" s="1882"/>
      <c r="KVZ32" s="1882"/>
      <c r="KWB32" s="1887"/>
      <c r="KWC32" s="1888"/>
      <c r="KWD32" s="1882"/>
      <c r="KWE32" s="1882"/>
      <c r="KWF32" s="1882"/>
      <c r="KWH32" s="1887"/>
      <c r="KWI32" s="1888"/>
      <c r="KWJ32" s="1882"/>
      <c r="KWK32" s="1882"/>
      <c r="KWL32" s="1882"/>
      <c r="KWN32" s="1887"/>
      <c r="KWO32" s="1888"/>
      <c r="KWP32" s="1882"/>
      <c r="KWQ32" s="1882"/>
      <c r="KWR32" s="1882"/>
      <c r="KWT32" s="1887"/>
      <c r="KWU32" s="1888"/>
      <c r="KWV32" s="1882"/>
      <c r="KWW32" s="1882"/>
      <c r="KWX32" s="1882"/>
      <c r="KWZ32" s="1887"/>
      <c r="KXA32" s="1888"/>
      <c r="KXB32" s="1882"/>
      <c r="KXC32" s="1882"/>
      <c r="KXD32" s="1882"/>
      <c r="KXF32" s="1887"/>
      <c r="KXG32" s="1888"/>
      <c r="KXH32" s="1882"/>
      <c r="KXI32" s="1882"/>
      <c r="KXJ32" s="1882"/>
      <c r="KXL32" s="1887"/>
      <c r="KXM32" s="1888"/>
      <c r="KXN32" s="1882"/>
      <c r="KXO32" s="1882"/>
      <c r="KXP32" s="1882"/>
      <c r="KXR32" s="1887"/>
      <c r="KXS32" s="1888"/>
      <c r="KXT32" s="1882"/>
      <c r="KXU32" s="1882"/>
      <c r="KXV32" s="1882"/>
      <c r="KXX32" s="1887"/>
      <c r="KXY32" s="1888"/>
      <c r="KXZ32" s="1882"/>
      <c r="KYA32" s="1882"/>
      <c r="KYB32" s="1882"/>
      <c r="KYD32" s="1887"/>
      <c r="KYE32" s="1888"/>
      <c r="KYF32" s="1882"/>
      <c r="KYG32" s="1882"/>
      <c r="KYH32" s="1882"/>
      <c r="KYJ32" s="1887"/>
      <c r="KYK32" s="1888"/>
      <c r="KYL32" s="1882"/>
      <c r="KYM32" s="1882"/>
      <c r="KYN32" s="1882"/>
      <c r="KYP32" s="1887"/>
      <c r="KYQ32" s="1888"/>
      <c r="KYR32" s="1882"/>
      <c r="KYS32" s="1882"/>
      <c r="KYT32" s="1882"/>
      <c r="KYV32" s="1887"/>
      <c r="KYW32" s="1888"/>
      <c r="KYX32" s="1882"/>
      <c r="KYY32" s="1882"/>
      <c r="KYZ32" s="1882"/>
      <c r="KZB32" s="1887"/>
      <c r="KZC32" s="1888"/>
      <c r="KZD32" s="1882"/>
      <c r="KZE32" s="1882"/>
      <c r="KZF32" s="1882"/>
      <c r="KZH32" s="1887"/>
      <c r="KZI32" s="1888"/>
      <c r="KZJ32" s="1882"/>
      <c r="KZK32" s="1882"/>
      <c r="KZL32" s="1882"/>
      <c r="KZN32" s="1887"/>
      <c r="KZO32" s="1888"/>
      <c r="KZP32" s="1882"/>
      <c r="KZQ32" s="1882"/>
      <c r="KZR32" s="1882"/>
      <c r="KZT32" s="1887"/>
      <c r="KZU32" s="1888"/>
      <c r="KZV32" s="1882"/>
      <c r="KZW32" s="1882"/>
      <c r="KZX32" s="1882"/>
      <c r="KZZ32" s="1887"/>
      <c r="LAA32" s="1888"/>
      <c r="LAB32" s="1882"/>
      <c r="LAC32" s="1882"/>
      <c r="LAD32" s="1882"/>
      <c r="LAF32" s="1887"/>
      <c r="LAG32" s="1888"/>
      <c r="LAH32" s="1882"/>
      <c r="LAI32" s="1882"/>
      <c r="LAJ32" s="1882"/>
      <c r="LAL32" s="1887"/>
      <c r="LAM32" s="1888"/>
      <c r="LAN32" s="1882"/>
      <c r="LAO32" s="1882"/>
      <c r="LAP32" s="1882"/>
      <c r="LAR32" s="1887"/>
      <c r="LAS32" s="1888"/>
      <c r="LAT32" s="1882"/>
      <c r="LAU32" s="1882"/>
      <c r="LAV32" s="1882"/>
      <c r="LAX32" s="1887"/>
      <c r="LAY32" s="1888"/>
      <c r="LAZ32" s="1882"/>
      <c r="LBA32" s="1882"/>
      <c r="LBB32" s="1882"/>
      <c r="LBD32" s="1887"/>
      <c r="LBE32" s="1888"/>
      <c r="LBF32" s="1882"/>
      <c r="LBG32" s="1882"/>
      <c r="LBH32" s="1882"/>
      <c r="LBJ32" s="1887"/>
      <c r="LBK32" s="1888"/>
      <c r="LBL32" s="1882"/>
      <c r="LBM32" s="1882"/>
      <c r="LBN32" s="1882"/>
      <c r="LBP32" s="1887"/>
      <c r="LBQ32" s="1888"/>
      <c r="LBR32" s="1882"/>
      <c r="LBS32" s="1882"/>
      <c r="LBT32" s="1882"/>
      <c r="LBV32" s="1887"/>
      <c r="LBW32" s="1888"/>
      <c r="LBX32" s="1882"/>
      <c r="LBY32" s="1882"/>
      <c r="LBZ32" s="1882"/>
      <c r="LCB32" s="1887"/>
      <c r="LCC32" s="1888"/>
      <c r="LCD32" s="1882"/>
      <c r="LCE32" s="1882"/>
      <c r="LCF32" s="1882"/>
      <c r="LCH32" s="1887"/>
      <c r="LCI32" s="1888"/>
      <c r="LCJ32" s="1882"/>
      <c r="LCK32" s="1882"/>
      <c r="LCL32" s="1882"/>
      <c r="LCN32" s="1887"/>
      <c r="LCO32" s="1888"/>
      <c r="LCP32" s="1882"/>
      <c r="LCQ32" s="1882"/>
      <c r="LCR32" s="1882"/>
      <c r="LCT32" s="1887"/>
      <c r="LCU32" s="1888"/>
      <c r="LCV32" s="1882"/>
      <c r="LCW32" s="1882"/>
      <c r="LCX32" s="1882"/>
      <c r="LCZ32" s="1887"/>
      <c r="LDA32" s="1888"/>
      <c r="LDB32" s="1882"/>
      <c r="LDC32" s="1882"/>
      <c r="LDD32" s="1882"/>
      <c r="LDF32" s="1887"/>
      <c r="LDG32" s="1888"/>
      <c r="LDH32" s="1882"/>
      <c r="LDI32" s="1882"/>
      <c r="LDJ32" s="1882"/>
      <c r="LDL32" s="1887"/>
      <c r="LDM32" s="1888"/>
      <c r="LDN32" s="1882"/>
      <c r="LDO32" s="1882"/>
      <c r="LDP32" s="1882"/>
      <c r="LDR32" s="1887"/>
      <c r="LDS32" s="1888"/>
      <c r="LDT32" s="1882"/>
      <c r="LDU32" s="1882"/>
      <c r="LDV32" s="1882"/>
      <c r="LDX32" s="1887"/>
      <c r="LDY32" s="1888"/>
      <c r="LDZ32" s="1882"/>
      <c r="LEA32" s="1882"/>
      <c r="LEB32" s="1882"/>
      <c r="LED32" s="1887"/>
      <c r="LEE32" s="1888"/>
      <c r="LEF32" s="1882"/>
      <c r="LEG32" s="1882"/>
      <c r="LEH32" s="1882"/>
      <c r="LEJ32" s="1887"/>
      <c r="LEK32" s="1888"/>
      <c r="LEL32" s="1882"/>
      <c r="LEM32" s="1882"/>
      <c r="LEN32" s="1882"/>
      <c r="LEP32" s="1887"/>
      <c r="LEQ32" s="1888"/>
      <c r="LER32" s="1882"/>
      <c r="LES32" s="1882"/>
      <c r="LET32" s="1882"/>
      <c r="LEV32" s="1887"/>
      <c r="LEW32" s="1888"/>
      <c r="LEX32" s="1882"/>
      <c r="LEY32" s="1882"/>
      <c r="LEZ32" s="1882"/>
      <c r="LFB32" s="1887"/>
      <c r="LFC32" s="1888"/>
      <c r="LFD32" s="1882"/>
      <c r="LFE32" s="1882"/>
      <c r="LFF32" s="1882"/>
      <c r="LFH32" s="1887"/>
      <c r="LFI32" s="1888"/>
      <c r="LFJ32" s="1882"/>
      <c r="LFK32" s="1882"/>
      <c r="LFL32" s="1882"/>
      <c r="LFN32" s="1887"/>
      <c r="LFO32" s="1888"/>
      <c r="LFP32" s="1882"/>
      <c r="LFQ32" s="1882"/>
      <c r="LFR32" s="1882"/>
      <c r="LFT32" s="1887"/>
      <c r="LFU32" s="1888"/>
      <c r="LFV32" s="1882"/>
      <c r="LFW32" s="1882"/>
      <c r="LFX32" s="1882"/>
      <c r="LFZ32" s="1887"/>
      <c r="LGA32" s="1888"/>
      <c r="LGB32" s="1882"/>
      <c r="LGC32" s="1882"/>
      <c r="LGD32" s="1882"/>
      <c r="LGF32" s="1887"/>
      <c r="LGG32" s="1888"/>
      <c r="LGH32" s="1882"/>
      <c r="LGI32" s="1882"/>
      <c r="LGJ32" s="1882"/>
      <c r="LGL32" s="1887"/>
      <c r="LGM32" s="1888"/>
      <c r="LGN32" s="1882"/>
      <c r="LGO32" s="1882"/>
      <c r="LGP32" s="1882"/>
      <c r="LGR32" s="1887"/>
      <c r="LGS32" s="1888"/>
      <c r="LGT32" s="1882"/>
      <c r="LGU32" s="1882"/>
      <c r="LGV32" s="1882"/>
      <c r="LGX32" s="1887"/>
      <c r="LGY32" s="1888"/>
      <c r="LGZ32" s="1882"/>
      <c r="LHA32" s="1882"/>
      <c r="LHB32" s="1882"/>
      <c r="LHD32" s="1887"/>
      <c r="LHE32" s="1888"/>
      <c r="LHF32" s="1882"/>
      <c r="LHG32" s="1882"/>
      <c r="LHH32" s="1882"/>
      <c r="LHJ32" s="1887"/>
      <c r="LHK32" s="1888"/>
      <c r="LHL32" s="1882"/>
      <c r="LHM32" s="1882"/>
      <c r="LHN32" s="1882"/>
      <c r="LHP32" s="1887"/>
      <c r="LHQ32" s="1888"/>
      <c r="LHR32" s="1882"/>
      <c r="LHS32" s="1882"/>
      <c r="LHT32" s="1882"/>
      <c r="LHV32" s="1887"/>
      <c r="LHW32" s="1888"/>
      <c r="LHX32" s="1882"/>
      <c r="LHY32" s="1882"/>
      <c r="LHZ32" s="1882"/>
      <c r="LIB32" s="1887"/>
      <c r="LIC32" s="1888"/>
      <c r="LID32" s="1882"/>
      <c r="LIE32" s="1882"/>
      <c r="LIF32" s="1882"/>
      <c r="LIH32" s="1887"/>
      <c r="LII32" s="1888"/>
      <c r="LIJ32" s="1882"/>
      <c r="LIK32" s="1882"/>
      <c r="LIL32" s="1882"/>
      <c r="LIN32" s="1887"/>
      <c r="LIO32" s="1888"/>
      <c r="LIP32" s="1882"/>
      <c r="LIQ32" s="1882"/>
      <c r="LIR32" s="1882"/>
      <c r="LIT32" s="1887"/>
      <c r="LIU32" s="1888"/>
      <c r="LIV32" s="1882"/>
      <c r="LIW32" s="1882"/>
      <c r="LIX32" s="1882"/>
      <c r="LIZ32" s="1887"/>
      <c r="LJA32" s="1888"/>
      <c r="LJB32" s="1882"/>
      <c r="LJC32" s="1882"/>
      <c r="LJD32" s="1882"/>
      <c r="LJF32" s="1887"/>
      <c r="LJG32" s="1888"/>
      <c r="LJH32" s="1882"/>
      <c r="LJI32" s="1882"/>
      <c r="LJJ32" s="1882"/>
      <c r="LJL32" s="1887"/>
      <c r="LJM32" s="1888"/>
      <c r="LJN32" s="1882"/>
      <c r="LJO32" s="1882"/>
      <c r="LJP32" s="1882"/>
      <c r="LJR32" s="1887"/>
      <c r="LJS32" s="1888"/>
      <c r="LJT32" s="1882"/>
      <c r="LJU32" s="1882"/>
      <c r="LJV32" s="1882"/>
      <c r="LJX32" s="1887"/>
      <c r="LJY32" s="1888"/>
      <c r="LJZ32" s="1882"/>
      <c r="LKA32" s="1882"/>
      <c r="LKB32" s="1882"/>
      <c r="LKD32" s="1887"/>
      <c r="LKE32" s="1888"/>
      <c r="LKF32" s="1882"/>
      <c r="LKG32" s="1882"/>
      <c r="LKH32" s="1882"/>
      <c r="LKJ32" s="1887"/>
      <c r="LKK32" s="1888"/>
      <c r="LKL32" s="1882"/>
      <c r="LKM32" s="1882"/>
      <c r="LKN32" s="1882"/>
      <c r="LKP32" s="1887"/>
      <c r="LKQ32" s="1888"/>
      <c r="LKR32" s="1882"/>
      <c r="LKS32" s="1882"/>
      <c r="LKT32" s="1882"/>
      <c r="LKV32" s="1887"/>
      <c r="LKW32" s="1888"/>
      <c r="LKX32" s="1882"/>
      <c r="LKY32" s="1882"/>
      <c r="LKZ32" s="1882"/>
      <c r="LLB32" s="1887"/>
      <c r="LLC32" s="1888"/>
      <c r="LLD32" s="1882"/>
      <c r="LLE32" s="1882"/>
      <c r="LLF32" s="1882"/>
      <c r="LLH32" s="1887"/>
      <c r="LLI32" s="1888"/>
      <c r="LLJ32" s="1882"/>
      <c r="LLK32" s="1882"/>
      <c r="LLL32" s="1882"/>
      <c r="LLN32" s="1887"/>
      <c r="LLO32" s="1888"/>
      <c r="LLP32" s="1882"/>
      <c r="LLQ32" s="1882"/>
      <c r="LLR32" s="1882"/>
      <c r="LLT32" s="1887"/>
      <c r="LLU32" s="1888"/>
      <c r="LLV32" s="1882"/>
      <c r="LLW32" s="1882"/>
      <c r="LLX32" s="1882"/>
      <c r="LLZ32" s="1887"/>
      <c r="LMA32" s="1888"/>
      <c r="LMB32" s="1882"/>
      <c r="LMC32" s="1882"/>
      <c r="LMD32" s="1882"/>
      <c r="LMF32" s="1887"/>
      <c r="LMG32" s="1888"/>
      <c r="LMH32" s="1882"/>
      <c r="LMI32" s="1882"/>
      <c r="LMJ32" s="1882"/>
      <c r="LML32" s="1887"/>
      <c r="LMM32" s="1888"/>
      <c r="LMN32" s="1882"/>
      <c r="LMO32" s="1882"/>
      <c r="LMP32" s="1882"/>
      <c r="LMR32" s="1887"/>
      <c r="LMS32" s="1888"/>
      <c r="LMT32" s="1882"/>
      <c r="LMU32" s="1882"/>
      <c r="LMV32" s="1882"/>
      <c r="LMX32" s="1887"/>
      <c r="LMY32" s="1888"/>
      <c r="LMZ32" s="1882"/>
      <c r="LNA32" s="1882"/>
      <c r="LNB32" s="1882"/>
      <c r="LND32" s="1887"/>
      <c r="LNE32" s="1888"/>
      <c r="LNF32" s="1882"/>
      <c r="LNG32" s="1882"/>
      <c r="LNH32" s="1882"/>
      <c r="LNJ32" s="1887"/>
      <c r="LNK32" s="1888"/>
      <c r="LNL32" s="1882"/>
      <c r="LNM32" s="1882"/>
      <c r="LNN32" s="1882"/>
      <c r="LNP32" s="1887"/>
      <c r="LNQ32" s="1888"/>
      <c r="LNR32" s="1882"/>
      <c r="LNS32" s="1882"/>
      <c r="LNT32" s="1882"/>
      <c r="LNV32" s="1887"/>
      <c r="LNW32" s="1888"/>
      <c r="LNX32" s="1882"/>
      <c r="LNY32" s="1882"/>
      <c r="LNZ32" s="1882"/>
      <c r="LOB32" s="1887"/>
      <c r="LOC32" s="1888"/>
      <c r="LOD32" s="1882"/>
      <c r="LOE32" s="1882"/>
      <c r="LOF32" s="1882"/>
      <c r="LOH32" s="1887"/>
      <c r="LOI32" s="1888"/>
      <c r="LOJ32" s="1882"/>
      <c r="LOK32" s="1882"/>
      <c r="LOL32" s="1882"/>
      <c r="LON32" s="1887"/>
      <c r="LOO32" s="1888"/>
      <c r="LOP32" s="1882"/>
      <c r="LOQ32" s="1882"/>
      <c r="LOR32" s="1882"/>
      <c r="LOT32" s="1887"/>
      <c r="LOU32" s="1888"/>
      <c r="LOV32" s="1882"/>
      <c r="LOW32" s="1882"/>
      <c r="LOX32" s="1882"/>
      <c r="LOZ32" s="1887"/>
      <c r="LPA32" s="1888"/>
      <c r="LPB32" s="1882"/>
      <c r="LPC32" s="1882"/>
      <c r="LPD32" s="1882"/>
      <c r="LPF32" s="1887"/>
      <c r="LPG32" s="1888"/>
      <c r="LPH32" s="1882"/>
      <c r="LPI32" s="1882"/>
      <c r="LPJ32" s="1882"/>
      <c r="LPL32" s="1887"/>
      <c r="LPM32" s="1888"/>
      <c r="LPN32" s="1882"/>
      <c r="LPO32" s="1882"/>
      <c r="LPP32" s="1882"/>
      <c r="LPR32" s="1887"/>
      <c r="LPS32" s="1888"/>
      <c r="LPT32" s="1882"/>
      <c r="LPU32" s="1882"/>
      <c r="LPV32" s="1882"/>
      <c r="LPX32" s="1887"/>
      <c r="LPY32" s="1888"/>
      <c r="LPZ32" s="1882"/>
      <c r="LQA32" s="1882"/>
      <c r="LQB32" s="1882"/>
      <c r="LQD32" s="1887"/>
      <c r="LQE32" s="1888"/>
      <c r="LQF32" s="1882"/>
      <c r="LQG32" s="1882"/>
      <c r="LQH32" s="1882"/>
      <c r="LQJ32" s="1887"/>
      <c r="LQK32" s="1888"/>
      <c r="LQL32" s="1882"/>
      <c r="LQM32" s="1882"/>
      <c r="LQN32" s="1882"/>
      <c r="LQP32" s="1887"/>
      <c r="LQQ32" s="1888"/>
      <c r="LQR32" s="1882"/>
      <c r="LQS32" s="1882"/>
      <c r="LQT32" s="1882"/>
      <c r="LQV32" s="1887"/>
      <c r="LQW32" s="1888"/>
      <c r="LQX32" s="1882"/>
      <c r="LQY32" s="1882"/>
      <c r="LQZ32" s="1882"/>
      <c r="LRB32" s="1887"/>
      <c r="LRC32" s="1888"/>
      <c r="LRD32" s="1882"/>
      <c r="LRE32" s="1882"/>
      <c r="LRF32" s="1882"/>
      <c r="LRH32" s="1887"/>
      <c r="LRI32" s="1888"/>
      <c r="LRJ32" s="1882"/>
      <c r="LRK32" s="1882"/>
      <c r="LRL32" s="1882"/>
      <c r="LRN32" s="1887"/>
      <c r="LRO32" s="1888"/>
      <c r="LRP32" s="1882"/>
      <c r="LRQ32" s="1882"/>
      <c r="LRR32" s="1882"/>
      <c r="LRT32" s="1887"/>
      <c r="LRU32" s="1888"/>
      <c r="LRV32" s="1882"/>
      <c r="LRW32" s="1882"/>
      <c r="LRX32" s="1882"/>
      <c r="LRZ32" s="1887"/>
      <c r="LSA32" s="1888"/>
      <c r="LSB32" s="1882"/>
      <c r="LSC32" s="1882"/>
      <c r="LSD32" s="1882"/>
      <c r="LSF32" s="1887"/>
      <c r="LSG32" s="1888"/>
      <c r="LSH32" s="1882"/>
      <c r="LSI32" s="1882"/>
      <c r="LSJ32" s="1882"/>
      <c r="LSL32" s="1887"/>
      <c r="LSM32" s="1888"/>
      <c r="LSN32" s="1882"/>
      <c r="LSO32" s="1882"/>
      <c r="LSP32" s="1882"/>
      <c r="LSR32" s="1887"/>
      <c r="LSS32" s="1888"/>
      <c r="LST32" s="1882"/>
      <c r="LSU32" s="1882"/>
      <c r="LSV32" s="1882"/>
      <c r="LSX32" s="1887"/>
      <c r="LSY32" s="1888"/>
      <c r="LSZ32" s="1882"/>
      <c r="LTA32" s="1882"/>
      <c r="LTB32" s="1882"/>
      <c r="LTD32" s="1887"/>
      <c r="LTE32" s="1888"/>
      <c r="LTF32" s="1882"/>
      <c r="LTG32" s="1882"/>
      <c r="LTH32" s="1882"/>
      <c r="LTJ32" s="1887"/>
      <c r="LTK32" s="1888"/>
      <c r="LTL32" s="1882"/>
      <c r="LTM32" s="1882"/>
      <c r="LTN32" s="1882"/>
      <c r="LTP32" s="1887"/>
      <c r="LTQ32" s="1888"/>
      <c r="LTR32" s="1882"/>
      <c r="LTS32" s="1882"/>
      <c r="LTT32" s="1882"/>
      <c r="LTV32" s="1887"/>
      <c r="LTW32" s="1888"/>
      <c r="LTX32" s="1882"/>
      <c r="LTY32" s="1882"/>
      <c r="LTZ32" s="1882"/>
      <c r="LUB32" s="1887"/>
      <c r="LUC32" s="1888"/>
      <c r="LUD32" s="1882"/>
      <c r="LUE32" s="1882"/>
      <c r="LUF32" s="1882"/>
      <c r="LUH32" s="1887"/>
      <c r="LUI32" s="1888"/>
      <c r="LUJ32" s="1882"/>
      <c r="LUK32" s="1882"/>
      <c r="LUL32" s="1882"/>
      <c r="LUN32" s="1887"/>
      <c r="LUO32" s="1888"/>
      <c r="LUP32" s="1882"/>
      <c r="LUQ32" s="1882"/>
      <c r="LUR32" s="1882"/>
      <c r="LUT32" s="1887"/>
      <c r="LUU32" s="1888"/>
      <c r="LUV32" s="1882"/>
      <c r="LUW32" s="1882"/>
      <c r="LUX32" s="1882"/>
      <c r="LUZ32" s="1887"/>
      <c r="LVA32" s="1888"/>
      <c r="LVB32" s="1882"/>
      <c r="LVC32" s="1882"/>
      <c r="LVD32" s="1882"/>
      <c r="LVF32" s="1887"/>
      <c r="LVG32" s="1888"/>
      <c r="LVH32" s="1882"/>
      <c r="LVI32" s="1882"/>
      <c r="LVJ32" s="1882"/>
      <c r="LVL32" s="1887"/>
      <c r="LVM32" s="1888"/>
      <c r="LVN32" s="1882"/>
      <c r="LVO32" s="1882"/>
      <c r="LVP32" s="1882"/>
      <c r="LVR32" s="1887"/>
      <c r="LVS32" s="1888"/>
      <c r="LVT32" s="1882"/>
      <c r="LVU32" s="1882"/>
      <c r="LVV32" s="1882"/>
      <c r="LVX32" s="1887"/>
      <c r="LVY32" s="1888"/>
      <c r="LVZ32" s="1882"/>
      <c r="LWA32" s="1882"/>
      <c r="LWB32" s="1882"/>
      <c r="LWD32" s="1887"/>
      <c r="LWE32" s="1888"/>
      <c r="LWF32" s="1882"/>
      <c r="LWG32" s="1882"/>
      <c r="LWH32" s="1882"/>
      <c r="LWJ32" s="1887"/>
      <c r="LWK32" s="1888"/>
      <c r="LWL32" s="1882"/>
      <c r="LWM32" s="1882"/>
      <c r="LWN32" s="1882"/>
      <c r="LWP32" s="1887"/>
      <c r="LWQ32" s="1888"/>
      <c r="LWR32" s="1882"/>
      <c r="LWS32" s="1882"/>
      <c r="LWT32" s="1882"/>
      <c r="LWV32" s="1887"/>
      <c r="LWW32" s="1888"/>
      <c r="LWX32" s="1882"/>
      <c r="LWY32" s="1882"/>
      <c r="LWZ32" s="1882"/>
      <c r="LXB32" s="1887"/>
      <c r="LXC32" s="1888"/>
      <c r="LXD32" s="1882"/>
      <c r="LXE32" s="1882"/>
      <c r="LXF32" s="1882"/>
      <c r="LXH32" s="1887"/>
      <c r="LXI32" s="1888"/>
      <c r="LXJ32" s="1882"/>
      <c r="LXK32" s="1882"/>
      <c r="LXL32" s="1882"/>
      <c r="LXN32" s="1887"/>
      <c r="LXO32" s="1888"/>
      <c r="LXP32" s="1882"/>
      <c r="LXQ32" s="1882"/>
      <c r="LXR32" s="1882"/>
      <c r="LXT32" s="1887"/>
      <c r="LXU32" s="1888"/>
      <c r="LXV32" s="1882"/>
      <c r="LXW32" s="1882"/>
      <c r="LXX32" s="1882"/>
      <c r="LXZ32" s="1887"/>
      <c r="LYA32" s="1888"/>
      <c r="LYB32" s="1882"/>
      <c r="LYC32" s="1882"/>
      <c r="LYD32" s="1882"/>
      <c r="LYF32" s="1887"/>
      <c r="LYG32" s="1888"/>
      <c r="LYH32" s="1882"/>
      <c r="LYI32" s="1882"/>
      <c r="LYJ32" s="1882"/>
      <c r="LYL32" s="1887"/>
      <c r="LYM32" s="1888"/>
      <c r="LYN32" s="1882"/>
      <c r="LYO32" s="1882"/>
      <c r="LYP32" s="1882"/>
      <c r="LYR32" s="1887"/>
      <c r="LYS32" s="1888"/>
      <c r="LYT32" s="1882"/>
      <c r="LYU32" s="1882"/>
      <c r="LYV32" s="1882"/>
      <c r="LYX32" s="1887"/>
      <c r="LYY32" s="1888"/>
      <c r="LYZ32" s="1882"/>
      <c r="LZA32" s="1882"/>
      <c r="LZB32" s="1882"/>
      <c r="LZD32" s="1887"/>
      <c r="LZE32" s="1888"/>
      <c r="LZF32" s="1882"/>
      <c r="LZG32" s="1882"/>
      <c r="LZH32" s="1882"/>
      <c r="LZJ32" s="1887"/>
      <c r="LZK32" s="1888"/>
      <c r="LZL32" s="1882"/>
      <c r="LZM32" s="1882"/>
      <c r="LZN32" s="1882"/>
      <c r="LZP32" s="1887"/>
      <c r="LZQ32" s="1888"/>
      <c r="LZR32" s="1882"/>
      <c r="LZS32" s="1882"/>
      <c r="LZT32" s="1882"/>
      <c r="LZV32" s="1887"/>
      <c r="LZW32" s="1888"/>
      <c r="LZX32" s="1882"/>
      <c r="LZY32" s="1882"/>
      <c r="LZZ32" s="1882"/>
      <c r="MAB32" s="1887"/>
      <c r="MAC32" s="1888"/>
      <c r="MAD32" s="1882"/>
      <c r="MAE32" s="1882"/>
      <c r="MAF32" s="1882"/>
      <c r="MAH32" s="1887"/>
      <c r="MAI32" s="1888"/>
      <c r="MAJ32" s="1882"/>
      <c r="MAK32" s="1882"/>
      <c r="MAL32" s="1882"/>
      <c r="MAN32" s="1887"/>
      <c r="MAO32" s="1888"/>
      <c r="MAP32" s="1882"/>
      <c r="MAQ32" s="1882"/>
      <c r="MAR32" s="1882"/>
      <c r="MAT32" s="1887"/>
      <c r="MAU32" s="1888"/>
      <c r="MAV32" s="1882"/>
      <c r="MAW32" s="1882"/>
      <c r="MAX32" s="1882"/>
      <c r="MAZ32" s="1887"/>
      <c r="MBA32" s="1888"/>
      <c r="MBB32" s="1882"/>
      <c r="MBC32" s="1882"/>
      <c r="MBD32" s="1882"/>
      <c r="MBF32" s="1887"/>
      <c r="MBG32" s="1888"/>
      <c r="MBH32" s="1882"/>
      <c r="MBI32" s="1882"/>
      <c r="MBJ32" s="1882"/>
      <c r="MBL32" s="1887"/>
      <c r="MBM32" s="1888"/>
      <c r="MBN32" s="1882"/>
      <c r="MBO32" s="1882"/>
      <c r="MBP32" s="1882"/>
      <c r="MBR32" s="1887"/>
      <c r="MBS32" s="1888"/>
      <c r="MBT32" s="1882"/>
      <c r="MBU32" s="1882"/>
      <c r="MBV32" s="1882"/>
      <c r="MBX32" s="1887"/>
      <c r="MBY32" s="1888"/>
      <c r="MBZ32" s="1882"/>
      <c r="MCA32" s="1882"/>
      <c r="MCB32" s="1882"/>
      <c r="MCD32" s="1887"/>
      <c r="MCE32" s="1888"/>
      <c r="MCF32" s="1882"/>
      <c r="MCG32" s="1882"/>
      <c r="MCH32" s="1882"/>
      <c r="MCJ32" s="1887"/>
      <c r="MCK32" s="1888"/>
      <c r="MCL32" s="1882"/>
      <c r="MCM32" s="1882"/>
      <c r="MCN32" s="1882"/>
      <c r="MCP32" s="1887"/>
      <c r="MCQ32" s="1888"/>
      <c r="MCR32" s="1882"/>
      <c r="MCS32" s="1882"/>
      <c r="MCT32" s="1882"/>
      <c r="MCV32" s="1887"/>
      <c r="MCW32" s="1888"/>
      <c r="MCX32" s="1882"/>
      <c r="MCY32" s="1882"/>
      <c r="MCZ32" s="1882"/>
      <c r="MDB32" s="1887"/>
      <c r="MDC32" s="1888"/>
      <c r="MDD32" s="1882"/>
      <c r="MDE32" s="1882"/>
      <c r="MDF32" s="1882"/>
      <c r="MDH32" s="1887"/>
      <c r="MDI32" s="1888"/>
      <c r="MDJ32" s="1882"/>
      <c r="MDK32" s="1882"/>
      <c r="MDL32" s="1882"/>
      <c r="MDN32" s="1887"/>
      <c r="MDO32" s="1888"/>
      <c r="MDP32" s="1882"/>
      <c r="MDQ32" s="1882"/>
      <c r="MDR32" s="1882"/>
      <c r="MDT32" s="1887"/>
      <c r="MDU32" s="1888"/>
      <c r="MDV32" s="1882"/>
      <c r="MDW32" s="1882"/>
      <c r="MDX32" s="1882"/>
      <c r="MDZ32" s="1887"/>
      <c r="MEA32" s="1888"/>
      <c r="MEB32" s="1882"/>
      <c r="MEC32" s="1882"/>
      <c r="MED32" s="1882"/>
      <c r="MEF32" s="1887"/>
      <c r="MEG32" s="1888"/>
      <c r="MEH32" s="1882"/>
      <c r="MEI32" s="1882"/>
      <c r="MEJ32" s="1882"/>
      <c r="MEL32" s="1887"/>
      <c r="MEM32" s="1888"/>
      <c r="MEN32" s="1882"/>
      <c r="MEO32" s="1882"/>
      <c r="MEP32" s="1882"/>
      <c r="MER32" s="1887"/>
      <c r="MES32" s="1888"/>
      <c r="MET32" s="1882"/>
      <c r="MEU32" s="1882"/>
      <c r="MEV32" s="1882"/>
      <c r="MEX32" s="1887"/>
      <c r="MEY32" s="1888"/>
      <c r="MEZ32" s="1882"/>
      <c r="MFA32" s="1882"/>
      <c r="MFB32" s="1882"/>
      <c r="MFD32" s="1887"/>
      <c r="MFE32" s="1888"/>
      <c r="MFF32" s="1882"/>
      <c r="MFG32" s="1882"/>
      <c r="MFH32" s="1882"/>
      <c r="MFJ32" s="1887"/>
      <c r="MFK32" s="1888"/>
      <c r="MFL32" s="1882"/>
      <c r="MFM32" s="1882"/>
      <c r="MFN32" s="1882"/>
      <c r="MFP32" s="1887"/>
      <c r="MFQ32" s="1888"/>
      <c r="MFR32" s="1882"/>
      <c r="MFS32" s="1882"/>
      <c r="MFT32" s="1882"/>
      <c r="MFV32" s="1887"/>
      <c r="MFW32" s="1888"/>
      <c r="MFX32" s="1882"/>
      <c r="MFY32" s="1882"/>
      <c r="MFZ32" s="1882"/>
      <c r="MGB32" s="1887"/>
      <c r="MGC32" s="1888"/>
      <c r="MGD32" s="1882"/>
      <c r="MGE32" s="1882"/>
      <c r="MGF32" s="1882"/>
      <c r="MGH32" s="1887"/>
      <c r="MGI32" s="1888"/>
      <c r="MGJ32" s="1882"/>
      <c r="MGK32" s="1882"/>
      <c r="MGL32" s="1882"/>
      <c r="MGN32" s="1887"/>
      <c r="MGO32" s="1888"/>
      <c r="MGP32" s="1882"/>
      <c r="MGQ32" s="1882"/>
      <c r="MGR32" s="1882"/>
      <c r="MGT32" s="1887"/>
      <c r="MGU32" s="1888"/>
      <c r="MGV32" s="1882"/>
      <c r="MGW32" s="1882"/>
      <c r="MGX32" s="1882"/>
      <c r="MGZ32" s="1887"/>
      <c r="MHA32" s="1888"/>
      <c r="MHB32" s="1882"/>
      <c r="MHC32" s="1882"/>
      <c r="MHD32" s="1882"/>
      <c r="MHF32" s="1887"/>
      <c r="MHG32" s="1888"/>
      <c r="MHH32" s="1882"/>
      <c r="MHI32" s="1882"/>
      <c r="MHJ32" s="1882"/>
      <c r="MHL32" s="1887"/>
      <c r="MHM32" s="1888"/>
      <c r="MHN32" s="1882"/>
      <c r="MHO32" s="1882"/>
      <c r="MHP32" s="1882"/>
      <c r="MHR32" s="1887"/>
      <c r="MHS32" s="1888"/>
      <c r="MHT32" s="1882"/>
      <c r="MHU32" s="1882"/>
      <c r="MHV32" s="1882"/>
      <c r="MHX32" s="1887"/>
      <c r="MHY32" s="1888"/>
      <c r="MHZ32" s="1882"/>
      <c r="MIA32" s="1882"/>
      <c r="MIB32" s="1882"/>
      <c r="MID32" s="1887"/>
      <c r="MIE32" s="1888"/>
      <c r="MIF32" s="1882"/>
      <c r="MIG32" s="1882"/>
      <c r="MIH32" s="1882"/>
      <c r="MIJ32" s="1887"/>
      <c r="MIK32" s="1888"/>
      <c r="MIL32" s="1882"/>
      <c r="MIM32" s="1882"/>
      <c r="MIN32" s="1882"/>
      <c r="MIP32" s="1887"/>
      <c r="MIQ32" s="1888"/>
      <c r="MIR32" s="1882"/>
      <c r="MIS32" s="1882"/>
      <c r="MIT32" s="1882"/>
      <c r="MIV32" s="1887"/>
      <c r="MIW32" s="1888"/>
      <c r="MIX32" s="1882"/>
      <c r="MIY32" s="1882"/>
      <c r="MIZ32" s="1882"/>
      <c r="MJB32" s="1887"/>
      <c r="MJC32" s="1888"/>
      <c r="MJD32" s="1882"/>
      <c r="MJE32" s="1882"/>
      <c r="MJF32" s="1882"/>
      <c r="MJH32" s="1887"/>
      <c r="MJI32" s="1888"/>
      <c r="MJJ32" s="1882"/>
      <c r="MJK32" s="1882"/>
      <c r="MJL32" s="1882"/>
      <c r="MJN32" s="1887"/>
      <c r="MJO32" s="1888"/>
      <c r="MJP32" s="1882"/>
      <c r="MJQ32" s="1882"/>
      <c r="MJR32" s="1882"/>
      <c r="MJT32" s="1887"/>
      <c r="MJU32" s="1888"/>
      <c r="MJV32" s="1882"/>
      <c r="MJW32" s="1882"/>
      <c r="MJX32" s="1882"/>
      <c r="MJZ32" s="1887"/>
      <c r="MKA32" s="1888"/>
      <c r="MKB32" s="1882"/>
      <c r="MKC32" s="1882"/>
      <c r="MKD32" s="1882"/>
      <c r="MKF32" s="1887"/>
      <c r="MKG32" s="1888"/>
      <c r="MKH32" s="1882"/>
      <c r="MKI32" s="1882"/>
      <c r="MKJ32" s="1882"/>
      <c r="MKL32" s="1887"/>
      <c r="MKM32" s="1888"/>
      <c r="MKN32" s="1882"/>
      <c r="MKO32" s="1882"/>
      <c r="MKP32" s="1882"/>
      <c r="MKR32" s="1887"/>
      <c r="MKS32" s="1888"/>
      <c r="MKT32" s="1882"/>
      <c r="MKU32" s="1882"/>
      <c r="MKV32" s="1882"/>
      <c r="MKX32" s="1887"/>
      <c r="MKY32" s="1888"/>
      <c r="MKZ32" s="1882"/>
      <c r="MLA32" s="1882"/>
      <c r="MLB32" s="1882"/>
      <c r="MLD32" s="1887"/>
      <c r="MLE32" s="1888"/>
      <c r="MLF32" s="1882"/>
      <c r="MLG32" s="1882"/>
      <c r="MLH32" s="1882"/>
      <c r="MLJ32" s="1887"/>
      <c r="MLK32" s="1888"/>
      <c r="MLL32" s="1882"/>
      <c r="MLM32" s="1882"/>
      <c r="MLN32" s="1882"/>
      <c r="MLP32" s="1887"/>
      <c r="MLQ32" s="1888"/>
      <c r="MLR32" s="1882"/>
      <c r="MLS32" s="1882"/>
      <c r="MLT32" s="1882"/>
      <c r="MLV32" s="1887"/>
      <c r="MLW32" s="1888"/>
      <c r="MLX32" s="1882"/>
      <c r="MLY32" s="1882"/>
      <c r="MLZ32" s="1882"/>
      <c r="MMB32" s="1887"/>
      <c r="MMC32" s="1888"/>
      <c r="MMD32" s="1882"/>
      <c r="MME32" s="1882"/>
      <c r="MMF32" s="1882"/>
      <c r="MMH32" s="1887"/>
      <c r="MMI32" s="1888"/>
      <c r="MMJ32" s="1882"/>
      <c r="MMK32" s="1882"/>
      <c r="MML32" s="1882"/>
      <c r="MMN32" s="1887"/>
      <c r="MMO32" s="1888"/>
      <c r="MMP32" s="1882"/>
      <c r="MMQ32" s="1882"/>
      <c r="MMR32" s="1882"/>
      <c r="MMT32" s="1887"/>
      <c r="MMU32" s="1888"/>
      <c r="MMV32" s="1882"/>
      <c r="MMW32" s="1882"/>
      <c r="MMX32" s="1882"/>
      <c r="MMZ32" s="1887"/>
      <c r="MNA32" s="1888"/>
      <c r="MNB32" s="1882"/>
      <c r="MNC32" s="1882"/>
      <c r="MND32" s="1882"/>
      <c r="MNF32" s="1887"/>
      <c r="MNG32" s="1888"/>
      <c r="MNH32" s="1882"/>
      <c r="MNI32" s="1882"/>
      <c r="MNJ32" s="1882"/>
      <c r="MNL32" s="1887"/>
      <c r="MNM32" s="1888"/>
      <c r="MNN32" s="1882"/>
      <c r="MNO32" s="1882"/>
      <c r="MNP32" s="1882"/>
      <c r="MNR32" s="1887"/>
      <c r="MNS32" s="1888"/>
      <c r="MNT32" s="1882"/>
      <c r="MNU32" s="1882"/>
      <c r="MNV32" s="1882"/>
      <c r="MNX32" s="1887"/>
      <c r="MNY32" s="1888"/>
      <c r="MNZ32" s="1882"/>
      <c r="MOA32" s="1882"/>
      <c r="MOB32" s="1882"/>
      <c r="MOD32" s="1887"/>
      <c r="MOE32" s="1888"/>
      <c r="MOF32" s="1882"/>
      <c r="MOG32" s="1882"/>
      <c r="MOH32" s="1882"/>
      <c r="MOJ32" s="1887"/>
      <c r="MOK32" s="1888"/>
      <c r="MOL32" s="1882"/>
      <c r="MOM32" s="1882"/>
      <c r="MON32" s="1882"/>
      <c r="MOP32" s="1887"/>
      <c r="MOQ32" s="1888"/>
      <c r="MOR32" s="1882"/>
      <c r="MOS32" s="1882"/>
      <c r="MOT32" s="1882"/>
      <c r="MOV32" s="1887"/>
      <c r="MOW32" s="1888"/>
      <c r="MOX32" s="1882"/>
      <c r="MOY32" s="1882"/>
      <c r="MOZ32" s="1882"/>
      <c r="MPB32" s="1887"/>
      <c r="MPC32" s="1888"/>
      <c r="MPD32" s="1882"/>
      <c r="MPE32" s="1882"/>
      <c r="MPF32" s="1882"/>
      <c r="MPH32" s="1887"/>
      <c r="MPI32" s="1888"/>
      <c r="MPJ32" s="1882"/>
      <c r="MPK32" s="1882"/>
      <c r="MPL32" s="1882"/>
      <c r="MPN32" s="1887"/>
      <c r="MPO32" s="1888"/>
      <c r="MPP32" s="1882"/>
      <c r="MPQ32" s="1882"/>
      <c r="MPR32" s="1882"/>
      <c r="MPT32" s="1887"/>
      <c r="MPU32" s="1888"/>
      <c r="MPV32" s="1882"/>
      <c r="MPW32" s="1882"/>
      <c r="MPX32" s="1882"/>
      <c r="MPZ32" s="1887"/>
      <c r="MQA32" s="1888"/>
      <c r="MQB32" s="1882"/>
      <c r="MQC32" s="1882"/>
      <c r="MQD32" s="1882"/>
      <c r="MQF32" s="1887"/>
      <c r="MQG32" s="1888"/>
      <c r="MQH32" s="1882"/>
      <c r="MQI32" s="1882"/>
      <c r="MQJ32" s="1882"/>
      <c r="MQL32" s="1887"/>
      <c r="MQM32" s="1888"/>
      <c r="MQN32" s="1882"/>
      <c r="MQO32" s="1882"/>
      <c r="MQP32" s="1882"/>
      <c r="MQR32" s="1887"/>
      <c r="MQS32" s="1888"/>
      <c r="MQT32" s="1882"/>
      <c r="MQU32" s="1882"/>
      <c r="MQV32" s="1882"/>
      <c r="MQX32" s="1887"/>
      <c r="MQY32" s="1888"/>
      <c r="MQZ32" s="1882"/>
      <c r="MRA32" s="1882"/>
      <c r="MRB32" s="1882"/>
      <c r="MRD32" s="1887"/>
      <c r="MRE32" s="1888"/>
      <c r="MRF32" s="1882"/>
      <c r="MRG32" s="1882"/>
      <c r="MRH32" s="1882"/>
      <c r="MRJ32" s="1887"/>
      <c r="MRK32" s="1888"/>
      <c r="MRL32" s="1882"/>
      <c r="MRM32" s="1882"/>
      <c r="MRN32" s="1882"/>
      <c r="MRP32" s="1887"/>
      <c r="MRQ32" s="1888"/>
      <c r="MRR32" s="1882"/>
      <c r="MRS32" s="1882"/>
      <c r="MRT32" s="1882"/>
      <c r="MRV32" s="1887"/>
      <c r="MRW32" s="1888"/>
      <c r="MRX32" s="1882"/>
      <c r="MRY32" s="1882"/>
      <c r="MRZ32" s="1882"/>
      <c r="MSB32" s="1887"/>
      <c r="MSC32" s="1888"/>
      <c r="MSD32" s="1882"/>
      <c r="MSE32" s="1882"/>
      <c r="MSF32" s="1882"/>
      <c r="MSH32" s="1887"/>
      <c r="MSI32" s="1888"/>
      <c r="MSJ32" s="1882"/>
      <c r="MSK32" s="1882"/>
      <c r="MSL32" s="1882"/>
      <c r="MSN32" s="1887"/>
      <c r="MSO32" s="1888"/>
      <c r="MSP32" s="1882"/>
      <c r="MSQ32" s="1882"/>
      <c r="MSR32" s="1882"/>
      <c r="MST32" s="1887"/>
      <c r="MSU32" s="1888"/>
      <c r="MSV32" s="1882"/>
      <c r="MSW32" s="1882"/>
      <c r="MSX32" s="1882"/>
      <c r="MSZ32" s="1887"/>
      <c r="MTA32" s="1888"/>
      <c r="MTB32" s="1882"/>
      <c r="MTC32" s="1882"/>
      <c r="MTD32" s="1882"/>
      <c r="MTF32" s="1887"/>
      <c r="MTG32" s="1888"/>
      <c r="MTH32" s="1882"/>
      <c r="MTI32" s="1882"/>
      <c r="MTJ32" s="1882"/>
      <c r="MTL32" s="1887"/>
      <c r="MTM32" s="1888"/>
      <c r="MTN32" s="1882"/>
      <c r="MTO32" s="1882"/>
      <c r="MTP32" s="1882"/>
      <c r="MTR32" s="1887"/>
      <c r="MTS32" s="1888"/>
      <c r="MTT32" s="1882"/>
      <c r="MTU32" s="1882"/>
      <c r="MTV32" s="1882"/>
      <c r="MTX32" s="1887"/>
      <c r="MTY32" s="1888"/>
      <c r="MTZ32" s="1882"/>
      <c r="MUA32" s="1882"/>
      <c r="MUB32" s="1882"/>
      <c r="MUD32" s="1887"/>
      <c r="MUE32" s="1888"/>
      <c r="MUF32" s="1882"/>
      <c r="MUG32" s="1882"/>
      <c r="MUH32" s="1882"/>
      <c r="MUJ32" s="1887"/>
      <c r="MUK32" s="1888"/>
      <c r="MUL32" s="1882"/>
      <c r="MUM32" s="1882"/>
      <c r="MUN32" s="1882"/>
      <c r="MUP32" s="1887"/>
      <c r="MUQ32" s="1888"/>
      <c r="MUR32" s="1882"/>
      <c r="MUS32" s="1882"/>
      <c r="MUT32" s="1882"/>
      <c r="MUV32" s="1887"/>
      <c r="MUW32" s="1888"/>
      <c r="MUX32" s="1882"/>
      <c r="MUY32" s="1882"/>
      <c r="MUZ32" s="1882"/>
      <c r="MVB32" s="1887"/>
      <c r="MVC32" s="1888"/>
      <c r="MVD32" s="1882"/>
      <c r="MVE32" s="1882"/>
      <c r="MVF32" s="1882"/>
      <c r="MVH32" s="1887"/>
      <c r="MVI32" s="1888"/>
      <c r="MVJ32" s="1882"/>
      <c r="MVK32" s="1882"/>
      <c r="MVL32" s="1882"/>
      <c r="MVN32" s="1887"/>
      <c r="MVO32" s="1888"/>
      <c r="MVP32" s="1882"/>
      <c r="MVQ32" s="1882"/>
      <c r="MVR32" s="1882"/>
      <c r="MVT32" s="1887"/>
      <c r="MVU32" s="1888"/>
      <c r="MVV32" s="1882"/>
      <c r="MVW32" s="1882"/>
      <c r="MVX32" s="1882"/>
      <c r="MVZ32" s="1887"/>
      <c r="MWA32" s="1888"/>
      <c r="MWB32" s="1882"/>
      <c r="MWC32" s="1882"/>
      <c r="MWD32" s="1882"/>
      <c r="MWF32" s="1887"/>
      <c r="MWG32" s="1888"/>
      <c r="MWH32" s="1882"/>
      <c r="MWI32" s="1882"/>
      <c r="MWJ32" s="1882"/>
      <c r="MWL32" s="1887"/>
      <c r="MWM32" s="1888"/>
      <c r="MWN32" s="1882"/>
      <c r="MWO32" s="1882"/>
      <c r="MWP32" s="1882"/>
      <c r="MWR32" s="1887"/>
      <c r="MWS32" s="1888"/>
      <c r="MWT32" s="1882"/>
      <c r="MWU32" s="1882"/>
      <c r="MWV32" s="1882"/>
      <c r="MWX32" s="1887"/>
      <c r="MWY32" s="1888"/>
      <c r="MWZ32" s="1882"/>
      <c r="MXA32" s="1882"/>
      <c r="MXB32" s="1882"/>
      <c r="MXD32" s="1887"/>
      <c r="MXE32" s="1888"/>
      <c r="MXF32" s="1882"/>
      <c r="MXG32" s="1882"/>
      <c r="MXH32" s="1882"/>
      <c r="MXJ32" s="1887"/>
      <c r="MXK32" s="1888"/>
      <c r="MXL32" s="1882"/>
      <c r="MXM32" s="1882"/>
      <c r="MXN32" s="1882"/>
      <c r="MXP32" s="1887"/>
      <c r="MXQ32" s="1888"/>
      <c r="MXR32" s="1882"/>
      <c r="MXS32" s="1882"/>
      <c r="MXT32" s="1882"/>
      <c r="MXV32" s="1887"/>
      <c r="MXW32" s="1888"/>
      <c r="MXX32" s="1882"/>
      <c r="MXY32" s="1882"/>
      <c r="MXZ32" s="1882"/>
      <c r="MYB32" s="1887"/>
      <c r="MYC32" s="1888"/>
      <c r="MYD32" s="1882"/>
      <c r="MYE32" s="1882"/>
      <c r="MYF32" s="1882"/>
      <c r="MYH32" s="1887"/>
      <c r="MYI32" s="1888"/>
      <c r="MYJ32" s="1882"/>
      <c r="MYK32" s="1882"/>
      <c r="MYL32" s="1882"/>
      <c r="MYN32" s="1887"/>
      <c r="MYO32" s="1888"/>
      <c r="MYP32" s="1882"/>
      <c r="MYQ32" s="1882"/>
      <c r="MYR32" s="1882"/>
      <c r="MYT32" s="1887"/>
      <c r="MYU32" s="1888"/>
      <c r="MYV32" s="1882"/>
      <c r="MYW32" s="1882"/>
      <c r="MYX32" s="1882"/>
      <c r="MYZ32" s="1887"/>
      <c r="MZA32" s="1888"/>
      <c r="MZB32" s="1882"/>
      <c r="MZC32" s="1882"/>
      <c r="MZD32" s="1882"/>
      <c r="MZF32" s="1887"/>
      <c r="MZG32" s="1888"/>
      <c r="MZH32" s="1882"/>
      <c r="MZI32" s="1882"/>
      <c r="MZJ32" s="1882"/>
      <c r="MZL32" s="1887"/>
      <c r="MZM32" s="1888"/>
      <c r="MZN32" s="1882"/>
      <c r="MZO32" s="1882"/>
      <c r="MZP32" s="1882"/>
      <c r="MZR32" s="1887"/>
      <c r="MZS32" s="1888"/>
      <c r="MZT32" s="1882"/>
      <c r="MZU32" s="1882"/>
      <c r="MZV32" s="1882"/>
      <c r="MZX32" s="1887"/>
      <c r="MZY32" s="1888"/>
      <c r="MZZ32" s="1882"/>
      <c r="NAA32" s="1882"/>
      <c r="NAB32" s="1882"/>
      <c r="NAD32" s="1887"/>
      <c r="NAE32" s="1888"/>
      <c r="NAF32" s="1882"/>
      <c r="NAG32" s="1882"/>
      <c r="NAH32" s="1882"/>
      <c r="NAJ32" s="1887"/>
      <c r="NAK32" s="1888"/>
      <c r="NAL32" s="1882"/>
      <c r="NAM32" s="1882"/>
      <c r="NAN32" s="1882"/>
      <c r="NAP32" s="1887"/>
      <c r="NAQ32" s="1888"/>
      <c r="NAR32" s="1882"/>
      <c r="NAS32" s="1882"/>
      <c r="NAT32" s="1882"/>
      <c r="NAV32" s="1887"/>
      <c r="NAW32" s="1888"/>
      <c r="NAX32" s="1882"/>
      <c r="NAY32" s="1882"/>
      <c r="NAZ32" s="1882"/>
      <c r="NBB32" s="1887"/>
      <c r="NBC32" s="1888"/>
      <c r="NBD32" s="1882"/>
      <c r="NBE32" s="1882"/>
      <c r="NBF32" s="1882"/>
      <c r="NBH32" s="1887"/>
      <c r="NBI32" s="1888"/>
      <c r="NBJ32" s="1882"/>
      <c r="NBK32" s="1882"/>
      <c r="NBL32" s="1882"/>
      <c r="NBN32" s="1887"/>
      <c r="NBO32" s="1888"/>
      <c r="NBP32" s="1882"/>
      <c r="NBQ32" s="1882"/>
      <c r="NBR32" s="1882"/>
      <c r="NBT32" s="1887"/>
      <c r="NBU32" s="1888"/>
      <c r="NBV32" s="1882"/>
      <c r="NBW32" s="1882"/>
      <c r="NBX32" s="1882"/>
      <c r="NBZ32" s="1887"/>
      <c r="NCA32" s="1888"/>
      <c r="NCB32" s="1882"/>
      <c r="NCC32" s="1882"/>
      <c r="NCD32" s="1882"/>
      <c r="NCF32" s="1887"/>
      <c r="NCG32" s="1888"/>
      <c r="NCH32" s="1882"/>
      <c r="NCI32" s="1882"/>
      <c r="NCJ32" s="1882"/>
      <c r="NCL32" s="1887"/>
      <c r="NCM32" s="1888"/>
      <c r="NCN32" s="1882"/>
      <c r="NCO32" s="1882"/>
      <c r="NCP32" s="1882"/>
      <c r="NCR32" s="1887"/>
      <c r="NCS32" s="1888"/>
      <c r="NCT32" s="1882"/>
      <c r="NCU32" s="1882"/>
      <c r="NCV32" s="1882"/>
      <c r="NCX32" s="1887"/>
      <c r="NCY32" s="1888"/>
      <c r="NCZ32" s="1882"/>
      <c r="NDA32" s="1882"/>
      <c r="NDB32" s="1882"/>
      <c r="NDD32" s="1887"/>
      <c r="NDE32" s="1888"/>
      <c r="NDF32" s="1882"/>
      <c r="NDG32" s="1882"/>
      <c r="NDH32" s="1882"/>
      <c r="NDJ32" s="1887"/>
      <c r="NDK32" s="1888"/>
      <c r="NDL32" s="1882"/>
      <c r="NDM32" s="1882"/>
      <c r="NDN32" s="1882"/>
      <c r="NDP32" s="1887"/>
      <c r="NDQ32" s="1888"/>
      <c r="NDR32" s="1882"/>
      <c r="NDS32" s="1882"/>
      <c r="NDT32" s="1882"/>
      <c r="NDV32" s="1887"/>
      <c r="NDW32" s="1888"/>
      <c r="NDX32" s="1882"/>
      <c r="NDY32" s="1882"/>
      <c r="NDZ32" s="1882"/>
      <c r="NEB32" s="1887"/>
      <c r="NEC32" s="1888"/>
      <c r="NED32" s="1882"/>
      <c r="NEE32" s="1882"/>
      <c r="NEF32" s="1882"/>
      <c r="NEH32" s="1887"/>
      <c r="NEI32" s="1888"/>
      <c r="NEJ32" s="1882"/>
      <c r="NEK32" s="1882"/>
      <c r="NEL32" s="1882"/>
      <c r="NEN32" s="1887"/>
      <c r="NEO32" s="1888"/>
      <c r="NEP32" s="1882"/>
      <c r="NEQ32" s="1882"/>
      <c r="NER32" s="1882"/>
      <c r="NET32" s="1887"/>
      <c r="NEU32" s="1888"/>
      <c r="NEV32" s="1882"/>
      <c r="NEW32" s="1882"/>
      <c r="NEX32" s="1882"/>
      <c r="NEZ32" s="1887"/>
      <c r="NFA32" s="1888"/>
      <c r="NFB32" s="1882"/>
      <c r="NFC32" s="1882"/>
      <c r="NFD32" s="1882"/>
      <c r="NFF32" s="1887"/>
      <c r="NFG32" s="1888"/>
      <c r="NFH32" s="1882"/>
      <c r="NFI32" s="1882"/>
      <c r="NFJ32" s="1882"/>
      <c r="NFL32" s="1887"/>
      <c r="NFM32" s="1888"/>
      <c r="NFN32" s="1882"/>
      <c r="NFO32" s="1882"/>
      <c r="NFP32" s="1882"/>
      <c r="NFR32" s="1887"/>
      <c r="NFS32" s="1888"/>
      <c r="NFT32" s="1882"/>
      <c r="NFU32" s="1882"/>
      <c r="NFV32" s="1882"/>
      <c r="NFX32" s="1887"/>
      <c r="NFY32" s="1888"/>
      <c r="NFZ32" s="1882"/>
      <c r="NGA32" s="1882"/>
      <c r="NGB32" s="1882"/>
      <c r="NGD32" s="1887"/>
      <c r="NGE32" s="1888"/>
      <c r="NGF32" s="1882"/>
      <c r="NGG32" s="1882"/>
      <c r="NGH32" s="1882"/>
      <c r="NGJ32" s="1887"/>
      <c r="NGK32" s="1888"/>
      <c r="NGL32" s="1882"/>
      <c r="NGM32" s="1882"/>
      <c r="NGN32" s="1882"/>
      <c r="NGP32" s="1887"/>
      <c r="NGQ32" s="1888"/>
      <c r="NGR32" s="1882"/>
      <c r="NGS32" s="1882"/>
      <c r="NGT32" s="1882"/>
      <c r="NGV32" s="1887"/>
      <c r="NGW32" s="1888"/>
      <c r="NGX32" s="1882"/>
      <c r="NGY32" s="1882"/>
      <c r="NGZ32" s="1882"/>
      <c r="NHB32" s="1887"/>
      <c r="NHC32" s="1888"/>
      <c r="NHD32" s="1882"/>
      <c r="NHE32" s="1882"/>
      <c r="NHF32" s="1882"/>
      <c r="NHH32" s="1887"/>
      <c r="NHI32" s="1888"/>
      <c r="NHJ32" s="1882"/>
      <c r="NHK32" s="1882"/>
      <c r="NHL32" s="1882"/>
      <c r="NHN32" s="1887"/>
      <c r="NHO32" s="1888"/>
      <c r="NHP32" s="1882"/>
      <c r="NHQ32" s="1882"/>
      <c r="NHR32" s="1882"/>
      <c r="NHT32" s="1887"/>
      <c r="NHU32" s="1888"/>
      <c r="NHV32" s="1882"/>
      <c r="NHW32" s="1882"/>
      <c r="NHX32" s="1882"/>
      <c r="NHZ32" s="1887"/>
      <c r="NIA32" s="1888"/>
      <c r="NIB32" s="1882"/>
      <c r="NIC32" s="1882"/>
      <c r="NID32" s="1882"/>
      <c r="NIF32" s="1887"/>
      <c r="NIG32" s="1888"/>
      <c r="NIH32" s="1882"/>
      <c r="NII32" s="1882"/>
      <c r="NIJ32" s="1882"/>
      <c r="NIL32" s="1887"/>
      <c r="NIM32" s="1888"/>
      <c r="NIN32" s="1882"/>
      <c r="NIO32" s="1882"/>
      <c r="NIP32" s="1882"/>
      <c r="NIR32" s="1887"/>
      <c r="NIS32" s="1888"/>
      <c r="NIT32" s="1882"/>
      <c r="NIU32" s="1882"/>
      <c r="NIV32" s="1882"/>
      <c r="NIX32" s="1887"/>
      <c r="NIY32" s="1888"/>
      <c r="NIZ32" s="1882"/>
      <c r="NJA32" s="1882"/>
      <c r="NJB32" s="1882"/>
      <c r="NJD32" s="1887"/>
      <c r="NJE32" s="1888"/>
      <c r="NJF32" s="1882"/>
      <c r="NJG32" s="1882"/>
      <c r="NJH32" s="1882"/>
      <c r="NJJ32" s="1887"/>
      <c r="NJK32" s="1888"/>
      <c r="NJL32" s="1882"/>
      <c r="NJM32" s="1882"/>
      <c r="NJN32" s="1882"/>
      <c r="NJP32" s="1887"/>
      <c r="NJQ32" s="1888"/>
      <c r="NJR32" s="1882"/>
      <c r="NJS32" s="1882"/>
      <c r="NJT32" s="1882"/>
      <c r="NJV32" s="1887"/>
      <c r="NJW32" s="1888"/>
      <c r="NJX32" s="1882"/>
      <c r="NJY32" s="1882"/>
      <c r="NJZ32" s="1882"/>
      <c r="NKB32" s="1887"/>
      <c r="NKC32" s="1888"/>
      <c r="NKD32" s="1882"/>
      <c r="NKE32" s="1882"/>
      <c r="NKF32" s="1882"/>
      <c r="NKH32" s="1887"/>
      <c r="NKI32" s="1888"/>
      <c r="NKJ32" s="1882"/>
      <c r="NKK32" s="1882"/>
      <c r="NKL32" s="1882"/>
      <c r="NKN32" s="1887"/>
      <c r="NKO32" s="1888"/>
      <c r="NKP32" s="1882"/>
      <c r="NKQ32" s="1882"/>
      <c r="NKR32" s="1882"/>
      <c r="NKT32" s="1887"/>
      <c r="NKU32" s="1888"/>
      <c r="NKV32" s="1882"/>
      <c r="NKW32" s="1882"/>
      <c r="NKX32" s="1882"/>
      <c r="NKZ32" s="1887"/>
      <c r="NLA32" s="1888"/>
      <c r="NLB32" s="1882"/>
      <c r="NLC32" s="1882"/>
      <c r="NLD32" s="1882"/>
      <c r="NLF32" s="1887"/>
      <c r="NLG32" s="1888"/>
      <c r="NLH32" s="1882"/>
      <c r="NLI32" s="1882"/>
      <c r="NLJ32" s="1882"/>
      <c r="NLL32" s="1887"/>
      <c r="NLM32" s="1888"/>
      <c r="NLN32" s="1882"/>
      <c r="NLO32" s="1882"/>
      <c r="NLP32" s="1882"/>
      <c r="NLR32" s="1887"/>
      <c r="NLS32" s="1888"/>
      <c r="NLT32" s="1882"/>
      <c r="NLU32" s="1882"/>
      <c r="NLV32" s="1882"/>
      <c r="NLX32" s="1887"/>
      <c r="NLY32" s="1888"/>
      <c r="NLZ32" s="1882"/>
      <c r="NMA32" s="1882"/>
      <c r="NMB32" s="1882"/>
      <c r="NMD32" s="1887"/>
      <c r="NME32" s="1888"/>
      <c r="NMF32" s="1882"/>
      <c r="NMG32" s="1882"/>
      <c r="NMH32" s="1882"/>
      <c r="NMJ32" s="1887"/>
      <c r="NMK32" s="1888"/>
      <c r="NML32" s="1882"/>
      <c r="NMM32" s="1882"/>
      <c r="NMN32" s="1882"/>
      <c r="NMP32" s="1887"/>
      <c r="NMQ32" s="1888"/>
      <c r="NMR32" s="1882"/>
      <c r="NMS32" s="1882"/>
      <c r="NMT32" s="1882"/>
      <c r="NMV32" s="1887"/>
      <c r="NMW32" s="1888"/>
      <c r="NMX32" s="1882"/>
      <c r="NMY32" s="1882"/>
      <c r="NMZ32" s="1882"/>
      <c r="NNB32" s="1887"/>
      <c r="NNC32" s="1888"/>
      <c r="NND32" s="1882"/>
      <c r="NNE32" s="1882"/>
      <c r="NNF32" s="1882"/>
      <c r="NNH32" s="1887"/>
      <c r="NNI32" s="1888"/>
      <c r="NNJ32" s="1882"/>
      <c r="NNK32" s="1882"/>
      <c r="NNL32" s="1882"/>
      <c r="NNN32" s="1887"/>
      <c r="NNO32" s="1888"/>
      <c r="NNP32" s="1882"/>
      <c r="NNQ32" s="1882"/>
      <c r="NNR32" s="1882"/>
      <c r="NNT32" s="1887"/>
      <c r="NNU32" s="1888"/>
      <c r="NNV32" s="1882"/>
      <c r="NNW32" s="1882"/>
      <c r="NNX32" s="1882"/>
      <c r="NNZ32" s="1887"/>
      <c r="NOA32" s="1888"/>
      <c r="NOB32" s="1882"/>
      <c r="NOC32" s="1882"/>
      <c r="NOD32" s="1882"/>
      <c r="NOF32" s="1887"/>
      <c r="NOG32" s="1888"/>
      <c r="NOH32" s="1882"/>
      <c r="NOI32" s="1882"/>
      <c r="NOJ32" s="1882"/>
      <c r="NOL32" s="1887"/>
      <c r="NOM32" s="1888"/>
      <c r="NON32" s="1882"/>
      <c r="NOO32" s="1882"/>
      <c r="NOP32" s="1882"/>
      <c r="NOR32" s="1887"/>
      <c r="NOS32" s="1888"/>
      <c r="NOT32" s="1882"/>
      <c r="NOU32" s="1882"/>
      <c r="NOV32" s="1882"/>
      <c r="NOX32" s="1887"/>
      <c r="NOY32" s="1888"/>
      <c r="NOZ32" s="1882"/>
      <c r="NPA32" s="1882"/>
      <c r="NPB32" s="1882"/>
      <c r="NPD32" s="1887"/>
      <c r="NPE32" s="1888"/>
      <c r="NPF32" s="1882"/>
      <c r="NPG32" s="1882"/>
      <c r="NPH32" s="1882"/>
      <c r="NPJ32" s="1887"/>
      <c r="NPK32" s="1888"/>
      <c r="NPL32" s="1882"/>
      <c r="NPM32" s="1882"/>
      <c r="NPN32" s="1882"/>
      <c r="NPP32" s="1887"/>
      <c r="NPQ32" s="1888"/>
      <c r="NPR32" s="1882"/>
      <c r="NPS32" s="1882"/>
      <c r="NPT32" s="1882"/>
      <c r="NPV32" s="1887"/>
      <c r="NPW32" s="1888"/>
      <c r="NPX32" s="1882"/>
      <c r="NPY32" s="1882"/>
      <c r="NPZ32" s="1882"/>
      <c r="NQB32" s="1887"/>
      <c r="NQC32" s="1888"/>
      <c r="NQD32" s="1882"/>
      <c r="NQE32" s="1882"/>
      <c r="NQF32" s="1882"/>
      <c r="NQH32" s="1887"/>
      <c r="NQI32" s="1888"/>
      <c r="NQJ32" s="1882"/>
      <c r="NQK32" s="1882"/>
      <c r="NQL32" s="1882"/>
      <c r="NQN32" s="1887"/>
      <c r="NQO32" s="1888"/>
      <c r="NQP32" s="1882"/>
      <c r="NQQ32" s="1882"/>
      <c r="NQR32" s="1882"/>
      <c r="NQT32" s="1887"/>
      <c r="NQU32" s="1888"/>
      <c r="NQV32" s="1882"/>
      <c r="NQW32" s="1882"/>
      <c r="NQX32" s="1882"/>
      <c r="NQZ32" s="1887"/>
      <c r="NRA32" s="1888"/>
      <c r="NRB32" s="1882"/>
      <c r="NRC32" s="1882"/>
      <c r="NRD32" s="1882"/>
      <c r="NRF32" s="1887"/>
      <c r="NRG32" s="1888"/>
      <c r="NRH32" s="1882"/>
      <c r="NRI32" s="1882"/>
      <c r="NRJ32" s="1882"/>
      <c r="NRL32" s="1887"/>
      <c r="NRM32" s="1888"/>
      <c r="NRN32" s="1882"/>
      <c r="NRO32" s="1882"/>
      <c r="NRP32" s="1882"/>
      <c r="NRR32" s="1887"/>
      <c r="NRS32" s="1888"/>
      <c r="NRT32" s="1882"/>
      <c r="NRU32" s="1882"/>
      <c r="NRV32" s="1882"/>
      <c r="NRX32" s="1887"/>
      <c r="NRY32" s="1888"/>
      <c r="NRZ32" s="1882"/>
      <c r="NSA32" s="1882"/>
      <c r="NSB32" s="1882"/>
      <c r="NSD32" s="1887"/>
      <c r="NSE32" s="1888"/>
      <c r="NSF32" s="1882"/>
      <c r="NSG32" s="1882"/>
      <c r="NSH32" s="1882"/>
      <c r="NSJ32" s="1887"/>
      <c r="NSK32" s="1888"/>
      <c r="NSL32" s="1882"/>
      <c r="NSM32" s="1882"/>
      <c r="NSN32" s="1882"/>
      <c r="NSP32" s="1887"/>
      <c r="NSQ32" s="1888"/>
      <c r="NSR32" s="1882"/>
      <c r="NSS32" s="1882"/>
      <c r="NST32" s="1882"/>
      <c r="NSV32" s="1887"/>
      <c r="NSW32" s="1888"/>
      <c r="NSX32" s="1882"/>
      <c r="NSY32" s="1882"/>
      <c r="NSZ32" s="1882"/>
      <c r="NTB32" s="1887"/>
      <c r="NTC32" s="1888"/>
      <c r="NTD32" s="1882"/>
      <c r="NTE32" s="1882"/>
      <c r="NTF32" s="1882"/>
      <c r="NTH32" s="1887"/>
      <c r="NTI32" s="1888"/>
      <c r="NTJ32" s="1882"/>
      <c r="NTK32" s="1882"/>
      <c r="NTL32" s="1882"/>
      <c r="NTN32" s="1887"/>
      <c r="NTO32" s="1888"/>
      <c r="NTP32" s="1882"/>
      <c r="NTQ32" s="1882"/>
      <c r="NTR32" s="1882"/>
      <c r="NTT32" s="1887"/>
      <c r="NTU32" s="1888"/>
      <c r="NTV32" s="1882"/>
      <c r="NTW32" s="1882"/>
      <c r="NTX32" s="1882"/>
      <c r="NTZ32" s="1887"/>
      <c r="NUA32" s="1888"/>
      <c r="NUB32" s="1882"/>
      <c r="NUC32" s="1882"/>
      <c r="NUD32" s="1882"/>
      <c r="NUF32" s="1887"/>
      <c r="NUG32" s="1888"/>
      <c r="NUH32" s="1882"/>
      <c r="NUI32" s="1882"/>
      <c r="NUJ32" s="1882"/>
      <c r="NUL32" s="1887"/>
      <c r="NUM32" s="1888"/>
      <c r="NUN32" s="1882"/>
      <c r="NUO32" s="1882"/>
      <c r="NUP32" s="1882"/>
      <c r="NUR32" s="1887"/>
      <c r="NUS32" s="1888"/>
      <c r="NUT32" s="1882"/>
      <c r="NUU32" s="1882"/>
      <c r="NUV32" s="1882"/>
      <c r="NUX32" s="1887"/>
      <c r="NUY32" s="1888"/>
      <c r="NUZ32" s="1882"/>
      <c r="NVA32" s="1882"/>
      <c r="NVB32" s="1882"/>
      <c r="NVD32" s="1887"/>
      <c r="NVE32" s="1888"/>
      <c r="NVF32" s="1882"/>
      <c r="NVG32" s="1882"/>
      <c r="NVH32" s="1882"/>
      <c r="NVJ32" s="1887"/>
      <c r="NVK32" s="1888"/>
      <c r="NVL32" s="1882"/>
      <c r="NVM32" s="1882"/>
      <c r="NVN32" s="1882"/>
      <c r="NVP32" s="1887"/>
      <c r="NVQ32" s="1888"/>
      <c r="NVR32" s="1882"/>
      <c r="NVS32" s="1882"/>
      <c r="NVT32" s="1882"/>
      <c r="NVV32" s="1887"/>
      <c r="NVW32" s="1888"/>
      <c r="NVX32" s="1882"/>
      <c r="NVY32" s="1882"/>
      <c r="NVZ32" s="1882"/>
      <c r="NWB32" s="1887"/>
      <c r="NWC32" s="1888"/>
      <c r="NWD32" s="1882"/>
      <c r="NWE32" s="1882"/>
      <c r="NWF32" s="1882"/>
      <c r="NWH32" s="1887"/>
      <c r="NWI32" s="1888"/>
      <c r="NWJ32" s="1882"/>
      <c r="NWK32" s="1882"/>
      <c r="NWL32" s="1882"/>
      <c r="NWN32" s="1887"/>
      <c r="NWO32" s="1888"/>
      <c r="NWP32" s="1882"/>
      <c r="NWQ32" s="1882"/>
      <c r="NWR32" s="1882"/>
      <c r="NWT32" s="1887"/>
      <c r="NWU32" s="1888"/>
      <c r="NWV32" s="1882"/>
      <c r="NWW32" s="1882"/>
      <c r="NWX32" s="1882"/>
      <c r="NWZ32" s="1887"/>
      <c r="NXA32" s="1888"/>
      <c r="NXB32" s="1882"/>
      <c r="NXC32" s="1882"/>
      <c r="NXD32" s="1882"/>
      <c r="NXF32" s="1887"/>
      <c r="NXG32" s="1888"/>
      <c r="NXH32" s="1882"/>
      <c r="NXI32" s="1882"/>
      <c r="NXJ32" s="1882"/>
      <c r="NXL32" s="1887"/>
      <c r="NXM32" s="1888"/>
      <c r="NXN32" s="1882"/>
      <c r="NXO32" s="1882"/>
      <c r="NXP32" s="1882"/>
      <c r="NXR32" s="1887"/>
      <c r="NXS32" s="1888"/>
      <c r="NXT32" s="1882"/>
      <c r="NXU32" s="1882"/>
      <c r="NXV32" s="1882"/>
      <c r="NXX32" s="1887"/>
      <c r="NXY32" s="1888"/>
      <c r="NXZ32" s="1882"/>
      <c r="NYA32" s="1882"/>
      <c r="NYB32" s="1882"/>
      <c r="NYD32" s="1887"/>
      <c r="NYE32" s="1888"/>
      <c r="NYF32" s="1882"/>
      <c r="NYG32" s="1882"/>
      <c r="NYH32" s="1882"/>
      <c r="NYJ32" s="1887"/>
      <c r="NYK32" s="1888"/>
      <c r="NYL32" s="1882"/>
      <c r="NYM32" s="1882"/>
      <c r="NYN32" s="1882"/>
      <c r="NYP32" s="1887"/>
      <c r="NYQ32" s="1888"/>
      <c r="NYR32" s="1882"/>
      <c r="NYS32" s="1882"/>
      <c r="NYT32" s="1882"/>
      <c r="NYV32" s="1887"/>
      <c r="NYW32" s="1888"/>
      <c r="NYX32" s="1882"/>
      <c r="NYY32" s="1882"/>
      <c r="NYZ32" s="1882"/>
      <c r="NZB32" s="1887"/>
      <c r="NZC32" s="1888"/>
      <c r="NZD32" s="1882"/>
      <c r="NZE32" s="1882"/>
      <c r="NZF32" s="1882"/>
      <c r="NZH32" s="1887"/>
      <c r="NZI32" s="1888"/>
      <c r="NZJ32" s="1882"/>
      <c r="NZK32" s="1882"/>
      <c r="NZL32" s="1882"/>
      <c r="NZN32" s="1887"/>
      <c r="NZO32" s="1888"/>
      <c r="NZP32" s="1882"/>
      <c r="NZQ32" s="1882"/>
      <c r="NZR32" s="1882"/>
      <c r="NZT32" s="1887"/>
      <c r="NZU32" s="1888"/>
      <c r="NZV32" s="1882"/>
      <c r="NZW32" s="1882"/>
      <c r="NZX32" s="1882"/>
      <c r="NZZ32" s="1887"/>
      <c r="OAA32" s="1888"/>
      <c r="OAB32" s="1882"/>
      <c r="OAC32" s="1882"/>
      <c r="OAD32" s="1882"/>
      <c r="OAF32" s="1887"/>
      <c r="OAG32" s="1888"/>
      <c r="OAH32" s="1882"/>
      <c r="OAI32" s="1882"/>
      <c r="OAJ32" s="1882"/>
      <c r="OAL32" s="1887"/>
      <c r="OAM32" s="1888"/>
      <c r="OAN32" s="1882"/>
      <c r="OAO32" s="1882"/>
      <c r="OAP32" s="1882"/>
      <c r="OAR32" s="1887"/>
      <c r="OAS32" s="1888"/>
      <c r="OAT32" s="1882"/>
      <c r="OAU32" s="1882"/>
      <c r="OAV32" s="1882"/>
      <c r="OAX32" s="1887"/>
      <c r="OAY32" s="1888"/>
      <c r="OAZ32" s="1882"/>
      <c r="OBA32" s="1882"/>
      <c r="OBB32" s="1882"/>
      <c r="OBD32" s="1887"/>
      <c r="OBE32" s="1888"/>
      <c r="OBF32" s="1882"/>
      <c r="OBG32" s="1882"/>
      <c r="OBH32" s="1882"/>
      <c r="OBJ32" s="1887"/>
      <c r="OBK32" s="1888"/>
      <c r="OBL32" s="1882"/>
      <c r="OBM32" s="1882"/>
      <c r="OBN32" s="1882"/>
      <c r="OBP32" s="1887"/>
      <c r="OBQ32" s="1888"/>
      <c r="OBR32" s="1882"/>
      <c r="OBS32" s="1882"/>
      <c r="OBT32" s="1882"/>
      <c r="OBV32" s="1887"/>
      <c r="OBW32" s="1888"/>
      <c r="OBX32" s="1882"/>
      <c r="OBY32" s="1882"/>
      <c r="OBZ32" s="1882"/>
      <c r="OCB32" s="1887"/>
      <c r="OCC32" s="1888"/>
      <c r="OCD32" s="1882"/>
      <c r="OCE32" s="1882"/>
      <c r="OCF32" s="1882"/>
      <c r="OCH32" s="1887"/>
      <c r="OCI32" s="1888"/>
      <c r="OCJ32" s="1882"/>
      <c r="OCK32" s="1882"/>
      <c r="OCL32" s="1882"/>
      <c r="OCN32" s="1887"/>
      <c r="OCO32" s="1888"/>
      <c r="OCP32" s="1882"/>
      <c r="OCQ32" s="1882"/>
      <c r="OCR32" s="1882"/>
      <c r="OCT32" s="1887"/>
      <c r="OCU32" s="1888"/>
      <c r="OCV32" s="1882"/>
      <c r="OCW32" s="1882"/>
      <c r="OCX32" s="1882"/>
      <c r="OCZ32" s="1887"/>
      <c r="ODA32" s="1888"/>
      <c r="ODB32" s="1882"/>
      <c r="ODC32" s="1882"/>
      <c r="ODD32" s="1882"/>
      <c r="ODF32" s="1887"/>
      <c r="ODG32" s="1888"/>
      <c r="ODH32" s="1882"/>
      <c r="ODI32" s="1882"/>
      <c r="ODJ32" s="1882"/>
      <c r="ODL32" s="1887"/>
      <c r="ODM32" s="1888"/>
      <c r="ODN32" s="1882"/>
      <c r="ODO32" s="1882"/>
      <c r="ODP32" s="1882"/>
      <c r="ODR32" s="1887"/>
      <c r="ODS32" s="1888"/>
      <c r="ODT32" s="1882"/>
      <c r="ODU32" s="1882"/>
      <c r="ODV32" s="1882"/>
      <c r="ODX32" s="1887"/>
      <c r="ODY32" s="1888"/>
      <c r="ODZ32" s="1882"/>
      <c r="OEA32" s="1882"/>
      <c r="OEB32" s="1882"/>
      <c r="OED32" s="1887"/>
      <c r="OEE32" s="1888"/>
      <c r="OEF32" s="1882"/>
      <c r="OEG32" s="1882"/>
      <c r="OEH32" s="1882"/>
      <c r="OEJ32" s="1887"/>
      <c r="OEK32" s="1888"/>
      <c r="OEL32" s="1882"/>
      <c r="OEM32" s="1882"/>
      <c r="OEN32" s="1882"/>
      <c r="OEP32" s="1887"/>
      <c r="OEQ32" s="1888"/>
      <c r="OER32" s="1882"/>
      <c r="OES32" s="1882"/>
      <c r="OET32" s="1882"/>
      <c r="OEV32" s="1887"/>
      <c r="OEW32" s="1888"/>
      <c r="OEX32" s="1882"/>
      <c r="OEY32" s="1882"/>
      <c r="OEZ32" s="1882"/>
      <c r="OFB32" s="1887"/>
      <c r="OFC32" s="1888"/>
      <c r="OFD32" s="1882"/>
      <c r="OFE32" s="1882"/>
      <c r="OFF32" s="1882"/>
      <c r="OFH32" s="1887"/>
      <c r="OFI32" s="1888"/>
      <c r="OFJ32" s="1882"/>
      <c r="OFK32" s="1882"/>
      <c r="OFL32" s="1882"/>
      <c r="OFN32" s="1887"/>
      <c r="OFO32" s="1888"/>
      <c r="OFP32" s="1882"/>
      <c r="OFQ32" s="1882"/>
      <c r="OFR32" s="1882"/>
      <c r="OFT32" s="1887"/>
      <c r="OFU32" s="1888"/>
      <c r="OFV32" s="1882"/>
      <c r="OFW32" s="1882"/>
      <c r="OFX32" s="1882"/>
      <c r="OFZ32" s="1887"/>
      <c r="OGA32" s="1888"/>
      <c r="OGB32" s="1882"/>
      <c r="OGC32" s="1882"/>
      <c r="OGD32" s="1882"/>
      <c r="OGF32" s="1887"/>
      <c r="OGG32" s="1888"/>
      <c r="OGH32" s="1882"/>
      <c r="OGI32" s="1882"/>
      <c r="OGJ32" s="1882"/>
      <c r="OGL32" s="1887"/>
      <c r="OGM32" s="1888"/>
      <c r="OGN32" s="1882"/>
      <c r="OGO32" s="1882"/>
      <c r="OGP32" s="1882"/>
      <c r="OGR32" s="1887"/>
      <c r="OGS32" s="1888"/>
      <c r="OGT32" s="1882"/>
      <c r="OGU32" s="1882"/>
      <c r="OGV32" s="1882"/>
      <c r="OGX32" s="1887"/>
      <c r="OGY32" s="1888"/>
      <c r="OGZ32" s="1882"/>
      <c r="OHA32" s="1882"/>
      <c r="OHB32" s="1882"/>
      <c r="OHD32" s="1887"/>
      <c r="OHE32" s="1888"/>
      <c r="OHF32" s="1882"/>
      <c r="OHG32" s="1882"/>
      <c r="OHH32" s="1882"/>
      <c r="OHJ32" s="1887"/>
      <c r="OHK32" s="1888"/>
      <c r="OHL32" s="1882"/>
      <c r="OHM32" s="1882"/>
      <c r="OHN32" s="1882"/>
      <c r="OHP32" s="1887"/>
      <c r="OHQ32" s="1888"/>
      <c r="OHR32" s="1882"/>
      <c r="OHS32" s="1882"/>
      <c r="OHT32" s="1882"/>
      <c r="OHV32" s="1887"/>
      <c r="OHW32" s="1888"/>
      <c r="OHX32" s="1882"/>
      <c r="OHY32" s="1882"/>
      <c r="OHZ32" s="1882"/>
      <c r="OIB32" s="1887"/>
      <c r="OIC32" s="1888"/>
      <c r="OID32" s="1882"/>
      <c r="OIE32" s="1882"/>
      <c r="OIF32" s="1882"/>
      <c r="OIH32" s="1887"/>
      <c r="OII32" s="1888"/>
      <c r="OIJ32" s="1882"/>
      <c r="OIK32" s="1882"/>
      <c r="OIL32" s="1882"/>
      <c r="OIN32" s="1887"/>
      <c r="OIO32" s="1888"/>
      <c r="OIP32" s="1882"/>
      <c r="OIQ32" s="1882"/>
      <c r="OIR32" s="1882"/>
      <c r="OIT32" s="1887"/>
      <c r="OIU32" s="1888"/>
      <c r="OIV32" s="1882"/>
      <c r="OIW32" s="1882"/>
      <c r="OIX32" s="1882"/>
      <c r="OIZ32" s="1887"/>
      <c r="OJA32" s="1888"/>
      <c r="OJB32" s="1882"/>
      <c r="OJC32" s="1882"/>
      <c r="OJD32" s="1882"/>
      <c r="OJF32" s="1887"/>
      <c r="OJG32" s="1888"/>
      <c r="OJH32" s="1882"/>
      <c r="OJI32" s="1882"/>
      <c r="OJJ32" s="1882"/>
      <c r="OJL32" s="1887"/>
      <c r="OJM32" s="1888"/>
      <c r="OJN32" s="1882"/>
      <c r="OJO32" s="1882"/>
      <c r="OJP32" s="1882"/>
      <c r="OJR32" s="1887"/>
      <c r="OJS32" s="1888"/>
      <c r="OJT32" s="1882"/>
      <c r="OJU32" s="1882"/>
      <c r="OJV32" s="1882"/>
      <c r="OJX32" s="1887"/>
      <c r="OJY32" s="1888"/>
      <c r="OJZ32" s="1882"/>
      <c r="OKA32" s="1882"/>
      <c r="OKB32" s="1882"/>
      <c r="OKD32" s="1887"/>
      <c r="OKE32" s="1888"/>
      <c r="OKF32" s="1882"/>
      <c r="OKG32" s="1882"/>
      <c r="OKH32" s="1882"/>
      <c r="OKJ32" s="1887"/>
      <c r="OKK32" s="1888"/>
      <c r="OKL32" s="1882"/>
      <c r="OKM32" s="1882"/>
      <c r="OKN32" s="1882"/>
      <c r="OKP32" s="1887"/>
      <c r="OKQ32" s="1888"/>
      <c r="OKR32" s="1882"/>
      <c r="OKS32" s="1882"/>
      <c r="OKT32" s="1882"/>
      <c r="OKV32" s="1887"/>
      <c r="OKW32" s="1888"/>
      <c r="OKX32" s="1882"/>
      <c r="OKY32" s="1882"/>
      <c r="OKZ32" s="1882"/>
      <c r="OLB32" s="1887"/>
      <c r="OLC32" s="1888"/>
      <c r="OLD32" s="1882"/>
      <c r="OLE32" s="1882"/>
      <c r="OLF32" s="1882"/>
      <c r="OLH32" s="1887"/>
      <c r="OLI32" s="1888"/>
      <c r="OLJ32" s="1882"/>
      <c r="OLK32" s="1882"/>
      <c r="OLL32" s="1882"/>
      <c r="OLN32" s="1887"/>
      <c r="OLO32" s="1888"/>
      <c r="OLP32" s="1882"/>
      <c r="OLQ32" s="1882"/>
      <c r="OLR32" s="1882"/>
      <c r="OLT32" s="1887"/>
      <c r="OLU32" s="1888"/>
      <c r="OLV32" s="1882"/>
      <c r="OLW32" s="1882"/>
      <c r="OLX32" s="1882"/>
      <c r="OLZ32" s="1887"/>
      <c r="OMA32" s="1888"/>
      <c r="OMB32" s="1882"/>
      <c r="OMC32" s="1882"/>
      <c r="OMD32" s="1882"/>
      <c r="OMF32" s="1887"/>
      <c r="OMG32" s="1888"/>
      <c r="OMH32" s="1882"/>
      <c r="OMI32" s="1882"/>
      <c r="OMJ32" s="1882"/>
      <c r="OML32" s="1887"/>
      <c r="OMM32" s="1888"/>
      <c r="OMN32" s="1882"/>
      <c r="OMO32" s="1882"/>
      <c r="OMP32" s="1882"/>
      <c r="OMR32" s="1887"/>
      <c r="OMS32" s="1888"/>
      <c r="OMT32" s="1882"/>
      <c r="OMU32" s="1882"/>
      <c r="OMV32" s="1882"/>
      <c r="OMX32" s="1887"/>
      <c r="OMY32" s="1888"/>
      <c r="OMZ32" s="1882"/>
      <c r="ONA32" s="1882"/>
      <c r="ONB32" s="1882"/>
      <c r="OND32" s="1887"/>
      <c r="ONE32" s="1888"/>
      <c r="ONF32" s="1882"/>
      <c r="ONG32" s="1882"/>
      <c r="ONH32" s="1882"/>
      <c r="ONJ32" s="1887"/>
      <c r="ONK32" s="1888"/>
      <c r="ONL32" s="1882"/>
      <c r="ONM32" s="1882"/>
      <c r="ONN32" s="1882"/>
      <c r="ONP32" s="1887"/>
      <c r="ONQ32" s="1888"/>
      <c r="ONR32" s="1882"/>
      <c r="ONS32" s="1882"/>
      <c r="ONT32" s="1882"/>
      <c r="ONV32" s="1887"/>
      <c r="ONW32" s="1888"/>
      <c r="ONX32" s="1882"/>
      <c r="ONY32" s="1882"/>
      <c r="ONZ32" s="1882"/>
      <c r="OOB32" s="1887"/>
      <c r="OOC32" s="1888"/>
      <c r="OOD32" s="1882"/>
      <c r="OOE32" s="1882"/>
      <c r="OOF32" s="1882"/>
      <c r="OOH32" s="1887"/>
      <c r="OOI32" s="1888"/>
      <c r="OOJ32" s="1882"/>
      <c r="OOK32" s="1882"/>
      <c r="OOL32" s="1882"/>
      <c r="OON32" s="1887"/>
      <c r="OOO32" s="1888"/>
      <c r="OOP32" s="1882"/>
      <c r="OOQ32" s="1882"/>
      <c r="OOR32" s="1882"/>
      <c r="OOT32" s="1887"/>
      <c r="OOU32" s="1888"/>
      <c r="OOV32" s="1882"/>
      <c r="OOW32" s="1882"/>
      <c r="OOX32" s="1882"/>
      <c r="OOZ32" s="1887"/>
      <c r="OPA32" s="1888"/>
      <c r="OPB32" s="1882"/>
      <c r="OPC32" s="1882"/>
      <c r="OPD32" s="1882"/>
      <c r="OPF32" s="1887"/>
      <c r="OPG32" s="1888"/>
      <c r="OPH32" s="1882"/>
      <c r="OPI32" s="1882"/>
      <c r="OPJ32" s="1882"/>
      <c r="OPL32" s="1887"/>
      <c r="OPM32" s="1888"/>
      <c r="OPN32" s="1882"/>
      <c r="OPO32" s="1882"/>
      <c r="OPP32" s="1882"/>
      <c r="OPR32" s="1887"/>
      <c r="OPS32" s="1888"/>
      <c r="OPT32" s="1882"/>
      <c r="OPU32" s="1882"/>
      <c r="OPV32" s="1882"/>
      <c r="OPX32" s="1887"/>
      <c r="OPY32" s="1888"/>
      <c r="OPZ32" s="1882"/>
      <c r="OQA32" s="1882"/>
      <c r="OQB32" s="1882"/>
      <c r="OQD32" s="1887"/>
      <c r="OQE32" s="1888"/>
      <c r="OQF32" s="1882"/>
      <c r="OQG32" s="1882"/>
      <c r="OQH32" s="1882"/>
      <c r="OQJ32" s="1887"/>
      <c r="OQK32" s="1888"/>
      <c r="OQL32" s="1882"/>
      <c r="OQM32" s="1882"/>
      <c r="OQN32" s="1882"/>
      <c r="OQP32" s="1887"/>
      <c r="OQQ32" s="1888"/>
      <c r="OQR32" s="1882"/>
      <c r="OQS32" s="1882"/>
      <c r="OQT32" s="1882"/>
      <c r="OQV32" s="1887"/>
      <c r="OQW32" s="1888"/>
      <c r="OQX32" s="1882"/>
      <c r="OQY32" s="1882"/>
      <c r="OQZ32" s="1882"/>
      <c r="ORB32" s="1887"/>
      <c r="ORC32" s="1888"/>
      <c r="ORD32" s="1882"/>
      <c r="ORE32" s="1882"/>
      <c r="ORF32" s="1882"/>
      <c r="ORH32" s="1887"/>
      <c r="ORI32" s="1888"/>
      <c r="ORJ32" s="1882"/>
      <c r="ORK32" s="1882"/>
      <c r="ORL32" s="1882"/>
      <c r="ORN32" s="1887"/>
      <c r="ORO32" s="1888"/>
      <c r="ORP32" s="1882"/>
      <c r="ORQ32" s="1882"/>
      <c r="ORR32" s="1882"/>
      <c r="ORT32" s="1887"/>
      <c r="ORU32" s="1888"/>
      <c r="ORV32" s="1882"/>
      <c r="ORW32" s="1882"/>
      <c r="ORX32" s="1882"/>
      <c r="ORZ32" s="1887"/>
      <c r="OSA32" s="1888"/>
      <c r="OSB32" s="1882"/>
      <c r="OSC32" s="1882"/>
      <c r="OSD32" s="1882"/>
      <c r="OSF32" s="1887"/>
      <c r="OSG32" s="1888"/>
      <c r="OSH32" s="1882"/>
      <c r="OSI32" s="1882"/>
      <c r="OSJ32" s="1882"/>
      <c r="OSL32" s="1887"/>
      <c r="OSM32" s="1888"/>
      <c r="OSN32" s="1882"/>
      <c r="OSO32" s="1882"/>
      <c r="OSP32" s="1882"/>
      <c r="OSR32" s="1887"/>
      <c r="OSS32" s="1888"/>
      <c r="OST32" s="1882"/>
      <c r="OSU32" s="1882"/>
      <c r="OSV32" s="1882"/>
      <c r="OSX32" s="1887"/>
      <c r="OSY32" s="1888"/>
      <c r="OSZ32" s="1882"/>
      <c r="OTA32" s="1882"/>
      <c r="OTB32" s="1882"/>
      <c r="OTD32" s="1887"/>
      <c r="OTE32" s="1888"/>
      <c r="OTF32" s="1882"/>
      <c r="OTG32" s="1882"/>
      <c r="OTH32" s="1882"/>
      <c r="OTJ32" s="1887"/>
      <c r="OTK32" s="1888"/>
      <c r="OTL32" s="1882"/>
      <c r="OTM32" s="1882"/>
      <c r="OTN32" s="1882"/>
      <c r="OTP32" s="1887"/>
      <c r="OTQ32" s="1888"/>
      <c r="OTR32" s="1882"/>
      <c r="OTS32" s="1882"/>
      <c r="OTT32" s="1882"/>
      <c r="OTV32" s="1887"/>
      <c r="OTW32" s="1888"/>
      <c r="OTX32" s="1882"/>
      <c r="OTY32" s="1882"/>
      <c r="OTZ32" s="1882"/>
      <c r="OUB32" s="1887"/>
      <c r="OUC32" s="1888"/>
      <c r="OUD32" s="1882"/>
      <c r="OUE32" s="1882"/>
      <c r="OUF32" s="1882"/>
      <c r="OUH32" s="1887"/>
      <c r="OUI32" s="1888"/>
      <c r="OUJ32" s="1882"/>
      <c r="OUK32" s="1882"/>
      <c r="OUL32" s="1882"/>
      <c r="OUN32" s="1887"/>
      <c r="OUO32" s="1888"/>
      <c r="OUP32" s="1882"/>
      <c r="OUQ32" s="1882"/>
      <c r="OUR32" s="1882"/>
      <c r="OUT32" s="1887"/>
      <c r="OUU32" s="1888"/>
      <c r="OUV32" s="1882"/>
      <c r="OUW32" s="1882"/>
      <c r="OUX32" s="1882"/>
      <c r="OUZ32" s="1887"/>
      <c r="OVA32" s="1888"/>
      <c r="OVB32" s="1882"/>
      <c r="OVC32" s="1882"/>
      <c r="OVD32" s="1882"/>
      <c r="OVF32" s="1887"/>
      <c r="OVG32" s="1888"/>
      <c r="OVH32" s="1882"/>
      <c r="OVI32" s="1882"/>
      <c r="OVJ32" s="1882"/>
      <c r="OVL32" s="1887"/>
      <c r="OVM32" s="1888"/>
      <c r="OVN32" s="1882"/>
      <c r="OVO32" s="1882"/>
      <c r="OVP32" s="1882"/>
      <c r="OVR32" s="1887"/>
      <c r="OVS32" s="1888"/>
      <c r="OVT32" s="1882"/>
      <c r="OVU32" s="1882"/>
      <c r="OVV32" s="1882"/>
      <c r="OVX32" s="1887"/>
      <c r="OVY32" s="1888"/>
      <c r="OVZ32" s="1882"/>
      <c r="OWA32" s="1882"/>
      <c r="OWB32" s="1882"/>
      <c r="OWD32" s="1887"/>
      <c r="OWE32" s="1888"/>
      <c r="OWF32" s="1882"/>
      <c r="OWG32" s="1882"/>
      <c r="OWH32" s="1882"/>
      <c r="OWJ32" s="1887"/>
      <c r="OWK32" s="1888"/>
      <c r="OWL32" s="1882"/>
      <c r="OWM32" s="1882"/>
      <c r="OWN32" s="1882"/>
      <c r="OWP32" s="1887"/>
      <c r="OWQ32" s="1888"/>
      <c r="OWR32" s="1882"/>
      <c r="OWS32" s="1882"/>
      <c r="OWT32" s="1882"/>
      <c r="OWV32" s="1887"/>
      <c r="OWW32" s="1888"/>
      <c r="OWX32" s="1882"/>
      <c r="OWY32" s="1882"/>
      <c r="OWZ32" s="1882"/>
      <c r="OXB32" s="1887"/>
      <c r="OXC32" s="1888"/>
      <c r="OXD32" s="1882"/>
      <c r="OXE32" s="1882"/>
      <c r="OXF32" s="1882"/>
      <c r="OXH32" s="1887"/>
      <c r="OXI32" s="1888"/>
      <c r="OXJ32" s="1882"/>
      <c r="OXK32" s="1882"/>
      <c r="OXL32" s="1882"/>
      <c r="OXN32" s="1887"/>
      <c r="OXO32" s="1888"/>
      <c r="OXP32" s="1882"/>
      <c r="OXQ32" s="1882"/>
      <c r="OXR32" s="1882"/>
      <c r="OXT32" s="1887"/>
      <c r="OXU32" s="1888"/>
      <c r="OXV32" s="1882"/>
      <c r="OXW32" s="1882"/>
      <c r="OXX32" s="1882"/>
      <c r="OXZ32" s="1887"/>
      <c r="OYA32" s="1888"/>
      <c r="OYB32" s="1882"/>
      <c r="OYC32" s="1882"/>
      <c r="OYD32" s="1882"/>
      <c r="OYF32" s="1887"/>
      <c r="OYG32" s="1888"/>
      <c r="OYH32" s="1882"/>
      <c r="OYI32" s="1882"/>
      <c r="OYJ32" s="1882"/>
      <c r="OYL32" s="1887"/>
      <c r="OYM32" s="1888"/>
      <c r="OYN32" s="1882"/>
      <c r="OYO32" s="1882"/>
      <c r="OYP32" s="1882"/>
      <c r="OYR32" s="1887"/>
      <c r="OYS32" s="1888"/>
      <c r="OYT32" s="1882"/>
      <c r="OYU32" s="1882"/>
      <c r="OYV32" s="1882"/>
      <c r="OYX32" s="1887"/>
      <c r="OYY32" s="1888"/>
      <c r="OYZ32" s="1882"/>
      <c r="OZA32" s="1882"/>
      <c r="OZB32" s="1882"/>
      <c r="OZD32" s="1887"/>
      <c r="OZE32" s="1888"/>
      <c r="OZF32" s="1882"/>
      <c r="OZG32" s="1882"/>
      <c r="OZH32" s="1882"/>
      <c r="OZJ32" s="1887"/>
      <c r="OZK32" s="1888"/>
      <c r="OZL32" s="1882"/>
      <c r="OZM32" s="1882"/>
      <c r="OZN32" s="1882"/>
      <c r="OZP32" s="1887"/>
      <c r="OZQ32" s="1888"/>
      <c r="OZR32" s="1882"/>
      <c r="OZS32" s="1882"/>
      <c r="OZT32" s="1882"/>
      <c r="OZV32" s="1887"/>
      <c r="OZW32" s="1888"/>
      <c r="OZX32" s="1882"/>
      <c r="OZY32" s="1882"/>
      <c r="OZZ32" s="1882"/>
      <c r="PAB32" s="1887"/>
      <c r="PAC32" s="1888"/>
      <c r="PAD32" s="1882"/>
      <c r="PAE32" s="1882"/>
      <c r="PAF32" s="1882"/>
      <c r="PAH32" s="1887"/>
      <c r="PAI32" s="1888"/>
      <c r="PAJ32" s="1882"/>
      <c r="PAK32" s="1882"/>
      <c r="PAL32" s="1882"/>
      <c r="PAN32" s="1887"/>
      <c r="PAO32" s="1888"/>
      <c r="PAP32" s="1882"/>
      <c r="PAQ32" s="1882"/>
      <c r="PAR32" s="1882"/>
      <c r="PAT32" s="1887"/>
      <c r="PAU32" s="1888"/>
      <c r="PAV32" s="1882"/>
      <c r="PAW32" s="1882"/>
      <c r="PAX32" s="1882"/>
      <c r="PAZ32" s="1887"/>
      <c r="PBA32" s="1888"/>
      <c r="PBB32" s="1882"/>
      <c r="PBC32" s="1882"/>
      <c r="PBD32" s="1882"/>
      <c r="PBF32" s="1887"/>
      <c r="PBG32" s="1888"/>
      <c r="PBH32" s="1882"/>
      <c r="PBI32" s="1882"/>
      <c r="PBJ32" s="1882"/>
      <c r="PBL32" s="1887"/>
      <c r="PBM32" s="1888"/>
      <c r="PBN32" s="1882"/>
      <c r="PBO32" s="1882"/>
      <c r="PBP32" s="1882"/>
      <c r="PBR32" s="1887"/>
      <c r="PBS32" s="1888"/>
      <c r="PBT32" s="1882"/>
      <c r="PBU32" s="1882"/>
      <c r="PBV32" s="1882"/>
      <c r="PBX32" s="1887"/>
      <c r="PBY32" s="1888"/>
      <c r="PBZ32" s="1882"/>
      <c r="PCA32" s="1882"/>
      <c r="PCB32" s="1882"/>
      <c r="PCD32" s="1887"/>
      <c r="PCE32" s="1888"/>
      <c r="PCF32" s="1882"/>
      <c r="PCG32" s="1882"/>
      <c r="PCH32" s="1882"/>
      <c r="PCJ32" s="1887"/>
      <c r="PCK32" s="1888"/>
      <c r="PCL32" s="1882"/>
      <c r="PCM32" s="1882"/>
      <c r="PCN32" s="1882"/>
      <c r="PCP32" s="1887"/>
      <c r="PCQ32" s="1888"/>
      <c r="PCR32" s="1882"/>
      <c r="PCS32" s="1882"/>
      <c r="PCT32" s="1882"/>
      <c r="PCV32" s="1887"/>
      <c r="PCW32" s="1888"/>
      <c r="PCX32" s="1882"/>
      <c r="PCY32" s="1882"/>
      <c r="PCZ32" s="1882"/>
      <c r="PDB32" s="1887"/>
      <c r="PDC32" s="1888"/>
      <c r="PDD32" s="1882"/>
      <c r="PDE32" s="1882"/>
      <c r="PDF32" s="1882"/>
      <c r="PDH32" s="1887"/>
      <c r="PDI32" s="1888"/>
      <c r="PDJ32" s="1882"/>
      <c r="PDK32" s="1882"/>
      <c r="PDL32" s="1882"/>
      <c r="PDN32" s="1887"/>
      <c r="PDO32" s="1888"/>
      <c r="PDP32" s="1882"/>
      <c r="PDQ32" s="1882"/>
      <c r="PDR32" s="1882"/>
      <c r="PDT32" s="1887"/>
      <c r="PDU32" s="1888"/>
      <c r="PDV32" s="1882"/>
      <c r="PDW32" s="1882"/>
      <c r="PDX32" s="1882"/>
      <c r="PDZ32" s="1887"/>
      <c r="PEA32" s="1888"/>
      <c r="PEB32" s="1882"/>
      <c r="PEC32" s="1882"/>
      <c r="PED32" s="1882"/>
      <c r="PEF32" s="1887"/>
      <c r="PEG32" s="1888"/>
      <c r="PEH32" s="1882"/>
      <c r="PEI32" s="1882"/>
      <c r="PEJ32" s="1882"/>
      <c r="PEL32" s="1887"/>
      <c r="PEM32" s="1888"/>
      <c r="PEN32" s="1882"/>
      <c r="PEO32" s="1882"/>
      <c r="PEP32" s="1882"/>
      <c r="PER32" s="1887"/>
      <c r="PES32" s="1888"/>
      <c r="PET32" s="1882"/>
      <c r="PEU32" s="1882"/>
      <c r="PEV32" s="1882"/>
      <c r="PEX32" s="1887"/>
      <c r="PEY32" s="1888"/>
      <c r="PEZ32" s="1882"/>
      <c r="PFA32" s="1882"/>
      <c r="PFB32" s="1882"/>
      <c r="PFD32" s="1887"/>
      <c r="PFE32" s="1888"/>
      <c r="PFF32" s="1882"/>
      <c r="PFG32" s="1882"/>
      <c r="PFH32" s="1882"/>
      <c r="PFJ32" s="1887"/>
      <c r="PFK32" s="1888"/>
      <c r="PFL32" s="1882"/>
      <c r="PFM32" s="1882"/>
      <c r="PFN32" s="1882"/>
      <c r="PFP32" s="1887"/>
      <c r="PFQ32" s="1888"/>
      <c r="PFR32" s="1882"/>
      <c r="PFS32" s="1882"/>
      <c r="PFT32" s="1882"/>
      <c r="PFV32" s="1887"/>
      <c r="PFW32" s="1888"/>
      <c r="PFX32" s="1882"/>
      <c r="PFY32" s="1882"/>
      <c r="PFZ32" s="1882"/>
      <c r="PGB32" s="1887"/>
      <c r="PGC32" s="1888"/>
      <c r="PGD32" s="1882"/>
      <c r="PGE32" s="1882"/>
      <c r="PGF32" s="1882"/>
      <c r="PGH32" s="1887"/>
      <c r="PGI32" s="1888"/>
      <c r="PGJ32" s="1882"/>
      <c r="PGK32" s="1882"/>
      <c r="PGL32" s="1882"/>
      <c r="PGN32" s="1887"/>
      <c r="PGO32" s="1888"/>
      <c r="PGP32" s="1882"/>
      <c r="PGQ32" s="1882"/>
      <c r="PGR32" s="1882"/>
      <c r="PGT32" s="1887"/>
      <c r="PGU32" s="1888"/>
      <c r="PGV32" s="1882"/>
      <c r="PGW32" s="1882"/>
      <c r="PGX32" s="1882"/>
      <c r="PGZ32" s="1887"/>
      <c r="PHA32" s="1888"/>
      <c r="PHB32" s="1882"/>
      <c r="PHC32" s="1882"/>
      <c r="PHD32" s="1882"/>
      <c r="PHF32" s="1887"/>
      <c r="PHG32" s="1888"/>
      <c r="PHH32" s="1882"/>
      <c r="PHI32" s="1882"/>
      <c r="PHJ32" s="1882"/>
      <c r="PHL32" s="1887"/>
      <c r="PHM32" s="1888"/>
      <c r="PHN32" s="1882"/>
      <c r="PHO32" s="1882"/>
      <c r="PHP32" s="1882"/>
      <c r="PHR32" s="1887"/>
      <c r="PHS32" s="1888"/>
      <c r="PHT32" s="1882"/>
      <c r="PHU32" s="1882"/>
      <c r="PHV32" s="1882"/>
      <c r="PHX32" s="1887"/>
      <c r="PHY32" s="1888"/>
      <c r="PHZ32" s="1882"/>
      <c r="PIA32" s="1882"/>
      <c r="PIB32" s="1882"/>
      <c r="PID32" s="1887"/>
      <c r="PIE32" s="1888"/>
      <c r="PIF32" s="1882"/>
      <c r="PIG32" s="1882"/>
      <c r="PIH32" s="1882"/>
      <c r="PIJ32" s="1887"/>
      <c r="PIK32" s="1888"/>
      <c r="PIL32" s="1882"/>
      <c r="PIM32" s="1882"/>
      <c r="PIN32" s="1882"/>
      <c r="PIP32" s="1887"/>
      <c r="PIQ32" s="1888"/>
      <c r="PIR32" s="1882"/>
      <c r="PIS32" s="1882"/>
      <c r="PIT32" s="1882"/>
      <c r="PIV32" s="1887"/>
      <c r="PIW32" s="1888"/>
      <c r="PIX32" s="1882"/>
      <c r="PIY32" s="1882"/>
      <c r="PIZ32" s="1882"/>
      <c r="PJB32" s="1887"/>
      <c r="PJC32" s="1888"/>
      <c r="PJD32" s="1882"/>
      <c r="PJE32" s="1882"/>
      <c r="PJF32" s="1882"/>
      <c r="PJH32" s="1887"/>
      <c r="PJI32" s="1888"/>
      <c r="PJJ32" s="1882"/>
      <c r="PJK32" s="1882"/>
      <c r="PJL32" s="1882"/>
      <c r="PJN32" s="1887"/>
      <c r="PJO32" s="1888"/>
      <c r="PJP32" s="1882"/>
      <c r="PJQ32" s="1882"/>
      <c r="PJR32" s="1882"/>
      <c r="PJT32" s="1887"/>
      <c r="PJU32" s="1888"/>
      <c r="PJV32" s="1882"/>
      <c r="PJW32" s="1882"/>
      <c r="PJX32" s="1882"/>
      <c r="PJZ32" s="1887"/>
      <c r="PKA32" s="1888"/>
      <c r="PKB32" s="1882"/>
      <c r="PKC32" s="1882"/>
      <c r="PKD32" s="1882"/>
      <c r="PKF32" s="1887"/>
      <c r="PKG32" s="1888"/>
      <c r="PKH32" s="1882"/>
      <c r="PKI32" s="1882"/>
      <c r="PKJ32" s="1882"/>
      <c r="PKL32" s="1887"/>
      <c r="PKM32" s="1888"/>
      <c r="PKN32" s="1882"/>
      <c r="PKO32" s="1882"/>
      <c r="PKP32" s="1882"/>
      <c r="PKR32" s="1887"/>
      <c r="PKS32" s="1888"/>
      <c r="PKT32" s="1882"/>
      <c r="PKU32" s="1882"/>
      <c r="PKV32" s="1882"/>
      <c r="PKX32" s="1887"/>
      <c r="PKY32" s="1888"/>
      <c r="PKZ32" s="1882"/>
      <c r="PLA32" s="1882"/>
      <c r="PLB32" s="1882"/>
      <c r="PLD32" s="1887"/>
      <c r="PLE32" s="1888"/>
      <c r="PLF32" s="1882"/>
      <c r="PLG32" s="1882"/>
      <c r="PLH32" s="1882"/>
      <c r="PLJ32" s="1887"/>
      <c r="PLK32" s="1888"/>
      <c r="PLL32" s="1882"/>
      <c r="PLM32" s="1882"/>
      <c r="PLN32" s="1882"/>
      <c r="PLP32" s="1887"/>
      <c r="PLQ32" s="1888"/>
      <c r="PLR32" s="1882"/>
      <c r="PLS32" s="1882"/>
      <c r="PLT32" s="1882"/>
      <c r="PLV32" s="1887"/>
      <c r="PLW32" s="1888"/>
      <c r="PLX32" s="1882"/>
      <c r="PLY32" s="1882"/>
      <c r="PLZ32" s="1882"/>
      <c r="PMB32" s="1887"/>
      <c r="PMC32" s="1888"/>
      <c r="PMD32" s="1882"/>
      <c r="PME32" s="1882"/>
      <c r="PMF32" s="1882"/>
      <c r="PMH32" s="1887"/>
      <c r="PMI32" s="1888"/>
      <c r="PMJ32" s="1882"/>
      <c r="PMK32" s="1882"/>
      <c r="PML32" s="1882"/>
      <c r="PMN32" s="1887"/>
      <c r="PMO32" s="1888"/>
      <c r="PMP32" s="1882"/>
      <c r="PMQ32" s="1882"/>
      <c r="PMR32" s="1882"/>
      <c r="PMT32" s="1887"/>
      <c r="PMU32" s="1888"/>
      <c r="PMV32" s="1882"/>
      <c r="PMW32" s="1882"/>
      <c r="PMX32" s="1882"/>
      <c r="PMZ32" s="1887"/>
      <c r="PNA32" s="1888"/>
      <c r="PNB32" s="1882"/>
      <c r="PNC32" s="1882"/>
      <c r="PND32" s="1882"/>
      <c r="PNF32" s="1887"/>
      <c r="PNG32" s="1888"/>
      <c r="PNH32" s="1882"/>
      <c r="PNI32" s="1882"/>
      <c r="PNJ32" s="1882"/>
      <c r="PNL32" s="1887"/>
      <c r="PNM32" s="1888"/>
      <c r="PNN32" s="1882"/>
      <c r="PNO32" s="1882"/>
      <c r="PNP32" s="1882"/>
      <c r="PNR32" s="1887"/>
      <c r="PNS32" s="1888"/>
      <c r="PNT32" s="1882"/>
      <c r="PNU32" s="1882"/>
      <c r="PNV32" s="1882"/>
      <c r="PNX32" s="1887"/>
      <c r="PNY32" s="1888"/>
      <c r="PNZ32" s="1882"/>
      <c r="POA32" s="1882"/>
      <c r="POB32" s="1882"/>
      <c r="POD32" s="1887"/>
      <c r="POE32" s="1888"/>
      <c r="POF32" s="1882"/>
      <c r="POG32" s="1882"/>
      <c r="POH32" s="1882"/>
      <c r="POJ32" s="1887"/>
      <c r="POK32" s="1888"/>
      <c r="POL32" s="1882"/>
      <c r="POM32" s="1882"/>
      <c r="PON32" s="1882"/>
      <c r="POP32" s="1887"/>
      <c r="POQ32" s="1888"/>
      <c r="POR32" s="1882"/>
      <c r="POS32" s="1882"/>
      <c r="POT32" s="1882"/>
      <c r="POV32" s="1887"/>
      <c r="POW32" s="1888"/>
      <c r="POX32" s="1882"/>
      <c r="POY32" s="1882"/>
      <c r="POZ32" s="1882"/>
      <c r="PPB32" s="1887"/>
      <c r="PPC32" s="1888"/>
      <c r="PPD32" s="1882"/>
      <c r="PPE32" s="1882"/>
      <c r="PPF32" s="1882"/>
      <c r="PPH32" s="1887"/>
      <c r="PPI32" s="1888"/>
      <c r="PPJ32" s="1882"/>
      <c r="PPK32" s="1882"/>
      <c r="PPL32" s="1882"/>
      <c r="PPN32" s="1887"/>
      <c r="PPO32" s="1888"/>
      <c r="PPP32" s="1882"/>
      <c r="PPQ32" s="1882"/>
      <c r="PPR32" s="1882"/>
      <c r="PPT32" s="1887"/>
      <c r="PPU32" s="1888"/>
      <c r="PPV32" s="1882"/>
      <c r="PPW32" s="1882"/>
      <c r="PPX32" s="1882"/>
      <c r="PPZ32" s="1887"/>
      <c r="PQA32" s="1888"/>
      <c r="PQB32" s="1882"/>
      <c r="PQC32" s="1882"/>
      <c r="PQD32" s="1882"/>
      <c r="PQF32" s="1887"/>
      <c r="PQG32" s="1888"/>
      <c r="PQH32" s="1882"/>
      <c r="PQI32" s="1882"/>
      <c r="PQJ32" s="1882"/>
      <c r="PQL32" s="1887"/>
      <c r="PQM32" s="1888"/>
      <c r="PQN32" s="1882"/>
      <c r="PQO32" s="1882"/>
      <c r="PQP32" s="1882"/>
      <c r="PQR32" s="1887"/>
      <c r="PQS32" s="1888"/>
      <c r="PQT32" s="1882"/>
      <c r="PQU32" s="1882"/>
      <c r="PQV32" s="1882"/>
      <c r="PQX32" s="1887"/>
      <c r="PQY32" s="1888"/>
      <c r="PQZ32" s="1882"/>
      <c r="PRA32" s="1882"/>
      <c r="PRB32" s="1882"/>
      <c r="PRD32" s="1887"/>
      <c r="PRE32" s="1888"/>
      <c r="PRF32" s="1882"/>
      <c r="PRG32" s="1882"/>
      <c r="PRH32" s="1882"/>
      <c r="PRJ32" s="1887"/>
      <c r="PRK32" s="1888"/>
      <c r="PRL32" s="1882"/>
      <c r="PRM32" s="1882"/>
      <c r="PRN32" s="1882"/>
      <c r="PRP32" s="1887"/>
      <c r="PRQ32" s="1888"/>
      <c r="PRR32" s="1882"/>
      <c r="PRS32" s="1882"/>
      <c r="PRT32" s="1882"/>
      <c r="PRV32" s="1887"/>
      <c r="PRW32" s="1888"/>
      <c r="PRX32" s="1882"/>
      <c r="PRY32" s="1882"/>
      <c r="PRZ32" s="1882"/>
      <c r="PSB32" s="1887"/>
      <c r="PSC32" s="1888"/>
      <c r="PSD32" s="1882"/>
      <c r="PSE32" s="1882"/>
      <c r="PSF32" s="1882"/>
      <c r="PSH32" s="1887"/>
      <c r="PSI32" s="1888"/>
      <c r="PSJ32" s="1882"/>
      <c r="PSK32" s="1882"/>
      <c r="PSL32" s="1882"/>
      <c r="PSN32" s="1887"/>
      <c r="PSO32" s="1888"/>
      <c r="PSP32" s="1882"/>
      <c r="PSQ32" s="1882"/>
      <c r="PSR32" s="1882"/>
      <c r="PST32" s="1887"/>
      <c r="PSU32" s="1888"/>
      <c r="PSV32" s="1882"/>
      <c r="PSW32" s="1882"/>
      <c r="PSX32" s="1882"/>
      <c r="PSZ32" s="1887"/>
      <c r="PTA32" s="1888"/>
      <c r="PTB32" s="1882"/>
      <c r="PTC32" s="1882"/>
      <c r="PTD32" s="1882"/>
      <c r="PTF32" s="1887"/>
      <c r="PTG32" s="1888"/>
      <c r="PTH32" s="1882"/>
      <c r="PTI32" s="1882"/>
      <c r="PTJ32" s="1882"/>
      <c r="PTL32" s="1887"/>
      <c r="PTM32" s="1888"/>
      <c r="PTN32" s="1882"/>
      <c r="PTO32" s="1882"/>
      <c r="PTP32" s="1882"/>
      <c r="PTR32" s="1887"/>
      <c r="PTS32" s="1888"/>
      <c r="PTT32" s="1882"/>
      <c r="PTU32" s="1882"/>
      <c r="PTV32" s="1882"/>
      <c r="PTX32" s="1887"/>
      <c r="PTY32" s="1888"/>
      <c r="PTZ32" s="1882"/>
      <c r="PUA32" s="1882"/>
      <c r="PUB32" s="1882"/>
      <c r="PUD32" s="1887"/>
      <c r="PUE32" s="1888"/>
      <c r="PUF32" s="1882"/>
      <c r="PUG32" s="1882"/>
      <c r="PUH32" s="1882"/>
      <c r="PUJ32" s="1887"/>
      <c r="PUK32" s="1888"/>
      <c r="PUL32" s="1882"/>
      <c r="PUM32" s="1882"/>
      <c r="PUN32" s="1882"/>
      <c r="PUP32" s="1887"/>
      <c r="PUQ32" s="1888"/>
      <c r="PUR32" s="1882"/>
      <c r="PUS32" s="1882"/>
      <c r="PUT32" s="1882"/>
      <c r="PUV32" s="1887"/>
      <c r="PUW32" s="1888"/>
      <c r="PUX32" s="1882"/>
      <c r="PUY32" s="1882"/>
      <c r="PUZ32" s="1882"/>
      <c r="PVB32" s="1887"/>
      <c r="PVC32" s="1888"/>
      <c r="PVD32" s="1882"/>
      <c r="PVE32" s="1882"/>
      <c r="PVF32" s="1882"/>
      <c r="PVH32" s="1887"/>
      <c r="PVI32" s="1888"/>
      <c r="PVJ32" s="1882"/>
      <c r="PVK32" s="1882"/>
      <c r="PVL32" s="1882"/>
      <c r="PVN32" s="1887"/>
      <c r="PVO32" s="1888"/>
      <c r="PVP32" s="1882"/>
      <c r="PVQ32" s="1882"/>
      <c r="PVR32" s="1882"/>
      <c r="PVT32" s="1887"/>
      <c r="PVU32" s="1888"/>
      <c r="PVV32" s="1882"/>
      <c r="PVW32" s="1882"/>
      <c r="PVX32" s="1882"/>
      <c r="PVZ32" s="1887"/>
      <c r="PWA32" s="1888"/>
      <c r="PWB32" s="1882"/>
      <c r="PWC32" s="1882"/>
      <c r="PWD32" s="1882"/>
      <c r="PWF32" s="1887"/>
      <c r="PWG32" s="1888"/>
      <c r="PWH32" s="1882"/>
      <c r="PWI32" s="1882"/>
      <c r="PWJ32" s="1882"/>
      <c r="PWL32" s="1887"/>
      <c r="PWM32" s="1888"/>
      <c r="PWN32" s="1882"/>
      <c r="PWO32" s="1882"/>
      <c r="PWP32" s="1882"/>
      <c r="PWR32" s="1887"/>
      <c r="PWS32" s="1888"/>
      <c r="PWT32" s="1882"/>
      <c r="PWU32" s="1882"/>
      <c r="PWV32" s="1882"/>
      <c r="PWX32" s="1887"/>
      <c r="PWY32" s="1888"/>
      <c r="PWZ32" s="1882"/>
      <c r="PXA32" s="1882"/>
      <c r="PXB32" s="1882"/>
      <c r="PXD32" s="1887"/>
      <c r="PXE32" s="1888"/>
      <c r="PXF32" s="1882"/>
      <c r="PXG32" s="1882"/>
      <c r="PXH32" s="1882"/>
      <c r="PXJ32" s="1887"/>
      <c r="PXK32" s="1888"/>
      <c r="PXL32" s="1882"/>
      <c r="PXM32" s="1882"/>
      <c r="PXN32" s="1882"/>
      <c r="PXP32" s="1887"/>
      <c r="PXQ32" s="1888"/>
      <c r="PXR32" s="1882"/>
      <c r="PXS32" s="1882"/>
      <c r="PXT32" s="1882"/>
      <c r="PXV32" s="1887"/>
      <c r="PXW32" s="1888"/>
      <c r="PXX32" s="1882"/>
      <c r="PXY32" s="1882"/>
      <c r="PXZ32" s="1882"/>
      <c r="PYB32" s="1887"/>
      <c r="PYC32" s="1888"/>
      <c r="PYD32" s="1882"/>
      <c r="PYE32" s="1882"/>
      <c r="PYF32" s="1882"/>
      <c r="PYH32" s="1887"/>
      <c r="PYI32" s="1888"/>
      <c r="PYJ32" s="1882"/>
      <c r="PYK32" s="1882"/>
      <c r="PYL32" s="1882"/>
      <c r="PYN32" s="1887"/>
      <c r="PYO32" s="1888"/>
      <c r="PYP32" s="1882"/>
      <c r="PYQ32" s="1882"/>
      <c r="PYR32" s="1882"/>
      <c r="PYT32" s="1887"/>
      <c r="PYU32" s="1888"/>
      <c r="PYV32" s="1882"/>
      <c r="PYW32" s="1882"/>
      <c r="PYX32" s="1882"/>
      <c r="PYZ32" s="1887"/>
      <c r="PZA32" s="1888"/>
      <c r="PZB32" s="1882"/>
      <c r="PZC32" s="1882"/>
      <c r="PZD32" s="1882"/>
      <c r="PZF32" s="1887"/>
      <c r="PZG32" s="1888"/>
      <c r="PZH32" s="1882"/>
      <c r="PZI32" s="1882"/>
      <c r="PZJ32" s="1882"/>
      <c r="PZL32" s="1887"/>
      <c r="PZM32" s="1888"/>
      <c r="PZN32" s="1882"/>
      <c r="PZO32" s="1882"/>
      <c r="PZP32" s="1882"/>
      <c r="PZR32" s="1887"/>
      <c r="PZS32" s="1888"/>
      <c r="PZT32" s="1882"/>
      <c r="PZU32" s="1882"/>
      <c r="PZV32" s="1882"/>
      <c r="PZX32" s="1887"/>
      <c r="PZY32" s="1888"/>
      <c r="PZZ32" s="1882"/>
      <c r="QAA32" s="1882"/>
      <c r="QAB32" s="1882"/>
      <c r="QAD32" s="1887"/>
      <c r="QAE32" s="1888"/>
      <c r="QAF32" s="1882"/>
      <c r="QAG32" s="1882"/>
      <c r="QAH32" s="1882"/>
      <c r="QAJ32" s="1887"/>
      <c r="QAK32" s="1888"/>
      <c r="QAL32" s="1882"/>
      <c r="QAM32" s="1882"/>
      <c r="QAN32" s="1882"/>
      <c r="QAP32" s="1887"/>
      <c r="QAQ32" s="1888"/>
      <c r="QAR32" s="1882"/>
      <c r="QAS32" s="1882"/>
      <c r="QAT32" s="1882"/>
      <c r="QAV32" s="1887"/>
      <c r="QAW32" s="1888"/>
      <c r="QAX32" s="1882"/>
      <c r="QAY32" s="1882"/>
      <c r="QAZ32" s="1882"/>
      <c r="QBB32" s="1887"/>
      <c r="QBC32" s="1888"/>
      <c r="QBD32" s="1882"/>
      <c r="QBE32" s="1882"/>
      <c r="QBF32" s="1882"/>
      <c r="QBH32" s="1887"/>
      <c r="QBI32" s="1888"/>
      <c r="QBJ32" s="1882"/>
      <c r="QBK32" s="1882"/>
      <c r="QBL32" s="1882"/>
      <c r="QBN32" s="1887"/>
      <c r="QBO32" s="1888"/>
      <c r="QBP32" s="1882"/>
      <c r="QBQ32" s="1882"/>
      <c r="QBR32" s="1882"/>
      <c r="QBT32" s="1887"/>
      <c r="QBU32" s="1888"/>
      <c r="QBV32" s="1882"/>
      <c r="QBW32" s="1882"/>
      <c r="QBX32" s="1882"/>
      <c r="QBZ32" s="1887"/>
      <c r="QCA32" s="1888"/>
      <c r="QCB32" s="1882"/>
      <c r="QCC32" s="1882"/>
      <c r="QCD32" s="1882"/>
      <c r="QCF32" s="1887"/>
      <c r="QCG32" s="1888"/>
      <c r="QCH32" s="1882"/>
      <c r="QCI32" s="1882"/>
      <c r="QCJ32" s="1882"/>
      <c r="QCL32" s="1887"/>
      <c r="QCM32" s="1888"/>
      <c r="QCN32" s="1882"/>
      <c r="QCO32" s="1882"/>
      <c r="QCP32" s="1882"/>
      <c r="QCR32" s="1887"/>
      <c r="QCS32" s="1888"/>
      <c r="QCT32" s="1882"/>
      <c r="QCU32" s="1882"/>
      <c r="QCV32" s="1882"/>
      <c r="QCX32" s="1887"/>
      <c r="QCY32" s="1888"/>
      <c r="QCZ32" s="1882"/>
      <c r="QDA32" s="1882"/>
      <c r="QDB32" s="1882"/>
      <c r="QDD32" s="1887"/>
      <c r="QDE32" s="1888"/>
      <c r="QDF32" s="1882"/>
      <c r="QDG32" s="1882"/>
      <c r="QDH32" s="1882"/>
      <c r="QDJ32" s="1887"/>
      <c r="QDK32" s="1888"/>
      <c r="QDL32" s="1882"/>
      <c r="QDM32" s="1882"/>
      <c r="QDN32" s="1882"/>
      <c r="QDP32" s="1887"/>
      <c r="QDQ32" s="1888"/>
      <c r="QDR32" s="1882"/>
      <c r="QDS32" s="1882"/>
      <c r="QDT32" s="1882"/>
      <c r="QDV32" s="1887"/>
      <c r="QDW32" s="1888"/>
      <c r="QDX32" s="1882"/>
      <c r="QDY32" s="1882"/>
      <c r="QDZ32" s="1882"/>
      <c r="QEB32" s="1887"/>
      <c r="QEC32" s="1888"/>
      <c r="QED32" s="1882"/>
      <c r="QEE32" s="1882"/>
      <c r="QEF32" s="1882"/>
      <c r="QEH32" s="1887"/>
      <c r="QEI32" s="1888"/>
      <c r="QEJ32" s="1882"/>
      <c r="QEK32" s="1882"/>
      <c r="QEL32" s="1882"/>
      <c r="QEN32" s="1887"/>
      <c r="QEO32" s="1888"/>
      <c r="QEP32" s="1882"/>
      <c r="QEQ32" s="1882"/>
      <c r="QER32" s="1882"/>
      <c r="QET32" s="1887"/>
      <c r="QEU32" s="1888"/>
      <c r="QEV32" s="1882"/>
      <c r="QEW32" s="1882"/>
      <c r="QEX32" s="1882"/>
      <c r="QEZ32" s="1887"/>
      <c r="QFA32" s="1888"/>
      <c r="QFB32" s="1882"/>
      <c r="QFC32" s="1882"/>
      <c r="QFD32" s="1882"/>
      <c r="QFF32" s="1887"/>
      <c r="QFG32" s="1888"/>
      <c r="QFH32" s="1882"/>
      <c r="QFI32" s="1882"/>
      <c r="QFJ32" s="1882"/>
      <c r="QFL32" s="1887"/>
      <c r="QFM32" s="1888"/>
      <c r="QFN32" s="1882"/>
      <c r="QFO32" s="1882"/>
      <c r="QFP32" s="1882"/>
      <c r="QFR32" s="1887"/>
      <c r="QFS32" s="1888"/>
      <c r="QFT32" s="1882"/>
      <c r="QFU32" s="1882"/>
      <c r="QFV32" s="1882"/>
      <c r="QFX32" s="1887"/>
      <c r="QFY32" s="1888"/>
      <c r="QFZ32" s="1882"/>
      <c r="QGA32" s="1882"/>
      <c r="QGB32" s="1882"/>
      <c r="QGD32" s="1887"/>
      <c r="QGE32" s="1888"/>
      <c r="QGF32" s="1882"/>
      <c r="QGG32" s="1882"/>
      <c r="QGH32" s="1882"/>
      <c r="QGJ32" s="1887"/>
      <c r="QGK32" s="1888"/>
      <c r="QGL32" s="1882"/>
      <c r="QGM32" s="1882"/>
      <c r="QGN32" s="1882"/>
      <c r="QGP32" s="1887"/>
      <c r="QGQ32" s="1888"/>
      <c r="QGR32" s="1882"/>
      <c r="QGS32" s="1882"/>
      <c r="QGT32" s="1882"/>
      <c r="QGV32" s="1887"/>
      <c r="QGW32" s="1888"/>
      <c r="QGX32" s="1882"/>
      <c r="QGY32" s="1882"/>
      <c r="QGZ32" s="1882"/>
      <c r="QHB32" s="1887"/>
      <c r="QHC32" s="1888"/>
      <c r="QHD32" s="1882"/>
      <c r="QHE32" s="1882"/>
      <c r="QHF32" s="1882"/>
      <c r="QHH32" s="1887"/>
      <c r="QHI32" s="1888"/>
      <c r="QHJ32" s="1882"/>
      <c r="QHK32" s="1882"/>
      <c r="QHL32" s="1882"/>
      <c r="QHN32" s="1887"/>
      <c r="QHO32" s="1888"/>
      <c r="QHP32" s="1882"/>
      <c r="QHQ32" s="1882"/>
      <c r="QHR32" s="1882"/>
      <c r="QHT32" s="1887"/>
      <c r="QHU32" s="1888"/>
      <c r="QHV32" s="1882"/>
      <c r="QHW32" s="1882"/>
      <c r="QHX32" s="1882"/>
      <c r="QHZ32" s="1887"/>
      <c r="QIA32" s="1888"/>
      <c r="QIB32" s="1882"/>
      <c r="QIC32" s="1882"/>
      <c r="QID32" s="1882"/>
      <c r="QIF32" s="1887"/>
      <c r="QIG32" s="1888"/>
      <c r="QIH32" s="1882"/>
      <c r="QII32" s="1882"/>
      <c r="QIJ32" s="1882"/>
      <c r="QIL32" s="1887"/>
      <c r="QIM32" s="1888"/>
      <c r="QIN32" s="1882"/>
      <c r="QIO32" s="1882"/>
      <c r="QIP32" s="1882"/>
      <c r="QIR32" s="1887"/>
      <c r="QIS32" s="1888"/>
      <c r="QIT32" s="1882"/>
      <c r="QIU32" s="1882"/>
      <c r="QIV32" s="1882"/>
      <c r="QIX32" s="1887"/>
      <c r="QIY32" s="1888"/>
      <c r="QIZ32" s="1882"/>
      <c r="QJA32" s="1882"/>
      <c r="QJB32" s="1882"/>
      <c r="QJD32" s="1887"/>
      <c r="QJE32" s="1888"/>
      <c r="QJF32" s="1882"/>
      <c r="QJG32" s="1882"/>
      <c r="QJH32" s="1882"/>
      <c r="QJJ32" s="1887"/>
      <c r="QJK32" s="1888"/>
      <c r="QJL32" s="1882"/>
      <c r="QJM32" s="1882"/>
      <c r="QJN32" s="1882"/>
      <c r="QJP32" s="1887"/>
      <c r="QJQ32" s="1888"/>
      <c r="QJR32" s="1882"/>
      <c r="QJS32" s="1882"/>
      <c r="QJT32" s="1882"/>
      <c r="QJV32" s="1887"/>
      <c r="QJW32" s="1888"/>
      <c r="QJX32" s="1882"/>
      <c r="QJY32" s="1882"/>
      <c r="QJZ32" s="1882"/>
      <c r="QKB32" s="1887"/>
      <c r="QKC32" s="1888"/>
      <c r="QKD32" s="1882"/>
      <c r="QKE32" s="1882"/>
      <c r="QKF32" s="1882"/>
      <c r="QKH32" s="1887"/>
      <c r="QKI32" s="1888"/>
      <c r="QKJ32" s="1882"/>
      <c r="QKK32" s="1882"/>
      <c r="QKL32" s="1882"/>
      <c r="QKN32" s="1887"/>
      <c r="QKO32" s="1888"/>
      <c r="QKP32" s="1882"/>
      <c r="QKQ32" s="1882"/>
      <c r="QKR32" s="1882"/>
      <c r="QKT32" s="1887"/>
      <c r="QKU32" s="1888"/>
      <c r="QKV32" s="1882"/>
      <c r="QKW32" s="1882"/>
      <c r="QKX32" s="1882"/>
      <c r="QKZ32" s="1887"/>
      <c r="QLA32" s="1888"/>
      <c r="QLB32" s="1882"/>
      <c r="QLC32" s="1882"/>
      <c r="QLD32" s="1882"/>
      <c r="QLF32" s="1887"/>
      <c r="QLG32" s="1888"/>
      <c r="QLH32" s="1882"/>
      <c r="QLI32" s="1882"/>
      <c r="QLJ32" s="1882"/>
      <c r="QLL32" s="1887"/>
      <c r="QLM32" s="1888"/>
      <c r="QLN32" s="1882"/>
      <c r="QLO32" s="1882"/>
      <c r="QLP32" s="1882"/>
      <c r="QLR32" s="1887"/>
      <c r="QLS32" s="1888"/>
      <c r="QLT32" s="1882"/>
      <c r="QLU32" s="1882"/>
      <c r="QLV32" s="1882"/>
      <c r="QLX32" s="1887"/>
      <c r="QLY32" s="1888"/>
      <c r="QLZ32" s="1882"/>
      <c r="QMA32" s="1882"/>
      <c r="QMB32" s="1882"/>
      <c r="QMD32" s="1887"/>
      <c r="QME32" s="1888"/>
      <c r="QMF32" s="1882"/>
      <c r="QMG32" s="1882"/>
      <c r="QMH32" s="1882"/>
      <c r="QMJ32" s="1887"/>
      <c r="QMK32" s="1888"/>
      <c r="QML32" s="1882"/>
      <c r="QMM32" s="1882"/>
      <c r="QMN32" s="1882"/>
      <c r="QMP32" s="1887"/>
      <c r="QMQ32" s="1888"/>
      <c r="QMR32" s="1882"/>
      <c r="QMS32" s="1882"/>
      <c r="QMT32" s="1882"/>
      <c r="QMV32" s="1887"/>
      <c r="QMW32" s="1888"/>
      <c r="QMX32" s="1882"/>
      <c r="QMY32" s="1882"/>
      <c r="QMZ32" s="1882"/>
      <c r="QNB32" s="1887"/>
      <c r="QNC32" s="1888"/>
      <c r="QND32" s="1882"/>
      <c r="QNE32" s="1882"/>
      <c r="QNF32" s="1882"/>
      <c r="QNH32" s="1887"/>
      <c r="QNI32" s="1888"/>
      <c r="QNJ32" s="1882"/>
      <c r="QNK32" s="1882"/>
      <c r="QNL32" s="1882"/>
      <c r="QNN32" s="1887"/>
      <c r="QNO32" s="1888"/>
      <c r="QNP32" s="1882"/>
      <c r="QNQ32" s="1882"/>
      <c r="QNR32" s="1882"/>
      <c r="QNT32" s="1887"/>
      <c r="QNU32" s="1888"/>
      <c r="QNV32" s="1882"/>
      <c r="QNW32" s="1882"/>
      <c r="QNX32" s="1882"/>
      <c r="QNZ32" s="1887"/>
      <c r="QOA32" s="1888"/>
      <c r="QOB32" s="1882"/>
      <c r="QOC32" s="1882"/>
      <c r="QOD32" s="1882"/>
      <c r="QOF32" s="1887"/>
      <c r="QOG32" s="1888"/>
      <c r="QOH32" s="1882"/>
      <c r="QOI32" s="1882"/>
      <c r="QOJ32" s="1882"/>
      <c r="QOL32" s="1887"/>
      <c r="QOM32" s="1888"/>
      <c r="QON32" s="1882"/>
      <c r="QOO32" s="1882"/>
      <c r="QOP32" s="1882"/>
      <c r="QOR32" s="1887"/>
      <c r="QOS32" s="1888"/>
      <c r="QOT32" s="1882"/>
      <c r="QOU32" s="1882"/>
      <c r="QOV32" s="1882"/>
      <c r="QOX32" s="1887"/>
      <c r="QOY32" s="1888"/>
      <c r="QOZ32" s="1882"/>
      <c r="QPA32" s="1882"/>
      <c r="QPB32" s="1882"/>
      <c r="QPD32" s="1887"/>
      <c r="QPE32" s="1888"/>
      <c r="QPF32" s="1882"/>
      <c r="QPG32" s="1882"/>
      <c r="QPH32" s="1882"/>
      <c r="QPJ32" s="1887"/>
      <c r="QPK32" s="1888"/>
      <c r="QPL32" s="1882"/>
      <c r="QPM32" s="1882"/>
      <c r="QPN32" s="1882"/>
      <c r="QPP32" s="1887"/>
      <c r="QPQ32" s="1888"/>
      <c r="QPR32" s="1882"/>
      <c r="QPS32" s="1882"/>
      <c r="QPT32" s="1882"/>
      <c r="QPV32" s="1887"/>
      <c r="QPW32" s="1888"/>
      <c r="QPX32" s="1882"/>
      <c r="QPY32" s="1882"/>
      <c r="QPZ32" s="1882"/>
      <c r="QQB32" s="1887"/>
      <c r="QQC32" s="1888"/>
      <c r="QQD32" s="1882"/>
      <c r="QQE32" s="1882"/>
      <c r="QQF32" s="1882"/>
      <c r="QQH32" s="1887"/>
      <c r="QQI32" s="1888"/>
      <c r="QQJ32" s="1882"/>
      <c r="QQK32" s="1882"/>
      <c r="QQL32" s="1882"/>
      <c r="QQN32" s="1887"/>
      <c r="QQO32" s="1888"/>
      <c r="QQP32" s="1882"/>
      <c r="QQQ32" s="1882"/>
      <c r="QQR32" s="1882"/>
      <c r="QQT32" s="1887"/>
      <c r="QQU32" s="1888"/>
      <c r="QQV32" s="1882"/>
      <c r="QQW32" s="1882"/>
      <c r="QQX32" s="1882"/>
      <c r="QQZ32" s="1887"/>
      <c r="QRA32" s="1888"/>
      <c r="QRB32" s="1882"/>
      <c r="QRC32" s="1882"/>
      <c r="QRD32" s="1882"/>
      <c r="QRF32" s="1887"/>
      <c r="QRG32" s="1888"/>
      <c r="QRH32" s="1882"/>
      <c r="QRI32" s="1882"/>
      <c r="QRJ32" s="1882"/>
      <c r="QRL32" s="1887"/>
      <c r="QRM32" s="1888"/>
      <c r="QRN32" s="1882"/>
      <c r="QRO32" s="1882"/>
      <c r="QRP32" s="1882"/>
      <c r="QRR32" s="1887"/>
      <c r="QRS32" s="1888"/>
      <c r="QRT32" s="1882"/>
      <c r="QRU32" s="1882"/>
      <c r="QRV32" s="1882"/>
      <c r="QRX32" s="1887"/>
      <c r="QRY32" s="1888"/>
      <c r="QRZ32" s="1882"/>
      <c r="QSA32" s="1882"/>
      <c r="QSB32" s="1882"/>
      <c r="QSD32" s="1887"/>
      <c r="QSE32" s="1888"/>
      <c r="QSF32" s="1882"/>
      <c r="QSG32" s="1882"/>
      <c r="QSH32" s="1882"/>
      <c r="QSJ32" s="1887"/>
      <c r="QSK32" s="1888"/>
      <c r="QSL32" s="1882"/>
      <c r="QSM32" s="1882"/>
      <c r="QSN32" s="1882"/>
      <c r="QSP32" s="1887"/>
      <c r="QSQ32" s="1888"/>
      <c r="QSR32" s="1882"/>
      <c r="QSS32" s="1882"/>
      <c r="QST32" s="1882"/>
      <c r="QSV32" s="1887"/>
      <c r="QSW32" s="1888"/>
      <c r="QSX32" s="1882"/>
      <c r="QSY32" s="1882"/>
      <c r="QSZ32" s="1882"/>
      <c r="QTB32" s="1887"/>
      <c r="QTC32" s="1888"/>
      <c r="QTD32" s="1882"/>
      <c r="QTE32" s="1882"/>
      <c r="QTF32" s="1882"/>
      <c r="QTH32" s="1887"/>
      <c r="QTI32" s="1888"/>
      <c r="QTJ32" s="1882"/>
      <c r="QTK32" s="1882"/>
      <c r="QTL32" s="1882"/>
      <c r="QTN32" s="1887"/>
      <c r="QTO32" s="1888"/>
      <c r="QTP32" s="1882"/>
      <c r="QTQ32" s="1882"/>
      <c r="QTR32" s="1882"/>
      <c r="QTT32" s="1887"/>
      <c r="QTU32" s="1888"/>
      <c r="QTV32" s="1882"/>
      <c r="QTW32" s="1882"/>
      <c r="QTX32" s="1882"/>
      <c r="QTZ32" s="1887"/>
      <c r="QUA32" s="1888"/>
      <c r="QUB32" s="1882"/>
      <c r="QUC32" s="1882"/>
      <c r="QUD32" s="1882"/>
      <c r="QUF32" s="1887"/>
      <c r="QUG32" s="1888"/>
      <c r="QUH32" s="1882"/>
      <c r="QUI32" s="1882"/>
      <c r="QUJ32" s="1882"/>
      <c r="QUL32" s="1887"/>
      <c r="QUM32" s="1888"/>
      <c r="QUN32" s="1882"/>
      <c r="QUO32" s="1882"/>
      <c r="QUP32" s="1882"/>
      <c r="QUR32" s="1887"/>
      <c r="QUS32" s="1888"/>
      <c r="QUT32" s="1882"/>
      <c r="QUU32" s="1882"/>
      <c r="QUV32" s="1882"/>
      <c r="QUX32" s="1887"/>
      <c r="QUY32" s="1888"/>
      <c r="QUZ32" s="1882"/>
      <c r="QVA32" s="1882"/>
      <c r="QVB32" s="1882"/>
      <c r="QVD32" s="1887"/>
      <c r="QVE32" s="1888"/>
      <c r="QVF32" s="1882"/>
      <c r="QVG32" s="1882"/>
      <c r="QVH32" s="1882"/>
      <c r="QVJ32" s="1887"/>
      <c r="QVK32" s="1888"/>
      <c r="QVL32" s="1882"/>
      <c r="QVM32" s="1882"/>
      <c r="QVN32" s="1882"/>
      <c r="QVP32" s="1887"/>
      <c r="QVQ32" s="1888"/>
      <c r="QVR32" s="1882"/>
      <c r="QVS32" s="1882"/>
      <c r="QVT32" s="1882"/>
      <c r="QVV32" s="1887"/>
      <c r="QVW32" s="1888"/>
      <c r="QVX32" s="1882"/>
      <c r="QVY32" s="1882"/>
      <c r="QVZ32" s="1882"/>
      <c r="QWB32" s="1887"/>
      <c r="QWC32" s="1888"/>
      <c r="QWD32" s="1882"/>
      <c r="QWE32" s="1882"/>
      <c r="QWF32" s="1882"/>
      <c r="QWH32" s="1887"/>
      <c r="QWI32" s="1888"/>
      <c r="QWJ32" s="1882"/>
      <c r="QWK32" s="1882"/>
      <c r="QWL32" s="1882"/>
      <c r="QWN32" s="1887"/>
      <c r="QWO32" s="1888"/>
      <c r="QWP32" s="1882"/>
      <c r="QWQ32" s="1882"/>
      <c r="QWR32" s="1882"/>
      <c r="QWT32" s="1887"/>
      <c r="QWU32" s="1888"/>
      <c r="QWV32" s="1882"/>
      <c r="QWW32" s="1882"/>
      <c r="QWX32" s="1882"/>
      <c r="QWZ32" s="1887"/>
      <c r="QXA32" s="1888"/>
      <c r="QXB32" s="1882"/>
      <c r="QXC32" s="1882"/>
      <c r="QXD32" s="1882"/>
      <c r="QXF32" s="1887"/>
      <c r="QXG32" s="1888"/>
      <c r="QXH32" s="1882"/>
      <c r="QXI32" s="1882"/>
      <c r="QXJ32" s="1882"/>
      <c r="QXL32" s="1887"/>
      <c r="QXM32" s="1888"/>
      <c r="QXN32" s="1882"/>
      <c r="QXO32" s="1882"/>
      <c r="QXP32" s="1882"/>
      <c r="QXR32" s="1887"/>
      <c r="QXS32" s="1888"/>
      <c r="QXT32" s="1882"/>
      <c r="QXU32" s="1882"/>
      <c r="QXV32" s="1882"/>
      <c r="QXX32" s="1887"/>
      <c r="QXY32" s="1888"/>
      <c r="QXZ32" s="1882"/>
      <c r="QYA32" s="1882"/>
      <c r="QYB32" s="1882"/>
      <c r="QYD32" s="1887"/>
      <c r="QYE32" s="1888"/>
      <c r="QYF32" s="1882"/>
      <c r="QYG32" s="1882"/>
      <c r="QYH32" s="1882"/>
      <c r="QYJ32" s="1887"/>
      <c r="QYK32" s="1888"/>
      <c r="QYL32" s="1882"/>
      <c r="QYM32" s="1882"/>
      <c r="QYN32" s="1882"/>
      <c r="QYP32" s="1887"/>
      <c r="QYQ32" s="1888"/>
      <c r="QYR32" s="1882"/>
      <c r="QYS32" s="1882"/>
      <c r="QYT32" s="1882"/>
      <c r="QYV32" s="1887"/>
      <c r="QYW32" s="1888"/>
      <c r="QYX32" s="1882"/>
      <c r="QYY32" s="1882"/>
      <c r="QYZ32" s="1882"/>
      <c r="QZB32" s="1887"/>
      <c r="QZC32" s="1888"/>
      <c r="QZD32" s="1882"/>
      <c r="QZE32" s="1882"/>
      <c r="QZF32" s="1882"/>
      <c r="QZH32" s="1887"/>
      <c r="QZI32" s="1888"/>
      <c r="QZJ32" s="1882"/>
      <c r="QZK32" s="1882"/>
      <c r="QZL32" s="1882"/>
      <c r="QZN32" s="1887"/>
      <c r="QZO32" s="1888"/>
      <c r="QZP32" s="1882"/>
      <c r="QZQ32" s="1882"/>
      <c r="QZR32" s="1882"/>
      <c r="QZT32" s="1887"/>
      <c r="QZU32" s="1888"/>
      <c r="QZV32" s="1882"/>
      <c r="QZW32" s="1882"/>
      <c r="QZX32" s="1882"/>
      <c r="QZZ32" s="1887"/>
      <c r="RAA32" s="1888"/>
      <c r="RAB32" s="1882"/>
      <c r="RAC32" s="1882"/>
      <c r="RAD32" s="1882"/>
      <c r="RAF32" s="1887"/>
      <c r="RAG32" s="1888"/>
      <c r="RAH32" s="1882"/>
      <c r="RAI32" s="1882"/>
      <c r="RAJ32" s="1882"/>
      <c r="RAL32" s="1887"/>
      <c r="RAM32" s="1888"/>
      <c r="RAN32" s="1882"/>
      <c r="RAO32" s="1882"/>
      <c r="RAP32" s="1882"/>
      <c r="RAR32" s="1887"/>
      <c r="RAS32" s="1888"/>
      <c r="RAT32" s="1882"/>
      <c r="RAU32" s="1882"/>
      <c r="RAV32" s="1882"/>
      <c r="RAX32" s="1887"/>
      <c r="RAY32" s="1888"/>
      <c r="RAZ32" s="1882"/>
      <c r="RBA32" s="1882"/>
      <c r="RBB32" s="1882"/>
      <c r="RBD32" s="1887"/>
      <c r="RBE32" s="1888"/>
      <c r="RBF32" s="1882"/>
      <c r="RBG32" s="1882"/>
      <c r="RBH32" s="1882"/>
      <c r="RBJ32" s="1887"/>
      <c r="RBK32" s="1888"/>
      <c r="RBL32" s="1882"/>
      <c r="RBM32" s="1882"/>
      <c r="RBN32" s="1882"/>
      <c r="RBP32" s="1887"/>
      <c r="RBQ32" s="1888"/>
      <c r="RBR32" s="1882"/>
      <c r="RBS32" s="1882"/>
      <c r="RBT32" s="1882"/>
      <c r="RBV32" s="1887"/>
      <c r="RBW32" s="1888"/>
      <c r="RBX32" s="1882"/>
      <c r="RBY32" s="1882"/>
      <c r="RBZ32" s="1882"/>
      <c r="RCB32" s="1887"/>
      <c r="RCC32" s="1888"/>
      <c r="RCD32" s="1882"/>
      <c r="RCE32" s="1882"/>
      <c r="RCF32" s="1882"/>
      <c r="RCH32" s="1887"/>
      <c r="RCI32" s="1888"/>
      <c r="RCJ32" s="1882"/>
      <c r="RCK32" s="1882"/>
      <c r="RCL32" s="1882"/>
      <c r="RCN32" s="1887"/>
      <c r="RCO32" s="1888"/>
      <c r="RCP32" s="1882"/>
      <c r="RCQ32" s="1882"/>
      <c r="RCR32" s="1882"/>
      <c r="RCT32" s="1887"/>
      <c r="RCU32" s="1888"/>
      <c r="RCV32" s="1882"/>
      <c r="RCW32" s="1882"/>
      <c r="RCX32" s="1882"/>
      <c r="RCZ32" s="1887"/>
      <c r="RDA32" s="1888"/>
      <c r="RDB32" s="1882"/>
      <c r="RDC32" s="1882"/>
      <c r="RDD32" s="1882"/>
      <c r="RDF32" s="1887"/>
      <c r="RDG32" s="1888"/>
      <c r="RDH32" s="1882"/>
      <c r="RDI32" s="1882"/>
      <c r="RDJ32" s="1882"/>
      <c r="RDL32" s="1887"/>
      <c r="RDM32" s="1888"/>
      <c r="RDN32" s="1882"/>
      <c r="RDO32" s="1882"/>
      <c r="RDP32" s="1882"/>
      <c r="RDR32" s="1887"/>
      <c r="RDS32" s="1888"/>
      <c r="RDT32" s="1882"/>
      <c r="RDU32" s="1882"/>
      <c r="RDV32" s="1882"/>
      <c r="RDX32" s="1887"/>
      <c r="RDY32" s="1888"/>
      <c r="RDZ32" s="1882"/>
      <c r="REA32" s="1882"/>
      <c r="REB32" s="1882"/>
      <c r="RED32" s="1887"/>
      <c r="REE32" s="1888"/>
      <c r="REF32" s="1882"/>
      <c r="REG32" s="1882"/>
      <c r="REH32" s="1882"/>
      <c r="REJ32" s="1887"/>
      <c r="REK32" s="1888"/>
      <c r="REL32" s="1882"/>
      <c r="REM32" s="1882"/>
      <c r="REN32" s="1882"/>
      <c r="REP32" s="1887"/>
      <c r="REQ32" s="1888"/>
      <c r="RER32" s="1882"/>
      <c r="RES32" s="1882"/>
      <c r="RET32" s="1882"/>
      <c r="REV32" s="1887"/>
      <c r="REW32" s="1888"/>
      <c r="REX32" s="1882"/>
      <c r="REY32" s="1882"/>
      <c r="REZ32" s="1882"/>
      <c r="RFB32" s="1887"/>
      <c r="RFC32" s="1888"/>
      <c r="RFD32" s="1882"/>
      <c r="RFE32" s="1882"/>
      <c r="RFF32" s="1882"/>
      <c r="RFH32" s="1887"/>
      <c r="RFI32" s="1888"/>
      <c r="RFJ32" s="1882"/>
      <c r="RFK32" s="1882"/>
      <c r="RFL32" s="1882"/>
      <c r="RFN32" s="1887"/>
      <c r="RFO32" s="1888"/>
      <c r="RFP32" s="1882"/>
      <c r="RFQ32" s="1882"/>
      <c r="RFR32" s="1882"/>
      <c r="RFT32" s="1887"/>
      <c r="RFU32" s="1888"/>
      <c r="RFV32" s="1882"/>
      <c r="RFW32" s="1882"/>
      <c r="RFX32" s="1882"/>
      <c r="RFZ32" s="1887"/>
      <c r="RGA32" s="1888"/>
      <c r="RGB32" s="1882"/>
      <c r="RGC32" s="1882"/>
      <c r="RGD32" s="1882"/>
      <c r="RGF32" s="1887"/>
      <c r="RGG32" s="1888"/>
      <c r="RGH32" s="1882"/>
      <c r="RGI32" s="1882"/>
      <c r="RGJ32" s="1882"/>
      <c r="RGL32" s="1887"/>
      <c r="RGM32" s="1888"/>
      <c r="RGN32" s="1882"/>
      <c r="RGO32" s="1882"/>
      <c r="RGP32" s="1882"/>
      <c r="RGR32" s="1887"/>
      <c r="RGS32" s="1888"/>
      <c r="RGT32" s="1882"/>
      <c r="RGU32" s="1882"/>
      <c r="RGV32" s="1882"/>
      <c r="RGX32" s="1887"/>
      <c r="RGY32" s="1888"/>
      <c r="RGZ32" s="1882"/>
      <c r="RHA32" s="1882"/>
      <c r="RHB32" s="1882"/>
      <c r="RHD32" s="1887"/>
      <c r="RHE32" s="1888"/>
      <c r="RHF32" s="1882"/>
      <c r="RHG32" s="1882"/>
      <c r="RHH32" s="1882"/>
      <c r="RHJ32" s="1887"/>
      <c r="RHK32" s="1888"/>
      <c r="RHL32" s="1882"/>
      <c r="RHM32" s="1882"/>
      <c r="RHN32" s="1882"/>
      <c r="RHP32" s="1887"/>
      <c r="RHQ32" s="1888"/>
      <c r="RHR32" s="1882"/>
      <c r="RHS32" s="1882"/>
      <c r="RHT32" s="1882"/>
      <c r="RHV32" s="1887"/>
      <c r="RHW32" s="1888"/>
      <c r="RHX32" s="1882"/>
      <c r="RHY32" s="1882"/>
      <c r="RHZ32" s="1882"/>
      <c r="RIB32" s="1887"/>
      <c r="RIC32" s="1888"/>
      <c r="RID32" s="1882"/>
      <c r="RIE32" s="1882"/>
      <c r="RIF32" s="1882"/>
      <c r="RIH32" s="1887"/>
      <c r="RII32" s="1888"/>
      <c r="RIJ32" s="1882"/>
      <c r="RIK32" s="1882"/>
      <c r="RIL32" s="1882"/>
      <c r="RIN32" s="1887"/>
      <c r="RIO32" s="1888"/>
      <c r="RIP32" s="1882"/>
      <c r="RIQ32" s="1882"/>
      <c r="RIR32" s="1882"/>
      <c r="RIT32" s="1887"/>
      <c r="RIU32" s="1888"/>
      <c r="RIV32" s="1882"/>
      <c r="RIW32" s="1882"/>
      <c r="RIX32" s="1882"/>
      <c r="RIZ32" s="1887"/>
      <c r="RJA32" s="1888"/>
      <c r="RJB32" s="1882"/>
      <c r="RJC32" s="1882"/>
      <c r="RJD32" s="1882"/>
      <c r="RJF32" s="1887"/>
      <c r="RJG32" s="1888"/>
      <c r="RJH32" s="1882"/>
      <c r="RJI32" s="1882"/>
      <c r="RJJ32" s="1882"/>
      <c r="RJL32" s="1887"/>
      <c r="RJM32" s="1888"/>
      <c r="RJN32" s="1882"/>
      <c r="RJO32" s="1882"/>
      <c r="RJP32" s="1882"/>
      <c r="RJR32" s="1887"/>
      <c r="RJS32" s="1888"/>
      <c r="RJT32" s="1882"/>
      <c r="RJU32" s="1882"/>
      <c r="RJV32" s="1882"/>
      <c r="RJX32" s="1887"/>
      <c r="RJY32" s="1888"/>
      <c r="RJZ32" s="1882"/>
      <c r="RKA32" s="1882"/>
      <c r="RKB32" s="1882"/>
      <c r="RKD32" s="1887"/>
      <c r="RKE32" s="1888"/>
      <c r="RKF32" s="1882"/>
      <c r="RKG32" s="1882"/>
      <c r="RKH32" s="1882"/>
      <c r="RKJ32" s="1887"/>
      <c r="RKK32" s="1888"/>
      <c r="RKL32" s="1882"/>
      <c r="RKM32" s="1882"/>
      <c r="RKN32" s="1882"/>
      <c r="RKP32" s="1887"/>
      <c r="RKQ32" s="1888"/>
      <c r="RKR32" s="1882"/>
      <c r="RKS32" s="1882"/>
      <c r="RKT32" s="1882"/>
      <c r="RKV32" s="1887"/>
      <c r="RKW32" s="1888"/>
      <c r="RKX32" s="1882"/>
      <c r="RKY32" s="1882"/>
      <c r="RKZ32" s="1882"/>
      <c r="RLB32" s="1887"/>
      <c r="RLC32" s="1888"/>
      <c r="RLD32" s="1882"/>
      <c r="RLE32" s="1882"/>
      <c r="RLF32" s="1882"/>
      <c r="RLH32" s="1887"/>
      <c r="RLI32" s="1888"/>
      <c r="RLJ32" s="1882"/>
      <c r="RLK32" s="1882"/>
      <c r="RLL32" s="1882"/>
      <c r="RLN32" s="1887"/>
      <c r="RLO32" s="1888"/>
      <c r="RLP32" s="1882"/>
      <c r="RLQ32" s="1882"/>
      <c r="RLR32" s="1882"/>
      <c r="RLT32" s="1887"/>
      <c r="RLU32" s="1888"/>
      <c r="RLV32" s="1882"/>
      <c r="RLW32" s="1882"/>
      <c r="RLX32" s="1882"/>
      <c r="RLZ32" s="1887"/>
      <c r="RMA32" s="1888"/>
      <c r="RMB32" s="1882"/>
      <c r="RMC32" s="1882"/>
      <c r="RMD32" s="1882"/>
      <c r="RMF32" s="1887"/>
      <c r="RMG32" s="1888"/>
      <c r="RMH32" s="1882"/>
      <c r="RMI32" s="1882"/>
      <c r="RMJ32" s="1882"/>
      <c r="RML32" s="1887"/>
      <c r="RMM32" s="1888"/>
      <c r="RMN32" s="1882"/>
      <c r="RMO32" s="1882"/>
      <c r="RMP32" s="1882"/>
      <c r="RMR32" s="1887"/>
      <c r="RMS32" s="1888"/>
      <c r="RMT32" s="1882"/>
      <c r="RMU32" s="1882"/>
      <c r="RMV32" s="1882"/>
      <c r="RMX32" s="1887"/>
      <c r="RMY32" s="1888"/>
      <c r="RMZ32" s="1882"/>
      <c r="RNA32" s="1882"/>
      <c r="RNB32" s="1882"/>
      <c r="RND32" s="1887"/>
      <c r="RNE32" s="1888"/>
      <c r="RNF32" s="1882"/>
      <c r="RNG32" s="1882"/>
      <c r="RNH32" s="1882"/>
      <c r="RNJ32" s="1887"/>
      <c r="RNK32" s="1888"/>
      <c r="RNL32" s="1882"/>
      <c r="RNM32" s="1882"/>
      <c r="RNN32" s="1882"/>
      <c r="RNP32" s="1887"/>
      <c r="RNQ32" s="1888"/>
      <c r="RNR32" s="1882"/>
      <c r="RNS32" s="1882"/>
      <c r="RNT32" s="1882"/>
      <c r="RNV32" s="1887"/>
      <c r="RNW32" s="1888"/>
      <c r="RNX32" s="1882"/>
      <c r="RNY32" s="1882"/>
      <c r="RNZ32" s="1882"/>
      <c r="ROB32" s="1887"/>
      <c r="ROC32" s="1888"/>
      <c r="ROD32" s="1882"/>
      <c r="ROE32" s="1882"/>
      <c r="ROF32" s="1882"/>
      <c r="ROH32" s="1887"/>
      <c r="ROI32" s="1888"/>
      <c r="ROJ32" s="1882"/>
      <c r="ROK32" s="1882"/>
      <c r="ROL32" s="1882"/>
      <c r="RON32" s="1887"/>
      <c r="ROO32" s="1888"/>
      <c r="ROP32" s="1882"/>
      <c r="ROQ32" s="1882"/>
      <c r="ROR32" s="1882"/>
      <c r="ROT32" s="1887"/>
      <c r="ROU32" s="1888"/>
      <c r="ROV32" s="1882"/>
      <c r="ROW32" s="1882"/>
      <c r="ROX32" s="1882"/>
      <c r="ROZ32" s="1887"/>
      <c r="RPA32" s="1888"/>
      <c r="RPB32" s="1882"/>
      <c r="RPC32" s="1882"/>
      <c r="RPD32" s="1882"/>
      <c r="RPF32" s="1887"/>
      <c r="RPG32" s="1888"/>
      <c r="RPH32" s="1882"/>
      <c r="RPI32" s="1882"/>
      <c r="RPJ32" s="1882"/>
      <c r="RPL32" s="1887"/>
      <c r="RPM32" s="1888"/>
      <c r="RPN32" s="1882"/>
      <c r="RPO32" s="1882"/>
      <c r="RPP32" s="1882"/>
      <c r="RPR32" s="1887"/>
      <c r="RPS32" s="1888"/>
      <c r="RPT32" s="1882"/>
      <c r="RPU32" s="1882"/>
      <c r="RPV32" s="1882"/>
      <c r="RPX32" s="1887"/>
      <c r="RPY32" s="1888"/>
      <c r="RPZ32" s="1882"/>
      <c r="RQA32" s="1882"/>
      <c r="RQB32" s="1882"/>
      <c r="RQD32" s="1887"/>
      <c r="RQE32" s="1888"/>
      <c r="RQF32" s="1882"/>
      <c r="RQG32" s="1882"/>
      <c r="RQH32" s="1882"/>
      <c r="RQJ32" s="1887"/>
      <c r="RQK32" s="1888"/>
      <c r="RQL32" s="1882"/>
      <c r="RQM32" s="1882"/>
      <c r="RQN32" s="1882"/>
      <c r="RQP32" s="1887"/>
      <c r="RQQ32" s="1888"/>
      <c r="RQR32" s="1882"/>
      <c r="RQS32" s="1882"/>
      <c r="RQT32" s="1882"/>
      <c r="RQV32" s="1887"/>
      <c r="RQW32" s="1888"/>
      <c r="RQX32" s="1882"/>
      <c r="RQY32" s="1882"/>
      <c r="RQZ32" s="1882"/>
      <c r="RRB32" s="1887"/>
      <c r="RRC32" s="1888"/>
      <c r="RRD32" s="1882"/>
      <c r="RRE32" s="1882"/>
      <c r="RRF32" s="1882"/>
      <c r="RRH32" s="1887"/>
      <c r="RRI32" s="1888"/>
      <c r="RRJ32" s="1882"/>
      <c r="RRK32" s="1882"/>
      <c r="RRL32" s="1882"/>
      <c r="RRN32" s="1887"/>
      <c r="RRO32" s="1888"/>
      <c r="RRP32" s="1882"/>
      <c r="RRQ32" s="1882"/>
      <c r="RRR32" s="1882"/>
      <c r="RRT32" s="1887"/>
      <c r="RRU32" s="1888"/>
      <c r="RRV32" s="1882"/>
      <c r="RRW32" s="1882"/>
      <c r="RRX32" s="1882"/>
      <c r="RRZ32" s="1887"/>
      <c r="RSA32" s="1888"/>
      <c r="RSB32" s="1882"/>
      <c r="RSC32" s="1882"/>
      <c r="RSD32" s="1882"/>
      <c r="RSF32" s="1887"/>
      <c r="RSG32" s="1888"/>
      <c r="RSH32" s="1882"/>
      <c r="RSI32" s="1882"/>
      <c r="RSJ32" s="1882"/>
      <c r="RSL32" s="1887"/>
      <c r="RSM32" s="1888"/>
      <c r="RSN32" s="1882"/>
      <c r="RSO32" s="1882"/>
      <c r="RSP32" s="1882"/>
      <c r="RSR32" s="1887"/>
      <c r="RSS32" s="1888"/>
      <c r="RST32" s="1882"/>
      <c r="RSU32" s="1882"/>
      <c r="RSV32" s="1882"/>
      <c r="RSX32" s="1887"/>
      <c r="RSY32" s="1888"/>
      <c r="RSZ32" s="1882"/>
      <c r="RTA32" s="1882"/>
      <c r="RTB32" s="1882"/>
      <c r="RTD32" s="1887"/>
      <c r="RTE32" s="1888"/>
      <c r="RTF32" s="1882"/>
      <c r="RTG32" s="1882"/>
      <c r="RTH32" s="1882"/>
      <c r="RTJ32" s="1887"/>
      <c r="RTK32" s="1888"/>
      <c r="RTL32" s="1882"/>
      <c r="RTM32" s="1882"/>
      <c r="RTN32" s="1882"/>
      <c r="RTP32" s="1887"/>
      <c r="RTQ32" s="1888"/>
      <c r="RTR32" s="1882"/>
      <c r="RTS32" s="1882"/>
      <c r="RTT32" s="1882"/>
      <c r="RTV32" s="1887"/>
      <c r="RTW32" s="1888"/>
      <c r="RTX32" s="1882"/>
      <c r="RTY32" s="1882"/>
      <c r="RTZ32" s="1882"/>
      <c r="RUB32" s="1887"/>
      <c r="RUC32" s="1888"/>
      <c r="RUD32" s="1882"/>
      <c r="RUE32" s="1882"/>
      <c r="RUF32" s="1882"/>
      <c r="RUH32" s="1887"/>
      <c r="RUI32" s="1888"/>
      <c r="RUJ32" s="1882"/>
      <c r="RUK32" s="1882"/>
      <c r="RUL32" s="1882"/>
      <c r="RUN32" s="1887"/>
      <c r="RUO32" s="1888"/>
      <c r="RUP32" s="1882"/>
      <c r="RUQ32" s="1882"/>
      <c r="RUR32" s="1882"/>
      <c r="RUT32" s="1887"/>
      <c r="RUU32" s="1888"/>
      <c r="RUV32" s="1882"/>
      <c r="RUW32" s="1882"/>
      <c r="RUX32" s="1882"/>
      <c r="RUZ32" s="1887"/>
      <c r="RVA32" s="1888"/>
      <c r="RVB32" s="1882"/>
      <c r="RVC32" s="1882"/>
      <c r="RVD32" s="1882"/>
      <c r="RVF32" s="1887"/>
      <c r="RVG32" s="1888"/>
      <c r="RVH32" s="1882"/>
      <c r="RVI32" s="1882"/>
      <c r="RVJ32" s="1882"/>
      <c r="RVL32" s="1887"/>
      <c r="RVM32" s="1888"/>
      <c r="RVN32" s="1882"/>
      <c r="RVO32" s="1882"/>
      <c r="RVP32" s="1882"/>
      <c r="RVR32" s="1887"/>
      <c r="RVS32" s="1888"/>
      <c r="RVT32" s="1882"/>
      <c r="RVU32" s="1882"/>
      <c r="RVV32" s="1882"/>
      <c r="RVX32" s="1887"/>
      <c r="RVY32" s="1888"/>
      <c r="RVZ32" s="1882"/>
      <c r="RWA32" s="1882"/>
      <c r="RWB32" s="1882"/>
      <c r="RWD32" s="1887"/>
      <c r="RWE32" s="1888"/>
      <c r="RWF32" s="1882"/>
      <c r="RWG32" s="1882"/>
      <c r="RWH32" s="1882"/>
      <c r="RWJ32" s="1887"/>
      <c r="RWK32" s="1888"/>
      <c r="RWL32" s="1882"/>
      <c r="RWM32" s="1882"/>
      <c r="RWN32" s="1882"/>
      <c r="RWP32" s="1887"/>
      <c r="RWQ32" s="1888"/>
      <c r="RWR32" s="1882"/>
      <c r="RWS32" s="1882"/>
      <c r="RWT32" s="1882"/>
      <c r="RWV32" s="1887"/>
      <c r="RWW32" s="1888"/>
      <c r="RWX32" s="1882"/>
      <c r="RWY32" s="1882"/>
      <c r="RWZ32" s="1882"/>
      <c r="RXB32" s="1887"/>
      <c r="RXC32" s="1888"/>
      <c r="RXD32" s="1882"/>
      <c r="RXE32" s="1882"/>
      <c r="RXF32" s="1882"/>
      <c r="RXH32" s="1887"/>
      <c r="RXI32" s="1888"/>
      <c r="RXJ32" s="1882"/>
      <c r="RXK32" s="1882"/>
      <c r="RXL32" s="1882"/>
      <c r="RXN32" s="1887"/>
      <c r="RXO32" s="1888"/>
      <c r="RXP32" s="1882"/>
      <c r="RXQ32" s="1882"/>
      <c r="RXR32" s="1882"/>
      <c r="RXT32" s="1887"/>
      <c r="RXU32" s="1888"/>
      <c r="RXV32" s="1882"/>
      <c r="RXW32" s="1882"/>
      <c r="RXX32" s="1882"/>
      <c r="RXZ32" s="1887"/>
      <c r="RYA32" s="1888"/>
      <c r="RYB32" s="1882"/>
      <c r="RYC32" s="1882"/>
      <c r="RYD32" s="1882"/>
      <c r="RYF32" s="1887"/>
      <c r="RYG32" s="1888"/>
      <c r="RYH32" s="1882"/>
      <c r="RYI32" s="1882"/>
      <c r="RYJ32" s="1882"/>
      <c r="RYL32" s="1887"/>
      <c r="RYM32" s="1888"/>
      <c r="RYN32" s="1882"/>
      <c r="RYO32" s="1882"/>
      <c r="RYP32" s="1882"/>
      <c r="RYR32" s="1887"/>
      <c r="RYS32" s="1888"/>
      <c r="RYT32" s="1882"/>
      <c r="RYU32" s="1882"/>
      <c r="RYV32" s="1882"/>
      <c r="RYX32" s="1887"/>
      <c r="RYY32" s="1888"/>
      <c r="RYZ32" s="1882"/>
      <c r="RZA32" s="1882"/>
      <c r="RZB32" s="1882"/>
      <c r="RZD32" s="1887"/>
      <c r="RZE32" s="1888"/>
      <c r="RZF32" s="1882"/>
      <c r="RZG32" s="1882"/>
      <c r="RZH32" s="1882"/>
      <c r="RZJ32" s="1887"/>
      <c r="RZK32" s="1888"/>
      <c r="RZL32" s="1882"/>
      <c r="RZM32" s="1882"/>
      <c r="RZN32" s="1882"/>
      <c r="RZP32" s="1887"/>
      <c r="RZQ32" s="1888"/>
      <c r="RZR32" s="1882"/>
      <c r="RZS32" s="1882"/>
      <c r="RZT32" s="1882"/>
      <c r="RZV32" s="1887"/>
      <c r="RZW32" s="1888"/>
      <c r="RZX32" s="1882"/>
      <c r="RZY32" s="1882"/>
      <c r="RZZ32" s="1882"/>
      <c r="SAB32" s="1887"/>
      <c r="SAC32" s="1888"/>
      <c r="SAD32" s="1882"/>
      <c r="SAE32" s="1882"/>
      <c r="SAF32" s="1882"/>
      <c r="SAH32" s="1887"/>
      <c r="SAI32" s="1888"/>
      <c r="SAJ32" s="1882"/>
      <c r="SAK32" s="1882"/>
      <c r="SAL32" s="1882"/>
      <c r="SAN32" s="1887"/>
      <c r="SAO32" s="1888"/>
      <c r="SAP32" s="1882"/>
      <c r="SAQ32" s="1882"/>
      <c r="SAR32" s="1882"/>
      <c r="SAT32" s="1887"/>
      <c r="SAU32" s="1888"/>
      <c r="SAV32" s="1882"/>
      <c r="SAW32" s="1882"/>
      <c r="SAX32" s="1882"/>
      <c r="SAZ32" s="1887"/>
      <c r="SBA32" s="1888"/>
      <c r="SBB32" s="1882"/>
      <c r="SBC32" s="1882"/>
      <c r="SBD32" s="1882"/>
      <c r="SBF32" s="1887"/>
      <c r="SBG32" s="1888"/>
      <c r="SBH32" s="1882"/>
      <c r="SBI32" s="1882"/>
      <c r="SBJ32" s="1882"/>
      <c r="SBL32" s="1887"/>
      <c r="SBM32" s="1888"/>
      <c r="SBN32" s="1882"/>
      <c r="SBO32" s="1882"/>
      <c r="SBP32" s="1882"/>
      <c r="SBR32" s="1887"/>
      <c r="SBS32" s="1888"/>
      <c r="SBT32" s="1882"/>
      <c r="SBU32" s="1882"/>
      <c r="SBV32" s="1882"/>
      <c r="SBX32" s="1887"/>
      <c r="SBY32" s="1888"/>
      <c r="SBZ32" s="1882"/>
      <c r="SCA32" s="1882"/>
      <c r="SCB32" s="1882"/>
      <c r="SCD32" s="1887"/>
      <c r="SCE32" s="1888"/>
      <c r="SCF32" s="1882"/>
      <c r="SCG32" s="1882"/>
      <c r="SCH32" s="1882"/>
      <c r="SCJ32" s="1887"/>
      <c r="SCK32" s="1888"/>
      <c r="SCL32" s="1882"/>
      <c r="SCM32" s="1882"/>
      <c r="SCN32" s="1882"/>
      <c r="SCP32" s="1887"/>
      <c r="SCQ32" s="1888"/>
      <c r="SCR32" s="1882"/>
      <c r="SCS32" s="1882"/>
      <c r="SCT32" s="1882"/>
      <c r="SCV32" s="1887"/>
      <c r="SCW32" s="1888"/>
      <c r="SCX32" s="1882"/>
      <c r="SCY32" s="1882"/>
      <c r="SCZ32" s="1882"/>
      <c r="SDB32" s="1887"/>
      <c r="SDC32" s="1888"/>
      <c r="SDD32" s="1882"/>
      <c r="SDE32" s="1882"/>
      <c r="SDF32" s="1882"/>
      <c r="SDH32" s="1887"/>
      <c r="SDI32" s="1888"/>
      <c r="SDJ32" s="1882"/>
      <c r="SDK32" s="1882"/>
      <c r="SDL32" s="1882"/>
      <c r="SDN32" s="1887"/>
      <c r="SDO32" s="1888"/>
      <c r="SDP32" s="1882"/>
      <c r="SDQ32" s="1882"/>
      <c r="SDR32" s="1882"/>
      <c r="SDT32" s="1887"/>
      <c r="SDU32" s="1888"/>
      <c r="SDV32" s="1882"/>
      <c r="SDW32" s="1882"/>
      <c r="SDX32" s="1882"/>
      <c r="SDZ32" s="1887"/>
      <c r="SEA32" s="1888"/>
      <c r="SEB32" s="1882"/>
      <c r="SEC32" s="1882"/>
      <c r="SED32" s="1882"/>
      <c r="SEF32" s="1887"/>
      <c r="SEG32" s="1888"/>
      <c r="SEH32" s="1882"/>
      <c r="SEI32" s="1882"/>
      <c r="SEJ32" s="1882"/>
      <c r="SEL32" s="1887"/>
      <c r="SEM32" s="1888"/>
      <c r="SEN32" s="1882"/>
      <c r="SEO32" s="1882"/>
      <c r="SEP32" s="1882"/>
      <c r="SER32" s="1887"/>
      <c r="SES32" s="1888"/>
      <c r="SET32" s="1882"/>
      <c r="SEU32" s="1882"/>
      <c r="SEV32" s="1882"/>
      <c r="SEX32" s="1887"/>
      <c r="SEY32" s="1888"/>
      <c r="SEZ32" s="1882"/>
      <c r="SFA32" s="1882"/>
      <c r="SFB32" s="1882"/>
      <c r="SFD32" s="1887"/>
      <c r="SFE32" s="1888"/>
      <c r="SFF32" s="1882"/>
      <c r="SFG32" s="1882"/>
      <c r="SFH32" s="1882"/>
      <c r="SFJ32" s="1887"/>
      <c r="SFK32" s="1888"/>
      <c r="SFL32" s="1882"/>
      <c r="SFM32" s="1882"/>
      <c r="SFN32" s="1882"/>
      <c r="SFP32" s="1887"/>
      <c r="SFQ32" s="1888"/>
      <c r="SFR32" s="1882"/>
      <c r="SFS32" s="1882"/>
      <c r="SFT32" s="1882"/>
      <c r="SFV32" s="1887"/>
      <c r="SFW32" s="1888"/>
      <c r="SFX32" s="1882"/>
      <c r="SFY32" s="1882"/>
      <c r="SFZ32" s="1882"/>
      <c r="SGB32" s="1887"/>
      <c r="SGC32" s="1888"/>
      <c r="SGD32" s="1882"/>
      <c r="SGE32" s="1882"/>
      <c r="SGF32" s="1882"/>
      <c r="SGH32" s="1887"/>
      <c r="SGI32" s="1888"/>
      <c r="SGJ32" s="1882"/>
      <c r="SGK32" s="1882"/>
      <c r="SGL32" s="1882"/>
      <c r="SGN32" s="1887"/>
      <c r="SGO32" s="1888"/>
      <c r="SGP32" s="1882"/>
      <c r="SGQ32" s="1882"/>
      <c r="SGR32" s="1882"/>
      <c r="SGT32" s="1887"/>
      <c r="SGU32" s="1888"/>
      <c r="SGV32" s="1882"/>
      <c r="SGW32" s="1882"/>
      <c r="SGX32" s="1882"/>
      <c r="SGZ32" s="1887"/>
      <c r="SHA32" s="1888"/>
      <c r="SHB32" s="1882"/>
      <c r="SHC32" s="1882"/>
      <c r="SHD32" s="1882"/>
      <c r="SHF32" s="1887"/>
      <c r="SHG32" s="1888"/>
      <c r="SHH32" s="1882"/>
      <c r="SHI32" s="1882"/>
      <c r="SHJ32" s="1882"/>
      <c r="SHL32" s="1887"/>
      <c r="SHM32" s="1888"/>
      <c r="SHN32" s="1882"/>
      <c r="SHO32" s="1882"/>
      <c r="SHP32" s="1882"/>
      <c r="SHR32" s="1887"/>
      <c r="SHS32" s="1888"/>
      <c r="SHT32" s="1882"/>
      <c r="SHU32" s="1882"/>
      <c r="SHV32" s="1882"/>
      <c r="SHX32" s="1887"/>
      <c r="SHY32" s="1888"/>
      <c r="SHZ32" s="1882"/>
      <c r="SIA32" s="1882"/>
      <c r="SIB32" s="1882"/>
      <c r="SID32" s="1887"/>
      <c r="SIE32" s="1888"/>
      <c r="SIF32" s="1882"/>
      <c r="SIG32" s="1882"/>
      <c r="SIH32" s="1882"/>
      <c r="SIJ32" s="1887"/>
      <c r="SIK32" s="1888"/>
      <c r="SIL32" s="1882"/>
      <c r="SIM32" s="1882"/>
      <c r="SIN32" s="1882"/>
      <c r="SIP32" s="1887"/>
      <c r="SIQ32" s="1888"/>
      <c r="SIR32" s="1882"/>
      <c r="SIS32" s="1882"/>
      <c r="SIT32" s="1882"/>
      <c r="SIV32" s="1887"/>
      <c r="SIW32" s="1888"/>
      <c r="SIX32" s="1882"/>
      <c r="SIY32" s="1882"/>
      <c r="SIZ32" s="1882"/>
      <c r="SJB32" s="1887"/>
      <c r="SJC32" s="1888"/>
      <c r="SJD32" s="1882"/>
      <c r="SJE32" s="1882"/>
      <c r="SJF32" s="1882"/>
      <c r="SJH32" s="1887"/>
      <c r="SJI32" s="1888"/>
      <c r="SJJ32" s="1882"/>
      <c r="SJK32" s="1882"/>
      <c r="SJL32" s="1882"/>
      <c r="SJN32" s="1887"/>
      <c r="SJO32" s="1888"/>
      <c r="SJP32" s="1882"/>
      <c r="SJQ32" s="1882"/>
      <c r="SJR32" s="1882"/>
      <c r="SJT32" s="1887"/>
      <c r="SJU32" s="1888"/>
      <c r="SJV32" s="1882"/>
      <c r="SJW32" s="1882"/>
      <c r="SJX32" s="1882"/>
      <c r="SJZ32" s="1887"/>
      <c r="SKA32" s="1888"/>
      <c r="SKB32" s="1882"/>
      <c r="SKC32" s="1882"/>
      <c r="SKD32" s="1882"/>
      <c r="SKF32" s="1887"/>
      <c r="SKG32" s="1888"/>
      <c r="SKH32" s="1882"/>
      <c r="SKI32" s="1882"/>
      <c r="SKJ32" s="1882"/>
      <c r="SKL32" s="1887"/>
      <c r="SKM32" s="1888"/>
      <c r="SKN32" s="1882"/>
      <c r="SKO32" s="1882"/>
      <c r="SKP32" s="1882"/>
      <c r="SKR32" s="1887"/>
      <c r="SKS32" s="1888"/>
      <c r="SKT32" s="1882"/>
      <c r="SKU32" s="1882"/>
      <c r="SKV32" s="1882"/>
      <c r="SKX32" s="1887"/>
      <c r="SKY32" s="1888"/>
      <c r="SKZ32" s="1882"/>
      <c r="SLA32" s="1882"/>
      <c r="SLB32" s="1882"/>
      <c r="SLD32" s="1887"/>
      <c r="SLE32" s="1888"/>
      <c r="SLF32" s="1882"/>
      <c r="SLG32" s="1882"/>
      <c r="SLH32" s="1882"/>
      <c r="SLJ32" s="1887"/>
      <c r="SLK32" s="1888"/>
      <c r="SLL32" s="1882"/>
      <c r="SLM32" s="1882"/>
      <c r="SLN32" s="1882"/>
      <c r="SLP32" s="1887"/>
      <c r="SLQ32" s="1888"/>
      <c r="SLR32" s="1882"/>
      <c r="SLS32" s="1882"/>
      <c r="SLT32" s="1882"/>
      <c r="SLV32" s="1887"/>
      <c r="SLW32" s="1888"/>
      <c r="SLX32" s="1882"/>
      <c r="SLY32" s="1882"/>
      <c r="SLZ32" s="1882"/>
      <c r="SMB32" s="1887"/>
      <c r="SMC32" s="1888"/>
      <c r="SMD32" s="1882"/>
      <c r="SME32" s="1882"/>
      <c r="SMF32" s="1882"/>
      <c r="SMH32" s="1887"/>
      <c r="SMI32" s="1888"/>
      <c r="SMJ32" s="1882"/>
      <c r="SMK32" s="1882"/>
      <c r="SML32" s="1882"/>
      <c r="SMN32" s="1887"/>
      <c r="SMO32" s="1888"/>
      <c r="SMP32" s="1882"/>
      <c r="SMQ32" s="1882"/>
      <c r="SMR32" s="1882"/>
      <c r="SMT32" s="1887"/>
      <c r="SMU32" s="1888"/>
      <c r="SMV32" s="1882"/>
      <c r="SMW32" s="1882"/>
      <c r="SMX32" s="1882"/>
      <c r="SMZ32" s="1887"/>
      <c r="SNA32" s="1888"/>
      <c r="SNB32" s="1882"/>
      <c r="SNC32" s="1882"/>
      <c r="SND32" s="1882"/>
      <c r="SNF32" s="1887"/>
      <c r="SNG32" s="1888"/>
      <c r="SNH32" s="1882"/>
      <c r="SNI32" s="1882"/>
      <c r="SNJ32" s="1882"/>
      <c r="SNL32" s="1887"/>
      <c r="SNM32" s="1888"/>
      <c r="SNN32" s="1882"/>
      <c r="SNO32" s="1882"/>
      <c r="SNP32" s="1882"/>
      <c r="SNR32" s="1887"/>
      <c r="SNS32" s="1888"/>
      <c r="SNT32" s="1882"/>
      <c r="SNU32" s="1882"/>
      <c r="SNV32" s="1882"/>
      <c r="SNX32" s="1887"/>
      <c r="SNY32" s="1888"/>
      <c r="SNZ32" s="1882"/>
      <c r="SOA32" s="1882"/>
      <c r="SOB32" s="1882"/>
      <c r="SOD32" s="1887"/>
      <c r="SOE32" s="1888"/>
      <c r="SOF32" s="1882"/>
      <c r="SOG32" s="1882"/>
      <c r="SOH32" s="1882"/>
      <c r="SOJ32" s="1887"/>
      <c r="SOK32" s="1888"/>
      <c r="SOL32" s="1882"/>
      <c r="SOM32" s="1882"/>
      <c r="SON32" s="1882"/>
      <c r="SOP32" s="1887"/>
      <c r="SOQ32" s="1888"/>
      <c r="SOR32" s="1882"/>
      <c r="SOS32" s="1882"/>
      <c r="SOT32" s="1882"/>
      <c r="SOV32" s="1887"/>
      <c r="SOW32" s="1888"/>
      <c r="SOX32" s="1882"/>
      <c r="SOY32" s="1882"/>
      <c r="SOZ32" s="1882"/>
      <c r="SPB32" s="1887"/>
      <c r="SPC32" s="1888"/>
      <c r="SPD32" s="1882"/>
      <c r="SPE32" s="1882"/>
      <c r="SPF32" s="1882"/>
      <c r="SPH32" s="1887"/>
      <c r="SPI32" s="1888"/>
      <c r="SPJ32" s="1882"/>
      <c r="SPK32" s="1882"/>
      <c r="SPL32" s="1882"/>
      <c r="SPN32" s="1887"/>
      <c r="SPO32" s="1888"/>
      <c r="SPP32" s="1882"/>
      <c r="SPQ32" s="1882"/>
      <c r="SPR32" s="1882"/>
      <c r="SPT32" s="1887"/>
      <c r="SPU32" s="1888"/>
      <c r="SPV32" s="1882"/>
      <c r="SPW32" s="1882"/>
      <c r="SPX32" s="1882"/>
      <c r="SPZ32" s="1887"/>
      <c r="SQA32" s="1888"/>
      <c r="SQB32" s="1882"/>
      <c r="SQC32" s="1882"/>
      <c r="SQD32" s="1882"/>
      <c r="SQF32" s="1887"/>
      <c r="SQG32" s="1888"/>
      <c r="SQH32" s="1882"/>
      <c r="SQI32" s="1882"/>
      <c r="SQJ32" s="1882"/>
      <c r="SQL32" s="1887"/>
      <c r="SQM32" s="1888"/>
      <c r="SQN32" s="1882"/>
      <c r="SQO32" s="1882"/>
      <c r="SQP32" s="1882"/>
      <c r="SQR32" s="1887"/>
      <c r="SQS32" s="1888"/>
      <c r="SQT32" s="1882"/>
      <c r="SQU32" s="1882"/>
      <c r="SQV32" s="1882"/>
      <c r="SQX32" s="1887"/>
      <c r="SQY32" s="1888"/>
      <c r="SQZ32" s="1882"/>
      <c r="SRA32" s="1882"/>
      <c r="SRB32" s="1882"/>
      <c r="SRD32" s="1887"/>
      <c r="SRE32" s="1888"/>
      <c r="SRF32" s="1882"/>
      <c r="SRG32" s="1882"/>
      <c r="SRH32" s="1882"/>
      <c r="SRJ32" s="1887"/>
      <c r="SRK32" s="1888"/>
      <c r="SRL32" s="1882"/>
      <c r="SRM32" s="1882"/>
      <c r="SRN32" s="1882"/>
      <c r="SRP32" s="1887"/>
      <c r="SRQ32" s="1888"/>
      <c r="SRR32" s="1882"/>
      <c r="SRS32" s="1882"/>
      <c r="SRT32" s="1882"/>
      <c r="SRV32" s="1887"/>
      <c r="SRW32" s="1888"/>
      <c r="SRX32" s="1882"/>
      <c r="SRY32" s="1882"/>
      <c r="SRZ32" s="1882"/>
      <c r="SSB32" s="1887"/>
      <c r="SSC32" s="1888"/>
      <c r="SSD32" s="1882"/>
      <c r="SSE32" s="1882"/>
      <c r="SSF32" s="1882"/>
      <c r="SSH32" s="1887"/>
      <c r="SSI32" s="1888"/>
      <c r="SSJ32" s="1882"/>
      <c r="SSK32" s="1882"/>
      <c r="SSL32" s="1882"/>
      <c r="SSN32" s="1887"/>
      <c r="SSO32" s="1888"/>
      <c r="SSP32" s="1882"/>
      <c r="SSQ32" s="1882"/>
      <c r="SSR32" s="1882"/>
      <c r="SST32" s="1887"/>
      <c r="SSU32" s="1888"/>
      <c r="SSV32" s="1882"/>
      <c r="SSW32" s="1882"/>
      <c r="SSX32" s="1882"/>
      <c r="SSZ32" s="1887"/>
      <c r="STA32" s="1888"/>
      <c r="STB32" s="1882"/>
      <c r="STC32" s="1882"/>
      <c r="STD32" s="1882"/>
      <c r="STF32" s="1887"/>
      <c r="STG32" s="1888"/>
      <c r="STH32" s="1882"/>
      <c r="STI32" s="1882"/>
      <c r="STJ32" s="1882"/>
      <c r="STL32" s="1887"/>
      <c r="STM32" s="1888"/>
      <c r="STN32" s="1882"/>
      <c r="STO32" s="1882"/>
      <c r="STP32" s="1882"/>
      <c r="STR32" s="1887"/>
      <c r="STS32" s="1888"/>
      <c r="STT32" s="1882"/>
      <c r="STU32" s="1882"/>
      <c r="STV32" s="1882"/>
      <c r="STX32" s="1887"/>
      <c r="STY32" s="1888"/>
      <c r="STZ32" s="1882"/>
      <c r="SUA32" s="1882"/>
      <c r="SUB32" s="1882"/>
      <c r="SUD32" s="1887"/>
      <c r="SUE32" s="1888"/>
      <c r="SUF32" s="1882"/>
      <c r="SUG32" s="1882"/>
      <c r="SUH32" s="1882"/>
      <c r="SUJ32" s="1887"/>
      <c r="SUK32" s="1888"/>
      <c r="SUL32" s="1882"/>
      <c r="SUM32" s="1882"/>
      <c r="SUN32" s="1882"/>
      <c r="SUP32" s="1887"/>
      <c r="SUQ32" s="1888"/>
      <c r="SUR32" s="1882"/>
      <c r="SUS32" s="1882"/>
      <c r="SUT32" s="1882"/>
      <c r="SUV32" s="1887"/>
      <c r="SUW32" s="1888"/>
      <c r="SUX32" s="1882"/>
      <c r="SUY32" s="1882"/>
      <c r="SUZ32" s="1882"/>
      <c r="SVB32" s="1887"/>
      <c r="SVC32" s="1888"/>
      <c r="SVD32" s="1882"/>
      <c r="SVE32" s="1882"/>
      <c r="SVF32" s="1882"/>
      <c r="SVH32" s="1887"/>
      <c r="SVI32" s="1888"/>
      <c r="SVJ32" s="1882"/>
      <c r="SVK32" s="1882"/>
      <c r="SVL32" s="1882"/>
      <c r="SVN32" s="1887"/>
      <c r="SVO32" s="1888"/>
      <c r="SVP32" s="1882"/>
      <c r="SVQ32" s="1882"/>
      <c r="SVR32" s="1882"/>
      <c r="SVT32" s="1887"/>
      <c r="SVU32" s="1888"/>
      <c r="SVV32" s="1882"/>
      <c r="SVW32" s="1882"/>
      <c r="SVX32" s="1882"/>
      <c r="SVZ32" s="1887"/>
      <c r="SWA32" s="1888"/>
      <c r="SWB32" s="1882"/>
      <c r="SWC32" s="1882"/>
      <c r="SWD32" s="1882"/>
      <c r="SWF32" s="1887"/>
      <c r="SWG32" s="1888"/>
      <c r="SWH32" s="1882"/>
      <c r="SWI32" s="1882"/>
      <c r="SWJ32" s="1882"/>
      <c r="SWL32" s="1887"/>
      <c r="SWM32" s="1888"/>
      <c r="SWN32" s="1882"/>
      <c r="SWO32" s="1882"/>
      <c r="SWP32" s="1882"/>
      <c r="SWR32" s="1887"/>
      <c r="SWS32" s="1888"/>
      <c r="SWT32" s="1882"/>
      <c r="SWU32" s="1882"/>
      <c r="SWV32" s="1882"/>
      <c r="SWX32" s="1887"/>
      <c r="SWY32" s="1888"/>
      <c r="SWZ32" s="1882"/>
      <c r="SXA32" s="1882"/>
      <c r="SXB32" s="1882"/>
      <c r="SXD32" s="1887"/>
      <c r="SXE32" s="1888"/>
      <c r="SXF32" s="1882"/>
      <c r="SXG32" s="1882"/>
      <c r="SXH32" s="1882"/>
      <c r="SXJ32" s="1887"/>
      <c r="SXK32" s="1888"/>
      <c r="SXL32" s="1882"/>
      <c r="SXM32" s="1882"/>
      <c r="SXN32" s="1882"/>
      <c r="SXP32" s="1887"/>
      <c r="SXQ32" s="1888"/>
      <c r="SXR32" s="1882"/>
      <c r="SXS32" s="1882"/>
      <c r="SXT32" s="1882"/>
      <c r="SXV32" s="1887"/>
      <c r="SXW32" s="1888"/>
      <c r="SXX32" s="1882"/>
      <c r="SXY32" s="1882"/>
      <c r="SXZ32" s="1882"/>
      <c r="SYB32" s="1887"/>
      <c r="SYC32" s="1888"/>
      <c r="SYD32" s="1882"/>
      <c r="SYE32" s="1882"/>
      <c r="SYF32" s="1882"/>
      <c r="SYH32" s="1887"/>
      <c r="SYI32" s="1888"/>
      <c r="SYJ32" s="1882"/>
      <c r="SYK32" s="1882"/>
      <c r="SYL32" s="1882"/>
      <c r="SYN32" s="1887"/>
      <c r="SYO32" s="1888"/>
      <c r="SYP32" s="1882"/>
      <c r="SYQ32" s="1882"/>
      <c r="SYR32" s="1882"/>
      <c r="SYT32" s="1887"/>
      <c r="SYU32" s="1888"/>
      <c r="SYV32" s="1882"/>
      <c r="SYW32" s="1882"/>
      <c r="SYX32" s="1882"/>
      <c r="SYZ32" s="1887"/>
      <c r="SZA32" s="1888"/>
      <c r="SZB32" s="1882"/>
      <c r="SZC32" s="1882"/>
      <c r="SZD32" s="1882"/>
      <c r="SZF32" s="1887"/>
      <c r="SZG32" s="1888"/>
      <c r="SZH32" s="1882"/>
      <c r="SZI32" s="1882"/>
      <c r="SZJ32" s="1882"/>
      <c r="SZL32" s="1887"/>
      <c r="SZM32" s="1888"/>
      <c r="SZN32" s="1882"/>
      <c r="SZO32" s="1882"/>
      <c r="SZP32" s="1882"/>
      <c r="SZR32" s="1887"/>
      <c r="SZS32" s="1888"/>
      <c r="SZT32" s="1882"/>
      <c r="SZU32" s="1882"/>
      <c r="SZV32" s="1882"/>
      <c r="SZX32" s="1887"/>
      <c r="SZY32" s="1888"/>
      <c r="SZZ32" s="1882"/>
      <c r="TAA32" s="1882"/>
      <c r="TAB32" s="1882"/>
      <c r="TAD32" s="1887"/>
      <c r="TAE32" s="1888"/>
      <c r="TAF32" s="1882"/>
      <c r="TAG32" s="1882"/>
      <c r="TAH32" s="1882"/>
      <c r="TAJ32" s="1887"/>
      <c r="TAK32" s="1888"/>
      <c r="TAL32" s="1882"/>
      <c r="TAM32" s="1882"/>
      <c r="TAN32" s="1882"/>
      <c r="TAP32" s="1887"/>
      <c r="TAQ32" s="1888"/>
      <c r="TAR32" s="1882"/>
      <c r="TAS32" s="1882"/>
      <c r="TAT32" s="1882"/>
      <c r="TAV32" s="1887"/>
      <c r="TAW32" s="1888"/>
      <c r="TAX32" s="1882"/>
      <c r="TAY32" s="1882"/>
      <c r="TAZ32" s="1882"/>
      <c r="TBB32" s="1887"/>
      <c r="TBC32" s="1888"/>
      <c r="TBD32" s="1882"/>
      <c r="TBE32" s="1882"/>
      <c r="TBF32" s="1882"/>
      <c r="TBH32" s="1887"/>
      <c r="TBI32" s="1888"/>
      <c r="TBJ32" s="1882"/>
      <c r="TBK32" s="1882"/>
      <c r="TBL32" s="1882"/>
      <c r="TBN32" s="1887"/>
      <c r="TBO32" s="1888"/>
      <c r="TBP32" s="1882"/>
      <c r="TBQ32" s="1882"/>
      <c r="TBR32" s="1882"/>
      <c r="TBT32" s="1887"/>
      <c r="TBU32" s="1888"/>
      <c r="TBV32" s="1882"/>
      <c r="TBW32" s="1882"/>
      <c r="TBX32" s="1882"/>
      <c r="TBZ32" s="1887"/>
      <c r="TCA32" s="1888"/>
      <c r="TCB32" s="1882"/>
      <c r="TCC32" s="1882"/>
      <c r="TCD32" s="1882"/>
      <c r="TCF32" s="1887"/>
      <c r="TCG32" s="1888"/>
      <c r="TCH32" s="1882"/>
      <c r="TCI32" s="1882"/>
      <c r="TCJ32" s="1882"/>
      <c r="TCL32" s="1887"/>
      <c r="TCM32" s="1888"/>
      <c r="TCN32" s="1882"/>
      <c r="TCO32" s="1882"/>
      <c r="TCP32" s="1882"/>
      <c r="TCR32" s="1887"/>
      <c r="TCS32" s="1888"/>
      <c r="TCT32" s="1882"/>
      <c r="TCU32" s="1882"/>
      <c r="TCV32" s="1882"/>
      <c r="TCX32" s="1887"/>
      <c r="TCY32" s="1888"/>
      <c r="TCZ32" s="1882"/>
      <c r="TDA32" s="1882"/>
      <c r="TDB32" s="1882"/>
      <c r="TDD32" s="1887"/>
      <c r="TDE32" s="1888"/>
      <c r="TDF32" s="1882"/>
      <c r="TDG32" s="1882"/>
      <c r="TDH32" s="1882"/>
      <c r="TDJ32" s="1887"/>
      <c r="TDK32" s="1888"/>
      <c r="TDL32" s="1882"/>
      <c r="TDM32" s="1882"/>
      <c r="TDN32" s="1882"/>
      <c r="TDP32" s="1887"/>
      <c r="TDQ32" s="1888"/>
      <c r="TDR32" s="1882"/>
      <c r="TDS32" s="1882"/>
      <c r="TDT32" s="1882"/>
      <c r="TDV32" s="1887"/>
      <c r="TDW32" s="1888"/>
      <c r="TDX32" s="1882"/>
      <c r="TDY32" s="1882"/>
      <c r="TDZ32" s="1882"/>
      <c r="TEB32" s="1887"/>
      <c r="TEC32" s="1888"/>
      <c r="TED32" s="1882"/>
      <c r="TEE32" s="1882"/>
      <c r="TEF32" s="1882"/>
      <c r="TEH32" s="1887"/>
      <c r="TEI32" s="1888"/>
      <c r="TEJ32" s="1882"/>
      <c r="TEK32" s="1882"/>
      <c r="TEL32" s="1882"/>
      <c r="TEN32" s="1887"/>
      <c r="TEO32" s="1888"/>
      <c r="TEP32" s="1882"/>
      <c r="TEQ32" s="1882"/>
      <c r="TER32" s="1882"/>
      <c r="TET32" s="1887"/>
      <c r="TEU32" s="1888"/>
      <c r="TEV32" s="1882"/>
      <c r="TEW32" s="1882"/>
      <c r="TEX32" s="1882"/>
      <c r="TEZ32" s="1887"/>
      <c r="TFA32" s="1888"/>
      <c r="TFB32" s="1882"/>
      <c r="TFC32" s="1882"/>
      <c r="TFD32" s="1882"/>
      <c r="TFF32" s="1887"/>
      <c r="TFG32" s="1888"/>
      <c r="TFH32" s="1882"/>
      <c r="TFI32" s="1882"/>
      <c r="TFJ32" s="1882"/>
      <c r="TFL32" s="1887"/>
      <c r="TFM32" s="1888"/>
      <c r="TFN32" s="1882"/>
      <c r="TFO32" s="1882"/>
      <c r="TFP32" s="1882"/>
      <c r="TFR32" s="1887"/>
      <c r="TFS32" s="1888"/>
      <c r="TFT32" s="1882"/>
      <c r="TFU32" s="1882"/>
      <c r="TFV32" s="1882"/>
      <c r="TFX32" s="1887"/>
      <c r="TFY32" s="1888"/>
      <c r="TFZ32" s="1882"/>
      <c r="TGA32" s="1882"/>
      <c r="TGB32" s="1882"/>
      <c r="TGD32" s="1887"/>
      <c r="TGE32" s="1888"/>
      <c r="TGF32" s="1882"/>
      <c r="TGG32" s="1882"/>
      <c r="TGH32" s="1882"/>
      <c r="TGJ32" s="1887"/>
      <c r="TGK32" s="1888"/>
      <c r="TGL32" s="1882"/>
      <c r="TGM32" s="1882"/>
      <c r="TGN32" s="1882"/>
      <c r="TGP32" s="1887"/>
      <c r="TGQ32" s="1888"/>
      <c r="TGR32" s="1882"/>
      <c r="TGS32" s="1882"/>
      <c r="TGT32" s="1882"/>
      <c r="TGV32" s="1887"/>
      <c r="TGW32" s="1888"/>
      <c r="TGX32" s="1882"/>
      <c r="TGY32" s="1882"/>
      <c r="TGZ32" s="1882"/>
      <c r="THB32" s="1887"/>
      <c r="THC32" s="1888"/>
      <c r="THD32" s="1882"/>
      <c r="THE32" s="1882"/>
      <c r="THF32" s="1882"/>
      <c r="THH32" s="1887"/>
      <c r="THI32" s="1888"/>
      <c r="THJ32" s="1882"/>
      <c r="THK32" s="1882"/>
      <c r="THL32" s="1882"/>
      <c r="THN32" s="1887"/>
      <c r="THO32" s="1888"/>
      <c r="THP32" s="1882"/>
      <c r="THQ32" s="1882"/>
      <c r="THR32" s="1882"/>
      <c r="THT32" s="1887"/>
      <c r="THU32" s="1888"/>
      <c r="THV32" s="1882"/>
      <c r="THW32" s="1882"/>
      <c r="THX32" s="1882"/>
      <c r="THZ32" s="1887"/>
      <c r="TIA32" s="1888"/>
      <c r="TIB32" s="1882"/>
      <c r="TIC32" s="1882"/>
      <c r="TID32" s="1882"/>
      <c r="TIF32" s="1887"/>
      <c r="TIG32" s="1888"/>
      <c r="TIH32" s="1882"/>
      <c r="TII32" s="1882"/>
      <c r="TIJ32" s="1882"/>
      <c r="TIL32" s="1887"/>
      <c r="TIM32" s="1888"/>
      <c r="TIN32" s="1882"/>
      <c r="TIO32" s="1882"/>
      <c r="TIP32" s="1882"/>
      <c r="TIR32" s="1887"/>
      <c r="TIS32" s="1888"/>
      <c r="TIT32" s="1882"/>
      <c r="TIU32" s="1882"/>
      <c r="TIV32" s="1882"/>
      <c r="TIX32" s="1887"/>
      <c r="TIY32" s="1888"/>
      <c r="TIZ32" s="1882"/>
      <c r="TJA32" s="1882"/>
      <c r="TJB32" s="1882"/>
      <c r="TJD32" s="1887"/>
      <c r="TJE32" s="1888"/>
      <c r="TJF32" s="1882"/>
      <c r="TJG32" s="1882"/>
      <c r="TJH32" s="1882"/>
      <c r="TJJ32" s="1887"/>
      <c r="TJK32" s="1888"/>
      <c r="TJL32" s="1882"/>
      <c r="TJM32" s="1882"/>
      <c r="TJN32" s="1882"/>
      <c r="TJP32" s="1887"/>
      <c r="TJQ32" s="1888"/>
      <c r="TJR32" s="1882"/>
      <c r="TJS32" s="1882"/>
      <c r="TJT32" s="1882"/>
      <c r="TJV32" s="1887"/>
      <c r="TJW32" s="1888"/>
      <c r="TJX32" s="1882"/>
      <c r="TJY32" s="1882"/>
      <c r="TJZ32" s="1882"/>
      <c r="TKB32" s="1887"/>
      <c r="TKC32" s="1888"/>
      <c r="TKD32" s="1882"/>
      <c r="TKE32" s="1882"/>
      <c r="TKF32" s="1882"/>
      <c r="TKH32" s="1887"/>
      <c r="TKI32" s="1888"/>
      <c r="TKJ32" s="1882"/>
      <c r="TKK32" s="1882"/>
      <c r="TKL32" s="1882"/>
      <c r="TKN32" s="1887"/>
      <c r="TKO32" s="1888"/>
      <c r="TKP32" s="1882"/>
      <c r="TKQ32" s="1882"/>
      <c r="TKR32" s="1882"/>
      <c r="TKT32" s="1887"/>
      <c r="TKU32" s="1888"/>
      <c r="TKV32" s="1882"/>
      <c r="TKW32" s="1882"/>
      <c r="TKX32" s="1882"/>
      <c r="TKZ32" s="1887"/>
      <c r="TLA32" s="1888"/>
      <c r="TLB32" s="1882"/>
      <c r="TLC32" s="1882"/>
      <c r="TLD32" s="1882"/>
      <c r="TLF32" s="1887"/>
      <c r="TLG32" s="1888"/>
      <c r="TLH32" s="1882"/>
      <c r="TLI32" s="1882"/>
      <c r="TLJ32" s="1882"/>
      <c r="TLL32" s="1887"/>
      <c r="TLM32" s="1888"/>
      <c r="TLN32" s="1882"/>
      <c r="TLO32" s="1882"/>
      <c r="TLP32" s="1882"/>
      <c r="TLR32" s="1887"/>
      <c r="TLS32" s="1888"/>
      <c r="TLT32" s="1882"/>
      <c r="TLU32" s="1882"/>
      <c r="TLV32" s="1882"/>
      <c r="TLX32" s="1887"/>
      <c r="TLY32" s="1888"/>
      <c r="TLZ32" s="1882"/>
      <c r="TMA32" s="1882"/>
      <c r="TMB32" s="1882"/>
      <c r="TMD32" s="1887"/>
      <c r="TME32" s="1888"/>
      <c r="TMF32" s="1882"/>
      <c r="TMG32" s="1882"/>
      <c r="TMH32" s="1882"/>
      <c r="TMJ32" s="1887"/>
      <c r="TMK32" s="1888"/>
      <c r="TML32" s="1882"/>
      <c r="TMM32" s="1882"/>
      <c r="TMN32" s="1882"/>
      <c r="TMP32" s="1887"/>
      <c r="TMQ32" s="1888"/>
      <c r="TMR32" s="1882"/>
      <c r="TMS32" s="1882"/>
      <c r="TMT32" s="1882"/>
      <c r="TMV32" s="1887"/>
      <c r="TMW32" s="1888"/>
      <c r="TMX32" s="1882"/>
      <c r="TMY32" s="1882"/>
      <c r="TMZ32" s="1882"/>
      <c r="TNB32" s="1887"/>
      <c r="TNC32" s="1888"/>
      <c r="TND32" s="1882"/>
      <c r="TNE32" s="1882"/>
      <c r="TNF32" s="1882"/>
      <c r="TNH32" s="1887"/>
      <c r="TNI32" s="1888"/>
      <c r="TNJ32" s="1882"/>
      <c r="TNK32" s="1882"/>
      <c r="TNL32" s="1882"/>
      <c r="TNN32" s="1887"/>
      <c r="TNO32" s="1888"/>
      <c r="TNP32" s="1882"/>
      <c r="TNQ32" s="1882"/>
      <c r="TNR32" s="1882"/>
      <c r="TNT32" s="1887"/>
      <c r="TNU32" s="1888"/>
      <c r="TNV32" s="1882"/>
      <c r="TNW32" s="1882"/>
      <c r="TNX32" s="1882"/>
      <c r="TNZ32" s="1887"/>
      <c r="TOA32" s="1888"/>
      <c r="TOB32" s="1882"/>
      <c r="TOC32" s="1882"/>
      <c r="TOD32" s="1882"/>
      <c r="TOF32" s="1887"/>
      <c r="TOG32" s="1888"/>
      <c r="TOH32" s="1882"/>
      <c r="TOI32" s="1882"/>
      <c r="TOJ32" s="1882"/>
      <c r="TOL32" s="1887"/>
      <c r="TOM32" s="1888"/>
      <c r="TON32" s="1882"/>
      <c r="TOO32" s="1882"/>
      <c r="TOP32" s="1882"/>
      <c r="TOR32" s="1887"/>
      <c r="TOS32" s="1888"/>
      <c r="TOT32" s="1882"/>
      <c r="TOU32" s="1882"/>
      <c r="TOV32" s="1882"/>
      <c r="TOX32" s="1887"/>
      <c r="TOY32" s="1888"/>
      <c r="TOZ32" s="1882"/>
      <c r="TPA32" s="1882"/>
      <c r="TPB32" s="1882"/>
      <c r="TPD32" s="1887"/>
      <c r="TPE32" s="1888"/>
      <c r="TPF32" s="1882"/>
      <c r="TPG32" s="1882"/>
      <c r="TPH32" s="1882"/>
      <c r="TPJ32" s="1887"/>
      <c r="TPK32" s="1888"/>
      <c r="TPL32" s="1882"/>
      <c r="TPM32" s="1882"/>
      <c r="TPN32" s="1882"/>
      <c r="TPP32" s="1887"/>
      <c r="TPQ32" s="1888"/>
      <c r="TPR32" s="1882"/>
      <c r="TPS32" s="1882"/>
      <c r="TPT32" s="1882"/>
      <c r="TPV32" s="1887"/>
      <c r="TPW32" s="1888"/>
      <c r="TPX32" s="1882"/>
      <c r="TPY32" s="1882"/>
      <c r="TPZ32" s="1882"/>
      <c r="TQB32" s="1887"/>
      <c r="TQC32" s="1888"/>
      <c r="TQD32" s="1882"/>
      <c r="TQE32" s="1882"/>
      <c r="TQF32" s="1882"/>
      <c r="TQH32" s="1887"/>
      <c r="TQI32" s="1888"/>
      <c r="TQJ32" s="1882"/>
      <c r="TQK32" s="1882"/>
      <c r="TQL32" s="1882"/>
      <c r="TQN32" s="1887"/>
      <c r="TQO32" s="1888"/>
      <c r="TQP32" s="1882"/>
      <c r="TQQ32" s="1882"/>
      <c r="TQR32" s="1882"/>
      <c r="TQT32" s="1887"/>
      <c r="TQU32" s="1888"/>
      <c r="TQV32" s="1882"/>
      <c r="TQW32" s="1882"/>
      <c r="TQX32" s="1882"/>
      <c r="TQZ32" s="1887"/>
      <c r="TRA32" s="1888"/>
      <c r="TRB32" s="1882"/>
      <c r="TRC32" s="1882"/>
      <c r="TRD32" s="1882"/>
      <c r="TRF32" s="1887"/>
      <c r="TRG32" s="1888"/>
      <c r="TRH32" s="1882"/>
      <c r="TRI32" s="1882"/>
      <c r="TRJ32" s="1882"/>
      <c r="TRL32" s="1887"/>
      <c r="TRM32" s="1888"/>
      <c r="TRN32" s="1882"/>
      <c r="TRO32" s="1882"/>
      <c r="TRP32" s="1882"/>
      <c r="TRR32" s="1887"/>
      <c r="TRS32" s="1888"/>
      <c r="TRT32" s="1882"/>
      <c r="TRU32" s="1882"/>
      <c r="TRV32" s="1882"/>
      <c r="TRX32" s="1887"/>
      <c r="TRY32" s="1888"/>
      <c r="TRZ32" s="1882"/>
      <c r="TSA32" s="1882"/>
      <c r="TSB32" s="1882"/>
      <c r="TSD32" s="1887"/>
      <c r="TSE32" s="1888"/>
      <c r="TSF32" s="1882"/>
      <c r="TSG32" s="1882"/>
      <c r="TSH32" s="1882"/>
      <c r="TSJ32" s="1887"/>
      <c r="TSK32" s="1888"/>
      <c r="TSL32" s="1882"/>
      <c r="TSM32" s="1882"/>
      <c r="TSN32" s="1882"/>
      <c r="TSP32" s="1887"/>
      <c r="TSQ32" s="1888"/>
      <c r="TSR32" s="1882"/>
      <c r="TSS32" s="1882"/>
      <c r="TST32" s="1882"/>
      <c r="TSV32" s="1887"/>
      <c r="TSW32" s="1888"/>
      <c r="TSX32" s="1882"/>
      <c r="TSY32" s="1882"/>
      <c r="TSZ32" s="1882"/>
      <c r="TTB32" s="1887"/>
      <c r="TTC32" s="1888"/>
      <c r="TTD32" s="1882"/>
      <c r="TTE32" s="1882"/>
      <c r="TTF32" s="1882"/>
      <c r="TTH32" s="1887"/>
      <c r="TTI32" s="1888"/>
      <c r="TTJ32" s="1882"/>
      <c r="TTK32" s="1882"/>
      <c r="TTL32" s="1882"/>
      <c r="TTN32" s="1887"/>
      <c r="TTO32" s="1888"/>
      <c r="TTP32" s="1882"/>
      <c r="TTQ32" s="1882"/>
      <c r="TTR32" s="1882"/>
      <c r="TTT32" s="1887"/>
      <c r="TTU32" s="1888"/>
      <c r="TTV32" s="1882"/>
      <c r="TTW32" s="1882"/>
      <c r="TTX32" s="1882"/>
      <c r="TTZ32" s="1887"/>
      <c r="TUA32" s="1888"/>
      <c r="TUB32" s="1882"/>
      <c r="TUC32" s="1882"/>
      <c r="TUD32" s="1882"/>
      <c r="TUF32" s="1887"/>
      <c r="TUG32" s="1888"/>
      <c r="TUH32" s="1882"/>
      <c r="TUI32" s="1882"/>
      <c r="TUJ32" s="1882"/>
      <c r="TUL32" s="1887"/>
      <c r="TUM32" s="1888"/>
      <c r="TUN32" s="1882"/>
      <c r="TUO32" s="1882"/>
      <c r="TUP32" s="1882"/>
      <c r="TUR32" s="1887"/>
      <c r="TUS32" s="1888"/>
      <c r="TUT32" s="1882"/>
      <c r="TUU32" s="1882"/>
      <c r="TUV32" s="1882"/>
      <c r="TUX32" s="1887"/>
      <c r="TUY32" s="1888"/>
      <c r="TUZ32" s="1882"/>
      <c r="TVA32" s="1882"/>
      <c r="TVB32" s="1882"/>
      <c r="TVD32" s="1887"/>
      <c r="TVE32" s="1888"/>
      <c r="TVF32" s="1882"/>
      <c r="TVG32" s="1882"/>
      <c r="TVH32" s="1882"/>
      <c r="TVJ32" s="1887"/>
      <c r="TVK32" s="1888"/>
      <c r="TVL32" s="1882"/>
      <c r="TVM32" s="1882"/>
      <c r="TVN32" s="1882"/>
      <c r="TVP32" s="1887"/>
      <c r="TVQ32" s="1888"/>
      <c r="TVR32" s="1882"/>
      <c r="TVS32" s="1882"/>
      <c r="TVT32" s="1882"/>
      <c r="TVV32" s="1887"/>
      <c r="TVW32" s="1888"/>
      <c r="TVX32" s="1882"/>
      <c r="TVY32" s="1882"/>
      <c r="TVZ32" s="1882"/>
      <c r="TWB32" s="1887"/>
      <c r="TWC32" s="1888"/>
      <c r="TWD32" s="1882"/>
      <c r="TWE32" s="1882"/>
      <c r="TWF32" s="1882"/>
      <c r="TWH32" s="1887"/>
      <c r="TWI32" s="1888"/>
      <c r="TWJ32" s="1882"/>
      <c r="TWK32" s="1882"/>
      <c r="TWL32" s="1882"/>
      <c r="TWN32" s="1887"/>
      <c r="TWO32" s="1888"/>
      <c r="TWP32" s="1882"/>
      <c r="TWQ32" s="1882"/>
      <c r="TWR32" s="1882"/>
      <c r="TWT32" s="1887"/>
      <c r="TWU32" s="1888"/>
      <c r="TWV32" s="1882"/>
      <c r="TWW32" s="1882"/>
      <c r="TWX32" s="1882"/>
      <c r="TWZ32" s="1887"/>
      <c r="TXA32" s="1888"/>
      <c r="TXB32" s="1882"/>
      <c r="TXC32" s="1882"/>
      <c r="TXD32" s="1882"/>
      <c r="TXF32" s="1887"/>
      <c r="TXG32" s="1888"/>
      <c r="TXH32" s="1882"/>
      <c r="TXI32" s="1882"/>
      <c r="TXJ32" s="1882"/>
      <c r="TXL32" s="1887"/>
      <c r="TXM32" s="1888"/>
      <c r="TXN32" s="1882"/>
      <c r="TXO32" s="1882"/>
      <c r="TXP32" s="1882"/>
      <c r="TXR32" s="1887"/>
      <c r="TXS32" s="1888"/>
      <c r="TXT32" s="1882"/>
      <c r="TXU32" s="1882"/>
      <c r="TXV32" s="1882"/>
      <c r="TXX32" s="1887"/>
      <c r="TXY32" s="1888"/>
      <c r="TXZ32" s="1882"/>
      <c r="TYA32" s="1882"/>
      <c r="TYB32" s="1882"/>
      <c r="TYD32" s="1887"/>
      <c r="TYE32" s="1888"/>
      <c r="TYF32" s="1882"/>
      <c r="TYG32" s="1882"/>
      <c r="TYH32" s="1882"/>
      <c r="TYJ32" s="1887"/>
      <c r="TYK32" s="1888"/>
      <c r="TYL32" s="1882"/>
      <c r="TYM32" s="1882"/>
      <c r="TYN32" s="1882"/>
      <c r="TYP32" s="1887"/>
      <c r="TYQ32" s="1888"/>
      <c r="TYR32" s="1882"/>
      <c r="TYS32" s="1882"/>
      <c r="TYT32" s="1882"/>
      <c r="TYV32" s="1887"/>
      <c r="TYW32" s="1888"/>
      <c r="TYX32" s="1882"/>
      <c r="TYY32" s="1882"/>
      <c r="TYZ32" s="1882"/>
      <c r="TZB32" s="1887"/>
      <c r="TZC32" s="1888"/>
      <c r="TZD32" s="1882"/>
      <c r="TZE32" s="1882"/>
      <c r="TZF32" s="1882"/>
      <c r="TZH32" s="1887"/>
      <c r="TZI32" s="1888"/>
      <c r="TZJ32" s="1882"/>
      <c r="TZK32" s="1882"/>
      <c r="TZL32" s="1882"/>
      <c r="TZN32" s="1887"/>
      <c r="TZO32" s="1888"/>
      <c r="TZP32" s="1882"/>
      <c r="TZQ32" s="1882"/>
      <c r="TZR32" s="1882"/>
      <c r="TZT32" s="1887"/>
      <c r="TZU32" s="1888"/>
      <c r="TZV32" s="1882"/>
      <c r="TZW32" s="1882"/>
      <c r="TZX32" s="1882"/>
      <c r="TZZ32" s="1887"/>
      <c r="UAA32" s="1888"/>
      <c r="UAB32" s="1882"/>
      <c r="UAC32" s="1882"/>
      <c r="UAD32" s="1882"/>
      <c r="UAF32" s="1887"/>
      <c r="UAG32" s="1888"/>
      <c r="UAH32" s="1882"/>
      <c r="UAI32" s="1882"/>
      <c r="UAJ32" s="1882"/>
      <c r="UAL32" s="1887"/>
      <c r="UAM32" s="1888"/>
      <c r="UAN32" s="1882"/>
      <c r="UAO32" s="1882"/>
      <c r="UAP32" s="1882"/>
      <c r="UAR32" s="1887"/>
      <c r="UAS32" s="1888"/>
      <c r="UAT32" s="1882"/>
      <c r="UAU32" s="1882"/>
      <c r="UAV32" s="1882"/>
      <c r="UAX32" s="1887"/>
      <c r="UAY32" s="1888"/>
      <c r="UAZ32" s="1882"/>
      <c r="UBA32" s="1882"/>
      <c r="UBB32" s="1882"/>
      <c r="UBD32" s="1887"/>
      <c r="UBE32" s="1888"/>
      <c r="UBF32" s="1882"/>
      <c r="UBG32" s="1882"/>
      <c r="UBH32" s="1882"/>
      <c r="UBJ32" s="1887"/>
      <c r="UBK32" s="1888"/>
      <c r="UBL32" s="1882"/>
      <c r="UBM32" s="1882"/>
      <c r="UBN32" s="1882"/>
      <c r="UBP32" s="1887"/>
      <c r="UBQ32" s="1888"/>
      <c r="UBR32" s="1882"/>
      <c r="UBS32" s="1882"/>
      <c r="UBT32" s="1882"/>
      <c r="UBV32" s="1887"/>
      <c r="UBW32" s="1888"/>
      <c r="UBX32" s="1882"/>
      <c r="UBY32" s="1882"/>
      <c r="UBZ32" s="1882"/>
      <c r="UCB32" s="1887"/>
      <c r="UCC32" s="1888"/>
      <c r="UCD32" s="1882"/>
      <c r="UCE32" s="1882"/>
      <c r="UCF32" s="1882"/>
      <c r="UCH32" s="1887"/>
      <c r="UCI32" s="1888"/>
      <c r="UCJ32" s="1882"/>
      <c r="UCK32" s="1882"/>
      <c r="UCL32" s="1882"/>
      <c r="UCN32" s="1887"/>
      <c r="UCO32" s="1888"/>
      <c r="UCP32" s="1882"/>
      <c r="UCQ32" s="1882"/>
      <c r="UCR32" s="1882"/>
      <c r="UCT32" s="1887"/>
      <c r="UCU32" s="1888"/>
      <c r="UCV32" s="1882"/>
      <c r="UCW32" s="1882"/>
      <c r="UCX32" s="1882"/>
      <c r="UCZ32" s="1887"/>
      <c r="UDA32" s="1888"/>
      <c r="UDB32" s="1882"/>
      <c r="UDC32" s="1882"/>
      <c r="UDD32" s="1882"/>
      <c r="UDF32" s="1887"/>
      <c r="UDG32" s="1888"/>
      <c r="UDH32" s="1882"/>
      <c r="UDI32" s="1882"/>
      <c r="UDJ32" s="1882"/>
      <c r="UDL32" s="1887"/>
      <c r="UDM32" s="1888"/>
      <c r="UDN32" s="1882"/>
      <c r="UDO32" s="1882"/>
      <c r="UDP32" s="1882"/>
      <c r="UDR32" s="1887"/>
      <c r="UDS32" s="1888"/>
      <c r="UDT32" s="1882"/>
      <c r="UDU32" s="1882"/>
      <c r="UDV32" s="1882"/>
      <c r="UDX32" s="1887"/>
      <c r="UDY32" s="1888"/>
      <c r="UDZ32" s="1882"/>
      <c r="UEA32" s="1882"/>
      <c r="UEB32" s="1882"/>
      <c r="UED32" s="1887"/>
      <c r="UEE32" s="1888"/>
      <c r="UEF32" s="1882"/>
      <c r="UEG32" s="1882"/>
      <c r="UEH32" s="1882"/>
      <c r="UEJ32" s="1887"/>
      <c r="UEK32" s="1888"/>
      <c r="UEL32" s="1882"/>
      <c r="UEM32" s="1882"/>
      <c r="UEN32" s="1882"/>
      <c r="UEP32" s="1887"/>
      <c r="UEQ32" s="1888"/>
      <c r="UER32" s="1882"/>
      <c r="UES32" s="1882"/>
      <c r="UET32" s="1882"/>
      <c r="UEV32" s="1887"/>
      <c r="UEW32" s="1888"/>
      <c r="UEX32" s="1882"/>
      <c r="UEY32" s="1882"/>
      <c r="UEZ32" s="1882"/>
      <c r="UFB32" s="1887"/>
      <c r="UFC32" s="1888"/>
      <c r="UFD32" s="1882"/>
      <c r="UFE32" s="1882"/>
      <c r="UFF32" s="1882"/>
      <c r="UFH32" s="1887"/>
      <c r="UFI32" s="1888"/>
      <c r="UFJ32" s="1882"/>
      <c r="UFK32" s="1882"/>
      <c r="UFL32" s="1882"/>
      <c r="UFN32" s="1887"/>
      <c r="UFO32" s="1888"/>
      <c r="UFP32" s="1882"/>
      <c r="UFQ32" s="1882"/>
      <c r="UFR32" s="1882"/>
      <c r="UFT32" s="1887"/>
      <c r="UFU32" s="1888"/>
      <c r="UFV32" s="1882"/>
      <c r="UFW32" s="1882"/>
      <c r="UFX32" s="1882"/>
      <c r="UFZ32" s="1887"/>
      <c r="UGA32" s="1888"/>
      <c r="UGB32" s="1882"/>
      <c r="UGC32" s="1882"/>
      <c r="UGD32" s="1882"/>
      <c r="UGF32" s="1887"/>
      <c r="UGG32" s="1888"/>
      <c r="UGH32" s="1882"/>
      <c r="UGI32" s="1882"/>
      <c r="UGJ32" s="1882"/>
      <c r="UGL32" s="1887"/>
      <c r="UGM32" s="1888"/>
      <c r="UGN32" s="1882"/>
      <c r="UGO32" s="1882"/>
      <c r="UGP32" s="1882"/>
      <c r="UGR32" s="1887"/>
      <c r="UGS32" s="1888"/>
      <c r="UGT32" s="1882"/>
      <c r="UGU32" s="1882"/>
      <c r="UGV32" s="1882"/>
      <c r="UGX32" s="1887"/>
      <c r="UGY32" s="1888"/>
      <c r="UGZ32" s="1882"/>
      <c r="UHA32" s="1882"/>
      <c r="UHB32" s="1882"/>
      <c r="UHD32" s="1887"/>
      <c r="UHE32" s="1888"/>
      <c r="UHF32" s="1882"/>
      <c r="UHG32" s="1882"/>
      <c r="UHH32" s="1882"/>
      <c r="UHJ32" s="1887"/>
      <c r="UHK32" s="1888"/>
      <c r="UHL32" s="1882"/>
      <c r="UHM32" s="1882"/>
      <c r="UHN32" s="1882"/>
      <c r="UHP32" s="1887"/>
      <c r="UHQ32" s="1888"/>
      <c r="UHR32" s="1882"/>
      <c r="UHS32" s="1882"/>
      <c r="UHT32" s="1882"/>
      <c r="UHV32" s="1887"/>
      <c r="UHW32" s="1888"/>
      <c r="UHX32" s="1882"/>
      <c r="UHY32" s="1882"/>
      <c r="UHZ32" s="1882"/>
      <c r="UIB32" s="1887"/>
      <c r="UIC32" s="1888"/>
      <c r="UID32" s="1882"/>
      <c r="UIE32" s="1882"/>
      <c r="UIF32" s="1882"/>
      <c r="UIH32" s="1887"/>
      <c r="UII32" s="1888"/>
      <c r="UIJ32" s="1882"/>
      <c r="UIK32" s="1882"/>
      <c r="UIL32" s="1882"/>
      <c r="UIN32" s="1887"/>
      <c r="UIO32" s="1888"/>
      <c r="UIP32" s="1882"/>
      <c r="UIQ32" s="1882"/>
      <c r="UIR32" s="1882"/>
      <c r="UIT32" s="1887"/>
      <c r="UIU32" s="1888"/>
      <c r="UIV32" s="1882"/>
      <c r="UIW32" s="1882"/>
      <c r="UIX32" s="1882"/>
      <c r="UIZ32" s="1887"/>
      <c r="UJA32" s="1888"/>
      <c r="UJB32" s="1882"/>
      <c r="UJC32" s="1882"/>
      <c r="UJD32" s="1882"/>
      <c r="UJF32" s="1887"/>
      <c r="UJG32" s="1888"/>
      <c r="UJH32" s="1882"/>
      <c r="UJI32" s="1882"/>
      <c r="UJJ32" s="1882"/>
      <c r="UJL32" s="1887"/>
      <c r="UJM32" s="1888"/>
      <c r="UJN32" s="1882"/>
      <c r="UJO32" s="1882"/>
      <c r="UJP32" s="1882"/>
      <c r="UJR32" s="1887"/>
      <c r="UJS32" s="1888"/>
      <c r="UJT32" s="1882"/>
      <c r="UJU32" s="1882"/>
      <c r="UJV32" s="1882"/>
      <c r="UJX32" s="1887"/>
      <c r="UJY32" s="1888"/>
      <c r="UJZ32" s="1882"/>
      <c r="UKA32" s="1882"/>
      <c r="UKB32" s="1882"/>
      <c r="UKD32" s="1887"/>
      <c r="UKE32" s="1888"/>
      <c r="UKF32" s="1882"/>
      <c r="UKG32" s="1882"/>
      <c r="UKH32" s="1882"/>
      <c r="UKJ32" s="1887"/>
      <c r="UKK32" s="1888"/>
      <c r="UKL32" s="1882"/>
      <c r="UKM32" s="1882"/>
      <c r="UKN32" s="1882"/>
      <c r="UKP32" s="1887"/>
      <c r="UKQ32" s="1888"/>
      <c r="UKR32" s="1882"/>
      <c r="UKS32" s="1882"/>
      <c r="UKT32" s="1882"/>
      <c r="UKV32" s="1887"/>
      <c r="UKW32" s="1888"/>
      <c r="UKX32" s="1882"/>
      <c r="UKY32" s="1882"/>
      <c r="UKZ32" s="1882"/>
      <c r="ULB32" s="1887"/>
      <c r="ULC32" s="1888"/>
      <c r="ULD32" s="1882"/>
      <c r="ULE32" s="1882"/>
      <c r="ULF32" s="1882"/>
      <c r="ULH32" s="1887"/>
      <c r="ULI32" s="1888"/>
      <c r="ULJ32" s="1882"/>
      <c r="ULK32" s="1882"/>
      <c r="ULL32" s="1882"/>
      <c r="ULN32" s="1887"/>
      <c r="ULO32" s="1888"/>
      <c r="ULP32" s="1882"/>
      <c r="ULQ32" s="1882"/>
      <c r="ULR32" s="1882"/>
      <c r="ULT32" s="1887"/>
      <c r="ULU32" s="1888"/>
      <c r="ULV32" s="1882"/>
      <c r="ULW32" s="1882"/>
      <c r="ULX32" s="1882"/>
      <c r="ULZ32" s="1887"/>
      <c r="UMA32" s="1888"/>
      <c r="UMB32" s="1882"/>
      <c r="UMC32" s="1882"/>
      <c r="UMD32" s="1882"/>
      <c r="UMF32" s="1887"/>
      <c r="UMG32" s="1888"/>
      <c r="UMH32" s="1882"/>
      <c r="UMI32" s="1882"/>
      <c r="UMJ32" s="1882"/>
      <c r="UML32" s="1887"/>
      <c r="UMM32" s="1888"/>
      <c r="UMN32" s="1882"/>
      <c r="UMO32" s="1882"/>
      <c r="UMP32" s="1882"/>
      <c r="UMR32" s="1887"/>
      <c r="UMS32" s="1888"/>
      <c r="UMT32" s="1882"/>
      <c r="UMU32" s="1882"/>
      <c r="UMV32" s="1882"/>
      <c r="UMX32" s="1887"/>
      <c r="UMY32" s="1888"/>
      <c r="UMZ32" s="1882"/>
      <c r="UNA32" s="1882"/>
      <c r="UNB32" s="1882"/>
      <c r="UND32" s="1887"/>
      <c r="UNE32" s="1888"/>
      <c r="UNF32" s="1882"/>
      <c r="UNG32" s="1882"/>
      <c r="UNH32" s="1882"/>
      <c r="UNJ32" s="1887"/>
      <c r="UNK32" s="1888"/>
      <c r="UNL32" s="1882"/>
      <c r="UNM32" s="1882"/>
      <c r="UNN32" s="1882"/>
      <c r="UNP32" s="1887"/>
      <c r="UNQ32" s="1888"/>
      <c r="UNR32" s="1882"/>
      <c r="UNS32" s="1882"/>
      <c r="UNT32" s="1882"/>
      <c r="UNV32" s="1887"/>
      <c r="UNW32" s="1888"/>
      <c r="UNX32" s="1882"/>
      <c r="UNY32" s="1882"/>
      <c r="UNZ32" s="1882"/>
      <c r="UOB32" s="1887"/>
      <c r="UOC32" s="1888"/>
      <c r="UOD32" s="1882"/>
      <c r="UOE32" s="1882"/>
      <c r="UOF32" s="1882"/>
      <c r="UOH32" s="1887"/>
      <c r="UOI32" s="1888"/>
      <c r="UOJ32" s="1882"/>
      <c r="UOK32" s="1882"/>
      <c r="UOL32" s="1882"/>
      <c r="UON32" s="1887"/>
      <c r="UOO32" s="1888"/>
      <c r="UOP32" s="1882"/>
      <c r="UOQ32" s="1882"/>
      <c r="UOR32" s="1882"/>
      <c r="UOT32" s="1887"/>
      <c r="UOU32" s="1888"/>
      <c r="UOV32" s="1882"/>
      <c r="UOW32" s="1882"/>
      <c r="UOX32" s="1882"/>
      <c r="UOZ32" s="1887"/>
      <c r="UPA32" s="1888"/>
      <c r="UPB32" s="1882"/>
      <c r="UPC32" s="1882"/>
      <c r="UPD32" s="1882"/>
      <c r="UPF32" s="1887"/>
      <c r="UPG32" s="1888"/>
      <c r="UPH32" s="1882"/>
      <c r="UPI32" s="1882"/>
      <c r="UPJ32" s="1882"/>
      <c r="UPL32" s="1887"/>
      <c r="UPM32" s="1888"/>
      <c r="UPN32" s="1882"/>
      <c r="UPO32" s="1882"/>
      <c r="UPP32" s="1882"/>
      <c r="UPR32" s="1887"/>
      <c r="UPS32" s="1888"/>
      <c r="UPT32" s="1882"/>
      <c r="UPU32" s="1882"/>
      <c r="UPV32" s="1882"/>
      <c r="UPX32" s="1887"/>
      <c r="UPY32" s="1888"/>
      <c r="UPZ32" s="1882"/>
      <c r="UQA32" s="1882"/>
      <c r="UQB32" s="1882"/>
      <c r="UQD32" s="1887"/>
      <c r="UQE32" s="1888"/>
      <c r="UQF32" s="1882"/>
      <c r="UQG32" s="1882"/>
      <c r="UQH32" s="1882"/>
      <c r="UQJ32" s="1887"/>
      <c r="UQK32" s="1888"/>
      <c r="UQL32" s="1882"/>
      <c r="UQM32" s="1882"/>
      <c r="UQN32" s="1882"/>
      <c r="UQP32" s="1887"/>
      <c r="UQQ32" s="1888"/>
      <c r="UQR32" s="1882"/>
      <c r="UQS32" s="1882"/>
      <c r="UQT32" s="1882"/>
      <c r="UQV32" s="1887"/>
      <c r="UQW32" s="1888"/>
      <c r="UQX32" s="1882"/>
      <c r="UQY32" s="1882"/>
      <c r="UQZ32" s="1882"/>
      <c r="URB32" s="1887"/>
      <c r="URC32" s="1888"/>
      <c r="URD32" s="1882"/>
      <c r="URE32" s="1882"/>
      <c r="URF32" s="1882"/>
      <c r="URH32" s="1887"/>
      <c r="URI32" s="1888"/>
      <c r="URJ32" s="1882"/>
      <c r="URK32" s="1882"/>
      <c r="URL32" s="1882"/>
      <c r="URN32" s="1887"/>
      <c r="URO32" s="1888"/>
      <c r="URP32" s="1882"/>
      <c r="URQ32" s="1882"/>
      <c r="URR32" s="1882"/>
      <c r="URT32" s="1887"/>
      <c r="URU32" s="1888"/>
      <c r="URV32" s="1882"/>
      <c r="URW32" s="1882"/>
      <c r="URX32" s="1882"/>
      <c r="URZ32" s="1887"/>
      <c r="USA32" s="1888"/>
      <c r="USB32" s="1882"/>
      <c r="USC32" s="1882"/>
      <c r="USD32" s="1882"/>
      <c r="USF32" s="1887"/>
      <c r="USG32" s="1888"/>
      <c r="USH32" s="1882"/>
      <c r="USI32" s="1882"/>
      <c r="USJ32" s="1882"/>
      <c r="USL32" s="1887"/>
      <c r="USM32" s="1888"/>
      <c r="USN32" s="1882"/>
      <c r="USO32" s="1882"/>
      <c r="USP32" s="1882"/>
      <c r="USR32" s="1887"/>
      <c r="USS32" s="1888"/>
      <c r="UST32" s="1882"/>
      <c r="USU32" s="1882"/>
      <c r="USV32" s="1882"/>
      <c r="USX32" s="1887"/>
      <c r="USY32" s="1888"/>
      <c r="USZ32" s="1882"/>
      <c r="UTA32" s="1882"/>
      <c r="UTB32" s="1882"/>
      <c r="UTD32" s="1887"/>
      <c r="UTE32" s="1888"/>
      <c r="UTF32" s="1882"/>
      <c r="UTG32" s="1882"/>
      <c r="UTH32" s="1882"/>
      <c r="UTJ32" s="1887"/>
      <c r="UTK32" s="1888"/>
      <c r="UTL32" s="1882"/>
      <c r="UTM32" s="1882"/>
      <c r="UTN32" s="1882"/>
      <c r="UTP32" s="1887"/>
      <c r="UTQ32" s="1888"/>
      <c r="UTR32" s="1882"/>
      <c r="UTS32" s="1882"/>
      <c r="UTT32" s="1882"/>
      <c r="UTV32" s="1887"/>
      <c r="UTW32" s="1888"/>
      <c r="UTX32" s="1882"/>
      <c r="UTY32" s="1882"/>
      <c r="UTZ32" s="1882"/>
      <c r="UUB32" s="1887"/>
      <c r="UUC32" s="1888"/>
      <c r="UUD32" s="1882"/>
      <c r="UUE32" s="1882"/>
      <c r="UUF32" s="1882"/>
      <c r="UUH32" s="1887"/>
      <c r="UUI32" s="1888"/>
      <c r="UUJ32" s="1882"/>
      <c r="UUK32" s="1882"/>
      <c r="UUL32" s="1882"/>
      <c r="UUN32" s="1887"/>
      <c r="UUO32" s="1888"/>
      <c r="UUP32" s="1882"/>
      <c r="UUQ32" s="1882"/>
      <c r="UUR32" s="1882"/>
      <c r="UUT32" s="1887"/>
      <c r="UUU32" s="1888"/>
      <c r="UUV32" s="1882"/>
      <c r="UUW32" s="1882"/>
      <c r="UUX32" s="1882"/>
      <c r="UUZ32" s="1887"/>
      <c r="UVA32" s="1888"/>
      <c r="UVB32" s="1882"/>
      <c r="UVC32" s="1882"/>
      <c r="UVD32" s="1882"/>
      <c r="UVF32" s="1887"/>
      <c r="UVG32" s="1888"/>
      <c r="UVH32" s="1882"/>
      <c r="UVI32" s="1882"/>
      <c r="UVJ32" s="1882"/>
      <c r="UVL32" s="1887"/>
      <c r="UVM32" s="1888"/>
      <c r="UVN32" s="1882"/>
      <c r="UVO32" s="1882"/>
      <c r="UVP32" s="1882"/>
      <c r="UVR32" s="1887"/>
      <c r="UVS32" s="1888"/>
      <c r="UVT32" s="1882"/>
      <c r="UVU32" s="1882"/>
      <c r="UVV32" s="1882"/>
      <c r="UVX32" s="1887"/>
      <c r="UVY32" s="1888"/>
      <c r="UVZ32" s="1882"/>
      <c r="UWA32" s="1882"/>
      <c r="UWB32" s="1882"/>
      <c r="UWD32" s="1887"/>
      <c r="UWE32" s="1888"/>
      <c r="UWF32" s="1882"/>
      <c r="UWG32" s="1882"/>
      <c r="UWH32" s="1882"/>
      <c r="UWJ32" s="1887"/>
      <c r="UWK32" s="1888"/>
      <c r="UWL32" s="1882"/>
      <c r="UWM32" s="1882"/>
      <c r="UWN32" s="1882"/>
      <c r="UWP32" s="1887"/>
      <c r="UWQ32" s="1888"/>
      <c r="UWR32" s="1882"/>
      <c r="UWS32" s="1882"/>
      <c r="UWT32" s="1882"/>
      <c r="UWV32" s="1887"/>
      <c r="UWW32" s="1888"/>
      <c r="UWX32" s="1882"/>
      <c r="UWY32" s="1882"/>
      <c r="UWZ32" s="1882"/>
      <c r="UXB32" s="1887"/>
      <c r="UXC32" s="1888"/>
      <c r="UXD32" s="1882"/>
      <c r="UXE32" s="1882"/>
      <c r="UXF32" s="1882"/>
      <c r="UXH32" s="1887"/>
      <c r="UXI32" s="1888"/>
      <c r="UXJ32" s="1882"/>
      <c r="UXK32" s="1882"/>
      <c r="UXL32" s="1882"/>
      <c r="UXN32" s="1887"/>
      <c r="UXO32" s="1888"/>
      <c r="UXP32" s="1882"/>
      <c r="UXQ32" s="1882"/>
      <c r="UXR32" s="1882"/>
      <c r="UXT32" s="1887"/>
      <c r="UXU32" s="1888"/>
      <c r="UXV32" s="1882"/>
      <c r="UXW32" s="1882"/>
      <c r="UXX32" s="1882"/>
      <c r="UXZ32" s="1887"/>
      <c r="UYA32" s="1888"/>
      <c r="UYB32" s="1882"/>
      <c r="UYC32" s="1882"/>
      <c r="UYD32" s="1882"/>
      <c r="UYF32" s="1887"/>
      <c r="UYG32" s="1888"/>
      <c r="UYH32" s="1882"/>
      <c r="UYI32" s="1882"/>
      <c r="UYJ32" s="1882"/>
      <c r="UYL32" s="1887"/>
      <c r="UYM32" s="1888"/>
      <c r="UYN32" s="1882"/>
      <c r="UYO32" s="1882"/>
      <c r="UYP32" s="1882"/>
      <c r="UYR32" s="1887"/>
      <c r="UYS32" s="1888"/>
      <c r="UYT32" s="1882"/>
      <c r="UYU32" s="1882"/>
      <c r="UYV32" s="1882"/>
      <c r="UYX32" s="1887"/>
      <c r="UYY32" s="1888"/>
      <c r="UYZ32" s="1882"/>
      <c r="UZA32" s="1882"/>
      <c r="UZB32" s="1882"/>
      <c r="UZD32" s="1887"/>
      <c r="UZE32" s="1888"/>
      <c r="UZF32" s="1882"/>
      <c r="UZG32" s="1882"/>
      <c r="UZH32" s="1882"/>
      <c r="UZJ32" s="1887"/>
      <c r="UZK32" s="1888"/>
      <c r="UZL32" s="1882"/>
      <c r="UZM32" s="1882"/>
      <c r="UZN32" s="1882"/>
      <c r="UZP32" s="1887"/>
      <c r="UZQ32" s="1888"/>
      <c r="UZR32" s="1882"/>
      <c r="UZS32" s="1882"/>
      <c r="UZT32" s="1882"/>
      <c r="UZV32" s="1887"/>
      <c r="UZW32" s="1888"/>
      <c r="UZX32" s="1882"/>
      <c r="UZY32" s="1882"/>
      <c r="UZZ32" s="1882"/>
      <c r="VAB32" s="1887"/>
      <c r="VAC32" s="1888"/>
      <c r="VAD32" s="1882"/>
      <c r="VAE32" s="1882"/>
      <c r="VAF32" s="1882"/>
      <c r="VAH32" s="1887"/>
      <c r="VAI32" s="1888"/>
      <c r="VAJ32" s="1882"/>
      <c r="VAK32" s="1882"/>
      <c r="VAL32" s="1882"/>
      <c r="VAN32" s="1887"/>
      <c r="VAO32" s="1888"/>
      <c r="VAP32" s="1882"/>
      <c r="VAQ32" s="1882"/>
      <c r="VAR32" s="1882"/>
      <c r="VAT32" s="1887"/>
      <c r="VAU32" s="1888"/>
      <c r="VAV32" s="1882"/>
      <c r="VAW32" s="1882"/>
      <c r="VAX32" s="1882"/>
      <c r="VAZ32" s="1887"/>
      <c r="VBA32" s="1888"/>
      <c r="VBB32" s="1882"/>
      <c r="VBC32" s="1882"/>
      <c r="VBD32" s="1882"/>
      <c r="VBF32" s="1887"/>
      <c r="VBG32" s="1888"/>
      <c r="VBH32" s="1882"/>
      <c r="VBI32" s="1882"/>
      <c r="VBJ32" s="1882"/>
      <c r="VBL32" s="1887"/>
      <c r="VBM32" s="1888"/>
      <c r="VBN32" s="1882"/>
      <c r="VBO32" s="1882"/>
      <c r="VBP32" s="1882"/>
      <c r="VBR32" s="1887"/>
      <c r="VBS32" s="1888"/>
      <c r="VBT32" s="1882"/>
      <c r="VBU32" s="1882"/>
      <c r="VBV32" s="1882"/>
      <c r="VBX32" s="1887"/>
      <c r="VBY32" s="1888"/>
      <c r="VBZ32" s="1882"/>
      <c r="VCA32" s="1882"/>
      <c r="VCB32" s="1882"/>
      <c r="VCD32" s="1887"/>
      <c r="VCE32" s="1888"/>
      <c r="VCF32" s="1882"/>
      <c r="VCG32" s="1882"/>
      <c r="VCH32" s="1882"/>
      <c r="VCJ32" s="1887"/>
      <c r="VCK32" s="1888"/>
      <c r="VCL32" s="1882"/>
      <c r="VCM32" s="1882"/>
      <c r="VCN32" s="1882"/>
      <c r="VCP32" s="1887"/>
      <c r="VCQ32" s="1888"/>
      <c r="VCR32" s="1882"/>
      <c r="VCS32" s="1882"/>
      <c r="VCT32" s="1882"/>
      <c r="VCV32" s="1887"/>
      <c r="VCW32" s="1888"/>
      <c r="VCX32" s="1882"/>
      <c r="VCY32" s="1882"/>
      <c r="VCZ32" s="1882"/>
      <c r="VDB32" s="1887"/>
      <c r="VDC32" s="1888"/>
      <c r="VDD32" s="1882"/>
      <c r="VDE32" s="1882"/>
      <c r="VDF32" s="1882"/>
      <c r="VDH32" s="1887"/>
      <c r="VDI32" s="1888"/>
      <c r="VDJ32" s="1882"/>
      <c r="VDK32" s="1882"/>
      <c r="VDL32" s="1882"/>
      <c r="VDN32" s="1887"/>
      <c r="VDO32" s="1888"/>
      <c r="VDP32" s="1882"/>
      <c r="VDQ32" s="1882"/>
      <c r="VDR32" s="1882"/>
      <c r="VDT32" s="1887"/>
      <c r="VDU32" s="1888"/>
      <c r="VDV32" s="1882"/>
      <c r="VDW32" s="1882"/>
      <c r="VDX32" s="1882"/>
      <c r="VDZ32" s="1887"/>
      <c r="VEA32" s="1888"/>
      <c r="VEB32" s="1882"/>
      <c r="VEC32" s="1882"/>
      <c r="VED32" s="1882"/>
      <c r="VEF32" s="1887"/>
      <c r="VEG32" s="1888"/>
      <c r="VEH32" s="1882"/>
      <c r="VEI32" s="1882"/>
      <c r="VEJ32" s="1882"/>
      <c r="VEL32" s="1887"/>
      <c r="VEM32" s="1888"/>
      <c r="VEN32" s="1882"/>
      <c r="VEO32" s="1882"/>
      <c r="VEP32" s="1882"/>
      <c r="VER32" s="1887"/>
      <c r="VES32" s="1888"/>
      <c r="VET32" s="1882"/>
      <c r="VEU32" s="1882"/>
      <c r="VEV32" s="1882"/>
      <c r="VEX32" s="1887"/>
      <c r="VEY32" s="1888"/>
      <c r="VEZ32" s="1882"/>
      <c r="VFA32" s="1882"/>
      <c r="VFB32" s="1882"/>
      <c r="VFD32" s="1887"/>
      <c r="VFE32" s="1888"/>
      <c r="VFF32" s="1882"/>
      <c r="VFG32" s="1882"/>
      <c r="VFH32" s="1882"/>
      <c r="VFJ32" s="1887"/>
      <c r="VFK32" s="1888"/>
      <c r="VFL32" s="1882"/>
      <c r="VFM32" s="1882"/>
      <c r="VFN32" s="1882"/>
      <c r="VFP32" s="1887"/>
      <c r="VFQ32" s="1888"/>
      <c r="VFR32" s="1882"/>
      <c r="VFS32" s="1882"/>
      <c r="VFT32" s="1882"/>
      <c r="VFV32" s="1887"/>
      <c r="VFW32" s="1888"/>
      <c r="VFX32" s="1882"/>
      <c r="VFY32" s="1882"/>
      <c r="VFZ32" s="1882"/>
      <c r="VGB32" s="1887"/>
      <c r="VGC32" s="1888"/>
      <c r="VGD32" s="1882"/>
      <c r="VGE32" s="1882"/>
      <c r="VGF32" s="1882"/>
      <c r="VGH32" s="1887"/>
      <c r="VGI32" s="1888"/>
      <c r="VGJ32" s="1882"/>
      <c r="VGK32" s="1882"/>
      <c r="VGL32" s="1882"/>
      <c r="VGN32" s="1887"/>
      <c r="VGO32" s="1888"/>
      <c r="VGP32" s="1882"/>
      <c r="VGQ32" s="1882"/>
      <c r="VGR32" s="1882"/>
      <c r="VGT32" s="1887"/>
      <c r="VGU32" s="1888"/>
      <c r="VGV32" s="1882"/>
      <c r="VGW32" s="1882"/>
      <c r="VGX32" s="1882"/>
      <c r="VGZ32" s="1887"/>
      <c r="VHA32" s="1888"/>
      <c r="VHB32" s="1882"/>
      <c r="VHC32" s="1882"/>
      <c r="VHD32" s="1882"/>
      <c r="VHF32" s="1887"/>
      <c r="VHG32" s="1888"/>
      <c r="VHH32" s="1882"/>
      <c r="VHI32" s="1882"/>
      <c r="VHJ32" s="1882"/>
      <c r="VHL32" s="1887"/>
      <c r="VHM32" s="1888"/>
      <c r="VHN32" s="1882"/>
      <c r="VHO32" s="1882"/>
      <c r="VHP32" s="1882"/>
      <c r="VHR32" s="1887"/>
      <c r="VHS32" s="1888"/>
      <c r="VHT32" s="1882"/>
      <c r="VHU32" s="1882"/>
      <c r="VHV32" s="1882"/>
      <c r="VHX32" s="1887"/>
      <c r="VHY32" s="1888"/>
      <c r="VHZ32" s="1882"/>
      <c r="VIA32" s="1882"/>
      <c r="VIB32" s="1882"/>
      <c r="VID32" s="1887"/>
      <c r="VIE32" s="1888"/>
      <c r="VIF32" s="1882"/>
      <c r="VIG32" s="1882"/>
      <c r="VIH32" s="1882"/>
      <c r="VIJ32" s="1887"/>
      <c r="VIK32" s="1888"/>
      <c r="VIL32" s="1882"/>
      <c r="VIM32" s="1882"/>
      <c r="VIN32" s="1882"/>
      <c r="VIP32" s="1887"/>
      <c r="VIQ32" s="1888"/>
      <c r="VIR32" s="1882"/>
      <c r="VIS32" s="1882"/>
      <c r="VIT32" s="1882"/>
      <c r="VIV32" s="1887"/>
      <c r="VIW32" s="1888"/>
      <c r="VIX32" s="1882"/>
      <c r="VIY32" s="1882"/>
      <c r="VIZ32" s="1882"/>
      <c r="VJB32" s="1887"/>
      <c r="VJC32" s="1888"/>
      <c r="VJD32" s="1882"/>
      <c r="VJE32" s="1882"/>
      <c r="VJF32" s="1882"/>
      <c r="VJH32" s="1887"/>
      <c r="VJI32" s="1888"/>
      <c r="VJJ32" s="1882"/>
      <c r="VJK32" s="1882"/>
      <c r="VJL32" s="1882"/>
      <c r="VJN32" s="1887"/>
      <c r="VJO32" s="1888"/>
      <c r="VJP32" s="1882"/>
      <c r="VJQ32" s="1882"/>
      <c r="VJR32" s="1882"/>
      <c r="VJT32" s="1887"/>
      <c r="VJU32" s="1888"/>
      <c r="VJV32" s="1882"/>
      <c r="VJW32" s="1882"/>
      <c r="VJX32" s="1882"/>
      <c r="VJZ32" s="1887"/>
      <c r="VKA32" s="1888"/>
      <c r="VKB32" s="1882"/>
      <c r="VKC32" s="1882"/>
      <c r="VKD32" s="1882"/>
      <c r="VKF32" s="1887"/>
      <c r="VKG32" s="1888"/>
      <c r="VKH32" s="1882"/>
      <c r="VKI32" s="1882"/>
      <c r="VKJ32" s="1882"/>
      <c r="VKL32" s="1887"/>
      <c r="VKM32" s="1888"/>
      <c r="VKN32" s="1882"/>
      <c r="VKO32" s="1882"/>
      <c r="VKP32" s="1882"/>
      <c r="VKR32" s="1887"/>
      <c r="VKS32" s="1888"/>
      <c r="VKT32" s="1882"/>
      <c r="VKU32" s="1882"/>
      <c r="VKV32" s="1882"/>
      <c r="VKX32" s="1887"/>
      <c r="VKY32" s="1888"/>
      <c r="VKZ32" s="1882"/>
      <c r="VLA32" s="1882"/>
      <c r="VLB32" s="1882"/>
      <c r="VLD32" s="1887"/>
      <c r="VLE32" s="1888"/>
      <c r="VLF32" s="1882"/>
      <c r="VLG32" s="1882"/>
      <c r="VLH32" s="1882"/>
      <c r="VLJ32" s="1887"/>
      <c r="VLK32" s="1888"/>
      <c r="VLL32" s="1882"/>
      <c r="VLM32" s="1882"/>
      <c r="VLN32" s="1882"/>
      <c r="VLP32" s="1887"/>
      <c r="VLQ32" s="1888"/>
      <c r="VLR32" s="1882"/>
      <c r="VLS32" s="1882"/>
      <c r="VLT32" s="1882"/>
      <c r="VLV32" s="1887"/>
      <c r="VLW32" s="1888"/>
      <c r="VLX32" s="1882"/>
      <c r="VLY32" s="1882"/>
      <c r="VLZ32" s="1882"/>
      <c r="VMB32" s="1887"/>
      <c r="VMC32" s="1888"/>
      <c r="VMD32" s="1882"/>
      <c r="VME32" s="1882"/>
      <c r="VMF32" s="1882"/>
      <c r="VMH32" s="1887"/>
      <c r="VMI32" s="1888"/>
      <c r="VMJ32" s="1882"/>
      <c r="VMK32" s="1882"/>
      <c r="VML32" s="1882"/>
      <c r="VMN32" s="1887"/>
      <c r="VMO32" s="1888"/>
      <c r="VMP32" s="1882"/>
      <c r="VMQ32" s="1882"/>
      <c r="VMR32" s="1882"/>
      <c r="VMT32" s="1887"/>
      <c r="VMU32" s="1888"/>
      <c r="VMV32" s="1882"/>
      <c r="VMW32" s="1882"/>
      <c r="VMX32" s="1882"/>
      <c r="VMZ32" s="1887"/>
      <c r="VNA32" s="1888"/>
      <c r="VNB32" s="1882"/>
      <c r="VNC32" s="1882"/>
      <c r="VND32" s="1882"/>
      <c r="VNF32" s="1887"/>
      <c r="VNG32" s="1888"/>
      <c r="VNH32" s="1882"/>
      <c r="VNI32" s="1882"/>
      <c r="VNJ32" s="1882"/>
      <c r="VNL32" s="1887"/>
      <c r="VNM32" s="1888"/>
      <c r="VNN32" s="1882"/>
      <c r="VNO32" s="1882"/>
      <c r="VNP32" s="1882"/>
      <c r="VNR32" s="1887"/>
      <c r="VNS32" s="1888"/>
      <c r="VNT32" s="1882"/>
      <c r="VNU32" s="1882"/>
      <c r="VNV32" s="1882"/>
      <c r="VNX32" s="1887"/>
      <c r="VNY32" s="1888"/>
      <c r="VNZ32" s="1882"/>
      <c r="VOA32" s="1882"/>
      <c r="VOB32" s="1882"/>
      <c r="VOD32" s="1887"/>
      <c r="VOE32" s="1888"/>
      <c r="VOF32" s="1882"/>
      <c r="VOG32" s="1882"/>
      <c r="VOH32" s="1882"/>
      <c r="VOJ32" s="1887"/>
      <c r="VOK32" s="1888"/>
      <c r="VOL32" s="1882"/>
      <c r="VOM32" s="1882"/>
      <c r="VON32" s="1882"/>
      <c r="VOP32" s="1887"/>
      <c r="VOQ32" s="1888"/>
      <c r="VOR32" s="1882"/>
      <c r="VOS32" s="1882"/>
      <c r="VOT32" s="1882"/>
      <c r="VOV32" s="1887"/>
      <c r="VOW32" s="1888"/>
      <c r="VOX32" s="1882"/>
      <c r="VOY32" s="1882"/>
      <c r="VOZ32" s="1882"/>
      <c r="VPB32" s="1887"/>
      <c r="VPC32" s="1888"/>
      <c r="VPD32" s="1882"/>
      <c r="VPE32" s="1882"/>
      <c r="VPF32" s="1882"/>
      <c r="VPH32" s="1887"/>
      <c r="VPI32" s="1888"/>
      <c r="VPJ32" s="1882"/>
      <c r="VPK32" s="1882"/>
      <c r="VPL32" s="1882"/>
      <c r="VPN32" s="1887"/>
      <c r="VPO32" s="1888"/>
      <c r="VPP32" s="1882"/>
      <c r="VPQ32" s="1882"/>
      <c r="VPR32" s="1882"/>
      <c r="VPT32" s="1887"/>
      <c r="VPU32" s="1888"/>
      <c r="VPV32" s="1882"/>
      <c r="VPW32" s="1882"/>
      <c r="VPX32" s="1882"/>
      <c r="VPZ32" s="1887"/>
      <c r="VQA32" s="1888"/>
      <c r="VQB32" s="1882"/>
      <c r="VQC32" s="1882"/>
      <c r="VQD32" s="1882"/>
      <c r="VQF32" s="1887"/>
      <c r="VQG32" s="1888"/>
      <c r="VQH32" s="1882"/>
      <c r="VQI32" s="1882"/>
      <c r="VQJ32" s="1882"/>
      <c r="VQL32" s="1887"/>
      <c r="VQM32" s="1888"/>
      <c r="VQN32" s="1882"/>
      <c r="VQO32" s="1882"/>
      <c r="VQP32" s="1882"/>
      <c r="VQR32" s="1887"/>
      <c r="VQS32" s="1888"/>
      <c r="VQT32" s="1882"/>
      <c r="VQU32" s="1882"/>
      <c r="VQV32" s="1882"/>
      <c r="VQX32" s="1887"/>
      <c r="VQY32" s="1888"/>
      <c r="VQZ32" s="1882"/>
      <c r="VRA32" s="1882"/>
      <c r="VRB32" s="1882"/>
      <c r="VRD32" s="1887"/>
      <c r="VRE32" s="1888"/>
      <c r="VRF32" s="1882"/>
      <c r="VRG32" s="1882"/>
      <c r="VRH32" s="1882"/>
      <c r="VRJ32" s="1887"/>
      <c r="VRK32" s="1888"/>
      <c r="VRL32" s="1882"/>
      <c r="VRM32" s="1882"/>
      <c r="VRN32" s="1882"/>
      <c r="VRP32" s="1887"/>
      <c r="VRQ32" s="1888"/>
      <c r="VRR32" s="1882"/>
      <c r="VRS32" s="1882"/>
      <c r="VRT32" s="1882"/>
      <c r="VRV32" s="1887"/>
      <c r="VRW32" s="1888"/>
      <c r="VRX32" s="1882"/>
      <c r="VRY32" s="1882"/>
      <c r="VRZ32" s="1882"/>
      <c r="VSB32" s="1887"/>
      <c r="VSC32" s="1888"/>
      <c r="VSD32" s="1882"/>
      <c r="VSE32" s="1882"/>
      <c r="VSF32" s="1882"/>
      <c r="VSH32" s="1887"/>
      <c r="VSI32" s="1888"/>
      <c r="VSJ32" s="1882"/>
      <c r="VSK32" s="1882"/>
      <c r="VSL32" s="1882"/>
      <c r="VSN32" s="1887"/>
      <c r="VSO32" s="1888"/>
      <c r="VSP32" s="1882"/>
      <c r="VSQ32" s="1882"/>
      <c r="VSR32" s="1882"/>
      <c r="VST32" s="1887"/>
      <c r="VSU32" s="1888"/>
      <c r="VSV32" s="1882"/>
      <c r="VSW32" s="1882"/>
      <c r="VSX32" s="1882"/>
      <c r="VSZ32" s="1887"/>
      <c r="VTA32" s="1888"/>
      <c r="VTB32" s="1882"/>
      <c r="VTC32" s="1882"/>
      <c r="VTD32" s="1882"/>
      <c r="VTF32" s="1887"/>
      <c r="VTG32" s="1888"/>
      <c r="VTH32" s="1882"/>
      <c r="VTI32" s="1882"/>
      <c r="VTJ32" s="1882"/>
      <c r="VTL32" s="1887"/>
      <c r="VTM32" s="1888"/>
      <c r="VTN32" s="1882"/>
      <c r="VTO32" s="1882"/>
      <c r="VTP32" s="1882"/>
      <c r="VTR32" s="1887"/>
      <c r="VTS32" s="1888"/>
      <c r="VTT32" s="1882"/>
      <c r="VTU32" s="1882"/>
      <c r="VTV32" s="1882"/>
      <c r="VTX32" s="1887"/>
      <c r="VTY32" s="1888"/>
      <c r="VTZ32" s="1882"/>
      <c r="VUA32" s="1882"/>
      <c r="VUB32" s="1882"/>
      <c r="VUD32" s="1887"/>
      <c r="VUE32" s="1888"/>
      <c r="VUF32" s="1882"/>
      <c r="VUG32" s="1882"/>
      <c r="VUH32" s="1882"/>
      <c r="VUJ32" s="1887"/>
      <c r="VUK32" s="1888"/>
      <c r="VUL32" s="1882"/>
      <c r="VUM32" s="1882"/>
      <c r="VUN32" s="1882"/>
      <c r="VUP32" s="1887"/>
      <c r="VUQ32" s="1888"/>
      <c r="VUR32" s="1882"/>
      <c r="VUS32" s="1882"/>
      <c r="VUT32" s="1882"/>
      <c r="VUV32" s="1887"/>
      <c r="VUW32" s="1888"/>
      <c r="VUX32" s="1882"/>
      <c r="VUY32" s="1882"/>
      <c r="VUZ32" s="1882"/>
      <c r="VVB32" s="1887"/>
      <c r="VVC32" s="1888"/>
      <c r="VVD32" s="1882"/>
      <c r="VVE32" s="1882"/>
      <c r="VVF32" s="1882"/>
      <c r="VVH32" s="1887"/>
      <c r="VVI32" s="1888"/>
      <c r="VVJ32" s="1882"/>
      <c r="VVK32" s="1882"/>
      <c r="VVL32" s="1882"/>
      <c r="VVN32" s="1887"/>
      <c r="VVO32" s="1888"/>
      <c r="VVP32" s="1882"/>
      <c r="VVQ32" s="1882"/>
      <c r="VVR32" s="1882"/>
      <c r="VVT32" s="1887"/>
      <c r="VVU32" s="1888"/>
      <c r="VVV32" s="1882"/>
      <c r="VVW32" s="1882"/>
      <c r="VVX32" s="1882"/>
      <c r="VVZ32" s="1887"/>
      <c r="VWA32" s="1888"/>
      <c r="VWB32" s="1882"/>
      <c r="VWC32" s="1882"/>
      <c r="VWD32" s="1882"/>
      <c r="VWF32" s="1887"/>
      <c r="VWG32" s="1888"/>
      <c r="VWH32" s="1882"/>
      <c r="VWI32" s="1882"/>
      <c r="VWJ32" s="1882"/>
      <c r="VWL32" s="1887"/>
      <c r="VWM32" s="1888"/>
      <c r="VWN32" s="1882"/>
      <c r="VWO32" s="1882"/>
      <c r="VWP32" s="1882"/>
      <c r="VWR32" s="1887"/>
      <c r="VWS32" s="1888"/>
      <c r="VWT32" s="1882"/>
      <c r="VWU32" s="1882"/>
      <c r="VWV32" s="1882"/>
      <c r="VWX32" s="1887"/>
      <c r="VWY32" s="1888"/>
      <c r="VWZ32" s="1882"/>
      <c r="VXA32" s="1882"/>
      <c r="VXB32" s="1882"/>
      <c r="VXD32" s="1887"/>
      <c r="VXE32" s="1888"/>
      <c r="VXF32" s="1882"/>
      <c r="VXG32" s="1882"/>
      <c r="VXH32" s="1882"/>
      <c r="VXJ32" s="1887"/>
      <c r="VXK32" s="1888"/>
      <c r="VXL32" s="1882"/>
      <c r="VXM32" s="1882"/>
      <c r="VXN32" s="1882"/>
      <c r="VXP32" s="1887"/>
      <c r="VXQ32" s="1888"/>
      <c r="VXR32" s="1882"/>
      <c r="VXS32" s="1882"/>
      <c r="VXT32" s="1882"/>
      <c r="VXV32" s="1887"/>
      <c r="VXW32" s="1888"/>
      <c r="VXX32" s="1882"/>
      <c r="VXY32" s="1882"/>
      <c r="VXZ32" s="1882"/>
      <c r="VYB32" s="1887"/>
      <c r="VYC32" s="1888"/>
      <c r="VYD32" s="1882"/>
      <c r="VYE32" s="1882"/>
      <c r="VYF32" s="1882"/>
      <c r="VYH32" s="1887"/>
      <c r="VYI32" s="1888"/>
      <c r="VYJ32" s="1882"/>
      <c r="VYK32" s="1882"/>
      <c r="VYL32" s="1882"/>
      <c r="VYN32" s="1887"/>
      <c r="VYO32" s="1888"/>
      <c r="VYP32" s="1882"/>
      <c r="VYQ32" s="1882"/>
      <c r="VYR32" s="1882"/>
      <c r="VYT32" s="1887"/>
      <c r="VYU32" s="1888"/>
      <c r="VYV32" s="1882"/>
      <c r="VYW32" s="1882"/>
      <c r="VYX32" s="1882"/>
      <c r="VYZ32" s="1887"/>
      <c r="VZA32" s="1888"/>
      <c r="VZB32" s="1882"/>
      <c r="VZC32" s="1882"/>
      <c r="VZD32" s="1882"/>
      <c r="VZF32" s="1887"/>
      <c r="VZG32" s="1888"/>
      <c r="VZH32" s="1882"/>
      <c r="VZI32" s="1882"/>
      <c r="VZJ32" s="1882"/>
      <c r="VZL32" s="1887"/>
      <c r="VZM32" s="1888"/>
      <c r="VZN32" s="1882"/>
      <c r="VZO32" s="1882"/>
      <c r="VZP32" s="1882"/>
      <c r="VZR32" s="1887"/>
      <c r="VZS32" s="1888"/>
      <c r="VZT32" s="1882"/>
      <c r="VZU32" s="1882"/>
      <c r="VZV32" s="1882"/>
      <c r="VZX32" s="1887"/>
      <c r="VZY32" s="1888"/>
      <c r="VZZ32" s="1882"/>
      <c r="WAA32" s="1882"/>
      <c r="WAB32" s="1882"/>
      <c r="WAD32" s="1887"/>
      <c r="WAE32" s="1888"/>
      <c r="WAF32" s="1882"/>
      <c r="WAG32" s="1882"/>
      <c r="WAH32" s="1882"/>
      <c r="WAJ32" s="1887"/>
      <c r="WAK32" s="1888"/>
      <c r="WAL32" s="1882"/>
      <c r="WAM32" s="1882"/>
      <c r="WAN32" s="1882"/>
      <c r="WAP32" s="1887"/>
      <c r="WAQ32" s="1888"/>
      <c r="WAR32" s="1882"/>
      <c r="WAS32" s="1882"/>
      <c r="WAT32" s="1882"/>
      <c r="WAV32" s="1887"/>
      <c r="WAW32" s="1888"/>
      <c r="WAX32" s="1882"/>
      <c r="WAY32" s="1882"/>
      <c r="WAZ32" s="1882"/>
      <c r="WBB32" s="1887"/>
      <c r="WBC32" s="1888"/>
      <c r="WBD32" s="1882"/>
      <c r="WBE32" s="1882"/>
      <c r="WBF32" s="1882"/>
      <c r="WBH32" s="1887"/>
      <c r="WBI32" s="1888"/>
      <c r="WBJ32" s="1882"/>
      <c r="WBK32" s="1882"/>
      <c r="WBL32" s="1882"/>
      <c r="WBN32" s="1887"/>
      <c r="WBO32" s="1888"/>
      <c r="WBP32" s="1882"/>
      <c r="WBQ32" s="1882"/>
      <c r="WBR32" s="1882"/>
      <c r="WBT32" s="1887"/>
      <c r="WBU32" s="1888"/>
      <c r="WBV32" s="1882"/>
      <c r="WBW32" s="1882"/>
      <c r="WBX32" s="1882"/>
      <c r="WBZ32" s="1887"/>
      <c r="WCA32" s="1888"/>
      <c r="WCB32" s="1882"/>
      <c r="WCC32" s="1882"/>
      <c r="WCD32" s="1882"/>
      <c r="WCF32" s="1887"/>
      <c r="WCG32" s="1888"/>
      <c r="WCH32" s="1882"/>
      <c r="WCI32" s="1882"/>
      <c r="WCJ32" s="1882"/>
      <c r="WCL32" s="1887"/>
      <c r="WCM32" s="1888"/>
      <c r="WCN32" s="1882"/>
      <c r="WCO32" s="1882"/>
      <c r="WCP32" s="1882"/>
      <c r="WCR32" s="1887"/>
      <c r="WCS32" s="1888"/>
      <c r="WCT32" s="1882"/>
      <c r="WCU32" s="1882"/>
      <c r="WCV32" s="1882"/>
      <c r="WCX32" s="1887"/>
      <c r="WCY32" s="1888"/>
      <c r="WCZ32" s="1882"/>
      <c r="WDA32" s="1882"/>
      <c r="WDB32" s="1882"/>
      <c r="WDD32" s="1887"/>
      <c r="WDE32" s="1888"/>
      <c r="WDF32" s="1882"/>
      <c r="WDG32" s="1882"/>
      <c r="WDH32" s="1882"/>
      <c r="WDJ32" s="1887"/>
      <c r="WDK32" s="1888"/>
      <c r="WDL32" s="1882"/>
      <c r="WDM32" s="1882"/>
      <c r="WDN32" s="1882"/>
      <c r="WDP32" s="1887"/>
      <c r="WDQ32" s="1888"/>
      <c r="WDR32" s="1882"/>
      <c r="WDS32" s="1882"/>
      <c r="WDT32" s="1882"/>
      <c r="WDV32" s="1887"/>
      <c r="WDW32" s="1888"/>
      <c r="WDX32" s="1882"/>
      <c r="WDY32" s="1882"/>
      <c r="WDZ32" s="1882"/>
      <c r="WEB32" s="1887"/>
      <c r="WEC32" s="1888"/>
      <c r="WED32" s="1882"/>
      <c r="WEE32" s="1882"/>
      <c r="WEF32" s="1882"/>
      <c r="WEH32" s="1887"/>
      <c r="WEI32" s="1888"/>
      <c r="WEJ32" s="1882"/>
      <c r="WEK32" s="1882"/>
      <c r="WEL32" s="1882"/>
      <c r="WEN32" s="1887"/>
      <c r="WEO32" s="1888"/>
      <c r="WEP32" s="1882"/>
      <c r="WEQ32" s="1882"/>
      <c r="WER32" s="1882"/>
      <c r="WET32" s="1887"/>
      <c r="WEU32" s="1888"/>
      <c r="WEV32" s="1882"/>
      <c r="WEW32" s="1882"/>
      <c r="WEX32" s="1882"/>
      <c r="WEZ32" s="1887"/>
      <c r="WFA32" s="1888"/>
      <c r="WFB32" s="1882"/>
      <c r="WFC32" s="1882"/>
      <c r="WFD32" s="1882"/>
      <c r="WFF32" s="1887"/>
      <c r="WFG32" s="1888"/>
      <c r="WFH32" s="1882"/>
      <c r="WFI32" s="1882"/>
      <c r="WFJ32" s="1882"/>
      <c r="WFL32" s="1887"/>
      <c r="WFM32" s="1888"/>
      <c r="WFN32" s="1882"/>
      <c r="WFO32" s="1882"/>
      <c r="WFP32" s="1882"/>
      <c r="WFR32" s="1887"/>
      <c r="WFS32" s="1888"/>
      <c r="WFT32" s="1882"/>
      <c r="WFU32" s="1882"/>
      <c r="WFV32" s="1882"/>
      <c r="WFX32" s="1887"/>
      <c r="WFY32" s="1888"/>
      <c r="WFZ32" s="1882"/>
      <c r="WGA32" s="1882"/>
      <c r="WGB32" s="1882"/>
      <c r="WGD32" s="1887"/>
      <c r="WGE32" s="1888"/>
      <c r="WGF32" s="1882"/>
      <c r="WGG32" s="1882"/>
      <c r="WGH32" s="1882"/>
      <c r="WGJ32" s="1887"/>
      <c r="WGK32" s="1888"/>
      <c r="WGL32" s="1882"/>
      <c r="WGM32" s="1882"/>
      <c r="WGN32" s="1882"/>
      <c r="WGP32" s="1887"/>
      <c r="WGQ32" s="1888"/>
      <c r="WGR32" s="1882"/>
      <c r="WGS32" s="1882"/>
      <c r="WGT32" s="1882"/>
      <c r="WGV32" s="1887"/>
      <c r="WGW32" s="1888"/>
      <c r="WGX32" s="1882"/>
      <c r="WGY32" s="1882"/>
      <c r="WGZ32" s="1882"/>
      <c r="WHB32" s="1887"/>
      <c r="WHC32" s="1888"/>
      <c r="WHD32" s="1882"/>
      <c r="WHE32" s="1882"/>
      <c r="WHF32" s="1882"/>
      <c r="WHH32" s="1887"/>
      <c r="WHI32" s="1888"/>
      <c r="WHJ32" s="1882"/>
      <c r="WHK32" s="1882"/>
      <c r="WHL32" s="1882"/>
      <c r="WHN32" s="1887"/>
      <c r="WHO32" s="1888"/>
      <c r="WHP32" s="1882"/>
      <c r="WHQ32" s="1882"/>
      <c r="WHR32" s="1882"/>
      <c r="WHT32" s="1887"/>
      <c r="WHU32" s="1888"/>
      <c r="WHV32" s="1882"/>
      <c r="WHW32" s="1882"/>
      <c r="WHX32" s="1882"/>
      <c r="WHZ32" s="1887"/>
      <c r="WIA32" s="1888"/>
      <c r="WIB32" s="1882"/>
      <c r="WIC32" s="1882"/>
      <c r="WID32" s="1882"/>
      <c r="WIF32" s="1887"/>
      <c r="WIG32" s="1888"/>
      <c r="WIH32" s="1882"/>
      <c r="WII32" s="1882"/>
      <c r="WIJ32" s="1882"/>
      <c r="WIL32" s="1887"/>
      <c r="WIM32" s="1888"/>
      <c r="WIN32" s="1882"/>
      <c r="WIO32" s="1882"/>
      <c r="WIP32" s="1882"/>
      <c r="WIR32" s="1887"/>
      <c r="WIS32" s="1888"/>
      <c r="WIT32" s="1882"/>
      <c r="WIU32" s="1882"/>
      <c r="WIV32" s="1882"/>
      <c r="WIX32" s="1887"/>
      <c r="WIY32" s="1888"/>
      <c r="WIZ32" s="1882"/>
      <c r="WJA32" s="1882"/>
      <c r="WJB32" s="1882"/>
      <c r="WJD32" s="1887"/>
      <c r="WJE32" s="1888"/>
      <c r="WJF32" s="1882"/>
      <c r="WJG32" s="1882"/>
      <c r="WJH32" s="1882"/>
      <c r="WJJ32" s="1887"/>
      <c r="WJK32" s="1888"/>
      <c r="WJL32" s="1882"/>
      <c r="WJM32" s="1882"/>
      <c r="WJN32" s="1882"/>
      <c r="WJP32" s="1887"/>
      <c r="WJQ32" s="1888"/>
      <c r="WJR32" s="1882"/>
      <c r="WJS32" s="1882"/>
      <c r="WJT32" s="1882"/>
      <c r="WJV32" s="1887"/>
      <c r="WJW32" s="1888"/>
      <c r="WJX32" s="1882"/>
      <c r="WJY32" s="1882"/>
      <c r="WJZ32" s="1882"/>
      <c r="WKB32" s="1887"/>
      <c r="WKC32" s="1888"/>
      <c r="WKD32" s="1882"/>
      <c r="WKE32" s="1882"/>
      <c r="WKF32" s="1882"/>
      <c r="WKH32" s="1887"/>
      <c r="WKI32" s="1888"/>
      <c r="WKJ32" s="1882"/>
      <c r="WKK32" s="1882"/>
      <c r="WKL32" s="1882"/>
      <c r="WKN32" s="1887"/>
      <c r="WKO32" s="1888"/>
      <c r="WKP32" s="1882"/>
      <c r="WKQ32" s="1882"/>
      <c r="WKR32" s="1882"/>
      <c r="WKT32" s="1887"/>
      <c r="WKU32" s="1888"/>
      <c r="WKV32" s="1882"/>
      <c r="WKW32" s="1882"/>
      <c r="WKX32" s="1882"/>
      <c r="WKZ32" s="1887"/>
      <c r="WLA32" s="1888"/>
      <c r="WLB32" s="1882"/>
      <c r="WLC32" s="1882"/>
      <c r="WLD32" s="1882"/>
      <c r="WLF32" s="1887"/>
      <c r="WLG32" s="1888"/>
      <c r="WLH32" s="1882"/>
      <c r="WLI32" s="1882"/>
      <c r="WLJ32" s="1882"/>
      <c r="WLL32" s="1887"/>
      <c r="WLM32" s="1888"/>
      <c r="WLN32" s="1882"/>
      <c r="WLO32" s="1882"/>
      <c r="WLP32" s="1882"/>
      <c r="WLR32" s="1887"/>
      <c r="WLS32" s="1888"/>
      <c r="WLT32" s="1882"/>
      <c r="WLU32" s="1882"/>
      <c r="WLV32" s="1882"/>
      <c r="WLX32" s="1887"/>
      <c r="WLY32" s="1888"/>
      <c r="WLZ32" s="1882"/>
      <c r="WMA32" s="1882"/>
      <c r="WMB32" s="1882"/>
      <c r="WMD32" s="1887"/>
      <c r="WME32" s="1888"/>
      <c r="WMF32" s="1882"/>
      <c r="WMG32" s="1882"/>
      <c r="WMH32" s="1882"/>
      <c r="WMJ32" s="1887"/>
      <c r="WMK32" s="1888"/>
      <c r="WML32" s="1882"/>
      <c r="WMM32" s="1882"/>
      <c r="WMN32" s="1882"/>
      <c r="WMP32" s="1887"/>
      <c r="WMQ32" s="1888"/>
      <c r="WMR32" s="1882"/>
      <c r="WMS32" s="1882"/>
      <c r="WMT32" s="1882"/>
      <c r="WMV32" s="1887"/>
      <c r="WMW32" s="1888"/>
      <c r="WMX32" s="1882"/>
      <c r="WMY32" s="1882"/>
      <c r="WMZ32" s="1882"/>
      <c r="WNB32" s="1887"/>
      <c r="WNC32" s="1888"/>
      <c r="WND32" s="1882"/>
      <c r="WNE32" s="1882"/>
      <c r="WNF32" s="1882"/>
      <c r="WNH32" s="1887"/>
      <c r="WNI32" s="1888"/>
      <c r="WNJ32" s="1882"/>
      <c r="WNK32" s="1882"/>
      <c r="WNL32" s="1882"/>
      <c r="WNN32" s="1887"/>
      <c r="WNO32" s="1888"/>
      <c r="WNP32" s="1882"/>
      <c r="WNQ32" s="1882"/>
      <c r="WNR32" s="1882"/>
      <c r="WNT32" s="1887"/>
      <c r="WNU32" s="1888"/>
      <c r="WNV32" s="1882"/>
      <c r="WNW32" s="1882"/>
      <c r="WNX32" s="1882"/>
      <c r="WNZ32" s="1887"/>
      <c r="WOA32" s="1888"/>
      <c r="WOB32" s="1882"/>
      <c r="WOC32" s="1882"/>
      <c r="WOD32" s="1882"/>
      <c r="WOF32" s="1887"/>
      <c r="WOG32" s="1888"/>
      <c r="WOH32" s="1882"/>
      <c r="WOI32" s="1882"/>
      <c r="WOJ32" s="1882"/>
      <c r="WOL32" s="1887"/>
      <c r="WOM32" s="1888"/>
      <c r="WON32" s="1882"/>
      <c r="WOO32" s="1882"/>
      <c r="WOP32" s="1882"/>
      <c r="WOR32" s="1887"/>
      <c r="WOS32" s="1888"/>
      <c r="WOT32" s="1882"/>
      <c r="WOU32" s="1882"/>
      <c r="WOV32" s="1882"/>
      <c r="WOX32" s="1887"/>
      <c r="WOY32" s="1888"/>
      <c r="WOZ32" s="1882"/>
      <c r="WPA32" s="1882"/>
      <c r="WPB32" s="1882"/>
      <c r="WPD32" s="1887"/>
      <c r="WPE32" s="1888"/>
      <c r="WPF32" s="1882"/>
      <c r="WPG32" s="1882"/>
      <c r="WPH32" s="1882"/>
      <c r="WPJ32" s="1887"/>
      <c r="WPK32" s="1888"/>
      <c r="WPL32" s="1882"/>
      <c r="WPM32" s="1882"/>
      <c r="WPN32" s="1882"/>
      <c r="WPP32" s="1887"/>
      <c r="WPQ32" s="1888"/>
      <c r="WPR32" s="1882"/>
      <c r="WPS32" s="1882"/>
      <c r="WPT32" s="1882"/>
      <c r="WPV32" s="1887"/>
      <c r="WPW32" s="1888"/>
      <c r="WPX32" s="1882"/>
      <c r="WPY32" s="1882"/>
      <c r="WPZ32" s="1882"/>
      <c r="WQB32" s="1887"/>
      <c r="WQC32" s="1888"/>
      <c r="WQD32" s="1882"/>
      <c r="WQE32" s="1882"/>
      <c r="WQF32" s="1882"/>
      <c r="WQH32" s="1887"/>
      <c r="WQI32" s="1888"/>
      <c r="WQJ32" s="1882"/>
      <c r="WQK32" s="1882"/>
      <c r="WQL32" s="1882"/>
      <c r="WQN32" s="1887"/>
      <c r="WQO32" s="1888"/>
      <c r="WQP32" s="1882"/>
      <c r="WQQ32" s="1882"/>
      <c r="WQR32" s="1882"/>
      <c r="WQT32" s="1887"/>
      <c r="WQU32" s="1888"/>
      <c r="WQV32" s="1882"/>
      <c r="WQW32" s="1882"/>
      <c r="WQX32" s="1882"/>
      <c r="WQZ32" s="1887"/>
      <c r="WRA32" s="1888"/>
      <c r="WRB32" s="1882"/>
      <c r="WRC32" s="1882"/>
      <c r="WRD32" s="1882"/>
      <c r="WRF32" s="1887"/>
      <c r="WRG32" s="1888"/>
      <c r="WRH32" s="1882"/>
      <c r="WRI32" s="1882"/>
      <c r="WRJ32" s="1882"/>
      <c r="WRL32" s="1887"/>
      <c r="WRM32" s="1888"/>
      <c r="WRN32" s="1882"/>
      <c r="WRO32" s="1882"/>
      <c r="WRP32" s="1882"/>
      <c r="WRR32" s="1887"/>
      <c r="WRS32" s="1888"/>
      <c r="WRT32" s="1882"/>
      <c r="WRU32" s="1882"/>
      <c r="WRV32" s="1882"/>
      <c r="WRX32" s="1887"/>
      <c r="WRY32" s="1888"/>
      <c r="WRZ32" s="1882"/>
      <c r="WSA32" s="1882"/>
      <c r="WSB32" s="1882"/>
      <c r="WSD32" s="1887"/>
      <c r="WSE32" s="1888"/>
      <c r="WSF32" s="1882"/>
      <c r="WSG32" s="1882"/>
      <c r="WSH32" s="1882"/>
      <c r="WSJ32" s="1887"/>
      <c r="WSK32" s="1888"/>
      <c r="WSL32" s="1882"/>
      <c r="WSM32" s="1882"/>
      <c r="WSN32" s="1882"/>
      <c r="WSP32" s="1887"/>
      <c r="WSQ32" s="1888"/>
      <c r="WSR32" s="1882"/>
      <c r="WSS32" s="1882"/>
      <c r="WST32" s="1882"/>
      <c r="WSV32" s="1887"/>
      <c r="WSW32" s="1888"/>
      <c r="WSX32" s="1882"/>
      <c r="WSY32" s="1882"/>
      <c r="WSZ32" s="1882"/>
      <c r="WTB32" s="1887"/>
      <c r="WTC32" s="1888"/>
      <c r="WTD32" s="1882"/>
      <c r="WTE32" s="1882"/>
      <c r="WTF32" s="1882"/>
      <c r="WTH32" s="1887"/>
      <c r="WTI32" s="1888"/>
      <c r="WTJ32" s="1882"/>
      <c r="WTK32" s="1882"/>
      <c r="WTL32" s="1882"/>
      <c r="WTN32" s="1887"/>
      <c r="WTO32" s="1888"/>
      <c r="WTP32" s="1882"/>
      <c r="WTQ32" s="1882"/>
      <c r="WTR32" s="1882"/>
      <c r="WTT32" s="1887"/>
      <c r="WTU32" s="1888"/>
      <c r="WTV32" s="1882"/>
      <c r="WTW32" s="1882"/>
      <c r="WTX32" s="1882"/>
      <c r="WTZ32" s="1887"/>
      <c r="WUA32" s="1888"/>
      <c r="WUB32" s="1882"/>
      <c r="WUC32" s="1882"/>
      <c r="WUD32" s="1882"/>
      <c r="WUF32" s="1887"/>
      <c r="WUG32" s="1888"/>
      <c r="WUH32" s="1882"/>
      <c r="WUI32" s="1882"/>
      <c r="WUJ32" s="1882"/>
      <c r="WUL32" s="1887"/>
      <c r="WUM32" s="1888"/>
      <c r="WUN32" s="1882"/>
      <c r="WUO32" s="1882"/>
      <c r="WUP32" s="1882"/>
      <c r="WUR32" s="1887"/>
      <c r="WUS32" s="1888"/>
      <c r="WUT32" s="1882"/>
      <c r="WUU32" s="1882"/>
      <c r="WUV32" s="1882"/>
      <c r="WUX32" s="1887"/>
      <c r="WUY32" s="1888"/>
      <c r="WUZ32" s="1882"/>
      <c r="WVA32" s="1882"/>
      <c r="WVB32" s="1882"/>
      <c r="WVD32" s="1887"/>
      <c r="WVE32" s="1888"/>
      <c r="WVF32" s="1882"/>
      <c r="WVG32" s="1882"/>
      <c r="WVH32" s="1882"/>
      <c r="WVJ32" s="1887"/>
      <c r="WVK32" s="1888"/>
      <c r="WVL32" s="1882"/>
      <c r="WVM32" s="1882"/>
      <c r="WVN32" s="1882"/>
      <c r="WVP32" s="1887"/>
      <c r="WVQ32" s="1888"/>
      <c r="WVR32" s="1882"/>
      <c r="WVS32" s="1882"/>
      <c r="WVT32" s="1882"/>
      <c r="WVV32" s="1887"/>
      <c r="WVW32" s="1888"/>
      <c r="WVX32" s="1882"/>
      <c r="WVY32" s="1882"/>
      <c r="WVZ32" s="1882"/>
      <c r="WWB32" s="1887"/>
      <c r="WWC32" s="1888"/>
      <c r="WWD32" s="1882"/>
      <c r="WWE32" s="1882"/>
      <c r="WWF32" s="1882"/>
      <c r="WWH32" s="1887"/>
      <c r="WWI32" s="1888"/>
      <c r="WWJ32" s="1882"/>
      <c r="WWK32" s="1882"/>
      <c r="WWL32" s="1882"/>
      <c r="WWN32" s="1887"/>
      <c r="WWO32" s="1888"/>
      <c r="WWP32" s="1882"/>
      <c r="WWQ32" s="1882"/>
      <c r="WWR32" s="1882"/>
      <c r="WWT32" s="1887"/>
      <c r="WWU32" s="1888"/>
      <c r="WWV32" s="1882"/>
      <c r="WWW32" s="1882"/>
      <c r="WWX32" s="1882"/>
      <c r="WWZ32" s="1887"/>
      <c r="WXA32" s="1888"/>
      <c r="WXB32" s="1882"/>
      <c r="WXC32" s="1882"/>
      <c r="WXD32" s="1882"/>
      <c r="WXF32" s="1887"/>
      <c r="WXG32" s="1888"/>
      <c r="WXH32" s="1882"/>
      <c r="WXI32" s="1882"/>
      <c r="WXJ32" s="1882"/>
      <c r="WXL32" s="1887"/>
      <c r="WXM32" s="1888"/>
      <c r="WXN32" s="1882"/>
      <c r="WXO32" s="1882"/>
      <c r="WXP32" s="1882"/>
      <c r="WXR32" s="1887"/>
      <c r="WXS32" s="1888"/>
      <c r="WXT32" s="1882"/>
      <c r="WXU32" s="1882"/>
      <c r="WXV32" s="1882"/>
      <c r="WXX32" s="1887"/>
      <c r="WXY32" s="1888"/>
      <c r="WXZ32" s="1882"/>
      <c r="WYA32" s="1882"/>
      <c r="WYB32" s="1882"/>
      <c r="WYD32" s="1887"/>
      <c r="WYE32" s="1888"/>
      <c r="WYF32" s="1882"/>
      <c r="WYG32" s="1882"/>
      <c r="WYH32" s="1882"/>
      <c r="WYJ32" s="1887"/>
      <c r="WYK32" s="1888"/>
      <c r="WYL32" s="1882"/>
      <c r="WYM32" s="1882"/>
      <c r="WYN32" s="1882"/>
      <c r="WYP32" s="1887"/>
      <c r="WYQ32" s="1888"/>
      <c r="WYR32" s="1882"/>
      <c r="WYS32" s="1882"/>
      <c r="WYT32" s="1882"/>
      <c r="WYV32" s="1887"/>
      <c r="WYW32" s="1888"/>
      <c r="WYX32" s="1882"/>
      <c r="WYY32" s="1882"/>
      <c r="WYZ32" s="1882"/>
      <c r="WZB32" s="1887"/>
      <c r="WZC32" s="1888"/>
      <c r="WZD32" s="1882"/>
      <c r="WZE32" s="1882"/>
      <c r="WZF32" s="1882"/>
      <c r="WZH32" s="1887"/>
      <c r="WZI32" s="1888"/>
      <c r="WZJ32" s="1882"/>
      <c r="WZK32" s="1882"/>
      <c r="WZL32" s="1882"/>
      <c r="WZN32" s="1887"/>
      <c r="WZO32" s="1888"/>
      <c r="WZP32" s="1882"/>
      <c r="WZQ32" s="1882"/>
      <c r="WZR32" s="1882"/>
      <c r="WZT32" s="1887"/>
      <c r="WZU32" s="1888"/>
      <c r="WZV32" s="1882"/>
      <c r="WZW32" s="1882"/>
      <c r="WZX32" s="1882"/>
      <c r="WZZ32" s="1887"/>
      <c r="XAA32" s="1888"/>
      <c r="XAB32" s="1882"/>
      <c r="XAC32" s="1882"/>
      <c r="XAD32" s="1882"/>
      <c r="XAF32" s="1887"/>
      <c r="XAG32" s="1888"/>
      <c r="XAH32" s="1882"/>
      <c r="XAI32" s="1882"/>
      <c r="XAJ32" s="1882"/>
      <c r="XAL32" s="1887"/>
      <c r="XAM32" s="1888"/>
      <c r="XAN32" s="1882"/>
      <c r="XAO32" s="1882"/>
      <c r="XAP32" s="1882"/>
      <c r="XAR32" s="1887"/>
      <c r="XAS32" s="1888"/>
      <c r="XAT32" s="1882"/>
      <c r="XAU32" s="1882"/>
      <c r="XAV32" s="1882"/>
      <c r="XAX32" s="1887"/>
      <c r="XAY32" s="1888"/>
      <c r="XAZ32" s="1882"/>
      <c r="XBA32" s="1882"/>
      <c r="XBB32" s="1882"/>
      <c r="XBD32" s="1887"/>
      <c r="XBE32" s="1888"/>
      <c r="XBF32" s="1882"/>
      <c r="XBG32" s="1882"/>
      <c r="XBH32" s="1882"/>
      <c r="XBJ32" s="1887"/>
      <c r="XBK32" s="1888"/>
      <c r="XBL32" s="1882"/>
      <c r="XBM32" s="1882"/>
      <c r="XBN32" s="1882"/>
      <c r="XBP32" s="1887"/>
      <c r="XBQ32" s="1888"/>
      <c r="XBR32" s="1882"/>
      <c r="XBS32" s="1882"/>
      <c r="XBT32" s="1882"/>
      <c r="XBV32" s="1887"/>
      <c r="XBW32" s="1888"/>
      <c r="XBX32" s="1882"/>
      <c r="XBY32" s="1882"/>
      <c r="XBZ32" s="1882"/>
      <c r="XCB32" s="1887"/>
      <c r="XCC32" s="1888"/>
      <c r="XCD32" s="1882"/>
      <c r="XCE32" s="1882"/>
      <c r="XCF32" s="1882"/>
      <c r="XCH32" s="1887"/>
      <c r="XCI32" s="1888"/>
      <c r="XCJ32" s="1882"/>
      <c r="XCK32" s="1882"/>
      <c r="XCL32" s="1882"/>
      <c r="XCN32" s="1887"/>
      <c r="XCO32" s="1888"/>
      <c r="XCP32" s="1882"/>
      <c r="XCQ32" s="1882"/>
      <c r="XCR32" s="1882"/>
      <c r="XCT32" s="1887"/>
      <c r="XCU32" s="1888"/>
      <c r="XCV32" s="1882"/>
      <c r="XCW32" s="1882"/>
      <c r="XCX32" s="1882"/>
      <c r="XCZ32" s="1887"/>
      <c r="XDA32" s="1888"/>
      <c r="XDB32" s="1882"/>
      <c r="XDC32" s="1882"/>
      <c r="XDD32" s="1882"/>
      <c r="XDF32" s="1887"/>
      <c r="XDG32" s="1888"/>
      <c r="XDH32" s="1882"/>
      <c r="XDI32" s="1882"/>
      <c r="XDJ32" s="1882"/>
      <c r="XDL32" s="1887"/>
      <c r="XDM32" s="1888"/>
      <c r="XDN32" s="1882"/>
      <c r="XDO32" s="1882"/>
      <c r="XDP32" s="1882"/>
      <c r="XDR32" s="1887"/>
      <c r="XDS32" s="1888"/>
      <c r="XDT32" s="1882"/>
      <c r="XDU32" s="1882"/>
      <c r="XDV32" s="1882"/>
      <c r="XDX32" s="1887"/>
      <c r="XDY32" s="1888"/>
      <c r="XDZ32" s="1882"/>
      <c r="XEA32" s="1882"/>
      <c r="XEB32" s="1882"/>
      <c r="XED32" s="1887"/>
      <c r="XEE32" s="1888"/>
      <c r="XEF32" s="1882"/>
      <c r="XEG32" s="1882"/>
      <c r="XEH32" s="1882"/>
      <c r="XEJ32" s="1887"/>
      <c r="XEK32" s="1888"/>
      <c r="XEL32" s="1882"/>
      <c r="XEM32" s="1882"/>
      <c r="XEN32" s="1882"/>
      <c r="XEP32" s="1887"/>
      <c r="XEQ32" s="1888"/>
      <c r="XER32" s="1882"/>
      <c r="XES32" s="1882"/>
      <c r="XET32" s="1882"/>
      <c r="XEV32" s="1887"/>
      <c r="XEW32" s="1888"/>
      <c r="XEX32" s="1882"/>
      <c r="XEY32" s="1882"/>
      <c r="XEZ32" s="1882"/>
      <c r="XFB32" s="1887"/>
      <c r="XFC32" s="1888"/>
      <c r="XFD32" s="1882"/>
    </row>
    <row r="33" spans="1:3072 3074:6144 6146:9216 9218:12288 12290:15360 15362:16384" ht="12.75" customHeight="1">
      <c r="D33" s="1882"/>
      <c r="E33" s="1882"/>
      <c r="F33" s="1882"/>
      <c r="H33" s="1887"/>
      <c r="I33" s="1888"/>
      <c r="J33" s="1882"/>
      <c r="K33" s="1882"/>
      <c r="L33" s="1882"/>
      <c r="N33" s="1887"/>
      <c r="O33" s="1888"/>
      <c r="P33" s="1882"/>
      <c r="Q33" s="1882"/>
      <c r="R33" s="1882"/>
      <c r="T33" s="1887"/>
      <c r="U33" s="1888"/>
      <c r="V33" s="1882"/>
      <c r="W33" s="1882"/>
      <c r="X33" s="1882"/>
      <c r="Z33" s="1887"/>
      <c r="AA33" s="1888"/>
      <c r="AB33" s="1882"/>
      <c r="AC33" s="1882"/>
      <c r="AD33" s="1882"/>
      <c r="AF33" s="1887"/>
      <c r="AG33" s="1888"/>
      <c r="AH33" s="1882"/>
      <c r="AI33" s="1882"/>
      <c r="AJ33" s="1882"/>
      <c r="AL33" s="1887"/>
      <c r="AM33" s="1888"/>
      <c r="AN33" s="1882"/>
      <c r="AO33" s="1882"/>
      <c r="AP33" s="1882"/>
      <c r="AR33" s="1887"/>
      <c r="AS33" s="1888"/>
      <c r="AT33" s="1882"/>
      <c r="AU33" s="1882"/>
      <c r="AV33" s="1882"/>
      <c r="AX33" s="1887"/>
      <c r="AY33" s="1888"/>
      <c r="AZ33" s="1882"/>
      <c r="BA33" s="1882"/>
      <c r="BB33" s="1882"/>
      <c r="BD33" s="1887"/>
      <c r="BE33" s="1888"/>
      <c r="BF33" s="1882"/>
      <c r="BG33" s="1882"/>
      <c r="BH33" s="1882"/>
      <c r="BJ33" s="1887"/>
      <c r="BK33" s="1888"/>
      <c r="BL33" s="1882"/>
      <c r="BM33" s="1882"/>
      <c r="BN33" s="1882"/>
      <c r="BP33" s="1887"/>
      <c r="BQ33" s="1888"/>
      <c r="BR33" s="1882"/>
      <c r="BS33" s="1882"/>
      <c r="BT33" s="1882"/>
      <c r="BV33" s="1887"/>
      <c r="BW33" s="1888"/>
      <c r="BX33" s="1882"/>
      <c r="BY33" s="1882"/>
      <c r="BZ33" s="1882"/>
      <c r="CB33" s="1887"/>
      <c r="CC33" s="1888"/>
      <c r="CD33" s="1882"/>
      <c r="CE33" s="1882"/>
      <c r="CF33" s="1882"/>
      <c r="CH33" s="1887"/>
      <c r="CI33" s="1888"/>
      <c r="CJ33" s="1882"/>
      <c r="CK33" s="1882"/>
      <c r="CL33" s="1882"/>
      <c r="CN33" s="1887"/>
      <c r="CO33" s="1888"/>
      <c r="CP33" s="1882"/>
      <c r="CQ33" s="1882"/>
      <c r="CR33" s="1882"/>
      <c r="CT33" s="1887"/>
      <c r="CU33" s="1888"/>
      <c r="CV33" s="1882"/>
      <c r="CW33" s="1882"/>
      <c r="CX33" s="1882"/>
      <c r="CZ33" s="1887"/>
      <c r="DA33" s="1888"/>
      <c r="DB33" s="1882"/>
      <c r="DC33" s="1882"/>
      <c r="DD33" s="1882"/>
      <c r="DF33" s="1887"/>
      <c r="DG33" s="1888"/>
      <c r="DH33" s="1882"/>
      <c r="DI33" s="1882"/>
      <c r="DJ33" s="1882"/>
      <c r="DL33" s="1887"/>
      <c r="DM33" s="1888"/>
      <c r="DN33" s="1882"/>
      <c r="DO33" s="1882"/>
      <c r="DP33" s="1882"/>
      <c r="DR33" s="1887"/>
      <c r="DS33" s="1888"/>
      <c r="DT33" s="1882"/>
      <c r="DU33" s="1882"/>
      <c r="DV33" s="1882"/>
      <c r="DX33" s="1887"/>
      <c r="DY33" s="1888"/>
      <c r="DZ33" s="1882"/>
      <c r="EA33" s="1882"/>
      <c r="EB33" s="1882"/>
      <c r="ED33" s="1887"/>
      <c r="EE33" s="1888"/>
      <c r="EF33" s="1882"/>
      <c r="EG33" s="1882"/>
      <c r="EH33" s="1882"/>
      <c r="EJ33" s="1887"/>
      <c r="EK33" s="1888"/>
      <c r="EL33" s="1882"/>
      <c r="EM33" s="1882"/>
      <c r="EN33" s="1882"/>
      <c r="EP33" s="1887"/>
      <c r="EQ33" s="1888"/>
      <c r="ER33" s="1882"/>
      <c r="ES33" s="1882"/>
      <c r="ET33" s="1882"/>
      <c r="EV33" s="1887"/>
      <c r="EW33" s="1888"/>
      <c r="EX33" s="1882"/>
      <c r="EY33" s="1882"/>
      <c r="EZ33" s="1882"/>
      <c r="FB33" s="1887"/>
      <c r="FC33" s="1888"/>
      <c r="FD33" s="1882"/>
      <c r="FE33" s="1882"/>
      <c r="FF33" s="1882"/>
      <c r="FH33" s="1887"/>
      <c r="FI33" s="1888"/>
      <c r="FJ33" s="1882"/>
      <c r="FK33" s="1882"/>
      <c r="FL33" s="1882"/>
      <c r="FN33" s="1887"/>
      <c r="FO33" s="1888"/>
      <c r="FP33" s="1882"/>
      <c r="FQ33" s="1882"/>
      <c r="FR33" s="1882"/>
      <c r="FT33" s="1887"/>
      <c r="FU33" s="1888"/>
      <c r="FV33" s="1882"/>
      <c r="FW33" s="1882"/>
      <c r="FX33" s="1882"/>
      <c r="FZ33" s="1887"/>
      <c r="GA33" s="1888"/>
      <c r="GB33" s="1882"/>
      <c r="GC33" s="1882"/>
      <c r="GD33" s="1882"/>
      <c r="GF33" s="1887"/>
      <c r="GG33" s="1888"/>
      <c r="GH33" s="1882"/>
      <c r="GI33" s="1882"/>
      <c r="GJ33" s="1882"/>
      <c r="GL33" s="1887"/>
      <c r="GM33" s="1888"/>
      <c r="GN33" s="1882"/>
      <c r="GO33" s="1882"/>
      <c r="GP33" s="1882"/>
      <c r="GR33" s="1887"/>
      <c r="GS33" s="1888"/>
      <c r="GT33" s="1882"/>
      <c r="GU33" s="1882"/>
      <c r="GV33" s="1882"/>
      <c r="GX33" s="1887"/>
      <c r="GY33" s="1888"/>
      <c r="GZ33" s="1882"/>
      <c r="HA33" s="1882"/>
      <c r="HB33" s="1882"/>
      <c r="HD33" s="1887"/>
      <c r="HE33" s="1888"/>
      <c r="HF33" s="1882"/>
      <c r="HG33" s="1882"/>
      <c r="HH33" s="1882"/>
      <c r="HJ33" s="1887"/>
      <c r="HK33" s="1888"/>
      <c r="HL33" s="1882"/>
      <c r="HM33" s="1882"/>
      <c r="HN33" s="1882"/>
      <c r="HP33" s="1887"/>
      <c r="HQ33" s="1888"/>
      <c r="HR33" s="1882"/>
      <c r="HS33" s="1882"/>
      <c r="HT33" s="1882"/>
      <c r="HV33" s="1887"/>
      <c r="HW33" s="1888"/>
      <c r="HX33" s="1882"/>
      <c r="HY33" s="1882"/>
      <c r="HZ33" s="1882"/>
      <c r="IB33" s="1887"/>
      <c r="IC33" s="1888"/>
      <c r="ID33" s="1882"/>
      <c r="IE33" s="1882"/>
      <c r="IF33" s="1882"/>
      <c r="IH33" s="1887"/>
      <c r="II33" s="1888"/>
      <c r="IJ33" s="1882"/>
      <c r="IK33" s="1882"/>
      <c r="IL33" s="1882"/>
      <c r="IN33" s="1887"/>
      <c r="IO33" s="1888"/>
      <c r="IP33" s="1882"/>
      <c r="IQ33" s="1882"/>
      <c r="IR33" s="1882"/>
      <c r="IT33" s="1887"/>
      <c r="IU33" s="1888"/>
      <c r="IV33" s="1882"/>
      <c r="IW33" s="1882"/>
      <c r="IX33" s="1882"/>
      <c r="IZ33" s="1887"/>
      <c r="JA33" s="1888"/>
      <c r="JB33" s="1882"/>
      <c r="JC33" s="1882"/>
      <c r="JD33" s="1882"/>
      <c r="JF33" s="1887"/>
      <c r="JG33" s="1888"/>
      <c r="JH33" s="1882"/>
      <c r="JI33" s="1882"/>
      <c r="JJ33" s="1882"/>
      <c r="JL33" s="1887"/>
      <c r="JM33" s="1888"/>
      <c r="JN33" s="1882"/>
      <c r="JO33" s="1882"/>
      <c r="JP33" s="1882"/>
      <c r="JR33" s="1887"/>
      <c r="JS33" s="1888"/>
      <c r="JT33" s="1882"/>
      <c r="JU33" s="1882"/>
      <c r="JV33" s="1882"/>
      <c r="JX33" s="1887"/>
      <c r="JY33" s="1888"/>
      <c r="JZ33" s="1882"/>
      <c r="KA33" s="1882"/>
      <c r="KB33" s="1882"/>
      <c r="KD33" s="1887"/>
      <c r="KE33" s="1888"/>
      <c r="KF33" s="1882"/>
      <c r="KG33" s="1882"/>
      <c r="KH33" s="1882"/>
      <c r="KJ33" s="1887"/>
      <c r="KK33" s="1888"/>
      <c r="KL33" s="1882"/>
      <c r="KM33" s="1882"/>
      <c r="KN33" s="1882"/>
      <c r="KP33" s="1887"/>
      <c r="KQ33" s="1888"/>
      <c r="KR33" s="1882"/>
      <c r="KS33" s="1882"/>
      <c r="KT33" s="1882"/>
      <c r="KV33" s="1887"/>
      <c r="KW33" s="1888"/>
      <c r="KX33" s="1882"/>
      <c r="KY33" s="1882"/>
      <c r="KZ33" s="1882"/>
      <c r="LB33" s="1887"/>
      <c r="LC33" s="1888"/>
      <c r="LD33" s="1882"/>
      <c r="LE33" s="1882"/>
      <c r="LF33" s="1882"/>
      <c r="LH33" s="1887"/>
      <c r="LI33" s="1888"/>
      <c r="LJ33" s="1882"/>
      <c r="LK33" s="1882"/>
      <c r="LL33" s="1882"/>
      <c r="LN33" s="1887"/>
      <c r="LO33" s="1888"/>
      <c r="LP33" s="1882"/>
      <c r="LQ33" s="1882"/>
      <c r="LR33" s="1882"/>
      <c r="LT33" s="1887"/>
      <c r="LU33" s="1888"/>
      <c r="LV33" s="1882"/>
      <c r="LW33" s="1882"/>
      <c r="LX33" s="1882"/>
      <c r="LZ33" s="1887"/>
      <c r="MA33" s="1888"/>
      <c r="MB33" s="1882"/>
      <c r="MC33" s="1882"/>
      <c r="MD33" s="1882"/>
      <c r="MF33" s="1887"/>
      <c r="MG33" s="1888"/>
      <c r="MH33" s="1882"/>
      <c r="MI33" s="1882"/>
      <c r="MJ33" s="1882"/>
      <c r="ML33" s="1887"/>
      <c r="MM33" s="1888"/>
      <c r="MN33" s="1882"/>
      <c r="MO33" s="1882"/>
      <c r="MP33" s="1882"/>
      <c r="MR33" s="1887"/>
      <c r="MS33" s="1888"/>
      <c r="MT33" s="1882"/>
      <c r="MU33" s="1882"/>
      <c r="MV33" s="1882"/>
      <c r="MX33" s="1887"/>
      <c r="MY33" s="1888"/>
      <c r="MZ33" s="1882"/>
      <c r="NA33" s="1882"/>
      <c r="NB33" s="1882"/>
      <c r="ND33" s="1887"/>
      <c r="NE33" s="1888"/>
      <c r="NF33" s="1882"/>
      <c r="NG33" s="1882"/>
      <c r="NH33" s="1882"/>
      <c r="NJ33" s="1887"/>
      <c r="NK33" s="1888"/>
      <c r="NL33" s="1882"/>
      <c r="NM33" s="1882"/>
      <c r="NN33" s="1882"/>
      <c r="NP33" s="1887"/>
      <c r="NQ33" s="1888"/>
      <c r="NR33" s="1882"/>
      <c r="NS33" s="1882"/>
      <c r="NT33" s="1882"/>
      <c r="NV33" s="1887"/>
      <c r="NW33" s="1888"/>
      <c r="NX33" s="1882"/>
      <c r="NY33" s="1882"/>
      <c r="NZ33" s="1882"/>
      <c r="OB33" s="1887"/>
      <c r="OC33" s="1888"/>
      <c r="OD33" s="1882"/>
      <c r="OE33" s="1882"/>
      <c r="OF33" s="1882"/>
      <c r="OH33" s="1887"/>
      <c r="OI33" s="1888"/>
      <c r="OJ33" s="1882"/>
      <c r="OK33" s="1882"/>
      <c r="OL33" s="1882"/>
      <c r="ON33" s="1887"/>
      <c r="OO33" s="1888"/>
      <c r="OP33" s="1882"/>
      <c r="OQ33" s="1882"/>
      <c r="OR33" s="1882"/>
      <c r="OT33" s="1887"/>
      <c r="OU33" s="1888"/>
      <c r="OV33" s="1882"/>
      <c r="OW33" s="1882"/>
      <c r="OX33" s="1882"/>
      <c r="OZ33" s="1887"/>
      <c r="PA33" s="1888"/>
      <c r="PB33" s="1882"/>
      <c r="PC33" s="1882"/>
      <c r="PD33" s="1882"/>
      <c r="PF33" s="1887"/>
      <c r="PG33" s="1888"/>
      <c r="PH33" s="1882"/>
      <c r="PI33" s="1882"/>
      <c r="PJ33" s="1882"/>
      <c r="PL33" s="1887"/>
      <c r="PM33" s="1888"/>
      <c r="PN33" s="1882"/>
      <c r="PO33" s="1882"/>
      <c r="PP33" s="1882"/>
      <c r="PR33" s="1887"/>
      <c r="PS33" s="1888"/>
      <c r="PT33" s="1882"/>
      <c r="PU33" s="1882"/>
      <c r="PV33" s="1882"/>
      <c r="PX33" s="1887"/>
      <c r="PY33" s="1888"/>
      <c r="PZ33" s="1882"/>
      <c r="QA33" s="1882"/>
      <c r="QB33" s="1882"/>
      <c r="QD33" s="1887"/>
      <c r="QE33" s="1888"/>
      <c r="QF33" s="1882"/>
      <c r="QG33" s="1882"/>
      <c r="QH33" s="1882"/>
      <c r="QJ33" s="1887"/>
      <c r="QK33" s="1888"/>
      <c r="QL33" s="1882"/>
      <c r="QM33" s="1882"/>
      <c r="QN33" s="1882"/>
      <c r="QP33" s="1887"/>
      <c r="QQ33" s="1888"/>
      <c r="QR33" s="1882"/>
      <c r="QS33" s="1882"/>
      <c r="QT33" s="1882"/>
      <c r="QV33" s="1887"/>
      <c r="QW33" s="1888"/>
      <c r="QX33" s="1882"/>
      <c r="QY33" s="1882"/>
      <c r="QZ33" s="1882"/>
      <c r="RB33" s="1887"/>
      <c r="RC33" s="1888"/>
      <c r="RD33" s="1882"/>
      <c r="RE33" s="1882"/>
      <c r="RF33" s="1882"/>
      <c r="RH33" s="1887"/>
      <c r="RI33" s="1888"/>
      <c r="RJ33" s="1882"/>
      <c r="RK33" s="1882"/>
      <c r="RL33" s="1882"/>
      <c r="RN33" s="1887"/>
      <c r="RO33" s="1888"/>
      <c r="RP33" s="1882"/>
      <c r="RQ33" s="1882"/>
      <c r="RR33" s="1882"/>
      <c r="RT33" s="1887"/>
      <c r="RU33" s="1888"/>
      <c r="RV33" s="1882"/>
      <c r="RW33" s="1882"/>
      <c r="RX33" s="1882"/>
      <c r="RZ33" s="1887"/>
      <c r="SA33" s="1888"/>
      <c r="SB33" s="1882"/>
      <c r="SC33" s="1882"/>
      <c r="SD33" s="1882"/>
      <c r="SF33" s="1887"/>
      <c r="SG33" s="1888"/>
      <c r="SH33" s="1882"/>
      <c r="SI33" s="1882"/>
      <c r="SJ33" s="1882"/>
      <c r="SL33" s="1887"/>
      <c r="SM33" s="1888"/>
      <c r="SN33" s="1882"/>
      <c r="SO33" s="1882"/>
      <c r="SP33" s="1882"/>
      <c r="SR33" s="1887"/>
      <c r="SS33" s="1888"/>
      <c r="ST33" s="1882"/>
      <c r="SU33" s="1882"/>
      <c r="SV33" s="1882"/>
      <c r="SX33" s="1887"/>
      <c r="SY33" s="1888"/>
      <c r="SZ33" s="1882"/>
      <c r="TA33" s="1882"/>
      <c r="TB33" s="1882"/>
      <c r="TD33" s="1887"/>
      <c r="TE33" s="1888"/>
      <c r="TF33" s="1882"/>
      <c r="TG33" s="1882"/>
      <c r="TH33" s="1882"/>
      <c r="TJ33" s="1887"/>
      <c r="TK33" s="1888"/>
      <c r="TL33" s="1882"/>
      <c r="TM33" s="1882"/>
      <c r="TN33" s="1882"/>
      <c r="TP33" s="1887"/>
      <c r="TQ33" s="1888"/>
      <c r="TR33" s="1882"/>
      <c r="TS33" s="1882"/>
      <c r="TT33" s="1882"/>
      <c r="TV33" s="1887"/>
      <c r="TW33" s="1888"/>
      <c r="TX33" s="1882"/>
      <c r="TY33" s="1882"/>
      <c r="TZ33" s="1882"/>
      <c r="UB33" s="1887"/>
      <c r="UC33" s="1888"/>
      <c r="UD33" s="1882"/>
      <c r="UE33" s="1882"/>
      <c r="UF33" s="1882"/>
      <c r="UH33" s="1887"/>
      <c r="UI33" s="1888"/>
      <c r="UJ33" s="1882"/>
      <c r="UK33" s="1882"/>
      <c r="UL33" s="1882"/>
      <c r="UN33" s="1887"/>
      <c r="UO33" s="1888"/>
      <c r="UP33" s="1882"/>
      <c r="UQ33" s="1882"/>
      <c r="UR33" s="1882"/>
      <c r="UT33" s="1887"/>
      <c r="UU33" s="1888"/>
      <c r="UV33" s="1882"/>
      <c r="UW33" s="1882"/>
      <c r="UX33" s="1882"/>
      <c r="UZ33" s="1887"/>
      <c r="VA33" s="1888"/>
      <c r="VB33" s="1882"/>
      <c r="VC33" s="1882"/>
      <c r="VD33" s="1882"/>
      <c r="VF33" s="1887"/>
      <c r="VG33" s="1888"/>
      <c r="VH33" s="1882"/>
      <c r="VI33" s="1882"/>
      <c r="VJ33" s="1882"/>
      <c r="VL33" s="1887"/>
      <c r="VM33" s="1888"/>
      <c r="VN33" s="1882"/>
      <c r="VO33" s="1882"/>
      <c r="VP33" s="1882"/>
      <c r="VR33" s="1887"/>
      <c r="VS33" s="1888"/>
      <c r="VT33" s="1882"/>
      <c r="VU33" s="1882"/>
      <c r="VV33" s="1882"/>
      <c r="VX33" s="1887"/>
      <c r="VY33" s="1888"/>
      <c r="VZ33" s="1882"/>
      <c r="WA33" s="1882"/>
      <c r="WB33" s="1882"/>
      <c r="WD33" s="1887"/>
      <c r="WE33" s="1888"/>
      <c r="WF33" s="1882"/>
      <c r="WG33" s="1882"/>
      <c r="WH33" s="1882"/>
      <c r="WJ33" s="1887"/>
      <c r="WK33" s="1888"/>
      <c r="WL33" s="1882"/>
      <c r="WM33" s="1882"/>
      <c r="WN33" s="1882"/>
      <c r="WP33" s="1887"/>
      <c r="WQ33" s="1888"/>
      <c r="WR33" s="1882"/>
      <c r="WS33" s="1882"/>
      <c r="WT33" s="1882"/>
      <c r="WV33" s="1887"/>
      <c r="WW33" s="1888"/>
      <c r="WX33" s="1882"/>
      <c r="WY33" s="1882"/>
      <c r="WZ33" s="1882"/>
      <c r="XB33" s="1887"/>
      <c r="XC33" s="1888"/>
      <c r="XD33" s="1882"/>
      <c r="XE33" s="1882"/>
      <c r="XF33" s="1882"/>
      <c r="XH33" s="1887"/>
      <c r="XI33" s="1888"/>
      <c r="XJ33" s="1882"/>
      <c r="XK33" s="1882"/>
      <c r="XL33" s="1882"/>
      <c r="XN33" s="1887"/>
      <c r="XO33" s="1888"/>
      <c r="XP33" s="1882"/>
      <c r="XQ33" s="1882"/>
      <c r="XR33" s="1882"/>
      <c r="XT33" s="1887"/>
      <c r="XU33" s="1888"/>
      <c r="XV33" s="1882"/>
      <c r="XW33" s="1882"/>
      <c r="XX33" s="1882"/>
      <c r="XZ33" s="1887"/>
      <c r="YA33" s="1888"/>
      <c r="YB33" s="1882"/>
      <c r="YC33" s="1882"/>
      <c r="YD33" s="1882"/>
      <c r="YF33" s="1887"/>
      <c r="YG33" s="1888"/>
      <c r="YH33" s="1882"/>
      <c r="YI33" s="1882"/>
      <c r="YJ33" s="1882"/>
      <c r="YL33" s="1887"/>
      <c r="YM33" s="1888"/>
      <c r="YN33" s="1882"/>
      <c r="YO33" s="1882"/>
      <c r="YP33" s="1882"/>
      <c r="YR33" s="1887"/>
      <c r="YS33" s="1888"/>
      <c r="YT33" s="1882"/>
      <c r="YU33" s="1882"/>
      <c r="YV33" s="1882"/>
      <c r="YX33" s="1887"/>
      <c r="YY33" s="1888"/>
      <c r="YZ33" s="1882"/>
      <c r="ZA33" s="1882"/>
      <c r="ZB33" s="1882"/>
      <c r="ZD33" s="1887"/>
      <c r="ZE33" s="1888"/>
      <c r="ZF33" s="1882"/>
      <c r="ZG33" s="1882"/>
      <c r="ZH33" s="1882"/>
      <c r="ZJ33" s="1887"/>
      <c r="ZK33" s="1888"/>
      <c r="ZL33" s="1882"/>
      <c r="ZM33" s="1882"/>
      <c r="ZN33" s="1882"/>
      <c r="ZP33" s="1887"/>
      <c r="ZQ33" s="1888"/>
      <c r="ZR33" s="1882"/>
      <c r="ZS33" s="1882"/>
      <c r="ZT33" s="1882"/>
      <c r="ZV33" s="1887"/>
      <c r="ZW33" s="1888"/>
      <c r="ZX33" s="1882"/>
      <c r="ZY33" s="1882"/>
      <c r="ZZ33" s="1882"/>
      <c r="AAB33" s="1887"/>
      <c r="AAC33" s="1888"/>
      <c r="AAD33" s="1882"/>
      <c r="AAE33" s="1882"/>
      <c r="AAF33" s="1882"/>
      <c r="AAH33" s="1887"/>
      <c r="AAI33" s="1888"/>
      <c r="AAJ33" s="1882"/>
      <c r="AAK33" s="1882"/>
      <c r="AAL33" s="1882"/>
      <c r="AAN33" s="1887"/>
      <c r="AAO33" s="1888"/>
      <c r="AAP33" s="1882"/>
      <c r="AAQ33" s="1882"/>
      <c r="AAR33" s="1882"/>
      <c r="AAT33" s="1887"/>
      <c r="AAU33" s="1888"/>
      <c r="AAV33" s="1882"/>
      <c r="AAW33" s="1882"/>
      <c r="AAX33" s="1882"/>
      <c r="AAZ33" s="1887"/>
      <c r="ABA33" s="1888"/>
      <c r="ABB33" s="1882"/>
      <c r="ABC33" s="1882"/>
      <c r="ABD33" s="1882"/>
      <c r="ABF33" s="1887"/>
      <c r="ABG33" s="1888"/>
      <c r="ABH33" s="1882"/>
      <c r="ABI33" s="1882"/>
      <c r="ABJ33" s="1882"/>
      <c r="ABL33" s="1887"/>
      <c r="ABM33" s="1888"/>
      <c r="ABN33" s="1882"/>
      <c r="ABO33" s="1882"/>
      <c r="ABP33" s="1882"/>
      <c r="ABR33" s="1887"/>
      <c r="ABS33" s="1888"/>
      <c r="ABT33" s="1882"/>
      <c r="ABU33" s="1882"/>
      <c r="ABV33" s="1882"/>
      <c r="ABX33" s="1887"/>
      <c r="ABY33" s="1888"/>
      <c r="ABZ33" s="1882"/>
      <c r="ACA33" s="1882"/>
      <c r="ACB33" s="1882"/>
      <c r="ACD33" s="1887"/>
      <c r="ACE33" s="1888"/>
      <c r="ACF33" s="1882"/>
      <c r="ACG33" s="1882"/>
      <c r="ACH33" s="1882"/>
      <c r="ACJ33" s="1887"/>
      <c r="ACK33" s="1888"/>
      <c r="ACL33" s="1882"/>
      <c r="ACM33" s="1882"/>
      <c r="ACN33" s="1882"/>
      <c r="ACP33" s="1887"/>
      <c r="ACQ33" s="1888"/>
      <c r="ACR33" s="1882"/>
      <c r="ACS33" s="1882"/>
      <c r="ACT33" s="1882"/>
      <c r="ACV33" s="1887"/>
      <c r="ACW33" s="1888"/>
      <c r="ACX33" s="1882"/>
      <c r="ACY33" s="1882"/>
      <c r="ACZ33" s="1882"/>
      <c r="ADB33" s="1887"/>
      <c r="ADC33" s="1888"/>
      <c r="ADD33" s="1882"/>
      <c r="ADE33" s="1882"/>
      <c r="ADF33" s="1882"/>
      <c r="ADH33" s="1887"/>
      <c r="ADI33" s="1888"/>
      <c r="ADJ33" s="1882"/>
      <c r="ADK33" s="1882"/>
      <c r="ADL33" s="1882"/>
      <c r="ADN33" s="1887"/>
      <c r="ADO33" s="1888"/>
      <c r="ADP33" s="1882"/>
      <c r="ADQ33" s="1882"/>
      <c r="ADR33" s="1882"/>
      <c r="ADT33" s="1887"/>
      <c r="ADU33" s="1888"/>
      <c r="ADV33" s="1882"/>
      <c r="ADW33" s="1882"/>
      <c r="ADX33" s="1882"/>
      <c r="ADZ33" s="1887"/>
      <c r="AEA33" s="1888"/>
      <c r="AEB33" s="1882"/>
      <c r="AEC33" s="1882"/>
      <c r="AED33" s="1882"/>
      <c r="AEF33" s="1887"/>
      <c r="AEG33" s="1888"/>
      <c r="AEH33" s="1882"/>
      <c r="AEI33" s="1882"/>
      <c r="AEJ33" s="1882"/>
      <c r="AEL33" s="1887"/>
      <c r="AEM33" s="1888"/>
      <c r="AEN33" s="1882"/>
      <c r="AEO33" s="1882"/>
      <c r="AEP33" s="1882"/>
      <c r="AER33" s="1887"/>
      <c r="AES33" s="1888"/>
      <c r="AET33" s="1882"/>
      <c r="AEU33" s="1882"/>
      <c r="AEV33" s="1882"/>
      <c r="AEX33" s="1887"/>
      <c r="AEY33" s="1888"/>
      <c r="AEZ33" s="1882"/>
      <c r="AFA33" s="1882"/>
      <c r="AFB33" s="1882"/>
      <c r="AFD33" s="1887"/>
      <c r="AFE33" s="1888"/>
      <c r="AFF33" s="1882"/>
      <c r="AFG33" s="1882"/>
      <c r="AFH33" s="1882"/>
      <c r="AFJ33" s="1887"/>
      <c r="AFK33" s="1888"/>
      <c r="AFL33" s="1882"/>
      <c r="AFM33" s="1882"/>
      <c r="AFN33" s="1882"/>
      <c r="AFP33" s="1887"/>
      <c r="AFQ33" s="1888"/>
      <c r="AFR33" s="1882"/>
      <c r="AFS33" s="1882"/>
      <c r="AFT33" s="1882"/>
      <c r="AFV33" s="1887"/>
      <c r="AFW33" s="1888"/>
      <c r="AFX33" s="1882"/>
      <c r="AFY33" s="1882"/>
      <c r="AFZ33" s="1882"/>
      <c r="AGB33" s="1887"/>
      <c r="AGC33" s="1888"/>
      <c r="AGD33" s="1882"/>
      <c r="AGE33" s="1882"/>
      <c r="AGF33" s="1882"/>
      <c r="AGH33" s="1887"/>
      <c r="AGI33" s="1888"/>
      <c r="AGJ33" s="1882"/>
      <c r="AGK33" s="1882"/>
      <c r="AGL33" s="1882"/>
      <c r="AGN33" s="1887"/>
      <c r="AGO33" s="1888"/>
      <c r="AGP33" s="1882"/>
      <c r="AGQ33" s="1882"/>
      <c r="AGR33" s="1882"/>
      <c r="AGT33" s="1887"/>
      <c r="AGU33" s="1888"/>
      <c r="AGV33" s="1882"/>
      <c r="AGW33" s="1882"/>
      <c r="AGX33" s="1882"/>
      <c r="AGZ33" s="1887"/>
      <c r="AHA33" s="1888"/>
      <c r="AHB33" s="1882"/>
      <c r="AHC33" s="1882"/>
      <c r="AHD33" s="1882"/>
      <c r="AHF33" s="1887"/>
      <c r="AHG33" s="1888"/>
      <c r="AHH33" s="1882"/>
      <c r="AHI33" s="1882"/>
      <c r="AHJ33" s="1882"/>
      <c r="AHL33" s="1887"/>
      <c r="AHM33" s="1888"/>
      <c r="AHN33" s="1882"/>
      <c r="AHO33" s="1882"/>
      <c r="AHP33" s="1882"/>
      <c r="AHR33" s="1887"/>
      <c r="AHS33" s="1888"/>
      <c r="AHT33" s="1882"/>
      <c r="AHU33" s="1882"/>
      <c r="AHV33" s="1882"/>
      <c r="AHX33" s="1887"/>
      <c r="AHY33" s="1888"/>
      <c r="AHZ33" s="1882"/>
      <c r="AIA33" s="1882"/>
      <c r="AIB33" s="1882"/>
      <c r="AID33" s="1887"/>
      <c r="AIE33" s="1888"/>
      <c r="AIF33" s="1882"/>
      <c r="AIG33" s="1882"/>
      <c r="AIH33" s="1882"/>
      <c r="AIJ33" s="1887"/>
      <c r="AIK33" s="1888"/>
      <c r="AIL33" s="1882"/>
      <c r="AIM33" s="1882"/>
      <c r="AIN33" s="1882"/>
      <c r="AIP33" s="1887"/>
      <c r="AIQ33" s="1888"/>
      <c r="AIR33" s="1882"/>
      <c r="AIS33" s="1882"/>
      <c r="AIT33" s="1882"/>
      <c r="AIV33" s="1887"/>
      <c r="AIW33" s="1888"/>
      <c r="AIX33" s="1882"/>
      <c r="AIY33" s="1882"/>
      <c r="AIZ33" s="1882"/>
      <c r="AJB33" s="1887"/>
      <c r="AJC33" s="1888"/>
      <c r="AJD33" s="1882"/>
      <c r="AJE33" s="1882"/>
      <c r="AJF33" s="1882"/>
      <c r="AJH33" s="1887"/>
      <c r="AJI33" s="1888"/>
      <c r="AJJ33" s="1882"/>
      <c r="AJK33" s="1882"/>
      <c r="AJL33" s="1882"/>
      <c r="AJN33" s="1887"/>
      <c r="AJO33" s="1888"/>
      <c r="AJP33" s="1882"/>
      <c r="AJQ33" s="1882"/>
      <c r="AJR33" s="1882"/>
      <c r="AJT33" s="1887"/>
      <c r="AJU33" s="1888"/>
      <c r="AJV33" s="1882"/>
      <c r="AJW33" s="1882"/>
      <c r="AJX33" s="1882"/>
      <c r="AJZ33" s="1887"/>
      <c r="AKA33" s="1888"/>
      <c r="AKB33" s="1882"/>
      <c r="AKC33" s="1882"/>
      <c r="AKD33" s="1882"/>
      <c r="AKF33" s="1887"/>
      <c r="AKG33" s="1888"/>
      <c r="AKH33" s="1882"/>
      <c r="AKI33" s="1882"/>
      <c r="AKJ33" s="1882"/>
      <c r="AKL33" s="1887"/>
      <c r="AKM33" s="1888"/>
      <c r="AKN33" s="1882"/>
      <c r="AKO33" s="1882"/>
      <c r="AKP33" s="1882"/>
      <c r="AKR33" s="1887"/>
      <c r="AKS33" s="1888"/>
      <c r="AKT33" s="1882"/>
      <c r="AKU33" s="1882"/>
      <c r="AKV33" s="1882"/>
      <c r="AKX33" s="1887"/>
      <c r="AKY33" s="1888"/>
      <c r="AKZ33" s="1882"/>
      <c r="ALA33" s="1882"/>
      <c r="ALB33" s="1882"/>
      <c r="ALD33" s="1887"/>
      <c r="ALE33" s="1888"/>
      <c r="ALF33" s="1882"/>
      <c r="ALG33" s="1882"/>
      <c r="ALH33" s="1882"/>
      <c r="ALJ33" s="1887"/>
      <c r="ALK33" s="1888"/>
      <c r="ALL33" s="1882"/>
      <c r="ALM33" s="1882"/>
      <c r="ALN33" s="1882"/>
      <c r="ALP33" s="1887"/>
      <c r="ALQ33" s="1888"/>
      <c r="ALR33" s="1882"/>
      <c r="ALS33" s="1882"/>
      <c r="ALT33" s="1882"/>
      <c r="ALV33" s="1887"/>
      <c r="ALW33" s="1888"/>
      <c r="ALX33" s="1882"/>
      <c r="ALY33" s="1882"/>
      <c r="ALZ33" s="1882"/>
      <c r="AMB33" s="1887"/>
      <c r="AMC33" s="1888"/>
      <c r="AMD33" s="1882"/>
      <c r="AME33" s="1882"/>
      <c r="AMF33" s="1882"/>
      <c r="AMH33" s="1887"/>
      <c r="AMI33" s="1888"/>
      <c r="AMJ33" s="1882"/>
      <c r="AMK33" s="1882"/>
      <c r="AML33" s="1882"/>
      <c r="AMN33" s="1887"/>
      <c r="AMO33" s="1888"/>
      <c r="AMP33" s="1882"/>
      <c r="AMQ33" s="1882"/>
      <c r="AMR33" s="1882"/>
      <c r="AMT33" s="1887"/>
      <c r="AMU33" s="1888"/>
      <c r="AMV33" s="1882"/>
      <c r="AMW33" s="1882"/>
      <c r="AMX33" s="1882"/>
      <c r="AMZ33" s="1887"/>
      <c r="ANA33" s="1888"/>
      <c r="ANB33" s="1882"/>
      <c r="ANC33" s="1882"/>
      <c r="AND33" s="1882"/>
      <c r="ANF33" s="1887"/>
      <c r="ANG33" s="1888"/>
      <c r="ANH33" s="1882"/>
      <c r="ANI33" s="1882"/>
      <c r="ANJ33" s="1882"/>
      <c r="ANL33" s="1887"/>
      <c r="ANM33" s="1888"/>
      <c r="ANN33" s="1882"/>
      <c r="ANO33" s="1882"/>
      <c r="ANP33" s="1882"/>
      <c r="ANR33" s="1887"/>
      <c r="ANS33" s="1888"/>
      <c r="ANT33" s="1882"/>
      <c r="ANU33" s="1882"/>
      <c r="ANV33" s="1882"/>
      <c r="ANX33" s="1887"/>
      <c r="ANY33" s="1888"/>
      <c r="ANZ33" s="1882"/>
      <c r="AOA33" s="1882"/>
      <c r="AOB33" s="1882"/>
      <c r="AOD33" s="1887"/>
      <c r="AOE33" s="1888"/>
      <c r="AOF33" s="1882"/>
      <c r="AOG33" s="1882"/>
      <c r="AOH33" s="1882"/>
      <c r="AOJ33" s="1887"/>
      <c r="AOK33" s="1888"/>
      <c r="AOL33" s="1882"/>
      <c r="AOM33" s="1882"/>
      <c r="AON33" s="1882"/>
      <c r="AOP33" s="1887"/>
      <c r="AOQ33" s="1888"/>
      <c r="AOR33" s="1882"/>
      <c r="AOS33" s="1882"/>
      <c r="AOT33" s="1882"/>
      <c r="AOV33" s="1887"/>
      <c r="AOW33" s="1888"/>
      <c r="AOX33" s="1882"/>
      <c r="AOY33" s="1882"/>
      <c r="AOZ33" s="1882"/>
      <c r="APB33" s="1887"/>
      <c r="APC33" s="1888"/>
      <c r="APD33" s="1882"/>
      <c r="APE33" s="1882"/>
      <c r="APF33" s="1882"/>
      <c r="APH33" s="1887"/>
      <c r="API33" s="1888"/>
      <c r="APJ33" s="1882"/>
      <c r="APK33" s="1882"/>
      <c r="APL33" s="1882"/>
      <c r="APN33" s="1887"/>
      <c r="APO33" s="1888"/>
      <c r="APP33" s="1882"/>
      <c r="APQ33" s="1882"/>
      <c r="APR33" s="1882"/>
      <c r="APT33" s="1887"/>
      <c r="APU33" s="1888"/>
      <c r="APV33" s="1882"/>
      <c r="APW33" s="1882"/>
      <c r="APX33" s="1882"/>
      <c r="APZ33" s="1887"/>
      <c r="AQA33" s="1888"/>
      <c r="AQB33" s="1882"/>
      <c r="AQC33" s="1882"/>
      <c r="AQD33" s="1882"/>
      <c r="AQF33" s="1887"/>
      <c r="AQG33" s="1888"/>
      <c r="AQH33" s="1882"/>
      <c r="AQI33" s="1882"/>
      <c r="AQJ33" s="1882"/>
      <c r="AQL33" s="1887"/>
      <c r="AQM33" s="1888"/>
      <c r="AQN33" s="1882"/>
      <c r="AQO33" s="1882"/>
      <c r="AQP33" s="1882"/>
      <c r="AQR33" s="1887"/>
      <c r="AQS33" s="1888"/>
      <c r="AQT33" s="1882"/>
      <c r="AQU33" s="1882"/>
      <c r="AQV33" s="1882"/>
      <c r="AQX33" s="1887"/>
      <c r="AQY33" s="1888"/>
      <c r="AQZ33" s="1882"/>
      <c r="ARA33" s="1882"/>
      <c r="ARB33" s="1882"/>
      <c r="ARD33" s="1887"/>
      <c r="ARE33" s="1888"/>
      <c r="ARF33" s="1882"/>
      <c r="ARG33" s="1882"/>
      <c r="ARH33" s="1882"/>
      <c r="ARJ33" s="1887"/>
      <c r="ARK33" s="1888"/>
      <c r="ARL33" s="1882"/>
      <c r="ARM33" s="1882"/>
      <c r="ARN33" s="1882"/>
      <c r="ARP33" s="1887"/>
      <c r="ARQ33" s="1888"/>
      <c r="ARR33" s="1882"/>
      <c r="ARS33" s="1882"/>
      <c r="ART33" s="1882"/>
      <c r="ARV33" s="1887"/>
      <c r="ARW33" s="1888"/>
      <c r="ARX33" s="1882"/>
      <c r="ARY33" s="1882"/>
      <c r="ARZ33" s="1882"/>
      <c r="ASB33" s="1887"/>
      <c r="ASC33" s="1888"/>
      <c r="ASD33" s="1882"/>
      <c r="ASE33" s="1882"/>
      <c r="ASF33" s="1882"/>
      <c r="ASH33" s="1887"/>
      <c r="ASI33" s="1888"/>
      <c r="ASJ33" s="1882"/>
      <c r="ASK33" s="1882"/>
      <c r="ASL33" s="1882"/>
      <c r="ASN33" s="1887"/>
      <c r="ASO33" s="1888"/>
      <c r="ASP33" s="1882"/>
      <c r="ASQ33" s="1882"/>
      <c r="ASR33" s="1882"/>
      <c r="AST33" s="1887"/>
      <c r="ASU33" s="1888"/>
      <c r="ASV33" s="1882"/>
      <c r="ASW33" s="1882"/>
      <c r="ASX33" s="1882"/>
      <c r="ASZ33" s="1887"/>
      <c r="ATA33" s="1888"/>
      <c r="ATB33" s="1882"/>
      <c r="ATC33" s="1882"/>
      <c r="ATD33" s="1882"/>
      <c r="ATF33" s="1887"/>
      <c r="ATG33" s="1888"/>
      <c r="ATH33" s="1882"/>
      <c r="ATI33" s="1882"/>
      <c r="ATJ33" s="1882"/>
      <c r="ATL33" s="1887"/>
      <c r="ATM33" s="1888"/>
      <c r="ATN33" s="1882"/>
      <c r="ATO33" s="1882"/>
      <c r="ATP33" s="1882"/>
      <c r="ATR33" s="1887"/>
      <c r="ATS33" s="1888"/>
      <c r="ATT33" s="1882"/>
      <c r="ATU33" s="1882"/>
      <c r="ATV33" s="1882"/>
      <c r="ATX33" s="1887"/>
      <c r="ATY33" s="1888"/>
      <c r="ATZ33" s="1882"/>
      <c r="AUA33" s="1882"/>
      <c r="AUB33" s="1882"/>
      <c r="AUD33" s="1887"/>
      <c r="AUE33" s="1888"/>
      <c r="AUF33" s="1882"/>
      <c r="AUG33" s="1882"/>
      <c r="AUH33" s="1882"/>
      <c r="AUJ33" s="1887"/>
      <c r="AUK33" s="1888"/>
      <c r="AUL33" s="1882"/>
      <c r="AUM33" s="1882"/>
      <c r="AUN33" s="1882"/>
      <c r="AUP33" s="1887"/>
      <c r="AUQ33" s="1888"/>
      <c r="AUR33" s="1882"/>
      <c r="AUS33" s="1882"/>
      <c r="AUT33" s="1882"/>
      <c r="AUV33" s="1887"/>
      <c r="AUW33" s="1888"/>
      <c r="AUX33" s="1882"/>
      <c r="AUY33" s="1882"/>
      <c r="AUZ33" s="1882"/>
      <c r="AVB33" s="1887"/>
      <c r="AVC33" s="1888"/>
      <c r="AVD33" s="1882"/>
      <c r="AVE33" s="1882"/>
      <c r="AVF33" s="1882"/>
      <c r="AVH33" s="1887"/>
      <c r="AVI33" s="1888"/>
      <c r="AVJ33" s="1882"/>
      <c r="AVK33" s="1882"/>
      <c r="AVL33" s="1882"/>
      <c r="AVN33" s="1887"/>
      <c r="AVO33" s="1888"/>
      <c r="AVP33" s="1882"/>
      <c r="AVQ33" s="1882"/>
      <c r="AVR33" s="1882"/>
      <c r="AVT33" s="1887"/>
      <c r="AVU33" s="1888"/>
      <c r="AVV33" s="1882"/>
      <c r="AVW33" s="1882"/>
      <c r="AVX33" s="1882"/>
      <c r="AVZ33" s="1887"/>
      <c r="AWA33" s="1888"/>
      <c r="AWB33" s="1882"/>
      <c r="AWC33" s="1882"/>
      <c r="AWD33" s="1882"/>
      <c r="AWF33" s="1887"/>
      <c r="AWG33" s="1888"/>
      <c r="AWH33" s="1882"/>
      <c r="AWI33" s="1882"/>
      <c r="AWJ33" s="1882"/>
      <c r="AWL33" s="1887"/>
      <c r="AWM33" s="1888"/>
      <c r="AWN33" s="1882"/>
      <c r="AWO33" s="1882"/>
      <c r="AWP33" s="1882"/>
      <c r="AWR33" s="1887"/>
      <c r="AWS33" s="1888"/>
      <c r="AWT33" s="1882"/>
      <c r="AWU33" s="1882"/>
      <c r="AWV33" s="1882"/>
      <c r="AWX33" s="1887"/>
      <c r="AWY33" s="1888"/>
      <c r="AWZ33" s="1882"/>
      <c r="AXA33" s="1882"/>
      <c r="AXB33" s="1882"/>
      <c r="AXD33" s="1887"/>
      <c r="AXE33" s="1888"/>
      <c r="AXF33" s="1882"/>
      <c r="AXG33" s="1882"/>
      <c r="AXH33" s="1882"/>
      <c r="AXJ33" s="1887"/>
      <c r="AXK33" s="1888"/>
      <c r="AXL33" s="1882"/>
      <c r="AXM33" s="1882"/>
      <c r="AXN33" s="1882"/>
      <c r="AXP33" s="1887"/>
      <c r="AXQ33" s="1888"/>
      <c r="AXR33" s="1882"/>
      <c r="AXS33" s="1882"/>
      <c r="AXT33" s="1882"/>
      <c r="AXV33" s="1887"/>
      <c r="AXW33" s="1888"/>
      <c r="AXX33" s="1882"/>
      <c r="AXY33" s="1882"/>
      <c r="AXZ33" s="1882"/>
      <c r="AYB33" s="1887"/>
      <c r="AYC33" s="1888"/>
      <c r="AYD33" s="1882"/>
      <c r="AYE33" s="1882"/>
      <c r="AYF33" s="1882"/>
      <c r="AYH33" s="1887"/>
      <c r="AYI33" s="1888"/>
      <c r="AYJ33" s="1882"/>
      <c r="AYK33" s="1882"/>
      <c r="AYL33" s="1882"/>
      <c r="AYN33" s="1887"/>
      <c r="AYO33" s="1888"/>
      <c r="AYP33" s="1882"/>
      <c r="AYQ33" s="1882"/>
      <c r="AYR33" s="1882"/>
      <c r="AYT33" s="1887"/>
      <c r="AYU33" s="1888"/>
      <c r="AYV33" s="1882"/>
      <c r="AYW33" s="1882"/>
      <c r="AYX33" s="1882"/>
      <c r="AYZ33" s="1887"/>
      <c r="AZA33" s="1888"/>
      <c r="AZB33" s="1882"/>
      <c r="AZC33" s="1882"/>
      <c r="AZD33" s="1882"/>
      <c r="AZF33" s="1887"/>
      <c r="AZG33" s="1888"/>
      <c r="AZH33" s="1882"/>
      <c r="AZI33" s="1882"/>
      <c r="AZJ33" s="1882"/>
      <c r="AZL33" s="1887"/>
      <c r="AZM33" s="1888"/>
      <c r="AZN33" s="1882"/>
      <c r="AZO33" s="1882"/>
      <c r="AZP33" s="1882"/>
      <c r="AZR33" s="1887"/>
      <c r="AZS33" s="1888"/>
      <c r="AZT33" s="1882"/>
      <c r="AZU33" s="1882"/>
      <c r="AZV33" s="1882"/>
      <c r="AZX33" s="1887"/>
      <c r="AZY33" s="1888"/>
      <c r="AZZ33" s="1882"/>
      <c r="BAA33" s="1882"/>
      <c r="BAB33" s="1882"/>
      <c r="BAD33" s="1887"/>
      <c r="BAE33" s="1888"/>
      <c r="BAF33" s="1882"/>
      <c r="BAG33" s="1882"/>
      <c r="BAH33" s="1882"/>
      <c r="BAJ33" s="1887"/>
      <c r="BAK33" s="1888"/>
      <c r="BAL33" s="1882"/>
      <c r="BAM33" s="1882"/>
      <c r="BAN33" s="1882"/>
      <c r="BAP33" s="1887"/>
      <c r="BAQ33" s="1888"/>
      <c r="BAR33" s="1882"/>
      <c r="BAS33" s="1882"/>
      <c r="BAT33" s="1882"/>
      <c r="BAV33" s="1887"/>
      <c r="BAW33" s="1888"/>
      <c r="BAX33" s="1882"/>
      <c r="BAY33" s="1882"/>
      <c r="BAZ33" s="1882"/>
      <c r="BBB33" s="1887"/>
      <c r="BBC33" s="1888"/>
      <c r="BBD33" s="1882"/>
      <c r="BBE33" s="1882"/>
      <c r="BBF33" s="1882"/>
      <c r="BBH33" s="1887"/>
      <c r="BBI33" s="1888"/>
      <c r="BBJ33" s="1882"/>
      <c r="BBK33" s="1882"/>
      <c r="BBL33" s="1882"/>
      <c r="BBN33" s="1887"/>
      <c r="BBO33" s="1888"/>
      <c r="BBP33" s="1882"/>
      <c r="BBQ33" s="1882"/>
      <c r="BBR33" s="1882"/>
      <c r="BBT33" s="1887"/>
      <c r="BBU33" s="1888"/>
      <c r="BBV33" s="1882"/>
      <c r="BBW33" s="1882"/>
      <c r="BBX33" s="1882"/>
      <c r="BBZ33" s="1887"/>
      <c r="BCA33" s="1888"/>
      <c r="BCB33" s="1882"/>
      <c r="BCC33" s="1882"/>
      <c r="BCD33" s="1882"/>
      <c r="BCF33" s="1887"/>
      <c r="BCG33" s="1888"/>
      <c r="BCH33" s="1882"/>
      <c r="BCI33" s="1882"/>
      <c r="BCJ33" s="1882"/>
      <c r="BCL33" s="1887"/>
      <c r="BCM33" s="1888"/>
      <c r="BCN33" s="1882"/>
      <c r="BCO33" s="1882"/>
      <c r="BCP33" s="1882"/>
      <c r="BCR33" s="1887"/>
      <c r="BCS33" s="1888"/>
      <c r="BCT33" s="1882"/>
      <c r="BCU33" s="1882"/>
      <c r="BCV33" s="1882"/>
      <c r="BCX33" s="1887"/>
      <c r="BCY33" s="1888"/>
      <c r="BCZ33" s="1882"/>
      <c r="BDA33" s="1882"/>
      <c r="BDB33" s="1882"/>
      <c r="BDD33" s="1887"/>
      <c r="BDE33" s="1888"/>
      <c r="BDF33" s="1882"/>
      <c r="BDG33" s="1882"/>
      <c r="BDH33" s="1882"/>
      <c r="BDJ33" s="1887"/>
      <c r="BDK33" s="1888"/>
      <c r="BDL33" s="1882"/>
      <c r="BDM33" s="1882"/>
      <c r="BDN33" s="1882"/>
      <c r="BDP33" s="1887"/>
      <c r="BDQ33" s="1888"/>
      <c r="BDR33" s="1882"/>
      <c r="BDS33" s="1882"/>
      <c r="BDT33" s="1882"/>
      <c r="BDV33" s="1887"/>
      <c r="BDW33" s="1888"/>
      <c r="BDX33" s="1882"/>
      <c r="BDY33" s="1882"/>
      <c r="BDZ33" s="1882"/>
      <c r="BEB33" s="1887"/>
      <c r="BEC33" s="1888"/>
      <c r="BED33" s="1882"/>
      <c r="BEE33" s="1882"/>
      <c r="BEF33" s="1882"/>
      <c r="BEH33" s="1887"/>
      <c r="BEI33" s="1888"/>
      <c r="BEJ33" s="1882"/>
      <c r="BEK33" s="1882"/>
      <c r="BEL33" s="1882"/>
      <c r="BEN33" s="1887"/>
      <c r="BEO33" s="1888"/>
      <c r="BEP33" s="1882"/>
      <c r="BEQ33" s="1882"/>
      <c r="BER33" s="1882"/>
      <c r="BET33" s="1887"/>
      <c r="BEU33" s="1888"/>
      <c r="BEV33" s="1882"/>
      <c r="BEW33" s="1882"/>
      <c r="BEX33" s="1882"/>
      <c r="BEZ33" s="1887"/>
      <c r="BFA33" s="1888"/>
      <c r="BFB33" s="1882"/>
      <c r="BFC33" s="1882"/>
      <c r="BFD33" s="1882"/>
      <c r="BFF33" s="1887"/>
      <c r="BFG33" s="1888"/>
      <c r="BFH33" s="1882"/>
      <c r="BFI33" s="1882"/>
      <c r="BFJ33" s="1882"/>
      <c r="BFL33" s="1887"/>
      <c r="BFM33" s="1888"/>
      <c r="BFN33" s="1882"/>
      <c r="BFO33" s="1882"/>
      <c r="BFP33" s="1882"/>
      <c r="BFR33" s="1887"/>
      <c r="BFS33" s="1888"/>
      <c r="BFT33" s="1882"/>
      <c r="BFU33" s="1882"/>
      <c r="BFV33" s="1882"/>
      <c r="BFX33" s="1887"/>
      <c r="BFY33" s="1888"/>
      <c r="BFZ33" s="1882"/>
      <c r="BGA33" s="1882"/>
      <c r="BGB33" s="1882"/>
      <c r="BGD33" s="1887"/>
      <c r="BGE33" s="1888"/>
      <c r="BGF33" s="1882"/>
      <c r="BGG33" s="1882"/>
      <c r="BGH33" s="1882"/>
      <c r="BGJ33" s="1887"/>
      <c r="BGK33" s="1888"/>
      <c r="BGL33" s="1882"/>
      <c r="BGM33" s="1882"/>
      <c r="BGN33" s="1882"/>
      <c r="BGP33" s="1887"/>
      <c r="BGQ33" s="1888"/>
      <c r="BGR33" s="1882"/>
      <c r="BGS33" s="1882"/>
      <c r="BGT33" s="1882"/>
      <c r="BGV33" s="1887"/>
      <c r="BGW33" s="1888"/>
      <c r="BGX33" s="1882"/>
      <c r="BGY33" s="1882"/>
      <c r="BGZ33" s="1882"/>
      <c r="BHB33" s="1887"/>
      <c r="BHC33" s="1888"/>
      <c r="BHD33" s="1882"/>
      <c r="BHE33" s="1882"/>
      <c r="BHF33" s="1882"/>
      <c r="BHH33" s="1887"/>
      <c r="BHI33" s="1888"/>
      <c r="BHJ33" s="1882"/>
      <c r="BHK33" s="1882"/>
      <c r="BHL33" s="1882"/>
      <c r="BHN33" s="1887"/>
      <c r="BHO33" s="1888"/>
      <c r="BHP33" s="1882"/>
      <c r="BHQ33" s="1882"/>
      <c r="BHR33" s="1882"/>
      <c r="BHT33" s="1887"/>
      <c r="BHU33" s="1888"/>
      <c r="BHV33" s="1882"/>
      <c r="BHW33" s="1882"/>
      <c r="BHX33" s="1882"/>
      <c r="BHZ33" s="1887"/>
      <c r="BIA33" s="1888"/>
      <c r="BIB33" s="1882"/>
      <c r="BIC33" s="1882"/>
      <c r="BID33" s="1882"/>
      <c r="BIF33" s="1887"/>
      <c r="BIG33" s="1888"/>
      <c r="BIH33" s="1882"/>
      <c r="BII33" s="1882"/>
      <c r="BIJ33" s="1882"/>
      <c r="BIL33" s="1887"/>
      <c r="BIM33" s="1888"/>
      <c r="BIN33" s="1882"/>
      <c r="BIO33" s="1882"/>
      <c r="BIP33" s="1882"/>
      <c r="BIR33" s="1887"/>
      <c r="BIS33" s="1888"/>
      <c r="BIT33" s="1882"/>
      <c r="BIU33" s="1882"/>
      <c r="BIV33" s="1882"/>
      <c r="BIX33" s="1887"/>
      <c r="BIY33" s="1888"/>
      <c r="BIZ33" s="1882"/>
      <c r="BJA33" s="1882"/>
      <c r="BJB33" s="1882"/>
      <c r="BJD33" s="1887"/>
      <c r="BJE33" s="1888"/>
      <c r="BJF33" s="1882"/>
      <c r="BJG33" s="1882"/>
      <c r="BJH33" s="1882"/>
      <c r="BJJ33" s="1887"/>
      <c r="BJK33" s="1888"/>
      <c r="BJL33" s="1882"/>
      <c r="BJM33" s="1882"/>
      <c r="BJN33" s="1882"/>
      <c r="BJP33" s="1887"/>
      <c r="BJQ33" s="1888"/>
      <c r="BJR33" s="1882"/>
      <c r="BJS33" s="1882"/>
      <c r="BJT33" s="1882"/>
      <c r="BJV33" s="1887"/>
      <c r="BJW33" s="1888"/>
      <c r="BJX33" s="1882"/>
      <c r="BJY33" s="1882"/>
      <c r="BJZ33" s="1882"/>
      <c r="BKB33" s="1887"/>
      <c r="BKC33" s="1888"/>
      <c r="BKD33" s="1882"/>
      <c r="BKE33" s="1882"/>
      <c r="BKF33" s="1882"/>
      <c r="BKH33" s="1887"/>
      <c r="BKI33" s="1888"/>
      <c r="BKJ33" s="1882"/>
      <c r="BKK33" s="1882"/>
      <c r="BKL33" s="1882"/>
      <c r="BKN33" s="1887"/>
      <c r="BKO33" s="1888"/>
      <c r="BKP33" s="1882"/>
      <c r="BKQ33" s="1882"/>
      <c r="BKR33" s="1882"/>
      <c r="BKT33" s="1887"/>
      <c r="BKU33" s="1888"/>
      <c r="BKV33" s="1882"/>
      <c r="BKW33" s="1882"/>
      <c r="BKX33" s="1882"/>
      <c r="BKZ33" s="1887"/>
      <c r="BLA33" s="1888"/>
      <c r="BLB33" s="1882"/>
      <c r="BLC33" s="1882"/>
      <c r="BLD33" s="1882"/>
      <c r="BLF33" s="1887"/>
      <c r="BLG33" s="1888"/>
      <c r="BLH33" s="1882"/>
      <c r="BLI33" s="1882"/>
      <c r="BLJ33" s="1882"/>
      <c r="BLL33" s="1887"/>
      <c r="BLM33" s="1888"/>
      <c r="BLN33" s="1882"/>
      <c r="BLO33" s="1882"/>
      <c r="BLP33" s="1882"/>
      <c r="BLR33" s="1887"/>
      <c r="BLS33" s="1888"/>
      <c r="BLT33" s="1882"/>
      <c r="BLU33" s="1882"/>
      <c r="BLV33" s="1882"/>
      <c r="BLX33" s="1887"/>
      <c r="BLY33" s="1888"/>
      <c r="BLZ33" s="1882"/>
      <c r="BMA33" s="1882"/>
      <c r="BMB33" s="1882"/>
      <c r="BMD33" s="1887"/>
      <c r="BME33" s="1888"/>
      <c r="BMF33" s="1882"/>
      <c r="BMG33" s="1882"/>
      <c r="BMH33" s="1882"/>
      <c r="BMJ33" s="1887"/>
      <c r="BMK33" s="1888"/>
      <c r="BML33" s="1882"/>
      <c r="BMM33" s="1882"/>
      <c r="BMN33" s="1882"/>
      <c r="BMP33" s="1887"/>
      <c r="BMQ33" s="1888"/>
      <c r="BMR33" s="1882"/>
      <c r="BMS33" s="1882"/>
      <c r="BMT33" s="1882"/>
      <c r="BMV33" s="1887"/>
      <c r="BMW33" s="1888"/>
      <c r="BMX33" s="1882"/>
      <c r="BMY33" s="1882"/>
      <c r="BMZ33" s="1882"/>
      <c r="BNB33" s="1887"/>
      <c r="BNC33" s="1888"/>
      <c r="BND33" s="1882"/>
      <c r="BNE33" s="1882"/>
      <c r="BNF33" s="1882"/>
      <c r="BNH33" s="1887"/>
      <c r="BNI33" s="1888"/>
      <c r="BNJ33" s="1882"/>
      <c r="BNK33" s="1882"/>
      <c r="BNL33" s="1882"/>
      <c r="BNN33" s="1887"/>
      <c r="BNO33" s="1888"/>
      <c r="BNP33" s="1882"/>
      <c r="BNQ33" s="1882"/>
      <c r="BNR33" s="1882"/>
      <c r="BNT33" s="1887"/>
      <c r="BNU33" s="1888"/>
      <c r="BNV33" s="1882"/>
      <c r="BNW33" s="1882"/>
      <c r="BNX33" s="1882"/>
      <c r="BNZ33" s="1887"/>
      <c r="BOA33" s="1888"/>
      <c r="BOB33" s="1882"/>
      <c r="BOC33" s="1882"/>
      <c r="BOD33" s="1882"/>
      <c r="BOF33" s="1887"/>
      <c r="BOG33" s="1888"/>
      <c r="BOH33" s="1882"/>
      <c r="BOI33" s="1882"/>
      <c r="BOJ33" s="1882"/>
      <c r="BOL33" s="1887"/>
      <c r="BOM33" s="1888"/>
      <c r="BON33" s="1882"/>
      <c r="BOO33" s="1882"/>
      <c r="BOP33" s="1882"/>
      <c r="BOR33" s="1887"/>
      <c r="BOS33" s="1888"/>
      <c r="BOT33" s="1882"/>
      <c r="BOU33" s="1882"/>
      <c r="BOV33" s="1882"/>
      <c r="BOX33" s="1887"/>
      <c r="BOY33" s="1888"/>
      <c r="BOZ33" s="1882"/>
      <c r="BPA33" s="1882"/>
      <c r="BPB33" s="1882"/>
      <c r="BPD33" s="1887"/>
      <c r="BPE33" s="1888"/>
      <c r="BPF33" s="1882"/>
      <c r="BPG33" s="1882"/>
      <c r="BPH33" s="1882"/>
      <c r="BPJ33" s="1887"/>
      <c r="BPK33" s="1888"/>
      <c r="BPL33" s="1882"/>
      <c r="BPM33" s="1882"/>
      <c r="BPN33" s="1882"/>
      <c r="BPP33" s="1887"/>
      <c r="BPQ33" s="1888"/>
      <c r="BPR33" s="1882"/>
      <c r="BPS33" s="1882"/>
      <c r="BPT33" s="1882"/>
      <c r="BPV33" s="1887"/>
      <c r="BPW33" s="1888"/>
      <c r="BPX33" s="1882"/>
      <c r="BPY33" s="1882"/>
      <c r="BPZ33" s="1882"/>
      <c r="BQB33" s="1887"/>
      <c r="BQC33" s="1888"/>
      <c r="BQD33" s="1882"/>
      <c r="BQE33" s="1882"/>
      <c r="BQF33" s="1882"/>
      <c r="BQH33" s="1887"/>
      <c r="BQI33" s="1888"/>
      <c r="BQJ33" s="1882"/>
      <c r="BQK33" s="1882"/>
      <c r="BQL33" s="1882"/>
      <c r="BQN33" s="1887"/>
      <c r="BQO33" s="1888"/>
      <c r="BQP33" s="1882"/>
      <c r="BQQ33" s="1882"/>
      <c r="BQR33" s="1882"/>
      <c r="BQT33" s="1887"/>
      <c r="BQU33" s="1888"/>
      <c r="BQV33" s="1882"/>
      <c r="BQW33" s="1882"/>
      <c r="BQX33" s="1882"/>
      <c r="BQZ33" s="1887"/>
      <c r="BRA33" s="1888"/>
      <c r="BRB33" s="1882"/>
      <c r="BRC33" s="1882"/>
      <c r="BRD33" s="1882"/>
      <c r="BRF33" s="1887"/>
      <c r="BRG33" s="1888"/>
      <c r="BRH33" s="1882"/>
      <c r="BRI33" s="1882"/>
      <c r="BRJ33" s="1882"/>
      <c r="BRL33" s="1887"/>
      <c r="BRM33" s="1888"/>
      <c r="BRN33" s="1882"/>
      <c r="BRO33" s="1882"/>
      <c r="BRP33" s="1882"/>
      <c r="BRR33" s="1887"/>
      <c r="BRS33" s="1888"/>
      <c r="BRT33" s="1882"/>
      <c r="BRU33" s="1882"/>
      <c r="BRV33" s="1882"/>
      <c r="BRX33" s="1887"/>
      <c r="BRY33" s="1888"/>
      <c r="BRZ33" s="1882"/>
      <c r="BSA33" s="1882"/>
      <c r="BSB33" s="1882"/>
      <c r="BSD33" s="1887"/>
      <c r="BSE33" s="1888"/>
      <c r="BSF33" s="1882"/>
      <c r="BSG33" s="1882"/>
      <c r="BSH33" s="1882"/>
      <c r="BSJ33" s="1887"/>
      <c r="BSK33" s="1888"/>
      <c r="BSL33" s="1882"/>
      <c r="BSM33" s="1882"/>
      <c r="BSN33" s="1882"/>
      <c r="BSP33" s="1887"/>
      <c r="BSQ33" s="1888"/>
      <c r="BSR33" s="1882"/>
      <c r="BSS33" s="1882"/>
      <c r="BST33" s="1882"/>
      <c r="BSV33" s="1887"/>
      <c r="BSW33" s="1888"/>
      <c r="BSX33" s="1882"/>
      <c r="BSY33" s="1882"/>
      <c r="BSZ33" s="1882"/>
      <c r="BTB33" s="1887"/>
      <c r="BTC33" s="1888"/>
      <c r="BTD33" s="1882"/>
      <c r="BTE33" s="1882"/>
      <c r="BTF33" s="1882"/>
      <c r="BTH33" s="1887"/>
      <c r="BTI33" s="1888"/>
      <c r="BTJ33" s="1882"/>
      <c r="BTK33" s="1882"/>
      <c r="BTL33" s="1882"/>
      <c r="BTN33" s="1887"/>
      <c r="BTO33" s="1888"/>
      <c r="BTP33" s="1882"/>
      <c r="BTQ33" s="1882"/>
      <c r="BTR33" s="1882"/>
      <c r="BTT33" s="1887"/>
      <c r="BTU33" s="1888"/>
      <c r="BTV33" s="1882"/>
      <c r="BTW33" s="1882"/>
      <c r="BTX33" s="1882"/>
      <c r="BTZ33" s="1887"/>
      <c r="BUA33" s="1888"/>
      <c r="BUB33" s="1882"/>
      <c r="BUC33" s="1882"/>
      <c r="BUD33" s="1882"/>
      <c r="BUF33" s="1887"/>
      <c r="BUG33" s="1888"/>
      <c r="BUH33" s="1882"/>
      <c r="BUI33" s="1882"/>
      <c r="BUJ33" s="1882"/>
      <c r="BUL33" s="1887"/>
      <c r="BUM33" s="1888"/>
      <c r="BUN33" s="1882"/>
      <c r="BUO33" s="1882"/>
      <c r="BUP33" s="1882"/>
      <c r="BUR33" s="1887"/>
      <c r="BUS33" s="1888"/>
      <c r="BUT33" s="1882"/>
      <c r="BUU33" s="1882"/>
      <c r="BUV33" s="1882"/>
      <c r="BUX33" s="1887"/>
      <c r="BUY33" s="1888"/>
      <c r="BUZ33" s="1882"/>
      <c r="BVA33" s="1882"/>
      <c r="BVB33" s="1882"/>
      <c r="BVD33" s="1887"/>
      <c r="BVE33" s="1888"/>
      <c r="BVF33" s="1882"/>
      <c r="BVG33" s="1882"/>
      <c r="BVH33" s="1882"/>
      <c r="BVJ33" s="1887"/>
      <c r="BVK33" s="1888"/>
      <c r="BVL33" s="1882"/>
      <c r="BVM33" s="1882"/>
      <c r="BVN33" s="1882"/>
      <c r="BVP33" s="1887"/>
      <c r="BVQ33" s="1888"/>
      <c r="BVR33" s="1882"/>
      <c r="BVS33" s="1882"/>
      <c r="BVT33" s="1882"/>
      <c r="BVV33" s="1887"/>
      <c r="BVW33" s="1888"/>
      <c r="BVX33" s="1882"/>
      <c r="BVY33" s="1882"/>
      <c r="BVZ33" s="1882"/>
      <c r="BWB33" s="1887"/>
      <c r="BWC33" s="1888"/>
      <c r="BWD33" s="1882"/>
      <c r="BWE33" s="1882"/>
      <c r="BWF33" s="1882"/>
      <c r="BWH33" s="1887"/>
      <c r="BWI33" s="1888"/>
      <c r="BWJ33" s="1882"/>
      <c r="BWK33" s="1882"/>
      <c r="BWL33" s="1882"/>
      <c r="BWN33" s="1887"/>
      <c r="BWO33" s="1888"/>
      <c r="BWP33" s="1882"/>
      <c r="BWQ33" s="1882"/>
      <c r="BWR33" s="1882"/>
      <c r="BWT33" s="1887"/>
      <c r="BWU33" s="1888"/>
      <c r="BWV33" s="1882"/>
      <c r="BWW33" s="1882"/>
      <c r="BWX33" s="1882"/>
      <c r="BWZ33" s="1887"/>
      <c r="BXA33" s="1888"/>
      <c r="BXB33" s="1882"/>
      <c r="BXC33" s="1882"/>
      <c r="BXD33" s="1882"/>
      <c r="BXF33" s="1887"/>
      <c r="BXG33" s="1888"/>
      <c r="BXH33" s="1882"/>
      <c r="BXI33" s="1882"/>
      <c r="BXJ33" s="1882"/>
      <c r="BXL33" s="1887"/>
      <c r="BXM33" s="1888"/>
      <c r="BXN33" s="1882"/>
      <c r="BXO33" s="1882"/>
      <c r="BXP33" s="1882"/>
      <c r="BXR33" s="1887"/>
      <c r="BXS33" s="1888"/>
      <c r="BXT33" s="1882"/>
      <c r="BXU33" s="1882"/>
      <c r="BXV33" s="1882"/>
      <c r="BXX33" s="1887"/>
      <c r="BXY33" s="1888"/>
      <c r="BXZ33" s="1882"/>
      <c r="BYA33" s="1882"/>
      <c r="BYB33" s="1882"/>
      <c r="BYD33" s="1887"/>
      <c r="BYE33" s="1888"/>
      <c r="BYF33" s="1882"/>
      <c r="BYG33" s="1882"/>
      <c r="BYH33" s="1882"/>
      <c r="BYJ33" s="1887"/>
      <c r="BYK33" s="1888"/>
      <c r="BYL33" s="1882"/>
      <c r="BYM33" s="1882"/>
      <c r="BYN33" s="1882"/>
      <c r="BYP33" s="1887"/>
      <c r="BYQ33" s="1888"/>
      <c r="BYR33" s="1882"/>
      <c r="BYS33" s="1882"/>
      <c r="BYT33" s="1882"/>
      <c r="BYV33" s="1887"/>
      <c r="BYW33" s="1888"/>
      <c r="BYX33" s="1882"/>
      <c r="BYY33" s="1882"/>
      <c r="BYZ33" s="1882"/>
      <c r="BZB33" s="1887"/>
      <c r="BZC33" s="1888"/>
      <c r="BZD33" s="1882"/>
      <c r="BZE33" s="1882"/>
      <c r="BZF33" s="1882"/>
      <c r="BZH33" s="1887"/>
      <c r="BZI33" s="1888"/>
      <c r="BZJ33" s="1882"/>
      <c r="BZK33" s="1882"/>
      <c r="BZL33" s="1882"/>
      <c r="BZN33" s="1887"/>
      <c r="BZO33" s="1888"/>
      <c r="BZP33" s="1882"/>
      <c r="BZQ33" s="1882"/>
      <c r="BZR33" s="1882"/>
      <c r="BZT33" s="1887"/>
      <c r="BZU33" s="1888"/>
      <c r="BZV33" s="1882"/>
      <c r="BZW33" s="1882"/>
      <c r="BZX33" s="1882"/>
      <c r="BZZ33" s="1887"/>
      <c r="CAA33" s="1888"/>
      <c r="CAB33" s="1882"/>
      <c r="CAC33" s="1882"/>
      <c r="CAD33" s="1882"/>
      <c r="CAF33" s="1887"/>
      <c r="CAG33" s="1888"/>
      <c r="CAH33" s="1882"/>
      <c r="CAI33" s="1882"/>
      <c r="CAJ33" s="1882"/>
      <c r="CAL33" s="1887"/>
      <c r="CAM33" s="1888"/>
      <c r="CAN33" s="1882"/>
      <c r="CAO33" s="1882"/>
      <c r="CAP33" s="1882"/>
      <c r="CAR33" s="1887"/>
      <c r="CAS33" s="1888"/>
      <c r="CAT33" s="1882"/>
      <c r="CAU33" s="1882"/>
      <c r="CAV33" s="1882"/>
      <c r="CAX33" s="1887"/>
      <c r="CAY33" s="1888"/>
      <c r="CAZ33" s="1882"/>
      <c r="CBA33" s="1882"/>
      <c r="CBB33" s="1882"/>
      <c r="CBD33" s="1887"/>
      <c r="CBE33" s="1888"/>
      <c r="CBF33" s="1882"/>
      <c r="CBG33" s="1882"/>
      <c r="CBH33" s="1882"/>
      <c r="CBJ33" s="1887"/>
      <c r="CBK33" s="1888"/>
      <c r="CBL33" s="1882"/>
      <c r="CBM33" s="1882"/>
      <c r="CBN33" s="1882"/>
      <c r="CBP33" s="1887"/>
      <c r="CBQ33" s="1888"/>
      <c r="CBR33" s="1882"/>
      <c r="CBS33" s="1882"/>
      <c r="CBT33" s="1882"/>
      <c r="CBV33" s="1887"/>
      <c r="CBW33" s="1888"/>
      <c r="CBX33" s="1882"/>
      <c r="CBY33" s="1882"/>
      <c r="CBZ33" s="1882"/>
      <c r="CCB33" s="1887"/>
      <c r="CCC33" s="1888"/>
      <c r="CCD33" s="1882"/>
      <c r="CCE33" s="1882"/>
      <c r="CCF33" s="1882"/>
      <c r="CCH33" s="1887"/>
      <c r="CCI33" s="1888"/>
      <c r="CCJ33" s="1882"/>
      <c r="CCK33" s="1882"/>
      <c r="CCL33" s="1882"/>
      <c r="CCN33" s="1887"/>
      <c r="CCO33" s="1888"/>
      <c r="CCP33" s="1882"/>
      <c r="CCQ33" s="1882"/>
      <c r="CCR33" s="1882"/>
      <c r="CCT33" s="1887"/>
      <c r="CCU33" s="1888"/>
      <c r="CCV33" s="1882"/>
      <c r="CCW33" s="1882"/>
      <c r="CCX33" s="1882"/>
      <c r="CCZ33" s="1887"/>
      <c r="CDA33" s="1888"/>
      <c r="CDB33" s="1882"/>
      <c r="CDC33" s="1882"/>
      <c r="CDD33" s="1882"/>
      <c r="CDF33" s="1887"/>
      <c r="CDG33" s="1888"/>
      <c r="CDH33" s="1882"/>
      <c r="CDI33" s="1882"/>
      <c r="CDJ33" s="1882"/>
      <c r="CDL33" s="1887"/>
      <c r="CDM33" s="1888"/>
      <c r="CDN33" s="1882"/>
      <c r="CDO33" s="1882"/>
      <c r="CDP33" s="1882"/>
      <c r="CDR33" s="1887"/>
      <c r="CDS33" s="1888"/>
      <c r="CDT33" s="1882"/>
      <c r="CDU33" s="1882"/>
      <c r="CDV33" s="1882"/>
      <c r="CDX33" s="1887"/>
      <c r="CDY33" s="1888"/>
      <c r="CDZ33" s="1882"/>
      <c r="CEA33" s="1882"/>
      <c r="CEB33" s="1882"/>
      <c r="CED33" s="1887"/>
      <c r="CEE33" s="1888"/>
      <c r="CEF33" s="1882"/>
      <c r="CEG33" s="1882"/>
      <c r="CEH33" s="1882"/>
      <c r="CEJ33" s="1887"/>
      <c r="CEK33" s="1888"/>
      <c r="CEL33" s="1882"/>
      <c r="CEM33" s="1882"/>
      <c r="CEN33" s="1882"/>
      <c r="CEP33" s="1887"/>
      <c r="CEQ33" s="1888"/>
      <c r="CER33" s="1882"/>
      <c r="CES33" s="1882"/>
      <c r="CET33" s="1882"/>
      <c r="CEV33" s="1887"/>
      <c r="CEW33" s="1888"/>
      <c r="CEX33" s="1882"/>
      <c r="CEY33" s="1882"/>
      <c r="CEZ33" s="1882"/>
      <c r="CFB33" s="1887"/>
      <c r="CFC33" s="1888"/>
      <c r="CFD33" s="1882"/>
      <c r="CFE33" s="1882"/>
      <c r="CFF33" s="1882"/>
      <c r="CFH33" s="1887"/>
      <c r="CFI33" s="1888"/>
      <c r="CFJ33" s="1882"/>
      <c r="CFK33" s="1882"/>
      <c r="CFL33" s="1882"/>
      <c r="CFN33" s="1887"/>
      <c r="CFO33" s="1888"/>
      <c r="CFP33" s="1882"/>
      <c r="CFQ33" s="1882"/>
      <c r="CFR33" s="1882"/>
      <c r="CFT33" s="1887"/>
      <c r="CFU33" s="1888"/>
      <c r="CFV33" s="1882"/>
      <c r="CFW33" s="1882"/>
      <c r="CFX33" s="1882"/>
      <c r="CFZ33" s="1887"/>
      <c r="CGA33" s="1888"/>
      <c r="CGB33" s="1882"/>
      <c r="CGC33" s="1882"/>
      <c r="CGD33" s="1882"/>
      <c r="CGF33" s="1887"/>
      <c r="CGG33" s="1888"/>
      <c r="CGH33" s="1882"/>
      <c r="CGI33" s="1882"/>
      <c r="CGJ33" s="1882"/>
      <c r="CGL33" s="1887"/>
      <c r="CGM33" s="1888"/>
      <c r="CGN33" s="1882"/>
      <c r="CGO33" s="1882"/>
      <c r="CGP33" s="1882"/>
      <c r="CGR33" s="1887"/>
      <c r="CGS33" s="1888"/>
      <c r="CGT33" s="1882"/>
      <c r="CGU33" s="1882"/>
      <c r="CGV33" s="1882"/>
      <c r="CGX33" s="1887"/>
      <c r="CGY33" s="1888"/>
      <c r="CGZ33" s="1882"/>
      <c r="CHA33" s="1882"/>
      <c r="CHB33" s="1882"/>
      <c r="CHD33" s="1887"/>
      <c r="CHE33" s="1888"/>
      <c r="CHF33" s="1882"/>
      <c r="CHG33" s="1882"/>
      <c r="CHH33" s="1882"/>
      <c r="CHJ33" s="1887"/>
      <c r="CHK33" s="1888"/>
      <c r="CHL33" s="1882"/>
      <c r="CHM33" s="1882"/>
      <c r="CHN33" s="1882"/>
      <c r="CHP33" s="1887"/>
      <c r="CHQ33" s="1888"/>
      <c r="CHR33" s="1882"/>
      <c r="CHS33" s="1882"/>
      <c r="CHT33" s="1882"/>
      <c r="CHV33" s="1887"/>
      <c r="CHW33" s="1888"/>
      <c r="CHX33" s="1882"/>
      <c r="CHY33" s="1882"/>
      <c r="CHZ33" s="1882"/>
      <c r="CIB33" s="1887"/>
      <c r="CIC33" s="1888"/>
      <c r="CID33" s="1882"/>
      <c r="CIE33" s="1882"/>
      <c r="CIF33" s="1882"/>
      <c r="CIH33" s="1887"/>
      <c r="CII33" s="1888"/>
      <c r="CIJ33" s="1882"/>
      <c r="CIK33" s="1882"/>
      <c r="CIL33" s="1882"/>
      <c r="CIN33" s="1887"/>
      <c r="CIO33" s="1888"/>
      <c r="CIP33" s="1882"/>
      <c r="CIQ33" s="1882"/>
      <c r="CIR33" s="1882"/>
      <c r="CIT33" s="1887"/>
      <c r="CIU33" s="1888"/>
      <c r="CIV33" s="1882"/>
      <c r="CIW33" s="1882"/>
      <c r="CIX33" s="1882"/>
      <c r="CIZ33" s="1887"/>
      <c r="CJA33" s="1888"/>
      <c r="CJB33" s="1882"/>
      <c r="CJC33" s="1882"/>
      <c r="CJD33" s="1882"/>
      <c r="CJF33" s="1887"/>
      <c r="CJG33" s="1888"/>
      <c r="CJH33" s="1882"/>
      <c r="CJI33" s="1882"/>
      <c r="CJJ33" s="1882"/>
      <c r="CJL33" s="1887"/>
      <c r="CJM33" s="1888"/>
      <c r="CJN33" s="1882"/>
      <c r="CJO33" s="1882"/>
      <c r="CJP33" s="1882"/>
      <c r="CJR33" s="1887"/>
      <c r="CJS33" s="1888"/>
      <c r="CJT33" s="1882"/>
      <c r="CJU33" s="1882"/>
      <c r="CJV33" s="1882"/>
      <c r="CJX33" s="1887"/>
      <c r="CJY33" s="1888"/>
      <c r="CJZ33" s="1882"/>
      <c r="CKA33" s="1882"/>
      <c r="CKB33" s="1882"/>
      <c r="CKD33" s="1887"/>
      <c r="CKE33" s="1888"/>
      <c r="CKF33" s="1882"/>
      <c r="CKG33" s="1882"/>
      <c r="CKH33" s="1882"/>
      <c r="CKJ33" s="1887"/>
      <c r="CKK33" s="1888"/>
      <c r="CKL33" s="1882"/>
      <c r="CKM33" s="1882"/>
      <c r="CKN33" s="1882"/>
      <c r="CKP33" s="1887"/>
      <c r="CKQ33" s="1888"/>
      <c r="CKR33" s="1882"/>
      <c r="CKS33" s="1882"/>
      <c r="CKT33" s="1882"/>
      <c r="CKV33" s="1887"/>
      <c r="CKW33" s="1888"/>
      <c r="CKX33" s="1882"/>
      <c r="CKY33" s="1882"/>
      <c r="CKZ33" s="1882"/>
      <c r="CLB33" s="1887"/>
      <c r="CLC33" s="1888"/>
      <c r="CLD33" s="1882"/>
      <c r="CLE33" s="1882"/>
      <c r="CLF33" s="1882"/>
      <c r="CLH33" s="1887"/>
      <c r="CLI33" s="1888"/>
      <c r="CLJ33" s="1882"/>
      <c r="CLK33" s="1882"/>
      <c r="CLL33" s="1882"/>
      <c r="CLN33" s="1887"/>
      <c r="CLO33" s="1888"/>
      <c r="CLP33" s="1882"/>
      <c r="CLQ33" s="1882"/>
      <c r="CLR33" s="1882"/>
      <c r="CLT33" s="1887"/>
      <c r="CLU33" s="1888"/>
      <c r="CLV33" s="1882"/>
      <c r="CLW33" s="1882"/>
      <c r="CLX33" s="1882"/>
      <c r="CLZ33" s="1887"/>
      <c r="CMA33" s="1888"/>
      <c r="CMB33" s="1882"/>
      <c r="CMC33" s="1882"/>
      <c r="CMD33" s="1882"/>
      <c r="CMF33" s="1887"/>
      <c r="CMG33" s="1888"/>
      <c r="CMH33" s="1882"/>
      <c r="CMI33" s="1882"/>
      <c r="CMJ33" s="1882"/>
      <c r="CML33" s="1887"/>
      <c r="CMM33" s="1888"/>
      <c r="CMN33" s="1882"/>
      <c r="CMO33" s="1882"/>
      <c r="CMP33" s="1882"/>
      <c r="CMR33" s="1887"/>
      <c r="CMS33" s="1888"/>
      <c r="CMT33" s="1882"/>
      <c r="CMU33" s="1882"/>
      <c r="CMV33" s="1882"/>
      <c r="CMX33" s="1887"/>
      <c r="CMY33" s="1888"/>
      <c r="CMZ33" s="1882"/>
      <c r="CNA33" s="1882"/>
      <c r="CNB33" s="1882"/>
      <c r="CND33" s="1887"/>
      <c r="CNE33" s="1888"/>
      <c r="CNF33" s="1882"/>
      <c r="CNG33" s="1882"/>
      <c r="CNH33" s="1882"/>
      <c r="CNJ33" s="1887"/>
      <c r="CNK33" s="1888"/>
      <c r="CNL33" s="1882"/>
      <c r="CNM33" s="1882"/>
      <c r="CNN33" s="1882"/>
      <c r="CNP33" s="1887"/>
      <c r="CNQ33" s="1888"/>
      <c r="CNR33" s="1882"/>
      <c r="CNS33" s="1882"/>
      <c r="CNT33" s="1882"/>
      <c r="CNV33" s="1887"/>
      <c r="CNW33" s="1888"/>
      <c r="CNX33" s="1882"/>
      <c r="CNY33" s="1882"/>
      <c r="CNZ33" s="1882"/>
      <c r="COB33" s="1887"/>
      <c r="COC33" s="1888"/>
      <c r="COD33" s="1882"/>
      <c r="COE33" s="1882"/>
      <c r="COF33" s="1882"/>
      <c r="COH33" s="1887"/>
      <c r="COI33" s="1888"/>
      <c r="COJ33" s="1882"/>
      <c r="COK33" s="1882"/>
      <c r="COL33" s="1882"/>
      <c r="CON33" s="1887"/>
      <c r="COO33" s="1888"/>
      <c r="COP33" s="1882"/>
      <c r="COQ33" s="1882"/>
      <c r="COR33" s="1882"/>
      <c r="COT33" s="1887"/>
      <c r="COU33" s="1888"/>
      <c r="COV33" s="1882"/>
      <c r="COW33" s="1882"/>
      <c r="COX33" s="1882"/>
      <c r="COZ33" s="1887"/>
      <c r="CPA33" s="1888"/>
      <c r="CPB33" s="1882"/>
      <c r="CPC33" s="1882"/>
      <c r="CPD33" s="1882"/>
      <c r="CPF33" s="1887"/>
      <c r="CPG33" s="1888"/>
      <c r="CPH33" s="1882"/>
      <c r="CPI33" s="1882"/>
      <c r="CPJ33" s="1882"/>
      <c r="CPL33" s="1887"/>
      <c r="CPM33" s="1888"/>
      <c r="CPN33" s="1882"/>
      <c r="CPO33" s="1882"/>
      <c r="CPP33" s="1882"/>
      <c r="CPR33" s="1887"/>
      <c r="CPS33" s="1888"/>
      <c r="CPT33" s="1882"/>
      <c r="CPU33" s="1882"/>
      <c r="CPV33" s="1882"/>
      <c r="CPX33" s="1887"/>
      <c r="CPY33" s="1888"/>
      <c r="CPZ33" s="1882"/>
      <c r="CQA33" s="1882"/>
      <c r="CQB33" s="1882"/>
      <c r="CQD33" s="1887"/>
      <c r="CQE33" s="1888"/>
      <c r="CQF33" s="1882"/>
      <c r="CQG33" s="1882"/>
      <c r="CQH33" s="1882"/>
      <c r="CQJ33" s="1887"/>
      <c r="CQK33" s="1888"/>
      <c r="CQL33" s="1882"/>
      <c r="CQM33" s="1882"/>
      <c r="CQN33" s="1882"/>
      <c r="CQP33" s="1887"/>
      <c r="CQQ33" s="1888"/>
      <c r="CQR33" s="1882"/>
      <c r="CQS33" s="1882"/>
      <c r="CQT33" s="1882"/>
      <c r="CQV33" s="1887"/>
      <c r="CQW33" s="1888"/>
      <c r="CQX33" s="1882"/>
      <c r="CQY33" s="1882"/>
      <c r="CQZ33" s="1882"/>
      <c r="CRB33" s="1887"/>
      <c r="CRC33" s="1888"/>
      <c r="CRD33" s="1882"/>
      <c r="CRE33" s="1882"/>
      <c r="CRF33" s="1882"/>
      <c r="CRH33" s="1887"/>
      <c r="CRI33" s="1888"/>
      <c r="CRJ33" s="1882"/>
      <c r="CRK33" s="1882"/>
      <c r="CRL33" s="1882"/>
      <c r="CRN33" s="1887"/>
      <c r="CRO33" s="1888"/>
      <c r="CRP33" s="1882"/>
      <c r="CRQ33" s="1882"/>
      <c r="CRR33" s="1882"/>
      <c r="CRT33" s="1887"/>
      <c r="CRU33" s="1888"/>
      <c r="CRV33" s="1882"/>
      <c r="CRW33" s="1882"/>
      <c r="CRX33" s="1882"/>
      <c r="CRZ33" s="1887"/>
      <c r="CSA33" s="1888"/>
      <c r="CSB33" s="1882"/>
      <c r="CSC33" s="1882"/>
      <c r="CSD33" s="1882"/>
      <c r="CSF33" s="1887"/>
      <c r="CSG33" s="1888"/>
      <c r="CSH33" s="1882"/>
      <c r="CSI33" s="1882"/>
      <c r="CSJ33" s="1882"/>
      <c r="CSL33" s="1887"/>
      <c r="CSM33" s="1888"/>
      <c r="CSN33" s="1882"/>
      <c r="CSO33" s="1882"/>
      <c r="CSP33" s="1882"/>
      <c r="CSR33" s="1887"/>
      <c r="CSS33" s="1888"/>
      <c r="CST33" s="1882"/>
      <c r="CSU33" s="1882"/>
      <c r="CSV33" s="1882"/>
      <c r="CSX33" s="1887"/>
      <c r="CSY33" s="1888"/>
      <c r="CSZ33" s="1882"/>
      <c r="CTA33" s="1882"/>
      <c r="CTB33" s="1882"/>
      <c r="CTD33" s="1887"/>
      <c r="CTE33" s="1888"/>
      <c r="CTF33" s="1882"/>
      <c r="CTG33" s="1882"/>
      <c r="CTH33" s="1882"/>
      <c r="CTJ33" s="1887"/>
      <c r="CTK33" s="1888"/>
      <c r="CTL33" s="1882"/>
      <c r="CTM33" s="1882"/>
      <c r="CTN33" s="1882"/>
      <c r="CTP33" s="1887"/>
      <c r="CTQ33" s="1888"/>
      <c r="CTR33" s="1882"/>
      <c r="CTS33" s="1882"/>
      <c r="CTT33" s="1882"/>
      <c r="CTV33" s="1887"/>
      <c r="CTW33" s="1888"/>
      <c r="CTX33" s="1882"/>
      <c r="CTY33" s="1882"/>
      <c r="CTZ33" s="1882"/>
      <c r="CUB33" s="1887"/>
      <c r="CUC33" s="1888"/>
      <c r="CUD33" s="1882"/>
      <c r="CUE33" s="1882"/>
      <c r="CUF33" s="1882"/>
      <c r="CUH33" s="1887"/>
      <c r="CUI33" s="1888"/>
      <c r="CUJ33" s="1882"/>
      <c r="CUK33" s="1882"/>
      <c r="CUL33" s="1882"/>
      <c r="CUN33" s="1887"/>
      <c r="CUO33" s="1888"/>
      <c r="CUP33" s="1882"/>
      <c r="CUQ33" s="1882"/>
      <c r="CUR33" s="1882"/>
      <c r="CUT33" s="1887"/>
      <c r="CUU33" s="1888"/>
      <c r="CUV33" s="1882"/>
      <c r="CUW33" s="1882"/>
      <c r="CUX33" s="1882"/>
      <c r="CUZ33" s="1887"/>
      <c r="CVA33" s="1888"/>
      <c r="CVB33" s="1882"/>
      <c r="CVC33" s="1882"/>
      <c r="CVD33" s="1882"/>
      <c r="CVF33" s="1887"/>
      <c r="CVG33" s="1888"/>
      <c r="CVH33" s="1882"/>
      <c r="CVI33" s="1882"/>
      <c r="CVJ33" s="1882"/>
      <c r="CVL33" s="1887"/>
      <c r="CVM33" s="1888"/>
      <c r="CVN33" s="1882"/>
      <c r="CVO33" s="1882"/>
      <c r="CVP33" s="1882"/>
      <c r="CVR33" s="1887"/>
      <c r="CVS33" s="1888"/>
      <c r="CVT33" s="1882"/>
      <c r="CVU33" s="1882"/>
      <c r="CVV33" s="1882"/>
      <c r="CVX33" s="1887"/>
      <c r="CVY33" s="1888"/>
      <c r="CVZ33" s="1882"/>
      <c r="CWA33" s="1882"/>
      <c r="CWB33" s="1882"/>
      <c r="CWD33" s="1887"/>
      <c r="CWE33" s="1888"/>
      <c r="CWF33" s="1882"/>
      <c r="CWG33" s="1882"/>
      <c r="CWH33" s="1882"/>
      <c r="CWJ33" s="1887"/>
      <c r="CWK33" s="1888"/>
      <c r="CWL33" s="1882"/>
      <c r="CWM33" s="1882"/>
      <c r="CWN33" s="1882"/>
      <c r="CWP33" s="1887"/>
      <c r="CWQ33" s="1888"/>
      <c r="CWR33" s="1882"/>
      <c r="CWS33" s="1882"/>
      <c r="CWT33" s="1882"/>
      <c r="CWV33" s="1887"/>
      <c r="CWW33" s="1888"/>
      <c r="CWX33" s="1882"/>
      <c r="CWY33" s="1882"/>
      <c r="CWZ33" s="1882"/>
      <c r="CXB33" s="1887"/>
      <c r="CXC33" s="1888"/>
      <c r="CXD33" s="1882"/>
      <c r="CXE33" s="1882"/>
      <c r="CXF33" s="1882"/>
      <c r="CXH33" s="1887"/>
      <c r="CXI33" s="1888"/>
      <c r="CXJ33" s="1882"/>
      <c r="CXK33" s="1882"/>
      <c r="CXL33" s="1882"/>
      <c r="CXN33" s="1887"/>
      <c r="CXO33" s="1888"/>
      <c r="CXP33" s="1882"/>
      <c r="CXQ33" s="1882"/>
      <c r="CXR33" s="1882"/>
      <c r="CXT33" s="1887"/>
      <c r="CXU33" s="1888"/>
      <c r="CXV33" s="1882"/>
      <c r="CXW33" s="1882"/>
      <c r="CXX33" s="1882"/>
      <c r="CXZ33" s="1887"/>
      <c r="CYA33" s="1888"/>
      <c r="CYB33" s="1882"/>
      <c r="CYC33" s="1882"/>
      <c r="CYD33" s="1882"/>
      <c r="CYF33" s="1887"/>
      <c r="CYG33" s="1888"/>
      <c r="CYH33" s="1882"/>
      <c r="CYI33" s="1882"/>
      <c r="CYJ33" s="1882"/>
      <c r="CYL33" s="1887"/>
      <c r="CYM33" s="1888"/>
      <c r="CYN33" s="1882"/>
      <c r="CYO33" s="1882"/>
      <c r="CYP33" s="1882"/>
      <c r="CYR33" s="1887"/>
      <c r="CYS33" s="1888"/>
      <c r="CYT33" s="1882"/>
      <c r="CYU33" s="1882"/>
      <c r="CYV33" s="1882"/>
      <c r="CYX33" s="1887"/>
      <c r="CYY33" s="1888"/>
      <c r="CYZ33" s="1882"/>
      <c r="CZA33" s="1882"/>
      <c r="CZB33" s="1882"/>
      <c r="CZD33" s="1887"/>
      <c r="CZE33" s="1888"/>
      <c r="CZF33" s="1882"/>
      <c r="CZG33" s="1882"/>
      <c r="CZH33" s="1882"/>
      <c r="CZJ33" s="1887"/>
      <c r="CZK33" s="1888"/>
      <c r="CZL33" s="1882"/>
      <c r="CZM33" s="1882"/>
      <c r="CZN33" s="1882"/>
      <c r="CZP33" s="1887"/>
      <c r="CZQ33" s="1888"/>
      <c r="CZR33" s="1882"/>
      <c r="CZS33" s="1882"/>
      <c r="CZT33" s="1882"/>
      <c r="CZV33" s="1887"/>
      <c r="CZW33" s="1888"/>
      <c r="CZX33" s="1882"/>
      <c r="CZY33" s="1882"/>
      <c r="CZZ33" s="1882"/>
      <c r="DAB33" s="1887"/>
      <c r="DAC33" s="1888"/>
      <c r="DAD33" s="1882"/>
      <c r="DAE33" s="1882"/>
      <c r="DAF33" s="1882"/>
      <c r="DAH33" s="1887"/>
      <c r="DAI33" s="1888"/>
      <c r="DAJ33" s="1882"/>
      <c r="DAK33" s="1882"/>
      <c r="DAL33" s="1882"/>
      <c r="DAN33" s="1887"/>
      <c r="DAO33" s="1888"/>
      <c r="DAP33" s="1882"/>
      <c r="DAQ33" s="1882"/>
      <c r="DAR33" s="1882"/>
      <c r="DAT33" s="1887"/>
      <c r="DAU33" s="1888"/>
      <c r="DAV33" s="1882"/>
      <c r="DAW33" s="1882"/>
      <c r="DAX33" s="1882"/>
      <c r="DAZ33" s="1887"/>
      <c r="DBA33" s="1888"/>
      <c r="DBB33" s="1882"/>
      <c r="DBC33" s="1882"/>
      <c r="DBD33" s="1882"/>
      <c r="DBF33" s="1887"/>
      <c r="DBG33" s="1888"/>
      <c r="DBH33" s="1882"/>
      <c r="DBI33" s="1882"/>
      <c r="DBJ33" s="1882"/>
      <c r="DBL33" s="1887"/>
      <c r="DBM33" s="1888"/>
      <c r="DBN33" s="1882"/>
      <c r="DBO33" s="1882"/>
      <c r="DBP33" s="1882"/>
      <c r="DBR33" s="1887"/>
      <c r="DBS33" s="1888"/>
      <c r="DBT33" s="1882"/>
      <c r="DBU33" s="1882"/>
      <c r="DBV33" s="1882"/>
      <c r="DBX33" s="1887"/>
      <c r="DBY33" s="1888"/>
      <c r="DBZ33" s="1882"/>
      <c r="DCA33" s="1882"/>
      <c r="DCB33" s="1882"/>
      <c r="DCD33" s="1887"/>
      <c r="DCE33" s="1888"/>
      <c r="DCF33" s="1882"/>
      <c r="DCG33" s="1882"/>
      <c r="DCH33" s="1882"/>
      <c r="DCJ33" s="1887"/>
      <c r="DCK33" s="1888"/>
      <c r="DCL33" s="1882"/>
      <c r="DCM33" s="1882"/>
      <c r="DCN33" s="1882"/>
      <c r="DCP33" s="1887"/>
      <c r="DCQ33" s="1888"/>
      <c r="DCR33" s="1882"/>
      <c r="DCS33" s="1882"/>
      <c r="DCT33" s="1882"/>
      <c r="DCV33" s="1887"/>
      <c r="DCW33" s="1888"/>
      <c r="DCX33" s="1882"/>
      <c r="DCY33" s="1882"/>
      <c r="DCZ33" s="1882"/>
      <c r="DDB33" s="1887"/>
      <c r="DDC33" s="1888"/>
      <c r="DDD33" s="1882"/>
      <c r="DDE33" s="1882"/>
      <c r="DDF33" s="1882"/>
      <c r="DDH33" s="1887"/>
      <c r="DDI33" s="1888"/>
      <c r="DDJ33" s="1882"/>
      <c r="DDK33" s="1882"/>
      <c r="DDL33" s="1882"/>
      <c r="DDN33" s="1887"/>
      <c r="DDO33" s="1888"/>
      <c r="DDP33" s="1882"/>
      <c r="DDQ33" s="1882"/>
      <c r="DDR33" s="1882"/>
      <c r="DDT33" s="1887"/>
      <c r="DDU33" s="1888"/>
      <c r="DDV33" s="1882"/>
      <c r="DDW33" s="1882"/>
      <c r="DDX33" s="1882"/>
      <c r="DDZ33" s="1887"/>
      <c r="DEA33" s="1888"/>
      <c r="DEB33" s="1882"/>
      <c r="DEC33" s="1882"/>
      <c r="DED33" s="1882"/>
      <c r="DEF33" s="1887"/>
      <c r="DEG33" s="1888"/>
      <c r="DEH33" s="1882"/>
      <c r="DEI33" s="1882"/>
      <c r="DEJ33" s="1882"/>
      <c r="DEL33" s="1887"/>
      <c r="DEM33" s="1888"/>
      <c r="DEN33" s="1882"/>
      <c r="DEO33" s="1882"/>
      <c r="DEP33" s="1882"/>
      <c r="DER33" s="1887"/>
      <c r="DES33" s="1888"/>
      <c r="DET33" s="1882"/>
      <c r="DEU33" s="1882"/>
      <c r="DEV33" s="1882"/>
      <c r="DEX33" s="1887"/>
      <c r="DEY33" s="1888"/>
      <c r="DEZ33" s="1882"/>
      <c r="DFA33" s="1882"/>
      <c r="DFB33" s="1882"/>
      <c r="DFD33" s="1887"/>
      <c r="DFE33" s="1888"/>
      <c r="DFF33" s="1882"/>
      <c r="DFG33" s="1882"/>
      <c r="DFH33" s="1882"/>
      <c r="DFJ33" s="1887"/>
      <c r="DFK33" s="1888"/>
      <c r="DFL33" s="1882"/>
      <c r="DFM33" s="1882"/>
      <c r="DFN33" s="1882"/>
      <c r="DFP33" s="1887"/>
      <c r="DFQ33" s="1888"/>
      <c r="DFR33" s="1882"/>
      <c r="DFS33" s="1882"/>
      <c r="DFT33" s="1882"/>
      <c r="DFV33" s="1887"/>
      <c r="DFW33" s="1888"/>
      <c r="DFX33" s="1882"/>
      <c r="DFY33" s="1882"/>
      <c r="DFZ33" s="1882"/>
      <c r="DGB33" s="1887"/>
      <c r="DGC33" s="1888"/>
      <c r="DGD33" s="1882"/>
      <c r="DGE33" s="1882"/>
      <c r="DGF33" s="1882"/>
      <c r="DGH33" s="1887"/>
      <c r="DGI33" s="1888"/>
      <c r="DGJ33" s="1882"/>
      <c r="DGK33" s="1882"/>
      <c r="DGL33" s="1882"/>
      <c r="DGN33" s="1887"/>
      <c r="DGO33" s="1888"/>
      <c r="DGP33" s="1882"/>
      <c r="DGQ33" s="1882"/>
      <c r="DGR33" s="1882"/>
      <c r="DGT33" s="1887"/>
      <c r="DGU33" s="1888"/>
      <c r="DGV33" s="1882"/>
      <c r="DGW33" s="1882"/>
      <c r="DGX33" s="1882"/>
      <c r="DGZ33" s="1887"/>
      <c r="DHA33" s="1888"/>
      <c r="DHB33" s="1882"/>
      <c r="DHC33" s="1882"/>
      <c r="DHD33" s="1882"/>
      <c r="DHF33" s="1887"/>
      <c r="DHG33" s="1888"/>
      <c r="DHH33" s="1882"/>
      <c r="DHI33" s="1882"/>
      <c r="DHJ33" s="1882"/>
      <c r="DHL33" s="1887"/>
      <c r="DHM33" s="1888"/>
      <c r="DHN33" s="1882"/>
      <c r="DHO33" s="1882"/>
      <c r="DHP33" s="1882"/>
      <c r="DHR33" s="1887"/>
      <c r="DHS33" s="1888"/>
      <c r="DHT33" s="1882"/>
      <c r="DHU33" s="1882"/>
      <c r="DHV33" s="1882"/>
      <c r="DHX33" s="1887"/>
      <c r="DHY33" s="1888"/>
      <c r="DHZ33" s="1882"/>
      <c r="DIA33" s="1882"/>
      <c r="DIB33" s="1882"/>
      <c r="DID33" s="1887"/>
      <c r="DIE33" s="1888"/>
      <c r="DIF33" s="1882"/>
      <c r="DIG33" s="1882"/>
      <c r="DIH33" s="1882"/>
      <c r="DIJ33" s="1887"/>
      <c r="DIK33" s="1888"/>
      <c r="DIL33" s="1882"/>
      <c r="DIM33" s="1882"/>
      <c r="DIN33" s="1882"/>
      <c r="DIP33" s="1887"/>
      <c r="DIQ33" s="1888"/>
      <c r="DIR33" s="1882"/>
      <c r="DIS33" s="1882"/>
      <c r="DIT33" s="1882"/>
      <c r="DIV33" s="1887"/>
      <c r="DIW33" s="1888"/>
      <c r="DIX33" s="1882"/>
      <c r="DIY33" s="1882"/>
      <c r="DIZ33" s="1882"/>
      <c r="DJB33" s="1887"/>
      <c r="DJC33" s="1888"/>
      <c r="DJD33" s="1882"/>
      <c r="DJE33" s="1882"/>
      <c r="DJF33" s="1882"/>
      <c r="DJH33" s="1887"/>
      <c r="DJI33" s="1888"/>
      <c r="DJJ33" s="1882"/>
      <c r="DJK33" s="1882"/>
      <c r="DJL33" s="1882"/>
      <c r="DJN33" s="1887"/>
      <c r="DJO33" s="1888"/>
      <c r="DJP33" s="1882"/>
      <c r="DJQ33" s="1882"/>
      <c r="DJR33" s="1882"/>
      <c r="DJT33" s="1887"/>
      <c r="DJU33" s="1888"/>
      <c r="DJV33" s="1882"/>
      <c r="DJW33" s="1882"/>
      <c r="DJX33" s="1882"/>
      <c r="DJZ33" s="1887"/>
      <c r="DKA33" s="1888"/>
      <c r="DKB33" s="1882"/>
      <c r="DKC33" s="1882"/>
      <c r="DKD33" s="1882"/>
      <c r="DKF33" s="1887"/>
      <c r="DKG33" s="1888"/>
      <c r="DKH33" s="1882"/>
      <c r="DKI33" s="1882"/>
      <c r="DKJ33" s="1882"/>
      <c r="DKL33" s="1887"/>
      <c r="DKM33" s="1888"/>
      <c r="DKN33" s="1882"/>
      <c r="DKO33" s="1882"/>
      <c r="DKP33" s="1882"/>
      <c r="DKR33" s="1887"/>
      <c r="DKS33" s="1888"/>
      <c r="DKT33" s="1882"/>
      <c r="DKU33" s="1882"/>
      <c r="DKV33" s="1882"/>
      <c r="DKX33" s="1887"/>
      <c r="DKY33" s="1888"/>
      <c r="DKZ33" s="1882"/>
      <c r="DLA33" s="1882"/>
      <c r="DLB33" s="1882"/>
      <c r="DLD33" s="1887"/>
      <c r="DLE33" s="1888"/>
      <c r="DLF33" s="1882"/>
      <c r="DLG33" s="1882"/>
      <c r="DLH33" s="1882"/>
      <c r="DLJ33" s="1887"/>
      <c r="DLK33" s="1888"/>
      <c r="DLL33" s="1882"/>
      <c r="DLM33" s="1882"/>
      <c r="DLN33" s="1882"/>
      <c r="DLP33" s="1887"/>
      <c r="DLQ33" s="1888"/>
      <c r="DLR33" s="1882"/>
      <c r="DLS33" s="1882"/>
      <c r="DLT33" s="1882"/>
      <c r="DLV33" s="1887"/>
      <c r="DLW33" s="1888"/>
      <c r="DLX33" s="1882"/>
      <c r="DLY33" s="1882"/>
      <c r="DLZ33" s="1882"/>
      <c r="DMB33" s="1887"/>
      <c r="DMC33" s="1888"/>
      <c r="DMD33" s="1882"/>
      <c r="DME33" s="1882"/>
      <c r="DMF33" s="1882"/>
      <c r="DMH33" s="1887"/>
      <c r="DMI33" s="1888"/>
      <c r="DMJ33" s="1882"/>
      <c r="DMK33" s="1882"/>
      <c r="DML33" s="1882"/>
      <c r="DMN33" s="1887"/>
      <c r="DMO33" s="1888"/>
      <c r="DMP33" s="1882"/>
      <c r="DMQ33" s="1882"/>
      <c r="DMR33" s="1882"/>
      <c r="DMT33" s="1887"/>
      <c r="DMU33" s="1888"/>
      <c r="DMV33" s="1882"/>
      <c r="DMW33" s="1882"/>
      <c r="DMX33" s="1882"/>
      <c r="DMZ33" s="1887"/>
      <c r="DNA33" s="1888"/>
      <c r="DNB33" s="1882"/>
      <c r="DNC33" s="1882"/>
      <c r="DND33" s="1882"/>
      <c r="DNF33" s="1887"/>
      <c r="DNG33" s="1888"/>
      <c r="DNH33" s="1882"/>
      <c r="DNI33" s="1882"/>
      <c r="DNJ33" s="1882"/>
      <c r="DNL33" s="1887"/>
      <c r="DNM33" s="1888"/>
      <c r="DNN33" s="1882"/>
      <c r="DNO33" s="1882"/>
      <c r="DNP33" s="1882"/>
      <c r="DNR33" s="1887"/>
      <c r="DNS33" s="1888"/>
      <c r="DNT33" s="1882"/>
      <c r="DNU33" s="1882"/>
      <c r="DNV33" s="1882"/>
      <c r="DNX33" s="1887"/>
      <c r="DNY33" s="1888"/>
      <c r="DNZ33" s="1882"/>
      <c r="DOA33" s="1882"/>
      <c r="DOB33" s="1882"/>
      <c r="DOD33" s="1887"/>
      <c r="DOE33" s="1888"/>
      <c r="DOF33" s="1882"/>
      <c r="DOG33" s="1882"/>
      <c r="DOH33" s="1882"/>
      <c r="DOJ33" s="1887"/>
      <c r="DOK33" s="1888"/>
      <c r="DOL33" s="1882"/>
      <c r="DOM33" s="1882"/>
      <c r="DON33" s="1882"/>
      <c r="DOP33" s="1887"/>
      <c r="DOQ33" s="1888"/>
      <c r="DOR33" s="1882"/>
      <c r="DOS33" s="1882"/>
      <c r="DOT33" s="1882"/>
      <c r="DOV33" s="1887"/>
      <c r="DOW33" s="1888"/>
      <c r="DOX33" s="1882"/>
      <c r="DOY33" s="1882"/>
      <c r="DOZ33" s="1882"/>
      <c r="DPB33" s="1887"/>
      <c r="DPC33" s="1888"/>
      <c r="DPD33" s="1882"/>
      <c r="DPE33" s="1882"/>
      <c r="DPF33" s="1882"/>
      <c r="DPH33" s="1887"/>
      <c r="DPI33" s="1888"/>
      <c r="DPJ33" s="1882"/>
      <c r="DPK33" s="1882"/>
      <c r="DPL33" s="1882"/>
      <c r="DPN33" s="1887"/>
      <c r="DPO33" s="1888"/>
      <c r="DPP33" s="1882"/>
      <c r="DPQ33" s="1882"/>
      <c r="DPR33" s="1882"/>
      <c r="DPT33" s="1887"/>
      <c r="DPU33" s="1888"/>
      <c r="DPV33" s="1882"/>
      <c r="DPW33" s="1882"/>
      <c r="DPX33" s="1882"/>
      <c r="DPZ33" s="1887"/>
      <c r="DQA33" s="1888"/>
      <c r="DQB33" s="1882"/>
      <c r="DQC33" s="1882"/>
      <c r="DQD33" s="1882"/>
      <c r="DQF33" s="1887"/>
      <c r="DQG33" s="1888"/>
      <c r="DQH33" s="1882"/>
      <c r="DQI33" s="1882"/>
      <c r="DQJ33" s="1882"/>
      <c r="DQL33" s="1887"/>
      <c r="DQM33" s="1888"/>
      <c r="DQN33" s="1882"/>
      <c r="DQO33" s="1882"/>
      <c r="DQP33" s="1882"/>
      <c r="DQR33" s="1887"/>
      <c r="DQS33" s="1888"/>
      <c r="DQT33" s="1882"/>
      <c r="DQU33" s="1882"/>
      <c r="DQV33" s="1882"/>
      <c r="DQX33" s="1887"/>
      <c r="DQY33" s="1888"/>
      <c r="DQZ33" s="1882"/>
      <c r="DRA33" s="1882"/>
      <c r="DRB33" s="1882"/>
      <c r="DRD33" s="1887"/>
      <c r="DRE33" s="1888"/>
      <c r="DRF33" s="1882"/>
      <c r="DRG33" s="1882"/>
      <c r="DRH33" s="1882"/>
      <c r="DRJ33" s="1887"/>
      <c r="DRK33" s="1888"/>
      <c r="DRL33" s="1882"/>
      <c r="DRM33" s="1882"/>
      <c r="DRN33" s="1882"/>
      <c r="DRP33" s="1887"/>
      <c r="DRQ33" s="1888"/>
      <c r="DRR33" s="1882"/>
      <c r="DRS33" s="1882"/>
      <c r="DRT33" s="1882"/>
      <c r="DRV33" s="1887"/>
      <c r="DRW33" s="1888"/>
      <c r="DRX33" s="1882"/>
      <c r="DRY33" s="1882"/>
      <c r="DRZ33" s="1882"/>
      <c r="DSB33" s="1887"/>
      <c r="DSC33" s="1888"/>
      <c r="DSD33" s="1882"/>
      <c r="DSE33" s="1882"/>
      <c r="DSF33" s="1882"/>
      <c r="DSH33" s="1887"/>
      <c r="DSI33" s="1888"/>
      <c r="DSJ33" s="1882"/>
      <c r="DSK33" s="1882"/>
      <c r="DSL33" s="1882"/>
      <c r="DSN33" s="1887"/>
      <c r="DSO33" s="1888"/>
      <c r="DSP33" s="1882"/>
      <c r="DSQ33" s="1882"/>
      <c r="DSR33" s="1882"/>
      <c r="DST33" s="1887"/>
      <c r="DSU33" s="1888"/>
      <c r="DSV33" s="1882"/>
      <c r="DSW33" s="1882"/>
      <c r="DSX33" s="1882"/>
      <c r="DSZ33" s="1887"/>
      <c r="DTA33" s="1888"/>
      <c r="DTB33" s="1882"/>
      <c r="DTC33" s="1882"/>
      <c r="DTD33" s="1882"/>
      <c r="DTF33" s="1887"/>
      <c r="DTG33" s="1888"/>
      <c r="DTH33" s="1882"/>
      <c r="DTI33" s="1882"/>
      <c r="DTJ33" s="1882"/>
      <c r="DTL33" s="1887"/>
      <c r="DTM33" s="1888"/>
      <c r="DTN33" s="1882"/>
      <c r="DTO33" s="1882"/>
      <c r="DTP33" s="1882"/>
      <c r="DTR33" s="1887"/>
      <c r="DTS33" s="1888"/>
      <c r="DTT33" s="1882"/>
      <c r="DTU33" s="1882"/>
      <c r="DTV33" s="1882"/>
      <c r="DTX33" s="1887"/>
      <c r="DTY33" s="1888"/>
      <c r="DTZ33" s="1882"/>
      <c r="DUA33" s="1882"/>
      <c r="DUB33" s="1882"/>
      <c r="DUD33" s="1887"/>
      <c r="DUE33" s="1888"/>
      <c r="DUF33" s="1882"/>
      <c r="DUG33" s="1882"/>
      <c r="DUH33" s="1882"/>
      <c r="DUJ33" s="1887"/>
      <c r="DUK33" s="1888"/>
      <c r="DUL33" s="1882"/>
      <c r="DUM33" s="1882"/>
      <c r="DUN33" s="1882"/>
      <c r="DUP33" s="1887"/>
      <c r="DUQ33" s="1888"/>
      <c r="DUR33" s="1882"/>
      <c r="DUS33" s="1882"/>
      <c r="DUT33" s="1882"/>
      <c r="DUV33" s="1887"/>
      <c r="DUW33" s="1888"/>
      <c r="DUX33" s="1882"/>
      <c r="DUY33" s="1882"/>
      <c r="DUZ33" s="1882"/>
      <c r="DVB33" s="1887"/>
      <c r="DVC33" s="1888"/>
      <c r="DVD33" s="1882"/>
      <c r="DVE33" s="1882"/>
      <c r="DVF33" s="1882"/>
      <c r="DVH33" s="1887"/>
      <c r="DVI33" s="1888"/>
      <c r="DVJ33" s="1882"/>
      <c r="DVK33" s="1882"/>
      <c r="DVL33" s="1882"/>
      <c r="DVN33" s="1887"/>
      <c r="DVO33" s="1888"/>
      <c r="DVP33" s="1882"/>
      <c r="DVQ33" s="1882"/>
      <c r="DVR33" s="1882"/>
      <c r="DVT33" s="1887"/>
      <c r="DVU33" s="1888"/>
      <c r="DVV33" s="1882"/>
      <c r="DVW33" s="1882"/>
      <c r="DVX33" s="1882"/>
      <c r="DVZ33" s="1887"/>
      <c r="DWA33" s="1888"/>
      <c r="DWB33" s="1882"/>
      <c r="DWC33" s="1882"/>
      <c r="DWD33" s="1882"/>
      <c r="DWF33" s="1887"/>
      <c r="DWG33" s="1888"/>
      <c r="DWH33" s="1882"/>
      <c r="DWI33" s="1882"/>
      <c r="DWJ33" s="1882"/>
      <c r="DWL33" s="1887"/>
      <c r="DWM33" s="1888"/>
      <c r="DWN33" s="1882"/>
      <c r="DWO33" s="1882"/>
      <c r="DWP33" s="1882"/>
      <c r="DWR33" s="1887"/>
      <c r="DWS33" s="1888"/>
      <c r="DWT33" s="1882"/>
      <c r="DWU33" s="1882"/>
      <c r="DWV33" s="1882"/>
      <c r="DWX33" s="1887"/>
      <c r="DWY33" s="1888"/>
      <c r="DWZ33" s="1882"/>
      <c r="DXA33" s="1882"/>
      <c r="DXB33" s="1882"/>
      <c r="DXD33" s="1887"/>
      <c r="DXE33" s="1888"/>
      <c r="DXF33" s="1882"/>
      <c r="DXG33" s="1882"/>
      <c r="DXH33" s="1882"/>
      <c r="DXJ33" s="1887"/>
      <c r="DXK33" s="1888"/>
      <c r="DXL33" s="1882"/>
      <c r="DXM33" s="1882"/>
      <c r="DXN33" s="1882"/>
      <c r="DXP33" s="1887"/>
      <c r="DXQ33" s="1888"/>
      <c r="DXR33" s="1882"/>
      <c r="DXS33" s="1882"/>
      <c r="DXT33" s="1882"/>
      <c r="DXV33" s="1887"/>
      <c r="DXW33" s="1888"/>
      <c r="DXX33" s="1882"/>
      <c r="DXY33" s="1882"/>
      <c r="DXZ33" s="1882"/>
      <c r="DYB33" s="1887"/>
      <c r="DYC33" s="1888"/>
      <c r="DYD33" s="1882"/>
      <c r="DYE33" s="1882"/>
      <c r="DYF33" s="1882"/>
      <c r="DYH33" s="1887"/>
      <c r="DYI33" s="1888"/>
      <c r="DYJ33" s="1882"/>
      <c r="DYK33" s="1882"/>
      <c r="DYL33" s="1882"/>
      <c r="DYN33" s="1887"/>
      <c r="DYO33" s="1888"/>
      <c r="DYP33" s="1882"/>
      <c r="DYQ33" s="1882"/>
      <c r="DYR33" s="1882"/>
      <c r="DYT33" s="1887"/>
      <c r="DYU33" s="1888"/>
      <c r="DYV33" s="1882"/>
      <c r="DYW33" s="1882"/>
      <c r="DYX33" s="1882"/>
      <c r="DYZ33" s="1887"/>
      <c r="DZA33" s="1888"/>
      <c r="DZB33" s="1882"/>
      <c r="DZC33" s="1882"/>
      <c r="DZD33" s="1882"/>
      <c r="DZF33" s="1887"/>
      <c r="DZG33" s="1888"/>
      <c r="DZH33" s="1882"/>
      <c r="DZI33" s="1882"/>
      <c r="DZJ33" s="1882"/>
      <c r="DZL33" s="1887"/>
      <c r="DZM33" s="1888"/>
      <c r="DZN33" s="1882"/>
      <c r="DZO33" s="1882"/>
      <c r="DZP33" s="1882"/>
      <c r="DZR33" s="1887"/>
      <c r="DZS33" s="1888"/>
      <c r="DZT33" s="1882"/>
      <c r="DZU33" s="1882"/>
      <c r="DZV33" s="1882"/>
      <c r="DZX33" s="1887"/>
      <c r="DZY33" s="1888"/>
      <c r="DZZ33" s="1882"/>
      <c r="EAA33" s="1882"/>
      <c r="EAB33" s="1882"/>
      <c r="EAD33" s="1887"/>
      <c r="EAE33" s="1888"/>
      <c r="EAF33" s="1882"/>
      <c r="EAG33" s="1882"/>
      <c r="EAH33" s="1882"/>
      <c r="EAJ33" s="1887"/>
      <c r="EAK33" s="1888"/>
      <c r="EAL33" s="1882"/>
      <c r="EAM33" s="1882"/>
      <c r="EAN33" s="1882"/>
      <c r="EAP33" s="1887"/>
      <c r="EAQ33" s="1888"/>
      <c r="EAR33" s="1882"/>
      <c r="EAS33" s="1882"/>
      <c r="EAT33" s="1882"/>
      <c r="EAV33" s="1887"/>
      <c r="EAW33" s="1888"/>
      <c r="EAX33" s="1882"/>
      <c r="EAY33" s="1882"/>
      <c r="EAZ33" s="1882"/>
      <c r="EBB33" s="1887"/>
      <c r="EBC33" s="1888"/>
      <c r="EBD33" s="1882"/>
      <c r="EBE33" s="1882"/>
      <c r="EBF33" s="1882"/>
      <c r="EBH33" s="1887"/>
      <c r="EBI33" s="1888"/>
      <c r="EBJ33" s="1882"/>
      <c r="EBK33" s="1882"/>
      <c r="EBL33" s="1882"/>
      <c r="EBN33" s="1887"/>
      <c r="EBO33" s="1888"/>
      <c r="EBP33" s="1882"/>
      <c r="EBQ33" s="1882"/>
      <c r="EBR33" s="1882"/>
      <c r="EBT33" s="1887"/>
      <c r="EBU33" s="1888"/>
      <c r="EBV33" s="1882"/>
      <c r="EBW33" s="1882"/>
      <c r="EBX33" s="1882"/>
      <c r="EBZ33" s="1887"/>
      <c r="ECA33" s="1888"/>
      <c r="ECB33" s="1882"/>
      <c r="ECC33" s="1882"/>
      <c r="ECD33" s="1882"/>
      <c r="ECF33" s="1887"/>
      <c r="ECG33" s="1888"/>
      <c r="ECH33" s="1882"/>
      <c r="ECI33" s="1882"/>
      <c r="ECJ33" s="1882"/>
      <c r="ECL33" s="1887"/>
      <c r="ECM33" s="1888"/>
      <c r="ECN33" s="1882"/>
      <c r="ECO33" s="1882"/>
      <c r="ECP33" s="1882"/>
      <c r="ECR33" s="1887"/>
      <c r="ECS33" s="1888"/>
      <c r="ECT33" s="1882"/>
      <c r="ECU33" s="1882"/>
      <c r="ECV33" s="1882"/>
      <c r="ECX33" s="1887"/>
      <c r="ECY33" s="1888"/>
      <c r="ECZ33" s="1882"/>
      <c r="EDA33" s="1882"/>
      <c r="EDB33" s="1882"/>
      <c r="EDD33" s="1887"/>
      <c r="EDE33" s="1888"/>
      <c r="EDF33" s="1882"/>
      <c r="EDG33" s="1882"/>
      <c r="EDH33" s="1882"/>
      <c r="EDJ33" s="1887"/>
      <c r="EDK33" s="1888"/>
      <c r="EDL33" s="1882"/>
      <c r="EDM33" s="1882"/>
      <c r="EDN33" s="1882"/>
      <c r="EDP33" s="1887"/>
      <c r="EDQ33" s="1888"/>
      <c r="EDR33" s="1882"/>
      <c r="EDS33" s="1882"/>
      <c r="EDT33" s="1882"/>
      <c r="EDV33" s="1887"/>
      <c r="EDW33" s="1888"/>
      <c r="EDX33" s="1882"/>
      <c r="EDY33" s="1882"/>
      <c r="EDZ33" s="1882"/>
      <c r="EEB33" s="1887"/>
      <c r="EEC33" s="1888"/>
      <c r="EED33" s="1882"/>
      <c r="EEE33" s="1882"/>
      <c r="EEF33" s="1882"/>
      <c r="EEH33" s="1887"/>
      <c r="EEI33" s="1888"/>
      <c r="EEJ33" s="1882"/>
      <c r="EEK33" s="1882"/>
      <c r="EEL33" s="1882"/>
      <c r="EEN33" s="1887"/>
      <c r="EEO33" s="1888"/>
      <c r="EEP33" s="1882"/>
      <c r="EEQ33" s="1882"/>
      <c r="EER33" s="1882"/>
      <c r="EET33" s="1887"/>
      <c r="EEU33" s="1888"/>
      <c r="EEV33" s="1882"/>
      <c r="EEW33" s="1882"/>
      <c r="EEX33" s="1882"/>
      <c r="EEZ33" s="1887"/>
      <c r="EFA33" s="1888"/>
      <c r="EFB33" s="1882"/>
      <c r="EFC33" s="1882"/>
      <c r="EFD33" s="1882"/>
      <c r="EFF33" s="1887"/>
      <c r="EFG33" s="1888"/>
      <c r="EFH33" s="1882"/>
      <c r="EFI33" s="1882"/>
      <c r="EFJ33" s="1882"/>
      <c r="EFL33" s="1887"/>
      <c r="EFM33" s="1888"/>
      <c r="EFN33" s="1882"/>
      <c r="EFO33" s="1882"/>
      <c r="EFP33" s="1882"/>
      <c r="EFR33" s="1887"/>
      <c r="EFS33" s="1888"/>
      <c r="EFT33" s="1882"/>
      <c r="EFU33" s="1882"/>
      <c r="EFV33" s="1882"/>
      <c r="EFX33" s="1887"/>
      <c r="EFY33" s="1888"/>
      <c r="EFZ33" s="1882"/>
      <c r="EGA33" s="1882"/>
      <c r="EGB33" s="1882"/>
      <c r="EGD33" s="1887"/>
      <c r="EGE33" s="1888"/>
      <c r="EGF33" s="1882"/>
      <c r="EGG33" s="1882"/>
      <c r="EGH33" s="1882"/>
      <c r="EGJ33" s="1887"/>
      <c r="EGK33" s="1888"/>
      <c r="EGL33" s="1882"/>
      <c r="EGM33" s="1882"/>
      <c r="EGN33" s="1882"/>
      <c r="EGP33" s="1887"/>
      <c r="EGQ33" s="1888"/>
      <c r="EGR33" s="1882"/>
      <c r="EGS33" s="1882"/>
      <c r="EGT33" s="1882"/>
      <c r="EGV33" s="1887"/>
      <c r="EGW33" s="1888"/>
      <c r="EGX33" s="1882"/>
      <c r="EGY33" s="1882"/>
      <c r="EGZ33" s="1882"/>
      <c r="EHB33" s="1887"/>
      <c r="EHC33" s="1888"/>
      <c r="EHD33" s="1882"/>
      <c r="EHE33" s="1882"/>
      <c r="EHF33" s="1882"/>
      <c r="EHH33" s="1887"/>
      <c r="EHI33" s="1888"/>
      <c r="EHJ33" s="1882"/>
      <c r="EHK33" s="1882"/>
      <c r="EHL33" s="1882"/>
      <c r="EHN33" s="1887"/>
      <c r="EHO33" s="1888"/>
      <c r="EHP33" s="1882"/>
      <c r="EHQ33" s="1882"/>
      <c r="EHR33" s="1882"/>
      <c r="EHT33" s="1887"/>
      <c r="EHU33" s="1888"/>
      <c r="EHV33" s="1882"/>
      <c r="EHW33" s="1882"/>
      <c r="EHX33" s="1882"/>
      <c r="EHZ33" s="1887"/>
      <c r="EIA33" s="1888"/>
      <c r="EIB33" s="1882"/>
      <c r="EIC33" s="1882"/>
      <c r="EID33" s="1882"/>
      <c r="EIF33" s="1887"/>
      <c r="EIG33" s="1888"/>
      <c r="EIH33" s="1882"/>
      <c r="EII33" s="1882"/>
      <c r="EIJ33" s="1882"/>
      <c r="EIL33" s="1887"/>
      <c r="EIM33" s="1888"/>
      <c r="EIN33" s="1882"/>
      <c r="EIO33" s="1882"/>
      <c r="EIP33" s="1882"/>
      <c r="EIR33" s="1887"/>
      <c r="EIS33" s="1888"/>
      <c r="EIT33" s="1882"/>
      <c r="EIU33" s="1882"/>
      <c r="EIV33" s="1882"/>
      <c r="EIX33" s="1887"/>
      <c r="EIY33" s="1888"/>
      <c r="EIZ33" s="1882"/>
      <c r="EJA33" s="1882"/>
      <c r="EJB33" s="1882"/>
      <c r="EJD33" s="1887"/>
      <c r="EJE33" s="1888"/>
      <c r="EJF33" s="1882"/>
      <c r="EJG33" s="1882"/>
      <c r="EJH33" s="1882"/>
      <c r="EJJ33" s="1887"/>
      <c r="EJK33" s="1888"/>
      <c r="EJL33" s="1882"/>
      <c r="EJM33" s="1882"/>
      <c r="EJN33" s="1882"/>
      <c r="EJP33" s="1887"/>
      <c r="EJQ33" s="1888"/>
      <c r="EJR33" s="1882"/>
      <c r="EJS33" s="1882"/>
      <c r="EJT33" s="1882"/>
      <c r="EJV33" s="1887"/>
      <c r="EJW33" s="1888"/>
      <c r="EJX33" s="1882"/>
      <c r="EJY33" s="1882"/>
      <c r="EJZ33" s="1882"/>
      <c r="EKB33" s="1887"/>
      <c r="EKC33" s="1888"/>
      <c r="EKD33" s="1882"/>
      <c r="EKE33" s="1882"/>
      <c r="EKF33" s="1882"/>
      <c r="EKH33" s="1887"/>
      <c r="EKI33" s="1888"/>
      <c r="EKJ33" s="1882"/>
      <c r="EKK33" s="1882"/>
      <c r="EKL33" s="1882"/>
      <c r="EKN33" s="1887"/>
      <c r="EKO33" s="1888"/>
      <c r="EKP33" s="1882"/>
      <c r="EKQ33" s="1882"/>
      <c r="EKR33" s="1882"/>
      <c r="EKT33" s="1887"/>
      <c r="EKU33" s="1888"/>
      <c r="EKV33" s="1882"/>
      <c r="EKW33" s="1882"/>
      <c r="EKX33" s="1882"/>
      <c r="EKZ33" s="1887"/>
      <c r="ELA33" s="1888"/>
      <c r="ELB33" s="1882"/>
      <c r="ELC33" s="1882"/>
      <c r="ELD33" s="1882"/>
      <c r="ELF33" s="1887"/>
      <c r="ELG33" s="1888"/>
      <c r="ELH33" s="1882"/>
      <c r="ELI33" s="1882"/>
      <c r="ELJ33" s="1882"/>
      <c r="ELL33" s="1887"/>
      <c r="ELM33" s="1888"/>
      <c r="ELN33" s="1882"/>
      <c r="ELO33" s="1882"/>
      <c r="ELP33" s="1882"/>
      <c r="ELR33" s="1887"/>
      <c r="ELS33" s="1888"/>
      <c r="ELT33" s="1882"/>
      <c r="ELU33" s="1882"/>
      <c r="ELV33" s="1882"/>
      <c r="ELX33" s="1887"/>
      <c r="ELY33" s="1888"/>
      <c r="ELZ33" s="1882"/>
      <c r="EMA33" s="1882"/>
      <c r="EMB33" s="1882"/>
      <c r="EMD33" s="1887"/>
      <c r="EME33" s="1888"/>
      <c r="EMF33" s="1882"/>
      <c r="EMG33" s="1882"/>
      <c r="EMH33" s="1882"/>
      <c r="EMJ33" s="1887"/>
      <c r="EMK33" s="1888"/>
      <c r="EML33" s="1882"/>
      <c r="EMM33" s="1882"/>
      <c r="EMN33" s="1882"/>
      <c r="EMP33" s="1887"/>
      <c r="EMQ33" s="1888"/>
      <c r="EMR33" s="1882"/>
      <c r="EMS33" s="1882"/>
      <c r="EMT33" s="1882"/>
      <c r="EMV33" s="1887"/>
      <c r="EMW33" s="1888"/>
      <c r="EMX33" s="1882"/>
      <c r="EMY33" s="1882"/>
      <c r="EMZ33" s="1882"/>
      <c r="ENB33" s="1887"/>
      <c r="ENC33" s="1888"/>
      <c r="END33" s="1882"/>
      <c r="ENE33" s="1882"/>
      <c r="ENF33" s="1882"/>
      <c r="ENH33" s="1887"/>
      <c r="ENI33" s="1888"/>
      <c r="ENJ33" s="1882"/>
      <c r="ENK33" s="1882"/>
      <c r="ENL33" s="1882"/>
      <c r="ENN33" s="1887"/>
      <c r="ENO33" s="1888"/>
      <c r="ENP33" s="1882"/>
      <c r="ENQ33" s="1882"/>
      <c r="ENR33" s="1882"/>
      <c r="ENT33" s="1887"/>
      <c r="ENU33" s="1888"/>
      <c r="ENV33" s="1882"/>
      <c r="ENW33" s="1882"/>
      <c r="ENX33" s="1882"/>
      <c r="ENZ33" s="1887"/>
      <c r="EOA33" s="1888"/>
      <c r="EOB33" s="1882"/>
      <c r="EOC33" s="1882"/>
      <c r="EOD33" s="1882"/>
      <c r="EOF33" s="1887"/>
      <c r="EOG33" s="1888"/>
      <c r="EOH33" s="1882"/>
      <c r="EOI33" s="1882"/>
      <c r="EOJ33" s="1882"/>
      <c r="EOL33" s="1887"/>
      <c r="EOM33" s="1888"/>
      <c r="EON33" s="1882"/>
      <c r="EOO33" s="1882"/>
      <c r="EOP33" s="1882"/>
      <c r="EOR33" s="1887"/>
      <c r="EOS33" s="1888"/>
      <c r="EOT33" s="1882"/>
      <c r="EOU33" s="1882"/>
      <c r="EOV33" s="1882"/>
      <c r="EOX33" s="1887"/>
      <c r="EOY33" s="1888"/>
      <c r="EOZ33" s="1882"/>
      <c r="EPA33" s="1882"/>
      <c r="EPB33" s="1882"/>
      <c r="EPD33" s="1887"/>
      <c r="EPE33" s="1888"/>
      <c r="EPF33" s="1882"/>
      <c r="EPG33" s="1882"/>
      <c r="EPH33" s="1882"/>
      <c r="EPJ33" s="1887"/>
      <c r="EPK33" s="1888"/>
      <c r="EPL33" s="1882"/>
      <c r="EPM33" s="1882"/>
      <c r="EPN33" s="1882"/>
      <c r="EPP33" s="1887"/>
      <c r="EPQ33" s="1888"/>
      <c r="EPR33" s="1882"/>
      <c r="EPS33" s="1882"/>
      <c r="EPT33" s="1882"/>
      <c r="EPV33" s="1887"/>
      <c r="EPW33" s="1888"/>
      <c r="EPX33" s="1882"/>
      <c r="EPY33" s="1882"/>
      <c r="EPZ33" s="1882"/>
      <c r="EQB33" s="1887"/>
      <c r="EQC33" s="1888"/>
      <c r="EQD33" s="1882"/>
      <c r="EQE33" s="1882"/>
      <c r="EQF33" s="1882"/>
      <c r="EQH33" s="1887"/>
      <c r="EQI33" s="1888"/>
      <c r="EQJ33" s="1882"/>
      <c r="EQK33" s="1882"/>
      <c r="EQL33" s="1882"/>
      <c r="EQN33" s="1887"/>
      <c r="EQO33" s="1888"/>
      <c r="EQP33" s="1882"/>
      <c r="EQQ33" s="1882"/>
      <c r="EQR33" s="1882"/>
      <c r="EQT33" s="1887"/>
      <c r="EQU33" s="1888"/>
      <c r="EQV33" s="1882"/>
      <c r="EQW33" s="1882"/>
      <c r="EQX33" s="1882"/>
      <c r="EQZ33" s="1887"/>
      <c r="ERA33" s="1888"/>
      <c r="ERB33" s="1882"/>
      <c r="ERC33" s="1882"/>
      <c r="ERD33" s="1882"/>
      <c r="ERF33" s="1887"/>
      <c r="ERG33" s="1888"/>
      <c r="ERH33" s="1882"/>
      <c r="ERI33" s="1882"/>
      <c r="ERJ33" s="1882"/>
      <c r="ERL33" s="1887"/>
      <c r="ERM33" s="1888"/>
      <c r="ERN33" s="1882"/>
      <c r="ERO33" s="1882"/>
      <c r="ERP33" s="1882"/>
      <c r="ERR33" s="1887"/>
      <c r="ERS33" s="1888"/>
      <c r="ERT33" s="1882"/>
      <c r="ERU33" s="1882"/>
      <c r="ERV33" s="1882"/>
      <c r="ERX33" s="1887"/>
      <c r="ERY33" s="1888"/>
      <c r="ERZ33" s="1882"/>
      <c r="ESA33" s="1882"/>
      <c r="ESB33" s="1882"/>
      <c r="ESD33" s="1887"/>
      <c r="ESE33" s="1888"/>
      <c r="ESF33" s="1882"/>
      <c r="ESG33" s="1882"/>
      <c r="ESH33" s="1882"/>
      <c r="ESJ33" s="1887"/>
      <c r="ESK33" s="1888"/>
      <c r="ESL33" s="1882"/>
      <c r="ESM33" s="1882"/>
      <c r="ESN33" s="1882"/>
      <c r="ESP33" s="1887"/>
      <c r="ESQ33" s="1888"/>
      <c r="ESR33" s="1882"/>
      <c r="ESS33" s="1882"/>
      <c r="EST33" s="1882"/>
      <c r="ESV33" s="1887"/>
      <c r="ESW33" s="1888"/>
      <c r="ESX33" s="1882"/>
      <c r="ESY33" s="1882"/>
      <c r="ESZ33" s="1882"/>
      <c r="ETB33" s="1887"/>
      <c r="ETC33" s="1888"/>
      <c r="ETD33" s="1882"/>
      <c r="ETE33" s="1882"/>
      <c r="ETF33" s="1882"/>
      <c r="ETH33" s="1887"/>
      <c r="ETI33" s="1888"/>
      <c r="ETJ33" s="1882"/>
      <c r="ETK33" s="1882"/>
      <c r="ETL33" s="1882"/>
      <c r="ETN33" s="1887"/>
      <c r="ETO33" s="1888"/>
      <c r="ETP33" s="1882"/>
      <c r="ETQ33" s="1882"/>
      <c r="ETR33" s="1882"/>
      <c r="ETT33" s="1887"/>
      <c r="ETU33" s="1888"/>
      <c r="ETV33" s="1882"/>
      <c r="ETW33" s="1882"/>
      <c r="ETX33" s="1882"/>
      <c r="ETZ33" s="1887"/>
      <c r="EUA33" s="1888"/>
      <c r="EUB33" s="1882"/>
      <c r="EUC33" s="1882"/>
      <c r="EUD33" s="1882"/>
      <c r="EUF33" s="1887"/>
      <c r="EUG33" s="1888"/>
      <c r="EUH33" s="1882"/>
      <c r="EUI33" s="1882"/>
      <c r="EUJ33" s="1882"/>
      <c r="EUL33" s="1887"/>
      <c r="EUM33" s="1888"/>
      <c r="EUN33" s="1882"/>
      <c r="EUO33" s="1882"/>
      <c r="EUP33" s="1882"/>
      <c r="EUR33" s="1887"/>
      <c r="EUS33" s="1888"/>
      <c r="EUT33" s="1882"/>
      <c r="EUU33" s="1882"/>
      <c r="EUV33" s="1882"/>
      <c r="EUX33" s="1887"/>
      <c r="EUY33" s="1888"/>
      <c r="EUZ33" s="1882"/>
      <c r="EVA33" s="1882"/>
      <c r="EVB33" s="1882"/>
      <c r="EVD33" s="1887"/>
      <c r="EVE33" s="1888"/>
      <c r="EVF33" s="1882"/>
      <c r="EVG33" s="1882"/>
      <c r="EVH33" s="1882"/>
      <c r="EVJ33" s="1887"/>
      <c r="EVK33" s="1888"/>
      <c r="EVL33" s="1882"/>
      <c r="EVM33" s="1882"/>
      <c r="EVN33" s="1882"/>
      <c r="EVP33" s="1887"/>
      <c r="EVQ33" s="1888"/>
      <c r="EVR33" s="1882"/>
      <c r="EVS33" s="1882"/>
      <c r="EVT33" s="1882"/>
      <c r="EVV33" s="1887"/>
      <c r="EVW33" s="1888"/>
      <c r="EVX33" s="1882"/>
      <c r="EVY33" s="1882"/>
      <c r="EVZ33" s="1882"/>
      <c r="EWB33" s="1887"/>
      <c r="EWC33" s="1888"/>
      <c r="EWD33" s="1882"/>
      <c r="EWE33" s="1882"/>
      <c r="EWF33" s="1882"/>
      <c r="EWH33" s="1887"/>
      <c r="EWI33" s="1888"/>
      <c r="EWJ33" s="1882"/>
      <c r="EWK33" s="1882"/>
      <c r="EWL33" s="1882"/>
      <c r="EWN33" s="1887"/>
      <c r="EWO33" s="1888"/>
      <c r="EWP33" s="1882"/>
      <c r="EWQ33" s="1882"/>
      <c r="EWR33" s="1882"/>
      <c r="EWT33" s="1887"/>
      <c r="EWU33" s="1888"/>
      <c r="EWV33" s="1882"/>
      <c r="EWW33" s="1882"/>
      <c r="EWX33" s="1882"/>
      <c r="EWZ33" s="1887"/>
      <c r="EXA33" s="1888"/>
      <c r="EXB33" s="1882"/>
      <c r="EXC33" s="1882"/>
      <c r="EXD33" s="1882"/>
      <c r="EXF33" s="1887"/>
      <c r="EXG33" s="1888"/>
      <c r="EXH33" s="1882"/>
      <c r="EXI33" s="1882"/>
      <c r="EXJ33" s="1882"/>
      <c r="EXL33" s="1887"/>
      <c r="EXM33" s="1888"/>
      <c r="EXN33" s="1882"/>
      <c r="EXO33" s="1882"/>
      <c r="EXP33" s="1882"/>
      <c r="EXR33" s="1887"/>
      <c r="EXS33" s="1888"/>
      <c r="EXT33" s="1882"/>
      <c r="EXU33" s="1882"/>
      <c r="EXV33" s="1882"/>
      <c r="EXX33" s="1887"/>
      <c r="EXY33" s="1888"/>
      <c r="EXZ33" s="1882"/>
      <c r="EYA33" s="1882"/>
      <c r="EYB33" s="1882"/>
      <c r="EYD33" s="1887"/>
      <c r="EYE33" s="1888"/>
      <c r="EYF33" s="1882"/>
      <c r="EYG33" s="1882"/>
      <c r="EYH33" s="1882"/>
      <c r="EYJ33" s="1887"/>
      <c r="EYK33" s="1888"/>
      <c r="EYL33" s="1882"/>
      <c r="EYM33" s="1882"/>
      <c r="EYN33" s="1882"/>
      <c r="EYP33" s="1887"/>
      <c r="EYQ33" s="1888"/>
      <c r="EYR33" s="1882"/>
      <c r="EYS33" s="1882"/>
      <c r="EYT33" s="1882"/>
      <c r="EYV33" s="1887"/>
      <c r="EYW33" s="1888"/>
      <c r="EYX33" s="1882"/>
      <c r="EYY33" s="1882"/>
      <c r="EYZ33" s="1882"/>
      <c r="EZB33" s="1887"/>
      <c r="EZC33" s="1888"/>
      <c r="EZD33" s="1882"/>
      <c r="EZE33" s="1882"/>
      <c r="EZF33" s="1882"/>
      <c r="EZH33" s="1887"/>
      <c r="EZI33" s="1888"/>
      <c r="EZJ33" s="1882"/>
      <c r="EZK33" s="1882"/>
      <c r="EZL33" s="1882"/>
      <c r="EZN33" s="1887"/>
      <c r="EZO33" s="1888"/>
      <c r="EZP33" s="1882"/>
      <c r="EZQ33" s="1882"/>
      <c r="EZR33" s="1882"/>
      <c r="EZT33" s="1887"/>
      <c r="EZU33" s="1888"/>
      <c r="EZV33" s="1882"/>
      <c r="EZW33" s="1882"/>
      <c r="EZX33" s="1882"/>
      <c r="EZZ33" s="1887"/>
      <c r="FAA33" s="1888"/>
      <c r="FAB33" s="1882"/>
      <c r="FAC33" s="1882"/>
      <c r="FAD33" s="1882"/>
      <c r="FAF33" s="1887"/>
      <c r="FAG33" s="1888"/>
      <c r="FAH33" s="1882"/>
      <c r="FAI33" s="1882"/>
      <c r="FAJ33" s="1882"/>
      <c r="FAL33" s="1887"/>
      <c r="FAM33" s="1888"/>
      <c r="FAN33" s="1882"/>
      <c r="FAO33" s="1882"/>
      <c r="FAP33" s="1882"/>
      <c r="FAR33" s="1887"/>
      <c r="FAS33" s="1888"/>
      <c r="FAT33" s="1882"/>
      <c r="FAU33" s="1882"/>
      <c r="FAV33" s="1882"/>
      <c r="FAX33" s="1887"/>
      <c r="FAY33" s="1888"/>
      <c r="FAZ33" s="1882"/>
      <c r="FBA33" s="1882"/>
      <c r="FBB33" s="1882"/>
      <c r="FBD33" s="1887"/>
      <c r="FBE33" s="1888"/>
      <c r="FBF33" s="1882"/>
      <c r="FBG33" s="1882"/>
      <c r="FBH33" s="1882"/>
      <c r="FBJ33" s="1887"/>
      <c r="FBK33" s="1888"/>
      <c r="FBL33" s="1882"/>
      <c r="FBM33" s="1882"/>
      <c r="FBN33" s="1882"/>
      <c r="FBP33" s="1887"/>
      <c r="FBQ33" s="1888"/>
      <c r="FBR33" s="1882"/>
      <c r="FBS33" s="1882"/>
      <c r="FBT33" s="1882"/>
      <c r="FBV33" s="1887"/>
      <c r="FBW33" s="1888"/>
      <c r="FBX33" s="1882"/>
      <c r="FBY33" s="1882"/>
      <c r="FBZ33" s="1882"/>
      <c r="FCB33" s="1887"/>
      <c r="FCC33" s="1888"/>
      <c r="FCD33" s="1882"/>
      <c r="FCE33" s="1882"/>
      <c r="FCF33" s="1882"/>
      <c r="FCH33" s="1887"/>
      <c r="FCI33" s="1888"/>
      <c r="FCJ33" s="1882"/>
      <c r="FCK33" s="1882"/>
      <c r="FCL33" s="1882"/>
      <c r="FCN33" s="1887"/>
      <c r="FCO33" s="1888"/>
      <c r="FCP33" s="1882"/>
      <c r="FCQ33" s="1882"/>
      <c r="FCR33" s="1882"/>
      <c r="FCT33" s="1887"/>
      <c r="FCU33" s="1888"/>
      <c r="FCV33" s="1882"/>
      <c r="FCW33" s="1882"/>
      <c r="FCX33" s="1882"/>
      <c r="FCZ33" s="1887"/>
      <c r="FDA33" s="1888"/>
      <c r="FDB33" s="1882"/>
      <c r="FDC33" s="1882"/>
      <c r="FDD33" s="1882"/>
      <c r="FDF33" s="1887"/>
      <c r="FDG33" s="1888"/>
      <c r="FDH33" s="1882"/>
      <c r="FDI33" s="1882"/>
      <c r="FDJ33" s="1882"/>
      <c r="FDL33" s="1887"/>
      <c r="FDM33" s="1888"/>
      <c r="FDN33" s="1882"/>
      <c r="FDO33" s="1882"/>
      <c r="FDP33" s="1882"/>
      <c r="FDR33" s="1887"/>
      <c r="FDS33" s="1888"/>
      <c r="FDT33" s="1882"/>
      <c r="FDU33" s="1882"/>
      <c r="FDV33" s="1882"/>
      <c r="FDX33" s="1887"/>
      <c r="FDY33" s="1888"/>
      <c r="FDZ33" s="1882"/>
      <c r="FEA33" s="1882"/>
      <c r="FEB33" s="1882"/>
      <c r="FED33" s="1887"/>
      <c r="FEE33" s="1888"/>
      <c r="FEF33" s="1882"/>
      <c r="FEG33" s="1882"/>
      <c r="FEH33" s="1882"/>
      <c r="FEJ33" s="1887"/>
      <c r="FEK33" s="1888"/>
      <c r="FEL33" s="1882"/>
      <c r="FEM33" s="1882"/>
      <c r="FEN33" s="1882"/>
      <c r="FEP33" s="1887"/>
      <c r="FEQ33" s="1888"/>
      <c r="FER33" s="1882"/>
      <c r="FES33" s="1882"/>
      <c r="FET33" s="1882"/>
      <c r="FEV33" s="1887"/>
      <c r="FEW33" s="1888"/>
      <c r="FEX33" s="1882"/>
      <c r="FEY33" s="1882"/>
      <c r="FEZ33" s="1882"/>
      <c r="FFB33" s="1887"/>
      <c r="FFC33" s="1888"/>
      <c r="FFD33" s="1882"/>
      <c r="FFE33" s="1882"/>
      <c r="FFF33" s="1882"/>
      <c r="FFH33" s="1887"/>
      <c r="FFI33" s="1888"/>
      <c r="FFJ33" s="1882"/>
      <c r="FFK33" s="1882"/>
      <c r="FFL33" s="1882"/>
      <c r="FFN33" s="1887"/>
      <c r="FFO33" s="1888"/>
      <c r="FFP33" s="1882"/>
      <c r="FFQ33" s="1882"/>
      <c r="FFR33" s="1882"/>
      <c r="FFT33" s="1887"/>
      <c r="FFU33" s="1888"/>
      <c r="FFV33" s="1882"/>
      <c r="FFW33" s="1882"/>
      <c r="FFX33" s="1882"/>
      <c r="FFZ33" s="1887"/>
      <c r="FGA33" s="1888"/>
      <c r="FGB33" s="1882"/>
      <c r="FGC33" s="1882"/>
      <c r="FGD33" s="1882"/>
      <c r="FGF33" s="1887"/>
      <c r="FGG33" s="1888"/>
      <c r="FGH33" s="1882"/>
      <c r="FGI33" s="1882"/>
      <c r="FGJ33" s="1882"/>
      <c r="FGL33" s="1887"/>
      <c r="FGM33" s="1888"/>
      <c r="FGN33" s="1882"/>
      <c r="FGO33" s="1882"/>
      <c r="FGP33" s="1882"/>
      <c r="FGR33" s="1887"/>
      <c r="FGS33" s="1888"/>
      <c r="FGT33" s="1882"/>
      <c r="FGU33" s="1882"/>
      <c r="FGV33" s="1882"/>
      <c r="FGX33" s="1887"/>
      <c r="FGY33" s="1888"/>
      <c r="FGZ33" s="1882"/>
      <c r="FHA33" s="1882"/>
      <c r="FHB33" s="1882"/>
      <c r="FHD33" s="1887"/>
      <c r="FHE33" s="1888"/>
      <c r="FHF33" s="1882"/>
      <c r="FHG33" s="1882"/>
      <c r="FHH33" s="1882"/>
      <c r="FHJ33" s="1887"/>
      <c r="FHK33" s="1888"/>
      <c r="FHL33" s="1882"/>
      <c r="FHM33" s="1882"/>
      <c r="FHN33" s="1882"/>
      <c r="FHP33" s="1887"/>
      <c r="FHQ33" s="1888"/>
      <c r="FHR33" s="1882"/>
      <c r="FHS33" s="1882"/>
      <c r="FHT33" s="1882"/>
      <c r="FHV33" s="1887"/>
      <c r="FHW33" s="1888"/>
      <c r="FHX33" s="1882"/>
      <c r="FHY33" s="1882"/>
      <c r="FHZ33" s="1882"/>
      <c r="FIB33" s="1887"/>
      <c r="FIC33" s="1888"/>
      <c r="FID33" s="1882"/>
      <c r="FIE33" s="1882"/>
      <c r="FIF33" s="1882"/>
      <c r="FIH33" s="1887"/>
      <c r="FII33" s="1888"/>
      <c r="FIJ33" s="1882"/>
      <c r="FIK33" s="1882"/>
      <c r="FIL33" s="1882"/>
      <c r="FIN33" s="1887"/>
      <c r="FIO33" s="1888"/>
      <c r="FIP33" s="1882"/>
      <c r="FIQ33" s="1882"/>
      <c r="FIR33" s="1882"/>
      <c r="FIT33" s="1887"/>
      <c r="FIU33" s="1888"/>
      <c r="FIV33" s="1882"/>
      <c r="FIW33" s="1882"/>
      <c r="FIX33" s="1882"/>
      <c r="FIZ33" s="1887"/>
      <c r="FJA33" s="1888"/>
      <c r="FJB33" s="1882"/>
      <c r="FJC33" s="1882"/>
      <c r="FJD33" s="1882"/>
      <c r="FJF33" s="1887"/>
      <c r="FJG33" s="1888"/>
      <c r="FJH33" s="1882"/>
      <c r="FJI33" s="1882"/>
      <c r="FJJ33" s="1882"/>
      <c r="FJL33" s="1887"/>
      <c r="FJM33" s="1888"/>
      <c r="FJN33" s="1882"/>
      <c r="FJO33" s="1882"/>
      <c r="FJP33" s="1882"/>
      <c r="FJR33" s="1887"/>
      <c r="FJS33" s="1888"/>
      <c r="FJT33" s="1882"/>
      <c r="FJU33" s="1882"/>
      <c r="FJV33" s="1882"/>
      <c r="FJX33" s="1887"/>
      <c r="FJY33" s="1888"/>
      <c r="FJZ33" s="1882"/>
      <c r="FKA33" s="1882"/>
      <c r="FKB33" s="1882"/>
      <c r="FKD33" s="1887"/>
      <c r="FKE33" s="1888"/>
      <c r="FKF33" s="1882"/>
      <c r="FKG33" s="1882"/>
      <c r="FKH33" s="1882"/>
      <c r="FKJ33" s="1887"/>
      <c r="FKK33" s="1888"/>
      <c r="FKL33" s="1882"/>
      <c r="FKM33" s="1882"/>
      <c r="FKN33" s="1882"/>
      <c r="FKP33" s="1887"/>
      <c r="FKQ33" s="1888"/>
      <c r="FKR33" s="1882"/>
      <c r="FKS33" s="1882"/>
      <c r="FKT33" s="1882"/>
      <c r="FKV33" s="1887"/>
      <c r="FKW33" s="1888"/>
      <c r="FKX33" s="1882"/>
      <c r="FKY33" s="1882"/>
      <c r="FKZ33" s="1882"/>
      <c r="FLB33" s="1887"/>
      <c r="FLC33" s="1888"/>
      <c r="FLD33" s="1882"/>
      <c r="FLE33" s="1882"/>
      <c r="FLF33" s="1882"/>
      <c r="FLH33" s="1887"/>
      <c r="FLI33" s="1888"/>
      <c r="FLJ33" s="1882"/>
      <c r="FLK33" s="1882"/>
      <c r="FLL33" s="1882"/>
      <c r="FLN33" s="1887"/>
      <c r="FLO33" s="1888"/>
      <c r="FLP33" s="1882"/>
      <c r="FLQ33" s="1882"/>
      <c r="FLR33" s="1882"/>
      <c r="FLT33" s="1887"/>
      <c r="FLU33" s="1888"/>
      <c r="FLV33" s="1882"/>
      <c r="FLW33" s="1882"/>
      <c r="FLX33" s="1882"/>
      <c r="FLZ33" s="1887"/>
      <c r="FMA33" s="1888"/>
      <c r="FMB33" s="1882"/>
      <c r="FMC33" s="1882"/>
      <c r="FMD33" s="1882"/>
      <c r="FMF33" s="1887"/>
      <c r="FMG33" s="1888"/>
      <c r="FMH33" s="1882"/>
      <c r="FMI33" s="1882"/>
      <c r="FMJ33" s="1882"/>
      <c r="FML33" s="1887"/>
      <c r="FMM33" s="1888"/>
      <c r="FMN33" s="1882"/>
      <c r="FMO33" s="1882"/>
      <c r="FMP33" s="1882"/>
      <c r="FMR33" s="1887"/>
      <c r="FMS33" s="1888"/>
      <c r="FMT33" s="1882"/>
      <c r="FMU33" s="1882"/>
      <c r="FMV33" s="1882"/>
      <c r="FMX33" s="1887"/>
      <c r="FMY33" s="1888"/>
      <c r="FMZ33" s="1882"/>
      <c r="FNA33" s="1882"/>
      <c r="FNB33" s="1882"/>
      <c r="FND33" s="1887"/>
      <c r="FNE33" s="1888"/>
      <c r="FNF33" s="1882"/>
      <c r="FNG33" s="1882"/>
      <c r="FNH33" s="1882"/>
      <c r="FNJ33" s="1887"/>
      <c r="FNK33" s="1888"/>
      <c r="FNL33" s="1882"/>
      <c r="FNM33" s="1882"/>
      <c r="FNN33" s="1882"/>
      <c r="FNP33" s="1887"/>
      <c r="FNQ33" s="1888"/>
      <c r="FNR33" s="1882"/>
      <c r="FNS33" s="1882"/>
      <c r="FNT33" s="1882"/>
      <c r="FNV33" s="1887"/>
      <c r="FNW33" s="1888"/>
      <c r="FNX33" s="1882"/>
      <c r="FNY33" s="1882"/>
      <c r="FNZ33" s="1882"/>
      <c r="FOB33" s="1887"/>
      <c r="FOC33" s="1888"/>
      <c r="FOD33" s="1882"/>
      <c r="FOE33" s="1882"/>
      <c r="FOF33" s="1882"/>
      <c r="FOH33" s="1887"/>
      <c r="FOI33" s="1888"/>
      <c r="FOJ33" s="1882"/>
      <c r="FOK33" s="1882"/>
      <c r="FOL33" s="1882"/>
      <c r="FON33" s="1887"/>
      <c r="FOO33" s="1888"/>
      <c r="FOP33" s="1882"/>
      <c r="FOQ33" s="1882"/>
      <c r="FOR33" s="1882"/>
      <c r="FOT33" s="1887"/>
      <c r="FOU33" s="1888"/>
      <c r="FOV33" s="1882"/>
      <c r="FOW33" s="1882"/>
      <c r="FOX33" s="1882"/>
      <c r="FOZ33" s="1887"/>
      <c r="FPA33" s="1888"/>
      <c r="FPB33" s="1882"/>
      <c r="FPC33" s="1882"/>
      <c r="FPD33" s="1882"/>
      <c r="FPF33" s="1887"/>
      <c r="FPG33" s="1888"/>
      <c r="FPH33" s="1882"/>
      <c r="FPI33" s="1882"/>
      <c r="FPJ33" s="1882"/>
      <c r="FPL33" s="1887"/>
      <c r="FPM33" s="1888"/>
      <c r="FPN33" s="1882"/>
      <c r="FPO33" s="1882"/>
      <c r="FPP33" s="1882"/>
      <c r="FPR33" s="1887"/>
      <c r="FPS33" s="1888"/>
      <c r="FPT33" s="1882"/>
      <c r="FPU33" s="1882"/>
      <c r="FPV33" s="1882"/>
      <c r="FPX33" s="1887"/>
      <c r="FPY33" s="1888"/>
      <c r="FPZ33" s="1882"/>
      <c r="FQA33" s="1882"/>
      <c r="FQB33" s="1882"/>
      <c r="FQD33" s="1887"/>
      <c r="FQE33" s="1888"/>
      <c r="FQF33" s="1882"/>
      <c r="FQG33" s="1882"/>
      <c r="FQH33" s="1882"/>
      <c r="FQJ33" s="1887"/>
      <c r="FQK33" s="1888"/>
      <c r="FQL33" s="1882"/>
      <c r="FQM33" s="1882"/>
      <c r="FQN33" s="1882"/>
      <c r="FQP33" s="1887"/>
      <c r="FQQ33" s="1888"/>
      <c r="FQR33" s="1882"/>
      <c r="FQS33" s="1882"/>
      <c r="FQT33" s="1882"/>
      <c r="FQV33" s="1887"/>
      <c r="FQW33" s="1888"/>
      <c r="FQX33" s="1882"/>
      <c r="FQY33" s="1882"/>
      <c r="FQZ33" s="1882"/>
      <c r="FRB33" s="1887"/>
      <c r="FRC33" s="1888"/>
      <c r="FRD33" s="1882"/>
      <c r="FRE33" s="1882"/>
      <c r="FRF33" s="1882"/>
      <c r="FRH33" s="1887"/>
      <c r="FRI33" s="1888"/>
      <c r="FRJ33" s="1882"/>
      <c r="FRK33" s="1882"/>
      <c r="FRL33" s="1882"/>
      <c r="FRN33" s="1887"/>
      <c r="FRO33" s="1888"/>
      <c r="FRP33" s="1882"/>
      <c r="FRQ33" s="1882"/>
      <c r="FRR33" s="1882"/>
      <c r="FRT33" s="1887"/>
      <c r="FRU33" s="1888"/>
      <c r="FRV33" s="1882"/>
      <c r="FRW33" s="1882"/>
      <c r="FRX33" s="1882"/>
      <c r="FRZ33" s="1887"/>
      <c r="FSA33" s="1888"/>
      <c r="FSB33" s="1882"/>
      <c r="FSC33" s="1882"/>
      <c r="FSD33" s="1882"/>
      <c r="FSF33" s="1887"/>
      <c r="FSG33" s="1888"/>
      <c r="FSH33" s="1882"/>
      <c r="FSI33" s="1882"/>
      <c r="FSJ33" s="1882"/>
      <c r="FSL33" s="1887"/>
      <c r="FSM33" s="1888"/>
      <c r="FSN33" s="1882"/>
      <c r="FSO33" s="1882"/>
      <c r="FSP33" s="1882"/>
      <c r="FSR33" s="1887"/>
      <c r="FSS33" s="1888"/>
      <c r="FST33" s="1882"/>
      <c r="FSU33" s="1882"/>
      <c r="FSV33" s="1882"/>
      <c r="FSX33" s="1887"/>
      <c r="FSY33" s="1888"/>
      <c r="FSZ33" s="1882"/>
      <c r="FTA33" s="1882"/>
      <c r="FTB33" s="1882"/>
      <c r="FTD33" s="1887"/>
      <c r="FTE33" s="1888"/>
      <c r="FTF33" s="1882"/>
      <c r="FTG33" s="1882"/>
      <c r="FTH33" s="1882"/>
      <c r="FTJ33" s="1887"/>
      <c r="FTK33" s="1888"/>
      <c r="FTL33" s="1882"/>
      <c r="FTM33" s="1882"/>
      <c r="FTN33" s="1882"/>
      <c r="FTP33" s="1887"/>
      <c r="FTQ33" s="1888"/>
      <c r="FTR33" s="1882"/>
      <c r="FTS33" s="1882"/>
      <c r="FTT33" s="1882"/>
      <c r="FTV33" s="1887"/>
      <c r="FTW33" s="1888"/>
      <c r="FTX33" s="1882"/>
      <c r="FTY33" s="1882"/>
      <c r="FTZ33" s="1882"/>
      <c r="FUB33" s="1887"/>
      <c r="FUC33" s="1888"/>
      <c r="FUD33" s="1882"/>
      <c r="FUE33" s="1882"/>
      <c r="FUF33" s="1882"/>
      <c r="FUH33" s="1887"/>
      <c r="FUI33" s="1888"/>
      <c r="FUJ33" s="1882"/>
      <c r="FUK33" s="1882"/>
      <c r="FUL33" s="1882"/>
      <c r="FUN33" s="1887"/>
      <c r="FUO33" s="1888"/>
      <c r="FUP33" s="1882"/>
      <c r="FUQ33" s="1882"/>
      <c r="FUR33" s="1882"/>
      <c r="FUT33" s="1887"/>
      <c r="FUU33" s="1888"/>
      <c r="FUV33" s="1882"/>
      <c r="FUW33" s="1882"/>
      <c r="FUX33" s="1882"/>
      <c r="FUZ33" s="1887"/>
      <c r="FVA33" s="1888"/>
      <c r="FVB33" s="1882"/>
      <c r="FVC33" s="1882"/>
      <c r="FVD33" s="1882"/>
      <c r="FVF33" s="1887"/>
      <c r="FVG33" s="1888"/>
      <c r="FVH33" s="1882"/>
      <c r="FVI33" s="1882"/>
      <c r="FVJ33" s="1882"/>
      <c r="FVL33" s="1887"/>
      <c r="FVM33" s="1888"/>
      <c r="FVN33" s="1882"/>
      <c r="FVO33" s="1882"/>
      <c r="FVP33" s="1882"/>
      <c r="FVR33" s="1887"/>
      <c r="FVS33" s="1888"/>
      <c r="FVT33" s="1882"/>
      <c r="FVU33" s="1882"/>
      <c r="FVV33" s="1882"/>
      <c r="FVX33" s="1887"/>
      <c r="FVY33" s="1888"/>
      <c r="FVZ33" s="1882"/>
      <c r="FWA33" s="1882"/>
      <c r="FWB33" s="1882"/>
      <c r="FWD33" s="1887"/>
      <c r="FWE33" s="1888"/>
      <c r="FWF33" s="1882"/>
      <c r="FWG33" s="1882"/>
      <c r="FWH33" s="1882"/>
      <c r="FWJ33" s="1887"/>
      <c r="FWK33" s="1888"/>
      <c r="FWL33" s="1882"/>
      <c r="FWM33" s="1882"/>
      <c r="FWN33" s="1882"/>
      <c r="FWP33" s="1887"/>
      <c r="FWQ33" s="1888"/>
      <c r="FWR33" s="1882"/>
      <c r="FWS33" s="1882"/>
      <c r="FWT33" s="1882"/>
      <c r="FWV33" s="1887"/>
      <c r="FWW33" s="1888"/>
      <c r="FWX33" s="1882"/>
      <c r="FWY33" s="1882"/>
      <c r="FWZ33" s="1882"/>
      <c r="FXB33" s="1887"/>
      <c r="FXC33" s="1888"/>
      <c r="FXD33" s="1882"/>
      <c r="FXE33" s="1882"/>
      <c r="FXF33" s="1882"/>
      <c r="FXH33" s="1887"/>
      <c r="FXI33" s="1888"/>
      <c r="FXJ33" s="1882"/>
      <c r="FXK33" s="1882"/>
      <c r="FXL33" s="1882"/>
      <c r="FXN33" s="1887"/>
      <c r="FXO33" s="1888"/>
      <c r="FXP33" s="1882"/>
      <c r="FXQ33" s="1882"/>
      <c r="FXR33" s="1882"/>
      <c r="FXT33" s="1887"/>
      <c r="FXU33" s="1888"/>
      <c r="FXV33" s="1882"/>
      <c r="FXW33" s="1882"/>
      <c r="FXX33" s="1882"/>
      <c r="FXZ33" s="1887"/>
      <c r="FYA33" s="1888"/>
      <c r="FYB33" s="1882"/>
      <c r="FYC33" s="1882"/>
      <c r="FYD33" s="1882"/>
      <c r="FYF33" s="1887"/>
      <c r="FYG33" s="1888"/>
      <c r="FYH33" s="1882"/>
      <c r="FYI33" s="1882"/>
      <c r="FYJ33" s="1882"/>
      <c r="FYL33" s="1887"/>
      <c r="FYM33" s="1888"/>
      <c r="FYN33" s="1882"/>
      <c r="FYO33" s="1882"/>
      <c r="FYP33" s="1882"/>
      <c r="FYR33" s="1887"/>
      <c r="FYS33" s="1888"/>
      <c r="FYT33" s="1882"/>
      <c r="FYU33" s="1882"/>
      <c r="FYV33" s="1882"/>
      <c r="FYX33" s="1887"/>
      <c r="FYY33" s="1888"/>
      <c r="FYZ33" s="1882"/>
      <c r="FZA33" s="1882"/>
      <c r="FZB33" s="1882"/>
      <c r="FZD33" s="1887"/>
      <c r="FZE33" s="1888"/>
      <c r="FZF33" s="1882"/>
      <c r="FZG33" s="1882"/>
      <c r="FZH33" s="1882"/>
      <c r="FZJ33" s="1887"/>
      <c r="FZK33" s="1888"/>
      <c r="FZL33" s="1882"/>
      <c r="FZM33" s="1882"/>
      <c r="FZN33" s="1882"/>
      <c r="FZP33" s="1887"/>
      <c r="FZQ33" s="1888"/>
      <c r="FZR33" s="1882"/>
      <c r="FZS33" s="1882"/>
      <c r="FZT33" s="1882"/>
      <c r="FZV33" s="1887"/>
      <c r="FZW33" s="1888"/>
      <c r="FZX33" s="1882"/>
      <c r="FZY33" s="1882"/>
      <c r="FZZ33" s="1882"/>
      <c r="GAB33" s="1887"/>
      <c r="GAC33" s="1888"/>
      <c r="GAD33" s="1882"/>
      <c r="GAE33" s="1882"/>
      <c r="GAF33" s="1882"/>
      <c r="GAH33" s="1887"/>
      <c r="GAI33" s="1888"/>
      <c r="GAJ33" s="1882"/>
      <c r="GAK33" s="1882"/>
      <c r="GAL33" s="1882"/>
      <c r="GAN33" s="1887"/>
      <c r="GAO33" s="1888"/>
      <c r="GAP33" s="1882"/>
      <c r="GAQ33" s="1882"/>
      <c r="GAR33" s="1882"/>
      <c r="GAT33" s="1887"/>
      <c r="GAU33" s="1888"/>
      <c r="GAV33" s="1882"/>
      <c r="GAW33" s="1882"/>
      <c r="GAX33" s="1882"/>
      <c r="GAZ33" s="1887"/>
      <c r="GBA33" s="1888"/>
      <c r="GBB33" s="1882"/>
      <c r="GBC33" s="1882"/>
      <c r="GBD33" s="1882"/>
      <c r="GBF33" s="1887"/>
      <c r="GBG33" s="1888"/>
      <c r="GBH33" s="1882"/>
      <c r="GBI33" s="1882"/>
      <c r="GBJ33" s="1882"/>
      <c r="GBL33" s="1887"/>
      <c r="GBM33" s="1888"/>
      <c r="GBN33" s="1882"/>
      <c r="GBO33" s="1882"/>
      <c r="GBP33" s="1882"/>
      <c r="GBR33" s="1887"/>
      <c r="GBS33" s="1888"/>
      <c r="GBT33" s="1882"/>
      <c r="GBU33" s="1882"/>
      <c r="GBV33" s="1882"/>
      <c r="GBX33" s="1887"/>
      <c r="GBY33" s="1888"/>
      <c r="GBZ33" s="1882"/>
      <c r="GCA33" s="1882"/>
      <c r="GCB33" s="1882"/>
      <c r="GCD33" s="1887"/>
      <c r="GCE33" s="1888"/>
      <c r="GCF33" s="1882"/>
      <c r="GCG33" s="1882"/>
      <c r="GCH33" s="1882"/>
      <c r="GCJ33" s="1887"/>
      <c r="GCK33" s="1888"/>
      <c r="GCL33" s="1882"/>
      <c r="GCM33" s="1882"/>
      <c r="GCN33" s="1882"/>
      <c r="GCP33" s="1887"/>
      <c r="GCQ33" s="1888"/>
      <c r="GCR33" s="1882"/>
      <c r="GCS33" s="1882"/>
      <c r="GCT33" s="1882"/>
      <c r="GCV33" s="1887"/>
      <c r="GCW33" s="1888"/>
      <c r="GCX33" s="1882"/>
      <c r="GCY33" s="1882"/>
      <c r="GCZ33" s="1882"/>
      <c r="GDB33" s="1887"/>
      <c r="GDC33" s="1888"/>
      <c r="GDD33" s="1882"/>
      <c r="GDE33" s="1882"/>
      <c r="GDF33" s="1882"/>
      <c r="GDH33" s="1887"/>
      <c r="GDI33" s="1888"/>
      <c r="GDJ33" s="1882"/>
      <c r="GDK33" s="1882"/>
      <c r="GDL33" s="1882"/>
      <c r="GDN33" s="1887"/>
      <c r="GDO33" s="1888"/>
      <c r="GDP33" s="1882"/>
      <c r="GDQ33" s="1882"/>
      <c r="GDR33" s="1882"/>
      <c r="GDT33" s="1887"/>
      <c r="GDU33" s="1888"/>
      <c r="GDV33" s="1882"/>
      <c r="GDW33" s="1882"/>
      <c r="GDX33" s="1882"/>
      <c r="GDZ33" s="1887"/>
      <c r="GEA33" s="1888"/>
      <c r="GEB33" s="1882"/>
      <c r="GEC33" s="1882"/>
      <c r="GED33" s="1882"/>
      <c r="GEF33" s="1887"/>
      <c r="GEG33" s="1888"/>
      <c r="GEH33" s="1882"/>
      <c r="GEI33" s="1882"/>
      <c r="GEJ33" s="1882"/>
      <c r="GEL33" s="1887"/>
      <c r="GEM33" s="1888"/>
      <c r="GEN33" s="1882"/>
      <c r="GEO33" s="1882"/>
      <c r="GEP33" s="1882"/>
      <c r="GER33" s="1887"/>
      <c r="GES33" s="1888"/>
      <c r="GET33" s="1882"/>
      <c r="GEU33" s="1882"/>
      <c r="GEV33" s="1882"/>
      <c r="GEX33" s="1887"/>
      <c r="GEY33" s="1888"/>
      <c r="GEZ33" s="1882"/>
      <c r="GFA33" s="1882"/>
      <c r="GFB33" s="1882"/>
      <c r="GFD33" s="1887"/>
      <c r="GFE33" s="1888"/>
      <c r="GFF33" s="1882"/>
      <c r="GFG33" s="1882"/>
      <c r="GFH33" s="1882"/>
      <c r="GFJ33" s="1887"/>
      <c r="GFK33" s="1888"/>
      <c r="GFL33" s="1882"/>
      <c r="GFM33" s="1882"/>
      <c r="GFN33" s="1882"/>
      <c r="GFP33" s="1887"/>
      <c r="GFQ33" s="1888"/>
      <c r="GFR33" s="1882"/>
      <c r="GFS33" s="1882"/>
      <c r="GFT33" s="1882"/>
      <c r="GFV33" s="1887"/>
      <c r="GFW33" s="1888"/>
      <c r="GFX33" s="1882"/>
      <c r="GFY33" s="1882"/>
      <c r="GFZ33" s="1882"/>
      <c r="GGB33" s="1887"/>
      <c r="GGC33" s="1888"/>
      <c r="GGD33" s="1882"/>
      <c r="GGE33" s="1882"/>
      <c r="GGF33" s="1882"/>
      <c r="GGH33" s="1887"/>
      <c r="GGI33" s="1888"/>
      <c r="GGJ33" s="1882"/>
      <c r="GGK33" s="1882"/>
      <c r="GGL33" s="1882"/>
      <c r="GGN33" s="1887"/>
      <c r="GGO33" s="1888"/>
      <c r="GGP33" s="1882"/>
      <c r="GGQ33" s="1882"/>
      <c r="GGR33" s="1882"/>
      <c r="GGT33" s="1887"/>
      <c r="GGU33" s="1888"/>
      <c r="GGV33" s="1882"/>
      <c r="GGW33" s="1882"/>
      <c r="GGX33" s="1882"/>
      <c r="GGZ33" s="1887"/>
      <c r="GHA33" s="1888"/>
      <c r="GHB33" s="1882"/>
      <c r="GHC33" s="1882"/>
      <c r="GHD33" s="1882"/>
      <c r="GHF33" s="1887"/>
      <c r="GHG33" s="1888"/>
      <c r="GHH33" s="1882"/>
      <c r="GHI33" s="1882"/>
      <c r="GHJ33" s="1882"/>
      <c r="GHL33" s="1887"/>
      <c r="GHM33" s="1888"/>
      <c r="GHN33" s="1882"/>
      <c r="GHO33" s="1882"/>
      <c r="GHP33" s="1882"/>
      <c r="GHR33" s="1887"/>
      <c r="GHS33" s="1888"/>
      <c r="GHT33" s="1882"/>
      <c r="GHU33" s="1882"/>
      <c r="GHV33" s="1882"/>
      <c r="GHX33" s="1887"/>
      <c r="GHY33" s="1888"/>
      <c r="GHZ33" s="1882"/>
      <c r="GIA33" s="1882"/>
      <c r="GIB33" s="1882"/>
      <c r="GID33" s="1887"/>
      <c r="GIE33" s="1888"/>
      <c r="GIF33" s="1882"/>
      <c r="GIG33" s="1882"/>
      <c r="GIH33" s="1882"/>
      <c r="GIJ33" s="1887"/>
      <c r="GIK33" s="1888"/>
      <c r="GIL33" s="1882"/>
      <c r="GIM33" s="1882"/>
      <c r="GIN33" s="1882"/>
      <c r="GIP33" s="1887"/>
      <c r="GIQ33" s="1888"/>
      <c r="GIR33" s="1882"/>
      <c r="GIS33" s="1882"/>
      <c r="GIT33" s="1882"/>
      <c r="GIV33" s="1887"/>
      <c r="GIW33" s="1888"/>
      <c r="GIX33" s="1882"/>
      <c r="GIY33" s="1882"/>
      <c r="GIZ33" s="1882"/>
      <c r="GJB33" s="1887"/>
      <c r="GJC33" s="1888"/>
      <c r="GJD33" s="1882"/>
      <c r="GJE33" s="1882"/>
      <c r="GJF33" s="1882"/>
      <c r="GJH33" s="1887"/>
      <c r="GJI33" s="1888"/>
      <c r="GJJ33" s="1882"/>
      <c r="GJK33" s="1882"/>
      <c r="GJL33" s="1882"/>
      <c r="GJN33" s="1887"/>
      <c r="GJO33" s="1888"/>
      <c r="GJP33" s="1882"/>
      <c r="GJQ33" s="1882"/>
      <c r="GJR33" s="1882"/>
      <c r="GJT33" s="1887"/>
      <c r="GJU33" s="1888"/>
      <c r="GJV33" s="1882"/>
      <c r="GJW33" s="1882"/>
      <c r="GJX33" s="1882"/>
      <c r="GJZ33" s="1887"/>
      <c r="GKA33" s="1888"/>
      <c r="GKB33" s="1882"/>
      <c r="GKC33" s="1882"/>
      <c r="GKD33" s="1882"/>
      <c r="GKF33" s="1887"/>
      <c r="GKG33" s="1888"/>
      <c r="GKH33" s="1882"/>
      <c r="GKI33" s="1882"/>
      <c r="GKJ33" s="1882"/>
      <c r="GKL33" s="1887"/>
      <c r="GKM33" s="1888"/>
      <c r="GKN33" s="1882"/>
      <c r="GKO33" s="1882"/>
      <c r="GKP33" s="1882"/>
      <c r="GKR33" s="1887"/>
      <c r="GKS33" s="1888"/>
      <c r="GKT33" s="1882"/>
      <c r="GKU33" s="1882"/>
      <c r="GKV33" s="1882"/>
      <c r="GKX33" s="1887"/>
      <c r="GKY33" s="1888"/>
      <c r="GKZ33" s="1882"/>
      <c r="GLA33" s="1882"/>
      <c r="GLB33" s="1882"/>
      <c r="GLD33" s="1887"/>
      <c r="GLE33" s="1888"/>
      <c r="GLF33" s="1882"/>
      <c r="GLG33" s="1882"/>
      <c r="GLH33" s="1882"/>
      <c r="GLJ33" s="1887"/>
      <c r="GLK33" s="1888"/>
      <c r="GLL33" s="1882"/>
      <c r="GLM33" s="1882"/>
      <c r="GLN33" s="1882"/>
      <c r="GLP33" s="1887"/>
      <c r="GLQ33" s="1888"/>
      <c r="GLR33" s="1882"/>
      <c r="GLS33" s="1882"/>
      <c r="GLT33" s="1882"/>
      <c r="GLV33" s="1887"/>
      <c r="GLW33" s="1888"/>
      <c r="GLX33" s="1882"/>
      <c r="GLY33" s="1882"/>
      <c r="GLZ33" s="1882"/>
      <c r="GMB33" s="1887"/>
      <c r="GMC33" s="1888"/>
      <c r="GMD33" s="1882"/>
      <c r="GME33" s="1882"/>
      <c r="GMF33" s="1882"/>
      <c r="GMH33" s="1887"/>
      <c r="GMI33" s="1888"/>
      <c r="GMJ33" s="1882"/>
      <c r="GMK33" s="1882"/>
      <c r="GML33" s="1882"/>
      <c r="GMN33" s="1887"/>
      <c r="GMO33" s="1888"/>
      <c r="GMP33" s="1882"/>
      <c r="GMQ33" s="1882"/>
      <c r="GMR33" s="1882"/>
      <c r="GMT33" s="1887"/>
      <c r="GMU33" s="1888"/>
      <c r="GMV33" s="1882"/>
      <c r="GMW33" s="1882"/>
      <c r="GMX33" s="1882"/>
      <c r="GMZ33" s="1887"/>
      <c r="GNA33" s="1888"/>
      <c r="GNB33" s="1882"/>
      <c r="GNC33" s="1882"/>
      <c r="GND33" s="1882"/>
      <c r="GNF33" s="1887"/>
      <c r="GNG33" s="1888"/>
      <c r="GNH33" s="1882"/>
      <c r="GNI33" s="1882"/>
      <c r="GNJ33" s="1882"/>
      <c r="GNL33" s="1887"/>
      <c r="GNM33" s="1888"/>
      <c r="GNN33" s="1882"/>
      <c r="GNO33" s="1882"/>
      <c r="GNP33" s="1882"/>
      <c r="GNR33" s="1887"/>
      <c r="GNS33" s="1888"/>
      <c r="GNT33" s="1882"/>
      <c r="GNU33" s="1882"/>
      <c r="GNV33" s="1882"/>
      <c r="GNX33" s="1887"/>
      <c r="GNY33" s="1888"/>
      <c r="GNZ33" s="1882"/>
      <c r="GOA33" s="1882"/>
      <c r="GOB33" s="1882"/>
      <c r="GOD33" s="1887"/>
      <c r="GOE33" s="1888"/>
      <c r="GOF33" s="1882"/>
      <c r="GOG33" s="1882"/>
      <c r="GOH33" s="1882"/>
      <c r="GOJ33" s="1887"/>
      <c r="GOK33" s="1888"/>
      <c r="GOL33" s="1882"/>
      <c r="GOM33" s="1882"/>
      <c r="GON33" s="1882"/>
      <c r="GOP33" s="1887"/>
      <c r="GOQ33" s="1888"/>
      <c r="GOR33" s="1882"/>
      <c r="GOS33" s="1882"/>
      <c r="GOT33" s="1882"/>
      <c r="GOV33" s="1887"/>
      <c r="GOW33" s="1888"/>
      <c r="GOX33" s="1882"/>
      <c r="GOY33" s="1882"/>
      <c r="GOZ33" s="1882"/>
      <c r="GPB33" s="1887"/>
      <c r="GPC33" s="1888"/>
      <c r="GPD33" s="1882"/>
      <c r="GPE33" s="1882"/>
      <c r="GPF33" s="1882"/>
      <c r="GPH33" s="1887"/>
      <c r="GPI33" s="1888"/>
      <c r="GPJ33" s="1882"/>
      <c r="GPK33" s="1882"/>
      <c r="GPL33" s="1882"/>
      <c r="GPN33" s="1887"/>
      <c r="GPO33" s="1888"/>
      <c r="GPP33" s="1882"/>
      <c r="GPQ33" s="1882"/>
      <c r="GPR33" s="1882"/>
      <c r="GPT33" s="1887"/>
      <c r="GPU33" s="1888"/>
      <c r="GPV33" s="1882"/>
      <c r="GPW33" s="1882"/>
      <c r="GPX33" s="1882"/>
      <c r="GPZ33" s="1887"/>
      <c r="GQA33" s="1888"/>
      <c r="GQB33" s="1882"/>
      <c r="GQC33" s="1882"/>
      <c r="GQD33" s="1882"/>
      <c r="GQF33" s="1887"/>
      <c r="GQG33" s="1888"/>
      <c r="GQH33" s="1882"/>
      <c r="GQI33" s="1882"/>
      <c r="GQJ33" s="1882"/>
      <c r="GQL33" s="1887"/>
      <c r="GQM33" s="1888"/>
      <c r="GQN33" s="1882"/>
      <c r="GQO33" s="1882"/>
      <c r="GQP33" s="1882"/>
      <c r="GQR33" s="1887"/>
      <c r="GQS33" s="1888"/>
      <c r="GQT33" s="1882"/>
      <c r="GQU33" s="1882"/>
      <c r="GQV33" s="1882"/>
      <c r="GQX33" s="1887"/>
      <c r="GQY33" s="1888"/>
      <c r="GQZ33" s="1882"/>
      <c r="GRA33" s="1882"/>
      <c r="GRB33" s="1882"/>
      <c r="GRD33" s="1887"/>
      <c r="GRE33" s="1888"/>
      <c r="GRF33" s="1882"/>
      <c r="GRG33" s="1882"/>
      <c r="GRH33" s="1882"/>
      <c r="GRJ33" s="1887"/>
      <c r="GRK33" s="1888"/>
      <c r="GRL33" s="1882"/>
      <c r="GRM33" s="1882"/>
      <c r="GRN33" s="1882"/>
      <c r="GRP33" s="1887"/>
      <c r="GRQ33" s="1888"/>
      <c r="GRR33" s="1882"/>
      <c r="GRS33" s="1882"/>
      <c r="GRT33" s="1882"/>
      <c r="GRV33" s="1887"/>
      <c r="GRW33" s="1888"/>
      <c r="GRX33" s="1882"/>
      <c r="GRY33" s="1882"/>
      <c r="GRZ33" s="1882"/>
      <c r="GSB33" s="1887"/>
      <c r="GSC33" s="1888"/>
      <c r="GSD33" s="1882"/>
      <c r="GSE33" s="1882"/>
      <c r="GSF33" s="1882"/>
      <c r="GSH33" s="1887"/>
      <c r="GSI33" s="1888"/>
      <c r="GSJ33" s="1882"/>
      <c r="GSK33" s="1882"/>
      <c r="GSL33" s="1882"/>
      <c r="GSN33" s="1887"/>
      <c r="GSO33" s="1888"/>
      <c r="GSP33" s="1882"/>
      <c r="GSQ33" s="1882"/>
      <c r="GSR33" s="1882"/>
      <c r="GST33" s="1887"/>
      <c r="GSU33" s="1888"/>
      <c r="GSV33" s="1882"/>
      <c r="GSW33" s="1882"/>
      <c r="GSX33" s="1882"/>
      <c r="GSZ33" s="1887"/>
      <c r="GTA33" s="1888"/>
      <c r="GTB33" s="1882"/>
      <c r="GTC33" s="1882"/>
      <c r="GTD33" s="1882"/>
      <c r="GTF33" s="1887"/>
      <c r="GTG33" s="1888"/>
      <c r="GTH33" s="1882"/>
      <c r="GTI33" s="1882"/>
      <c r="GTJ33" s="1882"/>
      <c r="GTL33" s="1887"/>
      <c r="GTM33" s="1888"/>
      <c r="GTN33" s="1882"/>
      <c r="GTO33" s="1882"/>
      <c r="GTP33" s="1882"/>
      <c r="GTR33" s="1887"/>
      <c r="GTS33" s="1888"/>
      <c r="GTT33" s="1882"/>
      <c r="GTU33" s="1882"/>
      <c r="GTV33" s="1882"/>
      <c r="GTX33" s="1887"/>
      <c r="GTY33" s="1888"/>
      <c r="GTZ33" s="1882"/>
      <c r="GUA33" s="1882"/>
      <c r="GUB33" s="1882"/>
      <c r="GUD33" s="1887"/>
      <c r="GUE33" s="1888"/>
      <c r="GUF33" s="1882"/>
      <c r="GUG33" s="1882"/>
      <c r="GUH33" s="1882"/>
      <c r="GUJ33" s="1887"/>
      <c r="GUK33" s="1888"/>
      <c r="GUL33" s="1882"/>
      <c r="GUM33" s="1882"/>
      <c r="GUN33" s="1882"/>
      <c r="GUP33" s="1887"/>
      <c r="GUQ33" s="1888"/>
      <c r="GUR33" s="1882"/>
      <c r="GUS33" s="1882"/>
      <c r="GUT33" s="1882"/>
      <c r="GUV33" s="1887"/>
      <c r="GUW33" s="1888"/>
      <c r="GUX33" s="1882"/>
      <c r="GUY33" s="1882"/>
      <c r="GUZ33" s="1882"/>
      <c r="GVB33" s="1887"/>
      <c r="GVC33" s="1888"/>
      <c r="GVD33" s="1882"/>
      <c r="GVE33" s="1882"/>
      <c r="GVF33" s="1882"/>
      <c r="GVH33" s="1887"/>
      <c r="GVI33" s="1888"/>
      <c r="GVJ33" s="1882"/>
      <c r="GVK33" s="1882"/>
      <c r="GVL33" s="1882"/>
      <c r="GVN33" s="1887"/>
      <c r="GVO33" s="1888"/>
      <c r="GVP33" s="1882"/>
      <c r="GVQ33" s="1882"/>
      <c r="GVR33" s="1882"/>
      <c r="GVT33" s="1887"/>
      <c r="GVU33" s="1888"/>
      <c r="GVV33" s="1882"/>
      <c r="GVW33" s="1882"/>
      <c r="GVX33" s="1882"/>
      <c r="GVZ33" s="1887"/>
      <c r="GWA33" s="1888"/>
      <c r="GWB33" s="1882"/>
      <c r="GWC33" s="1882"/>
      <c r="GWD33" s="1882"/>
      <c r="GWF33" s="1887"/>
      <c r="GWG33" s="1888"/>
      <c r="GWH33" s="1882"/>
      <c r="GWI33" s="1882"/>
      <c r="GWJ33" s="1882"/>
      <c r="GWL33" s="1887"/>
      <c r="GWM33" s="1888"/>
      <c r="GWN33" s="1882"/>
      <c r="GWO33" s="1882"/>
      <c r="GWP33" s="1882"/>
      <c r="GWR33" s="1887"/>
      <c r="GWS33" s="1888"/>
      <c r="GWT33" s="1882"/>
      <c r="GWU33" s="1882"/>
      <c r="GWV33" s="1882"/>
      <c r="GWX33" s="1887"/>
      <c r="GWY33" s="1888"/>
      <c r="GWZ33" s="1882"/>
      <c r="GXA33" s="1882"/>
      <c r="GXB33" s="1882"/>
      <c r="GXD33" s="1887"/>
      <c r="GXE33" s="1888"/>
      <c r="GXF33" s="1882"/>
      <c r="GXG33" s="1882"/>
      <c r="GXH33" s="1882"/>
      <c r="GXJ33" s="1887"/>
      <c r="GXK33" s="1888"/>
      <c r="GXL33" s="1882"/>
      <c r="GXM33" s="1882"/>
      <c r="GXN33" s="1882"/>
      <c r="GXP33" s="1887"/>
      <c r="GXQ33" s="1888"/>
      <c r="GXR33" s="1882"/>
      <c r="GXS33" s="1882"/>
      <c r="GXT33" s="1882"/>
      <c r="GXV33" s="1887"/>
      <c r="GXW33" s="1888"/>
      <c r="GXX33" s="1882"/>
      <c r="GXY33" s="1882"/>
      <c r="GXZ33" s="1882"/>
      <c r="GYB33" s="1887"/>
      <c r="GYC33" s="1888"/>
      <c r="GYD33" s="1882"/>
      <c r="GYE33" s="1882"/>
      <c r="GYF33" s="1882"/>
      <c r="GYH33" s="1887"/>
      <c r="GYI33" s="1888"/>
      <c r="GYJ33" s="1882"/>
      <c r="GYK33" s="1882"/>
      <c r="GYL33" s="1882"/>
      <c r="GYN33" s="1887"/>
      <c r="GYO33" s="1888"/>
      <c r="GYP33" s="1882"/>
      <c r="GYQ33" s="1882"/>
      <c r="GYR33" s="1882"/>
      <c r="GYT33" s="1887"/>
      <c r="GYU33" s="1888"/>
      <c r="GYV33" s="1882"/>
      <c r="GYW33" s="1882"/>
      <c r="GYX33" s="1882"/>
      <c r="GYZ33" s="1887"/>
      <c r="GZA33" s="1888"/>
      <c r="GZB33" s="1882"/>
      <c r="GZC33" s="1882"/>
      <c r="GZD33" s="1882"/>
      <c r="GZF33" s="1887"/>
      <c r="GZG33" s="1888"/>
      <c r="GZH33" s="1882"/>
      <c r="GZI33" s="1882"/>
      <c r="GZJ33" s="1882"/>
      <c r="GZL33" s="1887"/>
      <c r="GZM33" s="1888"/>
      <c r="GZN33" s="1882"/>
      <c r="GZO33" s="1882"/>
      <c r="GZP33" s="1882"/>
      <c r="GZR33" s="1887"/>
      <c r="GZS33" s="1888"/>
      <c r="GZT33" s="1882"/>
      <c r="GZU33" s="1882"/>
      <c r="GZV33" s="1882"/>
      <c r="GZX33" s="1887"/>
      <c r="GZY33" s="1888"/>
      <c r="GZZ33" s="1882"/>
      <c r="HAA33" s="1882"/>
      <c r="HAB33" s="1882"/>
      <c r="HAD33" s="1887"/>
      <c r="HAE33" s="1888"/>
      <c r="HAF33" s="1882"/>
      <c r="HAG33" s="1882"/>
      <c r="HAH33" s="1882"/>
      <c r="HAJ33" s="1887"/>
      <c r="HAK33" s="1888"/>
      <c r="HAL33" s="1882"/>
      <c r="HAM33" s="1882"/>
      <c r="HAN33" s="1882"/>
      <c r="HAP33" s="1887"/>
      <c r="HAQ33" s="1888"/>
      <c r="HAR33" s="1882"/>
      <c r="HAS33" s="1882"/>
      <c r="HAT33" s="1882"/>
      <c r="HAV33" s="1887"/>
      <c r="HAW33" s="1888"/>
      <c r="HAX33" s="1882"/>
      <c r="HAY33" s="1882"/>
      <c r="HAZ33" s="1882"/>
      <c r="HBB33" s="1887"/>
      <c r="HBC33" s="1888"/>
      <c r="HBD33" s="1882"/>
      <c r="HBE33" s="1882"/>
      <c r="HBF33" s="1882"/>
      <c r="HBH33" s="1887"/>
      <c r="HBI33" s="1888"/>
      <c r="HBJ33" s="1882"/>
      <c r="HBK33" s="1882"/>
      <c r="HBL33" s="1882"/>
      <c r="HBN33" s="1887"/>
      <c r="HBO33" s="1888"/>
      <c r="HBP33" s="1882"/>
      <c r="HBQ33" s="1882"/>
      <c r="HBR33" s="1882"/>
      <c r="HBT33" s="1887"/>
      <c r="HBU33" s="1888"/>
      <c r="HBV33" s="1882"/>
      <c r="HBW33" s="1882"/>
      <c r="HBX33" s="1882"/>
      <c r="HBZ33" s="1887"/>
      <c r="HCA33" s="1888"/>
      <c r="HCB33" s="1882"/>
      <c r="HCC33" s="1882"/>
      <c r="HCD33" s="1882"/>
      <c r="HCF33" s="1887"/>
      <c r="HCG33" s="1888"/>
      <c r="HCH33" s="1882"/>
      <c r="HCI33" s="1882"/>
      <c r="HCJ33" s="1882"/>
      <c r="HCL33" s="1887"/>
      <c r="HCM33" s="1888"/>
      <c r="HCN33" s="1882"/>
      <c r="HCO33" s="1882"/>
      <c r="HCP33" s="1882"/>
      <c r="HCR33" s="1887"/>
      <c r="HCS33" s="1888"/>
      <c r="HCT33" s="1882"/>
      <c r="HCU33" s="1882"/>
      <c r="HCV33" s="1882"/>
      <c r="HCX33" s="1887"/>
      <c r="HCY33" s="1888"/>
      <c r="HCZ33" s="1882"/>
      <c r="HDA33" s="1882"/>
      <c r="HDB33" s="1882"/>
      <c r="HDD33" s="1887"/>
      <c r="HDE33" s="1888"/>
      <c r="HDF33" s="1882"/>
      <c r="HDG33" s="1882"/>
      <c r="HDH33" s="1882"/>
      <c r="HDJ33" s="1887"/>
      <c r="HDK33" s="1888"/>
      <c r="HDL33" s="1882"/>
      <c r="HDM33" s="1882"/>
      <c r="HDN33" s="1882"/>
      <c r="HDP33" s="1887"/>
      <c r="HDQ33" s="1888"/>
      <c r="HDR33" s="1882"/>
      <c r="HDS33" s="1882"/>
      <c r="HDT33" s="1882"/>
      <c r="HDV33" s="1887"/>
      <c r="HDW33" s="1888"/>
      <c r="HDX33" s="1882"/>
      <c r="HDY33" s="1882"/>
      <c r="HDZ33" s="1882"/>
      <c r="HEB33" s="1887"/>
      <c r="HEC33" s="1888"/>
      <c r="HED33" s="1882"/>
      <c r="HEE33" s="1882"/>
      <c r="HEF33" s="1882"/>
      <c r="HEH33" s="1887"/>
      <c r="HEI33" s="1888"/>
      <c r="HEJ33" s="1882"/>
      <c r="HEK33" s="1882"/>
      <c r="HEL33" s="1882"/>
      <c r="HEN33" s="1887"/>
      <c r="HEO33" s="1888"/>
      <c r="HEP33" s="1882"/>
      <c r="HEQ33" s="1882"/>
      <c r="HER33" s="1882"/>
      <c r="HET33" s="1887"/>
      <c r="HEU33" s="1888"/>
      <c r="HEV33" s="1882"/>
      <c r="HEW33" s="1882"/>
      <c r="HEX33" s="1882"/>
      <c r="HEZ33" s="1887"/>
      <c r="HFA33" s="1888"/>
      <c r="HFB33" s="1882"/>
      <c r="HFC33" s="1882"/>
      <c r="HFD33" s="1882"/>
      <c r="HFF33" s="1887"/>
      <c r="HFG33" s="1888"/>
      <c r="HFH33" s="1882"/>
      <c r="HFI33" s="1882"/>
      <c r="HFJ33" s="1882"/>
      <c r="HFL33" s="1887"/>
      <c r="HFM33" s="1888"/>
      <c r="HFN33" s="1882"/>
      <c r="HFO33" s="1882"/>
      <c r="HFP33" s="1882"/>
      <c r="HFR33" s="1887"/>
      <c r="HFS33" s="1888"/>
      <c r="HFT33" s="1882"/>
      <c r="HFU33" s="1882"/>
      <c r="HFV33" s="1882"/>
      <c r="HFX33" s="1887"/>
      <c r="HFY33" s="1888"/>
      <c r="HFZ33" s="1882"/>
      <c r="HGA33" s="1882"/>
      <c r="HGB33" s="1882"/>
      <c r="HGD33" s="1887"/>
      <c r="HGE33" s="1888"/>
      <c r="HGF33" s="1882"/>
      <c r="HGG33" s="1882"/>
      <c r="HGH33" s="1882"/>
      <c r="HGJ33" s="1887"/>
      <c r="HGK33" s="1888"/>
      <c r="HGL33" s="1882"/>
      <c r="HGM33" s="1882"/>
      <c r="HGN33" s="1882"/>
      <c r="HGP33" s="1887"/>
      <c r="HGQ33" s="1888"/>
      <c r="HGR33" s="1882"/>
      <c r="HGS33" s="1882"/>
      <c r="HGT33" s="1882"/>
      <c r="HGV33" s="1887"/>
      <c r="HGW33" s="1888"/>
      <c r="HGX33" s="1882"/>
      <c r="HGY33" s="1882"/>
      <c r="HGZ33" s="1882"/>
      <c r="HHB33" s="1887"/>
      <c r="HHC33" s="1888"/>
      <c r="HHD33" s="1882"/>
      <c r="HHE33" s="1882"/>
      <c r="HHF33" s="1882"/>
      <c r="HHH33" s="1887"/>
      <c r="HHI33" s="1888"/>
      <c r="HHJ33" s="1882"/>
      <c r="HHK33" s="1882"/>
      <c r="HHL33" s="1882"/>
      <c r="HHN33" s="1887"/>
      <c r="HHO33" s="1888"/>
      <c r="HHP33" s="1882"/>
      <c r="HHQ33" s="1882"/>
      <c r="HHR33" s="1882"/>
      <c r="HHT33" s="1887"/>
      <c r="HHU33" s="1888"/>
      <c r="HHV33" s="1882"/>
      <c r="HHW33" s="1882"/>
      <c r="HHX33" s="1882"/>
      <c r="HHZ33" s="1887"/>
      <c r="HIA33" s="1888"/>
      <c r="HIB33" s="1882"/>
      <c r="HIC33" s="1882"/>
      <c r="HID33" s="1882"/>
      <c r="HIF33" s="1887"/>
      <c r="HIG33" s="1888"/>
      <c r="HIH33" s="1882"/>
      <c r="HII33" s="1882"/>
      <c r="HIJ33" s="1882"/>
      <c r="HIL33" s="1887"/>
      <c r="HIM33" s="1888"/>
      <c r="HIN33" s="1882"/>
      <c r="HIO33" s="1882"/>
      <c r="HIP33" s="1882"/>
      <c r="HIR33" s="1887"/>
      <c r="HIS33" s="1888"/>
      <c r="HIT33" s="1882"/>
      <c r="HIU33" s="1882"/>
      <c r="HIV33" s="1882"/>
      <c r="HIX33" s="1887"/>
      <c r="HIY33" s="1888"/>
      <c r="HIZ33" s="1882"/>
      <c r="HJA33" s="1882"/>
      <c r="HJB33" s="1882"/>
      <c r="HJD33" s="1887"/>
      <c r="HJE33" s="1888"/>
      <c r="HJF33" s="1882"/>
      <c r="HJG33" s="1882"/>
      <c r="HJH33" s="1882"/>
      <c r="HJJ33" s="1887"/>
      <c r="HJK33" s="1888"/>
      <c r="HJL33" s="1882"/>
      <c r="HJM33" s="1882"/>
      <c r="HJN33" s="1882"/>
      <c r="HJP33" s="1887"/>
      <c r="HJQ33" s="1888"/>
      <c r="HJR33" s="1882"/>
      <c r="HJS33" s="1882"/>
      <c r="HJT33" s="1882"/>
      <c r="HJV33" s="1887"/>
      <c r="HJW33" s="1888"/>
      <c r="HJX33" s="1882"/>
      <c r="HJY33" s="1882"/>
      <c r="HJZ33" s="1882"/>
      <c r="HKB33" s="1887"/>
      <c r="HKC33" s="1888"/>
      <c r="HKD33" s="1882"/>
      <c r="HKE33" s="1882"/>
      <c r="HKF33" s="1882"/>
      <c r="HKH33" s="1887"/>
      <c r="HKI33" s="1888"/>
      <c r="HKJ33" s="1882"/>
      <c r="HKK33" s="1882"/>
      <c r="HKL33" s="1882"/>
      <c r="HKN33" s="1887"/>
      <c r="HKO33" s="1888"/>
      <c r="HKP33" s="1882"/>
      <c r="HKQ33" s="1882"/>
      <c r="HKR33" s="1882"/>
      <c r="HKT33" s="1887"/>
      <c r="HKU33" s="1888"/>
      <c r="HKV33" s="1882"/>
      <c r="HKW33" s="1882"/>
      <c r="HKX33" s="1882"/>
      <c r="HKZ33" s="1887"/>
      <c r="HLA33" s="1888"/>
      <c r="HLB33" s="1882"/>
      <c r="HLC33" s="1882"/>
      <c r="HLD33" s="1882"/>
      <c r="HLF33" s="1887"/>
      <c r="HLG33" s="1888"/>
      <c r="HLH33" s="1882"/>
      <c r="HLI33" s="1882"/>
      <c r="HLJ33" s="1882"/>
      <c r="HLL33" s="1887"/>
      <c r="HLM33" s="1888"/>
      <c r="HLN33" s="1882"/>
      <c r="HLO33" s="1882"/>
      <c r="HLP33" s="1882"/>
      <c r="HLR33" s="1887"/>
      <c r="HLS33" s="1888"/>
      <c r="HLT33" s="1882"/>
      <c r="HLU33" s="1882"/>
      <c r="HLV33" s="1882"/>
      <c r="HLX33" s="1887"/>
      <c r="HLY33" s="1888"/>
      <c r="HLZ33" s="1882"/>
      <c r="HMA33" s="1882"/>
      <c r="HMB33" s="1882"/>
      <c r="HMD33" s="1887"/>
      <c r="HME33" s="1888"/>
      <c r="HMF33" s="1882"/>
      <c r="HMG33" s="1882"/>
      <c r="HMH33" s="1882"/>
      <c r="HMJ33" s="1887"/>
      <c r="HMK33" s="1888"/>
      <c r="HML33" s="1882"/>
      <c r="HMM33" s="1882"/>
      <c r="HMN33" s="1882"/>
      <c r="HMP33" s="1887"/>
      <c r="HMQ33" s="1888"/>
      <c r="HMR33" s="1882"/>
      <c r="HMS33" s="1882"/>
      <c r="HMT33" s="1882"/>
      <c r="HMV33" s="1887"/>
      <c r="HMW33" s="1888"/>
      <c r="HMX33" s="1882"/>
      <c r="HMY33" s="1882"/>
      <c r="HMZ33" s="1882"/>
      <c r="HNB33" s="1887"/>
      <c r="HNC33" s="1888"/>
      <c r="HND33" s="1882"/>
      <c r="HNE33" s="1882"/>
      <c r="HNF33" s="1882"/>
      <c r="HNH33" s="1887"/>
      <c r="HNI33" s="1888"/>
      <c r="HNJ33" s="1882"/>
      <c r="HNK33" s="1882"/>
      <c r="HNL33" s="1882"/>
      <c r="HNN33" s="1887"/>
      <c r="HNO33" s="1888"/>
      <c r="HNP33" s="1882"/>
      <c r="HNQ33" s="1882"/>
      <c r="HNR33" s="1882"/>
      <c r="HNT33" s="1887"/>
      <c r="HNU33" s="1888"/>
      <c r="HNV33" s="1882"/>
      <c r="HNW33" s="1882"/>
      <c r="HNX33" s="1882"/>
      <c r="HNZ33" s="1887"/>
      <c r="HOA33" s="1888"/>
      <c r="HOB33" s="1882"/>
      <c r="HOC33" s="1882"/>
      <c r="HOD33" s="1882"/>
      <c r="HOF33" s="1887"/>
      <c r="HOG33" s="1888"/>
      <c r="HOH33" s="1882"/>
      <c r="HOI33" s="1882"/>
      <c r="HOJ33" s="1882"/>
      <c r="HOL33" s="1887"/>
      <c r="HOM33" s="1888"/>
      <c r="HON33" s="1882"/>
      <c r="HOO33" s="1882"/>
      <c r="HOP33" s="1882"/>
      <c r="HOR33" s="1887"/>
      <c r="HOS33" s="1888"/>
      <c r="HOT33" s="1882"/>
      <c r="HOU33" s="1882"/>
      <c r="HOV33" s="1882"/>
      <c r="HOX33" s="1887"/>
      <c r="HOY33" s="1888"/>
      <c r="HOZ33" s="1882"/>
      <c r="HPA33" s="1882"/>
      <c r="HPB33" s="1882"/>
      <c r="HPD33" s="1887"/>
      <c r="HPE33" s="1888"/>
      <c r="HPF33" s="1882"/>
      <c r="HPG33" s="1882"/>
      <c r="HPH33" s="1882"/>
      <c r="HPJ33" s="1887"/>
      <c r="HPK33" s="1888"/>
      <c r="HPL33" s="1882"/>
      <c r="HPM33" s="1882"/>
      <c r="HPN33" s="1882"/>
      <c r="HPP33" s="1887"/>
      <c r="HPQ33" s="1888"/>
      <c r="HPR33" s="1882"/>
      <c r="HPS33" s="1882"/>
      <c r="HPT33" s="1882"/>
      <c r="HPV33" s="1887"/>
      <c r="HPW33" s="1888"/>
      <c r="HPX33" s="1882"/>
      <c r="HPY33" s="1882"/>
      <c r="HPZ33" s="1882"/>
      <c r="HQB33" s="1887"/>
      <c r="HQC33" s="1888"/>
      <c r="HQD33" s="1882"/>
      <c r="HQE33" s="1882"/>
      <c r="HQF33" s="1882"/>
      <c r="HQH33" s="1887"/>
      <c r="HQI33" s="1888"/>
      <c r="HQJ33" s="1882"/>
      <c r="HQK33" s="1882"/>
      <c r="HQL33" s="1882"/>
      <c r="HQN33" s="1887"/>
      <c r="HQO33" s="1888"/>
      <c r="HQP33" s="1882"/>
      <c r="HQQ33" s="1882"/>
      <c r="HQR33" s="1882"/>
      <c r="HQT33" s="1887"/>
      <c r="HQU33" s="1888"/>
      <c r="HQV33" s="1882"/>
      <c r="HQW33" s="1882"/>
      <c r="HQX33" s="1882"/>
      <c r="HQZ33" s="1887"/>
      <c r="HRA33" s="1888"/>
      <c r="HRB33" s="1882"/>
      <c r="HRC33" s="1882"/>
      <c r="HRD33" s="1882"/>
      <c r="HRF33" s="1887"/>
      <c r="HRG33" s="1888"/>
      <c r="HRH33" s="1882"/>
      <c r="HRI33" s="1882"/>
      <c r="HRJ33" s="1882"/>
      <c r="HRL33" s="1887"/>
      <c r="HRM33" s="1888"/>
      <c r="HRN33" s="1882"/>
      <c r="HRO33" s="1882"/>
      <c r="HRP33" s="1882"/>
      <c r="HRR33" s="1887"/>
      <c r="HRS33" s="1888"/>
      <c r="HRT33" s="1882"/>
      <c r="HRU33" s="1882"/>
      <c r="HRV33" s="1882"/>
      <c r="HRX33" s="1887"/>
      <c r="HRY33" s="1888"/>
      <c r="HRZ33" s="1882"/>
      <c r="HSA33" s="1882"/>
      <c r="HSB33" s="1882"/>
      <c r="HSD33" s="1887"/>
      <c r="HSE33" s="1888"/>
      <c r="HSF33" s="1882"/>
      <c r="HSG33" s="1882"/>
      <c r="HSH33" s="1882"/>
      <c r="HSJ33" s="1887"/>
      <c r="HSK33" s="1888"/>
      <c r="HSL33" s="1882"/>
      <c r="HSM33" s="1882"/>
      <c r="HSN33" s="1882"/>
      <c r="HSP33" s="1887"/>
      <c r="HSQ33" s="1888"/>
      <c r="HSR33" s="1882"/>
      <c r="HSS33" s="1882"/>
      <c r="HST33" s="1882"/>
      <c r="HSV33" s="1887"/>
      <c r="HSW33" s="1888"/>
      <c r="HSX33" s="1882"/>
      <c r="HSY33" s="1882"/>
      <c r="HSZ33" s="1882"/>
      <c r="HTB33" s="1887"/>
      <c r="HTC33" s="1888"/>
      <c r="HTD33" s="1882"/>
      <c r="HTE33" s="1882"/>
      <c r="HTF33" s="1882"/>
      <c r="HTH33" s="1887"/>
      <c r="HTI33" s="1888"/>
      <c r="HTJ33" s="1882"/>
      <c r="HTK33" s="1882"/>
      <c r="HTL33" s="1882"/>
      <c r="HTN33" s="1887"/>
      <c r="HTO33" s="1888"/>
      <c r="HTP33" s="1882"/>
      <c r="HTQ33" s="1882"/>
      <c r="HTR33" s="1882"/>
      <c r="HTT33" s="1887"/>
      <c r="HTU33" s="1888"/>
      <c r="HTV33" s="1882"/>
      <c r="HTW33" s="1882"/>
      <c r="HTX33" s="1882"/>
      <c r="HTZ33" s="1887"/>
      <c r="HUA33" s="1888"/>
      <c r="HUB33" s="1882"/>
      <c r="HUC33" s="1882"/>
      <c r="HUD33" s="1882"/>
      <c r="HUF33" s="1887"/>
      <c r="HUG33" s="1888"/>
      <c r="HUH33" s="1882"/>
      <c r="HUI33" s="1882"/>
      <c r="HUJ33" s="1882"/>
      <c r="HUL33" s="1887"/>
      <c r="HUM33" s="1888"/>
      <c r="HUN33" s="1882"/>
      <c r="HUO33" s="1882"/>
      <c r="HUP33" s="1882"/>
      <c r="HUR33" s="1887"/>
      <c r="HUS33" s="1888"/>
      <c r="HUT33" s="1882"/>
      <c r="HUU33" s="1882"/>
      <c r="HUV33" s="1882"/>
      <c r="HUX33" s="1887"/>
      <c r="HUY33" s="1888"/>
      <c r="HUZ33" s="1882"/>
      <c r="HVA33" s="1882"/>
      <c r="HVB33" s="1882"/>
      <c r="HVD33" s="1887"/>
      <c r="HVE33" s="1888"/>
      <c r="HVF33" s="1882"/>
      <c r="HVG33" s="1882"/>
      <c r="HVH33" s="1882"/>
      <c r="HVJ33" s="1887"/>
      <c r="HVK33" s="1888"/>
      <c r="HVL33" s="1882"/>
      <c r="HVM33" s="1882"/>
      <c r="HVN33" s="1882"/>
      <c r="HVP33" s="1887"/>
      <c r="HVQ33" s="1888"/>
      <c r="HVR33" s="1882"/>
      <c r="HVS33" s="1882"/>
      <c r="HVT33" s="1882"/>
      <c r="HVV33" s="1887"/>
      <c r="HVW33" s="1888"/>
      <c r="HVX33" s="1882"/>
      <c r="HVY33" s="1882"/>
      <c r="HVZ33" s="1882"/>
      <c r="HWB33" s="1887"/>
      <c r="HWC33" s="1888"/>
      <c r="HWD33" s="1882"/>
      <c r="HWE33" s="1882"/>
      <c r="HWF33" s="1882"/>
      <c r="HWH33" s="1887"/>
      <c r="HWI33" s="1888"/>
      <c r="HWJ33" s="1882"/>
      <c r="HWK33" s="1882"/>
      <c r="HWL33" s="1882"/>
      <c r="HWN33" s="1887"/>
      <c r="HWO33" s="1888"/>
      <c r="HWP33" s="1882"/>
      <c r="HWQ33" s="1882"/>
      <c r="HWR33" s="1882"/>
      <c r="HWT33" s="1887"/>
      <c r="HWU33" s="1888"/>
      <c r="HWV33" s="1882"/>
      <c r="HWW33" s="1882"/>
      <c r="HWX33" s="1882"/>
      <c r="HWZ33" s="1887"/>
      <c r="HXA33" s="1888"/>
      <c r="HXB33" s="1882"/>
      <c r="HXC33" s="1882"/>
      <c r="HXD33" s="1882"/>
      <c r="HXF33" s="1887"/>
      <c r="HXG33" s="1888"/>
      <c r="HXH33" s="1882"/>
      <c r="HXI33" s="1882"/>
      <c r="HXJ33" s="1882"/>
      <c r="HXL33" s="1887"/>
      <c r="HXM33" s="1888"/>
      <c r="HXN33" s="1882"/>
      <c r="HXO33" s="1882"/>
      <c r="HXP33" s="1882"/>
      <c r="HXR33" s="1887"/>
      <c r="HXS33" s="1888"/>
      <c r="HXT33" s="1882"/>
      <c r="HXU33" s="1882"/>
      <c r="HXV33" s="1882"/>
      <c r="HXX33" s="1887"/>
      <c r="HXY33" s="1888"/>
      <c r="HXZ33" s="1882"/>
      <c r="HYA33" s="1882"/>
      <c r="HYB33" s="1882"/>
      <c r="HYD33" s="1887"/>
      <c r="HYE33" s="1888"/>
      <c r="HYF33" s="1882"/>
      <c r="HYG33" s="1882"/>
      <c r="HYH33" s="1882"/>
      <c r="HYJ33" s="1887"/>
      <c r="HYK33" s="1888"/>
      <c r="HYL33" s="1882"/>
      <c r="HYM33" s="1882"/>
      <c r="HYN33" s="1882"/>
      <c r="HYP33" s="1887"/>
      <c r="HYQ33" s="1888"/>
      <c r="HYR33" s="1882"/>
      <c r="HYS33" s="1882"/>
      <c r="HYT33" s="1882"/>
      <c r="HYV33" s="1887"/>
      <c r="HYW33" s="1888"/>
      <c r="HYX33" s="1882"/>
      <c r="HYY33" s="1882"/>
      <c r="HYZ33" s="1882"/>
      <c r="HZB33" s="1887"/>
      <c r="HZC33" s="1888"/>
      <c r="HZD33" s="1882"/>
      <c r="HZE33" s="1882"/>
      <c r="HZF33" s="1882"/>
      <c r="HZH33" s="1887"/>
      <c r="HZI33" s="1888"/>
      <c r="HZJ33" s="1882"/>
      <c r="HZK33" s="1882"/>
      <c r="HZL33" s="1882"/>
      <c r="HZN33" s="1887"/>
      <c r="HZO33" s="1888"/>
      <c r="HZP33" s="1882"/>
      <c r="HZQ33" s="1882"/>
      <c r="HZR33" s="1882"/>
      <c r="HZT33" s="1887"/>
      <c r="HZU33" s="1888"/>
      <c r="HZV33" s="1882"/>
      <c r="HZW33" s="1882"/>
      <c r="HZX33" s="1882"/>
      <c r="HZZ33" s="1887"/>
      <c r="IAA33" s="1888"/>
      <c r="IAB33" s="1882"/>
      <c r="IAC33" s="1882"/>
      <c r="IAD33" s="1882"/>
      <c r="IAF33" s="1887"/>
      <c r="IAG33" s="1888"/>
      <c r="IAH33" s="1882"/>
      <c r="IAI33" s="1882"/>
      <c r="IAJ33" s="1882"/>
      <c r="IAL33" s="1887"/>
      <c r="IAM33" s="1888"/>
      <c r="IAN33" s="1882"/>
      <c r="IAO33" s="1882"/>
      <c r="IAP33" s="1882"/>
      <c r="IAR33" s="1887"/>
      <c r="IAS33" s="1888"/>
      <c r="IAT33" s="1882"/>
      <c r="IAU33" s="1882"/>
      <c r="IAV33" s="1882"/>
      <c r="IAX33" s="1887"/>
      <c r="IAY33" s="1888"/>
      <c r="IAZ33" s="1882"/>
      <c r="IBA33" s="1882"/>
      <c r="IBB33" s="1882"/>
      <c r="IBD33" s="1887"/>
      <c r="IBE33" s="1888"/>
      <c r="IBF33" s="1882"/>
      <c r="IBG33" s="1882"/>
      <c r="IBH33" s="1882"/>
      <c r="IBJ33" s="1887"/>
      <c r="IBK33" s="1888"/>
      <c r="IBL33" s="1882"/>
      <c r="IBM33" s="1882"/>
      <c r="IBN33" s="1882"/>
      <c r="IBP33" s="1887"/>
      <c r="IBQ33" s="1888"/>
      <c r="IBR33" s="1882"/>
      <c r="IBS33" s="1882"/>
      <c r="IBT33" s="1882"/>
      <c r="IBV33" s="1887"/>
      <c r="IBW33" s="1888"/>
      <c r="IBX33" s="1882"/>
      <c r="IBY33" s="1882"/>
      <c r="IBZ33" s="1882"/>
      <c r="ICB33" s="1887"/>
      <c r="ICC33" s="1888"/>
      <c r="ICD33" s="1882"/>
      <c r="ICE33" s="1882"/>
      <c r="ICF33" s="1882"/>
      <c r="ICH33" s="1887"/>
      <c r="ICI33" s="1888"/>
      <c r="ICJ33" s="1882"/>
      <c r="ICK33" s="1882"/>
      <c r="ICL33" s="1882"/>
      <c r="ICN33" s="1887"/>
      <c r="ICO33" s="1888"/>
      <c r="ICP33" s="1882"/>
      <c r="ICQ33" s="1882"/>
      <c r="ICR33" s="1882"/>
      <c r="ICT33" s="1887"/>
      <c r="ICU33" s="1888"/>
      <c r="ICV33" s="1882"/>
      <c r="ICW33" s="1882"/>
      <c r="ICX33" s="1882"/>
      <c r="ICZ33" s="1887"/>
      <c r="IDA33" s="1888"/>
      <c r="IDB33" s="1882"/>
      <c r="IDC33" s="1882"/>
      <c r="IDD33" s="1882"/>
      <c r="IDF33" s="1887"/>
      <c r="IDG33" s="1888"/>
      <c r="IDH33" s="1882"/>
      <c r="IDI33" s="1882"/>
      <c r="IDJ33" s="1882"/>
      <c r="IDL33" s="1887"/>
      <c r="IDM33" s="1888"/>
      <c r="IDN33" s="1882"/>
      <c r="IDO33" s="1882"/>
      <c r="IDP33" s="1882"/>
      <c r="IDR33" s="1887"/>
      <c r="IDS33" s="1888"/>
      <c r="IDT33" s="1882"/>
      <c r="IDU33" s="1882"/>
      <c r="IDV33" s="1882"/>
      <c r="IDX33" s="1887"/>
      <c r="IDY33" s="1888"/>
      <c r="IDZ33" s="1882"/>
      <c r="IEA33" s="1882"/>
      <c r="IEB33" s="1882"/>
      <c r="IED33" s="1887"/>
      <c r="IEE33" s="1888"/>
      <c r="IEF33" s="1882"/>
      <c r="IEG33" s="1882"/>
      <c r="IEH33" s="1882"/>
      <c r="IEJ33" s="1887"/>
      <c r="IEK33" s="1888"/>
      <c r="IEL33" s="1882"/>
      <c r="IEM33" s="1882"/>
      <c r="IEN33" s="1882"/>
      <c r="IEP33" s="1887"/>
      <c r="IEQ33" s="1888"/>
      <c r="IER33" s="1882"/>
      <c r="IES33" s="1882"/>
      <c r="IET33" s="1882"/>
      <c r="IEV33" s="1887"/>
      <c r="IEW33" s="1888"/>
      <c r="IEX33" s="1882"/>
      <c r="IEY33" s="1882"/>
      <c r="IEZ33" s="1882"/>
      <c r="IFB33" s="1887"/>
      <c r="IFC33" s="1888"/>
      <c r="IFD33" s="1882"/>
      <c r="IFE33" s="1882"/>
      <c r="IFF33" s="1882"/>
      <c r="IFH33" s="1887"/>
      <c r="IFI33" s="1888"/>
      <c r="IFJ33" s="1882"/>
      <c r="IFK33" s="1882"/>
      <c r="IFL33" s="1882"/>
      <c r="IFN33" s="1887"/>
      <c r="IFO33" s="1888"/>
      <c r="IFP33" s="1882"/>
      <c r="IFQ33" s="1882"/>
      <c r="IFR33" s="1882"/>
      <c r="IFT33" s="1887"/>
      <c r="IFU33" s="1888"/>
      <c r="IFV33" s="1882"/>
      <c r="IFW33" s="1882"/>
      <c r="IFX33" s="1882"/>
      <c r="IFZ33" s="1887"/>
      <c r="IGA33" s="1888"/>
      <c r="IGB33" s="1882"/>
      <c r="IGC33" s="1882"/>
      <c r="IGD33" s="1882"/>
      <c r="IGF33" s="1887"/>
      <c r="IGG33" s="1888"/>
      <c r="IGH33" s="1882"/>
      <c r="IGI33" s="1882"/>
      <c r="IGJ33" s="1882"/>
      <c r="IGL33" s="1887"/>
      <c r="IGM33" s="1888"/>
      <c r="IGN33" s="1882"/>
      <c r="IGO33" s="1882"/>
      <c r="IGP33" s="1882"/>
      <c r="IGR33" s="1887"/>
      <c r="IGS33" s="1888"/>
      <c r="IGT33" s="1882"/>
      <c r="IGU33" s="1882"/>
      <c r="IGV33" s="1882"/>
      <c r="IGX33" s="1887"/>
      <c r="IGY33" s="1888"/>
      <c r="IGZ33" s="1882"/>
      <c r="IHA33" s="1882"/>
      <c r="IHB33" s="1882"/>
      <c r="IHD33" s="1887"/>
      <c r="IHE33" s="1888"/>
      <c r="IHF33" s="1882"/>
      <c r="IHG33" s="1882"/>
      <c r="IHH33" s="1882"/>
      <c r="IHJ33" s="1887"/>
      <c r="IHK33" s="1888"/>
      <c r="IHL33" s="1882"/>
      <c r="IHM33" s="1882"/>
      <c r="IHN33" s="1882"/>
      <c r="IHP33" s="1887"/>
      <c r="IHQ33" s="1888"/>
      <c r="IHR33" s="1882"/>
      <c r="IHS33" s="1882"/>
      <c r="IHT33" s="1882"/>
      <c r="IHV33" s="1887"/>
      <c r="IHW33" s="1888"/>
      <c r="IHX33" s="1882"/>
      <c r="IHY33" s="1882"/>
      <c r="IHZ33" s="1882"/>
      <c r="IIB33" s="1887"/>
      <c r="IIC33" s="1888"/>
      <c r="IID33" s="1882"/>
      <c r="IIE33" s="1882"/>
      <c r="IIF33" s="1882"/>
      <c r="IIH33" s="1887"/>
      <c r="III33" s="1888"/>
      <c r="IIJ33" s="1882"/>
      <c r="IIK33" s="1882"/>
      <c r="IIL33" s="1882"/>
      <c r="IIN33" s="1887"/>
      <c r="IIO33" s="1888"/>
      <c r="IIP33" s="1882"/>
      <c r="IIQ33" s="1882"/>
      <c r="IIR33" s="1882"/>
      <c r="IIT33" s="1887"/>
      <c r="IIU33" s="1888"/>
      <c r="IIV33" s="1882"/>
      <c r="IIW33" s="1882"/>
      <c r="IIX33" s="1882"/>
      <c r="IIZ33" s="1887"/>
      <c r="IJA33" s="1888"/>
      <c r="IJB33" s="1882"/>
      <c r="IJC33" s="1882"/>
      <c r="IJD33" s="1882"/>
      <c r="IJF33" s="1887"/>
      <c r="IJG33" s="1888"/>
      <c r="IJH33" s="1882"/>
      <c r="IJI33" s="1882"/>
      <c r="IJJ33" s="1882"/>
      <c r="IJL33" s="1887"/>
      <c r="IJM33" s="1888"/>
      <c r="IJN33" s="1882"/>
      <c r="IJO33" s="1882"/>
      <c r="IJP33" s="1882"/>
      <c r="IJR33" s="1887"/>
      <c r="IJS33" s="1888"/>
      <c r="IJT33" s="1882"/>
      <c r="IJU33" s="1882"/>
      <c r="IJV33" s="1882"/>
      <c r="IJX33" s="1887"/>
      <c r="IJY33" s="1888"/>
      <c r="IJZ33" s="1882"/>
      <c r="IKA33" s="1882"/>
      <c r="IKB33" s="1882"/>
      <c r="IKD33" s="1887"/>
      <c r="IKE33" s="1888"/>
      <c r="IKF33" s="1882"/>
      <c r="IKG33" s="1882"/>
      <c r="IKH33" s="1882"/>
      <c r="IKJ33" s="1887"/>
      <c r="IKK33" s="1888"/>
      <c r="IKL33" s="1882"/>
      <c r="IKM33" s="1882"/>
      <c r="IKN33" s="1882"/>
      <c r="IKP33" s="1887"/>
      <c r="IKQ33" s="1888"/>
      <c r="IKR33" s="1882"/>
      <c r="IKS33" s="1882"/>
      <c r="IKT33" s="1882"/>
      <c r="IKV33" s="1887"/>
      <c r="IKW33" s="1888"/>
      <c r="IKX33" s="1882"/>
      <c r="IKY33" s="1882"/>
      <c r="IKZ33" s="1882"/>
      <c r="ILB33" s="1887"/>
      <c r="ILC33" s="1888"/>
      <c r="ILD33" s="1882"/>
      <c r="ILE33" s="1882"/>
      <c r="ILF33" s="1882"/>
      <c r="ILH33" s="1887"/>
      <c r="ILI33" s="1888"/>
      <c r="ILJ33" s="1882"/>
      <c r="ILK33" s="1882"/>
      <c r="ILL33" s="1882"/>
      <c r="ILN33" s="1887"/>
      <c r="ILO33" s="1888"/>
      <c r="ILP33" s="1882"/>
      <c r="ILQ33" s="1882"/>
      <c r="ILR33" s="1882"/>
      <c r="ILT33" s="1887"/>
      <c r="ILU33" s="1888"/>
      <c r="ILV33" s="1882"/>
      <c r="ILW33" s="1882"/>
      <c r="ILX33" s="1882"/>
      <c r="ILZ33" s="1887"/>
      <c r="IMA33" s="1888"/>
      <c r="IMB33" s="1882"/>
      <c r="IMC33" s="1882"/>
      <c r="IMD33" s="1882"/>
      <c r="IMF33" s="1887"/>
      <c r="IMG33" s="1888"/>
      <c r="IMH33" s="1882"/>
      <c r="IMI33" s="1882"/>
      <c r="IMJ33" s="1882"/>
      <c r="IML33" s="1887"/>
      <c r="IMM33" s="1888"/>
      <c r="IMN33" s="1882"/>
      <c r="IMO33" s="1882"/>
      <c r="IMP33" s="1882"/>
      <c r="IMR33" s="1887"/>
      <c r="IMS33" s="1888"/>
      <c r="IMT33" s="1882"/>
      <c r="IMU33" s="1882"/>
      <c r="IMV33" s="1882"/>
      <c r="IMX33" s="1887"/>
      <c r="IMY33" s="1888"/>
      <c r="IMZ33" s="1882"/>
      <c r="INA33" s="1882"/>
      <c r="INB33" s="1882"/>
      <c r="IND33" s="1887"/>
      <c r="INE33" s="1888"/>
      <c r="INF33" s="1882"/>
      <c r="ING33" s="1882"/>
      <c r="INH33" s="1882"/>
      <c r="INJ33" s="1887"/>
      <c r="INK33" s="1888"/>
      <c r="INL33" s="1882"/>
      <c r="INM33" s="1882"/>
      <c r="INN33" s="1882"/>
      <c r="INP33" s="1887"/>
      <c r="INQ33" s="1888"/>
      <c r="INR33" s="1882"/>
      <c r="INS33" s="1882"/>
      <c r="INT33" s="1882"/>
      <c r="INV33" s="1887"/>
      <c r="INW33" s="1888"/>
      <c r="INX33" s="1882"/>
      <c r="INY33" s="1882"/>
      <c r="INZ33" s="1882"/>
      <c r="IOB33" s="1887"/>
      <c r="IOC33" s="1888"/>
      <c r="IOD33" s="1882"/>
      <c r="IOE33" s="1882"/>
      <c r="IOF33" s="1882"/>
      <c r="IOH33" s="1887"/>
      <c r="IOI33" s="1888"/>
      <c r="IOJ33" s="1882"/>
      <c r="IOK33" s="1882"/>
      <c r="IOL33" s="1882"/>
      <c r="ION33" s="1887"/>
      <c r="IOO33" s="1888"/>
      <c r="IOP33" s="1882"/>
      <c r="IOQ33" s="1882"/>
      <c r="IOR33" s="1882"/>
      <c r="IOT33" s="1887"/>
      <c r="IOU33" s="1888"/>
      <c r="IOV33" s="1882"/>
      <c r="IOW33" s="1882"/>
      <c r="IOX33" s="1882"/>
      <c r="IOZ33" s="1887"/>
      <c r="IPA33" s="1888"/>
      <c r="IPB33" s="1882"/>
      <c r="IPC33" s="1882"/>
      <c r="IPD33" s="1882"/>
      <c r="IPF33" s="1887"/>
      <c r="IPG33" s="1888"/>
      <c r="IPH33" s="1882"/>
      <c r="IPI33" s="1882"/>
      <c r="IPJ33" s="1882"/>
      <c r="IPL33" s="1887"/>
      <c r="IPM33" s="1888"/>
      <c r="IPN33" s="1882"/>
      <c r="IPO33" s="1882"/>
      <c r="IPP33" s="1882"/>
      <c r="IPR33" s="1887"/>
      <c r="IPS33" s="1888"/>
      <c r="IPT33" s="1882"/>
      <c r="IPU33" s="1882"/>
      <c r="IPV33" s="1882"/>
      <c r="IPX33" s="1887"/>
      <c r="IPY33" s="1888"/>
      <c r="IPZ33" s="1882"/>
      <c r="IQA33" s="1882"/>
      <c r="IQB33" s="1882"/>
      <c r="IQD33" s="1887"/>
      <c r="IQE33" s="1888"/>
      <c r="IQF33" s="1882"/>
      <c r="IQG33" s="1882"/>
      <c r="IQH33" s="1882"/>
      <c r="IQJ33" s="1887"/>
      <c r="IQK33" s="1888"/>
      <c r="IQL33" s="1882"/>
      <c r="IQM33" s="1882"/>
      <c r="IQN33" s="1882"/>
      <c r="IQP33" s="1887"/>
      <c r="IQQ33" s="1888"/>
      <c r="IQR33" s="1882"/>
      <c r="IQS33" s="1882"/>
      <c r="IQT33" s="1882"/>
      <c r="IQV33" s="1887"/>
      <c r="IQW33" s="1888"/>
      <c r="IQX33" s="1882"/>
      <c r="IQY33" s="1882"/>
      <c r="IQZ33" s="1882"/>
      <c r="IRB33" s="1887"/>
      <c r="IRC33" s="1888"/>
      <c r="IRD33" s="1882"/>
      <c r="IRE33" s="1882"/>
      <c r="IRF33" s="1882"/>
      <c r="IRH33" s="1887"/>
      <c r="IRI33" s="1888"/>
      <c r="IRJ33" s="1882"/>
      <c r="IRK33" s="1882"/>
      <c r="IRL33" s="1882"/>
      <c r="IRN33" s="1887"/>
      <c r="IRO33" s="1888"/>
      <c r="IRP33" s="1882"/>
      <c r="IRQ33" s="1882"/>
      <c r="IRR33" s="1882"/>
      <c r="IRT33" s="1887"/>
      <c r="IRU33" s="1888"/>
      <c r="IRV33" s="1882"/>
      <c r="IRW33" s="1882"/>
      <c r="IRX33" s="1882"/>
      <c r="IRZ33" s="1887"/>
      <c r="ISA33" s="1888"/>
      <c r="ISB33" s="1882"/>
      <c r="ISC33" s="1882"/>
      <c r="ISD33" s="1882"/>
      <c r="ISF33" s="1887"/>
      <c r="ISG33" s="1888"/>
      <c r="ISH33" s="1882"/>
      <c r="ISI33" s="1882"/>
      <c r="ISJ33" s="1882"/>
      <c r="ISL33" s="1887"/>
      <c r="ISM33" s="1888"/>
      <c r="ISN33" s="1882"/>
      <c r="ISO33" s="1882"/>
      <c r="ISP33" s="1882"/>
      <c r="ISR33" s="1887"/>
      <c r="ISS33" s="1888"/>
      <c r="IST33" s="1882"/>
      <c r="ISU33" s="1882"/>
      <c r="ISV33" s="1882"/>
      <c r="ISX33" s="1887"/>
      <c r="ISY33" s="1888"/>
      <c r="ISZ33" s="1882"/>
      <c r="ITA33" s="1882"/>
      <c r="ITB33" s="1882"/>
      <c r="ITD33" s="1887"/>
      <c r="ITE33" s="1888"/>
      <c r="ITF33" s="1882"/>
      <c r="ITG33" s="1882"/>
      <c r="ITH33" s="1882"/>
      <c r="ITJ33" s="1887"/>
      <c r="ITK33" s="1888"/>
      <c r="ITL33" s="1882"/>
      <c r="ITM33" s="1882"/>
      <c r="ITN33" s="1882"/>
      <c r="ITP33" s="1887"/>
      <c r="ITQ33" s="1888"/>
      <c r="ITR33" s="1882"/>
      <c r="ITS33" s="1882"/>
      <c r="ITT33" s="1882"/>
      <c r="ITV33" s="1887"/>
      <c r="ITW33" s="1888"/>
      <c r="ITX33" s="1882"/>
      <c r="ITY33" s="1882"/>
      <c r="ITZ33" s="1882"/>
      <c r="IUB33" s="1887"/>
      <c r="IUC33" s="1888"/>
      <c r="IUD33" s="1882"/>
      <c r="IUE33" s="1882"/>
      <c r="IUF33" s="1882"/>
      <c r="IUH33" s="1887"/>
      <c r="IUI33" s="1888"/>
      <c r="IUJ33" s="1882"/>
      <c r="IUK33" s="1882"/>
      <c r="IUL33" s="1882"/>
      <c r="IUN33" s="1887"/>
      <c r="IUO33" s="1888"/>
      <c r="IUP33" s="1882"/>
      <c r="IUQ33" s="1882"/>
      <c r="IUR33" s="1882"/>
      <c r="IUT33" s="1887"/>
      <c r="IUU33" s="1888"/>
      <c r="IUV33" s="1882"/>
      <c r="IUW33" s="1882"/>
      <c r="IUX33" s="1882"/>
      <c r="IUZ33" s="1887"/>
      <c r="IVA33" s="1888"/>
      <c r="IVB33" s="1882"/>
      <c r="IVC33" s="1882"/>
      <c r="IVD33" s="1882"/>
      <c r="IVF33" s="1887"/>
      <c r="IVG33" s="1888"/>
      <c r="IVH33" s="1882"/>
      <c r="IVI33" s="1882"/>
      <c r="IVJ33" s="1882"/>
      <c r="IVL33" s="1887"/>
      <c r="IVM33" s="1888"/>
      <c r="IVN33" s="1882"/>
      <c r="IVO33" s="1882"/>
      <c r="IVP33" s="1882"/>
      <c r="IVR33" s="1887"/>
      <c r="IVS33" s="1888"/>
      <c r="IVT33" s="1882"/>
      <c r="IVU33" s="1882"/>
      <c r="IVV33" s="1882"/>
      <c r="IVX33" s="1887"/>
      <c r="IVY33" s="1888"/>
      <c r="IVZ33" s="1882"/>
      <c r="IWA33" s="1882"/>
      <c r="IWB33" s="1882"/>
      <c r="IWD33" s="1887"/>
      <c r="IWE33" s="1888"/>
      <c r="IWF33" s="1882"/>
      <c r="IWG33" s="1882"/>
      <c r="IWH33" s="1882"/>
      <c r="IWJ33" s="1887"/>
      <c r="IWK33" s="1888"/>
      <c r="IWL33" s="1882"/>
      <c r="IWM33" s="1882"/>
      <c r="IWN33" s="1882"/>
      <c r="IWP33" s="1887"/>
      <c r="IWQ33" s="1888"/>
      <c r="IWR33" s="1882"/>
      <c r="IWS33" s="1882"/>
      <c r="IWT33" s="1882"/>
      <c r="IWV33" s="1887"/>
      <c r="IWW33" s="1888"/>
      <c r="IWX33" s="1882"/>
      <c r="IWY33" s="1882"/>
      <c r="IWZ33" s="1882"/>
      <c r="IXB33" s="1887"/>
      <c r="IXC33" s="1888"/>
      <c r="IXD33" s="1882"/>
      <c r="IXE33" s="1882"/>
      <c r="IXF33" s="1882"/>
      <c r="IXH33" s="1887"/>
      <c r="IXI33" s="1888"/>
      <c r="IXJ33" s="1882"/>
      <c r="IXK33" s="1882"/>
      <c r="IXL33" s="1882"/>
      <c r="IXN33" s="1887"/>
      <c r="IXO33" s="1888"/>
      <c r="IXP33" s="1882"/>
      <c r="IXQ33" s="1882"/>
      <c r="IXR33" s="1882"/>
      <c r="IXT33" s="1887"/>
      <c r="IXU33" s="1888"/>
      <c r="IXV33" s="1882"/>
      <c r="IXW33" s="1882"/>
      <c r="IXX33" s="1882"/>
      <c r="IXZ33" s="1887"/>
      <c r="IYA33" s="1888"/>
      <c r="IYB33" s="1882"/>
      <c r="IYC33" s="1882"/>
      <c r="IYD33" s="1882"/>
      <c r="IYF33" s="1887"/>
      <c r="IYG33" s="1888"/>
      <c r="IYH33" s="1882"/>
      <c r="IYI33" s="1882"/>
      <c r="IYJ33" s="1882"/>
      <c r="IYL33" s="1887"/>
      <c r="IYM33" s="1888"/>
      <c r="IYN33" s="1882"/>
      <c r="IYO33" s="1882"/>
      <c r="IYP33" s="1882"/>
      <c r="IYR33" s="1887"/>
      <c r="IYS33" s="1888"/>
      <c r="IYT33" s="1882"/>
      <c r="IYU33" s="1882"/>
      <c r="IYV33" s="1882"/>
      <c r="IYX33" s="1887"/>
      <c r="IYY33" s="1888"/>
      <c r="IYZ33" s="1882"/>
      <c r="IZA33" s="1882"/>
      <c r="IZB33" s="1882"/>
      <c r="IZD33" s="1887"/>
      <c r="IZE33" s="1888"/>
      <c r="IZF33" s="1882"/>
      <c r="IZG33" s="1882"/>
      <c r="IZH33" s="1882"/>
      <c r="IZJ33" s="1887"/>
      <c r="IZK33" s="1888"/>
      <c r="IZL33" s="1882"/>
      <c r="IZM33" s="1882"/>
      <c r="IZN33" s="1882"/>
      <c r="IZP33" s="1887"/>
      <c r="IZQ33" s="1888"/>
      <c r="IZR33" s="1882"/>
      <c r="IZS33" s="1882"/>
      <c r="IZT33" s="1882"/>
      <c r="IZV33" s="1887"/>
      <c r="IZW33" s="1888"/>
      <c r="IZX33" s="1882"/>
      <c r="IZY33" s="1882"/>
      <c r="IZZ33" s="1882"/>
      <c r="JAB33" s="1887"/>
      <c r="JAC33" s="1888"/>
      <c r="JAD33" s="1882"/>
      <c r="JAE33" s="1882"/>
      <c r="JAF33" s="1882"/>
      <c r="JAH33" s="1887"/>
      <c r="JAI33" s="1888"/>
      <c r="JAJ33" s="1882"/>
      <c r="JAK33" s="1882"/>
      <c r="JAL33" s="1882"/>
      <c r="JAN33" s="1887"/>
      <c r="JAO33" s="1888"/>
      <c r="JAP33" s="1882"/>
      <c r="JAQ33" s="1882"/>
      <c r="JAR33" s="1882"/>
      <c r="JAT33" s="1887"/>
      <c r="JAU33" s="1888"/>
      <c r="JAV33" s="1882"/>
      <c r="JAW33" s="1882"/>
      <c r="JAX33" s="1882"/>
      <c r="JAZ33" s="1887"/>
      <c r="JBA33" s="1888"/>
      <c r="JBB33" s="1882"/>
      <c r="JBC33" s="1882"/>
      <c r="JBD33" s="1882"/>
      <c r="JBF33" s="1887"/>
      <c r="JBG33" s="1888"/>
      <c r="JBH33" s="1882"/>
      <c r="JBI33" s="1882"/>
      <c r="JBJ33" s="1882"/>
      <c r="JBL33" s="1887"/>
      <c r="JBM33" s="1888"/>
      <c r="JBN33" s="1882"/>
      <c r="JBO33" s="1882"/>
      <c r="JBP33" s="1882"/>
      <c r="JBR33" s="1887"/>
      <c r="JBS33" s="1888"/>
      <c r="JBT33" s="1882"/>
      <c r="JBU33" s="1882"/>
      <c r="JBV33" s="1882"/>
      <c r="JBX33" s="1887"/>
      <c r="JBY33" s="1888"/>
      <c r="JBZ33" s="1882"/>
      <c r="JCA33" s="1882"/>
      <c r="JCB33" s="1882"/>
      <c r="JCD33" s="1887"/>
      <c r="JCE33" s="1888"/>
      <c r="JCF33" s="1882"/>
      <c r="JCG33" s="1882"/>
      <c r="JCH33" s="1882"/>
      <c r="JCJ33" s="1887"/>
      <c r="JCK33" s="1888"/>
      <c r="JCL33" s="1882"/>
      <c r="JCM33" s="1882"/>
      <c r="JCN33" s="1882"/>
      <c r="JCP33" s="1887"/>
      <c r="JCQ33" s="1888"/>
      <c r="JCR33" s="1882"/>
      <c r="JCS33" s="1882"/>
      <c r="JCT33" s="1882"/>
      <c r="JCV33" s="1887"/>
      <c r="JCW33" s="1888"/>
      <c r="JCX33" s="1882"/>
      <c r="JCY33" s="1882"/>
      <c r="JCZ33" s="1882"/>
      <c r="JDB33" s="1887"/>
      <c r="JDC33" s="1888"/>
      <c r="JDD33" s="1882"/>
      <c r="JDE33" s="1882"/>
      <c r="JDF33" s="1882"/>
      <c r="JDH33" s="1887"/>
      <c r="JDI33" s="1888"/>
      <c r="JDJ33" s="1882"/>
      <c r="JDK33" s="1882"/>
      <c r="JDL33" s="1882"/>
      <c r="JDN33" s="1887"/>
      <c r="JDO33" s="1888"/>
      <c r="JDP33" s="1882"/>
      <c r="JDQ33" s="1882"/>
      <c r="JDR33" s="1882"/>
      <c r="JDT33" s="1887"/>
      <c r="JDU33" s="1888"/>
      <c r="JDV33" s="1882"/>
      <c r="JDW33" s="1882"/>
      <c r="JDX33" s="1882"/>
      <c r="JDZ33" s="1887"/>
      <c r="JEA33" s="1888"/>
      <c r="JEB33" s="1882"/>
      <c r="JEC33" s="1882"/>
      <c r="JED33" s="1882"/>
      <c r="JEF33" s="1887"/>
      <c r="JEG33" s="1888"/>
      <c r="JEH33" s="1882"/>
      <c r="JEI33" s="1882"/>
      <c r="JEJ33" s="1882"/>
      <c r="JEL33" s="1887"/>
      <c r="JEM33" s="1888"/>
      <c r="JEN33" s="1882"/>
      <c r="JEO33" s="1882"/>
      <c r="JEP33" s="1882"/>
      <c r="JER33" s="1887"/>
      <c r="JES33" s="1888"/>
      <c r="JET33" s="1882"/>
      <c r="JEU33" s="1882"/>
      <c r="JEV33" s="1882"/>
      <c r="JEX33" s="1887"/>
      <c r="JEY33" s="1888"/>
      <c r="JEZ33" s="1882"/>
      <c r="JFA33" s="1882"/>
      <c r="JFB33" s="1882"/>
      <c r="JFD33" s="1887"/>
      <c r="JFE33" s="1888"/>
      <c r="JFF33" s="1882"/>
      <c r="JFG33" s="1882"/>
      <c r="JFH33" s="1882"/>
      <c r="JFJ33" s="1887"/>
      <c r="JFK33" s="1888"/>
      <c r="JFL33" s="1882"/>
      <c r="JFM33" s="1882"/>
      <c r="JFN33" s="1882"/>
      <c r="JFP33" s="1887"/>
      <c r="JFQ33" s="1888"/>
      <c r="JFR33" s="1882"/>
      <c r="JFS33" s="1882"/>
      <c r="JFT33" s="1882"/>
      <c r="JFV33" s="1887"/>
      <c r="JFW33" s="1888"/>
      <c r="JFX33" s="1882"/>
      <c r="JFY33" s="1882"/>
      <c r="JFZ33" s="1882"/>
      <c r="JGB33" s="1887"/>
      <c r="JGC33" s="1888"/>
      <c r="JGD33" s="1882"/>
      <c r="JGE33" s="1882"/>
      <c r="JGF33" s="1882"/>
      <c r="JGH33" s="1887"/>
      <c r="JGI33" s="1888"/>
      <c r="JGJ33" s="1882"/>
      <c r="JGK33" s="1882"/>
      <c r="JGL33" s="1882"/>
      <c r="JGN33" s="1887"/>
      <c r="JGO33" s="1888"/>
      <c r="JGP33" s="1882"/>
      <c r="JGQ33" s="1882"/>
      <c r="JGR33" s="1882"/>
      <c r="JGT33" s="1887"/>
      <c r="JGU33" s="1888"/>
      <c r="JGV33" s="1882"/>
      <c r="JGW33" s="1882"/>
      <c r="JGX33" s="1882"/>
      <c r="JGZ33" s="1887"/>
      <c r="JHA33" s="1888"/>
      <c r="JHB33" s="1882"/>
      <c r="JHC33" s="1882"/>
      <c r="JHD33" s="1882"/>
      <c r="JHF33" s="1887"/>
      <c r="JHG33" s="1888"/>
      <c r="JHH33" s="1882"/>
      <c r="JHI33" s="1882"/>
      <c r="JHJ33" s="1882"/>
      <c r="JHL33" s="1887"/>
      <c r="JHM33" s="1888"/>
      <c r="JHN33" s="1882"/>
      <c r="JHO33" s="1882"/>
      <c r="JHP33" s="1882"/>
      <c r="JHR33" s="1887"/>
      <c r="JHS33" s="1888"/>
      <c r="JHT33" s="1882"/>
      <c r="JHU33" s="1882"/>
      <c r="JHV33" s="1882"/>
      <c r="JHX33" s="1887"/>
      <c r="JHY33" s="1888"/>
      <c r="JHZ33" s="1882"/>
      <c r="JIA33" s="1882"/>
      <c r="JIB33" s="1882"/>
      <c r="JID33" s="1887"/>
      <c r="JIE33" s="1888"/>
      <c r="JIF33" s="1882"/>
      <c r="JIG33" s="1882"/>
      <c r="JIH33" s="1882"/>
      <c r="JIJ33" s="1887"/>
      <c r="JIK33" s="1888"/>
      <c r="JIL33" s="1882"/>
      <c r="JIM33" s="1882"/>
      <c r="JIN33" s="1882"/>
      <c r="JIP33" s="1887"/>
      <c r="JIQ33" s="1888"/>
      <c r="JIR33" s="1882"/>
      <c r="JIS33" s="1882"/>
      <c r="JIT33" s="1882"/>
      <c r="JIV33" s="1887"/>
      <c r="JIW33" s="1888"/>
      <c r="JIX33" s="1882"/>
      <c r="JIY33" s="1882"/>
      <c r="JIZ33" s="1882"/>
      <c r="JJB33" s="1887"/>
      <c r="JJC33" s="1888"/>
      <c r="JJD33" s="1882"/>
      <c r="JJE33" s="1882"/>
      <c r="JJF33" s="1882"/>
      <c r="JJH33" s="1887"/>
      <c r="JJI33" s="1888"/>
      <c r="JJJ33" s="1882"/>
      <c r="JJK33" s="1882"/>
      <c r="JJL33" s="1882"/>
      <c r="JJN33" s="1887"/>
      <c r="JJO33" s="1888"/>
      <c r="JJP33" s="1882"/>
      <c r="JJQ33" s="1882"/>
      <c r="JJR33" s="1882"/>
      <c r="JJT33" s="1887"/>
      <c r="JJU33" s="1888"/>
      <c r="JJV33" s="1882"/>
      <c r="JJW33" s="1882"/>
      <c r="JJX33" s="1882"/>
      <c r="JJZ33" s="1887"/>
      <c r="JKA33" s="1888"/>
      <c r="JKB33" s="1882"/>
      <c r="JKC33" s="1882"/>
      <c r="JKD33" s="1882"/>
      <c r="JKF33" s="1887"/>
      <c r="JKG33" s="1888"/>
      <c r="JKH33" s="1882"/>
      <c r="JKI33" s="1882"/>
      <c r="JKJ33" s="1882"/>
      <c r="JKL33" s="1887"/>
      <c r="JKM33" s="1888"/>
      <c r="JKN33" s="1882"/>
      <c r="JKO33" s="1882"/>
      <c r="JKP33" s="1882"/>
      <c r="JKR33" s="1887"/>
      <c r="JKS33" s="1888"/>
      <c r="JKT33" s="1882"/>
      <c r="JKU33" s="1882"/>
      <c r="JKV33" s="1882"/>
      <c r="JKX33" s="1887"/>
      <c r="JKY33" s="1888"/>
      <c r="JKZ33" s="1882"/>
      <c r="JLA33" s="1882"/>
      <c r="JLB33" s="1882"/>
      <c r="JLD33" s="1887"/>
      <c r="JLE33" s="1888"/>
      <c r="JLF33" s="1882"/>
      <c r="JLG33" s="1882"/>
      <c r="JLH33" s="1882"/>
      <c r="JLJ33" s="1887"/>
      <c r="JLK33" s="1888"/>
      <c r="JLL33" s="1882"/>
      <c r="JLM33" s="1882"/>
      <c r="JLN33" s="1882"/>
      <c r="JLP33" s="1887"/>
      <c r="JLQ33" s="1888"/>
      <c r="JLR33" s="1882"/>
      <c r="JLS33" s="1882"/>
      <c r="JLT33" s="1882"/>
      <c r="JLV33" s="1887"/>
      <c r="JLW33" s="1888"/>
      <c r="JLX33" s="1882"/>
      <c r="JLY33" s="1882"/>
      <c r="JLZ33" s="1882"/>
      <c r="JMB33" s="1887"/>
      <c r="JMC33" s="1888"/>
      <c r="JMD33" s="1882"/>
      <c r="JME33" s="1882"/>
      <c r="JMF33" s="1882"/>
      <c r="JMH33" s="1887"/>
      <c r="JMI33" s="1888"/>
      <c r="JMJ33" s="1882"/>
      <c r="JMK33" s="1882"/>
      <c r="JML33" s="1882"/>
      <c r="JMN33" s="1887"/>
      <c r="JMO33" s="1888"/>
      <c r="JMP33" s="1882"/>
      <c r="JMQ33" s="1882"/>
      <c r="JMR33" s="1882"/>
      <c r="JMT33" s="1887"/>
      <c r="JMU33" s="1888"/>
      <c r="JMV33" s="1882"/>
      <c r="JMW33" s="1882"/>
      <c r="JMX33" s="1882"/>
      <c r="JMZ33" s="1887"/>
      <c r="JNA33" s="1888"/>
      <c r="JNB33" s="1882"/>
      <c r="JNC33" s="1882"/>
      <c r="JND33" s="1882"/>
      <c r="JNF33" s="1887"/>
      <c r="JNG33" s="1888"/>
      <c r="JNH33" s="1882"/>
      <c r="JNI33" s="1882"/>
      <c r="JNJ33" s="1882"/>
      <c r="JNL33" s="1887"/>
      <c r="JNM33" s="1888"/>
      <c r="JNN33" s="1882"/>
      <c r="JNO33" s="1882"/>
      <c r="JNP33" s="1882"/>
      <c r="JNR33" s="1887"/>
      <c r="JNS33" s="1888"/>
      <c r="JNT33" s="1882"/>
      <c r="JNU33" s="1882"/>
      <c r="JNV33" s="1882"/>
      <c r="JNX33" s="1887"/>
      <c r="JNY33" s="1888"/>
      <c r="JNZ33" s="1882"/>
      <c r="JOA33" s="1882"/>
      <c r="JOB33" s="1882"/>
      <c r="JOD33" s="1887"/>
      <c r="JOE33" s="1888"/>
      <c r="JOF33" s="1882"/>
      <c r="JOG33" s="1882"/>
      <c r="JOH33" s="1882"/>
      <c r="JOJ33" s="1887"/>
      <c r="JOK33" s="1888"/>
      <c r="JOL33" s="1882"/>
      <c r="JOM33" s="1882"/>
      <c r="JON33" s="1882"/>
      <c r="JOP33" s="1887"/>
      <c r="JOQ33" s="1888"/>
      <c r="JOR33" s="1882"/>
      <c r="JOS33" s="1882"/>
      <c r="JOT33" s="1882"/>
      <c r="JOV33" s="1887"/>
      <c r="JOW33" s="1888"/>
      <c r="JOX33" s="1882"/>
      <c r="JOY33" s="1882"/>
      <c r="JOZ33" s="1882"/>
      <c r="JPB33" s="1887"/>
      <c r="JPC33" s="1888"/>
      <c r="JPD33" s="1882"/>
      <c r="JPE33" s="1882"/>
      <c r="JPF33" s="1882"/>
      <c r="JPH33" s="1887"/>
      <c r="JPI33" s="1888"/>
      <c r="JPJ33" s="1882"/>
      <c r="JPK33" s="1882"/>
      <c r="JPL33" s="1882"/>
      <c r="JPN33" s="1887"/>
      <c r="JPO33" s="1888"/>
      <c r="JPP33" s="1882"/>
      <c r="JPQ33" s="1882"/>
      <c r="JPR33" s="1882"/>
      <c r="JPT33" s="1887"/>
      <c r="JPU33" s="1888"/>
      <c r="JPV33" s="1882"/>
      <c r="JPW33" s="1882"/>
      <c r="JPX33" s="1882"/>
      <c r="JPZ33" s="1887"/>
      <c r="JQA33" s="1888"/>
      <c r="JQB33" s="1882"/>
      <c r="JQC33" s="1882"/>
      <c r="JQD33" s="1882"/>
      <c r="JQF33" s="1887"/>
      <c r="JQG33" s="1888"/>
      <c r="JQH33" s="1882"/>
      <c r="JQI33" s="1882"/>
      <c r="JQJ33" s="1882"/>
      <c r="JQL33" s="1887"/>
      <c r="JQM33" s="1888"/>
      <c r="JQN33" s="1882"/>
      <c r="JQO33" s="1882"/>
      <c r="JQP33" s="1882"/>
      <c r="JQR33" s="1887"/>
      <c r="JQS33" s="1888"/>
      <c r="JQT33" s="1882"/>
      <c r="JQU33" s="1882"/>
      <c r="JQV33" s="1882"/>
      <c r="JQX33" s="1887"/>
      <c r="JQY33" s="1888"/>
      <c r="JQZ33" s="1882"/>
      <c r="JRA33" s="1882"/>
      <c r="JRB33" s="1882"/>
      <c r="JRD33" s="1887"/>
      <c r="JRE33" s="1888"/>
      <c r="JRF33" s="1882"/>
      <c r="JRG33" s="1882"/>
      <c r="JRH33" s="1882"/>
      <c r="JRJ33" s="1887"/>
      <c r="JRK33" s="1888"/>
      <c r="JRL33" s="1882"/>
      <c r="JRM33" s="1882"/>
      <c r="JRN33" s="1882"/>
      <c r="JRP33" s="1887"/>
      <c r="JRQ33" s="1888"/>
      <c r="JRR33" s="1882"/>
      <c r="JRS33" s="1882"/>
      <c r="JRT33" s="1882"/>
      <c r="JRV33" s="1887"/>
      <c r="JRW33" s="1888"/>
      <c r="JRX33" s="1882"/>
      <c r="JRY33" s="1882"/>
      <c r="JRZ33" s="1882"/>
      <c r="JSB33" s="1887"/>
      <c r="JSC33" s="1888"/>
      <c r="JSD33" s="1882"/>
      <c r="JSE33" s="1882"/>
      <c r="JSF33" s="1882"/>
      <c r="JSH33" s="1887"/>
      <c r="JSI33" s="1888"/>
      <c r="JSJ33" s="1882"/>
      <c r="JSK33" s="1882"/>
      <c r="JSL33" s="1882"/>
      <c r="JSN33" s="1887"/>
      <c r="JSO33" s="1888"/>
      <c r="JSP33" s="1882"/>
      <c r="JSQ33" s="1882"/>
      <c r="JSR33" s="1882"/>
      <c r="JST33" s="1887"/>
      <c r="JSU33" s="1888"/>
      <c r="JSV33" s="1882"/>
      <c r="JSW33" s="1882"/>
      <c r="JSX33" s="1882"/>
      <c r="JSZ33" s="1887"/>
      <c r="JTA33" s="1888"/>
      <c r="JTB33" s="1882"/>
      <c r="JTC33" s="1882"/>
      <c r="JTD33" s="1882"/>
      <c r="JTF33" s="1887"/>
      <c r="JTG33" s="1888"/>
      <c r="JTH33" s="1882"/>
      <c r="JTI33" s="1882"/>
      <c r="JTJ33" s="1882"/>
      <c r="JTL33" s="1887"/>
      <c r="JTM33" s="1888"/>
      <c r="JTN33" s="1882"/>
      <c r="JTO33" s="1882"/>
      <c r="JTP33" s="1882"/>
      <c r="JTR33" s="1887"/>
      <c r="JTS33" s="1888"/>
      <c r="JTT33" s="1882"/>
      <c r="JTU33" s="1882"/>
      <c r="JTV33" s="1882"/>
      <c r="JTX33" s="1887"/>
      <c r="JTY33" s="1888"/>
      <c r="JTZ33" s="1882"/>
      <c r="JUA33" s="1882"/>
      <c r="JUB33" s="1882"/>
      <c r="JUD33" s="1887"/>
      <c r="JUE33" s="1888"/>
      <c r="JUF33" s="1882"/>
      <c r="JUG33" s="1882"/>
      <c r="JUH33" s="1882"/>
      <c r="JUJ33" s="1887"/>
      <c r="JUK33" s="1888"/>
      <c r="JUL33" s="1882"/>
      <c r="JUM33" s="1882"/>
      <c r="JUN33" s="1882"/>
      <c r="JUP33" s="1887"/>
      <c r="JUQ33" s="1888"/>
      <c r="JUR33" s="1882"/>
      <c r="JUS33" s="1882"/>
      <c r="JUT33" s="1882"/>
      <c r="JUV33" s="1887"/>
      <c r="JUW33" s="1888"/>
      <c r="JUX33" s="1882"/>
      <c r="JUY33" s="1882"/>
      <c r="JUZ33" s="1882"/>
      <c r="JVB33" s="1887"/>
      <c r="JVC33" s="1888"/>
      <c r="JVD33" s="1882"/>
      <c r="JVE33" s="1882"/>
      <c r="JVF33" s="1882"/>
      <c r="JVH33" s="1887"/>
      <c r="JVI33" s="1888"/>
      <c r="JVJ33" s="1882"/>
      <c r="JVK33" s="1882"/>
      <c r="JVL33" s="1882"/>
      <c r="JVN33" s="1887"/>
      <c r="JVO33" s="1888"/>
      <c r="JVP33" s="1882"/>
      <c r="JVQ33" s="1882"/>
      <c r="JVR33" s="1882"/>
      <c r="JVT33" s="1887"/>
      <c r="JVU33" s="1888"/>
      <c r="JVV33" s="1882"/>
      <c r="JVW33" s="1882"/>
      <c r="JVX33" s="1882"/>
      <c r="JVZ33" s="1887"/>
      <c r="JWA33" s="1888"/>
      <c r="JWB33" s="1882"/>
      <c r="JWC33" s="1882"/>
      <c r="JWD33" s="1882"/>
      <c r="JWF33" s="1887"/>
      <c r="JWG33" s="1888"/>
      <c r="JWH33" s="1882"/>
      <c r="JWI33" s="1882"/>
      <c r="JWJ33" s="1882"/>
      <c r="JWL33" s="1887"/>
      <c r="JWM33" s="1888"/>
      <c r="JWN33" s="1882"/>
      <c r="JWO33" s="1882"/>
      <c r="JWP33" s="1882"/>
      <c r="JWR33" s="1887"/>
      <c r="JWS33" s="1888"/>
      <c r="JWT33" s="1882"/>
      <c r="JWU33" s="1882"/>
      <c r="JWV33" s="1882"/>
      <c r="JWX33" s="1887"/>
      <c r="JWY33" s="1888"/>
      <c r="JWZ33" s="1882"/>
      <c r="JXA33" s="1882"/>
      <c r="JXB33" s="1882"/>
      <c r="JXD33" s="1887"/>
      <c r="JXE33" s="1888"/>
      <c r="JXF33" s="1882"/>
      <c r="JXG33" s="1882"/>
      <c r="JXH33" s="1882"/>
      <c r="JXJ33" s="1887"/>
      <c r="JXK33" s="1888"/>
      <c r="JXL33" s="1882"/>
      <c r="JXM33" s="1882"/>
      <c r="JXN33" s="1882"/>
      <c r="JXP33" s="1887"/>
      <c r="JXQ33" s="1888"/>
      <c r="JXR33" s="1882"/>
      <c r="JXS33" s="1882"/>
      <c r="JXT33" s="1882"/>
      <c r="JXV33" s="1887"/>
      <c r="JXW33" s="1888"/>
      <c r="JXX33" s="1882"/>
      <c r="JXY33" s="1882"/>
      <c r="JXZ33" s="1882"/>
      <c r="JYB33" s="1887"/>
      <c r="JYC33" s="1888"/>
      <c r="JYD33" s="1882"/>
      <c r="JYE33" s="1882"/>
      <c r="JYF33" s="1882"/>
      <c r="JYH33" s="1887"/>
      <c r="JYI33" s="1888"/>
      <c r="JYJ33" s="1882"/>
      <c r="JYK33" s="1882"/>
      <c r="JYL33" s="1882"/>
      <c r="JYN33" s="1887"/>
      <c r="JYO33" s="1888"/>
      <c r="JYP33" s="1882"/>
      <c r="JYQ33" s="1882"/>
      <c r="JYR33" s="1882"/>
      <c r="JYT33" s="1887"/>
      <c r="JYU33" s="1888"/>
      <c r="JYV33" s="1882"/>
      <c r="JYW33" s="1882"/>
      <c r="JYX33" s="1882"/>
      <c r="JYZ33" s="1887"/>
      <c r="JZA33" s="1888"/>
      <c r="JZB33" s="1882"/>
      <c r="JZC33" s="1882"/>
      <c r="JZD33" s="1882"/>
      <c r="JZF33" s="1887"/>
      <c r="JZG33" s="1888"/>
      <c r="JZH33" s="1882"/>
      <c r="JZI33" s="1882"/>
      <c r="JZJ33" s="1882"/>
      <c r="JZL33" s="1887"/>
      <c r="JZM33" s="1888"/>
      <c r="JZN33" s="1882"/>
      <c r="JZO33" s="1882"/>
      <c r="JZP33" s="1882"/>
      <c r="JZR33" s="1887"/>
      <c r="JZS33" s="1888"/>
      <c r="JZT33" s="1882"/>
      <c r="JZU33" s="1882"/>
      <c r="JZV33" s="1882"/>
      <c r="JZX33" s="1887"/>
      <c r="JZY33" s="1888"/>
      <c r="JZZ33" s="1882"/>
      <c r="KAA33" s="1882"/>
      <c r="KAB33" s="1882"/>
      <c r="KAD33" s="1887"/>
      <c r="KAE33" s="1888"/>
      <c r="KAF33" s="1882"/>
      <c r="KAG33" s="1882"/>
      <c r="KAH33" s="1882"/>
      <c r="KAJ33" s="1887"/>
      <c r="KAK33" s="1888"/>
      <c r="KAL33" s="1882"/>
      <c r="KAM33" s="1882"/>
      <c r="KAN33" s="1882"/>
      <c r="KAP33" s="1887"/>
      <c r="KAQ33" s="1888"/>
      <c r="KAR33" s="1882"/>
      <c r="KAS33" s="1882"/>
      <c r="KAT33" s="1882"/>
      <c r="KAV33" s="1887"/>
      <c r="KAW33" s="1888"/>
      <c r="KAX33" s="1882"/>
      <c r="KAY33" s="1882"/>
      <c r="KAZ33" s="1882"/>
      <c r="KBB33" s="1887"/>
      <c r="KBC33" s="1888"/>
      <c r="KBD33" s="1882"/>
      <c r="KBE33" s="1882"/>
      <c r="KBF33" s="1882"/>
      <c r="KBH33" s="1887"/>
      <c r="KBI33" s="1888"/>
      <c r="KBJ33" s="1882"/>
      <c r="KBK33" s="1882"/>
      <c r="KBL33" s="1882"/>
      <c r="KBN33" s="1887"/>
      <c r="KBO33" s="1888"/>
      <c r="KBP33" s="1882"/>
      <c r="KBQ33" s="1882"/>
      <c r="KBR33" s="1882"/>
      <c r="KBT33" s="1887"/>
      <c r="KBU33" s="1888"/>
      <c r="KBV33" s="1882"/>
      <c r="KBW33" s="1882"/>
      <c r="KBX33" s="1882"/>
      <c r="KBZ33" s="1887"/>
      <c r="KCA33" s="1888"/>
      <c r="KCB33" s="1882"/>
      <c r="KCC33" s="1882"/>
      <c r="KCD33" s="1882"/>
      <c r="KCF33" s="1887"/>
      <c r="KCG33" s="1888"/>
      <c r="KCH33" s="1882"/>
      <c r="KCI33" s="1882"/>
      <c r="KCJ33" s="1882"/>
      <c r="KCL33" s="1887"/>
      <c r="KCM33" s="1888"/>
      <c r="KCN33" s="1882"/>
      <c r="KCO33" s="1882"/>
      <c r="KCP33" s="1882"/>
      <c r="KCR33" s="1887"/>
      <c r="KCS33" s="1888"/>
      <c r="KCT33" s="1882"/>
      <c r="KCU33" s="1882"/>
      <c r="KCV33" s="1882"/>
      <c r="KCX33" s="1887"/>
      <c r="KCY33" s="1888"/>
      <c r="KCZ33" s="1882"/>
      <c r="KDA33" s="1882"/>
      <c r="KDB33" s="1882"/>
      <c r="KDD33" s="1887"/>
      <c r="KDE33" s="1888"/>
      <c r="KDF33" s="1882"/>
      <c r="KDG33" s="1882"/>
      <c r="KDH33" s="1882"/>
      <c r="KDJ33" s="1887"/>
      <c r="KDK33" s="1888"/>
      <c r="KDL33" s="1882"/>
      <c r="KDM33" s="1882"/>
      <c r="KDN33" s="1882"/>
      <c r="KDP33" s="1887"/>
      <c r="KDQ33" s="1888"/>
      <c r="KDR33" s="1882"/>
      <c r="KDS33" s="1882"/>
      <c r="KDT33" s="1882"/>
      <c r="KDV33" s="1887"/>
      <c r="KDW33" s="1888"/>
      <c r="KDX33" s="1882"/>
      <c r="KDY33" s="1882"/>
      <c r="KDZ33" s="1882"/>
      <c r="KEB33" s="1887"/>
      <c r="KEC33" s="1888"/>
      <c r="KED33" s="1882"/>
      <c r="KEE33" s="1882"/>
      <c r="KEF33" s="1882"/>
      <c r="KEH33" s="1887"/>
      <c r="KEI33" s="1888"/>
      <c r="KEJ33" s="1882"/>
      <c r="KEK33" s="1882"/>
      <c r="KEL33" s="1882"/>
      <c r="KEN33" s="1887"/>
      <c r="KEO33" s="1888"/>
      <c r="KEP33" s="1882"/>
      <c r="KEQ33" s="1882"/>
      <c r="KER33" s="1882"/>
      <c r="KET33" s="1887"/>
      <c r="KEU33" s="1888"/>
      <c r="KEV33" s="1882"/>
      <c r="KEW33" s="1882"/>
      <c r="KEX33" s="1882"/>
      <c r="KEZ33" s="1887"/>
      <c r="KFA33" s="1888"/>
      <c r="KFB33" s="1882"/>
      <c r="KFC33" s="1882"/>
      <c r="KFD33" s="1882"/>
      <c r="KFF33" s="1887"/>
      <c r="KFG33" s="1888"/>
      <c r="KFH33" s="1882"/>
      <c r="KFI33" s="1882"/>
      <c r="KFJ33" s="1882"/>
      <c r="KFL33" s="1887"/>
      <c r="KFM33" s="1888"/>
      <c r="KFN33" s="1882"/>
      <c r="KFO33" s="1882"/>
      <c r="KFP33" s="1882"/>
      <c r="KFR33" s="1887"/>
      <c r="KFS33" s="1888"/>
      <c r="KFT33" s="1882"/>
      <c r="KFU33" s="1882"/>
      <c r="KFV33" s="1882"/>
      <c r="KFX33" s="1887"/>
      <c r="KFY33" s="1888"/>
      <c r="KFZ33" s="1882"/>
      <c r="KGA33" s="1882"/>
      <c r="KGB33" s="1882"/>
      <c r="KGD33" s="1887"/>
      <c r="KGE33" s="1888"/>
      <c r="KGF33" s="1882"/>
      <c r="KGG33" s="1882"/>
      <c r="KGH33" s="1882"/>
      <c r="KGJ33" s="1887"/>
      <c r="KGK33" s="1888"/>
      <c r="KGL33" s="1882"/>
      <c r="KGM33" s="1882"/>
      <c r="KGN33" s="1882"/>
      <c r="KGP33" s="1887"/>
      <c r="KGQ33" s="1888"/>
      <c r="KGR33" s="1882"/>
      <c r="KGS33" s="1882"/>
      <c r="KGT33" s="1882"/>
      <c r="KGV33" s="1887"/>
      <c r="KGW33" s="1888"/>
      <c r="KGX33" s="1882"/>
      <c r="KGY33" s="1882"/>
      <c r="KGZ33" s="1882"/>
      <c r="KHB33" s="1887"/>
      <c r="KHC33" s="1888"/>
      <c r="KHD33" s="1882"/>
      <c r="KHE33" s="1882"/>
      <c r="KHF33" s="1882"/>
      <c r="KHH33" s="1887"/>
      <c r="KHI33" s="1888"/>
      <c r="KHJ33" s="1882"/>
      <c r="KHK33" s="1882"/>
      <c r="KHL33" s="1882"/>
      <c r="KHN33" s="1887"/>
      <c r="KHO33" s="1888"/>
      <c r="KHP33" s="1882"/>
      <c r="KHQ33" s="1882"/>
      <c r="KHR33" s="1882"/>
      <c r="KHT33" s="1887"/>
      <c r="KHU33" s="1888"/>
      <c r="KHV33" s="1882"/>
      <c r="KHW33" s="1882"/>
      <c r="KHX33" s="1882"/>
      <c r="KHZ33" s="1887"/>
      <c r="KIA33" s="1888"/>
      <c r="KIB33" s="1882"/>
      <c r="KIC33" s="1882"/>
      <c r="KID33" s="1882"/>
      <c r="KIF33" s="1887"/>
      <c r="KIG33" s="1888"/>
      <c r="KIH33" s="1882"/>
      <c r="KII33" s="1882"/>
      <c r="KIJ33" s="1882"/>
      <c r="KIL33" s="1887"/>
      <c r="KIM33" s="1888"/>
      <c r="KIN33" s="1882"/>
      <c r="KIO33" s="1882"/>
      <c r="KIP33" s="1882"/>
      <c r="KIR33" s="1887"/>
      <c r="KIS33" s="1888"/>
      <c r="KIT33" s="1882"/>
      <c r="KIU33" s="1882"/>
      <c r="KIV33" s="1882"/>
      <c r="KIX33" s="1887"/>
      <c r="KIY33" s="1888"/>
      <c r="KIZ33" s="1882"/>
      <c r="KJA33" s="1882"/>
      <c r="KJB33" s="1882"/>
      <c r="KJD33" s="1887"/>
      <c r="KJE33" s="1888"/>
      <c r="KJF33" s="1882"/>
      <c r="KJG33" s="1882"/>
      <c r="KJH33" s="1882"/>
      <c r="KJJ33" s="1887"/>
      <c r="KJK33" s="1888"/>
      <c r="KJL33" s="1882"/>
      <c r="KJM33" s="1882"/>
      <c r="KJN33" s="1882"/>
      <c r="KJP33" s="1887"/>
      <c r="KJQ33" s="1888"/>
      <c r="KJR33" s="1882"/>
      <c r="KJS33" s="1882"/>
      <c r="KJT33" s="1882"/>
      <c r="KJV33" s="1887"/>
      <c r="KJW33" s="1888"/>
      <c r="KJX33" s="1882"/>
      <c r="KJY33" s="1882"/>
      <c r="KJZ33" s="1882"/>
      <c r="KKB33" s="1887"/>
      <c r="KKC33" s="1888"/>
      <c r="KKD33" s="1882"/>
      <c r="KKE33" s="1882"/>
      <c r="KKF33" s="1882"/>
      <c r="KKH33" s="1887"/>
      <c r="KKI33" s="1888"/>
      <c r="KKJ33" s="1882"/>
      <c r="KKK33" s="1882"/>
      <c r="KKL33" s="1882"/>
      <c r="KKN33" s="1887"/>
      <c r="KKO33" s="1888"/>
      <c r="KKP33" s="1882"/>
      <c r="KKQ33" s="1882"/>
      <c r="KKR33" s="1882"/>
      <c r="KKT33" s="1887"/>
      <c r="KKU33" s="1888"/>
      <c r="KKV33" s="1882"/>
      <c r="KKW33" s="1882"/>
      <c r="KKX33" s="1882"/>
      <c r="KKZ33" s="1887"/>
      <c r="KLA33" s="1888"/>
      <c r="KLB33" s="1882"/>
      <c r="KLC33" s="1882"/>
      <c r="KLD33" s="1882"/>
      <c r="KLF33" s="1887"/>
      <c r="KLG33" s="1888"/>
      <c r="KLH33" s="1882"/>
      <c r="KLI33" s="1882"/>
      <c r="KLJ33" s="1882"/>
      <c r="KLL33" s="1887"/>
      <c r="KLM33" s="1888"/>
      <c r="KLN33" s="1882"/>
      <c r="KLO33" s="1882"/>
      <c r="KLP33" s="1882"/>
      <c r="KLR33" s="1887"/>
      <c r="KLS33" s="1888"/>
      <c r="KLT33" s="1882"/>
      <c r="KLU33" s="1882"/>
      <c r="KLV33" s="1882"/>
      <c r="KLX33" s="1887"/>
      <c r="KLY33" s="1888"/>
      <c r="KLZ33" s="1882"/>
      <c r="KMA33" s="1882"/>
      <c r="KMB33" s="1882"/>
      <c r="KMD33" s="1887"/>
      <c r="KME33" s="1888"/>
      <c r="KMF33" s="1882"/>
      <c r="KMG33" s="1882"/>
      <c r="KMH33" s="1882"/>
      <c r="KMJ33" s="1887"/>
      <c r="KMK33" s="1888"/>
      <c r="KML33" s="1882"/>
      <c r="KMM33" s="1882"/>
      <c r="KMN33" s="1882"/>
      <c r="KMP33" s="1887"/>
      <c r="KMQ33" s="1888"/>
      <c r="KMR33" s="1882"/>
      <c r="KMS33" s="1882"/>
      <c r="KMT33" s="1882"/>
      <c r="KMV33" s="1887"/>
      <c r="KMW33" s="1888"/>
      <c r="KMX33" s="1882"/>
      <c r="KMY33" s="1882"/>
      <c r="KMZ33" s="1882"/>
      <c r="KNB33" s="1887"/>
      <c r="KNC33" s="1888"/>
      <c r="KND33" s="1882"/>
      <c r="KNE33" s="1882"/>
      <c r="KNF33" s="1882"/>
      <c r="KNH33" s="1887"/>
      <c r="KNI33" s="1888"/>
      <c r="KNJ33" s="1882"/>
      <c r="KNK33" s="1882"/>
      <c r="KNL33" s="1882"/>
      <c r="KNN33" s="1887"/>
      <c r="KNO33" s="1888"/>
      <c r="KNP33" s="1882"/>
      <c r="KNQ33" s="1882"/>
      <c r="KNR33" s="1882"/>
      <c r="KNT33" s="1887"/>
      <c r="KNU33" s="1888"/>
      <c r="KNV33" s="1882"/>
      <c r="KNW33" s="1882"/>
      <c r="KNX33" s="1882"/>
      <c r="KNZ33" s="1887"/>
      <c r="KOA33" s="1888"/>
      <c r="KOB33" s="1882"/>
      <c r="KOC33" s="1882"/>
      <c r="KOD33" s="1882"/>
      <c r="KOF33" s="1887"/>
      <c r="KOG33" s="1888"/>
      <c r="KOH33" s="1882"/>
      <c r="KOI33" s="1882"/>
      <c r="KOJ33" s="1882"/>
      <c r="KOL33" s="1887"/>
      <c r="KOM33" s="1888"/>
      <c r="KON33" s="1882"/>
      <c r="KOO33" s="1882"/>
      <c r="KOP33" s="1882"/>
      <c r="KOR33" s="1887"/>
      <c r="KOS33" s="1888"/>
      <c r="KOT33" s="1882"/>
      <c r="KOU33" s="1882"/>
      <c r="KOV33" s="1882"/>
      <c r="KOX33" s="1887"/>
      <c r="KOY33" s="1888"/>
      <c r="KOZ33" s="1882"/>
      <c r="KPA33" s="1882"/>
      <c r="KPB33" s="1882"/>
      <c r="KPD33" s="1887"/>
      <c r="KPE33" s="1888"/>
      <c r="KPF33" s="1882"/>
      <c r="KPG33" s="1882"/>
      <c r="KPH33" s="1882"/>
      <c r="KPJ33" s="1887"/>
      <c r="KPK33" s="1888"/>
      <c r="KPL33" s="1882"/>
      <c r="KPM33" s="1882"/>
      <c r="KPN33" s="1882"/>
      <c r="KPP33" s="1887"/>
      <c r="KPQ33" s="1888"/>
      <c r="KPR33" s="1882"/>
      <c r="KPS33" s="1882"/>
      <c r="KPT33" s="1882"/>
      <c r="KPV33" s="1887"/>
      <c r="KPW33" s="1888"/>
      <c r="KPX33" s="1882"/>
      <c r="KPY33" s="1882"/>
      <c r="KPZ33" s="1882"/>
      <c r="KQB33" s="1887"/>
      <c r="KQC33" s="1888"/>
      <c r="KQD33" s="1882"/>
      <c r="KQE33" s="1882"/>
      <c r="KQF33" s="1882"/>
      <c r="KQH33" s="1887"/>
      <c r="KQI33" s="1888"/>
      <c r="KQJ33" s="1882"/>
      <c r="KQK33" s="1882"/>
      <c r="KQL33" s="1882"/>
      <c r="KQN33" s="1887"/>
      <c r="KQO33" s="1888"/>
      <c r="KQP33" s="1882"/>
      <c r="KQQ33" s="1882"/>
      <c r="KQR33" s="1882"/>
      <c r="KQT33" s="1887"/>
      <c r="KQU33" s="1888"/>
      <c r="KQV33" s="1882"/>
      <c r="KQW33" s="1882"/>
      <c r="KQX33" s="1882"/>
      <c r="KQZ33" s="1887"/>
      <c r="KRA33" s="1888"/>
      <c r="KRB33" s="1882"/>
      <c r="KRC33" s="1882"/>
      <c r="KRD33" s="1882"/>
      <c r="KRF33" s="1887"/>
      <c r="KRG33" s="1888"/>
      <c r="KRH33" s="1882"/>
      <c r="KRI33" s="1882"/>
      <c r="KRJ33" s="1882"/>
      <c r="KRL33" s="1887"/>
      <c r="KRM33" s="1888"/>
      <c r="KRN33" s="1882"/>
      <c r="KRO33" s="1882"/>
      <c r="KRP33" s="1882"/>
      <c r="KRR33" s="1887"/>
      <c r="KRS33" s="1888"/>
      <c r="KRT33" s="1882"/>
      <c r="KRU33" s="1882"/>
      <c r="KRV33" s="1882"/>
      <c r="KRX33" s="1887"/>
      <c r="KRY33" s="1888"/>
      <c r="KRZ33" s="1882"/>
      <c r="KSA33" s="1882"/>
      <c r="KSB33" s="1882"/>
      <c r="KSD33" s="1887"/>
      <c r="KSE33" s="1888"/>
      <c r="KSF33" s="1882"/>
      <c r="KSG33" s="1882"/>
      <c r="KSH33" s="1882"/>
      <c r="KSJ33" s="1887"/>
      <c r="KSK33" s="1888"/>
      <c r="KSL33" s="1882"/>
      <c r="KSM33" s="1882"/>
      <c r="KSN33" s="1882"/>
      <c r="KSP33" s="1887"/>
      <c r="KSQ33" s="1888"/>
      <c r="KSR33" s="1882"/>
      <c r="KSS33" s="1882"/>
      <c r="KST33" s="1882"/>
      <c r="KSV33" s="1887"/>
      <c r="KSW33" s="1888"/>
      <c r="KSX33" s="1882"/>
      <c r="KSY33" s="1882"/>
      <c r="KSZ33" s="1882"/>
      <c r="KTB33" s="1887"/>
      <c r="KTC33" s="1888"/>
      <c r="KTD33" s="1882"/>
      <c r="KTE33" s="1882"/>
      <c r="KTF33" s="1882"/>
      <c r="KTH33" s="1887"/>
      <c r="KTI33" s="1888"/>
      <c r="KTJ33" s="1882"/>
      <c r="KTK33" s="1882"/>
      <c r="KTL33" s="1882"/>
      <c r="KTN33" s="1887"/>
      <c r="KTO33" s="1888"/>
      <c r="KTP33" s="1882"/>
      <c r="KTQ33" s="1882"/>
      <c r="KTR33" s="1882"/>
      <c r="KTT33" s="1887"/>
      <c r="KTU33" s="1888"/>
      <c r="KTV33" s="1882"/>
      <c r="KTW33" s="1882"/>
      <c r="KTX33" s="1882"/>
      <c r="KTZ33" s="1887"/>
      <c r="KUA33" s="1888"/>
      <c r="KUB33" s="1882"/>
      <c r="KUC33" s="1882"/>
      <c r="KUD33" s="1882"/>
      <c r="KUF33" s="1887"/>
      <c r="KUG33" s="1888"/>
      <c r="KUH33" s="1882"/>
      <c r="KUI33" s="1882"/>
      <c r="KUJ33" s="1882"/>
      <c r="KUL33" s="1887"/>
      <c r="KUM33" s="1888"/>
      <c r="KUN33" s="1882"/>
      <c r="KUO33" s="1882"/>
      <c r="KUP33" s="1882"/>
      <c r="KUR33" s="1887"/>
      <c r="KUS33" s="1888"/>
      <c r="KUT33" s="1882"/>
      <c r="KUU33" s="1882"/>
      <c r="KUV33" s="1882"/>
      <c r="KUX33" s="1887"/>
      <c r="KUY33" s="1888"/>
      <c r="KUZ33" s="1882"/>
      <c r="KVA33" s="1882"/>
      <c r="KVB33" s="1882"/>
      <c r="KVD33" s="1887"/>
      <c r="KVE33" s="1888"/>
      <c r="KVF33" s="1882"/>
      <c r="KVG33" s="1882"/>
      <c r="KVH33" s="1882"/>
      <c r="KVJ33" s="1887"/>
      <c r="KVK33" s="1888"/>
      <c r="KVL33" s="1882"/>
      <c r="KVM33" s="1882"/>
      <c r="KVN33" s="1882"/>
      <c r="KVP33" s="1887"/>
      <c r="KVQ33" s="1888"/>
      <c r="KVR33" s="1882"/>
      <c r="KVS33" s="1882"/>
      <c r="KVT33" s="1882"/>
      <c r="KVV33" s="1887"/>
      <c r="KVW33" s="1888"/>
      <c r="KVX33" s="1882"/>
      <c r="KVY33" s="1882"/>
      <c r="KVZ33" s="1882"/>
      <c r="KWB33" s="1887"/>
      <c r="KWC33" s="1888"/>
      <c r="KWD33" s="1882"/>
      <c r="KWE33" s="1882"/>
      <c r="KWF33" s="1882"/>
      <c r="KWH33" s="1887"/>
      <c r="KWI33" s="1888"/>
      <c r="KWJ33" s="1882"/>
      <c r="KWK33" s="1882"/>
      <c r="KWL33" s="1882"/>
      <c r="KWN33" s="1887"/>
      <c r="KWO33" s="1888"/>
      <c r="KWP33" s="1882"/>
      <c r="KWQ33" s="1882"/>
      <c r="KWR33" s="1882"/>
      <c r="KWT33" s="1887"/>
      <c r="KWU33" s="1888"/>
      <c r="KWV33" s="1882"/>
      <c r="KWW33" s="1882"/>
      <c r="KWX33" s="1882"/>
      <c r="KWZ33" s="1887"/>
      <c r="KXA33" s="1888"/>
      <c r="KXB33" s="1882"/>
      <c r="KXC33" s="1882"/>
      <c r="KXD33" s="1882"/>
      <c r="KXF33" s="1887"/>
      <c r="KXG33" s="1888"/>
      <c r="KXH33" s="1882"/>
      <c r="KXI33" s="1882"/>
      <c r="KXJ33" s="1882"/>
      <c r="KXL33" s="1887"/>
      <c r="KXM33" s="1888"/>
      <c r="KXN33" s="1882"/>
      <c r="KXO33" s="1882"/>
      <c r="KXP33" s="1882"/>
      <c r="KXR33" s="1887"/>
      <c r="KXS33" s="1888"/>
      <c r="KXT33" s="1882"/>
      <c r="KXU33" s="1882"/>
      <c r="KXV33" s="1882"/>
      <c r="KXX33" s="1887"/>
      <c r="KXY33" s="1888"/>
      <c r="KXZ33" s="1882"/>
      <c r="KYA33" s="1882"/>
      <c r="KYB33" s="1882"/>
      <c r="KYD33" s="1887"/>
      <c r="KYE33" s="1888"/>
      <c r="KYF33" s="1882"/>
      <c r="KYG33" s="1882"/>
      <c r="KYH33" s="1882"/>
      <c r="KYJ33" s="1887"/>
      <c r="KYK33" s="1888"/>
      <c r="KYL33" s="1882"/>
      <c r="KYM33" s="1882"/>
      <c r="KYN33" s="1882"/>
      <c r="KYP33" s="1887"/>
      <c r="KYQ33" s="1888"/>
      <c r="KYR33" s="1882"/>
      <c r="KYS33" s="1882"/>
      <c r="KYT33" s="1882"/>
      <c r="KYV33" s="1887"/>
      <c r="KYW33" s="1888"/>
      <c r="KYX33" s="1882"/>
      <c r="KYY33" s="1882"/>
      <c r="KYZ33" s="1882"/>
      <c r="KZB33" s="1887"/>
      <c r="KZC33" s="1888"/>
      <c r="KZD33" s="1882"/>
      <c r="KZE33" s="1882"/>
      <c r="KZF33" s="1882"/>
      <c r="KZH33" s="1887"/>
      <c r="KZI33" s="1888"/>
      <c r="KZJ33" s="1882"/>
      <c r="KZK33" s="1882"/>
      <c r="KZL33" s="1882"/>
      <c r="KZN33" s="1887"/>
      <c r="KZO33" s="1888"/>
      <c r="KZP33" s="1882"/>
      <c r="KZQ33" s="1882"/>
      <c r="KZR33" s="1882"/>
      <c r="KZT33" s="1887"/>
      <c r="KZU33" s="1888"/>
      <c r="KZV33" s="1882"/>
      <c r="KZW33" s="1882"/>
      <c r="KZX33" s="1882"/>
      <c r="KZZ33" s="1887"/>
      <c r="LAA33" s="1888"/>
      <c r="LAB33" s="1882"/>
      <c r="LAC33" s="1882"/>
      <c r="LAD33" s="1882"/>
      <c r="LAF33" s="1887"/>
      <c r="LAG33" s="1888"/>
      <c r="LAH33" s="1882"/>
      <c r="LAI33" s="1882"/>
      <c r="LAJ33" s="1882"/>
      <c r="LAL33" s="1887"/>
      <c r="LAM33" s="1888"/>
      <c r="LAN33" s="1882"/>
      <c r="LAO33" s="1882"/>
      <c r="LAP33" s="1882"/>
      <c r="LAR33" s="1887"/>
      <c r="LAS33" s="1888"/>
      <c r="LAT33" s="1882"/>
      <c r="LAU33" s="1882"/>
      <c r="LAV33" s="1882"/>
      <c r="LAX33" s="1887"/>
      <c r="LAY33" s="1888"/>
      <c r="LAZ33" s="1882"/>
      <c r="LBA33" s="1882"/>
      <c r="LBB33" s="1882"/>
      <c r="LBD33" s="1887"/>
      <c r="LBE33" s="1888"/>
      <c r="LBF33" s="1882"/>
      <c r="LBG33" s="1882"/>
      <c r="LBH33" s="1882"/>
      <c r="LBJ33" s="1887"/>
      <c r="LBK33" s="1888"/>
      <c r="LBL33" s="1882"/>
      <c r="LBM33" s="1882"/>
      <c r="LBN33" s="1882"/>
      <c r="LBP33" s="1887"/>
      <c r="LBQ33" s="1888"/>
      <c r="LBR33" s="1882"/>
      <c r="LBS33" s="1882"/>
      <c r="LBT33" s="1882"/>
      <c r="LBV33" s="1887"/>
      <c r="LBW33" s="1888"/>
      <c r="LBX33" s="1882"/>
      <c r="LBY33" s="1882"/>
      <c r="LBZ33" s="1882"/>
      <c r="LCB33" s="1887"/>
      <c r="LCC33" s="1888"/>
      <c r="LCD33" s="1882"/>
      <c r="LCE33" s="1882"/>
      <c r="LCF33" s="1882"/>
      <c r="LCH33" s="1887"/>
      <c r="LCI33" s="1888"/>
      <c r="LCJ33" s="1882"/>
      <c r="LCK33" s="1882"/>
      <c r="LCL33" s="1882"/>
      <c r="LCN33" s="1887"/>
      <c r="LCO33" s="1888"/>
      <c r="LCP33" s="1882"/>
      <c r="LCQ33" s="1882"/>
      <c r="LCR33" s="1882"/>
      <c r="LCT33" s="1887"/>
      <c r="LCU33" s="1888"/>
      <c r="LCV33" s="1882"/>
      <c r="LCW33" s="1882"/>
      <c r="LCX33" s="1882"/>
      <c r="LCZ33" s="1887"/>
      <c r="LDA33" s="1888"/>
      <c r="LDB33" s="1882"/>
      <c r="LDC33" s="1882"/>
      <c r="LDD33" s="1882"/>
      <c r="LDF33" s="1887"/>
      <c r="LDG33" s="1888"/>
      <c r="LDH33" s="1882"/>
      <c r="LDI33" s="1882"/>
      <c r="LDJ33" s="1882"/>
      <c r="LDL33" s="1887"/>
      <c r="LDM33" s="1888"/>
      <c r="LDN33" s="1882"/>
      <c r="LDO33" s="1882"/>
      <c r="LDP33" s="1882"/>
      <c r="LDR33" s="1887"/>
      <c r="LDS33" s="1888"/>
      <c r="LDT33" s="1882"/>
      <c r="LDU33" s="1882"/>
      <c r="LDV33" s="1882"/>
      <c r="LDX33" s="1887"/>
      <c r="LDY33" s="1888"/>
      <c r="LDZ33" s="1882"/>
      <c r="LEA33" s="1882"/>
      <c r="LEB33" s="1882"/>
      <c r="LED33" s="1887"/>
      <c r="LEE33" s="1888"/>
      <c r="LEF33" s="1882"/>
      <c r="LEG33" s="1882"/>
      <c r="LEH33" s="1882"/>
      <c r="LEJ33" s="1887"/>
      <c r="LEK33" s="1888"/>
      <c r="LEL33" s="1882"/>
      <c r="LEM33" s="1882"/>
      <c r="LEN33" s="1882"/>
      <c r="LEP33" s="1887"/>
      <c r="LEQ33" s="1888"/>
      <c r="LER33" s="1882"/>
      <c r="LES33" s="1882"/>
      <c r="LET33" s="1882"/>
      <c r="LEV33" s="1887"/>
      <c r="LEW33" s="1888"/>
      <c r="LEX33" s="1882"/>
      <c r="LEY33" s="1882"/>
      <c r="LEZ33" s="1882"/>
      <c r="LFB33" s="1887"/>
      <c r="LFC33" s="1888"/>
      <c r="LFD33" s="1882"/>
      <c r="LFE33" s="1882"/>
      <c r="LFF33" s="1882"/>
      <c r="LFH33" s="1887"/>
      <c r="LFI33" s="1888"/>
      <c r="LFJ33" s="1882"/>
      <c r="LFK33" s="1882"/>
      <c r="LFL33" s="1882"/>
      <c r="LFN33" s="1887"/>
      <c r="LFO33" s="1888"/>
      <c r="LFP33" s="1882"/>
      <c r="LFQ33" s="1882"/>
      <c r="LFR33" s="1882"/>
      <c r="LFT33" s="1887"/>
      <c r="LFU33" s="1888"/>
      <c r="LFV33" s="1882"/>
      <c r="LFW33" s="1882"/>
      <c r="LFX33" s="1882"/>
      <c r="LFZ33" s="1887"/>
      <c r="LGA33" s="1888"/>
      <c r="LGB33" s="1882"/>
      <c r="LGC33" s="1882"/>
      <c r="LGD33" s="1882"/>
      <c r="LGF33" s="1887"/>
      <c r="LGG33" s="1888"/>
      <c r="LGH33" s="1882"/>
      <c r="LGI33" s="1882"/>
      <c r="LGJ33" s="1882"/>
      <c r="LGL33" s="1887"/>
      <c r="LGM33" s="1888"/>
      <c r="LGN33" s="1882"/>
      <c r="LGO33" s="1882"/>
      <c r="LGP33" s="1882"/>
      <c r="LGR33" s="1887"/>
      <c r="LGS33" s="1888"/>
      <c r="LGT33" s="1882"/>
      <c r="LGU33" s="1882"/>
      <c r="LGV33" s="1882"/>
      <c r="LGX33" s="1887"/>
      <c r="LGY33" s="1888"/>
      <c r="LGZ33" s="1882"/>
      <c r="LHA33" s="1882"/>
      <c r="LHB33" s="1882"/>
      <c r="LHD33" s="1887"/>
      <c r="LHE33" s="1888"/>
      <c r="LHF33" s="1882"/>
      <c r="LHG33" s="1882"/>
      <c r="LHH33" s="1882"/>
      <c r="LHJ33" s="1887"/>
      <c r="LHK33" s="1888"/>
      <c r="LHL33" s="1882"/>
      <c r="LHM33" s="1882"/>
      <c r="LHN33" s="1882"/>
      <c r="LHP33" s="1887"/>
      <c r="LHQ33" s="1888"/>
      <c r="LHR33" s="1882"/>
      <c r="LHS33" s="1882"/>
      <c r="LHT33" s="1882"/>
      <c r="LHV33" s="1887"/>
      <c r="LHW33" s="1888"/>
      <c r="LHX33" s="1882"/>
      <c r="LHY33" s="1882"/>
      <c r="LHZ33" s="1882"/>
      <c r="LIB33" s="1887"/>
      <c r="LIC33" s="1888"/>
      <c r="LID33" s="1882"/>
      <c r="LIE33" s="1882"/>
      <c r="LIF33" s="1882"/>
      <c r="LIH33" s="1887"/>
      <c r="LII33" s="1888"/>
      <c r="LIJ33" s="1882"/>
      <c r="LIK33" s="1882"/>
      <c r="LIL33" s="1882"/>
      <c r="LIN33" s="1887"/>
      <c r="LIO33" s="1888"/>
      <c r="LIP33" s="1882"/>
      <c r="LIQ33" s="1882"/>
      <c r="LIR33" s="1882"/>
      <c r="LIT33" s="1887"/>
      <c r="LIU33" s="1888"/>
      <c r="LIV33" s="1882"/>
      <c r="LIW33" s="1882"/>
      <c r="LIX33" s="1882"/>
      <c r="LIZ33" s="1887"/>
      <c r="LJA33" s="1888"/>
      <c r="LJB33" s="1882"/>
      <c r="LJC33" s="1882"/>
      <c r="LJD33" s="1882"/>
      <c r="LJF33" s="1887"/>
      <c r="LJG33" s="1888"/>
      <c r="LJH33" s="1882"/>
      <c r="LJI33" s="1882"/>
      <c r="LJJ33" s="1882"/>
      <c r="LJL33" s="1887"/>
      <c r="LJM33" s="1888"/>
      <c r="LJN33" s="1882"/>
      <c r="LJO33" s="1882"/>
      <c r="LJP33" s="1882"/>
      <c r="LJR33" s="1887"/>
      <c r="LJS33" s="1888"/>
      <c r="LJT33" s="1882"/>
      <c r="LJU33" s="1882"/>
      <c r="LJV33" s="1882"/>
      <c r="LJX33" s="1887"/>
      <c r="LJY33" s="1888"/>
      <c r="LJZ33" s="1882"/>
      <c r="LKA33" s="1882"/>
      <c r="LKB33" s="1882"/>
      <c r="LKD33" s="1887"/>
      <c r="LKE33" s="1888"/>
      <c r="LKF33" s="1882"/>
      <c r="LKG33" s="1882"/>
      <c r="LKH33" s="1882"/>
      <c r="LKJ33" s="1887"/>
      <c r="LKK33" s="1888"/>
      <c r="LKL33" s="1882"/>
      <c r="LKM33" s="1882"/>
      <c r="LKN33" s="1882"/>
      <c r="LKP33" s="1887"/>
      <c r="LKQ33" s="1888"/>
      <c r="LKR33" s="1882"/>
      <c r="LKS33" s="1882"/>
      <c r="LKT33" s="1882"/>
      <c r="LKV33" s="1887"/>
      <c r="LKW33" s="1888"/>
      <c r="LKX33" s="1882"/>
      <c r="LKY33" s="1882"/>
      <c r="LKZ33" s="1882"/>
      <c r="LLB33" s="1887"/>
      <c r="LLC33" s="1888"/>
      <c r="LLD33" s="1882"/>
      <c r="LLE33" s="1882"/>
      <c r="LLF33" s="1882"/>
      <c r="LLH33" s="1887"/>
      <c r="LLI33" s="1888"/>
      <c r="LLJ33" s="1882"/>
      <c r="LLK33" s="1882"/>
      <c r="LLL33" s="1882"/>
      <c r="LLN33" s="1887"/>
      <c r="LLO33" s="1888"/>
      <c r="LLP33" s="1882"/>
      <c r="LLQ33" s="1882"/>
      <c r="LLR33" s="1882"/>
      <c r="LLT33" s="1887"/>
      <c r="LLU33" s="1888"/>
      <c r="LLV33" s="1882"/>
      <c r="LLW33" s="1882"/>
      <c r="LLX33" s="1882"/>
      <c r="LLZ33" s="1887"/>
      <c r="LMA33" s="1888"/>
      <c r="LMB33" s="1882"/>
      <c r="LMC33" s="1882"/>
      <c r="LMD33" s="1882"/>
      <c r="LMF33" s="1887"/>
      <c r="LMG33" s="1888"/>
      <c r="LMH33" s="1882"/>
      <c r="LMI33" s="1882"/>
      <c r="LMJ33" s="1882"/>
      <c r="LML33" s="1887"/>
      <c r="LMM33" s="1888"/>
      <c r="LMN33" s="1882"/>
      <c r="LMO33" s="1882"/>
      <c r="LMP33" s="1882"/>
      <c r="LMR33" s="1887"/>
      <c r="LMS33" s="1888"/>
      <c r="LMT33" s="1882"/>
      <c r="LMU33" s="1882"/>
      <c r="LMV33" s="1882"/>
      <c r="LMX33" s="1887"/>
      <c r="LMY33" s="1888"/>
      <c r="LMZ33" s="1882"/>
      <c r="LNA33" s="1882"/>
      <c r="LNB33" s="1882"/>
      <c r="LND33" s="1887"/>
      <c r="LNE33" s="1888"/>
      <c r="LNF33" s="1882"/>
      <c r="LNG33" s="1882"/>
      <c r="LNH33" s="1882"/>
      <c r="LNJ33" s="1887"/>
      <c r="LNK33" s="1888"/>
      <c r="LNL33" s="1882"/>
      <c r="LNM33" s="1882"/>
      <c r="LNN33" s="1882"/>
      <c r="LNP33" s="1887"/>
      <c r="LNQ33" s="1888"/>
      <c r="LNR33" s="1882"/>
      <c r="LNS33" s="1882"/>
      <c r="LNT33" s="1882"/>
      <c r="LNV33" s="1887"/>
      <c r="LNW33" s="1888"/>
      <c r="LNX33" s="1882"/>
      <c r="LNY33" s="1882"/>
      <c r="LNZ33" s="1882"/>
      <c r="LOB33" s="1887"/>
      <c r="LOC33" s="1888"/>
      <c r="LOD33" s="1882"/>
      <c r="LOE33" s="1882"/>
      <c r="LOF33" s="1882"/>
      <c r="LOH33" s="1887"/>
      <c r="LOI33" s="1888"/>
      <c r="LOJ33" s="1882"/>
      <c r="LOK33" s="1882"/>
      <c r="LOL33" s="1882"/>
      <c r="LON33" s="1887"/>
      <c r="LOO33" s="1888"/>
      <c r="LOP33" s="1882"/>
      <c r="LOQ33" s="1882"/>
      <c r="LOR33" s="1882"/>
      <c r="LOT33" s="1887"/>
      <c r="LOU33" s="1888"/>
      <c r="LOV33" s="1882"/>
      <c r="LOW33" s="1882"/>
      <c r="LOX33" s="1882"/>
      <c r="LOZ33" s="1887"/>
      <c r="LPA33" s="1888"/>
      <c r="LPB33" s="1882"/>
      <c r="LPC33" s="1882"/>
      <c r="LPD33" s="1882"/>
      <c r="LPF33" s="1887"/>
      <c r="LPG33" s="1888"/>
      <c r="LPH33" s="1882"/>
      <c r="LPI33" s="1882"/>
      <c r="LPJ33" s="1882"/>
      <c r="LPL33" s="1887"/>
      <c r="LPM33" s="1888"/>
      <c r="LPN33" s="1882"/>
      <c r="LPO33" s="1882"/>
      <c r="LPP33" s="1882"/>
      <c r="LPR33" s="1887"/>
      <c r="LPS33" s="1888"/>
      <c r="LPT33" s="1882"/>
      <c r="LPU33" s="1882"/>
      <c r="LPV33" s="1882"/>
      <c r="LPX33" s="1887"/>
      <c r="LPY33" s="1888"/>
      <c r="LPZ33" s="1882"/>
      <c r="LQA33" s="1882"/>
      <c r="LQB33" s="1882"/>
      <c r="LQD33" s="1887"/>
      <c r="LQE33" s="1888"/>
      <c r="LQF33" s="1882"/>
      <c r="LQG33" s="1882"/>
      <c r="LQH33" s="1882"/>
      <c r="LQJ33" s="1887"/>
      <c r="LQK33" s="1888"/>
      <c r="LQL33" s="1882"/>
      <c r="LQM33" s="1882"/>
      <c r="LQN33" s="1882"/>
      <c r="LQP33" s="1887"/>
      <c r="LQQ33" s="1888"/>
      <c r="LQR33" s="1882"/>
      <c r="LQS33" s="1882"/>
      <c r="LQT33" s="1882"/>
      <c r="LQV33" s="1887"/>
      <c r="LQW33" s="1888"/>
      <c r="LQX33" s="1882"/>
      <c r="LQY33" s="1882"/>
      <c r="LQZ33" s="1882"/>
      <c r="LRB33" s="1887"/>
      <c r="LRC33" s="1888"/>
      <c r="LRD33" s="1882"/>
      <c r="LRE33" s="1882"/>
      <c r="LRF33" s="1882"/>
      <c r="LRH33" s="1887"/>
      <c r="LRI33" s="1888"/>
      <c r="LRJ33" s="1882"/>
      <c r="LRK33" s="1882"/>
      <c r="LRL33" s="1882"/>
      <c r="LRN33" s="1887"/>
      <c r="LRO33" s="1888"/>
      <c r="LRP33" s="1882"/>
      <c r="LRQ33" s="1882"/>
      <c r="LRR33" s="1882"/>
      <c r="LRT33" s="1887"/>
      <c r="LRU33" s="1888"/>
      <c r="LRV33" s="1882"/>
      <c r="LRW33" s="1882"/>
      <c r="LRX33" s="1882"/>
      <c r="LRZ33" s="1887"/>
      <c r="LSA33" s="1888"/>
      <c r="LSB33" s="1882"/>
      <c r="LSC33" s="1882"/>
      <c r="LSD33" s="1882"/>
      <c r="LSF33" s="1887"/>
      <c r="LSG33" s="1888"/>
      <c r="LSH33" s="1882"/>
      <c r="LSI33" s="1882"/>
      <c r="LSJ33" s="1882"/>
      <c r="LSL33" s="1887"/>
      <c r="LSM33" s="1888"/>
      <c r="LSN33" s="1882"/>
      <c r="LSO33" s="1882"/>
      <c r="LSP33" s="1882"/>
      <c r="LSR33" s="1887"/>
      <c r="LSS33" s="1888"/>
      <c r="LST33" s="1882"/>
      <c r="LSU33" s="1882"/>
      <c r="LSV33" s="1882"/>
      <c r="LSX33" s="1887"/>
      <c r="LSY33" s="1888"/>
      <c r="LSZ33" s="1882"/>
      <c r="LTA33" s="1882"/>
      <c r="LTB33" s="1882"/>
      <c r="LTD33" s="1887"/>
      <c r="LTE33" s="1888"/>
      <c r="LTF33" s="1882"/>
      <c r="LTG33" s="1882"/>
      <c r="LTH33" s="1882"/>
      <c r="LTJ33" s="1887"/>
      <c r="LTK33" s="1888"/>
      <c r="LTL33" s="1882"/>
      <c r="LTM33" s="1882"/>
      <c r="LTN33" s="1882"/>
      <c r="LTP33" s="1887"/>
      <c r="LTQ33" s="1888"/>
      <c r="LTR33" s="1882"/>
      <c r="LTS33" s="1882"/>
      <c r="LTT33" s="1882"/>
      <c r="LTV33" s="1887"/>
      <c r="LTW33" s="1888"/>
      <c r="LTX33" s="1882"/>
      <c r="LTY33" s="1882"/>
      <c r="LTZ33" s="1882"/>
      <c r="LUB33" s="1887"/>
      <c r="LUC33" s="1888"/>
      <c r="LUD33" s="1882"/>
      <c r="LUE33" s="1882"/>
      <c r="LUF33" s="1882"/>
      <c r="LUH33" s="1887"/>
      <c r="LUI33" s="1888"/>
      <c r="LUJ33" s="1882"/>
      <c r="LUK33" s="1882"/>
      <c r="LUL33" s="1882"/>
      <c r="LUN33" s="1887"/>
      <c r="LUO33" s="1888"/>
      <c r="LUP33" s="1882"/>
      <c r="LUQ33" s="1882"/>
      <c r="LUR33" s="1882"/>
      <c r="LUT33" s="1887"/>
      <c r="LUU33" s="1888"/>
      <c r="LUV33" s="1882"/>
      <c r="LUW33" s="1882"/>
      <c r="LUX33" s="1882"/>
      <c r="LUZ33" s="1887"/>
      <c r="LVA33" s="1888"/>
      <c r="LVB33" s="1882"/>
      <c r="LVC33" s="1882"/>
      <c r="LVD33" s="1882"/>
      <c r="LVF33" s="1887"/>
      <c r="LVG33" s="1888"/>
      <c r="LVH33" s="1882"/>
      <c r="LVI33" s="1882"/>
      <c r="LVJ33" s="1882"/>
      <c r="LVL33" s="1887"/>
      <c r="LVM33" s="1888"/>
      <c r="LVN33" s="1882"/>
      <c r="LVO33" s="1882"/>
      <c r="LVP33" s="1882"/>
      <c r="LVR33" s="1887"/>
      <c r="LVS33" s="1888"/>
      <c r="LVT33" s="1882"/>
      <c r="LVU33" s="1882"/>
      <c r="LVV33" s="1882"/>
      <c r="LVX33" s="1887"/>
      <c r="LVY33" s="1888"/>
      <c r="LVZ33" s="1882"/>
      <c r="LWA33" s="1882"/>
      <c r="LWB33" s="1882"/>
      <c r="LWD33" s="1887"/>
      <c r="LWE33" s="1888"/>
      <c r="LWF33" s="1882"/>
      <c r="LWG33" s="1882"/>
      <c r="LWH33" s="1882"/>
      <c r="LWJ33" s="1887"/>
      <c r="LWK33" s="1888"/>
      <c r="LWL33" s="1882"/>
      <c r="LWM33" s="1882"/>
      <c r="LWN33" s="1882"/>
      <c r="LWP33" s="1887"/>
      <c r="LWQ33" s="1888"/>
      <c r="LWR33" s="1882"/>
      <c r="LWS33" s="1882"/>
      <c r="LWT33" s="1882"/>
      <c r="LWV33" s="1887"/>
      <c r="LWW33" s="1888"/>
      <c r="LWX33" s="1882"/>
      <c r="LWY33" s="1882"/>
      <c r="LWZ33" s="1882"/>
      <c r="LXB33" s="1887"/>
      <c r="LXC33" s="1888"/>
      <c r="LXD33" s="1882"/>
      <c r="LXE33" s="1882"/>
      <c r="LXF33" s="1882"/>
      <c r="LXH33" s="1887"/>
      <c r="LXI33" s="1888"/>
      <c r="LXJ33" s="1882"/>
      <c r="LXK33" s="1882"/>
      <c r="LXL33" s="1882"/>
      <c r="LXN33" s="1887"/>
      <c r="LXO33" s="1888"/>
      <c r="LXP33" s="1882"/>
      <c r="LXQ33" s="1882"/>
      <c r="LXR33" s="1882"/>
      <c r="LXT33" s="1887"/>
      <c r="LXU33" s="1888"/>
      <c r="LXV33" s="1882"/>
      <c r="LXW33" s="1882"/>
      <c r="LXX33" s="1882"/>
      <c r="LXZ33" s="1887"/>
      <c r="LYA33" s="1888"/>
      <c r="LYB33" s="1882"/>
      <c r="LYC33" s="1882"/>
      <c r="LYD33" s="1882"/>
      <c r="LYF33" s="1887"/>
      <c r="LYG33" s="1888"/>
      <c r="LYH33" s="1882"/>
      <c r="LYI33" s="1882"/>
      <c r="LYJ33" s="1882"/>
      <c r="LYL33" s="1887"/>
      <c r="LYM33" s="1888"/>
      <c r="LYN33" s="1882"/>
      <c r="LYO33" s="1882"/>
      <c r="LYP33" s="1882"/>
      <c r="LYR33" s="1887"/>
      <c r="LYS33" s="1888"/>
      <c r="LYT33" s="1882"/>
      <c r="LYU33" s="1882"/>
      <c r="LYV33" s="1882"/>
      <c r="LYX33" s="1887"/>
      <c r="LYY33" s="1888"/>
      <c r="LYZ33" s="1882"/>
      <c r="LZA33" s="1882"/>
      <c r="LZB33" s="1882"/>
      <c r="LZD33" s="1887"/>
      <c r="LZE33" s="1888"/>
      <c r="LZF33" s="1882"/>
      <c r="LZG33" s="1882"/>
      <c r="LZH33" s="1882"/>
      <c r="LZJ33" s="1887"/>
      <c r="LZK33" s="1888"/>
      <c r="LZL33" s="1882"/>
      <c r="LZM33" s="1882"/>
      <c r="LZN33" s="1882"/>
      <c r="LZP33" s="1887"/>
      <c r="LZQ33" s="1888"/>
      <c r="LZR33" s="1882"/>
      <c r="LZS33" s="1882"/>
      <c r="LZT33" s="1882"/>
      <c r="LZV33" s="1887"/>
      <c r="LZW33" s="1888"/>
      <c r="LZX33" s="1882"/>
      <c r="LZY33" s="1882"/>
      <c r="LZZ33" s="1882"/>
      <c r="MAB33" s="1887"/>
      <c r="MAC33" s="1888"/>
      <c r="MAD33" s="1882"/>
      <c r="MAE33" s="1882"/>
      <c r="MAF33" s="1882"/>
      <c r="MAH33" s="1887"/>
      <c r="MAI33" s="1888"/>
      <c r="MAJ33" s="1882"/>
      <c r="MAK33" s="1882"/>
      <c r="MAL33" s="1882"/>
      <c r="MAN33" s="1887"/>
      <c r="MAO33" s="1888"/>
      <c r="MAP33" s="1882"/>
      <c r="MAQ33" s="1882"/>
      <c r="MAR33" s="1882"/>
      <c r="MAT33" s="1887"/>
      <c r="MAU33" s="1888"/>
      <c r="MAV33" s="1882"/>
      <c r="MAW33" s="1882"/>
      <c r="MAX33" s="1882"/>
      <c r="MAZ33" s="1887"/>
      <c r="MBA33" s="1888"/>
      <c r="MBB33" s="1882"/>
      <c r="MBC33" s="1882"/>
      <c r="MBD33" s="1882"/>
      <c r="MBF33" s="1887"/>
      <c r="MBG33" s="1888"/>
      <c r="MBH33" s="1882"/>
      <c r="MBI33" s="1882"/>
      <c r="MBJ33" s="1882"/>
      <c r="MBL33" s="1887"/>
      <c r="MBM33" s="1888"/>
      <c r="MBN33" s="1882"/>
      <c r="MBO33" s="1882"/>
      <c r="MBP33" s="1882"/>
      <c r="MBR33" s="1887"/>
      <c r="MBS33" s="1888"/>
      <c r="MBT33" s="1882"/>
      <c r="MBU33" s="1882"/>
      <c r="MBV33" s="1882"/>
      <c r="MBX33" s="1887"/>
      <c r="MBY33" s="1888"/>
      <c r="MBZ33" s="1882"/>
      <c r="MCA33" s="1882"/>
      <c r="MCB33" s="1882"/>
      <c r="MCD33" s="1887"/>
      <c r="MCE33" s="1888"/>
      <c r="MCF33" s="1882"/>
      <c r="MCG33" s="1882"/>
      <c r="MCH33" s="1882"/>
      <c r="MCJ33" s="1887"/>
      <c r="MCK33" s="1888"/>
      <c r="MCL33" s="1882"/>
      <c r="MCM33" s="1882"/>
      <c r="MCN33" s="1882"/>
      <c r="MCP33" s="1887"/>
      <c r="MCQ33" s="1888"/>
      <c r="MCR33" s="1882"/>
      <c r="MCS33" s="1882"/>
      <c r="MCT33" s="1882"/>
      <c r="MCV33" s="1887"/>
      <c r="MCW33" s="1888"/>
      <c r="MCX33" s="1882"/>
      <c r="MCY33" s="1882"/>
      <c r="MCZ33" s="1882"/>
      <c r="MDB33" s="1887"/>
      <c r="MDC33" s="1888"/>
      <c r="MDD33" s="1882"/>
      <c r="MDE33" s="1882"/>
      <c r="MDF33" s="1882"/>
      <c r="MDH33" s="1887"/>
      <c r="MDI33" s="1888"/>
      <c r="MDJ33" s="1882"/>
      <c r="MDK33" s="1882"/>
      <c r="MDL33" s="1882"/>
      <c r="MDN33" s="1887"/>
      <c r="MDO33" s="1888"/>
      <c r="MDP33" s="1882"/>
      <c r="MDQ33" s="1882"/>
      <c r="MDR33" s="1882"/>
      <c r="MDT33" s="1887"/>
      <c r="MDU33" s="1888"/>
      <c r="MDV33" s="1882"/>
      <c r="MDW33" s="1882"/>
      <c r="MDX33" s="1882"/>
      <c r="MDZ33" s="1887"/>
      <c r="MEA33" s="1888"/>
      <c r="MEB33" s="1882"/>
      <c r="MEC33" s="1882"/>
      <c r="MED33" s="1882"/>
      <c r="MEF33" s="1887"/>
      <c r="MEG33" s="1888"/>
      <c r="MEH33" s="1882"/>
      <c r="MEI33" s="1882"/>
      <c r="MEJ33" s="1882"/>
      <c r="MEL33" s="1887"/>
      <c r="MEM33" s="1888"/>
      <c r="MEN33" s="1882"/>
      <c r="MEO33" s="1882"/>
      <c r="MEP33" s="1882"/>
      <c r="MER33" s="1887"/>
      <c r="MES33" s="1888"/>
      <c r="MET33" s="1882"/>
      <c r="MEU33" s="1882"/>
      <c r="MEV33" s="1882"/>
      <c r="MEX33" s="1887"/>
      <c r="MEY33" s="1888"/>
      <c r="MEZ33" s="1882"/>
      <c r="MFA33" s="1882"/>
      <c r="MFB33" s="1882"/>
      <c r="MFD33" s="1887"/>
      <c r="MFE33" s="1888"/>
      <c r="MFF33" s="1882"/>
      <c r="MFG33" s="1882"/>
      <c r="MFH33" s="1882"/>
      <c r="MFJ33" s="1887"/>
      <c r="MFK33" s="1888"/>
      <c r="MFL33" s="1882"/>
      <c r="MFM33" s="1882"/>
      <c r="MFN33" s="1882"/>
      <c r="MFP33" s="1887"/>
      <c r="MFQ33" s="1888"/>
      <c r="MFR33" s="1882"/>
      <c r="MFS33" s="1882"/>
      <c r="MFT33" s="1882"/>
      <c r="MFV33" s="1887"/>
      <c r="MFW33" s="1888"/>
      <c r="MFX33" s="1882"/>
      <c r="MFY33" s="1882"/>
      <c r="MFZ33" s="1882"/>
      <c r="MGB33" s="1887"/>
      <c r="MGC33" s="1888"/>
      <c r="MGD33" s="1882"/>
      <c r="MGE33" s="1882"/>
      <c r="MGF33" s="1882"/>
      <c r="MGH33" s="1887"/>
      <c r="MGI33" s="1888"/>
      <c r="MGJ33" s="1882"/>
      <c r="MGK33" s="1882"/>
      <c r="MGL33" s="1882"/>
      <c r="MGN33" s="1887"/>
      <c r="MGO33" s="1888"/>
      <c r="MGP33" s="1882"/>
      <c r="MGQ33" s="1882"/>
      <c r="MGR33" s="1882"/>
      <c r="MGT33" s="1887"/>
      <c r="MGU33" s="1888"/>
      <c r="MGV33" s="1882"/>
      <c r="MGW33" s="1882"/>
      <c r="MGX33" s="1882"/>
      <c r="MGZ33" s="1887"/>
      <c r="MHA33" s="1888"/>
      <c r="MHB33" s="1882"/>
      <c r="MHC33" s="1882"/>
      <c r="MHD33" s="1882"/>
      <c r="MHF33" s="1887"/>
      <c r="MHG33" s="1888"/>
      <c r="MHH33" s="1882"/>
      <c r="MHI33" s="1882"/>
      <c r="MHJ33" s="1882"/>
      <c r="MHL33" s="1887"/>
      <c r="MHM33" s="1888"/>
      <c r="MHN33" s="1882"/>
      <c r="MHO33" s="1882"/>
      <c r="MHP33" s="1882"/>
      <c r="MHR33" s="1887"/>
      <c r="MHS33" s="1888"/>
      <c r="MHT33" s="1882"/>
      <c r="MHU33" s="1882"/>
      <c r="MHV33" s="1882"/>
      <c r="MHX33" s="1887"/>
      <c r="MHY33" s="1888"/>
      <c r="MHZ33" s="1882"/>
      <c r="MIA33" s="1882"/>
      <c r="MIB33" s="1882"/>
      <c r="MID33" s="1887"/>
      <c r="MIE33" s="1888"/>
      <c r="MIF33" s="1882"/>
      <c r="MIG33" s="1882"/>
      <c r="MIH33" s="1882"/>
      <c r="MIJ33" s="1887"/>
      <c r="MIK33" s="1888"/>
      <c r="MIL33" s="1882"/>
      <c r="MIM33" s="1882"/>
      <c r="MIN33" s="1882"/>
      <c r="MIP33" s="1887"/>
      <c r="MIQ33" s="1888"/>
      <c r="MIR33" s="1882"/>
      <c r="MIS33" s="1882"/>
      <c r="MIT33" s="1882"/>
      <c r="MIV33" s="1887"/>
      <c r="MIW33" s="1888"/>
      <c r="MIX33" s="1882"/>
      <c r="MIY33" s="1882"/>
      <c r="MIZ33" s="1882"/>
      <c r="MJB33" s="1887"/>
      <c r="MJC33" s="1888"/>
      <c r="MJD33" s="1882"/>
      <c r="MJE33" s="1882"/>
      <c r="MJF33" s="1882"/>
      <c r="MJH33" s="1887"/>
      <c r="MJI33" s="1888"/>
      <c r="MJJ33" s="1882"/>
      <c r="MJK33" s="1882"/>
      <c r="MJL33" s="1882"/>
      <c r="MJN33" s="1887"/>
      <c r="MJO33" s="1888"/>
      <c r="MJP33" s="1882"/>
      <c r="MJQ33" s="1882"/>
      <c r="MJR33" s="1882"/>
      <c r="MJT33" s="1887"/>
      <c r="MJU33" s="1888"/>
      <c r="MJV33" s="1882"/>
      <c r="MJW33" s="1882"/>
      <c r="MJX33" s="1882"/>
      <c r="MJZ33" s="1887"/>
      <c r="MKA33" s="1888"/>
      <c r="MKB33" s="1882"/>
      <c r="MKC33" s="1882"/>
      <c r="MKD33" s="1882"/>
      <c r="MKF33" s="1887"/>
      <c r="MKG33" s="1888"/>
      <c r="MKH33" s="1882"/>
      <c r="MKI33" s="1882"/>
      <c r="MKJ33" s="1882"/>
      <c r="MKL33" s="1887"/>
      <c r="MKM33" s="1888"/>
      <c r="MKN33" s="1882"/>
      <c r="MKO33" s="1882"/>
      <c r="MKP33" s="1882"/>
      <c r="MKR33" s="1887"/>
      <c r="MKS33" s="1888"/>
      <c r="MKT33" s="1882"/>
      <c r="MKU33" s="1882"/>
      <c r="MKV33" s="1882"/>
      <c r="MKX33" s="1887"/>
      <c r="MKY33" s="1888"/>
      <c r="MKZ33" s="1882"/>
      <c r="MLA33" s="1882"/>
      <c r="MLB33" s="1882"/>
      <c r="MLD33" s="1887"/>
      <c r="MLE33" s="1888"/>
      <c r="MLF33" s="1882"/>
      <c r="MLG33" s="1882"/>
      <c r="MLH33" s="1882"/>
      <c r="MLJ33" s="1887"/>
      <c r="MLK33" s="1888"/>
      <c r="MLL33" s="1882"/>
      <c r="MLM33" s="1882"/>
      <c r="MLN33" s="1882"/>
      <c r="MLP33" s="1887"/>
      <c r="MLQ33" s="1888"/>
      <c r="MLR33" s="1882"/>
      <c r="MLS33" s="1882"/>
      <c r="MLT33" s="1882"/>
      <c r="MLV33" s="1887"/>
      <c r="MLW33" s="1888"/>
      <c r="MLX33" s="1882"/>
      <c r="MLY33" s="1882"/>
      <c r="MLZ33" s="1882"/>
      <c r="MMB33" s="1887"/>
      <c r="MMC33" s="1888"/>
      <c r="MMD33" s="1882"/>
      <c r="MME33" s="1882"/>
      <c r="MMF33" s="1882"/>
      <c r="MMH33" s="1887"/>
      <c r="MMI33" s="1888"/>
      <c r="MMJ33" s="1882"/>
      <c r="MMK33" s="1882"/>
      <c r="MML33" s="1882"/>
      <c r="MMN33" s="1887"/>
      <c r="MMO33" s="1888"/>
      <c r="MMP33" s="1882"/>
      <c r="MMQ33" s="1882"/>
      <c r="MMR33" s="1882"/>
      <c r="MMT33" s="1887"/>
      <c r="MMU33" s="1888"/>
      <c r="MMV33" s="1882"/>
      <c r="MMW33" s="1882"/>
      <c r="MMX33" s="1882"/>
      <c r="MMZ33" s="1887"/>
      <c r="MNA33" s="1888"/>
      <c r="MNB33" s="1882"/>
      <c r="MNC33" s="1882"/>
      <c r="MND33" s="1882"/>
      <c r="MNF33" s="1887"/>
      <c r="MNG33" s="1888"/>
      <c r="MNH33" s="1882"/>
      <c r="MNI33" s="1882"/>
      <c r="MNJ33" s="1882"/>
      <c r="MNL33" s="1887"/>
      <c r="MNM33" s="1888"/>
      <c r="MNN33" s="1882"/>
      <c r="MNO33" s="1882"/>
      <c r="MNP33" s="1882"/>
      <c r="MNR33" s="1887"/>
      <c r="MNS33" s="1888"/>
      <c r="MNT33" s="1882"/>
      <c r="MNU33" s="1882"/>
      <c r="MNV33" s="1882"/>
      <c r="MNX33" s="1887"/>
      <c r="MNY33" s="1888"/>
      <c r="MNZ33" s="1882"/>
      <c r="MOA33" s="1882"/>
      <c r="MOB33" s="1882"/>
      <c r="MOD33" s="1887"/>
      <c r="MOE33" s="1888"/>
      <c r="MOF33" s="1882"/>
      <c r="MOG33" s="1882"/>
      <c r="MOH33" s="1882"/>
      <c r="MOJ33" s="1887"/>
      <c r="MOK33" s="1888"/>
      <c r="MOL33" s="1882"/>
      <c r="MOM33" s="1882"/>
      <c r="MON33" s="1882"/>
      <c r="MOP33" s="1887"/>
      <c r="MOQ33" s="1888"/>
      <c r="MOR33" s="1882"/>
      <c r="MOS33" s="1882"/>
      <c r="MOT33" s="1882"/>
      <c r="MOV33" s="1887"/>
      <c r="MOW33" s="1888"/>
      <c r="MOX33" s="1882"/>
      <c r="MOY33" s="1882"/>
      <c r="MOZ33" s="1882"/>
      <c r="MPB33" s="1887"/>
      <c r="MPC33" s="1888"/>
      <c r="MPD33" s="1882"/>
      <c r="MPE33" s="1882"/>
      <c r="MPF33" s="1882"/>
      <c r="MPH33" s="1887"/>
      <c r="MPI33" s="1888"/>
      <c r="MPJ33" s="1882"/>
      <c r="MPK33" s="1882"/>
      <c r="MPL33" s="1882"/>
      <c r="MPN33" s="1887"/>
      <c r="MPO33" s="1888"/>
      <c r="MPP33" s="1882"/>
      <c r="MPQ33" s="1882"/>
      <c r="MPR33" s="1882"/>
      <c r="MPT33" s="1887"/>
      <c r="MPU33" s="1888"/>
      <c r="MPV33" s="1882"/>
      <c r="MPW33" s="1882"/>
      <c r="MPX33" s="1882"/>
      <c r="MPZ33" s="1887"/>
      <c r="MQA33" s="1888"/>
      <c r="MQB33" s="1882"/>
      <c r="MQC33" s="1882"/>
      <c r="MQD33" s="1882"/>
      <c r="MQF33" s="1887"/>
      <c r="MQG33" s="1888"/>
      <c r="MQH33" s="1882"/>
      <c r="MQI33" s="1882"/>
      <c r="MQJ33" s="1882"/>
      <c r="MQL33" s="1887"/>
      <c r="MQM33" s="1888"/>
      <c r="MQN33" s="1882"/>
      <c r="MQO33" s="1882"/>
      <c r="MQP33" s="1882"/>
      <c r="MQR33" s="1887"/>
      <c r="MQS33" s="1888"/>
      <c r="MQT33" s="1882"/>
      <c r="MQU33" s="1882"/>
      <c r="MQV33" s="1882"/>
      <c r="MQX33" s="1887"/>
      <c r="MQY33" s="1888"/>
      <c r="MQZ33" s="1882"/>
      <c r="MRA33" s="1882"/>
      <c r="MRB33" s="1882"/>
      <c r="MRD33" s="1887"/>
      <c r="MRE33" s="1888"/>
      <c r="MRF33" s="1882"/>
      <c r="MRG33" s="1882"/>
      <c r="MRH33" s="1882"/>
      <c r="MRJ33" s="1887"/>
      <c r="MRK33" s="1888"/>
      <c r="MRL33" s="1882"/>
      <c r="MRM33" s="1882"/>
      <c r="MRN33" s="1882"/>
      <c r="MRP33" s="1887"/>
      <c r="MRQ33" s="1888"/>
      <c r="MRR33" s="1882"/>
      <c r="MRS33" s="1882"/>
      <c r="MRT33" s="1882"/>
      <c r="MRV33" s="1887"/>
      <c r="MRW33" s="1888"/>
      <c r="MRX33" s="1882"/>
      <c r="MRY33" s="1882"/>
      <c r="MRZ33" s="1882"/>
      <c r="MSB33" s="1887"/>
      <c r="MSC33" s="1888"/>
      <c r="MSD33" s="1882"/>
      <c r="MSE33" s="1882"/>
      <c r="MSF33" s="1882"/>
      <c r="MSH33" s="1887"/>
      <c r="MSI33" s="1888"/>
      <c r="MSJ33" s="1882"/>
      <c r="MSK33" s="1882"/>
      <c r="MSL33" s="1882"/>
      <c r="MSN33" s="1887"/>
      <c r="MSO33" s="1888"/>
      <c r="MSP33" s="1882"/>
      <c r="MSQ33" s="1882"/>
      <c r="MSR33" s="1882"/>
      <c r="MST33" s="1887"/>
      <c r="MSU33" s="1888"/>
      <c r="MSV33" s="1882"/>
      <c r="MSW33" s="1882"/>
      <c r="MSX33" s="1882"/>
      <c r="MSZ33" s="1887"/>
      <c r="MTA33" s="1888"/>
      <c r="MTB33" s="1882"/>
      <c r="MTC33" s="1882"/>
      <c r="MTD33" s="1882"/>
      <c r="MTF33" s="1887"/>
      <c r="MTG33" s="1888"/>
      <c r="MTH33" s="1882"/>
      <c r="MTI33" s="1882"/>
      <c r="MTJ33" s="1882"/>
      <c r="MTL33" s="1887"/>
      <c r="MTM33" s="1888"/>
      <c r="MTN33" s="1882"/>
      <c r="MTO33" s="1882"/>
      <c r="MTP33" s="1882"/>
      <c r="MTR33" s="1887"/>
      <c r="MTS33" s="1888"/>
      <c r="MTT33" s="1882"/>
      <c r="MTU33" s="1882"/>
      <c r="MTV33" s="1882"/>
      <c r="MTX33" s="1887"/>
      <c r="MTY33" s="1888"/>
      <c r="MTZ33" s="1882"/>
      <c r="MUA33" s="1882"/>
      <c r="MUB33" s="1882"/>
      <c r="MUD33" s="1887"/>
      <c r="MUE33" s="1888"/>
      <c r="MUF33" s="1882"/>
      <c r="MUG33" s="1882"/>
      <c r="MUH33" s="1882"/>
      <c r="MUJ33" s="1887"/>
      <c r="MUK33" s="1888"/>
      <c r="MUL33" s="1882"/>
      <c r="MUM33" s="1882"/>
      <c r="MUN33" s="1882"/>
      <c r="MUP33" s="1887"/>
      <c r="MUQ33" s="1888"/>
      <c r="MUR33" s="1882"/>
      <c r="MUS33" s="1882"/>
      <c r="MUT33" s="1882"/>
      <c r="MUV33" s="1887"/>
      <c r="MUW33" s="1888"/>
      <c r="MUX33" s="1882"/>
      <c r="MUY33" s="1882"/>
      <c r="MUZ33" s="1882"/>
      <c r="MVB33" s="1887"/>
      <c r="MVC33" s="1888"/>
      <c r="MVD33" s="1882"/>
      <c r="MVE33" s="1882"/>
      <c r="MVF33" s="1882"/>
      <c r="MVH33" s="1887"/>
      <c r="MVI33" s="1888"/>
      <c r="MVJ33" s="1882"/>
      <c r="MVK33" s="1882"/>
      <c r="MVL33" s="1882"/>
      <c r="MVN33" s="1887"/>
      <c r="MVO33" s="1888"/>
      <c r="MVP33" s="1882"/>
      <c r="MVQ33" s="1882"/>
      <c r="MVR33" s="1882"/>
      <c r="MVT33" s="1887"/>
      <c r="MVU33" s="1888"/>
      <c r="MVV33" s="1882"/>
      <c r="MVW33" s="1882"/>
      <c r="MVX33" s="1882"/>
      <c r="MVZ33" s="1887"/>
      <c r="MWA33" s="1888"/>
      <c r="MWB33" s="1882"/>
      <c r="MWC33" s="1882"/>
      <c r="MWD33" s="1882"/>
      <c r="MWF33" s="1887"/>
      <c r="MWG33" s="1888"/>
      <c r="MWH33" s="1882"/>
      <c r="MWI33" s="1882"/>
      <c r="MWJ33" s="1882"/>
      <c r="MWL33" s="1887"/>
      <c r="MWM33" s="1888"/>
      <c r="MWN33" s="1882"/>
      <c r="MWO33" s="1882"/>
      <c r="MWP33" s="1882"/>
      <c r="MWR33" s="1887"/>
      <c r="MWS33" s="1888"/>
      <c r="MWT33" s="1882"/>
      <c r="MWU33" s="1882"/>
      <c r="MWV33" s="1882"/>
      <c r="MWX33" s="1887"/>
      <c r="MWY33" s="1888"/>
      <c r="MWZ33" s="1882"/>
      <c r="MXA33" s="1882"/>
      <c r="MXB33" s="1882"/>
      <c r="MXD33" s="1887"/>
      <c r="MXE33" s="1888"/>
      <c r="MXF33" s="1882"/>
      <c r="MXG33" s="1882"/>
      <c r="MXH33" s="1882"/>
      <c r="MXJ33" s="1887"/>
      <c r="MXK33" s="1888"/>
      <c r="MXL33" s="1882"/>
      <c r="MXM33" s="1882"/>
      <c r="MXN33" s="1882"/>
      <c r="MXP33" s="1887"/>
      <c r="MXQ33" s="1888"/>
      <c r="MXR33" s="1882"/>
      <c r="MXS33" s="1882"/>
      <c r="MXT33" s="1882"/>
      <c r="MXV33" s="1887"/>
      <c r="MXW33" s="1888"/>
      <c r="MXX33" s="1882"/>
      <c r="MXY33" s="1882"/>
      <c r="MXZ33" s="1882"/>
      <c r="MYB33" s="1887"/>
      <c r="MYC33" s="1888"/>
      <c r="MYD33" s="1882"/>
      <c r="MYE33" s="1882"/>
      <c r="MYF33" s="1882"/>
      <c r="MYH33" s="1887"/>
      <c r="MYI33" s="1888"/>
      <c r="MYJ33" s="1882"/>
      <c r="MYK33" s="1882"/>
      <c r="MYL33" s="1882"/>
      <c r="MYN33" s="1887"/>
      <c r="MYO33" s="1888"/>
      <c r="MYP33" s="1882"/>
      <c r="MYQ33" s="1882"/>
      <c r="MYR33" s="1882"/>
      <c r="MYT33" s="1887"/>
      <c r="MYU33" s="1888"/>
      <c r="MYV33" s="1882"/>
      <c r="MYW33" s="1882"/>
      <c r="MYX33" s="1882"/>
      <c r="MYZ33" s="1887"/>
      <c r="MZA33" s="1888"/>
      <c r="MZB33" s="1882"/>
      <c r="MZC33" s="1882"/>
      <c r="MZD33" s="1882"/>
      <c r="MZF33" s="1887"/>
      <c r="MZG33" s="1888"/>
      <c r="MZH33" s="1882"/>
      <c r="MZI33" s="1882"/>
      <c r="MZJ33" s="1882"/>
      <c r="MZL33" s="1887"/>
      <c r="MZM33" s="1888"/>
      <c r="MZN33" s="1882"/>
      <c r="MZO33" s="1882"/>
      <c r="MZP33" s="1882"/>
      <c r="MZR33" s="1887"/>
      <c r="MZS33" s="1888"/>
      <c r="MZT33" s="1882"/>
      <c r="MZU33" s="1882"/>
      <c r="MZV33" s="1882"/>
      <c r="MZX33" s="1887"/>
      <c r="MZY33" s="1888"/>
      <c r="MZZ33" s="1882"/>
      <c r="NAA33" s="1882"/>
      <c r="NAB33" s="1882"/>
      <c r="NAD33" s="1887"/>
      <c r="NAE33" s="1888"/>
      <c r="NAF33" s="1882"/>
      <c r="NAG33" s="1882"/>
      <c r="NAH33" s="1882"/>
      <c r="NAJ33" s="1887"/>
      <c r="NAK33" s="1888"/>
      <c r="NAL33" s="1882"/>
      <c r="NAM33" s="1882"/>
      <c r="NAN33" s="1882"/>
      <c r="NAP33" s="1887"/>
      <c r="NAQ33" s="1888"/>
      <c r="NAR33" s="1882"/>
      <c r="NAS33" s="1882"/>
      <c r="NAT33" s="1882"/>
      <c r="NAV33" s="1887"/>
      <c r="NAW33" s="1888"/>
      <c r="NAX33" s="1882"/>
      <c r="NAY33" s="1882"/>
      <c r="NAZ33" s="1882"/>
      <c r="NBB33" s="1887"/>
      <c r="NBC33" s="1888"/>
      <c r="NBD33" s="1882"/>
      <c r="NBE33" s="1882"/>
      <c r="NBF33" s="1882"/>
      <c r="NBH33" s="1887"/>
      <c r="NBI33" s="1888"/>
      <c r="NBJ33" s="1882"/>
      <c r="NBK33" s="1882"/>
      <c r="NBL33" s="1882"/>
      <c r="NBN33" s="1887"/>
      <c r="NBO33" s="1888"/>
      <c r="NBP33" s="1882"/>
      <c r="NBQ33" s="1882"/>
      <c r="NBR33" s="1882"/>
      <c r="NBT33" s="1887"/>
      <c r="NBU33" s="1888"/>
      <c r="NBV33" s="1882"/>
      <c r="NBW33" s="1882"/>
      <c r="NBX33" s="1882"/>
      <c r="NBZ33" s="1887"/>
      <c r="NCA33" s="1888"/>
      <c r="NCB33" s="1882"/>
      <c r="NCC33" s="1882"/>
      <c r="NCD33" s="1882"/>
      <c r="NCF33" s="1887"/>
      <c r="NCG33" s="1888"/>
      <c r="NCH33" s="1882"/>
      <c r="NCI33" s="1882"/>
      <c r="NCJ33" s="1882"/>
      <c r="NCL33" s="1887"/>
      <c r="NCM33" s="1888"/>
      <c r="NCN33" s="1882"/>
      <c r="NCO33" s="1882"/>
      <c r="NCP33" s="1882"/>
      <c r="NCR33" s="1887"/>
      <c r="NCS33" s="1888"/>
      <c r="NCT33" s="1882"/>
      <c r="NCU33" s="1882"/>
      <c r="NCV33" s="1882"/>
      <c r="NCX33" s="1887"/>
      <c r="NCY33" s="1888"/>
      <c r="NCZ33" s="1882"/>
      <c r="NDA33" s="1882"/>
      <c r="NDB33" s="1882"/>
      <c r="NDD33" s="1887"/>
      <c r="NDE33" s="1888"/>
      <c r="NDF33" s="1882"/>
      <c r="NDG33" s="1882"/>
      <c r="NDH33" s="1882"/>
      <c r="NDJ33" s="1887"/>
      <c r="NDK33" s="1888"/>
      <c r="NDL33" s="1882"/>
      <c r="NDM33" s="1882"/>
      <c r="NDN33" s="1882"/>
      <c r="NDP33" s="1887"/>
      <c r="NDQ33" s="1888"/>
      <c r="NDR33" s="1882"/>
      <c r="NDS33" s="1882"/>
      <c r="NDT33" s="1882"/>
      <c r="NDV33" s="1887"/>
      <c r="NDW33" s="1888"/>
      <c r="NDX33" s="1882"/>
      <c r="NDY33" s="1882"/>
      <c r="NDZ33" s="1882"/>
      <c r="NEB33" s="1887"/>
      <c r="NEC33" s="1888"/>
      <c r="NED33" s="1882"/>
      <c r="NEE33" s="1882"/>
      <c r="NEF33" s="1882"/>
      <c r="NEH33" s="1887"/>
      <c r="NEI33" s="1888"/>
      <c r="NEJ33" s="1882"/>
      <c r="NEK33" s="1882"/>
      <c r="NEL33" s="1882"/>
      <c r="NEN33" s="1887"/>
      <c r="NEO33" s="1888"/>
      <c r="NEP33" s="1882"/>
      <c r="NEQ33" s="1882"/>
      <c r="NER33" s="1882"/>
      <c r="NET33" s="1887"/>
      <c r="NEU33" s="1888"/>
      <c r="NEV33" s="1882"/>
      <c r="NEW33" s="1882"/>
      <c r="NEX33" s="1882"/>
      <c r="NEZ33" s="1887"/>
      <c r="NFA33" s="1888"/>
      <c r="NFB33" s="1882"/>
      <c r="NFC33" s="1882"/>
      <c r="NFD33" s="1882"/>
      <c r="NFF33" s="1887"/>
      <c r="NFG33" s="1888"/>
      <c r="NFH33" s="1882"/>
      <c r="NFI33" s="1882"/>
      <c r="NFJ33" s="1882"/>
      <c r="NFL33" s="1887"/>
      <c r="NFM33" s="1888"/>
      <c r="NFN33" s="1882"/>
      <c r="NFO33" s="1882"/>
      <c r="NFP33" s="1882"/>
      <c r="NFR33" s="1887"/>
      <c r="NFS33" s="1888"/>
      <c r="NFT33" s="1882"/>
      <c r="NFU33" s="1882"/>
      <c r="NFV33" s="1882"/>
      <c r="NFX33" s="1887"/>
      <c r="NFY33" s="1888"/>
      <c r="NFZ33" s="1882"/>
      <c r="NGA33" s="1882"/>
      <c r="NGB33" s="1882"/>
      <c r="NGD33" s="1887"/>
      <c r="NGE33" s="1888"/>
      <c r="NGF33" s="1882"/>
      <c r="NGG33" s="1882"/>
      <c r="NGH33" s="1882"/>
      <c r="NGJ33" s="1887"/>
      <c r="NGK33" s="1888"/>
      <c r="NGL33" s="1882"/>
      <c r="NGM33" s="1882"/>
      <c r="NGN33" s="1882"/>
      <c r="NGP33" s="1887"/>
      <c r="NGQ33" s="1888"/>
      <c r="NGR33" s="1882"/>
      <c r="NGS33" s="1882"/>
      <c r="NGT33" s="1882"/>
      <c r="NGV33" s="1887"/>
      <c r="NGW33" s="1888"/>
      <c r="NGX33" s="1882"/>
      <c r="NGY33" s="1882"/>
      <c r="NGZ33" s="1882"/>
      <c r="NHB33" s="1887"/>
      <c r="NHC33" s="1888"/>
      <c r="NHD33" s="1882"/>
      <c r="NHE33" s="1882"/>
      <c r="NHF33" s="1882"/>
      <c r="NHH33" s="1887"/>
      <c r="NHI33" s="1888"/>
      <c r="NHJ33" s="1882"/>
      <c r="NHK33" s="1882"/>
      <c r="NHL33" s="1882"/>
      <c r="NHN33" s="1887"/>
      <c r="NHO33" s="1888"/>
      <c r="NHP33" s="1882"/>
      <c r="NHQ33" s="1882"/>
      <c r="NHR33" s="1882"/>
      <c r="NHT33" s="1887"/>
      <c r="NHU33" s="1888"/>
      <c r="NHV33" s="1882"/>
      <c r="NHW33" s="1882"/>
      <c r="NHX33" s="1882"/>
      <c r="NHZ33" s="1887"/>
      <c r="NIA33" s="1888"/>
      <c r="NIB33" s="1882"/>
      <c r="NIC33" s="1882"/>
      <c r="NID33" s="1882"/>
      <c r="NIF33" s="1887"/>
      <c r="NIG33" s="1888"/>
      <c r="NIH33" s="1882"/>
      <c r="NII33" s="1882"/>
      <c r="NIJ33" s="1882"/>
      <c r="NIL33" s="1887"/>
      <c r="NIM33" s="1888"/>
      <c r="NIN33" s="1882"/>
      <c r="NIO33" s="1882"/>
      <c r="NIP33" s="1882"/>
      <c r="NIR33" s="1887"/>
      <c r="NIS33" s="1888"/>
      <c r="NIT33" s="1882"/>
      <c r="NIU33" s="1882"/>
      <c r="NIV33" s="1882"/>
      <c r="NIX33" s="1887"/>
      <c r="NIY33" s="1888"/>
      <c r="NIZ33" s="1882"/>
      <c r="NJA33" s="1882"/>
      <c r="NJB33" s="1882"/>
      <c r="NJD33" s="1887"/>
      <c r="NJE33" s="1888"/>
      <c r="NJF33" s="1882"/>
      <c r="NJG33" s="1882"/>
      <c r="NJH33" s="1882"/>
      <c r="NJJ33" s="1887"/>
      <c r="NJK33" s="1888"/>
      <c r="NJL33" s="1882"/>
      <c r="NJM33" s="1882"/>
      <c r="NJN33" s="1882"/>
      <c r="NJP33" s="1887"/>
      <c r="NJQ33" s="1888"/>
      <c r="NJR33" s="1882"/>
      <c r="NJS33" s="1882"/>
      <c r="NJT33" s="1882"/>
      <c r="NJV33" s="1887"/>
      <c r="NJW33" s="1888"/>
      <c r="NJX33" s="1882"/>
      <c r="NJY33" s="1882"/>
      <c r="NJZ33" s="1882"/>
      <c r="NKB33" s="1887"/>
      <c r="NKC33" s="1888"/>
      <c r="NKD33" s="1882"/>
      <c r="NKE33" s="1882"/>
      <c r="NKF33" s="1882"/>
      <c r="NKH33" s="1887"/>
      <c r="NKI33" s="1888"/>
      <c r="NKJ33" s="1882"/>
      <c r="NKK33" s="1882"/>
      <c r="NKL33" s="1882"/>
      <c r="NKN33" s="1887"/>
      <c r="NKO33" s="1888"/>
      <c r="NKP33" s="1882"/>
      <c r="NKQ33" s="1882"/>
      <c r="NKR33" s="1882"/>
      <c r="NKT33" s="1887"/>
      <c r="NKU33" s="1888"/>
      <c r="NKV33" s="1882"/>
      <c r="NKW33" s="1882"/>
      <c r="NKX33" s="1882"/>
      <c r="NKZ33" s="1887"/>
      <c r="NLA33" s="1888"/>
      <c r="NLB33" s="1882"/>
      <c r="NLC33" s="1882"/>
      <c r="NLD33" s="1882"/>
      <c r="NLF33" s="1887"/>
      <c r="NLG33" s="1888"/>
      <c r="NLH33" s="1882"/>
      <c r="NLI33" s="1882"/>
      <c r="NLJ33" s="1882"/>
      <c r="NLL33" s="1887"/>
      <c r="NLM33" s="1888"/>
      <c r="NLN33" s="1882"/>
      <c r="NLO33" s="1882"/>
      <c r="NLP33" s="1882"/>
      <c r="NLR33" s="1887"/>
      <c r="NLS33" s="1888"/>
      <c r="NLT33" s="1882"/>
      <c r="NLU33" s="1882"/>
      <c r="NLV33" s="1882"/>
      <c r="NLX33" s="1887"/>
      <c r="NLY33" s="1888"/>
      <c r="NLZ33" s="1882"/>
      <c r="NMA33" s="1882"/>
      <c r="NMB33" s="1882"/>
      <c r="NMD33" s="1887"/>
      <c r="NME33" s="1888"/>
      <c r="NMF33" s="1882"/>
      <c r="NMG33" s="1882"/>
      <c r="NMH33" s="1882"/>
      <c r="NMJ33" s="1887"/>
      <c r="NMK33" s="1888"/>
      <c r="NML33" s="1882"/>
      <c r="NMM33" s="1882"/>
      <c r="NMN33" s="1882"/>
      <c r="NMP33" s="1887"/>
      <c r="NMQ33" s="1888"/>
      <c r="NMR33" s="1882"/>
      <c r="NMS33" s="1882"/>
      <c r="NMT33" s="1882"/>
      <c r="NMV33" s="1887"/>
      <c r="NMW33" s="1888"/>
      <c r="NMX33" s="1882"/>
      <c r="NMY33" s="1882"/>
      <c r="NMZ33" s="1882"/>
      <c r="NNB33" s="1887"/>
      <c r="NNC33" s="1888"/>
      <c r="NND33" s="1882"/>
      <c r="NNE33" s="1882"/>
      <c r="NNF33" s="1882"/>
      <c r="NNH33" s="1887"/>
      <c r="NNI33" s="1888"/>
      <c r="NNJ33" s="1882"/>
      <c r="NNK33" s="1882"/>
      <c r="NNL33" s="1882"/>
      <c r="NNN33" s="1887"/>
      <c r="NNO33" s="1888"/>
      <c r="NNP33" s="1882"/>
      <c r="NNQ33" s="1882"/>
      <c r="NNR33" s="1882"/>
      <c r="NNT33" s="1887"/>
      <c r="NNU33" s="1888"/>
      <c r="NNV33" s="1882"/>
      <c r="NNW33" s="1882"/>
      <c r="NNX33" s="1882"/>
      <c r="NNZ33" s="1887"/>
      <c r="NOA33" s="1888"/>
      <c r="NOB33" s="1882"/>
      <c r="NOC33" s="1882"/>
      <c r="NOD33" s="1882"/>
      <c r="NOF33" s="1887"/>
      <c r="NOG33" s="1888"/>
      <c r="NOH33" s="1882"/>
      <c r="NOI33" s="1882"/>
      <c r="NOJ33" s="1882"/>
      <c r="NOL33" s="1887"/>
      <c r="NOM33" s="1888"/>
      <c r="NON33" s="1882"/>
      <c r="NOO33" s="1882"/>
      <c r="NOP33" s="1882"/>
      <c r="NOR33" s="1887"/>
      <c r="NOS33" s="1888"/>
      <c r="NOT33" s="1882"/>
      <c r="NOU33" s="1882"/>
      <c r="NOV33" s="1882"/>
      <c r="NOX33" s="1887"/>
      <c r="NOY33" s="1888"/>
      <c r="NOZ33" s="1882"/>
      <c r="NPA33" s="1882"/>
      <c r="NPB33" s="1882"/>
      <c r="NPD33" s="1887"/>
      <c r="NPE33" s="1888"/>
      <c r="NPF33" s="1882"/>
      <c r="NPG33" s="1882"/>
      <c r="NPH33" s="1882"/>
      <c r="NPJ33" s="1887"/>
      <c r="NPK33" s="1888"/>
      <c r="NPL33" s="1882"/>
      <c r="NPM33" s="1882"/>
      <c r="NPN33" s="1882"/>
      <c r="NPP33" s="1887"/>
      <c r="NPQ33" s="1888"/>
      <c r="NPR33" s="1882"/>
      <c r="NPS33" s="1882"/>
      <c r="NPT33" s="1882"/>
      <c r="NPV33" s="1887"/>
      <c r="NPW33" s="1888"/>
      <c r="NPX33" s="1882"/>
      <c r="NPY33" s="1882"/>
      <c r="NPZ33" s="1882"/>
      <c r="NQB33" s="1887"/>
      <c r="NQC33" s="1888"/>
      <c r="NQD33" s="1882"/>
      <c r="NQE33" s="1882"/>
      <c r="NQF33" s="1882"/>
      <c r="NQH33" s="1887"/>
      <c r="NQI33" s="1888"/>
      <c r="NQJ33" s="1882"/>
      <c r="NQK33" s="1882"/>
      <c r="NQL33" s="1882"/>
      <c r="NQN33" s="1887"/>
      <c r="NQO33" s="1888"/>
      <c r="NQP33" s="1882"/>
      <c r="NQQ33" s="1882"/>
      <c r="NQR33" s="1882"/>
      <c r="NQT33" s="1887"/>
      <c r="NQU33" s="1888"/>
      <c r="NQV33" s="1882"/>
      <c r="NQW33" s="1882"/>
      <c r="NQX33" s="1882"/>
      <c r="NQZ33" s="1887"/>
      <c r="NRA33" s="1888"/>
      <c r="NRB33" s="1882"/>
      <c r="NRC33" s="1882"/>
      <c r="NRD33" s="1882"/>
      <c r="NRF33" s="1887"/>
      <c r="NRG33" s="1888"/>
      <c r="NRH33" s="1882"/>
      <c r="NRI33" s="1882"/>
      <c r="NRJ33" s="1882"/>
      <c r="NRL33" s="1887"/>
      <c r="NRM33" s="1888"/>
      <c r="NRN33" s="1882"/>
      <c r="NRO33" s="1882"/>
      <c r="NRP33" s="1882"/>
      <c r="NRR33" s="1887"/>
      <c r="NRS33" s="1888"/>
      <c r="NRT33" s="1882"/>
      <c r="NRU33" s="1882"/>
      <c r="NRV33" s="1882"/>
      <c r="NRX33" s="1887"/>
      <c r="NRY33" s="1888"/>
      <c r="NRZ33" s="1882"/>
      <c r="NSA33" s="1882"/>
      <c r="NSB33" s="1882"/>
      <c r="NSD33" s="1887"/>
      <c r="NSE33" s="1888"/>
      <c r="NSF33" s="1882"/>
      <c r="NSG33" s="1882"/>
      <c r="NSH33" s="1882"/>
      <c r="NSJ33" s="1887"/>
      <c r="NSK33" s="1888"/>
      <c r="NSL33" s="1882"/>
      <c r="NSM33" s="1882"/>
      <c r="NSN33" s="1882"/>
      <c r="NSP33" s="1887"/>
      <c r="NSQ33" s="1888"/>
      <c r="NSR33" s="1882"/>
      <c r="NSS33" s="1882"/>
      <c r="NST33" s="1882"/>
      <c r="NSV33" s="1887"/>
      <c r="NSW33" s="1888"/>
      <c r="NSX33" s="1882"/>
      <c r="NSY33" s="1882"/>
      <c r="NSZ33" s="1882"/>
      <c r="NTB33" s="1887"/>
      <c r="NTC33" s="1888"/>
      <c r="NTD33" s="1882"/>
      <c r="NTE33" s="1882"/>
      <c r="NTF33" s="1882"/>
      <c r="NTH33" s="1887"/>
      <c r="NTI33" s="1888"/>
      <c r="NTJ33" s="1882"/>
      <c r="NTK33" s="1882"/>
      <c r="NTL33" s="1882"/>
      <c r="NTN33" s="1887"/>
      <c r="NTO33" s="1888"/>
      <c r="NTP33" s="1882"/>
      <c r="NTQ33" s="1882"/>
      <c r="NTR33" s="1882"/>
      <c r="NTT33" s="1887"/>
      <c r="NTU33" s="1888"/>
      <c r="NTV33" s="1882"/>
      <c r="NTW33" s="1882"/>
      <c r="NTX33" s="1882"/>
      <c r="NTZ33" s="1887"/>
      <c r="NUA33" s="1888"/>
      <c r="NUB33" s="1882"/>
      <c r="NUC33" s="1882"/>
      <c r="NUD33" s="1882"/>
      <c r="NUF33" s="1887"/>
      <c r="NUG33" s="1888"/>
      <c r="NUH33" s="1882"/>
      <c r="NUI33" s="1882"/>
      <c r="NUJ33" s="1882"/>
      <c r="NUL33" s="1887"/>
      <c r="NUM33" s="1888"/>
      <c r="NUN33" s="1882"/>
      <c r="NUO33" s="1882"/>
      <c r="NUP33" s="1882"/>
      <c r="NUR33" s="1887"/>
      <c r="NUS33" s="1888"/>
      <c r="NUT33" s="1882"/>
      <c r="NUU33" s="1882"/>
      <c r="NUV33" s="1882"/>
      <c r="NUX33" s="1887"/>
      <c r="NUY33" s="1888"/>
      <c r="NUZ33" s="1882"/>
      <c r="NVA33" s="1882"/>
      <c r="NVB33" s="1882"/>
      <c r="NVD33" s="1887"/>
      <c r="NVE33" s="1888"/>
      <c r="NVF33" s="1882"/>
      <c r="NVG33" s="1882"/>
      <c r="NVH33" s="1882"/>
      <c r="NVJ33" s="1887"/>
      <c r="NVK33" s="1888"/>
      <c r="NVL33" s="1882"/>
      <c r="NVM33" s="1882"/>
      <c r="NVN33" s="1882"/>
      <c r="NVP33" s="1887"/>
      <c r="NVQ33" s="1888"/>
      <c r="NVR33" s="1882"/>
      <c r="NVS33" s="1882"/>
      <c r="NVT33" s="1882"/>
      <c r="NVV33" s="1887"/>
      <c r="NVW33" s="1888"/>
      <c r="NVX33" s="1882"/>
      <c r="NVY33" s="1882"/>
      <c r="NVZ33" s="1882"/>
      <c r="NWB33" s="1887"/>
      <c r="NWC33" s="1888"/>
      <c r="NWD33" s="1882"/>
      <c r="NWE33" s="1882"/>
      <c r="NWF33" s="1882"/>
      <c r="NWH33" s="1887"/>
      <c r="NWI33" s="1888"/>
      <c r="NWJ33" s="1882"/>
      <c r="NWK33" s="1882"/>
      <c r="NWL33" s="1882"/>
      <c r="NWN33" s="1887"/>
      <c r="NWO33" s="1888"/>
      <c r="NWP33" s="1882"/>
      <c r="NWQ33" s="1882"/>
      <c r="NWR33" s="1882"/>
      <c r="NWT33" s="1887"/>
      <c r="NWU33" s="1888"/>
      <c r="NWV33" s="1882"/>
      <c r="NWW33" s="1882"/>
      <c r="NWX33" s="1882"/>
      <c r="NWZ33" s="1887"/>
      <c r="NXA33" s="1888"/>
      <c r="NXB33" s="1882"/>
      <c r="NXC33" s="1882"/>
      <c r="NXD33" s="1882"/>
      <c r="NXF33" s="1887"/>
      <c r="NXG33" s="1888"/>
      <c r="NXH33" s="1882"/>
      <c r="NXI33" s="1882"/>
      <c r="NXJ33" s="1882"/>
      <c r="NXL33" s="1887"/>
      <c r="NXM33" s="1888"/>
      <c r="NXN33" s="1882"/>
      <c r="NXO33" s="1882"/>
      <c r="NXP33" s="1882"/>
      <c r="NXR33" s="1887"/>
      <c r="NXS33" s="1888"/>
      <c r="NXT33" s="1882"/>
      <c r="NXU33" s="1882"/>
      <c r="NXV33" s="1882"/>
      <c r="NXX33" s="1887"/>
      <c r="NXY33" s="1888"/>
      <c r="NXZ33" s="1882"/>
      <c r="NYA33" s="1882"/>
      <c r="NYB33" s="1882"/>
      <c r="NYD33" s="1887"/>
      <c r="NYE33" s="1888"/>
      <c r="NYF33" s="1882"/>
      <c r="NYG33" s="1882"/>
      <c r="NYH33" s="1882"/>
      <c r="NYJ33" s="1887"/>
      <c r="NYK33" s="1888"/>
      <c r="NYL33" s="1882"/>
      <c r="NYM33" s="1882"/>
      <c r="NYN33" s="1882"/>
      <c r="NYP33" s="1887"/>
      <c r="NYQ33" s="1888"/>
      <c r="NYR33" s="1882"/>
      <c r="NYS33" s="1882"/>
      <c r="NYT33" s="1882"/>
      <c r="NYV33" s="1887"/>
      <c r="NYW33" s="1888"/>
      <c r="NYX33" s="1882"/>
      <c r="NYY33" s="1882"/>
      <c r="NYZ33" s="1882"/>
      <c r="NZB33" s="1887"/>
      <c r="NZC33" s="1888"/>
      <c r="NZD33" s="1882"/>
      <c r="NZE33" s="1882"/>
      <c r="NZF33" s="1882"/>
      <c r="NZH33" s="1887"/>
      <c r="NZI33" s="1888"/>
      <c r="NZJ33" s="1882"/>
      <c r="NZK33" s="1882"/>
      <c r="NZL33" s="1882"/>
      <c r="NZN33" s="1887"/>
      <c r="NZO33" s="1888"/>
      <c r="NZP33" s="1882"/>
      <c r="NZQ33" s="1882"/>
      <c r="NZR33" s="1882"/>
      <c r="NZT33" s="1887"/>
      <c r="NZU33" s="1888"/>
      <c r="NZV33" s="1882"/>
      <c r="NZW33" s="1882"/>
      <c r="NZX33" s="1882"/>
      <c r="NZZ33" s="1887"/>
      <c r="OAA33" s="1888"/>
      <c r="OAB33" s="1882"/>
      <c r="OAC33" s="1882"/>
      <c r="OAD33" s="1882"/>
      <c r="OAF33" s="1887"/>
      <c r="OAG33" s="1888"/>
      <c r="OAH33" s="1882"/>
      <c r="OAI33" s="1882"/>
      <c r="OAJ33" s="1882"/>
      <c r="OAL33" s="1887"/>
      <c r="OAM33" s="1888"/>
      <c r="OAN33" s="1882"/>
      <c r="OAO33" s="1882"/>
      <c r="OAP33" s="1882"/>
      <c r="OAR33" s="1887"/>
      <c r="OAS33" s="1888"/>
      <c r="OAT33" s="1882"/>
      <c r="OAU33" s="1882"/>
      <c r="OAV33" s="1882"/>
      <c r="OAX33" s="1887"/>
      <c r="OAY33" s="1888"/>
      <c r="OAZ33" s="1882"/>
      <c r="OBA33" s="1882"/>
      <c r="OBB33" s="1882"/>
      <c r="OBD33" s="1887"/>
      <c r="OBE33" s="1888"/>
      <c r="OBF33" s="1882"/>
      <c r="OBG33" s="1882"/>
      <c r="OBH33" s="1882"/>
      <c r="OBJ33" s="1887"/>
      <c r="OBK33" s="1888"/>
      <c r="OBL33" s="1882"/>
      <c r="OBM33" s="1882"/>
      <c r="OBN33" s="1882"/>
      <c r="OBP33" s="1887"/>
      <c r="OBQ33" s="1888"/>
      <c r="OBR33" s="1882"/>
      <c r="OBS33" s="1882"/>
      <c r="OBT33" s="1882"/>
      <c r="OBV33" s="1887"/>
      <c r="OBW33" s="1888"/>
      <c r="OBX33" s="1882"/>
      <c r="OBY33" s="1882"/>
      <c r="OBZ33" s="1882"/>
      <c r="OCB33" s="1887"/>
      <c r="OCC33" s="1888"/>
      <c r="OCD33" s="1882"/>
      <c r="OCE33" s="1882"/>
      <c r="OCF33" s="1882"/>
      <c r="OCH33" s="1887"/>
      <c r="OCI33" s="1888"/>
      <c r="OCJ33" s="1882"/>
      <c r="OCK33" s="1882"/>
      <c r="OCL33" s="1882"/>
      <c r="OCN33" s="1887"/>
      <c r="OCO33" s="1888"/>
      <c r="OCP33" s="1882"/>
      <c r="OCQ33" s="1882"/>
      <c r="OCR33" s="1882"/>
      <c r="OCT33" s="1887"/>
      <c r="OCU33" s="1888"/>
      <c r="OCV33" s="1882"/>
      <c r="OCW33" s="1882"/>
      <c r="OCX33" s="1882"/>
      <c r="OCZ33" s="1887"/>
      <c r="ODA33" s="1888"/>
      <c r="ODB33" s="1882"/>
      <c r="ODC33" s="1882"/>
      <c r="ODD33" s="1882"/>
      <c r="ODF33" s="1887"/>
      <c r="ODG33" s="1888"/>
      <c r="ODH33" s="1882"/>
      <c r="ODI33" s="1882"/>
      <c r="ODJ33" s="1882"/>
      <c r="ODL33" s="1887"/>
      <c r="ODM33" s="1888"/>
      <c r="ODN33" s="1882"/>
      <c r="ODO33" s="1882"/>
      <c r="ODP33" s="1882"/>
      <c r="ODR33" s="1887"/>
      <c r="ODS33" s="1888"/>
      <c r="ODT33" s="1882"/>
      <c r="ODU33" s="1882"/>
      <c r="ODV33" s="1882"/>
      <c r="ODX33" s="1887"/>
      <c r="ODY33" s="1888"/>
      <c r="ODZ33" s="1882"/>
      <c r="OEA33" s="1882"/>
      <c r="OEB33" s="1882"/>
      <c r="OED33" s="1887"/>
      <c r="OEE33" s="1888"/>
      <c r="OEF33" s="1882"/>
      <c r="OEG33" s="1882"/>
      <c r="OEH33" s="1882"/>
      <c r="OEJ33" s="1887"/>
      <c r="OEK33" s="1888"/>
      <c r="OEL33" s="1882"/>
      <c r="OEM33" s="1882"/>
      <c r="OEN33" s="1882"/>
      <c r="OEP33" s="1887"/>
      <c r="OEQ33" s="1888"/>
      <c r="OER33" s="1882"/>
      <c r="OES33" s="1882"/>
      <c r="OET33" s="1882"/>
      <c r="OEV33" s="1887"/>
      <c r="OEW33" s="1888"/>
      <c r="OEX33" s="1882"/>
      <c r="OEY33" s="1882"/>
      <c r="OEZ33" s="1882"/>
      <c r="OFB33" s="1887"/>
      <c r="OFC33" s="1888"/>
      <c r="OFD33" s="1882"/>
      <c r="OFE33" s="1882"/>
      <c r="OFF33" s="1882"/>
      <c r="OFH33" s="1887"/>
      <c r="OFI33" s="1888"/>
      <c r="OFJ33" s="1882"/>
      <c r="OFK33" s="1882"/>
      <c r="OFL33" s="1882"/>
      <c r="OFN33" s="1887"/>
      <c r="OFO33" s="1888"/>
      <c r="OFP33" s="1882"/>
      <c r="OFQ33" s="1882"/>
      <c r="OFR33" s="1882"/>
      <c r="OFT33" s="1887"/>
      <c r="OFU33" s="1888"/>
      <c r="OFV33" s="1882"/>
      <c r="OFW33" s="1882"/>
      <c r="OFX33" s="1882"/>
      <c r="OFZ33" s="1887"/>
      <c r="OGA33" s="1888"/>
      <c r="OGB33" s="1882"/>
      <c r="OGC33" s="1882"/>
      <c r="OGD33" s="1882"/>
      <c r="OGF33" s="1887"/>
      <c r="OGG33" s="1888"/>
      <c r="OGH33" s="1882"/>
      <c r="OGI33" s="1882"/>
      <c r="OGJ33" s="1882"/>
      <c r="OGL33" s="1887"/>
      <c r="OGM33" s="1888"/>
      <c r="OGN33" s="1882"/>
      <c r="OGO33" s="1882"/>
      <c r="OGP33" s="1882"/>
      <c r="OGR33" s="1887"/>
      <c r="OGS33" s="1888"/>
      <c r="OGT33" s="1882"/>
      <c r="OGU33" s="1882"/>
      <c r="OGV33" s="1882"/>
      <c r="OGX33" s="1887"/>
      <c r="OGY33" s="1888"/>
      <c r="OGZ33" s="1882"/>
      <c r="OHA33" s="1882"/>
      <c r="OHB33" s="1882"/>
      <c r="OHD33" s="1887"/>
      <c r="OHE33" s="1888"/>
      <c r="OHF33" s="1882"/>
      <c r="OHG33" s="1882"/>
      <c r="OHH33" s="1882"/>
      <c r="OHJ33" s="1887"/>
      <c r="OHK33" s="1888"/>
      <c r="OHL33" s="1882"/>
      <c r="OHM33" s="1882"/>
      <c r="OHN33" s="1882"/>
      <c r="OHP33" s="1887"/>
      <c r="OHQ33" s="1888"/>
      <c r="OHR33" s="1882"/>
      <c r="OHS33" s="1882"/>
      <c r="OHT33" s="1882"/>
      <c r="OHV33" s="1887"/>
      <c r="OHW33" s="1888"/>
      <c r="OHX33" s="1882"/>
      <c r="OHY33" s="1882"/>
      <c r="OHZ33" s="1882"/>
      <c r="OIB33" s="1887"/>
      <c r="OIC33" s="1888"/>
      <c r="OID33" s="1882"/>
      <c r="OIE33" s="1882"/>
      <c r="OIF33" s="1882"/>
      <c r="OIH33" s="1887"/>
      <c r="OII33" s="1888"/>
      <c r="OIJ33" s="1882"/>
      <c r="OIK33" s="1882"/>
      <c r="OIL33" s="1882"/>
      <c r="OIN33" s="1887"/>
      <c r="OIO33" s="1888"/>
      <c r="OIP33" s="1882"/>
      <c r="OIQ33" s="1882"/>
      <c r="OIR33" s="1882"/>
      <c r="OIT33" s="1887"/>
      <c r="OIU33" s="1888"/>
      <c r="OIV33" s="1882"/>
      <c r="OIW33" s="1882"/>
      <c r="OIX33" s="1882"/>
      <c r="OIZ33" s="1887"/>
      <c r="OJA33" s="1888"/>
      <c r="OJB33" s="1882"/>
      <c r="OJC33" s="1882"/>
      <c r="OJD33" s="1882"/>
      <c r="OJF33" s="1887"/>
      <c r="OJG33" s="1888"/>
      <c r="OJH33" s="1882"/>
      <c r="OJI33" s="1882"/>
      <c r="OJJ33" s="1882"/>
      <c r="OJL33" s="1887"/>
      <c r="OJM33" s="1888"/>
      <c r="OJN33" s="1882"/>
      <c r="OJO33" s="1882"/>
      <c r="OJP33" s="1882"/>
      <c r="OJR33" s="1887"/>
      <c r="OJS33" s="1888"/>
      <c r="OJT33" s="1882"/>
      <c r="OJU33" s="1882"/>
      <c r="OJV33" s="1882"/>
      <c r="OJX33" s="1887"/>
      <c r="OJY33" s="1888"/>
      <c r="OJZ33" s="1882"/>
      <c r="OKA33" s="1882"/>
      <c r="OKB33" s="1882"/>
      <c r="OKD33" s="1887"/>
      <c r="OKE33" s="1888"/>
      <c r="OKF33" s="1882"/>
      <c r="OKG33" s="1882"/>
      <c r="OKH33" s="1882"/>
      <c r="OKJ33" s="1887"/>
      <c r="OKK33" s="1888"/>
      <c r="OKL33" s="1882"/>
      <c r="OKM33" s="1882"/>
      <c r="OKN33" s="1882"/>
      <c r="OKP33" s="1887"/>
      <c r="OKQ33" s="1888"/>
      <c r="OKR33" s="1882"/>
      <c r="OKS33" s="1882"/>
      <c r="OKT33" s="1882"/>
      <c r="OKV33" s="1887"/>
      <c r="OKW33" s="1888"/>
      <c r="OKX33" s="1882"/>
      <c r="OKY33" s="1882"/>
      <c r="OKZ33" s="1882"/>
      <c r="OLB33" s="1887"/>
      <c r="OLC33" s="1888"/>
      <c r="OLD33" s="1882"/>
      <c r="OLE33" s="1882"/>
      <c r="OLF33" s="1882"/>
      <c r="OLH33" s="1887"/>
      <c r="OLI33" s="1888"/>
      <c r="OLJ33" s="1882"/>
      <c r="OLK33" s="1882"/>
      <c r="OLL33" s="1882"/>
      <c r="OLN33" s="1887"/>
      <c r="OLO33" s="1888"/>
      <c r="OLP33" s="1882"/>
      <c r="OLQ33" s="1882"/>
      <c r="OLR33" s="1882"/>
      <c r="OLT33" s="1887"/>
      <c r="OLU33" s="1888"/>
      <c r="OLV33" s="1882"/>
      <c r="OLW33" s="1882"/>
      <c r="OLX33" s="1882"/>
      <c r="OLZ33" s="1887"/>
      <c r="OMA33" s="1888"/>
      <c r="OMB33" s="1882"/>
      <c r="OMC33" s="1882"/>
      <c r="OMD33" s="1882"/>
      <c r="OMF33" s="1887"/>
      <c r="OMG33" s="1888"/>
      <c r="OMH33" s="1882"/>
      <c r="OMI33" s="1882"/>
      <c r="OMJ33" s="1882"/>
      <c r="OML33" s="1887"/>
      <c r="OMM33" s="1888"/>
      <c r="OMN33" s="1882"/>
      <c r="OMO33" s="1882"/>
      <c r="OMP33" s="1882"/>
      <c r="OMR33" s="1887"/>
      <c r="OMS33" s="1888"/>
      <c r="OMT33" s="1882"/>
      <c r="OMU33" s="1882"/>
      <c r="OMV33" s="1882"/>
      <c r="OMX33" s="1887"/>
      <c r="OMY33" s="1888"/>
      <c r="OMZ33" s="1882"/>
      <c r="ONA33" s="1882"/>
      <c r="ONB33" s="1882"/>
      <c r="OND33" s="1887"/>
      <c r="ONE33" s="1888"/>
      <c r="ONF33" s="1882"/>
      <c r="ONG33" s="1882"/>
      <c r="ONH33" s="1882"/>
      <c r="ONJ33" s="1887"/>
      <c r="ONK33" s="1888"/>
      <c r="ONL33" s="1882"/>
      <c r="ONM33" s="1882"/>
      <c r="ONN33" s="1882"/>
      <c r="ONP33" s="1887"/>
      <c r="ONQ33" s="1888"/>
      <c r="ONR33" s="1882"/>
      <c r="ONS33" s="1882"/>
      <c r="ONT33" s="1882"/>
      <c r="ONV33" s="1887"/>
      <c r="ONW33" s="1888"/>
      <c r="ONX33" s="1882"/>
      <c r="ONY33" s="1882"/>
      <c r="ONZ33" s="1882"/>
      <c r="OOB33" s="1887"/>
      <c r="OOC33" s="1888"/>
      <c r="OOD33" s="1882"/>
      <c r="OOE33" s="1882"/>
      <c r="OOF33" s="1882"/>
      <c r="OOH33" s="1887"/>
      <c r="OOI33" s="1888"/>
      <c r="OOJ33" s="1882"/>
      <c r="OOK33" s="1882"/>
      <c r="OOL33" s="1882"/>
      <c r="OON33" s="1887"/>
      <c r="OOO33" s="1888"/>
      <c r="OOP33" s="1882"/>
      <c r="OOQ33" s="1882"/>
      <c r="OOR33" s="1882"/>
      <c r="OOT33" s="1887"/>
      <c r="OOU33" s="1888"/>
      <c r="OOV33" s="1882"/>
      <c r="OOW33" s="1882"/>
      <c r="OOX33" s="1882"/>
      <c r="OOZ33" s="1887"/>
      <c r="OPA33" s="1888"/>
      <c r="OPB33" s="1882"/>
      <c r="OPC33" s="1882"/>
      <c r="OPD33" s="1882"/>
      <c r="OPF33" s="1887"/>
      <c r="OPG33" s="1888"/>
      <c r="OPH33" s="1882"/>
      <c r="OPI33" s="1882"/>
      <c r="OPJ33" s="1882"/>
      <c r="OPL33" s="1887"/>
      <c r="OPM33" s="1888"/>
      <c r="OPN33" s="1882"/>
      <c r="OPO33" s="1882"/>
      <c r="OPP33" s="1882"/>
      <c r="OPR33" s="1887"/>
      <c r="OPS33" s="1888"/>
      <c r="OPT33" s="1882"/>
      <c r="OPU33" s="1882"/>
      <c r="OPV33" s="1882"/>
      <c r="OPX33" s="1887"/>
      <c r="OPY33" s="1888"/>
      <c r="OPZ33" s="1882"/>
      <c r="OQA33" s="1882"/>
      <c r="OQB33" s="1882"/>
      <c r="OQD33" s="1887"/>
      <c r="OQE33" s="1888"/>
      <c r="OQF33" s="1882"/>
      <c r="OQG33" s="1882"/>
      <c r="OQH33" s="1882"/>
      <c r="OQJ33" s="1887"/>
      <c r="OQK33" s="1888"/>
      <c r="OQL33" s="1882"/>
      <c r="OQM33" s="1882"/>
      <c r="OQN33" s="1882"/>
      <c r="OQP33" s="1887"/>
      <c r="OQQ33" s="1888"/>
      <c r="OQR33" s="1882"/>
      <c r="OQS33" s="1882"/>
      <c r="OQT33" s="1882"/>
      <c r="OQV33" s="1887"/>
      <c r="OQW33" s="1888"/>
      <c r="OQX33" s="1882"/>
      <c r="OQY33" s="1882"/>
      <c r="OQZ33" s="1882"/>
      <c r="ORB33" s="1887"/>
      <c r="ORC33" s="1888"/>
      <c r="ORD33" s="1882"/>
      <c r="ORE33" s="1882"/>
      <c r="ORF33" s="1882"/>
      <c r="ORH33" s="1887"/>
      <c r="ORI33" s="1888"/>
      <c r="ORJ33" s="1882"/>
      <c r="ORK33" s="1882"/>
      <c r="ORL33" s="1882"/>
      <c r="ORN33" s="1887"/>
      <c r="ORO33" s="1888"/>
      <c r="ORP33" s="1882"/>
      <c r="ORQ33" s="1882"/>
      <c r="ORR33" s="1882"/>
      <c r="ORT33" s="1887"/>
      <c r="ORU33" s="1888"/>
      <c r="ORV33" s="1882"/>
      <c r="ORW33" s="1882"/>
      <c r="ORX33" s="1882"/>
      <c r="ORZ33" s="1887"/>
      <c r="OSA33" s="1888"/>
      <c r="OSB33" s="1882"/>
      <c r="OSC33" s="1882"/>
      <c r="OSD33" s="1882"/>
      <c r="OSF33" s="1887"/>
      <c r="OSG33" s="1888"/>
      <c r="OSH33" s="1882"/>
      <c r="OSI33" s="1882"/>
      <c r="OSJ33" s="1882"/>
      <c r="OSL33" s="1887"/>
      <c r="OSM33" s="1888"/>
      <c r="OSN33" s="1882"/>
      <c r="OSO33" s="1882"/>
      <c r="OSP33" s="1882"/>
      <c r="OSR33" s="1887"/>
      <c r="OSS33" s="1888"/>
      <c r="OST33" s="1882"/>
      <c r="OSU33" s="1882"/>
      <c r="OSV33" s="1882"/>
      <c r="OSX33" s="1887"/>
      <c r="OSY33" s="1888"/>
      <c r="OSZ33" s="1882"/>
      <c r="OTA33" s="1882"/>
      <c r="OTB33" s="1882"/>
      <c r="OTD33" s="1887"/>
      <c r="OTE33" s="1888"/>
      <c r="OTF33" s="1882"/>
      <c r="OTG33" s="1882"/>
      <c r="OTH33" s="1882"/>
      <c r="OTJ33" s="1887"/>
      <c r="OTK33" s="1888"/>
      <c r="OTL33" s="1882"/>
      <c r="OTM33" s="1882"/>
      <c r="OTN33" s="1882"/>
      <c r="OTP33" s="1887"/>
      <c r="OTQ33" s="1888"/>
      <c r="OTR33" s="1882"/>
      <c r="OTS33" s="1882"/>
      <c r="OTT33" s="1882"/>
      <c r="OTV33" s="1887"/>
      <c r="OTW33" s="1888"/>
      <c r="OTX33" s="1882"/>
      <c r="OTY33" s="1882"/>
      <c r="OTZ33" s="1882"/>
      <c r="OUB33" s="1887"/>
      <c r="OUC33" s="1888"/>
      <c r="OUD33" s="1882"/>
      <c r="OUE33" s="1882"/>
      <c r="OUF33" s="1882"/>
      <c r="OUH33" s="1887"/>
      <c r="OUI33" s="1888"/>
      <c r="OUJ33" s="1882"/>
      <c r="OUK33" s="1882"/>
      <c r="OUL33" s="1882"/>
      <c r="OUN33" s="1887"/>
      <c r="OUO33" s="1888"/>
      <c r="OUP33" s="1882"/>
      <c r="OUQ33" s="1882"/>
      <c r="OUR33" s="1882"/>
      <c r="OUT33" s="1887"/>
      <c r="OUU33" s="1888"/>
      <c r="OUV33" s="1882"/>
      <c r="OUW33" s="1882"/>
      <c r="OUX33" s="1882"/>
      <c r="OUZ33" s="1887"/>
      <c r="OVA33" s="1888"/>
      <c r="OVB33" s="1882"/>
      <c r="OVC33" s="1882"/>
      <c r="OVD33" s="1882"/>
      <c r="OVF33" s="1887"/>
      <c r="OVG33" s="1888"/>
      <c r="OVH33" s="1882"/>
      <c r="OVI33" s="1882"/>
      <c r="OVJ33" s="1882"/>
      <c r="OVL33" s="1887"/>
      <c r="OVM33" s="1888"/>
      <c r="OVN33" s="1882"/>
      <c r="OVO33" s="1882"/>
      <c r="OVP33" s="1882"/>
      <c r="OVR33" s="1887"/>
      <c r="OVS33" s="1888"/>
      <c r="OVT33" s="1882"/>
      <c r="OVU33" s="1882"/>
      <c r="OVV33" s="1882"/>
      <c r="OVX33" s="1887"/>
      <c r="OVY33" s="1888"/>
      <c r="OVZ33" s="1882"/>
      <c r="OWA33" s="1882"/>
      <c r="OWB33" s="1882"/>
      <c r="OWD33" s="1887"/>
      <c r="OWE33" s="1888"/>
      <c r="OWF33" s="1882"/>
      <c r="OWG33" s="1882"/>
      <c r="OWH33" s="1882"/>
      <c r="OWJ33" s="1887"/>
      <c r="OWK33" s="1888"/>
      <c r="OWL33" s="1882"/>
      <c r="OWM33" s="1882"/>
      <c r="OWN33" s="1882"/>
      <c r="OWP33" s="1887"/>
      <c r="OWQ33" s="1888"/>
      <c r="OWR33" s="1882"/>
      <c r="OWS33" s="1882"/>
      <c r="OWT33" s="1882"/>
      <c r="OWV33" s="1887"/>
      <c r="OWW33" s="1888"/>
      <c r="OWX33" s="1882"/>
      <c r="OWY33" s="1882"/>
      <c r="OWZ33" s="1882"/>
      <c r="OXB33" s="1887"/>
      <c r="OXC33" s="1888"/>
      <c r="OXD33" s="1882"/>
      <c r="OXE33" s="1882"/>
      <c r="OXF33" s="1882"/>
      <c r="OXH33" s="1887"/>
      <c r="OXI33" s="1888"/>
      <c r="OXJ33" s="1882"/>
      <c r="OXK33" s="1882"/>
      <c r="OXL33" s="1882"/>
      <c r="OXN33" s="1887"/>
      <c r="OXO33" s="1888"/>
      <c r="OXP33" s="1882"/>
      <c r="OXQ33" s="1882"/>
      <c r="OXR33" s="1882"/>
      <c r="OXT33" s="1887"/>
      <c r="OXU33" s="1888"/>
      <c r="OXV33" s="1882"/>
      <c r="OXW33" s="1882"/>
      <c r="OXX33" s="1882"/>
      <c r="OXZ33" s="1887"/>
      <c r="OYA33" s="1888"/>
      <c r="OYB33" s="1882"/>
      <c r="OYC33" s="1882"/>
      <c r="OYD33" s="1882"/>
      <c r="OYF33" s="1887"/>
      <c r="OYG33" s="1888"/>
      <c r="OYH33" s="1882"/>
      <c r="OYI33" s="1882"/>
      <c r="OYJ33" s="1882"/>
      <c r="OYL33" s="1887"/>
      <c r="OYM33" s="1888"/>
      <c r="OYN33" s="1882"/>
      <c r="OYO33" s="1882"/>
      <c r="OYP33" s="1882"/>
      <c r="OYR33" s="1887"/>
      <c r="OYS33" s="1888"/>
      <c r="OYT33" s="1882"/>
      <c r="OYU33" s="1882"/>
      <c r="OYV33" s="1882"/>
      <c r="OYX33" s="1887"/>
      <c r="OYY33" s="1888"/>
      <c r="OYZ33" s="1882"/>
      <c r="OZA33" s="1882"/>
      <c r="OZB33" s="1882"/>
      <c r="OZD33" s="1887"/>
      <c r="OZE33" s="1888"/>
      <c r="OZF33" s="1882"/>
      <c r="OZG33" s="1882"/>
      <c r="OZH33" s="1882"/>
      <c r="OZJ33" s="1887"/>
      <c r="OZK33" s="1888"/>
      <c r="OZL33" s="1882"/>
      <c r="OZM33" s="1882"/>
      <c r="OZN33" s="1882"/>
      <c r="OZP33" s="1887"/>
      <c r="OZQ33" s="1888"/>
      <c r="OZR33" s="1882"/>
      <c r="OZS33" s="1882"/>
      <c r="OZT33" s="1882"/>
      <c r="OZV33" s="1887"/>
      <c r="OZW33" s="1888"/>
      <c r="OZX33" s="1882"/>
      <c r="OZY33" s="1882"/>
      <c r="OZZ33" s="1882"/>
      <c r="PAB33" s="1887"/>
      <c r="PAC33" s="1888"/>
      <c r="PAD33" s="1882"/>
      <c r="PAE33" s="1882"/>
      <c r="PAF33" s="1882"/>
      <c r="PAH33" s="1887"/>
      <c r="PAI33" s="1888"/>
      <c r="PAJ33" s="1882"/>
      <c r="PAK33" s="1882"/>
      <c r="PAL33" s="1882"/>
      <c r="PAN33" s="1887"/>
      <c r="PAO33" s="1888"/>
      <c r="PAP33" s="1882"/>
      <c r="PAQ33" s="1882"/>
      <c r="PAR33" s="1882"/>
      <c r="PAT33" s="1887"/>
      <c r="PAU33" s="1888"/>
      <c r="PAV33" s="1882"/>
      <c r="PAW33" s="1882"/>
      <c r="PAX33" s="1882"/>
      <c r="PAZ33" s="1887"/>
      <c r="PBA33" s="1888"/>
      <c r="PBB33" s="1882"/>
      <c r="PBC33" s="1882"/>
      <c r="PBD33" s="1882"/>
      <c r="PBF33" s="1887"/>
      <c r="PBG33" s="1888"/>
      <c r="PBH33" s="1882"/>
      <c r="PBI33" s="1882"/>
      <c r="PBJ33" s="1882"/>
      <c r="PBL33" s="1887"/>
      <c r="PBM33" s="1888"/>
      <c r="PBN33" s="1882"/>
      <c r="PBO33" s="1882"/>
      <c r="PBP33" s="1882"/>
      <c r="PBR33" s="1887"/>
      <c r="PBS33" s="1888"/>
      <c r="PBT33" s="1882"/>
      <c r="PBU33" s="1882"/>
      <c r="PBV33" s="1882"/>
      <c r="PBX33" s="1887"/>
      <c r="PBY33" s="1888"/>
      <c r="PBZ33" s="1882"/>
      <c r="PCA33" s="1882"/>
      <c r="PCB33" s="1882"/>
      <c r="PCD33" s="1887"/>
      <c r="PCE33" s="1888"/>
      <c r="PCF33" s="1882"/>
      <c r="PCG33" s="1882"/>
      <c r="PCH33" s="1882"/>
      <c r="PCJ33" s="1887"/>
      <c r="PCK33" s="1888"/>
      <c r="PCL33" s="1882"/>
      <c r="PCM33" s="1882"/>
      <c r="PCN33" s="1882"/>
      <c r="PCP33" s="1887"/>
      <c r="PCQ33" s="1888"/>
      <c r="PCR33" s="1882"/>
      <c r="PCS33" s="1882"/>
      <c r="PCT33" s="1882"/>
      <c r="PCV33" s="1887"/>
      <c r="PCW33" s="1888"/>
      <c r="PCX33" s="1882"/>
      <c r="PCY33" s="1882"/>
      <c r="PCZ33" s="1882"/>
      <c r="PDB33" s="1887"/>
      <c r="PDC33" s="1888"/>
      <c r="PDD33" s="1882"/>
      <c r="PDE33" s="1882"/>
      <c r="PDF33" s="1882"/>
      <c r="PDH33" s="1887"/>
      <c r="PDI33" s="1888"/>
      <c r="PDJ33" s="1882"/>
      <c r="PDK33" s="1882"/>
      <c r="PDL33" s="1882"/>
      <c r="PDN33" s="1887"/>
      <c r="PDO33" s="1888"/>
      <c r="PDP33" s="1882"/>
      <c r="PDQ33" s="1882"/>
      <c r="PDR33" s="1882"/>
      <c r="PDT33" s="1887"/>
      <c r="PDU33" s="1888"/>
      <c r="PDV33" s="1882"/>
      <c r="PDW33" s="1882"/>
      <c r="PDX33" s="1882"/>
      <c r="PDZ33" s="1887"/>
      <c r="PEA33" s="1888"/>
      <c r="PEB33" s="1882"/>
      <c r="PEC33" s="1882"/>
      <c r="PED33" s="1882"/>
      <c r="PEF33" s="1887"/>
      <c r="PEG33" s="1888"/>
      <c r="PEH33" s="1882"/>
      <c r="PEI33" s="1882"/>
      <c r="PEJ33" s="1882"/>
      <c r="PEL33" s="1887"/>
      <c r="PEM33" s="1888"/>
      <c r="PEN33" s="1882"/>
      <c r="PEO33" s="1882"/>
      <c r="PEP33" s="1882"/>
      <c r="PER33" s="1887"/>
      <c r="PES33" s="1888"/>
      <c r="PET33" s="1882"/>
      <c r="PEU33" s="1882"/>
      <c r="PEV33" s="1882"/>
      <c r="PEX33" s="1887"/>
      <c r="PEY33" s="1888"/>
      <c r="PEZ33" s="1882"/>
      <c r="PFA33" s="1882"/>
      <c r="PFB33" s="1882"/>
      <c r="PFD33" s="1887"/>
      <c r="PFE33" s="1888"/>
      <c r="PFF33" s="1882"/>
      <c r="PFG33" s="1882"/>
      <c r="PFH33" s="1882"/>
      <c r="PFJ33" s="1887"/>
      <c r="PFK33" s="1888"/>
      <c r="PFL33" s="1882"/>
      <c r="PFM33" s="1882"/>
      <c r="PFN33" s="1882"/>
      <c r="PFP33" s="1887"/>
      <c r="PFQ33" s="1888"/>
      <c r="PFR33" s="1882"/>
      <c r="PFS33" s="1882"/>
      <c r="PFT33" s="1882"/>
      <c r="PFV33" s="1887"/>
      <c r="PFW33" s="1888"/>
      <c r="PFX33" s="1882"/>
      <c r="PFY33" s="1882"/>
      <c r="PFZ33" s="1882"/>
      <c r="PGB33" s="1887"/>
      <c r="PGC33" s="1888"/>
      <c r="PGD33" s="1882"/>
      <c r="PGE33" s="1882"/>
      <c r="PGF33" s="1882"/>
      <c r="PGH33" s="1887"/>
      <c r="PGI33" s="1888"/>
      <c r="PGJ33" s="1882"/>
      <c r="PGK33" s="1882"/>
      <c r="PGL33" s="1882"/>
      <c r="PGN33" s="1887"/>
      <c r="PGO33" s="1888"/>
      <c r="PGP33" s="1882"/>
      <c r="PGQ33" s="1882"/>
      <c r="PGR33" s="1882"/>
      <c r="PGT33" s="1887"/>
      <c r="PGU33" s="1888"/>
      <c r="PGV33" s="1882"/>
      <c r="PGW33" s="1882"/>
      <c r="PGX33" s="1882"/>
      <c r="PGZ33" s="1887"/>
      <c r="PHA33" s="1888"/>
      <c r="PHB33" s="1882"/>
      <c r="PHC33" s="1882"/>
      <c r="PHD33" s="1882"/>
      <c r="PHF33" s="1887"/>
      <c r="PHG33" s="1888"/>
      <c r="PHH33" s="1882"/>
      <c r="PHI33" s="1882"/>
      <c r="PHJ33" s="1882"/>
      <c r="PHL33" s="1887"/>
      <c r="PHM33" s="1888"/>
      <c r="PHN33" s="1882"/>
      <c r="PHO33" s="1882"/>
      <c r="PHP33" s="1882"/>
      <c r="PHR33" s="1887"/>
      <c r="PHS33" s="1888"/>
      <c r="PHT33" s="1882"/>
      <c r="PHU33" s="1882"/>
      <c r="PHV33" s="1882"/>
      <c r="PHX33" s="1887"/>
      <c r="PHY33" s="1888"/>
      <c r="PHZ33" s="1882"/>
      <c r="PIA33" s="1882"/>
      <c r="PIB33" s="1882"/>
      <c r="PID33" s="1887"/>
      <c r="PIE33" s="1888"/>
      <c r="PIF33" s="1882"/>
      <c r="PIG33" s="1882"/>
      <c r="PIH33" s="1882"/>
      <c r="PIJ33" s="1887"/>
      <c r="PIK33" s="1888"/>
      <c r="PIL33" s="1882"/>
      <c r="PIM33" s="1882"/>
      <c r="PIN33" s="1882"/>
      <c r="PIP33" s="1887"/>
      <c r="PIQ33" s="1888"/>
      <c r="PIR33" s="1882"/>
      <c r="PIS33" s="1882"/>
      <c r="PIT33" s="1882"/>
      <c r="PIV33" s="1887"/>
      <c r="PIW33" s="1888"/>
      <c r="PIX33" s="1882"/>
      <c r="PIY33" s="1882"/>
      <c r="PIZ33" s="1882"/>
      <c r="PJB33" s="1887"/>
      <c r="PJC33" s="1888"/>
      <c r="PJD33" s="1882"/>
      <c r="PJE33" s="1882"/>
      <c r="PJF33" s="1882"/>
      <c r="PJH33" s="1887"/>
      <c r="PJI33" s="1888"/>
      <c r="PJJ33" s="1882"/>
      <c r="PJK33" s="1882"/>
      <c r="PJL33" s="1882"/>
      <c r="PJN33" s="1887"/>
      <c r="PJO33" s="1888"/>
      <c r="PJP33" s="1882"/>
      <c r="PJQ33" s="1882"/>
      <c r="PJR33" s="1882"/>
      <c r="PJT33" s="1887"/>
      <c r="PJU33" s="1888"/>
      <c r="PJV33" s="1882"/>
      <c r="PJW33" s="1882"/>
      <c r="PJX33" s="1882"/>
      <c r="PJZ33" s="1887"/>
      <c r="PKA33" s="1888"/>
      <c r="PKB33" s="1882"/>
      <c r="PKC33" s="1882"/>
      <c r="PKD33" s="1882"/>
      <c r="PKF33" s="1887"/>
      <c r="PKG33" s="1888"/>
      <c r="PKH33" s="1882"/>
      <c r="PKI33" s="1882"/>
      <c r="PKJ33" s="1882"/>
      <c r="PKL33" s="1887"/>
      <c r="PKM33" s="1888"/>
      <c r="PKN33" s="1882"/>
      <c r="PKO33" s="1882"/>
      <c r="PKP33" s="1882"/>
      <c r="PKR33" s="1887"/>
      <c r="PKS33" s="1888"/>
      <c r="PKT33" s="1882"/>
      <c r="PKU33" s="1882"/>
      <c r="PKV33" s="1882"/>
      <c r="PKX33" s="1887"/>
      <c r="PKY33" s="1888"/>
      <c r="PKZ33" s="1882"/>
      <c r="PLA33" s="1882"/>
      <c r="PLB33" s="1882"/>
      <c r="PLD33" s="1887"/>
      <c r="PLE33" s="1888"/>
      <c r="PLF33" s="1882"/>
      <c r="PLG33" s="1882"/>
      <c r="PLH33" s="1882"/>
      <c r="PLJ33" s="1887"/>
      <c r="PLK33" s="1888"/>
      <c r="PLL33" s="1882"/>
      <c r="PLM33" s="1882"/>
      <c r="PLN33" s="1882"/>
      <c r="PLP33" s="1887"/>
      <c r="PLQ33" s="1888"/>
      <c r="PLR33" s="1882"/>
      <c r="PLS33" s="1882"/>
      <c r="PLT33" s="1882"/>
      <c r="PLV33" s="1887"/>
      <c r="PLW33" s="1888"/>
      <c r="PLX33" s="1882"/>
      <c r="PLY33" s="1882"/>
      <c r="PLZ33" s="1882"/>
      <c r="PMB33" s="1887"/>
      <c r="PMC33" s="1888"/>
      <c r="PMD33" s="1882"/>
      <c r="PME33" s="1882"/>
      <c r="PMF33" s="1882"/>
      <c r="PMH33" s="1887"/>
      <c r="PMI33" s="1888"/>
      <c r="PMJ33" s="1882"/>
      <c r="PMK33" s="1882"/>
      <c r="PML33" s="1882"/>
      <c r="PMN33" s="1887"/>
      <c r="PMO33" s="1888"/>
      <c r="PMP33" s="1882"/>
      <c r="PMQ33" s="1882"/>
      <c r="PMR33" s="1882"/>
      <c r="PMT33" s="1887"/>
      <c r="PMU33" s="1888"/>
      <c r="PMV33" s="1882"/>
      <c r="PMW33" s="1882"/>
      <c r="PMX33" s="1882"/>
      <c r="PMZ33" s="1887"/>
      <c r="PNA33" s="1888"/>
      <c r="PNB33" s="1882"/>
      <c r="PNC33" s="1882"/>
      <c r="PND33" s="1882"/>
      <c r="PNF33" s="1887"/>
      <c r="PNG33" s="1888"/>
      <c r="PNH33" s="1882"/>
      <c r="PNI33" s="1882"/>
      <c r="PNJ33" s="1882"/>
      <c r="PNL33" s="1887"/>
      <c r="PNM33" s="1888"/>
      <c r="PNN33" s="1882"/>
      <c r="PNO33" s="1882"/>
      <c r="PNP33" s="1882"/>
      <c r="PNR33" s="1887"/>
      <c r="PNS33" s="1888"/>
      <c r="PNT33" s="1882"/>
      <c r="PNU33" s="1882"/>
      <c r="PNV33" s="1882"/>
      <c r="PNX33" s="1887"/>
      <c r="PNY33" s="1888"/>
      <c r="PNZ33" s="1882"/>
      <c r="POA33" s="1882"/>
      <c r="POB33" s="1882"/>
      <c r="POD33" s="1887"/>
      <c r="POE33" s="1888"/>
      <c r="POF33" s="1882"/>
      <c r="POG33" s="1882"/>
      <c r="POH33" s="1882"/>
      <c r="POJ33" s="1887"/>
      <c r="POK33" s="1888"/>
      <c r="POL33" s="1882"/>
      <c r="POM33" s="1882"/>
      <c r="PON33" s="1882"/>
      <c r="POP33" s="1887"/>
      <c r="POQ33" s="1888"/>
      <c r="POR33" s="1882"/>
      <c r="POS33" s="1882"/>
      <c r="POT33" s="1882"/>
      <c r="POV33" s="1887"/>
      <c r="POW33" s="1888"/>
      <c r="POX33" s="1882"/>
      <c r="POY33" s="1882"/>
      <c r="POZ33" s="1882"/>
      <c r="PPB33" s="1887"/>
      <c r="PPC33" s="1888"/>
      <c r="PPD33" s="1882"/>
      <c r="PPE33" s="1882"/>
      <c r="PPF33" s="1882"/>
      <c r="PPH33" s="1887"/>
      <c r="PPI33" s="1888"/>
      <c r="PPJ33" s="1882"/>
      <c r="PPK33" s="1882"/>
      <c r="PPL33" s="1882"/>
      <c r="PPN33" s="1887"/>
      <c r="PPO33" s="1888"/>
      <c r="PPP33" s="1882"/>
      <c r="PPQ33" s="1882"/>
      <c r="PPR33" s="1882"/>
      <c r="PPT33" s="1887"/>
      <c r="PPU33" s="1888"/>
      <c r="PPV33" s="1882"/>
      <c r="PPW33" s="1882"/>
      <c r="PPX33" s="1882"/>
      <c r="PPZ33" s="1887"/>
      <c r="PQA33" s="1888"/>
      <c r="PQB33" s="1882"/>
      <c r="PQC33" s="1882"/>
      <c r="PQD33" s="1882"/>
      <c r="PQF33" s="1887"/>
      <c r="PQG33" s="1888"/>
      <c r="PQH33" s="1882"/>
      <c r="PQI33" s="1882"/>
      <c r="PQJ33" s="1882"/>
      <c r="PQL33" s="1887"/>
      <c r="PQM33" s="1888"/>
      <c r="PQN33" s="1882"/>
      <c r="PQO33" s="1882"/>
      <c r="PQP33" s="1882"/>
      <c r="PQR33" s="1887"/>
      <c r="PQS33" s="1888"/>
      <c r="PQT33" s="1882"/>
      <c r="PQU33" s="1882"/>
      <c r="PQV33" s="1882"/>
      <c r="PQX33" s="1887"/>
      <c r="PQY33" s="1888"/>
      <c r="PQZ33" s="1882"/>
      <c r="PRA33" s="1882"/>
      <c r="PRB33" s="1882"/>
      <c r="PRD33" s="1887"/>
      <c r="PRE33" s="1888"/>
      <c r="PRF33" s="1882"/>
      <c r="PRG33" s="1882"/>
      <c r="PRH33" s="1882"/>
      <c r="PRJ33" s="1887"/>
      <c r="PRK33" s="1888"/>
      <c r="PRL33" s="1882"/>
      <c r="PRM33" s="1882"/>
      <c r="PRN33" s="1882"/>
      <c r="PRP33" s="1887"/>
      <c r="PRQ33" s="1888"/>
      <c r="PRR33" s="1882"/>
      <c r="PRS33" s="1882"/>
      <c r="PRT33" s="1882"/>
      <c r="PRV33" s="1887"/>
      <c r="PRW33" s="1888"/>
      <c r="PRX33" s="1882"/>
      <c r="PRY33" s="1882"/>
      <c r="PRZ33" s="1882"/>
      <c r="PSB33" s="1887"/>
      <c r="PSC33" s="1888"/>
      <c r="PSD33" s="1882"/>
      <c r="PSE33" s="1882"/>
      <c r="PSF33" s="1882"/>
      <c r="PSH33" s="1887"/>
      <c r="PSI33" s="1888"/>
      <c r="PSJ33" s="1882"/>
      <c r="PSK33" s="1882"/>
      <c r="PSL33" s="1882"/>
      <c r="PSN33" s="1887"/>
      <c r="PSO33" s="1888"/>
      <c r="PSP33" s="1882"/>
      <c r="PSQ33" s="1882"/>
      <c r="PSR33" s="1882"/>
      <c r="PST33" s="1887"/>
      <c r="PSU33" s="1888"/>
      <c r="PSV33" s="1882"/>
      <c r="PSW33" s="1882"/>
      <c r="PSX33" s="1882"/>
      <c r="PSZ33" s="1887"/>
      <c r="PTA33" s="1888"/>
      <c r="PTB33" s="1882"/>
      <c r="PTC33" s="1882"/>
      <c r="PTD33" s="1882"/>
      <c r="PTF33" s="1887"/>
      <c r="PTG33" s="1888"/>
      <c r="PTH33" s="1882"/>
      <c r="PTI33" s="1882"/>
      <c r="PTJ33" s="1882"/>
      <c r="PTL33" s="1887"/>
      <c r="PTM33" s="1888"/>
      <c r="PTN33" s="1882"/>
      <c r="PTO33" s="1882"/>
      <c r="PTP33" s="1882"/>
      <c r="PTR33" s="1887"/>
      <c r="PTS33" s="1888"/>
      <c r="PTT33" s="1882"/>
      <c r="PTU33" s="1882"/>
      <c r="PTV33" s="1882"/>
      <c r="PTX33" s="1887"/>
      <c r="PTY33" s="1888"/>
      <c r="PTZ33" s="1882"/>
      <c r="PUA33" s="1882"/>
      <c r="PUB33" s="1882"/>
      <c r="PUD33" s="1887"/>
      <c r="PUE33" s="1888"/>
      <c r="PUF33" s="1882"/>
      <c r="PUG33" s="1882"/>
      <c r="PUH33" s="1882"/>
      <c r="PUJ33" s="1887"/>
      <c r="PUK33" s="1888"/>
      <c r="PUL33" s="1882"/>
      <c r="PUM33" s="1882"/>
      <c r="PUN33" s="1882"/>
      <c r="PUP33" s="1887"/>
      <c r="PUQ33" s="1888"/>
      <c r="PUR33" s="1882"/>
      <c r="PUS33" s="1882"/>
      <c r="PUT33" s="1882"/>
      <c r="PUV33" s="1887"/>
      <c r="PUW33" s="1888"/>
      <c r="PUX33" s="1882"/>
      <c r="PUY33" s="1882"/>
      <c r="PUZ33" s="1882"/>
      <c r="PVB33" s="1887"/>
      <c r="PVC33" s="1888"/>
      <c r="PVD33" s="1882"/>
      <c r="PVE33" s="1882"/>
      <c r="PVF33" s="1882"/>
      <c r="PVH33" s="1887"/>
      <c r="PVI33" s="1888"/>
      <c r="PVJ33" s="1882"/>
      <c r="PVK33" s="1882"/>
      <c r="PVL33" s="1882"/>
      <c r="PVN33" s="1887"/>
      <c r="PVO33" s="1888"/>
      <c r="PVP33" s="1882"/>
      <c r="PVQ33" s="1882"/>
      <c r="PVR33" s="1882"/>
      <c r="PVT33" s="1887"/>
      <c r="PVU33" s="1888"/>
      <c r="PVV33" s="1882"/>
      <c r="PVW33" s="1882"/>
      <c r="PVX33" s="1882"/>
      <c r="PVZ33" s="1887"/>
      <c r="PWA33" s="1888"/>
      <c r="PWB33" s="1882"/>
      <c r="PWC33" s="1882"/>
      <c r="PWD33" s="1882"/>
      <c r="PWF33" s="1887"/>
      <c r="PWG33" s="1888"/>
      <c r="PWH33" s="1882"/>
      <c r="PWI33" s="1882"/>
      <c r="PWJ33" s="1882"/>
      <c r="PWL33" s="1887"/>
      <c r="PWM33" s="1888"/>
      <c r="PWN33" s="1882"/>
      <c r="PWO33" s="1882"/>
      <c r="PWP33" s="1882"/>
      <c r="PWR33" s="1887"/>
      <c r="PWS33" s="1888"/>
      <c r="PWT33" s="1882"/>
      <c r="PWU33" s="1882"/>
      <c r="PWV33" s="1882"/>
      <c r="PWX33" s="1887"/>
      <c r="PWY33" s="1888"/>
      <c r="PWZ33" s="1882"/>
      <c r="PXA33" s="1882"/>
      <c r="PXB33" s="1882"/>
      <c r="PXD33" s="1887"/>
      <c r="PXE33" s="1888"/>
      <c r="PXF33" s="1882"/>
      <c r="PXG33" s="1882"/>
      <c r="PXH33" s="1882"/>
      <c r="PXJ33" s="1887"/>
      <c r="PXK33" s="1888"/>
      <c r="PXL33" s="1882"/>
      <c r="PXM33" s="1882"/>
      <c r="PXN33" s="1882"/>
      <c r="PXP33" s="1887"/>
      <c r="PXQ33" s="1888"/>
      <c r="PXR33" s="1882"/>
      <c r="PXS33" s="1882"/>
      <c r="PXT33" s="1882"/>
      <c r="PXV33" s="1887"/>
      <c r="PXW33" s="1888"/>
      <c r="PXX33" s="1882"/>
      <c r="PXY33" s="1882"/>
      <c r="PXZ33" s="1882"/>
      <c r="PYB33" s="1887"/>
      <c r="PYC33" s="1888"/>
      <c r="PYD33" s="1882"/>
      <c r="PYE33" s="1882"/>
      <c r="PYF33" s="1882"/>
      <c r="PYH33" s="1887"/>
      <c r="PYI33" s="1888"/>
      <c r="PYJ33" s="1882"/>
      <c r="PYK33" s="1882"/>
      <c r="PYL33" s="1882"/>
      <c r="PYN33" s="1887"/>
      <c r="PYO33" s="1888"/>
      <c r="PYP33" s="1882"/>
      <c r="PYQ33" s="1882"/>
      <c r="PYR33" s="1882"/>
      <c r="PYT33" s="1887"/>
      <c r="PYU33" s="1888"/>
      <c r="PYV33" s="1882"/>
      <c r="PYW33" s="1882"/>
      <c r="PYX33" s="1882"/>
      <c r="PYZ33" s="1887"/>
      <c r="PZA33" s="1888"/>
      <c r="PZB33" s="1882"/>
      <c r="PZC33" s="1882"/>
      <c r="PZD33" s="1882"/>
      <c r="PZF33" s="1887"/>
      <c r="PZG33" s="1888"/>
      <c r="PZH33" s="1882"/>
      <c r="PZI33" s="1882"/>
      <c r="PZJ33" s="1882"/>
      <c r="PZL33" s="1887"/>
      <c r="PZM33" s="1888"/>
      <c r="PZN33" s="1882"/>
      <c r="PZO33" s="1882"/>
      <c r="PZP33" s="1882"/>
      <c r="PZR33" s="1887"/>
      <c r="PZS33" s="1888"/>
      <c r="PZT33" s="1882"/>
      <c r="PZU33" s="1882"/>
      <c r="PZV33" s="1882"/>
      <c r="PZX33" s="1887"/>
      <c r="PZY33" s="1888"/>
      <c r="PZZ33" s="1882"/>
      <c r="QAA33" s="1882"/>
      <c r="QAB33" s="1882"/>
      <c r="QAD33" s="1887"/>
      <c r="QAE33" s="1888"/>
      <c r="QAF33" s="1882"/>
      <c r="QAG33" s="1882"/>
      <c r="QAH33" s="1882"/>
      <c r="QAJ33" s="1887"/>
      <c r="QAK33" s="1888"/>
      <c r="QAL33" s="1882"/>
      <c r="QAM33" s="1882"/>
      <c r="QAN33" s="1882"/>
      <c r="QAP33" s="1887"/>
      <c r="QAQ33" s="1888"/>
      <c r="QAR33" s="1882"/>
      <c r="QAS33" s="1882"/>
      <c r="QAT33" s="1882"/>
      <c r="QAV33" s="1887"/>
      <c r="QAW33" s="1888"/>
      <c r="QAX33" s="1882"/>
      <c r="QAY33" s="1882"/>
      <c r="QAZ33" s="1882"/>
      <c r="QBB33" s="1887"/>
      <c r="QBC33" s="1888"/>
      <c r="QBD33" s="1882"/>
      <c r="QBE33" s="1882"/>
      <c r="QBF33" s="1882"/>
      <c r="QBH33" s="1887"/>
      <c r="QBI33" s="1888"/>
      <c r="QBJ33" s="1882"/>
      <c r="QBK33" s="1882"/>
      <c r="QBL33" s="1882"/>
      <c r="QBN33" s="1887"/>
      <c r="QBO33" s="1888"/>
      <c r="QBP33" s="1882"/>
      <c r="QBQ33" s="1882"/>
      <c r="QBR33" s="1882"/>
      <c r="QBT33" s="1887"/>
      <c r="QBU33" s="1888"/>
      <c r="QBV33" s="1882"/>
      <c r="QBW33" s="1882"/>
      <c r="QBX33" s="1882"/>
      <c r="QBZ33" s="1887"/>
      <c r="QCA33" s="1888"/>
      <c r="QCB33" s="1882"/>
      <c r="QCC33" s="1882"/>
      <c r="QCD33" s="1882"/>
      <c r="QCF33" s="1887"/>
      <c r="QCG33" s="1888"/>
      <c r="QCH33" s="1882"/>
      <c r="QCI33" s="1882"/>
      <c r="QCJ33" s="1882"/>
      <c r="QCL33" s="1887"/>
      <c r="QCM33" s="1888"/>
      <c r="QCN33" s="1882"/>
      <c r="QCO33" s="1882"/>
      <c r="QCP33" s="1882"/>
      <c r="QCR33" s="1887"/>
      <c r="QCS33" s="1888"/>
      <c r="QCT33" s="1882"/>
      <c r="QCU33" s="1882"/>
      <c r="QCV33" s="1882"/>
      <c r="QCX33" s="1887"/>
      <c r="QCY33" s="1888"/>
      <c r="QCZ33" s="1882"/>
      <c r="QDA33" s="1882"/>
      <c r="QDB33" s="1882"/>
      <c r="QDD33" s="1887"/>
      <c r="QDE33" s="1888"/>
      <c r="QDF33" s="1882"/>
      <c r="QDG33" s="1882"/>
      <c r="QDH33" s="1882"/>
      <c r="QDJ33" s="1887"/>
      <c r="QDK33" s="1888"/>
      <c r="QDL33" s="1882"/>
      <c r="QDM33" s="1882"/>
      <c r="QDN33" s="1882"/>
      <c r="QDP33" s="1887"/>
      <c r="QDQ33" s="1888"/>
      <c r="QDR33" s="1882"/>
      <c r="QDS33" s="1882"/>
      <c r="QDT33" s="1882"/>
      <c r="QDV33" s="1887"/>
      <c r="QDW33" s="1888"/>
      <c r="QDX33" s="1882"/>
      <c r="QDY33" s="1882"/>
      <c r="QDZ33" s="1882"/>
      <c r="QEB33" s="1887"/>
      <c r="QEC33" s="1888"/>
      <c r="QED33" s="1882"/>
      <c r="QEE33" s="1882"/>
      <c r="QEF33" s="1882"/>
      <c r="QEH33" s="1887"/>
      <c r="QEI33" s="1888"/>
      <c r="QEJ33" s="1882"/>
      <c r="QEK33" s="1882"/>
      <c r="QEL33" s="1882"/>
      <c r="QEN33" s="1887"/>
      <c r="QEO33" s="1888"/>
      <c r="QEP33" s="1882"/>
      <c r="QEQ33" s="1882"/>
      <c r="QER33" s="1882"/>
      <c r="QET33" s="1887"/>
      <c r="QEU33" s="1888"/>
      <c r="QEV33" s="1882"/>
      <c r="QEW33" s="1882"/>
      <c r="QEX33" s="1882"/>
      <c r="QEZ33" s="1887"/>
      <c r="QFA33" s="1888"/>
      <c r="QFB33" s="1882"/>
      <c r="QFC33" s="1882"/>
      <c r="QFD33" s="1882"/>
      <c r="QFF33" s="1887"/>
      <c r="QFG33" s="1888"/>
      <c r="QFH33" s="1882"/>
      <c r="QFI33" s="1882"/>
      <c r="QFJ33" s="1882"/>
      <c r="QFL33" s="1887"/>
      <c r="QFM33" s="1888"/>
      <c r="QFN33" s="1882"/>
      <c r="QFO33" s="1882"/>
      <c r="QFP33" s="1882"/>
      <c r="QFR33" s="1887"/>
      <c r="QFS33" s="1888"/>
      <c r="QFT33" s="1882"/>
      <c r="QFU33" s="1882"/>
      <c r="QFV33" s="1882"/>
      <c r="QFX33" s="1887"/>
      <c r="QFY33" s="1888"/>
      <c r="QFZ33" s="1882"/>
      <c r="QGA33" s="1882"/>
      <c r="QGB33" s="1882"/>
      <c r="QGD33" s="1887"/>
      <c r="QGE33" s="1888"/>
      <c r="QGF33" s="1882"/>
      <c r="QGG33" s="1882"/>
      <c r="QGH33" s="1882"/>
      <c r="QGJ33" s="1887"/>
      <c r="QGK33" s="1888"/>
      <c r="QGL33" s="1882"/>
      <c r="QGM33" s="1882"/>
      <c r="QGN33" s="1882"/>
      <c r="QGP33" s="1887"/>
      <c r="QGQ33" s="1888"/>
      <c r="QGR33" s="1882"/>
      <c r="QGS33" s="1882"/>
      <c r="QGT33" s="1882"/>
      <c r="QGV33" s="1887"/>
      <c r="QGW33" s="1888"/>
      <c r="QGX33" s="1882"/>
      <c r="QGY33" s="1882"/>
      <c r="QGZ33" s="1882"/>
      <c r="QHB33" s="1887"/>
      <c r="QHC33" s="1888"/>
      <c r="QHD33" s="1882"/>
      <c r="QHE33" s="1882"/>
      <c r="QHF33" s="1882"/>
      <c r="QHH33" s="1887"/>
      <c r="QHI33" s="1888"/>
      <c r="QHJ33" s="1882"/>
      <c r="QHK33" s="1882"/>
      <c r="QHL33" s="1882"/>
      <c r="QHN33" s="1887"/>
      <c r="QHO33" s="1888"/>
      <c r="QHP33" s="1882"/>
      <c r="QHQ33" s="1882"/>
      <c r="QHR33" s="1882"/>
      <c r="QHT33" s="1887"/>
      <c r="QHU33" s="1888"/>
      <c r="QHV33" s="1882"/>
      <c r="QHW33" s="1882"/>
      <c r="QHX33" s="1882"/>
      <c r="QHZ33" s="1887"/>
      <c r="QIA33" s="1888"/>
      <c r="QIB33" s="1882"/>
      <c r="QIC33" s="1882"/>
      <c r="QID33" s="1882"/>
      <c r="QIF33" s="1887"/>
      <c r="QIG33" s="1888"/>
      <c r="QIH33" s="1882"/>
      <c r="QII33" s="1882"/>
      <c r="QIJ33" s="1882"/>
      <c r="QIL33" s="1887"/>
      <c r="QIM33" s="1888"/>
      <c r="QIN33" s="1882"/>
      <c r="QIO33" s="1882"/>
      <c r="QIP33" s="1882"/>
      <c r="QIR33" s="1887"/>
      <c r="QIS33" s="1888"/>
      <c r="QIT33" s="1882"/>
      <c r="QIU33" s="1882"/>
      <c r="QIV33" s="1882"/>
      <c r="QIX33" s="1887"/>
      <c r="QIY33" s="1888"/>
      <c r="QIZ33" s="1882"/>
      <c r="QJA33" s="1882"/>
      <c r="QJB33" s="1882"/>
      <c r="QJD33" s="1887"/>
      <c r="QJE33" s="1888"/>
      <c r="QJF33" s="1882"/>
      <c r="QJG33" s="1882"/>
      <c r="QJH33" s="1882"/>
      <c r="QJJ33" s="1887"/>
      <c r="QJK33" s="1888"/>
      <c r="QJL33" s="1882"/>
      <c r="QJM33" s="1882"/>
      <c r="QJN33" s="1882"/>
      <c r="QJP33" s="1887"/>
      <c r="QJQ33" s="1888"/>
      <c r="QJR33" s="1882"/>
      <c r="QJS33" s="1882"/>
      <c r="QJT33" s="1882"/>
      <c r="QJV33" s="1887"/>
      <c r="QJW33" s="1888"/>
      <c r="QJX33" s="1882"/>
      <c r="QJY33" s="1882"/>
      <c r="QJZ33" s="1882"/>
      <c r="QKB33" s="1887"/>
      <c r="QKC33" s="1888"/>
      <c r="QKD33" s="1882"/>
      <c r="QKE33" s="1882"/>
      <c r="QKF33" s="1882"/>
      <c r="QKH33" s="1887"/>
      <c r="QKI33" s="1888"/>
      <c r="QKJ33" s="1882"/>
      <c r="QKK33" s="1882"/>
      <c r="QKL33" s="1882"/>
      <c r="QKN33" s="1887"/>
      <c r="QKO33" s="1888"/>
      <c r="QKP33" s="1882"/>
      <c r="QKQ33" s="1882"/>
      <c r="QKR33" s="1882"/>
      <c r="QKT33" s="1887"/>
      <c r="QKU33" s="1888"/>
      <c r="QKV33" s="1882"/>
      <c r="QKW33" s="1882"/>
      <c r="QKX33" s="1882"/>
      <c r="QKZ33" s="1887"/>
      <c r="QLA33" s="1888"/>
      <c r="QLB33" s="1882"/>
      <c r="QLC33" s="1882"/>
      <c r="QLD33" s="1882"/>
      <c r="QLF33" s="1887"/>
      <c r="QLG33" s="1888"/>
      <c r="QLH33" s="1882"/>
      <c r="QLI33" s="1882"/>
      <c r="QLJ33" s="1882"/>
      <c r="QLL33" s="1887"/>
      <c r="QLM33" s="1888"/>
      <c r="QLN33" s="1882"/>
      <c r="QLO33" s="1882"/>
      <c r="QLP33" s="1882"/>
      <c r="QLR33" s="1887"/>
      <c r="QLS33" s="1888"/>
      <c r="QLT33" s="1882"/>
      <c r="QLU33" s="1882"/>
      <c r="QLV33" s="1882"/>
      <c r="QLX33" s="1887"/>
      <c r="QLY33" s="1888"/>
      <c r="QLZ33" s="1882"/>
      <c r="QMA33" s="1882"/>
      <c r="QMB33" s="1882"/>
      <c r="QMD33" s="1887"/>
      <c r="QME33" s="1888"/>
      <c r="QMF33" s="1882"/>
      <c r="QMG33" s="1882"/>
      <c r="QMH33" s="1882"/>
      <c r="QMJ33" s="1887"/>
      <c r="QMK33" s="1888"/>
      <c r="QML33" s="1882"/>
      <c r="QMM33" s="1882"/>
      <c r="QMN33" s="1882"/>
      <c r="QMP33" s="1887"/>
      <c r="QMQ33" s="1888"/>
      <c r="QMR33" s="1882"/>
      <c r="QMS33" s="1882"/>
      <c r="QMT33" s="1882"/>
      <c r="QMV33" s="1887"/>
      <c r="QMW33" s="1888"/>
      <c r="QMX33" s="1882"/>
      <c r="QMY33" s="1882"/>
      <c r="QMZ33" s="1882"/>
      <c r="QNB33" s="1887"/>
      <c r="QNC33" s="1888"/>
      <c r="QND33" s="1882"/>
      <c r="QNE33" s="1882"/>
      <c r="QNF33" s="1882"/>
      <c r="QNH33" s="1887"/>
      <c r="QNI33" s="1888"/>
      <c r="QNJ33" s="1882"/>
      <c r="QNK33" s="1882"/>
      <c r="QNL33" s="1882"/>
      <c r="QNN33" s="1887"/>
      <c r="QNO33" s="1888"/>
      <c r="QNP33" s="1882"/>
      <c r="QNQ33" s="1882"/>
      <c r="QNR33" s="1882"/>
      <c r="QNT33" s="1887"/>
      <c r="QNU33" s="1888"/>
      <c r="QNV33" s="1882"/>
      <c r="QNW33" s="1882"/>
      <c r="QNX33" s="1882"/>
      <c r="QNZ33" s="1887"/>
      <c r="QOA33" s="1888"/>
      <c r="QOB33" s="1882"/>
      <c r="QOC33" s="1882"/>
      <c r="QOD33" s="1882"/>
      <c r="QOF33" s="1887"/>
      <c r="QOG33" s="1888"/>
      <c r="QOH33" s="1882"/>
      <c r="QOI33" s="1882"/>
      <c r="QOJ33" s="1882"/>
      <c r="QOL33" s="1887"/>
      <c r="QOM33" s="1888"/>
      <c r="QON33" s="1882"/>
      <c r="QOO33" s="1882"/>
      <c r="QOP33" s="1882"/>
      <c r="QOR33" s="1887"/>
      <c r="QOS33" s="1888"/>
      <c r="QOT33" s="1882"/>
      <c r="QOU33" s="1882"/>
      <c r="QOV33" s="1882"/>
      <c r="QOX33" s="1887"/>
      <c r="QOY33" s="1888"/>
      <c r="QOZ33" s="1882"/>
      <c r="QPA33" s="1882"/>
      <c r="QPB33" s="1882"/>
      <c r="QPD33" s="1887"/>
      <c r="QPE33" s="1888"/>
      <c r="QPF33" s="1882"/>
      <c r="QPG33" s="1882"/>
      <c r="QPH33" s="1882"/>
      <c r="QPJ33" s="1887"/>
      <c r="QPK33" s="1888"/>
      <c r="QPL33" s="1882"/>
      <c r="QPM33" s="1882"/>
      <c r="QPN33" s="1882"/>
      <c r="QPP33" s="1887"/>
      <c r="QPQ33" s="1888"/>
      <c r="QPR33" s="1882"/>
      <c r="QPS33" s="1882"/>
      <c r="QPT33" s="1882"/>
      <c r="QPV33" s="1887"/>
      <c r="QPW33" s="1888"/>
      <c r="QPX33" s="1882"/>
      <c r="QPY33" s="1882"/>
      <c r="QPZ33" s="1882"/>
      <c r="QQB33" s="1887"/>
      <c r="QQC33" s="1888"/>
      <c r="QQD33" s="1882"/>
      <c r="QQE33" s="1882"/>
      <c r="QQF33" s="1882"/>
      <c r="QQH33" s="1887"/>
      <c r="QQI33" s="1888"/>
      <c r="QQJ33" s="1882"/>
      <c r="QQK33" s="1882"/>
      <c r="QQL33" s="1882"/>
      <c r="QQN33" s="1887"/>
      <c r="QQO33" s="1888"/>
      <c r="QQP33" s="1882"/>
      <c r="QQQ33" s="1882"/>
      <c r="QQR33" s="1882"/>
      <c r="QQT33" s="1887"/>
      <c r="QQU33" s="1888"/>
      <c r="QQV33" s="1882"/>
      <c r="QQW33" s="1882"/>
      <c r="QQX33" s="1882"/>
      <c r="QQZ33" s="1887"/>
      <c r="QRA33" s="1888"/>
      <c r="QRB33" s="1882"/>
      <c r="QRC33" s="1882"/>
      <c r="QRD33" s="1882"/>
      <c r="QRF33" s="1887"/>
      <c r="QRG33" s="1888"/>
      <c r="QRH33" s="1882"/>
      <c r="QRI33" s="1882"/>
      <c r="QRJ33" s="1882"/>
      <c r="QRL33" s="1887"/>
      <c r="QRM33" s="1888"/>
      <c r="QRN33" s="1882"/>
      <c r="QRO33" s="1882"/>
      <c r="QRP33" s="1882"/>
      <c r="QRR33" s="1887"/>
      <c r="QRS33" s="1888"/>
      <c r="QRT33" s="1882"/>
      <c r="QRU33" s="1882"/>
      <c r="QRV33" s="1882"/>
      <c r="QRX33" s="1887"/>
      <c r="QRY33" s="1888"/>
      <c r="QRZ33" s="1882"/>
      <c r="QSA33" s="1882"/>
      <c r="QSB33" s="1882"/>
      <c r="QSD33" s="1887"/>
      <c r="QSE33" s="1888"/>
      <c r="QSF33" s="1882"/>
      <c r="QSG33" s="1882"/>
      <c r="QSH33" s="1882"/>
      <c r="QSJ33" s="1887"/>
      <c r="QSK33" s="1888"/>
      <c r="QSL33" s="1882"/>
      <c r="QSM33" s="1882"/>
      <c r="QSN33" s="1882"/>
      <c r="QSP33" s="1887"/>
      <c r="QSQ33" s="1888"/>
      <c r="QSR33" s="1882"/>
      <c r="QSS33" s="1882"/>
      <c r="QST33" s="1882"/>
      <c r="QSV33" s="1887"/>
      <c r="QSW33" s="1888"/>
      <c r="QSX33" s="1882"/>
      <c r="QSY33" s="1882"/>
      <c r="QSZ33" s="1882"/>
      <c r="QTB33" s="1887"/>
      <c r="QTC33" s="1888"/>
      <c r="QTD33" s="1882"/>
      <c r="QTE33" s="1882"/>
      <c r="QTF33" s="1882"/>
      <c r="QTH33" s="1887"/>
      <c r="QTI33" s="1888"/>
      <c r="QTJ33" s="1882"/>
      <c r="QTK33" s="1882"/>
      <c r="QTL33" s="1882"/>
      <c r="QTN33" s="1887"/>
      <c r="QTO33" s="1888"/>
      <c r="QTP33" s="1882"/>
      <c r="QTQ33" s="1882"/>
      <c r="QTR33" s="1882"/>
      <c r="QTT33" s="1887"/>
      <c r="QTU33" s="1888"/>
      <c r="QTV33" s="1882"/>
      <c r="QTW33" s="1882"/>
      <c r="QTX33" s="1882"/>
      <c r="QTZ33" s="1887"/>
      <c r="QUA33" s="1888"/>
      <c r="QUB33" s="1882"/>
      <c r="QUC33" s="1882"/>
      <c r="QUD33" s="1882"/>
      <c r="QUF33" s="1887"/>
      <c r="QUG33" s="1888"/>
      <c r="QUH33" s="1882"/>
      <c r="QUI33" s="1882"/>
      <c r="QUJ33" s="1882"/>
      <c r="QUL33" s="1887"/>
      <c r="QUM33" s="1888"/>
      <c r="QUN33" s="1882"/>
      <c r="QUO33" s="1882"/>
      <c r="QUP33" s="1882"/>
      <c r="QUR33" s="1887"/>
      <c r="QUS33" s="1888"/>
      <c r="QUT33" s="1882"/>
      <c r="QUU33" s="1882"/>
      <c r="QUV33" s="1882"/>
      <c r="QUX33" s="1887"/>
      <c r="QUY33" s="1888"/>
      <c r="QUZ33" s="1882"/>
      <c r="QVA33" s="1882"/>
      <c r="QVB33" s="1882"/>
      <c r="QVD33" s="1887"/>
      <c r="QVE33" s="1888"/>
      <c r="QVF33" s="1882"/>
      <c r="QVG33" s="1882"/>
      <c r="QVH33" s="1882"/>
      <c r="QVJ33" s="1887"/>
      <c r="QVK33" s="1888"/>
      <c r="QVL33" s="1882"/>
      <c r="QVM33" s="1882"/>
      <c r="QVN33" s="1882"/>
      <c r="QVP33" s="1887"/>
      <c r="QVQ33" s="1888"/>
      <c r="QVR33" s="1882"/>
      <c r="QVS33" s="1882"/>
      <c r="QVT33" s="1882"/>
      <c r="QVV33" s="1887"/>
      <c r="QVW33" s="1888"/>
      <c r="QVX33" s="1882"/>
      <c r="QVY33" s="1882"/>
      <c r="QVZ33" s="1882"/>
      <c r="QWB33" s="1887"/>
      <c r="QWC33" s="1888"/>
      <c r="QWD33" s="1882"/>
      <c r="QWE33" s="1882"/>
      <c r="QWF33" s="1882"/>
      <c r="QWH33" s="1887"/>
      <c r="QWI33" s="1888"/>
      <c r="QWJ33" s="1882"/>
      <c r="QWK33" s="1882"/>
      <c r="QWL33" s="1882"/>
      <c r="QWN33" s="1887"/>
      <c r="QWO33" s="1888"/>
      <c r="QWP33" s="1882"/>
      <c r="QWQ33" s="1882"/>
      <c r="QWR33" s="1882"/>
      <c r="QWT33" s="1887"/>
      <c r="QWU33" s="1888"/>
      <c r="QWV33" s="1882"/>
      <c r="QWW33" s="1882"/>
      <c r="QWX33" s="1882"/>
      <c r="QWZ33" s="1887"/>
      <c r="QXA33" s="1888"/>
      <c r="QXB33" s="1882"/>
      <c r="QXC33" s="1882"/>
      <c r="QXD33" s="1882"/>
      <c r="QXF33" s="1887"/>
      <c r="QXG33" s="1888"/>
      <c r="QXH33" s="1882"/>
      <c r="QXI33" s="1882"/>
      <c r="QXJ33" s="1882"/>
      <c r="QXL33" s="1887"/>
      <c r="QXM33" s="1888"/>
      <c r="QXN33" s="1882"/>
      <c r="QXO33" s="1882"/>
      <c r="QXP33" s="1882"/>
      <c r="QXR33" s="1887"/>
      <c r="QXS33" s="1888"/>
      <c r="QXT33" s="1882"/>
      <c r="QXU33" s="1882"/>
      <c r="QXV33" s="1882"/>
      <c r="QXX33" s="1887"/>
      <c r="QXY33" s="1888"/>
      <c r="QXZ33" s="1882"/>
      <c r="QYA33" s="1882"/>
      <c r="QYB33" s="1882"/>
      <c r="QYD33" s="1887"/>
      <c r="QYE33" s="1888"/>
      <c r="QYF33" s="1882"/>
      <c r="QYG33" s="1882"/>
      <c r="QYH33" s="1882"/>
      <c r="QYJ33" s="1887"/>
      <c r="QYK33" s="1888"/>
      <c r="QYL33" s="1882"/>
      <c r="QYM33" s="1882"/>
      <c r="QYN33" s="1882"/>
      <c r="QYP33" s="1887"/>
      <c r="QYQ33" s="1888"/>
      <c r="QYR33" s="1882"/>
      <c r="QYS33" s="1882"/>
      <c r="QYT33" s="1882"/>
      <c r="QYV33" s="1887"/>
      <c r="QYW33" s="1888"/>
      <c r="QYX33" s="1882"/>
      <c r="QYY33" s="1882"/>
      <c r="QYZ33" s="1882"/>
      <c r="QZB33" s="1887"/>
      <c r="QZC33" s="1888"/>
      <c r="QZD33" s="1882"/>
      <c r="QZE33" s="1882"/>
      <c r="QZF33" s="1882"/>
      <c r="QZH33" s="1887"/>
      <c r="QZI33" s="1888"/>
      <c r="QZJ33" s="1882"/>
      <c r="QZK33" s="1882"/>
      <c r="QZL33" s="1882"/>
      <c r="QZN33" s="1887"/>
      <c r="QZO33" s="1888"/>
      <c r="QZP33" s="1882"/>
      <c r="QZQ33" s="1882"/>
      <c r="QZR33" s="1882"/>
      <c r="QZT33" s="1887"/>
      <c r="QZU33" s="1888"/>
      <c r="QZV33" s="1882"/>
      <c r="QZW33" s="1882"/>
      <c r="QZX33" s="1882"/>
      <c r="QZZ33" s="1887"/>
      <c r="RAA33" s="1888"/>
      <c r="RAB33" s="1882"/>
      <c r="RAC33" s="1882"/>
      <c r="RAD33" s="1882"/>
      <c r="RAF33" s="1887"/>
      <c r="RAG33" s="1888"/>
      <c r="RAH33" s="1882"/>
      <c r="RAI33" s="1882"/>
      <c r="RAJ33" s="1882"/>
      <c r="RAL33" s="1887"/>
      <c r="RAM33" s="1888"/>
      <c r="RAN33" s="1882"/>
      <c r="RAO33" s="1882"/>
      <c r="RAP33" s="1882"/>
      <c r="RAR33" s="1887"/>
      <c r="RAS33" s="1888"/>
      <c r="RAT33" s="1882"/>
      <c r="RAU33" s="1882"/>
      <c r="RAV33" s="1882"/>
      <c r="RAX33" s="1887"/>
      <c r="RAY33" s="1888"/>
      <c r="RAZ33" s="1882"/>
      <c r="RBA33" s="1882"/>
      <c r="RBB33" s="1882"/>
      <c r="RBD33" s="1887"/>
      <c r="RBE33" s="1888"/>
      <c r="RBF33" s="1882"/>
      <c r="RBG33" s="1882"/>
      <c r="RBH33" s="1882"/>
      <c r="RBJ33" s="1887"/>
      <c r="RBK33" s="1888"/>
      <c r="RBL33" s="1882"/>
      <c r="RBM33" s="1882"/>
      <c r="RBN33" s="1882"/>
      <c r="RBP33" s="1887"/>
      <c r="RBQ33" s="1888"/>
      <c r="RBR33" s="1882"/>
      <c r="RBS33" s="1882"/>
      <c r="RBT33" s="1882"/>
      <c r="RBV33" s="1887"/>
      <c r="RBW33" s="1888"/>
      <c r="RBX33" s="1882"/>
      <c r="RBY33" s="1882"/>
      <c r="RBZ33" s="1882"/>
      <c r="RCB33" s="1887"/>
      <c r="RCC33" s="1888"/>
      <c r="RCD33" s="1882"/>
      <c r="RCE33" s="1882"/>
      <c r="RCF33" s="1882"/>
      <c r="RCH33" s="1887"/>
      <c r="RCI33" s="1888"/>
      <c r="RCJ33" s="1882"/>
      <c r="RCK33" s="1882"/>
      <c r="RCL33" s="1882"/>
      <c r="RCN33" s="1887"/>
      <c r="RCO33" s="1888"/>
      <c r="RCP33" s="1882"/>
      <c r="RCQ33" s="1882"/>
      <c r="RCR33" s="1882"/>
      <c r="RCT33" s="1887"/>
      <c r="RCU33" s="1888"/>
      <c r="RCV33" s="1882"/>
      <c r="RCW33" s="1882"/>
      <c r="RCX33" s="1882"/>
      <c r="RCZ33" s="1887"/>
      <c r="RDA33" s="1888"/>
      <c r="RDB33" s="1882"/>
      <c r="RDC33" s="1882"/>
      <c r="RDD33" s="1882"/>
      <c r="RDF33" s="1887"/>
      <c r="RDG33" s="1888"/>
      <c r="RDH33" s="1882"/>
      <c r="RDI33" s="1882"/>
      <c r="RDJ33" s="1882"/>
      <c r="RDL33" s="1887"/>
      <c r="RDM33" s="1888"/>
      <c r="RDN33" s="1882"/>
      <c r="RDO33" s="1882"/>
      <c r="RDP33" s="1882"/>
      <c r="RDR33" s="1887"/>
      <c r="RDS33" s="1888"/>
      <c r="RDT33" s="1882"/>
      <c r="RDU33" s="1882"/>
      <c r="RDV33" s="1882"/>
      <c r="RDX33" s="1887"/>
      <c r="RDY33" s="1888"/>
      <c r="RDZ33" s="1882"/>
      <c r="REA33" s="1882"/>
      <c r="REB33" s="1882"/>
      <c r="RED33" s="1887"/>
      <c r="REE33" s="1888"/>
      <c r="REF33" s="1882"/>
      <c r="REG33" s="1882"/>
      <c r="REH33" s="1882"/>
      <c r="REJ33" s="1887"/>
      <c r="REK33" s="1888"/>
      <c r="REL33" s="1882"/>
      <c r="REM33" s="1882"/>
      <c r="REN33" s="1882"/>
      <c r="REP33" s="1887"/>
      <c r="REQ33" s="1888"/>
      <c r="RER33" s="1882"/>
      <c r="RES33" s="1882"/>
      <c r="RET33" s="1882"/>
      <c r="REV33" s="1887"/>
      <c r="REW33" s="1888"/>
      <c r="REX33" s="1882"/>
      <c r="REY33" s="1882"/>
      <c r="REZ33" s="1882"/>
      <c r="RFB33" s="1887"/>
      <c r="RFC33" s="1888"/>
      <c r="RFD33" s="1882"/>
      <c r="RFE33" s="1882"/>
      <c r="RFF33" s="1882"/>
      <c r="RFH33" s="1887"/>
      <c r="RFI33" s="1888"/>
      <c r="RFJ33" s="1882"/>
      <c r="RFK33" s="1882"/>
      <c r="RFL33" s="1882"/>
      <c r="RFN33" s="1887"/>
      <c r="RFO33" s="1888"/>
      <c r="RFP33" s="1882"/>
      <c r="RFQ33" s="1882"/>
      <c r="RFR33" s="1882"/>
      <c r="RFT33" s="1887"/>
      <c r="RFU33" s="1888"/>
      <c r="RFV33" s="1882"/>
      <c r="RFW33" s="1882"/>
      <c r="RFX33" s="1882"/>
      <c r="RFZ33" s="1887"/>
      <c r="RGA33" s="1888"/>
      <c r="RGB33" s="1882"/>
      <c r="RGC33" s="1882"/>
      <c r="RGD33" s="1882"/>
      <c r="RGF33" s="1887"/>
      <c r="RGG33" s="1888"/>
      <c r="RGH33" s="1882"/>
      <c r="RGI33" s="1882"/>
      <c r="RGJ33" s="1882"/>
      <c r="RGL33" s="1887"/>
      <c r="RGM33" s="1888"/>
      <c r="RGN33" s="1882"/>
      <c r="RGO33" s="1882"/>
      <c r="RGP33" s="1882"/>
      <c r="RGR33" s="1887"/>
      <c r="RGS33" s="1888"/>
      <c r="RGT33" s="1882"/>
      <c r="RGU33" s="1882"/>
      <c r="RGV33" s="1882"/>
      <c r="RGX33" s="1887"/>
      <c r="RGY33" s="1888"/>
      <c r="RGZ33" s="1882"/>
      <c r="RHA33" s="1882"/>
      <c r="RHB33" s="1882"/>
      <c r="RHD33" s="1887"/>
      <c r="RHE33" s="1888"/>
      <c r="RHF33" s="1882"/>
      <c r="RHG33" s="1882"/>
      <c r="RHH33" s="1882"/>
      <c r="RHJ33" s="1887"/>
      <c r="RHK33" s="1888"/>
      <c r="RHL33" s="1882"/>
      <c r="RHM33" s="1882"/>
      <c r="RHN33" s="1882"/>
      <c r="RHP33" s="1887"/>
      <c r="RHQ33" s="1888"/>
      <c r="RHR33" s="1882"/>
      <c r="RHS33" s="1882"/>
      <c r="RHT33" s="1882"/>
      <c r="RHV33" s="1887"/>
      <c r="RHW33" s="1888"/>
      <c r="RHX33" s="1882"/>
      <c r="RHY33" s="1882"/>
      <c r="RHZ33" s="1882"/>
      <c r="RIB33" s="1887"/>
      <c r="RIC33" s="1888"/>
      <c r="RID33" s="1882"/>
      <c r="RIE33" s="1882"/>
      <c r="RIF33" s="1882"/>
      <c r="RIH33" s="1887"/>
      <c r="RII33" s="1888"/>
      <c r="RIJ33" s="1882"/>
      <c r="RIK33" s="1882"/>
      <c r="RIL33" s="1882"/>
      <c r="RIN33" s="1887"/>
      <c r="RIO33" s="1888"/>
      <c r="RIP33" s="1882"/>
      <c r="RIQ33" s="1882"/>
      <c r="RIR33" s="1882"/>
      <c r="RIT33" s="1887"/>
      <c r="RIU33" s="1888"/>
      <c r="RIV33" s="1882"/>
      <c r="RIW33" s="1882"/>
      <c r="RIX33" s="1882"/>
      <c r="RIZ33" s="1887"/>
      <c r="RJA33" s="1888"/>
      <c r="RJB33" s="1882"/>
      <c r="RJC33" s="1882"/>
      <c r="RJD33" s="1882"/>
      <c r="RJF33" s="1887"/>
      <c r="RJG33" s="1888"/>
      <c r="RJH33" s="1882"/>
      <c r="RJI33" s="1882"/>
      <c r="RJJ33" s="1882"/>
      <c r="RJL33" s="1887"/>
      <c r="RJM33" s="1888"/>
      <c r="RJN33" s="1882"/>
      <c r="RJO33" s="1882"/>
      <c r="RJP33" s="1882"/>
      <c r="RJR33" s="1887"/>
      <c r="RJS33" s="1888"/>
      <c r="RJT33" s="1882"/>
      <c r="RJU33" s="1882"/>
      <c r="RJV33" s="1882"/>
      <c r="RJX33" s="1887"/>
      <c r="RJY33" s="1888"/>
      <c r="RJZ33" s="1882"/>
      <c r="RKA33" s="1882"/>
      <c r="RKB33" s="1882"/>
      <c r="RKD33" s="1887"/>
      <c r="RKE33" s="1888"/>
      <c r="RKF33" s="1882"/>
      <c r="RKG33" s="1882"/>
      <c r="RKH33" s="1882"/>
      <c r="RKJ33" s="1887"/>
      <c r="RKK33" s="1888"/>
      <c r="RKL33" s="1882"/>
      <c r="RKM33" s="1882"/>
      <c r="RKN33" s="1882"/>
      <c r="RKP33" s="1887"/>
      <c r="RKQ33" s="1888"/>
      <c r="RKR33" s="1882"/>
      <c r="RKS33" s="1882"/>
      <c r="RKT33" s="1882"/>
      <c r="RKV33" s="1887"/>
      <c r="RKW33" s="1888"/>
      <c r="RKX33" s="1882"/>
      <c r="RKY33" s="1882"/>
      <c r="RKZ33" s="1882"/>
      <c r="RLB33" s="1887"/>
      <c r="RLC33" s="1888"/>
      <c r="RLD33" s="1882"/>
      <c r="RLE33" s="1882"/>
      <c r="RLF33" s="1882"/>
      <c r="RLH33" s="1887"/>
      <c r="RLI33" s="1888"/>
      <c r="RLJ33" s="1882"/>
      <c r="RLK33" s="1882"/>
      <c r="RLL33" s="1882"/>
      <c r="RLN33" s="1887"/>
      <c r="RLO33" s="1888"/>
      <c r="RLP33" s="1882"/>
      <c r="RLQ33" s="1882"/>
      <c r="RLR33" s="1882"/>
      <c r="RLT33" s="1887"/>
      <c r="RLU33" s="1888"/>
      <c r="RLV33" s="1882"/>
      <c r="RLW33" s="1882"/>
      <c r="RLX33" s="1882"/>
      <c r="RLZ33" s="1887"/>
      <c r="RMA33" s="1888"/>
      <c r="RMB33" s="1882"/>
      <c r="RMC33" s="1882"/>
      <c r="RMD33" s="1882"/>
      <c r="RMF33" s="1887"/>
      <c r="RMG33" s="1888"/>
      <c r="RMH33" s="1882"/>
      <c r="RMI33" s="1882"/>
      <c r="RMJ33" s="1882"/>
      <c r="RML33" s="1887"/>
      <c r="RMM33" s="1888"/>
      <c r="RMN33" s="1882"/>
      <c r="RMO33" s="1882"/>
      <c r="RMP33" s="1882"/>
      <c r="RMR33" s="1887"/>
      <c r="RMS33" s="1888"/>
      <c r="RMT33" s="1882"/>
      <c r="RMU33" s="1882"/>
      <c r="RMV33" s="1882"/>
      <c r="RMX33" s="1887"/>
      <c r="RMY33" s="1888"/>
      <c r="RMZ33" s="1882"/>
      <c r="RNA33" s="1882"/>
      <c r="RNB33" s="1882"/>
      <c r="RND33" s="1887"/>
      <c r="RNE33" s="1888"/>
      <c r="RNF33" s="1882"/>
      <c r="RNG33" s="1882"/>
      <c r="RNH33" s="1882"/>
      <c r="RNJ33" s="1887"/>
      <c r="RNK33" s="1888"/>
      <c r="RNL33" s="1882"/>
      <c r="RNM33" s="1882"/>
      <c r="RNN33" s="1882"/>
      <c r="RNP33" s="1887"/>
      <c r="RNQ33" s="1888"/>
      <c r="RNR33" s="1882"/>
      <c r="RNS33" s="1882"/>
      <c r="RNT33" s="1882"/>
      <c r="RNV33" s="1887"/>
      <c r="RNW33" s="1888"/>
      <c r="RNX33" s="1882"/>
      <c r="RNY33" s="1882"/>
      <c r="RNZ33" s="1882"/>
      <c r="ROB33" s="1887"/>
      <c r="ROC33" s="1888"/>
      <c r="ROD33" s="1882"/>
      <c r="ROE33" s="1882"/>
      <c r="ROF33" s="1882"/>
      <c r="ROH33" s="1887"/>
      <c r="ROI33" s="1888"/>
      <c r="ROJ33" s="1882"/>
      <c r="ROK33" s="1882"/>
      <c r="ROL33" s="1882"/>
      <c r="RON33" s="1887"/>
      <c r="ROO33" s="1888"/>
      <c r="ROP33" s="1882"/>
      <c r="ROQ33" s="1882"/>
      <c r="ROR33" s="1882"/>
      <c r="ROT33" s="1887"/>
      <c r="ROU33" s="1888"/>
      <c r="ROV33" s="1882"/>
      <c r="ROW33" s="1882"/>
      <c r="ROX33" s="1882"/>
      <c r="ROZ33" s="1887"/>
      <c r="RPA33" s="1888"/>
      <c r="RPB33" s="1882"/>
      <c r="RPC33" s="1882"/>
      <c r="RPD33" s="1882"/>
      <c r="RPF33" s="1887"/>
      <c r="RPG33" s="1888"/>
      <c r="RPH33" s="1882"/>
      <c r="RPI33" s="1882"/>
      <c r="RPJ33" s="1882"/>
      <c r="RPL33" s="1887"/>
      <c r="RPM33" s="1888"/>
      <c r="RPN33" s="1882"/>
      <c r="RPO33" s="1882"/>
      <c r="RPP33" s="1882"/>
      <c r="RPR33" s="1887"/>
      <c r="RPS33" s="1888"/>
      <c r="RPT33" s="1882"/>
      <c r="RPU33" s="1882"/>
      <c r="RPV33" s="1882"/>
      <c r="RPX33" s="1887"/>
      <c r="RPY33" s="1888"/>
      <c r="RPZ33" s="1882"/>
      <c r="RQA33" s="1882"/>
      <c r="RQB33" s="1882"/>
      <c r="RQD33" s="1887"/>
      <c r="RQE33" s="1888"/>
      <c r="RQF33" s="1882"/>
      <c r="RQG33" s="1882"/>
      <c r="RQH33" s="1882"/>
      <c r="RQJ33" s="1887"/>
      <c r="RQK33" s="1888"/>
      <c r="RQL33" s="1882"/>
      <c r="RQM33" s="1882"/>
      <c r="RQN33" s="1882"/>
      <c r="RQP33" s="1887"/>
      <c r="RQQ33" s="1888"/>
      <c r="RQR33" s="1882"/>
      <c r="RQS33" s="1882"/>
      <c r="RQT33" s="1882"/>
      <c r="RQV33" s="1887"/>
      <c r="RQW33" s="1888"/>
      <c r="RQX33" s="1882"/>
      <c r="RQY33" s="1882"/>
      <c r="RQZ33" s="1882"/>
      <c r="RRB33" s="1887"/>
      <c r="RRC33" s="1888"/>
      <c r="RRD33" s="1882"/>
      <c r="RRE33" s="1882"/>
      <c r="RRF33" s="1882"/>
      <c r="RRH33" s="1887"/>
      <c r="RRI33" s="1888"/>
      <c r="RRJ33" s="1882"/>
      <c r="RRK33" s="1882"/>
      <c r="RRL33" s="1882"/>
      <c r="RRN33" s="1887"/>
      <c r="RRO33" s="1888"/>
      <c r="RRP33" s="1882"/>
      <c r="RRQ33" s="1882"/>
      <c r="RRR33" s="1882"/>
      <c r="RRT33" s="1887"/>
      <c r="RRU33" s="1888"/>
      <c r="RRV33" s="1882"/>
      <c r="RRW33" s="1882"/>
      <c r="RRX33" s="1882"/>
      <c r="RRZ33" s="1887"/>
      <c r="RSA33" s="1888"/>
      <c r="RSB33" s="1882"/>
      <c r="RSC33" s="1882"/>
      <c r="RSD33" s="1882"/>
      <c r="RSF33" s="1887"/>
      <c r="RSG33" s="1888"/>
      <c r="RSH33" s="1882"/>
      <c r="RSI33" s="1882"/>
      <c r="RSJ33" s="1882"/>
      <c r="RSL33" s="1887"/>
      <c r="RSM33" s="1888"/>
      <c r="RSN33" s="1882"/>
      <c r="RSO33" s="1882"/>
      <c r="RSP33" s="1882"/>
      <c r="RSR33" s="1887"/>
      <c r="RSS33" s="1888"/>
      <c r="RST33" s="1882"/>
      <c r="RSU33" s="1882"/>
      <c r="RSV33" s="1882"/>
      <c r="RSX33" s="1887"/>
      <c r="RSY33" s="1888"/>
      <c r="RSZ33" s="1882"/>
      <c r="RTA33" s="1882"/>
      <c r="RTB33" s="1882"/>
      <c r="RTD33" s="1887"/>
      <c r="RTE33" s="1888"/>
      <c r="RTF33" s="1882"/>
      <c r="RTG33" s="1882"/>
      <c r="RTH33" s="1882"/>
      <c r="RTJ33" s="1887"/>
      <c r="RTK33" s="1888"/>
      <c r="RTL33" s="1882"/>
      <c r="RTM33" s="1882"/>
      <c r="RTN33" s="1882"/>
      <c r="RTP33" s="1887"/>
      <c r="RTQ33" s="1888"/>
      <c r="RTR33" s="1882"/>
      <c r="RTS33" s="1882"/>
      <c r="RTT33" s="1882"/>
      <c r="RTV33" s="1887"/>
      <c r="RTW33" s="1888"/>
      <c r="RTX33" s="1882"/>
      <c r="RTY33" s="1882"/>
      <c r="RTZ33" s="1882"/>
      <c r="RUB33" s="1887"/>
      <c r="RUC33" s="1888"/>
      <c r="RUD33" s="1882"/>
      <c r="RUE33" s="1882"/>
      <c r="RUF33" s="1882"/>
      <c r="RUH33" s="1887"/>
      <c r="RUI33" s="1888"/>
      <c r="RUJ33" s="1882"/>
      <c r="RUK33" s="1882"/>
      <c r="RUL33" s="1882"/>
      <c r="RUN33" s="1887"/>
      <c r="RUO33" s="1888"/>
      <c r="RUP33" s="1882"/>
      <c r="RUQ33" s="1882"/>
      <c r="RUR33" s="1882"/>
      <c r="RUT33" s="1887"/>
      <c r="RUU33" s="1888"/>
      <c r="RUV33" s="1882"/>
      <c r="RUW33" s="1882"/>
      <c r="RUX33" s="1882"/>
      <c r="RUZ33" s="1887"/>
      <c r="RVA33" s="1888"/>
      <c r="RVB33" s="1882"/>
      <c r="RVC33" s="1882"/>
      <c r="RVD33" s="1882"/>
      <c r="RVF33" s="1887"/>
      <c r="RVG33" s="1888"/>
      <c r="RVH33" s="1882"/>
      <c r="RVI33" s="1882"/>
      <c r="RVJ33" s="1882"/>
      <c r="RVL33" s="1887"/>
      <c r="RVM33" s="1888"/>
      <c r="RVN33" s="1882"/>
      <c r="RVO33" s="1882"/>
      <c r="RVP33" s="1882"/>
      <c r="RVR33" s="1887"/>
      <c r="RVS33" s="1888"/>
      <c r="RVT33" s="1882"/>
      <c r="RVU33" s="1882"/>
      <c r="RVV33" s="1882"/>
      <c r="RVX33" s="1887"/>
      <c r="RVY33" s="1888"/>
      <c r="RVZ33" s="1882"/>
      <c r="RWA33" s="1882"/>
      <c r="RWB33" s="1882"/>
      <c r="RWD33" s="1887"/>
      <c r="RWE33" s="1888"/>
      <c r="RWF33" s="1882"/>
      <c r="RWG33" s="1882"/>
      <c r="RWH33" s="1882"/>
      <c r="RWJ33" s="1887"/>
      <c r="RWK33" s="1888"/>
      <c r="RWL33" s="1882"/>
      <c r="RWM33" s="1882"/>
      <c r="RWN33" s="1882"/>
      <c r="RWP33" s="1887"/>
      <c r="RWQ33" s="1888"/>
      <c r="RWR33" s="1882"/>
      <c r="RWS33" s="1882"/>
      <c r="RWT33" s="1882"/>
      <c r="RWV33" s="1887"/>
      <c r="RWW33" s="1888"/>
      <c r="RWX33" s="1882"/>
      <c r="RWY33" s="1882"/>
      <c r="RWZ33" s="1882"/>
      <c r="RXB33" s="1887"/>
      <c r="RXC33" s="1888"/>
      <c r="RXD33" s="1882"/>
      <c r="RXE33" s="1882"/>
      <c r="RXF33" s="1882"/>
      <c r="RXH33" s="1887"/>
      <c r="RXI33" s="1888"/>
      <c r="RXJ33" s="1882"/>
      <c r="RXK33" s="1882"/>
      <c r="RXL33" s="1882"/>
      <c r="RXN33" s="1887"/>
      <c r="RXO33" s="1888"/>
      <c r="RXP33" s="1882"/>
      <c r="RXQ33" s="1882"/>
      <c r="RXR33" s="1882"/>
      <c r="RXT33" s="1887"/>
      <c r="RXU33" s="1888"/>
      <c r="RXV33" s="1882"/>
      <c r="RXW33" s="1882"/>
      <c r="RXX33" s="1882"/>
      <c r="RXZ33" s="1887"/>
      <c r="RYA33" s="1888"/>
      <c r="RYB33" s="1882"/>
      <c r="RYC33" s="1882"/>
      <c r="RYD33" s="1882"/>
      <c r="RYF33" s="1887"/>
      <c r="RYG33" s="1888"/>
      <c r="RYH33" s="1882"/>
      <c r="RYI33" s="1882"/>
      <c r="RYJ33" s="1882"/>
      <c r="RYL33" s="1887"/>
      <c r="RYM33" s="1888"/>
      <c r="RYN33" s="1882"/>
      <c r="RYO33" s="1882"/>
      <c r="RYP33" s="1882"/>
      <c r="RYR33" s="1887"/>
      <c r="RYS33" s="1888"/>
      <c r="RYT33" s="1882"/>
      <c r="RYU33" s="1882"/>
      <c r="RYV33" s="1882"/>
      <c r="RYX33" s="1887"/>
      <c r="RYY33" s="1888"/>
      <c r="RYZ33" s="1882"/>
      <c r="RZA33" s="1882"/>
      <c r="RZB33" s="1882"/>
      <c r="RZD33" s="1887"/>
      <c r="RZE33" s="1888"/>
      <c r="RZF33" s="1882"/>
      <c r="RZG33" s="1882"/>
      <c r="RZH33" s="1882"/>
      <c r="RZJ33" s="1887"/>
      <c r="RZK33" s="1888"/>
      <c r="RZL33" s="1882"/>
      <c r="RZM33" s="1882"/>
      <c r="RZN33" s="1882"/>
      <c r="RZP33" s="1887"/>
      <c r="RZQ33" s="1888"/>
      <c r="RZR33" s="1882"/>
      <c r="RZS33" s="1882"/>
      <c r="RZT33" s="1882"/>
      <c r="RZV33" s="1887"/>
      <c r="RZW33" s="1888"/>
      <c r="RZX33" s="1882"/>
      <c r="RZY33" s="1882"/>
      <c r="RZZ33" s="1882"/>
      <c r="SAB33" s="1887"/>
      <c r="SAC33" s="1888"/>
      <c r="SAD33" s="1882"/>
      <c r="SAE33" s="1882"/>
      <c r="SAF33" s="1882"/>
      <c r="SAH33" s="1887"/>
      <c r="SAI33" s="1888"/>
      <c r="SAJ33" s="1882"/>
      <c r="SAK33" s="1882"/>
      <c r="SAL33" s="1882"/>
      <c r="SAN33" s="1887"/>
      <c r="SAO33" s="1888"/>
      <c r="SAP33" s="1882"/>
      <c r="SAQ33" s="1882"/>
      <c r="SAR33" s="1882"/>
      <c r="SAT33" s="1887"/>
      <c r="SAU33" s="1888"/>
      <c r="SAV33" s="1882"/>
      <c r="SAW33" s="1882"/>
      <c r="SAX33" s="1882"/>
      <c r="SAZ33" s="1887"/>
      <c r="SBA33" s="1888"/>
      <c r="SBB33" s="1882"/>
      <c r="SBC33" s="1882"/>
      <c r="SBD33" s="1882"/>
      <c r="SBF33" s="1887"/>
      <c r="SBG33" s="1888"/>
      <c r="SBH33" s="1882"/>
      <c r="SBI33" s="1882"/>
      <c r="SBJ33" s="1882"/>
      <c r="SBL33" s="1887"/>
      <c r="SBM33" s="1888"/>
      <c r="SBN33" s="1882"/>
      <c r="SBO33" s="1882"/>
      <c r="SBP33" s="1882"/>
      <c r="SBR33" s="1887"/>
      <c r="SBS33" s="1888"/>
      <c r="SBT33" s="1882"/>
      <c r="SBU33" s="1882"/>
      <c r="SBV33" s="1882"/>
      <c r="SBX33" s="1887"/>
      <c r="SBY33" s="1888"/>
      <c r="SBZ33" s="1882"/>
      <c r="SCA33" s="1882"/>
      <c r="SCB33" s="1882"/>
      <c r="SCD33" s="1887"/>
      <c r="SCE33" s="1888"/>
      <c r="SCF33" s="1882"/>
      <c r="SCG33" s="1882"/>
      <c r="SCH33" s="1882"/>
      <c r="SCJ33" s="1887"/>
      <c r="SCK33" s="1888"/>
      <c r="SCL33" s="1882"/>
      <c r="SCM33" s="1882"/>
      <c r="SCN33" s="1882"/>
      <c r="SCP33" s="1887"/>
      <c r="SCQ33" s="1888"/>
      <c r="SCR33" s="1882"/>
      <c r="SCS33" s="1882"/>
      <c r="SCT33" s="1882"/>
      <c r="SCV33" s="1887"/>
      <c r="SCW33" s="1888"/>
      <c r="SCX33" s="1882"/>
      <c r="SCY33" s="1882"/>
      <c r="SCZ33" s="1882"/>
      <c r="SDB33" s="1887"/>
      <c r="SDC33" s="1888"/>
      <c r="SDD33" s="1882"/>
      <c r="SDE33" s="1882"/>
      <c r="SDF33" s="1882"/>
      <c r="SDH33" s="1887"/>
      <c r="SDI33" s="1888"/>
      <c r="SDJ33" s="1882"/>
      <c r="SDK33" s="1882"/>
      <c r="SDL33" s="1882"/>
      <c r="SDN33" s="1887"/>
      <c r="SDO33" s="1888"/>
      <c r="SDP33" s="1882"/>
      <c r="SDQ33" s="1882"/>
      <c r="SDR33" s="1882"/>
      <c r="SDT33" s="1887"/>
      <c r="SDU33" s="1888"/>
      <c r="SDV33" s="1882"/>
      <c r="SDW33" s="1882"/>
      <c r="SDX33" s="1882"/>
      <c r="SDZ33" s="1887"/>
      <c r="SEA33" s="1888"/>
      <c r="SEB33" s="1882"/>
      <c r="SEC33" s="1882"/>
      <c r="SED33" s="1882"/>
      <c r="SEF33" s="1887"/>
      <c r="SEG33" s="1888"/>
      <c r="SEH33" s="1882"/>
      <c r="SEI33" s="1882"/>
      <c r="SEJ33" s="1882"/>
      <c r="SEL33" s="1887"/>
      <c r="SEM33" s="1888"/>
      <c r="SEN33" s="1882"/>
      <c r="SEO33" s="1882"/>
      <c r="SEP33" s="1882"/>
      <c r="SER33" s="1887"/>
      <c r="SES33" s="1888"/>
      <c r="SET33" s="1882"/>
      <c r="SEU33" s="1882"/>
      <c r="SEV33" s="1882"/>
      <c r="SEX33" s="1887"/>
      <c r="SEY33" s="1888"/>
      <c r="SEZ33" s="1882"/>
      <c r="SFA33" s="1882"/>
      <c r="SFB33" s="1882"/>
      <c r="SFD33" s="1887"/>
      <c r="SFE33" s="1888"/>
      <c r="SFF33" s="1882"/>
      <c r="SFG33" s="1882"/>
      <c r="SFH33" s="1882"/>
      <c r="SFJ33" s="1887"/>
      <c r="SFK33" s="1888"/>
      <c r="SFL33" s="1882"/>
      <c r="SFM33" s="1882"/>
      <c r="SFN33" s="1882"/>
      <c r="SFP33" s="1887"/>
      <c r="SFQ33" s="1888"/>
      <c r="SFR33" s="1882"/>
      <c r="SFS33" s="1882"/>
      <c r="SFT33" s="1882"/>
      <c r="SFV33" s="1887"/>
      <c r="SFW33" s="1888"/>
      <c r="SFX33" s="1882"/>
      <c r="SFY33" s="1882"/>
      <c r="SFZ33" s="1882"/>
      <c r="SGB33" s="1887"/>
      <c r="SGC33" s="1888"/>
      <c r="SGD33" s="1882"/>
      <c r="SGE33" s="1882"/>
      <c r="SGF33" s="1882"/>
      <c r="SGH33" s="1887"/>
      <c r="SGI33" s="1888"/>
      <c r="SGJ33" s="1882"/>
      <c r="SGK33" s="1882"/>
      <c r="SGL33" s="1882"/>
      <c r="SGN33" s="1887"/>
      <c r="SGO33" s="1888"/>
      <c r="SGP33" s="1882"/>
      <c r="SGQ33" s="1882"/>
      <c r="SGR33" s="1882"/>
      <c r="SGT33" s="1887"/>
      <c r="SGU33" s="1888"/>
      <c r="SGV33" s="1882"/>
      <c r="SGW33" s="1882"/>
      <c r="SGX33" s="1882"/>
      <c r="SGZ33" s="1887"/>
      <c r="SHA33" s="1888"/>
      <c r="SHB33" s="1882"/>
      <c r="SHC33" s="1882"/>
      <c r="SHD33" s="1882"/>
      <c r="SHF33" s="1887"/>
      <c r="SHG33" s="1888"/>
      <c r="SHH33" s="1882"/>
      <c r="SHI33" s="1882"/>
      <c r="SHJ33" s="1882"/>
      <c r="SHL33" s="1887"/>
      <c r="SHM33" s="1888"/>
      <c r="SHN33" s="1882"/>
      <c r="SHO33" s="1882"/>
      <c r="SHP33" s="1882"/>
      <c r="SHR33" s="1887"/>
      <c r="SHS33" s="1888"/>
      <c r="SHT33" s="1882"/>
      <c r="SHU33" s="1882"/>
      <c r="SHV33" s="1882"/>
      <c r="SHX33" s="1887"/>
      <c r="SHY33" s="1888"/>
      <c r="SHZ33" s="1882"/>
      <c r="SIA33" s="1882"/>
      <c r="SIB33" s="1882"/>
      <c r="SID33" s="1887"/>
      <c r="SIE33" s="1888"/>
      <c r="SIF33" s="1882"/>
      <c r="SIG33" s="1882"/>
      <c r="SIH33" s="1882"/>
      <c r="SIJ33" s="1887"/>
      <c r="SIK33" s="1888"/>
      <c r="SIL33" s="1882"/>
      <c r="SIM33" s="1882"/>
      <c r="SIN33" s="1882"/>
      <c r="SIP33" s="1887"/>
      <c r="SIQ33" s="1888"/>
      <c r="SIR33" s="1882"/>
      <c r="SIS33" s="1882"/>
      <c r="SIT33" s="1882"/>
      <c r="SIV33" s="1887"/>
      <c r="SIW33" s="1888"/>
      <c r="SIX33" s="1882"/>
      <c r="SIY33" s="1882"/>
      <c r="SIZ33" s="1882"/>
      <c r="SJB33" s="1887"/>
      <c r="SJC33" s="1888"/>
      <c r="SJD33" s="1882"/>
      <c r="SJE33" s="1882"/>
      <c r="SJF33" s="1882"/>
      <c r="SJH33" s="1887"/>
      <c r="SJI33" s="1888"/>
      <c r="SJJ33" s="1882"/>
      <c r="SJK33" s="1882"/>
      <c r="SJL33" s="1882"/>
      <c r="SJN33" s="1887"/>
      <c r="SJO33" s="1888"/>
      <c r="SJP33" s="1882"/>
      <c r="SJQ33" s="1882"/>
      <c r="SJR33" s="1882"/>
      <c r="SJT33" s="1887"/>
      <c r="SJU33" s="1888"/>
      <c r="SJV33" s="1882"/>
      <c r="SJW33" s="1882"/>
      <c r="SJX33" s="1882"/>
      <c r="SJZ33" s="1887"/>
      <c r="SKA33" s="1888"/>
      <c r="SKB33" s="1882"/>
      <c r="SKC33" s="1882"/>
      <c r="SKD33" s="1882"/>
      <c r="SKF33" s="1887"/>
      <c r="SKG33" s="1888"/>
      <c r="SKH33" s="1882"/>
      <c r="SKI33" s="1882"/>
      <c r="SKJ33" s="1882"/>
      <c r="SKL33" s="1887"/>
      <c r="SKM33" s="1888"/>
      <c r="SKN33" s="1882"/>
      <c r="SKO33" s="1882"/>
      <c r="SKP33" s="1882"/>
      <c r="SKR33" s="1887"/>
      <c r="SKS33" s="1888"/>
      <c r="SKT33" s="1882"/>
      <c r="SKU33" s="1882"/>
      <c r="SKV33" s="1882"/>
      <c r="SKX33" s="1887"/>
      <c r="SKY33" s="1888"/>
      <c r="SKZ33" s="1882"/>
      <c r="SLA33" s="1882"/>
      <c r="SLB33" s="1882"/>
      <c r="SLD33" s="1887"/>
      <c r="SLE33" s="1888"/>
      <c r="SLF33" s="1882"/>
      <c r="SLG33" s="1882"/>
      <c r="SLH33" s="1882"/>
      <c r="SLJ33" s="1887"/>
      <c r="SLK33" s="1888"/>
      <c r="SLL33" s="1882"/>
      <c r="SLM33" s="1882"/>
      <c r="SLN33" s="1882"/>
      <c r="SLP33" s="1887"/>
      <c r="SLQ33" s="1888"/>
      <c r="SLR33" s="1882"/>
      <c r="SLS33" s="1882"/>
      <c r="SLT33" s="1882"/>
      <c r="SLV33" s="1887"/>
      <c r="SLW33" s="1888"/>
      <c r="SLX33" s="1882"/>
      <c r="SLY33" s="1882"/>
      <c r="SLZ33" s="1882"/>
      <c r="SMB33" s="1887"/>
      <c r="SMC33" s="1888"/>
      <c r="SMD33" s="1882"/>
      <c r="SME33" s="1882"/>
      <c r="SMF33" s="1882"/>
      <c r="SMH33" s="1887"/>
      <c r="SMI33" s="1888"/>
      <c r="SMJ33" s="1882"/>
      <c r="SMK33" s="1882"/>
      <c r="SML33" s="1882"/>
      <c r="SMN33" s="1887"/>
      <c r="SMO33" s="1888"/>
      <c r="SMP33" s="1882"/>
      <c r="SMQ33" s="1882"/>
      <c r="SMR33" s="1882"/>
      <c r="SMT33" s="1887"/>
      <c r="SMU33" s="1888"/>
      <c r="SMV33" s="1882"/>
      <c r="SMW33" s="1882"/>
      <c r="SMX33" s="1882"/>
      <c r="SMZ33" s="1887"/>
      <c r="SNA33" s="1888"/>
      <c r="SNB33" s="1882"/>
      <c r="SNC33" s="1882"/>
      <c r="SND33" s="1882"/>
      <c r="SNF33" s="1887"/>
      <c r="SNG33" s="1888"/>
      <c r="SNH33" s="1882"/>
      <c r="SNI33" s="1882"/>
      <c r="SNJ33" s="1882"/>
      <c r="SNL33" s="1887"/>
      <c r="SNM33" s="1888"/>
      <c r="SNN33" s="1882"/>
      <c r="SNO33" s="1882"/>
      <c r="SNP33" s="1882"/>
      <c r="SNR33" s="1887"/>
      <c r="SNS33" s="1888"/>
      <c r="SNT33" s="1882"/>
      <c r="SNU33" s="1882"/>
      <c r="SNV33" s="1882"/>
      <c r="SNX33" s="1887"/>
      <c r="SNY33" s="1888"/>
      <c r="SNZ33" s="1882"/>
      <c r="SOA33" s="1882"/>
      <c r="SOB33" s="1882"/>
      <c r="SOD33" s="1887"/>
      <c r="SOE33" s="1888"/>
      <c r="SOF33" s="1882"/>
      <c r="SOG33" s="1882"/>
      <c r="SOH33" s="1882"/>
      <c r="SOJ33" s="1887"/>
      <c r="SOK33" s="1888"/>
      <c r="SOL33" s="1882"/>
      <c r="SOM33" s="1882"/>
      <c r="SON33" s="1882"/>
      <c r="SOP33" s="1887"/>
      <c r="SOQ33" s="1888"/>
      <c r="SOR33" s="1882"/>
      <c r="SOS33" s="1882"/>
      <c r="SOT33" s="1882"/>
      <c r="SOV33" s="1887"/>
      <c r="SOW33" s="1888"/>
      <c r="SOX33" s="1882"/>
      <c r="SOY33" s="1882"/>
      <c r="SOZ33" s="1882"/>
      <c r="SPB33" s="1887"/>
      <c r="SPC33" s="1888"/>
      <c r="SPD33" s="1882"/>
      <c r="SPE33" s="1882"/>
      <c r="SPF33" s="1882"/>
      <c r="SPH33" s="1887"/>
      <c r="SPI33" s="1888"/>
      <c r="SPJ33" s="1882"/>
      <c r="SPK33" s="1882"/>
      <c r="SPL33" s="1882"/>
      <c r="SPN33" s="1887"/>
      <c r="SPO33" s="1888"/>
      <c r="SPP33" s="1882"/>
      <c r="SPQ33" s="1882"/>
      <c r="SPR33" s="1882"/>
      <c r="SPT33" s="1887"/>
      <c r="SPU33" s="1888"/>
      <c r="SPV33" s="1882"/>
      <c r="SPW33" s="1882"/>
      <c r="SPX33" s="1882"/>
      <c r="SPZ33" s="1887"/>
      <c r="SQA33" s="1888"/>
      <c r="SQB33" s="1882"/>
      <c r="SQC33" s="1882"/>
      <c r="SQD33" s="1882"/>
      <c r="SQF33" s="1887"/>
      <c r="SQG33" s="1888"/>
      <c r="SQH33" s="1882"/>
      <c r="SQI33" s="1882"/>
      <c r="SQJ33" s="1882"/>
      <c r="SQL33" s="1887"/>
      <c r="SQM33" s="1888"/>
      <c r="SQN33" s="1882"/>
      <c r="SQO33" s="1882"/>
      <c r="SQP33" s="1882"/>
      <c r="SQR33" s="1887"/>
      <c r="SQS33" s="1888"/>
      <c r="SQT33" s="1882"/>
      <c r="SQU33" s="1882"/>
      <c r="SQV33" s="1882"/>
      <c r="SQX33" s="1887"/>
      <c r="SQY33" s="1888"/>
      <c r="SQZ33" s="1882"/>
      <c r="SRA33" s="1882"/>
      <c r="SRB33" s="1882"/>
      <c r="SRD33" s="1887"/>
      <c r="SRE33" s="1888"/>
      <c r="SRF33" s="1882"/>
      <c r="SRG33" s="1882"/>
      <c r="SRH33" s="1882"/>
      <c r="SRJ33" s="1887"/>
      <c r="SRK33" s="1888"/>
      <c r="SRL33" s="1882"/>
      <c r="SRM33" s="1882"/>
      <c r="SRN33" s="1882"/>
      <c r="SRP33" s="1887"/>
      <c r="SRQ33" s="1888"/>
      <c r="SRR33" s="1882"/>
      <c r="SRS33" s="1882"/>
      <c r="SRT33" s="1882"/>
      <c r="SRV33" s="1887"/>
      <c r="SRW33" s="1888"/>
      <c r="SRX33" s="1882"/>
      <c r="SRY33" s="1882"/>
      <c r="SRZ33" s="1882"/>
      <c r="SSB33" s="1887"/>
      <c r="SSC33" s="1888"/>
      <c r="SSD33" s="1882"/>
      <c r="SSE33" s="1882"/>
      <c r="SSF33" s="1882"/>
      <c r="SSH33" s="1887"/>
      <c r="SSI33" s="1888"/>
      <c r="SSJ33" s="1882"/>
      <c r="SSK33" s="1882"/>
      <c r="SSL33" s="1882"/>
      <c r="SSN33" s="1887"/>
      <c r="SSO33" s="1888"/>
      <c r="SSP33" s="1882"/>
      <c r="SSQ33" s="1882"/>
      <c r="SSR33" s="1882"/>
      <c r="SST33" s="1887"/>
      <c r="SSU33" s="1888"/>
      <c r="SSV33" s="1882"/>
      <c r="SSW33" s="1882"/>
      <c r="SSX33" s="1882"/>
      <c r="SSZ33" s="1887"/>
      <c r="STA33" s="1888"/>
      <c r="STB33" s="1882"/>
      <c r="STC33" s="1882"/>
      <c r="STD33" s="1882"/>
      <c r="STF33" s="1887"/>
      <c r="STG33" s="1888"/>
      <c r="STH33" s="1882"/>
      <c r="STI33" s="1882"/>
      <c r="STJ33" s="1882"/>
      <c r="STL33" s="1887"/>
      <c r="STM33" s="1888"/>
      <c r="STN33" s="1882"/>
      <c r="STO33" s="1882"/>
      <c r="STP33" s="1882"/>
      <c r="STR33" s="1887"/>
      <c r="STS33" s="1888"/>
      <c r="STT33" s="1882"/>
      <c r="STU33" s="1882"/>
      <c r="STV33" s="1882"/>
      <c r="STX33" s="1887"/>
      <c r="STY33" s="1888"/>
      <c r="STZ33" s="1882"/>
      <c r="SUA33" s="1882"/>
      <c r="SUB33" s="1882"/>
      <c r="SUD33" s="1887"/>
      <c r="SUE33" s="1888"/>
      <c r="SUF33" s="1882"/>
      <c r="SUG33" s="1882"/>
      <c r="SUH33" s="1882"/>
      <c r="SUJ33" s="1887"/>
      <c r="SUK33" s="1888"/>
      <c r="SUL33" s="1882"/>
      <c r="SUM33" s="1882"/>
      <c r="SUN33" s="1882"/>
      <c r="SUP33" s="1887"/>
      <c r="SUQ33" s="1888"/>
      <c r="SUR33" s="1882"/>
      <c r="SUS33" s="1882"/>
      <c r="SUT33" s="1882"/>
      <c r="SUV33" s="1887"/>
      <c r="SUW33" s="1888"/>
      <c r="SUX33" s="1882"/>
      <c r="SUY33" s="1882"/>
      <c r="SUZ33" s="1882"/>
      <c r="SVB33" s="1887"/>
      <c r="SVC33" s="1888"/>
      <c r="SVD33" s="1882"/>
      <c r="SVE33" s="1882"/>
      <c r="SVF33" s="1882"/>
      <c r="SVH33" s="1887"/>
      <c r="SVI33" s="1888"/>
      <c r="SVJ33" s="1882"/>
      <c r="SVK33" s="1882"/>
      <c r="SVL33" s="1882"/>
      <c r="SVN33" s="1887"/>
      <c r="SVO33" s="1888"/>
      <c r="SVP33" s="1882"/>
      <c r="SVQ33" s="1882"/>
      <c r="SVR33" s="1882"/>
      <c r="SVT33" s="1887"/>
      <c r="SVU33" s="1888"/>
      <c r="SVV33" s="1882"/>
      <c r="SVW33" s="1882"/>
      <c r="SVX33" s="1882"/>
      <c r="SVZ33" s="1887"/>
      <c r="SWA33" s="1888"/>
      <c r="SWB33" s="1882"/>
      <c r="SWC33" s="1882"/>
      <c r="SWD33" s="1882"/>
      <c r="SWF33" s="1887"/>
      <c r="SWG33" s="1888"/>
      <c r="SWH33" s="1882"/>
      <c r="SWI33" s="1882"/>
      <c r="SWJ33" s="1882"/>
      <c r="SWL33" s="1887"/>
      <c r="SWM33" s="1888"/>
      <c r="SWN33" s="1882"/>
      <c r="SWO33" s="1882"/>
      <c r="SWP33" s="1882"/>
      <c r="SWR33" s="1887"/>
      <c r="SWS33" s="1888"/>
      <c r="SWT33" s="1882"/>
      <c r="SWU33" s="1882"/>
      <c r="SWV33" s="1882"/>
      <c r="SWX33" s="1887"/>
      <c r="SWY33" s="1888"/>
      <c r="SWZ33" s="1882"/>
      <c r="SXA33" s="1882"/>
      <c r="SXB33" s="1882"/>
      <c r="SXD33" s="1887"/>
      <c r="SXE33" s="1888"/>
      <c r="SXF33" s="1882"/>
      <c r="SXG33" s="1882"/>
      <c r="SXH33" s="1882"/>
      <c r="SXJ33" s="1887"/>
      <c r="SXK33" s="1888"/>
      <c r="SXL33" s="1882"/>
      <c r="SXM33" s="1882"/>
      <c r="SXN33" s="1882"/>
      <c r="SXP33" s="1887"/>
      <c r="SXQ33" s="1888"/>
      <c r="SXR33" s="1882"/>
      <c r="SXS33" s="1882"/>
      <c r="SXT33" s="1882"/>
      <c r="SXV33" s="1887"/>
      <c r="SXW33" s="1888"/>
      <c r="SXX33" s="1882"/>
      <c r="SXY33" s="1882"/>
      <c r="SXZ33" s="1882"/>
      <c r="SYB33" s="1887"/>
      <c r="SYC33" s="1888"/>
      <c r="SYD33" s="1882"/>
      <c r="SYE33" s="1882"/>
      <c r="SYF33" s="1882"/>
      <c r="SYH33" s="1887"/>
      <c r="SYI33" s="1888"/>
      <c r="SYJ33" s="1882"/>
      <c r="SYK33" s="1882"/>
      <c r="SYL33" s="1882"/>
      <c r="SYN33" s="1887"/>
      <c r="SYO33" s="1888"/>
      <c r="SYP33" s="1882"/>
      <c r="SYQ33" s="1882"/>
      <c r="SYR33" s="1882"/>
      <c r="SYT33" s="1887"/>
      <c r="SYU33" s="1888"/>
      <c r="SYV33" s="1882"/>
      <c r="SYW33" s="1882"/>
      <c r="SYX33" s="1882"/>
      <c r="SYZ33" s="1887"/>
      <c r="SZA33" s="1888"/>
      <c r="SZB33" s="1882"/>
      <c r="SZC33" s="1882"/>
      <c r="SZD33" s="1882"/>
      <c r="SZF33" s="1887"/>
      <c r="SZG33" s="1888"/>
      <c r="SZH33" s="1882"/>
      <c r="SZI33" s="1882"/>
      <c r="SZJ33" s="1882"/>
      <c r="SZL33" s="1887"/>
      <c r="SZM33" s="1888"/>
      <c r="SZN33" s="1882"/>
      <c r="SZO33" s="1882"/>
      <c r="SZP33" s="1882"/>
      <c r="SZR33" s="1887"/>
      <c r="SZS33" s="1888"/>
      <c r="SZT33" s="1882"/>
      <c r="SZU33" s="1882"/>
      <c r="SZV33" s="1882"/>
      <c r="SZX33" s="1887"/>
      <c r="SZY33" s="1888"/>
      <c r="SZZ33" s="1882"/>
      <c r="TAA33" s="1882"/>
      <c r="TAB33" s="1882"/>
      <c r="TAD33" s="1887"/>
      <c r="TAE33" s="1888"/>
      <c r="TAF33" s="1882"/>
      <c r="TAG33" s="1882"/>
      <c r="TAH33" s="1882"/>
      <c r="TAJ33" s="1887"/>
      <c r="TAK33" s="1888"/>
      <c r="TAL33" s="1882"/>
      <c r="TAM33" s="1882"/>
      <c r="TAN33" s="1882"/>
      <c r="TAP33" s="1887"/>
      <c r="TAQ33" s="1888"/>
      <c r="TAR33" s="1882"/>
      <c r="TAS33" s="1882"/>
      <c r="TAT33" s="1882"/>
      <c r="TAV33" s="1887"/>
      <c r="TAW33" s="1888"/>
      <c r="TAX33" s="1882"/>
      <c r="TAY33" s="1882"/>
      <c r="TAZ33" s="1882"/>
      <c r="TBB33" s="1887"/>
      <c r="TBC33" s="1888"/>
      <c r="TBD33" s="1882"/>
      <c r="TBE33" s="1882"/>
      <c r="TBF33" s="1882"/>
      <c r="TBH33" s="1887"/>
      <c r="TBI33" s="1888"/>
      <c r="TBJ33" s="1882"/>
      <c r="TBK33" s="1882"/>
      <c r="TBL33" s="1882"/>
      <c r="TBN33" s="1887"/>
      <c r="TBO33" s="1888"/>
      <c r="TBP33" s="1882"/>
      <c r="TBQ33" s="1882"/>
      <c r="TBR33" s="1882"/>
      <c r="TBT33" s="1887"/>
      <c r="TBU33" s="1888"/>
      <c r="TBV33" s="1882"/>
      <c r="TBW33" s="1882"/>
      <c r="TBX33" s="1882"/>
      <c r="TBZ33" s="1887"/>
      <c r="TCA33" s="1888"/>
      <c r="TCB33" s="1882"/>
      <c r="TCC33" s="1882"/>
      <c r="TCD33" s="1882"/>
      <c r="TCF33" s="1887"/>
      <c r="TCG33" s="1888"/>
      <c r="TCH33" s="1882"/>
      <c r="TCI33" s="1882"/>
      <c r="TCJ33" s="1882"/>
      <c r="TCL33" s="1887"/>
      <c r="TCM33" s="1888"/>
      <c r="TCN33" s="1882"/>
      <c r="TCO33" s="1882"/>
      <c r="TCP33" s="1882"/>
      <c r="TCR33" s="1887"/>
      <c r="TCS33" s="1888"/>
      <c r="TCT33" s="1882"/>
      <c r="TCU33" s="1882"/>
      <c r="TCV33" s="1882"/>
      <c r="TCX33" s="1887"/>
      <c r="TCY33" s="1888"/>
      <c r="TCZ33" s="1882"/>
      <c r="TDA33" s="1882"/>
      <c r="TDB33" s="1882"/>
      <c r="TDD33" s="1887"/>
      <c r="TDE33" s="1888"/>
      <c r="TDF33" s="1882"/>
      <c r="TDG33" s="1882"/>
      <c r="TDH33" s="1882"/>
      <c r="TDJ33" s="1887"/>
      <c r="TDK33" s="1888"/>
      <c r="TDL33" s="1882"/>
      <c r="TDM33" s="1882"/>
      <c r="TDN33" s="1882"/>
      <c r="TDP33" s="1887"/>
      <c r="TDQ33" s="1888"/>
      <c r="TDR33" s="1882"/>
      <c r="TDS33" s="1882"/>
      <c r="TDT33" s="1882"/>
      <c r="TDV33" s="1887"/>
      <c r="TDW33" s="1888"/>
      <c r="TDX33" s="1882"/>
      <c r="TDY33" s="1882"/>
      <c r="TDZ33" s="1882"/>
      <c r="TEB33" s="1887"/>
      <c r="TEC33" s="1888"/>
      <c r="TED33" s="1882"/>
      <c r="TEE33" s="1882"/>
      <c r="TEF33" s="1882"/>
      <c r="TEH33" s="1887"/>
      <c r="TEI33" s="1888"/>
      <c r="TEJ33" s="1882"/>
      <c r="TEK33" s="1882"/>
      <c r="TEL33" s="1882"/>
      <c r="TEN33" s="1887"/>
      <c r="TEO33" s="1888"/>
      <c r="TEP33" s="1882"/>
      <c r="TEQ33" s="1882"/>
      <c r="TER33" s="1882"/>
      <c r="TET33" s="1887"/>
      <c r="TEU33" s="1888"/>
      <c r="TEV33" s="1882"/>
      <c r="TEW33" s="1882"/>
      <c r="TEX33" s="1882"/>
      <c r="TEZ33" s="1887"/>
      <c r="TFA33" s="1888"/>
      <c r="TFB33" s="1882"/>
      <c r="TFC33" s="1882"/>
      <c r="TFD33" s="1882"/>
      <c r="TFF33" s="1887"/>
      <c r="TFG33" s="1888"/>
      <c r="TFH33" s="1882"/>
      <c r="TFI33" s="1882"/>
      <c r="TFJ33" s="1882"/>
      <c r="TFL33" s="1887"/>
      <c r="TFM33" s="1888"/>
      <c r="TFN33" s="1882"/>
      <c r="TFO33" s="1882"/>
      <c r="TFP33" s="1882"/>
      <c r="TFR33" s="1887"/>
      <c r="TFS33" s="1888"/>
      <c r="TFT33" s="1882"/>
      <c r="TFU33" s="1882"/>
      <c r="TFV33" s="1882"/>
      <c r="TFX33" s="1887"/>
      <c r="TFY33" s="1888"/>
      <c r="TFZ33" s="1882"/>
      <c r="TGA33" s="1882"/>
      <c r="TGB33" s="1882"/>
      <c r="TGD33" s="1887"/>
      <c r="TGE33" s="1888"/>
      <c r="TGF33" s="1882"/>
      <c r="TGG33" s="1882"/>
      <c r="TGH33" s="1882"/>
      <c r="TGJ33" s="1887"/>
      <c r="TGK33" s="1888"/>
      <c r="TGL33" s="1882"/>
      <c r="TGM33" s="1882"/>
      <c r="TGN33" s="1882"/>
      <c r="TGP33" s="1887"/>
      <c r="TGQ33" s="1888"/>
      <c r="TGR33" s="1882"/>
      <c r="TGS33" s="1882"/>
      <c r="TGT33" s="1882"/>
      <c r="TGV33" s="1887"/>
      <c r="TGW33" s="1888"/>
      <c r="TGX33" s="1882"/>
      <c r="TGY33" s="1882"/>
      <c r="TGZ33" s="1882"/>
      <c r="THB33" s="1887"/>
      <c r="THC33" s="1888"/>
      <c r="THD33" s="1882"/>
      <c r="THE33" s="1882"/>
      <c r="THF33" s="1882"/>
      <c r="THH33" s="1887"/>
      <c r="THI33" s="1888"/>
      <c r="THJ33" s="1882"/>
      <c r="THK33" s="1882"/>
      <c r="THL33" s="1882"/>
      <c r="THN33" s="1887"/>
      <c r="THO33" s="1888"/>
      <c r="THP33" s="1882"/>
      <c r="THQ33" s="1882"/>
      <c r="THR33" s="1882"/>
      <c r="THT33" s="1887"/>
      <c r="THU33" s="1888"/>
      <c r="THV33" s="1882"/>
      <c r="THW33" s="1882"/>
      <c r="THX33" s="1882"/>
      <c r="THZ33" s="1887"/>
      <c r="TIA33" s="1888"/>
      <c r="TIB33" s="1882"/>
      <c r="TIC33" s="1882"/>
      <c r="TID33" s="1882"/>
      <c r="TIF33" s="1887"/>
      <c r="TIG33" s="1888"/>
      <c r="TIH33" s="1882"/>
      <c r="TII33" s="1882"/>
      <c r="TIJ33" s="1882"/>
      <c r="TIL33" s="1887"/>
      <c r="TIM33" s="1888"/>
      <c r="TIN33" s="1882"/>
      <c r="TIO33" s="1882"/>
      <c r="TIP33" s="1882"/>
      <c r="TIR33" s="1887"/>
      <c r="TIS33" s="1888"/>
      <c r="TIT33" s="1882"/>
      <c r="TIU33" s="1882"/>
      <c r="TIV33" s="1882"/>
      <c r="TIX33" s="1887"/>
      <c r="TIY33" s="1888"/>
      <c r="TIZ33" s="1882"/>
      <c r="TJA33" s="1882"/>
      <c r="TJB33" s="1882"/>
      <c r="TJD33" s="1887"/>
      <c r="TJE33" s="1888"/>
      <c r="TJF33" s="1882"/>
      <c r="TJG33" s="1882"/>
      <c r="TJH33" s="1882"/>
      <c r="TJJ33" s="1887"/>
      <c r="TJK33" s="1888"/>
      <c r="TJL33" s="1882"/>
      <c r="TJM33" s="1882"/>
      <c r="TJN33" s="1882"/>
      <c r="TJP33" s="1887"/>
      <c r="TJQ33" s="1888"/>
      <c r="TJR33" s="1882"/>
      <c r="TJS33" s="1882"/>
      <c r="TJT33" s="1882"/>
      <c r="TJV33" s="1887"/>
      <c r="TJW33" s="1888"/>
      <c r="TJX33" s="1882"/>
      <c r="TJY33" s="1882"/>
      <c r="TJZ33" s="1882"/>
      <c r="TKB33" s="1887"/>
      <c r="TKC33" s="1888"/>
      <c r="TKD33" s="1882"/>
      <c r="TKE33" s="1882"/>
      <c r="TKF33" s="1882"/>
      <c r="TKH33" s="1887"/>
      <c r="TKI33" s="1888"/>
      <c r="TKJ33" s="1882"/>
      <c r="TKK33" s="1882"/>
      <c r="TKL33" s="1882"/>
      <c r="TKN33" s="1887"/>
      <c r="TKO33" s="1888"/>
      <c r="TKP33" s="1882"/>
      <c r="TKQ33" s="1882"/>
      <c r="TKR33" s="1882"/>
      <c r="TKT33" s="1887"/>
      <c r="TKU33" s="1888"/>
      <c r="TKV33" s="1882"/>
      <c r="TKW33" s="1882"/>
      <c r="TKX33" s="1882"/>
      <c r="TKZ33" s="1887"/>
      <c r="TLA33" s="1888"/>
      <c r="TLB33" s="1882"/>
      <c r="TLC33" s="1882"/>
      <c r="TLD33" s="1882"/>
      <c r="TLF33" s="1887"/>
      <c r="TLG33" s="1888"/>
      <c r="TLH33" s="1882"/>
      <c r="TLI33" s="1882"/>
      <c r="TLJ33" s="1882"/>
      <c r="TLL33" s="1887"/>
      <c r="TLM33" s="1888"/>
      <c r="TLN33" s="1882"/>
      <c r="TLO33" s="1882"/>
      <c r="TLP33" s="1882"/>
      <c r="TLR33" s="1887"/>
      <c r="TLS33" s="1888"/>
      <c r="TLT33" s="1882"/>
      <c r="TLU33" s="1882"/>
      <c r="TLV33" s="1882"/>
      <c r="TLX33" s="1887"/>
      <c r="TLY33" s="1888"/>
      <c r="TLZ33" s="1882"/>
      <c r="TMA33" s="1882"/>
      <c r="TMB33" s="1882"/>
      <c r="TMD33" s="1887"/>
      <c r="TME33" s="1888"/>
      <c r="TMF33" s="1882"/>
      <c r="TMG33" s="1882"/>
      <c r="TMH33" s="1882"/>
      <c r="TMJ33" s="1887"/>
      <c r="TMK33" s="1888"/>
      <c r="TML33" s="1882"/>
      <c r="TMM33" s="1882"/>
      <c r="TMN33" s="1882"/>
      <c r="TMP33" s="1887"/>
      <c r="TMQ33" s="1888"/>
      <c r="TMR33" s="1882"/>
      <c r="TMS33" s="1882"/>
      <c r="TMT33" s="1882"/>
      <c r="TMV33" s="1887"/>
      <c r="TMW33" s="1888"/>
      <c r="TMX33" s="1882"/>
      <c r="TMY33" s="1882"/>
      <c r="TMZ33" s="1882"/>
      <c r="TNB33" s="1887"/>
      <c r="TNC33" s="1888"/>
      <c r="TND33" s="1882"/>
      <c r="TNE33" s="1882"/>
      <c r="TNF33" s="1882"/>
      <c r="TNH33" s="1887"/>
      <c r="TNI33" s="1888"/>
      <c r="TNJ33" s="1882"/>
      <c r="TNK33" s="1882"/>
      <c r="TNL33" s="1882"/>
      <c r="TNN33" s="1887"/>
      <c r="TNO33" s="1888"/>
      <c r="TNP33" s="1882"/>
      <c r="TNQ33" s="1882"/>
      <c r="TNR33" s="1882"/>
      <c r="TNT33" s="1887"/>
      <c r="TNU33" s="1888"/>
      <c r="TNV33" s="1882"/>
      <c r="TNW33" s="1882"/>
      <c r="TNX33" s="1882"/>
      <c r="TNZ33" s="1887"/>
      <c r="TOA33" s="1888"/>
      <c r="TOB33" s="1882"/>
      <c r="TOC33" s="1882"/>
      <c r="TOD33" s="1882"/>
      <c r="TOF33" s="1887"/>
      <c r="TOG33" s="1888"/>
      <c r="TOH33" s="1882"/>
      <c r="TOI33" s="1882"/>
      <c r="TOJ33" s="1882"/>
      <c r="TOL33" s="1887"/>
      <c r="TOM33" s="1888"/>
      <c r="TON33" s="1882"/>
      <c r="TOO33" s="1882"/>
      <c r="TOP33" s="1882"/>
      <c r="TOR33" s="1887"/>
      <c r="TOS33" s="1888"/>
      <c r="TOT33" s="1882"/>
      <c r="TOU33" s="1882"/>
      <c r="TOV33" s="1882"/>
      <c r="TOX33" s="1887"/>
      <c r="TOY33" s="1888"/>
      <c r="TOZ33" s="1882"/>
      <c r="TPA33" s="1882"/>
      <c r="TPB33" s="1882"/>
      <c r="TPD33" s="1887"/>
      <c r="TPE33" s="1888"/>
      <c r="TPF33" s="1882"/>
      <c r="TPG33" s="1882"/>
      <c r="TPH33" s="1882"/>
      <c r="TPJ33" s="1887"/>
      <c r="TPK33" s="1888"/>
      <c r="TPL33" s="1882"/>
      <c r="TPM33" s="1882"/>
      <c r="TPN33" s="1882"/>
      <c r="TPP33" s="1887"/>
      <c r="TPQ33" s="1888"/>
      <c r="TPR33" s="1882"/>
      <c r="TPS33" s="1882"/>
      <c r="TPT33" s="1882"/>
      <c r="TPV33" s="1887"/>
      <c r="TPW33" s="1888"/>
      <c r="TPX33" s="1882"/>
      <c r="TPY33" s="1882"/>
      <c r="TPZ33" s="1882"/>
      <c r="TQB33" s="1887"/>
      <c r="TQC33" s="1888"/>
      <c r="TQD33" s="1882"/>
      <c r="TQE33" s="1882"/>
      <c r="TQF33" s="1882"/>
      <c r="TQH33" s="1887"/>
      <c r="TQI33" s="1888"/>
      <c r="TQJ33" s="1882"/>
      <c r="TQK33" s="1882"/>
      <c r="TQL33" s="1882"/>
      <c r="TQN33" s="1887"/>
      <c r="TQO33" s="1888"/>
      <c r="TQP33" s="1882"/>
      <c r="TQQ33" s="1882"/>
      <c r="TQR33" s="1882"/>
      <c r="TQT33" s="1887"/>
      <c r="TQU33" s="1888"/>
      <c r="TQV33" s="1882"/>
      <c r="TQW33" s="1882"/>
      <c r="TQX33" s="1882"/>
      <c r="TQZ33" s="1887"/>
      <c r="TRA33" s="1888"/>
      <c r="TRB33" s="1882"/>
      <c r="TRC33" s="1882"/>
      <c r="TRD33" s="1882"/>
      <c r="TRF33" s="1887"/>
      <c r="TRG33" s="1888"/>
      <c r="TRH33" s="1882"/>
      <c r="TRI33" s="1882"/>
      <c r="TRJ33" s="1882"/>
      <c r="TRL33" s="1887"/>
      <c r="TRM33" s="1888"/>
      <c r="TRN33" s="1882"/>
      <c r="TRO33" s="1882"/>
      <c r="TRP33" s="1882"/>
      <c r="TRR33" s="1887"/>
      <c r="TRS33" s="1888"/>
      <c r="TRT33" s="1882"/>
      <c r="TRU33" s="1882"/>
      <c r="TRV33" s="1882"/>
      <c r="TRX33" s="1887"/>
      <c r="TRY33" s="1888"/>
      <c r="TRZ33" s="1882"/>
      <c r="TSA33" s="1882"/>
      <c r="TSB33" s="1882"/>
      <c r="TSD33" s="1887"/>
      <c r="TSE33" s="1888"/>
      <c r="TSF33" s="1882"/>
      <c r="TSG33" s="1882"/>
      <c r="TSH33" s="1882"/>
      <c r="TSJ33" s="1887"/>
      <c r="TSK33" s="1888"/>
      <c r="TSL33" s="1882"/>
      <c r="TSM33" s="1882"/>
      <c r="TSN33" s="1882"/>
      <c r="TSP33" s="1887"/>
      <c r="TSQ33" s="1888"/>
      <c r="TSR33" s="1882"/>
      <c r="TSS33" s="1882"/>
      <c r="TST33" s="1882"/>
      <c r="TSV33" s="1887"/>
      <c r="TSW33" s="1888"/>
      <c r="TSX33" s="1882"/>
      <c r="TSY33" s="1882"/>
      <c r="TSZ33" s="1882"/>
      <c r="TTB33" s="1887"/>
      <c r="TTC33" s="1888"/>
      <c r="TTD33" s="1882"/>
      <c r="TTE33" s="1882"/>
      <c r="TTF33" s="1882"/>
      <c r="TTH33" s="1887"/>
      <c r="TTI33" s="1888"/>
      <c r="TTJ33" s="1882"/>
      <c r="TTK33" s="1882"/>
      <c r="TTL33" s="1882"/>
      <c r="TTN33" s="1887"/>
      <c r="TTO33" s="1888"/>
      <c r="TTP33" s="1882"/>
      <c r="TTQ33" s="1882"/>
      <c r="TTR33" s="1882"/>
      <c r="TTT33" s="1887"/>
      <c r="TTU33" s="1888"/>
      <c r="TTV33" s="1882"/>
      <c r="TTW33" s="1882"/>
      <c r="TTX33" s="1882"/>
      <c r="TTZ33" s="1887"/>
      <c r="TUA33" s="1888"/>
      <c r="TUB33" s="1882"/>
      <c r="TUC33" s="1882"/>
      <c r="TUD33" s="1882"/>
      <c r="TUF33" s="1887"/>
      <c r="TUG33" s="1888"/>
      <c r="TUH33" s="1882"/>
      <c r="TUI33" s="1882"/>
      <c r="TUJ33" s="1882"/>
      <c r="TUL33" s="1887"/>
      <c r="TUM33" s="1888"/>
      <c r="TUN33" s="1882"/>
      <c r="TUO33" s="1882"/>
      <c r="TUP33" s="1882"/>
      <c r="TUR33" s="1887"/>
      <c r="TUS33" s="1888"/>
      <c r="TUT33" s="1882"/>
      <c r="TUU33" s="1882"/>
      <c r="TUV33" s="1882"/>
      <c r="TUX33" s="1887"/>
      <c r="TUY33" s="1888"/>
      <c r="TUZ33" s="1882"/>
      <c r="TVA33" s="1882"/>
      <c r="TVB33" s="1882"/>
      <c r="TVD33" s="1887"/>
      <c r="TVE33" s="1888"/>
      <c r="TVF33" s="1882"/>
      <c r="TVG33" s="1882"/>
      <c r="TVH33" s="1882"/>
      <c r="TVJ33" s="1887"/>
      <c r="TVK33" s="1888"/>
      <c r="TVL33" s="1882"/>
      <c r="TVM33" s="1882"/>
      <c r="TVN33" s="1882"/>
      <c r="TVP33" s="1887"/>
      <c r="TVQ33" s="1888"/>
      <c r="TVR33" s="1882"/>
      <c r="TVS33" s="1882"/>
      <c r="TVT33" s="1882"/>
      <c r="TVV33" s="1887"/>
      <c r="TVW33" s="1888"/>
      <c r="TVX33" s="1882"/>
      <c r="TVY33" s="1882"/>
      <c r="TVZ33" s="1882"/>
      <c r="TWB33" s="1887"/>
      <c r="TWC33" s="1888"/>
      <c r="TWD33" s="1882"/>
      <c r="TWE33" s="1882"/>
      <c r="TWF33" s="1882"/>
      <c r="TWH33" s="1887"/>
      <c r="TWI33" s="1888"/>
      <c r="TWJ33" s="1882"/>
      <c r="TWK33" s="1882"/>
      <c r="TWL33" s="1882"/>
      <c r="TWN33" s="1887"/>
      <c r="TWO33" s="1888"/>
      <c r="TWP33" s="1882"/>
      <c r="TWQ33" s="1882"/>
      <c r="TWR33" s="1882"/>
      <c r="TWT33" s="1887"/>
      <c r="TWU33" s="1888"/>
      <c r="TWV33" s="1882"/>
      <c r="TWW33" s="1882"/>
      <c r="TWX33" s="1882"/>
      <c r="TWZ33" s="1887"/>
      <c r="TXA33" s="1888"/>
      <c r="TXB33" s="1882"/>
      <c r="TXC33" s="1882"/>
      <c r="TXD33" s="1882"/>
      <c r="TXF33" s="1887"/>
      <c r="TXG33" s="1888"/>
      <c r="TXH33" s="1882"/>
      <c r="TXI33" s="1882"/>
      <c r="TXJ33" s="1882"/>
      <c r="TXL33" s="1887"/>
      <c r="TXM33" s="1888"/>
      <c r="TXN33" s="1882"/>
      <c r="TXO33" s="1882"/>
      <c r="TXP33" s="1882"/>
      <c r="TXR33" s="1887"/>
      <c r="TXS33" s="1888"/>
      <c r="TXT33" s="1882"/>
      <c r="TXU33" s="1882"/>
      <c r="TXV33" s="1882"/>
      <c r="TXX33" s="1887"/>
      <c r="TXY33" s="1888"/>
      <c r="TXZ33" s="1882"/>
      <c r="TYA33" s="1882"/>
      <c r="TYB33" s="1882"/>
      <c r="TYD33" s="1887"/>
      <c r="TYE33" s="1888"/>
      <c r="TYF33" s="1882"/>
      <c r="TYG33" s="1882"/>
      <c r="TYH33" s="1882"/>
      <c r="TYJ33" s="1887"/>
      <c r="TYK33" s="1888"/>
      <c r="TYL33" s="1882"/>
      <c r="TYM33" s="1882"/>
      <c r="TYN33" s="1882"/>
      <c r="TYP33" s="1887"/>
      <c r="TYQ33" s="1888"/>
      <c r="TYR33" s="1882"/>
      <c r="TYS33" s="1882"/>
      <c r="TYT33" s="1882"/>
      <c r="TYV33" s="1887"/>
      <c r="TYW33" s="1888"/>
      <c r="TYX33" s="1882"/>
      <c r="TYY33" s="1882"/>
      <c r="TYZ33" s="1882"/>
      <c r="TZB33" s="1887"/>
      <c r="TZC33" s="1888"/>
      <c r="TZD33" s="1882"/>
      <c r="TZE33" s="1882"/>
      <c r="TZF33" s="1882"/>
      <c r="TZH33" s="1887"/>
      <c r="TZI33" s="1888"/>
      <c r="TZJ33" s="1882"/>
      <c r="TZK33" s="1882"/>
      <c r="TZL33" s="1882"/>
      <c r="TZN33" s="1887"/>
      <c r="TZO33" s="1888"/>
      <c r="TZP33" s="1882"/>
      <c r="TZQ33" s="1882"/>
      <c r="TZR33" s="1882"/>
      <c r="TZT33" s="1887"/>
      <c r="TZU33" s="1888"/>
      <c r="TZV33" s="1882"/>
      <c r="TZW33" s="1882"/>
      <c r="TZX33" s="1882"/>
      <c r="TZZ33" s="1887"/>
      <c r="UAA33" s="1888"/>
      <c r="UAB33" s="1882"/>
      <c r="UAC33" s="1882"/>
      <c r="UAD33" s="1882"/>
      <c r="UAF33" s="1887"/>
      <c r="UAG33" s="1888"/>
      <c r="UAH33" s="1882"/>
      <c r="UAI33" s="1882"/>
      <c r="UAJ33" s="1882"/>
      <c r="UAL33" s="1887"/>
      <c r="UAM33" s="1888"/>
      <c r="UAN33" s="1882"/>
      <c r="UAO33" s="1882"/>
      <c r="UAP33" s="1882"/>
      <c r="UAR33" s="1887"/>
      <c r="UAS33" s="1888"/>
      <c r="UAT33" s="1882"/>
      <c r="UAU33" s="1882"/>
      <c r="UAV33" s="1882"/>
      <c r="UAX33" s="1887"/>
      <c r="UAY33" s="1888"/>
      <c r="UAZ33" s="1882"/>
      <c r="UBA33" s="1882"/>
      <c r="UBB33" s="1882"/>
      <c r="UBD33" s="1887"/>
      <c r="UBE33" s="1888"/>
      <c r="UBF33" s="1882"/>
      <c r="UBG33" s="1882"/>
      <c r="UBH33" s="1882"/>
      <c r="UBJ33" s="1887"/>
      <c r="UBK33" s="1888"/>
      <c r="UBL33" s="1882"/>
      <c r="UBM33" s="1882"/>
      <c r="UBN33" s="1882"/>
      <c r="UBP33" s="1887"/>
      <c r="UBQ33" s="1888"/>
      <c r="UBR33" s="1882"/>
      <c r="UBS33" s="1882"/>
      <c r="UBT33" s="1882"/>
      <c r="UBV33" s="1887"/>
      <c r="UBW33" s="1888"/>
      <c r="UBX33" s="1882"/>
      <c r="UBY33" s="1882"/>
      <c r="UBZ33" s="1882"/>
      <c r="UCB33" s="1887"/>
      <c r="UCC33" s="1888"/>
      <c r="UCD33" s="1882"/>
      <c r="UCE33" s="1882"/>
      <c r="UCF33" s="1882"/>
      <c r="UCH33" s="1887"/>
      <c r="UCI33" s="1888"/>
      <c r="UCJ33" s="1882"/>
      <c r="UCK33" s="1882"/>
      <c r="UCL33" s="1882"/>
      <c r="UCN33" s="1887"/>
      <c r="UCO33" s="1888"/>
      <c r="UCP33" s="1882"/>
      <c r="UCQ33" s="1882"/>
      <c r="UCR33" s="1882"/>
      <c r="UCT33" s="1887"/>
      <c r="UCU33" s="1888"/>
      <c r="UCV33" s="1882"/>
      <c r="UCW33" s="1882"/>
      <c r="UCX33" s="1882"/>
      <c r="UCZ33" s="1887"/>
      <c r="UDA33" s="1888"/>
      <c r="UDB33" s="1882"/>
      <c r="UDC33" s="1882"/>
      <c r="UDD33" s="1882"/>
      <c r="UDF33" s="1887"/>
      <c r="UDG33" s="1888"/>
      <c r="UDH33" s="1882"/>
      <c r="UDI33" s="1882"/>
      <c r="UDJ33" s="1882"/>
      <c r="UDL33" s="1887"/>
      <c r="UDM33" s="1888"/>
      <c r="UDN33" s="1882"/>
      <c r="UDO33" s="1882"/>
      <c r="UDP33" s="1882"/>
      <c r="UDR33" s="1887"/>
      <c r="UDS33" s="1888"/>
      <c r="UDT33" s="1882"/>
      <c r="UDU33" s="1882"/>
      <c r="UDV33" s="1882"/>
      <c r="UDX33" s="1887"/>
      <c r="UDY33" s="1888"/>
      <c r="UDZ33" s="1882"/>
      <c r="UEA33" s="1882"/>
      <c r="UEB33" s="1882"/>
      <c r="UED33" s="1887"/>
      <c r="UEE33" s="1888"/>
      <c r="UEF33" s="1882"/>
      <c r="UEG33" s="1882"/>
      <c r="UEH33" s="1882"/>
      <c r="UEJ33" s="1887"/>
      <c r="UEK33" s="1888"/>
      <c r="UEL33" s="1882"/>
      <c r="UEM33" s="1882"/>
      <c r="UEN33" s="1882"/>
      <c r="UEP33" s="1887"/>
      <c r="UEQ33" s="1888"/>
      <c r="UER33" s="1882"/>
      <c r="UES33" s="1882"/>
      <c r="UET33" s="1882"/>
      <c r="UEV33" s="1887"/>
      <c r="UEW33" s="1888"/>
      <c r="UEX33" s="1882"/>
      <c r="UEY33" s="1882"/>
      <c r="UEZ33" s="1882"/>
      <c r="UFB33" s="1887"/>
      <c r="UFC33" s="1888"/>
      <c r="UFD33" s="1882"/>
      <c r="UFE33" s="1882"/>
      <c r="UFF33" s="1882"/>
      <c r="UFH33" s="1887"/>
      <c r="UFI33" s="1888"/>
      <c r="UFJ33" s="1882"/>
      <c r="UFK33" s="1882"/>
      <c r="UFL33" s="1882"/>
      <c r="UFN33" s="1887"/>
      <c r="UFO33" s="1888"/>
      <c r="UFP33" s="1882"/>
      <c r="UFQ33" s="1882"/>
      <c r="UFR33" s="1882"/>
      <c r="UFT33" s="1887"/>
      <c r="UFU33" s="1888"/>
      <c r="UFV33" s="1882"/>
      <c r="UFW33" s="1882"/>
      <c r="UFX33" s="1882"/>
      <c r="UFZ33" s="1887"/>
      <c r="UGA33" s="1888"/>
      <c r="UGB33" s="1882"/>
      <c r="UGC33" s="1882"/>
      <c r="UGD33" s="1882"/>
      <c r="UGF33" s="1887"/>
      <c r="UGG33" s="1888"/>
      <c r="UGH33" s="1882"/>
      <c r="UGI33" s="1882"/>
      <c r="UGJ33" s="1882"/>
      <c r="UGL33" s="1887"/>
      <c r="UGM33" s="1888"/>
      <c r="UGN33" s="1882"/>
      <c r="UGO33" s="1882"/>
      <c r="UGP33" s="1882"/>
      <c r="UGR33" s="1887"/>
      <c r="UGS33" s="1888"/>
      <c r="UGT33" s="1882"/>
      <c r="UGU33" s="1882"/>
      <c r="UGV33" s="1882"/>
      <c r="UGX33" s="1887"/>
      <c r="UGY33" s="1888"/>
      <c r="UGZ33" s="1882"/>
      <c r="UHA33" s="1882"/>
      <c r="UHB33" s="1882"/>
      <c r="UHD33" s="1887"/>
      <c r="UHE33" s="1888"/>
      <c r="UHF33" s="1882"/>
      <c r="UHG33" s="1882"/>
      <c r="UHH33" s="1882"/>
      <c r="UHJ33" s="1887"/>
      <c r="UHK33" s="1888"/>
      <c r="UHL33" s="1882"/>
      <c r="UHM33" s="1882"/>
      <c r="UHN33" s="1882"/>
      <c r="UHP33" s="1887"/>
      <c r="UHQ33" s="1888"/>
      <c r="UHR33" s="1882"/>
      <c r="UHS33" s="1882"/>
      <c r="UHT33" s="1882"/>
      <c r="UHV33" s="1887"/>
      <c r="UHW33" s="1888"/>
      <c r="UHX33" s="1882"/>
      <c r="UHY33" s="1882"/>
      <c r="UHZ33" s="1882"/>
      <c r="UIB33" s="1887"/>
      <c r="UIC33" s="1888"/>
      <c r="UID33" s="1882"/>
      <c r="UIE33" s="1882"/>
      <c r="UIF33" s="1882"/>
      <c r="UIH33" s="1887"/>
      <c r="UII33" s="1888"/>
      <c r="UIJ33" s="1882"/>
      <c r="UIK33" s="1882"/>
      <c r="UIL33" s="1882"/>
      <c r="UIN33" s="1887"/>
      <c r="UIO33" s="1888"/>
      <c r="UIP33" s="1882"/>
      <c r="UIQ33" s="1882"/>
      <c r="UIR33" s="1882"/>
      <c r="UIT33" s="1887"/>
      <c r="UIU33" s="1888"/>
      <c r="UIV33" s="1882"/>
      <c r="UIW33" s="1882"/>
      <c r="UIX33" s="1882"/>
      <c r="UIZ33" s="1887"/>
      <c r="UJA33" s="1888"/>
      <c r="UJB33" s="1882"/>
      <c r="UJC33" s="1882"/>
      <c r="UJD33" s="1882"/>
      <c r="UJF33" s="1887"/>
      <c r="UJG33" s="1888"/>
      <c r="UJH33" s="1882"/>
      <c r="UJI33" s="1882"/>
      <c r="UJJ33" s="1882"/>
      <c r="UJL33" s="1887"/>
      <c r="UJM33" s="1888"/>
      <c r="UJN33" s="1882"/>
      <c r="UJO33" s="1882"/>
      <c r="UJP33" s="1882"/>
      <c r="UJR33" s="1887"/>
      <c r="UJS33" s="1888"/>
      <c r="UJT33" s="1882"/>
      <c r="UJU33" s="1882"/>
      <c r="UJV33" s="1882"/>
      <c r="UJX33" s="1887"/>
      <c r="UJY33" s="1888"/>
      <c r="UJZ33" s="1882"/>
      <c r="UKA33" s="1882"/>
      <c r="UKB33" s="1882"/>
      <c r="UKD33" s="1887"/>
      <c r="UKE33" s="1888"/>
      <c r="UKF33" s="1882"/>
      <c r="UKG33" s="1882"/>
      <c r="UKH33" s="1882"/>
      <c r="UKJ33" s="1887"/>
      <c r="UKK33" s="1888"/>
      <c r="UKL33" s="1882"/>
      <c r="UKM33" s="1882"/>
      <c r="UKN33" s="1882"/>
      <c r="UKP33" s="1887"/>
      <c r="UKQ33" s="1888"/>
      <c r="UKR33" s="1882"/>
      <c r="UKS33" s="1882"/>
      <c r="UKT33" s="1882"/>
      <c r="UKV33" s="1887"/>
      <c r="UKW33" s="1888"/>
      <c r="UKX33" s="1882"/>
      <c r="UKY33" s="1882"/>
      <c r="UKZ33" s="1882"/>
      <c r="ULB33" s="1887"/>
      <c r="ULC33" s="1888"/>
      <c r="ULD33" s="1882"/>
      <c r="ULE33" s="1882"/>
      <c r="ULF33" s="1882"/>
      <c r="ULH33" s="1887"/>
      <c r="ULI33" s="1888"/>
      <c r="ULJ33" s="1882"/>
      <c r="ULK33" s="1882"/>
      <c r="ULL33" s="1882"/>
      <c r="ULN33" s="1887"/>
      <c r="ULO33" s="1888"/>
      <c r="ULP33" s="1882"/>
      <c r="ULQ33" s="1882"/>
      <c r="ULR33" s="1882"/>
      <c r="ULT33" s="1887"/>
      <c r="ULU33" s="1888"/>
      <c r="ULV33" s="1882"/>
      <c r="ULW33" s="1882"/>
      <c r="ULX33" s="1882"/>
      <c r="ULZ33" s="1887"/>
      <c r="UMA33" s="1888"/>
      <c r="UMB33" s="1882"/>
      <c r="UMC33" s="1882"/>
      <c r="UMD33" s="1882"/>
      <c r="UMF33" s="1887"/>
      <c r="UMG33" s="1888"/>
      <c r="UMH33" s="1882"/>
      <c r="UMI33" s="1882"/>
      <c r="UMJ33" s="1882"/>
      <c r="UML33" s="1887"/>
      <c r="UMM33" s="1888"/>
      <c r="UMN33" s="1882"/>
      <c r="UMO33" s="1882"/>
      <c r="UMP33" s="1882"/>
      <c r="UMR33" s="1887"/>
      <c r="UMS33" s="1888"/>
      <c r="UMT33" s="1882"/>
      <c r="UMU33" s="1882"/>
      <c r="UMV33" s="1882"/>
      <c r="UMX33" s="1887"/>
      <c r="UMY33" s="1888"/>
      <c r="UMZ33" s="1882"/>
      <c r="UNA33" s="1882"/>
      <c r="UNB33" s="1882"/>
      <c r="UND33" s="1887"/>
      <c r="UNE33" s="1888"/>
      <c r="UNF33" s="1882"/>
      <c r="UNG33" s="1882"/>
      <c r="UNH33" s="1882"/>
      <c r="UNJ33" s="1887"/>
      <c r="UNK33" s="1888"/>
      <c r="UNL33" s="1882"/>
      <c r="UNM33" s="1882"/>
      <c r="UNN33" s="1882"/>
      <c r="UNP33" s="1887"/>
      <c r="UNQ33" s="1888"/>
      <c r="UNR33" s="1882"/>
      <c r="UNS33" s="1882"/>
      <c r="UNT33" s="1882"/>
      <c r="UNV33" s="1887"/>
      <c r="UNW33" s="1888"/>
      <c r="UNX33" s="1882"/>
      <c r="UNY33" s="1882"/>
      <c r="UNZ33" s="1882"/>
      <c r="UOB33" s="1887"/>
      <c r="UOC33" s="1888"/>
      <c r="UOD33" s="1882"/>
      <c r="UOE33" s="1882"/>
      <c r="UOF33" s="1882"/>
      <c r="UOH33" s="1887"/>
      <c r="UOI33" s="1888"/>
      <c r="UOJ33" s="1882"/>
      <c r="UOK33" s="1882"/>
      <c r="UOL33" s="1882"/>
      <c r="UON33" s="1887"/>
      <c r="UOO33" s="1888"/>
      <c r="UOP33" s="1882"/>
      <c r="UOQ33" s="1882"/>
      <c r="UOR33" s="1882"/>
      <c r="UOT33" s="1887"/>
      <c r="UOU33" s="1888"/>
      <c r="UOV33" s="1882"/>
      <c r="UOW33" s="1882"/>
      <c r="UOX33" s="1882"/>
      <c r="UOZ33" s="1887"/>
      <c r="UPA33" s="1888"/>
      <c r="UPB33" s="1882"/>
      <c r="UPC33" s="1882"/>
      <c r="UPD33" s="1882"/>
      <c r="UPF33" s="1887"/>
      <c r="UPG33" s="1888"/>
      <c r="UPH33" s="1882"/>
      <c r="UPI33" s="1882"/>
      <c r="UPJ33" s="1882"/>
      <c r="UPL33" s="1887"/>
      <c r="UPM33" s="1888"/>
      <c r="UPN33" s="1882"/>
      <c r="UPO33" s="1882"/>
      <c r="UPP33" s="1882"/>
      <c r="UPR33" s="1887"/>
      <c r="UPS33" s="1888"/>
      <c r="UPT33" s="1882"/>
      <c r="UPU33" s="1882"/>
      <c r="UPV33" s="1882"/>
      <c r="UPX33" s="1887"/>
      <c r="UPY33" s="1888"/>
      <c r="UPZ33" s="1882"/>
      <c r="UQA33" s="1882"/>
      <c r="UQB33" s="1882"/>
      <c r="UQD33" s="1887"/>
      <c r="UQE33" s="1888"/>
      <c r="UQF33" s="1882"/>
      <c r="UQG33" s="1882"/>
      <c r="UQH33" s="1882"/>
      <c r="UQJ33" s="1887"/>
      <c r="UQK33" s="1888"/>
      <c r="UQL33" s="1882"/>
      <c r="UQM33" s="1882"/>
      <c r="UQN33" s="1882"/>
      <c r="UQP33" s="1887"/>
      <c r="UQQ33" s="1888"/>
      <c r="UQR33" s="1882"/>
      <c r="UQS33" s="1882"/>
      <c r="UQT33" s="1882"/>
      <c r="UQV33" s="1887"/>
      <c r="UQW33" s="1888"/>
      <c r="UQX33" s="1882"/>
      <c r="UQY33" s="1882"/>
      <c r="UQZ33" s="1882"/>
      <c r="URB33" s="1887"/>
      <c r="URC33" s="1888"/>
      <c r="URD33" s="1882"/>
      <c r="URE33" s="1882"/>
      <c r="URF33" s="1882"/>
      <c r="URH33" s="1887"/>
      <c r="URI33" s="1888"/>
      <c r="URJ33" s="1882"/>
      <c r="URK33" s="1882"/>
      <c r="URL33" s="1882"/>
      <c r="URN33" s="1887"/>
      <c r="URO33" s="1888"/>
      <c r="URP33" s="1882"/>
      <c r="URQ33" s="1882"/>
      <c r="URR33" s="1882"/>
      <c r="URT33" s="1887"/>
      <c r="URU33" s="1888"/>
      <c r="URV33" s="1882"/>
      <c r="URW33" s="1882"/>
      <c r="URX33" s="1882"/>
      <c r="URZ33" s="1887"/>
      <c r="USA33" s="1888"/>
      <c r="USB33" s="1882"/>
      <c r="USC33" s="1882"/>
      <c r="USD33" s="1882"/>
      <c r="USF33" s="1887"/>
      <c r="USG33" s="1888"/>
      <c r="USH33" s="1882"/>
      <c r="USI33" s="1882"/>
      <c r="USJ33" s="1882"/>
      <c r="USL33" s="1887"/>
      <c r="USM33" s="1888"/>
      <c r="USN33" s="1882"/>
      <c r="USO33" s="1882"/>
      <c r="USP33" s="1882"/>
      <c r="USR33" s="1887"/>
      <c r="USS33" s="1888"/>
      <c r="UST33" s="1882"/>
      <c r="USU33" s="1882"/>
      <c r="USV33" s="1882"/>
      <c r="USX33" s="1887"/>
      <c r="USY33" s="1888"/>
      <c r="USZ33" s="1882"/>
      <c r="UTA33" s="1882"/>
      <c r="UTB33" s="1882"/>
      <c r="UTD33" s="1887"/>
      <c r="UTE33" s="1888"/>
      <c r="UTF33" s="1882"/>
      <c r="UTG33" s="1882"/>
      <c r="UTH33" s="1882"/>
      <c r="UTJ33" s="1887"/>
      <c r="UTK33" s="1888"/>
      <c r="UTL33" s="1882"/>
      <c r="UTM33" s="1882"/>
      <c r="UTN33" s="1882"/>
      <c r="UTP33" s="1887"/>
      <c r="UTQ33" s="1888"/>
      <c r="UTR33" s="1882"/>
      <c r="UTS33" s="1882"/>
      <c r="UTT33" s="1882"/>
      <c r="UTV33" s="1887"/>
      <c r="UTW33" s="1888"/>
      <c r="UTX33" s="1882"/>
      <c r="UTY33" s="1882"/>
      <c r="UTZ33" s="1882"/>
      <c r="UUB33" s="1887"/>
      <c r="UUC33" s="1888"/>
      <c r="UUD33" s="1882"/>
      <c r="UUE33" s="1882"/>
      <c r="UUF33" s="1882"/>
      <c r="UUH33" s="1887"/>
      <c r="UUI33" s="1888"/>
      <c r="UUJ33" s="1882"/>
      <c r="UUK33" s="1882"/>
      <c r="UUL33" s="1882"/>
      <c r="UUN33" s="1887"/>
      <c r="UUO33" s="1888"/>
      <c r="UUP33" s="1882"/>
      <c r="UUQ33" s="1882"/>
      <c r="UUR33" s="1882"/>
      <c r="UUT33" s="1887"/>
      <c r="UUU33" s="1888"/>
      <c r="UUV33" s="1882"/>
      <c r="UUW33" s="1882"/>
      <c r="UUX33" s="1882"/>
      <c r="UUZ33" s="1887"/>
      <c r="UVA33" s="1888"/>
      <c r="UVB33" s="1882"/>
      <c r="UVC33" s="1882"/>
      <c r="UVD33" s="1882"/>
      <c r="UVF33" s="1887"/>
      <c r="UVG33" s="1888"/>
      <c r="UVH33" s="1882"/>
      <c r="UVI33" s="1882"/>
      <c r="UVJ33" s="1882"/>
      <c r="UVL33" s="1887"/>
      <c r="UVM33" s="1888"/>
      <c r="UVN33" s="1882"/>
      <c r="UVO33" s="1882"/>
      <c r="UVP33" s="1882"/>
      <c r="UVR33" s="1887"/>
      <c r="UVS33" s="1888"/>
      <c r="UVT33" s="1882"/>
      <c r="UVU33" s="1882"/>
      <c r="UVV33" s="1882"/>
      <c r="UVX33" s="1887"/>
      <c r="UVY33" s="1888"/>
      <c r="UVZ33" s="1882"/>
      <c r="UWA33" s="1882"/>
      <c r="UWB33" s="1882"/>
      <c r="UWD33" s="1887"/>
      <c r="UWE33" s="1888"/>
      <c r="UWF33" s="1882"/>
      <c r="UWG33" s="1882"/>
      <c r="UWH33" s="1882"/>
      <c r="UWJ33" s="1887"/>
      <c r="UWK33" s="1888"/>
      <c r="UWL33" s="1882"/>
      <c r="UWM33" s="1882"/>
      <c r="UWN33" s="1882"/>
      <c r="UWP33" s="1887"/>
      <c r="UWQ33" s="1888"/>
      <c r="UWR33" s="1882"/>
      <c r="UWS33" s="1882"/>
      <c r="UWT33" s="1882"/>
      <c r="UWV33" s="1887"/>
      <c r="UWW33" s="1888"/>
      <c r="UWX33" s="1882"/>
      <c r="UWY33" s="1882"/>
      <c r="UWZ33" s="1882"/>
      <c r="UXB33" s="1887"/>
      <c r="UXC33" s="1888"/>
      <c r="UXD33" s="1882"/>
      <c r="UXE33" s="1882"/>
      <c r="UXF33" s="1882"/>
      <c r="UXH33" s="1887"/>
      <c r="UXI33" s="1888"/>
      <c r="UXJ33" s="1882"/>
      <c r="UXK33" s="1882"/>
      <c r="UXL33" s="1882"/>
      <c r="UXN33" s="1887"/>
      <c r="UXO33" s="1888"/>
      <c r="UXP33" s="1882"/>
      <c r="UXQ33" s="1882"/>
      <c r="UXR33" s="1882"/>
      <c r="UXT33" s="1887"/>
      <c r="UXU33" s="1888"/>
      <c r="UXV33" s="1882"/>
      <c r="UXW33" s="1882"/>
      <c r="UXX33" s="1882"/>
      <c r="UXZ33" s="1887"/>
      <c r="UYA33" s="1888"/>
      <c r="UYB33" s="1882"/>
      <c r="UYC33" s="1882"/>
      <c r="UYD33" s="1882"/>
      <c r="UYF33" s="1887"/>
      <c r="UYG33" s="1888"/>
      <c r="UYH33" s="1882"/>
      <c r="UYI33" s="1882"/>
      <c r="UYJ33" s="1882"/>
      <c r="UYL33" s="1887"/>
      <c r="UYM33" s="1888"/>
      <c r="UYN33" s="1882"/>
      <c r="UYO33" s="1882"/>
      <c r="UYP33" s="1882"/>
      <c r="UYR33" s="1887"/>
      <c r="UYS33" s="1888"/>
      <c r="UYT33" s="1882"/>
      <c r="UYU33" s="1882"/>
      <c r="UYV33" s="1882"/>
      <c r="UYX33" s="1887"/>
      <c r="UYY33" s="1888"/>
      <c r="UYZ33" s="1882"/>
      <c r="UZA33" s="1882"/>
      <c r="UZB33" s="1882"/>
      <c r="UZD33" s="1887"/>
      <c r="UZE33" s="1888"/>
      <c r="UZF33" s="1882"/>
      <c r="UZG33" s="1882"/>
      <c r="UZH33" s="1882"/>
      <c r="UZJ33" s="1887"/>
      <c r="UZK33" s="1888"/>
      <c r="UZL33" s="1882"/>
      <c r="UZM33" s="1882"/>
      <c r="UZN33" s="1882"/>
      <c r="UZP33" s="1887"/>
      <c r="UZQ33" s="1888"/>
      <c r="UZR33" s="1882"/>
      <c r="UZS33" s="1882"/>
      <c r="UZT33" s="1882"/>
      <c r="UZV33" s="1887"/>
      <c r="UZW33" s="1888"/>
      <c r="UZX33" s="1882"/>
      <c r="UZY33" s="1882"/>
      <c r="UZZ33" s="1882"/>
      <c r="VAB33" s="1887"/>
      <c r="VAC33" s="1888"/>
      <c r="VAD33" s="1882"/>
      <c r="VAE33" s="1882"/>
      <c r="VAF33" s="1882"/>
      <c r="VAH33" s="1887"/>
      <c r="VAI33" s="1888"/>
      <c r="VAJ33" s="1882"/>
      <c r="VAK33" s="1882"/>
      <c r="VAL33" s="1882"/>
      <c r="VAN33" s="1887"/>
      <c r="VAO33" s="1888"/>
      <c r="VAP33" s="1882"/>
      <c r="VAQ33" s="1882"/>
      <c r="VAR33" s="1882"/>
      <c r="VAT33" s="1887"/>
      <c r="VAU33" s="1888"/>
      <c r="VAV33" s="1882"/>
      <c r="VAW33" s="1882"/>
      <c r="VAX33" s="1882"/>
      <c r="VAZ33" s="1887"/>
      <c r="VBA33" s="1888"/>
      <c r="VBB33" s="1882"/>
      <c r="VBC33" s="1882"/>
      <c r="VBD33" s="1882"/>
      <c r="VBF33" s="1887"/>
      <c r="VBG33" s="1888"/>
      <c r="VBH33" s="1882"/>
      <c r="VBI33" s="1882"/>
      <c r="VBJ33" s="1882"/>
      <c r="VBL33" s="1887"/>
      <c r="VBM33" s="1888"/>
      <c r="VBN33" s="1882"/>
      <c r="VBO33" s="1882"/>
      <c r="VBP33" s="1882"/>
      <c r="VBR33" s="1887"/>
      <c r="VBS33" s="1888"/>
      <c r="VBT33" s="1882"/>
      <c r="VBU33" s="1882"/>
      <c r="VBV33" s="1882"/>
      <c r="VBX33" s="1887"/>
      <c r="VBY33" s="1888"/>
      <c r="VBZ33" s="1882"/>
      <c r="VCA33" s="1882"/>
      <c r="VCB33" s="1882"/>
      <c r="VCD33" s="1887"/>
      <c r="VCE33" s="1888"/>
      <c r="VCF33" s="1882"/>
      <c r="VCG33" s="1882"/>
      <c r="VCH33" s="1882"/>
      <c r="VCJ33" s="1887"/>
      <c r="VCK33" s="1888"/>
      <c r="VCL33" s="1882"/>
      <c r="VCM33" s="1882"/>
      <c r="VCN33" s="1882"/>
      <c r="VCP33" s="1887"/>
      <c r="VCQ33" s="1888"/>
      <c r="VCR33" s="1882"/>
      <c r="VCS33" s="1882"/>
      <c r="VCT33" s="1882"/>
      <c r="VCV33" s="1887"/>
      <c r="VCW33" s="1888"/>
      <c r="VCX33" s="1882"/>
      <c r="VCY33" s="1882"/>
      <c r="VCZ33" s="1882"/>
      <c r="VDB33" s="1887"/>
      <c r="VDC33" s="1888"/>
      <c r="VDD33" s="1882"/>
      <c r="VDE33" s="1882"/>
      <c r="VDF33" s="1882"/>
      <c r="VDH33" s="1887"/>
      <c r="VDI33" s="1888"/>
      <c r="VDJ33" s="1882"/>
      <c r="VDK33" s="1882"/>
      <c r="VDL33" s="1882"/>
      <c r="VDN33" s="1887"/>
      <c r="VDO33" s="1888"/>
      <c r="VDP33" s="1882"/>
      <c r="VDQ33" s="1882"/>
      <c r="VDR33" s="1882"/>
      <c r="VDT33" s="1887"/>
      <c r="VDU33" s="1888"/>
      <c r="VDV33" s="1882"/>
      <c r="VDW33" s="1882"/>
      <c r="VDX33" s="1882"/>
      <c r="VDZ33" s="1887"/>
      <c r="VEA33" s="1888"/>
      <c r="VEB33" s="1882"/>
      <c r="VEC33" s="1882"/>
      <c r="VED33" s="1882"/>
      <c r="VEF33" s="1887"/>
      <c r="VEG33" s="1888"/>
      <c r="VEH33" s="1882"/>
      <c r="VEI33" s="1882"/>
      <c r="VEJ33" s="1882"/>
      <c r="VEL33" s="1887"/>
      <c r="VEM33" s="1888"/>
      <c r="VEN33" s="1882"/>
      <c r="VEO33" s="1882"/>
      <c r="VEP33" s="1882"/>
      <c r="VER33" s="1887"/>
      <c r="VES33" s="1888"/>
      <c r="VET33" s="1882"/>
      <c r="VEU33" s="1882"/>
      <c r="VEV33" s="1882"/>
      <c r="VEX33" s="1887"/>
      <c r="VEY33" s="1888"/>
      <c r="VEZ33" s="1882"/>
      <c r="VFA33" s="1882"/>
      <c r="VFB33" s="1882"/>
      <c r="VFD33" s="1887"/>
      <c r="VFE33" s="1888"/>
      <c r="VFF33" s="1882"/>
      <c r="VFG33" s="1882"/>
      <c r="VFH33" s="1882"/>
      <c r="VFJ33" s="1887"/>
      <c r="VFK33" s="1888"/>
      <c r="VFL33" s="1882"/>
      <c r="VFM33" s="1882"/>
      <c r="VFN33" s="1882"/>
      <c r="VFP33" s="1887"/>
      <c r="VFQ33" s="1888"/>
      <c r="VFR33" s="1882"/>
      <c r="VFS33" s="1882"/>
      <c r="VFT33" s="1882"/>
      <c r="VFV33" s="1887"/>
      <c r="VFW33" s="1888"/>
      <c r="VFX33" s="1882"/>
      <c r="VFY33" s="1882"/>
      <c r="VFZ33" s="1882"/>
      <c r="VGB33" s="1887"/>
      <c r="VGC33" s="1888"/>
      <c r="VGD33" s="1882"/>
      <c r="VGE33" s="1882"/>
      <c r="VGF33" s="1882"/>
      <c r="VGH33" s="1887"/>
      <c r="VGI33" s="1888"/>
      <c r="VGJ33" s="1882"/>
      <c r="VGK33" s="1882"/>
      <c r="VGL33" s="1882"/>
      <c r="VGN33" s="1887"/>
      <c r="VGO33" s="1888"/>
      <c r="VGP33" s="1882"/>
      <c r="VGQ33" s="1882"/>
      <c r="VGR33" s="1882"/>
      <c r="VGT33" s="1887"/>
      <c r="VGU33" s="1888"/>
      <c r="VGV33" s="1882"/>
      <c r="VGW33" s="1882"/>
      <c r="VGX33" s="1882"/>
      <c r="VGZ33" s="1887"/>
      <c r="VHA33" s="1888"/>
      <c r="VHB33" s="1882"/>
      <c r="VHC33" s="1882"/>
      <c r="VHD33" s="1882"/>
      <c r="VHF33" s="1887"/>
      <c r="VHG33" s="1888"/>
      <c r="VHH33" s="1882"/>
      <c r="VHI33" s="1882"/>
      <c r="VHJ33" s="1882"/>
      <c r="VHL33" s="1887"/>
      <c r="VHM33" s="1888"/>
      <c r="VHN33" s="1882"/>
      <c r="VHO33" s="1882"/>
      <c r="VHP33" s="1882"/>
      <c r="VHR33" s="1887"/>
      <c r="VHS33" s="1888"/>
      <c r="VHT33" s="1882"/>
      <c r="VHU33" s="1882"/>
      <c r="VHV33" s="1882"/>
      <c r="VHX33" s="1887"/>
      <c r="VHY33" s="1888"/>
      <c r="VHZ33" s="1882"/>
      <c r="VIA33" s="1882"/>
      <c r="VIB33" s="1882"/>
      <c r="VID33" s="1887"/>
      <c r="VIE33" s="1888"/>
      <c r="VIF33" s="1882"/>
      <c r="VIG33" s="1882"/>
      <c r="VIH33" s="1882"/>
      <c r="VIJ33" s="1887"/>
      <c r="VIK33" s="1888"/>
      <c r="VIL33" s="1882"/>
      <c r="VIM33" s="1882"/>
      <c r="VIN33" s="1882"/>
      <c r="VIP33" s="1887"/>
      <c r="VIQ33" s="1888"/>
      <c r="VIR33" s="1882"/>
      <c r="VIS33" s="1882"/>
      <c r="VIT33" s="1882"/>
      <c r="VIV33" s="1887"/>
      <c r="VIW33" s="1888"/>
      <c r="VIX33" s="1882"/>
      <c r="VIY33" s="1882"/>
      <c r="VIZ33" s="1882"/>
      <c r="VJB33" s="1887"/>
      <c r="VJC33" s="1888"/>
      <c r="VJD33" s="1882"/>
      <c r="VJE33" s="1882"/>
      <c r="VJF33" s="1882"/>
      <c r="VJH33" s="1887"/>
      <c r="VJI33" s="1888"/>
      <c r="VJJ33" s="1882"/>
      <c r="VJK33" s="1882"/>
      <c r="VJL33" s="1882"/>
      <c r="VJN33" s="1887"/>
      <c r="VJO33" s="1888"/>
      <c r="VJP33" s="1882"/>
      <c r="VJQ33" s="1882"/>
      <c r="VJR33" s="1882"/>
      <c r="VJT33" s="1887"/>
      <c r="VJU33" s="1888"/>
      <c r="VJV33" s="1882"/>
      <c r="VJW33" s="1882"/>
      <c r="VJX33" s="1882"/>
      <c r="VJZ33" s="1887"/>
      <c r="VKA33" s="1888"/>
      <c r="VKB33" s="1882"/>
      <c r="VKC33" s="1882"/>
      <c r="VKD33" s="1882"/>
      <c r="VKF33" s="1887"/>
      <c r="VKG33" s="1888"/>
      <c r="VKH33" s="1882"/>
      <c r="VKI33" s="1882"/>
      <c r="VKJ33" s="1882"/>
      <c r="VKL33" s="1887"/>
      <c r="VKM33" s="1888"/>
      <c r="VKN33" s="1882"/>
      <c r="VKO33" s="1882"/>
      <c r="VKP33" s="1882"/>
      <c r="VKR33" s="1887"/>
      <c r="VKS33" s="1888"/>
      <c r="VKT33" s="1882"/>
      <c r="VKU33" s="1882"/>
      <c r="VKV33" s="1882"/>
      <c r="VKX33" s="1887"/>
      <c r="VKY33" s="1888"/>
      <c r="VKZ33" s="1882"/>
      <c r="VLA33" s="1882"/>
      <c r="VLB33" s="1882"/>
      <c r="VLD33" s="1887"/>
      <c r="VLE33" s="1888"/>
      <c r="VLF33" s="1882"/>
      <c r="VLG33" s="1882"/>
      <c r="VLH33" s="1882"/>
      <c r="VLJ33" s="1887"/>
      <c r="VLK33" s="1888"/>
      <c r="VLL33" s="1882"/>
      <c r="VLM33" s="1882"/>
      <c r="VLN33" s="1882"/>
      <c r="VLP33" s="1887"/>
      <c r="VLQ33" s="1888"/>
      <c r="VLR33" s="1882"/>
      <c r="VLS33" s="1882"/>
      <c r="VLT33" s="1882"/>
      <c r="VLV33" s="1887"/>
      <c r="VLW33" s="1888"/>
      <c r="VLX33" s="1882"/>
      <c r="VLY33" s="1882"/>
      <c r="VLZ33" s="1882"/>
      <c r="VMB33" s="1887"/>
      <c r="VMC33" s="1888"/>
      <c r="VMD33" s="1882"/>
      <c r="VME33" s="1882"/>
      <c r="VMF33" s="1882"/>
      <c r="VMH33" s="1887"/>
      <c r="VMI33" s="1888"/>
      <c r="VMJ33" s="1882"/>
      <c r="VMK33" s="1882"/>
      <c r="VML33" s="1882"/>
      <c r="VMN33" s="1887"/>
      <c r="VMO33" s="1888"/>
      <c r="VMP33" s="1882"/>
      <c r="VMQ33" s="1882"/>
      <c r="VMR33" s="1882"/>
      <c r="VMT33" s="1887"/>
      <c r="VMU33" s="1888"/>
      <c r="VMV33" s="1882"/>
      <c r="VMW33" s="1882"/>
      <c r="VMX33" s="1882"/>
      <c r="VMZ33" s="1887"/>
      <c r="VNA33" s="1888"/>
      <c r="VNB33" s="1882"/>
      <c r="VNC33" s="1882"/>
      <c r="VND33" s="1882"/>
      <c r="VNF33" s="1887"/>
      <c r="VNG33" s="1888"/>
      <c r="VNH33" s="1882"/>
      <c r="VNI33" s="1882"/>
      <c r="VNJ33" s="1882"/>
      <c r="VNL33" s="1887"/>
      <c r="VNM33" s="1888"/>
      <c r="VNN33" s="1882"/>
      <c r="VNO33" s="1882"/>
      <c r="VNP33" s="1882"/>
      <c r="VNR33" s="1887"/>
      <c r="VNS33" s="1888"/>
      <c r="VNT33" s="1882"/>
      <c r="VNU33" s="1882"/>
      <c r="VNV33" s="1882"/>
      <c r="VNX33" s="1887"/>
      <c r="VNY33" s="1888"/>
      <c r="VNZ33" s="1882"/>
      <c r="VOA33" s="1882"/>
      <c r="VOB33" s="1882"/>
      <c r="VOD33" s="1887"/>
      <c r="VOE33" s="1888"/>
      <c r="VOF33" s="1882"/>
      <c r="VOG33" s="1882"/>
      <c r="VOH33" s="1882"/>
      <c r="VOJ33" s="1887"/>
      <c r="VOK33" s="1888"/>
      <c r="VOL33" s="1882"/>
      <c r="VOM33" s="1882"/>
      <c r="VON33" s="1882"/>
      <c r="VOP33" s="1887"/>
      <c r="VOQ33" s="1888"/>
      <c r="VOR33" s="1882"/>
      <c r="VOS33" s="1882"/>
      <c r="VOT33" s="1882"/>
      <c r="VOV33" s="1887"/>
      <c r="VOW33" s="1888"/>
      <c r="VOX33" s="1882"/>
      <c r="VOY33" s="1882"/>
      <c r="VOZ33" s="1882"/>
      <c r="VPB33" s="1887"/>
      <c r="VPC33" s="1888"/>
      <c r="VPD33" s="1882"/>
      <c r="VPE33" s="1882"/>
      <c r="VPF33" s="1882"/>
      <c r="VPH33" s="1887"/>
      <c r="VPI33" s="1888"/>
      <c r="VPJ33" s="1882"/>
      <c r="VPK33" s="1882"/>
      <c r="VPL33" s="1882"/>
      <c r="VPN33" s="1887"/>
      <c r="VPO33" s="1888"/>
      <c r="VPP33" s="1882"/>
      <c r="VPQ33" s="1882"/>
      <c r="VPR33" s="1882"/>
      <c r="VPT33" s="1887"/>
      <c r="VPU33" s="1888"/>
      <c r="VPV33" s="1882"/>
      <c r="VPW33" s="1882"/>
      <c r="VPX33" s="1882"/>
      <c r="VPZ33" s="1887"/>
      <c r="VQA33" s="1888"/>
      <c r="VQB33" s="1882"/>
      <c r="VQC33" s="1882"/>
      <c r="VQD33" s="1882"/>
      <c r="VQF33" s="1887"/>
      <c r="VQG33" s="1888"/>
      <c r="VQH33" s="1882"/>
      <c r="VQI33" s="1882"/>
      <c r="VQJ33" s="1882"/>
      <c r="VQL33" s="1887"/>
      <c r="VQM33" s="1888"/>
      <c r="VQN33" s="1882"/>
      <c r="VQO33" s="1882"/>
      <c r="VQP33" s="1882"/>
      <c r="VQR33" s="1887"/>
      <c r="VQS33" s="1888"/>
      <c r="VQT33" s="1882"/>
      <c r="VQU33" s="1882"/>
      <c r="VQV33" s="1882"/>
      <c r="VQX33" s="1887"/>
      <c r="VQY33" s="1888"/>
      <c r="VQZ33" s="1882"/>
      <c r="VRA33" s="1882"/>
      <c r="VRB33" s="1882"/>
      <c r="VRD33" s="1887"/>
      <c r="VRE33" s="1888"/>
      <c r="VRF33" s="1882"/>
      <c r="VRG33" s="1882"/>
      <c r="VRH33" s="1882"/>
      <c r="VRJ33" s="1887"/>
      <c r="VRK33" s="1888"/>
      <c r="VRL33" s="1882"/>
      <c r="VRM33" s="1882"/>
      <c r="VRN33" s="1882"/>
      <c r="VRP33" s="1887"/>
      <c r="VRQ33" s="1888"/>
      <c r="VRR33" s="1882"/>
      <c r="VRS33" s="1882"/>
      <c r="VRT33" s="1882"/>
      <c r="VRV33" s="1887"/>
      <c r="VRW33" s="1888"/>
      <c r="VRX33" s="1882"/>
      <c r="VRY33" s="1882"/>
      <c r="VRZ33" s="1882"/>
      <c r="VSB33" s="1887"/>
      <c r="VSC33" s="1888"/>
      <c r="VSD33" s="1882"/>
      <c r="VSE33" s="1882"/>
      <c r="VSF33" s="1882"/>
      <c r="VSH33" s="1887"/>
      <c r="VSI33" s="1888"/>
      <c r="VSJ33" s="1882"/>
      <c r="VSK33" s="1882"/>
      <c r="VSL33" s="1882"/>
      <c r="VSN33" s="1887"/>
      <c r="VSO33" s="1888"/>
      <c r="VSP33" s="1882"/>
      <c r="VSQ33" s="1882"/>
      <c r="VSR33" s="1882"/>
      <c r="VST33" s="1887"/>
      <c r="VSU33" s="1888"/>
      <c r="VSV33" s="1882"/>
      <c r="VSW33" s="1882"/>
      <c r="VSX33" s="1882"/>
      <c r="VSZ33" s="1887"/>
      <c r="VTA33" s="1888"/>
      <c r="VTB33" s="1882"/>
      <c r="VTC33" s="1882"/>
      <c r="VTD33" s="1882"/>
      <c r="VTF33" s="1887"/>
      <c r="VTG33" s="1888"/>
      <c r="VTH33" s="1882"/>
      <c r="VTI33" s="1882"/>
      <c r="VTJ33" s="1882"/>
      <c r="VTL33" s="1887"/>
      <c r="VTM33" s="1888"/>
      <c r="VTN33" s="1882"/>
      <c r="VTO33" s="1882"/>
      <c r="VTP33" s="1882"/>
      <c r="VTR33" s="1887"/>
      <c r="VTS33" s="1888"/>
      <c r="VTT33" s="1882"/>
      <c r="VTU33" s="1882"/>
      <c r="VTV33" s="1882"/>
      <c r="VTX33" s="1887"/>
      <c r="VTY33" s="1888"/>
      <c r="VTZ33" s="1882"/>
      <c r="VUA33" s="1882"/>
      <c r="VUB33" s="1882"/>
      <c r="VUD33" s="1887"/>
      <c r="VUE33" s="1888"/>
      <c r="VUF33" s="1882"/>
      <c r="VUG33" s="1882"/>
      <c r="VUH33" s="1882"/>
      <c r="VUJ33" s="1887"/>
      <c r="VUK33" s="1888"/>
      <c r="VUL33" s="1882"/>
      <c r="VUM33" s="1882"/>
      <c r="VUN33" s="1882"/>
      <c r="VUP33" s="1887"/>
      <c r="VUQ33" s="1888"/>
      <c r="VUR33" s="1882"/>
      <c r="VUS33" s="1882"/>
      <c r="VUT33" s="1882"/>
      <c r="VUV33" s="1887"/>
      <c r="VUW33" s="1888"/>
      <c r="VUX33" s="1882"/>
      <c r="VUY33" s="1882"/>
      <c r="VUZ33" s="1882"/>
      <c r="VVB33" s="1887"/>
      <c r="VVC33" s="1888"/>
      <c r="VVD33" s="1882"/>
      <c r="VVE33" s="1882"/>
      <c r="VVF33" s="1882"/>
      <c r="VVH33" s="1887"/>
      <c r="VVI33" s="1888"/>
      <c r="VVJ33" s="1882"/>
      <c r="VVK33" s="1882"/>
      <c r="VVL33" s="1882"/>
      <c r="VVN33" s="1887"/>
      <c r="VVO33" s="1888"/>
      <c r="VVP33" s="1882"/>
      <c r="VVQ33" s="1882"/>
      <c r="VVR33" s="1882"/>
      <c r="VVT33" s="1887"/>
      <c r="VVU33" s="1888"/>
      <c r="VVV33" s="1882"/>
      <c r="VVW33" s="1882"/>
      <c r="VVX33" s="1882"/>
      <c r="VVZ33" s="1887"/>
      <c r="VWA33" s="1888"/>
      <c r="VWB33" s="1882"/>
      <c r="VWC33" s="1882"/>
      <c r="VWD33" s="1882"/>
      <c r="VWF33" s="1887"/>
      <c r="VWG33" s="1888"/>
      <c r="VWH33" s="1882"/>
      <c r="VWI33" s="1882"/>
      <c r="VWJ33" s="1882"/>
      <c r="VWL33" s="1887"/>
      <c r="VWM33" s="1888"/>
      <c r="VWN33" s="1882"/>
      <c r="VWO33" s="1882"/>
      <c r="VWP33" s="1882"/>
      <c r="VWR33" s="1887"/>
      <c r="VWS33" s="1888"/>
      <c r="VWT33" s="1882"/>
      <c r="VWU33" s="1882"/>
      <c r="VWV33" s="1882"/>
      <c r="VWX33" s="1887"/>
      <c r="VWY33" s="1888"/>
      <c r="VWZ33" s="1882"/>
      <c r="VXA33" s="1882"/>
      <c r="VXB33" s="1882"/>
      <c r="VXD33" s="1887"/>
      <c r="VXE33" s="1888"/>
      <c r="VXF33" s="1882"/>
      <c r="VXG33" s="1882"/>
      <c r="VXH33" s="1882"/>
      <c r="VXJ33" s="1887"/>
      <c r="VXK33" s="1888"/>
      <c r="VXL33" s="1882"/>
      <c r="VXM33" s="1882"/>
      <c r="VXN33" s="1882"/>
      <c r="VXP33" s="1887"/>
      <c r="VXQ33" s="1888"/>
      <c r="VXR33" s="1882"/>
      <c r="VXS33" s="1882"/>
      <c r="VXT33" s="1882"/>
      <c r="VXV33" s="1887"/>
      <c r="VXW33" s="1888"/>
      <c r="VXX33" s="1882"/>
      <c r="VXY33" s="1882"/>
      <c r="VXZ33" s="1882"/>
      <c r="VYB33" s="1887"/>
      <c r="VYC33" s="1888"/>
      <c r="VYD33" s="1882"/>
      <c r="VYE33" s="1882"/>
      <c r="VYF33" s="1882"/>
      <c r="VYH33" s="1887"/>
      <c r="VYI33" s="1888"/>
      <c r="VYJ33" s="1882"/>
      <c r="VYK33" s="1882"/>
      <c r="VYL33" s="1882"/>
      <c r="VYN33" s="1887"/>
      <c r="VYO33" s="1888"/>
      <c r="VYP33" s="1882"/>
      <c r="VYQ33" s="1882"/>
      <c r="VYR33" s="1882"/>
      <c r="VYT33" s="1887"/>
      <c r="VYU33" s="1888"/>
      <c r="VYV33" s="1882"/>
      <c r="VYW33" s="1882"/>
      <c r="VYX33" s="1882"/>
      <c r="VYZ33" s="1887"/>
      <c r="VZA33" s="1888"/>
      <c r="VZB33" s="1882"/>
      <c r="VZC33" s="1882"/>
      <c r="VZD33" s="1882"/>
      <c r="VZF33" s="1887"/>
      <c r="VZG33" s="1888"/>
      <c r="VZH33" s="1882"/>
      <c r="VZI33" s="1882"/>
      <c r="VZJ33" s="1882"/>
      <c r="VZL33" s="1887"/>
      <c r="VZM33" s="1888"/>
      <c r="VZN33" s="1882"/>
      <c r="VZO33" s="1882"/>
      <c r="VZP33" s="1882"/>
      <c r="VZR33" s="1887"/>
      <c r="VZS33" s="1888"/>
      <c r="VZT33" s="1882"/>
      <c r="VZU33" s="1882"/>
      <c r="VZV33" s="1882"/>
      <c r="VZX33" s="1887"/>
      <c r="VZY33" s="1888"/>
      <c r="VZZ33" s="1882"/>
      <c r="WAA33" s="1882"/>
      <c r="WAB33" s="1882"/>
      <c r="WAD33" s="1887"/>
      <c r="WAE33" s="1888"/>
      <c r="WAF33" s="1882"/>
      <c r="WAG33" s="1882"/>
      <c r="WAH33" s="1882"/>
      <c r="WAJ33" s="1887"/>
      <c r="WAK33" s="1888"/>
      <c r="WAL33" s="1882"/>
      <c r="WAM33" s="1882"/>
      <c r="WAN33" s="1882"/>
      <c r="WAP33" s="1887"/>
      <c r="WAQ33" s="1888"/>
      <c r="WAR33" s="1882"/>
      <c r="WAS33" s="1882"/>
      <c r="WAT33" s="1882"/>
      <c r="WAV33" s="1887"/>
      <c r="WAW33" s="1888"/>
      <c r="WAX33" s="1882"/>
      <c r="WAY33" s="1882"/>
      <c r="WAZ33" s="1882"/>
      <c r="WBB33" s="1887"/>
      <c r="WBC33" s="1888"/>
      <c r="WBD33" s="1882"/>
      <c r="WBE33" s="1882"/>
      <c r="WBF33" s="1882"/>
      <c r="WBH33" s="1887"/>
      <c r="WBI33" s="1888"/>
      <c r="WBJ33" s="1882"/>
      <c r="WBK33" s="1882"/>
      <c r="WBL33" s="1882"/>
      <c r="WBN33" s="1887"/>
      <c r="WBO33" s="1888"/>
      <c r="WBP33" s="1882"/>
      <c r="WBQ33" s="1882"/>
      <c r="WBR33" s="1882"/>
      <c r="WBT33" s="1887"/>
      <c r="WBU33" s="1888"/>
      <c r="WBV33" s="1882"/>
      <c r="WBW33" s="1882"/>
      <c r="WBX33" s="1882"/>
      <c r="WBZ33" s="1887"/>
      <c r="WCA33" s="1888"/>
      <c r="WCB33" s="1882"/>
      <c r="WCC33" s="1882"/>
      <c r="WCD33" s="1882"/>
      <c r="WCF33" s="1887"/>
      <c r="WCG33" s="1888"/>
      <c r="WCH33" s="1882"/>
      <c r="WCI33" s="1882"/>
      <c r="WCJ33" s="1882"/>
      <c r="WCL33" s="1887"/>
      <c r="WCM33" s="1888"/>
      <c r="WCN33" s="1882"/>
      <c r="WCO33" s="1882"/>
      <c r="WCP33" s="1882"/>
      <c r="WCR33" s="1887"/>
      <c r="WCS33" s="1888"/>
      <c r="WCT33" s="1882"/>
      <c r="WCU33" s="1882"/>
      <c r="WCV33" s="1882"/>
      <c r="WCX33" s="1887"/>
      <c r="WCY33" s="1888"/>
      <c r="WCZ33" s="1882"/>
      <c r="WDA33" s="1882"/>
      <c r="WDB33" s="1882"/>
      <c r="WDD33" s="1887"/>
      <c r="WDE33" s="1888"/>
      <c r="WDF33" s="1882"/>
      <c r="WDG33" s="1882"/>
      <c r="WDH33" s="1882"/>
      <c r="WDJ33" s="1887"/>
      <c r="WDK33" s="1888"/>
      <c r="WDL33" s="1882"/>
      <c r="WDM33" s="1882"/>
      <c r="WDN33" s="1882"/>
      <c r="WDP33" s="1887"/>
      <c r="WDQ33" s="1888"/>
      <c r="WDR33" s="1882"/>
      <c r="WDS33" s="1882"/>
      <c r="WDT33" s="1882"/>
      <c r="WDV33" s="1887"/>
      <c r="WDW33" s="1888"/>
      <c r="WDX33" s="1882"/>
      <c r="WDY33" s="1882"/>
      <c r="WDZ33" s="1882"/>
      <c r="WEB33" s="1887"/>
      <c r="WEC33" s="1888"/>
      <c r="WED33" s="1882"/>
      <c r="WEE33" s="1882"/>
      <c r="WEF33" s="1882"/>
      <c r="WEH33" s="1887"/>
      <c r="WEI33" s="1888"/>
      <c r="WEJ33" s="1882"/>
      <c r="WEK33" s="1882"/>
      <c r="WEL33" s="1882"/>
      <c r="WEN33" s="1887"/>
      <c r="WEO33" s="1888"/>
      <c r="WEP33" s="1882"/>
      <c r="WEQ33" s="1882"/>
      <c r="WER33" s="1882"/>
      <c r="WET33" s="1887"/>
      <c r="WEU33" s="1888"/>
      <c r="WEV33" s="1882"/>
      <c r="WEW33" s="1882"/>
      <c r="WEX33" s="1882"/>
      <c r="WEZ33" s="1887"/>
      <c r="WFA33" s="1888"/>
      <c r="WFB33" s="1882"/>
      <c r="WFC33" s="1882"/>
      <c r="WFD33" s="1882"/>
      <c r="WFF33" s="1887"/>
      <c r="WFG33" s="1888"/>
      <c r="WFH33" s="1882"/>
      <c r="WFI33" s="1882"/>
      <c r="WFJ33" s="1882"/>
      <c r="WFL33" s="1887"/>
      <c r="WFM33" s="1888"/>
      <c r="WFN33" s="1882"/>
      <c r="WFO33" s="1882"/>
      <c r="WFP33" s="1882"/>
      <c r="WFR33" s="1887"/>
      <c r="WFS33" s="1888"/>
      <c r="WFT33" s="1882"/>
      <c r="WFU33" s="1882"/>
      <c r="WFV33" s="1882"/>
      <c r="WFX33" s="1887"/>
      <c r="WFY33" s="1888"/>
      <c r="WFZ33" s="1882"/>
      <c r="WGA33" s="1882"/>
      <c r="WGB33" s="1882"/>
      <c r="WGD33" s="1887"/>
      <c r="WGE33" s="1888"/>
      <c r="WGF33" s="1882"/>
      <c r="WGG33" s="1882"/>
      <c r="WGH33" s="1882"/>
      <c r="WGJ33" s="1887"/>
      <c r="WGK33" s="1888"/>
      <c r="WGL33" s="1882"/>
      <c r="WGM33" s="1882"/>
      <c r="WGN33" s="1882"/>
      <c r="WGP33" s="1887"/>
      <c r="WGQ33" s="1888"/>
      <c r="WGR33" s="1882"/>
      <c r="WGS33" s="1882"/>
      <c r="WGT33" s="1882"/>
      <c r="WGV33" s="1887"/>
      <c r="WGW33" s="1888"/>
      <c r="WGX33" s="1882"/>
      <c r="WGY33" s="1882"/>
      <c r="WGZ33" s="1882"/>
      <c r="WHB33" s="1887"/>
      <c r="WHC33" s="1888"/>
      <c r="WHD33" s="1882"/>
      <c r="WHE33" s="1882"/>
      <c r="WHF33" s="1882"/>
      <c r="WHH33" s="1887"/>
      <c r="WHI33" s="1888"/>
      <c r="WHJ33" s="1882"/>
      <c r="WHK33" s="1882"/>
      <c r="WHL33" s="1882"/>
      <c r="WHN33" s="1887"/>
      <c r="WHO33" s="1888"/>
      <c r="WHP33" s="1882"/>
      <c r="WHQ33" s="1882"/>
      <c r="WHR33" s="1882"/>
      <c r="WHT33" s="1887"/>
      <c r="WHU33" s="1888"/>
      <c r="WHV33" s="1882"/>
      <c r="WHW33" s="1882"/>
      <c r="WHX33" s="1882"/>
      <c r="WHZ33" s="1887"/>
      <c r="WIA33" s="1888"/>
      <c r="WIB33" s="1882"/>
      <c r="WIC33" s="1882"/>
      <c r="WID33" s="1882"/>
      <c r="WIF33" s="1887"/>
      <c r="WIG33" s="1888"/>
      <c r="WIH33" s="1882"/>
      <c r="WII33" s="1882"/>
      <c r="WIJ33" s="1882"/>
      <c r="WIL33" s="1887"/>
      <c r="WIM33" s="1888"/>
      <c r="WIN33" s="1882"/>
      <c r="WIO33" s="1882"/>
      <c r="WIP33" s="1882"/>
      <c r="WIR33" s="1887"/>
      <c r="WIS33" s="1888"/>
      <c r="WIT33" s="1882"/>
      <c r="WIU33" s="1882"/>
      <c r="WIV33" s="1882"/>
      <c r="WIX33" s="1887"/>
      <c r="WIY33" s="1888"/>
      <c r="WIZ33" s="1882"/>
      <c r="WJA33" s="1882"/>
      <c r="WJB33" s="1882"/>
      <c r="WJD33" s="1887"/>
      <c r="WJE33" s="1888"/>
      <c r="WJF33" s="1882"/>
      <c r="WJG33" s="1882"/>
      <c r="WJH33" s="1882"/>
      <c r="WJJ33" s="1887"/>
      <c r="WJK33" s="1888"/>
      <c r="WJL33" s="1882"/>
      <c r="WJM33" s="1882"/>
      <c r="WJN33" s="1882"/>
      <c r="WJP33" s="1887"/>
      <c r="WJQ33" s="1888"/>
      <c r="WJR33" s="1882"/>
      <c r="WJS33" s="1882"/>
      <c r="WJT33" s="1882"/>
      <c r="WJV33" s="1887"/>
      <c r="WJW33" s="1888"/>
      <c r="WJX33" s="1882"/>
      <c r="WJY33" s="1882"/>
      <c r="WJZ33" s="1882"/>
      <c r="WKB33" s="1887"/>
      <c r="WKC33" s="1888"/>
      <c r="WKD33" s="1882"/>
      <c r="WKE33" s="1882"/>
      <c r="WKF33" s="1882"/>
      <c r="WKH33" s="1887"/>
      <c r="WKI33" s="1888"/>
      <c r="WKJ33" s="1882"/>
      <c r="WKK33" s="1882"/>
      <c r="WKL33" s="1882"/>
      <c r="WKN33" s="1887"/>
      <c r="WKO33" s="1888"/>
      <c r="WKP33" s="1882"/>
      <c r="WKQ33" s="1882"/>
      <c r="WKR33" s="1882"/>
      <c r="WKT33" s="1887"/>
      <c r="WKU33" s="1888"/>
      <c r="WKV33" s="1882"/>
      <c r="WKW33" s="1882"/>
      <c r="WKX33" s="1882"/>
      <c r="WKZ33" s="1887"/>
      <c r="WLA33" s="1888"/>
      <c r="WLB33" s="1882"/>
      <c r="WLC33" s="1882"/>
      <c r="WLD33" s="1882"/>
      <c r="WLF33" s="1887"/>
      <c r="WLG33" s="1888"/>
      <c r="WLH33" s="1882"/>
      <c r="WLI33" s="1882"/>
      <c r="WLJ33" s="1882"/>
      <c r="WLL33" s="1887"/>
      <c r="WLM33" s="1888"/>
      <c r="WLN33" s="1882"/>
      <c r="WLO33" s="1882"/>
      <c r="WLP33" s="1882"/>
      <c r="WLR33" s="1887"/>
      <c r="WLS33" s="1888"/>
      <c r="WLT33" s="1882"/>
      <c r="WLU33" s="1882"/>
      <c r="WLV33" s="1882"/>
      <c r="WLX33" s="1887"/>
      <c r="WLY33" s="1888"/>
      <c r="WLZ33" s="1882"/>
      <c r="WMA33" s="1882"/>
      <c r="WMB33" s="1882"/>
      <c r="WMD33" s="1887"/>
      <c r="WME33" s="1888"/>
      <c r="WMF33" s="1882"/>
      <c r="WMG33" s="1882"/>
      <c r="WMH33" s="1882"/>
      <c r="WMJ33" s="1887"/>
      <c r="WMK33" s="1888"/>
      <c r="WML33" s="1882"/>
      <c r="WMM33" s="1882"/>
      <c r="WMN33" s="1882"/>
      <c r="WMP33" s="1887"/>
      <c r="WMQ33" s="1888"/>
      <c r="WMR33" s="1882"/>
      <c r="WMS33" s="1882"/>
      <c r="WMT33" s="1882"/>
      <c r="WMV33" s="1887"/>
      <c r="WMW33" s="1888"/>
      <c r="WMX33" s="1882"/>
      <c r="WMY33" s="1882"/>
      <c r="WMZ33" s="1882"/>
      <c r="WNB33" s="1887"/>
      <c r="WNC33" s="1888"/>
      <c r="WND33" s="1882"/>
      <c r="WNE33" s="1882"/>
      <c r="WNF33" s="1882"/>
      <c r="WNH33" s="1887"/>
      <c r="WNI33" s="1888"/>
      <c r="WNJ33" s="1882"/>
      <c r="WNK33" s="1882"/>
      <c r="WNL33" s="1882"/>
      <c r="WNN33" s="1887"/>
      <c r="WNO33" s="1888"/>
      <c r="WNP33" s="1882"/>
      <c r="WNQ33" s="1882"/>
      <c r="WNR33" s="1882"/>
      <c r="WNT33" s="1887"/>
      <c r="WNU33" s="1888"/>
      <c r="WNV33" s="1882"/>
      <c r="WNW33" s="1882"/>
      <c r="WNX33" s="1882"/>
      <c r="WNZ33" s="1887"/>
      <c r="WOA33" s="1888"/>
      <c r="WOB33" s="1882"/>
      <c r="WOC33" s="1882"/>
      <c r="WOD33" s="1882"/>
      <c r="WOF33" s="1887"/>
      <c r="WOG33" s="1888"/>
      <c r="WOH33" s="1882"/>
      <c r="WOI33" s="1882"/>
      <c r="WOJ33" s="1882"/>
      <c r="WOL33" s="1887"/>
      <c r="WOM33" s="1888"/>
      <c r="WON33" s="1882"/>
      <c r="WOO33" s="1882"/>
      <c r="WOP33" s="1882"/>
      <c r="WOR33" s="1887"/>
      <c r="WOS33" s="1888"/>
      <c r="WOT33" s="1882"/>
      <c r="WOU33" s="1882"/>
      <c r="WOV33" s="1882"/>
      <c r="WOX33" s="1887"/>
      <c r="WOY33" s="1888"/>
      <c r="WOZ33" s="1882"/>
      <c r="WPA33" s="1882"/>
      <c r="WPB33" s="1882"/>
      <c r="WPD33" s="1887"/>
      <c r="WPE33" s="1888"/>
      <c r="WPF33" s="1882"/>
      <c r="WPG33" s="1882"/>
      <c r="WPH33" s="1882"/>
      <c r="WPJ33" s="1887"/>
      <c r="WPK33" s="1888"/>
      <c r="WPL33" s="1882"/>
      <c r="WPM33" s="1882"/>
      <c r="WPN33" s="1882"/>
      <c r="WPP33" s="1887"/>
      <c r="WPQ33" s="1888"/>
      <c r="WPR33" s="1882"/>
      <c r="WPS33" s="1882"/>
      <c r="WPT33" s="1882"/>
      <c r="WPV33" s="1887"/>
      <c r="WPW33" s="1888"/>
      <c r="WPX33" s="1882"/>
      <c r="WPY33" s="1882"/>
      <c r="WPZ33" s="1882"/>
      <c r="WQB33" s="1887"/>
      <c r="WQC33" s="1888"/>
      <c r="WQD33" s="1882"/>
      <c r="WQE33" s="1882"/>
      <c r="WQF33" s="1882"/>
      <c r="WQH33" s="1887"/>
      <c r="WQI33" s="1888"/>
      <c r="WQJ33" s="1882"/>
      <c r="WQK33" s="1882"/>
      <c r="WQL33" s="1882"/>
      <c r="WQN33" s="1887"/>
      <c r="WQO33" s="1888"/>
      <c r="WQP33" s="1882"/>
      <c r="WQQ33" s="1882"/>
      <c r="WQR33" s="1882"/>
      <c r="WQT33" s="1887"/>
      <c r="WQU33" s="1888"/>
      <c r="WQV33" s="1882"/>
      <c r="WQW33" s="1882"/>
      <c r="WQX33" s="1882"/>
      <c r="WQZ33" s="1887"/>
      <c r="WRA33" s="1888"/>
      <c r="WRB33" s="1882"/>
      <c r="WRC33" s="1882"/>
      <c r="WRD33" s="1882"/>
      <c r="WRF33" s="1887"/>
      <c r="WRG33" s="1888"/>
      <c r="WRH33" s="1882"/>
      <c r="WRI33" s="1882"/>
      <c r="WRJ33" s="1882"/>
      <c r="WRL33" s="1887"/>
      <c r="WRM33" s="1888"/>
      <c r="WRN33" s="1882"/>
      <c r="WRO33" s="1882"/>
      <c r="WRP33" s="1882"/>
      <c r="WRR33" s="1887"/>
      <c r="WRS33" s="1888"/>
      <c r="WRT33" s="1882"/>
      <c r="WRU33" s="1882"/>
      <c r="WRV33" s="1882"/>
      <c r="WRX33" s="1887"/>
      <c r="WRY33" s="1888"/>
      <c r="WRZ33" s="1882"/>
      <c r="WSA33" s="1882"/>
      <c r="WSB33" s="1882"/>
      <c r="WSD33" s="1887"/>
      <c r="WSE33" s="1888"/>
      <c r="WSF33" s="1882"/>
      <c r="WSG33" s="1882"/>
      <c r="WSH33" s="1882"/>
      <c r="WSJ33" s="1887"/>
      <c r="WSK33" s="1888"/>
      <c r="WSL33" s="1882"/>
      <c r="WSM33" s="1882"/>
      <c r="WSN33" s="1882"/>
      <c r="WSP33" s="1887"/>
      <c r="WSQ33" s="1888"/>
      <c r="WSR33" s="1882"/>
      <c r="WSS33" s="1882"/>
      <c r="WST33" s="1882"/>
      <c r="WSV33" s="1887"/>
      <c r="WSW33" s="1888"/>
      <c r="WSX33" s="1882"/>
      <c r="WSY33" s="1882"/>
      <c r="WSZ33" s="1882"/>
      <c r="WTB33" s="1887"/>
      <c r="WTC33" s="1888"/>
      <c r="WTD33" s="1882"/>
      <c r="WTE33" s="1882"/>
      <c r="WTF33" s="1882"/>
      <c r="WTH33" s="1887"/>
      <c r="WTI33" s="1888"/>
      <c r="WTJ33" s="1882"/>
      <c r="WTK33" s="1882"/>
      <c r="WTL33" s="1882"/>
      <c r="WTN33" s="1887"/>
      <c r="WTO33" s="1888"/>
      <c r="WTP33" s="1882"/>
      <c r="WTQ33" s="1882"/>
      <c r="WTR33" s="1882"/>
      <c r="WTT33" s="1887"/>
      <c r="WTU33" s="1888"/>
      <c r="WTV33" s="1882"/>
      <c r="WTW33" s="1882"/>
      <c r="WTX33" s="1882"/>
      <c r="WTZ33" s="1887"/>
      <c r="WUA33" s="1888"/>
      <c r="WUB33" s="1882"/>
      <c r="WUC33" s="1882"/>
      <c r="WUD33" s="1882"/>
      <c r="WUF33" s="1887"/>
      <c r="WUG33" s="1888"/>
      <c r="WUH33" s="1882"/>
      <c r="WUI33" s="1882"/>
      <c r="WUJ33" s="1882"/>
      <c r="WUL33" s="1887"/>
      <c r="WUM33" s="1888"/>
      <c r="WUN33" s="1882"/>
      <c r="WUO33" s="1882"/>
      <c r="WUP33" s="1882"/>
      <c r="WUR33" s="1887"/>
      <c r="WUS33" s="1888"/>
      <c r="WUT33" s="1882"/>
      <c r="WUU33" s="1882"/>
      <c r="WUV33" s="1882"/>
      <c r="WUX33" s="1887"/>
      <c r="WUY33" s="1888"/>
      <c r="WUZ33" s="1882"/>
      <c r="WVA33" s="1882"/>
      <c r="WVB33" s="1882"/>
      <c r="WVD33" s="1887"/>
      <c r="WVE33" s="1888"/>
      <c r="WVF33" s="1882"/>
      <c r="WVG33" s="1882"/>
      <c r="WVH33" s="1882"/>
      <c r="WVJ33" s="1887"/>
      <c r="WVK33" s="1888"/>
      <c r="WVL33" s="1882"/>
      <c r="WVM33" s="1882"/>
      <c r="WVN33" s="1882"/>
      <c r="WVP33" s="1887"/>
      <c r="WVQ33" s="1888"/>
      <c r="WVR33" s="1882"/>
      <c r="WVS33" s="1882"/>
      <c r="WVT33" s="1882"/>
      <c r="WVV33" s="1887"/>
      <c r="WVW33" s="1888"/>
      <c r="WVX33" s="1882"/>
      <c r="WVY33" s="1882"/>
      <c r="WVZ33" s="1882"/>
      <c r="WWB33" s="1887"/>
      <c r="WWC33" s="1888"/>
      <c r="WWD33" s="1882"/>
      <c r="WWE33" s="1882"/>
      <c r="WWF33" s="1882"/>
      <c r="WWH33" s="1887"/>
      <c r="WWI33" s="1888"/>
      <c r="WWJ33" s="1882"/>
      <c r="WWK33" s="1882"/>
      <c r="WWL33" s="1882"/>
      <c r="WWN33" s="1887"/>
      <c r="WWO33" s="1888"/>
      <c r="WWP33" s="1882"/>
      <c r="WWQ33" s="1882"/>
      <c r="WWR33" s="1882"/>
      <c r="WWT33" s="1887"/>
      <c r="WWU33" s="1888"/>
      <c r="WWV33" s="1882"/>
      <c r="WWW33" s="1882"/>
      <c r="WWX33" s="1882"/>
      <c r="WWZ33" s="1887"/>
      <c r="WXA33" s="1888"/>
      <c r="WXB33" s="1882"/>
      <c r="WXC33" s="1882"/>
      <c r="WXD33" s="1882"/>
      <c r="WXF33" s="1887"/>
      <c r="WXG33" s="1888"/>
      <c r="WXH33" s="1882"/>
      <c r="WXI33" s="1882"/>
      <c r="WXJ33" s="1882"/>
      <c r="WXL33" s="1887"/>
      <c r="WXM33" s="1888"/>
      <c r="WXN33" s="1882"/>
      <c r="WXO33" s="1882"/>
      <c r="WXP33" s="1882"/>
      <c r="WXR33" s="1887"/>
      <c r="WXS33" s="1888"/>
      <c r="WXT33" s="1882"/>
      <c r="WXU33" s="1882"/>
      <c r="WXV33" s="1882"/>
      <c r="WXX33" s="1887"/>
      <c r="WXY33" s="1888"/>
      <c r="WXZ33" s="1882"/>
      <c r="WYA33" s="1882"/>
      <c r="WYB33" s="1882"/>
      <c r="WYD33" s="1887"/>
      <c r="WYE33" s="1888"/>
      <c r="WYF33" s="1882"/>
      <c r="WYG33" s="1882"/>
      <c r="WYH33" s="1882"/>
      <c r="WYJ33" s="1887"/>
      <c r="WYK33" s="1888"/>
      <c r="WYL33" s="1882"/>
      <c r="WYM33" s="1882"/>
      <c r="WYN33" s="1882"/>
      <c r="WYP33" s="1887"/>
      <c r="WYQ33" s="1888"/>
      <c r="WYR33" s="1882"/>
      <c r="WYS33" s="1882"/>
      <c r="WYT33" s="1882"/>
      <c r="WYV33" s="1887"/>
      <c r="WYW33" s="1888"/>
      <c r="WYX33" s="1882"/>
      <c r="WYY33" s="1882"/>
      <c r="WYZ33" s="1882"/>
      <c r="WZB33" s="1887"/>
      <c r="WZC33" s="1888"/>
      <c r="WZD33" s="1882"/>
      <c r="WZE33" s="1882"/>
      <c r="WZF33" s="1882"/>
      <c r="WZH33" s="1887"/>
      <c r="WZI33" s="1888"/>
      <c r="WZJ33" s="1882"/>
      <c r="WZK33" s="1882"/>
      <c r="WZL33" s="1882"/>
      <c r="WZN33" s="1887"/>
      <c r="WZO33" s="1888"/>
      <c r="WZP33" s="1882"/>
      <c r="WZQ33" s="1882"/>
      <c r="WZR33" s="1882"/>
      <c r="WZT33" s="1887"/>
      <c r="WZU33" s="1888"/>
      <c r="WZV33" s="1882"/>
      <c r="WZW33" s="1882"/>
      <c r="WZX33" s="1882"/>
      <c r="WZZ33" s="1887"/>
      <c r="XAA33" s="1888"/>
      <c r="XAB33" s="1882"/>
      <c r="XAC33" s="1882"/>
      <c r="XAD33" s="1882"/>
      <c r="XAF33" s="1887"/>
      <c r="XAG33" s="1888"/>
      <c r="XAH33" s="1882"/>
      <c r="XAI33" s="1882"/>
      <c r="XAJ33" s="1882"/>
      <c r="XAL33" s="1887"/>
      <c r="XAM33" s="1888"/>
      <c r="XAN33" s="1882"/>
      <c r="XAO33" s="1882"/>
      <c r="XAP33" s="1882"/>
      <c r="XAR33" s="1887"/>
      <c r="XAS33" s="1888"/>
      <c r="XAT33" s="1882"/>
      <c r="XAU33" s="1882"/>
      <c r="XAV33" s="1882"/>
      <c r="XAX33" s="1887"/>
      <c r="XAY33" s="1888"/>
      <c r="XAZ33" s="1882"/>
      <c r="XBA33" s="1882"/>
      <c r="XBB33" s="1882"/>
      <c r="XBD33" s="1887"/>
      <c r="XBE33" s="1888"/>
      <c r="XBF33" s="1882"/>
      <c r="XBG33" s="1882"/>
      <c r="XBH33" s="1882"/>
      <c r="XBJ33" s="1887"/>
      <c r="XBK33" s="1888"/>
      <c r="XBL33" s="1882"/>
      <c r="XBM33" s="1882"/>
      <c r="XBN33" s="1882"/>
      <c r="XBP33" s="1887"/>
      <c r="XBQ33" s="1888"/>
      <c r="XBR33" s="1882"/>
      <c r="XBS33" s="1882"/>
      <c r="XBT33" s="1882"/>
      <c r="XBV33" s="1887"/>
      <c r="XBW33" s="1888"/>
      <c r="XBX33" s="1882"/>
      <c r="XBY33" s="1882"/>
      <c r="XBZ33" s="1882"/>
      <c r="XCB33" s="1887"/>
      <c r="XCC33" s="1888"/>
      <c r="XCD33" s="1882"/>
      <c r="XCE33" s="1882"/>
      <c r="XCF33" s="1882"/>
      <c r="XCH33" s="1887"/>
      <c r="XCI33" s="1888"/>
      <c r="XCJ33" s="1882"/>
      <c r="XCK33" s="1882"/>
      <c r="XCL33" s="1882"/>
      <c r="XCN33" s="1887"/>
      <c r="XCO33" s="1888"/>
      <c r="XCP33" s="1882"/>
      <c r="XCQ33" s="1882"/>
      <c r="XCR33" s="1882"/>
      <c r="XCT33" s="1887"/>
      <c r="XCU33" s="1888"/>
      <c r="XCV33" s="1882"/>
      <c r="XCW33" s="1882"/>
      <c r="XCX33" s="1882"/>
      <c r="XCZ33" s="1887"/>
      <c r="XDA33" s="1888"/>
      <c r="XDB33" s="1882"/>
      <c r="XDC33" s="1882"/>
      <c r="XDD33" s="1882"/>
      <c r="XDF33" s="1887"/>
      <c r="XDG33" s="1888"/>
      <c r="XDH33" s="1882"/>
      <c r="XDI33" s="1882"/>
      <c r="XDJ33" s="1882"/>
      <c r="XDL33" s="1887"/>
      <c r="XDM33" s="1888"/>
      <c r="XDN33" s="1882"/>
      <c r="XDO33" s="1882"/>
      <c r="XDP33" s="1882"/>
      <c r="XDR33" s="1887"/>
      <c r="XDS33" s="1888"/>
      <c r="XDT33" s="1882"/>
      <c r="XDU33" s="1882"/>
      <c r="XDV33" s="1882"/>
      <c r="XDX33" s="1887"/>
      <c r="XDY33" s="1888"/>
      <c r="XDZ33" s="1882"/>
      <c r="XEA33" s="1882"/>
      <c r="XEB33" s="1882"/>
      <c r="XED33" s="1887"/>
      <c r="XEE33" s="1888"/>
      <c r="XEF33" s="1882"/>
      <c r="XEG33" s="1882"/>
      <c r="XEH33" s="1882"/>
      <c r="XEJ33" s="1887"/>
      <c r="XEK33" s="1888"/>
      <c r="XEL33" s="1882"/>
      <c r="XEM33" s="1882"/>
      <c r="XEN33" s="1882"/>
      <c r="XEP33" s="1887"/>
      <c r="XEQ33" s="1888"/>
      <c r="XER33" s="1882"/>
      <c r="XES33" s="1882"/>
      <c r="XET33" s="1882"/>
      <c r="XEV33" s="1887"/>
      <c r="XEW33" s="1888"/>
      <c r="XEX33" s="1882"/>
      <c r="XEY33" s="1882"/>
      <c r="XEZ33" s="1882"/>
      <c r="XFB33" s="1887"/>
      <c r="XFC33" s="1888"/>
      <c r="XFD33" s="1882"/>
    </row>
    <row r="34" spans="1:3072 3074:6144 6146:9216 9218:12288 12290:15360 15362:16384" ht="12.75" customHeight="1" thickBot="1">
      <c r="D34" s="1882"/>
      <c r="E34" s="1882"/>
      <c r="F34" s="1882"/>
      <c r="H34" s="1641"/>
      <c r="I34" s="1641"/>
      <c r="J34" s="4911"/>
      <c r="K34" s="4911"/>
      <c r="L34" s="4911"/>
      <c r="M34" s="4911"/>
      <c r="N34" s="1876"/>
      <c r="O34" s="1876"/>
      <c r="P34" s="1876"/>
      <c r="Q34" s="1876"/>
    </row>
    <row r="35" spans="1:3072 3074:6144 6146:9216 9218:12288 12290:15360 15362:16384" ht="13">
      <c r="A35" s="1877" t="s">
        <v>1100</v>
      </c>
      <c r="B35" s="1878" t="s">
        <v>1517</v>
      </c>
      <c r="C35" s="4900" t="s">
        <v>1518</v>
      </c>
      <c r="D35" s="4901"/>
      <c r="E35" s="4901"/>
      <c r="F35" s="4902"/>
      <c r="G35" s="1876"/>
      <c r="H35" s="1641"/>
      <c r="I35" s="1641"/>
      <c r="J35" s="4912"/>
      <c r="K35" s="4912"/>
      <c r="L35" s="4912"/>
      <c r="M35" s="4912"/>
      <c r="N35" s="1876"/>
      <c r="O35" s="1876"/>
      <c r="P35" s="1876"/>
      <c r="Q35" s="1876"/>
    </row>
    <row r="36" spans="1:3072 3074:6144 6146:9216 9218:12288 12290:15360 15362:16384" ht="13">
      <c r="A36" s="4903" t="s">
        <v>1852</v>
      </c>
      <c r="B36" s="4904"/>
      <c r="C36" s="4904"/>
      <c r="D36" s="4904"/>
      <c r="E36" s="4904"/>
      <c r="F36" s="4905"/>
      <c r="G36" s="1876"/>
      <c r="H36" s="1641"/>
      <c r="I36" s="1641"/>
      <c r="J36" s="1889"/>
      <c r="K36" s="1889"/>
      <c r="L36" s="1889"/>
      <c r="M36" s="1889"/>
      <c r="N36" s="1876"/>
      <c r="O36" s="1876"/>
      <c r="P36" s="1876"/>
      <c r="Q36" s="1876"/>
    </row>
    <row r="37" spans="1:3072 3074:6144 6146:9216 9218:12288 12290:15360 15362:16384" ht="13.5" thickBot="1">
      <c r="A37" s="4906"/>
      <c r="B37" s="4907"/>
      <c r="C37" s="4907"/>
      <c r="D37" s="4907"/>
      <c r="E37" s="4907"/>
      <c r="F37" s="4908"/>
      <c r="G37" s="1876"/>
      <c r="H37" s="1641"/>
      <c r="I37" s="1641"/>
      <c r="J37" s="1889"/>
      <c r="K37" s="1889"/>
      <c r="L37" s="1889"/>
      <c r="M37" s="1889"/>
      <c r="N37" s="1876"/>
      <c r="O37" s="1876"/>
      <c r="P37" s="1876"/>
      <c r="Q37" s="1876"/>
    </row>
    <row r="38" spans="1:3072 3074:6144 6146:9216 9218:12288 12290:15360 15362:16384" ht="13">
      <c r="A38" s="1879" t="s">
        <v>162</v>
      </c>
      <c r="B38" s="1879" t="s">
        <v>1844</v>
      </c>
      <c r="C38" s="1879" t="s">
        <v>163</v>
      </c>
      <c r="D38" s="1879" t="s">
        <v>1845</v>
      </c>
      <c r="E38" s="1879" t="s">
        <v>1846</v>
      </c>
      <c r="F38" s="1879" t="s">
        <v>1847</v>
      </c>
      <c r="G38" s="1876"/>
      <c r="H38" s="1641"/>
      <c r="I38" s="1641"/>
      <c r="J38" s="1889"/>
      <c r="K38" s="1889"/>
      <c r="L38" s="1889"/>
      <c r="M38" s="1889"/>
      <c r="N38" s="1876"/>
      <c r="O38" s="1876"/>
      <c r="P38" s="1876"/>
      <c r="Q38" s="1876"/>
    </row>
    <row r="39" spans="1:3072 3074:6144 6146:9216 9218:12288 12290:15360 15362:16384" ht="14.5">
      <c r="A39" s="1880" t="s">
        <v>1069</v>
      </c>
      <c r="B39" s="1880" t="s">
        <v>1517</v>
      </c>
      <c r="C39" s="1880" t="s">
        <v>1578</v>
      </c>
      <c r="D39" s="1881">
        <v>0.26800000000000002</v>
      </c>
      <c r="E39" s="1723">
        <v>0.55000000000000004</v>
      </c>
      <c r="F39" s="1723">
        <f>ROUND(D39*E39,2)</f>
        <v>0.15</v>
      </c>
      <c r="G39" s="1876"/>
      <c r="H39" s="1641"/>
      <c r="I39" s="1641"/>
      <c r="J39" s="4912"/>
      <c r="K39" s="4912"/>
      <c r="L39" s="4912"/>
      <c r="M39" s="4912"/>
      <c r="N39" s="1876"/>
      <c r="O39" s="1876"/>
      <c r="P39" s="1876"/>
      <c r="Q39" s="1876"/>
    </row>
    <row r="40" spans="1:3072 3074:6144 6146:9216 9218:12288 12290:15360 15362:16384" ht="14.5">
      <c r="A40" s="1880" t="s">
        <v>1394</v>
      </c>
      <c r="B40" s="1880" t="s">
        <v>1577</v>
      </c>
      <c r="C40" s="1880" t="s">
        <v>1579</v>
      </c>
      <c r="D40" s="1881">
        <v>0.45300000000000001</v>
      </c>
      <c r="E40" s="1723">
        <v>92.54</v>
      </c>
      <c r="F40" s="1723">
        <f>ROUND(D40*E40,2)</f>
        <v>41.92</v>
      </c>
      <c r="G40" s="1876"/>
      <c r="H40" s="1641"/>
      <c r="I40" s="1641"/>
      <c r="J40" s="4912"/>
      <c r="K40" s="4912"/>
      <c r="L40" s="4912"/>
      <c r="M40" s="4912"/>
      <c r="N40" s="1876"/>
      <c r="O40" s="1876"/>
      <c r="P40" s="1876"/>
      <c r="Q40" s="1876"/>
    </row>
    <row r="41" spans="1:3072 3074:6144 6146:9216 9218:12288 12290:15360 15362:16384" ht="14.5">
      <c r="A41" s="1880" t="s">
        <v>1576</v>
      </c>
      <c r="B41" s="1880" t="s">
        <v>1517</v>
      </c>
      <c r="C41" s="1880" t="s">
        <v>1580</v>
      </c>
      <c r="D41" s="1881">
        <v>1.004</v>
      </c>
      <c r="E41" s="1723">
        <v>6.53</v>
      </c>
      <c r="F41" s="1723">
        <f>ROUND(D41*E41,2)</f>
        <v>6.56</v>
      </c>
      <c r="G41" s="1876"/>
      <c r="H41" s="1641"/>
      <c r="I41" s="1641"/>
      <c r="J41" s="1889"/>
      <c r="K41" s="1890"/>
      <c r="L41" s="1889"/>
      <c r="M41" s="1875"/>
      <c r="N41" s="1876"/>
      <c r="O41" s="1876"/>
      <c r="P41" s="1876"/>
      <c r="Q41" s="1876"/>
    </row>
    <row r="42" spans="1:3072 3074:6144 6146:9216 9218:12288 12290:15360 15362:16384" ht="14.5">
      <c r="A42" s="1880" t="s">
        <v>1067</v>
      </c>
      <c r="B42" s="1880" t="s">
        <v>1508</v>
      </c>
      <c r="C42" s="1880" t="s">
        <v>1512</v>
      </c>
      <c r="D42" s="1881">
        <v>1.03</v>
      </c>
      <c r="E42" s="1723">
        <v>18.28</v>
      </c>
      <c r="F42" s="1723">
        <f>ROUND(D42*E42,2)</f>
        <v>18.829999999999998</v>
      </c>
      <c r="H42" s="1641"/>
      <c r="L42" s="1891"/>
      <c r="M42" s="1891"/>
    </row>
    <row r="43" spans="1:3072 3074:6144 6146:9216 9218:12288 12290:15360 15362:16384" ht="12.75" customHeight="1">
      <c r="A43" s="1882"/>
      <c r="B43" s="1882"/>
      <c r="C43" s="1882"/>
      <c r="D43" s="4909" t="s">
        <v>1848</v>
      </c>
      <c r="E43" s="4910"/>
      <c r="F43" s="1883">
        <f>SUM(F39:F42)</f>
        <v>67.460000000000008</v>
      </c>
      <c r="H43" s="1641"/>
      <c r="I43" s="1641"/>
      <c r="J43" s="1889"/>
      <c r="K43" s="1891"/>
      <c r="L43" s="1891"/>
      <c r="M43" s="1891"/>
    </row>
    <row r="44" spans="1:3072 3074:6144 6146:9216 9218:12288 12290:15360 15362:16384" ht="15" thickBot="1">
      <c r="A44" s="1882"/>
      <c r="B44" s="1882"/>
      <c r="C44" s="1882"/>
      <c r="D44" s="1882"/>
      <c r="E44" s="1882"/>
      <c r="F44" s="1882"/>
      <c r="H44" s="1641"/>
      <c r="I44" s="1641"/>
      <c r="J44" s="1889"/>
      <c r="K44" s="1891"/>
      <c r="L44" s="1891"/>
      <c r="M44" s="1891"/>
    </row>
    <row r="45" spans="1:3072 3074:6144 6146:9216 9218:12288 12290:15360 15362:16384" ht="13">
      <c r="A45" s="1877" t="s">
        <v>1127</v>
      </c>
      <c r="B45" s="1878" t="s">
        <v>1517</v>
      </c>
      <c r="C45" s="4900" t="s">
        <v>1519</v>
      </c>
      <c r="D45" s="4901"/>
      <c r="E45" s="4901"/>
      <c r="F45" s="4902"/>
      <c r="H45" s="1641"/>
      <c r="I45" s="1641"/>
      <c r="J45" s="1889"/>
      <c r="K45" s="1891"/>
      <c r="L45" s="1891"/>
      <c r="M45" s="1891"/>
    </row>
    <row r="46" spans="1:3072 3074:6144 6146:9216 9218:12288 12290:15360 15362:16384" ht="13">
      <c r="A46" s="4903" t="s">
        <v>1853</v>
      </c>
      <c r="B46" s="4904"/>
      <c r="C46" s="4904"/>
      <c r="D46" s="4904"/>
      <c r="E46" s="4904"/>
      <c r="F46" s="4905"/>
      <c r="H46" s="1641"/>
      <c r="I46" s="1641"/>
      <c r="J46" s="1889"/>
      <c r="K46" s="1891"/>
      <c r="L46" s="1891"/>
      <c r="M46" s="1891"/>
    </row>
    <row r="47" spans="1:3072 3074:6144 6146:9216 9218:12288 12290:15360 15362:16384" ht="13.5" thickBot="1">
      <c r="A47" s="4906"/>
      <c r="B47" s="4907"/>
      <c r="C47" s="4907"/>
      <c r="D47" s="4907"/>
      <c r="E47" s="4907"/>
      <c r="F47" s="4908"/>
      <c r="H47" s="1641"/>
      <c r="I47" s="1641"/>
      <c r="J47" s="1889"/>
      <c r="K47" s="1891"/>
      <c r="L47" s="1891"/>
      <c r="M47" s="1891"/>
    </row>
    <row r="48" spans="1:3072 3074:6144 6146:9216 9218:12288 12290:15360 15362:16384" ht="13">
      <c r="A48" s="1879" t="s">
        <v>162</v>
      </c>
      <c r="B48" s="1879" t="s">
        <v>1844</v>
      </c>
      <c r="C48" s="1879" t="s">
        <v>163</v>
      </c>
      <c r="D48" s="1879" t="s">
        <v>1845</v>
      </c>
      <c r="E48" s="1879" t="s">
        <v>1846</v>
      </c>
      <c r="F48" s="1879" t="s">
        <v>1847</v>
      </c>
      <c r="H48" s="1641"/>
      <c r="I48" s="1641"/>
      <c r="J48" s="1889"/>
      <c r="K48" s="1891"/>
      <c r="L48" s="1891"/>
      <c r="M48" s="1891"/>
    </row>
    <row r="49" spans="1:13" ht="14.5">
      <c r="A49" s="1880" t="s">
        <v>1069</v>
      </c>
      <c r="B49" s="1880" t="s">
        <v>1517</v>
      </c>
      <c r="C49" s="1880" t="s">
        <v>1578</v>
      </c>
      <c r="D49" s="1881">
        <v>0.26300000000000001</v>
      </c>
      <c r="E49" s="1723">
        <v>0.55000000000000004</v>
      </c>
      <c r="F49" s="1723">
        <f>ROUND(D49*E49,2)</f>
        <v>0.14000000000000001</v>
      </c>
      <c r="H49" s="1641"/>
      <c r="I49" s="1641"/>
      <c r="J49" s="1889"/>
      <c r="K49" s="1891"/>
      <c r="L49" s="1891"/>
      <c r="M49" s="1891"/>
    </row>
    <row r="50" spans="1:13" ht="14.5">
      <c r="A50" s="1880" t="s">
        <v>1394</v>
      </c>
      <c r="B50" s="1880" t="s">
        <v>1577</v>
      </c>
      <c r="C50" s="1880" t="s">
        <v>1579</v>
      </c>
      <c r="D50" s="1881">
        <v>0.25800000000000001</v>
      </c>
      <c r="E50" s="1723">
        <v>92.54</v>
      </c>
      <c r="F50" s="1723">
        <f>ROUND(D50*E50,2)</f>
        <v>23.88</v>
      </c>
      <c r="H50" s="1641"/>
      <c r="I50" s="1641"/>
      <c r="J50" s="1889"/>
      <c r="K50" s="1891"/>
      <c r="L50" s="1891"/>
      <c r="M50" s="1891"/>
    </row>
    <row r="51" spans="1:13" ht="14.5">
      <c r="A51" s="1880" t="s">
        <v>1576</v>
      </c>
      <c r="B51" s="1880" t="s">
        <v>1517</v>
      </c>
      <c r="C51" s="1880" t="s">
        <v>1580</v>
      </c>
      <c r="D51" s="1881">
        <v>1.1020000000000001</v>
      </c>
      <c r="E51" s="1723">
        <v>6.53</v>
      </c>
      <c r="F51" s="1723">
        <f>ROUND(D51*E51,2)</f>
        <v>7.2</v>
      </c>
      <c r="H51" s="1641"/>
      <c r="I51" s="1641"/>
      <c r="J51" s="1889"/>
      <c r="K51" s="1891"/>
      <c r="L51" s="1891"/>
      <c r="M51" s="1891"/>
    </row>
    <row r="52" spans="1:13" ht="14.5">
      <c r="A52" s="1880" t="s">
        <v>1067</v>
      </c>
      <c r="B52" s="1880" t="s">
        <v>1508</v>
      </c>
      <c r="C52" s="1880" t="s">
        <v>1512</v>
      </c>
      <c r="D52" s="1881">
        <v>1.03</v>
      </c>
      <c r="E52" s="1723">
        <v>18.28</v>
      </c>
      <c r="F52" s="1723">
        <f>ROUND(D52*E52,2)</f>
        <v>18.829999999999998</v>
      </c>
      <c r="H52" s="1641"/>
      <c r="I52" s="1641"/>
      <c r="J52" s="1889"/>
      <c r="K52" s="1891"/>
      <c r="L52" s="1891"/>
      <c r="M52" s="1891"/>
    </row>
    <row r="53" spans="1:13" ht="14.5">
      <c r="A53" s="1882"/>
      <c r="B53" s="1882"/>
      <c r="C53" s="1882"/>
      <c r="D53" s="4909" t="s">
        <v>1848</v>
      </c>
      <c r="E53" s="4910"/>
      <c r="F53" s="1883">
        <f>SUM(F49:F52)</f>
        <v>50.05</v>
      </c>
      <c r="H53" s="1641"/>
      <c r="I53" s="1641"/>
      <c r="J53" s="1889"/>
      <c r="K53" s="1891"/>
      <c r="L53" s="1891"/>
      <c r="M53" s="1891"/>
    </row>
    <row r="54" spans="1:13" ht="15" thickBot="1">
      <c r="A54" s="1882"/>
      <c r="B54" s="1882"/>
      <c r="C54" s="1882"/>
      <c r="D54" s="1882"/>
      <c r="E54" s="1882"/>
      <c r="F54" s="1882"/>
      <c r="H54" s="1641"/>
      <c r="I54" s="1641"/>
      <c r="J54" s="1889"/>
      <c r="K54" s="1891"/>
      <c r="L54" s="1891"/>
      <c r="M54" s="1891"/>
    </row>
    <row r="55" spans="1:13" ht="13">
      <c r="A55" s="1877" t="s">
        <v>1122</v>
      </c>
      <c r="B55" s="1878" t="s">
        <v>1517</v>
      </c>
      <c r="C55" s="4900" t="s">
        <v>1681</v>
      </c>
      <c r="D55" s="4901"/>
      <c r="E55" s="4901"/>
      <c r="F55" s="4902"/>
      <c r="H55" s="1641"/>
      <c r="I55" s="1641"/>
      <c r="J55" s="1889"/>
      <c r="K55" s="1891"/>
      <c r="L55" s="1891"/>
      <c r="M55" s="1891"/>
    </row>
    <row r="56" spans="1:13" ht="13">
      <c r="A56" s="4903" t="s">
        <v>1854</v>
      </c>
      <c r="B56" s="4904"/>
      <c r="C56" s="4904"/>
      <c r="D56" s="4904"/>
      <c r="E56" s="4904"/>
      <c r="F56" s="4905"/>
      <c r="H56" s="1641"/>
      <c r="I56" s="1641"/>
      <c r="J56" s="1889"/>
      <c r="K56" s="1891"/>
      <c r="L56" s="1891"/>
      <c r="M56" s="1891"/>
    </row>
    <row r="57" spans="1:13" ht="13.5" thickBot="1">
      <c r="A57" s="4906"/>
      <c r="B57" s="4907"/>
      <c r="C57" s="4907"/>
      <c r="D57" s="4907"/>
      <c r="E57" s="4907"/>
      <c r="F57" s="4908"/>
      <c r="H57" s="1641"/>
      <c r="I57" s="1641"/>
      <c r="J57" s="1889"/>
      <c r="K57" s="1891"/>
      <c r="L57" s="1891"/>
      <c r="M57" s="1891"/>
    </row>
    <row r="58" spans="1:13" ht="13">
      <c r="A58" s="1879" t="s">
        <v>162</v>
      </c>
      <c r="B58" s="1879" t="s">
        <v>1844</v>
      </c>
      <c r="C58" s="1879" t="s">
        <v>163</v>
      </c>
      <c r="D58" s="1879" t="s">
        <v>1845</v>
      </c>
      <c r="E58" s="1879" t="s">
        <v>1846</v>
      </c>
      <c r="F58" s="1879" t="s">
        <v>1847</v>
      </c>
      <c r="H58" s="1641"/>
      <c r="I58" s="1641"/>
      <c r="J58" s="1889"/>
      <c r="K58" s="1891"/>
      <c r="L58" s="1891"/>
      <c r="M58" s="1891"/>
    </row>
    <row r="59" spans="1:13" ht="14.5">
      <c r="A59" s="1880" t="s">
        <v>1069</v>
      </c>
      <c r="B59" s="1880" t="s">
        <v>1517</v>
      </c>
      <c r="C59" s="1880" t="s">
        <v>1578</v>
      </c>
      <c r="D59" s="1881">
        <v>0.26300000000000001</v>
      </c>
      <c r="E59" s="1723">
        <v>0.55000000000000004</v>
      </c>
      <c r="F59" s="1723">
        <f>ROUND(D59*E59,2)</f>
        <v>0.14000000000000001</v>
      </c>
      <c r="H59" s="1641"/>
      <c r="I59" s="1641"/>
      <c r="J59" s="1889"/>
      <c r="K59" s="1891"/>
      <c r="L59" s="1891"/>
      <c r="M59" s="1891"/>
    </row>
    <row r="60" spans="1:13" ht="14.5">
      <c r="A60" s="1880" t="s">
        <v>1394</v>
      </c>
      <c r="B60" s="1880" t="s">
        <v>1577</v>
      </c>
      <c r="C60" s="1880" t="s">
        <v>1579</v>
      </c>
      <c r="D60" s="1881">
        <v>0.25800000000000001</v>
      </c>
      <c r="E60" s="1723">
        <v>92.54</v>
      </c>
      <c r="F60" s="1723">
        <f>ROUND(D60*E60,2)</f>
        <v>23.88</v>
      </c>
      <c r="H60" s="1641"/>
      <c r="I60" s="1641"/>
      <c r="J60" s="1889"/>
      <c r="K60" s="1891"/>
      <c r="L60" s="1891"/>
      <c r="M60" s="1891"/>
    </row>
    <row r="61" spans="1:13" ht="14.5">
      <c r="A61" s="1880" t="s">
        <v>1682</v>
      </c>
      <c r="B61" s="1880" t="s">
        <v>1683</v>
      </c>
      <c r="C61" s="1880" t="s">
        <v>1684</v>
      </c>
      <c r="D61" s="1881">
        <v>1.288</v>
      </c>
      <c r="E61" s="1723">
        <v>1.26</v>
      </c>
      <c r="F61" s="1723">
        <f>ROUND(D61*E61,2)</f>
        <v>1.62</v>
      </c>
      <c r="H61" s="1641"/>
      <c r="I61" s="1641"/>
      <c r="J61" s="1889"/>
      <c r="K61" s="1891"/>
      <c r="L61" s="1891"/>
      <c r="M61" s="1891"/>
    </row>
    <row r="62" spans="1:13" ht="14.5">
      <c r="A62" s="1880" t="s">
        <v>1576</v>
      </c>
      <c r="B62" s="1880" t="s">
        <v>1517</v>
      </c>
      <c r="C62" s="1880" t="s">
        <v>1580</v>
      </c>
      <c r="D62" s="1881">
        <v>1.1020000000000001</v>
      </c>
      <c r="E62" s="1723">
        <v>6.53</v>
      </c>
      <c r="F62" s="1723">
        <f>ROUND(D62*E62,2)</f>
        <v>7.2</v>
      </c>
      <c r="H62" s="1641"/>
      <c r="I62" s="1641"/>
      <c r="J62" s="1889"/>
      <c r="K62" s="1891"/>
      <c r="L62" s="1891"/>
      <c r="M62" s="1891"/>
    </row>
    <row r="63" spans="1:13" ht="14.5">
      <c r="A63" s="1880" t="s">
        <v>1067</v>
      </c>
      <c r="B63" s="1880" t="s">
        <v>1508</v>
      </c>
      <c r="C63" s="1880" t="s">
        <v>1512</v>
      </c>
      <c r="D63" s="1881">
        <v>1.03</v>
      </c>
      <c r="E63" s="1723">
        <v>18.28</v>
      </c>
      <c r="F63" s="1723">
        <f>ROUND(D63*E63,2)</f>
        <v>18.829999999999998</v>
      </c>
      <c r="H63" s="1641"/>
      <c r="I63" s="1641"/>
      <c r="J63" s="1889"/>
      <c r="K63" s="1891"/>
      <c r="L63" s="1891"/>
      <c r="M63" s="1891"/>
    </row>
    <row r="64" spans="1:13" ht="14.5">
      <c r="A64" s="1882"/>
      <c r="B64" s="1882"/>
      <c r="C64" s="1882"/>
      <c r="D64" s="4909" t="s">
        <v>1848</v>
      </c>
      <c r="E64" s="4910"/>
      <c r="F64" s="1883">
        <f>SUM(F59:F63)</f>
        <v>51.67</v>
      </c>
      <c r="H64" s="1641"/>
      <c r="I64" s="1641"/>
      <c r="J64" s="1889"/>
      <c r="K64" s="1891"/>
      <c r="L64" s="1891"/>
      <c r="M64" s="1891"/>
    </row>
    <row r="65" spans="1:13" ht="15" thickBot="1">
      <c r="A65" s="1882"/>
      <c r="B65" s="1882"/>
      <c r="C65" s="1882"/>
      <c r="D65" s="1882"/>
      <c r="E65" s="1882"/>
      <c r="F65" s="1882"/>
      <c r="H65" s="1641"/>
      <c r="I65" s="1641"/>
      <c r="J65" s="1889"/>
      <c r="K65" s="1891"/>
      <c r="L65" s="1891"/>
      <c r="M65" s="1891"/>
    </row>
    <row r="66" spans="1:13" ht="13">
      <c r="A66" s="1877" t="s">
        <v>1855</v>
      </c>
      <c r="B66" s="1878" t="s">
        <v>1517</v>
      </c>
      <c r="C66" s="4900" t="s">
        <v>1856</v>
      </c>
      <c r="D66" s="4901"/>
      <c r="E66" s="4901"/>
      <c r="F66" s="4902"/>
      <c r="H66" s="1641"/>
      <c r="I66" s="1641"/>
      <c r="J66" s="1889"/>
      <c r="K66" s="1891"/>
      <c r="L66" s="1891"/>
      <c r="M66" s="1891"/>
    </row>
    <row r="67" spans="1:13" ht="13">
      <c r="A67" s="4903" t="s">
        <v>1857</v>
      </c>
      <c r="B67" s="4904"/>
      <c r="C67" s="4904"/>
      <c r="D67" s="4904"/>
      <c r="E67" s="4904"/>
      <c r="F67" s="4905"/>
      <c r="H67" s="1641"/>
      <c r="I67" s="1641"/>
      <c r="J67" s="1889"/>
      <c r="K67" s="1891"/>
      <c r="L67" s="1891"/>
      <c r="M67" s="1891"/>
    </row>
    <row r="68" spans="1:13" ht="13.5" thickBot="1">
      <c r="A68" s="4906"/>
      <c r="B68" s="4907"/>
      <c r="C68" s="4907"/>
      <c r="D68" s="4907"/>
      <c r="E68" s="4907"/>
      <c r="F68" s="4908"/>
      <c r="H68" s="1641"/>
      <c r="I68" s="1641"/>
      <c r="J68" s="1889"/>
      <c r="K68" s="1891"/>
      <c r="L68" s="1891"/>
      <c r="M68" s="1891"/>
    </row>
    <row r="69" spans="1:13" ht="13">
      <c r="A69" s="1879" t="s">
        <v>162</v>
      </c>
      <c r="B69" s="1879" t="s">
        <v>1844</v>
      </c>
      <c r="C69" s="1879" t="s">
        <v>163</v>
      </c>
      <c r="D69" s="1879" t="s">
        <v>1845</v>
      </c>
      <c r="E69" s="1879" t="s">
        <v>1846</v>
      </c>
      <c r="F69" s="1879" t="s">
        <v>1847</v>
      </c>
      <c r="H69" s="1641"/>
      <c r="I69" s="1641"/>
      <c r="J69" s="1889"/>
      <c r="K69" s="1891"/>
      <c r="L69" s="1891"/>
      <c r="M69" s="1891"/>
    </row>
    <row r="70" spans="1:13" ht="14.5">
      <c r="A70" s="1880" t="s">
        <v>1069</v>
      </c>
      <c r="B70" s="1880" t="s">
        <v>1517</v>
      </c>
      <c r="C70" s="1880" t="s">
        <v>1578</v>
      </c>
      <c r="D70" s="1881">
        <v>0.27800000000000002</v>
      </c>
      <c r="E70" s="1723">
        <v>0.55000000000000004</v>
      </c>
      <c r="F70" s="1723">
        <f>ROUND(D70*E70,2)</f>
        <v>0.15</v>
      </c>
      <c r="H70" s="1641"/>
      <c r="I70" s="1641"/>
      <c r="J70" s="1889"/>
      <c r="K70" s="1891"/>
      <c r="L70" s="1891"/>
      <c r="M70" s="1891"/>
    </row>
    <row r="71" spans="1:13" ht="14.5">
      <c r="A71" s="1880" t="s">
        <v>1858</v>
      </c>
      <c r="B71" s="1880" t="s">
        <v>1577</v>
      </c>
      <c r="C71" s="1880" t="s">
        <v>1859</v>
      </c>
      <c r="D71" s="1881">
        <v>0.19600000000000001</v>
      </c>
      <c r="E71" s="1723">
        <v>106.54</v>
      </c>
      <c r="F71" s="1723">
        <f>ROUND(D71*E71,2)</f>
        <v>20.88</v>
      </c>
      <c r="H71" s="1641"/>
      <c r="I71" s="1641"/>
      <c r="J71" s="1889"/>
      <c r="K71" s="1891"/>
      <c r="L71" s="1891"/>
      <c r="M71" s="1891"/>
    </row>
    <row r="72" spans="1:13" ht="14.5">
      <c r="A72" s="1880" t="s">
        <v>1576</v>
      </c>
      <c r="B72" s="1880" t="s">
        <v>1517</v>
      </c>
      <c r="C72" s="1880" t="s">
        <v>1580</v>
      </c>
      <c r="D72" s="1881">
        <v>1.133</v>
      </c>
      <c r="E72" s="1723">
        <v>6.53</v>
      </c>
      <c r="F72" s="1723">
        <f>ROUND(D72*E72,2)</f>
        <v>7.4</v>
      </c>
      <c r="H72" s="1641"/>
      <c r="I72" s="1641"/>
      <c r="J72" s="1889"/>
      <c r="K72" s="1891"/>
      <c r="L72" s="1891"/>
      <c r="M72" s="1891"/>
    </row>
    <row r="73" spans="1:13" ht="14.5">
      <c r="A73" s="1880" t="s">
        <v>1067</v>
      </c>
      <c r="B73" s="1880" t="s">
        <v>1508</v>
      </c>
      <c r="C73" s="1880" t="s">
        <v>1512</v>
      </c>
      <c r="D73" s="1881">
        <v>2.06</v>
      </c>
      <c r="E73" s="1723">
        <v>18.28</v>
      </c>
      <c r="F73" s="1723">
        <f>ROUND(D73*E73,2)</f>
        <v>37.659999999999997</v>
      </c>
      <c r="H73" s="1641"/>
      <c r="I73" s="1641"/>
      <c r="J73" s="1889"/>
      <c r="K73" s="1891"/>
      <c r="L73" s="1891"/>
      <c r="M73" s="1891"/>
    </row>
    <row r="74" spans="1:13" ht="14.5">
      <c r="A74" s="1882"/>
      <c r="B74" s="1882"/>
      <c r="C74" s="1882"/>
      <c r="D74" s="4909" t="s">
        <v>1848</v>
      </c>
      <c r="E74" s="4910"/>
      <c r="F74" s="1883">
        <f>SUM(F70:F73)</f>
        <v>66.09</v>
      </c>
      <c r="H74" s="1641"/>
      <c r="I74" s="1641"/>
      <c r="J74" s="1889"/>
      <c r="K74" s="1891"/>
      <c r="L74" s="1891"/>
      <c r="M74" s="1891"/>
    </row>
    <row r="75" spans="1:13" ht="15" thickBot="1">
      <c r="A75" s="1882"/>
      <c r="B75" s="1882"/>
      <c r="C75" s="1882"/>
      <c r="D75" s="1882"/>
      <c r="E75" s="1882"/>
      <c r="F75" s="1882"/>
      <c r="H75" s="1641"/>
      <c r="I75" s="1641"/>
      <c r="J75" s="1889"/>
      <c r="K75" s="1891"/>
      <c r="L75" s="1891"/>
      <c r="M75" s="1891"/>
    </row>
    <row r="76" spans="1:13" ht="13">
      <c r="A76" s="1877" t="s">
        <v>1860</v>
      </c>
      <c r="B76" s="1878" t="s">
        <v>1517</v>
      </c>
      <c r="C76" s="4900" t="s">
        <v>1861</v>
      </c>
      <c r="D76" s="4901"/>
      <c r="E76" s="4901"/>
      <c r="F76" s="4902"/>
      <c r="H76" s="1641"/>
      <c r="I76" s="1641"/>
      <c r="J76" s="1889"/>
      <c r="K76" s="1891"/>
      <c r="L76" s="1891"/>
      <c r="M76" s="1891"/>
    </row>
    <row r="77" spans="1:13" ht="13">
      <c r="A77" s="4903" t="s">
        <v>1862</v>
      </c>
      <c r="B77" s="4904"/>
      <c r="C77" s="4904"/>
      <c r="D77" s="4904"/>
      <c r="E77" s="4904"/>
      <c r="F77" s="4905"/>
      <c r="H77" s="1641"/>
      <c r="I77" s="1641"/>
      <c r="J77" s="1889"/>
      <c r="K77" s="1891"/>
      <c r="L77" s="1891"/>
      <c r="M77" s="1891"/>
    </row>
    <row r="78" spans="1:13" ht="13.5" thickBot="1">
      <c r="A78" s="4906"/>
      <c r="B78" s="4907"/>
      <c r="C78" s="4907"/>
      <c r="D78" s="4907"/>
      <c r="E78" s="4907"/>
      <c r="F78" s="4908"/>
      <c r="H78" s="1641"/>
      <c r="I78" s="1641"/>
      <c r="J78" s="1889"/>
      <c r="K78" s="1891"/>
      <c r="L78" s="1891"/>
      <c r="M78" s="1891"/>
    </row>
    <row r="79" spans="1:13" ht="13">
      <c r="A79" s="1879" t="s">
        <v>162</v>
      </c>
      <c r="B79" s="1879" t="s">
        <v>1844</v>
      </c>
      <c r="C79" s="1879" t="s">
        <v>163</v>
      </c>
      <c r="D79" s="1879" t="s">
        <v>1845</v>
      </c>
      <c r="E79" s="1879" t="s">
        <v>1846</v>
      </c>
      <c r="F79" s="1879" t="s">
        <v>1847</v>
      </c>
      <c r="H79" s="1641"/>
      <c r="I79" s="1641"/>
      <c r="J79" s="1889"/>
      <c r="K79" s="1891"/>
      <c r="L79" s="1891"/>
      <c r="M79" s="1891"/>
    </row>
    <row r="80" spans="1:13" ht="14.5">
      <c r="A80" s="1880" t="s">
        <v>1069</v>
      </c>
      <c r="B80" s="1880" t="s">
        <v>1517</v>
      </c>
      <c r="C80" s="1880" t="s">
        <v>1578</v>
      </c>
      <c r="D80" s="1881">
        <v>0.2</v>
      </c>
      <c r="E80" s="1723">
        <v>0.55000000000000004</v>
      </c>
      <c r="F80" s="1723">
        <f>ROUND(D80*E80,2)</f>
        <v>0.11</v>
      </c>
      <c r="H80" s="1641"/>
      <c r="I80" s="1641"/>
      <c r="J80" s="1889"/>
      <c r="K80" s="1891"/>
      <c r="L80" s="1891"/>
      <c r="M80" s="1891"/>
    </row>
    <row r="81" spans="1:13" ht="14.5">
      <c r="A81" s="1880" t="s">
        <v>1792</v>
      </c>
      <c r="B81" s="1880" t="s">
        <v>1577</v>
      </c>
      <c r="C81" s="1880" t="s">
        <v>1793</v>
      </c>
      <c r="D81" s="1881">
        <v>0.25</v>
      </c>
      <c r="E81" s="1723">
        <v>85.09</v>
      </c>
      <c r="F81" s="1723">
        <f>ROUND(D81*E81,2)</f>
        <v>21.27</v>
      </c>
      <c r="H81" s="1641"/>
      <c r="I81" s="1641"/>
      <c r="J81" s="1889"/>
      <c r="K81" s="1891"/>
      <c r="L81" s="1891"/>
      <c r="M81" s="1891"/>
    </row>
    <row r="82" spans="1:13" ht="14.5">
      <c r="A82" s="1880" t="s">
        <v>1394</v>
      </c>
      <c r="B82" s="1880" t="s">
        <v>1577</v>
      </c>
      <c r="C82" s="1880" t="s">
        <v>1579</v>
      </c>
      <c r="D82" s="1881">
        <v>0.25</v>
      </c>
      <c r="E82" s="1723">
        <v>92.54</v>
      </c>
      <c r="F82" s="1723">
        <f>ROUND(D82*E82,2)</f>
        <v>23.14</v>
      </c>
      <c r="H82" s="1641"/>
      <c r="I82" s="1641"/>
      <c r="J82" s="1889"/>
      <c r="K82" s="1891"/>
      <c r="L82" s="1891"/>
      <c r="M82" s="1891"/>
    </row>
    <row r="83" spans="1:13" ht="14.5">
      <c r="A83" s="1880" t="s">
        <v>1576</v>
      </c>
      <c r="B83" s="1880" t="s">
        <v>1517</v>
      </c>
      <c r="C83" s="1880" t="s">
        <v>1580</v>
      </c>
      <c r="D83" s="1881">
        <v>1.5</v>
      </c>
      <c r="E83" s="1723">
        <v>6.53</v>
      </c>
      <c r="F83" s="1723">
        <f>ROUND(D83*E83,2)</f>
        <v>9.8000000000000007</v>
      </c>
      <c r="H83" s="1641"/>
      <c r="I83" s="1641"/>
      <c r="J83" s="1889"/>
      <c r="K83" s="1891"/>
      <c r="L83" s="1891"/>
      <c r="M83" s="1891"/>
    </row>
    <row r="84" spans="1:13" ht="14.5">
      <c r="A84" s="1880" t="s">
        <v>1067</v>
      </c>
      <c r="B84" s="1880" t="s">
        <v>1508</v>
      </c>
      <c r="C84" s="1880" t="s">
        <v>1512</v>
      </c>
      <c r="D84" s="1881">
        <v>1.236</v>
      </c>
      <c r="E84" s="1723">
        <v>18.28</v>
      </c>
      <c r="F84" s="1723">
        <f>ROUND(D84*E84,2)</f>
        <v>22.59</v>
      </c>
      <c r="H84" s="1641"/>
      <c r="I84" s="1641"/>
      <c r="J84" s="1889"/>
      <c r="K84" s="1891"/>
      <c r="L84" s="1891"/>
      <c r="M84" s="1891"/>
    </row>
    <row r="85" spans="1:13" ht="14.5">
      <c r="A85" s="1882"/>
      <c r="B85" s="1882"/>
      <c r="C85" s="1882"/>
      <c r="D85" s="4909" t="s">
        <v>1848</v>
      </c>
      <c r="E85" s="4910"/>
      <c r="F85" s="1883">
        <f>SUM(F80:F84)</f>
        <v>76.91</v>
      </c>
      <c r="H85" s="1641"/>
      <c r="I85" s="1641"/>
      <c r="J85" s="1889"/>
      <c r="K85" s="1891"/>
      <c r="L85" s="1891"/>
      <c r="M85" s="1891"/>
    </row>
    <row r="86" spans="1:13" ht="15" thickBot="1">
      <c r="A86" s="1892"/>
      <c r="B86" s="1893"/>
      <c r="C86" s="1882"/>
      <c r="D86" s="1882"/>
      <c r="E86" s="1882"/>
      <c r="F86" s="1882"/>
      <c r="H86" s="1641"/>
      <c r="I86" s="1641"/>
      <c r="J86" s="1889"/>
      <c r="K86" s="1891"/>
      <c r="L86" s="1891"/>
      <c r="M86" s="1891"/>
    </row>
    <row r="87" spans="1:13" ht="13">
      <c r="A87" s="1877" t="s">
        <v>1128</v>
      </c>
      <c r="B87" s="1878" t="s">
        <v>1517</v>
      </c>
      <c r="C87" s="4900" t="s">
        <v>1695</v>
      </c>
      <c r="D87" s="4901"/>
      <c r="E87" s="4901"/>
      <c r="F87" s="4902"/>
      <c r="H87" s="1641"/>
      <c r="I87" s="1641"/>
      <c r="J87" s="1889"/>
      <c r="K87" s="1891"/>
      <c r="L87" s="1891"/>
      <c r="M87" s="1891"/>
    </row>
    <row r="88" spans="1:13" ht="13">
      <c r="A88" s="4903" t="s">
        <v>1863</v>
      </c>
      <c r="B88" s="4904"/>
      <c r="C88" s="4904"/>
      <c r="D88" s="4904"/>
      <c r="E88" s="4904"/>
      <c r="F88" s="4905"/>
      <c r="H88" s="1641"/>
      <c r="I88" s="1641"/>
      <c r="J88" s="1889"/>
      <c r="K88" s="1891"/>
      <c r="L88" s="1891"/>
      <c r="M88" s="1891"/>
    </row>
    <row r="89" spans="1:13" ht="13.5" thickBot="1">
      <c r="A89" s="4906"/>
      <c r="B89" s="4907"/>
      <c r="C89" s="4907"/>
      <c r="D89" s="4907"/>
      <c r="E89" s="4907"/>
      <c r="F89" s="4908"/>
      <c r="H89" s="1641"/>
      <c r="I89" s="1641"/>
      <c r="J89" s="1889"/>
      <c r="K89" s="1891"/>
      <c r="L89" s="1891"/>
      <c r="M89" s="1891"/>
    </row>
    <row r="90" spans="1:13" ht="13">
      <c r="A90" s="1879" t="s">
        <v>162</v>
      </c>
      <c r="B90" s="1879" t="s">
        <v>1844</v>
      </c>
      <c r="C90" s="1879" t="s">
        <v>163</v>
      </c>
      <c r="D90" s="1879" t="s">
        <v>1845</v>
      </c>
      <c r="E90" s="1879" t="s">
        <v>1846</v>
      </c>
      <c r="F90" s="1879" t="s">
        <v>1847</v>
      </c>
      <c r="H90" s="1641"/>
      <c r="I90" s="1641"/>
      <c r="J90" s="1889"/>
      <c r="K90" s="1891"/>
      <c r="L90" s="1891"/>
      <c r="M90" s="1891"/>
    </row>
    <row r="91" spans="1:13" ht="14.5">
      <c r="A91" s="1880" t="s">
        <v>1779</v>
      </c>
      <c r="B91" s="1880" t="s">
        <v>1577</v>
      </c>
      <c r="C91" s="1880" t="s">
        <v>1780</v>
      </c>
      <c r="D91" s="1881">
        <v>0.876</v>
      </c>
      <c r="E91" s="1723">
        <v>56.05</v>
      </c>
      <c r="F91" s="1723">
        <f>ROUND(D91*E91,2)</f>
        <v>49.1</v>
      </c>
      <c r="H91" s="1641"/>
      <c r="I91" s="1641"/>
      <c r="J91" s="1889"/>
      <c r="K91" s="1891"/>
      <c r="L91" s="1891"/>
      <c r="M91" s="1891"/>
    </row>
    <row r="92" spans="1:13" ht="14.5">
      <c r="A92" s="1880" t="s">
        <v>1069</v>
      </c>
      <c r="B92" s="1880" t="s">
        <v>1517</v>
      </c>
      <c r="C92" s="1880" t="s">
        <v>1578</v>
      </c>
      <c r="D92" s="1881">
        <v>0.61799999999999999</v>
      </c>
      <c r="E92" s="1723">
        <v>0.55000000000000004</v>
      </c>
      <c r="F92" s="1723">
        <f>ROUND(D92*E92,2)</f>
        <v>0.34</v>
      </c>
      <c r="H92" s="1641"/>
      <c r="I92" s="1641"/>
      <c r="J92" s="1889"/>
      <c r="K92" s="1891"/>
      <c r="L92" s="1891"/>
      <c r="M92" s="1891"/>
    </row>
    <row r="93" spans="1:13" ht="14.5">
      <c r="A93" s="1880" t="s">
        <v>1067</v>
      </c>
      <c r="B93" s="1880" t="s">
        <v>1508</v>
      </c>
      <c r="C93" s="1880" t="s">
        <v>1512</v>
      </c>
      <c r="D93" s="1881">
        <v>3</v>
      </c>
      <c r="E93" s="1723">
        <v>18.28</v>
      </c>
      <c r="F93" s="1723">
        <f>ROUND(D93*E93,2)</f>
        <v>54.84</v>
      </c>
      <c r="H93" s="1641"/>
      <c r="I93" s="1641"/>
      <c r="J93" s="1889"/>
      <c r="K93" s="1891"/>
      <c r="L93" s="1891"/>
      <c r="M93" s="1891"/>
    </row>
    <row r="94" spans="1:13" ht="14.5">
      <c r="A94" s="1882"/>
      <c r="B94" s="1882"/>
      <c r="C94" s="1882"/>
      <c r="D94" s="4909" t="s">
        <v>1848</v>
      </c>
      <c r="E94" s="4910"/>
      <c r="F94" s="1883">
        <f>SUM(F91:F93)</f>
        <v>104.28</v>
      </c>
      <c r="H94" s="1641"/>
      <c r="I94" s="1641"/>
      <c r="J94" s="1889"/>
      <c r="K94" s="1891"/>
      <c r="L94" s="1891"/>
      <c r="M94" s="1891"/>
    </row>
    <row r="95" spans="1:13" ht="15" thickBot="1">
      <c r="A95" s="1882"/>
      <c r="B95" s="1882"/>
      <c r="C95" s="1882"/>
      <c r="D95" s="1882"/>
      <c r="E95" s="1882"/>
      <c r="F95" s="1882"/>
      <c r="H95" s="1641"/>
      <c r="I95" s="1641"/>
      <c r="J95" s="1889"/>
      <c r="K95" s="1891"/>
      <c r="L95" s="1891"/>
      <c r="M95" s="1891"/>
    </row>
    <row r="96" spans="1:13" ht="13">
      <c r="A96" s="1877" t="s">
        <v>1152</v>
      </c>
      <c r="B96" s="1878" t="s">
        <v>1517</v>
      </c>
      <c r="C96" s="4900" t="s">
        <v>1696</v>
      </c>
      <c r="D96" s="4901"/>
      <c r="E96" s="4901"/>
      <c r="F96" s="4902"/>
      <c r="H96" s="1641"/>
      <c r="I96" s="1641"/>
      <c r="J96" s="1889"/>
      <c r="K96" s="1891"/>
      <c r="L96" s="1891"/>
      <c r="M96" s="1891"/>
    </row>
    <row r="97" spans="1:13" ht="13">
      <c r="A97" s="4903" t="s">
        <v>1864</v>
      </c>
      <c r="B97" s="4904"/>
      <c r="C97" s="4904"/>
      <c r="D97" s="4904"/>
      <c r="E97" s="4904"/>
      <c r="F97" s="4905"/>
      <c r="H97" s="1641"/>
      <c r="I97" s="1641"/>
      <c r="J97" s="1889"/>
      <c r="K97" s="1891"/>
      <c r="L97" s="1891"/>
      <c r="M97" s="1891"/>
    </row>
    <row r="98" spans="1:13" ht="13.5" thickBot="1">
      <c r="A98" s="4906"/>
      <c r="B98" s="4907"/>
      <c r="C98" s="4907"/>
      <c r="D98" s="4907"/>
      <c r="E98" s="4907"/>
      <c r="F98" s="4908"/>
      <c r="H98" s="1641"/>
      <c r="I98" s="1641"/>
      <c r="J98" s="1889"/>
      <c r="K98" s="1891"/>
      <c r="L98" s="1891"/>
      <c r="M98" s="1891"/>
    </row>
    <row r="99" spans="1:13" ht="13">
      <c r="A99" s="1879" t="s">
        <v>162</v>
      </c>
      <c r="B99" s="1879" t="s">
        <v>1844</v>
      </c>
      <c r="C99" s="1879" t="s">
        <v>163</v>
      </c>
      <c r="D99" s="1879" t="s">
        <v>1845</v>
      </c>
      <c r="E99" s="1879" t="s">
        <v>1846</v>
      </c>
      <c r="F99" s="1879" t="s">
        <v>1847</v>
      </c>
      <c r="H99" s="1641"/>
      <c r="I99" s="1641"/>
      <c r="J99" s="1889"/>
      <c r="K99" s="1891"/>
      <c r="L99" s="1891"/>
      <c r="M99" s="1891"/>
    </row>
    <row r="100" spans="1:13" ht="14.5">
      <c r="A100" s="1880" t="s">
        <v>1781</v>
      </c>
      <c r="B100" s="1880" t="s">
        <v>1577</v>
      </c>
      <c r="C100" s="1880" t="s">
        <v>1782</v>
      </c>
      <c r="D100" s="1881">
        <v>0.876</v>
      </c>
      <c r="E100" s="1723">
        <v>60.35</v>
      </c>
      <c r="F100" s="1723">
        <f>ROUND(D100*E100,2)</f>
        <v>52.87</v>
      </c>
      <c r="H100" s="1641"/>
      <c r="I100" s="1641"/>
      <c r="J100" s="1889"/>
      <c r="K100" s="1891"/>
      <c r="L100" s="1891"/>
      <c r="M100" s="1891"/>
    </row>
    <row r="101" spans="1:13" ht="14.5">
      <c r="A101" s="1880" t="s">
        <v>1069</v>
      </c>
      <c r="B101" s="1880" t="s">
        <v>1517</v>
      </c>
      <c r="C101" s="1880" t="s">
        <v>1578</v>
      </c>
      <c r="D101" s="1881">
        <v>0.61799999999999999</v>
      </c>
      <c r="E101" s="1723">
        <v>0.55000000000000004</v>
      </c>
      <c r="F101" s="1723">
        <f>ROUND(D101*E101,2)</f>
        <v>0.34</v>
      </c>
      <c r="H101" s="1641"/>
      <c r="I101" s="1641"/>
      <c r="J101" s="1889"/>
      <c r="K101" s="1891"/>
      <c r="L101" s="1891"/>
      <c r="M101" s="1891"/>
    </row>
    <row r="102" spans="1:13" ht="14.5">
      <c r="A102" s="1880" t="s">
        <v>1067</v>
      </c>
      <c r="B102" s="1880" t="s">
        <v>1508</v>
      </c>
      <c r="C102" s="1880" t="s">
        <v>1512</v>
      </c>
      <c r="D102" s="1881">
        <v>3</v>
      </c>
      <c r="E102" s="1723">
        <v>18.28</v>
      </c>
      <c r="F102" s="1723">
        <f>ROUND(D102*E102,2)</f>
        <v>54.84</v>
      </c>
      <c r="H102" s="1641"/>
      <c r="I102" s="1641"/>
      <c r="J102" s="1889"/>
      <c r="K102" s="1891"/>
      <c r="L102" s="1891"/>
      <c r="M102" s="1891"/>
    </row>
    <row r="103" spans="1:13" ht="14.5">
      <c r="A103" s="1882"/>
      <c r="B103" s="1882"/>
      <c r="C103" s="1882"/>
      <c r="D103" s="4909" t="s">
        <v>1848</v>
      </c>
      <c r="E103" s="4910"/>
      <c r="F103" s="1883">
        <f>SUM(F100:F102)</f>
        <v>108.05000000000001</v>
      </c>
      <c r="H103" s="1641"/>
      <c r="I103" s="1641"/>
      <c r="J103" s="1889"/>
      <c r="K103" s="1891"/>
      <c r="L103" s="1891"/>
      <c r="M103" s="1891"/>
    </row>
    <row r="104" spans="1:13" ht="15.5">
      <c r="A104" s="1894"/>
      <c r="B104" s="1895"/>
      <c r="C104" s="1894"/>
      <c r="D104" s="1641"/>
      <c r="E104" s="1641"/>
      <c r="F104" s="1896"/>
      <c r="H104" s="1641"/>
      <c r="I104" s="1641"/>
      <c r="J104" s="1889"/>
      <c r="K104" s="1891"/>
      <c r="L104" s="1891"/>
      <c r="M104" s="1891"/>
    </row>
  </sheetData>
  <mergeCells count="52">
    <mergeCell ref="A6:F6"/>
    <mergeCell ref="A1:F1"/>
    <mergeCell ref="A3:F3"/>
    <mergeCell ref="J3:M3"/>
    <mergeCell ref="C5:F5"/>
    <mergeCell ref="J5:M5"/>
    <mergeCell ref="A26:F26"/>
    <mergeCell ref="A7:F7"/>
    <mergeCell ref="D11:E11"/>
    <mergeCell ref="C13:F13"/>
    <mergeCell ref="J13:M13"/>
    <mergeCell ref="A14:F14"/>
    <mergeCell ref="A15:F15"/>
    <mergeCell ref="D19:E19"/>
    <mergeCell ref="J21:M21"/>
    <mergeCell ref="A22:F22"/>
    <mergeCell ref="J22:M22"/>
    <mergeCell ref="C25:F25"/>
    <mergeCell ref="A46:F46"/>
    <mergeCell ref="A27:F27"/>
    <mergeCell ref="D32:E32"/>
    <mergeCell ref="J34:M34"/>
    <mergeCell ref="C35:F35"/>
    <mergeCell ref="J35:M35"/>
    <mergeCell ref="A36:F36"/>
    <mergeCell ref="A37:F37"/>
    <mergeCell ref="J39:M39"/>
    <mergeCell ref="J40:M40"/>
    <mergeCell ref="D43:E43"/>
    <mergeCell ref="C45:F45"/>
    <mergeCell ref="A77:F77"/>
    <mergeCell ref="A47:F47"/>
    <mergeCell ref="D53:E53"/>
    <mergeCell ref="C55:F55"/>
    <mergeCell ref="A56:F56"/>
    <mergeCell ref="A57:F57"/>
    <mergeCell ref="D64:E64"/>
    <mergeCell ref="C66:F66"/>
    <mergeCell ref="A67:F67"/>
    <mergeCell ref="A68:F68"/>
    <mergeCell ref="D74:E74"/>
    <mergeCell ref="C76:F76"/>
    <mergeCell ref="C96:F96"/>
    <mergeCell ref="A97:F97"/>
    <mergeCell ref="A98:F98"/>
    <mergeCell ref="D103:E103"/>
    <mergeCell ref="A78:F78"/>
    <mergeCell ref="D85:E85"/>
    <mergeCell ref="C87:F87"/>
    <mergeCell ref="A88:F88"/>
    <mergeCell ref="A89:F89"/>
    <mergeCell ref="D94:E94"/>
  </mergeCells>
  <hyperlinks>
    <hyperlink ref="J1" r:id="rId1"/>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B803"/>
  <sheetViews>
    <sheetView topLeftCell="A20" zoomScale="89" zoomScaleNormal="89" workbookViewId="0">
      <selection activeCell="D334" sqref="D334"/>
    </sheetView>
  </sheetViews>
  <sheetFormatPr defaultColWidth="10.90625" defaultRowHeight="14.5"/>
  <cols>
    <col min="1" max="1" width="22.7265625" style="2742" customWidth="1"/>
    <col min="2" max="2" width="13.81640625" style="2742" customWidth="1"/>
    <col min="3" max="3" width="64" style="40" customWidth="1"/>
    <col min="4" max="4" width="24.81640625" style="3292" customWidth="1"/>
    <col min="5" max="5" width="14" style="40" customWidth="1"/>
    <col min="6" max="6" width="24.26953125" style="40" customWidth="1"/>
    <col min="7" max="7" width="13.54296875" style="40" customWidth="1"/>
    <col min="8" max="8" width="15.81640625" style="40" customWidth="1"/>
    <col min="9" max="9" width="13.54296875" style="28" customWidth="1"/>
    <col min="10" max="10" width="16.54296875" style="28" customWidth="1"/>
    <col min="11" max="11" width="23.7265625" style="28" customWidth="1"/>
    <col min="12" max="12" width="18.81640625" style="28" hidden="1" customWidth="1"/>
    <col min="13" max="13" width="15.1796875" style="28" hidden="1" customWidth="1"/>
    <col min="14" max="14" width="0.1796875" style="28" hidden="1" customWidth="1"/>
    <col min="15" max="16" width="18.54296875" style="28" hidden="1" customWidth="1"/>
    <col min="17" max="17" width="21.26953125" style="28" hidden="1" customWidth="1"/>
    <col min="18" max="19" width="18.26953125" style="28" hidden="1" customWidth="1"/>
    <col min="20" max="20" width="20.1796875" style="28" hidden="1" customWidth="1"/>
    <col min="21" max="21" width="16.453125" style="28" hidden="1" customWidth="1"/>
    <col min="22" max="22" width="12.26953125" style="118" hidden="1" customWidth="1"/>
    <col min="23" max="23" width="16.1796875" hidden="1" customWidth="1"/>
    <col min="24" max="24" width="19.453125" hidden="1" customWidth="1"/>
    <col min="25" max="25" width="18.453125" hidden="1" customWidth="1"/>
    <col min="26" max="26" width="16.26953125" hidden="1" customWidth="1"/>
    <col min="27" max="27" width="14.81640625" hidden="1" customWidth="1"/>
    <col min="28" max="28" width="16.7265625" hidden="1" customWidth="1"/>
    <col min="29" max="29" width="16.26953125" hidden="1" customWidth="1"/>
    <col min="30" max="30" width="18" hidden="1" customWidth="1"/>
    <col min="31" max="31" width="17.26953125" hidden="1" customWidth="1"/>
    <col min="32" max="32" width="16.26953125" hidden="1" customWidth="1"/>
    <col min="33" max="43" width="17.453125" hidden="1" customWidth="1"/>
    <col min="44" max="44" width="18.453125" hidden="1" customWidth="1"/>
    <col min="45" max="45" width="21.453125" hidden="1" customWidth="1"/>
    <col min="46" max="46" width="21.453125" style="16" customWidth="1"/>
    <col min="47" max="47" width="54.7265625" customWidth="1"/>
    <col min="48" max="63" width="24.7265625" customWidth="1"/>
    <col min="64" max="69" width="24.7265625" style="16" customWidth="1"/>
    <col min="70" max="71" width="18.54296875" style="16" customWidth="1"/>
    <col min="72" max="72" width="25.7265625" style="16" customWidth="1"/>
    <col min="73" max="73" width="16" style="16" customWidth="1"/>
    <col min="74" max="74" width="15.1796875" style="16" customWidth="1"/>
    <col min="75" max="75" width="15.54296875" style="16" customWidth="1"/>
    <col min="76" max="76" width="15.7265625" style="16" customWidth="1"/>
    <col min="77" max="77" width="18.453125" customWidth="1"/>
    <col min="78" max="78" width="15.7265625" customWidth="1"/>
    <col min="79" max="79" width="14" customWidth="1"/>
    <col min="80" max="80" width="13.54296875" customWidth="1"/>
    <col min="81" max="81" width="14.7265625" customWidth="1"/>
    <col min="82" max="82" width="13.54296875" customWidth="1"/>
    <col min="83" max="83" width="14.453125" customWidth="1"/>
    <col min="84" max="84" width="15.26953125" customWidth="1"/>
    <col min="85" max="85" width="15" customWidth="1"/>
    <col min="86" max="86" width="13.453125" customWidth="1"/>
    <col min="87" max="87" width="14.1796875" customWidth="1"/>
  </cols>
  <sheetData>
    <row r="1" spans="1:106" ht="27" customHeight="1">
      <c r="B1" s="2879"/>
      <c r="C1" s="4621" t="s">
        <v>656</v>
      </c>
      <c r="D1" s="4621"/>
      <c r="E1" s="4621"/>
      <c r="F1" s="4621"/>
      <c r="G1" s="4621"/>
      <c r="H1" s="4621"/>
      <c r="I1" s="4621"/>
      <c r="J1" s="4621"/>
      <c r="K1" s="4621"/>
      <c r="L1" s="4621"/>
      <c r="M1" s="4621"/>
      <c r="N1" s="4621"/>
      <c r="O1" s="4621"/>
      <c r="P1" s="4621"/>
      <c r="Q1" s="4621"/>
      <c r="R1" s="4621"/>
      <c r="S1" s="4621"/>
      <c r="T1" s="4621"/>
      <c r="U1" s="4621"/>
      <c r="V1" s="4621"/>
      <c r="W1" s="4621"/>
      <c r="X1" s="4621"/>
      <c r="Y1" s="4621"/>
      <c r="BX1"/>
    </row>
    <row r="2" spans="1:106" ht="32.25" customHeight="1">
      <c r="B2" s="2880" t="s">
        <v>674</v>
      </c>
      <c r="C2" s="211" t="str">
        <f>'Seleccion proyecto HEREVEA02'!L6</f>
        <v>c107</v>
      </c>
      <c r="D2" s="3279"/>
      <c r="E2" s="211"/>
      <c r="F2" s="211"/>
      <c r="G2" s="211"/>
      <c r="H2" s="1016"/>
      <c r="I2" s="208"/>
      <c r="J2" s="208"/>
      <c r="K2" s="208"/>
      <c r="L2" s="209"/>
      <c r="M2" s="209"/>
      <c r="N2" s="209"/>
      <c r="O2" s="2838"/>
      <c r="P2" s="209"/>
      <c r="Q2" s="209"/>
      <c r="R2" s="1021"/>
      <c r="S2" s="2838"/>
      <c r="T2" s="209"/>
      <c r="U2" s="209"/>
      <c r="V2" s="209"/>
      <c r="W2" s="209"/>
      <c r="X2" s="209"/>
      <c r="Y2" s="209"/>
      <c r="Z2" s="209"/>
      <c r="AA2" s="209"/>
      <c r="AB2" s="210"/>
      <c r="AC2" s="160"/>
      <c r="AD2" s="160"/>
      <c r="AE2" s="160"/>
      <c r="AW2" s="3614"/>
      <c r="BV2"/>
      <c r="BW2"/>
      <c r="BX2"/>
      <c r="CA2" s="16"/>
      <c r="CB2" s="16"/>
      <c r="CC2" s="16"/>
      <c r="CD2" s="16"/>
    </row>
    <row r="3" spans="1:106" ht="55.5" customHeight="1">
      <c r="A3" s="3278" t="s">
        <v>1328</v>
      </c>
      <c r="B3" s="3278" t="s">
        <v>1549</v>
      </c>
      <c r="C3" s="3277" t="s">
        <v>3126</v>
      </c>
      <c r="D3" s="3280" t="s">
        <v>914</v>
      </c>
      <c r="E3" s="2873" t="s">
        <v>288</v>
      </c>
      <c r="F3" s="2857" t="s">
        <v>3123</v>
      </c>
      <c r="G3" s="2858" t="s">
        <v>287</v>
      </c>
      <c r="H3" s="2859" t="s">
        <v>915</v>
      </c>
      <c r="I3" s="2861" t="s">
        <v>3124</v>
      </c>
      <c r="J3" s="2862" t="s">
        <v>3125</v>
      </c>
      <c r="K3" s="2863" t="s">
        <v>3122</v>
      </c>
      <c r="L3" s="2874" t="s">
        <v>899</v>
      </c>
      <c r="M3" s="2875" t="s">
        <v>1282</v>
      </c>
      <c r="N3" s="2874" t="s">
        <v>903</v>
      </c>
      <c r="O3" s="2875" t="s">
        <v>1285</v>
      </c>
      <c r="P3" s="2874" t="s">
        <v>900</v>
      </c>
      <c r="Q3" s="2875" t="s">
        <v>1287</v>
      </c>
      <c r="R3" s="2874" t="s">
        <v>901</v>
      </c>
      <c r="S3" s="2875" t="s">
        <v>1289</v>
      </c>
      <c r="T3" s="2874" t="s">
        <v>904</v>
      </c>
      <c r="U3" s="2875" t="s">
        <v>1291</v>
      </c>
      <c r="V3" s="2874" t="s">
        <v>905</v>
      </c>
      <c r="W3" s="2875" t="s">
        <v>1293</v>
      </c>
      <c r="X3" s="2874" t="s">
        <v>906</v>
      </c>
      <c r="Y3" s="2875" t="s">
        <v>1301</v>
      </c>
      <c r="Z3" s="2874" t="s">
        <v>907</v>
      </c>
      <c r="AA3" s="2875" t="s">
        <v>1302</v>
      </c>
      <c r="AB3" s="2874" t="s">
        <v>908</v>
      </c>
      <c r="AC3" s="2875" t="s">
        <v>1303</v>
      </c>
      <c r="AD3" s="2874" t="s">
        <v>909</v>
      </c>
      <c r="AE3" s="2875" t="s">
        <v>1304</v>
      </c>
      <c r="AF3" s="2874" t="s">
        <v>910</v>
      </c>
      <c r="AG3" s="2875" t="s">
        <v>1305</v>
      </c>
      <c r="AH3" s="2860" t="s">
        <v>899</v>
      </c>
      <c r="AI3" s="2860" t="s">
        <v>903</v>
      </c>
      <c r="AJ3" s="2860" t="s">
        <v>900</v>
      </c>
      <c r="AK3" s="2860" t="s">
        <v>901</v>
      </c>
      <c r="AL3" s="2860" t="s">
        <v>904</v>
      </c>
      <c r="AM3" s="2860" t="s">
        <v>905</v>
      </c>
      <c r="AN3" s="2860" t="s">
        <v>906</v>
      </c>
      <c r="AO3" s="2860" t="s">
        <v>907</v>
      </c>
      <c r="AP3" s="2860" t="s">
        <v>908</v>
      </c>
      <c r="AQ3" s="2860" t="s">
        <v>909</v>
      </c>
      <c r="AR3" s="2860" t="s">
        <v>910</v>
      </c>
      <c r="AS3" s="2926" t="s">
        <v>911</v>
      </c>
      <c r="AT3" s="679"/>
      <c r="AU3" s="2984" t="s">
        <v>776</v>
      </c>
      <c r="AV3" s="1087" t="s">
        <v>327</v>
      </c>
      <c r="AW3" s="3615" t="s">
        <v>3458</v>
      </c>
      <c r="AX3" s="1086" t="s">
        <v>899</v>
      </c>
      <c r="AY3" s="1088" t="s">
        <v>903</v>
      </c>
      <c r="AZ3" s="1086" t="s">
        <v>900</v>
      </c>
      <c r="BA3" s="1088" t="s">
        <v>901</v>
      </c>
      <c r="BB3" s="1086" t="s">
        <v>904</v>
      </c>
      <c r="BC3" s="1088" t="s">
        <v>905</v>
      </c>
      <c r="BD3" s="1086" t="s">
        <v>906</v>
      </c>
      <c r="BE3" s="1088" t="s">
        <v>907</v>
      </c>
      <c r="BF3" s="1086" t="s">
        <v>908</v>
      </c>
      <c r="BG3" s="1088" t="s">
        <v>909</v>
      </c>
      <c r="BH3" s="1086" t="s">
        <v>910</v>
      </c>
      <c r="BI3" s="1088" t="s">
        <v>911</v>
      </c>
      <c r="BJ3" s="3615" t="s">
        <v>948</v>
      </c>
      <c r="BK3" s="679"/>
      <c r="BL3" s="679"/>
      <c r="BM3" s="679"/>
      <c r="BP3" s="679"/>
      <c r="BQ3" s="2938"/>
      <c r="BR3" s="2939"/>
      <c r="BW3"/>
      <c r="BX3"/>
    </row>
    <row r="4" spans="1:106" ht="20.25" customHeight="1">
      <c r="A4" s="2909" t="s">
        <v>3065</v>
      </c>
      <c r="B4" s="2910"/>
      <c r="C4" s="2911"/>
      <c r="D4" s="3281"/>
      <c r="E4" s="2915"/>
      <c r="F4" s="2915"/>
      <c r="G4" s="2915"/>
      <c r="H4" s="2916"/>
      <c r="I4" s="2915"/>
      <c r="J4" s="2917"/>
      <c r="K4" s="2918"/>
      <c r="L4" s="2912"/>
      <c r="M4" s="2913" t="e">
        <f>SUM(M5:M22)</f>
        <v>#REF!</v>
      </c>
      <c r="N4" s="2914"/>
      <c r="O4" s="2914" t="e">
        <f>SUM(O5:O22)</f>
        <v>#REF!</v>
      </c>
      <c r="P4" s="2914"/>
      <c r="Q4" s="2914" t="e">
        <f>SUM(Q5:Q22)</f>
        <v>#REF!</v>
      </c>
      <c r="R4" s="2914"/>
      <c r="S4" s="2914" t="e">
        <f>SUM(S5:S22)</f>
        <v>#REF!</v>
      </c>
      <c r="T4" s="2914"/>
      <c r="U4" s="2914" t="e">
        <f>SUM(U5:U22)</f>
        <v>#REF!</v>
      </c>
      <c r="V4" s="2914"/>
      <c r="W4" s="2914" t="e">
        <f>SUM(W5:W22)</f>
        <v>#REF!</v>
      </c>
      <c r="X4" s="2914"/>
      <c r="Y4" s="2914" t="e">
        <f>SUM(Y5:Y22)</f>
        <v>#REF!</v>
      </c>
      <c r="Z4" s="2914"/>
      <c r="AA4" s="2914" t="e">
        <f>SUM(AA5:AA22)</f>
        <v>#REF!</v>
      </c>
      <c r="AB4" s="2914"/>
      <c r="AC4" s="2914" t="e">
        <f>SUM(AC5:AC22)</f>
        <v>#REF!</v>
      </c>
      <c r="AD4" s="2914"/>
      <c r="AE4" s="2914" t="e">
        <f>SUM(AE5:AE22)</f>
        <v>#REF!</v>
      </c>
      <c r="AF4" s="2914" t="e">
        <f>SUM(AF5:AF22)</f>
        <v>#REF!</v>
      </c>
      <c r="AG4" s="2914" t="e">
        <f>SUM(AG5:AG22)</f>
        <v>#REF!</v>
      </c>
      <c r="AH4" s="2916"/>
      <c r="AI4" s="2916"/>
      <c r="AJ4" s="2916"/>
      <c r="AK4" s="2916"/>
      <c r="AL4" s="2916"/>
      <c r="AM4" s="2916"/>
      <c r="AN4" s="2916"/>
      <c r="AO4" s="2916"/>
      <c r="AP4" s="2916"/>
      <c r="AQ4" s="2916"/>
      <c r="AR4" s="2916"/>
      <c r="AS4" s="2916"/>
      <c r="AT4" s="2799"/>
      <c r="AU4" s="2983" t="s">
        <v>346</v>
      </c>
      <c r="AV4" s="1097">
        <f>H351</f>
        <v>2665192.2015015855</v>
      </c>
      <c r="AW4" s="1097">
        <f t="shared" ref="AW4:BJ4" si="0">U354</f>
        <v>0</v>
      </c>
      <c r="AX4" s="1097">
        <f t="shared" si="0"/>
        <v>0</v>
      </c>
      <c r="AY4" s="1097">
        <f t="shared" si="0"/>
        <v>0</v>
      </c>
      <c r="AZ4" s="1097">
        <f t="shared" si="0"/>
        <v>0</v>
      </c>
      <c r="BA4" s="1097">
        <f t="shared" si="0"/>
        <v>0</v>
      </c>
      <c r="BB4" s="1097">
        <f t="shared" si="0"/>
        <v>0</v>
      </c>
      <c r="BC4" s="1097">
        <f t="shared" si="0"/>
        <v>0</v>
      </c>
      <c r="BD4" s="1097">
        <f t="shared" si="0"/>
        <v>0</v>
      </c>
      <c r="BE4" s="1097">
        <f t="shared" si="0"/>
        <v>0</v>
      </c>
      <c r="BF4" s="1097">
        <f t="shared" si="0"/>
        <v>0</v>
      </c>
      <c r="BG4" s="1097">
        <f t="shared" si="0"/>
        <v>0</v>
      </c>
      <c r="BH4" s="1097">
        <f t="shared" si="0"/>
        <v>0</v>
      </c>
      <c r="BI4" s="1097">
        <f t="shared" si="0"/>
        <v>0</v>
      </c>
      <c r="BJ4" s="1097">
        <f t="shared" si="0"/>
        <v>0</v>
      </c>
      <c r="BK4" s="680"/>
      <c r="BL4" s="680"/>
      <c r="BM4" s="680"/>
      <c r="BP4" s="2814"/>
      <c r="BQ4" s="2816"/>
      <c r="BR4" s="2799"/>
      <c r="BW4"/>
      <c r="BX4"/>
    </row>
    <row r="5" spans="1:106" ht="17.25" customHeight="1">
      <c r="A5" s="2855" t="s">
        <v>1074</v>
      </c>
      <c r="B5" s="2882" t="s">
        <v>1357</v>
      </c>
      <c r="C5" s="2856" t="s">
        <v>3064</v>
      </c>
      <c r="D5" s="3282">
        <f>SUMIFS(BCRR_REHAB!L:L,BCRR_REHAB!D:D,'Huella materiales (2)'!A5)</f>
        <v>0</v>
      </c>
      <c r="E5" s="2865">
        <f>'Datos_aux_materiales (2)'!M5</f>
        <v>1</v>
      </c>
      <c r="F5" s="2864">
        <f t="shared" ref="F5:F36" si="1">D5*E5</f>
        <v>0</v>
      </c>
      <c r="G5" s="2867">
        <f>'Datos_aux_materiales (2)'!R5</f>
        <v>23.3</v>
      </c>
      <c r="H5" s="2868">
        <f t="shared" ref="H5:H68" si="2">F5*G5</f>
        <v>0</v>
      </c>
      <c r="I5" s="2870">
        <f t="shared" ref="I5:I36" si="3">H5/$AV$5*$AV$7</f>
        <v>0</v>
      </c>
      <c r="J5" s="2871">
        <f t="shared" ref="J5:J36" si="4">I5/$AV$8</f>
        <v>0</v>
      </c>
      <c r="K5" s="2872">
        <f t="shared" ref="K5:K36" si="5">F5*1.05</f>
        <v>0</v>
      </c>
      <c r="L5" s="2876" t="e">
        <f>SUMIF(#REF!,'Huella materiales (2)'!A5,#REF!)</f>
        <v>#REF!</v>
      </c>
      <c r="M5" s="2877" t="e">
        <f t="shared" ref="M5:M22" si="6">L5*E5</f>
        <v>#REF!</v>
      </c>
      <c r="N5" s="2876" t="e">
        <f>SUMIF(#REF!,'Huella materiales (2)'!A5,#REF!)</f>
        <v>#REF!</v>
      </c>
      <c r="O5" s="2877" t="e">
        <f t="shared" ref="O5:O22" si="7">N5*E5</f>
        <v>#REF!</v>
      </c>
      <c r="P5" s="2876" t="e">
        <f>SUMIF(#REF!,'Huella materiales (2)'!A5,#REF!)</f>
        <v>#REF!</v>
      </c>
      <c r="Q5" s="2877" t="e">
        <f t="shared" ref="Q5:Q22" si="8">P5*E5</f>
        <v>#REF!</v>
      </c>
      <c r="R5" s="2876" t="e">
        <f>SUMIF(#REF!,'Huella materiales (2)'!A5,#REF!)</f>
        <v>#REF!</v>
      </c>
      <c r="S5" s="2877" t="e">
        <f t="shared" ref="S5:S22" si="9">R5*E5</f>
        <v>#REF!</v>
      </c>
      <c r="T5" s="2876" t="e">
        <f>SUMIF(#REF!,'Huella materiales (2)'!A5,#REF!)</f>
        <v>#REF!</v>
      </c>
      <c r="U5" s="2877" t="e">
        <f t="shared" ref="U5:U22" si="10">T5*E5</f>
        <v>#REF!</v>
      </c>
      <c r="V5" s="2876" t="e">
        <f>SUMIF(#REF!,'Huella materiales (2)'!A5,#REF!)</f>
        <v>#REF!</v>
      </c>
      <c r="W5" s="2877" t="e">
        <f t="shared" ref="W5:W22" si="11">V5*E5</f>
        <v>#REF!</v>
      </c>
      <c r="X5" s="2876" t="e">
        <f>SUMIF(#REF!,'Huella materiales (2)'!A5,#REF!)</f>
        <v>#REF!</v>
      </c>
      <c r="Y5" s="2877" t="e">
        <f t="shared" ref="Y5:Y22" si="12">X5*E5</f>
        <v>#REF!</v>
      </c>
      <c r="Z5" s="2876" t="e">
        <f>SUMIF(#REF!,'Huella materiales (2)'!A5,#REF!)</f>
        <v>#REF!</v>
      </c>
      <c r="AA5" s="2877" t="e">
        <f t="shared" ref="AA5:AA22" si="13">Z5*E5</f>
        <v>#REF!</v>
      </c>
      <c r="AB5" s="2876" t="e">
        <f>SUMIF(#REF!,'Huella materiales (2)'!A5,#REF!)</f>
        <v>#REF!</v>
      </c>
      <c r="AC5" s="2877" t="e">
        <f t="shared" ref="AC5:AC22" si="14">AB5*E5</f>
        <v>#REF!</v>
      </c>
      <c r="AD5" s="2876" t="e">
        <f>SUMIF(#REF!,'Huella materiales (2)'!A5,#REF!)</f>
        <v>#REF!</v>
      </c>
      <c r="AE5" s="2877" t="e">
        <f t="shared" ref="AE5:AE22" si="15">AD5*E5</f>
        <v>#REF!</v>
      </c>
      <c r="AF5" s="2876" t="e">
        <f>SUMIF(#REF!,'Huella materiales (2)'!A5,#REF!)</f>
        <v>#REF!</v>
      </c>
      <c r="AG5" s="2877" t="e">
        <f t="shared" ref="AG5:AG22" si="16">AF5*E5</f>
        <v>#REF!</v>
      </c>
      <c r="AH5" s="2869" t="e">
        <f t="shared" ref="AH5:AH22" si="17">L5*E5*G5</f>
        <v>#REF!</v>
      </c>
      <c r="AI5" s="2869" t="e">
        <f t="shared" ref="AI5:AI22" si="18">N5*E5*G5</f>
        <v>#REF!</v>
      </c>
      <c r="AJ5" s="2869" t="e">
        <f t="shared" ref="AJ5:AJ22" si="19">P5*E5*G5</f>
        <v>#REF!</v>
      </c>
      <c r="AK5" s="2869" t="e">
        <f t="shared" ref="AK5:AK22" si="20">R5*E5*G5</f>
        <v>#REF!</v>
      </c>
      <c r="AL5" s="2869" t="e">
        <f>T5*$E$5*$G$5</f>
        <v>#REF!</v>
      </c>
      <c r="AM5" s="2869" t="e">
        <f>U5*$E$5*$G$5</f>
        <v>#REF!</v>
      </c>
      <c r="AN5" s="2869" t="e">
        <f t="shared" ref="AN5:AN22" si="21">X5*E5*G5</f>
        <v>#REF!</v>
      </c>
      <c r="AO5" s="2869" t="e">
        <f t="shared" ref="AO5:AO22" si="22">Z5*E5*G5</f>
        <v>#REF!</v>
      </c>
      <c r="AP5" s="2869" t="e">
        <f t="shared" ref="AP5:AP22" si="23">AB5*E5*G5</f>
        <v>#REF!</v>
      </c>
      <c r="AQ5" s="2869" t="e">
        <f t="shared" ref="AQ5:AQ22" si="24">AD5*E5*G5</f>
        <v>#REF!</v>
      </c>
      <c r="AR5" s="2869" t="e">
        <f t="shared" ref="AR5:AR22" si="25">AF5*E5*G5</f>
        <v>#REF!</v>
      </c>
      <c r="AS5" s="2866">
        <f t="shared" ref="AS5:AS10" si="26">BP5*E5*G5</f>
        <v>0</v>
      </c>
      <c r="AT5" s="635"/>
      <c r="AU5" s="2985" t="s">
        <v>301</v>
      </c>
      <c r="AV5" s="1092">
        <f>'Datos auxiliares general'!$C$7</f>
        <v>71000</v>
      </c>
      <c r="AW5" s="1092">
        <f>'Datos auxiliares general'!$C$7</f>
        <v>71000</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P5" s="635"/>
      <c r="BQ5" s="635"/>
      <c r="BR5" s="635"/>
      <c r="BW5"/>
      <c r="BX5"/>
    </row>
    <row r="6" spans="1:106" s="22" customFormat="1">
      <c r="A6" s="2523" t="s">
        <v>1075</v>
      </c>
      <c r="B6" s="2565" t="s">
        <v>1357</v>
      </c>
      <c r="C6" s="2522" t="s">
        <v>1822</v>
      </c>
      <c r="D6" s="3282">
        <f>SUMIFS(BCRR_REHAB!L:L,BCRR_REHAB!D:D,'Huella materiales (2)'!A6)</f>
        <v>0</v>
      </c>
      <c r="E6" s="1030">
        <f>'Datos_aux_materiales (2)'!M6</f>
        <v>1</v>
      </c>
      <c r="F6" s="2836">
        <f t="shared" si="1"/>
        <v>0</v>
      </c>
      <c r="G6" s="2823">
        <f>'Datos_aux_materiales (2)'!R6</f>
        <v>23.3</v>
      </c>
      <c r="H6" s="2825">
        <f t="shared" si="2"/>
        <v>0</v>
      </c>
      <c r="I6" s="2829">
        <f t="shared" si="3"/>
        <v>0</v>
      </c>
      <c r="J6" s="2851">
        <f t="shared" si="4"/>
        <v>0</v>
      </c>
      <c r="K6" s="2834">
        <f t="shared" si="5"/>
        <v>0</v>
      </c>
      <c r="L6" s="146" t="e">
        <f>SUMIF(#REF!,'Huella materiales (2)'!A6,#REF!)</f>
        <v>#REF!</v>
      </c>
      <c r="M6" s="1013" t="e">
        <f t="shared" si="6"/>
        <v>#REF!</v>
      </c>
      <c r="N6" s="146" t="e">
        <f>SUMIF(#REF!,'Huella materiales (2)'!A6,#REF!)</f>
        <v>#REF!</v>
      </c>
      <c r="O6" s="1013" t="e">
        <f t="shared" si="7"/>
        <v>#REF!</v>
      </c>
      <c r="P6" s="146" t="e">
        <f>SUMIF(#REF!,'Huella materiales (2)'!A6,#REF!)</f>
        <v>#REF!</v>
      </c>
      <c r="Q6" s="1013" t="e">
        <f t="shared" si="8"/>
        <v>#REF!</v>
      </c>
      <c r="R6" s="146" t="e">
        <f>SUMIF(#REF!,'Huella materiales (2)'!A6,#REF!)</f>
        <v>#REF!</v>
      </c>
      <c r="S6" s="1013" t="e">
        <f t="shared" si="9"/>
        <v>#REF!</v>
      </c>
      <c r="T6" s="146" t="e">
        <f>SUMIF(#REF!,'Huella materiales (2)'!A6,#REF!)</f>
        <v>#REF!</v>
      </c>
      <c r="U6" s="1013" t="e">
        <f t="shared" si="10"/>
        <v>#REF!</v>
      </c>
      <c r="V6" s="146" t="e">
        <f>SUMIF(#REF!,'Huella materiales (2)'!A6,#REF!)</f>
        <v>#REF!</v>
      </c>
      <c r="W6" s="1013" t="e">
        <f t="shared" si="11"/>
        <v>#REF!</v>
      </c>
      <c r="X6" s="146" t="e">
        <f>SUMIF(#REF!,'Huella materiales (2)'!A6,#REF!)</f>
        <v>#REF!</v>
      </c>
      <c r="Y6" s="1013" t="e">
        <f t="shared" si="12"/>
        <v>#REF!</v>
      </c>
      <c r="Z6" s="146" t="e">
        <f>SUMIF(#REF!,'Huella materiales (2)'!A6,#REF!)</f>
        <v>#REF!</v>
      </c>
      <c r="AA6" s="1013" t="e">
        <f t="shared" si="13"/>
        <v>#REF!</v>
      </c>
      <c r="AB6" s="146" t="e">
        <f>SUMIF(#REF!,'Huella materiales (2)'!A6,#REF!)</f>
        <v>#REF!</v>
      </c>
      <c r="AC6" s="1013" t="e">
        <f t="shared" si="14"/>
        <v>#REF!</v>
      </c>
      <c r="AD6" s="146" t="e">
        <f>SUMIF(#REF!,'Huella materiales (2)'!A6,#REF!)</f>
        <v>#REF!</v>
      </c>
      <c r="AE6" s="1013" t="e">
        <f t="shared" si="15"/>
        <v>#REF!</v>
      </c>
      <c r="AF6" s="146" t="e">
        <f>SUMIF(#REF!,'Huella materiales (2)'!A6,#REF!)</f>
        <v>#REF!</v>
      </c>
      <c r="AG6" s="1013" t="e">
        <f t="shared" si="16"/>
        <v>#REF!</v>
      </c>
      <c r="AH6" s="170" t="e">
        <f t="shared" si="17"/>
        <v>#REF!</v>
      </c>
      <c r="AI6" s="170" t="e">
        <f t="shared" si="18"/>
        <v>#REF!</v>
      </c>
      <c r="AJ6" s="170" t="e">
        <f t="shared" si="19"/>
        <v>#REF!</v>
      </c>
      <c r="AK6" s="170" t="e">
        <f t="shared" si="20"/>
        <v>#REF!</v>
      </c>
      <c r="AL6" s="170" t="e">
        <f t="shared" ref="AL6:AL22" si="27">T6*E6*G6</f>
        <v>#REF!</v>
      </c>
      <c r="AM6" s="170"/>
      <c r="AN6" s="170" t="e">
        <f t="shared" si="21"/>
        <v>#REF!</v>
      </c>
      <c r="AO6" s="170" t="e">
        <f t="shared" si="22"/>
        <v>#REF!</v>
      </c>
      <c r="AP6" s="170" t="e">
        <f t="shared" si="23"/>
        <v>#REF!</v>
      </c>
      <c r="AQ6" s="170" t="e">
        <f t="shared" si="24"/>
        <v>#REF!</v>
      </c>
      <c r="AR6" s="170" t="e">
        <f t="shared" si="25"/>
        <v>#REF!</v>
      </c>
      <c r="AS6" s="2656">
        <f t="shared" si="26"/>
        <v>0</v>
      </c>
      <c r="AT6" s="635"/>
      <c r="AU6" s="2986" t="s">
        <v>347</v>
      </c>
      <c r="AV6" s="2821">
        <f>AV4/AV5</f>
        <v>37.53791833100825</v>
      </c>
      <c r="AW6" s="2821">
        <f>AW4/AW5</f>
        <v>0</v>
      </c>
      <c r="AX6" s="2821">
        <f>AX4/AX5</f>
        <v>0</v>
      </c>
      <c r="AY6" s="2821">
        <f t="shared" ref="AY6:BI6" si="28">AY4/AY5</f>
        <v>0</v>
      </c>
      <c r="AZ6" s="2821">
        <f t="shared" si="28"/>
        <v>0</v>
      </c>
      <c r="BA6" s="2821">
        <f t="shared" si="28"/>
        <v>0</v>
      </c>
      <c r="BB6" s="2821">
        <f t="shared" si="28"/>
        <v>0</v>
      </c>
      <c r="BC6" s="2821">
        <f t="shared" si="28"/>
        <v>0</v>
      </c>
      <c r="BD6" s="2821">
        <f t="shared" si="28"/>
        <v>0</v>
      </c>
      <c r="BE6" s="2821">
        <f t="shared" si="28"/>
        <v>0</v>
      </c>
      <c r="BF6" s="2821">
        <f t="shared" si="28"/>
        <v>0</v>
      </c>
      <c r="BG6" s="2821">
        <f t="shared" si="28"/>
        <v>0</v>
      </c>
      <c r="BH6" s="2821">
        <f t="shared" si="28"/>
        <v>0</v>
      </c>
      <c r="BI6" s="2821">
        <f t="shared" si="28"/>
        <v>0</v>
      </c>
      <c r="BJ6" s="2821">
        <f t="shared" ref="BJ6" si="29">BJ4/BJ5</f>
        <v>0</v>
      </c>
      <c r="BK6" s="681"/>
      <c r="BL6" s="681"/>
      <c r="BM6" s="681"/>
      <c r="BN6" s="16"/>
      <c r="BO6" s="16"/>
      <c r="BP6" s="635"/>
      <c r="BQ6" s="635"/>
      <c r="BR6" s="635"/>
      <c r="BS6" s="16"/>
      <c r="BT6" s="16"/>
      <c r="BU6" s="16"/>
      <c r="BV6" s="16"/>
    </row>
    <row r="7" spans="1:106" s="22" customFormat="1">
      <c r="A7" s="2523" t="s">
        <v>1533</v>
      </c>
      <c r="B7" s="2565" t="s">
        <v>1357</v>
      </c>
      <c r="C7" s="2522" t="s">
        <v>1725</v>
      </c>
      <c r="D7" s="3282">
        <f>SUMIFS(BCRR_REHAB!L:L,BCRR_REHAB!D:D,'Huella materiales (2)'!A7)</f>
        <v>0</v>
      </c>
      <c r="E7" s="1030">
        <f>'Datos_aux_materiales (2)'!M7</f>
        <v>1</v>
      </c>
      <c r="F7" s="2836">
        <f t="shared" si="1"/>
        <v>0</v>
      </c>
      <c r="G7" s="2823">
        <f>'Datos_aux_materiales (2)'!R7</f>
        <v>23.3</v>
      </c>
      <c r="H7" s="2825">
        <f t="shared" si="2"/>
        <v>0</v>
      </c>
      <c r="I7" s="2829">
        <f t="shared" si="3"/>
        <v>0</v>
      </c>
      <c r="J7" s="2851">
        <f t="shared" si="4"/>
        <v>0</v>
      </c>
      <c r="K7" s="2834">
        <f t="shared" si="5"/>
        <v>0</v>
      </c>
      <c r="L7" s="146" t="e">
        <f>SUMIF(#REF!,'Huella materiales (2)'!A7,#REF!)</f>
        <v>#REF!</v>
      </c>
      <c r="M7" s="1013" t="e">
        <f t="shared" si="6"/>
        <v>#REF!</v>
      </c>
      <c r="N7" s="146" t="e">
        <f>SUMIF(#REF!,'Huella materiales (2)'!A7,#REF!)</f>
        <v>#REF!</v>
      </c>
      <c r="O7" s="1013" t="e">
        <f t="shared" si="7"/>
        <v>#REF!</v>
      </c>
      <c r="P7" s="146" t="e">
        <f>SUMIF(#REF!,'Huella materiales (2)'!A7,#REF!)</f>
        <v>#REF!</v>
      </c>
      <c r="Q7" s="1013" t="e">
        <f t="shared" si="8"/>
        <v>#REF!</v>
      </c>
      <c r="R7" s="146" t="e">
        <f>SUMIF(#REF!,'Huella materiales (2)'!A7,#REF!)</f>
        <v>#REF!</v>
      </c>
      <c r="S7" s="1013" t="e">
        <f t="shared" si="9"/>
        <v>#REF!</v>
      </c>
      <c r="T7" s="146" t="e">
        <f>SUMIF(#REF!,'Huella materiales (2)'!A7,#REF!)</f>
        <v>#REF!</v>
      </c>
      <c r="U7" s="1013" t="e">
        <f t="shared" si="10"/>
        <v>#REF!</v>
      </c>
      <c r="V7" s="146" t="e">
        <f>SUMIF(#REF!,'Huella materiales (2)'!A7,#REF!)</f>
        <v>#REF!</v>
      </c>
      <c r="W7" s="1013" t="e">
        <f t="shared" si="11"/>
        <v>#REF!</v>
      </c>
      <c r="X7" s="146" t="e">
        <f>SUMIF(#REF!,'Huella materiales (2)'!A7,#REF!)</f>
        <v>#REF!</v>
      </c>
      <c r="Y7" s="1013" t="e">
        <f t="shared" si="12"/>
        <v>#REF!</v>
      </c>
      <c r="Z7" s="146" t="e">
        <f>SUMIF(#REF!,'Huella materiales (2)'!A7,#REF!)</f>
        <v>#REF!</v>
      </c>
      <c r="AA7" s="1013" t="e">
        <f t="shared" si="13"/>
        <v>#REF!</v>
      </c>
      <c r="AB7" s="146" t="e">
        <f>SUMIF(#REF!,'Huella materiales (2)'!A7,#REF!)</f>
        <v>#REF!</v>
      </c>
      <c r="AC7" s="1013" t="e">
        <f t="shared" si="14"/>
        <v>#REF!</v>
      </c>
      <c r="AD7" s="146" t="e">
        <f>SUMIF(#REF!,'Huella materiales (2)'!A7,#REF!)</f>
        <v>#REF!</v>
      </c>
      <c r="AE7" s="1013" t="e">
        <f t="shared" si="15"/>
        <v>#REF!</v>
      </c>
      <c r="AF7" s="146" t="e">
        <f>SUMIF(#REF!,'Huella materiales (2)'!A7,#REF!)</f>
        <v>#REF!</v>
      </c>
      <c r="AG7" s="1013" t="e">
        <f t="shared" si="16"/>
        <v>#REF!</v>
      </c>
      <c r="AH7" s="170" t="e">
        <f t="shared" si="17"/>
        <v>#REF!</v>
      </c>
      <c r="AI7" s="170" t="e">
        <f t="shared" si="18"/>
        <v>#REF!</v>
      </c>
      <c r="AJ7" s="170" t="e">
        <f t="shared" si="19"/>
        <v>#REF!</v>
      </c>
      <c r="AK7" s="170" t="e">
        <f t="shared" si="20"/>
        <v>#REF!</v>
      </c>
      <c r="AL7" s="170" t="e">
        <f t="shared" si="27"/>
        <v>#REF!</v>
      </c>
      <c r="AM7" s="170"/>
      <c r="AN7" s="170" t="e">
        <f t="shared" si="21"/>
        <v>#REF!</v>
      </c>
      <c r="AO7" s="170" t="e">
        <f t="shared" si="22"/>
        <v>#REF!</v>
      </c>
      <c r="AP7" s="170" t="e">
        <f t="shared" si="23"/>
        <v>#REF!</v>
      </c>
      <c r="AQ7" s="170" t="e">
        <f t="shared" si="24"/>
        <v>#REF!</v>
      </c>
      <c r="AR7" s="170" t="e">
        <f t="shared" si="25"/>
        <v>#REF!</v>
      </c>
      <c r="AS7" s="2656">
        <f t="shared" si="26"/>
        <v>0</v>
      </c>
      <c r="AT7" s="635"/>
      <c r="AU7" s="2958" t="s">
        <v>348</v>
      </c>
      <c r="AV7" s="1093">
        <f>'Datos auxiliares general'!$C$8</f>
        <v>1.26</v>
      </c>
      <c r="AW7" s="1093">
        <f>'Datos auxiliares general'!$C$8</f>
        <v>1.26</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681"/>
      <c r="BL7" s="681"/>
      <c r="BM7" s="681"/>
      <c r="BN7" s="16"/>
      <c r="BO7" s="16"/>
      <c r="BP7" s="635"/>
      <c r="BQ7" s="635"/>
      <c r="BR7" s="635"/>
      <c r="BS7" s="16"/>
      <c r="BT7" s="16"/>
      <c r="BU7" s="16"/>
      <c r="BV7" s="16"/>
    </row>
    <row r="8" spans="1:106">
      <c r="A8" s="2523" t="s">
        <v>1724</v>
      </c>
      <c r="B8" s="2565" t="s">
        <v>1357</v>
      </c>
      <c r="C8" s="2522" t="s">
        <v>1725</v>
      </c>
      <c r="D8" s="3282">
        <f>SUMIFS(BCRR_REHAB!L:L,BCRR_REHAB!D:D,'Huella materiales (2)'!A8)</f>
        <v>0</v>
      </c>
      <c r="E8" s="1030">
        <f>'Datos_aux_materiales (2)'!M8</f>
        <v>1</v>
      </c>
      <c r="F8" s="2836">
        <f t="shared" si="1"/>
        <v>0</v>
      </c>
      <c r="G8" s="2823">
        <f>'Datos_aux_materiales (2)'!R8</f>
        <v>23.3</v>
      </c>
      <c r="H8" s="2825">
        <f t="shared" si="2"/>
        <v>0</v>
      </c>
      <c r="I8" s="2829">
        <f t="shared" si="3"/>
        <v>0</v>
      </c>
      <c r="J8" s="2851">
        <f t="shared" si="4"/>
        <v>0</v>
      </c>
      <c r="K8" s="2834">
        <f t="shared" si="5"/>
        <v>0</v>
      </c>
      <c r="L8" s="146" t="e">
        <f>SUMIF(#REF!,'Huella materiales (2)'!A8,#REF!)</f>
        <v>#REF!</v>
      </c>
      <c r="M8" s="1013" t="e">
        <f t="shared" si="6"/>
        <v>#REF!</v>
      </c>
      <c r="N8" s="146" t="e">
        <f>SUMIF(#REF!,'Huella materiales (2)'!A8,#REF!)</f>
        <v>#REF!</v>
      </c>
      <c r="O8" s="1013" t="e">
        <f t="shared" si="7"/>
        <v>#REF!</v>
      </c>
      <c r="P8" s="146" t="e">
        <f>SUMIF(#REF!,'Huella materiales (2)'!A8,#REF!)</f>
        <v>#REF!</v>
      </c>
      <c r="Q8" s="1013" t="e">
        <f t="shared" si="8"/>
        <v>#REF!</v>
      </c>
      <c r="R8" s="146" t="e">
        <f>SUMIF(#REF!,'Huella materiales (2)'!A8,#REF!)</f>
        <v>#REF!</v>
      </c>
      <c r="S8" s="1013" t="e">
        <f t="shared" si="9"/>
        <v>#REF!</v>
      </c>
      <c r="T8" s="146" t="e">
        <f>SUMIF(#REF!,'Huella materiales (2)'!A8,#REF!)</f>
        <v>#REF!</v>
      </c>
      <c r="U8" s="1013" t="e">
        <f t="shared" si="10"/>
        <v>#REF!</v>
      </c>
      <c r="V8" s="146" t="e">
        <f>SUMIF(#REF!,'Huella materiales (2)'!A8,#REF!)</f>
        <v>#REF!</v>
      </c>
      <c r="W8" s="1013" t="e">
        <f t="shared" si="11"/>
        <v>#REF!</v>
      </c>
      <c r="X8" s="146" t="e">
        <f>SUMIF(#REF!,'Huella materiales (2)'!A8,#REF!)</f>
        <v>#REF!</v>
      </c>
      <c r="Y8" s="1013" t="e">
        <f t="shared" si="12"/>
        <v>#REF!</v>
      </c>
      <c r="Z8" s="146" t="e">
        <f>SUMIF(#REF!,'Huella materiales (2)'!A8,#REF!)</f>
        <v>#REF!</v>
      </c>
      <c r="AA8" s="1013" t="e">
        <f t="shared" si="13"/>
        <v>#REF!</v>
      </c>
      <c r="AB8" s="146" t="e">
        <f>SUMIF(#REF!,'Huella materiales (2)'!A8,#REF!)</f>
        <v>#REF!</v>
      </c>
      <c r="AC8" s="1013" t="e">
        <f t="shared" si="14"/>
        <v>#REF!</v>
      </c>
      <c r="AD8" s="146" t="e">
        <f>SUMIF(#REF!,'Huella materiales (2)'!A8,#REF!)</f>
        <v>#REF!</v>
      </c>
      <c r="AE8" s="1013" t="e">
        <f t="shared" si="15"/>
        <v>#REF!</v>
      </c>
      <c r="AF8" s="146" t="e">
        <f>SUMIF(#REF!,'Huella materiales (2)'!A8,#REF!)</f>
        <v>#REF!</v>
      </c>
      <c r="AG8" s="1013" t="e">
        <f t="shared" si="16"/>
        <v>#REF!</v>
      </c>
      <c r="AH8" s="170" t="e">
        <f t="shared" si="17"/>
        <v>#REF!</v>
      </c>
      <c r="AI8" s="170" t="e">
        <f t="shared" si="18"/>
        <v>#REF!</v>
      </c>
      <c r="AJ8" s="170" t="e">
        <f t="shared" si="19"/>
        <v>#REF!</v>
      </c>
      <c r="AK8" s="170" t="e">
        <f t="shared" si="20"/>
        <v>#REF!</v>
      </c>
      <c r="AL8" s="170" t="e">
        <f t="shared" si="27"/>
        <v>#REF!</v>
      </c>
      <c r="AM8" s="170"/>
      <c r="AN8" s="170" t="e">
        <f t="shared" si="21"/>
        <v>#REF!</v>
      </c>
      <c r="AO8" s="170" t="e">
        <f t="shared" si="22"/>
        <v>#REF!</v>
      </c>
      <c r="AP8" s="170" t="e">
        <f t="shared" si="23"/>
        <v>#REF!</v>
      </c>
      <c r="AQ8" s="170" t="e">
        <f t="shared" si="24"/>
        <v>#REF!</v>
      </c>
      <c r="AR8" s="170" t="e">
        <f t="shared" si="25"/>
        <v>#REF!</v>
      </c>
      <c r="AS8" s="2656">
        <f t="shared" si="26"/>
        <v>0</v>
      </c>
      <c r="AT8" s="635"/>
      <c r="AU8" s="2987" t="s">
        <v>731</v>
      </c>
      <c r="AV8" s="1089">
        <f t="shared" ref="AV8:BI8" si="30">AV6*AV7</f>
        <v>47.297777097070394</v>
      </c>
      <c r="AW8" s="1090">
        <f t="shared" ref="AW8" si="31">AW6*AW7</f>
        <v>0</v>
      </c>
      <c r="AX8" s="1090">
        <f t="shared" si="30"/>
        <v>0</v>
      </c>
      <c r="AY8" s="1090">
        <f t="shared" si="30"/>
        <v>0</v>
      </c>
      <c r="AZ8" s="1090">
        <f t="shared" si="30"/>
        <v>0</v>
      </c>
      <c r="BA8" s="1090">
        <f t="shared" si="30"/>
        <v>0</v>
      </c>
      <c r="BB8" s="1090">
        <f t="shared" si="30"/>
        <v>0</v>
      </c>
      <c r="BC8" s="1090">
        <f t="shared" si="30"/>
        <v>0</v>
      </c>
      <c r="BD8" s="1090">
        <f t="shared" si="30"/>
        <v>0</v>
      </c>
      <c r="BE8" s="1090">
        <f t="shared" si="30"/>
        <v>0</v>
      </c>
      <c r="BF8" s="1090">
        <f t="shared" si="30"/>
        <v>0</v>
      </c>
      <c r="BG8" s="1090">
        <f t="shared" si="30"/>
        <v>0</v>
      </c>
      <c r="BH8" s="1090">
        <f t="shared" si="30"/>
        <v>0</v>
      </c>
      <c r="BI8" s="1090">
        <f t="shared" si="30"/>
        <v>0</v>
      </c>
      <c r="BJ8" s="1090">
        <f t="shared" ref="BJ8" si="32">BJ6*BJ7</f>
        <v>0</v>
      </c>
      <c r="BK8" s="1072"/>
      <c r="BL8" s="1072"/>
      <c r="BM8" s="681"/>
      <c r="BP8" s="635"/>
      <c r="BQ8" s="635"/>
      <c r="BR8" s="635"/>
      <c r="BW8"/>
      <c r="BX8"/>
    </row>
    <row r="9" spans="1:106" ht="18" customHeight="1">
      <c r="A9" s="2523" t="s">
        <v>2643</v>
      </c>
      <c r="B9" s="2565" t="s">
        <v>1357</v>
      </c>
      <c r="C9" s="2522" t="s">
        <v>2644</v>
      </c>
      <c r="D9" s="3282">
        <f>SUMIFS(BCRR_REHAB!L:L,BCRR_REHAB!D:D,'Huella materiales (2)'!A9)</f>
        <v>0</v>
      </c>
      <c r="E9" s="1030">
        <f>'Datos_aux_materiales (2)'!M9</f>
        <v>1</v>
      </c>
      <c r="F9" s="2836">
        <f t="shared" si="1"/>
        <v>0</v>
      </c>
      <c r="G9" s="2823">
        <f>'Datos_aux_materiales (2)'!R9</f>
        <v>23.3</v>
      </c>
      <c r="H9" s="2825">
        <f t="shared" si="2"/>
        <v>0</v>
      </c>
      <c r="I9" s="2829">
        <f t="shared" si="3"/>
        <v>0</v>
      </c>
      <c r="J9" s="2851">
        <f t="shared" si="4"/>
        <v>0</v>
      </c>
      <c r="K9" s="2834">
        <f t="shared" si="5"/>
        <v>0</v>
      </c>
      <c r="L9" s="146" t="e">
        <f>SUMIF(#REF!,'Huella materiales (2)'!A9,#REF!)</f>
        <v>#REF!</v>
      </c>
      <c r="M9" s="1013" t="e">
        <f t="shared" si="6"/>
        <v>#REF!</v>
      </c>
      <c r="N9" s="146" t="e">
        <f>SUMIF(#REF!,'Huella materiales (2)'!A9,#REF!)</f>
        <v>#REF!</v>
      </c>
      <c r="O9" s="1013" t="e">
        <f t="shared" si="7"/>
        <v>#REF!</v>
      </c>
      <c r="P9" s="146" t="e">
        <f>SUMIF(#REF!,'Huella materiales (2)'!A9,#REF!)</f>
        <v>#REF!</v>
      </c>
      <c r="Q9" s="1013" t="e">
        <f t="shared" si="8"/>
        <v>#REF!</v>
      </c>
      <c r="R9" s="146" t="e">
        <f>SUMIF(#REF!,'Huella materiales (2)'!A9,#REF!)</f>
        <v>#REF!</v>
      </c>
      <c r="S9" s="1013" t="e">
        <f t="shared" si="9"/>
        <v>#REF!</v>
      </c>
      <c r="T9" s="146" t="e">
        <f>SUMIF(#REF!,'Huella materiales (2)'!A9,#REF!)</f>
        <v>#REF!</v>
      </c>
      <c r="U9" s="1013" t="e">
        <f t="shared" si="10"/>
        <v>#REF!</v>
      </c>
      <c r="V9" s="146" t="e">
        <f>SUMIF(#REF!,'Huella materiales (2)'!A9,#REF!)</f>
        <v>#REF!</v>
      </c>
      <c r="W9" s="1013" t="e">
        <f t="shared" si="11"/>
        <v>#REF!</v>
      </c>
      <c r="X9" s="146" t="e">
        <f>SUMIF(#REF!,'Huella materiales (2)'!A9,#REF!)</f>
        <v>#REF!</v>
      </c>
      <c r="Y9" s="1013" t="e">
        <f t="shared" si="12"/>
        <v>#REF!</v>
      </c>
      <c r="Z9" s="146" t="e">
        <f>SUMIF(#REF!,'Huella materiales (2)'!A9,#REF!)</f>
        <v>#REF!</v>
      </c>
      <c r="AA9" s="1013" t="e">
        <f t="shared" si="13"/>
        <v>#REF!</v>
      </c>
      <c r="AB9" s="146" t="e">
        <f>SUMIF(#REF!,'Huella materiales (2)'!A9,#REF!)</f>
        <v>#REF!</v>
      </c>
      <c r="AC9" s="1013" t="e">
        <f t="shared" si="14"/>
        <v>#REF!</v>
      </c>
      <c r="AD9" s="146" t="e">
        <f>SUMIF(#REF!,'Huella materiales (2)'!A9,#REF!)</f>
        <v>#REF!</v>
      </c>
      <c r="AE9" s="1013" t="e">
        <f t="shared" si="15"/>
        <v>#REF!</v>
      </c>
      <c r="AF9" s="146" t="e">
        <f>SUMIF(#REF!,'Huella materiales (2)'!A9,#REF!)</f>
        <v>#REF!</v>
      </c>
      <c r="AG9" s="1013" t="e">
        <f t="shared" si="16"/>
        <v>#REF!</v>
      </c>
      <c r="AH9" s="170" t="e">
        <f t="shared" si="17"/>
        <v>#REF!</v>
      </c>
      <c r="AI9" s="170" t="e">
        <f t="shared" si="18"/>
        <v>#REF!</v>
      </c>
      <c r="AJ9" s="170" t="e">
        <f t="shared" si="19"/>
        <v>#REF!</v>
      </c>
      <c r="AK9" s="170" t="e">
        <f t="shared" si="20"/>
        <v>#REF!</v>
      </c>
      <c r="AL9" s="170" t="e">
        <f t="shared" si="27"/>
        <v>#REF!</v>
      </c>
      <c r="AM9" s="170"/>
      <c r="AN9" s="170" t="e">
        <f t="shared" si="21"/>
        <v>#REF!</v>
      </c>
      <c r="AO9" s="170" t="e">
        <f t="shared" si="22"/>
        <v>#REF!</v>
      </c>
      <c r="AP9" s="170" t="e">
        <f t="shared" si="23"/>
        <v>#REF!</v>
      </c>
      <c r="AQ9" s="170" t="e">
        <f t="shared" si="24"/>
        <v>#REF!</v>
      </c>
      <c r="AR9" s="170" t="e">
        <f t="shared" si="25"/>
        <v>#REF!</v>
      </c>
      <c r="AS9" s="2656">
        <f t="shared" si="26"/>
        <v>0</v>
      </c>
      <c r="AT9" s="635"/>
      <c r="AU9" s="2988" t="s">
        <v>1322</v>
      </c>
      <c r="AV9" s="1095">
        <f>D769</f>
        <v>0.7037863098591548</v>
      </c>
      <c r="AW9" s="1075">
        <f>F397</f>
        <v>0</v>
      </c>
      <c r="AX9" s="1075">
        <f>G397</f>
        <v>0</v>
      </c>
      <c r="AY9" s="1095">
        <f>H397</f>
        <v>0</v>
      </c>
      <c r="AZ9" s="1075" t="e">
        <f>#REF!</f>
        <v>#REF!</v>
      </c>
      <c r="BA9" s="1095" t="e">
        <f>#REF!</f>
        <v>#REF!</v>
      </c>
      <c r="BB9" s="1075" t="e">
        <f>#REF!</f>
        <v>#REF!</v>
      </c>
      <c r="BC9" s="1095" t="e">
        <f>#REF!</f>
        <v>#REF!</v>
      </c>
      <c r="BD9" s="1075" t="e">
        <f>#REF!</f>
        <v>#REF!</v>
      </c>
      <c r="BE9" s="1095" t="e">
        <f>#REF!</f>
        <v>#REF!</v>
      </c>
      <c r="BF9" s="1075" t="e">
        <f>#REF!</f>
        <v>#REF!</v>
      </c>
      <c r="BG9" s="1095" t="e">
        <f>#REF!</f>
        <v>#REF!</v>
      </c>
      <c r="BH9" s="1075" t="e">
        <f>#REF!</f>
        <v>#REF!</v>
      </c>
      <c r="BI9" s="1095" t="e">
        <f>#REF!</f>
        <v>#REF!</v>
      </c>
      <c r="BJ9" s="1095" t="e">
        <f>#REF!</f>
        <v>#REF!</v>
      </c>
      <c r="BK9" s="1072"/>
      <c r="BL9" s="1072"/>
      <c r="BM9" s="681"/>
      <c r="BP9" s="635"/>
      <c r="BQ9" s="635"/>
      <c r="BR9" s="635"/>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row>
    <row r="10" spans="1:106" ht="19.5" customHeight="1">
      <c r="A10" s="2523" t="s">
        <v>2697</v>
      </c>
      <c r="B10" s="2565" t="s">
        <v>1357</v>
      </c>
      <c r="C10" s="2522" t="s">
        <v>2698</v>
      </c>
      <c r="D10" s="3282">
        <f>SUMIFS(BCRR_REHAB!L:L,BCRR_REHAB!D:D,'Huella materiales (2)'!A10)</f>
        <v>0</v>
      </c>
      <c r="E10" s="1030">
        <f>'Datos_aux_materiales (2)'!M10</f>
        <v>1</v>
      </c>
      <c r="F10" s="2836">
        <f t="shared" si="1"/>
        <v>0</v>
      </c>
      <c r="G10" s="2823">
        <f>'Datos_aux_materiales (2)'!R10</f>
        <v>23.3</v>
      </c>
      <c r="H10" s="2825">
        <f t="shared" si="2"/>
        <v>0</v>
      </c>
      <c r="I10" s="2829">
        <f t="shared" si="3"/>
        <v>0</v>
      </c>
      <c r="J10" s="2851">
        <f t="shared" si="4"/>
        <v>0</v>
      </c>
      <c r="K10" s="2834">
        <f t="shared" si="5"/>
        <v>0</v>
      </c>
      <c r="L10" s="146" t="e">
        <f>SUMIF(#REF!,'Huella materiales (2)'!A10,#REF!)</f>
        <v>#REF!</v>
      </c>
      <c r="M10" s="1013" t="e">
        <f t="shared" si="6"/>
        <v>#REF!</v>
      </c>
      <c r="N10" s="146" t="e">
        <f>SUMIF(#REF!,'Huella materiales (2)'!A10,#REF!)</f>
        <v>#REF!</v>
      </c>
      <c r="O10" s="1013" t="e">
        <f t="shared" si="7"/>
        <v>#REF!</v>
      </c>
      <c r="P10" s="146" t="e">
        <f>SUMIF(#REF!,'Huella materiales (2)'!A10,#REF!)</f>
        <v>#REF!</v>
      </c>
      <c r="Q10" s="1013" t="e">
        <f t="shared" si="8"/>
        <v>#REF!</v>
      </c>
      <c r="R10" s="146" t="e">
        <f>SUMIF(#REF!,'Huella materiales (2)'!A10,#REF!)</f>
        <v>#REF!</v>
      </c>
      <c r="S10" s="1013" t="e">
        <f t="shared" si="9"/>
        <v>#REF!</v>
      </c>
      <c r="T10" s="146" t="e">
        <f>SUMIF(#REF!,'Huella materiales (2)'!A10,#REF!)</f>
        <v>#REF!</v>
      </c>
      <c r="U10" s="1013" t="e">
        <f t="shared" si="10"/>
        <v>#REF!</v>
      </c>
      <c r="V10" s="146" t="e">
        <f>SUMIF(#REF!,'Huella materiales (2)'!A10,#REF!)</f>
        <v>#REF!</v>
      </c>
      <c r="W10" s="1013" t="e">
        <f t="shared" si="11"/>
        <v>#REF!</v>
      </c>
      <c r="X10" s="146" t="e">
        <f>SUMIF(#REF!,'Huella materiales (2)'!A10,#REF!)</f>
        <v>#REF!</v>
      </c>
      <c r="Y10" s="1013" t="e">
        <f t="shared" si="12"/>
        <v>#REF!</v>
      </c>
      <c r="Z10" s="146" t="e">
        <f>SUMIF(#REF!,'Huella materiales (2)'!A10,#REF!)</f>
        <v>#REF!</v>
      </c>
      <c r="AA10" s="1013" t="e">
        <f t="shared" si="13"/>
        <v>#REF!</v>
      </c>
      <c r="AB10" s="146" t="e">
        <f>SUMIF(#REF!,'Huella materiales (2)'!A10,#REF!)</f>
        <v>#REF!</v>
      </c>
      <c r="AC10" s="1013" t="e">
        <f t="shared" si="14"/>
        <v>#REF!</v>
      </c>
      <c r="AD10" s="146" t="e">
        <f>SUMIF(#REF!,'Huella materiales (2)'!A10,#REF!)</f>
        <v>#REF!</v>
      </c>
      <c r="AE10" s="1013" t="e">
        <f t="shared" si="15"/>
        <v>#REF!</v>
      </c>
      <c r="AF10" s="146" t="e">
        <f>SUMIF(#REF!,'Huella materiales (2)'!A10,#REF!)</f>
        <v>#REF!</v>
      </c>
      <c r="AG10" s="1013" t="e">
        <f t="shared" si="16"/>
        <v>#REF!</v>
      </c>
      <c r="AH10" s="170" t="e">
        <f t="shared" si="17"/>
        <v>#REF!</v>
      </c>
      <c r="AI10" s="170" t="e">
        <f t="shared" si="18"/>
        <v>#REF!</v>
      </c>
      <c r="AJ10" s="170" t="e">
        <f t="shared" si="19"/>
        <v>#REF!</v>
      </c>
      <c r="AK10" s="170" t="e">
        <f t="shared" si="20"/>
        <v>#REF!</v>
      </c>
      <c r="AL10" s="170" t="e">
        <f t="shared" si="27"/>
        <v>#REF!</v>
      </c>
      <c r="AM10" s="170"/>
      <c r="AN10" s="170" t="e">
        <f t="shared" si="21"/>
        <v>#REF!</v>
      </c>
      <c r="AO10" s="170" t="e">
        <f t="shared" si="22"/>
        <v>#REF!</v>
      </c>
      <c r="AP10" s="170" t="e">
        <f t="shared" si="23"/>
        <v>#REF!</v>
      </c>
      <c r="AQ10" s="170" t="e">
        <f t="shared" si="24"/>
        <v>#REF!</v>
      </c>
      <c r="AR10" s="170" t="e">
        <f t="shared" si="25"/>
        <v>#REF!</v>
      </c>
      <c r="AS10" s="2656">
        <f t="shared" si="26"/>
        <v>0</v>
      </c>
      <c r="AT10" s="635"/>
      <c r="AU10" s="2989" t="s">
        <v>1326</v>
      </c>
      <c r="AV10" s="2982">
        <f>AV8+AV9</f>
        <v>48.001563406929549</v>
      </c>
      <c r="AW10" s="1091">
        <f t="shared" ref="AW10" si="33">AW8+AW9</f>
        <v>0</v>
      </c>
      <c r="AX10" s="1091">
        <f t="shared" ref="AX10:BI10" si="34">AX8+AX9</f>
        <v>0</v>
      </c>
      <c r="AY10" s="1098">
        <f t="shared" si="34"/>
        <v>0</v>
      </c>
      <c r="AZ10" s="1091" t="e">
        <f t="shared" si="34"/>
        <v>#REF!</v>
      </c>
      <c r="BA10" s="1098" t="e">
        <f t="shared" si="34"/>
        <v>#REF!</v>
      </c>
      <c r="BB10" s="1091" t="e">
        <f t="shared" si="34"/>
        <v>#REF!</v>
      </c>
      <c r="BC10" s="1098" t="e">
        <f t="shared" si="34"/>
        <v>#REF!</v>
      </c>
      <c r="BD10" s="1091" t="e">
        <f t="shared" si="34"/>
        <v>#REF!</v>
      </c>
      <c r="BE10" s="1098" t="e">
        <f t="shared" si="34"/>
        <v>#REF!</v>
      </c>
      <c r="BF10" s="1091" t="e">
        <f t="shared" si="34"/>
        <v>#REF!</v>
      </c>
      <c r="BG10" s="1098" t="e">
        <f t="shared" si="34"/>
        <v>#REF!</v>
      </c>
      <c r="BH10" s="1091" t="e">
        <f t="shared" si="34"/>
        <v>#REF!</v>
      </c>
      <c r="BI10" s="1098" t="e">
        <f t="shared" si="34"/>
        <v>#REF!</v>
      </c>
      <c r="BJ10" s="1098" t="e">
        <f t="shared" ref="BJ10" si="35">BJ8+BJ9</f>
        <v>#REF!</v>
      </c>
      <c r="BK10" s="681"/>
      <c r="BL10" s="681"/>
      <c r="BM10" s="681"/>
      <c r="BP10" s="635"/>
      <c r="BQ10" s="635"/>
      <c r="BR10" s="635"/>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row>
    <row r="11" spans="1:106" ht="15" customHeight="1">
      <c r="A11" s="2523" t="s">
        <v>1090</v>
      </c>
      <c r="B11" s="2549" t="s">
        <v>1357</v>
      </c>
      <c r="C11" s="2542" t="s">
        <v>1723</v>
      </c>
      <c r="D11" s="3282">
        <f>SUMIFS(BCRR_REHAB!L:L,BCRR_REHAB!D:D,'Huella materiales (2)'!A11)</f>
        <v>0</v>
      </c>
      <c r="E11" s="1030">
        <f>'Datos_aux_materiales (2)'!M11</f>
        <v>1</v>
      </c>
      <c r="F11" s="2836">
        <f t="shared" si="1"/>
        <v>0</v>
      </c>
      <c r="G11" s="2823">
        <f>'Datos_aux_materiales (2)'!R11</f>
        <v>23.3</v>
      </c>
      <c r="H11" s="2825">
        <f t="shared" si="2"/>
        <v>0</v>
      </c>
      <c r="I11" s="2829">
        <f t="shared" si="3"/>
        <v>0</v>
      </c>
      <c r="J11" s="2851">
        <f t="shared" si="4"/>
        <v>0</v>
      </c>
      <c r="K11" s="2834">
        <f t="shared" si="5"/>
        <v>0</v>
      </c>
      <c r="L11" s="146" t="e">
        <f>SUMIF(#REF!,'Huella materiales (2)'!A11,#REF!)</f>
        <v>#REF!</v>
      </c>
      <c r="M11" s="1013" t="e">
        <f t="shared" si="6"/>
        <v>#REF!</v>
      </c>
      <c r="N11" s="146" t="e">
        <f>SUMIF(#REF!,'Huella materiales (2)'!A11,#REF!)</f>
        <v>#REF!</v>
      </c>
      <c r="O11" s="1013" t="e">
        <f t="shared" si="7"/>
        <v>#REF!</v>
      </c>
      <c r="P11" s="146" t="e">
        <f>SUMIF(#REF!,'Huella materiales (2)'!A11,#REF!)</f>
        <v>#REF!</v>
      </c>
      <c r="Q11" s="1013" t="e">
        <f t="shared" si="8"/>
        <v>#REF!</v>
      </c>
      <c r="R11" s="146" t="e">
        <f>SUMIF(#REF!,'Huella materiales (2)'!A11,#REF!)</f>
        <v>#REF!</v>
      </c>
      <c r="S11" s="1013" t="e">
        <f t="shared" si="9"/>
        <v>#REF!</v>
      </c>
      <c r="T11" s="146" t="e">
        <f>SUMIF(#REF!,'Huella materiales (2)'!A11,#REF!)</f>
        <v>#REF!</v>
      </c>
      <c r="U11" s="1013" t="e">
        <f t="shared" si="10"/>
        <v>#REF!</v>
      </c>
      <c r="V11" s="146" t="e">
        <f>SUMIF(#REF!,'Huella materiales (2)'!A11,#REF!)</f>
        <v>#REF!</v>
      </c>
      <c r="W11" s="1013" t="e">
        <f t="shared" si="11"/>
        <v>#REF!</v>
      </c>
      <c r="X11" s="146" t="e">
        <f>SUMIF(#REF!,'Huella materiales (2)'!A11,#REF!)</f>
        <v>#REF!</v>
      </c>
      <c r="Y11" s="1013" t="e">
        <f t="shared" si="12"/>
        <v>#REF!</v>
      </c>
      <c r="Z11" s="146" t="e">
        <f>SUMIF(#REF!,'Huella materiales (2)'!A11,#REF!)</f>
        <v>#REF!</v>
      </c>
      <c r="AA11" s="1013" t="e">
        <f t="shared" si="13"/>
        <v>#REF!</v>
      </c>
      <c r="AB11" s="146" t="e">
        <f>SUMIF(#REF!,'Huella materiales (2)'!A11,#REF!)</f>
        <v>#REF!</v>
      </c>
      <c r="AC11" s="1013" t="e">
        <f t="shared" si="14"/>
        <v>#REF!</v>
      </c>
      <c r="AD11" s="146" t="e">
        <f>SUMIF(#REF!,'Huella materiales (2)'!A11,#REF!)</f>
        <v>#REF!</v>
      </c>
      <c r="AE11" s="1013" t="e">
        <f t="shared" si="15"/>
        <v>#REF!</v>
      </c>
      <c r="AF11" s="146" t="e">
        <f>SUMIF(#REF!,'Huella materiales (2)'!A11,#REF!)</f>
        <v>#REF!</v>
      </c>
      <c r="AG11" s="1013" t="e">
        <f t="shared" si="16"/>
        <v>#REF!</v>
      </c>
      <c r="AH11" s="170" t="e">
        <f t="shared" si="17"/>
        <v>#REF!</v>
      </c>
      <c r="AI11" s="170" t="e">
        <f t="shared" si="18"/>
        <v>#REF!</v>
      </c>
      <c r="AJ11" s="170" t="e">
        <f t="shared" si="19"/>
        <v>#REF!</v>
      </c>
      <c r="AK11" s="170" t="e">
        <f t="shared" si="20"/>
        <v>#REF!</v>
      </c>
      <c r="AL11" s="170" t="e">
        <f t="shared" si="27"/>
        <v>#REF!</v>
      </c>
      <c r="AM11" s="170"/>
      <c r="AN11" s="170" t="e">
        <f t="shared" si="21"/>
        <v>#REF!</v>
      </c>
      <c r="AO11" s="170" t="e">
        <f t="shared" si="22"/>
        <v>#REF!</v>
      </c>
      <c r="AP11" s="170" t="e">
        <f t="shared" si="23"/>
        <v>#REF!</v>
      </c>
      <c r="AQ11" s="170" t="e">
        <f t="shared" si="24"/>
        <v>#REF!</v>
      </c>
      <c r="AR11" s="170" t="e">
        <f t="shared" si="25"/>
        <v>#REF!</v>
      </c>
      <c r="AS11" s="2656">
        <f t="shared" ref="AS11:AS22" si="36">BO11*E11*G11</f>
        <v>0</v>
      </c>
      <c r="AT11" s="635"/>
      <c r="AU11" s="160"/>
      <c r="AV11" s="160"/>
      <c r="BD11" s="80"/>
      <c r="BJ11" s="681"/>
      <c r="BK11" s="681"/>
      <c r="BL11" s="681"/>
      <c r="BM11" s="681"/>
      <c r="BO11" s="635"/>
      <c r="BP11" s="635"/>
      <c r="BQ11" s="635"/>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6">
      <c r="A12" s="2523" t="s">
        <v>1395</v>
      </c>
      <c r="B12" s="2565" t="s">
        <v>1527</v>
      </c>
      <c r="C12" s="2522" t="s">
        <v>3063</v>
      </c>
      <c r="D12" s="3282">
        <f>SUMIFS(BCRR_REHAB!L:L,BCRR_REHAB!D:D,'Huella materiales (2)'!A12)</f>
        <v>0</v>
      </c>
      <c r="E12" s="1030">
        <f>'Datos_aux_materiales (2)'!M12</f>
        <v>8.2983754482749976</v>
      </c>
      <c r="F12" s="2836">
        <f t="shared" si="1"/>
        <v>0</v>
      </c>
      <c r="G12" s="2823">
        <f>'Datos_aux_materiales (2)'!R12</f>
        <v>23.3</v>
      </c>
      <c r="H12" s="2825">
        <f t="shared" si="2"/>
        <v>0</v>
      </c>
      <c r="I12" s="2829">
        <f t="shared" si="3"/>
        <v>0</v>
      </c>
      <c r="J12" s="2851">
        <f t="shared" si="4"/>
        <v>0</v>
      </c>
      <c r="K12" s="2834">
        <f t="shared" si="5"/>
        <v>0</v>
      </c>
      <c r="L12" s="146" t="e">
        <f>SUMIF(#REF!,'Huella materiales (2)'!A12,#REF!)</f>
        <v>#REF!</v>
      </c>
      <c r="M12" s="1013" t="e">
        <f t="shared" si="6"/>
        <v>#REF!</v>
      </c>
      <c r="N12" s="146" t="e">
        <f>SUMIF(#REF!,'Huella materiales (2)'!A12,#REF!)</f>
        <v>#REF!</v>
      </c>
      <c r="O12" s="1013" t="e">
        <f t="shared" si="7"/>
        <v>#REF!</v>
      </c>
      <c r="P12" s="146" t="e">
        <f>SUMIF(#REF!,'Huella materiales (2)'!A12,#REF!)</f>
        <v>#REF!</v>
      </c>
      <c r="Q12" s="1013" t="e">
        <f t="shared" si="8"/>
        <v>#REF!</v>
      </c>
      <c r="R12" s="146" t="e">
        <f>SUMIF(#REF!,'Huella materiales (2)'!A12,#REF!)</f>
        <v>#REF!</v>
      </c>
      <c r="S12" s="1013" t="e">
        <f t="shared" si="9"/>
        <v>#REF!</v>
      </c>
      <c r="T12" s="146" t="e">
        <f>SUMIF(#REF!,'Huella materiales (2)'!A12,#REF!)</f>
        <v>#REF!</v>
      </c>
      <c r="U12" s="1013" t="e">
        <f t="shared" si="10"/>
        <v>#REF!</v>
      </c>
      <c r="V12" s="146" t="e">
        <f>SUMIF(#REF!,'Huella materiales (2)'!A12,#REF!)</f>
        <v>#REF!</v>
      </c>
      <c r="W12" s="1013" t="e">
        <f t="shared" si="11"/>
        <v>#REF!</v>
      </c>
      <c r="X12" s="146" t="e">
        <f>SUMIF(#REF!,'Huella materiales (2)'!A12,#REF!)</f>
        <v>#REF!</v>
      </c>
      <c r="Y12" s="1013" t="e">
        <f t="shared" si="12"/>
        <v>#REF!</v>
      </c>
      <c r="Z12" s="146" t="e">
        <f>SUMIF(#REF!,'Huella materiales (2)'!A12,#REF!)</f>
        <v>#REF!</v>
      </c>
      <c r="AA12" s="1013" t="e">
        <f t="shared" si="13"/>
        <v>#REF!</v>
      </c>
      <c r="AB12" s="146" t="e">
        <f>SUMIF(#REF!,'Huella materiales (2)'!A12,#REF!)</f>
        <v>#REF!</v>
      </c>
      <c r="AC12" s="1013" t="e">
        <f t="shared" si="14"/>
        <v>#REF!</v>
      </c>
      <c r="AD12" s="146" t="e">
        <f>SUMIF(#REF!,'Huella materiales (2)'!A12,#REF!)</f>
        <v>#REF!</v>
      </c>
      <c r="AE12" s="1013" t="e">
        <f t="shared" si="15"/>
        <v>#REF!</v>
      </c>
      <c r="AF12" s="146" t="e">
        <f>SUMIF(#REF!,'Huella materiales (2)'!A12,#REF!)</f>
        <v>#REF!</v>
      </c>
      <c r="AG12" s="1013" t="e">
        <f t="shared" si="16"/>
        <v>#REF!</v>
      </c>
      <c r="AH12" s="170" t="e">
        <f t="shared" si="17"/>
        <v>#REF!</v>
      </c>
      <c r="AI12" s="170" t="e">
        <f t="shared" si="18"/>
        <v>#REF!</v>
      </c>
      <c r="AJ12" s="170" t="e">
        <f t="shared" si="19"/>
        <v>#REF!</v>
      </c>
      <c r="AK12" s="170" t="e">
        <f t="shared" si="20"/>
        <v>#REF!</v>
      </c>
      <c r="AL12" s="170" t="e">
        <f t="shared" si="27"/>
        <v>#REF!</v>
      </c>
      <c r="AM12" s="170"/>
      <c r="AN12" s="170" t="e">
        <f t="shared" si="21"/>
        <v>#REF!</v>
      </c>
      <c r="AO12" s="170" t="e">
        <f t="shared" si="22"/>
        <v>#REF!</v>
      </c>
      <c r="AP12" s="170" t="e">
        <f t="shared" si="23"/>
        <v>#REF!</v>
      </c>
      <c r="AQ12" s="170" t="e">
        <f t="shared" si="24"/>
        <v>#REF!</v>
      </c>
      <c r="AR12" s="170" t="e">
        <f t="shared" si="25"/>
        <v>#REF!</v>
      </c>
      <c r="AS12" s="2656">
        <f t="shared" si="36"/>
        <v>0</v>
      </c>
      <c r="AT12" s="635"/>
      <c r="AU12" s="160"/>
      <c r="AV12" s="160"/>
      <c r="BD12" s="80"/>
      <c r="BJ12" s="681"/>
      <c r="BK12" s="681"/>
      <c r="BL12" s="681"/>
      <c r="BM12" s="681"/>
      <c r="BO12" s="635"/>
      <c r="BP12" s="635"/>
      <c r="BQ12" s="635"/>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6">
      <c r="A13" s="2523" t="s">
        <v>2701</v>
      </c>
      <c r="B13" s="2565" t="s">
        <v>1357</v>
      </c>
      <c r="C13" s="2522" t="s">
        <v>2702</v>
      </c>
      <c r="D13" s="3282">
        <f>SUMIFS(BCRR_REHAB!L:L,BCRR_REHAB!D:D,'Huella materiales (2)'!A13)</f>
        <v>0</v>
      </c>
      <c r="E13" s="1030">
        <f>'Datos_aux_materiales (2)'!M13</f>
        <v>1</v>
      </c>
      <c r="F13" s="2836">
        <f t="shared" si="1"/>
        <v>0</v>
      </c>
      <c r="G13" s="2823">
        <f>'Datos_aux_materiales (2)'!R13</f>
        <v>23.3</v>
      </c>
      <c r="H13" s="2825">
        <f t="shared" si="2"/>
        <v>0</v>
      </c>
      <c r="I13" s="2829">
        <f t="shared" si="3"/>
        <v>0</v>
      </c>
      <c r="J13" s="2851">
        <f t="shared" si="4"/>
        <v>0</v>
      </c>
      <c r="K13" s="2834">
        <f t="shared" si="5"/>
        <v>0</v>
      </c>
      <c r="L13" s="146" t="e">
        <f>SUMIF(#REF!,'Huella materiales (2)'!A13,#REF!)</f>
        <v>#REF!</v>
      </c>
      <c r="M13" s="1013" t="e">
        <f t="shared" si="6"/>
        <v>#REF!</v>
      </c>
      <c r="N13" s="146" t="e">
        <f>SUMIF(#REF!,'Huella materiales (2)'!A13,#REF!)</f>
        <v>#REF!</v>
      </c>
      <c r="O13" s="1013" t="e">
        <f t="shared" si="7"/>
        <v>#REF!</v>
      </c>
      <c r="P13" s="146" t="e">
        <f>SUMIF(#REF!,'Huella materiales (2)'!A13,#REF!)</f>
        <v>#REF!</v>
      </c>
      <c r="Q13" s="1013" t="e">
        <f t="shared" si="8"/>
        <v>#REF!</v>
      </c>
      <c r="R13" s="146" t="e">
        <f>SUMIF(#REF!,'Huella materiales (2)'!A13,#REF!)</f>
        <v>#REF!</v>
      </c>
      <c r="S13" s="1013" t="e">
        <f t="shared" si="9"/>
        <v>#REF!</v>
      </c>
      <c r="T13" s="146" t="e">
        <f>SUMIF(#REF!,'Huella materiales (2)'!A13,#REF!)</f>
        <v>#REF!</v>
      </c>
      <c r="U13" s="1013" t="e">
        <f t="shared" si="10"/>
        <v>#REF!</v>
      </c>
      <c r="V13" s="146" t="e">
        <f>SUMIF(#REF!,'Huella materiales (2)'!A13,#REF!)</f>
        <v>#REF!</v>
      </c>
      <c r="W13" s="1013" t="e">
        <f t="shared" si="11"/>
        <v>#REF!</v>
      </c>
      <c r="X13" s="146" t="e">
        <f>SUMIF(#REF!,'Huella materiales (2)'!A13,#REF!)</f>
        <v>#REF!</v>
      </c>
      <c r="Y13" s="1013" t="e">
        <f t="shared" si="12"/>
        <v>#REF!</v>
      </c>
      <c r="Z13" s="146" t="e">
        <f>SUMIF(#REF!,'Huella materiales (2)'!A13,#REF!)</f>
        <v>#REF!</v>
      </c>
      <c r="AA13" s="1013" t="e">
        <f t="shared" si="13"/>
        <v>#REF!</v>
      </c>
      <c r="AB13" s="146" t="e">
        <f>SUMIF(#REF!,'Huella materiales (2)'!A13,#REF!)</f>
        <v>#REF!</v>
      </c>
      <c r="AC13" s="1013" t="e">
        <f t="shared" si="14"/>
        <v>#REF!</v>
      </c>
      <c r="AD13" s="146" t="e">
        <f>SUMIF(#REF!,'Huella materiales (2)'!A13,#REF!)</f>
        <v>#REF!</v>
      </c>
      <c r="AE13" s="1013" t="e">
        <f t="shared" si="15"/>
        <v>#REF!</v>
      </c>
      <c r="AF13" s="146" t="e">
        <f>SUMIF(#REF!,'Huella materiales (2)'!A13,#REF!)</f>
        <v>#REF!</v>
      </c>
      <c r="AG13" s="1013" t="e">
        <f t="shared" si="16"/>
        <v>#REF!</v>
      </c>
      <c r="AH13" s="170" t="e">
        <f t="shared" si="17"/>
        <v>#REF!</v>
      </c>
      <c r="AI13" s="170" t="e">
        <f t="shared" si="18"/>
        <v>#REF!</v>
      </c>
      <c r="AJ13" s="170" t="e">
        <f t="shared" si="19"/>
        <v>#REF!</v>
      </c>
      <c r="AK13" s="170" t="e">
        <f t="shared" si="20"/>
        <v>#REF!</v>
      </c>
      <c r="AL13" s="170" t="e">
        <f t="shared" si="27"/>
        <v>#REF!</v>
      </c>
      <c r="AM13" s="170"/>
      <c r="AN13" s="170" t="e">
        <f t="shared" si="21"/>
        <v>#REF!</v>
      </c>
      <c r="AO13" s="170" t="e">
        <f t="shared" si="22"/>
        <v>#REF!</v>
      </c>
      <c r="AP13" s="170" t="e">
        <f t="shared" si="23"/>
        <v>#REF!</v>
      </c>
      <c r="AQ13" s="170" t="e">
        <f t="shared" si="24"/>
        <v>#REF!</v>
      </c>
      <c r="AR13" s="170" t="e">
        <f t="shared" si="25"/>
        <v>#REF!</v>
      </c>
      <c r="AS13" s="2656">
        <f t="shared" si="36"/>
        <v>0</v>
      </c>
      <c r="AT13" s="635"/>
      <c r="AU13" s="160"/>
      <c r="AV13" s="160"/>
      <c r="BD13" s="80"/>
      <c r="BE13" s="16"/>
      <c r="BF13" s="16"/>
      <c r="BG13" s="16"/>
      <c r="BH13" s="16"/>
      <c r="BI13" s="16"/>
      <c r="BJ13" s="632"/>
      <c r="BK13" s="632"/>
      <c r="BL13" s="632"/>
      <c r="BM13" s="681"/>
      <c r="BO13" s="635"/>
      <c r="BP13" s="635"/>
      <c r="BQ13" s="635"/>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6">
      <c r="A14" s="2523" t="s">
        <v>2794</v>
      </c>
      <c r="B14" s="2565" t="s">
        <v>1504</v>
      </c>
      <c r="C14" s="2522" t="s">
        <v>2795</v>
      </c>
      <c r="D14" s="3282">
        <f>SUMIFS(BCRR_REHAB!L:L,BCRR_REHAB!D:D,'Huella materiales (2)'!A14)</f>
        <v>0</v>
      </c>
      <c r="E14" s="1030">
        <f>'Datos_aux_materiales (2)'!M14</f>
        <v>9.6055740000000007</v>
      </c>
      <c r="F14" s="2836">
        <f t="shared" si="1"/>
        <v>0</v>
      </c>
      <c r="G14" s="2823">
        <f>'Datos_aux_materiales (2)'!R14</f>
        <v>23.3</v>
      </c>
      <c r="H14" s="2825">
        <f t="shared" si="2"/>
        <v>0</v>
      </c>
      <c r="I14" s="2829">
        <f t="shared" si="3"/>
        <v>0</v>
      </c>
      <c r="J14" s="2851">
        <f t="shared" si="4"/>
        <v>0</v>
      </c>
      <c r="K14" s="2834">
        <f t="shared" si="5"/>
        <v>0</v>
      </c>
      <c r="L14" s="146" t="e">
        <f>SUMIF(#REF!,'Huella materiales (2)'!A14,#REF!)</f>
        <v>#REF!</v>
      </c>
      <c r="M14" s="1013" t="e">
        <f t="shared" si="6"/>
        <v>#REF!</v>
      </c>
      <c r="N14" s="146" t="e">
        <f>SUMIF(#REF!,'Huella materiales (2)'!A14,#REF!)</f>
        <v>#REF!</v>
      </c>
      <c r="O14" s="1013" t="e">
        <f t="shared" si="7"/>
        <v>#REF!</v>
      </c>
      <c r="P14" s="146" t="e">
        <f>SUMIF(#REF!,'Huella materiales (2)'!A14,#REF!)</f>
        <v>#REF!</v>
      </c>
      <c r="Q14" s="1013" t="e">
        <f t="shared" si="8"/>
        <v>#REF!</v>
      </c>
      <c r="R14" s="146" t="e">
        <f>SUMIF(#REF!,'Huella materiales (2)'!A14,#REF!)</f>
        <v>#REF!</v>
      </c>
      <c r="S14" s="1013" t="e">
        <f t="shared" si="9"/>
        <v>#REF!</v>
      </c>
      <c r="T14" s="146" t="e">
        <f>SUMIF(#REF!,'Huella materiales (2)'!A14,#REF!)</f>
        <v>#REF!</v>
      </c>
      <c r="U14" s="1013" t="e">
        <f t="shared" si="10"/>
        <v>#REF!</v>
      </c>
      <c r="V14" s="146" t="e">
        <f>SUMIF(#REF!,'Huella materiales (2)'!A14,#REF!)</f>
        <v>#REF!</v>
      </c>
      <c r="W14" s="1013" t="e">
        <f t="shared" si="11"/>
        <v>#REF!</v>
      </c>
      <c r="X14" s="146" t="e">
        <f>SUMIF(#REF!,'Huella materiales (2)'!A14,#REF!)</f>
        <v>#REF!</v>
      </c>
      <c r="Y14" s="1013" t="e">
        <f t="shared" si="12"/>
        <v>#REF!</v>
      </c>
      <c r="Z14" s="146" t="e">
        <f>SUMIF(#REF!,'Huella materiales (2)'!A14,#REF!)</f>
        <v>#REF!</v>
      </c>
      <c r="AA14" s="1013" t="e">
        <f t="shared" si="13"/>
        <v>#REF!</v>
      </c>
      <c r="AB14" s="146" t="e">
        <f>SUMIF(#REF!,'Huella materiales (2)'!A14,#REF!)</f>
        <v>#REF!</v>
      </c>
      <c r="AC14" s="1013" t="e">
        <f t="shared" si="14"/>
        <v>#REF!</v>
      </c>
      <c r="AD14" s="146" t="e">
        <f>SUMIF(#REF!,'Huella materiales (2)'!A14,#REF!)</f>
        <v>#REF!</v>
      </c>
      <c r="AE14" s="1013" t="e">
        <f t="shared" si="15"/>
        <v>#REF!</v>
      </c>
      <c r="AF14" s="146" t="e">
        <f>SUMIF(#REF!,'Huella materiales (2)'!A14,#REF!)</f>
        <v>#REF!</v>
      </c>
      <c r="AG14" s="1013" t="e">
        <f t="shared" si="16"/>
        <v>#REF!</v>
      </c>
      <c r="AH14" s="170" t="e">
        <f t="shared" si="17"/>
        <v>#REF!</v>
      </c>
      <c r="AI14" s="170" t="e">
        <f t="shared" si="18"/>
        <v>#REF!</v>
      </c>
      <c r="AJ14" s="170" t="e">
        <f t="shared" si="19"/>
        <v>#REF!</v>
      </c>
      <c r="AK14" s="170" t="e">
        <f t="shared" si="20"/>
        <v>#REF!</v>
      </c>
      <c r="AL14" s="170" t="e">
        <f t="shared" si="27"/>
        <v>#REF!</v>
      </c>
      <c r="AM14" s="170" t="e">
        <f>V14*$E$14*$G$14</f>
        <v>#REF!</v>
      </c>
      <c r="AN14" s="170" t="e">
        <f t="shared" si="21"/>
        <v>#REF!</v>
      </c>
      <c r="AO14" s="170" t="e">
        <f t="shared" si="22"/>
        <v>#REF!</v>
      </c>
      <c r="AP14" s="170" t="e">
        <f t="shared" si="23"/>
        <v>#REF!</v>
      </c>
      <c r="AQ14" s="170" t="e">
        <f t="shared" si="24"/>
        <v>#REF!</v>
      </c>
      <c r="AR14" s="170" t="e">
        <f t="shared" si="25"/>
        <v>#REF!</v>
      </c>
      <c r="AS14" s="2656">
        <f t="shared" si="36"/>
        <v>0</v>
      </c>
      <c r="AT14" s="635"/>
      <c r="AU14" s="2828"/>
      <c r="AV14" s="635"/>
      <c r="AW14" s="635"/>
      <c r="AX14" s="635"/>
      <c r="AY14" s="635"/>
      <c r="AZ14" s="635"/>
      <c r="BA14" s="635"/>
      <c r="BB14" s="635"/>
      <c r="BC14" s="635"/>
      <c r="BD14" s="635"/>
      <c r="BE14" s="635"/>
      <c r="BF14" s="635"/>
      <c r="BG14" s="635"/>
      <c r="BH14" s="635"/>
      <c r="BI14" s="16"/>
      <c r="BJ14" s="635"/>
      <c r="BK14" s="635"/>
      <c r="BL14" s="635"/>
      <c r="BM14" s="632"/>
      <c r="BO14" s="635"/>
      <c r="BP14" s="635"/>
      <c r="BQ14" s="635"/>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6">
      <c r="A15" s="2539" t="s">
        <v>2761</v>
      </c>
      <c r="B15" s="2883" t="s">
        <v>1504</v>
      </c>
      <c r="C15" s="2522" t="s">
        <v>2762</v>
      </c>
      <c r="D15" s="3282">
        <f>SUMIFS(BCRR_REHAB!L:L,BCRR_REHAB!D:D,'Huella materiales (2)'!A15)</f>
        <v>0</v>
      </c>
      <c r="E15" s="1030">
        <f>'Datos_aux_materiales (2)'!M15</f>
        <v>0</v>
      </c>
      <c r="F15" s="2836">
        <f t="shared" si="1"/>
        <v>0</v>
      </c>
      <c r="G15" s="2823">
        <f>'Datos_aux_materiales (2)'!R15</f>
        <v>0</v>
      </c>
      <c r="H15" s="2825">
        <f t="shared" si="2"/>
        <v>0</v>
      </c>
      <c r="I15" s="2829">
        <f t="shared" si="3"/>
        <v>0</v>
      </c>
      <c r="J15" s="2851">
        <f t="shared" si="4"/>
        <v>0</v>
      </c>
      <c r="K15" s="2834">
        <f t="shared" si="5"/>
        <v>0</v>
      </c>
      <c r="L15" s="146" t="e">
        <f>SUMIF(#REF!,'Huella materiales (2)'!A15,#REF!)</f>
        <v>#REF!</v>
      </c>
      <c r="M15" s="1013" t="e">
        <f t="shared" si="6"/>
        <v>#REF!</v>
      </c>
      <c r="N15" s="146" t="e">
        <f>SUMIF(#REF!,'Huella materiales (2)'!A15,#REF!)</f>
        <v>#REF!</v>
      </c>
      <c r="O15" s="1013" t="e">
        <f t="shared" si="7"/>
        <v>#REF!</v>
      </c>
      <c r="P15" s="146" t="e">
        <f>SUMIF(#REF!,'Huella materiales (2)'!A15,#REF!)</f>
        <v>#REF!</v>
      </c>
      <c r="Q15" s="1013" t="e">
        <f t="shared" si="8"/>
        <v>#REF!</v>
      </c>
      <c r="R15" s="146" t="e">
        <f>SUMIF(#REF!,'Huella materiales (2)'!A15,#REF!)</f>
        <v>#REF!</v>
      </c>
      <c r="S15" s="1013" t="e">
        <f t="shared" si="9"/>
        <v>#REF!</v>
      </c>
      <c r="T15" s="146" t="e">
        <f>SUMIF(#REF!,'Huella materiales (2)'!A15,#REF!)</f>
        <v>#REF!</v>
      </c>
      <c r="U15" s="1013" t="e">
        <f t="shared" si="10"/>
        <v>#REF!</v>
      </c>
      <c r="V15" s="146" t="e">
        <f>SUMIF(#REF!,'Huella materiales (2)'!A15,#REF!)</f>
        <v>#REF!</v>
      </c>
      <c r="W15" s="1013" t="e">
        <f t="shared" si="11"/>
        <v>#REF!</v>
      </c>
      <c r="X15" s="146" t="e">
        <f>SUMIF(#REF!,'Huella materiales (2)'!A15,#REF!)</f>
        <v>#REF!</v>
      </c>
      <c r="Y15" s="1013" t="e">
        <f t="shared" si="12"/>
        <v>#REF!</v>
      </c>
      <c r="Z15" s="146" t="e">
        <f>SUMIF(#REF!,'Huella materiales (2)'!A15,#REF!)</f>
        <v>#REF!</v>
      </c>
      <c r="AA15" s="1013" t="e">
        <f t="shared" si="13"/>
        <v>#REF!</v>
      </c>
      <c r="AB15" s="146" t="e">
        <f>SUMIF(#REF!,'Huella materiales (2)'!A15,#REF!)</f>
        <v>#REF!</v>
      </c>
      <c r="AC15" s="1013" t="e">
        <f t="shared" si="14"/>
        <v>#REF!</v>
      </c>
      <c r="AD15" s="146" t="e">
        <f>SUMIF(#REF!,'Huella materiales (2)'!A15,#REF!)</f>
        <v>#REF!</v>
      </c>
      <c r="AE15" s="1013" t="e">
        <f t="shared" si="15"/>
        <v>#REF!</v>
      </c>
      <c r="AF15" s="146" t="e">
        <f>SUMIF(#REF!,'Huella materiales (2)'!A15,#REF!)</f>
        <v>#REF!</v>
      </c>
      <c r="AG15" s="1013" t="e">
        <f t="shared" si="16"/>
        <v>#REF!</v>
      </c>
      <c r="AH15" s="170" t="e">
        <f t="shared" si="17"/>
        <v>#REF!</v>
      </c>
      <c r="AI15" s="170" t="e">
        <f t="shared" si="18"/>
        <v>#REF!</v>
      </c>
      <c r="AJ15" s="170" t="e">
        <f t="shared" si="19"/>
        <v>#REF!</v>
      </c>
      <c r="AK15" s="170" t="e">
        <f t="shared" si="20"/>
        <v>#REF!</v>
      </c>
      <c r="AL15" s="170" t="e">
        <f t="shared" si="27"/>
        <v>#REF!</v>
      </c>
      <c r="AM15" s="170" t="e">
        <f>V15*$E$15*$G$15</f>
        <v>#REF!</v>
      </c>
      <c r="AN15" s="170" t="e">
        <f t="shared" si="21"/>
        <v>#REF!</v>
      </c>
      <c r="AO15" s="170" t="e">
        <f t="shared" si="22"/>
        <v>#REF!</v>
      </c>
      <c r="AP15" s="170" t="e">
        <f t="shared" si="23"/>
        <v>#REF!</v>
      </c>
      <c r="AQ15" s="170" t="e">
        <f t="shared" si="24"/>
        <v>#REF!</v>
      </c>
      <c r="AR15" s="170" t="e">
        <f t="shared" si="25"/>
        <v>#REF!</v>
      </c>
      <c r="AS15" s="2656">
        <f t="shared" si="36"/>
        <v>0</v>
      </c>
      <c r="AT15" s="635"/>
      <c r="AU15" s="38" t="s">
        <v>767</v>
      </c>
      <c r="AV15" s="2943"/>
      <c r="BD15" s="81"/>
      <c r="BE15" s="16"/>
      <c r="BF15" s="16"/>
      <c r="BG15" s="16"/>
      <c r="BH15" s="16"/>
      <c r="BI15" s="635"/>
      <c r="BJ15" s="635"/>
      <c r="BK15" s="635"/>
      <c r="BL15" s="635"/>
      <c r="BM15" s="635"/>
      <c r="BN15" s="635"/>
      <c r="BO15" s="635"/>
      <c r="BP15" s="635"/>
      <c r="BQ15" s="635"/>
      <c r="BR15" s="635"/>
      <c r="BS15" s="635"/>
      <c r="BT15" s="635"/>
      <c r="BU15" s="635"/>
      <c r="BV15" s="635"/>
      <c r="BW15" s="2764"/>
      <c r="BX15" s="635"/>
      <c r="BY15" s="635"/>
      <c r="BZ15" s="635"/>
      <c r="CA15" s="635"/>
      <c r="CB15" s="635"/>
      <c r="CC15" s="635"/>
      <c r="CD15" s="635"/>
      <c r="CE15" s="635"/>
      <c r="CF15" s="635"/>
      <c r="CG15" s="635"/>
      <c r="CH15" s="635"/>
      <c r="CI15" s="635"/>
      <c r="CJ15" s="635"/>
      <c r="CK15" s="635"/>
      <c r="CL15" s="635"/>
      <c r="CM15" s="2763"/>
      <c r="CN15" s="16"/>
      <c r="CO15" s="16"/>
      <c r="CP15" s="16"/>
      <c r="CQ15" s="16"/>
      <c r="CR15" s="16"/>
      <c r="CS15" s="16"/>
      <c r="CT15" s="16"/>
      <c r="CU15" s="16"/>
      <c r="CV15" s="16"/>
      <c r="CW15" s="16"/>
      <c r="CX15" s="16"/>
      <c r="CY15" s="16"/>
      <c r="CZ15" s="16"/>
      <c r="DA15" s="16"/>
    </row>
    <row r="16" spans="1:106">
      <c r="A16" s="2539" t="s">
        <v>2731</v>
      </c>
      <c r="B16" s="2883" t="s">
        <v>1504</v>
      </c>
      <c r="C16" s="2522" t="s">
        <v>2732</v>
      </c>
      <c r="D16" s="3282">
        <f>SUMIFS(BCRR_REHAB!L:L,BCRR_REHAB!D:D,'Huella materiales (2)'!A16)</f>
        <v>111.00968999999999</v>
      </c>
      <c r="E16" s="1030">
        <f>'Datos_aux_materiales (2)'!M16</f>
        <v>0</v>
      </c>
      <c r="F16" s="2836">
        <f t="shared" si="1"/>
        <v>0</v>
      </c>
      <c r="G16" s="2823">
        <f>'Datos_aux_materiales (2)'!R16</f>
        <v>0</v>
      </c>
      <c r="H16" s="2825">
        <f t="shared" si="2"/>
        <v>0</v>
      </c>
      <c r="I16" s="2829">
        <f t="shared" si="3"/>
        <v>0</v>
      </c>
      <c r="J16" s="2851">
        <f t="shared" si="4"/>
        <v>0</v>
      </c>
      <c r="K16" s="2834">
        <f t="shared" si="5"/>
        <v>0</v>
      </c>
      <c r="L16" s="146" t="e">
        <f>SUMIF(#REF!,'Huella materiales (2)'!A16,#REF!)</f>
        <v>#REF!</v>
      </c>
      <c r="M16" s="1013" t="e">
        <f t="shared" si="6"/>
        <v>#REF!</v>
      </c>
      <c r="N16" s="146" t="e">
        <f>SUMIF(#REF!,'Huella materiales (2)'!A16,#REF!)</f>
        <v>#REF!</v>
      </c>
      <c r="O16" s="1013" t="e">
        <f t="shared" si="7"/>
        <v>#REF!</v>
      </c>
      <c r="P16" s="146" t="e">
        <f>SUMIF(#REF!,'Huella materiales (2)'!A16,#REF!)</f>
        <v>#REF!</v>
      </c>
      <c r="Q16" s="1013" t="e">
        <f t="shared" si="8"/>
        <v>#REF!</v>
      </c>
      <c r="R16" s="146" t="e">
        <f>SUMIF(#REF!,'Huella materiales (2)'!A16,#REF!)</f>
        <v>#REF!</v>
      </c>
      <c r="S16" s="1013" t="e">
        <f t="shared" si="9"/>
        <v>#REF!</v>
      </c>
      <c r="T16" s="146" t="e">
        <f>SUMIF(#REF!,'Huella materiales (2)'!A16,#REF!)</f>
        <v>#REF!</v>
      </c>
      <c r="U16" s="1013" t="e">
        <f t="shared" si="10"/>
        <v>#REF!</v>
      </c>
      <c r="V16" s="146" t="e">
        <f>SUMIF(#REF!,'Huella materiales (2)'!A16,#REF!)</f>
        <v>#REF!</v>
      </c>
      <c r="W16" s="1013" t="e">
        <f t="shared" si="11"/>
        <v>#REF!</v>
      </c>
      <c r="X16" s="146" t="e">
        <f>SUMIF(#REF!,'Huella materiales (2)'!A16,#REF!)</f>
        <v>#REF!</v>
      </c>
      <c r="Y16" s="1013" t="e">
        <f t="shared" si="12"/>
        <v>#REF!</v>
      </c>
      <c r="Z16" s="146" t="e">
        <f>SUMIF(#REF!,'Huella materiales (2)'!A16,#REF!)</f>
        <v>#REF!</v>
      </c>
      <c r="AA16" s="1013" t="e">
        <f t="shared" si="13"/>
        <v>#REF!</v>
      </c>
      <c r="AB16" s="146" t="e">
        <f>SUMIF(#REF!,'Huella materiales (2)'!A16,#REF!)</f>
        <v>#REF!</v>
      </c>
      <c r="AC16" s="1013" t="e">
        <f t="shared" si="14"/>
        <v>#REF!</v>
      </c>
      <c r="AD16" s="146" t="e">
        <f>SUMIF(#REF!,'Huella materiales (2)'!A16,#REF!)</f>
        <v>#REF!</v>
      </c>
      <c r="AE16" s="1013" t="e">
        <f t="shared" si="15"/>
        <v>#REF!</v>
      </c>
      <c r="AF16" s="146" t="e">
        <f>SUMIF(#REF!,'Huella materiales (2)'!A16,#REF!)</f>
        <v>#REF!</v>
      </c>
      <c r="AG16" s="1013" t="e">
        <f t="shared" si="16"/>
        <v>#REF!</v>
      </c>
      <c r="AH16" s="170" t="e">
        <f t="shared" si="17"/>
        <v>#REF!</v>
      </c>
      <c r="AI16" s="170" t="e">
        <f t="shared" si="18"/>
        <v>#REF!</v>
      </c>
      <c r="AJ16" s="170" t="e">
        <f t="shared" si="19"/>
        <v>#REF!</v>
      </c>
      <c r="AK16" s="170" t="e">
        <f t="shared" si="20"/>
        <v>#REF!</v>
      </c>
      <c r="AL16" s="170" t="e">
        <f t="shared" si="27"/>
        <v>#REF!</v>
      </c>
      <c r="AM16" s="170" t="e">
        <f>V16*$E$15*$G$15</f>
        <v>#REF!</v>
      </c>
      <c r="AN16" s="170" t="e">
        <f t="shared" si="21"/>
        <v>#REF!</v>
      </c>
      <c r="AO16" s="170" t="e">
        <f t="shared" si="22"/>
        <v>#REF!</v>
      </c>
      <c r="AP16" s="170" t="e">
        <f t="shared" si="23"/>
        <v>#REF!</v>
      </c>
      <c r="AQ16" s="170" t="e">
        <f t="shared" si="24"/>
        <v>#REF!</v>
      </c>
      <c r="AR16" s="170" t="e">
        <f t="shared" si="25"/>
        <v>#REF!</v>
      </c>
      <c r="AS16" s="2656">
        <f t="shared" si="36"/>
        <v>0</v>
      </c>
      <c r="AT16" s="635"/>
      <c r="AU16" s="38"/>
      <c r="AV16" s="38"/>
      <c r="BD16" s="81"/>
      <c r="BE16" s="16"/>
      <c r="BF16" s="16"/>
      <c r="BG16" s="16"/>
      <c r="BH16" s="16"/>
      <c r="BI16" s="16"/>
      <c r="BJ16" s="652"/>
      <c r="BK16" s="652"/>
      <c r="BL16" s="652"/>
      <c r="BM16" s="635"/>
      <c r="BO16" s="635"/>
      <c r="BP16" s="635"/>
      <c r="BQ16" s="635"/>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row>
    <row r="17" spans="1:105">
      <c r="A17" s="2535" t="s">
        <v>2655</v>
      </c>
      <c r="B17" s="2883" t="s">
        <v>1504</v>
      </c>
      <c r="C17" s="2522" t="s">
        <v>2656</v>
      </c>
      <c r="D17" s="3282">
        <f>SUMIFS(BCRR_REHAB!L:L,BCRR_REHAB!D:D,'Huella materiales (2)'!A17)</f>
        <v>0</v>
      </c>
      <c r="E17" s="1030">
        <f>'Datos_aux_materiales (2)'!M17</f>
        <v>0.20011612500000003</v>
      </c>
      <c r="F17" s="2836">
        <f t="shared" si="1"/>
        <v>0</v>
      </c>
      <c r="G17" s="2823">
        <f>'Datos_aux_materiales (2)'!R17</f>
        <v>68.3</v>
      </c>
      <c r="H17" s="2825">
        <f t="shared" si="2"/>
        <v>0</v>
      </c>
      <c r="I17" s="2829">
        <f t="shared" si="3"/>
        <v>0</v>
      </c>
      <c r="J17" s="2851">
        <f t="shared" si="4"/>
        <v>0</v>
      </c>
      <c r="K17" s="2834">
        <f t="shared" si="5"/>
        <v>0</v>
      </c>
      <c r="L17" s="146" t="e">
        <f>SUMIF(#REF!,'Huella materiales (2)'!A17,#REF!)</f>
        <v>#REF!</v>
      </c>
      <c r="M17" s="1013" t="e">
        <f t="shared" si="6"/>
        <v>#REF!</v>
      </c>
      <c r="N17" s="146" t="e">
        <f>SUMIF(#REF!,'Huella materiales (2)'!A17,#REF!)</f>
        <v>#REF!</v>
      </c>
      <c r="O17" s="1013" t="e">
        <f t="shared" si="7"/>
        <v>#REF!</v>
      </c>
      <c r="P17" s="146" t="e">
        <f>SUMIF(#REF!,'Huella materiales (2)'!A17,#REF!)</f>
        <v>#REF!</v>
      </c>
      <c r="Q17" s="1013" t="e">
        <f t="shared" si="8"/>
        <v>#REF!</v>
      </c>
      <c r="R17" s="146" t="e">
        <f>SUMIF(#REF!,'Huella materiales (2)'!A17,#REF!)</f>
        <v>#REF!</v>
      </c>
      <c r="S17" s="1013" t="e">
        <f t="shared" si="9"/>
        <v>#REF!</v>
      </c>
      <c r="T17" s="146" t="e">
        <f>SUMIF(#REF!,'Huella materiales (2)'!A17,#REF!)</f>
        <v>#REF!</v>
      </c>
      <c r="U17" s="1013" t="e">
        <f t="shared" si="10"/>
        <v>#REF!</v>
      </c>
      <c r="V17" s="146" t="e">
        <f>SUMIF(#REF!,'Huella materiales (2)'!A17,#REF!)</f>
        <v>#REF!</v>
      </c>
      <c r="W17" s="1013" t="e">
        <f t="shared" si="11"/>
        <v>#REF!</v>
      </c>
      <c r="X17" s="146" t="e">
        <f>SUMIF(#REF!,'Huella materiales (2)'!A17,#REF!)</f>
        <v>#REF!</v>
      </c>
      <c r="Y17" s="1013" t="e">
        <f t="shared" si="12"/>
        <v>#REF!</v>
      </c>
      <c r="Z17" s="146" t="e">
        <f>SUMIF(#REF!,'Huella materiales (2)'!A17,#REF!)</f>
        <v>#REF!</v>
      </c>
      <c r="AA17" s="1013" t="e">
        <f t="shared" si="13"/>
        <v>#REF!</v>
      </c>
      <c r="AB17" s="146" t="e">
        <f>SUMIF(#REF!,'Huella materiales (2)'!A17,#REF!)</f>
        <v>#REF!</v>
      </c>
      <c r="AC17" s="1013" t="e">
        <f t="shared" si="14"/>
        <v>#REF!</v>
      </c>
      <c r="AD17" s="146" t="e">
        <f>SUMIF(#REF!,'Huella materiales (2)'!A17,#REF!)</f>
        <v>#REF!</v>
      </c>
      <c r="AE17" s="1013" t="e">
        <f t="shared" si="15"/>
        <v>#REF!</v>
      </c>
      <c r="AF17" s="146" t="e">
        <f>SUMIF(#REF!,'Huella materiales (2)'!A17,#REF!)</f>
        <v>#REF!</v>
      </c>
      <c r="AG17" s="1013" t="e">
        <f t="shared" si="16"/>
        <v>#REF!</v>
      </c>
      <c r="AH17" s="170" t="e">
        <f t="shared" si="17"/>
        <v>#REF!</v>
      </c>
      <c r="AI17" s="170" t="e">
        <f t="shared" si="18"/>
        <v>#REF!</v>
      </c>
      <c r="AJ17" s="170" t="e">
        <f t="shared" si="19"/>
        <v>#REF!</v>
      </c>
      <c r="AK17" s="170" t="e">
        <f t="shared" si="20"/>
        <v>#REF!</v>
      </c>
      <c r="AL17" s="170" t="e">
        <f t="shared" si="27"/>
        <v>#REF!</v>
      </c>
      <c r="AM17" s="170" t="e">
        <f>V17*$E$17*$G$17</f>
        <v>#REF!</v>
      </c>
      <c r="AN17" s="170" t="e">
        <f t="shared" si="21"/>
        <v>#REF!</v>
      </c>
      <c r="AO17" s="170" t="e">
        <f t="shared" si="22"/>
        <v>#REF!</v>
      </c>
      <c r="AP17" s="170" t="e">
        <f t="shared" si="23"/>
        <v>#REF!</v>
      </c>
      <c r="AQ17" s="170" t="e">
        <f t="shared" si="24"/>
        <v>#REF!</v>
      </c>
      <c r="AR17" s="170" t="e">
        <f t="shared" si="25"/>
        <v>#REF!</v>
      </c>
      <c r="AS17" s="2656">
        <f t="shared" si="36"/>
        <v>0</v>
      </c>
      <c r="AT17" s="635"/>
      <c r="AU17" s="160"/>
      <c r="AV17" s="160"/>
      <c r="BD17" s="16"/>
      <c r="BE17" s="16"/>
      <c r="BF17" s="16"/>
      <c r="BG17" s="16"/>
      <c r="BH17" s="16"/>
      <c r="BI17" s="16"/>
      <c r="BJ17" s="16"/>
      <c r="BK17" s="16"/>
      <c r="BM17" s="652"/>
      <c r="BO17" s="635"/>
      <c r="BP17" s="635"/>
      <c r="BQ17" s="635"/>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row>
    <row r="18" spans="1:105">
      <c r="A18" s="2535" t="s">
        <v>2662</v>
      </c>
      <c r="B18" s="2883" t="s">
        <v>1504</v>
      </c>
      <c r="C18" s="2522" t="s">
        <v>2663</v>
      </c>
      <c r="D18" s="3282">
        <f>SUMIFS(BCRR_REHAB!L:L,BCRR_REHAB!D:D,'Huella materiales (2)'!A18)</f>
        <v>0</v>
      </c>
      <c r="E18" s="1030">
        <f>'Datos_aux_materiales (2)'!M18</f>
        <v>0.24013935000000008</v>
      </c>
      <c r="F18" s="2836">
        <f t="shared" si="1"/>
        <v>0</v>
      </c>
      <c r="G18" s="2823">
        <f>'Datos_aux_materiales (2)'!R18</f>
        <v>68.3</v>
      </c>
      <c r="H18" s="2825">
        <f t="shared" si="2"/>
        <v>0</v>
      </c>
      <c r="I18" s="2829">
        <f t="shared" si="3"/>
        <v>0</v>
      </c>
      <c r="J18" s="2851">
        <f t="shared" si="4"/>
        <v>0</v>
      </c>
      <c r="K18" s="2834">
        <f t="shared" si="5"/>
        <v>0</v>
      </c>
      <c r="L18" s="146" t="e">
        <f>SUMIF(#REF!,'Huella materiales (2)'!A18,#REF!)</f>
        <v>#REF!</v>
      </c>
      <c r="M18" s="1013" t="e">
        <f t="shared" si="6"/>
        <v>#REF!</v>
      </c>
      <c r="N18" s="146" t="e">
        <f>SUMIF(#REF!,'Huella materiales (2)'!A18,#REF!)</f>
        <v>#REF!</v>
      </c>
      <c r="O18" s="1013" t="e">
        <f t="shared" si="7"/>
        <v>#REF!</v>
      </c>
      <c r="P18" s="146" t="e">
        <f>SUMIF(#REF!,'Huella materiales (2)'!A18,#REF!)</f>
        <v>#REF!</v>
      </c>
      <c r="Q18" s="1013" t="e">
        <f t="shared" si="8"/>
        <v>#REF!</v>
      </c>
      <c r="R18" s="146" t="e">
        <f>SUMIF(#REF!,'Huella materiales (2)'!A18,#REF!)</f>
        <v>#REF!</v>
      </c>
      <c r="S18" s="1013" t="e">
        <f t="shared" si="9"/>
        <v>#REF!</v>
      </c>
      <c r="T18" s="146" t="e">
        <f>SUMIF(#REF!,'Huella materiales (2)'!A18,#REF!)</f>
        <v>#REF!</v>
      </c>
      <c r="U18" s="1013" t="e">
        <f t="shared" si="10"/>
        <v>#REF!</v>
      </c>
      <c r="V18" s="146" t="e">
        <f>SUMIF(#REF!,'Huella materiales (2)'!A18,#REF!)</f>
        <v>#REF!</v>
      </c>
      <c r="W18" s="1013" t="e">
        <f t="shared" si="11"/>
        <v>#REF!</v>
      </c>
      <c r="X18" s="146" t="e">
        <f>SUMIF(#REF!,'Huella materiales (2)'!A18,#REF!)</f>
        <v>#REF!</v>
      </c>
      <c r="Y18" s="1013" t="e">
        <f t="shared" si="12"/>
        <v>#REF!</v>
      </c>
      <c r="Z18" s="146" t="e">
        <f>SUMIF(#REF!,'Huella materiales (2)'!A18,#REF!)</f>
        <v>#REF!</v>
      </c>
      <c r="AA18" s="1013" t="e">
        <f t="shared" si="13"/>
        <v>#REF!</v>
      </c>
      <c r="AB18" s="146" t="e">
        <f>SUMIF(#REF!,'Huella materiales (2)'!A18,#REF!)</f>
        <v>#REF!</v>
      </c>
      <c r="AC18" s="1013" t="e">
        <f t="shared" si="14"/>
        <v>#REF!</v>
      </c>
      <c r="AD18" s="146" t="e">
        <f>SUMIF(#REF!,'Huella materiales (2)'!A18,#REF!)</f>
        <v>#REF!</v>
      </c>
      <c r="AE18" s="1013" t="e">
        <f t="shared" si="15"/>
        <v>#REF!</v>
      </c>
      <c r="AF18" s="146" t="e">
        <f>SUMIF(#REF!,'Huella materiales (2)'!A18,#REF!)</f>
        <v>#REF!</v>
      </c>
      <c r="AG18" s="1013" t="e">
        <f t="shared" si="16"/>
        <v>#REF!</v>
      </c>
      <c r="AH18" s="170" t="e">
        <f t="shared" si="17"/>
        <v>#REF!</v>
      </c>
      <c r="AI18" s="170" t="e">
        <f t="shared" si="18"/>
        <v>#REF!</v>
      </c>
      <c r="AJ18" s="170" t="e">
        <f t="shared" si="19"/>
        <v>#REF!</v>
      </c>
      <c r="AK18" s="170" t="e">
        <f t="shared" si="20"/>
        <v>#REF!</v>
      </c>
      <c r="AL18" s="170" t="e">
        <f t="shared" si="27"/>
        <v>#REF!</v>
      </c>
      <c r="AM18" s="170" t="e">
        <f>V18*$E$18*$G$18</f>
        <v>#REF!</v>
      </c>
      <c r="AN18" s="170" t="e">
        <f t="shared" si="21"/>
        <v>#REF!</v>
      </c>
      <c r="AO18" s="170" t="e">
        <f t="shared" si="22"/>
        <v>#REF!</v>
      </c>
      <c r="AP18" s="170" t="e">
        <f t="shared" si="23"/>
        <v>#REF!</v>
      </c>
      <c r="AQ18" s="170" t="e">
        <f t="shared" si="24"/>
        <v>#REF!</v>
      </c>
      <c r="AR18" s="170" t="e">
        <f t="shared" si="25"/>
        <v>#REF!</v>
      </c>
      <c r="AS18" s="2656">
        <f t="shared" si="36"/>
        <v>0</v>
      </c>
      <c r="AT18" s="635"/>
      <c r="AU18" s="38" t="s">
        <v>768</v>
      </c>
      <c r="AV18" s="398"/>
      <c r="BD18" s="81"/>
      <c r="BE18" s="16"/>
      <c r="BF18" s="16"/>
      <c r="BG18" s="16"/>
      <c r="BH18" s="16"/>
      <c r="BI18" s="16"/>
      <c r="BJ18" s="16"/>
      <c r="BK18" s="16"/>
      <c r="BO18" s="635"/>
      <c r="BP18" s="635"/>
      <c r="BQ18" s="635"/>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row>
    <row r="19" spans="1:105">
      <c r="A19" s="2535" t="s">
        <v>2688</v>
      </c>
      <c r="B19" s="2883" t="s">
        <v>1504</v>
      </c>
      <c r="C19" s="2522" t="s">
        <v>2689</v>
      </c>
      <c r="D19" s="3282">
        <f>SUMIFS(BCRR_REHAB!L:L,BCRR_REHAB!D:D,'Huella materiales (2)'!A19)</f>
        <v>0</v>
      </c>
      <c r="E19" s="1030">
        <f>'Datos_aux_materiales (2)'!M19</f>
        <v>1.0005806250000002</v>
      </c>
      <c r="F19" s="2836">
        <f t="shared" si="1"/>
        <v>0</v>
      </c>
      <c r="G19" s="2823">
        <f>'Datos_aux_materiales (2)'!R19</f>
        <v>68.3</v>
      </c>
      <c r="H19" s="2825">
        <f t="shared" si="2"/>
        <v>0</v>
      </c>
      <c r="I19" s="2829">
        <f t="shared" si="3"/>
        <v>0</v>
      </c>
      <c r="J19" s="2851">
        <f t="shared" si="4"/>
        <v>0</v>
      </c>
      <c r="K19" s="2834">
        <f t="shared" si="5"/>
        <v>0</v>
      </c>
      <c r="L19" s="146" t="e">
        <f>SUMIF(#REF!,'Huella materiales (2)'!A19,#REF!)</f>
        <v>#REF!</v>
      </c>
      <c r="M19" s="1013" t="e">
        <f t="shared" si="6"/>
        <v>#REF!</v>
      </c>
      <c r="N19" s="146" t="e">
        <f>SUMIF(#REF!,'Huella materiales (2)'!A19,#REF!)</f>
        <v>#REF!</v>
      </c>
      <c r="O19" s="1013" t="e">
        <f t="shared" si="7"/>
        <v>#REF!</v>
      </c>
      <c r="P19" s="146" t="e">
        <f>SUMIF(#REF!,'Huella materiales (2)'!A19,#REF!)</f>
        <v>#REF!</v>
      </c>
      <c r="Q19" s="1013" t="e">
        <f t="shared" si="8"/>
        <v>#REF!</v>
      </c>
      <c r="R19" s="146" t="e">
        <f>SUMIF(#REF!,'Huella materiales (2)'!A19,#REF!)</f>
        <v>#REF!</v>
      </c>
      <c r="S19" s="1013" t="e">
        <f t="shared" si="9"/>
        <v>#REF!</v>
      </c>
      <c r="T19" s="146" t="e">
        <f>SUMIF(#REF!,'Huella materiales (2)'!A19,#REF!)</f>
        <v>#REF!</v>
      </c>
      <c r="U19" s="1013" t="e">
        <f t="shared" si="10"/>
        <v>#REF!</v>
      </c>
      <c r="V19" s="146" t="e">
        <f>SUMIF(#REF!,'Huella materiales (2)'!A19,#REF!)</f>
        <v>#REF!</v>
      </c>
      <c r="W19" s="1013" t="e">
        <f t="shared" si="11"/>
        <v>#REF!</v>
      </c>
      <c r="X19" s="146" t="e">
        <f>SUMIF(#REF!,'Huella materiales (2)'!A19,#REF!)</f>
        <v>#REF!</v>
      </c>
      <c r="Y19" s="1013" t="e">
        <f t="shared" si="12"/>
        <v>#REF!</v>
      </c>
      <c r="Z19" s="146" t="e">
        <f>SUMIF(#REF!,'Huella materiales (2)'!A19,#REF!)</f>
        <v>#REF!</v>
      </c>
      <c r="AA19" s="1013" t="e">
        <f t="shared" si="13"/>
        <v>#REF!</v>
      </c>
      <c r="AB19" s="146" t="e">
        <f>SUMIF(#REF!,'Huella materiales (2)'!A19,#REF!)</f>
        <v>#REF!</v>
      </c>
      <c r="AC19" s="1013" t="e">
        <f t="shared" si="14"/>
        <v>#REF!</v>
      </c>
      <c r="AD19" s="146" t="e">
        <f>SUMIF(#REF!,'Huella materiales (2)'!A19,#REF!)</f>
        <v>#REF!</v>
      </c>
      <c r="AE19" s="1013" t="e">
        <f t="shared" si="15"/>
        <v>#REF!</v>
      </c>
      <c r="AF19" s="146" t="e">
        <f>SUMIF(#REF!,'Huella materiales (2)'!A19,#REF!)</f>
        <v>#REF!</v>
      </c>
      <c r="AG19" s="1013" t="e">
        <f t="shared" si="16"/>
        <v>#REF!</v>
      </c>
      <c r="AH19" s="170" t="e">
        <f t="shared" si="17"/>
        <v>#REF!</v>
      </c>
      <c r="AI19" s="170" t="e">
        <f t="shared" si="18"/>
        <v>#REF!</v>
      </c>
      <c r="AJ19" s="170" t="e">
        <f t="shared" si="19"/>
        <v>#REF!</v>
      </c>
      <c r="AK19" s="170" t="e">
        <f t="shared" si="20"/>
        <v>#REF!</v>
      </c>
      <c r="AL19" s="170" t="e">
        <f t="shared" si="27"/>
        <v>#REF!</v>
      </c>
      <c r="AM19" s="170" t="e">
        <f>V19*$E$18*$G$18</f>
        <v>#REF!</v>
      </c>
      <c r="AN19" s="170" t="e">
        <f t="shared" si="21"/>
        <v>#REF!</v>
      </c>
      <c r="AO19" s="170" t="e">
        <f t="shared" si="22"/>
        <v>#REF!</v>
      </c>
      <c r="AP19" s="170" t="e">
        <f t="shared" si="23"/>
        <v>#REF!</v>
      </c>
      <c r="AQ19" s="170" t="e">
        <f t="shared" si="24"/>
        <v>#REF!</v>
      </c>
      <c r="AR19" s="170" t="e">
        <f t="shared" si="25"/>
        <v>#REF!</v>
      </c>
      <c r="AS19" s="2656">
        <f t="shared" si="36"/>
        <v>0</v>
      </c>
      <c r="AT19" s="635"/>
      <c r="AU19" s="38"/>
      <c r="AV19" s="38"/>
      <c r="BD19" s="80"/>
      <c r="BE19" s="16"/>
      <c r="BF19" s="16"/>
      <c r="BG19" s="16"/>
      <c r="BH19" s="16"/>
      <c r="BI19" s="16"/>
      <c r="BJ19" s="16"/>
      <c r="BK19" s="16"/>
      <c r="BO19" s="635"/>
      <c r="BP19" s="635"/>
      <c r="BQ19" s="635"/>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row>
    <row r="20" spans="1:105">
      <c r="A20" s="2535" t="s">
        <v>2653</v>
      </c>
      <c r="B20" s="2883" t="s">
        <v>1504</v>
      </c>
      <c r="C20" s="2522" t="s">
        <v>2654</v>
      </c>
      <c r="D20" s="3282">
        <f>SUMIFS(BCRR_REHAB!L:L,BCRR_REHAB!D:D,'Huella materiales (2)'!A20)</f>
        <v>0</v>
      </c>
      <c r="E20" s="1030">
        <f>'Datos_aux_materiales (2)'!M20</f>
        <v>1.0005806250000002</v>
      </c>
      <c r="F20" s="2836">
        <f t="shared" si="1"/>
        <v>0</v>
      </c>
      <c r="G20" s="2823">
        <f>'Datos_aux_materiales (2)'!R20</f>
        <v>68.3</v>
      </c>
      <c r="H20" s="2825">
        <f t="shared" si="2"/>
        <v>0</v>
      </c>
      <c r="I20" s="2829">
        <f t="shared" si="3"/>
        <v>0</v>
      </c>
      <c r="J20" s="2851">
        <f t="shared" si="4"/>
        <v>0</v>
      </c>
      <c r="K20" s="2834">
        <f t="shared" si="5"/>
        <v>0</v>
      </c>
      <c r="L20" s="146" t="e">
        <f>SUMIF(#REF!,'Huella materiales (2)'!A20,#REF!)</f>
        <v>#REF!</v>
      </c>
      <c r="M20" s="1013" t="e">
        <f t="shared" si="6"/>
        <v>#REF!</v>
      </c>
      <c r="N20" s="146" t="e">
        <f>SUMIF(#REF!,'Huella materiales (2)'!A20,#REF!)</f>
        <v>#REF!</v>
      </c>
      <c r="O20" s="1013" t="e">
        <f t="shared" si="7"/>
        <v>#REF!</v>
      </c>
      <c r="P20" s="146" t="e">
        <f>SUMIF(#REF!,'Huella materiales (2)'!A20,#REF!)</f>
        <v>#REF!</v>
      </c>
      <c r="Q20" s="1013" t="e">
        <f t="shared" si="8"/>
        <v>#REF!</v>
      </c>
      <c r="R20" s="146" t="e">
        <f>SUMIF(#REF!,'Huella materiales (2)'!A20,#REF!)</f>
        <v>#REF!</v>
      </c>
      <c r="S20" s="1013" t="e">
        <f t="shared" si="9"/>
        <v>#REF!</v>
      </c>
      <c r="T20" s="146" t="e">
        <f>SUMIF(#REF!,'Huella materiales (2)'!A20,#REF!)</f>
        <v>#REF!</v>
      </c>
      <c r="U20" s="1013" t="e">
        <f t="shared" si="10"/>
        <v>#REF!</v>
      </c>
      <c r="V20" s="146" t="e">
        <f>SUMIF(#REF!,'Huella materiales (2)'!A20,#REF!)</f>
        <v>#REF!</v>
      </c>
      <c r="W20" s="1013" t="e">
        <f t="shared" si="11"/>
        <v>#REF!</v>
      </c>
      <c r="X20" s="146" t="e">
        <f>SUMIF(#REF!,'Huella materiales (2)'!A20,#REF!)</f>
        <v>#REF!</v>
      </c>
      <c r="Y20" s="1013" t="e">
        <f t="shared" si="12"/>
        <v>#REF!</v>
      </c>
      <c r="Z20" s="146" t="e">
        <f>SUMIF(#REF!,'Huella materiales (2)'!A20,#REF!)</f>
        <v>#REF!</v>
      </c>
      <c r="AA20" s="1013" t="e">
        <f t="shared" si="13"/>
        <v>#REF!</v>
      </c>
      <c r="AB20" s="146" t="e">
        <f>SUMIF(#REF!,'Huella materiales (2)'!A20,#REF!)</f>
        <v>#REF!</v>
      </c>
      <c r="AC20" s="1013" t="e">
        <f t="shared" si="14"/>
        <v>#REF!</v>
      </c>
      <c r="AD20" s="146" t="e">
        <f>SUMIF(#REF!,'Huella materiales (2)'!A20,#REF!)</f>
        <v>#REF!</v>
      </c>
      <c r="AE20" s="1013" t="e">
        <f t="shared" si="15"/>
        <v>#REF!</v>
      </c>
      <c r="AF20" s="146" t="e">
        <f>SUMIF(#REF!,'Huella materiales (2)'!A20,#REF!)</f>
        <v>#REF!</v>
      </c>
      <c r="AG20" s="1013" t="e">
        <f t="shared" si="16"/>
        <v>#REF!</v>
      </c>
      <c r="AH20" s="170" t="e">
        <f t="shared" si="17"/>
        <v>#REF!</v>
      </c>
      <c r="AI20" s="170" t="e">
        <f t="shared" si="18"/>
        <v>#REF!</v>
      </c>
      <c r="AJ20" s="170" t="e">
        <f t="shared" si="19"/>
        <v>#REF!</v>
      </c>
      <c r="AK20" s="170" t="e">
        <f t="shared" si="20"/>
        <v>#REF!</v>
      </c>
      <c r="AL20" s="170" t="e">
        <f t="shared" si="27"/>
        <v>#REF!</v>
      </c>
      <c r="AM20" s="170"/>
      <c r="AN20" s="170" t="e">
        <f t="shared" si="21"/>
        <v>#REF!</v>
      </c>
      <c r="AO20" s="170" t="e">
        <f t="shared" si="22"/>
        <v>#REF!</v>
      </c>
      <c r="AP20" s="170" t="e">
        <f t="shared" si="23"/>
        <v>#REF!</v>
      </c>
      <c r="AQ20" s="170" t="e">
        <f t="shared" si="24"/>
        <v>#REF!</v>
      </c>
      <c r="AR20" s="170" t="e">
        <f t="shared" si="25"/>
        <v>#REF!</v>
      </c>
      <c r="AS20" s="2656">
        <f t="shared" si="36"/>
        <v>0</v>
      </c>
      <c r="AT20" s="635"/>
      <c r="AU20" s="38" t="s">
        <v>769</v>
      </c>
      <c r="AV20" s="399"/>
      <c r="BD20" s="80"/>
      <c r="BE20" s="16"/>
      <c r="BF20" s="16"/>
      <c r="BG20" s="16"/>
      <c r="BH20" s="16"/>
      <c r="BI20" s="16"/>
      <c r="BJ20" s="16"/>
      <c r="BK20" s="16"/>
      <c r="BO20" s="635"/>
      <c r="BP20" s="635"/>
      <c r="BQ20" s="635"/>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row>
    <row r="21" spans="1:105">
      <c r="A21" s="2523" t="s">
        <v>2676</v>
      </c>
      <c r="B21" s="2565" t="s">
        <v>1527</v>
      </c>
      <c r="C21" s="2522" t="s">
        <v>2677</v>
      </c>
      <c r="D21" s="3282">
        <f>SUMIFS(BCRR_REHAB!L:L,BCRR_REHAB!D:D,'Huella materiales (2)'!A21)</f>
        <v>0</v>
      </c>
      <c r="E21" s="1030">
        <f>'Datos_aux_materiales (2)'!M21</f>
        <v>1.0164252594523502</v>
      </c>
      <c r="F21" s="2836">
        <f t="shared" si="1"/>
        <v>0</v>
      </c>
      <c r="G21" s="2823">
        <f>'Datos_aux_materiales (2)'!R21</f>
        <v>33.159999999999997</v>
      </c>
      <c r="H21" s="2825">
        <f t="shared" si="2"/>
        <v>0</v>
      </c>
      <c r="I21" s="2829">
        <f t="shared" si="3"/>
        <v>0</v>
      </c>
      <c r="J21" s="2851">
        <f t="shared" si="4"/>
        <v>0</v>
      </c>
      <c r="K21" s="2834">
        <f t="shared" si="5"/>
        <v>0</v>
      </c>
      <c r="L21" s="146" t="e">
        <f>SUMIF(#REF!,'Huella materiales (2)'!A21,#REF!)</f>
        <v>#REF!</v>
      </c>
      <c r="M21" s="1013" t="e">
        <f t="shared" si="6"/>
        <v>#REF!</v>
      </c>
      <c r="N21" s="146" t="e">
        <f>SUMIF(#REF!,'Huella materiales (2)'!A21,#REF!)</f>
        <v>#REF!</v>
      </c>
      <c r="O21" s="1013" t="e">
        <f t="shared" si="7"/>
        <v>#REF!</v>
      </c>
      <c r="P21" s="146" t="e">
        <f>SUMIF(#REF!,'Huella materiales (2)'!A21,#REF!)</f>
        <v>#REF!</v>
      </c>
      <c r="Q21" s="1013" t="e">
        <f t="shared" si="8"/>
        <v>#REF!</v>
      </c>
      <c r="R21" s="146" t="e">
        <f>SUMIF(#REF!,'Huella materiales (2)'!A21,#REF!)</f>
        <v>#REF!</v>
      </c>
      <c r="S21" s="1013" t="e">
        <f t="shared" si="9"/>
        <v>#REF!</v>
      </c>
      <c r="T21" s="146" t="e">
        <f>SUMIF(#REF!,'Huella materiales (2)'!A21,#REF!)</f>
        <v>#REF!</v>
      </c>
      <c r="U21" s="1013" t="e">
        <f t="shared" si="10"/>
        <v>#REF!</v>
      </c>
      <c r="V21" s="146" t="e">
        <f>SUMIF(#REF!,'Huella materiales (2)'!A21,#REF!)</f>
        <v>#REF!</v>
      </c>
      <c r="W21" s="1013" t="e">
        <f t="shared" si="11"/>
        <v>#REF!</v>
      </c>
      <c r="X21" s="146" t="e">
        <f>SUMIF(#REF!,'Huella materiales (2)'!A21,#REF!)</f>
        <v>#REF!</v>
      </c>
      <c r="Y21" s="1013" t="e">
        <f t="shared" si="12"/>
        <v>#REF!</v>
      </c>
      <c r="Z21" s="146" t="e">
        <f>SUMIF(#REF!,'Huella materiales (2)'!A21,#REF!)</f>
        <v>#REF!</v>
      </c>
      <c r="AA21" s="1013" t="e">
        <f t="shared" si="13"/>
        <v>#REF!</v>
      </c>
      <c r="AB21" s="146" t="e">
        <f>SUMIF(#REF!,'Huella materiales (2)'!A21,#REF!)</f>
        <v>#REF!</v>
      </c>
      <c r="AC21" s="1013" t="e">
        <f t="shared" si="14"/>
        <v>#REF!</v>
      </c>
      <c r="AD21" s="146" t="e">
        <f>SUMIF(#REF!,'Huella materiales (2)'!A21,#REF!)</f>
        <v>#REF!</v>
      </c>
      <c r="AE21" s="1013" t="e">
        <f t="shared" si="15"/>
        <v>#REF!</v>
      </c>
      <c r="AF21" s="146" t="e">
        <f>SUMIF(#REF!,'Huella materiales (2)'!A21,#REF!)</f>
        <v>#REF!</v>
      </c>
      <c r="AG21" s="1013" t="e">
        <f t="shared" si="16"/>
        <v>#REF!</v>
      </c>
      <c r="AH21" s="170" t="e">
        <f t="shared" si="17"/>
        <v>#REF!</v>
      </c>
      <c r="AI21" s="170" t="e">
        <f t="shared" si="18"/>
        <v>#REF!</v>
      </c>
      <c r="AJ21" s="170" t="e">
        <f t="shared" si="19"/>
        <v>#REF!</v>
      </c>
      <c r="AK21" s="170" t="e">
        <f t="shared" si="20"/>
        <v>#REF!</v>
      </c>
      <c r="AL21" s="170" t="e">
        <f t="shared" si="27"/>
        <v>#REF!</v>
      </c>
      <c r="AM21" s="170"/>
      <c r="AN21" s="170" t="e">
        <f t="shared" si="21"/>
        <v>#REF!</v>
      </c>
      <c r="AO21" s="170" t="e">
        <f t="shared" si="22"/>
        <v>#REF!</v>
      </c>
      <c r="AP21" s="170" t="e">
        <f t="shared" si="23"/>
        <v>#REF!</v>
      </c>
      <c r="AQ21" s="170" t="e">
        <f t="shared" si="24"/>
        <v>#REF!</v>
      </c>
      <c r="AR21" s="170" t="e">
        <f t="shared" si="25"/>
        <v>#REF!</v>
      </c>
      <c r="AS21" s="2656">
        <f t="shared" si="36"/>
        <v>0</v>
      </c>
      <c r="AT21" s="635"/>
      <c r="AU21" s="38"/>
      <c r="AV21" s="38"/>
      <c r="BD21" s="80"/>
      <c r="BE21" s="16"/>
      <c r="BF21" s="16"/>
      <c r="BG21" s="16"/>
      <c r="BH21" s="16"/>
      <c r="BI21" s="16"/>
      <c r="BJ21" s="16"/>
      <c r="BK21" s="16"/>
      <c r="BO21" s="635"/>
      <c r="BP21" s="635"/>
      <c r="BQ21" s="635"/>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row>
    <row r="22" spans="1:105">
      <c r="A22" s="2523" t="s">
        <v>2680</v>
      </c>
      <c r="B22" s="2565" t="s">
        <v>1527</v>
      </c>
      <c r="C22" s="2522" t="s">
        <v>2681</v>
      </c>
      <c r="D22" s="3282">
        <f>SUMIFS(BCRR_REHAB!L:L,BCRR_REHAB!D:D,'Huella materiales (2)'!A22)</f>
        <v>0</v>
      </c>
      <c r="E22" s="1030">
        <f>'Datos_aux_materiales (2)'!M22</f>
        <v>14.193994005390374</v>
      </c>
      <c r="F22" s="2836">
        <f t="shared" si="1"/>
        <v>0</v>
      </c>
      <c r="G22" s="2823">
        <f>'Datos_aux_materiales (2)'!R22</f>
        <v>33.159999999999997</v>
      </c>
      <c r="H22" s="2825">
        <f t="shared" si="2"/>
        <v>0</v>
      </c>
      <c r="I22" s="2829">
        <f t="shared" si="3"/>
        <v>0</v>
      </c>
      <c r="J22" s="2851">
        <f t="shared" si="4"/>
        <v>0</v>
      </c>
      <c r="K22" s="2834">
        <f t="shared" si="5"/>
        <v>0</v>
      </c>
      <c r="L22" s="146" t="e">
        <f>SUMIF(#REF!,'Huella materiales (2)'!A22,#REF!)</f>
        <v>#REF!</v>
      </c>
      <c r="M22" s="1013" t="e">
        <f t="shared" si="6"/>
        <v>#REF!</v>
      </c>
      <c r="N22" s="146" t="e">
        <f>SUMIF(#REF!,'Huella materiales (2)'!A22,#REF!)</f>
        <v>#REF!</v>
      </c>
      <c r="O22" s="1013" t="e">
        <f t="shared" si="7"/>
        <v>#REF!</v>
      </c>
      <c r="P22" s="146" t="e">
        <f>SUMIF(#REF!,'Huella materiales (2)'!A22,#REF!)</f>
        <v>#REF!</v>
      </c>
      <c r="Q22" s="1013" t="e">
        <f t="shared" si="8"/>
        <v>#REF!</v>
      </c>
      <c r="R22" s="146" t="e">
        <f>SUMIF(#REF!,'Huella materiales (2)'!A22,#REF!)</f>
        <v>#REF!</v>
      </c>
      <c r="S22" s="1013" t="e">
        <f t="shared" si="9"/>
        <v>#REF!</v>
      </c>
      <c r="T22" s="146" t="e">
        <f>SUMIF(#REF!,'Huella materiales (2)'!A22,#REF!)</f>
        <v>#REF!</v>
      </c>
      <c r="U22" s="1013" t="e">
        <f t="shared" si="10"/>
        <v>#REF!</v>
      </c>
      <c r="V22" s="146" t="e">
        <f>SUMIF(#REF!,'Huella materiales (2)'!A22,#REF!)</f>
        <v>#REF!</v>
      </c>
      <c r="W22" s="1013" t="e">
        <f t="shared" si="11"/>
        <v>#REF!</v>
      </c>
      <c r="X22" s="146" t="e">
        <f>SUMIF(#REF!,'Huella materiales (2)'!A22,#REF!)</f>
        <v>#REF!</v>
      </c>
      <c r="Y22" s="1013" t="e">
        <f t="shared" si="12"/>
        <v>#REF!</v>
      </c>
      <c r="Z22" s="146" t="e">
        <f>SUMIF(#REF!,'Huella materiales (2)'!A22,#REF!)</f>
        <v>#REF!</v>
      </c>
      <c r="AA22" s="1013" t="e">
        <f t="shared" si="13"/>
        <v>#REF!</v>
      </c>
      <c r="AB22" s="146" t="e">
        <f>SUMIF(#REF!,'Huella materiales (2)'!A22,#REF!)</f>
        <v>#REF!</v>
      </c>
      <c r="AC22" s="1013" t="e">
        <f t="shared" si="14"/>
        <v>#REF!</v>
      </c>
      <c r="AD22" s="146" t="e">
        <f>SUMIF(#REF!,'Huella materiales (2)'!A22,#REF!)</f>
        <v>#REF!</v>
      </c>
      <c r="AE22" s="1013" t="e">
        <f t="shared" si="15"/>
        <v>#REF!</v>
      </c>
      <c r="AF22" s="146" t="e">
        <f>SUMIF(#REF!,'Huella materiales (2)'!A22,#REF!)</f>
        <v>#REF!</v>
      </c>
      <c r="AG22" s="1013" t="e">
        <f t="shared" si="16"/>
        <v>#REF!</v>
      </c>
      <c r="AH22" s="170" t="e">
        <f t="shared" si="17"/>
        <v>#REF!</v>
      </c>
      <c r="AI22" s="170" t="e">
        <f t="shared" si="18"/>
        <v>#REF!</v>
      </c>
      <c r="AJ22" s="170" t="e">
        <f t="shared" si="19"/>
        <v>#REF!</v>
      </c>
      <c r="AK22" s="170" t="e">
        <f t="shared" si="20"/>
        <v>#REF!</v>
      </c>
      <c r="AL22" s="170" t="e">
        <f t="shared" si="27"/>
        <v>#REF!</v>
      </c>
      <c r="AM22" s="170"/>
      <c r="AN22" s="170" t="e">
        <f t="shared" si="21"/>
        <v>#REF!</v>
      </c>
      <c r="AO22" s="170" t="e">
        <f t="shared" si="22"/>
        <v>#REF!</v>
      </c>
      <c r="AP22" s="170" t="e">
        <f t="shared" si="23"/>
        <v>#REF!</v>
      </c>
      <c r="AQ22" s="170" t="e">
        <f t="shared" si="24"/>
        <v>#REF!</v>
      </c>
      <c r="AR22" s="170" t="e">
        <f t="shared" si="25"/>
        <v>#REF!</v>
      </c>
      <c r="AS22" s="2656">
        <f t="shared" si="36"/>
        <v>0</v>
      </c>
      <c r="AT22" s="635"/>
      <c r="AU22" s="38"/>
      <c r="AV22" s="38"/>
      <c r="BD22" s="80"/>
      <c r="BJ22" s="16"/>
      <c r="BK22" s="16"/>
      <c r="BO22" s="635"/>
      <c r="BP22" s="635"/>
      <c r="BQ22" s="635"/>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row>
    <row r="23" spans="1:105">
      <c r="A23" s="2523" t="s">
        <v>2684</v>
      </c>
      <c r="B23" s="2565" t="s">
        <v>1527</v>
      </c>
      <c r="C23" s="2522" t="s">
        <v>2685</v>
      </c>
      <c r="D23" s="3282">
        <f>SUMIFS(BCRR_REHAB!L:L,BCRR_REHAB!D:D,'Huella materiales (2)'!A23)</f>
        <v>0</v>
      </c>
      <c r="E23" s="1030">
        <f>'Datos_aux_materiales (2)'!M23</f>
        <v>17.925748297887377</v>
      </c>
      <c r="F23" s="2836">
        <f t="shared" si="1"/>
        <v>0</v>
      </c>
      <c r="G23" s="2823">
        <f>'Datos_aux_materiales (2)'!R23</f>
        <v>33.159999999999997</v>
      </c>
      <c r="H23" s="2825">
        <f t="shared" si="2"/>
        <v>0</v>
      </c>
      <c r="I23" s="2829">
        <f t="shared" si="3"/>
        <v>0</v>
      </c>
      <c r="J23" s="2851">
        <f t="shared" si="4"/>
        <v>0</v>
      </c>
      <c r="K23" s="2834">
        <f t="shared" si="5"/>
        <v>0</v>
      </c>
      <c r="L23" s="2653"/>
      <c r="M23" s="2654"/>
      <c r="N23" s="2653"/>
      <c r="O23" s="2654"/>
      <c r="P23" s="2653"/>
      <c r="Q23" s="2654"/>
      <c r="R23" s="2653"/>
      <c r="S23" s="2654"/>
      <c r="T23" s="2653"/>
      <c r="U23" s="2654"/>
      <c r="V23" s="2653"/>
      <c r="W23" s="2654"/>
      <c r="X23" s="2653"/>
      <c r="Y23" s="2654"/>
      <c r="Z23" s="2653"/>
      <c r="AA23" s="2654"/>
      <c r="AB23" s="2653"/>
      <c r="AC23" s="2654"/>
      <c r="AD23" s="2653"/>
      <c r="AE23" s="2654"/>
      <c r="AF23" s="2653"/>
      <c r="AG23" s="2654"/>
      <c r="AH23" s="2657"/>
      <c r="AI23" s="2657"/>
      <c r="AJ23" s="2657"/>
      <c r="AK23" s="2657"/>
      <c r="AL23" s="2657"/>
      <c r="AM23" s="2657"/>
      <c r="AN23" s="2657"/>
      <c r="AO23" s="2657"/>
      <c r="AP23" s="2657"/>
      <c r="AQ23" s="2657"/>
      <c r="AR23" s="2657"/>
      <c r="AS23" s="2656"/>
      <c r="AT23" s="635"/>
      <c r="AU23" s="45" t="s">
        <v>770</v>
      </c>
      <c r="AV23" s="3005"/>
      <c r="AW23" s="22"/>
      <c r="AX23" s="22"/>
      <c r="AY23" s="22"/>
      <c r="AZ23" s="22"/>
      <c r="BA23" s="22"/>
      <c r="BB23" s="22"/>
      <c r="BC23" s="22"/>
      <c r="BD23" s="80"/>
      <c r="BE23" s="22"/>
      <c r="BF23" s="22"/>
      <c r="BG23" s="22"/>
      <c r="BH23" s="22"/>
      <c r="BJ23" s="16"/>
      <c r="BK23" s="16"/>
      <c r="BO23" s="635"/>
      <c r="BP23" s="635"/>
      <c r="BQ23" s="635"/>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row>
    <row r="24" spans="1:105" s="1521" customFormat="1">
      <c r="A24" s="2535" t="s">
        <v>2670</v>
      </c>
      <c r="B24" s="2883" t="s">
        <v>1504</v>
      </c>
      <c r="C24" s="2522" t="s">
        <v>2671</v>
      </c>
      <c r="D24" s="3282">
        <f>SUMIFS(BCRR_REHAB!L:L,BCRR_REHAB!D:D,'Huella materiales (2)'!A24)</f>
        <v>0</v>
      </c>
      <c r="E24" s="1030">
        <f>'Datos_aux_materiales (2)'!M24</f>
        <v>1.0005806250000002</v>
      </c>
      <c r="F24" s="2836">
        <f t="shared" si="1"/>
        <v>0</v>
      </c>
      <c r="G24" s="2823">
        <f>'Datos_aux_materiales (2)'!R24</f>
        <v>68.3</v>
      </c>
      <c r="H24" s="2825">
        <f t="shared" si="2"/>
        <v>0</v>
      </c>
      <c r="I24" s="2829">
        <f t="shared" si="3"/>
        <v>0</v>
      </c>
      <c r="J24" s="2851">
        <f t="shared" si="4"/>
        <v>0</v>
      </c>
      <c r="K24" s="2834">
        <f t="shared" si="5"/>
        <v>0</v>
      </c>
      <c r="L24" s="2653"/>
      <c r="M24" s="2654"/>
      <c r="N24" s="2653"/>
      <c r="O24" s="2654"/>
      <c r="P24" s="2653"/>
      <c r="Q24" s="2654"/>
      <c r="R24" s="2653"/>
      <c r="S24" s="2654"/>
      <c r="T24" s="2653"/>
      <c r="U24" s="2654"/>
      <c r="V24" s="2653"/>
      <c r="W24" s="2654"/>
      <c r="X24" s="2653"/>
      <c r="Y24" s="2654"/>
      <c r="Z24" s="2653"/>
      <c r="AA24" s="2654"/>
      <c r="AB24" s="2653"/>
      <c r="AC24" s="2654"/>
      <c r="AD24" s="2653"/>
      <c r="AE24" s="2654"/>
      <c r="AF24" s="2653"/>
      <c r="AG24" s="2654"/>
      <c r="AH24" s="2657"/>
      <c r="AI24" s="2657"/>
      <c r="AJ24" s="2657"/>
      <c r="AK24" s="2657"/>
      <c r="AL24" s="2657"/>
      <c r="AM24" s="2657"/>
      <c r="AN24" s="2657"/>
      <c r="AO24" s="2657"/>
      <c r="AP24" s="2657"/>
      <c r="AQ24" s="2657"/>
      <c r="AR24" s="2657"/>
      <c r="AS24" s="2656"/>
      <c r="AT24" s="635"/>
      <c r="AU24" s="127"/>
      <c r="AV24" s="201"/>
      <c r="AW24" s="22"/>
      <c r="AX24" s="22"/>
      <c r="AY24" s="22"/>
      <c r="AZ24" s="22"/>
      <c r="BA24" s="22"/>
      <c r="BB24" s="22"/>
      <c r="BC24" s="22"/>
      <c r="BD24" s="80"/>
      <c r="BE24" s="22"/>
      <c r="BF24" s="22"/>
      <c r="BG24" s="22"/>
      <c r="BH24" s="22"/>
      <c r="BI24" s="22"/>
      <c r="BJ24" s="16"/>
      <c r="BK24" s="16"/>
      <c r="BL24" s="16"/>
      <c r="BM24" s="16"/>
      <c r="BN24" s="16"/>
      <c r="BO24" s="635"/>
      <c r="BP24" s="635"/>
      <c r="BQ24" s="635"/>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row>
    <row r="25" spans="1:105" s="1521" customFormat="1">
      <c r="A25" s="2523" t="s">
        <v>2770</v>
      </c>
      <c r="B25" s="2565" t="s">
        <v>1504</v>
      </c>
      <c r="C25" s="2522" t="s">
        <v>2771</v>
      </c>
      <c r="D25" s="3282">
        <f>SUMIFS(BCRR_REHAB!L:L,BCRR_REHAB!D:D,'Huella materiales (2)'!A25)</f>
        <v>0</v>
      </c>
      <c r="E25" s="1030">
        <f>'Datos_aux_materiales (2)'!M25</f>
        <v>0.80046450000000013</v>
      </c>
      <c r="F25" s="2836">
        <f t="shared" si="1"/>
        <v>0</v>
      </c>
      <c r="G25" s="2823">
        <f>'Datos_aux_materiales (2)'!R25</f>
        <v>68.3</v>
      </c>
      <c r="H25" s="2825">
        <f t="shared" si="2"/>
        <v>0</v>
      </c>
      <c r="I25" s="2829">
        <f t="shared" si="3"/>
        <v>0</v>
      </c>
      <c r="J25" s="2851">
        <f t="shared" si="4"/>
        <v>0</v>
      </c>
      <c r="K25" s="2834">
        <f t="shared" si="5"/>
        <v>0</v>
      </c>
      <c r="L25" s="2653"/>
      <c r="M25" s="2654"/>
      <c r="N25" s="2653"/>
      <c r="O25" s="2654"/>
      <c r="P25" s="2653"/>
      <c r="Q25" s="2654"/>
      <c r="R25" s="2653"/>
      <c r="S25" s="2654"/>
      <c r="T25" s="2653"/>
      <c r="U25" s="2654"/>
      <c r="V25" s="2653"/>
      <c r="W25" s="2654"/>
      <c r="X25" s="2653"/>
      <c r="Y25" s="2654"/>
      <c r="Z25" s="2653"/>
      <c r="AA25" s="2654"/>
      <c r="AB25" s="2653"/>
      <c r="AC25" s="2654"/>
      <c r="AD25" s="2653"/>
      <c r="AE25" s="2654"/>
      <c r="AF25" s="2653"/>
      <c r="AG25" s="2654"/>
      <c r="AH25" s="2657"/>
      <c r="AI25" s="2657"/>
      <c r="AJ25" s="2657"/>
      <c r="AK25" s="2657"/>
      <c r="AL25" s="2657"/>
      <c r="AM25" s="2657"/>
      <c r="AN25" s="2657"/>
      <c r="AO25" s="2657"/>
      <c r="AP25" s="2657"/>
      <c r="AQ25" s="2657"/>
      <c r="AR25" s="2657"/>
      <c r="AS25" s="2656"/>
      <c r="AT25" s="635"/>
      <c r="AU25" s="127"/>
      <c r="AV25" s="127"/>
      <c r="AW25" s="22"/>
      <c r="AX25" s="22"/>
      <c r="AY25" s="22"/>
      <c r="AZ25" s="22"/>
      <c r="BA25" s="22"/>
      <c r="BB25" s="22"/>
      <c r="BC25" s="22"/>
      <c r="BD25" s="80"/>
      <c r="BE25" s="22"/>
      <c r="BF25" s="22"/>
      <c r="BG25" s="22"/>
      <c r="BH25" s="22"/>
      <c r="BI25" s="22"/>
      <c r="BJ25" s="16"/>
      <c r="BK25" s="16"/>
      <c r="BL25" s="16"/>
      <c r="BM25" s="16"/>
      <c r="BN25" s="16"/>
      <c r="BO25" s="635"/>
      <c r="BP25" s="635"/>
      <c r="BQ25" s="635"/>
      <c r="BR25" s="16"/>
      <c r="BS25" s="16"/>
      <c r="BT25" s="16"/>
      <c r="BU25" s="16"/>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row>
    <row r="26" spans="1:105" ht="15" thickBot="1">
      <c r="A26" s="2523" t="s">
        <v>2647</v>
      </c>
      <c r="B26" s="2565" t="s">
        <v>1504</v>
      </c>
      <c r="C26" s="2522" t="s">
        <v>2648</v>
      </c>
      <c r="D26" s="3282">
        <f>SUMIFS(BCRR_REHAB!L:L,BCRR_REHAB!D:D,'Huella materiales (2)'!A26)</f>
        <v>0</v>
      </c>
      <c r="E26" s="1030">
        <f>'Datos_aux_materiales (2)'!M26</f>
        <v>1.4408360999999998</v>
      </c>
      <c r="F26" s="2836">
        <f t="shared" si="1"/>
        <v>0</v>
      </c>
      <c r="G26" s="2823">
        <f>'Datos_aux_materiales (2)'!R26</f>
        <v>68.3</v>
      </c>
      <c r="H26" s="2825">
        <f t="shared" si="2"/>
        <v>0</v>
      </c>
      <c r="I26" s="2829">
        <f t="shared" si="3"/>
        <v>0</v>
      </c>
      <c r="J26" s="2851">
        <f t="shared" si="4"/>
        <v>0</v>
      </c>
      <c r="K26" s="2834">
        <f t="shared" si="5"/>
        <v>0</v>
      </c>
      <c r="L26" s="2653"/>
      <c r="M26" s="2654"/>
      <c r="N26" s="2653"/>
      <c r="O26" s="2654"/>
      <c r="P26" s="2653"/>
      <c r="Q26" s="2654"/>
      <c r="R26" s="2653"/>
      <c r="S26" s="2654"/>
      <c r="T26" s="2653"/>
      <c r="U26" s="2654"/>
      <c r="V26" s="2653"/>
      <c r="W26" s="2654"/>
      <c r="X26" s="2653"/>
      <c r="Y26" s="2654"/>
      <c r="Z26" s="2653"/>
      <c r="AA26" s="2654"/>
      <c r="AB26" s="2653"/>
      <c r="AC26" s="2654"/>
      <c r="AD26" s="2653"/>
      <c r="AE26" s="2654"/>
      <c r="AF26" s="2653"/>
      <c r="AG26" s="2654"/>
      <c r="AH26" s="2657"/>
      <c r="AI26" s="2657"/>
      <c r="AJ26" s="2657"/>
      <c r="AK26" s="2657"/>
      <c r="AL26" s="2657"/>
      <c r="AM26" s="2657"/>
      <c r="AN26" s="2657"/>
      <c r="AO26" s="2657"/>
      <c r="AP26" s="2657"/>
      <c r="AQ26" s="2657"/>
      <c r="AR26" s="2657"/>
      <c r="AS26" s="2656"/>
      <c r="AT26" s="635"/>
      <c r="AU26" s="45"/>
      <c r="AV26" s="127"/>
      <c r="AW26" s="22"/>
      <c r="AX26" s="22"/>
      <c r="AY26" s="22"/>
      <c r="AZ26" s="22"/>
      <c r="BA26" s="22"/>
      <c r="BB26" s="22"/>
      <c r="BC26" s="22"/>
      <c r="BD26" s="80"/>
      <c r="BE26" s="22"/>
      <c r="BF26" s="22"/>
      <c r="BG26" s="22"/>
      <c r="BH26" s="22"/>
      <c r="BI26" s="22"/>
      <c r="BJ26" s="16"/>
      <c r="BK26" s="16"/>
      <c r="BO26" s="635"/>
      <c r="BP26" s="635"/>
      <c r="BQ26" s="635"/>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row>
    <row r="27" spans="1:105">
      <c r="A27" s="2523" t="s">
        <v>2613</v>
      </c>
      <c r="B27" s="2565" t="s">
        <v>1504</v>
      </c>
      <c r="C27" s="2522" t="s">
        <v>2614</v>
      </c>
      <c r="D27" s="3282">
        <f>SUMIFS(BCRR_REHAB!L:L,BCRR_REHAB!D:D,'Huella materiales (2)'!A27)</f>
        <v>0</v>
      </c>
      <c r="E27" s="1030">
        <f>'Datos_aux_materiales (2)'!M27</f>
        <v>2.00116125</v>
      </c>
      <c r="F27" s="2836">
        <f t="shared" si="1"/>
        <v>0</v>
      </c>
      <c r="G27" s="2823">
        <f>'Datos_aux_materiales (2)'!R27</f>
        <v>68.3</v>
      </c>
      <c r="H27" s="2825">
        <f t="shared" si="2"/>
        <v>0</v>
      </c>
      <c r="I27" s="2829">
        <f t="shared" si="3"/>
        <v>0</v>
      </c>
      <c r="J27" s="2851">
        <f t="shared" si="4"/>
        <v>0</v>
      </c>
      <c r="K27" s="2834">
        <f t="shared" si="5"/>
        <v>0</v>
      </c>
      <c r="L27" s="2653"/>
      <c r="M27" s="2654"/>
      <c r="N27" s="2653"/>
      <c r="O27" s="2654"/>
      <c r="P27" s="2653"/>
      <c r="Q27" s="2654"/>
      <c r="R27" s="2653"/>
      <c r="S27" s="2654"/>
      <c r="T27" s="2653"/>
      <c r="U27" s="2654"/>
      <c r="V27" s="2653"/>
      <c r="W27" s="2654"/>
      <c r="X27" s="2653"/>
      <c r="Y27" s="2654"/>
      <c r="Z27" s="2653"/>
      <c r="AA27" s="2654"/>
      <c r="AB27" s="2653"/>
      <c r="AC27" s="2654"/>
      <c r="AD27" s="2653"/>
      <c r="AE27" s="2654"/>
      <c r="AF27" s="2653"/>
      <c r="AG27" s="2654"/>
      <c r="AH27" s="2657"/>
      <c r="AI27" s="2657"/>
      <c r="AJ27" s="2657"/>
      <c r="AK27" s="2657"/>
      <c r="AL27" s="2657"/>
      <c r="AM27" s="2657"/>
      <c r="AN27" s="2657"/>
      <c r="AO27" s="2657"/>
      <c r="AP27" s="2657"/>
      <c r="AQ27" s="2657"/>
      <c r="AR27" s="2657"/>
      <c r="AS27" s="2656"/>
      <c r="AT27" s="635"/>
      <c r="AU27" s="4920" t="s">
        <v>1261</v>
      </c>
      <c r="AV27" s="4921"/>
      <c r="AW27" s="22"/>
      <c r="AX27" s="22"/>
      <c r="AY27" s="22"/>
      <c r="AZ27" s="22"/>
      <c r="BA27" s="22"/>
      <c r="BB27" s="22"/>
      <c r="BC27" s="22"/>
      <c r="BD27" s="22"/>
      <c r="BE27" s="22"/>
      <c r="BF27" s="22"/>
      <c r="BG27" s="22"/>
      <c r="BH27" s="22"/>
      <c r="BI27" s="22"/>
      <c r="BJ27" s="16"/>
      <c r="BK27" s="16"/>
      <c r="BO27" s="635"/>
      <c r="BP27" s="635"/>
      <c r="BQ27" s="635"/>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row>
    <row r="28" spans="1:105">
      <c r="A28" s="2615" t="s">
        <v>1931</v>
      </c>
      <c r="B28" s="2884" t="s">
        <v>1504</v>
      </c>
      <c r="C28" s="2613" t="s">
        <v>1932</v>
      </c>
      <c r="D28" s="3282">
        <f>SUMIFS(BCRR_REHAB!L:L,BCRR_REHAB!D:D,'Huella materiales (2)'!A28)</f>
        <v>0</v>
      </c>
      <c r="E28" s="1030">
        <f>'Datos_aux_materiales (2)'!M28</f>
        <v>5.0301189180000003</v>
      </c>
      <c r="F28" s="2836">
        <f t="shared" si="1"/>
        <v>0</v>
      </c>
      <c r="G28" s="2823">
        <f>'Datos_aux_materiales (2)'!R28</f>
        <v>68.3</v>
      </c>
      <c r="H28" s="2825">
        <f t="shared" si="2"/>
        <v>0</v>
      </c>
      <c r="I28" s="2829">
        <f t="shared" si="3"/>
        <v>0</v>
      </c>
      <c r="J28" s="2851">
        <f t="shared" si="4"/>
        <v>0</v>
      </c>
      <c r="K28" s="2834">
        <f t="shared" si="5"/>
        <v>0</v>
      </c>
      <c r="L28" s="2653"/>
      <c r="M28" s="2654"/>
      <c r="N28" s="2653"/>
      <c r="O28" s="2654"/>
      <c r="P28" s="2653"/>
      <c r="Q28" s="2654"/>
      <c r="R28" s="2653"/>
      <c r="S28" s="2654"/>
      <c r="T28" s="2653"/>
      <c r="U28" s="2654"/>
      <c r="V28" s="2653"/>
      <c r="W28" s="2654"/>
      <c r="X28" s="2653"/>
      <c r="Y28" s="2654"/>
      <c r="Z28" s="2653"/>
      <c r="AA28" s="2654"/>
      <c r="AB28" s="2653"/>
      <c r="AC28" s="2654"/>
      <c r="AD28" s="2653"/>
      <c r="AE28" s="2654"/>
      <c r="AF28" s="2653"/>
      <c r="AG28" s="2654"/>
      <c r="AH28" s="2657"/>
      <c r="AI28" s="2657"/>
      <c r="AJ28" s="2657"/>
      <c r="AK28" s="2657"/>
      <c r="AL28" s="2657"/>
      <c r="AM28" s="2657"/>
      <c r="AN28" s="2657"/>
      <c r="AO28" s="2657"/>
      <c r="AP28" s="2657"/>
      <c r="AQ28" s="2657"/>
      <c r="AR28" s="2657"/>
      <c r="AS28" s="2656"/>
      <c r="AT28" s="635"/>
      <c r="AU28" s="2927" t="s">
        <v>675</v>
      </c>
      <c r="AV28" s="991">
        <v>10</v>
      </c>
      <c r="AW28" s="22"/>
      <c r="AX28" s="22"/>
      <c r="AY28" s="22"/>
      <c r="AZ28" s="22"/>
      <c r="BA28" s="22"/>
      <c r="BB28" s="22"/>
      <c r="BC28" s="22"/>
      <c r="BD28" s="22"/>
      <c r="BE28" s="22"/>
      <c r="BF28" s="22"/>
      <c r="BG28" s="22"/>
      <c r="BH28" s="22"/>
      <c r="BI28" s="22"/>
      <c r="BJ28" s="16"/>
      <c r="BK28" s="16"/>
      <c r="BO28" s="635"/>
      <c r="BP28" s="635"/>
      <c r="BQ28" s="635"/>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row>
    <row r="29" spans="1:105" s="1521" customFormat="1">
      <c r="A29" s="2615" t="s">
        <v>2483</v>
      </c>
      <c r="B29" s="2884" t="s">
        <v>1504</v>
      </c>
      <c r="C29" s="2613" t="s">
        <v>2484</v>
      </c>
      <c r="D29" s="3282">
        <f>SUMIFS(BCRR_REHAB!L:L,BCRR_REHAB!D:D,'Huella materiales (2)'!A29)</f>
        <v>0</v>
      </c>
      <c r="E29" s="1030">
        <f>'Datos_aux_materiales (2)'!M29</f>
        <v>39.2227605</v>
      </c>
      <c r="F29" s="2836">
        <f t="shared" si="1"/>
        <v>0</v>
      </c>
      <c r="G29" s="2823">
        <f>'Datos_aux_materiales (2)'!R29</f>
        <v>69.3</v>
      </c>
      <c r="H29" s="2825">
        <f t="shared" si="2"/>
        <v>0</v>
      </c>
      <c r="I29" s="2829">
        <f t="shared" si="3"/>
        <v>0</v>
      </c>
      <c r="J29" s="2851">
        <f t="shared" si="4"/>
        <v>0</v>
      </c>
      <c r="K29" s="2834">
        <f t="shared" si="5"/>
        <v>0</v>
      </c>
      <c r="L29" s="2653"/>
      <c r="M29" s="2654"/>
      <c r="N29" s="2653"/>
      <c r="O29" s="2654"/>
      <c r="P29" s="2653"/>
      <c r="Q29" s="2654"/>
      <c r="R29" s="2653"/>
      <c r="S29" s="2654"/>
      <c r="T29" s="2653"/>
      <c r="U29" s="2654"/>
      <c r="V29" s="2653"/>
      <c r="W29" s="2654"/>
      <c r="X29" s="2653"/>
      <c r="Y29" s="2654"/>
      <c r="Z29" s="2653"/>
      <c r="AA29" s="2654"/>
      <c r="AB29" s="2653"/>
      <c r="AC29" s="2654"/>
      <c r="AD29" s="2653"/>
      <c r="AE29" s="2654"/>
      <c r="AF29" s="2653"/>
      <c r="AG29" s="2654"/>
      <c r="AH29" s="2657"/>
      <c r="AI29" s="2657"/>
      <c r="AJ29" s="2657"/>
      <c r="AK29" s="2657"/>
      <c r="AL29" s="2657"/>
      <c r="AM29" s="2657"/>
      <c r="AN29" s="2657"/>
      <c r="AO29" s="2657"/>
      <c r="AP29" s="2657"/>
      <c r="AQ29" s="2657"/>
      <c r="AR29" s="2657"/>
      <c r="AS29" s="2656"/>
      <c r="AT29" s="635"/>
      <c r="AU29" s="2928" t="s">
        <v>677</v>
      </c>
      <c r="AV29" s="993">
        <v>10</v>
      </c>
      <c r="AW29" s="22"/>
      <c r="AX29" s="22"/>
      <c r="AY29" s="22"/>
      <c r="AZ29" s="22"/>
      <c r="BA29" s="22"/>
      <c r="BB29" s="22"/>
      <c r="BC29" s="22"/>
      <c r="BD29" s="22"/>
      <c r="BE29" s="22"/>
      <c r="BF29" s="22"/>
      <c r="BG29" s="22"/>
      <c r="BH29" s="22"/>
      <c r="BI29" s="22"/>
      <c r="BJ29" s="16"/>
      <c r="BK29" s="16"/>
      <c r="BL29" s="16"/>
      <c r="BM29" s="16"/>
      <c r="BN29" s="16"/>
      <c r="BO29" s="635"/>
      <c r="BP29" s="635"/>
      <c r="BQ29" s="635"/>
      <c r="BR29" s="16"/>
      <c r="BS29" s="16"/>
      <c r="BT29" s="16"/>
      <c r="BU29" s="16"/>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row>
    <row r="30" spans="1:105">
      <c r="A30" s="2544" t="s">
        <v>2440</v>
      </c>
      <c r="B30" s="2549" t="s">
        <v>1504</v>
      </c>
      <c r="C30" s="2542" t="s">
        <v>2441</v>
      </c>
      <c r="D30" s="3282">
        <f>SUMIFS(BCRR_REHAB!L:L,BCRR_REHAB!D:D,'Huella materiales (2)'!A30)</f>
        <v>0</v>
      </c>
      <c r="E30" s="1030">
        <f>'Datos_aux_materiales (2)'!M30</f>
        <v>3.6020902500000003</v>
      </c>
      <c r="F30" s="2836">
        <f t="shared" si="1"/>
        <v>0</v>
      </c>
      <c r="G30" s="2823">
        <f>'Datos_aux_materiales (2)'!R30</f>
        <v>68.3</v>
      </c>
      <c r="H30" s="2825">
        <f t="shared" si="2"/>
        <v>0</v>
      </c>
      <c r="I30" s="2829">
        <f t="shared" si="3"/>
        <v>0</v>
      </c>
      <c r="J30" s="2851">
        <f t="shared" si="4"/>
        <v>0</v>
      </c>
      <c r="K30" s="2834">
        <f t="shared" si="5"/>
        <v>0</v>
      </c>
      <c r="L30" s="2653"/>
      <c r="M30" s="2654"/>
      <c r="N30" s="2653"/>
      <c r="O30" s="2654"/>
      <c r="P30" s="2653"/>
      <c r="Q30" s="2654"/>
      <c r="R30" s="2653"/>
      <c r="S30" s="2654"/>
      <c r="T30" s="2653"/>
      <c r="U30" s="2654"/>
      <c r="V30" s="2653"/>
      <c r="W30" s="2654"/>
      <c r="X30" s="2653"/>
      <c r="Y30" s="2654"/>
      <c r="Z30" s="2653"/>
      <c r="AA30" s="2654"/>
      <c r="AB30" s="2653"/>
      <c r="AC30" s="2654"/>
      <c r="AD30" s="2653"/>
      <c r="AE30" s="2654"/>
      <c r="AF30" s="2653"/>
      <c r="AG30" s="2654"/>
      <c r="AH30" s="2657"/>
      <c r="AI30" s="2657"/>
      <c r="AJ30" s="2657"/>
      <c r="AK30" s="2657"/>
      <c r="AL30" s="2657"/>
      <c r="AM30" s="2657"/>
      <c r="AN30" s="2657"/>
      <c r="AO30" s="2657"/>
      <c r="AP30" s="2657"/>
      <c r="AQ30" s="2657"/>
      <c r="AR30" s="2657"/>
      <c r="AS30" s="2656"/>
      <c r="AT30" s="635"/>
      <c r="AU30" s="2929" t="s">
        <v>1262</v>
      </c>
      <c r="AV30" s="991">
        <v>0</v>
      </c>
      <c r="AW30" s="16"/>
      <c r="AX30" s="16"/>
      <c r="AY30" s="22"/>
      <c r="AZ30" s="22"/>
      <c r="BA30" s="22"/>
      <c r="BB30" s="22"/>
      <c r="BC30" s="22"/>
      <c r="BD30" s="22"/>
      <c r="BE30" s="22"/>
      <c r="BF30" s="22"/>
      <c r="BG30" s="22"/>
      <c r="BH30" s="22"/>
      <c r="BI30" s="22"/>
      <c r="BJ30" s="16"/>
      <c r="BK30" s="16"/>
      <c r="BO30" s="635"/>
      <c r="BP30" s="635"/>
      <c r="BQ30" s="635"/>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row>
    <row r="31" spans="1:105">
      <c r="A31" s="2544" t="s">
        <v>2438</v>
      </c>
      <c r="B31" s="2549" t="s">
        <v>1504</v>
      </c>
      <c r="C31" s="2542" t="s">
        <v>2439</v>
      </c>
      <c r="D31" s="3282">
        <f>SUMIFS(BCRR_REHAB!L:L,BCRR_REHAB!D:D,'Huella materiales (2)'!A31)</f>
        <v>0</v>
      </c>
      <c r="E31" s="1030">
        <f>'Datos_aux_materiales (2)'!M31</f>
        <v>3.6020902500000003</v>
      </c>
      <c r="F31" s="2836">
        <f t="shared" si="1"/>
        <v>0</v>
      </c>
      <c r="G31" s="2823">
        <f>'Datos_aux_materiales (2)'!R31</f>
        <v>68.3</v>
      </c>
      <c r="H31" s="2825">
        <f t="shared" si="2"/>
        <v>0</v>
      </c>
      <c r="I31" s="2829">
        <f t="shared" si="3"/>
        <v>0</v>
      </c>
      <c r="J31" s="2851">
        <f t="shared" si="4"/>
        <v>0</v>
      </c>
      <c r="K31" s="2834">
        <f t="shared" si="5"/>
        <v>0</v>
      </c>
      <c r="L31" s="2653"/>
      <c r="M31" s="2654"/>
      <c r="N31" s="2653"/>
      <c r="O31" s="2654"/>
      <c r="P31" s="2653"/>
      <c r="Q31" s="2654"/>
      <c r="R31" s="2653"/>
      <c r="S31" s="2654"/>
      <c r="T31" s="2653"/>
      <c r="U31" s="2654"/>
      <c r="V31" s="2653"/>
      <c r="W31" s="2654"/>
      <c r="X31" s="2653"/>
      <c r="Y31" s="2654"/>
      <c r="Z31" s="2653"/>
      <c r="AA31" s="2654"/>
      <c r="AB31" s="2653"/>
      <c r="AC31" s="2654"/>
      <c r="AD31" s="2653"/>
      <c r="AE31" s="2654"/>
      <c r="AF31" s="2653"/>
      <c r="AG31" s="2654"/>
      <c r="AH31" s="2657"/>
      <c r="AI31" s="2657"/>
      <c r="AJ31" s="2657"/>
      <c r="AK31" s="2657"/>
      <c r="AL31" s="2657"/>
      <c r="AM31" s="2657"/>
      <c r="AN31" s="2657"/>
      <c r="AO31" s="2657"/>
      <c r="AP31" s="2657"/>
      <c r="AQ31" s="2657"/>
      <c r="AR31" s="2657"/>
      <c r="AS31" s="2656"/>
      <c r="AT31" s="635"/>
      <c r="AU31" s="2928" t="s">
        <v>1263</v>
      </c>
      <c r="AV31" s="993">
        <v>0</v>
      </c>
      <c r="AW31" s="16"/>
      <c r="AX31" s="16"/>
      <c r="AY31" s="22"/>
      <c r="AZ31" s="22"/>
      <c r="BA31" s="22"/>
      <c r="BB31" s="22"/>
      <c r="BC31" s="22"/>
      <c r="BD31" s="22"/>
      <c r="BE31" s="22"/>
      <c r="BF31" s="22"/>
      <c r="BG31" s="22"/>
      <c r="BH31" s="22"/>
      <c r="BI31" s="22"/>
      <c r="BJ31" s="16"/>
      <c r="BK31" s="16"/>
      <c r="BO31" s="635"/>
      <c r="BP31" s="635"/>
      <c r="BQ31" s="635"/>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row>
    <row r="32" spans="1:105">
      <c r="A32" s="2523" t="s">
        <v>2444</v>
      </c>
      <c r="B32" s="2565" t="s">
        <v>1504</v>
      </c>
      <c r="C32" s="2522" t="s">
        <v>2445</v>
      </c>
      <c r="D32" s="3282">
        <f>SUMIFS(BCRR_REHAB!L:L,BCRR_REHAB!D:D,'Huella materiales (2)'!A32)</f>
        <v>0</v>
      </c>
      <c r="E32" s="1030">
        <f>'Datos_aux_materiales (2)'!M32</f>
        <v>1.6009290000000003</v>
      </c>
      <c r="F32" s="2836">
        <f t="shared" si="1"/>
        <v>0</v>
      </c>
      <c r="G32" s="2823">
        <f>'Datos_aux_materiales (2)'!R32</f>
        <v>68.3</v>
      </c>
      <c r="H32" s="2825">
        <f t="shared" si="2"/>
        <v>0</v>
      </c>
      <c r="I32" s="2829">
        <f t="shared" si="3"/>
        <v>0</v>
      </c>
      <c r="J32" s="2851">
        <f t="shared" si="4"/>
        <v>0</v>
      </c>
      <c r="K32" s="2834">
        <f t="shared" si="5"/>
        <v>0</v>
      </c>
      <c r="L32" s="2653"/>
      <c r="M32" s="2654"/>
      <c r="N32" s="2653"/>
      <c r="O32" s="2654"/>
      <c r="P32" s="2653"/>
      <c r="Q32" s="2654"/>
      <c r="R32" s="2653"/>
      <c r="S32" s="2654"/>
      <c r="T32" s="2653"/>
      <c r="U32" s="2654"/>
      <c r="V32" s="2653"/>
      <c r="W32" s="2654"/>
      <c r="X32" s="2653"/>
      <c r="Y32" s="2654"/>
      <c r="Z32" s="2653"/>
      <c r="AA32" s="2654"/>
      <c r="AB32" s="2653"/>
      <c r="AC32" s="2654"/>
      <c r="AD32" s="2653"/>
      <c r="AE32" s="2654"/>
      <c r="AF32" s="2653"/>
      <c r="AG32" s="2654"/>
      <c r="AH32" s="2657"/>
      <c r="AI32" s="2657"/>
      <c r="AJ32" s="2657"/>
      <c r="AK32" s="2657"/>
      <c r="AL32" s="2657"/>
      <c r="AM32" s="2657"/>
      <c r="AN32" s="2657"/>
      <c r="AO32" s="2657"/>
      <c r="AP32" s="2657"/>
      <c r="AQ32" s="2657"/>
      <c r="AR32" s="2657"/>
      <c r="AS32" s="2656"/>
      <c r="AT32" s="635"/>
      <c r="AU32" s="2927" t="s">
        <v>1264</v>
      </c>
      <c r="AV32" s="995">
        <v>1</v>
      </c>
      <c r="AW32" s="16"/>
      <c r="AX32" s="16"/>
      <c r="AY32" s="22"/>
      <c r="AZ32" s="22"/>
      <c r="BA32" s="22"/>
      <c r="BB32" s="22"/>
      <c r="BC32" s="22"/>
      <c r="BD32" s="22"/>
      <c r="BE32" s="22"/>
      <c r="BF32" s="22"/>
      <c r="BG32" s="22"/>
      <c r="BH32" s="22"/>
      <c r="BI32" s="22"/>
      <c r="BJ32" s="16"/>
      <c r="BK32" s="16"/>
      <c r="BO32" s="635"/>
      <c r="BP32" s="635"/>
      <c r="BQ32" s="635"/>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row>
    <row r="33" spans="1:104">
      <c r="A33" s="2615" t="s">
        <v>2464</v>
      </c>
      <c r="B33" s="2884" t="s">
        <v>1504</v>
      </c>
      <c r="C33" s="2613" t="s">
        <v>2465</v>
      </c>
      <c r="D33" s="3282">
        <f>SUMIFS(BCRR_REHAB!L:L,BCRR_REHAB!D:D,'Huella materiales (2)'!A33)</f>
        <v>0</v>
      </c>
      <c r="E33" s="1030">
        <f>'Datos_aux_materiales (2)'!M33</f>
        <v>24.013935</v>
      </c>
      <c r="F33" s="2836">
        <f t="shared" si="1"/>
        <v>0</v>
      </c>
      <c r="G33" s="2823">
        <f>'Datos_aux_materiales (2)'!R33</f>
        <v>69.3</v>
      </c>
      <c r="H33" s="2825">
        <f t="shared" si="2"/>
        <v>0</v>
      </c>
      <c r="I33" s="2829">
        <f t="shared" si="3"/>
        <v>0</v>
      </c>
      <c r="J33" s="2851">
        <f t="shared" si="4"/>
        <v>0</v>
      </c>
      <c r="K33" s="2834">
        <f t="shared" si="5"/>
        <v>0</v>
      </c>
      <c r="L33" s="2653"/>
      <c r="M33" s="2654"/>
      <c r="N33" s="2653"/>
      <c r="O33" s="2654"/>
      <c r="P33" s="2653"/>
      <c r="Q33" s="2654"/>
      <c r="R33" s="2653"/>
      <c r="S33" s="2654"/>
      <c r="T33" s="2653"/>
      <c r="U33" s="2654"/>
      <c r="V33" s="2653"/>
      <c r="W33" s="2654"/>
      <c r="X33" s="2653"/>
      <c r="Y33" s="2654"/>
      <c r="Z33" s="2653"/>
      <c r="AA33" s="2654"/>
      <c r="AB33" s="2653"/>
      <c r="AC33" s="2654"/>
      <c r="AD33" s="2653"/>
      <c r="AE33" s="2654"/>
      <c r="AF33" s="2653"/>
      <c r="AG33" s="2654"/>
      <c r="AH33" s="2657"/>
      <c r="AI33" s="2657"/>
      <c r="AJ33" s="2657"/>
      <c r="AK33" s="2657"/>
      <c r="AL33" s="2657"/>
      <c r="AM33" s="2657"/>
      <c r="AN33" s="2657"/>
      <c r="AO33" s="2657"/>
      <c r="AP33" s="2657"/>
      <c r="AQ33" s="2657"/>
      <c r="AR33" s="2657"/>
      <c r="AS33" s="2656"/>
      <c r="AT33" s="635"/>
      <c r="AU33" s="2930" t="s">
        <v>1265</v>
      </c>
      <c r="AV33" s="997">
        <v>1</v>
      </c>
      <c r="AW33" s="16"/>
      <c r="AX33" s="16"/>
      <c r="AY33" s="22"/>
      <c r="AZ33" s="22"/>
      <c r="BA33" s="22"/>
      <c r="BB33" s="22"/>
      <c r="BC33" s="22"/>
      <c r="BD33" s="22"/>
      <c r="BE33" s="22"/>
      <c r="BF33" s="22"/>
      <c r="BG33" s="22"/>
      <c r="BH33" s="22"/>
      <c r="BI33" s="22"/>
      <c r="BJ33" s="16"/>
      <c r="BK33" s="16"/>
      <c r="BO33" s="635"/>
      <c r="BP33" s="635"/>
      <c r="BQ33" s="635"/>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row>
    <row r="34" spans="1:104" s="1521" customFormat="1">
      <c r="A34" s="2535" t="s">
        <v>2487</v>
      </c>
      <c r="B34" s="2883" t="s">
        <v>1504</v>
      </c>
      <c r="C34" s="2522" t="s">
        <v>2488</v>
      </c>
      <c r="D34" s="3282">
        <f>SUMIFS(BCRR_REHAB!L:L,BCRR_REHAB!D:D,'Huella materiales (2)'!A34)</f>
        <v>0</v>
      </c>
      <c r="E34" s="1030">
        <f>'Datos_aux_materiales (2)'!M34</f>
        <v>0.52030192499999994</v>
      </c>
      <c r="F34" s="2836">
        <f t="shared" si="1"/>
        <v>0</v>
      </c>
      <c r="G34" s="2823">
        <f>'Datos_aux_materiales (2)'!R34</f>
        <v>33.160000000000004</v>
      </c>
      <c r="H34" s="2825">
        <f t="shared" si="2"/>
        <v>0</v>
      </c>
      <c r="I34" s="2829">
        <f t="shared" si="3"/>
        <v>0</v>
      </c>
      <c r="J34" s="2851">
        <f t="shared" si="4"/>
        <v>0</v>
      </c>
      <c r="K34" s="2834">
        <f t="shared" si="5"/>
        <v>0</v>
      </c>
      <c r="L34" s="2653"/>
      <c r="M34" s="2654"/>
      <c r="N34" s="2653"/>
      <c r="O34" s="2654"/>
      <c r="P34" s="2653"/>
      <c r="Q34" s="2654"/>
      <c r="R34" s="2653"/>
      <c r="S34" s="2654"/>
      <c r="T34" s="2653"/>
      <c r="U34" s="2654"/>
      <c r="V34" s="2653"/>
      <c r="W34" s="2654"/>
      <c r="X34" s="2653"/>
      <c r="Y34" s="2654"/>
      <c r="Z34" s="2653"/>
      <c r="AA34" s="2654"/>
      <c r="AB34" s="2653"/>
      <c r="AC34" s="2654"/>
      <c r="AD34" s="2653"/>
      <c r="AE34" s="2654"/>
      <c r="AF34" s="2653"/>
      <c r="AG34" s="2654"/>
      <c r="AH34" s="2657"/>
      <c r="AI34" s="2657"/>
      <c r="AJ34" s="2657"/>
      <c r="AK34" s="2657"/>
      <c r="AL34" s="2657"/>
      <c r="AM34" s="2657"/>
      <c r="AN34" s="2657"/>
      <c r="AO34" s="2657"/>
      <c r="AP34" s="2657"/>
      <c r="AQ34" s="2657"/>
      <c r="AR34" s="2657"/>
      <c r="AS34" s="2656"/>
      <c r="AT34" s="635"/>
      <c r="AU34" s="2931" t="s">
        <v>1266</v>
      </c>
      <c r="AV34" s="999">
        <v>0</v>
      </c>
      <c r="AW34" s="22"/>
      <c r="AX34" s="22"/>
      <c r="AY34" s="22"/>
      <c r="AZ34" s="22"/>
      <c r="BA34" s="22"/>
      <c r="BB34" s="22"/>
      <c r="BC34" s="22"/>
      <c r="BD34" s="22"/>
      <c r="BE34" s="22"/>
      <c r="BF34" s="22"/>
      <c r="BG34" s="22"/>
      <c r="BH34" s="22"/>
      <c r="BI34" s="22"/>
      <c r="BJ34" s="16"/>
      <c r="BK34" s="16"/>
      <c r="BL34" s="16"/>
      <c r="BM34" s="16"/>
      <c r="BN34" s="16"/>
      <c r="BO34" s="635"/>
      <c r="BP34" s="635"/>
      <c r="BQ34" s="635"/>
      <c r="BR34" s="16"/>
      <c r="BS34" s="16"/>
      <c r="BT34" s="16"/>
      <c r="BU34" s="16"/>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row>
    <row r="35" spans="1:104">
      <c r="A35" s="2523" t="s">
        <v>2479</v>
      </c>
      <c r="B35" s="2565" t="s">
        <v>1504</v>
      </c>
      <c r="C35" s="2522" t="s">
        <v>2480</v>
      </c>
      <c r="D35" s="3282">
        <f>SUMIFS(BCRR_REHAB!L:L,BCRR_REHAB!D:D,'Huella materiales (2)'!A35)</f>
        <v>0</v>
      </c>
      <c r="E35" s="1030">
        <f>'Datos_aux_materiales (2)'!M35</f>
        <v>2.4013934999999997</v>
      </c>
      <c r="F35" s="2836">
        <f t="shared" si="1"/>
        <v>0</v>
      </c>
      <c r="G35" s="2823">
        <f>'Datos_aux_materiales (2)'!R35</f>
        <v>34.159999999999997</v>
      </c>
      <c r="H35" s="2825">
        <f t="shared" si="2"/>
        <v>0</v>
      </c>
      <c r="I35" s="2829">
        <f t="shared" si="3"/>
        <v>0</v>
      </c>
      <c r="J35" s="2851">
        <f t="shared" si="4"/>
        <v>0</v>
      </c>
      <c r="K35" s="2834">
        <f t="shared" si="5"/>
        <v>0</v>
      </c>
      <c r="L35" s="2653"/>
      <c r="M35" s="2654"/>
      <c r="N35" s="2653"/>
      <c r="O35" s="2654"/>
      <c r="P35" s="2653"/>
      <c r="Q35" s="2654"/>
      <c r="R35" s="2653"/>
      <c r="S35" s="2654"/>
      <c r="T35" s="2653"/>
      <c r="U35" s="2654"/>
      <c r="V35" s="2653"/>
      <c r="W35" s="2654"/>
      <c r="X35" s="2653"/>
      <c r="Y35" s="2654"/>
      <c r="Z35" s="2653"/>
      <c r="AA35" s="2654"/>
      <c r="AB35" s="2653"/>
      <c r="AC35" s="2654"/>
      <c r="AD35" s="2653"/>
      <c r="AE35" s="2654"/>
      <c r="AF35" s="2653"/>
      <c r="AG35" s="2654"/>
      <c r="AH35" s="2657"/>
      <c r="AI35" s="2657"/>
      <c r="AJ35" s="2657"/>
      <c r="AK35" s="2657"/>
      <c r="AL35" s="2657"/>
      <c r="AM35" s="2657"/>
      <c r="AN35" s="2657"/>
      <c r="AO35" s="2657"/>
      <c r="AP35" s="2657"/>
      <c r="AQ35" s="2657"/>
      <c r="AR35" s="2657"/>
      <c r="AS35" s="2656"/>
      <c r="AT35" s="635"/>
      <c r="AU35" s="2931" t="s">
        <v>361</v>
      </c>
      <c r="AV35" s="999">
        <f>K351/1000</f>
        <v>94.172844098119157</v>
      </c>
      <c r="AW35" s="16"/>
      <c r="AX35" s="16"/>
      <c r="AY35" s="22"/>
      <c r="AZ35" s="22"/>
      <c r="BA35" s="22"/>
      <c r="BB35" s="22"/>
      <c r="BC35" s="22"/>
      <c r="BD35" s="22"/>
      <c r="BE35" s="22"/>
      <c r="BF35" s="22"/>
      <c r="BG35" s="22"/>
      <c r="BH35" s="22"/>
      <c r="BI35" s="22"/>
      <c r="BJ35" s="16"/>
      <c r="BK35" s="16"/>
      <c r="BO35" s="635"/>
      <c r="BP35" s="635"/>
      <c r="BQ35" s="635"/>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row>
    <row r="36" spans="1:104">
      <c r="A36" s="2544" t="s">
        <v>2458</v>
      </c>
      <c r="B36" s="2549" t="s">
        <v>1504</v>
      </c>
      <c r="C36" s="2542" t="s">
        <v>2459</v>
      </c>
      <c r="D36" s="3282">
        <f>SUMIFS(BCRR_REHAB!L:L,BCRR_REHAB!D:D,'Huella materiales (2)'!A36)</f>
        <v>0</v>
      </c>
      <c r="E36" s="1030">
        <f>'Datos_aux_materiales (2)'!M36</f>
        <v>0.80046450000000013</v>
      </c>
      <c r="F36" s="2836">
        <f t="shared" si="1"/>
        <v>0</v>
      </c>
      <c r="G36" s="2823">
        <f>'Datos_aux_materiales (2)'!R36</f>
        <v>35.159999999999997</v>
      </c>
      <c r="H36" s="2825">
        <f t="shared" si="2"/>
        <v>0</v>
      </c>
      <c r="I36" s="2829">
        <f t="shared" si="3"/>
        <v>0</v>
      </c>
      <c r="J36" s="2851">
        <f t="shared" si="4"/>
        <v>0</v>
      </c>
      <c r="K36" s="2834">
        <f t="shared" si="5"/>
        <v>0</v>
      </c>
      <c r="L36" s="2653"/>
      <c r="M36" s="2654"/>
      <c r="N36" s="2653"/>
      <c r="O36" s="2654"/>
      <c r="P36" s="2653"/>
      <c r="Q36" s="2654"/>
      <c r="R36" s="2653"/>
      <c r="S36" s="2654"/>
      <c r="T36" s="2653"/>
      <c r="U36" s="2654"/>
      <c r="V36" s="2653"/>
      <c r="W36" s="2654"/>
      <c r="X36" s="2653"/>
      <c r="Y36" s="2654"/>
      <c r="Z36" s="2653"/>
      <c r="AA36" s="2654"/>
      <c r="AB36" s="2653"/>
      <c r="AC36" s="2654"/>
      <c r="AD36" s="2653"/>
      <c r="AE36" s="2654"/>
      <c r="AF36" s="2653"/>
      <c r="AG36" s="2654"/>
      <c r="AH36" s="2657"/>
      <c r="AI36" s="2657"/>
      <c r="AJ36" s="2657"/>
      <c r="AK36" s="2657"/>
      <c r="AL36" s="2657"/>
      <c r="AM36" s="2657"/>
      <c r="AN36" s="2657"/>
      <c r="AO36" s="2657"/>
      <c r="AP36" s="2657"/>
      <c r="AQ36" s="2657"/>
      <c r="AR36" s="2657"/>
      <c r="AS36" s="2656"/>
      <c r="AT36" s="635"/>
      <c r="AU36" s="2932" t="s">
        <v>676</v>
      </c>
      <c r="AV36" s="2994">
        <v>0</v>
      </c>
      <c r="AW36" s="16"/>
      <c r="AX36" s="16"/>
      <c r="AY36" s="22"/>
      <c r="AZ36" s="22"/>
      <c r="BA36" s="22"/>
      <c r="BB36" s="22"/>
      <c r="BC36" s="22"/>
      <c r="BD36" s="22"/>
      <c r="BE36" s="22"/>
      <c r="BF36" s="22"/>
      <c r="BG36" s="22"/>
      <c r="BH36" s="22"/>
      <c r="BI36" s="22"/>
      <c r="BJ36" s="16"/>
      <c r="BK36" s="16"/>
      <c r="BO36" s="635"/>
      <c r="BP36" s="635"/>
      <c r="BQ36" s="635"/>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row>
    <row r="37" spans="1:104" s="1521" customFormat="1">
      <c r="A37" s="2544" t="s">
        <v>2318</v>
      </c>
      <c r="B37" s="2549" t="s">
        <v>1504</v>
      </c>
      <c r="C37" s="2542" t="s">
        <v>2317</v>
      </c>
      <c r="D37" s="3282">
        <f>SUMIFS(BCRR_REHAB!L:L,BCRR_REHAB!D:D,'Huella materiales (2)'!A37)</f>
        <v>0</v>
      </c>
      <c r="E37" s="1030">
        <f>'Datos_aux_materiales (2)'!M37</f>
        <v>3.6020902500000003</v>
      </c>
      <c r="F37" s="2836">
        <f t="shared" ref="F37:F68" si="37">D37*E37</f>
        <v>0</v>
      </c>
      <c r="G37" s="2823">
        <f>'Datos_aux_materiales (2)'!R37</f>
        <v>68.3</v>
      </c>
      <c r="H37" s="2825">
        <f t="shared" si="2"/>
        <v>0</v>
      </c>
      <c r="I37" s="2829">
        <f t="shared" ref="I37:I68" si="38">H37/$AV$5*$AV$7</f>
        <v>0</v>
      </c>
      <c r="J37" s="2851">
        <f t="shared" ref="J37:J68" si="39">I37/$AV$8</f>
        <v>0</v>
      </c>
      <c r="K37" s="2834">
        <f t="shared" ref="K37:K72" si="40">F37*1.05</f>
        <v>0</v>
      </c>
      <c r="L37" s="2653"/>
      <c r="M37" s="2654"/>
      <c r="N37" s="2653"/>
      <c r="O37" s="2654"/>
      <c r="P37" s="2653"/>
      <c r="Q37" s="2654"/>
      <c r="R37" s="2653"/>
      <c r="S37" s="2654"/>
      <c r="T37" s="2653"/>
      <c r="U37" s="2654"/>
      <c r="V37" s="2653"/>
      <c r="W37" s="2654"/>
      <c r="X37" s="2653"/>
      <c r="Y37" s="2654"/>
      <c r="Z37" s="2653"/>
      <c r="AA37" s="2654"/>
      <c r="AB37" s="2653"/>
      <c r="AC37" s="2654"/>
      <c r="AD37" s="2653"/>
      <c r="AE37" s="2654"/>
      <c r="AF37" s="2653"/>
      <c r="AG37" s="2654"/>
      <c r="AH37" s="2657"/>
      <c r="AI37" s="2657"/>
      <c r="AJ37" s="2657"/>
      <c r="AK37" s="2657"/>
      <c r="AL37" s="2657"/>
      <c r="AM37" s="2657"/>
      <c r="AN37" s="2657"/>
      <c r="AO37" s="2657"/>
      <c r="AP37" s="2657"/>
      <c r="AQ37" s="2657"/>
      <c r="AR37" s="2657"/>
      <c r="AS37" s="2656"/>
      <c r="AT37" s="635"/>
      <c r="AU37" s="2933" t="s">
        <v>1267</v>
      </c>
      <c r="AV37" s="2995">
        <v>0</v>
      </c>
      <c r="AW37" s="22"/>
      <c r="AX37" s="22"/>
      <c r="AY37" s="22"/>
      <c r="AZ37" s="22"/>
      <c r="BA37" s="22"/>
      <c r="BB37" s="22"/>
      <c r="BC37" s="22"/>
      <c r="BD37" s="22"/>
      <c r="BE37" s="22"/>
      <c r="BF37" s="22"/>
      <c r="BG37" s="22"/>
      <c r="BH37" s="22"/>
      <c r="BI37" s="22"/>
      <c r="BJ37" s="16"/>
      <c r="BK37" s="16"/>
      <c r="BL37" s="16"/>
      <c r="BM37" s="16"/>
      <c r="BN37" s="16"/>
      <c r="BO37" s="635"/>
      <c r="BP37" s="635"/>
      <c r="BQ37" s="635"/>
      <c r="BR37" s="16"/>
      <c r="BS37" s="16"/>
      <c r="BT37" s="16"/>
      <c r="BU37" s="16"/>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row>
    <row r="38" spans="1:104">
      <c r="A38" s="2544" t="s">
        <v>2321</v>
      </c>
      <c r="B38" s="2549" t="s">
        <v>1504</v>
      </c>
      <c r="C38" s="2542" t="s">
        <v>2320</v>
      </c>
      <c r="D38" s="3282">
        <f>SUMIFS(BCRR_REHAB!L:L,BCRR_REHAB!D:D,'Huella materiales (2)'!A38)</f>
        <v>0</v>
      </c>
      <c r="E38" s="1030">
        <f>'Datos_aux_materiales (2)'!M38</f>
        <v>4.8027869999999995</v>
      </c>
      <c r="F38" s="2836">
        <f t="shared" si="37"/>
        <v>0</v>
      </c>
      <c r="G38" s="2823">
        <f>'Datos_aux_materiales (2)'!R38</f>
        <v>68.3</v>
      </c>
      <c r="H38" s="2825">
        <f t="shared" si="2"/>
        <v>0</v>
      </c>
      <c r="I38" s="2829">
        <f t="shared" si="38"/>
        <v>0</v>
      </c>
      <c r="J38" s="2851">
        <f t="shared" si="39"/>
        <v>0</v>
      </c>
      <c r="K38" s="2834">
        <f t="shared" si="40"/>
        <v>0</v>
      </c>
      <c r="L38" s="2653"/>
      <c r="M38" s="2654"/>
      <c r="N38" s="2653"/>
      <c r="O38" s="2654"/>
      <c r="P38" s="2653"/>
      <c r="Q38" s="2654"/>
      <c r="R38" s="2653"/>
      <c r="S38" s="2654"/>
      <c r="T38" s="2653"/>
      <c r="U38" s="2654"/>
      <c r="V38" s="2653"/>
      <c r="W38" s="2654"/>
      <c r="X38" s="2653"/>
      <c r="Y38" s="2654"/>
      <c r="Z38" s="2653"/>
      <c r="AA38" s="2654"/>
      <c r="AB38" s="2653"/>
      <c r="AC38" s="2654"/>
      <c r="AD38" s="2653"/>
      <c r="AE38" s="2654"/>
      <c r="AF38" s="2653"/>
      <c r="AG38" s="2654"/>
      <c r="AH38" s="2657"/>
      <c r="AI38" s="2657"/>
      <c r="AJ38" s="2657"/>
      <c r="AK38" s="2657"/>
      <c r="AL38" s="2657"/>
      <c r="AM38" s="2657"/>
      <c r="AN38" s="2657"/>
      <c r="AO38" s="2657"/>
      <c r="AP38" s="2657"/>
      <c r="AQ38" s="2657"/>
      <c r="AR38" s="2657"/>
      <c r="AS38" s="2656"/>
      <c r="AT38" s="635"/>
      <c r="AU38" s="2929" t="s">
        <v>1268</v>
      </c>
      <c r="AV38" s="2994">
        <f>AV36*AV33</f>
        <v>0</v>
      </c>
      <c r="AW38" s="16"/>
      <c r="AX38" s="16"/>
      <c r="AY38" s="22"/>
      <c r="AZ38" s="22"/>
      <c r="BA38" s="22"/>
      <c r="BB38" s="22"/>
      <c r="BC38" s="22"/>
      <c r="BD38" s="22"/>
      <c r="BE38" s="22"/>
      <c r="BF38" s="22"/>
      <c r="BG38" s="22"/>
      <c r="BH38" s="22"/>
      <c r="BI38" s="22"/>
      <c r="BJ38" s="16"/>
      <c r="BK38" s="16"/>
      <c r="BO38" s="635"/>
      <c r="BP38" s="635"/>
      <c r="BQ38" s="635"/>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row>
    <row r="39" spans="1:104">
      <c r="A39" s="2544" t="s">
        <v>2324</v>
      </c>
      <c r="B39" s="2549" t="s">
        <v>1504</v>
      </c>
      <c r="C39" s="2542" t="s">
        <v>2323</v>
      </c>
      <c r="D39" s="3282">
        <f>SUMIFS(BCRR_REHAB!L:L,BCRR_REHAB!D:D,'Huella materiales (2)'!A39)</f>
        <v>0</v>
      </c>
      <c r="E39" s="1030">
        <f>'Datos_aux_materiales (2)'!M39</f>
        <v>6.00348375</v>
      </c>
      <c r="F39" s="2836">
        <f t="shared" si="37"/>
        <v>0</v>
      </c>
      <c r="G39" s="2823">
        <f>'Datos_aux_materiales (2)'!R39</f>
        <v>68.3</v>
      </c>
      <c r="H39" s="2825">
        <f t="shared" si="2"/>
        <v>0</v>
      </c>
      <c r="I39" s="2829">
        <f t="shared" si="38"/>
        <v>0</v>
      </c>
      <c r="J39" s="2851">
        <f t="shared" si="39"/>
        <v>0</v>
      </c>
      <c r="K39" s="2834">
        <f t="shared" si="40"/>
        <v>0</v>
      </c>
      <c r="L39" s="2653"/>
      <c r="M39" s="2654"/>
      <c r="N39" s="2653"/>
      <c r="O39" s="2654"/>
      <c r="P39" s="2653"/>
      <c r="Q39" s="2654"/>
      <c r="R39" s="2653"/>
      <c r="S39" s="2654"/>
      <c r="T39" s="2653"/>
      <c r="U39" s="2654"/>
      <c r="V39" s="2653"/>
      <c r="W39" s="2654"/>
      <c r="X39" s="2653"/>
      <c r="Y39" s="2654"/>
      <c r="Z39" s="2653"/>
      <c r="AA39" s="2654"/>
      <c r="AB39" s="2653"/>
      <c r="AC39" s="2654"/>
      <c r="AD39" s="2653"/>
      <c r="AE39" s="2654"/>
      <c r="AF39" s="2653"/>
      <c r="AG39" s="2654"/>
      <c r="AH39" s="2657"/>
      <c r="AI39" s="2657"/>
      <c r="AJ39" s="2657"/>
      <c r="AK39" s="2657"/>
      <c r="AL39" s="2657"/>
      <c r="AM39" s="2657"/>
      <c r="AN39" s="2657"/>
      <c r="AO39" s="2657"/>
      <c r="AP39" s="2657"/>
      <c r="AQ39" s="2657"/>
      <c r="AR39" s="2657"/>
      <c r="AS39" s="2656"/>
      <c r="AT39" s="635"/>
      <c r="AU39" s="2934" t="s">
        <v>1269</v>
      </c>
      <c r="AV39" s="2995">
        <v>24</v>
      </c>
      <c r="AW39" s="16"/>
      <c r="AX39" s="16"/>
      <c r="AY39" s="22"/>
      <c r="AZ39" s="22"/>
      <c r="BA39" s="22"/>
      <c r="BB39" s="22"/>
      <c r="BC39" s="22"/>
      <c r="BD39" s="22"/>
      <c r="BE39" s="22"/>
      <c r="BF39" s="22"/>
      <c r="BG39" s="22"/>
      <c r="BH39" s="22"/>
      <c r="BI39" s="22"/>
      <c r="BJ39" s="16"/>
      <c r="BK39" s="16"/>
      <c r="BO39" s="635"/>
      <c r="BP39" s="635"/>
      <c r="BQ39" s="635"/>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row>
    <row r="40" spans="1:104">
      <c r="A40" s="2544" t="s">
        <v>2425</v>
      </c>
      <c r="B40" s="2549" t="s">
        <v>1504</v>
      </c>
      <c r="C40" s="2542" t="s">
        <v>2426</v>
      </c>
      <c r="D40" s="3282">
        <f>SUMIFS(BCRR_REHAB!L:L,BCRR_REHAB!D:D,'Huella materiales (2)'!A40)</f>
        <v>0</v>
      </c>
      <c r="E40" s="1030">
        <f>'Datos_aux_materiales (2)'!M40</f>
        <v>9.1252952999999994</v>
      </c>
      <c r="F40" s="2836">
        <f t="shared" si="37"/>
        <v>0</v>
      </c>
      <c r="G40" s="2823">
        <f>'Datos_aux_materiales (2)'!R40</f>
        <v>68.3</v>
      </c>
      <c r="H40" s="2825">
        <f t="shared" si="2"/>
        <v>0</v>
      </c>
      <c r="I40" s="2829">
        <f t="shared" si="38"/>
        <v>0</v>
      </c>
      <c r="J40" s="2851">
        <f t="shared" si="39"/>
        <v>0</v>
      </c>
      <c r="K40" s="2834">
        <f t="shared" si="40"/>
        <v>0</v>
      </c>
      <c r="L40" s="2653"/>
      <c r="M40" s="2654"/>
      <c r="N40" s="2653"/>
      <c r="O40" s="2654"/>
      <c r="P40" s="2653"/>
      <c r="Q40" s="2654"/>
      <c r="R40" s="2653"/>
      <c r="S40" s="2654"/>
      <c r="T40" s="2653"/>
      <c r="U40" s="2654"/>
      <c r="V40" s="2653"/>
      <c r="W40" s="2654"/>
      <c r="X40" s="2653"/>
      <c r="Y40" s="2654"/>
      <c r="Z40" s="2653"/>
      <c r="AA40" s="2654"/>
      <c r="AB40" s="2653"/>
      <c r="AC40" s="2654"/>
      <c r="AD40" s="2653"/>
      <c r="AE40" s="2654"/>
      <c r="AF40" s="2653"/>
      <c r="AG40" s="2654"/>
      <c r="AH40" s="2657"/>
      <c r="AI40" s="2657"/>
      <c r="AJ40" s="2657"/>
      <c r="AK40" s="2657"/>
      <c r="AL40" s="2657"/>
      <c r="AM40" s="2657"/>
      <c r="AN40" s="2657"/>
      <c r="AO40" s="2657"/>
      <c r="AP40" s="2657"/>
      <c r="AQ40" s="2657"/>
      <c r="AR40" s="2657"/>
      <c r="AS40" s="2656"/>
      <c r="AT40" s="635"/>
      <c r="AU40" s="2934" t="s">
        <v>1270</v>
      </c>
      <c r="AV40" s="2995">
        <v>20</v>
      </c>
      <c r="AW40" s="16"/>
      <c r="AX40" s="16"/>
      <c r="AY40" s="22"/>
      <c r="AZ40" s="22"/>
      <c r="BA40" s="22"/>
      <c r="BB40" s="22"/>
      <c r="BC40" s="22"/>
      <c r="BD40" s="22"/>
      <c r="BE40" s="22"/>
      <c r="BF40" s="22"/>
      <c r="BG40" s="22"/>
      <c r="BH40" s="22"/>
      <c r="BI40" s="22"/>
      <c r="BJ40" s="16"/>
      <c r="BK40" s="16"/>
      <c r="BO40" s="635"/>
      <c r="BP40" s="635"/>
      <c r="BQ40" s="635"/>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row>
    <row r="41" spans="1:104">
      <c r="A41" s="2544" t="s">
        <v>2421</v>
      </c>
      <c r="B41" s="2549" t="s">
        <v>1504</v>
      </c>
      <c r="C41" s="2542" t="s">
        <v>2422</v>
      </c>
      <c r="D41" s="3282">
        <f>SUMIFS(BCRR_REHAB!L:L,BCRR_REHAB!D:D,'Huella materiales (2)'!A41)</f>
        <v>0</v>
      </c>
      <c r="E41" s="1030">
        <f>'Datos_aux_materiales (2)'!M41</f>
        <v>7.4443198500000003</v>
      </c>
      <c r="F41" s="2836">
        <f t="shared" si="37"/>
        <v>0</v>
      </c>
      <c r="G41" s="2823">
        <f>'Datos_aux_materiales (2)'!R41</f>
        <v>68.3</v>
      </c>
      <c r="H41" s="2825">
        <f t="shared" si="2"/>
        <v>0</v>
      </c>
      <c r="I41" s="2829">
        <f t="shared" si="38"/>
        <v>0</v>
      </c>
      <c r="J41" s="2851">
        <f t="shared" si="39"/>
        <v>0</v>
      </c>
      <c r="K41" s="2834">
        <f t="shared" si="40"/>
        <v>0</v>
      </c>
      <c r="L41" s="2653"/>
      <c r="M41" s="2654"/>
      <c r="N41" s="2653"/>
      <c r="O41" s="2654"/>
      <c r="P41" s="2653"/>
      <c r="Q41" s="2654"/>
      <c r="R41" s="2653"/>
      <c r="S41" s="2654"/>
      <c r="T41" s="2653"/>
      <c r="U41" s="2654"/>
      <c r="V41" s="2653"/>
      <c r="W41" s="2654"/>
      <c r="X41" s="2653"/>
      <c r="Y41" s="2654"/>
      <c r="Z41" s="2653"/>
      <c r="AA41" s="2654"/>
      <c r="AB41" s="2653"/>
      <c r="AC41" s="2654"/>
      <c r="AD41" s="2653"/>
      <c r="AE41" s="2654"/>
      <c r="AF41" s="2653"/>
      <c r="AG41" s="2654"/>
      <c r="AH41" s="2657"/>
      <c r="AI41" s="2657"/>
      <c r="AJ41" s="2657"/>
      <c r="AK41" s="2657"/>
      <c r="AL41" s="2657"/>
      <c r="AM41" s="2657"/>
      <c r="AN41" s="2657"/>
      <c r="AO41" s="2657"/>
      <c r="AP41" s="2657"/>
      <c r="AQ41" s="2657"/>
      <c r="AR41" s="2657"/>
      <c r="AS41" s="2656"/>
      <c r="AT41" s="635"/>
      <c r="AU41" s="2934" t="s">
        <v>1271</v>
      </c>
      <c r="AV41" s="2995">
        <v>26</v>
      </c>
      <c r="AW41" s="16"/>
      <c r="AX41" s="16"/>
      <c r="AY41" s="22"/>
      <c r="AZ41" s="22"/>
      <c r="BA41" s="22"/>
      <c r="BB41" s="22"/>
      <c r="BC41" s="22"/>
      <c r="BD41" s="22"/>
      <c r="BE41" s="22"/>
      <c r="BF41" s="22"/>
      <c r="BG41" s="22"/>
      <c r="BH41" s="22"/>
      <c r="BI41" s="22"/>
      <c r="BJ41" s="16"/>
      <c r="BK41" s="16"/>
      <c r="BO41" s="635"/>
      <c r="BP41" s="635"/>
      <c r="BQ41" s="635"/>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row>
    <row r="42" spans="1:104" s="1521" customFormat="1">
      <c r="A42" s="2544" t="s">
        <v>2472</v>
      </c>
      <c r="B42" s="2549" t="s">
        <v>1504</v>
      </c>
      <c r="C42" s="2542" t="s">
        <v>2473</v>
      </c>
      <c r="D42" s="3282">
        <f>SUMIFS(BCRR_REHAB!L:L,BCRR_REHAB!D:D,'Huella materiales (2)'!A42)</f>
        <v>0</v>
      </c>
      <c r="E42" s="1030">
        <f>'Datos_aux_materiales (2)'!M42</f>
        <v>3.6020902500000003</v>
      </c>
      <c r="F42" s="2836">
        <f t="shared" si="37"/>
        <v>0</v>
      </c>
      <c r="G42" s="2823">
        <f>'Datos_aux_materiales (2)'!R42</f>
        <v>68.3</v>
      </c>
      <c r="H42" s="2825">
        <f t="shared" si="2"/>
        <v>0</v>
      </c>
      <c r="I42" s="2829">
        <f t="shared" si="38"/>
        <v>0</v>
      </c>
      <c r="J42" s="2851">
        <f t="shared" si="39"/>
        <v>0</v>
      </c>
      <c r="K42" s="2834">
        <f t="shared" si="40"/>
        <v>0</v>
      </c>
      <c r="L42" s="2653"/>
      <c r="M42" s="2654"/>
      <c r="N42" s="2653"/>
      <c r="O42" s="2654"/>
      <c r="P42" s="2653"/>
      <c r="Q42" s="2654"/>
      <c r="R42" s="2653"/>
      <c r="S42" s="2654"/>
      <c r="T42" s="2653"/>
      <c r="U42" s="2654"/>
      <c r="V42" s="2653"/>
      <c r="W42" s="2654"/>
      <c r="X42" s="2653"/>
      <c r="Y42" s="2654"/>
      <c r="Z42" s="2653"/>
      <c r="AA42" s="2654"/>
      <c r="AB42" s="2653"/>
      <c r="AC42" s="2654"/>
      <c r="AD42" s="2653"/>
      <c r="AE42" s="2654"/>
      <c r="AF42" s="2653"/>
      <c r="AG42" s="2654"/>
      <c r="AH42" s="2657"/>
      <c r="AI42" s="2657"/>
      <c r="AJ42" s="2657"/>
      <c r="AK42" s="2657"/>
      <c r="AL42" s="2657"/>
      <c r="AM42" s="2657"/>
      <c r="AN42" s="2657"/>
      <c r="AO42" s="2657"/>
      <c r="AP42" s="2657"/>
      <c r="AQ42" s="2657"/>
      <c r="AR42" s="2657"/>
      <c r="AS42" s="2656"/>
      <c r="AT42" s="635"/>
      <c r="AU42" s="2934" t="s">
        <v>1272</v>
      </c>
      <c r="AV42" s="2995">
        <v>2.64</v>
      </c>
      <c r="AW42" s="22"/>
      <c r="AX42" s="22"/>
      <c r="AY42" s="22"/>
      <c r="AZ42" s="22"/>
      <c r="BA42" s="22"/>
      <c r="BB42" s="22"/>
      <c r="BC42" s="22"/>
      <c r="BD42" s="22"/>
      <c r="BE42" s="22"/>
      <c r="BF42" s="22"/>
      <c r="BG42" s="22"/>
      <c r="BH42" s="22"/>
      <c r="BI42" s="22"/>
      <c r="BJ42" s="16"/>
      <c r="BK42" s="16"/>
      <c r="BL42" s="16"/>
      <c r="BM42" s="16"/>
      <c r="BN42" s="16"/>
      <c r="BO42" s="635"/>
      <c r="BP42" s="635"/>
      <c r="BQ42" s="635"/>
      <c r="BR42" s="16"/>
      <c r="BS42" s="16"/>
      <c r="BT42" s="16"/>
      <c r="BU42" s="16"/>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row>
    <row r="43" spans="1:104">
      <c r="A43" s="2590" t="s">
        <v>2286</v>
      </c>
      <c r="B43" s="2885" t="s">
        <v>1527</v>
      </c>
      <c r="C43" s="2588" t="s">
        <v>2287</v>
      </c>
      <c r="D43" s="3282">
        <f>SUMIFS(BCRR_REHAB!L:L,BCRR_REHAB!D:D,'Huella materiales (2)'!A43)</f>
        <v>0</v>
      </c>
      <c r="E43" s="1030">
        <f>'Datos_aux_materiales (2)'!M43</f>
        <v>2.2813238250000003</v>
      </c>
      <c r="F43" s="2836">
        <f t="shared" si="37"/>
        <v>0</v>
      </c>
      <c r="G43" s="2823">
        <f>'Datos_aux_materiales (2)'!R43</f>
        <v>68.3</v>
      </c>
      <c r="H43" s="2825">
        <f t="shared" si="2"/>
        <v>0</v>
      </c>
      <c r="I43" s="2829">
        <f t="shared" si="38"/>
        <v>0</v>
      </c>
      <c r="J43" s="2851">
        <f t="shared" si="39"/>
        <v>0</v>
      </c>
      <c r="K43" s="2834">
        <f t="shared" si="40"/>
        <v>0</v>
      </c>
      <c r="L43" s="2653"/>
      <c r="M43" s="2654"/>
      <c r="N43" s="2653"/>
      <c r="O43" s="2654"/>
      <c r="P43" s="2653"/>
      <c r="Q43" s="2654"/>
      <c r="R43" s="2653"/>
      <c r="S43" s="2654"/>
      <c r="T43" s="2653"/>
      <c r="U43" s="2654"/>
      <c r="V43" s="2653"/>
      <c r="W43" s="2654"/>
      <c r="X43" s="2653"/>
      <c r="Y43" s="2654"/>
      <c r="Z43" s="2653"/>
      <c r="AA43" s="2654"/>
      <c r="AB43" s="2653"/>
      <c r="AC43" s="2654"/>
      <c r="AD43" s="2653"/>
      <c r="AE43" s="2654"/>
      <c r="AF43" s="2653"/>
      <c r="AG43" s="2654"/>
      <c r="AH43" s="2657"/>
      <c r="AI43" s="2657"/>
      <c r="AJ43" s="2657"/>
      <c r="AK43" s="2657"/>
      <c r="AL43" s="2657"/>
      <c r="AM43" s="2657"/>
      <c r="AN43" s="2657"/>
      <c r="AO43" s="2657"/>
      <c r="AP43" s="2657"/>
      <c r="AQ43" s="2657"/>
      <c r="AR43" s="2657"/>
      <c r="AS43" s="2656"/>
      <c r="AT43" s="635"/>
      <c r="AU43" s="2933" t="s">
        <v>1273</v>
      </c>
      <c r="AV43" s="2995">
        <v>0</v>
      </c>
      <c r="AW43" s="22"/>
      <c r="AX43" s="16"/>
      <c r="AY43" s="22"/>
      <c r="AZ43" s="22"/>
      <c r="BA43" s="22"/>
      <c r="BB43" s="22"/>
      <c r="BC43" s="22"/>
      <c r="BD43" s="22"/>
      <c r="BE43" s="22"/>
      <c r="BF43" s="22"/>
      <c r="BG43" s="22"/>
      <c r="BH43" s="22"/>
      <c r="BI43" s="22"/>
      <c r="BJ43" s="16"/>
      <c r="BK43" s="16"/>
      <c r="BO43" s="635"/>
      <c r="BP43" s="635"/>
      <c r="BQ43" s="635"/>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row>
    <row r="44" spans="1:104">
      <c r="A44" s="2544" t="s">
        <v>2429</v>
      </c>
      <c r="B44" s="2549" t="s">
        <v>1504</v>
      </c>
      <c r="C44" s="2542" t="s">
        <v>2430</v>
      </c>
      <c r="D44" s="3282">
        <f>SUMIFS(BCRR_REHAB!L:L,BCRR_REHAB!D:D,'Huella materiales (2)'!A44)</f>
        <v>0</v>
      </c>
      <c r="E44" s="1030">
        <f>'Datos_aux_materiales (2)'!M44</f>
        <v>7.6844591999999992</v>
      </c>
      <c r="F44" s="2836">
        <f t="shared" si="37"/>
        <v>0</v>
      </c>
      <c r="G44" s="2823">
        <f>'Datos_aux_materiales (2)'!R44</f>
        <v>68.3</v>
      </c>
      <c r="H44" s="2825">
        <f t="shared" si="2"/>
        <v>0</v>
      </c>
      <c r="I44" s="2829">
        <f t="shared" si="38"/>
        <v>0</v>
      </c>
      <c r="J44" s="2851">
        <f t="shared" si="39"/>
        <v>0</v>
      </c>
      <c r="K44" s="2834">
        <f t="shared" si="40"/>
        <v>0</v>
      </c>
      <c r="L44" s="2653"/>
      <c r="M44" s="2654"/>
      <c r="N44" s="2653"/>
      <c r="O44" s="2654"/>
      <c r="P44" s="2653"/>
      <c r="Q44" s="2654"/>
      <c r="R44" s="2653"/>
      <c r="S44" s="2654"/>
      <c r="T44" s="2653"/>
      <c r="U44" s="2654"/>
      <c r="V44" s="2653"/>
      <c r="W44" s="2654"/>
      <c r="X44" s="2653"/>
      <c r="Y44" s="2654"/>
      <c r="Z44" s="2653"/>
      <c r="AA44" s="2654"/>
      <c r="AB44" s="2653"/>
      <c r="AC44" s="2654"/>
      <c r="AD44" s="2653"/>
      <c r="AE44" s="2654"/>
      <c r="AF44" s="2653"/>
      <c r="AG44" s="2654"/>
      <c r="AH44" s="2657"/>
      <c r="AI44" s="2657"/>
      <c r="AJ44" s="2657"/>
      <c r="AK44" s="2657"/>
      <c r="AL44" s="2657"/>
      <c r="AM44" s="2657"/>
      <c r="AN44" s="2657"/>
      <c r="AO44" s="2657"/>
      <c r="AP44" s="2657"/>
      <c r="AQ44" s="2657"/>
      <c r="AR44" s="2657"/>
      <c r="AS44" s="2656"/>
      <c r="AT44" s="635"/>
      <c r="AU44" s="2935" t="s">
        <v>301</v>
      </c>
      <c r="AV44" s="2996">
        <v>71000</v>
      </c>
      <c r="AW44" s="22"/>
      <c r="AX44" s="22"/>
      <c r="AY44" s="22"/>
      <c r="AZ44" s="22"/>
      <c r="BA44" s="22"/>
      <c r="BB44" s="22"/>
      <c r="BC44" s="22"/>
      <c r="BD44" s="22"/>
      <c r="BE44" s="22"/>
      <c r="BF44" s="22"/>
      <c r="BG44" s="22"/>
      <c r="BH44" s="22"/>
      <c r="BI44" s="22"/>
      <c r="BJ44" s="16"/>
      <c r="BK44" s="16"/>
      <c r="BO44" s="635"/>
      <c r="BP44" s="635"/>
      <c r="BQ44" s="635"/>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row>
    <row r="45" spans="1:104">
      <c r="A45" s="2544" t="s">
        <v>2432</v>
      </c>
      <c r="B45" s="2549" t="s">
        <v>1504</v>
      </c>
      <c r="C45" s="2542" t="s">
        <v>2433</v>
      </c>
      <c r="D45" s="3282">
        <f>SUMIFS(BCRR_REHAB!L:L,BCRR_REHAB!D:D,'Huella materiales (2)'!A45)</f>
        <v>0</v>
      </c>
      <c r="E45" s="1030">
        <f>'Datos_aux_materiales (2)'!M45</f>
        <v>9.6055739999999989</v>
      </c>
      <c r="F45" s="2836">
        <f t="shared" si="37"/>
        <v>0</v>
      </c>
      <c r="G45" s="2823">
        <f>'Datos_aux_materiales (2)'!R45</f>
        <v>68.3</v>
      </c>
      <c r="H45" s="2825">
        <f t="shared" si="2"/>
        <v>0</v>
      </c>
      <c r="I45" s="2829">
        <f t="shared" si="38"/>
        <v>0</v>
      </c>
      <c r="J45" s="2851">
        <f t="shared" si="39"/>
        <v>0</v>
      </c>
      <c r="K45" s="2834">
        <f t="shared" si="40"/>
        <v>0</v>
      </c>
      <c r="L45" s="2653"/>
      <c r="M45" s="2654"/>
      <c r="N45" s="2653"/>
      <c r="O45" s="2654"/>
      <c r="P45" s="2653"/>
      <c r="Q45" s="2654"/>
      <c r="R45" s="2653"/>
      <c r="S45" s="2654"/>
      <c r="T45" s="2653"/>
      <c r="U45" s="2654"/>
      <c r="V45" s="2653"/>
      <c r="W45" s="2654"/>
      <c r="X45" s="2653"/>
      <c r="Y45" s="2654"/>
      <c r="Z45" s="2653"/>
      <c r="AA45" s="2654"/>
      <c r="AB45" s="2653"/>
      <c r="AC45" s="2654"/>
      <c r="AD45" s="2653"/>
      <c r="AE45" s="2654"/>
      <c r="AF45" s="2653"/>
      <c r="AG45" s="2654"/>
      <c r="AH45" s="2657"/>
      <c r="AI45" s="2657"/>
      <c r="AJ45" s="2657"/>
      <c r="AK45" s="2657"/>
      <c r="AL45" s="2657"/>
      <c r="AM45" s="2657"/>
      <c r="AN45" s="2657"/>
      <c r="AO45" s="2657"/>
      <c r="AP45" s="2657"/>
      <c r="AQ45" s="2657"/>
      <c r="AR45" s="2657"/>
      <c r="AS45" s="2656"/>
      <c r="AT45" s="635"/>
      <c r="AU45" s="2935" t="s">
        <v>515</v>
      </c>
      <c r="AV45" s="2997">
        <v>35</v>
      </c>
      <c r="AW45" s="22"/>
      <c r="AX45" s="22"/>
      <c r="BI45" s="22"/>
      <c r="BJ45" s="16"/>
      <c r="BK45" s="16"/>
      <c r="BO45" s="635"/>
      <c r="BP45" s="635"/>
      <c r="BQ45" s="635"/>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row>
    <row r="46" spans="1:104">
      <c r="A46" s="2642" t="s">
        <v>2410</v>
      </c>
      <c r="B46" s="2886" t="s">
        <v>1504</v>
      </c>
      <c r="C46" s="2644" t="s">
        <v>2411</v>
      </c>
      <c r="D46" s="3282">
        <f>SUMIFS(BCRR_REHAB!L:L,BCRR_REHAB!D:D,'Huella materiales (2)'!A46)</f>
        <v>0</v>
      </c>
      <c r="E46" s="1030">
        <f>'Datos_aux_materiales (2)'!M46</f>
        <v>6.2836463249999994</v>
      </c>
      <c r="F46" s="2836">
        <f t="shared" si="37"/>
        <v>0</v>
      </c>
      <c r="G46" s="2823">
        <f>'Datos_aux_materiales (2)'!R46</f>
        <v>33.159999999999997</v>
      </c>
      <c r="H46" s="2825">
        <f t="shared" si="2"/>
        <v>0</v>
      </c>
      <c r="I46" s="2829">
        <f t="shared" si="38"/>
        <v>0</v>
      </c>
      <c r="J46" s="2851">
        <f t="shared" si="39"/>
        <v>0</v>
      </c>
      <c r="K46" s="2834">
        <f t="shared" si="40"/>
        <v>0</v>
      </c>
      <c r="L46" s="2653"/>
      <c r="M46" s="2654"/>
      <c r="N46" s="2653"/>
      <c r="O46" s="2654"/>
      <c r="P46" s="2653"/>
      <c r="Q46" s="2654"/>
      <c r="R46" s="2653"/>
      <c r="S46" s="2654"/>
      <c r="T46" s="2653"/>
      <c r="U46" s="2654"/>
      <c r="V46" s="2653"/>
      <c r="W46" s="2654"/>
      <c r="X46" s="2653"/>
      <c r="Y46" s="2654"/>
      <c r="Z46" s="2653"/>
      <c r="AA46" s="2654"/>
      <c r="AB46" s="2653"/>
      <c r="AC46" s="2654"/>
      <c r="AD46" s="2653"/>
      <c r="AE46" s="2654"/>
      <c r="AF46" s="2653"/>
      <c r="AG46" s="2654"/>
      <c r="AH46" s="2657"/>
      <c r="AI46" s="2657"/>
      <c r="AJ46" s="2657"/>
      <c r="AK46" s="2657"/>
      <c r="AL46" s="2657"/>
      <c r="AM46" s="2657"/>
      <c r="AN46" s="2657"/>
      <c r="AO46" s="2657"/>
      <c r="AP46" s="2657"/>
      <c r="AQ46" s="2657"/>
      <c r="AR46" s="2657"/>
      <c r="AS46" s="2656"/>
      <c r="AT46" s="635"/>
      <c r="AU46" s="2936" t="s">
        <v>1275</v>
      </c>
      <c r="AV46" s="2998">
        <v>1.26</v>
      </c>
      <c r="AW46" s="22"/>
      <c r="AX46" s="22"/>
      <c r="BJ46" s="16"/>
      <c r="BK46" s="16"/>
      <c r="BO46" s="635"/>
      <c r="BP46" s="635"/>
      <c r="BQ46" s="635"/>
      <c r="BV46"/>
      <c r="BW46"/>
      <c r="BX46"/>
    </row>
    <row r="47" spans="1:104" ht="15" thickBot="1">
      <c r="A47" s="2643" t="s">
        <v>2710</v>
      </c>
      <c r="B47" s="2886" t="s">
        <v>1527</v>
      </c>
      <c r="C47" s="2644" t="s">
        <v>2711</v>
      </c>
      <c r="D47" s="3283">
        <v>1</v>
      </c>
      <c r="E47" s="3276">
        <f>'Datos_aux_materiales (2)'!M47</f>
        <v>378</v>
      </c>
      <c r="F47" s="2836">
        <f t="shared" si="37"/>
        <v>378</v>
      </c>
      <c r="G47" s="3030">
        <f>'Datos_aux_materiales (2)'!R47</f>
        <v>1E-3</v>
      </c>
      <c r="H47" s="3027">
        <f t="shared" ref="H47" si="41">F47*G47</f>
        <v>0.378</v>
      </c>
      <c r="I47" s="2829">
        <f t="shared" si="38"/>
        <v>6.7081690140845077E-6</v>
      </c>
      <c r="J47" s="2851">
        <f t="shared" si="39"/>
        <v>1.4182842039948658E-7</v>
      </c>
      <c r="K47" s="2834">
        <f t="shared" si="40"/>
        <v>396.90000000000003</v>
      </c>
      <c r="L47" s="2653"/>
      <c r="M47" s="2654"/>
      <c r="N47" s="2653"/>
      <c r="O47" s="2654"/>
      <c r="P47" s="2653"/>
      <c r="Q47" s="2654"/>
      <c r="R47" s="2653"/>
      <c r="S47" s="2654"/>
      <c r="T47" s="2653"/>
      <c r="U47" s="2654"/>
      <c r="V47" s="2653"/>
      <c r="W47" s="2654"/>
      <c r="X47" s="2653"/>
      <c r="Y47" s="2654"/>
      <c r="Z47" s="2653"/>
      <c r="AA47" s="2654"/>
      <c r="AB47" s="2653"/>
      <c r="AC47" s="2654"/>
      <c r="AD47" s="2653"/>
      <c r="AE47" s="2654"/>
      <c r="AF47" s="2653"/>
      <c r="AG47" s="2654"/>
      <c r="AH47" s="2657"/>
      <c r="AI47" s="2657"/>
      <c r="AJ47" s="2657"/>
      <c r="AK47" s="2657"/>
      <c r="AL47" s="2657"/>
      <c r="AM47" s="2657"/>
      <c r="AN47" s="2657"/>
      <c r="AO47" s="2657"/>
      <c r="AP47" s="2657"/>
      <c r="AQ47" s="2657"/>
      <c r="AR47" s="2657"/>
      <c r="AS47" s="2656"/>
      <c r="AT47" s="635"/>
      <c r="AU47" s="2937" t="s">
        <v>1276</v>
      </c>
      <c r="AV47" s="2999" t="e">
        <f>(1-(AV35/100))*(AV33/#REF!)*AV39*AV41*(AV45/AV44)*AV46</f>
        <v>#REF!</v>
      </c>
      <c r="BJ47" s="16"/>
      <c r="BK47" s="16"/>
      <c r="BO47" s="635"/>
      <c r="BP47" s="635"/>
      <c r="BQ47" s="635"/>
      <c r="BV47"/>
      <c r="BW47"/>
      <c r="BX47"/>
    </row>
    <row r="48" spans="1:104" ht="15" thickBot="1">
      <c r="A48" s="2643" t="s">
        <v>2708</v>
      </c>
      <c r="B48" s="2886" t="s">
        <v>1504</v>
      </c>
      <c r="C48" s="2644" t="s">
        <v>2709</v>
      </c>
      <c r="D48" s="3283">
        <v>1</v>
      </c>
      <c r="E48" s="3276">
        <f>'Datos_aux_materiales (2)'!M48</f>
        <v>126</v>
      </c>
      <c r="F48" s="2836">
        <f>D48*E48</f>
        <v>126</v>
      </c>
      <c r="G48" s="3026">
        <f>'Datos_aux_materiales (2)'!R48</f>
        <v>125.6</v>
      </c>
      <c r="H48" s="3027">
        <f t="shared" si="2"/>
        <v>15825.599999999999</v>
      </c>
      <c r="I48" s="2829">
        <f t="shared" si="38"/>
        <v>0.28084867605633801</v>
      </c>
      <c r="J48" s="2851">
        <f t="shared" si="39"/>
        <v>5.9378832007251706E-3</v>
      </c>
      <c r="K48" s="2834">
        <f t="shared" si="40"/>
        <v>132.30000000000001</v>
      </c>
      <c r="L48" s="2653"/>
      <c r="M48" s="2654"/>
      <c r="N48" s="2653"/>
      <c r="O48" s="2654"/>
      <c r="P48" s="2653"/>
      <c r="Q48" s="2654"/>
      <c r="R48" s="2653"/>
      <c r="S48" s="2654"/>
      <c r="T48" s="2653"/>
      <c r="U48" s="2654"/>
      <c r="V48" s="2653"/>
      <c r="W48" s="2654"/>
      <c r="X48" s="2653"/>
      <c r="Y48" s="2654"/>
      <c r="Z48" s="2653"/>
      <c r="AA48" s="2654"/>
      <c r="AB48" s="2653"/>
      <c r="AC48" s="2654"/>
      <c r="AD48" s="2653"/>
      <c r="AE48" s="2654"/>
      <c r="AF48" s="2653"/>
      <c r="AG48" s="2654"/>
      <c r="AH48" s="2657"/>
      <c r="AI48" s="2657"/>
      <c r="AJ48" s="2657"/>
      <c r="AK48" s="2657"/>
      <c r="AL48" s="2657"/>
      <c r="AM48" s="2657"/>
      <c r="AN48" s="2657"/>
      <c r="AO48" s="2657"/>
      <c r="AP48" s="2657"/>
      <c r="AQ48" s="2657"/>
      <c r="AR48" s="2657"/>
      <c r="AS48" s="2656"/>
      <c r="AT48" s="635"/>
      <c r="AU48" s="3003" t="s">
        <v>1277</v>
      </c>
      <c r="AV48" s="3004">
        <f>K769</f>
        <v>4.198816901408451E-2</v>
      </c>
      <c r="BJ48" s="16"/>
      <c r="BK48" s="16"/>
      <c r="BO48" s="635"/>
      <c r="BP48" s="635"/>
      <c r="BQ48" s="635"/>
      <c r="BV48"/>
      <c r="BW48"/>
      <c r="BX48"/>
    </row>
    <row r="49" spans="1:76">
      <c r="A49" s="2643" t="s">
        <v>3061</v>
      </c>
      <c r="B49" s="2886" t="s">
        <v>1504</v>
      </c>
      <c r="C49" s="2644" t="s">
        <v>2707</v>
      </c>
      <c r="D49" s="3283">
        <v>1</v>
      </c>
      <c r="E49" s="3276">
        <f>'Datos_aux_materiales (2)'!M49</f>
        <v>598.5</v>
      </c>
      <c r="F49" s="2836">
        <f t="shared" si="37"/>
        <v>598.5</v>
      </c>
      <c r="G49" s="3026">
        <f>'Datos_aux_materiales (2)'!R49</f>
        <v>68.3</v>
      </c>
      <c r="H49" s="3027">
        <f t="shared" si="2"/>
        <v>40877.549999999996</v>
      </c>
      <c r="I49" s="2829">
        <f t="shared" si="38"/>
        <v>0.72543257746478873</v>
      </c>
      <c r="J49" s="2851">
        <f t="shared" si="39"/>
        <v>1.5337561762701143E-2</v>
      </c>
      <c r="K49" s="2834">
        <f t="shared" si="40"/>
        <v>628.42500000000007</v>
      </c>
      <c r="L49" s="2653"/>
      <c r="M49" s="2654"/>
      <c r="N49" s="2653"/>
      <c r="O49" s="2654"/>
      <c r="P49" s="2653"/>
      <c r="Q49" s="2654"/>
      <c r="R49" s="2653"/>
      <c r="S49" s="2654"/>
      <c r="T49" s="2653"/>
      <c r="U49" s="2654"/>
      <c r="V49" s="2653"/>
      <c r="W49" s="2654"/>
      <c r="X49" s="2653"/>
      <c r="Y49" s="2654"/>
      <c r="Z49" s="2653"/>
      <c r="AA49" s="2654"/>
      <c r="AB49" s="2653"/>
      <c r="AC49" s="2654"/>
      <c r="AD49" s="2653"/>
      <c r="AE49" s="2654"/>
      <c r="AF49" s="2653"/>
      <c r="AG49" s="2654"/>
      <c r="AH49" s="2657"/>
      <c r="AI49" s="2657"/>
      <c r="AJ49" s="2657"/>
      <c r="AK49" s="2657"/>
      <c r="AL49" s="2657"/>
      <c r="AM49" s="2657"/>
      <c r="AN49" s="2657"/>
      <c r="AO49" s="2657"/>
      <c r="AP49" s="2657"/>
      <c r="AQ49" s="2657"/>
      <c r="AR49" s="2657"/>
      <c r="AS49" s="2656"/>
      <c r="AT49" s="635" t="s">
        <v>3139</v>
      </c>
      <c r="AU49" s="160"/>
      <c r="AV49" s="160"/>
      <c r="BJ49" s="16"/>
      <c r="BK49" s="16"/>
      <c r="BO49" s="635"/>
      <c r="BP49" s="635"/>
      <c r="BQ49" s="635"/>
      <c r="BV49"/>
      <c r="BW49"/>
      <c r="BX49"/>
    </row>
    <row r="50" spans="1:76">
      <c r="A50" s="2642" t="s">
        <v>2511</v>
      </c>
      <c r="B50" s="2822" t="s">
        <v>1504</v>
      </c>
      <c r="C50" s="2640" t="s">
        <v>2510</v>
      </c>
      <c r="D50" s="3282">
        <f>SUMIFS(BCRR_REHAB!L:L,BCRR_REHAB!D:D,'Huella materiales (2)'!A50)</f>
        <v>0</v>
      </c>
      <c r="E50" s="1030">
        <f>'Datos_aux_materiales (2)'!M50</f>
        <v>0</v>
      </c>
      <c r="F50" s="2836">
        <f t="shared" si="37"/>
        <v>0</v>
      </c>
      <c r="G50" s="2823">
        <f>'Datos_aux_materiales (2)'!R50</f>
        <v>68.3</v>
      </c>
      <c r="H50" s="2825">
        <f t="shared" si="2"/>
        <v>0</v>
      </c>
      <c r="I50" s="2829">
        <f t="shared" si="38"/>
        <v>0</v>
      </c>
      <c r="J50" s="2851">
        <f t="shared" si="39"/>
        <v>0</v>
      </c>
      <c r="K50" s="2834">
        <f t="shared" si="40"/>
        <v>0</v>
      </c>
      <c r="L50" s="2653"/>
      <c r="M50" s="2654"/>
      <c r="N50" s="2653"/>
      <c r="O50" s="2654"/>
      <c r="P50" s="2653"/>
      <c r="Q50" s="2654"/>
      <c r="R50" s="2653"/>
      <c r="S50" s="2654"/>
      <c r="T50" s="2653"/>
      <c r="U50" s="2654"/>
      <c r="V50" s="2653"/>
      <c r="W50" s="2654"/>
      <c r="X50" s="2653"/>
      <c r="Y50" s="2654"/>
      <c r="Z50" s="2653"/>
      <c r="AA50" s="2654"/>
      <c r="AB50" s="2653"/>
      <c r="AC50" s="2654"/>
      <c r="AD50" s="2653"/>
      <c r="AE50" s="2654"/>
      <c r="AF50" s="2653"/>
      <c r="AG50" s="2654"/>
      <c r="AH50" s="2657"/>
      <c r="AI50" s="2657"/>
      <c r="AJ50" s="2657"/>
      <c r="AK50" s="2657"/>
      <c r="AL50" s="2657"/>
      <c r="AM50" s="2657"/>
      <c r="AN50" s="2657"/>
      <c r="AO50" s="2657"/>
      <c r="AP50" s="2657"/>
      <c r="AQ50" s="2657"/>
      <c r="AR50" s="2657"/>
      <c r="AS50" s="2656"/>
      <c r="AT50" s="635">
        <f>H48+H49+H47</f>
        <v>56703.527999999991</v>
      </c>
      <c r="AU50" s="167"/>
      <c r="AV50" s="167"/>
      <c r="AW50" s="22"/>
      <c r="AX50" s="22"/>
      <c r="AY50" s="22"/>
      <c r="AZ50" s="22"/>
      <c r="BA50" s="22"/>
      <c r="BB50" s="22"/>
      <c r="BC50" s="22"/>
      <c r="BD50" s="22"/>
      <c r="BE50" s="22"/>
      <c r="BF50" s="22"/>
      <c r="BG50" s="22"/>
      <c r="BH50" s="22"/>
      <c r="BJ50" s="16"/>
      <c r="BK50" s="16"/>
      <c r="BO50" s="635"/>
      <c r="BP50" s="635"/>
      <c r="BQ50" s="635"/>
      <c r="BV50"/>
      <c r="BW50"/>
      <c r="BX50"/>
    </row>
    <row r="51" spans="1:76" s="22" customFormat="1">
      <c r="A51" s="2822" t="s">
        <v>2529</v>
      </c>
      <c r="B51" s="2822" t="s">
        <v>1504</v>
      </c>
      <c r="C51" s="2640" t="s">
        <v>2530</v>
      </c>
      <c r="D51" s="3282">
        <f>SUMIFS(BCRR_REHAB!L:L,BCRR_REHAB!D:D,'Huella materiales (2)'!A51)</f>
        <v>0</v>
      </c>
      <c r="E51" s="170">
        <f>'Datos_aux_materiales (2)'!M51</f>
        <v>0</v>
      </c>
      <c r="F51" s="2836">
        <f t="shared" si="37"/>
        <v>0</v>
      </c>
      <c r="G51" s="2823">
        <f>'Datos_aux_materiales (2)'!R51</f>
        <v>0</v>
      </c>
      <c r="H51" s="2825">
        <f t="shared" si="2"/>
        <v>0</v>
      </c>
      <c r="I51" s="2829">
        <f t="shared" si="38"/>
        <v>0</v>
      </c>
      <c r="J51" s="2851">
        <f t="shared" si="39"/>
        <v>0</v>
      </c>
      <c r="K51" s="2834">
        <f t="shared" si="40"/>
        <v>0</v>
      </c>
      <c r="L51" s="2657"/>
      <c r="M51" s="2657"/>
      <c r="N51" s="2657"/>
      <c r="O51" s="2657"/>
      <c r="P51" s="2657"/>
      <c r="Q51" s="2657"/>
      <c r="R51" s="2657"/>
      <c r="S51" s="2657"/>
      <c r="T51" s="2657"/>
      <c r="U51" s="2657"/>
      <c r="V51" s="2657"/>
      <c r="W51" s="2657"/>
      <c r="X51" s="2657"/>
      <c r="Y51" s="2657"/>
      <c r="Z51" s="2657"/>
      <c r="AA51" s="2657"/>
      <c r="AB51" s="2657"/>
      <c r="AC51" s="2657"/>
      <c r="AD51" s="2657"/>
      <c r="AE51" s="2657"/>
      <c r="AF51" s="2657"/>
      <c r="AG51" s="2657"/>
      <c r="AH51" s="2657"/>
      <c r="AI51" s="2657"/>
      <c r="AJ51" s="2657"/>
      <c r="AK51" s="2657"/>
      <c r="AL51" s="2657"/>
      <c r="AM51" s="2657"/>
      <c r="AN51" s="2657"/>
      <c r="AO51" s="2657"/>
      <c r="AP51" s="2657"/>
      <c r="AQ51" s="2657"/>
      <c r="AR51" s="2657"/>
      <c r="AS51" s="2656"/>
      <c r="AT51" s="635"/>
      <c r="AU51" s="160"/>
      <c r="AV51" s="160"/>
      <c r="AW51"/>
      <c r="AX51"/>
      <c r="AY51"/>
      <c r="AZ51"/>
      <c r="BA51"/>
      <c r="BB51"/>
      <c r="BC51"/>
      <c r="BD51"/>
      <c r="BE51"/>
      <c r="BF51"/>
      <c r="BG51"/>
      <c r="BH51"/>
      <c r="BJ51" s="16"/>
      <c r="BK51" s="16"/>
      <c r="BL51" s="16"/>
      <c r="BM51" s="16"/>
      <c r="BN51" s="16"/>
      <c r="BO51" s="635"/>
      <c r="BP51" s="635"/>
      <c r="BQ51" s="635"/>
      <c r="BR51" s="16"/>
      <c r="BS51" s="16"/>
      <c r="BT51" s="16"/>
      <c r="BU51" s="16"/>
    </row>
    <row r="52" spans="1:76">
      <c r="A52" s="2642" t="s">
        <v>2539</v>
      </c>
      <c r="B52" s="2822" t="s">
        <v>1504</v>
      </c>
      <c r="C52" s="2640" t="s">
        <v>2540</v>
      </c>
      <c r="D52" s="3282">
        <f>SUMIFS(BCRR_REHAB!L:L,BCRR_REHAB!D:D,'Huella materiales (2)'!A52)</f>
        <v>0</v>
      </c>
      <c r="E52" s="1030">
        <f>'Datos_aux_materiales (2)'!M52</f>
        <v>2.0557152000000003</v>
      </c>
      <c r="F52" s="2836">
        <f t="shared" si="37"/>
        <v>0</v>
      </c>
      <c r="G52" s="2823">
        <f>'Datos_aux_materiales (2)'!R52</f>
        <v>70.599999999999994</v>
      </c>
      <c r="H52" s="2825">
        <f t="shared" si="2"/>
        <v>0</v>
      </c>
      <c r="I52" s="2829">
        <f t="shared" si="38"/>
        <v>0</v>
      </c>
      <c r="J52" s="2851">
        <f t="shared" si="39"/>
        <v>0</v>
      </c>
      <c r="K52" s="2834">
        <f t="shared" si="40"/>
        <v>0</v>
      </c>
      <c r="L52" s="2653"/>
      <c r="M52" s="2654"/>
      <c r="N52" s="2653"/>
      <c r="O52" s="2654"/>
      <c r="P52" s="2653"/>
      <c r="Q52" s="2654"/>
      <c r="R52" s="2653"/>
      <c r="S52" s="2654"/>
      <c r="T52" s="2653"/>
      <c r="U52" s="2654"/>
      <c r="V52" s="2653"/>
      <c r="W52" s="2654"/>
      <c r="X52" s="2653"/>
      <c r="Y52" s="2654"/>
      <c r="Z52" s="2653"/>
      <c r="AA52" s="2654"/>
      <c r="AB52" s="2653"/>
      <c r="AC52" s="2654"/>
      <c r="AD52" s="2653"/>
      <c r="AE52" s="2654"/>
      <c r="AF52" s="2653"/>
      <c r="AG52" s="2654"/>
      <c r="AH52" s="2657"/>
      <c r="AI52" s="2657"/>
      <c r="AJ52" s="2657"/>
      <c r="AK52" s="2657"/>
      <c r="AL52" s="2657"/>
      <c r="AM52" s="2657"/>
      <c r="AN52" s="2657"/>
      <c r="AO52" s="2657"/>
      <c r="AP52" s="2657"/>
      <c r="AQ52" s="2657"/>
      <c r="AR52" s="2657"/>
      <c r="AS52" s="2656"/>
      <c r="AT52" s="635"/>
      <c r="AU52" s="160"/>
      <c r="AV52" s="160"/>
      <c r="BJ52" s="16"/>
      <c r="BK52" s="16"/>
      <c r="BO52" s="635"/>
      <c r="BP52" s="635"/>
      <c r="BQ52" s="635"/>
      <c r="BV52"/>
      <c r="BW52"/>
      <c r="BX52"/>
    </row>
    <row r="53" spans="1:76">
      <c r="A53" s="2642" t="s">
        <v>2537</v>
      </c>
      <c r="B53" s="2822" t="s">
        <v>1504</v>
      </c>
      <c r="C53" s="2640" t="s">
        <v>2538</v>
      </c>
      <c r="D53" s="3282">
        <f>SUMIFS(BCRR_REHAB!L:L,BCRR_REHAB!D:D,'Huella materiales (2)'!A53)</f>
        <v>0</v>
      </c>
      <c r="E53" s="1030">
        <f>'Datos_aux_materiales (2)'!M53</f>
        <v>2.0557152000000003</v>
      </c>
      <c r="F53" s="2836">
        <f t="shared" si="37"/>
        <v>0</v>
      </c>
      <c r="G53" s="2823">
        <f>'Datos_aux_materiales (2)'!R53</f>
        <v>70.599999999999994</v>
      </c>
      <c r="H53" s="2825">
        <f t="shared" si="2"/>
        <v>0</v>
      </c>
      <c r="I53" s="2829">
        <f t="shared" si="38"/>
        <v>0</v>
      </c>
      <c r="J53" s="2851">
        <f t="shared" si="39"/>
        <v>0</v>
      </c>
      <c r="K53" s="2834">
        <f t="shared" si="40"/>
        <v>0</v>
      </c>
      <c r="L53" s="2653"/>
      <c r="M53" s="2654"/>
      <c r="N53" s="2653"/>
      <c r="O53" s="2654"/>
      <c r="P53" s="2653"/>
      <c r="Q53" s="2654"/>
      <c r="R53" s="2653"/>
      <c r="S53" s="2654"/>
      <c r="T53" s="2653"/>
      <c r="U53" s="2654"/>
      <c r="V53" s="2653"/>
      <c r="W53" s="2654"/>
      <c r="X53" s="2653"/>
      <c r="Y53" s="2654"/>
      <c r="Z53" s="2653"/>
      <c r="AA53" s="2654"/>
      <c r="AB53" s="2653"/>
      <c r="AC53" s="2654"/>
      <c r="AD53" s="2653"/>
      <c r="AE53" s="2654"/>
      <c r="AF53" s="2653"/>
      <c r="AG53" s="2654"/>
      <c r="AH53" s="2657"/>
      <c r="AI53" s="2657"/>
      <c r="AJ53" s="2657"/>
      <c r="AK53" s="2657"/>
      <c r="AL53" s="2657"/>
      <c r="AM53" s="2657"/>
      <c r="AN53" s="2657"/>
      <c r="AO53" s="2657"/>
      <c r="AP53" s="2657"/>
      <c r="AQ53" s="2657"/>
      <c r="AR53" s="2657"/>
      <c r="AS53" s="2656"/>
      <c r="AT53" s="635"/>
      <c r="AU53" s="160"/>
      <c r="AV53" s="160"/>
      <c r="BJ53" s="16"/>
      <c r="BK53" s="16"/>
      <c r="BO53" s="635"/>
      <c r="BP53" s="635"/>
      <c r="BQ53" s="635"/>
      <c r="BV53"/>
      <c r="BW53"/>
      <c r="BX53"/>
    </row>
    <row r="54" spans="1:76">
      <c r="A54" s="2535" t="s">
        <v>2542</v>
      </c>
      <c r="B54" s="2883" t="s">
        <v>1504</v>
      </c>
      <c r="C54" s="2522" t="s">
        <v>3060</v>
      </c>
      <c r="D54" s="3282">
        <f>SUMIFS(BCRR_REHAB!L:L,BCRR_REHAB!D:D,'Huella materiales (2)'!A54)</f>
        <v>0</v>
      </c>
      <c r="E54" s="1030">
        <f>'Datos_aux_materiales (2)'!M54</f>
        <v>3.2548824000000005</v>
      </c>
      <c r="F54" s="2836">
        <f t="shared" si="37"/>
        <v>0</v>
      </c>
      <c r="G54" s="2823">
        <f>'Datos_aux_materiales (2)'!R54</f>
        <v>70.599999999999994</v>
      </c>
      <c r="H54" s="2825">
        <f t="shared" si="2"/>
        <v>0</v>
      </c>
      <c r="I54" s="2829">
        <f t="shared" si="38"/>
        <v>0</v>
      </c>
      <c r="J54" s="2851">
        <f t="shared" si="39"/>
        <v>0</v>
      </c>
      <c r="K54" s="2834">
        <f t="shared" si="40"/>
        <v>0</v>
      </c>
      <c r="L54" s="2653"/>
      <c r="M54" s="2654"/>
      <c r="N54" s="2653"/>
      <c r="O54" s="2654"/>
      <c r="P54" s="2653"/>
      <c r="Q54" s="2654"/>
      <c r="R54" s="2653"/>
      <c r="S54" s="2654"/>
      <c r="T54" s="2653"/>
      <c r="U54" s="2654"/>
      <c r="V54" s="2653"/>
      <c r="W54" s="2654"/>
      <c r="X54" s="2653"/>
      <c r="Y54" s="2654"/>
      <c r="Z54" s="2653"/>
      <c r="AA54" s="2654"/>
      <c r="AB54" s="2653"/>
      <c r="AC54" s="2654"/>
      <c r="AD54" s="2653"/>
      <c r="AE54" s="2654"/>
      <c r="AF54" s="2653"/>
      <c r="AG54" s="2654"/>
      <c r="AH54" s="2657"/>
      <c r="AI54" s="2657"/>
      <c r="AJ54" s="2657"/>
      <c r="AK54" s="2657"/>
      <c r="AL54" s="2657"/>
      <c r="AM54" s="2657"/>
      <c r="AN54" s="2657"/>
      <c r="AO54" s="2657"/>
      <c r="AP54" s="2657"/>
      <c r="AQ54" s="2657"/>
      <c r="AR54" s="2657"/>
      <c r="AS54" s="2656"/>
      <c r="AT54" s="635"/>
      <c r="AU54" s="160"/>
      <c r="AV54" s="160"/>
      <c r="BJ54" s="16"/>
      <c r="BK54" s="16"/>
      <c r="BO54" s="635"/>
      <c r="BP54" s="635"/>
      <c r="BQ54" s="635"/>
      <c r="BV54"/>
      <c r="BW54"/>
      <c r="BX54"/>
    </row>
    <row r="55" spans="1:76">
      <c r="A55" s="2535" t="s">
        <v>2547</v>
      </c>
      <c r="B55" s="2883" t="s">
        <v>1504</v>
      </c>
      <c r="C55" s="2522" t="s">
        <v>3059</v>
      </c>
      <c r="D55" s="3282">
        <f>SUMIFS(BCRR_REHAB!L:L,BCRR_REHAB!D:D,'Huella materiales (2)'!A55)</f>
        <v>0</v>
      </c>
      <c r="E55" s="1030">
        <f>'Datos_aux_materiales (2)'!M55</f>
        <v>4.3512638400000005</v>
      </c>
      <c r="F55" s="2836">
        <f t="shared" si="37"/>
        <v>0</v>
      </c>
      <c r="G55" s="2823">
        <f>'Datos_aux_materiales (2)'!R55</f>
        <v>70.599999999999994</v>
      </c>
      <c r="H55" s="2825">
        <f t="shared" si="2"/>
        <v>0</v>
      </c>
      <c r="I55" s="2829">
        <f t="shared" si="38"/>
        <v>0</v>
      </c>
      <c r="J55" s="2851">
        <f t="shared" si="39"/>
        <v>0</v>
      </c>
      <c r="K55" s="2834">
        <f t="shared" si="40"/>
        <v>0</v>
      </c>
      <c r="L55" s="2653"/>
      <c r="M55" s="2654"/>
      <c r="N55" s="2653"/>
      <c r="O55" s="2654"/>
      <c r="P55" s="2653"/>
      <c r="Q55" s="2654"/>
      <c r="R55" s="2653"/>
      <c r="S55" s="2654"/>
      <c r="T55" s="2653"/>
      <c r="U55" s="2654"/>
      <c r="V55" s="2653"/>
      <c r="W55" s="2654"/>
      <c r="X55" s="2653"/>
      <c r="Y55" s="2654"/>
      <c r="Z55" s="2653"/>
      <c r="AA55" s="2654"/>
      <c r="AB55" s="2653"/>
      <c r="AC55" s="2654"/>
      <c r="AD55" s="2653"/>
      <c r="AE55" s="2654"/>
      <c r="AF55" s="2653"/>
      <c r="AG55" s="2654"/>
      <c r="AH55" s="2657"/>
      <c r="AI55" s="2657"/>
      <c r="AJ55" s="2657"/>
      <c r="AK55" s="2657"/>
      <c r="AL55" s="2657"/>
      <c r="AM55" s="2657"/>
      <c r="AN55" s="2657"/>
      <c r="AO55" s="2657"/>
      <c r="AP55" s="2657"/>
      <c r="AQ55" s="2657"/>
      <c r="AR55" s="2657"/>
      <c r="AS55" s="2656"/>
      <c r="AT55" s="635"/>
      <c r="AU55" s="160"/>
      <c r="AV55" s="160"/>
      <c r="BJ55" s="16"/>
      <c r="BK55" s="16"/>
      <c r="BO55" s="635"/>
      <c r="BP55" s="635"/>
      <c r="BQ55" s="635"/>
      <c r="BV55"/>
      <c r="BW55"/>
      <c r="BX55"/>
    </row>
    <row r="56" spans="1:76">
      <c r="A56" s="2535" t="s">
        <v>2597</v>
      </c>
      <c r="B56" s="2883" t="s">
        <v>1504</v>
      </c>
      <c r="C56" s="2532" t="s">
        <v>2598</v>
      </c>
      <c r="D56" s="3282">
        <f>SUMIFS(BCRR_REHAB!L:L,BCRR_REHAB!D:D,'Huella materiales (2)'!A56)</f>
        <v>0</v>
      </c>
      <c r="E56" s="1030">
        <f>'Datos_aux_materiales (2)'!M56</f>
        <v>0.24013934999999997</v>
      </c>
      <c r="F56" s="2836">
        <f t="shared" si="37"/>
        <v>0</v>
      </c>
      <c r="G56" s="2823">
        <f>'Datos_aux_materiales (2)'!R56</f>
        <v>68.3</v>
      </c>
      <c r="H56" s="2825">
        <f t="shared" si="2"/>
        <v>0</v>
      </c>
      <c r="I56" s="2829">
        <f t="shared" si="38"/>
        <v>0</v>
      </c>
      <c r="J56" s="2851">
        <f t="shared" si="39"/>
        <v>0</v>
      </c>
      <c r="K56" s="2834">
        <f t="shared" si="40"/>
        <v>0</v>
      </c>
      <c r="L56" s="2653"/>
      <c r="M56" s="2654"/>
      <c r="N56" s="2653"/>
      <c r="O56" s="2654"/>
      <c r="P56" s="2653"/>
      <c r="Q56" s="2654"/>
      <c r="R56" s="2653"/>
      <c r="S56" s="2654"/>
      <c r="T56" s="2653"/>
      <c r="U56" s="2654"/>
      <c r="V56" s="2653"/>
      <c r="W56" s="2654"/>
      <c r="X56" s="2653"/>
      <c r="Y56" s="2654"/>
      <c r="Z56" s="2653"/>
      <c r="AA56" s="2654"/>
      <c r="AB56" s="2653"/>
      <c r="AC56" s="2654"/>
      <c r="AD56" s="2653"/>
      <c r="AE56" s="2654"/>
      <c r="AF56" s="2653"/>
      <c r="AG56" s="2654"/>
      <c r="AH56" s="2657"/>
      <c r="AI56" s="2657"/>
      <c r="AJ56" s="2657"/>
      <c r="AK56" s="2657"/>
      <c r="AL56" s="2657"/>
      <c r="AM56" s="2657"/>
      <c r="AN56" s="2657"/>
      <c r="AO56" s="2657"/>
      <c r="AP56" s="2657"/>
      <c r="AQ56" s="2657"/>
      <c r="AR56" s="2657"/>
      <c r="AS56" s="2656"/>
      <c r="AT56" s="635"/>
      <c r="AU56" s="160"/>
      <c r="AV56" s="160"/>
      <c r="AX56" s="19"/>
      <c r="AY56" s="19"/>
      <c r="BJ56" s="16"/>
      <c r="BK56" s="16"/>
      <c r="BO56" s="635"/>
      <c r="BP56" s="635"/>
      <c r="BQ56" s="635"/>
      <c r="BV56"/>
      <c r="BW56"/>
      <c r="BX56"/>
    </row>
    <row r="57" spans="1:76">
      <c r="A57" s="2535" t="s">
        <v>2589</v>
      </c>
      <c r="B57" s="2883" t="s">
        <v>1504</v>
      </c>
      <c r="C57" s="2532" t="s">
        <v>2590</v>
      </c>
      <c r="D57" s="3282">
        <f>SUMIFS(BCRR_REHAB!L:L,BCRR_REHAB!D:D,'Huella materiales (2)'!A57)</f>
        <v>0</v>
      </c>
      <c r="E57" s="1030">
        <f>'Datos_aux_materiales (2)'!M57</f>
        <v>2.00116125</v>
      </c>
      <c r="F57" s="2836">
        <f t="shared" si="37"/>
        <v>0</v>
      </c>
      <c r="G57" s="2823">
        <f>'Datos_aux_materiales (2)'!R57</f>
        <v>68.3</v>
      </c>
      <c r="H57" s="2825">
        <f t="shared" si="2"/>
        <v>0</v>
      </c>
      <c r="I57" s="2829">
        <f t="shared" si="38"/>
        <v>0</v>
      </c>
      <c r="J57" s="2851">
        <f t="shared" si="39"/>
        <v>0</v>
      </c>
      <c r="K57" s="2834">
        <f t="shared" si="40"/>
        <v>0</v>
      </c>
      <c r="L57" s="2653"/>
      <c r="M57" s="2654"/>
      <c r="N57" s="2653"/>
      <c r="O57" s="2654"/>
      <c r="P57" s="2653"/>
      <c r="Q57" s="2654"/>
      <c r="R57" s="2653"/>
      <c r="S57" s="2654"/>
      <c r="T57" s="2653"/>
      <c r="U57" s="2654"/>
      <c r="V57" s="2653"/>
      <c r="W57" s="2654"/>
      <c r="X57" s="2653"/>
      <c r="Y57" s="2654"/>
      <c r="Z57" s="2653"/>
      <c r="AA57" s="2654"/>
      <c r="AB57" s="2653"/>
      <c r="AC57" s="2654"/>
      <c r="AD57" s="2653"/>
      <c r="AE57" s="2654"/>
      <c r="AF57" s="2653"/>
      <c r="AG57" s="2654"/>
      <c r="AH57" s="2657"/>
      <c r="AI57" s="2657"/>
      <c r="AJ57" s="2657"/>
      <c r="AK57" s="2657"/>
      <c r="AL57" s="2657"/>
      <c r="AM57" s="2657"/>
      <c r="AN57" s="2657"/>
      <c r="AO57" s="2657"/>
      <c r="AP57" s="2657"/>
      <c r="AQ57" s="2657"/>
      <c r="AR57" s="2657"/>
      <c r="AS57" s="2656"/>
      <c r="AT57" s="635"/>
      <c r="AU57" s="160"/>
      <c r="AV57" s="160"/>
      <c r="AX57" s="34"/>
      <c r="AY57" s="34"/>
      <c r="AZ57" s="34"/>
      <c r="BA57" s="34"/>
      <c r="BB57" s="34"/>
      <c r="BC57" s="34"/>
      <c r="BJ57" s="16"/>
      <c r="BK57" s="16"/>
      <c r="BO57" s="635"/>
      <c r="BP57" s="635"/>
      <c r="BQ57" s="635"/>
      <c r="BV57"/>
      <c r="BW57"/>
      <c r="BX57"/>
    </row>
    <row r="58" spans="1:76">
      <c r="A58" s="2523" t="s">
        <v>1193</v>
      </c>
      <c r="B58" s="2565" t="s">
        <v>1357</v>
      </c>
      <c r="C58" s="2522" t="s">
        <v>2121</v>
      </c>
      <c r="D58" s="3282">
        <f>SUMIFS(BCRR_REHAB!L:L,BCRR_REHAB!D:D,'Huella materiales (2)'!A58)</f>
        <v>739.2</v>
      </c>
      <c r="E58" s="1030">
        <f>'Datos_aux_materiales (2)'!M58</f>
        <v>1</v>
      </c>
      <c r="F58" s="2836">
        <f t="shared" si="37"/>
        <v>739.2</v>
      </c>
      <c r="G58" s="2823">
        <f>'Datos_aux_materiales (2)'!R58</f>
        <v>23.3</v>
      </c>
      <c r="H58" s="2825">
        <f t="shared" si="2"/>
        <v>17223.36</v>
      </c>
      <c r="I58" s="2829">
        <f t="shared" si="38"/>
        <v>0.30565399436619717</v>
      </c>
      <c r="J58" s="2851">
        <f t="shared" si="39"/>
        <v>6.4623331819357163E-3</v>
      </c>
      <c r="K58" s="2834">
        <f t="shared" si="40"/>
        <v>776.16000000000008</v>
      </c>
      <c r="L58" s="2653"/>
      <c r="M58" s="2654"/>
      <c r="N58" s="2653"/>
      <c r="O58" s="2654"/>
      <c r="P58" s="2653"/>
      <c r="Q58" s="2654"/>
      <c r="R58" s="2653"/>
      <c r="S58" s="2654"/>
      <c r="T58" s="2653"/>
      <c r="U58" s="2654"/>
      <c r="V58" s="2653"/>
      <c r="W58" s="2654"/>
      <c r="X58" s="2653"/>
      <c r="Y58" s="2654"/>
      <c r="Z58" s="2653"/>
      <c r="AA58" s="2654"/>
      <c r="AB58" s="2653"/>
      <c r="AC58" s="2654"/>
      <c r="AD58" s="2653"/>
      <c r="AE58" s="2654"/>
      <c r="AF58" s="2653"/>
      <c r="AG58" s="2654"/>
      <c r="AH58" s="2657"/>
      <c r="AI58" s="2657"/>
      <c r="AJ58" s="2657"/>
      <c r="AK58" s="2657"/>
      <c r="AL58" s="2657"/>
      <c r="AM58" s="2657"/>
      <c r="AN58" s="2657"/>
      <c r="AO58" s="2657"/>
      <c r="AP58" s="2657"/>
      <c r="AQ58" s="2657"/>
      <c r="AR58" s="2657"/>
      <c r="AS58" s="2656"/>
      <c r="AT58" s="635"/>
      <c r="AU58" s="160"/>
      <c r="AV58" s="160"/>
      <c r="AX58" s="34"/>
      <c r="AY58" s="34"/>
      <c r="AZ58" s="34"/>
      <c r="BA58" s="34"/>
      <c r="BB58" s="34"/>
      <c r="BC58" s="34"/>
      <c r="BJ58" s="16"/>
      <c r="BK58" s="16"/>
      <c r="BO58" s="635"/>
      <c r="BP58" s="635"/>
      <c r="BQ58" s="635"/>
      <c r="BV58"/>
      <c r="BW58"/>
      <c r="BX58"/>
    </row>
    <row r="59" spans="1:76">
      <c r="A59" s="2642" t="s">
        <v>1194</v>
      </c>
      <c r="B59" s="2822" t="s">
        <v>1357</v>
      </c>
      <c r="C59" s="2640" t="s">
        <v>2122</v>
      </c>
      <c r="D59" s="3282">
        <f>SUMIFS(BCRR_REHAB!L:L,BCRR_REHAB!D:D,'Huella materiales (2)'!A59)</f>
        <v>491.25684999999999</v>
      </c>
      <c r="E59" s="1030">
        <f>'Datos_aux_materiales (2)'!M59</f>
        <v>1</v>
      </c>
      <c r="F59" s="2836">
        <f t="shared" si="37"/>
        <v>491.25684999999999</v>
      </c>
      <c r="G59" s="2823">
        <f>'Datos_aux_materiales (2)'!R59</f>
        <v>23.3</v>
      </c>
      <c r="H59" s="2825">
        <f t="shared" si="2"/>
        <v>11446.284605000001</v>
      </c>
      <c r="I59" s="2829">
        <f t="shared" si="38"/>
        <v>0.20313124791971832</v>
      </c>
      <c r="J59" s="2851">
        <f t="shared" si="39"/>
        <v>4.2947313888098172E-3</v>
      </c>
      <c r="K59" s="2834">
        <f t="shared" si="40"/>
        <v>515.81969249999997</v>
      </c>
      <c r="L59" s="2653"/>
      <c r="M59" s="2654"/>
      <c r="N59" s="2653"/>
      <c r="O59" s="2654"/>
      <c r="P59" s="2653"/>
      <c r="Q59" s="2654"/>
      <c r="R59" s="2653"/>
      <c r="S59" s="2654"/>
      <c r="T59" s="2653"/>
      <c r="U59" s="2654"/>
      <c r="V59" s="2653"/>
      <c r="W59" s="2654"/>
      <c r="X59" s="2653"/>
      <c r="Y59" s="2654"/>
      <c r="Z59" s="2653"/>
      <c r="AA59" s="2654"/>
      <c r="AB59" s="2653"/>
      <c r="AC59" s="2654"/>
      <c r="AD59" s="2653"/>
      <c r="AE59" s="2654"/>
      <c r="AF59" s="2653"/>
      <c r="AG59" s="2654"/>
      <c r="AH59" s="2657"/>
      <c r="AI59" s="2657"/>
      <c r="AJ59" s="2657"/>
      <c r="AK59" s="2657"/>
      <c r="AL59" s="2657"/>
      <c r="AM59" s="2657"/>
      <c r="AN59" s="2657"/>
      <c r="AO59" s="2657"/>
      <c r="AP59" s="2657"/>
      <c r="AQ59" s="2657"/>
      <c r="AR59" s="2657"/>
      <c r="AS59" s="2656"/>
      <c r="AT59" s="635"/>
      <c r="AU59" s="160"/>
      <c r="AV59" s="160"/>
      <c r="AX59" s="34"/>
      <c r="AY59" s="34"/>
      <c r="AZ59" s="34"/>
      <c r="BA59" s="34"/>
      <c r="BB59" s="34"/>
      <c r="BC59" s="34"/>
      <c r="BJ59" s="16"/>
      <c r="BK59" s="16"/>
      <c r="BO59" s="635"/>
      <c r="BP59" s="635"/>
      <c r="BQ59" s="635"/>
      <c r="BV59"/>
      <c r="BW59"/>
      <c r="BX59"/>
    </row>
    <row r="60" spans="1:76">
      <c r="A60" s="2544" t="s">
        <v>1196</v>
      </c>
      <c r="B60" s="2549" t="s">
        <v>1357</v>
      </c>
      <c r="C60" s="2542" t="s">
        <v>2714</v>
      </c>
      <c r="D60" s="3282">
        <f>SUMIFS(BCRR_REHAB!L:L,BCRR_REHAB!D:D,'Huella materiales (2)'!A60)</f>
        <v>36.971550000000001</v>
      </c>
      <c r="E60" s="1030">
        <f>'Datos_aux_materiales (2)'!M60</f>
        <v>1</v>
      </c>
      <c r="F60" s="2836">
        <f t="shared" si="37"/>
        <v>36.971550000000001</v>
      </c>
      <c r="G60" s="2823">
        <f>'Datos_aux_materiales (2)'!R60</f>
        <v>23.3</v>
      </c>
      <c r="H60" s="2825">
        <f t="shared" si="2"/>
        <v>861.43711500000006</v>
      </c>
      <c r="I60" s="2829">
        <f t="shared" si="38"/>
        <v>1.5287475561971834E-2</v>
      </c>
      <c r="J60" s="2851">
        <f t="shared" si="39"/>
        <v>3.2321763305275366E-4</v>
      </c>
      <c r="K60" s="2834">
        <f t="shared" si="40"/>
        <v>38.820127500000005</v>
      </c>
      <c r="L60" s="2653"/>
      <c r="M60" s="2654"/>
      <c r="N60" s="2653"/>
      <c r="O60" s="2654"/>
      <c r="P60" s="2653"/>
      <c r="Q60" s="2654"/>
      <c r="R60" s="2653"/>
      <c r="S60" s="2654"/>
      <c r="T60" s="2653"/>
      <c r="U60" s="2654"/>
      <c r="V60" s="2653"/>
      <c r="W60" s="2654"/>
      <c r="X60" s="2653"/>
      <c r="Y60" s="2654"/>
      <c r="Z60" s="2653"/>
      <c r="AA60" s="2654"/>
      <c r="AB60" s="2653"/>
      <c r="AC60" s="2654"/>
      <c r="AD60" s="2653"/>
      <c r="AE60" s="2654"/>
      <c r="AF60" s="2653"/>
      <c r="AG60" s="2654"/>
      <c r="AH60" s="2657"/>
      <c r="AI60" s="2657"/>
      <c r="AJ60" s="2657"/>
      <c r="AK60" s="2657"/>
      <c r="AL60" s="2657"/>
      <c r="AM60" s="2657"/>
      <c r="AN60" s="2657"/>
      <c r="AO60" s="2657"/>
      <c r="AP60" s="2657"/>
      <c r="AQ60" s="2657"/>
      <c r="AR60" s="2657"/>
      <c r="AS60" s="2656"/>
      <c r="AT60" s="635"/>
      <c r="AU60" s="160"/>
      <c r="AV60" s="160"/>
      <c r="AX60" s="34"/>
      <c r="AY60" s="34"/>
      <c r="AZ60" s="34"/>
      <c r="BA60" s="34"/>
      <c r="BB60" s="34"/>
      <c r="BC60" s="34"/>
      <c r="BJ60" s="16"/>
      <c r="BK60" s="16"/>
      <c r="BO60" s="635"/>
      <c r="BP60" s="635"/>
      <c r="BQ60" s="635"/>
      <c r="BV60"/>
      <c r="BW60"/>
      <c r="BX60"/>
    </row>
    <row r="61" spans="1:76">
      <c r="A61" s="2544" t="s">
        <v>1177</v>
      </c>
      <c r="B61" s="2549" t="s">
        <v>1527</v>
      </c>
      <c r="C61" s="2542" t="s">
        <v>2068</v>
      </c>
      <c r="D61" s="3282">
        <f>SUMIFS(BCRR_REHAB!L:L,BCRR_REHAB!D:D,'Huella materiales (2)'!A61)</f>
        <v>0</v>
      </c>
      <c r="E61" s="1030">
        <f>'Datos_aux_materiales (2)'!M61</f>
        <v>0.60034837500000005</v>
      </c>
      <c r="F61" s="2836">
        <f t="shared" si="37"/>
        <v>0</v>
      </c>
      <c r="G61" s="2823">
        <f>'Datos_aux_materiales (2)'!R61</f>
        <v>25.37</v>
      </c>
      <c r="H61" s="2825">
        <f t="shared" si="2"/>
        <v>0</v>
      </c>
      <c r="I61" s="2829">
        <f t="shared" si="38"/>
        <v>0</v>
      </c>
      <c r="J61" s="2851">
        <f t="shared" si="39"/>
        <v>0</v>
      </c>
      <c r="K61" s="2834">
        <f t="shared" si="40"/>
        <v>0</v>
      </c>
      <c r="L61" s="2653"/>
      <c r="M61" s="2654"/>
      <c r="N61" s="2653"/>
      <c r="O61" s="2654"/>
      <c r="P61" s="2653"/>
      <c r="Q61" s="2654"/>
      <c r="R61" s="2653"/>
      <c r="S61" s="2654"/>
      <c r="T61" s="2653"/>
      <c r="U61" s="2654"/>
      <c r="V61" s="2653"/>
      <c r="W61" s="2654"/>
      <c r="X61" s="2653"/>
      <c r="Y61" s="2654"/>
      <c r="Z61" s="2653"/>
      <c r="AA61" s="2654"/>
      <c r="AB61" s="2653"/>
      <c r="AC61" s="2654"/>
      <c r="AD61" s="2653"/>
      <c r="AE61" s="2654"/>
      <c r="AF61" s="2653"/>
      <c r="AG61" s="2654"/>
      <c r="AH61" s="2657"/>
      <c r="AI61" s="2657"/>
      <c r="AJ61" s="2657"/>
      <c r="AK61" s="2657"/>
      <c r="AL61" s="2657"/>
      <c r="AM61" s="2657"/>
      <c r="AN61" s="2657"/>
      <c r="AO61" s="2657"/>
      <c r="AP61" s="2657"/>
      <c r="AQ61" s="2657"/>
      <c r="AR61" s="2657"/>
      <c r="AS61" s="2656"/>
      <c r="AT61" s="635"/>
      <c r="AU61" s="160"/>
      <c r="AV61" s="160"/>
      <c r="AX61" s="34"/>
      <c r="AY61" s="34"/>
      <c r="AZ61" s="34"/>
      <c r="BA61" s="34"/>
      <c r="BB61" s="34"/>
      <c r="BC61" s="34"/>
      <c r="BJ61" s="16"/>
      <c r="BK61" s="16"/>
      <c r="BO61" s="635"/>
      <c r="BP61" s="635"/>
      <c r="BQ61" s="635"/>
      <c r="BV61"/>
      <c r="BW61"/>
      <c r="BX61"/>
    </row>
    <row r="62" spans="1:76">
      <c r="A62" s="2562" t="s">
        <v>3056</v>
      </c>
      <c r="B62" s="2887" t="s">
        <v>1527</v>
      </c>
      <c r="C62" s="2561" t="s">
        <v>3055</v>
      </c>
      <c r="D62" s="3282">
        <f>SUMIFS(BCRR_REHAB!L:L,BCRR_REHAB!D:D,'Huella materiales (2)'!A62)</f>
        <v>0</v>
      </c>
      <c r="E62" s="1030">
        <f>'Datos_aux_materiales (2)'!M62</f>
        <v>0.60034837500000005</v>
      </c>
      <c r="F62" s="2836">
        <f t="shared" si="37"/>
        <v>0</v>
      </c>
      <c r="G62" s="2823">
        <f>'Datos_aux_materiales (2)'!R62</f>
        <v>25.37</v>
      </c>
      <c r="H62" s="2825">
        <f t="shared" si="2"/>
        <v>0</v>
      </c>
      <c r="I62" s="2829">
        <f t="shared" si="38"/>
        <v>0</v>
      </c>
      <c r="J62" s="2851">
        <f t="shared" si="39"/>
        <v>0</v>
      </c>
      <c r="K62" s="2834">
        <f t="shared" si="40"/>
        <v>0</v>
      </c>
      <c r="L62" s="2653"/>
      <c r="M62" s="2654"/>
      <c r="N62" s="2653"/>
      <c r="O62" s="2654"/>
      <c r="P62" s="2653"/>
      <c r="Q62" s="2654"/>
      <c r="R62" s="2653"/>
      <c r="S62" s="2654"/>
      <c r="T62" s="2653"/>
      <c r="U62" s="2654"/>
      <c r="V62" s="2653"/>
      <c r="W62" s="2654"/>
      <c r="X62" s="2653"/>
      <c r="Y62" s="2654"/>
      <c r="Z62" s="2653"/>
      <c r="AA62" s="2654"/>
      <c r="AB62" s="2653"/>
      <c r="AC62" s="2654"/>
      <c r="AD62" s="2653"/>
      <c r="AE62" s="2654"/>
      <c r="AF62" s="2653"/>
      <c r="AG62" s="2654"/>
      <c r="AH62" s="2657"/>
      <c r="AI62" s="2657"/>
      <c r="AJ62" s="2657"/>
      <c r="AK62" s="2657"/>
      <c r="AL62" s="2657"/>
      <c r="AM62" s="2657"/>
      <c r="AN62" s="2657"/>
      <c r="AO62" s="2657"/>
      <c r="AP62" s="2657"/>
      <c r="AQ62" s="2657"/>
      <c r="AR62" s="2657"/>
      <c r="AS62" s="2656"/>
      <c r="AT62" s="635"/>
      <c r="AU62" s="160"/>
      <c r="AV62" s="160"/>
      <c r="AX62" s="34"/>
      <c r="AY62" s="34"/>
      <c r="AZ62" s="34"/>
      <c r="BA62" s="34"/>
      <c r="BB62" s="34"/>
      <c r="BC62" s="34"/>
      <c r="BJ62" s="16"/>
      <c r="BK62" s="16"/>
      <c r="BO62" s="635"/>
      <c r="BP62" s="635"/>
      <c r="BQ62" s="635"/>
      <c r="BV62"/>
      <c r="BW62"/>
      <c r="BX62"/>
    </row>
    <row r="63" spans="1:76">
      <c r="A63" s="2523" t="s">
        <v>2076</v>
      </c>
      <c r="B63" s="2565" t="s">
        <v>1504</v>
      </c>
      <c r="C63" s="2522" t="s">
        <v>2077</v>
      </c>
      <c r="D63" s="3282">
        <f>SUMIFS(BCRR_REHAB!L:L,BCRR_REHAB!D:D,'Huella materiales (2)'!A63)</f>
        <v>0</v>
      </c>
      <c r="E63" s="1030">
        <f>'Datos_aux_materiales (2)'!M63</f>
        <v>10.005806250000001</v>
      </c>
      <c r="F63" s="2836">
        <f t="shared" si="37"/>
        <v>0</v>
      </c>
      <c r="G63" s="2823">
        <f>'Datos_aux_materiales (2)'!R63</f>
        <v>68.3</v>
      </c>
      <c r="H63" s="2825">
        <f t="shared" si="2"/>
        <v>0</v>
      </c>
      <c r="I63" s="2829">
        <f t="shared" si="38"/>
        <v>0</v>
      </c>
      <c r="J63" s="2851">
        <f t="shared" si="39"/>
        <v>0</v>
      </c>
      <c r="K63" s="2834">
        <f t="shared" si="40"/>
        <v>0</v>
      </c>
      <c r="L63" s="2653"/>
      <c r="M63" s="2654"/>
      <c r="N63" s="2653"/>
      <c r="O63" s="2654"/>
      <c r="P63" s="2653"/>
      <c r="Q63" s="2654"/>
      <c r="R63" s="2653"/>
      <c r="S63" s="2654"/>
      <c r="T63" s="2653"/>
      <c r="U63" s="2654"/>
      <c r="V63" s="2653"/>
      <c r="W63" s="2654"/>
      <c r="X63" s="2653"/>
      <c r="Y63" s="2654"/>
      <c r="Z63" s="2653"/>
      <c r="AA63" s="2654"/>
      <c r="AB63" s="2653"/>
      <c r="AC63" s="2654"/>
      <c r="AD63" s="2653"/>
      <c r="AE63" s="2654"/>
      <c r="AF63" s="2653"/>
      <c r="AG63" s="2654"/>
      <c r="AH63" s="2657"/>
      <c r="AI63" s="2657"/>
      <c r="AJ63" s="2657"/>
      <c r="AK63" s="2657"/>
      <c r="AL63" s="2657"/>
      <c r="AM63" s="2657"/>
      <c r="AN63" s="2657"/>
      <c r="AO63" s="2657"/>
      <c r="AP63" s="2657"/>
      <c r="AQ63" s="2657"/>
      <c r="AR63" s="2657"/>
      <c r="AS63" s="2656"/>
      <c r="AT63" s="635"/>
      <c r="AU63" s="160"/>
      <c r="AV63" s="160"/>
      <c r="AX63" s="34"/>
      <c r="AY63" s="34"/>
      <c r="AZ63" s="34"/>
      <c r="BA63" s="34"/>
      <c r="BB63" s="34"/>
      <c r="BC63" s="34"/>
      <c r="BJ63" s="16"/>
      <c r="BK63" s="16"/>
      <c r="BO63" s="635"/>
      <c r="BP63" s="635"/>
      <c r="BQ63" s="635"/>
      <c r="BV63"/>
      <c r="BW63"/>
      <c r="BX63"/>
    </row>
    <row r="64" spans="1:76">
      <c r="A64" s="2615" t="s">
        <v>1185</v>
      </c>
      <c r="B64" s="2884" t="s">
        <v>1504</v>
      </c>
      <c r="C64" s="2613" t="s">
        <v>1760</v>
      </c>
      <c r="D64" s="3282">
        <f>SUMIFS(BCRR_REHAB!L:L,BCRR_REHAB!D:D,'Huella materiales (2)'!A64)</f>
        <v>0</v>
      </c>
      <c r="E64" s="1030">
        <f>'Datos_aux_materiales (2)'!M64</f>
        <v>1.0005806250000002</v>
      </c>
      <c r="F64" s="2836">
        <f t="shared" si="37"/>
        <v>0</v>
      </c>
      <c r="G64" s="2823">
        <f>'Datos_aux_materiales (2)'!R64</f>
        <v>68.3</v>
      </c>
      <c r="H64" s="2825">
        <f t="shared" si="2"/>
        <v>0</v>
      </c>
      <c r="I64" s="2829">
        <f t="shared" si="38"/>
        <v>0</v>
      </c>
      <c r="J64" s="2851">
        <f t="shared" si="39"/>
        <v>0</v>
      </c>
      <c r="K64" s="2834">
        <f t="shared" si="40"/>
        <v>0</v>
      </c>
      <c r="L64" s="2653"/>
      <c r="M64" s="2654"/>
      <c r="N64" s="2653"/>
      <c r="O64" s="2654"/>
      <c r="P64" s="2653"/>
      <c r="Q64" s="2654"/>
      <c r="R64" s="2653"/>
      <c r="S64" s="2654"/>
      <c r="T64" s="2653"/>
      <c r="U64" s="2654"/>
      <c r="V64" s="2653"/>
      <c r="W64" s="2654"/>
      <c r="X64" s="2653"/>
      <c r="Y64" s="2654"/>
      <c r="Z64" s="2653"/>
      <c r="AA64" s="2654"/>
      <c r="AB64" s="2653"/>
      <c r="AC64" s="2654"/>
      <c r="AD64" s="2653"/>
      <c r="AE64" s="2654"/>
      <c r="AF64" s="2653"/>
      <c r="AG64" s="2654"/>
      <c r="AH64" s="2657"/>
      <c r="AI64" s="2657"/>
      <c r="AJ64" s="2657"/>
      <c r="AK64" s="2657"/>
      <c r="AL64" s="2657"/>
      <c r="AM64" s="2657"/>
      <c r="AN64" s="2657"/>
      <c r="AO64" s="2657"/>
      <c r="AP64" s="2657"/>
      <c r="AQ64" s="2657"/>
      <c r="AR64" s="2657"/>
      <c r="AS64" s="2656"/>
      <c r="AT64" s="635"/>
      <c r="AU64" s="160"/>
      <c r="AV64" s="160"/>
      <c r="AX64" s="34"/>
      <c r="AY64" s="34"/>
      <c r="AZ64" s="34"/>
      <c r="BA64" s="34"/>
      <c r="BB64" s="34"/>
      <c r="BC64" s="34"/>
      <c r="BJ64" s="16"/>
      <c r="BK64" s="16"/>
      <c r="BO64" s="635"/>
      <c r="BP64" s="635"/>
      <c r="BQ64" s="635"/>
      <c r="BV64"/>
      <c r="BW64"/>
      <c r="BX64"/>
    </row>
    <row r="65" spans="1:76">
      <c r="A65" s="2615" t="s">
        <v>2523</v>
      </c>
      <c r="B65" s="2884" t="s">
        <v>1504</v>
      </c>
      <c r="C65" s="2633" t="s">
        <v>2524</v>
      </c>
      <c r="D65" s="3282">
        <f>SUMIFS(BCRR_REHAB!L:L,BCRR_REHAB!D:D,'Huella materiales (2)'!A65)</f>
        <v>0</v>
      </c>
      <c r="E65" s="1030">
        <f>'Datos_aux_materiales (2)'!M65</f>
        <v>3.2018580000000005</v>
      </c>
      <c r="F65" s="2836">
        <f t="shared" si="37"/>
        <v>0</v>
      </c>
      <c r="G65" s="2823">
        <f>'Datos_aux_materiales (2)'!R65</f>
        <v>68.3</v>
      </c>
      <c r="H65" s="2825">
        <f t="shared" si="2"/>
        <v>0</v>
      </c>
      <c r="I65" s="2829">
        <f t="shared" si="38"/>
        <v>0</v>
      </c>
      <c r="J65" s="2851">
        <f t="shared" si="39"/>
        <v>0</v>
      </c>
      <c r="K65" s="2834">
        <f t="shared" si="40"/>
        <v>0</v>
      </c>
      <c r="L65" s="2653"/>
      <c r="M65" s="2654"/>
      <c r="N65" s="2653"/>
      <c r="O65" s="2654"/>
      <c r="P65" s="2653"/>
      <c r="Q65" s="2654"/>
      <c r="R65" s="2653"/>
      <c r="S65" s="2654"/>
      <c r="T65" s="2653"/>
      <c r="U65" s="2654"/>
      <c r="V65" s="2653"/>
      <c r="W65" s="2654"/>
      <c r="X65" s="2653"/>
      <c r="Y65" s="2654"/>
      <c r="Z65" s="2653"/>
      <c r="AA65" s="2654"/>
      <c r="AB65" s="2653"/>
      <c r="AC65" s="2654"/>
      <c r="AD65" s="2653"/>
      <c r="AE65" s="2654"/>
      <c r="AF65" s="2653"/>
      <c r="AG65" s="2654"/>
      <c r="AH65" s="2657"/>
      <c r="AI65" s="2657"/>
      <c r="AJ65" s="2657"/>
      <c r="AK65" s="2657"/>
      <c r="AL65" s="2657"/>
      <c r="AM65" s="2657"/>
      <c r="AN65" s="2657"/>
      <c r="AO65" s="2657"/>
      <c r="AP65" s="2657"/>
      <c r="AQ65" s="2657"/>
      <c r="AR65" s="2657"/>
      <c r="AS65" s="2656"/>
      <c r="AT65" s="635"/>
      <c r="AU65" s="160"/>
      <c r="AV65" s="160"/>
      <c r="AX65" s="34"/>
      <c r="AY65" s="34"/>
      <c r="AZ65" s="34"/>
      <c r="BA65" s="34"/>
      <c r="BB65" s="34"/>
      <c r="BC65" s="34"/>
      <c r="BJ65" s="16"/>
      <c r="BK65" s="16"/>
      <c r="BO65" s="635"/>
      <c r="BP65" s="635"/>
      <c r="BQ65" s="635"/>
      <c r="BV65"/>
      <c r="BW65"/>
      <c r="BX65"/>
    </row>
    <row r="66" spans="1:76">
      <c r="A66" s="2615" t="s">
        <v>2804</v>
      </c>
      <c r="B66" s="2884" t="s">
        <v>1504</v>
      </c>
      <c r="C66" s="2613" t="s">
        <v>2805</v>
      </c>
      <c r="D66" s="3282">
        <f>SUMIFS(BCRR_REHAB!L:L,BCRR_REHAB!D:D,'Huella materiales (2)'!A66)</f>
        <v>0</v>
      </c>
      <c r="E66" s="1030">
        <f>'Datos_aux_materiales (2)'!M66</f>
        <v>7.5439776802500003</v>
      </c>
      <c r="F66" s="2836">
        <f t="shared" si="37"/>
        <v>0</v>
      </c>
      <c r="G66" s="2823">
        <f>'Datos_aux_materiales (2)'!R66</f>
        <v>68.3</v>
      </c>
      <c r="H66" s="2825">
        <f t="shared" si="2"/>
        <v>0</v>
      </c>
      <c r="I66" s="2829">
        <f t="shared" si="38"/>
        <v>0</v>
      </c>
      <c r="J66" s="2851">
        <f t="shared" si="39"/>
        <v>0</v>
      </c>
      <c r="K66" s="2834">
        <f t="shared" si="40"/>
        <v>0</v>
      </c>
      <c r="L66" s="2653"/>
      <c r="M66" s="2654"/>
      <c r="N66" s="2653"/>
      <c r="O66" s="2654"/>
      <c r="P66" s="2653"/>
      <c r="Q66" s="2654"/>
      <c r="R66" s="2653"/>
      <c r="S66" s="2654"/>
      <c r="T66" s="2653"/>
      <c r="U66" s="2654"/>
      <c r="V66" s="2653"/>
      <c r="W66" s="2654"/>
      <c r="X66" s="2653"/>
      <c r="Y66" s="2654"/>
      <c r="Z66" s="2653"/>
      <c r="AA66" s="2654"/>
      <c r="AB66" s="2653"/>
      <c r="AC66" s="2654"/>
      <c r="AD66" s="2653"/>
      <c r="AE66" s="2654"/>
      <c r="AF66" s="2653"/>
      <c r="AG66" s="2654"/>
      <c r="AH66" s="2657"/>
      <c r="AI66" s="2657"/>
      <c r="AJ66" s="2657"/>
      <c r="AK66" s="2657"/>
      <c r="AL66" s="2657"/>
      <c r="AM66" s="2657"/>
      <c r="AN66" s="2657"/>
      <c r="AO66" s="2657"/>
      <c r="AP66" s="2657"/>
      <c r="AQ66" s="2657"/>
      <c r="AR66" s="2657"/>
      <c r="AS66" s="2656"/>
      <c r="AT66" s="635"/>
      <c r="AU66" s="160"/>
      <c r="AV66" s="160"/>
      <c r="AX66" s="34"/>
      <c r="AY66" s="34"/>
      <c r="AZ66" s="34"/>
      <c r="BA66" s="34"/>
      <c r="BB66" s="34"/>
      <c r="BC66" s="34"/>
      <c r="BJ66" s="16"/>
      <c r="BK66" s="16"/>
      <c r="BO66" s="635"/>
      <c r="BP66" s="635"/>
      <c r="BQ66" s="635"/>
      <c r="BV66"/>
      <c r="BW66"/>
      <c r="BX66"/>
    </row>
    <row r="67" spans="1:76">
      <c r="A67" s="2615" t="s">
        <v>2725</v>
      </c>
      <c r="B67" s="2884" t="s">
        <v>1504</v>
      </c>
      <c r="C67" s="2613" t="s">
        <v>2726</v>
      </c>
      <c r="D67" s="3282">
        <f>SUMIFS(BCRR_REHAB!L:L,BCRR_REHAB!D:D,'Huella materiales (2)'!A67)</f>
        <v>0</v>
      </c>
      <c r="E67" s="1030">
        <f>'Datos_aux_materiales (2)'!M67</f>
        <v>0.40023225000000007</v>
      </c>
      <c r="F67" s="2836">
        <f t="shared" si="37"/>
        <v>0</v>
      </c>
      <c r="G67" s="2823">
        <f>'Datos_aux_materiales (2)'!R67</f>
        <v>69.3</v>
      </c>
      <c r="H67" s="2825">
        <f t="shared" si="2"/>
        <v>0</v>
      </c>
      <c r="I67" s="2829">
        <f t="shared" si="38"/>
        <v>0</v>
      </c>
      <c r="J67" s="2851">
        <f t="shared" si="39"/>
        <v>0</v>
      </c>
      <c r="K67" s="2834">
        <f t="shared" si="40"/>
        <v>0</v>
      </c>
      <c r="L67" s="2653"/>
      <c r="M67" s="2654"/>
      <c r="N67" s="2653"/>
      <c r="O67" s="2654"/>
      <c r="P67" s="2653"/>
      <c r="Q67" s="2654"/>
      <c r="R67" s="2653"/>
      <c r="S67" s="2654"/>
      <c r="T67" s="2653"/>
      <c r="U67" s="2654"/>
      <c r="V67" s="2653"/>
      <c r="W67" s="2654"/>
      <c r="X67" s="2653"/>
      <c r="Y67" s="2654"/>
      <c r="Z67" s="2653"/>
      <c r="AA67" s="2654"/>
      <c r="AB67" s="2653"/>
      <c r="AC67" s="2654"/>
      <c r="AD67" s="2653"/>
      <c r="AE67" s="2654"/>
      <c r="AF67" s="2653"/>
      <c r="AG67" s="2654"/>
      <c r="AH67" s="2657"/>
      <c r="AI67" s="2657"/>
      <c r="AJ67" s="2657"/>
      <c r="AK67" s="2657"/>
      <c r="AL67" s="2657"/>
      <c r="AM67" s="2657"/>
      <c r="AN67" s="2657"/>
      <c r="AO67" s="2657"/>
      <c r="AP67" s="2657"/>
      <c r="AQ67" s="2657"/>
      <c r="AR67" s="2657"/>
      <c r="AS67" s="2656"/>
      <c r="AT67" s="635"/>
      <c r="AU67" s="160"/>
      <c r="AV67" s="160"/>
      <c r="AX67" s="34"/>
      <c r="AY67" s="34"/>
      <c r="AZ67" s="34"/>
      <c r="BA67" s="34"/>
      <c r="BB67" s="34"/>
      <c r="BC67" s="34"/>
      <c r="BJ67" s="16"/>
      <c r="BK67" s="16"/>
      <c r="BO67" s="635"/>
      <c r="BP67" s="635"/>
      <c r="BQ67" s="635"/>
      <c r="BV67"/>
      <c r="BW67"/>
      <c r="BX67"/>
    </row>
    <row r="68" spans="1:76">
      <c r="A68" s="2523" t="s">
        <v>1728</v>
      </c>
      <c r="B68" s="2565" t="s">
        <v>1504</v>
      </c>
      <c r="C68" s="2522" t="s">
        <v>1729</v>
      </c>
      <c r="D68" s="3282">
        <f>SUMIFS(BCRR_REHAB!L:L,BCRR_REHAB!D:D,'Huella materiales (2)'!A68)</f>
        <v>0</v>
      </c>
      <c r="E68" s="1030">
        <f>'Datos_aux_materiales (2)'!M68</f>
        <v>0.80046450000000013</v>
      </c>
      <c r="F68" s="2836">
        <f t="shared" si="37"/>
        <v>0</v>
      </c>
      <c r="G68" s="2823">
        <f>'Datos_aux_materiales (2)'!R68</f>
        <v>68.3</v>
      </c>
      <c r="H68" s="2825">
        <f t="shared" si="2"/>
        <v>0</v>
      </c>
      <c r="I68" s="2829">
        <f t="shared" si="38"/>
        <v>0</v>
      </c>
      <c r="J68" s="2851">
        <f t="shared" si="39"/>
        <v>0</v>
      </c>
      <c r="K68" s="2834">
        <f t="shared" si="40"/>
        <v>0</v>
      </c>
      <c r="L68" s="2653"/>
      <c r="M68" s="2654"/>
      <c r="N68" s="2653"/>
      <c r="O68" s="2654"/>
      <c r="P68" s="2653"/>
      <c r="Q68" s="2654"/>
      <c r="R68" s="2653"/>
      <c r="S68" s="2654"/>
      <c r="T68" s="2653"/>
      <c r="U68" s="2654"/>
      <c r="V68" s="2653"/>
      <c r="W68" s="2654"/>
      <c r="X68" s="2653"/>
      <c r="Y68" s="2654"/>
      <c r="Z68" s="2653"/>
      <c r="AA68" s="2654"/>
      <c r="AB68" s="2653"/>
      <c r="AC68" s="2654"/>
      <c r="AD68" s="2653"/>
      <c r="AE68" s="2654"/>
      <c r="AF68" s="2653"/>
      <c r="AG68" s="2654"/>
      <c r="AH68" s="2657"/>
      <c r="AI68" s="2657"/>
      <c r="AJ68" s="2657"/>
      <c r="AK68" s="2657"/>
      <c r="AL68" s="2657"/>
      <c r="AM68" s="2657"/>
      <c r="AN68" s="2657"/>
      <c r="AO68" s="2657"/>
      <c r="AP68" s="2657"/>
      <c r="AQ68" s="2657"/>
      <c r="AR68" s="2657"/>
      <c r="AS68" s="2656"/>
      <c r="AT68" s="635"/>
      <c r="AU68" s="160"/>
      <c r="AV68" s="160"/>
      <c r="AX68" s="34"/>
      <c r="AY68" s="34"/>
      <c r="AZ68" s="34"/>
      <c r="BA68" s="34"/>
      <c r="BB68" s="34"/>
      <c r="BC68" s="34"/>
      <c r="BJ68" s="16"/>
      <c r="BK68" s="16"/>
      <c r="BO68" s="635"/>
      <c r="BP68" s="635"/>
      <c r="BQ68" s="635"/>
      <c r="BV68"/>
      <c r="BW68"/>
      <c r="BX68"/>
    </row>
    <row r="69" spans="1:76">
      <c r="A69" s="2523" t="s">
        <v>2060</v>
      </c>
      <c r="B69" s="2565" t="s">
        <v>1357</v>
      </c>
      <c r="C69" s="2522" t="s">
        <v>3053</v>
      </c>
      <c r="D69" s="3282">
        <f>SUMIFS(BCRR_REHAB!L:L,BCRR_REHAB!D:D,'Huella materiales (2)'!A69)</f>
        <v>0</v>
      </c>
      <c r="E69" s="1030">
        <f>'Datos_aux_materiales (2)'!M69</f>
        <v>1</v>
      </c>
      <c r="F69" s="2836">
        <f t="shared" ref="F69:F72" si="42">D69*E69</f>
        <v>0</v>
      </c>
      <c r="G69" s="2823">
        <f>'Datos_aux_materiales (2)'!R69</f>
        <v>69.3</v>
      </c>
      <c r="H69" s="2825">
        <f t="shared" ref="H69:H72" si="43">F69*G69</f>
        <v>0</v>
      </c>
      <c r="I69" s="2829">
        <f t="shared" ref="I69:I73" si="44">H69/$AV$5*$AV$7</f>
        <v>0</v>
      </c>
      <c r="J69" s="2851">
        <f t="shared" ref="J69:J73" si="45">I69/$AV$8</f>
        <v>0</v>
      </c>
      <c r="K69" s="2834">
        <f t="shared" si="40"/>
        <v>0</v>
      </c>
      <c r="L69" s="2653"/>
      <c r="M69" s="2654"/>
      <c r="N69" s="2653"/>
      <c r="O69" s="2654"/>
      <c r="P69" s="2653"/>
      <c r="Q69" s="2654"/>
      <c r="R69" s="2653"/>
      <c r="S69" s="2654"/>
      <c r="T69" s="2653"/>
      <c r="U69" s="2654"/>
      <c r="V69" s="2653"/>
      <c r="W69" s="2654"/>
      <c r="X69" s="2653"/>
      <c r="Y69" s="2654"/>
      <c r="Z69" s="2653"/>
      <c r="AA69" s="2654"/>
      <c r="AB69" s="2653"/>
      <c r="AC69" s="2654"/>
      <c r="AD69" s="2653"/>
      <c r="AE69" s="2654"/>
      <c r="AF69" s="2653"/>
      <c r="AG69" s="2654"/>
      <c r="AH69" s="2657"/>
      <c r="AI69" s="2657"/>
      <c r="AJ69" s="2657"/>
      <c r="AK69" s="2657"/>
      <c r="AL69" s="2657"/>
      <c r="AM69" s="2657"/>
      <c r="AN69" s="2657"/>
      <c r="AO69" s="2657"/>
      <c r="AP69" s="2657"/>
      <c r="AQ69" s="2657"/>
      <c r="AR69" s="2657"/>
      <c r="AS69" s="2656"/>
      <c r="AT69" s="635"/>
      <c r="AU69" s="160"/>
      <c r="AV69" s="160"/>
      <c r="AX69" s="34"/>
      <c r="AY69" s="34"/>
      <c r="AZ69" s="34"/>
      <c r="BA69" s="34"/>
      <c r="BB69" s="34"/>
      <c r="BC69" s="34"/>
      <c r="BJ69" s="16"/>
      <c r="BK69" s="16"/>
      <c r="BO69" s="635"/>
      <c r="BP69" s="635"/>
      <c r="BQ69" s="635"/>
      <c r="BV69"/>
      <c r="BW69"/>
      <c r="BX69"/>
    </row>
    <row r="70" spans="1:76">
      <c r="A70" s="2523" t="s">
        <v>1961</v>
      </c>
      <c r="B70" s="2565" t="s">
        <v>1527</v>
      </c>
      <c r="C70" s="2522" t="s">
        <v>1962</v>
      </c>
      <c r="D70" s="3282">
        <f>SUMIFS(BCRR_REHAB!L:L,BCRR_REHAB!D:D,'Huella materiales (2)'!A70)</f>
        <v>0</v>
      </c>
      <c r="E70" s="1030">
        <f>'Datos_aux_materiales (2)'!M70</f>
        <v>1.3215312000000001</v>
      </c>
      <c r="F70" s="2836">
        <f t="shared" si="42"/>
        <v>0</v>
      </c>
      <c r="G70" s="2823">
        <f>'Datos_aux_materiales (2)'!R70</f>
        <v>148.6</v>
      </c>
      <c r="H70" s="2825">
        <f t="shared" si="43"/>
        <v>0</v>
      </c>
      <c r="I70" s="2829">
        <f t="shared" si="44"/>
        <v>0</v>
      </c>
      <c r="J70" s="2851">
        <f t="shared" si="45"/>
        <v>0</v>
      </c>
      <c r="K70" s="2834">
        <f t="shared" si="40"/>
        <v>0</v>
      </c>
      <c r="L70" s="2653"/>
      <c r="M70" s="2654"/>
      <c r="N70" s="2653"/>
      <c r="O70" s="2654"/>
      <c r="P70" s="2653"/>
      <c r="Q70" s="2654"/>
      <c r="R70" s="2653"/>
      <c r="S70" s="2654"/>
      <c r="T70" s="2653"/>
      <c r="U70" s="2654"/>
      <c r="V70" s="2653"/>
      <c r="W70" s="2654"/>
      <c r="X70" s="2653"/>
      <c r="Y70" s="2654"/>
      <c r="Z70" s="2653"/>
      <c r="AA70" s="2654"/>
      <c r="AB70" s="2653"/>
      <c r="AC70" s="2654"/>
      <c r="AD70" s="2653"/>
      <c r="AE70" s="2654"/>
      <c r="AF70" s="2653"/>
      <c r="AG70" s="2654"/>
      <c r="AH70" s="2657"/>
      <c r="AI70" s="2657"/>
      <c r="AJ70" s="2657"/>
      <c r="AK70" s="2657"/>
      <c r="AL70" s="2657"/>
      <c r="AM70" s="2657"/>
      <c r="AN70" s="2657"/>
      <c r="AO70" s="2657"/>
      <c r="AP70" s="2657"/>
      <c r="AQ70" s="2657"/>
      <c r="AR70" s="2657"/>
      <c r="AS70" s="2656"/>
      <c r="AT70" s="635"/>
      <c r="AU70" s="160"/>
      <c r="AV70" s="160"/>
      <c r="BJ70" s="16"/>
      <c r="BK70" s="16"/>
      <c r="BO70" s="635"/>
      <c r="BP70" s="635"/>
      <c r="BQ70" s="635"/>
      <c r="BV70"/>
      <c r="BW70"/>
      <c r="BX70"/>
    </row>
    <row r="71" spans="1:76">
      <c r="A71" s="2523" t="s">
        <v>1959</v>
      </c>
      <c r="B71" s="2565" t="s">
        <v>1527</v>
      </c>
      <c r="C71" s="2522" t="s">
        <v>1960</v>
      </c>
      <c r="D71" s="3282">
        <f>SUMIFS(BCRR_REHAB!L:L,BCRR_REHAB!D:D,'Huella materiales (2)'!A71)</f>
        <v>0</v>
      </c>
      <c r="E71" s="1030">
        <f>'Datos_aux_materiales (2)'!M71</f>
        <v>1.3215312000000001</v>
      </c>
      <c r="F71" s="2836">
        <f t="shared" si="42"/>
        <v>0</v>
      </c>
      <c r="G71" s="2823">
        <f>'Datos_aux_materiales (2)'!R71</f>
        <v>148.6</v>
      </c>
      <c r="H71" s="2825">
        <f t="shared" si="43"/>
        <v>0</v>
      </c>
      <c r="I71" s="2829">
        <f t="shared" si="44"/>
        <v>0</v>
      </c>
      <c r="J71" s="2851">
        <f t="shared" si="45"/>
        <v>0</v>
      </c>
      <c r="K71" s="2834">
        <f t="shared" si="40"/>
        <v>0</v>
      </c>
      <c r="L71" s="2653"/>
      <c r="M71" s="2654"/>
      <c r="N71" s="2653"/>
      <c r="O71" s="2654"/>
      <c r="P71" s="2653"/>
      <c r="Q71" s="2654"/>
      <c r="R71" s="2653"/>
      <c r="S71" s="2654"/>
      <c r="T71" s="2653"/>
      <c r="U71" s="2654"/>
      <c r="V71" s="2653"/>
      <c r="W71" s="2654"/>
      <c r="X71" s="2653"/>
      <c r="Y71" s="2654"/>
      <c r="Z71" s="2653"/>
      <c r="AA71" s="2654"/>
      <c r="AB71" s="2653"/>
      <c r="AC71" s="2654"/>
      <c r="AD71" s="2653"/>
      <c r="AE71" s="2654"/>
      <c r="AF71" s="2653"/>
      <c r="AG71" s="2654"/>
      <c r="AH71" s="2657"/>
      <c r="AI71" s="2657"/>
      <c r="AJ71" s="2657"/>
      <c r="AK71" s="2657"/>
      <c r="AL71" s="2657"/>
      <c r="AM71" s="2657"/>
      <c r="AN71" s="2657"/>
      <c r="AO71" s="2657"/>
      <c r="AP71" s="2657"/>
      <c r="AQ71" s="2657"/>
      <c r="AR71" s="2657"/>
      <c r="AS71" s="2656"/>
      <c r="AT71" s="635"/>
      <c r="AU71" s="160"/>
      <c r="AV71" s="160"/>
      <c r="BJ71" s="16"/>
      <c r="BK71" s="16"/>
      <c r="BO71" s="635"/>
      <c r="BP71" s="635"/>
      <c r="BQ71" s="635"/>
      <c r="BV71"/>
      <c r="BW71"/>
      <c r="BX71"/>
    </row>
    <row r="72" spans="1:76">
      <c r="A72" s="2804" t="s">
        <v>1957</v>
      </c>
      <c r="B72" s="2888" t="s">
        <v>1504</v>
      </c>
      <c r="C72" s="2805" t="s">
        <v>1958</v>
      </c>
      <c r="D72" s="3282">
        <f>SUMIFS(BCRR_REHAB!L:L,BCRR_REHAB!D:D,'Huella materiales (2)'!A72)</f>
        <v>0</v>
      </c>
      <c r="E72" s="2808">
        <f>'Datos_aux_materiales (2)'!M72</f>
        <v>0.32018580000000008</v>
      </c>
      <c r="F72" s="2836">
        <f t="shared" si="42"/>
        <v>0</v>
      </c>
      <c r="G72" s="2824">
        <f>'Datos_aux_materiales (2)'!R72</f>
        <v>72.3</v>
      </c>
      <c r="H72" s="2825">
        <f t="shared" si="43"/>
        <v>0</v>
      </c>
      <c r="I72" s="2829">
        <f t="shared" si="44"/>
        <v>0</v>
      </c>
      <c r="J72" s="2851">
        <f t="shared" si="45"/>
        <v>0</v>
      </c>
      <c r="K72" s="2834">
        <f t="shared" si="40"/>
        <v>0</v>
      </c>
      <c r="L72" s="2806"/>
      <c r="M72" s="2807"/>
      <c r="N72" s="2806"/>
      <c r="O72" s="2807"/>
      <c r="P72" s="2806"/>
      <c r="Q72" s="2807"/>
      <c r="R72" s="2806"/>
      <c r="S72" s="2807"/>
      <c r="T72" s="2806"/>
      <c r="U72" s="2807"/>
      <c r="V72" s="2806"/>
      <c r="W72" s="2807"/>
      <c r="X72" s="2806"/>
      <c r="Y72" s="2807"/>
      <c r="Z72" s="2806"/>
      <c r="AA72" s="2807"/>
      <c r="AB72" s="2806"/>
      <c r="AC72" s="2807"/>
      <c r="AD72" s="2806"/>
      <c r="AE72" s="2807"/>
      <c r="AF72" s="2806"/>
      <c r="AG72" s="2807"/>
      <c r="AH72" s="2657"/>
      <c r="AI72" s="2657"/>
      <c r="AJ72" s="2657"/>
      <c r="AK72" s="2657"/>
      <c r="AL72" s="2657"/>
      <c r="AM72" s="2657"/>
      <c r="AN72" s="2657"/>
      <c r="AO72" s="2657"/>
      <c r="AP72" s="2657"/>
      <c r="AQ72" s="2657"/>
      <c r="AR72" s="2657"/>
      <c r="AS72" s="2656"/>
      <c r="AT72" s="635"/>
      <c r="AU72" s="160"/>
      <c r="AV72" s="160"/>
      <c r="BJ72" s="16"/>
      <c r="BK72" s="16"/>
      <c r="BO72" s="635"/>
      <c r="BP72" s="635"/>
      <c r="BQ72" s="635"/>
      <c r="BV72"/>
      <c r="BW72"/>
      <c r="BX72"/>
    </row>
    <row r="73" spans="1:76" ht="18.5">
      <c r="A73" s="2900"/>
      <c r="B73" s="2881"/>
      <c r="C73" s="2811" t="s">
        <v>3095</v>
      </c>
      <c r="D73" s="3284"/>
      <c r="E73" s="2795"/>
      <c r="F73" s="2843">
        <f>SUM(F5:F72)</f>
        <v>2369.9284000000002</v>
      </c>
      <c r="G73" s="2844"/>
      <c r="H73" s="2842">
        <f>SUM(H5:H72)</f>
        <v>86234.609719999993</v>
      </c>
      <c r="I73" s="2830">
        <f t="shared" si="44"/>
        <v>1.5303606795380282</v>
      </c>
      <c r="J73" s="2852">
        <f t="shared" si="45"/>
        <v>3.2355868995645E-2</v>
      </c>
      <c r="K73" s="2835">
        <f>SUM(K5:K72)</f>
        <v>2488.4248200000002</v>
      </c>
      <c r="L73" s="2795"/>
      <c r="M73" s="2795"/>
      <c r="N73" s="2795"/>
      <c r="O73" s="2795"/>
      <c r="P73" s="2795"/>
      <c r="Q73" s="2795"/>
      <c r="R73" s="2795"/>
      <c r="S73" s="2795"/>
      <c r="T73" s="2795"/>
      <c r="U73" s="2795"/>
      <c r="V73" s="2795"/>
      <c r="W73" s="2795"/>
      <c r="X73" s="2795"/>
      <c r="Y73" s="2795"/>
      <c r="Z73" s="2795"/>
      <c r="AA73" s="2795"/>
      <c r="AB73" s="2795"/>
      <c r="AC73" s="2795"/>
      <c r="AD73" s="2795"/>
      <c r="AE73" s="2795"/>
      <c r="AF73" s="2795"/>
      <c r="AG73" s="2795"/>
      <c r="AH73" s="2657"/>
      <c r="AI73" s="2657"/>
      <c r="AJ73" s="2657"/>
      <c r="AK73" s="2657"/>
      <c r="AL73" s="2657"/>
      <c r="AM73" s="2657"/>
      <c r="AN73" s="2657"/>
      <c r="AO73" s="2657"/>
      <c r="AP73" s="2657"/>
      <c r="AQ73" s="2657"/>
      <c r="AR73" s="2657"/>
      <c r="AS73" s="2656"/>
      <c r="AT73" s="635"/>
      <c r="AU73" s="2725"/>
      <c r="AV73" s="2725"/>
      <c r="AW73" s="2725"/>
      <c r="AX73" s="2725"/>
      <c r="AY73" s="2820"/>
      <c r="AZ73" s="2820"/>
      <c r="BA73" s="2820"/>
      <c r="BB73" s="2725"/>
      <c r="BC73" s="2725"/>
      <c r="BD73" s="2725"/>
      <c r="BE73" s="2725"/>
      <c r="BF73" s="2725"/>
      <c r="BG73" s="2725"/>
      <c r="BH73" s="2725"/>
      <c r="BJ73" s="16"/>
      <c r="BK73" s="16"/>
      <c r="BO73" s="635"/>
      <c r="BP73" s="635"/>
      <c r="BQ73" s="635"/>
      <c r="BV73"/>
      <c r="BW73"/>
      <c r="BX73"/>
    </row>
    <row r="74" spans="1:76" s="2725" customFormat="1" ht="18.5">
      <c r="A74" s="2909" t="s">
        <v>2975</v>
      </c>
      <c r="B74" s="2910"/>
      <c r="C74" s="2911"/>
      <c r="D74" s="3281"/>
      <c r="E74" s="2915"/>
      <c r="F74" s="2915"/>
      <c r="G74" s="2915"/>
      <c r="H74" s="2916"/>
      <c r="I74" s="2915"/>
      <c r="J74" s="2917"/>
      <c r="K74" s="2918"/>
      <c r="L74" s="2912"/>
      <c r="M74" s="2913"/>
      <c r="N74" s="2914"/>
      <c r="O74" s="2914"/>
      <c r="P74" s="2914"/>
      <c r="Q74" s="2914"/>
      <c r="R74" s="2914"/>
      <c r="S74" s="2914"/>
      <c r="T74" s="2914"/>
      <c r="U74" s="2914"/>
      <c r="V74" s="2914"/>
      <c r="W74" s="2914"/>
      <c r="X74" s="2914"/>
      <c r="Y74" s="2914"/>
      <c r="Z74" s="2914"/>
      <c r="AA74" s="2914"/>
      <c r="AB74" s="2914"/>
      <c r="AC74" s="2914"/>
      <c r="AD74" s="2914"/>
      <c r="AE74" s="2914"/>
      <c r="AF74" s="2914"/>
      <c r="AG74" s="2914"/>
      <c r="AH74" s="2916"/>
      <c r="AI74" s="2916"/>
      <c r="AJ74" s="2916"/>
      <c r="AK74" s="2916"/>
      <c r="AL74" s="2916"/>
      <c r="AM74" s="2916"/>
      <c r="AN74" s="2916"/>
      <c r="AO74" s="2916"/>
      <c r="AP74" s="2916"/>
      <c r="AQ74" s="2916"/>
      <c r="AR74" s="2916"/>
      <c r="AS74" s="2916"/>
      <c r="AT74" s="2799"/>
      <c r="AU74" s="16"/>
      <c r="AV74" s="16"/>
      <c r="AW74" s="16"/>
      <c r="AX74" s="16"/>
      <c r="AY74" s="16"/>
      <c r="AZ74" s="16"/>
      <c r="BA74" s="16"/>
      <c r="BB74"/>
      <c r="BC74"/>
      <c r="BD74"/>
      <c r="BE74"/>
      <c r="BF74"/>
      <c r="BG74"/>
      <c r="BH74"/>
      <c r="BL74" s="2820"/>
      <c r="BM74" s="2820"/>
      <c r="BN74" s="2820"/>
      <c r="BO74" s="2814"/>
      <c r="BP74" s="2816"/>
      <c r="BQ74" s="2799"/>
      <c r="BR74" s="2820"/>
      <c r="BS74" s="2820"/>
      <c r="BT74" s="2820"/>
      <c r="BU74" s="2820"/>
    </row>
    <row r="75" spans="1:76" ht="38.25" customHeight="1">
      <c r="A75" s="2889" t="s">
        <v>1328</v>
      </c>
      <c r="B75" s="2889" t="s">
        <v>1549</v>
      </c>
      <c r="C75" s="2878" t="s">
        <v>3126</v>
      </c>
      <c r="D75" s="3285" t="s">
        <v>914</v>
      </c>
      <c r="E75" s="2794" t="s">
        <v>288</v>
      </c>
      <c r="F75" s="2837" t="s">
        <v>3123</v>
      </c>
      <c r="G75" s="2826" t="s">
        <v>287</v>
      </c>
      <c r="H75" s="2827" t="s">
        <v>3097</v>
      </c>
      <c r="I75" s="161" t="s">
        <v>3124</v>
      </c>
      <c r="J75" s="2850" t="s">
        <v>3125</v>
      </c>
      <c r="K75" s="2833" t="s">
        <v>3136</v>
      </c>
      <c r="L75" s="2810"/>
      <c r="M75" s="2789"/>
      <c r="N75" s="2789"/>
      <c r="O75" s="2790"/>
      <c r="P75" s="2789"/>
      <c r="Q75" s="2789"/>
      <c r="R75" s="2789"/>
      <c r="S75" s="2791"/>
      <c r="T75" s="2739"/>
      <c r="U75" s="2792">
        <f>L75*T75</f>
        <v>0</v>
      </c>
      <c r="V75" s="2789"/>
      <c r="W75" s="2791"/>
      <c r="X75" s="2791"/>
      <c r="Y75" s="2791"/>
      <c r="Z75" s="2791"/>
      <c r="AA75" s="2793">
        <f>T75*Y75*L75</f>
        <v>0</v>
      </c>
      <c r="AB75" s="2791"/>
      <c r="AC75" s="2791"/>
      <c r="AD75" s="2791"/>
      <c r="AE75" s="2793">
        <f>T75*AD75*L75</f>
        <v>0</v>
      </c>
      <c r="AF75" s="2791"/>
      <c r="AG75" s="2791"/>
      <c r="AH75" s="2798"/>
      <c r="AI75" s="2798"/>
      <c r="AJ75" s="2798"/>
      <c r="AK75" s="2798"/>
      <c r="AL75" s="2798"/>
      <c r="AM75" s="2798"/>
      <c r="AN75" s="2798"/>
      <c r="AO75" s="2798"/>
      <c r="AP75" s="2798"/>
      <c r="AQ75" s="2798"/>
      <c r="AR75" s="2798"/>
      <c r="AS75" s="2798"/>
      <c r="AT75" s="2820"/>
      <c r="AU75" s="16"/>
      <c r="AV75" s="16"/>
      <c r="AW75" s="16"/>
      <c r="AX75" s="16"/>
      <c r="AY75" s="16"/>
      <c r="AZ75" s="16"/>
      <c r="BA75" s="16"/>
      <c r="BO75" s="2820"/>
      <c r="BP75" s="2938"/>
      <c r="BQ75" s="2939"/>
      <c r="BV75"/>
      <c r="BW75"/>
      <c r="BX75"/>
    </row>
    <row r="76" spans="1:76">
      <c r="A76" s="2802" t="s">
        <v>2657</v>
      </c>
      <c r="B76" s="2890" t="s">
        <v>1504</v>
      </c>
      <c r="C76" s="2803" t="s">
        <v>2658</v>
      </c>
      <c r="D76" s="3282">
        <f>SUMIFS(BCRR_REHAB!L:L,BCRR_REHAB!D:D,'Huella materiales (2)'!A76)</f>
        <v>0</v>
      </c>
      <c r="E76" s="1030">
        <f>'Datos_aux_materiales (2)'!M74</f>
        <v>0.94709736000000011</v>
      </c>
      <c r="F76" s="2836">
        <f t="shared" ref="F76:F85" si="46">D76*E76</f>
        <v>0</v>
      </c>
      <c r="G76" s="2823">
        <f>'Datos_aux_materiales (2)'!R74</f>
        <v>193.2</v>
      </c>
      <c r="H76" s="2825">
        <f t="shared" ref="H76:H85" si="47">F76*G76</f>
        <v>0</v>
      </c>
      <c r="I76" s="2829">
        <f t="shared" ref="I76:I86" si="48">H76/$AV$5*$AV$7</f>
        <v>0</v>
      </c>
      <c r="J76" s="2851">
        <f t="shared" ref="J76:J86" si="49">I76/$AV$8</f>
        <v>0</v>
      </c>
      <c r="K76" s="2834">
        <f t="shared" ref="K76:K85" si="50">F76*1.05</f>
        <v>0</v>
      </c>
      <c r="L76" s="146" t="e">
        <f>SUMIF(#REF!,'Huella materiales (2)'!A76,#REF!)</f>
        <v>#REF!</v>
      </c>
      <c r="M76" s="1013" t="e">
        <f>L76*E76</f>
        <v>#REF!</v>
      </c>
      <c r="N76" s="146" t="e">
        <f>SUMIF(#REF!,'Huella materiales (2)'!A76,#REF!)</f>
        <v>#REF!</v>
      </c>
      <c r="O76" s="1013" t="e">
        <f>N76*E76</f>
        <v>#REF!</v>
      </c>
      <c r="P76" s="146" t="e">
        <f>SUMIF(#REF!,'Huella materiales (2)'!A76,#REF!)</f>
        <v>#REF!</v>
      </c>
      <c r="Q76" s="1013" t="e">
        <f>P76*E76</f>
        <v>#REF!</v>
      </c>
      <c r="R76" s="146" t="e">
        <f>SUMIF(#REF!,'Huella materiales (2)'!A76,#REF!)</f>
        <v>#REF!</v>
      </c>
      <c r="S76" s="1013" t="e">
        <f>R76*E76</f>
        <v>#REF!</v>
      </c>
      <c r="T76" s="146" t="e">
        <f>SUMIF(#REF!,'Huella materiales (2)'!A76,#REF!)</f>
        <v>#REF!</v>
      </c>
      <c r="U76" s="1013" t="e">
        <f>T76*E76</f>
        <v>#REF!</v>
      </c>
      <c r="V76" s="146" t="e">
        <f>SUMIF(#REF!,'Huella materiales (2)'!A76,#REF!)</f>
        <v>#REF!</v>
      </c>
      <c r="W76" s="1013" t="e">
        <f>V76*E76</f>
        <v>#REF!</v>
      </c>
      <c r="X76" s="146" t="e">
        <f>SUMIF(#REF!,'Huella materiales (2)'!A76,#REF!)</f>
        <v>#REF!</v>
      </c>
      <c r="Y76" s="1013" t="e">
        <f>X76*E76</f>
        <v>#REF!</v>
      </c>
      <c r="Z76" s="146" t="e">
        <f>SUMIF(#REF!,'Huella materiales (2)'!A76,#REF!)</f>
        <v>#REF!</v>
      </c>
      <c r="AA76" s="1013" t="e">
        <f>Z76*E76</f>
        <v>#REF!</v>
      </c>
      <c r="AB76" s="146" t="e">
        <f>SUMIF(#REF!,'Huella materiales (2)'!A76,#REF!)</f>
        <v>#REF!</v>
      </c>
      <c r="AC76" s="1013" t="e">
        <f>AB76*E76</f>
        <v>#REF!</v>
      </c>
      <c r="AD76" s="146" t="e">
        <f>SUMIF(#REF!,'Huella materiales (2)'!A76,#REF!)</f>
        <v>#REF!</v>
      </c>
      <c r="AE76" s="1013" t="e">
        <f>AD76*E76</f>
        <v>#REF!</v>
      </c>
      <c r="AF76" s="146" t="e">
        <f>SUMIF(#REF!,'Huella materiales (2)'!A76,#REF!)</f>
        <v>#REF!</v>
      </c>
      <c r="AG76" s="1013" t="e">
        <f>AF76*E76</f>
        <v>#REF!</v>
      </c>
      <c r="AH76" s="635"/>
      <c r="AI76" s="635"/>
      <c r="AJ76" s="635"/>
      <c r="AK76" s="635"/>
      <c r="AL76" s="635"/>
      <c r="AM76" s="635"/>
      <c r="AN76" s="635"/>
      <c r="AO76" s="635"/>
      <c r="AP76" s="635"/>
      <c r="AQ76" s="635"/>
      <c r="AR76" s="635"/>
      <c r="AS76" s="635"/>
      <c r="AT76" s="635"/>
      <c r="AU76" s="16"/>
      <c r="AV76" s="16"/>
      <c r="AW76" s="16"/>
      <c r="AX76" s="16"/>
      <c r="AY76" s="16"/>
      <c r="AZ76" s="16"/>
      <c r="BA76" s="16"/>
      <c r="BO76" s="635"/>
      <c r="BP76" s="635"/>
      <c r="BQ76" s="635"/>
      <c r="BV76"/>
      <c r="BW76"/>
      <c r="BX76"/>
    </row>
    <row r="77" spans="1:76">
      <c r="A77" s="2604" t="s">
        <v>2212</v>
      </c>
      <c r="B77" s="2891" t="s">
        <v>1504</v>
      </c>
      <c r="C77" s="2602" t="s">
        <v>2213</v>
      </c>
      <c r="D77" s="3282">
        <f>SUMIFS(BCRR_REHAB!L:L,BCRR_REHAB!D:D,'Huella materiales (2)'!A77)</f>
        <v>0</v>
      </c>
      <c r="E77" s="1030">
        <f>'Datos_aux_materiales (2)'!M75</f>
        <v>1.3215311999999999</v>
      </c>
      <c r="F77" s="2836">
        <f t="shared" si="46"/>
        <v>0</v>
      </c>
      <c r="G77" s="2823">
        <f>'Datos_aux_materiales (2)'!R75</f>
        <v>182.5</v>
      </c>
      <c r="H77" s="2825">
        <f t="shared" si="47"/>
        <v>0</v>
      </c>
      <c r="I77" s="2829">
        <f t="shared" si="48"/>
        <v>0</v>
      </c>
      <c r="J77" s="2851">
        <f t="shared" si="49"/>
        <v>0</v>
      </c>
      <c r="K77" s="2834">
        <f t="shared" si="50"/>
        <v>0</v>
      </c>
      <c r="L77" s="146" t="e">
        <f>SUMIF(#REF!,'Huella materiales (2)'!A77,#REF!)</f>
        <v>#REF!</v>
      </c>
      <c r="M77" s="1013" t="e">
        <f>L77*E77</f>
        <v>#REF!</v>
      </c>
      <c r="N77" s="146" t="e">
        <f>SUMIF(#REF!,'Huella materiales (2)'!A77,#REF!)</f>
        <v>#REF!</v>
      </c>
      <c r="O77" s="1013" t="e">
        <f>N77*E77</f>
        <v>#REF!</v>
      </c>
      <c r="P77" s="146" t="e">
        <f>SUMIF(#REF!,'Huella materiales (2)'!A77,#REF!)</f>
        <v>#REF!</v>
      </c>
      <c r="Q77" s="1013" t="e">
        <f>P77*E77</f>
        <v>#REF!</v>
      </c>
      <c r="R77" s="146" t="e">
        <f>SUMIF(#REF!,'Huella materiales (2)'!A77,#REF!)</f>
        <v>#REF!</v>
      </c>
      <c r="S77" s="1013" t="e">
        <f>R77*E77</f>
        <v>#REF!</v>
      </c>
      <c r="T77" s="146" t="e">
        <f>SUMIF(#REF!,'Huella materiales (2)'!A77,#REF!)</f>
        <v>#REF!</v>
      </c>
      <c r="U77" s="1013" t="e">
        <f>T77*E77</f>
        <v>#REF!</v>
      </c>
      <c r="V77" s="146" t="e">
        <f>SUMIF(#REF!,'Huella materiales (2)'!A77,#REF!)</f>
        <v>#REF!</v>
      </c>
      <c r="W77" s="1013" t="e">
        <f>V77*E77</f>
        <v>#REF!</v>
      </c>
      <c r="X77" s="146" t="e">
        <f>SUMIF(#REF!,'Huella materiales (2)'!A77,#REF!)</f>
        <v>#REF!</v>
      </c>
      <c r="Y77" s="1013" t="e">
        <f>X77*E77</f>
        <v>#REF!</v>
      </c>
      <c r="Z77" s="146" t="e">
        <f>SUMIF(#REF!,'Huella materiales (2)'!A77,#REF!)</f>
        <v>#REF!</v>
      </c>
      <c r="AA77" s="1013" t="e">
        <f>Z77*E77</f>
        <v>#REF!</v>
      </c>
      <c r="AB77" s="146" t="e">
        <f>SUMIF(#REF!,'Huella materiales (2)'!A77,#REF!)</f>
        <v>#REF!</v>
      </c>
      <c r="AC77" s="1013" t="e">
        <f>AB77*E77</f>
        <v>#REF!</v>
      </c>
      <c r="AD77" s="146" t="e">
        <f>SUMIF(#REF!,'Huella materiales (2)'!A77,#REF!)</f>
        <v>#REF!</v>
      </c>
      <c r="AE77" s="1013" t="e">
        <f>AD77*E77</f>
        <v>#REF!</v>
      </c>
      <c r="AF77" s="146" t="e">
        <f>SUMIF(#REF!,'Huella materiales (2)'!A77,#REF!)</f>
        <v>#REF!</v>
      </c>
      <c r="AG77" s="1013" t="e">
        <f>AF77*E77</f>
        <v>#REF!</v>
      </c>
      <c r="AH77" s="635"/>
      <c r="AI77" s="635"/>
      <c r="AJ77" s="635"/>
      <c r="AK77" s="635"/>
      <c r="AL77" s="635"/>
      <c r="AM77" s="635"/>
      <c r="AN77" s="635"/>
      <c r="AO77" s="635"/>
      <c r="AP77" s="635"/>
      <c r="AQ77" s="635"/>
      <c r="AR77" s="635"/>
      <c r="AS77" s="635"/>
      <c r="AT77" s="635"/>
      <c r="AU77" s="16"/>
      <c r="AV77" s="16"/>
      <c r="AW77" s="16"/>
      <c r="AX77" s="16"/>
      <c r="AY77" s="16"/>
      <c r="AZ77" s="16"/>
      <c r="BA77" s="16"/>
      <c r="BO77" s="635"/>
      <c r="BP77" s="635"/>
      <c r="BQ77" s="635"/>
      <c r="BV77"/>
      <c r="BW77"/>
      <c r="BX77"/>
    </row>
    <row r="78" spans="1:76">
      <c r="A78" s="2562" t="s">
        <v>2973</v>
      </c>
      <c r="B78" s="2887" t="s">
        <v>1507</v>
      </c>
      <c r="C78" s="2561" t="s">
        <v>2972</v>
      </c>
      <c r="D78" s="3282">
        <f>SUMIFS(BCRR_REHAB!L:L,BCRR_REHAB!D:D,'Huella materiales (2)'!A78)</f>
        <v>0</v>
      </c>
      <c r="E78" s="1030">
        <f>'Datos_aux_materiales (2)'!M76</f>
        <v>4.129785</v>
      </c>
      <c r="F78" s="2836">
        <f t="shared" si="46"/>
        <v>0</v>
      </c>
      <c r="G78" s="2823">
        <f>'Datos_aux_materiales (2)'!R76</f>
        <v>219.47</v>
      </c>
      <c r="H78" s="2825">
        <f t="shared" si="47"/>
        <v>0</v>
      </c>
      <c r="I78" s="2829">
        <f t="shared" si="48"/>
        <v>0</v>
      </c>
      <c r="J78" s="2851">
        <f t="shared" si="49"/>
        <v>0</v>
      </c>
      <c r="K78" s="2834">
        <f t="shared" si="50"/>
        <v>0</v>
      </c>
      <c r="L78" s="146" t="e">
        <f>SUMIF(#REF!,'Huella materiales (2)'!A78,#REF!)</f>
        <v>#REF!</v>
      </c>
      <c r="M78" s="1013" t="e">
        <f>L78*E78</f>
        <v>#REF!</v>
      </c>
      <c r="N78" s="146" t="e">
        <f>SUMIF(#REF!,'Huella materiales (2)'!A78,#REF!)</f>
        <v>#REF!</v>
      </c>
      <c r="O78" s="1013" t="e">
        <f>N78*E78</f>
        <v>#REF!</v>
      </c>
      <c r="P78" s="146" t="e">
        <f>SUMIF(#REF!,'Huella materiales (2)'!A78,#REF!)</f>
        <v>#REF!</v>
      </c>
      <c r="Q78" s="1013" t="e">
        <f>P78*E78</f>
        <v>#REF!</v>
      </c>
      <c r="R78" s="146" t="e">
        <f>SUMIF(#REF!,'Huella materiales (2)'!A78,#REF!)</f>
        <v>#REF!</v>
      </c>
      <c r="S78" s="1013" t="e">
        <f>R78*E78</f>
        <v>#REF!</v>
      </c>
      <c r="T78" s="146" t="e">
        <f>SUMIF(#REF!,'Huella materiales (2)'!A78,#REF!)</f>
        <v>#REF!</v>
      </c>
      <c r="U78" s="1013" t="e">
        <f>T78*E78</f>
        <v>#REF!</v>
      </c>
      <c r="V78" s="146" t="e">
        <f>SUMIF(#REF!,'Huella materiales (2)'!A78,#REF!)</f>
        <v>#REF!</v>
      </c>
      <c r="W78" s="1013" t="e">
        <f>V78*E78</f>
        <v>#REF!</v>
      </c>
      <c r="X78" s="146" t="e">
        <f>SUMIF(#REF!,'Huella materiales (2)'!A78,#REF!)</f>
        <v>#REF!</v>
      </c>
      <c r="Y78" s="1013" t="e">
        <f>X78*E78</f>
        <v>#REF!</v>
      </c>
      <c r="Z78" s="146" t="e">
        <f>SUMIF(#REF!,'Huella materiales (2)'!A78,#REF!)</f>
        <v>#REF!</v>
      </c>
      <c r="AA78" s="1013" t="e">
        <f>Z78*E78</f>
        <v>#REF!</v>
      </c>
      <c r="AB78" s="146" t="e">
        <f>SUMIF(#REF!,'Huella materiales (2)'!A78,#REF!)</f>
        <v>#REF!</v>
      </c>
      <c r="AC78" s="1013" t="e">
        <f>AB78*E78</f>
        <v>#REF!</v>
      </c>
      <c r="AD78" s="146" t="e">
        <f>SUMIF(#REF!,'Huella materiales (2)'!A78,#REF!)</f>
        <v>#REF!</v>
      </c>
      <c r="AE78" s="1013" t="e">
        <f>AD78*E78</f>
        <v>#REF!</v>
      </c>
      <c r="AF78" s="146" t="e">
        <f>SUMIF(#REF!,'Huella materiales (2)'!A78,#REF!)</f>
        <v>#REF!</v>
      </c>
      <c r="AG78" s="1013" t="e">
        <f>AF78*E78</f>
        <v>#REF!</v>
      </c>
      <c r="AH78" s="635"/>
      <c r="AI78" s="635"/>
      <c r="AJ78" s="635"/>
      <c r="AK78" s="635"/>
      <c r="AL78" s="635"/>
      <c r="AM78" s="635"/>
      <c r="AN78" s="635"/>
      <c r="AO78" s="635"/>
      <c r="AP78" s="635"/>
      <c r="AQ78" s="635"/>
      <c r="AR78" s="635"/>
      <c r="AS78" s="635"/>
      <c r="AT78" s="635"/>
      <c r="AU78" s="160"/>
      <c r="AV78" s="160"/>
      <c r="AY78" s="16"/>
      <c r="AZ78" s="16"/>
      <c r="BA78" s="16"/>
      <c r="BO78" s="635"/>
      <c r="BP78" s="635"/>
      <c r="BQ78" s="635"/>
      <c r="BV78"/>
      <c r="BW78"/>
      <c r="BX78"/>
    </row>
    <row r="79" spans="1:76">
      <c r="A79" s="2562" t="s">
        <v>2971</v>
      </c>
      <c r="B79" s="2887" t="s">
        <v>1507</v>
      </c>
      <c r="C79" s="2561" t="s">
        <v>2970</v>
      </c>
      <c r="D79" s="3282">
        <f>SUMIFS(BCRR_REHAB!L:L,BCRR_REHAB!D:D,'Huella materiales (2)'!A79)</f>
        <v>0</v>
      </c>
      <c r="E79" s="1030">
        <f>'Datos_aux_materiales (2)'!M77</f>
        <v>0.24778709999999998</v>
      </c>
      <c r="F79" s="2836">
        <f t="shared" si="46"/>
        <v>0</v>
      </c>
      <c r="G79" s="2823">
        <f>'Datos_aux_materiales (2)'!R77</f>
        <v>219.47</v>
      </c>
      <c r="H79" s="2825">
        <f t="shared" si="47"/>
        <v>0</v>
      </c>
      <c r="I79" s="2829">
        <f t="shared" si="48"/>
        <v>0</v>
      </c>
      <c r="J79" s="2851">
        <f t="shared" si="49"/>
        <v>0</v>
      </c>
      <c r="K79" s="2834">
        <f t="shared" si="50"/>
        <v>0</v>
      </c>
      <c r="L79" s="146" t="e">
        <f>SUMIF(#REF!,'Huella materiales (2)'!A79,#REF!)</f>
        <v>#REF!</v>
      </c>
      <c r="M79" s="1013" t="e">
        <f>L79*E79</f>
        <v>#REF!</v>
      </c>
      <c r="N79" s="146" t="e">
        <f>SUMIF(#REF!,'Huella materiales (2)'!A79,#REF!)</f>
        <v>#REF!</v>
      </c>
      <c r="O79" s="1013" t="e">
        <f>N79*E79</f>
        <v>#REF!</v>
      </c>
      <c r="P79" s="146" t="e">
        <f>SUMIF(#REF!,'Huella materiales (2)'!A79,#REF!)</f>
        <v>#REF!</v>
      </c>
      <c r="Q79" s="1013" t="e">
        <f>P79*E79</f>
        <v>#REF!</v>
      </c>
      <c r="R79" s="146" t="e">
        <f>SUMIF(#REF!,'Huella materiales (2)'!A79,#REF!)</f>
        <v>#REF!</v>
      </c>
      <c r="S79" s="1013" t="e">
        <f>R79*E79</f>
        <v>#REF!</v>
      </c>
      <c r="T79" s="146" t="e">
        <f>SUMIF(#REF!,'Huella materiales (2)'!A79,#REF!)</f>
        <v>#REF!</v>
      </c>
      <c r="U79" s="1013" t="e">
        <f>T79*E79</f>
        <v>#REF!</v>
      </c>
      <c r="V79" s="146" t="e">
        <f>SUMIF(#REF!,'Huella materiales (2)'!A79,#REF!)</f>
        <v>#REF!</v>
      </c>
      <c r="W79" s="1013" t="e">
        <f>V79*E79</f>
        <v>#REF!</v>
      </c>
      <c r="X79" s="146" t="e">
        <f>SUMIF(#REF!,'Huella materiales (2)'!A79,#REF!)</f>
        <v>#REF!</v>
      </c>
      <c r="Y79" s="1013" t="e">
        <f>X79*E79</f>
        <v>#REF!</v>
      </c>
      <c r="Z79" s="146" t="e">
        <f>SUMIF(#REF!,'Huella materiales (2)'!A79,#REF!)</f>
        <v>#REF!</v>
      </c>
      <c r="AA79" s="1013" t="e">
        <f>Z79*E79</f>
        <v>#REF!</v>
      </c>
      <c r="AB79" s="146" t="e">
        <f>SUMIF(#REF!,'Huella materiales (2)'!A79,#REF!)</f>
        <v>#REF!</v>
      </c>
      <c r="AC79" s="1013" t="e">
        <f>AB79*E79</f>
        <v>#REF!</v>
      </c>
      <c r="AD79" s="146" t="e">
        <f>SUMIF(#REF!,'Huella materiales (2)'!A79,#REF!)</f>
        <v>#REF!</v>
      </c>
      <c r="AE79" s="1013" t="e">
        <f>AD79*E79</f>
        <v>#REF!</v>
      </c>
      <c r="AF79" s="146" t="e">
        <f>SUMIF(#REF!,'Huella materiales (2)'!A79,#REF!)</f>
        <v>#REF!</v>
      </c>
      <c r="AG79" s="1013" t="e">
        <f>AF79*E79</f>
        <v>#REF!</v>
      </c>
      <c r="AH79" s="635"/>
      <c r="AI79" s="635"/>
      <c r="AJ79" s="635"/>
      <c r="AK79" s="635"/>
      <c r="AL79" s="635"/>
      <c r="AM79" s="635"/>
      <c r="AN79" s="635"/>
      <c r="AO79" s="635"/>
      <c r="AP79" s="635"/>
      <c r="AQ79" s="635"/>
      <c r="AR79" s="635"/>
      <c r="AS79" s="635"/>
      <c r="AT79" s="635"/>
      <c r="AU79" s="160"/>
      <c r="AV79" s="160"/>
      <c r="AY79" s="16"/>
      <c r="AZ79" s="16"/>
      <c r="BA79" s="16"/>
      <c r="BJ79" s="16"/>
      <c r="BK79" s="16"/>
      <c r="BO79" s="635"/>
      <c r="BP79" s="635"/>
      <c r="BQ79" s="635"/>
      <c r="BV79"/>
      <c r="BW79"/>
      <c r="BX79"/>
    </row>
    <row r="80" spans="1:76">
      <c r="A80" s="2544" t="s">
        <v>2066</v>
      </c>
      <c r="B80" s="2549" t="s">
        <v>1507</v>
      </c>
      <c r="C80" s="2542" t="s">
        <v>2067</v>
      </c>
      <c r="D80" s="3282">
        <f>SUMIFS(BCRR_REHAB!L:L,BCRR_REHAB!D:D,'Huella materiales (2)'!A80)</f>
        <v>0</v>
      </c>
      <c r="E80" s="1030">
        <f>'Datos_aux_materiales (2)'!M78</f>
        <v>2.4778709999999999</v>
      </c>
      <c r="F80" s="2836">
        <f t="shared" si="46"/>
        <v>0</v>
      </c>
      <c r="G80" s="2823">
        <f>'Datos_aux_materiales (2)'!R78</f>
        <v>8483.44</v>
      </c>
      <c r="H80" s="2825">
        <f t="shared" si="47"/>
        <v>0</v>
      </c>
      <c r="I80" s="2829">
        <f t="shared" si="48"/>
        <v>0</v>
      </c>
      <c r="J80" s="2851">
        <f t="shared" si="49"/>
        <v>0</v>
      </c>
      <c r="K80" s="2834">
        <f t="shared" si="50"/>
        <v>0</v>
      </c>
      <c r="L80" s="2653"/>
      <c r="M80" s="2654"/>
      <c r="N80" s="2653"/>
      <c r="O80" s="2654"/>
      <c r="P80" s="2653"/>
      <c r="Q80" s="2654"/>
      <c r="R80" s="2653"/>
      <c r="S80" s="2654"/>
      <c r="T80" s="2653"/>
      <c r="U80" s="2654"/>
      <c r="V80" s="2653"/>
      <c r="W80" s="2654"/>
      <c r="X80" s="2653"/>
      <c r="Y80" s="2654"/>
      <c r="Z80" s="2653"/>
      <c r="AA80" s="2654"/>
      <c r="AB80" s="2653"/>
      <c r="AC80" s="2654"/>
      <c r="AD80" s="2653"/>
      <c r="AE80" s="2654"/>
      <c r="AF80" s="2653"/>
      <c r="AG80" s="2654"/>
      <c r="AH80" s="635"/>
      <c r="AI80" s="635"/>
      <c r="AJ80" s="635"/>
      <c r="AK80" s="635"/>
      <c r="AL80" s="635"/>
      <c r="AM80" s="635"/>
      <c r="AN80" s="635"/>
      <c r="AO80" s="635"/>
      <c r="AP80" s="635"/>
      <c r="AQ80" s="635"/>
      <c r="AR80" s="635"/>
      <c r="AS80" s="635"/>
      <c r="AT80" s="635"/>
      <c r="AU80" s="160"/>
      <c r="AV80" s="160"/>
      <c r="AY80" s="16"/>
      <c r="AZ80" s="16"/>
      <c r="BA80" s="16"/>
      <c r="BJ80" s="16"/>
      <c r="BK80" s="16"/>
      <c r="BO80" s="635"/>
      <c r="BP80" s="635"/>
      <c r="BQ80" s="635"/>
      <c r="BV80"/>
      <c r="BW80"/>
      <c r="BX80"/>
    </row>
    <row r="81" spans="1:76">
      <c r="A81" s="2562" t="s">
        <v>2968</v>
      </c>
      <c r="B81" s="2887" t="s">
        <v>1527</v>
      </c>
      <c r="C81" s="2561" t="s">
        <v>2967</v>
      </c>
      <c r="D81" s="3282">
        <f>SUMIFS(BCRR_REHAB!L:L,BCRR_REHAB!D:D,'Huella materiales (2)'!A81)</f>
        <v>0</v>
      </c>
      <c r="E81" s="1030">
        <f>'Datos_aux_materiales (2)'!M79</f>
        <v>4.129785</v>
      </c>
      <c r="F81" s="2836">
        <f t="shared" si="46"/>
        <v>0</v>
      </c>
      <c r="G81" s="2823">
        <f>'Datos_aux_materiales (2)'!R79</f>
        <v>219.47</v>
      </c>
      <c r="H81" s="2825">
        <f t="shared" si="47"/>
        <v>0</v>
      </c>
      <c r="I81" s="2829">
        <f t="shared" si="48"/>
        <v>0</v>
      </c>
      <c r="J81" s="2851">
        <f t="shared" si="49"/>
        <v>0</v>
      </c>
      <c r="K81" s="2834">
        <f t="shared" si="50"/>
        <v>0</v>
      </c>
      <c r="L81" s="2653"/>
      <c r="M81" s="2654"/>
      <c r="N81" s="2653"/>
      <c r="O81" s="2654"/>
      <c r="P81" s="2653"/>
      <c r="Q81" s="2654"/>
      <c r="R81" s="2653"/>
      <c r="S81" s="2654"/>
      <c r="T81" s="2653"/>
      <c r="U81" s="2654"/>
      <c r="V81" s="2653"/>
      <c r="W81" s="2654"/>
      <c r="X81" s="2653"/>
      <c r="Y81" s="2654"/>
      <c r="Z81" s="2653"/>
      <c r="AA81" s="2654"/>
      <c r="AB81" s="2653"/>
      <c r="AC81" s="2654"/>
      <c r="AD81" s="2653"/>
      <c r="AE81" s="2654"/>
      <c r="AF81" s="2653"/>
      <c r="AG81" s="2654"/>
      <c r="AH81" s="635"/>
      <c r="AI81" s="635"/>
      <c r="AJ81" s="635"/>
      <c r="AK81" s="635"/>
      <c r="AL81" s="635"/>
      <c r="AM81" s="635"/>
      <c r="AN81" s="635"/>
      <c r="AO81" s="635"/>
      <c r="AP81" s="635"/>
      <c r="AQ81" s="635"/>
      <c r="AR81" s="635"/>
      <c r="AS81" s="635"/>
      <c r="AT81" s="635"/>
      <c r="AU81" s="160"/>
      <c r="AV81" s="160"/>
      <c r="AY81" s="16"/>
      <c r="AZ81" s="16"/>
      <c r="BA81" s="16"/>
      <c r="BJ81" s="16"/>
      <c r="BK81" s="16"/>
      <c r="BO81" s="635"/>
      <c r="BP81" s="635"/>
      <c r="BQ81" s="635"/>
      <c r="BV81"/>
      <c r="BW81"/>
      <c r="BX81"/>
    </row>
    <row r="82" spans="1:76">
      <c r="A82" s="2544" t="s">
        <v>2072</v>
      </c>
      <c r="B82" s="2549"/>
      <c r="C82" s="2542" t="s">
        <v>2073</v>
      </c>
      <c r="D82" s="3282">
        <f>SUMIFS(BCRR_REHAB!L:L,BCRR_REHAB!D:D,'Huella materiales (2)'!A82)</f>
        <v>0</v>
      </c>
      <c r="E82" s="1030">
        <f>'Datos_aux_materiales (2)'!M80</f>
        <v>1.6519139999999999</v>
      </c>
      <c r="F82" s="2836">
        <f t="shared" si="46"/>
        <v>0</v>
      </c>
      <c r="G82" s="2823">
        <f>'Datos_aux_materiales (2)'!R80</f>
        <v>193.2</v>
      </c>
      <c r="H82" s="2825">
        <f t="shared" si="47"/>
        <v>0</v>
      </c>
      <c r="I82" s="2829">
        <f t="shared" si="48"/>
        <v>0</v>
      </c>
      <c r="J82" s="2851">
        <f t="shared" si="49"/>
        <v>0</v>
      </c>
      <c r="K82" s="2834">
        <f t="shared" si="50"/>
        <v>0</v>
      </c>
      <c r="L82" s="987"/>
      <c r="M82" s="1014" t="e">
        <f>SUM(M83:M86)</f>
        <v>#REF!</v>
      </c>
      <c r="N82" s="987"/>
      <c r="O82" s="987" t="e">
        <f>SUM(O83:O86)</f>
        <v>#REF!</v>
      </c>
      <c r="P82" s="987"/>
      <c r="Q82" s="987" t="e">
        <f>SUM(Q83:Q86)</f>
        <v>#REF!</v>
      </c>
      <c r="R82" s="987"/>
      <c r="S82" s="987" t="e">
        <f>SUM(S83:S86)</f>
        <v>#REF!</v>
      </c>
      <c r="T82" s="987"/>
      <c r="U82" s="987" t="e">
        <f>SUM(U83:U86)</f>
        <v>#REF!</v>
      </c>
      <c r="V82" s="987"/>
      <c r="W82" s="987" t="e">
        <f>SUM(W83:W86)</f>
        <v>#REF!</v>
      </c>
      <c r="X82" s="987"/>
      <c r="Y82" s="987" t="e">
        <f>SUM(Y83:Y86)</f>
        <v>#REF!</v>
      </c>
      <c r="Z82" s="987"/>
      <c r="AA82" s="987" t="e">
        <f>SUM(AA83:AA86)</f>
        <v>#REF!</v>
      </c>
      <c r="AB82" s="987"/>
      <c r="AC82" s="987" t="e">
        <f>SUM(AC83:AC86)</f>
        <v>#REF!</v>
      </c>
      <c r="AD82" s="987"/>
      <c r="AE82" s="987" t="e">
        <f>SUM(AE83:AE86)</f>
        <v>#REF!</v>
      </c>
      <c r="AF82" s="987"/>
      <c r="AG82" s="987" t="e">
        <f>SUM(AG83:AG86)</f>
        <v>#REF!</v>
      </c>
      <c r="AH82" s="2799"/>
      <c r="AI82" s="2799"/>
      <c r="AJ82" s="2799"/>
      <c r="AK82" s="2799"/>
      <c r="AL82" s="2799"/>
      <c r="AM82" s="2799"/>
      <c r="AN82" s="2799"/>
      <c r="AO82" s="2799"/>
      <c r="AP82" s="2799"/>
      <c r="AQ82" s="2799"/>
      <c r="AR82" s="2799"/>
      <c r="AS82" s="2799"/>
      <c r="AT82" s="2799"/>
      <c r="AU82" s="160"/>
      <c r="AV82" s="160"/>
      <c r="AY82" s="16"/>
      <c r="AZ82" s="16"/>
      <c r="BA82" s="16"/>
      <c r="BJ82" s="16"/>
      <c r="BK82" s="16"/>
      <c r="BO82" s="2814"/>
      <c r="BP82" s="635"/>
      <c r="BQ82" s="635"/>
      <c r="BV82"/>
      <c r="BW82"/>
      <c r="BX82"/>
    </row>
    <row r="83" spans="1:76">
      <c r="A83" s="2544" t="s">
        <v>2074</v>
      </c>
      <c r="B83" s="2549" t="s">
        <v>1507</v>
      </c>
      <c r="C83" s="2542" t="s">
        <v>2075</v>
      </c>
      <c r="D83" s="3282">
        <f>SUMIFS(BCRR_REHAB!L:L,BCRR_REHAB!D:D,'Huella materiales (2)'!A83)</f>
        <v>0</v>
      </c>
      <c r="E83" s="1030">
        <f>'Datos_aux_materiales (2)'!M81</f>
        <v>22.02552</v>
      </c>
      <c r="F83" s="2836">
        <f t="shared" si="46"/>
        <v>0</v>
      </c>
      <c r="G83" s="2823">
        <f>'Datos_aux_materiales (2)'!R81</f>
        <v>193.2</v>
      </c>
      <c r="H83" s="2825">
        <f t="shared" si="47"/>
        <v>0</v>
      </c>
      <c r="I83" s="2829">
        <f t="shared" si="48"/>
        <v>0</v>
      </c>
      <c r="J83" s="2851">
        <f t="shared" si="49"/>
        <v>0</v>
      </c>
      <c r="K83" s="2834">
        <f t="shared" si="50"/>
        <v>0</v>
      </c>
      <c r="L83" s="1515" t="e">
        <f>SUMIF(#REF!,'Huella materiales (2)'!A83,#REF!)</f>
        <v>#REF!</v>
      </c>
      <c r="M83" s="1515" t="e">
        <f>L83*E83</f>
        <v>#REF!</v>
      </c>
      <c r="N83" s="146" t="e">
        <f>SUMIF(#REF!,'Huella materiales (2)'!A83,#REF!)</f>
        <v>#REF!</v>
      </c>
      <c r="O83" s="1515" t="e">
        <f>N83*E83</f>
        <v>#REF!</v>
      </c>
      <c r="P83" s="146" t="e">
        <f>SUMIF(#REF!,'Huella materiales (2)'!A83,#REF!)</f>
        <v>#REF!</v>
      </c>
      <c r="Q83" s="1515" t="e">
        <f>P83*E83</f>
        <v>#REF!</v>
      </c>
      <c r="R83" s="146" t="e">
        <f>SUMIF(#REF!,'Huella materiales (2)'!A83,#REF!)</f>
        <v>#REF!</v>
      </c>
      <c r="S83" s="1515" t="e">
        <f>R83*E83</f>
        <v>#REF!</v>
      </c>
      <c r="T83" s="146" t="e">
        <f>SUMIF(#REF!,'Huella materiales (2)'!A83,#REF!)</f>
        <v>#REF!</v>
      </c>
      <c r="U83" s="1515" t="e">
        <f>T83*E83</f>
        <v>#REF!</v>
      </c>
      <c r="V83" s="1515" t="e">
        <f>SUMIF(#REF!,'Huella materiales (2)'!A83,#REF!)</f>
        <v>#REF!</v>
      </c>
      <c r="W83" s="1515" t="e">
        <f>V83*E83</f>
        <v>#REF!</v>
      </c>
      <c r="X83" s="1515" t="e">
        <f>SUMIF(#REF!,'Huella materiales (2)'!A83,#REF!)</f>
        <v>#REF!</v>
      </c>
      <c r="Y83" s="1515" t="e">
        <f>X83*E83</f>
        <v>#REF!</v>
      </c>
      <c r="Z83" s="1515" t="e">
        <f>SUMIF(#REF!,'Huella materiales (2)'!A83,#REF!)</f>
        <v>#REF!</v>
      </c>
      <c r="AA83" s="1515" t="e">
        <f>Z83*E83</f>
        <v>#REF!</v>
      </c>
      <c r="AB83" s="146" t="e">
        <f>SUMIF(#REF!,'Huella materiales (2)'!A83,#REF!)</f>
        <v>#REF!</v>
      </c>
      <c r="AC83" s="1515" t="e">
        <f>AB83*E83</f>
        <v>#REF!</v>
      </c>
      <c r="AD83" s="1515" t="e">
        <f>SUMIF(#REF!,'Huella materiales (2)'!A83,#REF!)</f>
        <v>#REF!</v>
      </c>
      <c r="AE83" s="1515" t="e">
        <f>AD83*E83</f>
        <v>#REF!</v>
      </c>
      <c r="AF83" s="1515" t="e">
        <f>SUMIF(#REF!,'Huella materiales (2)'!A83,#REF!)</f>
        <v>#REF!</v>
      </c>
      <c r="AG83" s="1515" t="e">
        <f>AF83*E83</f>
        <v>#REF!</v>
      </c>
      <c r="AH83" s="635"/>
      <c r="AI83" s="635"/>
      <c r="AJ83" s="635"/>
      <c r="AK83" s="635"/>
      <c r="AL83" s="635"/>
      <c r="AM83" s="635"/>
      <c r="AN83" s="635"/>
      <c r="AO83" s="635"/>
      <c r="AP83" s="635"/>
      <c r="AQ83" s="635"/>
      <c r="AR83" s="635"/>
      <c r="AS83" s="635"/>
      <c r="AT83" s="635"/>
      <c r="AU83" s="160"/>
      <c r="AV83" s="160"/>
      <c r="AY83" s="16"/>
      <c r="AZ83" s="16"/>
      <c r="BA83" s="16"/>
      <c r="BJ83" s="16"/>
      <c r="BK83" s="16"/>
      <c r="BO83" s="635"/>
      <c r="BP83" s="635"/>
      <c r="BQ83" s="635"/>
      <c r="BV83"/>
      <c r="BW83"/>
      <c r="BX83"/>
    </row>
    <row r="84" spans="1:76">
      <c r="A84" s="2544" t="s">
        <v>2721</v>
      </c>
      <c r="B84" s="2549" t="s">
        <v>1527</v>
      </c>
      <c r="C84" s="2542" t="s">
        <v>2722</v>
      </c>
      <c r="D84" s="3282">
        <f>SUMIFS(BCRR_REHAB!L:L,BCRR_REHAB!D:D,'Huella materiales (2)'!A84)</f>
        <v>0</v>
      </c>
      <c r="E84" s="1030">
        <f>'Datos_aux_materiales (2)'!M82</f>
        <v>1.7207437500000005</v>
      </c>
      <c r="F84" s="2836">
        <f t="shared" si="46"/>
        <v>0</v>
      </c>
      <c r="G84" s="2823">
        <f>'Datos_aux_materiales (2)'!R82</f>
        <v>193.2</v>
      </c>
      <c r="H84" s="2825">
        <f t="shared" si="47"/>
        <v>0</v>
      </c>
      <c r="I84" s="2829">
        <f t="shared" si="48"/>
        <v>0</v>
      </c>
      <c r="J84" s="2851">
        <f t="shared" si="49"/>
        <v>0</v>
      </c>
      <c r="K84" s="2834">
        <f t="shared" si="50"/>
        <v>0</v>
      </c>
      <c r="L84" s="1515" t="e">
        <f>SUMIF(#REF!,'Huella materiales (2)'!A84,#REF!)</f>
        <v>#REF!</v>
      </c>
      <c r="M84" s="1515" t="e">
        <f>L84*E84</f>
        <v>#REF!</v>
      </c>
      <c r="N84" s="146" t="e">
        <f>SUMIF(#REF!,'Huella materiales (2)'!A84,#REF!)</f>
        <v>#REF!</v>
      </c>
      <c r="O84" s="1515" t="e">
        <f>N84*E84</f>
        <v>#REF!</v>
      </c>
      <c r="P84" s="146" t="e">
        <f>SUMIF(#REF!,'Huella materiales (2)'!A84,#REF!)</f>
        <v>#REF!</v>
      </c>
      <c r="Q84" s="1515" t="e">
        <f>P84*E84</f>
        <v>#REF!</v>
      </c>
      <c r="R84" s="146" t="e">
        <f>SUMIF(#REF!,'Huella materiales (2)'!A84,#REF!)</f>
        <v>#REF!</v>
      </c>
      <c r="S84" s="1515" t="e">
        <f>R84*E84</f>
        <v>#REF!</v>
      </c>
      <c r="T84" s="146" t="e">
        <f>SUMIF(#REF!,'Huella materiales (2)'!A84,#REF!)</f>
        <v>#REF!</v>
      </c>
      <c r="U84" s="1515" t="e">
        <f>T84*E84</f>
        <v>#REF!</v>
      </c>
      <c r="V84" s="1515" t="e">
        <f>SUMIF(#REF!,'Huella materiales (2)'!A84,#REF!)</f>
        <v>#REF!</v>
      </c>
      <c r="W84" s="1515" t="e">
        <f>V84*E84</f>
        <v>#REF!</v>
      </c>
      <c r="X84" s="1515" t="e">
        <f>SUMIF(#REF!,'Huella materiales (2)'!A84,#REF!)</f>
        <v>#REF!</v>
      </c>
      <c r="Y84" s="1515" t="e">
        <f>X84*E84</f>
        <v>#REF!</v>
      </c>
      <c r="Z84" s="1515" t="e">
        <f>SUMIF(#REF!,'Huella materiales (2)'!A84,#REF!)</f>
        <v>#REF!</v>
      </c>
      <c r="AA84" s="1515" t="e">
        <f>Z84*E84</f>
        <v>#REF!</v>
      </c>
      <c r="AB84" s="146" t="e">
        <f>SUMIF(#REF!,'Huella materiales (2)'!A84,#REF!)</f>
        <v>#REF!</v>
      </c>
      <c r="AC84" s="1515" t="e">
        <f>AB84*E84</f>
        <v>#REF!</v>
      </c>
      <c r="AD84" s="1515" t="e">
        <f>SUMIF(#REF!,'Huella materiales (2)'!A84,#REF!)</f>
        <v>#REF!</v>
      </c>
      <c r="AE84" s="1515" t="e">
        <f>AD84*E84</f>
        <v>#REF!</v>
      </c>
      <c r="AF84" s="1515" t="e">
        <f>SUMIF(#REF!,'Huella materiales (2)'!A84,#REF!)</f>
        <v>#REF!</v>
      </c>
      <c r="AG84" s="1515" t="e">
        <f>AF84*E84</f>
        <v>#REF!</v>
      </c>
      <c r="AH84" s="635"/>
      <c r="AI84" s="635"/>
      <c r="AJ84" s="635"/>
      <c r="AK84" s="635"/>
      <c r="AL84" s="635"/>
      <c r="AM84" s="635"/>
      <c r="AN84" s="635"/>
      <c r="AO84" s="635"/>
      <c r="AP84" s="635"/>
      <c r="AQ84" s="635"/>
      <c r="AR84" s="635"/>
      <c r="AS84" s="635"/>
      <c r="AT84" s="635"/>
      <c r="AU84" s="160"/>
      <c r="AV84" s="160"/>
      <c r="AY84" s="16"/>
      <c r="AZ84" s="16"/>
      <c r="BA84" s="16"/>
      <c r="BJ84" s="16"/>
      <c r="BK84" s="16"/>
      <c r="BO84" s="635"/>
      <c r="BP84" s="635"/>
      <c r="BQ84" s="635"/>
      <c r="BV84"/>
      <c r="BW84"/>
      <c r="BX84"/>
    </row>
    <row r="85" spans="1:76">
      <c r="A85" s="2544" t="s">
        <v>2723</v>
      </c>
      <c r="B85" s="2549" t="s">
        <v>1527</v>
      </c>
      <c r="C85" s="2542" t="s">
        <v>2724</v>
      </c>
      <c r="D85" s="3282">
        <f>SUMIFS(BCRR_REHAB!L:L,BCRR_REHAB!D:D,'Huella materiales (2)'!A85)</f>
        <v>0</v>
      </c>
      <c r="E85" s="2655">
        <f>'Datos_aux_materiales (2)'!M83</f>
        <v>0.70481663999999999</v>
      </c>
      <c r="F85" s="2836">
        <f t="shared" si="46"/>
        <v>0</v>
      </c>
      <c r="G85" s="2823">
        <f>'Datos_aux_materiales (2)'!R83</f>
        <v>193.2</v>
      </c>
      <c r="H85" s="2825">
        <f t="shared" si="47"/>
        <v>0</v>
      </c>
      <c r="I85" s="2829">
        <f t="shared" si="48"/>
        <v>0</v>
      </c>
      <c r="J85" s="2851">
        <f t="shared" si="49"/>
        <v>0</v>
      </c>
      <c r="K85" s="2834">
        <f t="shared" si="50"/>
        <v>0</v>
      </c>
      <c r="L85" s="2653" t="e">
        <f>SUMIF(#REF!,'Huella materiales (2)'!A85,#REF!)</f>
        <v>#REF!</v>
      </c>
      <c r="M85" s="2654" t="e">
        <f>L85*E85</f>
        <v>#REF!</v>
      </c>
      <c r="N85" s="2653" t="e">
        <f>SUMIF(#REF!,'Huella materiales (2)'!A85,#REF!)</f>
        <v>#REF!</v>
      </c>
      <c r="O85" s="2654" t="e">
        <f>N85*E85</f>
        <v>#REF!</v>
      </c>
      <c r="P85" s="2653" t="e">
        <f>SUMIF(#REF!,'Huella materiales (2)'!A85,#REF!)</f>
        <v>#REF!</v>
      </c>
      <c r="Q85" s="2654" t="e">
        <f>P85*E85</f>
        <v>#REF!</v>
      </c>
      <c r="R85" s="2653" t="e">
        <f>SUMIF(#REF!,'Huella materiales (2)'!A85,#REF!)</f>
        <v>#REF!</v>
      </c>
      <c r="S85" s="2654" t="e">
        <f>R85*E85</f>
        <v>#REF!</v>
      </c>
      <c r="T85" s="2653" t="e">
        <f>SUMIF(#REF!,'Huella materiales (2)'!A85,#REF!)</f>
        <v>#REF!</v>
      </c>
      <c r="U85" s="2654" t="e">
        <f>T85*E85</f>
        <v>#REF!</v>
      </c>
      <c r="V85" s="2653" t="e">
        <f>SUMIF(#REF!,'Huella materiales (2)'!A85,#REF!)</f>
        <v>#REF!</v>
      </c>
      <c r="W85" s="2654" t="e">
        <f>V85*E85</f>
        <v>#REF!</v>
      </c>
      <c r="X85" s="2653" t="e">
        <f>SUMIF(#REF!,'Huella materiales (2)'!A85,#REF!)</f>
        <v>#REF!</v>
      </c>
      <c r="Y85" s="2654" t="e">
        <f>X85*E85</f>
        <v>#REF!</v>
      </c>
      <c r="Z85" s="2653" t="e">
        <f>SUMIF(#REF!,'Huella materiales (2)'!A85,#REF!)</f>
        <v>#REF!</v>
      </c>
      <c r="AA85" s="2654" t="e">
        <f>Z85*E85</f>
        <v>#REF!</v>
      </c>
      <c r="AB85" s="2653" t="e">
        <f>SUMIF(#REF!,'Huella materiales (2)'!A85,#REF!)</f>
        <v>#REF!</v>
      </c>
      <c r="AC85" s="2654" t="e">
        <f>AB85*E85</f>
        <v>#REF!</v>
      </c>
      <c r="AD85" s="2653" t="e">
        <f>SUMIF(#REF!,'Huella materiales (2)'!A85,#REF!)</f>
        <v>#REF!</v>
      </c>
      <c r="AE85" s="2654" t="e">
        <f>AD85*E85</f>
        <v>#REF!</v>
      </c>
      <c r="AF85" s="2653" t="e">
        <f>SUMIF(#REF!,'Huella materiales (2)'!A85,#REF!)</f>
        <v>#REF!</v>
      </c>
      <c r="AG85" s="2654" t="e">
        <f>AF85*E85</f>
        <v>#REF!</v>
      </c>
      <c r="AH85" s="635"/>
      <c r="AI85" s="635"/>
      <c r="AJ85" s="635"/>
      <c r="AK85" s="635"/>
      <c r="AL85" s="635"/>
      <c r="AM85" s="635"/>
      <c r="AN85" s="635"/>
      <c r="AO85" s="635"/>
      <c r="AP85" s="635"/>
      <c r="AQ85" s="635"/>
      <c r="AR85" s="635"/>
      <c r="AS85" s="635"/>
      <c r="AT85" s="635"/>
      <c r="AU85" s="2725"/>
      <c r="AV85" s="2725"/>
      <c r="AW85" s="2725"/>
      <c r="AX85" s="2725"/>
      <c r="AY85" s="2820"/>
      <c r="AZ85" s="2820"/>
      <c r="BA85" s="2820"/>
      <c r="BB85" s="2725"/>
      <c r="BC85" s="2725"/>
      <c r="BD85" s="2725"/>
      <c r="BE85" s="2725"/>
      <c r="BF85" s="2725"/>
      <c r="BG85" s="2725"/>
      <c r="BH85" s="2725"/>
      <c r="BJ85" s="16"/>
      <c r="BK85" s="16"/>
      <c r="BO85" s="635"/>
      <c r="BP85" s="635"/>
      <c r="BQ85" s="635"/>
      <c r="BV85"/>
      <c r="BW85"/>
      <c r="BX85"/>
    </row>
    <row r="86" spans="1:76" s="2725" customFormat="1" ht="18.5">
      <c r="A86" s="2900"/>
      <c r="B86" s="2881"/>
      <c r="C86" s="2811" t="s">
        <v>3096</v>
      </c>
      <c r="D86" s="3284"/>
      <c r="E86" s="2795"/>
      <c r="F86" s="2843">
        <f>SUM(F76:F85)</f>
        <v>0</v>
      </c>
      <c r="G86" s="2844"/>
      <c r="H86" s="2842">
        <f>SUM(H76:H85)</f>
        <v>0</v>
      </c>
      <c r="I86" s="2830">
        <f t="shared" si="48"/>
        <v>0</v>
      </c>
      <c r="J86" s="2854">
        <f t="shared" si="49"/>
        <v>0</v>
      </c>
      <c r="K86" s="2835">
        <f>SUM(K76:K85)</f>
        <v>0</v>
      </c>
      <c r="L86" s="2795"/>
      <c r="M86" s="2795"/>
      <c r="N86" s="2795"/>
      <c r="O86" s="2795"/>
      <c r="P86" s="2795"/>
      <c r="Q86" s="2795"/>
      <c r="R86" s="2795"/>
      <c r="S86" s="2795"/>
      <c r="T86" s="2795"/>
      <c r="U86" s="2795"/>
      <c r="V86" s="2795"/>
      <c r="W86" s="2795"/>
      <c r="X86" s="2795"/>
      <c r="Y86" s="2795"/>
      <c r="Z86" s="2795"/>
      <c r="AA86" s="2795"/>
      <c r="AB86" s="2795"/>
      <c r="AC86" s="2795"/>
      <c r="AD86" s="2795"/>
      <c r="AE86" s="2795"/>
      <c r="AF86" s="2795"/>
      <c r="AG86" s="2795"/>
      <c r="AH86" s="2812"/>
      <c r="AI86" s="2812"/>
      <c r="AJ86" s="2812"/>
      <c r="AK86" s="2812"/>
      <c r="AL86" s="2812"/>
      <c r="AM86" s="2812"/>
      <c r="AN86" s="2812"/>
      <c r="AO86" s="2812"/>
      <c r="AP86" s="2812"/>
      <c r="AQ86" s="2812"/>
      <c r="AR86" s="2812"/>
      <c r="AS86" s="2809"/>
      <c r="AT86" s="635"/>
      <c r="AU86" s="160"/>
      <c r="AV86" s="160"/>
      <c r="AW86"/>
      <c r="AX86"/>
      <c r="AY86" s="16"/>
      <c r="AZ86" s="16"/>
      <c r="BA86" s="16"/>
      <c r="BB86"/>
      <c r="BC86"/>
      <c r="BD86" s="16"/>
      <c r="BE86"/>
      <c r="BF86"/>
      <c r="BG86"/>
      <c r="BH86"/>
      <c r="BL86" s="2820"/>
      <c r="BM86" s="2820"/>
      <c r="BN86" s="2820"/>
      <c r="BO86" s="635"/>
      <c r="BP86" s="635"/>
      <c r="BQ86" s="635"/>
      <c r="BR86" s="2820"/>
      <c r="BS86" s="2820"/>
      <c r="BT86" s="2820"/>
      <c r="BU86" s="2820"/>
    </row>
    <row r="87" spans="1:76" ht="21.75" customHeight="1">
      <c r="A87" s="2909" t="s">
        <v>3048</v>
      </c>
      <c r="B87" s="2910"/>
      <c r="C87" s="2911"/>
      <c r="D87" s="3281"/>
      <c r="E87" s="2915"/>
      <c r="F87" s="2915"/>
      <c r="G87" s="2915"/>
      <c r="H87" s="2916"/>
      <c r="I87" s="2915"/>
      <c r="J87" s="2917"/>
      <c r="K87" s="2918"/>
      <c r="L87" s="2912"/>
      <c r="M87" s="2913"/>
      <c r="N87" s="2914"/>
      <c r="O87" s="2914"/>
      <c r="P87" s="2914"/>
      <c r="Q87" s="2914"/>
      <c r="R87" s="2914"/>
      <c r="S87" s="2914"/>
      <c r="T87" s="2914"/>
      <c r="U87" s="2914"/>
      <c r="V87" s="2914"/>
      <c r="W87" s="2914"/>
      <c r="X87" s="2914"/>
      <c r="Y87" s="2914"/>
      <c r="Z87" s="2914"/>
      <c r="AA87" s="2914"/>
      <c r="AB87" s="2914"/>
      <c r="AC87" s="2914"/>
      <c r="AD87" s="2914"/>
      <c r="AE87" s="2914"/>
      <c r="AF87" s="2914"/>
      <c r="AG87" s="2914"/>
      <c r="AH87" s="2916"/>
      <c r="AI87" s="2916"/>
      <c r="AJ87" s="2916"/>
      <c r="AK87" s="2916"/>
      <c r="AL87" s="2916"/>
      <c r="AM87" s="2916"/>
      <c r="AN87" s="2916"/>
      <c r="AO87" s="2916"/>
      <c r="AP87" s="2916"/>
      <c r="AQ87" s="2916"/>
      <c r="AR87" s="2916"/>
      <c r="AS87" s="2916"/>
      <c r="AT87" s="2799"/>
      <c r="AU87" s="160"/>
      <c r="AV87" s="160"/>
      <c r="AY87" s="16"/>
      <c r="AZ87" s="16"/>
      <c r="BA87" s="16"/>
      <c r="BD87" s="16"/>
      <c r="BJ87" s="16"/>
      <c r="BK87" s="16"/>
      <c r="BO87" s="2814"/>
      <c r="BP87" s="2816"/>
      <c r="BQ87" s="2799"/>
      <c r="BV87"/>
      <c r="BW87"/>
      <c r="BX87"/>
    </row>
    <row r="88" spans="1:76" ht="41.25" customHeight="1">
      <c r="A88" s="2889" t="s">
        <v>1328</v>
      </c>
      <c r="B88" s="2889" t="s">
        <v>1549</v>
      </c>
      <c r="C88" s="2878" t="s">
        <v>3126</v>
      </c>
      <c r="D88" s="3285" t="s">
        <v>914</v>
      </c>
      <c r="E88" s="2794" t="s">
        <v>288</v>
      </c>
      <c r="F88" s="2837" t="s">
        <v>3123</v>
      </c>
      <c r="G88" s="2826" t="s">
        <v>287</v>
      </c>
      <c r="H88" s="2827" t="s">
        <v>3097</v>
      </c>
      <c r="I88" s="161" t="s">
        <v>3124</v>
      </c>
      <c r="J88" s="2850" t="s">
        <v>3125</v>
      </c>
      <c r="K88" s="2833" t="s">
        <v>3136</v>
      </c>
      <c r="L88" s="2810"/>
      <c r="M88" s="2789"/>
      <c r="N88" s="2789"/>
      <c r="O88" s="2790"/>
      <c r="P88" s="2789"/>
      <c r="Q88" s="2789"/>
      <c r="R88" s="2789"/>
      <c r="S88" s="2791"/>
      <c r="T88" s="2739"/>
      <c r="U88" s="2792"/>
      <c r="V88" s="2789"/>
      <c r="W88" s="2791"/>
      <c r="X88" s="2791"/>
      <c r="Y88" s="2791"/>
      <c r="Z88" s="2791"/>
      <c r="AA88" s="2793"/>
      <c r="AB88" s="2791"/>
      <c r="AC88" s="2791"/>
      <c r="AD88" s="2791"/>
      <c r="AE88" s="2793"/>
      <c r="AF88" s="2791"/>
      <c r="AG88" s="2791"/>
      <c r="AH88" s="2798"/>
      <c r="AI88" s="2798"/>
      <c r="AJ88" s="2798"/>
      <c r="AK88" s="2798"/>
      <c r="AL88" s="2798"/>
      <c r="AM88" s="2798"/>
      <c r="AN88" s="2798"/>
      <c r="AO88" s="2798"/>
      <c r="AP88" s="2798"/>
      <c r="AQ88" s="2798"/>
      <c r="AR88" s="2798"/>
      <c r="AS88" s="2798"/>
      <c r="AT88" s="2820"/>
      <c r="AU88" s="160"/>
      <c r="AV88" s="160"/>
      <c r="AY88" s="16"/>
      <c r="AZ88" s="16"/>
      <c r="BA88" s="16"/>
      <c r="BD88" s="16"/>
      <c r="BJ88" s="16"/>
      <c r="BK88" s="16"/>
      <c r="BO88" s="2820"/>
      <c r="BP88" s="2938"/>
      <c r="BQ88" s="2939"/>
      <c r="BV88"/>
      <c r="BW88"/>
      <c r="BX88"/>
    </row>
    <row r="89" spans="1:76">
      <c r="A89" s="2535" t="s">
        <v>1094</v>
      </c>
      <c r="B89" s="2892" t="s">
        <v>1517</v>
      </c>
      <c r="C89" s="2625" t="s">
        <v>1543</v>
      </c>
      <c r="D89" s="3282">
        <f>SUMIFS(BCRR_REHAB!L:L,BCRR_REHAB!D:D,'Huella materiales (2)'!A89)</f>
        <v>1.9612999999999998</v>
      </c>
      <c r="E89" s="1030">
        <f>'Datos_aux_materiales (2)'!M85</f>
        <v>1682.5049999999999</v>
      </c>
      <c r="F89" s="2836">
        <f>D89*E89</f>
        <v>3299.8970564999995</v>
      </c>
      <c r="G89" s="2823">
        <f>'Datos_aux_materiales (2)'!R85</f>
        <v>0.08</v>
      </c>
      <c r="H89" s="2825">
        <f t="shared" ref="H89:H90" si="51">F89*G89</f>
        <v>263.99176451999995</v>
      </c>
      <c r="I89" s="2829">
        <f>H89/$AV$5*$AV$7</f>
        <v>4.6849242717633792E-3</v>
      </c>
      <c r="J89" s="2851">
        <f>I89/$AV$8</f>
        <v>9.905167978927199E-5</v>
      </c>
      <c r="K89" s="2834">
        <f>F89*1.05</f>
        <v>3464.8919093249997</v>
      </c>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160"/>
      <c r="AV89" s="160"/>
      <c r="AY89" s="16"/>
      <c r="AZ89" s="16"/>
      <c r="BA89" s="16"/>
      <c r="BD89" s="16"/>
      <c r="BJ89" s="16"/>
      <c r="BK89" s="16"/>
      <c r="BO89" s="635"/>
      <c r="BP89" s="635"/>
      <c r="BQ89" s="635"/>
      <c r="BV89"/>
      <c r="BW89"/>
      <c r="BX89"/>
    </row>
    <row r="90" spans="1:76">
      <c r="A90" s="2523" t="s">
        <v>1576</v>
      </c>
      <c r="B90" s="2892" t="s">
        <v>1517</v>
      </c>
      <c r="C90" s="2625" t="s">
        <v>1580</v>
      </c>
      <c r="D90" s="3282">
        <f>SUMIFS(BCRR_REHAB!L:L,BCRR_REHAB!D:D,'Huella materiales (2)'!A90)</f>
        <v>20.795421642000001</v>
      </c>
      <c r="E90" s="1030">
        <f>'Datos_aux_materiales (2)'!M86</f>
        <v>1682.5049999999999</v>
      </c>
      <c r="F90" s="2836">
        <f>D90*E90</f>
        <v>34988.400889773206</v>
      </c>
      <c r="G90" s="2823">
        <f>'Datos_aux_materiales (2)'!R86</f>
        <v>5.8999999999999997E-2</v>
      </c>
      <c r="H90" s="2825">
        <f t="shared" si="51"/>
        <v>2064.3156524966189</v>
      </c>
      <c r="I90" s="2829">
        <f>H90/$AV$5*$AV$7</f>
        <v>3.6634334114728731E-2</v>
      </c>
      <c r="J90" s="2851">
        <f>I90/$AV$8</f>
        <v>7.7454663544849437E-4</v>
      </c>
      <c r="K90" s="2834">
        <f>F90*1.05</f>
        <v>36737.820934261865</v>
      </c>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160"/>
      <c r="AV90" s="160"/>
      <c r="AY90" s="16"/>
      <c r="AZ90" s="16"/>
      <c r="BA90" s="16"/>
      <c r="BD90" s="16"/>
      <c r="BJ90" s="16"/>
      <c r="BK90" s="16"/>
      <c r="BO90" s="635"/>
      <c r="BP90" s="635"/>
      <c r="BQ90" s="635"/>
      <c r="BV90"/>
      <c r="BW90"/>
      <c r="BX90"/>
    </row>
    <row r="91" spans="1:76" ht="18.5">
      <c r="A91" s="2900"/>
      <c r="B91" s="2881"/>
      <c r="C91" s="2811" t="s">
        <v>3098</v>
      </c>
      <c r="D91" s="3284"/>
      <c r="E91" s="2795"/>
      <c r="F91" s="2843">
        <f>SUM(F89:F90)</f>
        <v>38288.297946273204</v>
      </c>
      <c r="G91" s="2844"/>
      <c r="H91" s="2842">
        <f>SUM(H89:H90)</f>
        <v>2328.3074170166187</v>
      </c>
      <c r="I91" s="2830">
        <f>H91/$AV$5*$AV$7</f>
        <v>4.1319258386492114E-2</v>
      </c>
      <c r="J91" s="2854">
        <f>I91/$AV$8</f>
        <v>8.7359831523776651E-4</v>
      </c>
      <c r="K91" s="2835">
        <f>SUM(K89:K90)</f>
        <v>40202.712843586865</v>
      </c>
      <c r="L91" s="2795"/>
      <c r="M91" s="2795"/>
      <c r="N91" s="2795"/>
      <c r="O91" s="2795"/>
      <c r="P91" s="2795"/>
      <c r="Q91" s="2795"/>
      <c r="R91" s="2795"/>
      <c r="S91" s="2795"/>
      <c r="T91" s="2795"/>
      <c r="U91" s="2795"/>
      <c r="V91" s="2795"/>
      <c r="W91" s="2795"/>
      <c r="X91" s="2795"/>
      <c r="Y91" s="2795"/>
      <c r="Z91" s="2795"/>
      <c r="AA91" s="2795"/>
      <c r="AB91" s="2795"/>
      <c r="AC91" s="2795"/>
      <c r="AD91" s="2795"/>
      <c r="AE91" s="2795"/>
      <c r="AF91" s="2795"/>
      <c r="AG91" s="2795"/>
      <c r="AH91" s="635"/>
      <c r="AI91" s="635"/>
      <c r="AJ91" s="635"/>
      <c r="AK91" s="635"/>
      <c r="AL91" s="635"/>
      <c r="AM91" s="635"/>
      <c r="AN91" s="635"/>
      <c r="AO91" s="635"/>
      <c r="AP91" s="635"/>
      <c r="AQ91" s="635"/>
      <c r="AR91" s="635"/>
      <c r="AS91" s="635"/>
      <c r="AT91" s="635"/>
      <c r="AU91" s="160"/>
      <c r="AV91" s="160"/>
      <c r="AY91" s="16"/>
      <c r="AZ91" s="16"/>
      <c r="BA91" s="16"/>
      <c r="BJ91" s="16"/>
      <c r="BK91" s="16"/>
      <c r="BO91" s="635"/>
      <c r="BP91" s="635"/>
      <c r="BQ91" s="635"/>
      <c r="BV91"/>
      <c r="BW91"/>
      <c r="BX91"/>
    </row>
    <row r="92" spans="1:76" ht="18.5">
      <c r="A92" s="2909" t="s">
        <v>2916</v>
      </c>
      <c r="B92" s="2910"/>
      <c r="C92" s="2911"/>
      <c r="D92" s="3281"/>
      <c r="E92" s="2915"/>
      <c r="F92" s="2915"/>
      <c r="G92" s="2915"/>
      <c r="H92" s="2916"/>
      <c r="I92" s="2915"/>
      <c r="J92" s="2917"/>
      <c r="K92" s="2918"/>
      <c r="L92" s="2912"/>
      <c r="M92" s="2913"/>
      <c r="N92" s="2914"/>
      <c r="O92" s="2914"/>
      <c r="P92" s="2914"/>
      <c r="Q92" s="2914"/>
      <c r="R92" s="2914"/>
      <c r="S92" s="2914"/>
      <c r="T92" s="2914"/>
      <c r="U92" s="2914"/>
      <c r="V92" s="2914"/>
      <c r="W92" s="2914"/>
      <c r="X92" s="2914"/>
      <c r="Y92" s="2914"/>
      <c r="Z92" s="2914"/>
      <c r="AA92" s="2914"/>
      <c r="AB92" s="2914"/>
      <c r="AC92" s="2914"/>
      <c r="AD92" s="2914"/>
      <c r="AE92" s="2914"/>
      <c r="AF92" s="2914"/>
      <c r="AG92" s="2914"/>
      <c r="AH92" s="2916"/>
      <c r="AI92" s="2916"/>
      <c r="AJ92" s="2916"/>
      <c r="AK92" s="2916"/>
      <c r="AL92" s="2916"/>
      <c r="AM92" s="2916"/>
      <c r="AN92" s="2916"/>
      <c r="AO92" s="2916"/>
      <c r="AP92" s="2916"/>
      <c r="AQ92" s="2916"/>
      <c r="AR92" s="2916"/>
      <c r="AS92" s="2916"/>
      <c r="AT92" s="2799"/>
      <c r="AU92" s="160"/>
      <c r="AV92" s="160"/>
      <c r="AY92" s="16"/>
      <c r="AZ92" s="16"/>
      <c r="BA92" s="16"/>
      <c r="BD92" s="34"/>
      <c r="BJ92" s="16"/>
      <c r="BK92" s="16"/>
      <c r="BO92" s="2814"/>
      <c r="BP92" s="2816"/>
      <c r="BQ92" s="2799"/>
      <c r="BV92"/>
      <c r="BW92"/>
      <c r="BX92"/>
    </row>
    <row r="93" spans="1:76" ht="27.75" customHeight="1">
      <c r="A93" s="2889" t="s">
        <v>1328</v>
      </c>
      <c r="B93" s="2889" t="s">
        <v>1549</v>
      </c>
      <c r="C93" s="2878" t="s">
        <v>3126</v>
      </c>
      <c r="D93" s="3285" t="s">
        <v>914</v>
      </c>
      <c r="E93" s="2794" t="s">
        <v>288</v>
      </c>
      <c r="F93" s="2837" t="s">
        <v>3123</v>
      </c>
      <c r="G93" s="2826" t="s">
        <v>287</v>
      </c>
      <c r="H93" s="2827" t="s">
        <v>3097</v>
      </c>
      <c r="I93" s="161" t="s">
        <v>3124</v>
      </c>
      <c r="J93" s="2850" t="s">
        <v>3125</v>
      </c>
      <c r="K93" s="2833" t="s">
        <v>3136</v>
      </c>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2798"/>
      <c r="AI93" s="2798"/>
      <c r="AJ93" s="2798"/>
      <c r="AK93" s="2798"/>
      <c r="AL93" s="2798"/>
      <c r="AM93" s="2798"/>
      <c r="AN93" s="2798"/>
      <c r="AO93" s="2798"/>
      <c r="AP93" s="2798"/>
      <c r="AQ93" s="2798"/>
      <c r="AR93" s="2798"/>
      <c r="AS93" s="2798"/>
      <c r="AT93" s="2820"/>
      <c r="AU93" s="160"/>
      <c r="AV93" s="160"/>
      <c r="AY93" s="16"/>
      <c r="AZ93" s="16"/>
      <c r="BA93" s="16"/>
      <c r="BD93" s="16"/>
      <c r="BJ93" s="16"/>
      <c r="BK93" s="16"/>
      <c r="BO93" s="635"/>
      <c r="BP93" s="2938"/>
      <c r="BQ93" s="2939"/>
      <c r="BV93"/>
      <c r="BW93"/>
      <c r="BX93"/>
    </row>
    <row r="94" spans="1:76">
      <c r="A94" s="2535" t="s">
        <v>2915</v>
      </c>
      <c r="B94" s="2883" t="s">
        <v>1527</v>
      </c>
      <c r="C94" s="2522" t="s">
        <v>2914</v>
      </c>
      <c r="D94" s="3282">
        <f>SUMIFS(BCRR_REHAB!L:L,BCRR_REHAB!D:D,'Huella materiales (2)'!A94)</f>
        <v>0</v>
      </c>
      <c r="E94" s="1030">
        <f>'Datos_aux_materiales (2)'!M88</f>
        <v>0.12</v>
      </c>
      <c r="F94" s="2836">
        <f>D94*E94</f>
        <v>0</v>
      </c>
      <c r="G94" s="2823">
        <f>'Datos_aux_materiales (2)'!R88</f>
        <v>51</v>
      </c>
      <c r="H94" s="2825">
        <f t="shared" ref="H94:H96" si="52">F94*G94</f>
        <v>0</v>
      </c>
      <c r="I94" s="2829">
        <f>H94/$AV$5*$AV$7</f>
        <v>0</v>
      </c>
      <c r="J94" s="2851">
        <f>I94/$AV$8</f>
        <v>0</v>
      </c>
      <c r="K94" s="2834">
        <f>F94*1.05</f>
        <v>0</v>
      </c>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160"/>
      <c r="AV94" s="160"/>
      <c r="AY94" s="16"/>
      <c r="AZ94" s="16"/>
      <c r="BA94" s="16"/>
      <c r="BD94" s="34"/>
      <c r="BJ94" s="16"/>
      <c r="BK94" s="16"/>
      <c r="BO94" s="635"/>
      <c r="BP94" s="635"/>
      <c r="BQ94" s="635"/>
      <c r="BV94"/>
      <c r="BW94"/>
      <c r="BX94"/>
    </row>
    <row r="95" spans="1:76">
      <c r="A95" s="2544" t="s">
        <v>1130</v>
      </c>
      <c r="B95" s="2549" t="s">
        <v>1507</v>
      </c>
      <c r="C95" s="2542" t="s">
        <v>1557</v>
      </c>
      <c r="D95" s="3282">
        <f>SUMIFS(BCRR_REHAB!L:L,BCRR_REHAB!D:D,'Huella materiales (2)'!A95)</f>
        <v>0</v>
      </c>
      <c r="E95" s="1030">
        <f>'Datos_aux_materiales (2)'!M89</f>
        <v>4.8</v>
      </c>
      <c r="F95" s="2836">
        <f>D95*E95</f>
        <v>0</v>
      </c>
      <c r="G95" s="2823">
        <f>'Datos_aux_materiales (2)'!R89</f>
        <v>54.6</v>
      </c>
      <c r="H95" s="2825">
        <f t="shared" si="52"/>
        <v>0</v>
      </c>
      <c r="I95" s="2829">
        <f>H95/$AV$5*$AV$7</f>
        <v>0</v>
      </c>
      <c r="J95" s="2851">
        <f>I95/$AV$8</f>
        <v>0</v>
      </c>
      <c r="K95" s="2834">
        <f>F95*1.05</f>
        <v>0</v>
      </c>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160"/>
      <c r="AV95" s="160"/>
      <c r="AY95" s="16"/>
      <c r="AZ95" s="16"/>
      <c r="BA95" s="16"/>
      <c r="BD95" s="34"/>
      <c r="BJ95" s="16"/>
      <c r="BK95" s="16"/>
      <c r="BO95" s="635"/>
      <c r="BP95" s="635"/>
      <c r="BQ95" s="635"/>
      <c r="BV95"/>
      <c r="BW95"/>
      <c r="BX95"/>
    </row>
    <row r="96" spans="1:76">
      <c r="A96" s="2562" t="s">
        <v>2909</v>
      </c>
      <c r="B96" s="2887" t="s">
        <v>1357</v>
      </c>
      <c r="C96" s="2561" t="s">
        <v>2908</v>
      </c>
      <c r="D96" s="3282">
        <f>SUMIFS(BCRR_REHAB!L:L,BCRR_REHAB!D:D,'Huella materiales (2)'!A96)</f>
        <v>0</v>
      </c>
      <c r="E96" s="1030">
        <f>'Datos_aux_materiales (2)'!M90</f>
        <v>1</v>
      </c>
      <c r="F96" s="2836">
        <f>D96*E96</f>
        <v>0</v>
      </c>
      <c r="G96" s="2823">
        <f>'Datos_aux_materiales (2)'!R90</f>
        <v>54.6</v>
      </c>
      <c r="H96" s="2825">
        <f t="shared" si="52"/>
        <v>0</v>
      </c>
      <c r="I96" s="2829"/>
      <c r="J96" s="2851"/>
      <c r="K96" s="2834">
        <f>F96*1.05</f>
        <v>0</v>
      </c>
      <c r="L96" s="2814"/>
      <c r="M96" s="2815"/>
      <c r="N96" s="2814"/>
      <c r="O96" s="2814"/>
      <c r="P96" s="2814"/>
      <c r="Q96" s="2814"/>
      <c r="R96" s="2814"/>
      <c r="S96" s="2814"/>
      <c r="T96" s="2814"/>
      <c r="U96" s="2814"/>
      <c r="V96" s="2814"/>
      <c r="W96" s="2814"/>
      <c r="X96" s="2814"/>
      <c r="Y96" s="2814"/>
      <c r="Z96" s="2814"/>
      <c r="AA96" s="2814"/>
      <c r="AB96" s="2814"/>
      <c r="AC96" s="2814"/>
      <c r="AD96" s="2814"/>
      <c r="AE96" s="2814"/>
      <c r="AF96" s="2814"/>
      <c r="AG96" s="2814"/>
      <c r="AH96" s="2799"/>
      <c r="AI96" s="2799"/>
      <c r="AJ96" s="2799"/>
      <c r="AK96" s="2799"/>
      <c r="AL96" s="2799"/>
      <c r="AM96" s="2799"/>
      <c r="AN96" s="2799"/>
      <c r="AO96" s="2799"/>
      <c r="AP96" s="2799"/>
      <c r="AQ96" s="2799"/>
      <c r="AR96" s="2799"/>
      <c r="AS96" s="2799"/>
      <c r="AT96" s="2799"/>
      <c r="AU96" s="167"/>
      <c r="AV96" s="167"/>
      <c r="AW96" s="16"/>
      <c r="AX96" s="16"/>
      <c r="AY96" s="16"/>
      <c r="AZ96" s="16"/>
      <c r="BA96" s="16"/>
      <c r="BB96" s="16"/>
      <c r="BC96" s="16"/>
      <c r="BD96" s="34"/>
      <c r="BE96" s="22"/>
      <c r="BF96" s="22"/>
      <c r="BG96" s="22"/>
      <c r="BH96" s="22"/>
      <c r="BJ96" s="16"/>
      <c r="BK96" s="16"/>
      <c r="BO96" s="2814"/>
      <c r="BP96" s="635"/>
      <c r="BQ96" s="635"/>
      <c r="BV96"/>
      <c r="BW96"/>
      <c r="BX96"/>
    </row>
    <row r="97" spans="1:76" ht="18.5">
      <c r="A97" s="2899"/>
      <c r="B97" s="2881"/>
      <c r="C97" s="2811" t="s">
        <v>3099</v>
      </c>
      <c r="D97" s="3284"/>
      <c r="E97" s="2795"/>
      <c r="F97" s="2843">
        <f>SUM(F94:F96)</f>
        <v>0</v>
      </c>
      <c r="G97" s="2844"/>
      <c r="H97" s="2842">
        <f>SUM(H94:H96)</f>
        <v>0</v>
      </c>
      <c r="I97" s="2830">
        <f>H97/$AV$5*$AV$7</f>
        <v>0</v>
      </c>
      <c r="J97" s="2854">
        <f>I97/$AV$8</f>
        <v>0</v>
      </c>
      <c r="K97" s="2835">
        <f>SUM(K94:K96)</f>
        <v>0</v>
      </c>
      <c r="L97" s="2795"/>
      <c r="M97" s="2795"/>
      <c r="N97" s="2795"/>
      <c r="O97" s="2795"/>
      <c r="P97" s="2795"/>
      <c r="Q97" s="2795"/>
      <c r="R97" s="2795"/>
      <c r="S97" s="2795"/>
      <c r="T97" s="2795"/>
      <c r="U97" s="2795"/>
      <c r="V97" s="2795"/>
      <c r="W97" s="2795"/>
      <c r="X97" s="2795"/>
      <c r="Y97" s="2795"/>
      <c r="Z97" s="2795"/>
      <c r="AA97" s="2795"/>
      <c r="AB97" s="2795"/>
      <c r="AC97" s="2795"/>
      <c r="AD97" s="2795"/>
      <c r="AE97" s="2795"/>
      <c r="AF97" s="2795"/>
      <c r="AG97" s="2795"/>
      <c r="AH97" s="635"/>
      <c r="AI97" s="635"/>
      <c r="AJ97" s="635"/>
      <c r="AK97" s="635"/>
      <c r="AL97" s="635"/>
      <c r="AM97" s="635"/>
      <c r="AN97" s="635"/>
      <c r="AO97" s="635"/>
      <c r="AP97" s="635"/>
      <c r="AQ97" s="635"/>
      <c r="AR97" s="635"/>
      <c r="AS97" s="635"/>
      <c r="AT97" s="635"/>
      <c r="AU97" s="167"/>
      <c r="AV97" s="167"/>
      <c r="AW97" s="16"/>
      <c r="AX97" s="16"/>
      <c r="AY97" s="16"/>
      <c r="AZ97" s="16"/>
      <c r="BA97" s="16"/>
      <c r="BB97" s="16"/>
      <c r="BC97" s="16"/>
      <c r="BD97" s="34"/>
      <c r="BE97" s="22"/>
      <c r="BF97" s="22"/>
      <c r="BG97" s="22"/>
      <c r="BH97" s="22"/>
      <c r="BI97" s="22"/>
      <c r="BJ97" s="16"/>
      <c r="BK97" s="16"/>
      <c r="BO97" s="635"/>
      <c r="BP97" s="635"/>
      <c r="BQ97" s="635"/>
      <c r="BV97"/>
      <c r="BW97"/>
      <c r="BX97"/>
    </row>
    <row r="98" spans="1:76" ht="18.5">
      <c r="A98" s="2909" t="s">
        <v>3021</v>
      </c>
      <c r="B98" s="2910"/>
      <c r="C98" s="2911"/>
      <c r="D98" s="3281"/>
      <c r="E98" s="2915"/>
      <c r="F98" s="2915"/>
      <c r="G98" s="2915"/>
      <c r="H98" s="2916"/>
      <c r="I98" s="2915"/>
      <c r="J98" s="2917"/>
      <c r="K98" s="2918"/>
      <c r="L98" s="2912"/>
      <c r="M98" s="2913"/>
      <c r="N98" s="2914"/>
      <c r="O98" s="2914"/>
      <c r="P98" s="2914"/>
      <c r="Q98" s="2914"/>
      <c r="R98" s="2914"/>
      <c r="S98" s="2914"/>
      <c r="T98" s="2914"/>
      <c r="U98" s="2914"/>
      <c r="V98" s="2914"/>
      <c r="W98" s="2914"/>
      <c r="X98" s="2914"/>
      <c r="Y98" s="2914"/>
      <c r="Z98" s="2914"/>
      <c r="AA98" s="2914"/>
      <c r="AB98" s="2914"/>
      <c r="AC98" s="2914"/>
      <c r="AD98" s="2914"/>
      <c r="AE98" s="2914"/>
      <c r="AF98" s="2914"/>
      <c r="AG98" s="2914"/>
      <c r="AH98" s="2916"/>
      <c r="AI98" s="2916"/>
      <c r="AJ98" s="2916"/>
      <c r="AK98" s="2916"/>
      <c r="AL98" s="2916"/>
      <c r="AM98" s="2916"/>
      <c r="AN98" s="2916"/>
      <c r="AO98" s="2916"/>
      <c r="AP98" s="2916"/>
      <c r="AQ98" s="2916"/>
      <c r="AR98" s="2916"/>
      <c r="AS98" s="2916"/>
      <c r="AT98" s="2799"/>
      <c r="AU98" s="167"/>
      <c r="AV98" s="167"/>
      <c r="AW98" s="16"/>
      <c r="AX98" s="16"/>
      <c r="AY98" s="16"/>
      <c r="AZ98" s="16"/>
      <c r="BA98" s="16"/>
      <c r="BB98" s="16"/>
      <c r="BC98" s="16"/>
      <c r="BD98" s="34"/>
      <c r="BE98" s="22"/>
      <c r="BF98" s="22"/>
      <c r="BG98" s="22"/>
      <c r="BH98" s="22"/>
      <c r="BI98" s="22"/>
      <c r="BJ98" s="16"/>
      <c r="BK98" s="16"/>
      <c r="BO98" s="2814"/>
      <c r="BP98" s="2816"/>
      <c r="BQ98" s="2799"/>
      <c r="BV98"/>
      <c r="BW98"/>
      <c r="BX98"/>
    </row>
    <row r="99" spans="1:76" ht="35.25" customHeight="1">
      <c r="A99" s="2889" t="s">
        <v>1328</v>
      </c>
      <c r="B99" s="2889" t="s">
        <v>1549</v>
      </c>
      <c r="C99" s="2878" t="s">
        <v>3126</v>
      </c>
      <c r="D99" s="3285" t="s">
        <v>914</v>
      </c>
      <c r="E99" s="2794" t="s">
        <v>288</v>
      </c>
      <c r="F99" s="2837" t="s">
        <v>3123</v>
      </c>
      <c r="G99" s="2826" t="s">
        <v>287</v>
      </c>
      <c r="H99" s="2827" t="s">
        <v>3097</v>
      </c>
      <c r="I99" s="161" t="s">
        <v>3124</v>
      </c>
      <c r="J99" s="2850" t="s">
        <v>3125</v>
      </c>
      <c r="K99" s="2833" t="s">
        <v>3136</v>
      </c>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167"/>
      <c r="AV99" s="167"/>
      <c r="AW99" s="16"/>
      <c r="AX99" s="16"/>
      <c r="AY99" s="16"/>
      <c r="AZ99" s="16"/>
      <c r="BA99" s="16"/>
      <c r="BB99" s="16"/>
      <c r="BC99" s="16"/>
      <c r="BD99" s="34"/>
      <c r="BE99" s="22"/>
      <c r="BF99" s="22"/>
      <c r="BG99" s="22"/>
      <c r="BH99" s="22"/>
      <c r="BI99" s="22"/>
      <c r="BJ99" s="16"/>
      <c r="BK99" s="16"/>
      <c r="BO99" s="635"/>
      <c r="BP99" s="2938"/>
      <c r="BQ99" s="2939"/>
      <c r="BV99"/>
      <c r="BW99"/>
      <c r="BX99"/>
    </row>
    <row r="100" spans="1:76" s="1521" customFormat="1">
      <c r="A100" s="2535" t="s">
        <v>1792</v>
      </c>
      <c r="B100" s="2892" t="s">
        <v>1577</v>
      </c>
      <c r="C100" s="2625" t="s">
        <v>1793</v>
      </c>
      <c r="D100" s="3282">
        <f>SUMIFS(BCRR_REHAB!L:L,BCRR_REHAB!D:D,'Huella materiales (2)'!A100)</f>
        <v>6.0761999999999995E-3</v>
      </c>
      <c r="E100" s="1030">
        <f>'Datos_aux_materiales (2)'!M92</f>
        <v>1000</v>
      </c>
      <c r="F100" s="2836">
        <f>D100*E100</f>
        <v>6.0761999999999992</v>
      </c>
      <c r="G100" s="2823">
        <f>'Datos_aux_materiales (2)'!R92</f>
        <v>4.79</v>
      </c>
      <c r="H100" s="2825">
        <f t="shared" ref="H100:H101" si="53">F100*G100</f>
        <v>29.104997999999995</v>
      </c>
      <c r="I100" s="2796">
        <f>H100/$AV$5*$AV$7</f>
        <v>5.1651123211267596E-4</v>
      </c>
      <c r="J100" s="2851">
        <f>I100/$AV$8</f>
        <v>1.0920412412884166E-5</v>
      </c>
      <c r="K100" s="2834">
        <f>F100*1.05</f>
        <v>6.3800099999999995</v>
      </c>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167"/>
      <c r="AV100" s="167"/>
      <c r="AW100" s="16"/>
      <c r="AX100" s="16"/>
      <c r="AY100" s="16"/>
      <c r="AZ100" s="16"/>
      <c r="BA100" s="16"/>
      <c r="BB100" s="16"/>
      <c r="BC100" s="16"/>
      <c r="BD100" s="34"/>
      <c r="BE100" s="22"/>
      <c r="BF100" s="22"/>
      <c r="BG100" s="22"/>
      <c r="BH100" s="22"/>
      <c r="BI100" s="22"/>
      <c r="BJ100" s="16"/>
      <c r="BK100" s="16"/>
      <c r="BL100" s="16"/>
      <c r="BM100" s="16"/>
      <c r="BN100" s="16"/>
      <c r="BO100" s="635"/>
      <c r="BP100" s="635"/>
      <c r="BQ100" s="635"/>
      <c r="BR100" s="16"/>
      <c r="BS100" s="16"/>
      <c r="BT100" s="16"/>
      <c r="BU100" s="16"/>
    </row>
    <row r="101" spans="1:76" s="1521" customFormat="1">
      <c r="A101" s="2562" t="s">
        <v>3018</v>
      </c>
      <c r="B101" s="2887" t="s">
        <v>1577</v>
      </c>
      <c r="C101" s="2561" t="s">
        <v>3017</v>
      </c>
      <c r="D101" s="3282">
        <f>SUMIFS(BCRR_REHAB!L:L,BCRR_REHAB!D:D,'Huella materiales (2)'!A101)</f>
        <v>0</v>
      </c>
      <c r="E101" s="1030">
        <f>'Datos_aux_materiales (2)'!M93</f>
        <v>1000</v>
      </c>
      <c r="F101" s="2836">
        <f>D101*E101</f>
        <v>0</v>
      </c>
      <c r="G101" s="2823">
        <f>'Datos_aux_materiales (2)'!R93</f>
        <v>6.18</v>
      </c>
      <c r="H101" s="2825">
        <f t="shared" si="53"/>
        <v>0</v>
      </c>
      <c r="I101" s="2796">
        <f>H101/$AV$5*$AV$7</f>
        <v>0</v>
      </c>
      <c r="J101" s="2851">
        <f>I101/$AV$8</f>
        <v>0</v>
      </c>
      <c r="K101" s="2834">
        <f>F101*1.05</f>
        <v>0</v>
      </c>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167"/>
      <c r="AV101" s="167"/>
      <c r="AW101" s="16"/>
      <c r="AX101" s="16"/>
      <c r="AY101" s="16"/>
      <c r="AZ101" s="16"/>
      <c r="BA101" s="16"/>
      <c r="BB101" s="16"/>
      <c r="BC101" s="16"/>
      <c r="BD101" s="34"/>
      <c r="BE101" s="22"/>
      <c r="BF101" s="22"/>
      <c r="BG101" s="22"/>
      <c r="BH101" s="22"/>
      <c r="BI101" s="22"/>
      <c r="BJ101" s="16"/>
      <c r="BK101" s="16"/>
      <c r="BL101" s="16"/>
      <c r="BM101" s="16"/>
      <c r="BN101" s="16"/>
      <c r="BO101" s="635"/>
      <c r="BP101" s="635"/>
      <c r="BQ101" s="635"/>
      <c r="BR101" s="16"/>
      <c r="BS101" s="16"/>
      <c r="BT101" s="16"/>
      <c r="BU101" s="16"/>
    </row>
    <row r="102" spans="1:76" ht="18.5">
      <c r="A102" s="2900"/>
      <c r="B102" s="2881"/>
      <c r="C102" s="2811" t="s">
        <v>3100</v>
      </c>
      <c r="D102" s="3284"/>
      <c r="E102" s="2795"/>
      <c r="F102" s="2843">
        <f>SUM(F100:F101)</f>
        <v>6.0761999999999992</v>
      </c>
      <c r="G102" s="2844"/>
      <c r="H102" s="2842">
        <f>SUM(H100:H101)</f>
        <v>29.104997999999995</v>
      </c>
      <c r="I102" s="2830">
        <f>H102/$AV$5*$AV$7</f>
        <v>5.1651123211267596E-4</v>
      </c>
      <c r="J102" s="2854">
        <f>I102/$AV$8</f>
        <v>1.0920412412884166E-5</v>
      </c>
      <c r="K102" s="2835">
        <f>SUM(K100:K101)</f>
        <v>6.3800099999999995</v>
      </c>
      <c r="L102" s="2795"/>
      <c r="M102" s="2795"/>
      <c r="N102" s="2795"/>
      <c r="O102" s="2795"/>
      <c r="P102" s="2795"/>
      <c r="Q102" s="2795"/>
      <c r="R102" s="2795"/>
      <c r="S102" s="2795"/>
      <c r="T102" s="2795"/>
      <c r="U102" s="2795"/>
      <c r="V102" s="2795"/>
      <c r="W102" s="2795"/>
      <c r="X102" s="2795"/>
      <c r="Y102" s="2795"/>
      <c r="Z102" s="2795"/>
      <c r="AA102" s="2795"/>
      <c r="AB102" s="2795"/>
      <c r="AC102" s="2795"/>
      <c r="AD102" s="2795"/>
      <c r="AE102" s="2795"/>
      <c r="AF102" s="2795"/>
      <c r="AG102" s="2795"/>
      <c r="AH102" s="635"/>
      <c r="AI102" s="635"/>
      <c r="AJ102" s="635"/>
      <c r="AK102" s="635"/>
      <c r="AL102" s="635"/>
      <c r="AM102" s="635"/>
      <c r="AN102" s="635"/>
      <c r="AO102" s="635"/>
      <c r="AP102" s="635"/>
      <c r="AQ102" s="635"/>
      <c r="AR102" s="635"/>
      <c r="AS102" s="635"/>
      <c r="AT102" s="635"/>
      <c r="AU102" s="167"/>
      <c r="AV102" s="167"/>
      <c r="AW102" s="16"/>
      <c r="AX102" s="16"/>
      <c r="AY102" s="16"/>
      <c r="AZ102" s="16"/>
      <c r="BA102" s="16"/>
      <c r="BB102" s="16"/>
      <c r="BC102" s="16"/>
      <c r="BD102" s="34"/>
      <c r="BE102" s="22"/>
      <c r="BF102" s="22"/>
      <c r="BG102" s="22"/>
      <c r="BH102" s="22"/>
      <c r="BI102" s="22"/>
      <c r="BJ102" s="16"/>
      <c r="BK102" s="16"/>
      <c r="BO102" s="635"/>
      <c r="BP102" s="635"/>
      <c r="BQ102" s="635"/>
      <c r="BV102"/>
      <c r="BW102"/>
      <c r="BX102"/>
    </row>
    <row r="103" spans="1:76" ht="18.5">
      <c r="A103" s="2909" t="s">
        <v>2922</v>
      </c>
      <c r="B103" s="2910"/>
      <c r="C103" s="2911"/>
      <c r="D103" s="3281"/>
      <c r="E103" s="2915"/>
      <c r="F103" s="2915"/>
      <c r="G103" s="2915"/>
      <c r="H103" s="2916"/>
      <c r="I103" s="2915"/>
      <c r="J103" s="2917"/>
      <c r="K103" s="2918"/>
      <c r="L103" s="2912"/>
      <c r="M103" s="2913"/>
      <c r="N103" s="2914"/>
      <c r="O103" s="2914"/>
      <c r="P103" s="2914"/>
      <c r="Q103" s="2914"/>
      <c r="R103" s="2914"/>
      <c r="S103" s="2914"/>
      <c r="T103" s="2914"/>
      <c r="U103" s="2914"/>
      <c r="V103" s="2914"/>
      <c r="W103" s="2914"/>
      <c r="X103" s="2914"/>
      <c r="Y103" s="2914"/>
      <c r="Z103" s="2914"/>
      <c r="AA103" s="2914"/>
      <c r="AB103" s="2914"/>
      <c r="AC103" s="2914"/>
      <c r="AD103" s="2914"/>
      <c r="AE103" s="2914"/>
      <c r="AF103" s="2914"/>
      <c r="AG103" s="2914"/>
      <c r="AH103" s="2916"/>
      <c r="AI103" s="2916"/>
      <c r="AJ103" s="2916"/>
      <c r="AK103" s="2916"/>
      <c r="AL103" s="2916"/>
      <c r="AM103" s="2916"/>
      <c r="AN103" s="2916"/>
      <c r="AO103" s="2916"/>
      <c r="AP103" s="2916"/>
      <c r="AQ103" s="2916"/>
      <c r="AR103" s="2916"/>
      <c r="AS103" s="2916"/>
      <c r="AT103" s="2799"/>
      <c r="AU103" s="167"/>
      <c r="AV103" s="167"/>
      <c r="AW103" s="16"/>
      <c r="AX103" s="16"/>
      <c r="AY103" s="16"/>
      <c r="AZ103" s="16"/>
      <c r="BA103" s="16"/>
      <c r="BB103" s="16"/>
      <c r="BC103" s="16"/>
      <c r="BD103" s="34"/>
      <c r="BE103" s="22"/>
      <c r="BF103" s="22"/>
      <c r="BG103" s="22"/>
      <c r="BH103" s="22"/>
      <c r="BI103" s="22"/>
      <c r="BJ103" s="16"/>
      <c r="BK103" s="16"/>
      <c r="BO103" s="2814"/>
      <c r="BP103" s="2816"/>
      <c r="BQ103" s="2799"/>
      <c r="BV103"/>
      <c r="BW103"/>
      <c r="BX103"/>
    </row>
    <row r="104" spans="1:76" ht="36.75" customHeight="1">
      <c r="A104" s="2889" t="s">
        <v>1328</v>
      </c>
      <c r="B104" s="2889" t="s">
        <v>1549</v>
      </c>
      <c r="C104" s="2878" t="s">
        <v>3126</v>
      </c>
      <c r="D104" s="3285" t="s">
        <v>914</v>
      </c>
      <c r="E104" s="2794" t="s">
        <v>288</v>
      </c>
      <c r="F104" s="2837" t="s">
        <v>3123</v>
      </c>
      <c r="G104" s="2826" t="s">
        <v>287</v>
      </c>
      <c r="H104" s="2827" t="s">
        <v>3097</v>
      </c>
      <c r="I104" s="161" t="s">
        <v>3124</v>
      </c>
      <c r="J104" s="2850" t="s">
        <v>3125</v>
      </c>
      <c r="K104" s="2833" t="s">
        <v>3136</v>
      </c>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167"/>
      <c r="AV104" s="167"/>
      <c r="AW104" s="16"/>
      <c r="AX104" s="16"/>
      <c r="AY104" s="16"/>
      <c r="AZ104" s="16"/>
      <c r="BA104" s="16"/>
      <c r="BB104" s="16"/>
      <c r="BC104" s="16"/>
      <c r="BD104" s="34"/>
      <c r="BE104" s="22"/>
      <c r="BF104" s="22"/>
      <c r="BG104" s="22"/>
      <c r="BH104" s="22"/>
      <c r="BI104" s="22"/>
      <c r="BJ104" s="16"/>
      <c r="BK104" s="16"/>
      <c r="BO104" s="635"/>
      <c r="BP104" s="2938"/>
      <c r="BQ104" s="2939"/>
      <c r="BV104"/>
      <c r="BW104"/>
      <c r="BX104"/>
    </row>
    <row r="105" spans="1:76">
      <c r="A105" s="2544" t="s">
        <v>2717</v>
      </c>
      <c r="B105" s="2549" t="s">
        <v>1527</v>
      </c>
      <c r="C105" s="2542" t="s">
        <v>2718</v>
      </c>
      <c r="D105" s="3282">
        <f>SUMIFS(BCRR_REHAB!L:L,BCRR_REHAB!D:D,'Huella materiales (2)'!A105)</f>
        <v>0</v>
      </c>
      <c r="E105" s="1030">
        <f>'Datos_aux_materiales (2)'!M95</f>
        <v>1.5127999999999999</v>
      </c>
      <c r="F105" s="2836">
        <f>D105*E105</f>
        <v>0</v>
      </c>
      <c r="G105" s="2823">
        <f>'Datos_aux_materiales (2)'!R95</f>
        <v>91.8</v>
      </c>
      <c r="H105" s="2825">
        <f t="shared" ref="H105:H109" si="54">F105*G105</f>
        <v>0</v>
      </c>
      <c r="I105" s="2829">
        <f>H105/$AV$5*$AV$7</f>
        <v>0</v>
      </c>
      <c r="J105" s="2851">
        <f>I105/$AV$8</f>
        <v>0</v>
      </c>
      <c r="K105" s="2834">
        <f>F105*1.05</f>
        <v>0</v>
      </c>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167"/>
      <c r="AV105" s="167"/>
      <c r="AW105" s="16"/>
      <c r="AX105" s="16"/>
      <c r="AY105" s="16"/>
      <c r="AZ105" s="16"/>
      <c r="BA105" s="16"/>
      <c r="BB105" s="16"/>
      <c r="BC105" s="16"/>
      <c r="BD105" s="34"/>
      <c r="BE105" s="22"/>
      <c r="BF105" s="22"/>
      <c r="BG105" s="22"/>
      <c r="BH105" s="22"/>
      <c r="BI105" s="22"/>
      <c r="BJ105" s="16"/>
      <c r="BK105" s="16"/>
      <c r="BO105" s="635"/>
      <c r="BP105" s="635"/>
      <c r="BQ105" s="635"/>
      <c r="BV105"/>
      <c r="BW105"/>
      <c r="BX105"/>
    </row>
    <row r="106" spans="1:76">
      <c r="A106" s="2535" t="s">
        <v>2921</v>
      </c>
      <c r="B106" s="2883" t="s">
        <v>1527</v>
      </c>
      <c r="C106" s="2522" t="s">
        <v>2920</v>
      </c>
      <c r="D106" s="3282">
        <f>SUMIFS(BCRR_REHAB!L:L,BCRR_REHAB!D:D,'Huella materiales (2)'!A106)</f>
        <v>0</v>
      </c>
      <c r="E106" s="1030">
        <f>'Datos_aux_materiales (2)'!M96</f>
        <v>0.92999999999999994</v>
      </c>
      <c r="F106" s="2836">
        <f>D106*E106</f>
        <v>0</v>
      </c>
      <c r="G106" s="2823">
        <f>'Datos_aux_materiales (2)'!R96</f>
        <v>91.8</v>
      </c>
      <c r="H106" s="2825">
        <f t="shared" si="54"/>
        <v>0</v>
      </c>
      <c r="I106" s="2829">
        <f>H106/$AV$5*$AV$7</f>
        <v>0</v>
      </c>
      <c r="J106" s="2851">
        <f>I106/$AV$8</f>
        <v>0</v>
      </c>
      <c r="K106" s="2834">
        <f>F106*1.05</f>
        <v>0</v>
      </c>
      <c r="L106" s="635"/>
      <c r="M106" s="635"/>
      <c r="N106" s="635"/>
      <c r="O106" s="635"/>
      <c r="P106" s="635"/>
      <c r="Q106" s="635"/>
      <c r="R106" s="635"/>
      <c r="S106" s="635"/>
      <c r="T106" s="635"/>
      <c r="U106" s="635"/>
      <c r="V106" s="635"/>
      <c r="W106" s="635"/>
      <c r="X106" s="635"/>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c r="AT106" s="635"/>
      <c r="AU106" s="167"/>
      <c r="AV106" s="167"/>
      <c r="AW106" s="16"/>
      <c r="AX106" s="16"/>
      <c r="AY106" s="16"/>
      <c r="AZ106" s="16"/>
      <c r="BA106" s="16"/>
      <c r="BB106" s="16"/>
      <c r="BC106" s="16"/>
      <c r="BD106" s="34"/>
      <c r="BE106" s="22"/>
      <c r="BF106" s="22"/>
      <c r="BG106" s="22"/>
      <c r="BH106" s="22"/>
      <c r="BI106" s="22"/>
      <c r="BJ106" s="16"/>
      <c r="BK106" s="16"/>
      <c r="BO106" s="635"/>
      <c r="BP106" s="635"/>
      <c r="BQ106" s="635"/>
      <c r="BV106"/>
      <c r="BW106"/>
      <c r="BX106"/>
    </row>
    <row r="107" spans="1:76">
      <c r="A107" s="2544" t="s">
        <v>2004</v>
      </c>
      <c r="B107" s="2549" t="s">
        <v>1527</v>
      </c>
      <c r="C107" s="2542" t="s">
        <v>2005</v>
      </c>
      <c r="D107" s="3282">
        <f>SUMIFS(BCRR_REHAB!L:L,BCRR_REHAB!D:D,'Huella materiales (2)'!A107)</f>
        <v>0</v>
      </c>
      <c r="E107" s="1030">
        <f>'Datos_aux_materiales (2)'!M97</f>
        <v>3.4669800000000004</v>
      </c>
      <c r="F107" s="2836">
        <f>D107*E107</f>
        <v>0</v>
      </c>
      <c r="G107" s="2823">
        <f>'Datos_aux_materiales (2)'!R97</f>
        <v>91.8</v>
      </c>
      <c r="H107" s="2825">
        <f t="shared" si="54"/>
        <v>0</v>
      </c>
      <c r="I107" s="2829">
        <f>H107/$AV$5*$AV$7</f>
        <v>0</v>
      </c>
      <c r="J107" s="2851">
        <f>I107/$AV$8</f>
        <v>0</v>
      </c>
      <c r="K107" s="2834">
        <f>F107*1.05</f>
        <v>0</v>
      </c>
      <c r="L107" s="635"/>
      <c r="M107" s="635"/>
      <c r="N107" s="635"/>
      <c r="O107" s="635"/>
      <c r="P107" s="635"/>
      <c r="Q107" s="635"/>
      <c r="R107" s="635"/>
      <c r="S107" s="635"/>
      <c r="T107" s="635"/>
      <c r="U107" s="635"/>
      <c r="V107" s="635"/>
      <c r="W107" s="635"/>
      <c r="X107" s="635"/>
      <c r="Y107" s="635"/>
      <c r="Z107" s="635"/>
      <c r="AA107" s="635"/>
      <c r="AB107" s="635"/>
      <c r="AC107" s="635"/>
      <c r="AD107" s="635"/>
      <c r="AE107" s="635"/>
      <c r="AF107" s="635"/>
      <c r="AG107" s="635"/>
      <c r="AH107" s="635"/>
      <c r="AI107" s="635"/>
      <c r="AJ107" s="635"/>
      <c r="AK107" s="635"/>
      <c r="AL107" s="635"/>
      <c r="AM107" s="635"/>
      <c r="AN107" s="635"/>
      <c r="AO107" s="635"/>
      <c r="AP107" s="635"/>
      <c r="AQ107" s="635"/>
      <c r="AR107" s="635"/>
      <c r="AS107" s="635"/>
      <c r="AT107" s="635"/>
      <c r="AU107" s="167"/>
      <c r="AV107" s="167"/>
      <c r="AW107" s="16"/>
      <c r="AX107" s="16"/>
      <c r="AY107" s="16"/>
      <c r="AZ107" s="16"/>
      <c r="BA107" s="16"/>
      <c r="BB107" s="16"/>
      <c r="BC107" s="16"/>
      <c r="BD107" s="34"/>
      <c r="BE107" s="22"/>
      <c r="BF107" s="22"/>
      <c r="BG107" s="22"/>
      <c r="BH107" s="22"/>
      <c r="BI107" s="22"/>
      <c r="BJ107" s="16"/>
      <c r="BK107" s="16"/>
      <c r="BO107" s="635"/>
      <c r="BP107" s="635"/>
      <c r="BQ107" s="635"/>
      <c r="BV107"/>
      <c r="BW107"/>
      <c r="BX107"/>
    </row>
    <row r="108" spans="1:76">
      <c r="A108" s="2544" t="s">
        <v>2002</v>
      </c>
      <c r="B108" s="2549" t="s">
        <v>1507</v>
      </c>
      <c r="C108" s="2542" t="s">
        <v>2003</v>
      </c>
      <c r="D108" s="3282">
        <f>SUMIFS(BCRR_REHAB!L:L,BCRR_REHAB!D:D,'Huella materiales (2)'!A108)</f>
        <v>0</v>
      </c>
      <c r="E108" s="1030">
        <f>'Datos_aux_materiales (2)'!M98</f>
        <v>2.0801879999999997</v>
      </c>
      <c r="F108" s="2836">
        <f>D108*E108</f>
        <v>0</v>
      </c>
      <c r="G108" s="2823">
        <f>'Datos_aux_materiales (2)'!R98</f>
        <v>91.8</v>
      </c>
      <c r="H108" s="2825">
        <f t="shared" si="54"/>
        <v>0</v>
      </c>
      <c r="I108" s="2829">
        <f>H108/$AV$5*$AV$7</f>
        <v>0</v>
      </c>
      <c r="J108" s="2851">
        <f>I108/$AV$8</f>
        <v>0</v>
      </c>
      <c r="K108" s="2834">
        <f>F108*1.05</f>
        <v>0</v>
      </c>
      <c r="L108" s="635"/>
      <c r="M108" s="635"/>
      <c r="N108" s="635"/>
      <c r="O108" s="635"/>
      <c r="P108" s="635"/>
      <c r="Q108" s="635"/>
      <c r="R108" s="635"/>
      <c r="S108" s="635"/>
      <c r="T108" s="635"/>
      <c r="U108" s="635"/>
      <c r="V108" s="635"/>
      <c r="W108" s="635"/>
      <c r="X108" s="635"/>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167"/>
      <c r="AV108" s="167"/>
      <c r="AW108" s="16"/>
      <c r="AX108" s="16"/>
      <c r="AY108" s="16"/>
      <c r="AZ108" s="16"/>
      <c r="BA108" s="16"/>
      <c r="BB108" s="16"/>
      <c r="BC108" s="16"/>
      <c r="BD108" s="22"/>
      <c r="BE108" s="22"/>
      <c r="BF108" s="22"/>
      <c r="BG108" s="22"/>
      <c r="BH108" s="22"/>
      <c r="BI108" s="22"/>
      <c r="BJ108" s="16"/>
      <c r="BK108" s="16"/>
      <c r="BO108" s="635"/>
      <c r="BP108" s="635"/>
      <c r="BQ108" s="635"/>
      <c r="BV108"/>
      <c r="BW108"/>
      <c r="BX108"/>
    </row>
    <row r="109" spans="1:76">
      <c r="A109" s="2544" t="s">
        <v>2749</v>
      </c>
      <c r="B109" s="2549" t="s">
        <v>1527</v>
      </c>
      <c r="C109" s="2542" t="s">
        <v>2750</v>
      </c>
      <c r="D109" s="3282">
        <f>SUMIFS(BCRR_REHAB!L:L,BCRR_REHAB!D:D,'Huella materiales (2)'!A109)</f>
        <v>3195.4139266499997</v>
      </c>
      <c r="E109" s="1030">
        <f>'Datos_aux_materiales (2)'!M99</f>
        <v>0.84953837825999989</v>
      </c>
      <c r="F109" s="2836">
        <f>D109*E109</f>
        <v>2714.6267651156591</v>
      </c>
      <c r="G109" s="2823">
        <f>'Datos_aux_materiales (2)'!R99</f>
        <v>87.47</v>
      </c>
      <c r="H109" s="2825">
        <f t="shared" si="54"/>
        <v>237448.40314466669</v>
      </c>
      <c r="I109" s="2829"/>
      <c r="J109" s="2851"/>
      <c r="K109" s="2834">
        <f>F109*1.05</f>
        <v>2850.3581033714422</v>
      </c>
      <c r="L109" s="635"/>
      <c r="M109" s="635"/>
      <c r="N109" s="635"/>
      <c r="O109" s="635"/>
      <c r="P109" s="635"/>
      <c r="Q109" s="635"/>
      <c r="R109" s="635"/>
      <c r="S109" s="635"/>
      <c r="T109" s="635"/>
      <c r="U109" s="635"/>
      <c r="V109" s="635"/>
      <c r="W109" s="635"/>
      <c r="X109" s="635"/>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167"/>
      <c r="AV109" s="167"/>
      <c r="AW109" s="16"/>
      <c r="AX109" s="16"/>
      <c r="AY109" s="16"/>
      <c r="AZ109" s="16"/>
      <c r="BA109" s="16"/>
      <c r="BB109" s="16"/>
      <c r="BC109" s="16"/>
      <c r="BD109" s="22"/>
      <c r="BE109" s="22"/>
      <c r="BF109" s="22"/>
      <c r="BG109" s="22"/>
      <c r="BH109" s="22"/>
      <c r="BI109" s="22"/>
      <c r="BJ109" s="16"/>
      <c r="BK109" s="16"/>
      <c r="BO109" s="635"/>
      <c r="BP109" s="635"/>
      <c r="BQ109" s="635"/>
      <c r="BV109"/>
      <c r="BW109"/>
      <c r="BX109"/>
    </row>
    <row r="110" spans="1:76" ht="18.5">
      <c r="A110" s="2900"/>
      <c r="B110" s="2881"/>
      <c r="C110" s="2811" t="s">
        <v>3120</v>
      </c>
      <c r="D110" s="3284"/>
      <c r="E110" s="2795"/>
      <c r="F110" s="2843">
        <f>SUM(F105:F109)</f>
        <v>2714.6267651156591</v>
      </c>
      <c r="G110" s="2844"/>
      <c r="H110" s="2842">
        <f>SUM(H105:H109)</f>
        <v>237448.40314466669</v>
      </c>
      <c r="I110" s="2830">
        <f>H110/$AV$5*$AV$7</f>
        <v>4.2138730698912683</v>
      </c>
      <c r="J110" s="2854">
        <f>I110/$AV$8</f>
        <v>8.909241255129248E-2</v>
      </c>
      <c r="K110" s="2835">
        <f>SUM(K105:K109)</f>
        <v>2850.3581033714422</v>
      </c>
      <c r="L110" s="2795"/>
      <c r="M110" s="2795"/>
      <c r="N110" s="2795"/>
      <c r="O110" s="2795"/>
      <c r="P110" s="2795"/>
      <c r="Q110" s="2795"/>
      <c r="R110" s="2795"/>
      <c r="S110" s="2795"/>
      <c r="T110" s="2795"/>
      <c r="U110" s="2795"/>
      <c r="V110" s="2795"/>
      <c r="W110" s="2795"/>
      <c r="X110" s="2795"/>
      <c r="Y110" s="2795"/>
      <c r="Z110" s="2795"/>
      <c r="AA110" s="2795"/>
      <c r="AB110" s="2795"/>
      <c r="AC110" s="2795"/>
      <c r="AD110" s="2795"/>
      <c r="AE110" s="2795"/>
      <c r="AF110" s="2795"/>
      <c r="AG110" s="2795"/>
      <c r="AH110" s="635"/>
      <c r="AI110" s="635"/>
      <c r="AJ110" s="635"/>
      <c r="AK110" s="635"/>
      <c r="AL110" s="635"/>
      <c r="AM110" s="635"/>
      <c r="AN110" s="635"/>
      <c r="AO110" s="635"/>
      <c r="AP110" s="635"/>
      <c r="AQ110" s="635"/>
      <c r="AR110" s="635"/>
      <c r="AS110" s="635"/>
      <c r="AT110" s="635"/>
      <c r="AU110" s="167"/>
      <c r="AV110" s="167"/>
      <c r="AW110" s="16"/>
      <c r="AX110" s="16"/>
      <c r="AY110" s="16"/>
      <c r="AZ110" s="16"/>
      <c r="BA110" s="16"/>
      <c r="BB110" s="16"/>
      <c r="BC110" s="16"/>
      <c r="BD110" s="22"/>
      <c r="BE110" s="22"/>
      <c r="BF110" s="22"/>
      <c r="BG110" s="22"/>
      <c r="BH110" s="22"/>
      <c r="BI110" s="22"/>
      <c r="BJ110" s="16"/>
      <c r="BK110" s="16"/>
      <c r="BO110" s="635"/>
      <c r="BP110" s="635"/>
      <c r="BQ110" s="635"/>
      <c r="BV110"/>
      <c r="BW110"/>
      <c r="BX110"/>
    </row>
    <row r="111" spans="1:76" s="1521" customFormat="1" ht="18.5">
      <c r="A111" s="2909" t="s">
        <v>3011</v>
      </c>
      <c r="B111" s="2910"/>
      <c r="C111" s="2911"/>
      <c r="D111" s="3281"/>
      <c r="E111" s="2915"/>
      <c r="F111" s="2915"/>
      <c r="G111" s="2915"/>
      <c r="H111" s="2916"/>
      <c r="I111" s="2915"/>
      <c r="J111" s="2917"/>
      <c r="K111" s="2918"/>
      <c r="L111" s="2912"/>
      <c r="M111" s="2913"/>
      <c r="N111" s="2914"/>
      <c r="O111" s="2914"/>
      <c r="P111" s="2914"/>
      <c r="Q111" s="2914"/>
      <c r="R111" s="2914"/>
      <c r="S111" s="2914"/>
      <c r="T111" s="2914"/>
      <c r="U111" s="2914"/>
      <c r="V111" s="2914"/>
      <c r="W111" s="2914"/>
      <c r="X111" s="2914"/>
      <c r="Y111" s="2914"/>
      <c r="Z111" s="2914"/>
      <c r="AA111" s="2914"/>
      <c r="AB111" s="2914"/>
      <c r="AC111" s="2914"/>
      <c r="AD111" s="2914"/>
      <c r="AE111" s="2914"/>
      <c r="AF111" s="2914"/>
      <c r="AG111" s="2914"/>
      <c r="AH111" s="2916"/>
      <c r="AI111" s="2916"/>
      <c r="AJ111" s="2916"/>
      <c r="AK111" s="2916"/>
      <c r="AL111" s="2916"/>
      <c r="AM111" s="2916"/>
      <c r="AN111" s="2916"/>
      <c r="AO111" s="2916"/>
      <c r="AP111" s="2916"/>
      <c r="AQ111" s="2916"/>
      <c r="AR111" s="2916"/>
      <c r="AS111" s="2916"/>
      <c r="AT111" s="2799"/>
      <c r="AU111" s="167"/>
      <c r="AV111" s="167"/>
      <c r="AW111" s="16"/>
      <c r="AX111" s="16"/>
      <c r="AY111" s="16"/>
      <c r="AZ111" s="16"/>
      <c r="BA111" s="16"/>
      <c r="BB111" s="16"/>
      <c r="BC111" s="16"/>
      <c r="BD111" s="22"/>
      <c r="BE111" s="22"/>
      <c r="BF111" s="22"/>
      <c r="BG111" s="22"/>
      <c r="BH111" s="22"/>
      <c r="BI111" s="22"/>
      <c r="BJ111" s="16"/>
      <c r="BK111" s="16"/>
      <c r="BL111" s="16"/>
      <c r="BM111" s="16"/>
      <c r="BN111" s="16"/>
      <c r="BO111" s="2814"/>
      <c r="BP111" s="2816"/>
      <c r="BQ111" s="2799"/>
      <c r="BR111" s="16"/>
      <c r="BS111" s="16"/>
      <c r="BT111" s="16"/>
      <c r="BU111" s="16"/>
    </row>
    <row r="112" spans="1:76" ht="35.25" customHeight="1">
      <c r="A112" s="2889" t="s">
        <v>1328</v>
      </c>
      <c r="B112" s="2889" t="s">
        <v>1549</v>
      </c>
      <c r="C112" s="2878" t="s">
        <v>3126</v>
      </c>
      <c r="D112" s="3285" t="s">
        <v>914</v>
      </c>
      <c r="E112" s="2794" t="s">
        <v>288</v>
      </c>
      <c r="F112" s="2837" t="s">
        <v>3123</v>
      </c>
      <c r="G112" s="2826" t="s">
        <v>287</v>
      </c>
      <c r="H112" s="2827" t="s">
        <v>3097</v>
      </c>
      <c r="I112" s="161" t="s">
        <v>3124</v>
      </c>
      <c r="J112" s="2850" t="s">
        <v>3125</v>
      </c>
      <c r="K112" s="2833" t="s">
        <v>3136</v>
      </c>
      <c r="L112" s="635"/>
      <c r="M112" s="635"/>
      <c r="N112" s="635"/>
      <c r="O112" s="635"/>
      <c r="P112" s="635"/>
      <c r="Q112" s="635"/>
      <c r="R112" s="635"/>
      <c r="S112" s="635"/>
      <c r="T112" s="635"/>
      <c r="U112" s="635"/>
      <c r="V112" s="635"/>
      <c r="W112" s="635"/>
      <c r="X112" s="635"/>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c r="AT112" s="635"/>
      <c r="AU112" s="167"/>
      <c r="AV112" s="167"/>
      <c r="AW112" s="16"/>
      <c r="AX112" s="34"/>
      <c r="AY112" s="34"/>
      <c r="AZ112" s="34"/>
      <c r="BA112" s="34"/>
      <c r="BB112" s="34"/>
      <c r="BC112" s="34"/>
      <c r="BD112" s="22"/>
      <c r="BE112" s="22"/>
      <c r="BF112" s="22"/>
      <c r="BG112" s="22"/>
      <c r="BH112" s="22"/>
      <c r="BI112" s="22"/>
      <c r="BJ112" s="16"/>
      <c r="BK112" s="16"/>
      <c r="BO112" s="635"/>
      <c r="BP112" s="2938"/>
      <c r="BQ112" s="2939"/>
      <c r="BV112"/>
      <c r="BW112"/>
      <c r="BX112"/>
    </row>
    <row r="113" spans="1:76">
      <c r="A113" s="2523" t="s">
        <v>1116</v>
      </c>
      <c r="B113" s="2565" t="s">
        <v>1504</v>
      </c>
      <c r="C113" s="2522" t="s">
        <v>1535</v>
      </c>
      <c r="D113" s="3282">
        <f>SUMIFS(BCRR_REHAB!L:L,BCRR_REHAB!D:D,'Huella materiales (2)'!A113)</f>
        <v>0</v>
      </c>
      <c r="E113" s="1030">
        <f>'Datos_aux_materiales (2)'!M101</f>
        <v>7.3418399999999995</v>
      </c>
      <c r="F113" s="2836">
        <f t="shared" ref="F113:F120" si="55">D113*E113</f>
        <v>0</v>
      </c>
      <c r="G113" s="2823">
        <f>'Datos_aux_materiales (2)'!R101</f>
        <v>1.52</v>
      </c>
      <c r="H113" s="2825">
        <f t="shared" ref="H113:H120" si="56">F113*G113</f>
        <v>0</v>
      </c>
      <c r="I113" s="2829">
        <f t="shared" ref="I113:I121" si="57">H113/$AV$5*$AV$7</f>
        <v>0</v>
      </c>
      <c r="J113" s="2851">
        <f t="shared" ref="J113:J121" si="58">I113/$AV$8</f>
        <v>0</v>
      </c>
      <c r="K113" s="2834">
        <f t="shared" ref="K113:K120" si="59">F113*1.05</f>
        <v>0</v>
      </c>
      <c r="L113" s="635"/>
      <c r="M113" s="635"/>
      <c r="N113" s="635"/>
      <c r="O113" s="635"/>
      <c r="P113" s="635"/>
      <c r="Q113" s="635"/>
      <c r="R113" s="635"/>
      <c r="S113" s="635"/>
      <c r="T113" s="635"/>
      <c r="U113" s="635"/>
      <c r="V113" s="635"/>
      <c r="W113" s="635"/>
      <c r="X113" s="635"/>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c r="AT113" s="635"/>
      <c r="AU113" s="167"/>
      <c r="AV113" s="167"/>
      <c r="AW113" s="16"/>
      <c r="AX113" s="34"/>
      <c r="AY113" s="34"/>
      <c r="AZ113" s="34"/>
      <c r="BA113" s="34"/>
      <c r="BB113" s="34"/>
      <c r="BC113" s="34"/>
      <c r="BD113" s="16"/>
      <c r="BE113" s="22"/>
      <c r="BF113" s="22"/>
      <c r="BG113" s="22"/>
      <c r="BH113" s="22"/>
      <c r="BI113" s="22"/>
      <c r="BJ113" s="16"/>
      <c r="BK113" s="16"/>
      <c r="BO113" s="635"/>
      <c r="BP113" s="635"/>
      <c r="BQ113" s="635"/>
      <c r="BV113"/>
      <c r="BW113"/>
      <c r="BX113"/>
    </row>
    <row r="114" spans="1:76">
      <c r="A114" s="2523" t="s">
        <v>1145</v>
      </c>
      <c r="B114" s="2565" t="s">
        <v>1577</v>
      </c>
      <c r="C114" s="2522" t="s">
        <v>1690</v>
      </c>
      <c r="D114" s="3282">
        <f>SUMIFS(BCRR_REHAB!L:L,BCRR_REHAB!D:D,'Huella materiales (2)'!A114)</f>
        <v>0</v>
      </c>
      <c r="E114" s="1030">
        <f>'Datos_aux_materiales (2)'!M102</f>
        <v>1000</v>
      </c>
      <c r="F114" s="2836">
        <f t="shared" si="55"/>
        <v>0</v>
      </c>
      <c r="G114" s="2823">
        <f>'Datos_aux_materiales (2)'!R102</f>
        <v>3.7530000000000001</v>
      </c>
      <c r="H114" s="2825">
        <f t="shared" si="56"/>
        <v>0</v>
      </c>
      <c r="I114" s="2829">
        <f t="shared" si="57"/>
        <v>0</v>
      </c>
      <c r="J114" s="2851">
        <f t="shared" si="58"/>
        <v>0</v>
      </c>
      <c r="K114" s="2834">
        <f t="shared" si="59"/>
        <v>0</v>
      </c>
      <c r="L114" s="635"/>
      <c r="M114" s="635"/>
      <c r="N114" s="635"/>
      <c r="O114" s="635"/>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167"/>
      <c r="AV114" s="167"/>
      <c r="AW114" s="16"/>
      <c r="AX114" s="16"/>
      <c r="AY114" s="16"/>
      <c r="AZ114" s="16"/>
      <c r="BA114" s="16"/>
      <c r="BB114" s="16"/>
      <c r="BC114" s="16"/>
      <c r="BD114" s="34"/>
      <c r="BE114" s="22"/>
      <c r="BF114" s="22"/>
      <c r="BG114" s="22"/>
      <c r="BH114" s="22"/>
      <c r="BI114" s="22"/>
      <c r="BJ114" s="16"/>
      <c r="BK114" s="16"/>
      <c r="BO114" s="635"/>
      <c r="BP114" s="635"/>
      <c r="BQ114" s="635"/>
      <c r="BV114"/>
      <c r="BW114"/>
      <c r="BX114"/>
    </row>
    <row r="115" spans="1:76">
      <c r="A115" s="2523" t="s">
        <v>1394</v>
      </c>
      <c r="B115" s="2565" t="s">
        <v>1577</v>
      </c>
      <c r="C115" s="2522" t="s">
        <v>3008</v>
      </c>
      <c r="D115" s="3282">
        <f>SUMIFS(BCRR_REHAB!L:L,BCRR_REHAB!D:D,'Huella materiales (2)'!A115)</f>
        <v>5.1143283879999997</v>
      </c>
      <c r="E115" s="1030">
        <f>'Datos_aux_materiales (2)'!M103</f>
        <v>1000</v>
      </c>
      <c r="F115" s="2836">
        <f t="shared" si="55"/>
        <v>5114.3283879999999</v>
      </c>
      <c r="G115" s="2823">
        <f>'Datos_aux_materiales (2)'!R103</f>
        <v>3.7530000000000001</v>
      </c>
      <c r="H115" s="2825">
        <f t="shared" si="56"/>
        <v>19194.074440164</v>
      </c>
      <c r="I115" s="2829">
        <f t="shared" si="57"/>
        <v>0.34062723654375548</v>
      </c>
      <c r="J115" s="2851">
        <f t="shared" si="58"/>
        <v>7.2017599441233319E-3</v>
      </c>
      <c r="K115" s="2834">
        <f t="shared" si="59"/>
        <v>5370.0448074000005</v>
      </c>
      <c r="L115" s="2814"/>
      <c r="M115" s="2815"/>
      <c r="N115" s="2814"/>
      <c r="O115" s="2814"/>
      <c r="P115" s="2814"/>
      <c r="Q115" s="2814"/>
      <c r="R115" s="2814"/>
      <c r="S115" s="2814"/>
      <c r="T115" s="2814"/>
      <c r="U115" s="2814"/>
      <c r="V115" s="2814"/>
      <c r="W115" s="2814"/>
      <c r="X115" s="2814"/>
      <c r="Y115" s="2814"/>
      <c r="Z115" s="2814"/>
      <c r="AA115" s="2814"/>
      <c r="AB115" s="2814"/>
      <c r="AC115" s="2814"/>
      <c r="AD115" s="2814"/>
      <c r="AE115" s="2814"/>
      <c r="AF115" s="2814"/>
      <c r="AG115" s="2814"/>
      <c r="AH115" s="2799"/>
      <c r="AI115" s="2799"/>
      <c r="AJ115" s="2799"/>
      <c r="AK115" s="2799"/>
      <c r="AL115" s="2799"/>
      <c r="AM115" s="2799"/>
      <c r="AN115" s="2799"/>
      <c r="AO115" s="2799"/>
      <c r="AP115" s="2799"/>
      <c r="AQ115" s="2799"/>
      <c r="AR115" s="2799"/>
      <c r="AS115" s="2799"/>
      <c r="AT115" s="2799"/>
      <c r="AU115" s="167"/>
      <c r="AV115" s="167"/>
      <c r="AW115" s="16"/>
      <c r="AX115" s="34"/>
      <c r="AY115" s="34"/>
      <c r="AZ115" s="34"/>
      <c r="BA115" s="34"/>
      <c r="BB115" s="34"/>
      <c r="BC115" s="34"/>
      <c r="BD115" s="16"/>
      <c r="BE115" s="22"/>
      <c r="BF115" s="22"/>
      <c r="BG115" s="22"/>
      <c r="BH115" s="22"/>
      <c r="BI115" s="22"/>
      <c r="BJ115" s="16"/>
      <c r="BK115" s="16"/>
      <c r="BO115" s="2814"/>
      <c r="BP115" s="635"/>
      <c r="BQ115" s="635"/>
      <c r="BV115"/>
      <c r="BW115"/>
      <c r="BX115"/>
    </row>
    <row r="116" spans="1:76">
      <c r="A116" s="2523" t="s">
        <v>1940</v>
      </c>
      <c r="B116" s="2565" t="s">
        <v>1357</v>
      </c>
      <c r="C116" s="2747" t="s">
        <v>1941</v>
      </c>
      <c r="D116" s="3282">
        <f>SUMIFS(BCRR_REHAB!L:L,BCRR_REHAB!D:D,'Huella materiales (2)'!A116)</f>
        <v>0</v>
      </c>
      <c r="E116" s="1030">
        <f>'Datos_aux_materiales (2)'!M104</f>
        <v>1</v>
      </c>
      <c r="F116" s="2836">
        <f t="shared" si="55"/>
        <v>0</v>
      </c>
      <c r="G116" s="2823">
        <f>'Datos_aux_materiales (2)'!R104</f>
        <v>3.59</v>
      </c>
      <c r="H116" s="2825">
        <f t="shared" si="56"/>
        <v>0</v>
      </c>
      <c r="I116" s="2829">
        <f t="shared" si="57"/>
        <v>0</v>
      </c>
      <c r="J116" s="2851">
        <f t="shared" si="58"/>
        <v>0</v>
      </c>
      <c r="K116" s="2834">
        <f t="shared" si="59"/>
        <v>0</v>
      </c>
      <c r="L116" s="635"/>
      <c r="M116" s="635"/>
      <c r="N116" s="635"/>
      <c r="O116" s="635"/>
      <c r="P116" s="635"/>
      <c r="Q116" s="635"/>
      <c r="R116" s="635"/>
      <c r="S116" s="635"/>
      <c r="T116" s="635"/>
      <c r="U116" s="635"/>
      <c r="V116" s="635"/>
      <c r="W116" s="635"/>
      <c r="X116" s="635"/>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c r="AT116" s="635"/>
      <c r="AU116" s="167"/>
      <c r="AV116" s="167"/>
      <c r="AW116" s="16"/>
      <c r="AX116" s="34"/>
      <c r="AY116" s="34"/>
      <c r="AZ116" s="34"/>
      <c r="BA116" s="34"/>
      <c r="BB116" s="34"/>
      <c r="BC116" s="34"/>
      <c r="BD116" s="34"/>
      <c r="BE116" s="22"/>
      <c r="BF116" s="22"/>
      <c r="BG116" s="22"/>
      <c r="BH116" s="22"/>
      <c r="BI116" s="22"/>
      <c r="BJ116" s="16"/>
      <c r="BK116" s="16"/>
      <c r="BO116" s="635"/>
      <c r="BP116" s="635"/>
      <c r="BQ116" s="635"/>
      <c r="BV116"/>
      <c r="BW116"/>
      <c r="BX116"/>
    </row>
    <row r="117" spans="1:76">
      <c r="A117" s="2523" t="s">
        <v>1935</v>
      </c>
      <c r="B117" s="2565" t="s">
        <v>1357</v>
      </c>
      <c r="C117" s="2747" t="s">
        <v>1936</v>
      </c>
      <c r="D117" s="3282">
        <f>SUMIFS(BCRR_REHAB!L:L,BCRR_REHAB!D:D,'Huella materiales (2)'!A117)</f>
        <v>0</v>
      </c>
      <c r="E117" s="1030">
        <f>'Datos_aux_materiales (2)'!M105</f>
        <v>1</v>
      </c>
      <c r="F117" s="2836">
        <f t="shared" si="55"/>
        <v>0</v>
      </c>
      <c r="G117" s="2823">
        <f>'Datos_aux_materiales (2)'!R105</f>
        <v>3.59</v>
      </c>
      <c r="H117" s="2825">
        <f t="shared" si="56"/>
        <v>0</v>
      </c>
      <c r="I117" s="2829">
        <f t="shared" si="57"/>
        <v>0</v>
      </c>
      <c r="J117" s="2851">
        <f t="shared" si="58"/>
        <v>0</v>
      </c>
      <c r="K117" s="2834">
        <f t="shared" si="59"/>
        <v>0</v>
      </c>
      <c r="L117" s="635"/>
      <c r="M117" s="635"/>
      <c r="N117" s="635"/>
      <c r="O117" s="635"/>
      <c r="P117" s="635"/>
      <c r="Q117" s="635"/>
      <c r="R117" s="635"/>
      <c r="S117" s="635"/>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167"/>
      <c r="AV117" s="167"/>
      <c r="AW117" s="16"/>
      <c r="AX117" s="34"/>
      <c r="AY117" s="34"/>
      <c r="AZ117" s="34"/>
      <c r="BA117" s="34"/>
      <c r="BB117" s="34"/>
      <c r="BC117" s="34"/>
      <c r="BD117" s="34"/>
      <c r="BE117" s="22"/>
      <c r="BF117" s="22"/>
      <c r="BG117" s="22"/>
      <c r="BH117" s="22"/>
      <c r="BI117" s="22"/>
      <c r="BJ117" s="16"/>
      <c r="BK117" s="16"/>
      <c r="BO117" s="635"/>
      <c r="BP117" s="635"/>
      <c r="BQ117" s="635"/>
      <c r="BV117"/>
      <c r="BW117"/>
      <c r="BX117"/>
    </row>
    <row r="118" spans="1:76">
      <c r="A118" s="2523" t="s">
        <v>2032</v>
      </c>
      <c r="B118" s="2565" t="s">
        <v>1527</v>
      </c>
      <c r="C118" s="2522" t="s">
        <v>2033</v>
      </c>
      <c r="D118" s="3282">
        <f>SUMIFS(BCRR_REHAB!L:L,BCRR_REHAB!D:D,'Huella materiales (2)'!A118)</f>
        <v>0</v>
      </c>
      <c r="E118" s="1030">
        <f>'Datos_aux_materiales (2)'!M106</f>
        <v>3.6038109937500002</v>
      </c>
      <c r="F118" s="2836">
        <f t="shared" si="55"/>
        <v>0</v>
      </c>
      <c r="G118" s="2823">
        <f>'Datos_aux_materiales (2)'!R106</f>
        <v>12.4</v>
      </c>
      <c r="H118" s="2825">
        <f t="shared" si="56"/>
        <v>0</v>
      </c>
      <c r="I118" s="2829">
        <f t="shared" si="57"/>
        <v>0</v>
      </c>
      <c r="J118" s="2851">
        <f t="shared" si="58"/>
        <v>0</v>
      </c>
      <c r="K118" s="2834">
        <f t="shared" si="59"/>
        <v>0</v>
      </c>
      <c r="L118" s="635"/>
      <c r="M118" s="635"/>
      <c r="N118" s="635"/>
      <c r="O118" s="635"/>
      <c r="P118" s="635"/>
      <c r="Q118" s="635"/>
      <c r="R118" s="635"/>
      <c r="S118" s="635"/>
      <c r="T118" s="635"/>
      <c r="U118" s="635"/>
      <c r="V118" s="635"/>
      <c r="W118" s="635"/>
      <c r="X118" s="635"/>
      <c r="Y118" s="635"/>
      <c r="Z118" s="635"/>
      <c r="AA118" s="635"/>
      <c r="AB118" s="635"/>
      <c r="AC118" s="635"/>
      <c r="AD118" s="635"/>
      <c r="AE118" s="635"/>
      <c r="AF118" s="635"/>
      <c r="AG118" s="635"/>
      <c r="AH118" s="635"/>
      <c r="AI118" s="635"/>
      <c r="AJ118" s="635"/>
      <c r="AK118" s="635"/>
      <c r="AL118" s="635"/>
      <c r="AM118" s="635"/>
      <c r="AN118" s="635"/>
      <c r="AO118" s="635"/>
      <c r="AP118" s="635"/>
      <c r="AQ118" s="635"/>
      <c r="AR118" s="635"/>
      <c r="AS118" s="635"/>
      <c r="AT118" s="635"/>
      <c r="AU118" s="160"/>
      <c r="AV118" s="160"/>
      <c r="AW118" s="16"/>
      <c r="AX118" s="34"/>
      <c r="AY118" s="34"/>
      <c r="AZ118" s="34"/>
      <c r="BA118" s="34"/>
      <c r="BB118" s="34"/>
      <c r="BC118" s="34"/>
      <c r="BD118" s="34"/>
      <c r="BI118" s="22"/>
      <c r="BJ118" s="16"/>
      <c r="BK118" s="16"/>
      <c r="BO118" s="635"/>
      <c r="BP118" s="635"/>
      <c r="BQ118" s="635"/>
      <c r="BV118"/>
      <c r="BW118"/>
      <c r="BX118"/>
    </row>
    <row r="119" spans="1:76">
      <c r="A119" s="2523" t="s">
        <v>1708</v>
      </c>
      <c r="B119" s="2565" t="s">
        <v>1527</v>
      </c>
      <c r="C119" s="2522" t="s">
        <v>1709</v>
      </c>
      <c r="D119" s="3282">
        <f>SUMIFS(BCRR_REHAB!L:L,BCRR_REHAB!D:D,'Huella materiales (2)'!A119)</f>
        <v>0</v>
      </c>
      <c r="E119" s="1030">
        <f>'Datos_aux_materiales (2)'!M107</f>
        <v>28.830487950000002</v>
      </c>
      <c r="F119" s="2836">
        <f t="shared" si="55"/>
        <v>0</v>
      </c>
      <c r="G119" s="2823">
        <f>'Datos_aux_materiales (2)'!R107</f>
        <v>12.4</v>
      </c>
      <c r="H119" s="2825">
        <f t="shared" si="56"/>
        <v>0</v>
      </c>
      <c r="I119" s="2829">
        <f t="shared" si="57"/>
        <v>0</v>
      </c>
      <c r="J119" s="2851">
        <f t="shared" si="58"/>
        <v>0</v>
      </c>
      <c r="K119" s="2834">
        <f t="shared" si="59"/>
        <v>0</v>
      </c>
      <c r="L119" s="635"/>
      <c r="M119" s="635"/>
      <c r="N119" s="635"/>
      <c r="O119" s="635"/>
      <c r="P119" s="635"/>
      <c r="Q119" s="635"/>
      <c r="R119" s="635"/>
      <c r="S119" s="635"/>
      <c r="T119" s="635"/>
      <c r="U119" s="635"/>
      <c r="V119" s="635"/>
      <c r="W119" s="635"/>
      <c r="X119" s="635"/>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c r="AT119" s="635"/>
      <c r="AU119" s="160"/>
      <c r="AV119" s="160"/>
      <c r="AW119" s="16"/>
      <c r="AX119" s="16"/>
      <c r="AY119" s="16"/>
      <c r="AZ119" s="16"/>
      <c r="BA119" s="16"/>
      <c r="BB119" s="16"/>
      <c r="BC119" s="16"/>
      <c r="BD119" s="34"/>
      <c r="BJ119" s="16"/>
      <c r="BK119" s="16"/>
      <c r="BO119" s="635"/>
      <c r="BP119" s="635"/>
      <c r="BQ119" s="635"/>
      <c r="BV119"/>
      <c r="BW119"/>
      <c r="BX119"/>
    </row>
    <row r="120" spans="1:76">
      <c r="A120" s="2544" t="s">
        <v>1646</v>
      </c>
      <c r="B120" s="2549" t="s">
        <v>1527</v>
      </c>
      <c r="C120" s="2542" t="s">
        <v>1647</v>
      </c>
      <c r="D120" s="3282">
        <f>SUMIFS(BCRR_REHAB!L:L,BCRR_REHAB!D:D,'Huella materiales (2)'!A120)</f>
        <v>0</v>
      </c>
      <c r="E120" s="1030">
        <f>'Datos_aux_materiales (2)'!M108</f>
        <v>38.440650600000012</v>
      </c>
      <c r="F120" s="2836">
        <f t="shared" si="55"/>
        <v>0</v>
      </c>
      <c r="G120" s="2823">
        <f>'Datos_aux_materiales (2)'!R108</f>
        <v>12.4</v>
      </c>
      <c r="H120" s="2825">
        <f t="shared" si="56"/>
        <v>0</v>
      </c>
      <c r="I120" s="2829">
        <f t="shared" si="57"/>
        <v>0</v>
      </c>
      <c r="J120" s="2851">
        <f t="shared" si="58"/>
        <v>0</v>
      </c>
      <c r="K120" s="2834">
        <f t="shared" si="59"/>
        <v>0</v>
      </c>
      <c r="L120" s="635"/>
      <c r="M120" s="635"/>
      <c r="N120" s="635"/>
      <c r="O120" s="635"/>
      <c r="P120" s="635"/>
      <c r="Q120" s="635"/>
      <c r="R120" s="635"/>
      <c r="S120" s="635"/>
      <c r="T120" s="635"/>
      <c r="U120" s="635"/>
      <c r="V120" s="635"/>
      <c r="W120" s="635"/>
      <c r="X120" s="635"/>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160"/>
      <c r="AV120" s="160"/>
      <c r="AW120" s="16"/>
      <c r="AX120" s="16"/>
      <c r="AY120" s="16"/>
      <c r="AZ120" s="16"/>
      <c r="BA120" s="16"/>
      <c r="BB120" s="16"/>
      <c r="BC120" s="16"/>
      <c r="BD120" s="34"/>
      <c r="BJ120" s="16"/>
      <c r="BK120" s="16"/>
      <c r="BO120" s="635"/>
      <c r="BP120" s="635"/>
      <c r="BQ120" s="635"/>
      <c r="BV120"/>
      <c r="BW120"/>
      <c r="BX120"/>
    </row>
    <row r="121" spans="1:76" ht="18.5">
      <c r="A121" s="2900"/>
      <c r="B121" s="2881"/>
      <c r="C121" s="2811" t="s">
        <v>3119</v>
      </c>
      <c r="D121" s="3284"/>
      <c r="E121" s="2795"/>
      <c r="F121" s="2843">
        <f>SUM(F113:F120)</f>
        <v>5114.3283879999999</v>
      </c>
      <c r="G121" s="2844"/>
      <c r="H121" s="2842">
        <f>SUM(H113:H120)</f>
        <v>19194.074440164</v>
      </c>
      <c r="I121" s="2830">
        <f t="shared" si="57"/>
        <v>0.34062723654375548</v>
      </c>
      <c r="J121" s="2854">
        <f t="shared" si="58"/>
        <v>7.2017599441233319E-3</v>
      </c>
      <c r="K121" s="2835">
        <f>SUM(K113:K120)</f>
        <v>5370.0448074000005</v>
      </c>
      <c r="L121" s="2795"/>
      <c r="M121" s="2795"/>
      <c r="N121" s="2795"/>
      <c r="O121" s="2795"/>
      <c r="P121" s="2795"/>
      <c r="Q121" s="2795"/>
      <c r="R121" s="2795"/>
      <c r="S121" s="2795"/>
      <c r="T121" s="2795"/>
      <c r="U121" s="2795"/>
      <c r="V121" s="2795"/>
      <c r="W121" s="2795"/>
      <c r="X121" s="2795"/>
      <c r="Y121" s="2795"/>
      <c r="Z121" s="2795"/>
      <c r="AA121" s="2795"/>
      <c r="AB121" s="2795"/>
      <c r="AC121" s="2795"/>
      <c r="AD121" s="2795"/>
      <c r="AE121" s="2795"/>
      <c r="AF121" s="2795"/>
      <c r="AG121" s="2795"/>
      <c r="AH121" s="635"/>
      <c r="AI121" s="635"/>
      <c r="AJ121" s="635"/>
      <c r="AK121" s="635"/>
      <c r="AL121" s="635"/>
      <c r="AM121" s="635"/>
      <c r="AN121" s="635"/>
      <c r="AO121" s="635"/>
      <c r="AP121" s="635"/>
      <c r="AQ121" s="635"/>
      <c r="AR121" s="635"/>
      <c r="AS121" s="635"/>
      <c r="AT121" s="635"/>
      <c r="AU121" s="160"/>
      <c r="AV121" s="160"/>
      <c r="AW121" s="16"/>
      <c r="AX121" s="16"/>
      <c r="AY121" s="16"/>
      <c r="AZ121" s="16"/>
      <c r="BA121" s="16"/>
      <c r="BB121" s="16"/>
      <c r="BC121" s="16"/>
      <c r="BD121" s="34"/>
      <c r="BJ121" s="16"/>
      <c r="BK121" s="16"/>
      <c r="BO121" s="635"/>
      <c r="BP121" s="635"/>
      <c r="BQ121" s="635"/>
      <c r="BV121"/>
      <c r="BW121"/>
      <c r="BX121"/>
    </row>
    <row r="122" spans="1:76" ht="18.5">
      <c r="A122" s="2909" t="s">
        <v>3039</v>
      </c>
      <c r="B122" s="2910"/>
      <c r="C122" s="2911"/>
      <c r="D122" s="3281"/>
      <c r="E122" s="2915"/>
      <c r="F122" s="2915"/>
      <c r="G122" s="2915"/>
      <c r="H122" s="2916"/>
      <c r="I122" s="2915"/>
      <c r="J122" s="2917"/>
      <c r="K122" s="2918"/>
      <c r="L122" s="2912"/>
      <c r="M122" s="2913"/>
      <c r="N122" s="2914"/>
      <c r="O122" s="2914"/>
      <c r="P122" s="2914"/>
      <c r="Q122" s="2914"/>
      <c r="R122" s="2914"/>
      <c r="S122" s="2914"/>
      <c r="T122" s="2914"/>
      <c r="U122" s="2914"/>
      <c r="V122" s="2914"/>
      <c r="W122" s="2914"/>
      <c r="X122" s="2914"/>
      <c r="Y122" s="2914"/>
      <c r="Z122" s="2914"/>
      <c r="AA122" s="2914"/>
      <c r="AB122" s="2914"/>
      <c r="AC122" s="2914"/>
      <c r="AD122" s="2914"/>
      <c r="AE122" s="2914"/>
      <c r="AF122" s="2914"/>
      <c r="AG122" s="2914"/>
      <c r="AH122" s="2916"/>
      <c r="AI122" s="2916"/>
      <c r="AJ122" s="2916"/>
      <c r="AK122" s="2916"/>
      <c r="AL122" s="2916"/>
      <c r="AM122" s="2916"/>
      <c r="AN122" s="2916"/>
      <c r="AO122" s="2916"/>
      <c r="AP122" s="2916"/>
      <c r="AQ122" s="2916"/>
      <c r="AR122" s="2916"/>
      <c r="AS122" s="2916"/>
      <c r="AT122" s="2799"/>
      <c r="AU122" s="160"/>
      <c r="AV122" s="160"/>
      <c r="AW122" s="16"/>
      <c r="AX122" s="16"/>
      <c r="AY122" s="16"/>
      <c r="AZ122" s="16"/>
      <c r="BA122" s="16"/>
      <c r="BB122" s="16"/>
      <c r="BC122" s="16"/>
      <c r="BD122" s="34"/>
      <c r="BJ122" s="16"/>
      <c r="BK122" s="16"/>
      <c r="BO122" s="2814"/>
      <c r="BP122" s="2816"/>
      <c r="BQ122" s="2799"/>
      <c r="BV122"/>
      <c r="BW122"/>
      <c r="BX122"/>
    </row>
    <row r="123" spans="1:76" ht="36.75" customHeight="1">
      <c r="A123" s="2889" t="s">
        <v>1328</v>
      </c>
      <c r="B123" s="2889" t="s">
        <v>1549</v>
      </c>
      <c r="C123" s="2878" t="s">
        <v>3126</v>
      </c>
      <c r="D123" s="3285" t="s">
        <v>914</v>
      </c>
      <c r="E123" s="2794" t="s">
        <v>288</v>
      </c>
      <c r="F123" s="2837" t="s">
        <v>3123</v>
      </c>
      <c r="G123" s="2826" t="s">
        <v>287</v>
      </c>
      <c r="H123" s="2827" t="s">
        <v>3097</v>
      </c>
      <c r="I123" s="161" t="s">
        <v>3124</v>
      </c>
      <c r="J123" s="2850" t="s">
        <v>3125</v>
      </c>
      <c r="K123" s="2833" t="s">
        <v>3136</v>
      </c>
      <c r="L123" s="635"/>
      <c r="M123" s="635"/>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160"/>
      <c r="AV123" s="160"/>
      <c r="AW123" s="16"/>
      <c r="AX123" s="16"/>
      <c r="AY123" s="16"/>
      <c r="AZ123" s="16"/>
      <c r="BA123" s="16"/>
      <c r="BB123" s="16"/>
      <c r="BC123" s="16"/>
      <c r="BD123" s="34"/>
      <c r="BJ123" s="16"/>
      <c r="BK123" s="16"/>
      <c r="BO123" s="635"/>
      <c r="BP123" s="2938"/>
      <c r="BQ123" s="2939"/>
      <c r="BV123"/>
      <c r="BW123"/>
      <c r="BX123"/>
    </row>
    <row r="124" spans="1:76">
      <c r="A124" s="2523" t="s">
        <v>1752</v>
      </c>
      <c r="B124" s="2549" t="s">
        <v>1521</v>
      </c>
      <c r="C124" s="2542" t="s">
        <v>1753</v>
      </c>
      <c r="D124" s="3282">
        <f>SUMIFS(BCRR_REHAB!L:L,BCRR_REHAB!D:D,'Huella materiales (2)'!A124)</f>
        <v>0</v>
      </c>
      <c r="E124" s="1030">
        <f>'Datos_aux_materiales (2)'!M110</f>
        <v>2364.0724800000003</v>
      </c>
      <c r="F124" s="2836">
        <f t="shared" ref="F124:F134" si="60">D124*E124</f>
        <v>0</v>
      </c>
      <c r="G124" s="2823">
        <f>'Datos_aux_materiales (2)'!R110</f>
        <v>2.84</v>
      </c>
      <c r="H124" s="2825">
        <f t="shared" ref="H124:H134" si="61">F124*G124</f>
        <v>0</v>
      </c>
      <c r="I124" s="2829">
        <f t="shared" ref="I124:I135" si="62">H124/$AV$5*$AV$7</f>
        <v>0</v>
      </c>
      <c r="J124" s="2851">
        <f t="shared" ref="J124:J135" si="63">I124/$AV$8</f>
        <v>0</v>
      </c>
      <c r="K124" s="2834">
        <f t="shared" ref="K124:K134" si="64">F124*1.05</f>
        <v>0</v>
      </c>
      <c r="L124" s="635"/>
      <c r="M124" s="635"/>
      <c r="N124" s="635"/>
      <c r="O124" s="635"/>
      <c r="P124" s="635"/>
      <c r="Q124" s="635"/>
      <c r="R124" s="635"/>
      <c r="S124" s="635"/>
      <c r="T124" s="635"/>
      <c r="U124" s="635"/>
      <c r="V124" s="635"/>
      <c r="W124" s="635"/>
      <c r="X124" s="635"/>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160"/>
      <c r="AV124" s="160"/>
      <c r="AW124" s="16"/>
      <c r="AX124" s="16"/>
      <c r="AY124" s="16"/>
      <c r="AZ124" s="16"/>
      <c r="BA124" s="16"/>
      <c r="BB124" s="16"/>
      <c r="BC124" s="16"/>
      <c r="BD124" s="34"/>
      <c r="BJ124" s="16"/>
      <c r="BK124" s="16"/>
      <c r="BO124" s="635"/>
      <c r="BP124" s="635"/>
      <c r="BQ124" s="635"/>
      <c r="BV124"/>
      <c r="BW124"/>
      <c r="BX124"/>
    </row>
    <row r="125" spans="1:76">
      <c r="A125" s="2523" t="s">
        <v>3038</v>
      </c>
      <c r="B125" s="2565" t="s">
        <v>1521</v>
      </c>
      <c r="C125" s="2522" t="s">
        <v>3037</v>
      </c>
      <c r="D125" s="3282">
        <f>SUMIFS(BCRR_REHAB!L:L,BCRR_REHAB!D:D,'Huella materiales (2)'!A125)</f>
        <v>0</v>
      </c>
      <c r="E125" s="1030">
        <f>'Datos_aux_materiales (2)'!M111</f>
        <v>1350.8985599999999</v>
      </c>
      <c r="F125" s="2836">
        <f t="shared" si="60"/>
        <v>0</v>
      </c>
      <c r="G125" s="2823">
        <f>'Datos_aux_materiales (2)'!R111</f>
        <v>2.84</v>
      </c>
      <c r="H125" s="2825">
        <f t="shared" si="61"/>
        <v>0</v>
      </c>
      <c r="I125" s="2829">
        <f t="shared" si="62"/>
        <v>0</v>
      </c>
      <c r="J125" s="2851">
        <f t="shared" si="63"/>
        <v>0</v>
      </c>
      <c r="K125" s="2834">
        <f t="shared" si="64"/>
        <v>0</v>
      </c>
      <c r="L125" s="635"/>
      <c r="M125" s="635"/>
      <c r="N125" s="635"/>
      <c r="O125" s="635"/>
      <c r="P125" s="635"/>
      <c r="Q125" s="635"/>
      <c r="R125" s="635"/>
      <c r="S125" s="635"/>
      <c r="T125" s="635"/>
      <c r="U125" s="635"/>
      <c r="V125" s="635"/>
      <c r="W125" s="635"/>
      <c r="X125" s="635"/>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c r="AT125" s="635"/>
      <c r="AU125" s="160"/>
      <c r="AV125" s="160"/>
      <c r="AW125" s="16"/>
      <c r="AX125" s="16"/>
      <c r="AY125" s="16"/>
      <c r="AZ125" s="16"/>
      <c r="BA125" s="16"/>
      <c r="BB125" s="16"/>
      <c r="BC125" s="16"/>
      <c r="BD125" s="34"/>
      <c r="BJ125" s="16"/>
      <c r="BK125" s="16"/>
      <c r="BO125" s="635"/>
      <c r="BP125" s="635"/>
      <c r="BQ125" s="635"/>
      <c r="BV125"/>
      <c r="BW125"/>
      <c r="BX125"/>
    </row>
    <row r="126" spans="1:76">
      <c r="A126" s="2523" t="s">
        <v>1817</v>
      </c>
      <c r="B126" s="2565" t="s">
        <v>1521</v>
      </c>
      <c r="C126" s="2522" t="s">
        <v>1785</v>
      </c>
      <c r="D126" s="3282">
        <f>SUMIFS(BCRR_REHAB!L:L,BCRR_REHAB!D:D,'Huella materiales (2)'!A126)</f>
        <v>0</v>
      </c>
      <c r="E126" s="1030">
        <f>'Datos_aux_materiales (2)'!M112</f>
        <v>1182.0362400000001</v>
      </c>
      <c r="F126" s="2836">
        <f t="shared" si="60"/>
        <v>0</v>
      </c>
      <c r="G126" s="2823">
        <f>'Datos_aux_materiales (2)'!R112</f>
        <v>2.84</v>
      </c>
      <c r="H126" s="2825">
        <f t="shared" si="61"/>
        <v>0</v>
      </c>
      <c r="I126" s="2829">
        <f t="shared" si="62"/>
        <v>0</v>
      </c>
      <c r="J126" s="2851">
        <f t="shared" si="63"/>
        <v>0</v>
      </c>
      <c r="K126" s="2834">
        <f t="shared" si="64"/>
        <v>0</v>
      </c>
      <c r="L126" s="635"/>
      <c r="M126" s="635"/>
      <c r="N126" s="635"/>
      <c r="O126" s="635"/>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160"/>
      <c r="AV126" s="160"/>
      <c r="AW126" s="16"/>
      <c r="AX126" s="16"/>
      <c r="AY126" s="16"/>
      <c r="AZ126" s="16"/>
      <c r="BA126" s="16"/>
      <c r="BB126" s="16"/>
      <c r="BC126" s="16"/>
      <c r="BD126" s="16"/>
      <c r="BJ126" s="16"/>
      <c r="BK126" s="16"/>
      <c r="BO126" s="635"/>
      <c r="BP126" s="635"/>
      <c r="BQ126" s="635"/>
      <c r="BV126"/>
      <c r="BW126"/>
      <c r="BX126"/>
    </row>
    <row r="127" spans="1:76">
      <c r="A127" s="2627" t="s">
        <v>1101</v>
      </c>
      <c r="B127" s="2565" t="s">
        <v>1521</v>
      </c>
      <c r="C127" s="2522" t="s">
        <v>1522</v>
      </c>
      <c r="D127" s="3282">
        <f>SUMIFS(BCRR_REHAB!L:L,BCRR_REHAB!D:D,'Huella materiales (2)'!A127)</f>
        <v>0.13440000000000002</v>
      </c>
      <c r="E127" s="1030">
        <f>'Datos_aux_materiales (2)'!M113</f>
        <v>1688.6232</v>
      </c>
      <c r="F127" s="2836">
        <f t="shared" si="60"/>
        <v>226.95095808000002</v>
      </c>
      <c r="G127" s="2823">
        <f>'Datos_aux_materiales (2)'!R113</f>
        <v>2.84</v>
      </c>
      <c r="H127" s="2825">
        <f t="shared" si="61"/>
        <v>644.54072094720004</v>
      </c>
      <c r="I127" s="2829">
        <f t="shared" si="62"/>
        <v>1.1438328287232E-2</v>
      </c>
      <c r="J127" s="2851">
        <f t="shared" si="63"/>
        <v>2.4183648765896201E-4</v>
      </c>
      <c r="K127" s="2834">
        <f t="shared" si="64"/>
        <v>238.29850598400003</v>
      </c>
      <c r="L127" s="2764"/>
      <c r="M127" s="635"/>
      <c r="N127" s="635"/>
      <c r="O127" s="635"/>
      <c r="P127" s="635"/>
      <c r="Q127" s="635"/>
      <c r="R127" s="635"/>
      <c r="S127" s="635"/>
      <c r="T127" s="635"/>
      <c r="U127" s="635"/>
      <c r="V127" s="635"/>
      <c r="W127" s="635"/>
      <c r="X127" s="635"/>
      <c r="Y127" s="635"/>
      <c r="Z127" s="635"/>
      <c r="AA127" s="635"/>
      <c r="AB127" s="635"/>
      <c r="AC127" s="635"/>
      <c r="AD127" s="635"/>
      <c r="AE127" s="635"/>
      <c r="AF127" s="635"/>
      <c r="AG127" s="635"/>
      <c r="AH127" s="635"/>
      <c r="AI127" s="635"/>
      <c r="AJ127" s="635"/>
      <c r="AK127" s="635"/>
      <c r="AL127" s="635"/>
      <c r="AM127" s="635"/>
      <c r="AN127" s="635"/>
      <c r="AO127" s="635"/>
      <c r="AP127" s="635"/>
      <c r="AQ127" s="635"/>
      <c r="AR127" s="635"/>
      <c r="AS127" s="635"/>
      <c r="AT127" s="635"/>
      <c r="AU127" s="167"/>
      <c r="AV127" s="167"/>
      <c r="AW127" s="16"/>
      <c r="AX127" s="16"/>
      <c r="AY127" s="16"/>
      <c r="AZ127" s="16"/>
      <c r="BA127" s="16"/>
      <c r="BB127" s="16"/>
      <c r="BC127" s="16"/>
      <c r="BD127" s="34"/>
      <c r="BE127" s="22"/>
      <c r="BF127" s="22"/>
      <c r="BG127" s="22"/>
      <c r="BH127" s="22"/>
      <c r="BJ127" s="16"/>
      <c r="BK127" s="16"/>
      <c r="BO127" s="635"/>
      <c r="BP127" s="635"/>
      <c r="BQ127" s="635"/>
      <c r="BV127"/>
      <c r="BW127"/>
      <c r="BX127"/>
    </row>
    <row r="128" spans="1:76">
      <c r="A128" s="2627" t="s">
        <v>1138</v>
      </c>
      <c r="B128" s="2565" t="s">
        <v>1504</v>
      </c>
      <c r="C128" s="2522" t="s">
        <v>3092</v>
      </c>
      <c r="D128" s="3282">
        <f>SUMIFS(BCRR_REHAB!L:L,BCRR_REHAB!D:D,'Huella materiales (2)'!A128)</f>
        <v>0</v>
      </c>
      <c r="E128" s="1030">
        <f>'Datos_aux_materiales (2)'!M114</f>
        <v>2</v>
      </c>
      <c r="F128" s="2836">
        <f t="shared" si="60"/>
        <v>0</v>
      </c>
      <c r="G128" s="2823">
        <f>'Datos_aux_materiales (2)'!R114</f>
        <v>15.3</v>
      </c>
      <c r="H128" s="2825">
        <f t="shared" si="61"/>
        <v>0</v>
      </c>
      <c r="I128" s="2829">
        <f t="shared" si="62"/>
        <v>0</v>
      </c>
      <c r="J128" s="2851">
        <f t="shared" si="63"/>
        <v>0</v>
      </c>
      <c r="K128" s="2834">
        <f t="shared" si="64"/>
        <v>0</v>
      </c>
      <c r="L128" s="635"/>
      <c r="M128" s="635"/>
      <c r="N128" s="635"/>
      <c r="O128" s="635"/>
      <c r="P128" s="635"/>
      <c r="Q128" s="635"/>
      <c r="R128" s="635"/>
      <c r="S128" s="635"/>
      <c r="T128" s="635"/>
      <c r="U128" s="635"/>
      <c r="V128" s="635"/>
      <c r="W128" s="635"/>
      <c r="X128" s="635"/>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c r="AT128" s="635"/>
      <c r="AU128" s="160"/>
      <c r="AV128" s="160"/>
      <c r="AW128" s="16"/>
      <c r="AX128" s="16"/>
      <c r="AY128" s="16"/>
      <c r="AZ128" s="16"/>
      <c r="BA128" s="16"/>
      <c r="BB128" s="16"/>
      <c r="BC128" s="16"/>
      <c r="BD128" s="34"/>
      <c r="BI128" s="22"/>
      <c r="BJ128" s="16"/>
      <c r="BK128" s="16"/>
      <c r="BO128" s="635"/>
      <c r="BP128" s="635"/>
      <c r="BQ128" s="635"/>
      <c r="BV128"/>
      <c r="BW128"/>
      <c r="BX128"/>
    </row>
    <row r="129" spans="1:76">
      <c r="A129" s="2523" t="s">
        <v>3034</v>
      </c>
      <c r="B129" s="2565" t="s">
        <v>1504</v>
      </c>
      <c r="C129" s="2522" t="s">
        <v>1693</v>
      </c>
      <c r="D129" s="3282">
        <f>SUMIFS(BCRR_REHAB!L:L,BCRR_REHAB!D:D,'Huella materiales (2)'!A129)</f>
        <v>0</v>
      </c>
      <c r="E129" s="1030">
        <f>'Datos_aux_materiales (2)'!M115</f>
        <v>0.51749999999999996</v>
      </c>
      <c r="F129" s="2836">
        <f t="shared" si="60"/>
        <v>0</v>
      </c>
      <c r="G129" s="2823">
        <f>'Datos_aux_materiales (2)'!R115</f>
        <v>15.3</v>
      </c>
      <c r="H129" s="2825">
        <f t="shared" si="61"/>
        <v>0</v>
      </c>
      <c r="I129" s="2829">
        <f t="shared" si="62"/>
        <v>0</v>
      </c>
      <c r="J129" s="2851">
        <f t="shared" si="63"/>
        <v>0</v>
      </c>
      <c r="K129" s="2834">
        <f t="shared" si="64"/>
        <v>0</v>
      </c>
      <c r="L129" s="635"/>
      <c r="M129" s="635"/>
      <c r="N129" s="635"/>
      <c r="O129" s="635"/>
      <c r="P129" s="635"/>
      <c r="Q129" s="635"/>
      <c r="R129" s="635"/>
      <c r="S129" s="635"/>
      <c r="T129" s="635"/>
      <c r="U129" s="635"/>
      <c r="V129" s="635"/>
      <c r="W129" s="635"/>
      <c r="X129" s="635"/>
      <c r="Y129" s="635"/>
      <c r="Z129" s="635"/>
      <c r="AA129" s="635"/>
      <c r="AB129" s="635"/>
      <c r="AC129" s="635"/>
      <c r="AD129" s="635"/>
      <c r="AE129" s="635"/>
      <c r="AF129" s="635"/>
      <c r="AG129" s="635"/>
      <c r="AH129" s="635"/>
      <c r="AI129" s="635"/>
      <c r="AJ129" s="635"/>
      <c r="AK129" s="635"/>
      <c r="AL129" s="635"/>
      <c r="AM129" s="635"/>
      <c r="AN129" s="635"/>
      <c r="AO129" s="635"/>
      <c r="AP129" s="635"/>
      <c r="AQ129" s="635"/>
      <c r="AR129" s="635"/>
      <c r="AS129" s="635"/>
      <c r="AT129" s="635"/>
      <c r="AU129" s="160"/>
      <c r="AV129" s="160"/>
      <c r="AW129" s="16"/>
      <c r="AX129" s="16"/>
      <c r="AY129" s="16"/>
      <c r="AZ129" s="16"/>
      <c r="BA129" s="16"/>
      <c r="BB129" s="16"/>
      <c r="BC129" s="16"/>
      <c r="BD129" s="34"/>
      <c r="BJ129" s="16"/>
      <c r="BK129" s="16"/>
      <c r="BO129" s="635"/>
      <c r="BP129" s="635"/>
      <c r="BQ129" s="635"/>
      <c r="BV129"/>
      <c r="BW129"/>
      <c r="BX129"/>
    </row>
    <row r="130" spans="1:76">
      <c r="A130" s="2544" t="s">
        <v>1963</v>
      </c>
      <c r="B130" s="2549" t="s">
        <v>1504</v>
      </c>
      <c r="C130" s="2542" t="s">
        <v>1964</v>
      </c>
      <c r="D130" s="3282">
        <f>SUMIFS(BCRR_REHAB!L:L,BCRR_REHAB!D:D,'Huella materiales (2)'!A130)</f>
        <v>0</v>
      </c>
      <c r="E130" s="1030">
        <f>'Datos_aux_materiales (2)'!M116</f>
        <v>2.2943249999999997</v>
      </c>
      <c r="F130" s="2836">
        <f t="shared" si="60"/>
        <v>0</v>
      </c>
      <c r="G130" s="2823">
        <f>'Datos_aux_materiales (2)'!R116</f>
        <v>15.3</v>
      </c>
      <c r="H130" s="2825">
        <f t="shared" si="61"/>
        <v>0</v>
      </c>
      <c r="I130" s="2829">
        <f t="shared" si="62"/>
        <v>0</v>
      </c>
      <c r="J130" s="2851">
        <f t="shared" si="63"/>
        <v>0</v>
      </c>
      <c r="K130" s="2834">
        <f t="shared" si="64"/>
        <v>0</v>
      </c>
      <c r="L130" s="635"/>
      <c r="M130" s="635"/>
      <c r="N130" s="635"/>
      <c r="O130" s="635"/>
      <c r="P130" s="635"/>
      <c r="Q130" s="635"/>
      <c r="R130" s="635"/>
      <c r="S130" s="635"/>
      <c r="T130" s="635"/>
      <c r="U130" s="635"/>
      <c r="V130" s="635"/>
      <c r="W130" s="635"/>
      <c r="X130" s="635"/>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160"/>
      <c r="AV130" s="160"/>
      <c r="AW130" s="16"/>
      <c r="AX130" s="16"/>
      <c r="AY130" s="16"/>
      <c r="AZ130" s="16"/>
      <c r="BA130" s="16"/>
      <c r="BB130" s="16"/>
      <c r="BC130" s="16"/>
      <c r="BD130" s="34"/>
      <c r="BJ130" s="16"/>
      <c r="BK130" s="16"/>
      <c r="BO130" s="635"/>
      <c r="BP130" s="635"/>
      <c r="BQ130" s="635"/>
      <c r="BV130"/>
      <c r="BW130"/>
      <c r="BX130"/>
    </row>
    <row r="131" spans="1:76">
      <c r="A131" s="2544" t="s">
        <v>1757</v>
      </c>
      <c r="B131" s="2549" t="s">
        <v>1504</v>
      </c>
      <c r="C131" s="2542" t="s">
        <v>1758</v>
      </c>
      <c r="D131" s="3282">
        <f>SUMIFS(BCRR_REHAB!L:L,BCRR_REHAB!D:D,'Huella materiales (2)'!A131)</f>
        <v>0</v>
      </c>
      <c r="E131" s="1030">
        <f>'Datos_aux_materiales (2)'!M117</f>
        <v>7.3418400000000009E-2</v>
      </c>
      <c r="F131" s="2836">
        <f t="shared" si="60"/>
        <v>0</v>
      </c>
      <c r="G131" s="2823">
        <f>'Datos_aux_materiales (2)'!R117</f>
        <v>15.3</v>
      </c>
      <c r="H131" s="2825">
        <f t="shared" si="61"/>
        <v>0</v>
      </c>
      <c r="I131" s="2829">
        <f t="shared" si="62"/>
        <v>0</v>
      </c>
      <c r="J131" s="2851">
        <f t="shared" si="63"/>
        <v>0</v>
      </c>
      <c r="K131" s="2834">
        <f t="shared" si="64"/>
        <v>0</v>
      </c>
      <c r="L131" s="635"/>
      <c r="M131" s="635"/>
      <c r="N131" s="635"/>
      <c r="O131" s="635"/>
      <c r="P131" s="635"/>
      <c r="Q131" s="635"/>
      <c r="R131" s="635"/>
      <c r="S131" s="635"/>
      <c r="T131" s="635"/>
      <c r="U131" s="635"/>
      <c r="V131" s="635"/>
      <c r="W131" s="635"/>
      <c r="X131" s="635"/>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c r="AT131" s="635"/>
      <c r="AU131" s="160"/>
      <c r="AV131" s="160"/>
      <c r="AW131" s="16"/>
      <c r="AX131" s="16"/>
      <c r="AY131" s="16"/>
      <c r="AZ131" s="16"/>
      <c r="BA131" s="16"/>
      <c r="BB131" s="16"/>
      <c r="BC131" s="16"/>
      <c r="BD131" s="34"/>
      <c r="BJ131" s="16"/>
      <c r="BK131" s="16"/>
      <c r="BO131" s="635"/>
      <c r="BP131" s="635"/>
      <c r="BQ131" s="635"/>
      <c r="BV131"/>
      <c r="BW131"/>
      <c r="BX131"/>
    </row>
    <row r="132" spans="1:76">
      <c r="A132" s="2523" t="s">
        <v>1129</v>
      </c>
      <c r="B132" s="2565" t="s">
        <v>1504</v>
      </c>
      <c r="C132" s="2747" t="s">
        <v>1988</v>
      </c>
      <c r="D132" s="3282">
        <f>SUMIFS(BCRR_REHAB!L:L,BCRR_REHAB!D:D,'Huella materiales (2)'!A132)</f>
        <v>0</v>
      </c>
      <c r="E132" s="1030">
        <f>'Datos_aux_materiales (2)'!M118</f>
        <v>0.18032000000000001</v>
      </c>
      <c r="F132" s="2836">
        <f t="shared" si="60"/>
        <v>0</v>
      </c>
      <c r="G132" s="2823">
        <f>'Datos_aux_materiales (2)'!R118</f>
        <v>15.3</v>
      </c>
      <c r="H132" s="2825">
        <f t="shared" si="61"/>
        <v>0</v>
      </c>
      <c r="I132" s="2829">
        <f t="shared" si="62"/>
        <v>0</v>
      </c>
      <c r="J132" s="2851">
        <f t="shared" si="63"/>
        <v>0</v>
      </c>
      <c r="K132" s="2834">
        <f t="shared" si="64"/>
        <v>0</v>
      </c>
      <c r="L132" s="2814"/>
      <c r="M132" s="2815"/>
      <c r="N132" s="2814"/>
      <c r="O132" s="2814"/>
      <c r="P132" s="2814"/>
      <c r="Q132" s="2814"/>
      <c r="R132" s="2814"/>
      <c r="S132" s="2814"/>
      <c r="T132" s="2814"/>
      <c r="U132" s="2814"/>
      <c r="V132" s="2814"/>
      <c r="W132" s="2814"/>
      <c r="X132" s="2814"/>
      <c r="Y132" s="2814"/>
      <c r="Z132" s="2814"/>
      <c r="AA132" s="2814"/>
      <c r="AB132" s="2814"/>
      <c r="AC132" s="2814"/>
      <c r="AD132" s="2814"/>
      <c r="AE132" s="2814"/>
      <c r="AF132" s="2814"/>
      <c r="AG132" s="2814"/>
      <c r="AH132" s="2799"/>
      <c r="AI132" s="2799"/>
      <c r="AJ132" s="2799"/>
      <c r="AK132" s="2799"/>
      <c r="AL132" s="2799"/>
      <c r="AM132" s="2799"/>
      <c r="AN132" s="2799"/>
      <c r="AO132" s="2799"/>
      <c r="AP132" s="2799"/>
      <c r="AQ132" s="2799"/>
      <c r="AR132" s="2799"/>
      <c r="AS132" s="2799"/>
      <c r="AT132" s="2799"/>
      <c r="AU132" s="160"/>
      <c r="AV132" s="160"/>
      <c r="AW132" s="16"/>
      <c r="AX132" s="16"/>
      <c r="AY132" s="16"/>
      <c r="AZ132" s="16"/>
      <c r="BA132" s="16"/>
      <c r="BB132" s="16"/>
      <c r="BC132" s="16"/>
      <c r="BD132" s="34"/>
      <c r="BJ132" s="16"/>
      <c r="BK132" s="16"/>
      <c r="BO132" s="2814"/>
      <c r="BP132" s="635"/>
      <c r="BQ132" s="635"/>
      <c r="BV132"/>
      <c r="BW132"/>
      <c r="BX132"/>
    </row>
    <row r="133" spans="1:76">
      <c r="A133" s="2594" t="s">
        <v>1545</v>
      </c>
      <c r="B133" s="2893" t="s">
        <v>1504</v>
      </c>
      <c r="C133" s="2750" t="s">
        <v>1546</v>
      </c>
      <c r="D133" s="3282">
        <f>SUMIFS(BCRR_REHAB!L:L,BCRR_REHAB!D:D,'Huella materiales (2)'!A133)</f>
        <v>0</v>
      </c>
      <c r="E133" s="1030">
        <f>'Datos_aux_materiales (2)'!M119</f>
        <v>7.7497200000000016E-2</v>
      </c>
      <c r="F133" s="2836">
        <f t="shared" si="60"/>
        <v>0</v>
      </c>
      <c r="G133" s="2823">
        <f>'Datos_aux_materiales (2)'!R119</f>
        <v>15.3</v>
      </c>
      <c r="H133" s="2825">
        <f t="shared" si="61"/>
        <v>0</v>
      </c>
      <c r="I133" s="2829">
        <f t="shared" si="62"/>
        <v>0</v>
      </c>
      <c r="J133" s="2851">
        <f t="shared" si="63"/>
        <v>0</v>
      </c>
      <c r="K133" s="2834">
        <f t="shared" si="64"/>
        <v>0</v>
      </c>
      <c r="L133" s="635"/>
      <c r="M133" s="635"/>
      <c r="N133" s="635"/>
      <c r="O133" s="635"/>
      <c r="P133" s="635"/>
      <c r="Q133" s="635"/>
      <c r="R133" s="635"/>
      <c r="S133" s="635"/>
      <c r="T133" s="635"/>
      <c r="U133" s="635"/>
      <c r="V133" s="635"/>
      <c r="W133" s="635"/>
      <c r="X133" s="635"/>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c r="AT133" s="635"/>
      <c r="AU133" s="160"/>
      <c r="AV133" s="160"/>
      <c r="AW133" s="16"/>
      <c r="AX133" s="16"/>
      <c r="AY133" s="16"/>
      <c r="AZ133" s="16"/>
      <c r="BA133" s="16"/>
      <c r="BB133" s="16"/>
      <c r="BC133" s="16"/>
      <c r="BD133" s="34"/>
      <c r="BJ133" s="16"/>
      <c r="BK133" s="16"/>
      <c r="BO133" s="635"/>
      <c r="BP133" s="635"/>
      <c r="BQ133" s="635"/>
      <c r="BV133"/>
      <c r="BW133"/>
      <c r="BX133"/>
    </row>
    <row r="134" spans="1:76">
      <c r="A134" s="2544" t="s">
        <v>1986</v>
      </c>
      <c r="B134" s="2549" t="s">
        <v>1521</v>
      </c>
      <c r="C134" s="2542" t="s">
        <v>1987</v>
      </c>
      <c r="D134" s="3282">
        <f>SUMIFS(BCRR_REHAB!L:L,BCRR_REHAB!D:D,'Huella materiales (2)'!A134)</f>
        <v>0</v>
      </c>
      <c r="E134" s="1030">
        <f>'Datos_aux_materiales (2)'!M120</f>
        <v>330382.8</v>
      </c>
      <c r="F134" s="2836">
        <f t="shared" si="60"/>
        <v>0</v>
      </c>
      <c r="G134" s="2823">
        <f>'Datos_aux_materiales (2)'!R120</f>
        <v>15.3</v>
      </c>
      <c r="H134" s="2825">
        <f t="shared" si="61"/>
        <v>0</v>
      </c>
      <c r="I134" s="2829">
        <f t="shared" si="62"/>
        <v>0</v>
      </c>
      <c r="J134" s="2851">
        <f t="shared" si="63"/>
        <v>0</v>
      </c>
      <c r="K134" s="2834">
        <f t="shared" si="64"/>
        <v>0</v>
      </c>
      <c r="L134" s="635"/>
      <c r="M134" s="635"/>
      <c r="N134" s="635"/>
      <c r="O134" s="635"/>
      <c r="P134" s="635"/>
      <c r="Q134" s="635"/>
      <c r="R134" s="635"/>
      <c r="S134" s="635"/>
      <c r="T134" s="635"/>
      <c r="U134" s="635"/>
      <c r="V134" s="635"/>
      <c r="W134" s="635"/>
      <c r="X134" s="635"/>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160"/>
      <c r="AV134" s="160"/>
      <c r="AW134" s="16"/>
      <c r="AX134" s="16"/>
      <c r="AY134" s="16"/>
      <c r="AZ134" s="16"/>
      <c r="BA134" s="16"/>
      <c r="BB134" s="16"/>
      <c r="BC134" s="16"/>
      <c r="BD134" s="34"/>
      <c r="BJ134" s="16"/>
      <c r="BK134" s="16"/>
      <c r="BO134" s="635"/>
      <c r="BP134" s="635"/>
      <c r="BQ134" s="635"/>
      <c r="BV134"/>
      <c r="BW134"/>
      <c r="BX134"/>
    </row>
    <row r="135" spans="1:76" ht="18.5">
      <c r="A135" s="2900"/>
      <c r="B135" s="2881"/>
      <c r="C135" s="2811" t="s">
        <v>3118</v>
      </c>
      <c r="D135" s="3284"/>
      <c r="E135" s="2795"/>
      <c r="F135" s="2843">
        <f>SUM(F124:F134)</f>
        <v>226.95095808000002</v>
      </c>
      <c r="G135" s="2844"/>
      <c r="H135" s="2842">
        <f>SUM(H124:H134)</f>
        <v>644.54072094720004</v>
      </c>
      <c r="I135" s="2830">
        <f t="shared" si="62"/>
        <v>1.1438328287232E-2</v>
      </c>
      <c r="J135" s="2854">
        <f t="shared" si="63"/>
        <v>2.4183648765896201E-4</v>
      </c>
      <c r="K135" s="2835">
        <f>SUM(K124:K134)</f>
        <v>238.29850598400003</v>
      </c>
      <c r="L135" s="2795"/>
      <c r="M135" s="2795"/>
      <c r="N135" s="2795"/>
      <c r="O135" s="2795"/>
      <c r="P135" s="2795"/>
      <c r="Q135" s="2795"/>
      <c r="R135" s="2795"/>
      <c r="S135" s="2795"/>
      <c r="T135" s="2795"/>
      <c r="U135" s="2795"/>
      <c r="V135" s="2795"/>
      <c r="W135" s="2795"/>
      <c r="X135" s="2795"/>
      <c r="Y135" s="2795"/>
      <c r="Z135" s="2795"/>
      <c r="AA135" s="2795"/>
      <c r="AB135" s="2795"/>
      <c r="AC135" s="2795"/>
      <c r="AD135" s="2795"/>
      <c r="AE135" s="2795"/>
      <c r="AF135" s="2795"/>
      <c r="AG135" s="2795"/>
      <c r="AH135" s="635"/>
      <c r="AI135" s="635"/>
      <c r="AJ135" s="635"/>
      <c r="AK135" s="635"/>
      <c r="AL135" s="635"/>
      <c r="AM135" s="635"/>
      <c r="AN135" s="635"/>
      <c r="AO135" s="635"/>
      <c r="AP135" s="635"/>
      <c r="AQ135" s="635"/>
      <c r="AR135" s="635"/>
      <c r="AS135" s="635"/>
      <c r="AT135" s="635"/>
      <c r="AU135" s="160"/>
      <c r="AV135" s="160"/>
      <c r="AW135" s="16"/>
      <c r="AX135" s="16"/>
      <c r="AY135" s="16"/>
      <c r="AZ135" s="16"/>
      <c r="BA135" s="16"/>
      <c r="BB135" s="16"/>
      <c r="BC135" s="16"/>
      <c r="BD135" s="34"/>
      <c r="BJ135" s="16"/>
      <c r="BK135" s="16"/>
      <c r="BO135" s="635"/>
      <c r="BP135" s="635"/>
      <c r="BQ135" s="635"/>
      <c r="BV135"/>
      <c r="BW135"/>
      <c r="BX135"/>
    </row>
    <row r="136" spans="1:76" ht="18.5">
      <c r="A136" s="2909" t="s">
        <v>3027</v>
      </c>
      <c r="B136" s="2910"/>
      <c r="C136" s="2911"/>
      <c r="D136" s="3281"/>
      <c r="E136" s="2915"/>
      <c r="F136" s="2915"/>
      <c r="G136" s="2915"/>
      <c r="H136" s="2916"/>
      <c r="I136" s="2915"/>
      <c r="J136" s="2917"/>
      <c r="K136" s="2918"/>
      <c r="L136" s="2912"/>
      <c r="M136" s="2913"/>
      <c r="N136" s="2914"/>
      <c r="O136" s="2914"/>
      <c r="P136" s="2914"/>
      <c r="Q136" s="2914"/>
      <c r="R136" s="2914"/>
      <c r="S136" s="2914"/>
      <c r="T136" s="2914"/>
      <c r="U136" s="2914"/>
      <c r="V136" s="2914"/>
      <c r="W136" s="2914"/>
      <c r="X136" s="2914"/>
      <c r="Y136" s="2914"/>
      <c r="Z136" s="2914"/>
      <c r="AA136" s="2914"/>
      <c r="AB136" s="2914"/>
      <c r="AC136" s="2914"/>
      <c r="AD136" s="2914"/>
      <c r="AE136" s="2914"/>
      <c r="AF136" s="2914"/>
      <c r="AG136" s="2914"/>
      <c r="AH136" s="2916"/>
      <c r="AI136" s="2916"/>
      <c r="AJ136" s="2916"/>
      <c r="AK136" s="2916"/>
      <c r="AL136" s="2916"/>
      <c r="AM136" s="2916"/>
      <c r="AN136" s="2916"/>
      <c r="AO136" s="2916"/>
      <c r="AP136" s="2916"/>
      <c r="AQ136" s="2916"/>
      <c r="AR136" s="2916"/>
      <c r="AS136" s="2916"/>
      <c r="AT136" s="2799"/>
      <c r="AU136" s="160"/>
      <c r="AV136" s="160"/>
      <c r="AW136" s="16"/>
      <c r="AX136" s="16"/>
      <c r="AY136" s="16"/>
      <c r="AZ136" s="16"/>
      <c r="BA136" s="16"/>
      <c r="BB136" s="16"/>
      <c r="BC136" s="16"/>
      <c r="BD136" s="34"/>
      <c r="BJ136" s="16"/>
      <c r="BK136" s="16"/>
      <c r="BO136" s="2814"/>
      <c r="BP136" s="2816"/>
      <c r="BQ136" s="2799"/>
      <c r="BV136"/>
      <c r="BW136"/>
      <c r="BX136"/>
    </row>
    <row r="137" spans="1:76" ht="41.25" customHeight="1">
      <c r="A137" s="2889" t="s">
        <v>1328</v>
      </c>
      <c r="B137" s="2889" t="s">
        <v>1549</v>
      </c>
      <c r="C137" s="2878" t="s">
        <v>3126</v>
      </c>
      <c r="D137" s="3285" t="s">
        <v>914</v>
      </c>
      <c r="E137" s="2794" t="s">
        <v>288</v>
      </c>
      <c r="F137" s="2837" t="s">
        <v>3123</v>
      </c>
      <c r="G137" s="2826" t="s">
        <v>287</v>
      </c>
      <c r="H137" s="2827" t="s">
        <v>3097</v>
      </c>
      <c r="I137" s="161" t="s">
        <v>3124</v>
      </c>
      <c r="J137" s="2850" t="s">
        <v>3125</v>
      </c>
      <c r="K137" s="2833" t="s">
        <v>3136</v>
      </c>
      <c r="L137" s="635"/>
      <c r="M137" s="635"/>
      <c r="N137" s="635"/>
      <c r="O137" s="635"/>
      <c r="P137" s="635"/>
      <c r="Q137" s="635"/>
      <c r="R137" s="635"/>
      <c r="S137" s="635"/>
      <c r="T137" s="635"/>
      <c r="U137" s="635"/>
      <c r="V137" s="635"/>
      <c r="W137" s="635"/>
      <c r="X137" s="635"/>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c r="AT137" s="635"/>
      <c r="AU137" s="160"/>
      <c r="AV137" s="160"/>
      <c r="AW137" s="16"/>
      <c r="AX137" s="16"/>
      <c r="AY137" s="16"/>
      <c r="AZ137" s="16"/>
      <c r="BA137" s="16"/>
      <c r="BB137" s="16"/>
      <c r="BC137" s="16"/>
      <c r="BD137" s="34"/>
      <c r="BJ137" s="16"/>
      <c r="BK137" s="16"/>
      <c r="BO137" s="635"/>
      <c r="BP137" s="2938"/>
      <c r="BQ137" s="2939"/>
      <c r="BV137"/>
      <c r="BW137"/>
      <c r="BX137"/>
    </row>
    <row r="138" spans="1:76">
      <c r="A138" s="2539" t="s">
        <v>2737</v>
      </c>
      <c r="B138" s="2883" t="s">
        <v>1504</v>
      </c>
      <c r="C138" s="2532" t="s">
        <v>2738</v>
      </c>
      <c r="D138" s="3282">
        <f>SUMIFS(BCRR_REHAB!L:L,BCRR_REHAB!D:D,'Huella materiales (2)'!A138)</f>
        <v>222.01937999999998</v>
      </c>
      <c r="E138" s="1030">
        <f>'Datos_aux_materiales (2)'!M122</f>
        <v>0</v>
      </c>
      <c r="F138" s="2836">
        <f t="shared" ref="F138:F162" si="65">D138*E138</f>
        <v>0</v>
      </c>
      <c r="G138" s="2823">
        <f>'Datos_aux_materiales (2)'!R122</f>
        <v>0</v>
      </c>
      <c r="H138" s="2825">
        <f t="shared" ref="H138:H162" si="66">F138*G138</f>
        <v>0</v>
      </c>
      <c r="I138" s="2829">
        <f t="shared" ref="I138:I163" si="67">H138/$AV$5*$AV$7</f>
        <v>0</v>
      </c>
      <c r="J138" s="2851">
        <f t="shared" ref="J138:J163" si="68">I138/$AV$8</f>
        <v>0</v>
      </c>
      <c r="K138" s="2834">
        <f t="shared" ref="K138:K162" si="69">F138*1.05</f>
        <v>0</v>
      </c>
      <c r="L138" s="635"/>
      <c r="M138" s="635"/>
      <c r="N138" s="635"/>
      <c r="O138" s="635"/>
      <c r="P138" s="635"/>
      <c r="Q138" s="635"/>
      <c r="R138" s="635"/>
      <c r="S138" s="635"/>
      <c r="T138" s="635"/>
      <c r="U138" s="635"/>
      <c r="V138" s="635"/>
      <c r="W138" s="635"/>
      <c r="X138" s="635"/>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c r="AT138" s="635"/>
      <c r="AU138" s="160"/>
      <c r="AV138" s="160"/>
      <c r="AW138" s="16"/>
      <c r="AX138" s="16"/>
      <c r="AY138" s="16"/>
      <c r="AZ138" s="16"/>
      <c r="BA138" s="16"/>
      <c r="BB138" s="16"/>
      <c r="BC138" s="16"/>
      <c r="BD138" s="34"/>
      <c r="BJ138" s="16"/>
      <c r="BK138" s="16"/>
      <c r="BO138" s="635"/>
      <c r="BP138" s="635"/>
      <c r="BQ138" s="635"/>
      <c r="BV138"/>
      <c r="BW138"/>
      <c r="BX138"/>
    </row>
    <row r="139" spans="1:76">
      <c r="A139" s="2539" t="s">
        <v>2741</v>
      </c>
      <c r="B139" s="2883" t="s">
        <v>1504</v>
      </c>
      <c r="C139" s="2532" t="s">
        <v>2742</v>
      </c>
      <c r="D139" s="3282">
        <f>SUMIFS(BCRR_REHAB!L:L,BCRR_REHAB!D:D,'Huella materiales (2)'!A139)</f>
        <v>111.00968999999999</v>
      </c>
      <c r="E139" s="1030">
        <f>'Datos_aux_materiales (2)'!M123</f>
        <v>0</v>
      </c>
      <c r="F139" s="2836">
        <f t="shared" si="65"/>
        <v>0</v>
      </c>
      <c r="G139" s="2823">
        <f>'Datos_aux_materiales (2)'!R123</f>
        <v>0</v>
      </c>
      <c r="H139" s="2825">
        <f t="shared" si="66"/>
        <v>0</v>
      </c>
      <c r="I139" s="2829">
        <f t="shared" si="67"/>
        <v>0</v>
      </c>
      <c r="J139" s="2851">
        <f t="shared" si="68"/>
        <v>0</v>
      </c>
      <c r="K139" s="2834">
        <f t="shared" si="69"/>
        <v>0</v>
      </c>
      <c r="L139" s="635"/>
      <c r="M139" s="635"/>
      <c r="N139" s="635"/>
      <c r="O139" s="635"/>
      <c r="P139" s="635"/>
      <c r="Q139" s="635"/>
      <c r="R139" s="635"/>
      <c r="S139" s="635"/>
      <c r="T139" s="635"/>
      <c r="U139" s="635"/>
      <c r="V139" s="635"/>
      <c r="W139" s="635"/>
      <c r="X139" s="635"/>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c r="AT139" s="635"/>
      <c r="AU139" s="160"/>
      <c r="AV139" s="160"/>
      <c r="AW139" s="16"/>
      <c r="AX139" s="16"/>
      <c r="AY139" s="16"/>
      <c r="AZ139" s="16"/>
      <c r="BA139" s="16"/>
      <c r="BB139" s="16"/>
      <c r="BC139" s="16"/>
      <c r="BD139" s="34"/>
      <c r="BJ139" s="16"/>
      <c r="BK139" s="16"/>
      <c r="BO139" s="635"/>
      <c r="BP139" s="635"/>
      <c r="BQ139" s="635"/>
      <c r="BV139"/>
      <c r="BW139"/>
      <c r="BX139"/>
    </row>
    <row r="140" spans="1:76">
      <c r="A140" s="2615" t="s">
        <v>2745</v>
      </c>
      <c r="B140" s="2884" t="s">
        <v>1527</v>
      </c>
      <c r="C140" s="2588" t="s">
        <v>2746</v>
      </c>
      <c r="D140" s="3282">
        <f>SUMIFS(BCRR_REHAB!L:L,BCRR_REHAB!D:D,'Huella materiales (2)'!A140)</f>
        <v>3163.7761649999998</v>
      </c>
      <c r="E140" s="1030">
        <f>'Datos_aux_materiales (2)'!M124</f>
        <v>0.21469359631104001</v>
      </c>
      <c r="F140" s="2836">
        <f t="shared" si="65"/>
        <v>679.24248278700031</v>
      </c>
      <c r="G140" s="2823">
        <f>'Datos_aux_materiales (2)'!R124</f>
        <v>40.76</v>
      </c>
      <c r="H140" s="2825">
        <f t="shared" si="66"/>
        <v>27685.923598398131</v>
      </c>
      <c r="I140" s="2829">
        <f t="shared" si="67"/>
        <v>0.49132765822509356</v>
      </c>
      <c r="J140" s="2851">
        <f t="shared" si="68"/>
        <v>1.0387965109157873E-2</v>
      </c>
      <c r="K140" s="2834">
        <f t="shared" si="69"/>
        <v>713.20460692635038</v>
      </c>
      <c r="L140" s="635"/>
      <c r="M140" s="635"/>
      <c r="N140" s="635"/>
      <c r="O140" s="635"/>
      <c r="P140" s="635"/>
      <c r="Q140" s="635"/>
      <c r="R140" s="635"/>
      <c r="S140" s="635"/>
      <c r="T140" s="635"/>
      <c r="U140" s="635"/>
      <c r="V140" s="635"/>
      <c r="W140" s="635"/>
      <c r="X140" s="635"/>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c r="AT140" s="635"/>
      <c r="AU140" s="160"/>
      <c r="AV140" s="160"/>
      <c r="AW140" s="16"/>
      <c r="AX140" s="16"/>
      <c r="AY140" s="16"/>
      <c r="AZ140" s="16"/>
      <c r="BA140" s="16"/>
      <c r="BB140" s="16"/>
      <c r="BC140" s="16"/>
      <c r="BD140" s="34"/>
      <c r="BJ140" s="16"/>
      <c r="BK140" s="16"/>
      <c r="BO140" s="635"/>
      <c r="BP140" s="635"/>
      <c r="BQ140" s="635"/>
      <c r="BV140"/>
      <c r="BW140"/>
      <c r="BX140"/>
    </row>
    <row r="141" spans="1:76">
      <c r="A141" s="2615" t="s">
        <v>2747</v>
      </c>
      <c r="B141" s="2884" t="s">
        <v>1527</v>
      </c>
      <c r="C141" s="2588" t="s">
        <v>2748</v>
      </c>
      <c r="D141" s="3282">
        <f>SUMIFS(BCRR_REHAB!L:L,BCRR_REHAB!D:D,'Huella materiales (2)'!A141)</f>
        <v>3163.7761649999998</v>
      </c>
      <c r="E141" s="1030">
        <f>'Datos_aux_materiales (2)'!M125</f>
        <v>0.28640847407040004</v>
      </c>
      <c r="F141" s="2836">
        <f t="shared" si="65"/>
        <v>906.13230371795214</v>
      </c>
      <c r="G141" s="2823">
        <f>'Datos_aux_materiales (2)'!R125</f>
        <v>40.76</v>
      </c>
      <c r="H141" s="2825">
        <f t="shared" si="66"/>
        <v>36933.952699543726</v>
      </c>
      <c r="I141" s="2829">
        <f t="shared" si="67"/>
        <v>0.65544761128767737</v>
      </c>
      <c r="J141" s="2851">
        <f t="shared" si="68"/>
        <v>1.3857894630914389E-2</v>
      </c>
      <c r="K141" s="2834">
        <f t="shared" si="69"/>
        <v>951.43891890384975</v>
      </c>
      <c r="L141" s="635"/>
      <c r="M141" s="635"/>
      <c r="N141" s="635"/>
      <c r="O141" s="635"/>
      <c r="P141" s="635"/>
      <c r="Q141" s="635"/>
      <c r="R141" s="635"/>
      <c r="S141" s="635"/>
      <c r="T141" s="635"/>
      <c r="U141" s="635"/>
      <c r="V141" s="635"/>
      <c r="W141" s="635"/>
      <c r="X141" s="635"/>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c r="AT141" s="635"/>
      <c r="AU141" s="160"/>
      <c r="AV141" s="160"/>
      <c r="AW141" s="16"/>
      <c r="AX141" s="16"/>
      <c r="AY141" s="16"/>
      <c r="AZ141" s="16"/>
      <c r="BA141" s="16"/>
      <c r="BB141" s="16"/>
      <c r="BC141" s="16"/>
      <c r="BD141" s="34"/>
      <c r="BJ141" s="16"/>
      <c r="BK141" s="16"/>
      <c r="BO141" s="635"/>
      <c r="BP141" s="635"/>
      <c r="BQ141" s="635"/>
      <c r="BV141"/>
      <c r="BW141"/>
      <c r="BX141"/>
    </row>
    <row r="142" spans="1:76">
      <c r="A142" s="2615" t="s">
        <v>1245</v>
      </c>
      <c r="B142" s="2884" t="s">
        <v>1527</v>
      </c>
      <c r="C142" s="2588" t="s">
        <v>2169</v>
      </c>
      <c r="D142" s="3282">
        <f>SUMIFS(BCRR_REHAB!L:L,BCRR_REHAB!D:D,'Huella materiales (2)'!A142)</f>
        <v>9491.3284949999997</v>
      </c>
      <c r="E142" s="1030">
        <f>'Datos_aux_materiales (2)'!M126</f>
        <v>1.3460040000000001E-2</v>
      </c>
      <c r="F142" s="2836">
        <f t="shared" si="65"/>
        <v>127.75366119583981</v>
      </c>
      <c r="G142" s="2823">
        <f>'Datos_aux_materiales (2)'!R126</f>
        <v>81.7</v>
      </c>
      <c r="H142" s="2825">
        <f t="shared" si="66"/>
        <v>10437.474119700113</v>
      </c>
      <c r="I142" s="2829">
        <f t="shared" si="67"/>
        <v>0.18522841395524145</v>
      </c>
      <c r="J142" s="2851">
        <f t="shared" si="68"/>
        <v>3.9162181676126685E-3</v>
      </c>
      <c r="K142" s="2834">
        <f t="shared" si="69"/>
        <v>134.14134425563179</v>
      </c>
      <c r="L142" s="635"/>
      <c r="M142" s="635"/>
      <c r="N142" s="635"/>
      <c r="O142" s="635"/>
      <c r="P142" s="635"/>
      <c r="Q142" s="635"/>
      <c r="R142" s="635"/>
      <c r="S142" s="635"/>
      <c r="T142" s="635"/>
      <c r="U142" s="635"/>
      <c r="V142" s="635"/>
      <c r="W142" s="635"/>
      <c r="X142" s="635"/>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160"/>
      <c r="AV142" s="160"/>
      <c r="AW142" s="16"/>
      <c r="AX142" s="16"/>
      <c r="AY142" s="16"/>
      <c r="AZ142" s="16"/>
      <c r="BA142" s="16"/>
      <c r="BB142" s="16"/>
      <c r="BC142" s="16"/>
      <c r="BD142" s="34"/>
      <c r="BJ142" s="16"/>
      <c r="BK142" s="16"/>
      <c r="BO142" s="635"/>
      <c r="BP142" s="635"/>
      <c r="BQ142" s="635"/>
      <c r="BV142"/>
      <c r="BW142"/>
      <c r="BX142"/>
    </row>
    <row r="143" spans="1:76">
      <c r="A143" s="2615" t="s">
        <v>2172</v>
      </c>
      <c r="B143" s="2884" t="s">
        <v>1527</v>
      </c>
      <c r="C143" s="2588" t="s">
        <v>2173</v>
      </c>
      <c r="D143" s="3282">
        <f>SUMIFS(BCRR_REHAB!L:L,BCRR_REHAB!D:D,'Huella materiales (2)'!A143)</f>
        <v>0</v>
      </c>
      <c r="E143" s="1030">
        <f>'Datos_aux_materiales (2)'!M127</f>
        <v>2.2433399999999999E-2</v>
      </c>
      <c r="F143" s="2836">
        <f t="shared" si="65"/>
        <v>0</v>
      </c>
      <c r="G143" s="2823">
        <f>'Datos_aux_materiales (2)'!R127</f>
        <v>81.7</v>
      </c>
      <c r="H143" s="2825">
        <f t="shared" si="66"/>
        <v>0</v>
      </c>
      <c r="I143" s="2829">
        <f t="shared" si="67"/>
        <v>0</v>
      </c>
      <c r="J143" s="2851">
        <f t="shared" si="68"/>
        <v>0</v>
      </c>
      <c r="K143" s="2834">
        <f t="shared" si="69"/>
        <v>0</v>
      </c>
      <c r="L143" s="635"/>
      <c r="M143" s="635"/>
      <c r="N143" s="635"/>
      <c r="O143" s="635"/>
      <c r="P143" s="635"/>
      <c r="Q143" s="635"/>
      <c r="R143" s="635"/>
      <c r="S143" s="635"/>
      <c r="T143" s="635"/>
      <c r="U143" s="635"/>
      <c r="V143" s="635"/>
      <c r="W143" s="635"/>
      <c r="X143" s="635"/>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c r="AT143" s="635"/>
      <c r="AU143" s="160"/>
      <c r="AV143" s="160"/>
      <c r="AW143" s="16"/>
      <c r="AX143" s="16"/>
      <c r="AY143" s="16"/>
      <c r="AZ143" s="16"/>
      <c r="BA143" s="16"/>
      <c r="BB143" s="16"/>
      <c r="BC143" s="16"/>
      <c r="BD143" s="34"/>
      <c r="BJ143" s="16"/>
      <c r="BK143" s="16"/>
      <c r="BO143" s="635"/>
      <c r="BP143" s="635"/>
      <c r="BQ143" s="635"/>
      <c r="BV143"/>
      <c r="BW143"/>
      <c r="BX143"/>
    </row>
    <row r="144" spans="1:76">
      <c r="A144" s="2615" t="s">
        <v>2178</v>
      </c>
      <c r="B144" s="2884" t="s">
        <v>1527</v>
      </c>
      <c r="C144" s="2588" t="s">
        <v>2179</v>
      </c>
      <c r="D144" s="3282">
        <f>SUMIFS(BCRR_REHAB!L:L,BCRR_REHAB!D:D,'Huella materiales (2)'!A144)</f>
        <v>0</v>
      </c>
      <c r="E144" s="1030">
        <f>'Datos_aux_materiales (2)'!M128</f>
        <v>3.5893439999999999E-2</v>
      </c>
      <c r="F144" s="2836">
        <f t="shared" si="65"/>
        <v>0</v>
      </c>
      <c r="G144" s="2823">
        <f>'Datos_aux_materiales (2)'!R128</f>
        <v>81.7</v>
      </c>
      <c r="H144" s="2825">
        <f t="shared" si="66"/>
        <v>0</v>
      </c>
      <c r="I144" s="2829">
        <f t="shared" si="67"/>
        <v>0</v>
      </c>
      <c r="J144" s="2851">
        <f t="shared" si="68"/>
        <v>0</v>
      </c>
      <c r="K144" s="2834">
        <f t="shared" si="69"/>
        <v>0</v>
      </c>
      <c r="L144" s="635"/>
      <c r="M144" s="635"/>
      <c r="N144" s="635"/>
      <c r="O144" s="635"/>
      <c r="P144" s="635"/>
      <c r="Q144" s="635"/>
      <c r="R144" s="635"/>
      <c r="S144" s="635"/>
      <c r="T144" s="635"/>
      <c r="U144" s="635"/>
      <c r="V144" s="635"/>
      <c r="W144" s="635"/>
      <c r="X144" s="63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160"/>
      <c r="AV144" s="160"/>
      <c r="AW144" s="16"/>
      <c r="AX144" s="16"/>
      <c r="AY144" s="16"/>
      <c r="AZ144" s="16"/>
      <c r="BA144" s="16"/>
      <c r="BB144" s="16"/>
      <c r="BC144" s="16"/>
      <c r="BD144" s="34"/>
      <c r="BJ144" s="16"/>
      <c r="BK144" s="16"/>
      <c r="BO144" s="635"/>
      <c r="BP144" s="635"/>
      <c r="BQ144" s="635"/>
      <c r="BV144"/>
      <c r="BW144"/>
      <c r="BX144"/>
    </row>
    <row r="145" spans="1:76">
      <c r="A145" s="2523" t="s">
        <v>2184</v>
      </c>
      <c r="B145" s="2549" t="s">
        <v>1527</v>
      </c>
      <c r="C145" s="2542" t="s">
        <v>2185</v>
      </c>
      <c r="D145" s="3282">
        <f>SUMIFS(BCRR_REHAB!L:L,BCRR_REHAB!D:D,'Huella materiales (2)'!A145)</f>
        <v>0</v>
      </c>
      <c r="E145" s="1030">
        <f>'Datos_aux_materiales (2)'!M129</f>
        <v>5.3840160000000005E-2</v>
      </c>
      <c r="F145" s="2836">
        <f t="shared" si="65"/>
        <v>0</v>
      </c>
      <c r="G145" s="2823">
        <f>'Datos_aux_materiales (2)'!R129</f>
        <v>81.7</v>
      </c>
      <c r="H145" s="2825">
        <f t="shared" si="66"/>
        <v>0</v>
      </c>
      <c r="I145" s="2829">
        <f t="shared" si="67"/>
        <v>0</v>
      </c>
      <c r="J145" s="2851">
        <f t="shared" si="68"/>
        <v>0</v>
      </c>
      <c r="K145" s="2834">
        <f t="shared" si="69"/>
        <v>0</v>
      </c>
      <c r="L145" s="635"/>
      <c r="M145" s="635"/>
      <c r="N145" s="635"/>
      <c r="O145" s="635"/>
      <c r="P145" s="635"/>
      <c r="Q145" s="635"/>
      <c r="R145" s="635"/>
      <c r="S145" s="635"/>
      <c r="T145" s="635"/>
      <c r="U145" s="635"/>
      <c r="V145" s="635"/>
      <c r="W145" s="635"/>
      <c r="X145" s="635"/>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160"/>
      <c r="AV145" s="160"/>
      <c r="AW145" s="16"/>
      <c r="AX145" s="16"/>
      <c r="AY145" s="16"/>
      <c r="AZ145" s="16"/>
      <c r="BA145" s="16"/>
      <c r="BB145" s="16"/>
      <c r="BC145" s="16"/>
      <c r="BD145" s="34"/>
      <c r="BJ145" s="16"/>
      <c r="BK145" s="16"/>
      <c r="BO145" s="635"/>
      <c r="BP145" s="635"/>
      <c r="BQ145" s="635"/>
      <c r="BV145"/>
      <c r="BW145"/>
      <c r="BX145"/>
    </row>
    <row r="146" spans="1:76">
      <c r="A146" s="2523" t="s">
        <v>2703</v>
      </c>
      <c r="B146" s="2549" t="s">
        <v>1527</v>
      </c>
      <c r="C146" s="2542" t="s">
        <v>2704</v>
      </c>
      <c r="D146" s="3282">
        <f>SUMIFS(BCRR_REHAB!L:L,BCRR_REHAB!D:D,'Huella materiales (2)'!A146)</f>
        <v>0</v>
      </c>
      <c r="E146" s="1030">
        <f>'Datos_aux_materiales (2)'!M130</f>
        <v>8.9733599999999997E-3</v>
      </c>
      <c r="F146" s="2836">
        <f t="shared" si="65"/>
        <v>0</v>
      </c>
      <c r="G146" s="2823">
        <f>'Datos_aux_materiales (2)'!R130</f>
        <v>81.7</v>
      </c>
      <c r="H146" s="2825">
        <f t="shared" si="66"/>
        <v>0</v>
      </c>
      <c r="I146" s="2829">
        <f t="shared" si="67"/>
        <v>0</v>
      </c>
      <c r="J146" s="2851">
        <f t="shared" si="68"/>
        <v>0</v>
      </c>
      <c r="K146" s="2834">
        <f t="shared" si="69"/>
        <v>0</v>
      </c>
      <c r="L146" s="635"/>
      <c r="M146" s="635"/>
      <c r="N146" s="635"/>
      <c r="O146" s="635"/>
      <c r="P146" s="635"/>
      <c r="Q146" s="635"/>
      <c r="R146" s="635"/>
      <c r="S146" s="635"/>
      <c r="T146" s="635"/>
      <c r="U146" s="635"/>
      <c r="V146" s="635"/>
      <c r="W146" s="635"/>
      <c r="X146" s="635"/>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c r="AT146" s="635"/>
      <c r="AU146" s="160"/>
      <c r="AV146" s="160"/>
      <c r="AW146" s="16"/>
      <c r="AX146" s="16"/>
      <c r="AY146" s="16"/>
      <c r="AZ146" s="16"/>
      <c r="BA146" s="16"/>
      <c r="BB146" s="16"/>
      <c r="BC146" s="16"/>
      <c r="BD146" s="34"/>
      <c r="BJ146" s="16"/>
      <c r="BK146" s="16"/>
      <c r="BO146" s="635"/>
      <c r="BP146" s="635"/>
      <c r="BQ146" s="635"/>
      <c r="BV146"/>
      <c r="BW146"/>
      <c r="BX146"/>
    </row>
    <row r="147" spans="1:76">
      <c r="A147" s="2523" t="s">
        <v>2229</v>
      </c>
      <c r="B147" s="2549" t="s">
        <v>1527</v>
      </c>
      <c r="C147" s="2542" t="s">
        <v>2230</v>
      </c>
      <c r="D147" s="3282">
        <f>SUMIFS(BCRR_REHAB!L:L,BCRR_REHAB!D:D,'Huella materiales (2)'!A147)</f>
        <v>0</v>
      </c>
      <c r="E147" s="1030">
        <f>'Datos_aux_materiales (2)'!M131</f>
        <v>0.14357375999999999</v>
      </c>
      <c r="F147" s="2836">
        <f t="shared" si="65"/>
        <v>0</v>
      </c>
      <c r="G147" s="2823">
        <f>'Datos_aux_materiales (2)'!R131</f>
        <v>81.7</v>
      </c>
      <c r="H147" s="2825">
        <f t="shared" si="66"/>
        <v>0</v>
      </c>
      <c r="I147" s="2829">
        <f t="shared" si="67"/>
        <v>0</v>
      </c>
      <c r="J147" s="2851">
        <f t="shared" si="68"/>
        <v>0</v>
      </c>
      <c r="K147" s="2834">
        <f t="shared" si="69"/>
        <v>0</v>
      </c>
      <c r="L147" s="635"/>
      <c r="M147" s="635"/>
      <c r="N147" s="635"/>
      <c r="O147" s="635"/>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160"/>
      <c r="AV147" s="160"/>
      <c r="AW147" s="16"/>
      <c r="AX147" s="16"/>
      <c r="AY147" s="16"/>
      <c r="AZ147" s="16"/>
      <c r="BA147" s="16"/>
      <c r="BB147" s="16"/>
      <c r="BC147" s="16"/>
      <c r="BJ147" s="16"/>
      <c r="BK147" s="16"/>
      <c r="BO147" s="635"/>
      <c r="BP147" s="635"/>
      <c r="BQ147" s="635"/>
      <c r="BV147"/>
      <c r="BW147"/>
      <c r="BX147"/>
    </row>
    <row r="148" spans="1:76">
      <c r="A148" s="2523" t="s">
        <v>2227</v>
      </c>
      <c r="B148" s="2549" t="s">
        <v>1527</v>
      </c>
      <c r="C148" s="2542" t="s">
        <v>2228</v>
      </c>
      <c r="D148" s="3282">
        <f>SUMIFS(BCRR_REHAB!L:L,BCRR_REHAB!D:D,'Huella materiales (2)'!A148)</f>
        <v>0</v>
      </c>
      <c r="E148" s="1030">
        <f>'Datos_aux_materiales (2)'!M132</f>
        <v>0.14357375999999999</v>
      </c>
      <c r="F148" s="2836">
        <f t="shared" si="65"/>
        <v>0</v>
      </c>
      <c r="G148" s="2823">
        <f>'Datos_aux_materiales (2)'!R132</f>
        <v>81.7</v>
      </c>
      <c r="H148" s="2825">
        <f t="shared" si="66"/>
        <v>0</v>
      </c>
      <c r="I148" s="2829">
        <f t="shared" si="67"/>
        <v>0</v>
      </c>
      <c r="J148" s="2851">
        <f t="shared" si="68"/>
        <v>0</v>
      </c>
      <c r="K148" s="2834">
        <f t="shared" si="69"/>
        <v>0</v>
      </c>
      <c r="L148" s="635"/>
      <c r="M148" s="635"/>
      <c r="N148" s="635"/>
      <c r="O148" s="635"/>
      <c r="P148" s="635"/>
      <c r="Q148" s="635"/>
      <c r="R148" s="635"/>
      <c r="S148" s="635"/>
      <c r="T148" s="635"/>
      <c r="U148" s="635"/>
      <c r="V148" s="635"/>
      <c r="W148" s="635"/>
      <c r="X148" s="635"/>
      <c r="Y148" s="635"/>
      <c r="Z148" s="635"/>
      <c r="AA148" s="635"/>
      <c r="AB148" s="635"/>
      <c r="AC148" s="635"/>
      <c r="AD148" s="635"/>
      <c r="AE148" s="635"/>
      <c r="AF148" s="635"/>
      <c r="AG148" s="635"/>
      <c r="AH148" s="635"/>
      <c r="AI148" s="635"/>
      <c r="AJ148" s="635"/>
      <c r="AK148" s="635"/>
      <c r="AL148" s="635"/>
      <c r="AM148" s="635"/>
      <c r="AN148" s="635"/>
      <c r="AO148" s="635"/>
      <c r="AP148" s="635"/>
      <c r="AQ148" s="635"/>
      <c r="AR148" s="635"/>
      <c r="AS148" s="635"/>
      <c r="AT148" s="635"/>
      <c r="AU148" s="167"/>
      <c r="AV148" s="167"/>
      <c r="AW148" s="16"/>
      <c r="AX148" s="34"/>
      <c r="AY148" s="34"/>
      <c r="AZ148" s="34"/>
      <c r="BA148" s="34"/>
      <c r="BB148" s="34"/>
      <c r="BC148" s="34"/>
      <c r="BD148" s="22"/>
      <c r="BE148" s="22"/>
      <c r="BF148" s="22"/>
      <c r="BG148" s="22"/>
      <c r="BH148" s="22"/>
      <c r="BJ148" s="16"/>
      <c r="BK148" s="16"/>
      <c r="BO148" s="635"/>
      <c r="BP148" s="635"/>
      <c r="BQ148" s="635"/>
      <c r="BV148"/>
      <c r="BW148"/>
      <c r="BX148"/>
    </row>
    <row r="149" spans="1:76" s="22" customFormat="1">
      <c r="A149" s="2523" t="s">
        <v>2292</v>
      </c>
      <c r="B149" s="2549" t="s">
        <v>1357</v>
      </c>
      <c r="C149" s="2542" t="s">
        <v>2293</v>
      </c>
      <c r="D149" s="3282">
        <f>SUMIFS(BCRR_REHAB!L:L,BCRR_REHAB!D:D,'Huella materiales (2)'!A149)</f>
        <v>0</v>
      </c>
      <c r="E149" s="1030">
        <f>'Datos_aux_materiales (2)'!M133</f>
        <v>1</v>
      </c>
      <c r="F149" s="2836">
        <f t="shared" si="65"/>
        <v>0</v>
      </c>
      <c r="G149" s="2823">
        <f>'Datos_aux_materiales (2)'!R133</f>
        <v>81.7</v>
      </c>
      <c r="H149" s="2825">
        <f t="shared" si="66"/>
        <v>0</v>
      </c>
      <c r="I149" s="2829">
        <f t="shared" si="67"/>
        <v>0</v>
      </c>
      <c r="J149" s="2851">
        <f t="shared" si="68"/>
        <v>0</v>
      </c>
      <c r="K149" s="2834">
        <f t="shared" si="69"/>
        <v>0</v>
      </c>
      <c r="L149" s="635"/>
      <c r="M149" s="635"/>
      <c r="N149" s="635"/>
      <c r="O149" s="635"/>
      <c r="P149" s="635"/>
      <c r="Q149" s="635"/>
      <c r="R149" s="635"/>
      <c r="S149" s="635"/>
      <c r="T149" s="635"/>
      <c r="U149" s="635"/>
      <c r="V149" s="635"/>
      <c r="W149" s="635"/>
      <c r="X149" s="635"/>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167"/>
      <c r="AV149" s="167"/>
      <c r="AW149" s="16"/>
      <c r="AX149" s="34"/>
      <c r="AY149" s="34"/>
      <c r="AZ149" s="34"/>
      <c r="BA149" s="34"/>
      <c r="BB149" s="34"/>
      <c r="BC149" s="34"/>
      <c r="BJ149" s="16"/>
      <c r="BK149" s="16"/>
      <c r="BL149" s="16"/>
      <c r="BM149" s="16"/>
      <c r="BN149" s="16"/>
      <c r="BO149" s="635"/>
      <c r="BP149" s="635"/>
      <c r="BQ149" s="635"/>
      <c r="BR149" s="16"/>
      <c r="BS149" s="16"/>
      <c r="BT149" s="16"/>
      <c r="BU149" s="16"/>
    </row>
    <row r="150" spans="1:76" s="22" customFormat="1">
      <c r="A150" s="2523" t="s">
        <v>2219</v>
      </c>
      <c r="B150" s="2565" t="s">
        <v>1504</v>
      </c>
      <c r="C150" s="2522" t="s">
        <v>2220</v>
      </c>
      <c r="D150" s="3282">
        <f>SUMIFS(BCRR_REHAB!L:L,BCRR_REHAB!D:D,'Huella materiales (2)'!A150)</f>
        <v>0</v>
      </c>
      <c r="E150" s="1030">
        <f>'Datos_aux_materiales (2)'!M134</f>
        <v>0</v>
      </c>
      <c r="F150" s="2836">
        <f t="shared" si="65"/>
        <v>0</v>
      </c>
      <c r="G150" s="2823">
        <f>'Datos_aux_materiales (2)'!R134</f>
        <v>81.7</v>
      </c>
      <c r="H150" s="2825">
        <f t="shared" si="66"/>
        <v>0</v>
      </c>
      <c r="I150" s="2829">
        <f t="shared" si="67"/>
        <v>0</v>
      </c>
      <c r="J150" s="2851">
        <f t="shared" si="68"/>
        <v>0</v>
      </c>
      <c r="K150" s="2834">
        <f t="shared" si="69"/>
        <v>0</v>
      </c>
      <c r="L150" s="635"/>
      <c r="M150" s="635"/>
      <c r="N150" s="635"/>
      <c r="O150" s="635"/>
      <c r="P150" s="635"/>
      <c r="Q150" s="635"/>
      <c r="R150" s="635"/>
      <c r="S150" s="635"/>
      <c r="T150" s="635"/>
      <c r="U150" s="635"/>
      <c r="V150" s="635"/>
      <c r="W150" s="635"/>
      <c r="X150" s="635"/>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c r="AT150" s="635"/>
      <c r="AU150" s="167"/>
      <c r="AV150" s="167"/>
      <c r="AW150" s="16"/>
      <c r="AX150" s="34"/>
      <c r="AY150" s="34"/>
      <c r="AZ150" s="34"/>
      <c r="BA150" s="34"/>
      <c r="BB150" s="34"/>
      <c r="BC150" s="34"/>
      <c r="BJ150" s="16"/>
      <c r="BK150" s="16"/>
      <c r="BL150" s="16"/>
      <c r="BM150" s="16"/>
      <c r="BN150" s="16"/>
      <c r="BO150" s="635"/>
      <c r="BP150" s="635"/>
      <c r="BQ150" s="635"/>
      <c r="BR150" s="16"/>
      <c r="BS150" s="16"/>
      <c r="BT150" s="16"/>
      <c r="BU150" s="16"/>
    </row>
    <row r="151" spans="1:76" s="22" customFormat="1">
      <c r="A151" s="2523" t="s">
        <v>2235</v>
      </c>
      <c r="B151" s="2565" t="s">
        <v>1504</v>
      </c>
      <c r="C151" s="2542" t="s">
        <v>2236</v>
      </c>
      <c r="D151" s="3282">
        <f>SUMIFS(BCRR_REHAB!L:L,BCRR_REHAB!D:D,'Huella materiales (2)'!A151)</f>
        <v>0</v>
      </c>
      <c r="E151" s="1030">
        <f>'Datos_aux_materiales (2)'!M135</f>
        <v>0</v>
      </c>
      <c r="F151" s="2836">
        <f t="shared" si="65"/>
        <v>0</v>
      </c>
      <c r="G151" s="2823">
        <f>'Datos_aux_materiales (2)'!R135</f>
        <v>81.7</v>
      </c>
      <c r="H151" s="2825">
        <f t="shared" si="66"/>
        <v>0</v>
      </c>
      <c r="I151" s="2829">
        <f t="shared" si="67"/>
        <v>0</v>
      </c>
      <c r="J151" s="2851">
        <f t="shared" si="68"/>
        <v>0</v>
      </c>
      <c r="K151" s="2834">
        <f t="shared" si="69"/>
        <v>0</v>
      </c>
      <c r="L151" s="635"/>
      <c r="M151" s="635"/>
      <c r="N151" s="635"/>
      <c r="O151" s="635"/>
      <c r="P151" s="635"/>
      <c r="Q151" s="635"/>
      <c r="R151" s="635"/>
      <c r="S151" s="635"/>
      <c r="T151" s="635"/>
      <c r="U151" s="635"/>
      <c r="V151" s="635"/>
      <c r="W151" s="635"/>
      <c r="X151" s="635"/>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160"/>
      <c r="AV151" s="160"/>
      <c r="AW151" s="16"/>
      <c r="AX151" s="34"/>
      <c r="AY151" s="34"/>
      <c r="AZ151" s="34"/>
      <c r="BA151" s="34"/>
      <c r="BB151" s="34"/>
      <c r="BC151" s="34"/>
      <c r="BD151"/>
      <c r="BE151"/>
      <c r="BF151"/>
      <c r="BG151"/>
      <c r="BH151"/>
      <c r="BJ151" s="16"/>
      <c r="BK151" s="16"/>
      <c r="BL151" s="16"/>
      <c r="BM151" s="16"/>
      <c r="BN151" s="16"/>
      <c r="BO151" s="635"/>
      <c r="BP151" s="635"/>
      <c r="BQ151" s="635"/>
      <c r="BR151" s="16"/>
      <c r="BS151" s="16"/>
      <c r="BT151" s="16"/>
      <c r="BU151" s="16"/>
    </row>
    <row r="152" spans="1:76">
      <c r="A152" s="2615" t="s">
        <v>2288</v>
      </c>
      <c r="B152" s="2884" t="s">
        <v>1504</v>
      </c>
      <c r="C152" s="2588" t="s">
        <v>2289</v>
      </c>
      <c r="D152" s="3282">
        <f>SUMIFS(BCRR_REHAB!L:L,BCRR_REHAB!D:D,'Huella materiales (2)'!A152)</f>
        <v>0</v>
      </c>
      <c r="E152" s="1030">
        <f>'Datos_aux_materiales (2)'!M136</f>
        <v>32.304095999999994</v>
      </c>
      <c r="F152" s="2836">
        <f t="shared" si="65"/>
        <v>0</v>
      </c>
      <c r="G152" s="2823">
        <f>'Datos_aux_materiales (2)'!R136</f>
        <v>36.200000000000003</v>
      </c>
      <c r="H152" s="2825">
        <f t="shared" si="66"/>
        <v>0</v>
      </c>
      <c r="I152" s="2829">
        <f t="shared" si="67"/>
        <v>0</v>
      </c>
      <c r="J152" s="2851">
        <f t="shared" si="68"/>
        <v>0</v>
      </c>
      <c r="K152" s="2834">
        <f t="shared" si="69"/>
        <v>0</v>
      </c>
      <c r="L152" s="635"/>
      <c r="M152" s="635"/>
      <c r="N152" s="635"/>
      <c r="O152" s="635"/>
      <c r="P152" s="635"/>
      <c r="Q152" s="635"/>
      <c r="R152" s="635"/>
      <c r="S152" s="635"/>
      <c r="T152" s="635"/>
      <c r="U152" s="635"/>
      <c r="V152" s="635"/>
      <c r="W152" s="635"/>
      <c r="X152" s="635"/>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160"/>
      <c r="AV152" s="160"/>
      <c r="AW152" s="16"/>
      <c r="AX152" s="34"/>
      <c r="AY152" s="34"/>
      <c r="AZ152" s="34"/>
      <c r="BA152" s="34"/>
      <c r="BB152" s="34"/>
      <c r="BC152" s="34"/>
      <c r="BJ152" s="16"/>
      <c r="BK152" s="16"/>
      <c r="BO152" s="635"/>
      <c r="BP152" s="635"/>
      <c r="BQ152" s="635"/>
      <c r="BV152"/>
      <c r="BW152"/>
      <c r="BX152"/>
    </row>
    <row r="153" spans="1:76">
      <c r="A153" s="2615" t="s">
        <v>2338</v>
      </c>
      <c r="B153" s="2884" t="s">
        <v>1504</v>
      </c>
      <c r="C153" s="2588" t="s">
        <v>2339</v>
      </c>
      <c r="D153" s="3282">
        <f>SUMIFS(BCRR_REHAB!L:L,BCRR_REHAB!D:D,'Huella materiales (2)'!A153)</f>
        <v>0</v>
      </c>
      <c r="E153" s="1030">
        <f>'Datos_aux_materiales (2)'!M137</f>
        <v>1.01483317584</v>
      </c>
      <c r="F153" s="2836">
        <f t="shared" si="65"/>
        <v>0</v>
      </c>
      <c r="G153" s="2823">
        <f>'Datos_aux_materiales (2)'!R137</f>
        <v>40.76</v>
      </c>
      <c r="H153" s="2825">
        <f t="shared" si="66"/>
        <v>0</v>
      </c>
      <c r="I153" s="2829">
        <f t="shared" si="67"/>
        <v>0</v>
      </c>
      <c r="J153" s="2851">
        <f t="shared" si="68"/>
        <v>0</v>
      </c>
      <c r="K153" s="2834">
        <f t="shared" si="69"/>
        <v>0</v>
      </c>
      <c r="L153" s="635"/>
      <c r="M153" s="635"/>
      <c r="N153" s="635"/>
      <c r="O153" s="635"/>
      <c r="P153" s="635"/>
      <c r="Q153" s="635"/>
      <c r="R153" s="635"/>
      <c r="S153" s="635"/>
      <c r="T153" s="635"/>
      <c r="U153" s="635"/>
      <c r="V153" s="635"/>
      <c r="W153" s="635"/>
      <c r="X153" s="635"/>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160"/>
      <c r="AV153" s="160"/>
      <c r="AW153" s="16"/>
      <c r="AX153" s="34"/>
      <c r="AY153" s="34"/>
      <c r="AZ153" s="34"/>
      <c r="BA153" s="34"/>
      <c r="BB153" s="34"/>
      <c r="BC153" s="34"/>
      <c r="BJ153" s="16"/>
      <c r="BK153" s="16"/>
      <c r="BO153" s="635"/>
      <c r="BP153" s="635"/>
      <c r="BQ153" s="635"/>
      <c r="BV153"/>
      <c r="BW153"/>
      <c r="BX153"/>
    </row>
    <row r="154" spans="1:76">
      <c r="A154" s="2615" t="s">
        <v>2342</v>
      </c>
      <c r="B154" s="2884" t="s">
        <v>1504</v>
      </c>
      <c r="C154" s="2588" t="s">
        <v>2343</v>
      </c>
      <c r="D154" s="3282">
        <f>SUMIFS(BCRR_REHAB!L:L,BCRR_REHAB!D:D,'Huella materiales (2)'!A154)</f>
        <v>0</v>
      </c>
      <c r="E154" s="1030">
        <f>'Datos_aux_materiales (2)'!M138</f>
        <v>1.2403516593599999</v>
      </c>
      <c r="F154" s="2836">
        <f t="shared" si="65"/>
        <v>0</v>
      </c>
      <c r="G154" s="2823">
        <f>'Datos_aux_materiales (2)'!R138</f>
        <v>40.76</v>
      </c>
      <c r="H154" s="2825">
        <f t="shared" si="66"/>
        <v>0</v>
      </c>
      <c r="I154" s="2829">
        <f t="shared" si="67"/>
        <v>0</v>
      </c>
      <c r="J154" s="2851">
        <f t="shared" si="68"/>
        <v>0</v>
      </c>
      <c r="K154" s="2834">
        <f t="shared" si="69"/>
        <v>0</v>
      </c>
      <c r="L154" s="635"/>
      <c r="M154" s="635"/>
      <c r="N154" s="635"/>
      <c r="O154" s="635"/>
      <c r="P154" s="635"/>
      <c r="Q154" s="635"/>
      <c r="R154" s="635"/>
      <c r="S154" s="635"/>
      <c r="T154" s="635"/>
      <c r="U154" s="635"/>
      <c r="V154" s="635"/>
      <c r="W154" s="635"/>
      <c r="X154" s="635"/>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167"/>
      <c r="AV154" s="167"/>
      <c r="AW154" s="16"/>
      <c r="AX154" s="16"/>
      <c r="AY154" s="16"/>
      <c r="AZ154" s="16"/>
      <c r="BA154" s="16"/>
      <c r="BB154" s="16"/>
      <c r="BC154" s="16"/>
      <c r="BD154" s="34"/>
      <c r="BE154" s="22"/>
      <c r="BF154" s="22"/>
      <c r="BG154" s="22"/>
      <c r="BH154" s="22"/>
      <c r="BJ154" s="16"/>
      <c r="BK154" s="16"/>
      <c r="BO154" s="635"/>
      <c r="BP154" s="635"/>
      <c r="BQ154" s="635"/>
      <c r="BV154"/>
      <c r="BW154"/>
      <c r="BX154"/>
    </row>
    <row r="155" spans="1:76">
      <c r="A155" s="2615" t="s">
        <v>2346</v>
      </c>
      <c r="B155" s="2884" t="s">
        <v>1504</v>
      </c>
      <c r="C155" s="2588" t="s">
        <v>2347</v>
      </c>
      <c r="D155" s="3282">
        <f>SUMIFS(BCRR_REHAB!L:L,BCRR_REHAB!D:D,'Huella materiales (2)'!A155)</f>
        <v>0</v>
      </c>
      <c r="E155" s="1030">
        <f>'Datos_aux_materiales (2)'!M139</f>
        <v>1.5786293846400001</v>
      </c>
      <c r="F155" s="2836">
        <f t="shared" si="65"/>
        <v>0</v>
      </c>
      <c r="G155" s="2823">
        <f>'Datos_aux_materiales (2)'!R139</f>
        <v>40.76</v>
      </c>
      <c r="H155" s="2825">
        <f t="shared" si="66"/>
        <v>0</v>
      </c>
      <c r="I155" s="2829">
        <f t="shared" si="67"/>
        <v>0</v>
      </c>
      <c r="J155" s="2851">
        <f t="shared" si="68"/>
        <v>0</v>
      </c>
      <c r="K155" s="2834">
        <f t="shared" si="69"/>
        <v>0</v>
      </c>
      <c r="L155" s="635"/>
      <c r="M155" s="635"/>
      <c r="N155" s="635"/>
      <c r="O155" s="635"/>
      <c r="P155" s="635"/>
      <c r="Q155" s="635"/>
      <c r="R155" s="635"/>
      <c r="S155" s="635"/>
      <c r="T155" s="635"/>
      <c r="U155" s="635"/>
      <c r="V155" s="635"/>
      <c r="W155" s="635"/>
      <c r="X155" s="635"/>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c r="AT155" s="635"/>
      <c r="AU155" s="160"/>
      <c r="AV155" s="160"/>
      <c r="AW155" s="16"/>
      <c r="AX155" s="34"/>
      <c r="AY155" s="34"/>
      <c r="AZ155" s="34"/>
      <c r="BA155" s="34"/>
      <c r="BB155" s="34"/>
      <c r="BC155" s="34"/>
      <c r="BI155" s="22"/>
      <c r="BJ155" s="16"/>
      <c r="BK155" s="16"/>
      <c r="BO155" s="635"/>
      <c r="BP155" s="635"/>
      <c r="BQ155" s="635"/>
      <c r="BV155"/>
      <c r="BW155"/>
      <c r="BX155"/>
    </row>
    <row r="156" spans="1:76">
      <c r="A156" s="2615" t="s">
        <v>2559</v>
      </c>
      <c r="B156" s="2884" t="s">
        <v>1504</v>
      </c>
      <c r="C156" s="2588" t="s">
        <v>2560</v>
      </c>
      <c r="D156" s="3282">
        <f>SUMIFS(BCRR_REHAB!L:L,BCRR_REHAB!D:D,'Huella materiales (2)'!A156)</f>
        <v>0</v>
      </c>
      <c r="E156" s="1030">
        <f>'Datos_aux_materiales (2)'!M140</f>
        <v>0.45103696704000007</v>
      </c>
      <c r="F156" s="2836">
        <f t="shared" si="65"/>
        <v>0</v>
      </c>
      <c r="G156" s="2823">
        <f>'Datos_aux_materiales (2)'!R140</f>
        <v>40.76</v>
      </c>
      <c r="H156" s="2825">
        <f t="shared" si="66"/>
        <v>0</v>
      </c>
      <c r="I156" s="2829">
        <f t="shared" si="67"/>
        <v>0</v>
      </c>
      <c r="J156" s="2851">
        <f t="shared" si="68"/>
        <v>0</v>
      </c>
      <c r="K156" s="2834">
        <f t="shared" si="69"/>
        <v>0</v>
      </c>
      <c r="L156" s="635"/>
      <c r="M156" s="635"/>
      <c r="N156" s="635"/>
      <c r="O156" s="635"/>
      <c r="P156" s="635"/>
      <c r="Q156" s="635"/>
      <c r="R156" s="635"/>
      <c r="S156" s="635"/>
      <c r="T156" s="635"/>
      <c r="U156" s="635"/>
      <c r="V156" s="635"/>
      <c r="W156" s="635"/>
      <c r="X156" s="635"/>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c r="AT156" s="635"/>
      <c r="AU156" s="160"/>
      <c r="AV156" s="160"/>
      <c r="AW156" s="16"/>
      <c r="AX156" s="34"/>
      <c r="AY156" s="34"/>
      <c r="AZ156" s="34"/>
      <c r="BA156" s="34"/>
      <c r="BB156" s="34"/>
      <c r="BC156" s="34"/>
      <c r="BJ156" s="16"/>
      <c r="BK156" s="16"/>
      <c r="BO156" s="635"/>
      <c r="BP156" s="635"/>
      <c r="BQ156" s="635"/>
      <c r="BV156"/>
      <c r="BW156"/>
      <c r="BX156"/>
    </row>
    <row r="157" spans="1:76">
      <c r="A157" s="2615" t="s">
        <v>2563</v>
      </c>
      <c r="B157" s="2884" t="s">
        <v>1504</v>
      </c>
      <c r="C157" s="2588" t="s">
        <v>2564</v>
      </c>
      <c r="D157" s="3282">
        <f>SUMIFS(BCRR_REHAB!L:L,BCRR_REHAB!D:D,'Huella materiales (2)'!A157)</f>
        <v>0</v>
      </c>
      <c r="E157" s="1030">
        <f>'Datos_aux_materiales (2)'!M141</f>
        <v>0.50741658792</v>
      </c>
      <c r="F157" s="2836">
        <f t="shared" si="65"/>
        <v>0</v>
      </c>
      <c r="G157" s="2823">
        <f>'Datos_aux_materiales (2)'!R141</f>
        <v>40.76</v>
      </c>
      <c r="H157" s="2825">
        <f t="shared" si="66"/>
        <v>0</v>
      </c>
      <c r="I157" s="2829">
        <f t="shared" si="67"/>
        <v>0</v>
      </c>
      <c r="J157" s="2851">
        <f t="shared" si="68"/>
        <v>0</v>
      </c>
      <c r="K157" s="2834">
        <f t="shared" si="69"/>
        <v>0</v>
      </c>
      <c r="L157" s="2814"/>
      <c r="M157" s="2815"/>
      <c r="N157" s="2814"/>
      <c r="O157" s="2814"/>
      <c r="P157" s="2814"/>
      <c r="Q157" s="2814"/>
      <c r="R157" s="2814"/>
      <c r="S157" s="2814"/>
      <c r="T157" s="2814"/>
      <c r="U157" s="2814"/>
      <c r="V157" s="2814"/>
      <c r="W157" s="2814"/>
      <c r="X157" s="2814"/>
      <c r="Y157" s="2814"/>
      <c r="Z157" s="2814"/>
      <c r="AA157" s="2814"/>
      <c r="AB157" s="2814"/>
      <c r="AC157" s="2814"/>
      <c r="AD157" s="2814"/>
      <c r="AE157" s="2814"/>
      <c r="AF157" s="2814"/>
      <c r="AG157" s="2814"/>
      <c r="AH157" s="2799"/>
      <c r="AI157" s="2799"/>
      <c r="AJ157" s="2799"/>
      <c r="AK157" s="2799"/>
      <c r="AL157" s="2799"/>
      <c r="AM157" s="2799"/>
      <c r="AN157" s="2799"/>
      <c r="AO157" s="2799"/>
      <c r="AP157" s="2799"/>
      <c r="AQ157" s="2799"/>
      <c r="AR157" s="2799"/>
      <c r="AS157" s="2799"/>
      <c r="AT157" s="2799"/>
      <c r="AU157" s="160"/>
      <c r="AV157" s="160"/>
      <c r="AW157" s="16"/>
      <c r="AX157" s="34"/>
      <c r="AY157" s="34"/>
      <c r="AZ157" s="34"/>
      <c r="BA157" s="34"/>
      <c r="BB157" s="34"/>
      <c r="BC157" s="34"/>
      <c r="BJ157" s="16"/>
      <c r="BK157" s="16"/>
      <c r="BO157" s="2814"/>
      <c r="BP157" s="635"/>
      <c r="BQ157" s="635"/>
      <c r="BV157"/>
      <c r="BW157"/>
      <c r="BX157"/>
    </row>
    <row r="158" spans="1:76">
      <c r="A158" s="2615" t="s">
        <v>2567</v>
      </c>
      <c r="B158" s="2884" t="s">
        <v>1504</v>
      </c>
      <c r="C158" s="2588" t="s">
        <v>2568</v>
      </c>
      <c r="D158" s="3282">
        <f>SUMIFS(BCRR_REHAB!L:L,BCRR_REHAB!D:D,'Huella materiales (2)'!A158)</f>
        <v>0</v>
      </c>
      <c r="E158" s="1030">
        <f>'Datos_aux_materiales (2)'!M142</f>
        <v>0.56379620880000003</v>
      </c>
      <c r="F158" s="2836">
        <f t="shared" si="65"/>
        <v>0</v>
      </c>
      <c r="G158" s="2823">
        <f>'Datos_aux_materiales (2)'!R142</f>
        <v>40.76</v>
      </c>
      <c r="H158" s="2825">
        <f t="shared" si="66"/>
        <v>0</v>
      </c>
      <c r="I158" s="2829">
        <f t="shared" si="67"/>
        <v>0</v>
      </c>
      <c r="J158" s="2851">
        <f t="shared" si="68"/>
        <v>0</v>
      </c>
      <c r="K158" s="2834">
        <f t="shared" si="69"/>
        <v>0</v>
      </c>
      <c r="L158" s="635"/>
      <c r="M158" s="635"/>
      <c r="N158" s="635"/>
      <c r="O158" s="635"/>
      <c r="P158" s="635"/>
      <c r="Q158" s="635"/>
      <c r="R158" s="635"/>
      <c r="S158" s="635"/>
      <c r="T158" s="635"/>
      <c r="U158" s="635"/>
      <c r="V158" s="635"/>
      <c r="W158" s="635"/>
      <c r="X158" s="635"/>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160"/>
      <c r="AV158" s="160"/>
      <c r="AW158" s="16"/>
      <c r="AX158" s="34"/>
      <c r="AY158" s="34"/>
      <c r="AZ158" s="34"/>
      <c r="BA158" s="34"/>
      <c r="BB158" s="34"/>
      <c r="BC158" s="34"/>
      <c r="BJ158" s="16"/>
      <c r="BK158" s="16"/>
      <c r="BO158" s="635"/>
      <c r="BP158" s="635"/>
      <c r="BQ158" s="635"/>
      <c r="BV158"/>
      <c r="BW158"/>
      <c r="BX158"/>
    </row>
    <row r="159" spans="1:76">
      <c r="A159" s="2615" t="s">
        <v>2573</v>
      </c>
      <c r="B159" s="2884" t="s">
        <v>1504</v>
      </c>
      <c r="C159" s="2588" t="s">
        <v>2574</v>
      </c>
      <c r="D159" s="3282">
        <f>SUMIFS(BCRR_REHAB!L:L,BCRR_REHAB!D:D,'Huella materiales (2)'!A159)</f>
        <v>0</v>
      </c>
      <c r="E159" s="1030">
        <f>'Datos_aux_materiales (2)'!M143</f>
        <v>0.62017582967999996</v>
      </c>
      <c r="F159" s="2836">
        <f t="shared" si="65"/>
        <v>0</v>
      </c>
      <c r="G159" s="2823">
        <f>'Datos_aux_materiales (2)'!R143</f>
        <v>40.76</v>
      </c>
      <c r="H159" s="2825">
        <f t="shared" si="66"/>
        <v>0</v>
      </c>
      <c r="I159" s="2829">
        <f t="shared" si="67"/>
        <v>0</v>
      </c>
      <c r="J159" s="2851">
        <f t="shared" si="68"/>
        <v>0</v>
      </c>
      <c r="K159" s="2834">
        <f t="shared" si="69"/>
        <v>0</v>
      </c>
      <c r="L159" s="635"/>
      <c r="M159" s="635"/>
      <c r="N159" s="635"/>
      <c r="O159" s="635"/>
      <c r="P159" s="635"/>
      <c r="Q159" s="635"/>
      <c r="R159" s="635"/>
      <c r="S159" s="635"/>
      <c r="T159" s="635"/>
      <c r="U159" s="635"/>
      <c r="V159" s="635"/>
      <c r="W159" s="635"/>
      <c r="X159" s="635"/>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c r="AT159" s="635"/>
      <c r="AU159" s="167"/>
      <c r="AV159" s="167"/>
      <c r="AW159" s="16"/>
      <c r="AX159" s="16"/>
      <c r="AY159" s="16"/>
      <c r="AZ159" s="16"/>
      <c r="BA159" s="16"/>
      <c r="BB159" s="16"/>
      <c r="BC159" s="16"/>
      <c r="BD159" s="34"/>
      <c r="BE159" s="22"/>
      <c r="BF159" s="22"/>
      <c r="BG159" s="22"/>
      <c r="BH159" s="22"/>
      <c r="BJ159" s="16"/>
      <c r="BK159" s="16"/>
      <c r="BO159" s="635"/>
      <c r="BP159" s="635"/>
      <c r="BQ159" s="635"/>
      <c r="BV159"/>
      <c r="BW159"/>
      <c r="BX159"/>
    </row>
    <row r="160" spans="1:76">
      <c r="A160" s="2615" t="s">
        <v>2577</v>
      </c>
      <c r="B160" s="2884" t="s">
        <v>1504</v>
      </c>
      <c r="C160" s="2588" t="s">
        <v>2578</v>
      </c>
      <c r="D160" s="3282">
        <f>SUMIFS(BCRR_REHAB!L:L,BCRR_REHAB!D:D,'Huella materiales (2)'!A160)</f>
        <v>0</v>
      </c>
      <c r="E160" s="1030">
        <f>'Datos_aux_materiales (2)'!M144</f>
        <v>0.78931469232000007</v>
      </c>
      <c r="F160" s="2836">
        <f t="shared" si="65"/>
        <v>0</v>
      </c>
      <c r="G160" s="2823">
        <f>'Datos_aux_materiales (2)'!R144</f>
        <v>40.76</v>
      </c>
      <c r="H160" s="2825">
        <f t="shared" si="66"/>
        <v>0</v>
      </c>
      <c r="I160" s="2829">
        <f t="shared" si="67"/>
        <v>0</v>
      </c>
      <c r="J160" s="2851">
        <f t="shared" si="68"/>
        <v>0</v>
      </c>
      <c r="K160" s="2834">
        <f t="shared" si="69"/>
        <v>0</v>
      </c>
      <c r="L160" s="635"/>
      <c r="M160" s="635"/>
      <c r="N160" s="635"/>
      <c r="O160" s="635"/>
      <c r="P160" s="635"/>
      <c r="Q160" s="635"/>
      <c r="R160" s="635"/>
      <c r="S160" s="635"/>
      <c r="T160" s="635"/>
      <c r="U160" s="635"/>
      <c r="V160" s="635"/>
      <c r="W160" s="635"/>
      <c r="X160" s="635"/>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c r="AT160" s="635"/>
      <c r="AU160" s="160"/>
      <c r="AV160" s="160"/>
      <c r="AW160" s="16"/>
      <c r="AX160" s="34"/>
      <c r="AY160" s="34"/>
      <c r="AZ160" s="34"/>
      <c r="BA160" s="34"/>
      <c r="BB160" s="34"/>
      <c r="BC160" s="34"/>
      <c r="BI160" s="22"/>
      <c r="BJ160" s="16"/>
      <c r="BK160" s="16"/>
      <c r="BO160" s="635"/>
      <c r="BP160" s="635"/>
      <c r="BQ160" s="635"/>
      <c r="BV160"/>
      <c r="BW160"/>
      <c r="BX160"/>
    </row>
    <row r="161" spans="1:76">
      <c r="A161" s="2626" t="s">
        <v>2551</v>
      </c>
      <c r="B161" s="2884" t="s">
        <v>1504</v>
      </c>
      <c r="C161" s="2588" t="s">
        <v>2552</v>
      </c>
      <c r="D161" s="3282">
        <f>SUMIFS(BCRR_REHAB!L:L,BCRR_REHAB!D:D,'Huella materiales (2)'!A161)</f>
        <v>0</v>
      </c>
      <c r="E161" s="1030">
        <f>'Datos_aux_materiales (2)'!M145</f>
        <v>0</v>
      </c>
      <c r="F161" s="2836">
        <f t="shared" si="65"/>
        <v>0</v>
      </c>
      <c r="G161" s="2823">
        <f>'Datos_aux_materiales (2)'!R145</f>
        <v>0</v>
      </c>
      <c r="H161" s="2825">
        <f t="shared" si="66"/>
        <v>0</v>
      </c>
      <c r="I161" s="2829">
        <f t="shared" si="67"/>
        <v>0</v>
      </c>
      <c r="J161" s="2851">
        <f t="shared" si="68"/>
        <v>0</v>
      </c>
      <c r="K161" s="2834">
        <f t="shared" si="69"/>
        <v>0</v>
      </c>
      <c r="L161" s="635"/>
      <c r="M161" s="635"/>
      <c r="N161" s="635"/>
      <c r="O161" s="635"/>
      <c r="P161" s="635"/>
      <c r="Q161" s="635"/>
      <c r="R161" s="635"/>
      <c r="S161" s="635"/>
      <c r="T161" s="635"/>
      <c r="U161" s="635"/>
      <c r="V161" s="635"/>
      <c r="W161" s="635"/>
      <c r="X161" s="635"/>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c r="AT161" s="635"/>
      <c r="AU161" s="160"/>
      <c r="AV161" s="160"/>
      <c r="AW161" s="16"/>
      <c r="AX161" s="16"/>
      <c r="AY161" s="16"/>
      <c r="AZ161" s="16"/>
      <c r="BA161" s="16"/>
      <c r="BB161" s="16"/>
      <c r="BC161" s="16"/>
      <c r="BJ161" s="16"/>
      <c r="BK161" s="16"/>
      <c r="BO161" s="635"/>
      <c r="BP161" s="635"/>
      <c r="BQ161" s="635"/>
      <c r="BV161"/>
      <c r="BW161"/>
      <c r="BX161"/>
    </row>
    <row r="162" spans="1:76">
      <c r="A162" s="2626" t="s">
        <v>1929</v>
      </c>
      <c r="B162" s="2884" t="s">
        <v>1504</v>
      </c>
      <c r="C162" s="2588" t="s">
        <v>1930</v>
      </c>
      <c r="D162" s="3282">
        <f>SUMIFS(BCRR_REHAB!L:L,BCRR_REHAB!D:D,'Huella materiales (2)'!A162)</f>
        <v>0</v>
      </c>
      <c r="E162" s="1030">
        <f>'Datos_aux_materiales (2)'!M146</f>
        <v>0</v>
      </c>
      <c r="F162" s="2836">
        <f t="shared" si="65"/>
        <v>0</v>
      </c>
      <c r="G162" s="2823">
        <f>'Datos_aux_materiales (2)'!R146</f>
        <v>0</v>
      </c>
      <c r="H162" s="2825">
        <f t="shared" si="66"/>
        <v>0</v>
      </c>
      <c r="I162" s="2829">
        <f t="shared" si="67"/>
        <v>0</v>
      </c>
      <c r="J162" s="2851">
        <f t="shared" si="68"/>
        <v>0</v>
      </c>
      <c r="K162" s="2834">
        <f t="shared" si="69"/>
        <v>0</v>
      </c>
      <c r="L162" s="635"/>
      <c r="M162" s="635"/>
      <c r="N162" s="635"/>
      <c r="O162" s="635"/>
      <c r="P162" s="635"/>
      <c r="Q162" s="635"/>
      <c r="R162" s="635"/>
      <c r="S162" s="635"/>
      <c r="T162" s="635"/>
      <c r="U162" s="635"/>
      <c r="V162" s="635"/>
      <c r="W162" s="635"/>
      <c r="X162" s="635"/>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c r="AT162" s="635"/>
      <c r="AU162" s="167"/>
      <c r="AV162" s="167"/>
      <c r="AW162" s="16"/>
      <c r="AX162" s="16"/>
      <c r="AY162" s="16"/>
      <c r="AZ162" s="16"/>
      <c r="BA162" s="16"/>
      <c r="BB162" s="16"/>
      <c r="BC162" s="16"/>
      <c r="BD162" s="34"/>
      <c r="BE162" s="22"/>
      <c r="BF162" s="22"/>
      <c r="BG162" s="22"/>
      <c r="BH162" s="22"/>
      <c r="BJ162" s="16"/>
      <c r="BK162" s="16"/>
      <c r="BO162" s="635"/>
      <c r="BP162" s="635"/>
      <c r="BQ162" s="635"/>
      <c r="BV162"/>
      <c r="BW162"/>
      <c r="BX162"/>
    </row>
    <row r="163" spans="1:76" ht="18.5">
      <c r="A163" s="2900"/>
      <c r="B163" s="2881"/>
      <c r="C163" s="2811" t="s">
        <v>3117</v>
      </c>
      <c r="D163" s="3284"/>
      <c r="E163" s="2795"/>
      <c r="F163" s="2843">
        <f>SUM(F138:F162)</f>
        <v>1713.1284477007923</v>
      </c>
      <c r="G163" s="2844"/>
      <c r="H163" s="2842">
        <f>SUM(H138:H162)</f>
        <v>75057.350417641966</v>
      </c>
      <c r="I163" s="2830">
        <f t="shared" si="67"/>
        <v>1.3320036834680122</v>
      </c>
      <c r="J163" s="2854">
        <f t="shared" si="68"/>
        <v>2.8162077907684928E-2</v>
      </c>
      <c r="K163" s="2835">
        <f>SUM(K138:K162)</f>
        <v>1798.7848700858319</v>
      </c>
      <c r="L163" s="2795"/>
      <c r="M163" s="2795"/>
      <c r="N163" s="2795"/>
      <c r="O163" s="2795"/>
      <c r="P163" s="2795"/>
      <c r="Q163" s="2795"/>
      <c r="R163" s="2795"/>
      <c r="S163" s="2795"/>
      <c r="T163" s="2795"/>
      <c r="U163" s="2795"/>
      <c r="V163" s="2795"/>
      <c r="W163" s="2795"/>
      <c r="X163" s="2795"/>
      <c r="Y163" s="2795"/>
      <c r="Z163" s="2795"/>
      <c r="AA163" s="2795"/>
      <c r="AB163" s="2795"/>
      <c r="AC163" s="2795"/>
      <c r="AD163" s="2795"/>
      <c r="AE163" s="2795"/>
      <c r="AF163" s="2795"/>
      <c r="AG163" s="2795"/>
      <c r="AH163" s="635"/>
      <c r="AI163" s="635"/>
      <c r="AJ163" s="635"/>
      <c r="AK163" s="635"/>
      <c r="AL163" s="635"/>
      <c r="AM163" s="635"/>
      <c r="AN163" s="635"/>
      <c r="AO163" s="635"/>
      <c r="AP163" s="635"/>
      <c r="AQ163" s="635"/>
      <c r="AR163" s="635"/>
      <c r="AS163" s="635"/>
      <c r="AT163" s="635"/>
      <c r="AU163" s="160"/>
      <c r="AV163" s="160"/>
      <c r="AW163" s="16"/>
      <c r="AX163" s="16"/>
      <c r="AY163" s="16"/>
      <c r="AZ163" s="16"/>
      <c r="BA163" s="16"/>
      <c r="BB163" s="16"/>
      <c r="BC163" s="16"/>
      <c r="BI163" s="22"/>
      <c r="BJ163" s="16"/>
      <c r="BK163" s="16"/>
      <c r="BO163" s="635"/>
      <c r="BP163" s="635"/>
      <c r="BQ163" s="635"/>
      <c r="BV163"/>
      <c r="BW163"/>
      <c r="BX163"/>
    </row>
    <row r="164" spans="1:76" ht="18.5">
      <c r="A164" s="2909" t="s">
        <v>3032</v>
      </c>
      <c r="B164" s="2910"/>
      <c r="C164" s="2911"/>
      <c r="D164" s="3281"/>
      <c r="E164" s="2915"/>
      <c r="F164" s="2915"/>
      <c r="G164" s="2915"/>
      <c r="H164" s="2916"/>
      <c r="I164" s="2915"/>
      <c r="J164" s="2917"/>
      <c r="K164" s="2918"/>
      <c r="L164" s="2912"/>
      <c r="M164" s="2913"/>
      <c r="N164" s="2914"/>
      <c r="O164" s="2914"/>
      <c r="P164" s="2914"/>
      <c r="Q164" s="2914"/>
      <c r="R164" s="2914"/>
      <c r="S164" s="2914"/>
      <c r="T164" s="2914"/>
      <c r="U164" s="2914"/>
      <c r="V164" s="2914"/>
      <c r="W164" s="2914"/>
      <c r="X164" s="2914"/>
      <c r="Y164" s="2914"/>
      <c r="Z164" s="2914"/>
      <c r="AA164" s="2914"/>
      <c r="AB164" s="2914"/>
      <c r="AC164" s="2914"/>
      <c r="AD164" s="2914"/>
      <c r="AE164" s="2914"/>
      <c r="AF164" s="2914"/>
      <c r="AG164" s="2914"/>
      <c r="AH164" s="2916"/>
      <c r="AI164" s="2916"/>
      <c r="AJ164" s="2916"/>
      <c r="AK164" s="2916"/>
      <c r="AL164" s="2916"/>
      <c r="AM164" s="2916"/>
      <c r="AN164" s="2916"/>
      <c r="AO164" s="2916"/>
      <c r="AP164" s="2916"/>
      <c r="AQ164" s="2916"/>
      <c r="AR164" s="2916"/>
      <c r="AS164" s="2916"/>
      <c r="AT164" s="2799"/>
      <c r="AV164" s="16"/>
      <c r="AW164" s="16"/>
      <c r="AX164" s="16"/>
      <c r="AY164" s="16"/>
      <c r="BJ164" s="16"/>
      <c r="BK164" s="16"/>
      <c r="BO164" s="2814"/>
      <c r="BP164" s="2816"/>
      <c r="BQ164" s="2799"/>
      <c r="BV164"/>
      <c r="BW164"/>
      <c r="BX164"/>
    </row>
    <row r="165" spans="1:76" ht="31.5" customHeight="1">
      <c r="A165" s="2889" t="s">
        <v>1328</v>
      </c>
      <c r="B165" s="2889" t="s">
        <v>1549</v>
      </c>
      <c r="C165" s="2878" t="s">
        <v>3126</v>
      </c>
      <c r="D165" s="3285" t="s">
        <v>914</v>
      </c>
      <c r="E165" s="2794" t="s">
        <v>288</v>
      </c>
      <c r="F165" s="2837" t="s">
        <v>3123</v>
      </c>
      <c r="G165" s="2826" t="s">
        <v>287</v>
      </c>
      <c r="H165" s="2827" t="s">
        <v>3097</v>
      </c>
      <c r="I165" s="161" t="s">
        <v>3124</v>
      </c>
      <c r="J165" s="2850" t="s">
        <v>3125</v>
      </c>
      <c r="K165" s="2833" t="s">
        <v>3136</v>
      </c>
      <c r="L165" s="635"/>
      <c r="M165" s="635"/>
      <c r="N165" s="635"/>
      <c r="O165" s="635"/>
      <c r="P165" s="635"/>
      <c r="Q165" s="635"/>
      <c r="R165" s="635"/>
      <c r="S165" s="635"/>
      <c r="T165" s="635"/>
      <c r="U165" s="635"/>
      <c r="V165" s="635"/>
      <c r="W165" s="635"/>
      <c r="X165" s="635"/>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c r="AT165" s="635"/>
      <c r="AV165" s="16"/>
      <c r="AW165" s="16"/>
      <c r="AX165" s="16"/>
      <c r="AY165" s="16"/>
      <c r="BO165" s="635"/>
      <c r="BP165" s="2938"/>
      <c r="BQ165" s="2939"/>
      <c r="BV165"/>
      <c r="BW165"/>
      <c r="BX165"/>
    </row>
    <row r="166" spans="1:76">
      <c r="A166" s="2535" t="s">
        <v>1781</v>
      </c>
      <c r="B166" s="2883" t="s">
        <v>1577</v>
      </c>
      <c r="C166" s="2747" t="s">
        <v>1782</v>
      </c>
      <c r="D166" s="3282">
        <f>SUMIFS(BCRR_REHAB!L:L,BCRR_REHAB!D:D,'Huella materiales (2)'!A166)</f>
        <v>0</v>
      </c>
      <c r="E166" s="1030">
        <f>'Datos_aux_materiales (2)'!M148</f>
        <v>1000</v>
      </c>
      <c r="F166" s="2836">
        <f>D166*E166</f>
        <v>0</v>
      </c>
      <c r="G166" s="2823">
        <f>'Datos_aux_materiales (2)'!R148</f>
        <v>3.6999999999999998E-2</v>
      </c>
      <c r="H166" s="2825">
        <f t="shared" ref="H166:H168" si="70">F166*G166</f>
        <v>0</v>
      </c>
      <c r="I166" s="2829">
        <f>H166/$AV$5*$AV$7</f>
        <v>0</v>
      </c>
      <c r="J166" s="2851">
        <f>I166/$AV$8</f>
        <v>0</v>
      </c>
      <c r="K166" s="2834">
        <f>F166*1.05</f>
        <v>0</v>
      </c>
      <c r="L166" s="635"/>
      <c r="M166" s="635"/>
      <c r="N166" s="635"/>
      <c r="O166" s="635"/>
      <c r="P166" s="635"/>
      <c r="Q166" s="635"/>
      <c r="R166" s="635"/>
      <c r="S166" s="635"/>
      <c r="T166" s="635"/>
      <c r="U166" s="635"/>
      <c r="V166" s="635"/>
      <c r="W166" s="635"/>
      <c r="X166" s="635"/>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c r="AT166" s="635"/>
      <c r="AU166" s="160"/>
      <c r="AV166" s="160"/>
      <c r="BD166" s="34"/>
      <c r="BO166" s="635"/>
      <c r="BP166" s="635"/>
      <c r="BQ166" s="635"/>
      <c r="BV166"/>
      <c r="BW166"/>
      <c r="BX166"/>
    </row>
    <row r="167" spans="1:76">
      <c r="A167" s="2535" t="s">
        <v>1779</v>
      </c>
      <c r="B167" s="2883" t="s">
        <v>1577</v>
      </c>
      <c r="C167" s="2747" t="s">
        <v>1780</v>
      </c>
      <c r="D167" s="3282">
        <f>SUMIFS(BCRR_REHAB!L:L,BCRR_REHAB!D:D,'Huella materiales (2)'!A167)</f>
        <v>0</v>
      </c>
      <c r="E167" s="1030">
        <f>'Datos_aux_materiales (2)'!M149</f>
        <v>1000</v>
      </c>
      <c r="F167" s="2836">
        <f>D167*E167</f>
        <v>0</v>
      </c>
      <c r="G167" s="2823">
        <f>'Datos_aux_materiales (2)'!R149</f>
        <v>3.6999999999999998E-2</v>
      </c>
      <c r="H167" s="2825">
        <f t="shared" si="70"/>
        <v>0</v>
      </c>
      <c r="I167" s="2829">
        <f>H167/$AV$5*$AV$7</f>
        <v>0</v>
      </c>
      <c r="J167" s="2851">
        <f>I167/$AV$8</f>
        <v>0</v>
      </c>
      <c r="K167" s="2834">
        <f>F167*1.05</f>
        <v>0</v>
      </c>
      <c r="L167" s="635"/>
      <c r="M167" s="635"/>
      <c r="N167" s="635"/>
      <c r="O167" s="635"/>
      <c r="P167" s="635"/>
      <c r="Q167" s="635"/>
      <c r="R167" s="635"/>
      <c r="S167" s="635"/>
      <c r="T167" s="635"/>
      <c r="U167" s="635"/>
      <c r="V167" s="635"/>
      <c r="W167" s="635"/>
      <c r="X167" s="635"/>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c r="AT167" s="635"/>
      <c r="AU167" s="160"/>
      <c r="AV167" s="160"/>
      <c r="BD167" s="16"/>
      <c r="BJ167" s="16"/>
      <c r="BK167" s="16"/>
      <c r="BO167" s="635"/>
      <c r="BP167" s="635"/>
      <c r="BQ167" s="635"/>
      <c r="BV167"/>
      <c r="BW167"/>
      <c r="BX167"/>
    </row>
    <row r="168" spans="1:76">
      <c r="A168" s="2544" t="s">
        <v>1168</v>
      </c>
      <c r="B168" s="2549" t="s">
        <v>1507</v>
      </c>
      <c r="C168" s="2542" t="s">
        <v>2397</v>
      </c>
      <c r="D168" s="3282">
        <f>SUMIFS(BCRR_REHAB!L:L,BCRR_REHAB!D:D,'Huella materiales (2)'!A168)</f>
        <v>0</v>
      </c>
      <c r="E168" s="1030">
        <f>'Datos_aux_materiales (2)'!M150</f>
        <v>15.295499999999999</v>
      </c>
      <c r="F168" s="2836">
        <f>D168*E168</f>
        <v>0</v>
      </c>
      <c r="G168" s="2823">
        <f>'Datos_aux_materiales (2)'!R150</f>
        <v>6.05</v>
      </c>
      <c r="H168" s="2825">
        <f t="shared" si="70"/>
        <v>0</v>
      </c>
      <c r="I168" s="2829">
        <f>H168/$AV$5*$AV$7</f>
        <v>0</v>
      </c>
      <c r="J168" s="2851">
        <f>I168/$AV$8</f>
        <v>0</v>
      </c>
      <c r="K168" s="2834">
        <f>F168*1.05</f>
        <v>0</v>
      </c>
      <c r="L168" s="635"/>
      <c r="M168" s="635"/>
      <c r="N168" s="635"/>
      <c r="O168" s="635"/>
      <c r="P168" s="635"/>
      <c r="Q168" s="635"/>
      <c r="R168" s="635"/>
      <c r="S168" s="635"/>
      <c r="T168" s="635"/>
      <c r="U168" s="635"/>
      <c r="V168" s="635"/>
      <c r="W168" s="635"/>
      <c r="X168" s="635"/>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c r="AT168" s="635"/>
      <c r="AU168" s="160"/>
      <c r="AV168" s="160"/>
      <c r="BD168" s="16"/>
      <c r="BJ168" s="16"/>
      <c r="BK168" s="16"/>
      <c r="BO168" s="635"/>
      <c r="BP168" s="635"/>
      <c r="BQ168" s="635"/>
      <c r="BV168"/>
      <c r="BW168"/>
      <c r="BX168"/>
    </row>
    <row r="169" spans="1:76" ht="18.5">
      <c r="A169" s="2900"/>
      <c r="B169" s="2881"/>
      <c r="C169" s="2811" t="s">
        <v>3116</v>
      </c>
      <c r="D169" s="3284"/>
      <c r="E169" s="2795"/>
      <c r="F169" s="2843">
        <f>SUM(F166:F168)</f>
        <v>0</v>
      </c>
      <c r="G169" s="2844"/>
      <c r="H169" s="2842">
        <f>SUM(H166:H168)</f>
        <v>0</v>
      </c>
      <c r="I169" s="2830">
        <f>H169/$AV$5*$AV$7</f>
        <v>0</v>
      </c>
      <c r="J169" s="2854">
        <f>I169/$AV$8</f>
        <v>0</v>
      </c>
      <c r="K169" s="2835">
        <f>SUM(K166:K168)</f>
        <v>0</v>
      </c>
      <c r="L169" s="2795"/>
      <c r="M169" s="2795"/>
      <c r="N169" s="2795"/>
      <c r="O169" s="2795"/>
      <c r="P169" s="2795"/>
      <c r="Q169" s="2795"/>
      <c r="R169" s="2795"/>
      <c r="S169" s="2795"/>
      <c r="T169" s="2795"/>
      <c r="U169" s="2795"/>
      <c r="V169" s="2795"/>
      <c r="W169" s="2795"/>
      <c r="X169" s="2795"/>
      <c r="Y169" s="2795"/>
      <c r="Z169" s="2795"/>
      <c r="AA169" s="2795"/>
      <c r="AB169" s="2795"/>
      <c r="AC169" s="2795"/>
      <c r="AD169" s="2795"/>
      <c r="AE169" s="2795"/>
      <c r="AF169" s="2795"/>
      <c r="AG169" s="2795"/>
      <c r="AH169" s="635"/>
      <c r="AI169" s="635"/>
      <c r="AJ169" s="635"/>
      <c r="AK169" s="635"/>
      <c r="AL169" s="635"/>
      <c r="AM169" s="635"/>
      <c r="AN169" s="635"/>
      <c r="AO169" s="635"/>
      <c r="AP169" s="635"/>
      <c r="AQ169" s="635"/>
      <c r="AR169" s="635"/>
      <c r="AS169" s="635"/>
      <c r="AT169" s="635"/>
      <c r="AU169" s="160"/>
      <c r="AV169" s="160"/>
      <c r="BD169" s="16"/>
      <c r="BJ169" s="16"/>
      <c r="BK169" s="16"/>
      <c r="BO169" s="635"/>
      <c r="BP169" s="635"/>
      <c r="BQ169" s="635"/>
      <c r="BV169"/>
      <c r="BW169"/>
      <c r="BX169"/>
    </row>
    <row r="170" spans="1:76" ht="18.5">
      <c r="A170" s="2909" t="s">
        <v>3051</v>
      </c>
      <c r="B170" s="2910"/>
      <c r="C170" s="2911"/>
      <c r="D170" s="3281"/>
      <c r="E170" s="2915"/>
      <c r="F170" s="2915"/>
      <c r="G170" s="2915"/>
      <c r="H170" s="2916"/>
      <c r="I170" s="2915"/>
      <c r="J170" s="2917"/>
      <c r="K170" s="2918"/>
      <c r="L170" s="2912"/>
      <c r="M170" s="2913"/>
      <c r="N170" s="2914"/>
      <c r="O170" s="2914"/>
      <c r="P170" s="2914"/>
      <c r="Q170" s="2914"/>
      <c r="R170" s="2914"/>
      <c r="S170" s="2914"/>
      <c r="T170" s="2914"/>
      <c r="U170" s="2914"/>
      <c r="V170" s="2914"/>
      <c r="W170" s="2914"/>
      <c r="X170" s="2914"/>
      <c r="Y170" s="2914"/>
      <c r="Z170" s="2914"/>
      <c r="AA170" s="2914"/>
      <c r="AB170" s="2914"/>
      <c r="AC170" s="2914"/>
      <c r="AD170" s="2914"/>
      <c r="AE170" s="2914"/>
      <c r="AF170" s="2914"/>
      <c r="AG170" s="2914"/>
      <c r="AH170" s="2916"/>
      <c r="AI170" s="2916"/>
      <c r="AJ170" s="2916"/>
      <c r="AK170" s="2916"/>
      <c r="AL170" s="2916"/>
      <c r="AM170" s="2916"/>
      <c r="AN170" s="2916"/>
      <c r="AO170" s="2916"/>
      <c r="AP170" s="2916"/>
      <c r="AQ170" s="2916"/>
      <c r="AR170" s="2916"/>
      <c r="AS170" s="2916"/>
      <c r="AT170" s="2799"/>
      <c r="AU170" s="160"/>
      <c r="AV170" s="160"/>
      <c r="BD170" s="16"/>
      <c r="BJ170" s="16"/>
      <c r="BK170" s="16"/>
      <c r="BO170" s="2814"/>
      <c r="BP170" s="2816"/>
      <c r="BQ170" s="2799"/>
      <c r="BV170"/>
      <c r="BW170"/>
      <c r="BX170"/>
    </row>
    <row r="171" spans="1:76" ht="36.75" customHeight="1">
      <c r="A171" s="2889" t="s">
        <v>1328</v>
      </c>
      <c r="B171" s="2889" t="s">
        <v>1549</v>
      </c>
      <c r="C171" s="2878" t="s">
        <v>3126</v>
      </c>
      <c r="D171" s="3285" t="s">
        <v>914</v>
      </c>
      <c r="E171" s="2794" t="s">
        <v>288</v>
      </c>
      <c r="F171" s="2837" t="s">
        <v>3123</v>
      </c>
      <c r="G171" s="2826" t="s">
        <v>287</v>
      </c>
      <c r="H171" s="2827" t="s">
        <v>3097</v>
      </c>
      <c r="I171" s="161" t="s">
        <v>3124</v>
      </c>
      <c r="J171" s="2850" t="s">
        <v>3125</v>
      </c>
      <c r="K171" s="2833" t="s">
        <v>3136</v>
      </c>
      <c r="L171" s="635"/>
      <c r="M171" s="635"/>
      <c r="N171" s="635"/>
      <c r="O171" s="635"/>
      <c r="P171" s="635"/>
      <c r="Q171" s="635"/>
      <c r="R171" s="635"/>
      <c r="S171" s="635"/>
      <c r="T171" s="635"/>
      <c r="U171" s="635"/>
      <c r="V171" s="635"/>
      <c r="W171" s="635"/>
      <c r="X171" s="635"/>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c r="AT171" s="635"/>
      <c r="AU171" s="160"/>
      <c r="AV171" s="160"/>
      <c r="BD171" s="16"/>
      <c r="BJ171" s="16"/>
      <c r="BK171" s="16"/>
      <c r="BO171" s="635"/>
      <c r="BP171" s="2938"/>
      <c r="BQ171" s="2939"/>
      <c r="BV171"/>
      <c r="BW171"/>
      <c r="BX171"/>
    </row>
    <row r="172" spans="1:76">
      <c r="A172" s="2544" t="s">
        <v>2442</v>
      </c>
      <c r="B172" s="2549" t="s">
        <v>1504</v>
      </c>
      <c r="C172" s="2542" t="s">
        <v>2443</v>
      </c>
      <c r="D172" s="3282">
        <f>SUMIFS(BCRR_REHAB!L:L,BCRR_REHAB!D:D,'Huella materiales (2)'!A172)</f>
        <v>0</v>
      </c>
      <c r="E172" s="1030">
        <f>'Datos_aux_materiales (2)'!M152</f>
        <v>73.002362399999996</v>
      </c>
      <c r="F172" s="2836">
        <f>D172*E172</f>
        <v>0</v>
      </c>
      <c r="G172" s="2823">
        <f>'Datos_aux_materiales (2)'!R152</f>
        <v>25</v>
      </c>
      <c r="H172" s="2825">
        <f t="shared" ref="H172" si="71">F172*G172</f>
        <v>0</v>
      </c>
      <c r="I172" s="2829">
        <f>H172/$AV$5*$AV$7</f>
        <v>0</v>
      </c>
      <c r="J172" s="2851">
        <f>I172/$AV$8</f>
        <v>0</v>
      </c>
      <c r="K172" s="2834">
        <f>F172*1.05</f>
        <v>0</v>
      </c>
      <c r="L172" s="635"/>
      <c r="M172" s="635"/>
      <c r="N172" s="635"/>
      <c r="O172" s="635"/>
      <c r="P172" s="635"/>
      <c r="Q172" s="635"/>
      <c r="R172" s="635"/>
      <c r="S172" s="635"/>
      <c r="T172" s="635"/>
      <c r="U172" s="635"/>
      <c r="V172" s="635"/>
      <c r="W172" s="635"/>
      <c r="X172" s="635"/>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c r="AT172" s="635"/>
      <c r="AU172" s="160"/>
      <c r="AV172" s="160"/>
      <c r="BD172" s="34"/>
      <c r="BJ172" s="16"/>
      <c r="BK172" s="16"/>
      <c r="BO172" s="635"/>
      <c r="BP172" s="635"/>
      <c r="BQ172" s="635"/>
      <c r="BV172"/>
      <c r="BW172"/>
      <c r="BX172"/>
    </row>
    <row r="173" spans="1:76" ht="18.5">
      <c r="A173" s="2900"/>
      <c r="B173" s="2881"/>
      <c r="C173" s="2811" t="s">
        <v>3115</v>
      </c>
      <c r="D173" s="3284"/>
      <c r="E173" s="2795"/>
      <c r="F173" s="2843">
        <f>SUM(F172)</f>
        <v>0</v>
      </c>
      <c r="G173" s="2844"/>
      <c r="H173" s="2842">
        <f>SUM(H172)</f>
        <v>0</v>
      </c>
      <c r="I173" s="2830">
        <f>H173/$AV$5*$AV$7</f>
        <v>0</v>
      </c>
      <c r="J173" s="2854">
        <f>I173/$AV$8</f>
        <v>0</v>
      </c>
      <c r="K173" s="2835">
        <f>SUM(K172)</f>
        <v>0</v>
      </c>
      <c r="L173" s="2795"/>
      <c r="M173" s="2795"/>
      <c r="N173" s="2795"/>
      <c r="O173" s="2795"/>
      <c r="P173" s="2795"/>
      <c r="Q173" s="2795"/>
      <c r="R173" s="2795"/>
      <c r="S173" s="2795"/>
      <c r="T173" s="2795"/>
      <c r="U173" s="2795"/>
      <c r="V173" s="2795"/>
      <c r="W173" s="2795"/>
      <c r="X173" s="2795"/>
      <c r="Y173" s="2795"/>
      <c r="Z173" s="2795"/>
      <c r="AA173" s="2795"/>
      <c r="AB173" s="2795"/>
      <c r="AC173" s="2795"/>
      <c r="AD173" s="2795"/>
      <c r="AE173" s="2795"/>
      <c r="AF173" s="2795"/>
      <c r="AG173" s="2795"/>
      <c r="AH173" s="635"/>
      <c r="AI173" s="635"/>
      <c r="AJ173" s="635"/>
      <c r="AK173" s="635"/>
      <c r="AL173" s="635"/>
      <c r="AM173" s="635"/>
      <c r="AN173" s="635"/>
      <c r="AO173" s="635"/>
      <c r="AP173" s="635"/>
      <c r="AQ173" s="635"/>
      <c r="AR173" s="635"/>
      <c r="AS173" s="635"/>
      <c r="AT173" s="635"/>
      <c r="AU173" s="167"/>
      <c r="AV173" s="167"/>
      <c r="AW173" s="16"/>
      <c r="AX173" s="16"/>
      <c r="AY173" s="16"/>
      <c r="AZ173" s="16"/>
      <c r="BA173" s="16"/>
      <c r="BB173" s="16"/>
      <c r="BC173" s="16"/>
      <c r="BD173" s="34"/>
      <c r="BE173" s="22"/>
      <c r="BF173" s="22"/>
      <c r="BG173" s="22"/>
      <c r="BH173" s="22"/>
      <c r="BJ173" s="16"/>
      <c r="BK173" s="16"/>
      <c r="BO173" s="635"/>
      <c r="BP173" s="635"/>
      <c r="BQ173" s="635"/>
      <c r="BV173"/>
      <c r="BW173"/>
      <c r="BX173"/>
    </row>
    <row r="174" spans="1:76" ht="18.5">
      <c r="A174" s="2909" t="s">
        <v>3046</v>
      </c>
      <c r="B174" s="2910"/>
      <c r="C174" s="2911"/>
      <c r="D174" s="3281"/>
      <c r="E174" s="2915"/>
      <c r="F174" s="2915"/>
      <c r="G174" s="2915"/>
      <c r="H174" s="2916"/>
      <c r="I174" s="2915"/>
      <c r="J174" s="2917"/>
      <c r="K174" s="2918"/>
      <c r="L174" s="2912"/>
      <c r="M174" s="2913"/>
      <c r="N174" s="2914"/>
      <c r="O174" s="2914"/>
      <c r="P174" s="2914"/>
      <c r="Q174" s="2914"/>
      <c r="R174" s="2914"/>
      <c r="S174" s="2914"/>
      <c r="T174" s="2914"/>
      <c r="U174" s="2914"/>
      <c r="V174" s="2914"/>
      <c r="W174" s="2914"/>
      <c r="X174" s="2914"/>
      <c r="Y174" s="2914"/>
      <c r="Z174" s="2914"/>
      <c r="AA174" s="2914"/>
      <c r="AB174" s="2914"/>
      <c r="AC174" s="2914"/>
      <c r="AD174" s="2914"/>
      <c r="AE174" s="2914"/>
      <c r="AF174" s="2914"/>
      <c r="AG174" s="2914"/>
      <c r="AH174" s="2916"/>
      <c r="AI174" s="2916"/>
      <c r="AJ174" s="2916"/>
      <c r="AK174" s="2916"/>
      <c r="AL174" s="2916"/>
      <c r="AM174" s="2916"/>
      <c r="AN174" s="2916"/>
      <c r="AO174" s="2916"/>
      <c r="AP174" s="2916"/>
      <c r="AQ174" s="2916"/>
      <c r="AR174" s="2916"/>
      <c r="AS174" s="2916"/>
      <c r="AT174" s="2799"/>
      <c r="AU174" s="160"/>
      <c r="AV174" s="160"/>
      <c r="BD174" s="34"/>
      <c r="BI174" s="22"/>
      <c r="BJ174" s="16"/>
      <c r="BK174" s="16"/>
      <c r="BO174" s="2814"/>
      <c r="BP174" s="2816"/>
      <c r="BQ174" s="2799"/>
      <c r="BV174"/>
      <c r="BW174"/>
      <c r="BX174"/>
    </row>
    <row r="175" spans="1:76" ht="36.75" customHeight="1">
      <c r="A175" s="2889" t="s">
        <v>1328</v>
      </c>
      <c r="B175" s="2889" t="s">
        <v>1549</v>
      </c>
      <c r="C175" s="2878" t="s">
        <v>3126</v>
      </c>
      <c r="D175" s="3285" t="s">
        <v>914</v>
      </c>
      <c r="E175" s="2794" t="s">
        <v>288</v>
      </c>
      <c r="F175" s="2837" t="s">
        <v>3123</v>
      </c>
      <c r="G175" s="2826" t="s">
        <v>287</v>
      </c>
      <c r="H175" s="2827" t="s">
        <v>3097</v>
      </c>
      <c r="I175" s="161" t="s">
        <v>3124</v>
      </c>
      <c r="J175" s="2850" t="s">
        <v>3125</v>
      </c>
      <c r="K175" s="2833" t="s">
        <v>3136</v>
      </c>
      <c r="L175" s="635"/>
      <c r="M175" s="635"/>
      <c r="N175" s="635"/>
      <c r="O175" s="635"/>
      <c r="P175" s="635"/>
      <c r="Q175" s="635"/>
      <c r="R175" s="635"/>
      <c r="S175" s="635"/>
      <c r="T175" s="635"/>
      <c r="U175" s="635"/>
      <c r="V175" s="635"/>
      <c r="W175" s="635"/>
      <c r="X175" s="635"/>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c r="AT175" s="635"/>
      <c r="AU175" s="160"/>
      <c r="AV175" s="160"/>
      <c r="BD175" s="34"/>
      <c r="BJ175" s="16"/>
      <c r="BK175" s="16"/>
      <c r="BO175" s="635"/>
      <c r="BP175" s="2938"/>
      <c r="BQ175" s="2939"/>
      <c r="BV175"/>
      <c r="BW175"/>
      <c r="BX175"/>
    </row>
    <row r="176" spans="1:76">
      <c r="A176" s="2535" t="s">
        <v>1113</v>
      </c>
      <c r="B176" s="2883" t="s">
        <v>1517</v>
      </c>
      <c r="C176" s="2522" t="s">
        <v>1537</v>
      </c>
      <c r="D176" s="3282">
        <f>SUMIFS(BCRR_REHAB!L:L,BCRR_REHAB!D:D,'Huella materiales (2)'!A176)</f>
        <v>0</v>
      </c>
      <c r="E176" s="1030">
        <f>'Datos_aux_materiales (2)'!M154</f>
        <v>2549.25</v>
      </c>
      <c r="F176" s="2836">
        <f t="shared" ref="F176:F184" si="72">D176*E176</f>
        <v>0</v>
      </c>
      <c r="G176" s="2823">
        <f>'Datos_aux_materiales (2)'!R154</f>
        <v>1E-3</v>
      </c>
      <c r="H176" s="2825">
        <f t="shared" ref="H176:H184" si="73">F176*G176</f>
        <v>0</v>
      </c>
      <c r="I176" s="2829">
        <f t="shared" ref="I176:I185" si="74">H176/$AV$5*$AV$7</f>
        <v>0</v>
      </c>
      <c r="J176" s="2851">
        <f t="shared" ref="J176:J185" si="75">I176/$AV$8</f>
        <v>0</v>
      </c>
      <c r="K176" s="2834">
        <f t="shared" ref="K176:K184" si="76">F176*1.05</f>
        <v>0</v>
      </c>
      <c r="L176" s="1663"/>
      <c r="M176" s="1663"/>
      <c r="N176" s="1663"/>
      <c r="O176" s="1663"/>
      <c r="P176" s="1663"/>
      <c r="Q176" s="1663"/>
      <c r="R176" s="1663"/>
      <c r="S176" s="1663"/>
      <c r="T176" s="1663"/>
      <c r="U176" s="1663"/>
      <c r="V176" s="1663"/>
      <c r="W176" s="1663"/>
      <c r="X176" s="105"/>
      <c r="Y176" s="105"/>
      <c r="Z176" s="105"/>
      <c r="AA176" s="105"/>
      <c r="AB176" s="105"/>
      <c r="AC176" s="105"/>
      <c r="AD176" s="105"/>
      <c r="AE176" s="105"/>
      <c r="AF176" s="105"/>
      <c r="AG176" s="105"/>
      <c r="AH176" s="119"/>
      <c r="AI176" s="16"/>
      <c r="AJ176" s="16"/>
      <c r="AK176" s="16"/>
      <c r="AL176" s="16"/>
      <c r="AM176" s="16"/>
      <c r="AN176" s="16"/>
      <c r="AO176" s="16"/>
      <c r="AP176" s="16"/>
      <c r="AQ176" s="16"/>
      <c r="AR176" s="16"/>
      <c r="AS176" s="16"/>
      <c r="AU176" s="160"/>
      <c r="AV176" s="160"/>
      <c r="BD176" s="16"/>
      <c r="BJ176" s="16"/>
      <c r="BK176" s="16"/>
      <c r="BO176" s="105"/>
      <c r="BP176" s="635"/>
      <c r="BQ176" s="635"/>
      <c r="BV176"/>
      <c r="BW176"/>
      <c r="BX176"/>
    </row>
    <row r="177" spans="1:76">
      <c r="A177" s="2535" t="s">
        <v>1095</v>
      </c>
      <c r="B177" s="2883" t="s">
        <v>1517</v>
      </c>
      <c r="C177" s="2522" t="s">
        <v>3045</v>
      </c>
      <c r="D177" s="3282">
        <f>SUMIFS(BCRR_REHAB!L:L,BCRR_REHAB!D:D,'Huella materiales (2)'!A177)</f>
        <v>0</v>
      </c>
      <c r="E177" s="1030">
        <f>'Datos_aux_materiales (2)'!M155</f>
        <v>2039.4</v>
      </c>
      <c r="F177" s="2836">
        <f t="shared" si="72"/>
        <v>0</v>
      </c>
      <c r="G177" s="2823">
        <f>'Datos_aux_materiales (2)'!R155</f>
        <v>1E-3</v>
      </c>
      <c r="H177" s="2825">
        <f t="shared" si="73"/>
        <v>0</v>
      </c>
      <c r="I177" s="2829">
        <f t="shared" si="74"/>
        <v>0</v>
      </c>
      <c r="J177" s="2851">
        <f t="shared" si="75"/>
        <v>0</v>
      </c>
      <c r="K177" s="2834">
        <f t="shared" si="76"/>
        <v>0</v>
      </c>
      <c r="L177" s="1663"/>
      <c r="M177" s="1663"/>
      <c r="N177" s="1663"/>
      <c r="O177" s="1663"/>
      <c r="P177" s="1663"/>
      <c r="Q177" s="1663"/>
      <c r="R177" s="1663"/>
      <c r="S177" s="1663"/>
      <c r="T177" s="1663"/>
      <c r="U177" s="1663"/>
      <c r="V177" s="1663"/>
      <c r="W177" s="1663"/>
      <c r="X177" s="105"/>
      <c r="Y177" s="105"/>
      <c r="Z177" s="105"/>
      <c r="AA177" s="105"/>
      <c r="AB177" s="105"/>
      <c r="AC177" s="105"/>
      <c r="AD177" s="105"/>
      <c r="AE177" s="105"/>
      <c r="AF177" s="105"/>
      <c r="AG177" s="105"/>
      <c r="AH177" s="119"/>
      <c r="AI177" s="16"/>
      <c r="AJ177" s="16"/>
      <c r="AK177" s="16"/>
      <c r="AL177" s="16"/>
      <c r="AM177" s="16"/>
      <c r="AN177" s="16"/>
      <c r="AO177" s="16"/>
      <c r="AP177" s="16"/>
      <c r="AQ177" s="16"/>
      <c r="AR177" s="16"/>
      <c r="AS177" s="16"/>
      <c r="AU177" s="160"/>
      <c r="AV177" s="160"/>
      <c r="BD177" s="34"/>
      <c r="BJ177" s="16"/>
      <c r="BK177" s="16"/>
      <c r="BO177" s="105"/>
      <c r="BP177" s="635"/>
      <c r="BQ177" s="635"/>
      <c r="BV177"/>
      <c r="BW177"/>
      <c r="BX177"/>
    </row>
    <row r="178" spans="1:76">
      <c r="A178" s="2562" t="s">
        <v>1092</v>
      </c>
      <c r="B178" s="2887" t="s">
        <v>1517</v>
      </c>
      <c r="C178" s="2561" t="s">
        <v>3044</v>
      </c>
      <c r="D178" s="3282">
        <f>SUMIFS(BCRR_REHAB!L:L,BCRR_REHAB!D:D,'Huella materiales (2)'!A178)</f>
        <v>0</v>
      </c>
      <c r="E178" s="1030">
        <f>'Datos_aux_materiales (2)'!M156</f>
        <v>2039.4</v>
      </c>
      <c r="F178" s="2836">
        <f t="shared" si="72"/>
        <v>0</v>
      </c>
      <c r="G178" s="2823">
        <f>'Datos_aux_materiales (2)'!R156</f>
        <v>1E-3</v>
      </c>
      <c r="H178" s="2825">
        <f t="shared" si="73"/>
        <v>0</v>
      </c>
      <c r="I178" s="2829">
        <f t="shared" si="74"/>
        <v>0</v>
      </c>
      <c r="J178" s="2851">
        <f t="shared" si="75"/>
        <v>0</v>
      </c>
      <c r="K178" s="2834">
        <f t="shared" si="76"/>
        <v>0</v>
      </c>
      <c r="L178" s="2814"/>
      <c r="M178" s="2815"/>
      <c r="N178" s="2814"/>
      <c r="O178" s="2814"/>
      <c r="P178" s="2814"/>
      <c r="Q178" s="2814"/>
      <c r="R178" s="2814"/>
      <c r="S178" s="2814"/>
      <c r="T178" s="2814"/>
      <c r="U178" s="2814"/>
      <c r="V178" s="2814"/>
      <c r="W178" s="2814"/>
      <c r="X178" s="2814"/>
      <c r="Y178" s="2814"/>
      <c r="Z178" s="2814"/>
      <c r="AA178" s="2814"/>
      <c r="AB178" s="2814"/>
      <c r="AC178" s="2814"/>
      <c r="AD178" s="2814"/>
      <c r="AE178" s="2814"/>
      <c r="AF178" s="2814"/>
      <c r="AG178" s="2814"/>
      <c r="AH178" s="2799"/>
      <c r="AI178" s="2799"/>
      <c r="AJ178" s="2799"/>
      <c r="AK178" s="2799"/>
      <c r="AL178" s="2799"/>
      <c r="AM178" s="2799"/>
      <c r="AN178" s="2799"/>
      <c r="AO178" s="2799"/>
      <c r="AP178" s="2799"/>
      <c r="AQ178" s="2799"/>
      <c r="AR178" s="2799"/>
      <c r="AS178" s="2799"/>
      <c r="AT178" s="2799"/>
      <c r="AU178" s="160"/>
      <c r="AV178" s="160"/>
      <c r="BD178" s="34"/>
      <c r="BJ178" s="16"/>
      <c r="BK178" s="16"/>
      <c r="BO178" s="2814"/>
      <c r="BP178" s="635"/>
      <c r="BQ178" s="635"/>
      <c r="BV178"/>
      <c r="BW178"/>
      <c r="BX178"/>
    </row>
    <row r="179" spans="1:76">
      <c r="A179" s="2535" t="s">
        <v>1093</v>
      </c>
      <c r="B179" s="2883" t="s">
        <v>1517</v>
      </c>
      <c r="C179" s="2522" t="s">
        <v>2727</v>
      </c>
      <c r="D179" s="3282">
        <f>SUMIFS(BCRR_REHAB!L:L,BCRR_REHAB!D:D,'Huella materiales (2)'!A179)</f>
        <v>0</v>
      </c>
      <c r="E179" s="1030">
        <f>'Datos_aux_materiales (2)'!M157</f>
        <v>3059.1</v>
      </c>
      <c r="F179" s="2836">
        <f t="shared" si="72"/>
        <v>0</v>
      </c>
      <c r="G179" s="2823">
        <f>'Datos_aux_materiales (2)'!R157</f>
        <v>1E-3</v>
      </c>
      <c r="H179" s="2825">
        <f t="shared" si="73"/>
        <v>0</v>
      </c>
      <c r="I179" s="2829">
        <f t="shared" si="74"/>
        <v>0</v>
      </c>
      <c r="J179" s="2851">
        <f t="shared" si="75"/>
        <v>0</v>
      </c>
      <c r="K179" s="2834">
        <f t="shared" si="76"/>
        <v>0</v>
      </c>
      <c r="L179" s="635"/>
      <c r="M179" s="635"/>
      <c r="N179" s="635"/>
      <c r="O179" s="635"/>
      <c r="P179" s="635"/>
      <c r="Q179" s="635"/>
      <c r="R179" s="635"/>
      <c r="S179" s="635"/>
      <c r="T179" s="635"/>
      <c r="U179" s="635"/>
      <c r="V179" s="635"/>
      <c r="W179" s="635"/>
      <c r="X179" s="635"/>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160"/>
      <c r="AV179" s="160"/>
      <c r="BD179" s="34"/>
      <c r="BJ179" s="16"/>
      <c r="BK179" s="16"/>
      <c r="BO179" s="635"/>
      <c r="BP179" s="635"/>
      <c r="BQ179" s="635"/>
      <c r="BV179"/>
      <c r="BW179"/>
      <c r="BX179"/>
    </row>
    <row r="180" spans="1:76">
      <c r="A180" s="2544" t="s">
        <v>1115</v>
      </c>
      <c r="B180" s="2549" t="s">
        <v>1527</v>
      </c>
      <c r="C180" s="2542" t="s">
        <v>1536</v>
      </c>
      <c r="D180" s="3282">
        <f>SUMIFS(BCRR_REHAB!L:L,BCRR_REHAB!D:D,'Huella materiales (2)'!A180)</f>
        <v>0</v>
      </c>
      <c r="E180" s="1030">
        <f>'Datos_aux_materiales (2)'!M158</f>
        <v>42.062625000000004</v>
      </c>
      <c r="F180" s="2836">
        <f t="shared" si="72"/>
        <v>0</v>
      </c>
      <c r="G180" s="2823">
        <f>'Datos_aux_materiales (2)'!R158</f>
        <v>1.0009999999999999</v>
      </c>
      <c r="H180" s="2825">
        <f t="shared" si="73"/>
        <v>0</v>
      </c>
      <c r="I180" s="2829">
        <f t="shared" si="74"/>
        <v>0</v>
      </c>
      <c r="J180" s="2851">
        <f t="shared" si="75"/>
        <v>0</v>
      </c>
      <c r="K180" s="2834">
        <f t="shared" si="76"/>
        <v>0</v>
      </c>
      <c r="L180" s="635"/>
      <c r="M180" s="635"/>
      <c r="N180" s="635"/>
      <c r="O180" s="635"/>
      <c r="P180" s="635"/>
      <c r="Q180" s="635"/>
      <c r="R180" s="635"/>
      <c r="S180" s="635"/>
      <c r="T180" s="635"/>
      <c r="U180" s="635"/>
      <c r="V180" s="635"/>
      <c r="W180" s="635"/>
      <c r="X180" s="635"/>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98"/>
      <c r="BD180" s="34"/>
      <c r="BJ180" s="16"/>
      <c r="BK180" s="16"/>
      <c r="BO180" s="635"/>
      <c r="BP180" s="635"/>
      <c r="BQ180" s="635"/>
      <c r="BV180"/>
      <c r="BW180"/>
      <c r="BX180"/>
    </row>
    <row r="181" spans="1:76">
      <c r="A181" s="2544" t="s">
        <v>1915</v>
      </c>
      <c r="B181" s="2549" t="s">
        <v>1527</v>
      </c>
      <c r="C181" s="2542" t="s">
        <v>1916</v>
      </c>
      <c r="D181" s="3282">
        <f>SUMIFS(BCRR_REHAB!L:L,BCRR_REHAB!D:D,'Huella materiales (2)'!A181)</f>
        <v>0</v>
      </c>
      <c r="E181" s="1030">
        <f>'Datos_aux_materiales (2)'!M159</f>
        <v>23.860979999999998</v>
      </c>
      <c r="F181" s="2836">
        <f t="shared" si="72"/>
        <v>0</v>
      </c>
      <c r="G181" s="2823">
        <f>'Datos_aux_materiales (2)'!R159</f>
        <v>1.37</v>
      </c>
      <c r="H181" s="2825">
        <f t="shared" si="73"/>
        <v>0</v>
      </c>
      <c r="I181" s="2829">
        <f t="shared" si="74"/>
        <v>0</v>
      </c>
      <c r="J181" s="2851">
        <f t="shared" si="75"/>
        <v>0</v>
      </c>
      <c r="K181" s="2834">
        <f t="shared" si="76"/>
        <v>0</v>
      </c>
      <c r="L181" s="635"/>
      <c r="M181" s="635"/>
      <c r="N181" s="635"/>
      <c r="O181" s="635"/>
      <c r="P181" s="635"/>
      <c r="Q181" s="635"/>
      <c r="R181" s="635"/>
      <c r="S181" s="635"/>
      <c r="T181" s="635"/>
      <c r="U181" s="635"/>
      <c r="V181" s="635"/>
      <c r="W181" s="635"/>
      <c r="X181" s="635"/>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BD181" s="34"/>
      <c r="BJ181" s="16"/>
      <c r="BK181" s="16"/>
      <c r="BO181" s="635"/>
      <c r="BP181" s="635"/>
      <c r="BQ181" s="635"/>
      <c r="BV181"/>
      <c r="BW181"/>
      <c r="BX181"/>
    </row>
    <row r="182" spans="1:76">
      <c r="A182" s="2544" t="s">
        <v>1922</v>
      </c>
      <c r="B182" s="2549" t="s">
        <v>1527</v>
      </c>
      <c r="C182" s="2542" t="s">
        <v>1923</v>
      </c>
      <c r="D182" s="3282">
        <f>SUMIFS(BCRR_REHAB!L:L,BCRR_REHAB!D:D,'Huella materiales (2)'!A182)</f>
        <v>2.9368300000000005</v>
      </c>
      <c r="E182" s="1030">
        <f>'Datos_aux_materiales (2)'!M160</f>
        <v>39.768300000000004</v>
      </c>
      <c r="F182" s="2836">
        <f t="shared" si="72"/>
        <v>116.79273648900003</v>
      </c>
      <c r="G182" s="2823">
        <f>'Datos_aux_materiales (2)'!R160</f>
        <v>1.37</v>
      </c>
      <c r="H182" s="2825">
        <f t="shared" si="73"/>
        <v>160.00604898993006</v>
      </c>
      <c r="I182" s="2829">
        <f t="shared" si="74"/>
        <v>2.8395439679903081E-3</v>
      </c>
      <c r="J182" s="2851">
        <f t="shared" si="75"/>
        <v>6.003546344604403E-5</v>
      </c>
      <c r="K182" s="2834">
        <f t="shared" si="76"/>
        <v>122.63237331345005</v>
      </c>
      <c r="L182" s="635"/>
      <c r="M182" s="635"/>
      <c r="N182" s="635"/>
      <c r="O182" s="635"/>
      <c r="P182" s="635"/>
      <c r="Q182" s="635"/>
      <c r="R182" s="635"/>
      <c r="S182" s="635"/>
      <c r="T182" s="635"/>
      <c r="U182" s="635"/>
      <c r="V182" s="635"/>
      <c r="W182" s="635"/>
      <c r="X182" s="63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c r="AT182" s="635"/>
      <c r="BD182" s="16"/>
      <c r="BJ182" s="16"/>
      <c r="BK182" s="16"/>
      <c r="BO182" s="635"/>
      <c r="BP182" s="635"/>
      <c r="BQ182" s="635"/>
      <c r="BV182"/>
      <c r="BW182"/>
      <c r="BX182"/>
    </row>
    <row r="183" spans="1:76">
      <c r="A183" s="2630" t="s">
        <v>1098</v>
      </c>
      <c r="B183" s="2883" t="s">
        <v>1507</v>
      </c>
      <c r="C183" s="2551" t="s">
        <v>1525</v>
      </c>
      <c r="D183" s="3282">
        <f>SUMIFS(BCRR_REHAB!L:L,BCRR_REHAB!D:D,'Huella materiales (2)'!A183)</f>
        <v>0</v>
      </c>
      <c r="E183" s="1030">
        <f>'Datos_aux_materiales (2)'!M161</f>
        <v>127.46250000000001</v>
      </c>
      <c r="F183" s="2836">
        <f t="shared" si="72"/>
        <v>0</v>
      </c>
      <c r="G183" s="2823">
        <f>'Datos_aux_materiales (2)'!R161</f>
        <v>1.0009999999999999</v>
      </c>
      <c r="H183" s="2825">
        <f t="shared" si="73"/>
        <v>0</v>
      </c>
      <c r="I183" s="2829">
        <f t="shared" si="74"/>
        <v>0</v>
      </c>
      <c r="J183" s="2851">
        <f t="shared" si="75"/>
        <v>0</v>
      </c>
      <c r="K183" s="2834">
        <f t="shared" si="76"/>
        <v>0</v>
      </c>
      <c r="L183" s="635"/>
      <c r="M183" s="635"/>
      <c r="N183" s="635"/>
      <c r="O183" s="635"/>
      <c r="P183" s="635"/>
      <c r="Q183" s="635"/>
      <c r="R183" s="635"/>
      <c r="S183" s="635"/>
      <c r="T183" s="635"/>
      <c r="U183" s="635"/>
      <c r="V183" s="635"/>
      <c r="W183" s="635"/>
      <c r="X183" s="635"/>
      <c r="Y183" s="635"/>
      <c r="Z183" s="635"/>
      <c r="AA183" s="635"/>
      <c r="AB183" s="635"/>
      <c r="AC183" s="635"/>
      <c r="AD183" s="635"/>
      <c r="AE183" s="635"/>
      <c r="AF183" s="635"/>
      <c r="AG183" s="635"/>
      <c r="AH183" s="635"/>
      <c r="AI183" s="635"/>
      <c r="AJ183" s="635"/>
      <c r="AK183" s="635"/>
      <c r="AL183" s="635"/>
      <c r="AM183" s="635"/>
      <c r="AN183" s="635"/>
      <c r="AO183" s="635"/>
      <c r="AP183" s="635"/>
      <c r="AQ183" s="635"/>
      <c r="AR183" s="635"/>
      <c r="AS183" s="635"/>
      <c r="AT183" s="635"/>
      <c r="AU183" s="22"/>
      <c r="AV183" s="22"/>
      <c r="AW183" s="22"/>
      <c r="AX183" s="22"/>
      <c r="AY183" s="22"/>
      <c r="AZ183" s="22"/>
      <c r="BA183" s="22"/>
      <c r="BB183" s="22"/>
      <c r="BC183" s="22"/>
      <c r="BD183" s="34"/>
      <c r="BE183" s="22"/>
      <c r="BF183" s="22"/>
      <c r="BG183" s="22"/>
      <c r="BH183" s="22"/>
      <c r="BJ183" s="16"/>
      <c r="BK183" s="16"/>
      <c r="BO183" s="635"/>
      <c r="BP183" s="635"/>
      <c r="BQ183" s="635"/>
      <c r="BV183"/>
      <c r="BW183"/>
      <c r="BX183"/>
    </row>
    <row r="184" spans="1:76" s="22" customFormat="1">
      <c r="A184" s="2535" t="s">
        <v>1649</v>
      </c>
      <c r="B184" s="2883" t="s">
        <v>1527</v>
      </c>
      <c r="C184" s="2522" t="s">
        <v>1650</v>
      </c>
      <c r="D184" s="3282">
        <f>SUMIFS(BCRR_REHAB!L:L,BCRR_REHAB!D:D,'Huella materiales (2)'!A184)</f>
        <v>0</v>
      </c>
      <c r="E184" s="1030">
        <f>'Datos_aux_materiales (2)'!M162</f>
        <v>48.050813249999997</v>
      </c>
      <c r="F184" s="2836">
        <f t="shared" si="72"/>
        <v>0</v>
      </c>
      <c r="G184" s="2823">
        <f>'Datos_aux_materiales (2)'!R162</f>
        <v>1.37</v>
      </c>
      <c r="H184" s="2825">
        <f t="shared" si="73"/>
        <v>0</v>
      </c>
      <c r="I184" s="2829">
        <f t="shared" si="74"/>
        <v>0</v>
      </c>
      <c r="J184" s="2851">
        <f t="shared" si="75"/>
        <v>0</v>
      </c>
      <c r="K184" s="2834">
        <f t="shared" si="76"/>
        <v>0</v>
      </c>
      <c r="L184" s="635"/>
      <c r="M184" s="635"/>
      <c r="N184" s="635"/>
      <c r="O184" s="635"/>
      <c r="P184" s="635"/>
      <c r="Q184" s="635"/>
      <c r="R184" s="635"/>
      <c r="S184" s="635"/>
      <c r="T184" s="635"/>
      <c r="U184" s="635"/>
      <c r="V184" s="635"/>
      <c r="W184" s="635"/>
      <c r="X184" s="635"/>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c r="AV184"/>
      <c r="AW184"/>
      <c r="AX184"/>
      <c r="AY184"/>
      <c r="AZ184"/>
      <c r="BA184"/>
      <c r="BB184"/>
      <c r="BC184"/>
      <c r="BD184" s="16"/>
      <c r="BE184"/>
      <c r="BF184"/>
      <c r="BG184"/>
      <c r="BH184"/>
      <c r="BJ184" s="16"/>
      <c r="BK184" s="16"/>
      <c r="BL184" s="16"/>
      <c r="BM184" s="16"/>
      <c r="BN184" s="16"/>
      <c r="BO184" s="635"/>
      <c r="BP184" s="635"/>
      <c r="BQ184" s="635"/>
      <c r="BR184" s="16"/>
      <c r="BS184" s="16"/>
      <c r="BT184" s="16"/>
      <c r="BU184" s="16"/>
    </row>
    <row r="185" spans="1:76" ht="18.5">
      <c r="A185" s="2900"/>
      <c r="B185" s="2881"/>
      <c r="C185" s="2811" t="s">
        <v>3114</v>
      </c>
      <c r="D185" s="3284"/>
      <c r="E185" s="2795"/>
      <c r="F185" s="2843">
        <f>SUM(F176:F184)</f>
        <v>116.79273648900003</v>
      </c>
      <c r="G185" s="2844"/>
      <c r="H185" s="2842">
        <f>SUM(H176:H184)</f>
        <v>160.00604898993006</v>
      </c>
      <c r="I185" s="2830">
        <f t="shared" si="74"/>
        <v>2.8395439679903081E-3</v>
      </c>
      <c r="J185" s="2854">
        <f t="shared" si="75"/>
        <v>6.003546344604403E-5</v>
      </c>
      <c r="K185" s="2835">
        <f>SUM(K176:K184)</f>
        <v>122.63237331345005</v>
      </c>
      <c r="L185" s="2795"/>
      <c r="M185" s="2795"/>
      <c r="N185" s="2795"/>
      <c r="O185" s="2795"/>
      <c r="P185" s="2795"/>
      <c r="Q185" s="2795"/>
      <c r="R185" s="2795"/>
      <c r="S185" s="2795"/>
      <c r="T185" s="2795"/>
      <c r="U185" s="2795"/>
      <c r="V185" s="2795"/>
      <c r="W185" s="2795"/>
      <c r="X185" s="2795"/>
      <c r="Y185" s="2795"/>
      <c r="Z185" s="2795"/>
      <c r="AA185" s="2795"/>
      <c r="AB185" s="2795"/>
      <c r="AC185" s="2795"/>
      <c r="AD185" s="2795"/>
      <c r="AE185" s="2795"/>
      <c r="AF185" s="2795"/>
      <c r="AG185" s="2795"/>
      <c r="AH185" s="635"/>
      <c r="AI185" s="635"/>
      <c r="AJ185" s="635"/>
      <c r="AK185" s="635"/>
      <c r="AL185" s="635"/>
      <c r="AM185" s="635"/>
      <c r="AN185" s="635"/>
      <c r="AO185" s="635"/>
      <c r="AP185" s="635"/>
      <c r="AQ185" s="635"/>
      <c r="AR185" s="635"/>
      <c r="AS185" s="635"/>
      <c r="AT185" s="635"/>
      <c r="AU185" s="167"/>
      <c r="AV185" s="167"/>
      <c r="AW185" s="22"/>
      <c r="AX185" s="22"/>
      <c r="AY185" s="22"/>
      <c r="AZ185" s="22"/>
      <c r="BA185" s="22"/>
      <c r="BB185" s="22"/>
      <c r="BC185" s="22"/>
      <c r="BD185" s="34"/>
      <c r="BE185" s="22"/>
      <c r="BF185" s="22"/>
      <c r="BG185" s="22"/>
      <c r="BH185" s="22"/>
      <c r="BJ185" s="16"/>
      <c r="BK185" s="16"/>
      <c r="BO185" s="635"/>
      <c r="BP185" s="635"/>
      <c r="BQ185" s="635"/>
      <c r="BV185"/>
      <c r="BW185"/>
      <c r="BX185"/>
    </row>
    <row r="186" spans="1:76" s="22" customFormat="1" ht="18.5">
      <c r="A186" s="2909" t="s">
        <v>2980</v>
      </c>
      <c r="B186" s="2910"/>
      <c r="C186" s="2911"/>
      <c r="D186" s="3281"/>
      <c r="E186" s="2915"/>
      <c r="F186" s="2915"/>
      <c r="G186" s="2915"/>
      <c r="H186" s="2916"/>
      <c r="I186" s="2915"/>
      <c r="J186" s="2917"/>
      <c r="K186" s="2918"/>
      <c r="L186" s="2912"/>
      <c r="M186" s="2913"/>
      <c r="N186" s="2914"/>
      <c r="O186" s="2914"/>
      <c r="P186" s="2914"/>
      <c r="Q186" s="2914"/>
      <c r="R186" s="2914"/>
      <c r="S186" s="2914"/>
      <c r="T186" s="2914"/>
      <c r="U186" s="2914"/>
      <c r="V186" s="2914"/>
      <c r="W186" s="2914"/>
      <c r="X186" s="2914"/>
      <c r="Y186" s="2914"/>
      <c r="Z186" s="2914"/>
      <c r="AA186" s="2914"/>
      <c r="AB186" s="2914"/>
      <c r="AC186" s="2914"/>
      <c r="AD186" s="2914"/>
      <c r="AE186" s="2914"/>
      <c r="AF186" s="2914"/>
      <c r="AG186" s="2914"/>
      <c r="AH186" s="2916"/>
      <c r="AI186" s="2916"/>
      <c r="AJ186" s="2916"/>
      <c r="AK186" s="2916"/>
      <c r="AL186" s="2916"/>
      <c r="AM186" s="2916"/>
      <c r="AN186" s="2916"/>
      <c r="AO186" s="2916"/>
      <c r="AP186" s="2916"/>
      <c r="AQ186" s="2916"/>
      <c r="AR186" s="2916"/>
      <c r="AS186" s="2916"/>
      <c r="AT186" s="2799"/>
      <c r="AU186" s="167"/>
      <c r="AV186" s="167"/>
      <c r="AW186" s="16"/>
      <c r="AX186" s="16"/>
      <c r="AY186" s="16"/>
      <c r="AZ186" s="16"/>
      <c r="BA186" s="16"/>
      <c r="BB186" s="16"/>
      <c r="BC186" s="16"/>
      <c r="BD186" s="34"/>
      <c r="BJ186" s="16"/>
      <c r="BK186" s="16"/>
      <c r="BL186" s="16"/>
      <c r="BM186" s="16"/>
      <c r="BN186" s="16"/>
      <c r="BO186" s="2814"/>
      <c r="BP186" s="2816"/>
      <c r="BQ186" s="2799"/>
      <c r="BR186" s="16"/>
      <c r="BS186" s="16"/>
      <c r="BT186" s="16"/>
      <c r="BU186" s="16"/>
    </row>
    <row r="187" spans="1:76" ht="45" customHeight="1">
      <c r="A187" s="2889" t="s">
        <v>1328</v>
      </c>
      <c r="B187" s="2889" t="s">
        <v>1549</v>
      </c>
      <c r="C187" s="2878" t="s">
        <v>3126</v>
      </c>
      <c r="D187" s="3285" t="s">
        <v>914</v>
      </c>
      <c r="E187" s="2794" t="s">
        <v>288</v>
      </c>
      <c r="F187" s="2837" t="s">
        <v>3123</v>
      </c>
      <c r="G187" s="2826" t="s">
        <v>287</v>
      </c>
      <c r="H187" s="2827" t="s">
        <v>3097</v>
      </c>
      <c r="I187" s="161" t="s">
        <v>3124</v>
      </c>
      <c r="J187" s="2850" t="s">
        <v>3125</v>
      </c>
      <c r="K187" s="2833" t="s">
        <v>3136</v>
      </c>
      <c r="L187" s="635"/>
      <c r="M187" s="635"/>
      <c r="N187" s="635"/>
      <c r="O187" s="635"/>
      <c r="P187" s="635"/>
      <c r="Q187" s="635"/>
      <c r="R187" s="635"/>
      <c r="S187" s="635"/>
      <c r="T187" s="635"/>
      <c r="U187" s="635"/>
      <c r="V187" s="635"/>
      <c r="W187" s="635"/>
      <c r="X187" s="635"/>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c r="AT187" s="635"/>
      <c r="AU187" s="167"/>
      <c r="AV187" s="167"/>
      <c r="AW187" s="22"/>
      <c r="AX187" s="22"/>
      <c r="AY187" s="22"/>
      <c r="AZ187" s="22"/>
      <c r="BA187" s="22"/>
      <c r="BB187" s="22"/>
      <c r="BC187" s="22"/>
      <c r="BD187" s="34"/>
      <c r="BE187" s="22"/>
      <c r="BF187" s="22"/>
      <c r="BG187" s="22"/>
      <c r="BH187" s="22"/>
      <c r="BI187" s="22"/>
      <c r="BJ187" s="16"/>
      <c r="BK187" s="16"/>
      <c r="BO187" s="635"/>
      <c r="BP187" s="2938"/>
      <c r="BQ187" s="2939"/>
      <c r="BV187"/>
      <c r="BW187"/>
      <c r="BX187"/>
    </row>
    <row r="188" spans="1:76" s="22" customFormat="1">
      <c r="A188" s="2615" t="s">
        <v>2499</v>
      </c>
      <c r="B188" s="2884" t="s">
        <v>1504</v>
      </c>
      <c r="C188" s="2613" t="s">
        <v>2500</v>
      </c>
      <c r="D188" s="3282">
        <f>SUMIFS(BCRR_REHAB!L:L,BCRR_REHAB!D:D,'Huella materiales (2)'!A188)</f>
        <v>0</v>
      </c>
      <c r="E188" s="1030">
        <f>'Datos_aux_materiales (2)'!M164</f>
        <v>14.98959</v>
      </c>
      <c r="F188" s="2836">
        <f t="shared" ref="F188:F198" si="77">D188*E188</f>
        <v>0</v>
      </c>
      <c r="G188" s="2823">
        <f>'Datos_aux_materiales (2)'!R164</f>
        <v>68.3</v>
      </c>
      <c r="H188" s="2825">
        <f t="shared" ref="H188:H198" si="78">F188*G188</f>
        <v>0</v>
      </c>
      <c r="I188" s="2829">
        <f t="shared" ref="I188:I199" si="79">H188/$AV$5*$AV$7</f>
        <v>0</v>
      </c>
      <c r="J188" s="2851">
        <f t="shared" ref="J188:J199" si="80">I188/$AV$8</f>
        <v>0</v>
      </c>
      <c r="K188" s="2834">
        <f t="shared" ref="K188:K198" si="81">F188*1.05</f>
        <v>0</v>
      </c>
      <c r="L188" s="635"/>
      <c r="M188" s="635"/>
      <c r="N188" s="635"/>
      <c r="O188" s="635"/>
      <c r="P188" s="635"/>
      <c r="Q188" s="635"/>
      <c r="R188" s="635"/>
      <c r="S188" s="635"/>
      <c r="T188" s="635"/>
      <c r="U188" s="635"/>
      <c r="V188" s="635"/>
      <c r="W188" s="635"/>
      <c r="X188" s="635"/>
      <c r="Y188" s="635"/>
      <c r="Z188" s="635"/>
      <c r="AA188" s="635"/>
      <c r="AB188" s="635"/>
      <c r="AC188" s="635"/>
      <c r="AD188" s="635"/>
      <c r="AE188" s="635"/>
      <c r="AF188" s="635"/>
      <c r="AG188" s="635"/>
      <c r="AH188" s="635"/>
      <c r="AI188" s="635"/>
      <c r="AJ188" s="635"/>
      <c r="AK188" s="635"/>
      <c r="AL188" s="635"/>
      <c r="AM188" s="635"/>
      <c r="AN188" s="635"/>
      <c r="AO188" s="635"/>
      <c r="AP188" s="635"/>
      <c r="AQ188" s="635"/>
      <c r="AR188" s="635"/>
      <c r="AS188" s="635"/>
      <c r="AT188" s="635"/>
      <c r="AU188" s="167"/>
      <c r="AV188" s="167"/>
      <c r="BD188" s="34"/>
      <c r="BJ188" s="16"/>
      <c r="BK188" s="16"/>
      <c r="BL188" s="16"/>
      <c r="BM188" s="16"/>
      <c r="BN188" s="16"/>
      <c r="BO188" s="635"/>
      <c r="BP188" s="635"/>
      <c r="BQ188" s="635"/>
      <c r="BR188" s="16"/>
      <c r="BS188" s="16"/>
      <c r="BT188" s="16"/>
      <c r="BU188" s="16"/>
    </row>
    <row r="189" spans="1:76" s="22" customFormat="1">
      <c r="A189" s="2523" t="s">
        <v>2489</v>
      </c>
      <c r="B189" s="2565" t="s">
        <v>1504</v>
      </c>
      <c r="C189" s="2522" t="s">
        <v>2490</v>
      </c>
      <c r="D189" s="3282">
        <f>SUMIFS(BCRR_REHAB!L:L,BCRR_REHAB!D:D,'Huella materiales (2)'!A189)</f>
        <v>0</v>
      </c>
      <c r="E189" s="1030">
        <f>'Datos_aux_materiales (2)'!M165</f>
        <v>14.98959</v>
      </c>
      <c r="F189" s="2836">
        <f t="shared" si="77"/>
        <v>0</v>
      </c>
      <c r="G189" s="2823">
        <f>'Datos_aux_materiales (2)'!R165</f>
        <v>68.3</v>
      </c>
      <c r="H189" s="2825">
        <f t="shared" si="78"/>
        <v>0</v>
      </c>
      <c r="I189" s="2829">
        <f t="shared" si="79"/>
        <v>0</v>
      </c>
      <c r="J189" s="2851">
        <f t="shared" si="80"/>
        <v>0</v>
      </c>
      <c r="K189" s="2834">
        <f t="shared" si="81"/>
        <v>0</v>
      </c>
      <c r="L189" s="2814"/>
      <c r="M189" s="2815"/>
      <c r="N189" s="2814"/>
      <c r="O189" s="2814"/>
      <c r="P189" s="2814"/>
      <c r="Q189" s="2814"/>
      <c r="R189" s="2814"/>
      <c r="S189" s="2814"/>
      <c r="T189" s="2814"/>
      <c r="U189" s="2814"/>
      <c r="V189" s="2814"/>
      <c r="W189" s="2814"/>
      <c r="X189" s="2814"/>
      <c r="Y189" s="2814"/>
      <c r="Z189" s="2814"/>
      <c r="AA189" s="2814"/>
      <c r="AB189" s="2814"/>
      <c r="AC189" s="2814"/>
      <c r="AD189" s="2814"/>
      <c r="AE189" s="2814"/>
      <c r="AF189" s="2814"/>
      <c r="AG189" s="2814"/>
      <c r="AH189" s="2799"/>
      <c r="AI189" s="2799"/>
      <c r="AJ189" s="2799"/>
      <c r="AK189" s="2799"/>
      <c r="AL189" s="2799"/>
      <c r="AM189" s="2799"/>
      <c r="AN189" s="2799"/>
      <c r="AO189" s="2799"/>
      <c r="AP189" s="2799"/>
      <c r="AQ189" s="2799"/>
      <c r="AR189" s="2799"/>
      <c r="AS189" s="2799"/>
      <c r="AT189" s="2799"/>
      <c r="AU189" s="167"/>
      <c r="AV189" s="167"/>
      <c r="BD189" s="34"/>
      <c r="BJ189" s="16"/>
      <c r="BK189" s="16"/>
      <c r="BL189" s="16"/>
      <c r="BM189" s="16"/>
      <c r="BN189" s="16"/>
      <c r="BO189" s="2814"/>
      <c r="BP189" s="635"/>
      <c r="BQ189" s="635"/>
      <c r="BR189" s="16"/>
      <c r="BS189" s="16"/>
      <c r="BT189" s="16"/>
      <c r="BU189" s="16"/>
    </row>
    <row r="190" spans="1:76" s="22" customFormat="1">
      <c r="A190" s="2615" t="s">
        <v>2503</v>
      </c>
      <c r="B190" s="2884" t="s">
        <v>1504</v>
      </c>
      <c r="C190" s="2613" t="s">
        <v>2504</v>
      </c>
      <c r="D190" s="3282">
        <f>SUMIFS(BCRR_REHAB!L:L,BCRR_REHAB!D:D,'Huella materiales (2)'!A190)</f>
        <v>0</v>
      </c>
      <c r="E190" s="1030">
        <f>'Datos_aux_materiales (2)'!M166</f>
        <v>14.98959</v>
      </c>
      <c r="F190" s="2836">
        <f t="shared" si="77"/>
        <v>0</v>
      </c>
      <c r="G190" s="2823">
        <f>'Datos_aux_materiales (2)'!R166</f>
        <v>68.3</v>
      </c>
      <c r="H190" s="2825">
        <f t="shared" si="78"/>
        <v>0</v>
      </c>
      <c r="I190" s="2829">
        <f t="shared" si="79"/>
        <v>0</v>
      </c>
      <c r="J190" s="2851">
        <f t="shared" si="80"/>
        <v>0</v>
      </c>
      <c r="K190" s="2834">
        <f t="shared" si="81"/>
        <v>0</v>
      </c>
      <c r="L190" s="635"/>
      <c r="M190" s="635"/>
      <c r="N190" s="635"/>
      <c r="O190" s="635"/>
      <c r="P190" s="635"/>
      <c r="Q190" s="635"/>
      <c r="R190" s="635"/>
      <c r="S190" s="635"/>
      <c r="T190" s="635"/>
      <c r="U190" s="635"/>
      <c r="V190" s="635"/>
      <c r="W190" s="635"/>
      <c r="X190" s="635"/>
      <c r="Y190" s="635"/>
      <c r="Z190" s="635"/>
      <c r="AA190" s="635"/>
      <c r="AB190" s="635"/>
      <c r="AC190" s="635"/>
      <c r="AD190" s="635"/>
      <c r="AE190" s="635"/>
      <c r="AF190" s="635"/>
      <c r="AG190" s="635"/>
      <c r="AH190" s="635"/>
      <c r="AI190" s="635"/>
      <c r="AJ190" s="635"/>
      <c r="AK190" s="635"/>
      <c r="AL190" s="635"/>
      <c r="AM190" s="635"/>
      <c r="AN190" s="635"/>
      <c r="AO190" s="635"/>
      <c r="AP190" s="635"/>
      <c r="AQ190" s="635"/>
      <c r="AR190" s="635"/>
      <c r="AS190" s="635"/>
      <c r="AT190" s="635"/>
      <c r="AU190" s="167"/>
      <c r="AV190" s="167"/>
      <c r="BD190" s="34"/>
      <c r="BJ190" s="16"/>
      <c r="BK190" s="16"/>
      <c r="BL190" s="16"/>
      <c r="BM190" s="16"/>
      <c r="BN190" s="16"/>
      <c r="BO190" s="635"/>
      <c r="BP190" s="635"/>
      <c r="BQ190" s="635"/>
      <c r="BR190" s="16"/>
      <c r="BS190" s="16"/>
      <c r="BT190" s="16"/>
      <c r="BU190" s="16"/>
    </row>
    <row r="191" spans="1:76" s="22" customFormat="1">
      <c r="A191" s="2615" t="s">
        <v>2495</v>
      </c>
      <c r="B191" s="2884" t="s">
        <v>1504</v>
      </c>
      <c r="C191" s="2613" t="s">
        <v>2496</v>
      </c>
      <c r="D191" s="3282">
        <f>SUMIFS(BCRR_REHAB!L:L,BCRR_REHAB!D:D,'Huella materiales (2)'!A191)</f>
        <v>0</v>
      </c>
      <c r="E191" s="1030">
        <f>'Datos_aux_materiales (2)'!M167</f>
        <v>14.98959</v>
      </c>
      <c r="F191" s="2836">
        <f t="shared" si="77"/>
        <v>0</v>
      </c>
      <c r="G191" s="2823">
        <f>'Datos_aux_materiales (2)'!R167</f>
        <v>68.3</v>
      </c>
      <c r="H191" s="2825">
        <f t="shared" si="78"/>
        <v>0</v>
      </c>
      <c r="I191" s="2829">
        <f t="shared" si="79"/>
        <v>0</v>
      </c>
      <c r="J191" s="2851">
        <f t="shared" si="80"/>
        <v>0</v>
      </c>
      <c r="K191" s="2834">
        <f t="shared" si="81"/>
        <v>0</v>
      </c>
      <c r="L191" s="635"/>
      <c r="M191" s="635"/>
      <c r="N191" s="635"/>
      <c r="O191" s="635"/>
      <c r="P191" s="635"/>
      <c r="Q191" s="635"/>
      <c r="R191" s="635"/>
      <c r="S191" s="635"/>
      <c r="T191" s="635"/>
      <c r="U191" s="635"/>
      <c r="V191" s="635"/>
      <c r="W191" s="635"/>
      <c r="X191" s="635"/>
      <c r="Y191" s="635"/>
      <c r="Z191" s="635"/>
      <c r="AA191" s="635"/>
      <c r="AB191" s="635"/>
      <c r="AC191" s="635"/>
      <c r="AD191" s="635"/>
      <c r="AE191" s="635"/>
      <c r="AF191" s="635"/>
      <c r="AG191" s="635"/>
      <c r="AH191" s="635"/>
      <c r="AI191" s="635"/>
      <c r="AJ191" s="635"/>
      <c r="AK191" s="635"/>
      <c r="AL191" s="635"/>
      <c r="AM191" s="635"/>
      <c r="AN191" s="635"/>
      <c r="AO191" s="635"/>
      <c r="AP191" s="635"/>
      <c r="AQ191" s="635"/>
      <c r="AR191" s="635"/>
      <c r="AS191" s="635"/>
      <c r="AT191" s="635"/>
      <c r="AU191"/>
      <c r="AV191" s="16"/>
      <c r="AW191" s="16"/>
      <c r="AX191" s="16"/>
      <c r="AY191" s="16"/>
      <c r="AZ191"/>
      <c r="BA191"/>
      <c r="BB191"/>
      <c r="BC191"/>
      <c r="BD191"/>
      <c r="BE191"/>
      <c r="BF191"/>
      <c r="BG191"/>
      <c r="BH191"/>
      <c r="BJ191" s="16"/>
      <c r="BK191" s="16"/>
      <c r="BL191" s="16"/>
      <c r="BM191" s="16"/>
      <c r="BN191" s="16"/>
      <c r="BO191" s="635"/>
      <c r="BP191" s="635"/>
      <c r="BQ191" s="635"/>
      <c r="BR191" s="16"/>
      <c r="BS191" s="16"/>
      <c r="BT191" s="16"/>
      <c r="BU191" s="16"/>
    </row>
    <row r="192" spans="1:76">
      <c r="A192" s="2590" t="s">
        <v>2373</v>
      </c>
      <c r="B192" s="2885" t="s">
        <v>1504</v>
      </c>
      <c r="C192" s="2588" t="s">
        <v>2374</v>
      </c>
      <c r="D192" s="3282">
        <f>SUMIFS(BCRR_REHAB!L:L,BCRR_REHAB!D:D,'Huella materiales (2)'!A192)</f>
        <v>0</v>
      </c>
      <c r="E192" s="1030">
        <f>'Datos_aux_materiales (2)'!M168</f>
        <v>8.351343</v>
      </c>
      <c r="F192" s="2836">
        <f t="shared" si="77"/>
        <v>0</v>
      </c>
      <c r="G192" s="2823">
        <f>'Datos_aux_materiales (2)'!R168</f>
        <v>68.3</v>
      </c>
      <c r="H192" s="2825">
        <f t="shared" si="78"/>
        <v>0</v>
      </c>
      <c r="I192" s="2829">
        <f t="shared" si="79"/>
        <v>0</v>
      </c>
      <c r="J192" s="2851">
        <f t="shared" si="80"/>
        <v>0</v>
      </c>
      <c r="K192" s="2834">
        <f t="shared" si="81"/>
        <v>0</v>
      </c>
      <c r="L192" s="635"/>
      <c r="M192" s="635"/>
      <c r="N192" s="635"/>
      <c r="O192" s="635"/>
      <c r="P192" s="635"/>
      <c r="Q192" s="635"/>
      <c r="R192" s="635"/>
      <c r="S192" s="635"/>
      <c r="T192" s="635"/>
      <c r="U192" s="635"/>
      <c r="V192" s="635"/>
      <c r="W192" s="635"/>
      <c r="X192" s="635"/>
      <c r="Y192" s="635"/>
      <c r="Z192" s="635"/>
      <c r="AA192" s="635"/>
      <c r="AB192" s="635"/>
      <c r="AC192" s="635"/>
      <c r="AD192" s="635"/>
      <c r="AE192" s="635"/>
      <c r="AF192" s="635"/>
      <c r="AG192" s="635"/>
      <c r="AH192" s="635"/>
      <c r="AI192" s="635"/>
      <c r="AJ192" s="635"/>
      <c r="AK192" s="635"/>
      <c r="AL192" s="635"/>
      <c r="AM192" s="635"/>
      <c r="AN192" s="635"/>
      <c r="AO192" s="635"/>
      <c r="AP192" s="635"/>
      <c r="AQ192" s="635"/>
      <c r="AR192" s="635"/>
      <c r="AS192" s="635"/>
      <c r="AT192" s="635"/>
      <c r="AU192" s="160"/>
      <c r="AV192" s="160"/>
      <c r="BD192" s="34"/>
      <c r="BO192" s="635"/>
      <c r="BP192" s="635"/>
      <c r="BQ192" s="635"/>
      <c r="BV192"/>
      <c r="BW192"/>
      <c r="BX192"/>
    </row>
    <row r="193" spans="1:76">
      <c r="A193" s="2535" t="s">
        <v>2601</v>
      </c>
      <c r="B193" s="2885" t="s">
        <v>1504</v>
      </c>
      <c r="C193" s="2522" t="s">
        <v>2602</v>
      </c>
      <c r="D193" s="3282">
        <f>SUMIFS(BCRR_REHAB!L:L,BCRR_REHAB!D:D,'Huella materiales (2)'!A193)</f>
        <v>0</v>
      </c>
      <c r="E193" s="1030">
        <f>'Datos_aux_materiales (2)'!M169</f>
        <v>3.2548824000000005</v>
      </c>
      <c r="F193" s="2836">
        <f t="shared" si="77"/>
        <v>0</v>
      </c>
      <c r="G193" s="2823">
        <f>'Datos_aux_materiales (2)'!R169</f>
        <v>69.3</v>
      </c>
      <c r="H193" s="2825">
        <f t="shared" si="78"/>
        <v>0</v>
      </c>
      <c r="I193" s="2829">
        <f t="shared" si="79"/>
        <v>0</v>
      </c>
      <c r="J193" s="2851">
        <f t="shared" si="80"/>
        <v>0</v>
      </c>
      <c r="K193" s="2834">
        <f t="shared" si="81"/>
        <v>0</v>
      </c>
      <c r="L193" s="635"/>
      <c r="M193" s="635"/>
      <c r="N193" s="635"/>
      <c r="O193" s="635"/>
      <c r="P193" s="635"/>
      <c r="Q193" s="635"/>
      <c r="R193" s="635"/>
      <c r="S193" s="635"/>
      <c r="T193" s="635"/>
      <c r="U193" s="635"/>
      <c r="V193" s="635"/>
      <c r="W193" s="635"/>
      <c r="X193" s="635"/>
      <c r="Y193" s="635"/>
      <c r="Z193" s="635"/>
      <c r="AA193" s="635"/>
      <c r="AB193" s="635"/>
      <c r="AC193" s="635"/>
      <c r="AD193" s="635"/>
      <c r="AE193" s="635"/>
      <c r="AF193" s="635"/>
      <c r="AG193" s="635"/>
      <c r="AH193" s="635"/>
      <c r="AI193" s="635"/>
      <c r="AJ193" s="635"/>
      <c r="AK193" s="635"/>
      <c r="AL193" s="635"/>
      <c r="AM193" s="635"/>
      <c r="AN193" s="635"/>
      <c r="AO193" s="635"/>
      <c r="AP193" s="635"/>
      <c r="AQ193" s="635"/>
      <c r="AR193" s="635"/>
      <c r="AS193" s="635"/>
      <c r="AT193" s="635"/>
      <c r="AU193" s="160"/>
      <c r="AV193" s="160"/>
      <c r="BD193" s="34"/>
      <c r="BJ193" s="16"/>
      <c r="BK193" s="16"/>
      <c r="BO193" s="635"/>
      <c r="BP193" s="635"/>
      <c r="BQ193" s="635"/>
      <c r="BV193"/>
      <c r="BW193"/>
      <c r="BX193"/>
    </row>
    <row r="194" spans="1:76">
      <c r="A194" s="2615" t="s">
        <v>2609</v>
      </c>
      <c r="B194" s="2884" t="s">
        <v>1504</v>
      </c>
      <c r="C194" s="2613" t="s">
        <v>2610</v>
      </c>
      <c r="D194" s="3282">
        <f>SUMIFS(BCRR_REHAB!L:L,BCRR_REHAB!D:D,'Huella materiales (2)'!A194)</f>
        <v>0</v>
      </c>
      <c r="E194" s="1030">
        <f>'Datos_aux_materiales (2)'!M170</f>
        <v>2.1756319200000003</v>
      </c>
      <c r="F194" s="2836">
        <f t="shared" si="77"/>
        <v>0</v>
      </c>
      <c r="G194" s="2823">
        <f>'Datos_aux_materiales (2)'!R170</f>
        <v>69.3</v>
      </c>
      <c r="H194" s="2825">
        <f t="shared" si="78"/>
        <v>0</v>
      </c>
      <c r="I194" s="2829">
        <f t="shared" si="79"/>
        <v>0</v>
      </c>
      <c r="J194" s="2851">
        <f t="shared" si="80"/>
        <v>0</v>
      </c>
      <c r="K194" s="2834">
        <f t="shared" si="81"/>
        <v>0</v>
      </c>
      <c r="L194" s="635"/>
      <c r="M194" s="635"/>
      <c r="N194" s="635"/>
      <c r="O194" s="635"/>
      <c r="P194" s="635"/>
      <c r="Q194" s="635"/>
      <c r="R194" s="635"/>
      <c r="S194" s="635"/>
      <c r="T194" s="635"/>
      <c r="U194" s="635"/>
      <c r="V194" s="635"/>
      <c r="W194" s="635"/>
      <c r="X194" s="635"/>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c r="AT194" s="635"/>
      <c r="AU194" s="160"/>
      <c r="AV194" s="160"/>
      <c r="BD194" s="16"/>
      <c r="BJ194" s="16"/>
      <c r="BK194" s="16"/>
      <c r="BO194" s="635"/>
      <c r="BP194" s="635"/>
      <c r="BQ194" s="635"/>
      <c r="BV194"/>
      <c r="BW194"/>
      <c r="BX194"/>
    </row>
    <row r="195" spans="1:76">
      <c r="A195" s="2544" t="s">
        <v>1676</v>
      </c>
      <c r="B195" s="2549" t="s">
        <v>1504</v>
      </c>
      <c r="C195" s="2592" t="s">
        <v>1677</v>
      </c>
      <c r="D195" s="3282">
        <f>SUMIFS(BCRR_REHAB!L:L,BCRR_REHAB!D:D,'Huella materiales (2)'!A195)</f>
        <v>0</v>
      </c>
      <c r="E195" s="1030">
        <f>'Datos_aux_materiales (2)'!M171</f>
        <v>0.85654800000000009</v>
      </c>
      <c r="F195" s="2836">
        <f t="shared" si="77"/>
        <v>0</v>
      </c>
      <c r="G195" s="2823">
        <f>'Datos_aux_materiales (2)'!R171</f>
        <v>70.599999999999994</v>
      </c>
      <c r="H195" s="2825">
        <f t="shared" si="78"/>
        <v>0</v>
      </c>
      <c r="I195" s="2829">
        <f t="shared" si="79"/>
        <v>0</v>
      </c>
      <c r="J195" s="2851">
        <f t="shared" si="80"/>
        <v>0</v>
      </c>
      <c r="K195" s="2834">
        <f t="shared" si="81"/>
        <v>0</v>
      </c>
      <c r="L195" s="635"/>
      <c r="M195" s="635"/>
      <c r="N195" s="635"/>
      <c r="O195" s="635"/>
      <c r="P195" s="635"/>
      <c r="Q195" s="635"/>
      <c r="R195" s="635"/>
      <c r="S195" s="635"/>
      <c r="T195" s="635"/>
      <c r="U195" s="635"/>
      <c r="V195" s="635"/>
      <c r="W195" s="635"/>
      <c r="X195" s="635"/>
      <c r="Y195" s="635"/>
      <c r="Z195" s="635"/>
      <c r="AA195" s="635"/>
      <c r="AB195" s="635"/>
      <c r="AC195" s="635"/>
      <c r="AD195" s="635"/>
      <c r="AE195" s="635"/>
      <c r="AF195" s="635"/>
      <c r="AG195" s="635"/>
      <c r="AH195" s="635"/>
      <c r="AI195" s="635"/>
      <c r="AJ195" s="635"/>
      <c r="AK195" s="635"/>
      <c r="AL195" s="635"/>
      <c r="AM195" s="635"/>
      <c r="AN195" s="635"/>
      <c r="AO195" s="635"/>
      <c r="AP195" s="635"/>
      <c r="AQ195" s="635"/>
      <c r="AR195" s="635"/>
      <c r="AS195" s="635"/>
      <c r="AT195" s="635"/>
      <c r="AU195" s="160"/>
      <c r="AV195" s="160"/>
      <c r="AX195" s="19"/>
      <c r="AY195" s="19"/>
      <c r="AZ195" s="19"/>
      <c r="BA195" s="19"/>
      <c r="BB195" s="19"/>
      <c r="BC195" s="19"/>
      <c r="BD195" s="16"/>
      <c r="BJ195" s="16"/>
      <c r="BK195" s="16"/>
      <c r="BO195" s="635"/>
      <c r="BP195" s="635"/>
      <c r="BQ195" s="635"/>
      <c r="BV195"/>
      <c r="BW195"/>
      <c r="BX195"/>
    </row>
    <row r="196" spans="1:76">
      <c r="A196" s="2544" t="s">
        <v>1183</v>
      </c>
      <c r="B196" s="2549" t="s">
        <v>1504</v>
      </c>
      <c r="C196" s="2592" t="s">
        <v>1762</v>
      </c>
      <c r="D196" s="3282">
        <f>SUMIFS(BCRR_REHAB!L:L,BCRR_REHAB!D:D,'Huella materiales (2)'!A196)</f>
        <v>0</v>
      </c>
      <c r="E196" s="1030">
        <f>'Datos_aux_materiales (2)'!M172</f>
        <v>1.0706850000000003</v>
      </c>
      <c r="F196" s="2836">
        <f t="shared" si="77"/>
        <v>0</v>
      </c>
      <c r="G196" s="2823">
        <f>'Datos_aux_materiales (2)'!R172</f>
        <v>70.599999999999994</v>
      </c>
      <c r="H196" s="2825">
        <f t="shared" si="78"/>
        <v>0</v>
      </c>
      <c r="I196" s="2829">
        <f t="shared" si="79"/>
        <v>0</v>
      </c>
      <c r="J196" s="2851">
        <f t="shared" si="80"/>
        <v>0</v>
      </c>
      <c r="K196" s="2834">
        <f t="shared" si="81"/>
        <v>0</v>
      </c>
      <c r="L196" s="635"/>
      <c r="M196" s="635"/>
      <c r="N196" s="635"/>
      <c r="O196" s="635"/>
      <c r="P196" s="635"/>
      <c r="Q196" s="635"/>
      <c r="R196" s="635"/>
      <c r="S196" s="635"/>
      <c r="T196" s="635"/>
      <c r="U196" s="635"/>
      <c r="V196" s="635"/>
      <c r="W196" s="635"/>
      <c r="X196" s="635"/>
      <c r="Y196" s="635"/>
      <c r="Z196" s="635"/>
      <c r="AA196" s="635"/>
      <c r="AB196" s="635"/>
      <c r="AC196" s="635"/>
      <c r="AD196" s="635"/>
      <c r="AE196" s="635"/>
      <c r="AF196" s="635"/>
      <c r="AG196" s="635"/>
      <c r="AH196" s="635"/>
      <c r="AI196" s="635"/>
      <c r="AJ196" s="635"/>
      <c r="AK196" s="635"/>
      <c r="AL196" s="635"/>
      <c r="AM196" s="635"/>
      <c r="AN196" s="635"/>
      <c r="AO196" s="635"/>
      <c r="AP196" s="635"/>
      <c r="AQ196" s="635"/>
      <c r="AR196" s="635"/>
      <c r="AS196" s="635"/>
      <c r="AT196" s="635"/>
      <c r="AU196" s="160"/>
      <c r="AV196" s="160"/>
      <c r="AX196" s="19"/>
      <c r="AY196" s="19"/>
      <c r="AZ196" s="19"/>
      <c r="BA196" s="19"/>
      <c r="BB196" s="19"/>
      <c r="BC196" s="19"/>
      <c r="BD196" s="34"/>
      <c r="BJ196" s="16"/>
      <c r="BK196" s="16"/>
      <c r="BO196" s="635"/>
      <c r="BP196" s="635"/>
      <c r="BQ196" s="635"/>
      <c r="BV196"/>
      <c r="BW196"/>
      <c r="BX196"/>
    </row>
    <row r="197" spans="1:76">
      <c r="A197" s="2590" t="s">
        <v>1184</v>
      </c>
      <c r="B197" s="2885" t="s">
        <v>1504</v>
      </c>
      <c r="C197" s="2588" t="s">
        <v>1761</v>
      </c>
      <c r="D197" s="3282">
        <f>SUMIFS(BCRR_REHAB!L:L,BCRR_REHAB!D:D,'Huella materiales (2)'!A197)</f>
        <v>0</v>
      </c>
      <c r="E197" s="1030">
        <f>'Datos_aux_materiales (2)'!M173</f>
        <v>1.1777535000000001</v>
      </c>
      <c r="F197" s="2836">
        <f t="shared" si="77"/>
        <v>0</v>
      </c>
      <c r="G197" s="2823">
        <f>'Datos_aux_materiales (2)'!R173</f>
        <v>70.599999999999994</v>
      </c>
      <c r="H197" s="2825">
        <f t="shared" si="78"/>
        <v>0</v>
      </c>
      <c r="I197" s="2829">
        <f t="shared" si="79"/>
        <v>0</v>
      </c>
      <c r="J197" s="2851">
        <f t="shared" si="80"/>
        <v>0</v>
      </c>
      <c r="K197" s="2834">
        <f t="shared" si="81"/>
        <v>0</v>
      </c>
      <c r="L197" s="635"/>
      <c r="M197" s="635"/>
      <c r="N197" s="635"/>
      <c r="O197" s="635"/>
      <c r="P197" s="635"/>
      <c r="Q197" s="635"/>
      <c r="R197" s="635"/>
      <c r="S197" s="635"/>
      <c r="T197" s="635"/>
      <c r="U197" s="635"/>
      <c r="V197" s="635"/>
      <c r="W197" s="635"/>
      <c r="X197" s="635"/>
      <c r="Y197" s="635"/>
      <c r="Z197" s="635"/>
      <c r="AA197" s="635"/>
      <c r="AB197" s="635"/>
      <c r="AC197" s="635"/>
      <c r="AD197" s="635"/>
      <c r="AE197" s="635"/>
      <c r="AF197" s="635"/>
      <c r="AG197" s="635"/>
      <c r="AH197" s="635"/>
      <c r="AI197" s="635"/>
      <c r="AJ197" s="635"/>
      <c r="AK197" s="635"/>
      <c r="AL197" s="635"/>
      <c r="AM197" s="635"/>
      <c r="AN197" s="635"/>
      <c r="AO197" s="635"/>
      <c r="AP197" s="635"/>
      <c r="AQ197" s="635"/>
      <c r="AR197" s="635"/>
      <c r="AS197" s="635"/>
      <c r="AT197" s="635"/>
      <c r="AU197" s="160"/>
      <c r="AV197" s="160"/>
      <c r="AX197" s="19"/>
      <c r="AY197" s="19"/>
      <c r="AZ197" s="19"/>
      <c r="BA197" s="19"/>
      <c r="BB197" s="19"/>
      <c r="BC197" s="19"/>
      <c r="BD197" s="34"/>
      <c r="BJ197" s="16"/>
      <c r="BK197" s="16"/>
      <c r="BO197" s="635"/>
      <c r="BP197" s="635"/>
      <c r="BQ197" s="635"/>
      <c r="BV197"/>
      <c r="BW197"/>
      <c r="BX197"/>
    </row>
    <row r="198" spans="1:76">
      <c r="A198" s="2535" t="s">
        <v>1529</v>
      </c>
      <c r="B198" s="2883" t="s">
        <v>1504</v>
      </c>
      <c r="C198" s="2522" t="s">
        <v>1530</v>
      </c>
      <c r="D198" s="3282">
        <f>SUMIFS(BCRR_REHAB!L:L,BCRR_REHAB!D:D,'Huella materiales (2)'!A198)</f>
        <v>0</v>
      </c>
      <c r="E198" s="1030">
        <f>'Datos_aux_materiales (2)'!M174</f>
        <v>0.80046450000000013</v>
      </c>
      <c r="F198" s="2836">
        <f t="shared" si="77"/>
        <v>0</v>
      </c>
      <c r="G198" s="2823">
        <f>'Datos_aux_materiales (2)'!R174</f>
        <v>68.3</v>
      </c>
      <c r="H198" s="2825">
        <f t="shared" si="78"/>
        <v>0</v>
      </c>
      <c r="I198" s="2829">
        <f t="shared" si="79"/>
        <v>0</v>
      </c>
      <c r="J198" s="2851">
        <f t="shared" si="80"/>
        <v>0</v>
      </c>
      <c r="K198" s="2834">
        <f t="shared" si="81"/>
        <v>0</v>
      </c>
      <c r="L198" s="635"/>
      <c r="M198" s="635"/>
      <c r="N198" s="635"/>
      <c r="O198" s="635"/>
      <c r="P198" s="635"/>
      <c r="Q198" s="635"/>
      <c r="R198" s="635"/>
      <c r="S198" s="635"/>
      <c r="T198" s="635"/>
      <c r="U198" s="635"/>
      <c r="V198" s="635"/>
      <c r="W198" s="635"/>
      <c r="X198" s="635"/>
      <c r="Y198" s="635"/>
      <c r="Z198" s="635"/>
      <c r="AA198" s="635"/>
      <c r="AB198" s="635"/>
      <c r="AC198" s="635"/>
      <c r="AD198" s="635"/>
      <c r="AE198" s="635"/>
      <c r="AF198" s="635"/>
      <c r="AG198" s="635"/>
      <c r="AH198" s="635"/>
      <c r="AI198" s="635"/>
      <c r="AJ198" s="635"/>
      <c r="AK198" s="635"/>
      <c r="AL198" s="635"/>
      <c r="AM198" s="635"/>
      <c r="AN198" s="635"/>
      <c r="AO198" s="635"/>
      <c r="AP198" s="635"/>
      <c r="AQ198" s="635"/>
      <c r="AR198" s="635"/>
      <c r="AS198" s="635"/>
      <c r="AT198" s="635"/>
      <c r="AU198" s="167"/>
      <c r="AV198" s="167"/>
      <c r="AW198" s="16"/>
      <c r="AX198" s="16"/>
      <c r="AY198" s="16"/>
      <c r="AZ198" s="16"/>
      <c r="BA198" s="16"/>
      <c r="BB198" s="16"/>
      <c r="BC198" s="16"/>
      <c r="BD198" s="34"/>
      <c r="BE198" s="22"/>
      <c r="BF198" s="22"/>
      <c r="BG198" s="22"/>
      <c r="BH198" s="22"/>
      <c r="BJ198" s="16"/>
      <c r="BK198" s="16"/>
      <c r="BO198" s="635"/>
      <c r="BP198" s="635"/>
      <c r="BQ198" s="635"/>
      <c r="BV198"/>
      <c r="BW198"/>
      <c r="BX198"/>
    </row>
    <row r="199" spans="1:76" ht="18.5">
      <c r="A199" s="2900"/>
      <c r="B199" s="2881"/>
      <c r="C199" s="2811" t="s">
        <v>3113</v>
      </c>
      <c r="D199" s="3284"/>
      <c r="E199" s="2795"/>
      <c r="F199" s="2843">
        <f>SUM(F188:F198)</f>
        <v>0</v>
      </c>
      <c r="G199" s="2844"/>
      <c r="H199" s="2842">
        <f>SUM(H188:H198)</f>
        <v>0</v>
      </c>
      <c r="I199" s="2830">
        <f t="shared" si="79"/>
        <v>0</v>
      </c>
      <c r="J199" s="2854">
        <f t="shared" si="80"/>
        <v>0</v>
      </c>
      <c r="K199" s="2835">
        <f>SUM(K188:K198)</f>
        <v>0</v>
      </c>
      <c r="L199" s="2795"/>
      <c r="M199" s="2795"/>
      <c r="N199" s="2795"/>
      <c r="O199" s="2795"/>
      <c r="P199" s="2795"/>
      <c r="Q199" s="2795"/>
      <c r="R199" s="2795"/>
      <c r="S199" s="2795"/>
      <c r="T199" s="2795"/>
      <c r="U199" s="2795"/>
      <c r="V199" s="2795"/>
      <c r="W199" s="2795"/>
      <c r="X199" s="2795"/>
      <c r="Y199" s="2795"/>
      <c r="Z199" s="2795"/>
      <c r="AA199" s="2795"/>
      <c r="AB199" s="2795"/>
      <c r="AC199" s="2795"/>
      <c r="AD199" s="2795"/>
      <c r="AE199" s="2795"/>
      <c r="AF199" s="2795"/>
      <c r="AG199" s="2795"/>
      <c r="AH199" s="635"/>
      <c r="AI199" s="635"/>
      <c r="AJ199" s="635"/>
      <c r="AK199" s="635"/>
      <c r="AL199" s="635"/>
      <c r="AM199" s="635"/>
      <c r="AN199" s="635"/>
      <c r="AO199" s="635"/>
      <c r="AP199" s="635"/>
      <c r="AQ199" s="635"/>
      <c r="AR199" s="635"/>
      <c r="AS199" s="635"/>
      <c r="AT199" s="635"/>
      <c r="AX199" s="16"/>
      <c r="AY199" s="16"/>
      <c r="AZ199" s="16"/>
      <c r="BA199" s="16"/>
      <c r="BB199" s="19"/>
      <c r="BC199" s="19"/>
      <c r="BI199" s="22"/>
      <c r="BJ199" s="16"/>
      <c r="BK199" s="16"/>
      <c r="BO199" s="635"/>
      <c r="BP199" s="635"/>
      <c r="BQ199" s="635"/>
      <c r="BV199"/>
      <c r="BW199"/>
      <c r="BX199"/>
    </row>
    <row r="200" spans="1:76" ht="18.5">
      <c r="A200" s="2909" t="s">
        <v>2988</v>
      </c>
      <c r="B200" s="2910"/>
      <c r="C200" s="2911"/>
      <c r="D200" s="3281"/>
      <c r="E200" s="2915"/>
      <c r="F200" s="2915"/>
      <c r="G200" s="2915"/>
      <c r="H200" s="2916"/>
      <c r="I200" s="2915"/>
      <c r="J200" s="2917"/>
      <c r="K200" s="2918"/>
      <c r="L200" s="2912"/>
      <c r="M200" s="2913"/>
      <c r="N200" s="2914"/>
      <c r="O200" s="2914"/>
      <c r="P200" s="2914"/>
      <c r="Q200" s="2914"/>
      <c r="R200" s="2914"/>
      <c r="S200" s="2914"/>
      <c r="T200" s="2914"/>
      <c r="U200" s="2914"/>
      <c r="V200" s="2914"/>
      <c r="W200" s="2914"/>
      <c r="X200" s="2914"/>
      <c r="Y200" s="2914"/>
      <c r="Z200" s="2914"/>
      <c r="AA200" s="2914"/>
      <c r="AB200" s="2914"/>
      <c r="AC200" s="2914"/>
      <c r="AD200" s="2914"/>
      <c r="AE200" s="2914"/>
      <c r="AF200" s="2914"/>
      <c r="AG200" s="2914"/>
      <c r="AH200" s="2916"/>
      <c r="AI200" s="2916"/>
      <c r="AJ200" s="2916"/>
      <c r="AK200" s="2916"/>
      <c r="AL200" s="2916"/>
      <c r="AM200" s="2916"/>
      <c r="AN200" s="2916"/>
      <c r="AO200" s="2916"/>
      <c r="AP200" s="2916"/>
      <c r="AQ200" s="2916"/>
      <c r="AR200" s="2916"/>
      <c r="AS200" s="2916"/>
      <c r="AT200" s="2799"/>
      <c r="AX200" s="16"/>
      <c r="AY200" s="16"/>
      <c r="AZ200" s="16"/>
      <c r="BA200" s="16"/>
      <c r="BB200" s="19"/>
      <c r="BC200" s="19"/>
      <c r="BJ200" s="16"/>
      <c r="BK200" s="16"/>
      <c r="BO200" s="2814"/>
      <c r="BP200" s="2816"/>
      <c r="BQ200" s="2799"/>
      <c r="BV200"/>
      <c r="BW200"/>
      <c r="BX200"/>
    </row>
    <row r="201" spans="1:76" ht="39.75" customHeight="1">
      <c r="A201" s="2889" t="s">
        <v>1328</v>
      </c>
      <c r="B201" s="2889" t="s">
        <v>1549</v>
      </c>
      <c r="C201" s="2878" t="s">
        <v>3126</v>
      </c>
      <c r="D201" s="3285" t="s">
        <v>914</v>
      </c>
      <c r="E201" s="2794" t="s">
        <v>288</v>
      </c>
      <c r="F201" s="2837" t="s">
        <v>3123</v>
      </c>
      <c r="G201" s="2826" t="s">
        <v>287</v>
      </c>
      <c r="H201" s="2827" t="s">
        <v>3097</v>
      </c>
      <c r="I201" s="161" t="s">
        <v>3124</v>
      </c>
      <c r="J201" s="2850" t="s">
        <v>3125</v>
      </c>
      <c r="K201" s="2833" t="s">
        <v>3136</v>
      </c>
      <c r="L201" s="635"/>
      <c r="M201" s="635"/>
      <c r="N201" s="635"/>
      <c r="O201" s="635"/>
      <c r="P201" s="635"/>
      <c r="Q201" s="635"/>
      <c r="R201" s="635"/>
      <c r="S201" s="635"/>
      <c r="T201" s="635"/>
      <c r="U201" s="635"/>
      <c r="V201" s="635"/>
      <c r="W201" s="635"/>
      <c r="X201" s="635"/>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167"/>
      <c r="AV201" s="167"/>
      <c r="AW201" s="16"/>
      <c r="AX201" s="16"/>
      <c r="AY201" s="16"/>
      <c r="AZ201" s="16"/>
      <c r="BA201" s="16"/>
      <c r="BB201" s="16"/>
      <c r="BC201" s="16"/>
      <c r="BD201" s="34"/>
      <c r="BE201" s="22"/>
      <c r="BF201" s="22"/>
      <c r="BG201" s="22"/>
      <c r="BH201" s="22"/>
      <c r="BJ201" s="16"/>
      <c r="BK201" s="16"/>
      <c r="BO201" s="635"/>
      <c r="BP201" s="2938"/>
      <c r="BQ201" s="2939"/>
      <c r="BV201"/>
      <c r="BW201"/>
      <c r="BX201"/>
    </row>
    <row r="202" spans="1:76">
      <c r="A202" s="2615" t="s">
        <v>1081</v>
      </c>
      <c r="B202" s="2884" t="s">
        <v>1517</v>
      </c>
      <c r="C202" s="2613" t="s">
        <v>2045</v>
      </c>
      <c r="D202" s="3282">
        <f>SUMIFS(BCRR_REHAB!L:L,BCRR_REHAB!D:D,'Huella materiales (2)'!A202)</f>
        <v>0</v>
      </c>
      <c r="E202" s="1030">
        <f>'Datos_aux_materiales (2)'!M176</f>
        <v>509.85</v>
      </c>
      <c r="F202" s="2836">
        <f t="shared" ref="F202:F211" si="82">D202*E202</f>
        <v>0</v>
      </c>
      <c r="G202" s="2823">
        <f>'Datos_aux_materiales (2)'!R176</f>
        <v>14.137</v>
      </c>
      <c r="H202" s="2825">
        <f t="shared" ref="H202:H211" si="83">F202*G202</f>
        <v>0</v>
      </c>
      <c r="I202" s="2829">
        <f t="shared" ref="I202:I212" si="84">H202/$AV$5*$AV$7</f>
        <v>0</v>
      </c>
      <c r="J202" s="2851">
        <f t="shared" ref="J202:J212" si="85">I202/$AV$8</f>
        <v>0</v>
      </c>
      <c r="K202" s="2834">
        <f t="shared" ref="K202:K211" si="86">F202*1.05</f>
        <v>0</v>
      </c>
      <c r="L202" s="635"/>
      <c r="M202" s="635"/>
      <c r="N202" s="635"/>
      <c r="O202" s="635"/>
      <c r="P202" s="635"/>
      <c r="Q202" s="635"/>
      <c r="R202" s="635"/>
      <c r="S202" s="635"/>
      <c r="T202" s="635"/>
      <c r="U202" s="635"/>
      <c r="V202" s="635"/>
      <c r="W202" s="635"/>
      <c r="X202" s="635"/>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X202" s="16"/>
      <c r="AY202" s="16"/>
      <c r="AZ202" s="16"/>
      <c r="BA202" s="16"/>
      <c r="BB202" s="19"/>
      <c r="BC202" s="19"/>
      <c r="BI202" s="22"/>
      <c r="BJ202" s="16"/>
      <c r="BK202" s="16"/>
      <c r="BO202" s="635"/>
      <c r="BP202" s="635"/>
      <c r="BQ202" s="635"/>
      <c r="BV202"/>
      <c r="BW202"/>
      <c r="BX202"/>
    </row>
    <row r="203" spans="1:76">
      <c r="A203" s="2615" t="s">
        <v>1114</v>
      </c>
      <c r="B203" s="2884" t="s">
        <v>1517</v>
      </c>
      <c r="C203" s="2613" t="s">
        <v>1538</v>
      </c>
      <c r="D203" s="3282">
        <f>SUMIFS(BCRR_REHAB!L:L,BCRR_REHAB!D:D,'Huella materiales (2)'!A203)</f>
        <v>0</v>
      </c>
      <c r="E203" s="1030">
        <f>'Datos_aux_materiales (2)'!M177</f>
        <v>509.85</v>
      </c>
      <c r="F203" s="2836">
        <f t="shared" si="82"/>
        <v>0</v>
      </c>
      <c r="G203" s="2823">
        <f>'Datos_aux_materiales (2)'!R177</f>
        <v>14.137</v>
      </c>
      <c r="H203" s="2825">
        <f t="shared" si="83"/>
        <v>0</v>
      </c>
      <c r="I203" s="2829">
        <f t="shared" si="84"/>
        <v>0</v>
      </c>
      <c r="J203" s="2851">
        <f t="shared" si="85"/>
        <v>0</v>
      </c>
      <c r="K203" s="2834">
        <f t="shared" si="86"/>
        <v>0</v>
      </c>
      <c r="L203" s="635"/>
      <c r="M203" s="635"/>
      <c r="N203" s="635"/>
      <c r="O203" s="635"/>
      <c r="P203" s="635"/>
      <c r="Q203" s="635"/>
      <c r="R203" s="635"/>
      <c r="S203" s="635"/>
      <c r="T203" s="635"/>
      <c r="U203" s="635"/>
      <c r="V203" s="635"/>
      <c r="W203" s="635"/>
      <c r="X203" s="635"/>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c r="AT203" s="635"/>
      <c r="AW203" s="16"/>
      <c r="AX203" s="16"/>
      <c r="AY203" s="16"/>
      <c r="AZ203" s="16"/>
      <c r="BA203" s="19"/>
      <c r="BB203" s="19"/>
      <c r="BC203" s="19"/>
      <c r="BJ203" s="16"/>
      <c r="BK203" s="16"/>
      <c r="BO203" s="635"/>
      <c r="BP203" s="635"/>
      <c r="BQ203" s="635"/>
      <c r="BV203"/>
      <c r="BW203"/>
      <c r="BX203"/>
    </row>
    <row r="204" spans="1:76">
      <c r="A204" s="2615" t="s">
        <v>1178</v>
      </c>
      <c r="B204" s="2884" t="s">
        <v>1527</v>
      </c>
      <c r="C204" s="2613" t="s">
        <v>1767</v>
      </c>
      <c r="D204" s="3282">
        <f>SUMIFS(BCRR_REHAB!L:L,BCRR_REHAB!D:D,'Huella materiales (2)'!A204)</f>
        <v>0</v>
      </c>
      <c r="E204" s="1030">
        <f>'Datos_aux_materiales (2)'!M178</f>
        <v>1.4275800000000003</v>
      </c>
      <c r="F204" s="2836">
        <f t="shared" si="82"/>
        <v>0</v>
      </c>
      <c r="G204" s="2823">
        <f>'Datos_aux_materiales (2)'!R178</f>
        <v>18.02</v>
      </c>
      <c r="H204" s="2825">
        <f t="shared" si="83"/>
        <v>0</v>
      </c>
      <c r="I204" s="2829">
        <f t="shared" si="84"/>
        <v>0</v>
      </c>
      <c r="J204" s="2851">
        <f t="shared" si="85"/>
        <v>0</v>
      </c>
      <c r="K204" s="2834">
        <f t="shared" si="86"/>
        <v>0</v>
      </c>
      <c r="L204" s="635"/>
      <c r="M204" s="635"/>
      <c r="N204" s="635"/>
      <c r="O204" s="635"/>
      <c r="P204" s="635"/>
      <c r="Q204" s="635"/>
      <c r="R204" s="635"/>
      <c r="S204" s="635"/>
      <c r="T204" s="635"/>
      <c r="U204" s="635"/>
      <c r="V204" s="635"/>
      <c r="W204" s="635"/>
      <c r="X204" s="635"/>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c r="AT204" s="635"/>
      <c r="AW204" s="16"/>
      <c r="AX204" s="16"/>
      <c r="AY204" s="16"/>
      <c r="AZ204" s="16"/>
      <c r="BA204" s="19"/>
      <c r="BB204" s="19"/>
      <c r="BC204" s="19"/>
      <c r="BJ204" s="16"/>
      <c r="BK204" s="16"/>
      <c r="BO204" s="635"/>
      <c r="BP204" s="635"/>
      <c r="BQ204" s="635"/>
      <c r="BV204"/>
      <c r="BW204"/>
      <c r="BX204"/>
    </row>
    <row r="205" spans="1:76">
      <c r="A205" s="2615" t="s">
        <v>2096</v>
      </c>
      <c r="B205" s="2894" t="s">
        <v>1507</v>
      </c>
      <c r="C205" s="2755" t="s">
        <v>2097</v>
      </c>
      <c r="D205" s="3282">
        <f>SUMIFS(BCRR_REHAB!L:L,BCRR_REHAB!D:D,'Huella materiales (2)'!A205)</f>
        <v>0</v>
      </c>
      <c r="E205" s="1030">
        <f>'Datos_aux_materiales (2)'!M179</f>
        <v>6.1181999999999999</v>
      </c>
      <c r="F205" s="2836">
        <f t="shared" si="82"/>
        <v>0</v>
      </c>
      <c r="G205" s="3024">
        <f>'Datos_aux_materiales (2)'!S179</f>
        <v>1.82</v>
      </c>
      <c r="H205" s="2825">
        <f t="shared" si="83"/>
        <v>0</v>
      </c>
      <c r="I205" s="2829">
        <f t="shared" si="84"/>
        <v>0</v>
      </c>
      <c r="J205" s="2851">
        <f t="shared" si="85"/>
        <v>0</v>
      </c>
      <c r="K205" s="2834">
        <f t="shared" si="86"/>
        <v>0</v>
      </c>
      <c r="L205" s="1663"/>
      <c r="M205" s="1663"/>
      <c r="N205" s="1663"/>
      <c r="O205" s="1663"/>
      <c r="P205" s="1663"/>
      <c r="Q205" s="1663"/>
      <c r="R205" s="1663"/>
      <c r="S205" s="1663"/>
      <c r="T205" s="1663"/>
      <c r="U205" s="1663"/>
      <c r="V205" s="1663"/>
      <c r="W205" s="1663"/>
      <c r="X205" s="105"/>
      <c r="Y205" s="105"/>
      <c r="Z205" s="105"/>
      <c r="AA205" s="105"/>
      <c r="AB205" s="105"/>
      <c r="AC205" s="105"/>
      <c r="AD205" s="105"/>
      <c r="AE205" s="105"/>
      <c r="AF205" s="105"/>
      <c r="AG205" s="105"/>
      <c r="AH205" s="119"/>
      <c r="AI205" s="16"/>
      <c r="AJ205" s="16"/>
      <c r="AK205" s="16"/>
      <c r="AL205" s="16"/>
      <c r="AM205" s="16"/>
      <c r="AN205" s="16"/>
      <c r="AO205" s="16"/>
      <c r="AP205" s="16"/>
      <c r="AQ205" s="16"/>
      <c r="AR205" s="16"/>
      <c r="AS205" s="16"/>
      <c r="AW205" s="16"/>
      <c r="AX205" s="16"/>
      <c r="AY205" s="16"/>
      <c r="AZ205" s="16"/>
      <c r="BA205" s="19"/>
      <c r="BB205" s="19"/>
      <c r="BC205" s="19"/>
      <c r="BJ205" s="16"/>
      <c r="BK205" s="16"/>
      <c r="BO205" s="105"/>
      <c r="BP205" s="635"/>
      <c r="BQ205" s="635"/>
      <c r="BV205"/>
      <c r="BW205"/>
      <c r="BX205"/>
    </row>
    <row r="206" spans="1:76">
      <c r="A206" s="2590" t="s">
        <v>1179</v>
      </c>
      <c r="B206" s="2895" t="s">
        <v>1504</v>
      </c>
      <c r="C206" s="2756" t="s">
        <v>1766</v>
      </c>
      <c r="D206" s="3282">
        <f>SUMIFS(BCRR_REHAB!L:L,BCRR_REHAB!D:D,'Huella materiales (2)'!A206)</f>
        <v>0</v>
      </c>
      <c r="E206" s="1030">
        <f>'Datos_aux_materiales (2)'!M180</f>
        <v>3.0000000000000004</v>
      </c>
      <c r="F206" s="2836">
        <f t="shared" si="82"/>
        <v>0</v>
      </c>
      <c r="G206" s="3024">
        <f>'Datos_aux_materiales (2)'!S180</f>
        <v>1.82</v>
      </c>
      <c r="H206" s="2825">
        <f t="shared" si="83"/>
        <v>0</v>
      </c>
      <c r="I206" s="2829">
        <f t="shared" si="84"/>
        <v>0</v>
      </c>
      <c r="J206" s="2851">
        <f t="shared" si="85"/>
        <v>0</v>
      </c>
      <c r="K206" s="2834">
        <f t="shared" si="86"/>
        <v>0</v>
      </c>
      <c r="L206" s="2814"/>
      <c r="M206" s="2815"/>
      <c r="N206" s="2814"/>
      <c r="O206" s="2814"/>
      <c r="P206" s="2814"/>
      <c r="Q206" s="2814"/>
      <c r="R206" s="2814"/>
      <c r="S206" s="2814"/>
      <c r="T206" s="2814"/>
      <c r="U206" s="2814"/>
      <c r="V206" s="2814"/>
      <c r="W206" s="2814"/>
      <c r="X206" s="2814"/>
      <c r="Y206" s="2814"/>
      <c r="Z206" s="2814"/>
      <c r="AA206" s="2814"/>
      <c r="AB206" s="2814"/>
      <c r="AC206" s="2814"/>
      <c r="AD206" s="2814"/>
      <c r="AE206" s="2814"/>
      <c r="AF206" s="2814"/>
      <c r="AG206" s="2814"/>
      <c r="AH206" s="2799"/>
      <c r="AI206" s="2799"/>
      <c r="AJ206" s="2799"/>
      <c r="AK206" s="2799"/>
      <c r="AL206" s="2799"/>
      <c r="AM206" s="2799"/>
      <c r="AN206" s="2799"/>
      <c r="AO206" s="2799"/>
      <c r="AP206" s="2799"/>
      <c r="AQ206" s="2799"/>
      <c r="AR206" s="2799"/>
      <c r="AS206" s="2799"/>
      <c r="AT206" s="2799"/>
      <c r="AW206" s="16"/>
      <c r="AX206" s="16"/>
      <c r="AY206" s="16"/>
      <c r="AZ206" s="16"/>
      <c r="BA206" s="19"/>
      <c r="BB206" s="19"/>
      <c r="BC206" s="19"/>
      <c r="BJ206" s="16"/>
      <c r="BK206" s="16"/>
      <c r="BO206" s="2814"/>
      <c r="BP206" s="635"/>
      <c r="BQ206" s="635"/>
      <c r="BV206"/>
      <c r="BW206"/>
      <c r="BX206"/>
    </row>
    <row r="207" spans="1:76">
      <c r="A207" s="2615" t="s">
        <v>1180</v>
      </c>
      <c r="B207" s="2884" t="s">
        <v>1527</v>
      </c>
      <c r="C207" s="2613" t="s">
        <v>1765</v>
      </c>
      <c r="D207" s="3282">
        <f>SUMIFS(BCRR_REHAB!L:L,BCRR_REHAB!D:D,'Huella materiales (2)'!A207)</f>
        <v>0</v>
      </c>
      <c r="E207" s="1030">
        <f>'Datos_aux_materiales (2)'!M181</f>
        <v>1.0706850000000003</v>
      </c>
      <c r="F207" s="2836">
        <f t="shared" si="82"/>
        <v>0</v>
      </c>
      <c r="G207" s="2823">
        <f>'Datos_aux_materiales (2)'!R181</f>
        <v>18.02</v>
      </c>
      <c r="H207" s="2825">
        <f t="shared" si="83"/>
        <v>0</v>
      </c>
      <c r="I207" s="2829">
        <f t="shared" si="84"/>
        <v>0</v>
      </c>
      <c r="J207" s="2851">
        <f t="shared" si="85"/>
        <v>0</v>
      </c>
      <c r="K207" s="2834">
        <f t="shared" si="86"/>
        <v>0</v>
      </c>
      <c r="L207" s="635"/>
      <c r="M207" s="635"/>
      <c r="N207" s="635"/>
      <c r="O207" s="635"/>
      <c r="P207" s="635"/>
      <c r="Q207" s="635"/>
      <c r="R207" s="635"/>
      <c r="S207" s="635"/>
      <c r="T207" s="635"/>
      <c r="U207" s="635"/>
      <c r="V207" s="635"/>
      <c r="W207" s="635"/>
      <c r="X207" s="635"/>
      <c r="Y207" s="635"/>
      <c r="Z207" s="635"/>
      <c r="AA207" s="635"/>
      <c r="AB207" s="635"/>
      <c r="AC207" s="635"/>
      <c r="AD207" s="635"/>
      <c r="AE207" s="635"/>
      <c r="AF207" s="635"/>
      <c r="AG207" s="635"/>
      <c r="AH207" s="635"/>
      <c r="AI207" s="635"/>
      <c r="AJ207" s="635"/>
      <c r="AK207" s="635"/>
      <c r="AL207" s="635"/>
      <c r="AM207" s="635"/>
      <c r="AN207" s="635"/>
      <c r="AO207" s="635"/>
      <c r="AP207" s="635"/>
      <c r="AQ207" s="635"/>
      <c r="AR207" s="635"/>
      <c r="AS207" s="635"/>
      <c r="AT207" s="635"/>
      <c r="AU207" s="16"/>
      <c r="AV207" s="16"/>
      <c r="AW207" s="16"/>
      <c r="AX207" s="16"/>
      <c r="AY207" s="19"/>
      <c r="AZ207" s="19"/>
      <c r="BA207" s="19"/>
      <c r="BB207" s="19"/>
      <c r="BC207" s="19"/>
      <c r="BO207" s="635"/>
      <c r="BP207" s="635"/>
      <c r="BQ207" s="635"/>
      <c r="BV207"/>
      <c r="BW207"/>
      <c r="BX207"/>
    </row>
    <row r="208" spans="1:76">
      <c r="A208" s="2615" t="s">
        <v>1181</v>
      </c>
      <c r="B208" s="2884" t="s">
        <v>1517</v>
      </c>
      <c r="C208" s="2613" t="s">
        <v>1764</v>
      </c>
      <c r="D208" s="3282">
        <f>SUMIFS(BCRR_REHAB!L:L,BCRR_REHAB!D:D,'Huella materiales (2)'!A208)</f>
        <v>0</v>
      </c>
      <c r="E208" s="1030">
        <f>'Datos_aux_materiales (2)'!M182</f>
        <v>509.85</v>
      </c>
      <c r="F208" s="2836">
        <f t="shared" si="82"/>
        <v>0</v>
      </c>
      <c r="G208" s="2823">
        <f>'Datos_aux_materiales (2)'!R182</f>
        <v>18.02</v>
      </c>
      <c r="H208" s="2825">
        <f t="shared" si="83"/>
        <v>0</v>
      </c>
      <c r="I208" s="2829">
        <f t="shared" si="84"/>
        <v>0</v>
      </c>
      <c r="J208" s="2851">
        <f t="shared" si="85"/>
        <v>0</v>
      </c>
      <c r="K208" s="2834">
        <f t="shared" si="86"/>
        <v>0</v>
      </c>
      <c r="L208" s="635"/>
      <c r="M208" s="635"/>
      <c r="N208" s="635"/>
      <c r="O208" s="635"/>
      <c r="P208" s="635"/>
      <c r="Q208" s="635"/>
      <c r="R208" s="635"/>
      <c r="S208" s="635"/>
      <c r="T208" s="635"/>
      <c r="U208" s="635"/>
      <c r="V208" s="635"/>
      <c r="W208" s="635"/>
      <c r="X208" s="635"/>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c r="AT208" s="635"/>
      <c r="AV208" s="16"/>
      <c r="AW208" s="16"/>
      <c r="AX208" s="16"/>
      <c r="AY208" s="16"/>
      <c r="AZ208" s="19"/>
      <c r="BA208" s="19"/>
      <c r="BB208" s="19"/>
      <c r="BC208" s="19"/>
      <c r="BO208" s="635"/>
      <c r="BP208" s="635"/>
      <c r="BQ208" s="635"/>
      <c r="BV208"/>
      <c r="BW208"/>
      <c r="BX208"/>
    </row>
    <row r="209" spans="1:76">
      <c r="A209" s="2615" t="s">
        <v>1191</v>
      </c>
      <c r="B209" s="2884" t="s">
        <v>1527</v>
      </c>
      <c r="C209" s="2613" t="s">
        <v>2093</v>
      </c>
      <c r="D209" s="3282">
        <f>SUMIFS(BCRR_REHAB!L:L,BCRR_REHAB!D:D,'Huella materiales (2)'!A209)</f>
        <v>0</v>
      </c>
      <c r="E209" s="1030">
        <f>'Datos_aux_materiales (2)'!M183</f>
        <v>0.45886499999999997</v>
      </c>
      <c r="F209" s="2836">
        <f t="shared" si="82"/>
        <v>0</v>
      </c>
      <c r="G209" s="2823">
        <f>'Datos_aux_materiales (2)'!R183</f>
        <v>19.02</v>
      </c>
      <c r="H209" s="2825">
        <f t="shared" si="83"/>
        <v>0</v>
      </c>
      <c r="I209" s="2829">
        <f t="shared" si="84"/>
        <v>0</v>
      </c>
      <c r="J209" s="2851">
        <f t="shared" si="85"/>
        <v>0</v>
      </c>
      <c r="K209" s="2834">
        <f t="shared" si="86"/>
        <v>0</v>
      </c>
      <c r="L209" s="635"/>
      <c r="M209" s="635"/>
      <c r="N209" s="635"/>
      <c r="O209" s="635"/>
      <c r="P209" s="635"/>
      <c r="Q209" s="635"/>
      <c r="R209" s="635"/>
      <c r="S209" s="635"/>
      <c r="T209" s="635"/>
      <c r="U209" s="635"/>
      <c r="V209" s="635"/>
      <c r="W209" s="635"/>
      <c r="X209" s="635"/>
      <c r="Y209" s="635"/>
      <c r="Z209" s="635"/>
      <c r="AA209" s="635"/>
      <c r="AB209" s="635"/>
      <c r="AC209" s="635"/>
      <c r="AD209" s="635"/>
      <c r="AE209" s="635"/>
      <c r="AF209" s="635"/>
      <c r="AG209" s="635"/>
      <c r="AH209" s="635"/>
      <c r="AI209" s="635"/>
      <c r="AJ209" s="635"/>
      <c r="AK209" s="635"/>
      <c r="AL209" s="635"/>
      <c r="AM209" s="635"/>
      <c r="AN209" s="635"/>
      <c r="AO209" s="635"/>
      <c r="AP209" s="635"/>
      <c r="AQ209" s="635"/>
      <c r="AR209" s="635"/>
      <c r="AS209" s="635"/>
      <c r="AT209" s="635"/>
      <c r="AV209" s="16"/>
      <c r="AW209" s="16"/>
      <c r="AX209" s="16"/>
      <c r="AY209" s="16"/>
      <c r="AZ209" s="19"/>
      <c r="BA209" s="19"/>
      <c r="BB209" s="19"/>
      <c r="BC209" s="19"/>
      <c r="BO209" s="635"/>
      <c r="BP209" s="635"/>
      <c r="BQ209" s="635"/>
      <c r="BV209"/>
      <c r="BW209"/>
      <c r="BX209"/>
    </row>
    <row r="210" spans="1:76">
      <c r="A210" s="2615" t="s">
        <v>1182</v>
      </c>
      <c r="B210" s="2884" t="s">
        <v>1527</v>
      </c>
      <c r="C210" s="2613" t="s">
        <v>1763</v>
      </c>
      <c r="D210" s="3282">
        <f>SUMIFS(BCRR_REHAB!L:L,BCRR_REHAB!D:D,'Huella materiales (2)'!A210)</f>
        <v>0</v>
      </c>
      <c r="E210" s="1030">
        <f>'Datos_aux_materiales (2)'!M184</f>
        <v>0.45886499999999997</v>
      </c>
      <c r="F210" s="2836">
        <f t="shared" si="82"/>
        <v>0</v>
      </c>
      <c r="G210" s="2823">
        <f>'Datos_aux_materiales (2)'!R184</f>
        <v>18.02</v>
      </c>
      <c r="H210" s="2825">
        <f t="shared" si="83"/>
        <v>0</v>
      </c>
      <c r="I210" s="2829">
        <f t="shared" si="84"/>
        <v>0</v>
      </c>
      <c r="J210" s="2851">
        <f t="shared" si="85"/>
        <v>0</v>
      </c>
      <c r="K210" s="2834">
        <f t="shared" si="86"/>
        <v>0</v>
      </c>
      <c r="L210" s="635"/>
      <c r="M210" s="635"/>
      <c r="N210" s="635"/>
      <c r="O210" s="635"/>
      <c r="P210" s="635"/>
      <c r="Q210" s="635"/>
      <c r="R210" s="635"/>
      <c r="S210" s="635"/>
      <c r="T210" s="635"/>
      <c r="U210" s="635"/>
      <c r="V210" s="635"/>
      <c r="W210" s="635"/>
      <c r="X210" s="635"/>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c r="AT210" s="635"/>
      <c r="AV210" s="16"/>
      <c r="AW210" s="16"/>
      <c r="AX210" s="16"/>
      <c r="AY210" s="16"/>
      <c r="AZ210" s="19"/>
      <c r="BA210" s="19"/>
      <c r="BB210" s="19"/>
      <c r="BC210" s="19"/>
      <c r="BO210" s="635"/>
      <c r="BP210" s="635"/>
      <c r="BQ210" s="635"/>
      <c r="BV210"/>
      <c r="BW210"/>
      <c r="BX210"/>
    </row>
    <row r="211" spans="1:76">
      <c r="A211" s="2615" t="s">
        <v>2091</v>
      </c>
      <c r="B211" s="2894" t="s">
        <v>1507</v>
      </c>
      <c r="C211" s="2755" t="s">
        <v>2092</v>
      </c>
      <c r="D211" s="3282">
        <f>SUMIFS(BCRR_REHAB!L:L,BCRR_REHAB!D:D,'Huella materiales (2)'!A211)</f>
        <v>0</v>
      </c>
      <c r="E211" s="1030">
        <f>'Datos_aux_materiales (2)'!M185</f>
        <v>38.440650600000012</v>
      </c>
      <c r="F211" s="2836">
        <f t="shared" si="82"/>
        <v>0</v>
      </c>
      <c r="G211" s="3024">
        <f>'Datos_aux_materiales (2)'!S185</f>
        <v>1.82</v>
      </c>
      <c r="H211" s="2825">
        <f t="shared" si="83"/>
        <v>0</v>
      </c>
      <c r="I211" s="2829">
        <f t="shared" si="84"/>
        <v>0</v>
      </c>
      <c r="J211" s="2851">
        <f t="shared" si="85"/>
        <v>0</v>
      </c>
      <c r="K211" s="2834">
        <f t="shared" si="86"/>
        <v>0</v>
      </c>
      <c r="L211" s="635"/>
      <c r="M211" s="635"/>
      <c r="N211" s="635"/>
      <c r="O211" s="635"/>
      <c r="P211" s="635"/>
      <c r="Q211" s="635"/>
      <c r="R211" s="635"/>
      <c r="S211" s="635"/>
      <c r="T211" s="635"/>
      <c r="U211" s="635"/>
      <c r="V211" s="635"/>
      <c r="W211" s="635"/>
      <c r="X211" s="635"/>
      <c r="Y211" s="635"/>
      <c r="Z211" s="635"/>
      <c r="AA211" s="635"/>
      <c r="AB211" s="635"/>
      <c r="AC211" s="635"/>
      <c r="AD211" s="635"/>
      <c r="AE211" s="635"/>
      <c r="AF211" s="635"/>
      <c r="AG211" s="635"/>
      <c r="AH211" s="635"/>
      <c r="AI211" s="635"/>
      <c r="AJ211" s="635"/>
      <c r="AK211" s="635"/>
      <c r="AL211" s="635"/>
      <c r="AM211" s="635"/>
      <c r="AN211" s="635"/>
      <c r="AO211" s="635"/>
      <c r="AP211" s="635"/>
      <c r="AQ211" s="635"/>
      <c r="AR211" s="635"/>
      <c r="AS211" s="635"/>
      <c r="AT211" s="635"/>
      <c r="AU211" s="160"/>
      <c r="AV211" s="160"/>
      <c r="AX211" s="19"/>
      <c r="AY211" s="19"/>
      <c r="AZ211" s="19"/>
      <c r="BA211" s="19"/>
      <c r="BB211" s="19"/>
      <c r="BC211" s="19"/>
      <c r="BD211" s="34"/>
      <c r="BO211" s="635"/>
      <c r="BP211" s="635"/>
      <c r="BQ211" s="635"/>
      <c r="BV211"/>
      <c r="BW211"/>
      <c r="BX211"/>
    </row>
    <row r="212" spans="1:76" ht="18.5">
      <c r="A212" s="2900"/>
      <c r="B212" s="2881"/>
      <c r="C212" s="2811" t="s">
        <v>3112</v>
      </c>
      <c r="D212" s="3284"/>
      <c r="E212" s="2795"/>
      <c r="F212" s="2843">
        <f>SUM(F202:F211)</f>
        <v>0</v>
      </c>
      <c r="G212" s="2844"/>
      <c r="H212" s="2842">
        <f>SUM(H202:H211)</f>
        <v>0</v>
      </c>
      <c r="I212" s="2830">
        <f t="shared" si="84"/>
        <v>0</v>
      </c>
      <c r="J212" s="2854">
        <f t="shared" si="85"/>
        <v>0</v>
      </c>
      <c r="K212" s="2835">
        <f>SUM(K202:K211)</f>
        <v>0</v>
      </c>
      <c r="L212" s="2795"/>
      <c r="M212" s="2795"/>
      <c r="N212" s="2795"/>
      <c r="O212" s="2795"/>
      <c r="P212" s="2795"/>
      <c r="Q212" s="2795"/>
      <c r="R212" s="2795"/>
      <c r="S212" s="2795"/>
      <c r="T212" s="2795"/>
      <c r="U212" s="2795"/>
      <c r="V212" s="2795"/>
      <c r="W212" s="2795"/>
      <c r="X212" s="2795"/>
      <c r="Y212" s="2795"/>
      <c r="Z212" s="2795"/>
      <c r="AA212" s="2795"/>
      <c r="AB212" s="2795"/>
      <c r="AC212" s="2795"/>
      <c r="AD212" s="2795"/>
      <c r="AE212" s="2795"/>
      <c r="AF212" s="2795"/>
      <c r="AG212" s="2795"/>
      <c r="AH212" s="635"/>
      <c r="AI212" s="635"/>
      <c r="AJ212" s="635"/>
      <c r="AK212" s="635"/>
      <c r="AL212" s="635"/>
      <c r="AM212" s="635"/>
      <c r="AN212" s="635"/>
      <c r="AO212" s="635"/>
      <c r="AP212" s="635"/>
      <c r="AQ212" s="635"/>
      <c r="AR212" s="635"/>
      <c r="AS212" s="635"/>
      <c r="AT212" s="635"/>
      <c r="AU212" s="160"/>
      <c r="AV212" s="160"/>
      <c r="AX212" s="19"/>
      <c r="AY212" s="19"/>
      <c r="AZ212" s="19"/>
      <c r="BA212" s="19"/>
      <c r="BB212" s="19"/>
      <c r="BC212" s="19"/>
      <c r="BD212" s="34"/>
      <c r="BJ212" s="16"/>
      <c r="BK212" s="16"/>
      <c r="BO212" s="635"/>
      <c r="BP212" s="635"/>
      <c r="BQ212" s="635"/>
      <c r="BV212"/>
      <c r="BW212"/>
      <c r="BX212"/>
    </row>
    <row r="213" spans="1:76" ht="18.5">
      <c r="A213" s="2909" t="s">
        <v>2978</v>
      </c>
      <c r="B213" s="2910"/>
      <c r="C213" s="2911"/>
      <c r="D213" s="3281"/>
      <c r="E213" s="2915"/>
      <c r="F213" s="2915"/>
      <c r="G213" s="2915"/>
      <c r="H213" s="2916"/>
      <c r="I213" s="2915"/>
      <c r="J213" s="2917"/>
      <c r="K213" s="2918"/>
      <c r="L213" s="2912"/>
      <c r="M213" s="2913"/>
      <c r="N213" s="2914"/>
      <c r="O213" s="2914"/>
      <c r="P213" s="2914"/>
      <c r="Q213" s="2914"/>
      <c r="R213" s="2914"/>
      <c r="S213" s="2914"/>
      <c r="T213" s="2914"/>
      <c r="U213" s="2914"/>
      <c r="V213" s="2914"/>
      <c r="W213" s="2914"/>
      <c r="X213" s="2914"/>
      <c r="Y213" s="2914"/>
      <c r="Z213" s="2914"/>
      <c r="AA213" s="2914"/>
      <c r="AB213" s="2914"/>
      <c r="AC213" s="2914"/>
      <c r="AD213" s="2914"/>
      <c r="AE213" s="2914"/>
      <c r="AF213" s="2914"/>
      <c r="AG213" s="2914"/>
      <c r="AH213" s="2916"/>
      <c r="AI213" s="2916"/>
      <c r="AJ213" s="2916"/>
      <c r="AK213" s="2916"/>
      <c r="AL213" s="2916"/>
      <c r="AM213" s="2916"/>
      <c r="AN213" s="2916"/>
      <c r="AO213" s="2916"/>
      <c r="AP213" s="2916"/>
      <c r="AQ213" s="2916"/>
      <c r="AR213" s="2916"/>
      <c r="AS213" s="2916"/>
      <c r="AT213" s="2799"/>
      <c r="AU213" s="160"/>
      <c r="AV213" s="160"/>
      <c r="AX213" s="19"/>
      <c r="AY213" s="19"/>
      <c r="AZ213" s="19"/>
      <c r="BA213" s="19"/>
      <c r="BB213" s="19"/>
      <c r="BC213" s="19"/>
      <c r="BD213" s="34"/>
      <c r="BJ213" s="16"/>
      <c r="BK213" s="16"/>
      <c r="BO213" s="2814"/>
      <c r="BP213" s="2816"/>
      <c r="BQ213" s="2799"/>
      <c r="BV213"/>
      <c r="BW213"/>
      <c r="BX213"/>
    </row>
    <row r="214" spans="1:76" ht="39.75" customHeight="1">
      <c r="A214" s="2889" t="s">
        <v>1328</v>
      </c>
      <c r="B214" s="2889" t="s">
        <v>1549</v>
      </c>
      <c r="C214" s="2878" t="s">
        <v>3126</v>
      </c>
      <c r="D214" s="3285" t="s">
        <v>914</v>
      </c>
      <c r="E214" s="2794" t="s">
        <v>288</v>
      </c>
      <c r="F214" s="2837" t="s">
        <v>3123</v>
      </c>
      <c r="G214" s="2826" t="s">
        <v>287</v>
      </c>
      <c r="H214" s="2827" t="s">
        <v>3097</v>
      </c>
      <c r="I214" s="161" t="s">
        <v>3124</v>
      </c>
      <c r="J214" s="2850" t="s">
        <v>3125</v>
      </c>
      <c r="K214" s="2833" t="s">
        <v>3136</v>
      </c>
      <c r="L214" s="635"/>
      <c r="M214" s="635"/>
      <c r="N214" s="635"/>
      <c r="O214" s="635"/>
      <c r="P214" s="635"/>
      <c r="Q214" s="635"/>
      <c r="R214" s="635"/>
      <c r="S214" s="635"/>
      <c r="T214" s="635"/>
      <c r="U214" s="635"/>
      <c r="V214" s="635"/>
      <c r="W214" s="635"/>
      <c r="X214" s="635"/>
      <c r="Y214" s="635"/>
      <c r="Z214" s="635"/>
      <c r="AA214" s="635"/>
      <c r="AB214" s="635"/>
      <c r="AC214" s="635"/>
      <c r="AD214" s="635"/>
      <c r="AE214" s="635"/>
      <c r="AF214" s="635"/>
      <c r="AG214" s="635"/>
      <c r="AH214" s="635"/>
      <c r="AI214" s="635"/>
      <c r="AJ214" s="635"/>
      <c r="AK214" s="635"/>
      <c r="AL214" s="635"/>
      <c r="AM214" s="635"/>
      <c r="AN214" s="635"/>
      <c r="AO214" s="635"/>
      <c r="AP214" s="635"/>
      <c r="AQ214" s="635"/>
      <c r="AR214" s="635"/>
      <c r="AS214" s="635"/>
      <c r="AT214" s="635"/>
      <c r="AU214" s="160"/>
      <c r="AV214" s="160"/>
      <c r="AX214" s="19"/>
      <c r="AY214" s="19"/>
      <c r="AZ214" s="19"/>
      <c r="BA214" s="19"/>
      <c r="BB214" s="19"/>
      <c r="BC214" s="19"/>
      <c r="BD214" s="16"/>
      <c r="BJ214" s="16"/>
      <c r="BK214" s="16"/>
      <c r="BO214" s="635"/>
      <c r="BP214" s="2938"/>
      <c r="BQ214" s="2939"/>
      <c r="BV214"/>
      <c r="BW214"/>
      <c r="BX214"/>
    </row>
    <row r="215" spans="1:76">
      <c r="A215" s="2523" t="s">
        <v>1909</v>
      </c>
      <c r="B215" s="2549" t="s">
        <v>1357</v>
      </c>
      <c r="C215" s="2542" t="s">
        <v>1910</v>
      </c>
      <c r="D215" s="3282">
        <f>SUMIFS(BCRR_REHAB!L:L,BCRR_REHAB!D:D,'Huella materiales (2)'!A215)</f>
        <v>0</v>
      </c>
      <c r="E215" s="1030">
        <f>'Datos_aux_materiales (2)'!M187</f>
        <v>1</v>
      </c>
      <c r="F215" s="2836">
        <f>D215*E215</f>
        <v>0</v>
      </c>
      <c r="G215" s="2823">
        <f>'Datos_aux_materiales (2)'!R187</f>
        <v>2.8000000000000001E-2</v>
      </c>
      <c r="H215" s="2825">
        <f t="shared" ref="H215" si="87">F215*G215</f>
        <v>0</v>
      </c>
      <c r="I215" s="2829">
        <f>H215/$AV$5*$AV$7</f>
        <v>0</v>
      </c>
      <c r="J215" s="2851">
        <f>I215/$AV$8</f>
        <v>0</v>
      </c>
      <c r="K215" s="2834">
        <f>F215*1.05</f>
        <v>0</v>
      </c>
      <c r="L215" s="635"/>
      <c r="M215" s="635"/>
      <c r="N215" s="635"/>
      <c r="O215" s="635"/>
      <c r="P215" s="635"/>
      <c r="Q215" s="635"/>
      <c r="R215" s="635"/>
      <c r="S215" s="635"/>
      <c r="T215" s="635"/>
      <c r="U215" s="635"/>
      <c r="V215" s="635"/>
      <c r="W215" s="635"/>
      <c r="X215" s="635"/>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c r="AT215" s="635"/>
      <c r="AU215" s="160"/>
      <c r="AV215" s="160"/>
      <c r="BD215" s="16"/>
      <c r="BJ215" s="16"/>
      <c r="BK215" s="16"/>
      <c r="BO215" s="635"/>
      <c r="BP215" s="635"/>
      <c r="BQ215" s="635"/>
      <c r="BV215"/>
      <c r="BW215"/>
      <c r="BX215"/>
    </row>
    <row r="216" spans="1:76" ht="18.5">
      <c r="A216" s="2900"/>
      <c r="B216" s="2881"/>
      <c r="C216" s="2811" t="s">
        <v>3109</v>
      </c>
      <c r="D216" s="3284"/>
      <c r="E216" s="2795"/>
      <c r="F216" s="2843">
        <f>SUM(F215)</f>
        <v>0</v>
      </c>
      <c r="G216" s="2844"/>
      <c r="H216" s="2842">
        <f>SUM(H215)</f>
        <v>0</v>
      </c>
      <c r="I216" s="2830">
        <f>H216/$AV$5*$AV$7</f>
        <v>0</v>
      </c>
      <c r="J216" s="2854">
        <f>I216/$AV$8</f>
        <v>0</v>
      </c>
      <c r="K216" s="2835">
        <f>SUM(K215)</f>
        <v>0</v>
      </c>
      <c r="L216" s="2795"/>
      <c r="M216" s="2795"/>
      <c r="N216" s="2795"/>
      <c r="O216" s="2795"/>
      <c r="P216" s="2795"/>
      <c r="Q216" s="2795"/>
      <c r="R216" s="2795"/>
      <c r="S216" s="2795"/>
      <c r="T216" s="2795"/>
      <c r="U216" s="2795"/>
      <c r="V216" s="2795"/>
      <c r="W216" s="2795"/>
      <c r="X216" s="2795"/>
      <c r="Y216" s="2795"/>
      <c r="Z216" s="2795"/>
      <c r="AA216" s="2795"/>
      <c r="AB216" s="2795"/>
      <c r="AC216" s="2795"/>
      <c r="AD216" s="2795"/>
      <c r="AE216" s="2795"/>
      <c r="AF216" s="2795"/>
      <c r="AG216" s="2795"/>
      <c r="AH216" s="635"/>
      <c r="AI216" s="635"/>
      <c r="AJ216" s="635"/>
      <c r="AK216" s="635"/>
      <c r="AL216" s="635"/>
      <c r="AM216" s="635"/>
      <c r="AN216" s="635"/>
      <c r="AO216" s="635"/>
      <c r="AP216" s="635"/>
      <c r="AQ216" s="635"/>
      <c r="AR216" s="635"/>
      <c r="AS216" s="635"/>
      <c r="AT216" s="635"/>
      <c r="AU216" s="160"/>
      <c r="AV216" s="160"/>
      <c r="BD216" s="34"/>
      <c r="BJ216" s="16"/>
      <c r="BK216" s="16"/>
      <c r="BO216" s="635"/>
      <c r="BP216" s="635"/>
      <c r="BQ216" s="635"/>
      <c r="BV216"/>
      <c r="BW216"/>
      <c r="BX216"/>
    </row>
    <row r="217" spans="1:76" ht="18.5">
      <c r="A217" s="2909" t="s">
        <v>2950</v>
      </c>
      <c r="B217" s="2910"/>
      <c r="C217" s="2911"/>
      <c r="D217" s="3281"/>
      <c r="E217" s="2915"/>
      <c r="F217" s="2915"/>
      <c r="G217" s="2915"/>
      <c r="H217" s="2916"/>
      <c r="I217" s="2915"/>
      <c r="J217" s="2917"/>
      <c r="K217" s="2918"/>
      <c r="L217" s="2912"/>
      <c r="M217" s="2913"/>
      <c r="N217" s="2914"/>
      <c r="O217" s="2914"/>
      <c r="P217" s="2914"/>
      <c r="Q217" s="2914"/>
      <c r="R217" s="2914"/>
      <c r="S217" s="2914"/>
      <c r="T217" s="2914"/>
      <c r="U217" s="2914"/>
      <c r="V217" s="2914"/>
      <c r="W217" s="2914"/>
      <c r="X217" s="2914"/>
      <c r="Y217" s="2914"/>
      <c r="Z217" s="2914"/>
      <c r="AA217" s="2914"/>
      <c r="AB217" s="2914"/>
      <c r="AC217" s="2914"/>
      <c r="AD217" s="2914"/>
      <c r="AE217" s="2914"/>
      <c r="AF217" s="2914"/>
      <c r="AG217" s="2914"/>
      <c r="AH217" s="2916"/>
      <c r="AI217" s="2916"/>
      <c r="AJ217" s="2916"/>
      <c r="AK217" s="2916"/>
      <c r="AL217" s="2916"/>
      <c r="AM217" s="2916"/>
      <c r="AN217" s="2916"/>
      <c r="AO217" s="2916"/>
      <c r="AP217" s="2916"/>
      <c r="AQ217" s="2916"/>
      <c r="AR217" s="2916"/>
      <c r="AS217" s="2916"/>
      <c r="AT217" s="2799"/>
      <c r="AU217" s="167"/>
      <c r="AV217" s="167"/>
      <c r="AW217" s="16"/>
      <c r="AX217" s="16"/>
      <c r="AY217" s="16"/>
      <c r="AZ217" s="16"/>
      <c r="BA217" s="16"/>
      <c r="BB217" s="16"/>
      <c r="BC217" s="16"/>
      <c r="BD217" s="34"/>
      <c r="BE217" s="22"/>
      <c r="BF217" s="22"/>
      <c r="BG217" s="22"/>
      <c r="BH217" s="22"/>
      <c r="BJ217" s="16"/>
      <c r="BK217" s="16"/>
      <c r="BO217" s="2814"/>
      <c r="BP217" s="2816"/>
      <c r="BQ217" s="2799"/>
      <c r="BV217"/>
      <c r="BW217"/>
      <c r="BX217"/>
    </row>
    <row r="218" spans="1:76" ht="41.25" customHeight="1">
      <c r="A218" s="2889" t="s">
        <v>1328</v>
      </c>
      <c r="B218" s="2889" t="s">
        <v>1549</v>
      </c>
      <c r="C218" s="2878" t="s">
        <v>3126</v>
      </c>
      <c r="D218" s="3285" t="s">
        <v>914</v>
      </c>
      <c r="E218" s="2794" t="s">
        <v>288</v>
      </c>
      <c r="F218" s="2837" t="s">
        <v>3123</v>
      </c>
      <c r="G218" s="2826" t="s">
        <v>287</v>
      </c>
      <c r="H218" s="2827" t="s">
        <v>3097</v>
      </c>
      <c r="I218" s="161" t="s">
        <v>3124</v>
      </c>
      <c r="J218" s="2850" t="s">
        <v>3125</v>
      </c>
      <c r="K218" s="2833" t="s">
        <v>3136</v>
      </c>
      <c r="L218" s="635"/>
      <c r="M218" s="635"/>
      <c r="N218" s="635"/>
      <c r="O218" s="635"/>
      <c r="P218" s="635"/>
      <c r="Q218" s="635"/>
      <c r="R218" s="635"/>
      <c r="S218" s="635"/>
      <c r="T218" s="635"/>
      <c r="U218" s="635"/>
      <c r="V218" s="635"/>
      <c r="W218" s="635"/>
      <c r="X218" s="635"/>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160"/>
      <c r="AV218" s="160"/>
      <c r="BD218" s="16"/>
      <c r="BI218" s="22"/>
      <c r="BJ218" s="16"/>
      <c r="BK218" s="16"/>
      <c r="BO218" s="635"/>
      <c r="BP218" s="2938"/>
      <c r="BQ218" s="2939"/>
      <c r="BV218"/>
      <c r="BW218"/>
      <c r="BX218"/>
    </row>
    <row r="219" spans="1:76">
      <c r="A219" s="2544" t="s">
        <v>1083</v>
      </c>
      <c r="B219" s="2549" t="s">
        <v>1683</v>
      </c>
      <c r="C219" s="2748" t="s">
        <v>2633</v>
      </c>
      <c r="D219" s="3282">
        <f>SUMIFS(BCRR_REHAB!L:L,BCRR_REHAB!D:D,'Huella materiales (2)'!A219)</f>
        <v>0</v>
      </c>
      <c r="E219" s="1030">
        <f>'Datos_aux_materiales (2)'!M189</f>
        <v>0.9</v>
      </c>
      <c r="F219" s="2836">
        <f t="shared" ref="F219:F232" si="88">D219*E219</f>
        <v>0</v>
      </c>
      <c r="G219" s="2823">
        <f>'Datos_aux_materiales (2)'!R189</f>
        <v>47.4</v>
      </c>
      <c r="H219" s="2825">
        <f t="shared" ref="H219:H232" si="89">F219*G219</f>
        <v>0</v>
      </c>
      <c r="I219" s="2829">
        <f t="shared" ref="I219:I233" si="90">H219/$AV$5*$AV$7</f>
        <v>0</v>
      </c>
      <c r="J219" s="2851">
        <f t="shared" ref="J219:J233" si="91">I219/$AV$8</f>
        <v>0</v>
      </c>
      <c r="K219" s="2834">
        <f t="shared" ref="K219:K232" si="92">F219*1.05</f>
        <v>0</v>
      </c>
      <c r="L219" s="635"/>
      <c r="M219" s="635"/>
      <c r="N219" s="635"/>
      <c r="O219" s="635"/>
      <c r="P219" s="635"/>
      <c r="Q219" s="635"/>
      <c r="R219" s="635"/>
      <c r="S219" s="635"/>
      <c r="T219" s="635"/>
      <c r="U219" s="635"/>
      <c r="V219" s="635"/>
      <c r="W219" s="635"/>
      <c r="X219" s="635"/>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160"/>
      <c r="AV219" s="160"/>
      <c r="BD219" s="16"/>
      <c r="BJ219" s="16"/>
      <c r="BK219" s="16"/>
      <c r="BO219" s="635"/>
      <c r="BP219" s="635"/>
      <c r="BQ219" s="635"/>
      <c r="BV219"/>
      <c r="BW219"/>
      <c r="BX219"/>
    </row>
    <row r="220" spans="1:76">
      <c r="A220" s="2535" t="s">
        <v>1682</v>
      </c>
      <c r="B220" s="2883" t="s">
        <v>1683</v>
      </c>
      <c r="C220" s="2522" t="s">
        <v>1684</v>
      </c>
      <c r="D220" s="3282">
        <f>SUMIFS(BCRR_REHAB!L:L,BCRR_REHAB!D:D,'Huella materiales (2)'!A220)</f>
        <v>0.17258684799999996</v>
      </c>
      <c r="E220" s="1030">
        <f>'Datos_aux_materiales (2)'!M190</f>
        <v>1.1000000000000001</v>
      </c>
      <c r="F220" s="2836">
        <f t="shared" si="88"/>
        <v>0.18984553279999997</v>
      </c>
      <c r="G220" s="2823">
        <f>'Datos_aux_materiales (2)'!R190</f>
        <v>99.7</v>
      </c>
      <c r="H220" s="2825">
        <f t="shared" si="89"/>
        <v>18.927599620159999</v>
      </c>
      <c r="I220" s="2829">
        <f t="shared" si="90"/>
        <v>3.3589824678030426E-4</v>
      </c>
      <c r="J220" s="2851">
        <f t="shared" si="91"/>
        <v>7.1017766033894576E-6</v>
      </c>
      <c r="K220" s="2834">
        <f t="shared" si="92"/>
        <v>0.19933780943999999</v>
      </c>
      <c r="L220" s="635"/>
      <c r="M220" s="635"/>
      <c r="N220" s="635"/>
      <c r="O220" s="635"/>
      <c r="P220" s="635"/>
      <c r="Q220" s="635"/>
      <c r="R220" s="635"/>
      <c r="S220" s="635"/>
      <c r="T220" s="635"/>
      <c r="U220" s="635"/>
      <c r="V220" s="635"/>
      <c r="W220" s="635"/>
      <c r="X220" s="635"/>
      <c r="Y220" s="635"/>
      <c r="Z220" s="635"/>
      <c r="AA220" s="635"/>
      <c r="AB220" s="635"/>
      <c r="AC220" s="635"/>
      <c r="AD220" s="635"/>
      <c r="AE220" s="635"/>
      <c r="AF220" s="635"/>
      <c r="AG220" s="635"/>
      <c r="AH220" s="635"/>
      <c r="AI220" s="635"/>
      <c r="AJ220" s="635"/>
      <c r="AK220" s="635"/>
      <c r="AL220" s="635"/>
      <c r="AM220" s="635"/>
      <c r="AN220" s="635"/>
      <c r="AO220" s="635"/>
      <c r="AP220" s="635"/>
      <c r="AQ220" s="635"/>
      <c r="AR220" s="635"/>
      <c r="AS220" s="635"/>
      <c r="AT220" s="635"/>
      <c r="AU220" s="160"/>
      <c r="AV220" s="160"/>
      <c r="BD220" s="34"/>
      <c r="BJ220" s="16"/>
      <c r="BK220" s="16"/>
      <c r="BO220" s="635"/>
      <c r="BP220" s="635"/>
      <c r="BQ220" s="635"/>
      <c r="BV220"/>
      <c r="BW220"/>
      <c r="BX220"/>
    </row>
    <row r="221" spans="1:76">
      <c r="A221" s="2535" t="s">
        <v>2945</v>
      </c>
      <c r="B221" s="2883" t="s">
        <v>1357</v>
      </c>
      <c r="C221" s="2522" t="s">
        <v>1691</v>
      </c>
      <c r="D221" s="3282">
        <f>SUMIFS(BCRR_REHAB!L:L,BCRR_REHAB!D:D,'Huella materiales (2)'!A221)</f>
        <v>0</v>
      </c>
      <c r="E221" s="1030">
        <f>'Datos_aux_materiales (2)'!M191</f>
        <v>1</v>
      </c>
      <c r="F221" s="2836">
        <f t="shared" si="88"/>
        <v>0</v>
      </c>
      <c r="G221" s="2823">
        <f>'Datos_aux_materiales (2)'!R191</f>
        <v>24.8</v>
      </c>
      <c r="H221" s="2825">
        <f t="shared" si="89"/>
        <v>0</v>
      </c>
      <c r="I221" s="2829">
        <f t="shared" si="90"/>
        <v>0</v>
      </c>
      <c r="J221" s="2851">
        <f t="shared" si="91"/>
        <v>0</v>
      </c>
      <c r="K221" s="2834">
        <f t="shared" si="92"/>
        <v>0</v>
      </c>
      <c r="L221" s="635"/>
      <c r="M221" s="635"/>
      <c r="N221" s="635"/>
      <c r="O221" s="635"/>
      <c r="P221" s="635"/>
      <c r="Q221" s="635"/>
      <c r="R221" s="635"/>
      <c r="S221" s="635"/>
      <c r="T221" s="635"/>
      <c r="U221" s="635"/>
      <c r="V221" s="635"/>
      <c r="W221" s="635"/>
      <c r="X221" s="635"/>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c r="AT221" s="635"/>
      <c r="AU221" s="160"/>
      <c r="AV221" s="160"/>
      <c r="BD221" s="34"/>
      <c r="BJ221" s="16"/>
      <c r="BK221" s="16"/>
      <c r="BO221" s="635"/>
      <c r="BP221" s="635"/>
      <c r="BQ221" s="635"/>
      <c r="BV221"/>
      <c r="BW221"/>
      <c r="BX221"/>
    </row>
    <row r="222" spans="1:76">
      <c r="A222" s="2523" t="s">
        <v>1907</v>
      </c>
      <c r="B222" s="2549" t="s">
        <v>1357</v>
      </c>
      <c r="C222" s="2542" t="s">
        <v>1908</v>
      </c>
      <c r="D222" s="3282">
        <f>SUMIFS(BCRR_REHAB!L:L,BCRR_REHAB!D:D,'Huella materiales (2)'!A222)</f>
        <v>0</v>
      </c>
      <c r="E222" s="1030">
        <f>'Datos_aux_materiales (2)'!M192</f>
        <v>1</v>
      </c>
      <c r="F222" s="2836">
        <f t="shared" si="88"/>
        <v>0</v>
      </c>
      <c r="G222" s="2823">
        <f>'Datos_aux_materiales (2)'!R192</f>
        <v>41.3</v>
      </c>
      <c r="H222" s="2825">
        <f t="shared" si="89"/>
        <v>0</v>
      </c>
      <c r="I222" s="2829">
        <f t="shared" si="90"/>
        <v>0</v>
      </c>
      <c r="J222" s="2851">
        <f t="shared" si="91"/>
        <v>0</v>
      </c>
      <c r="K222" s="2834">
        <f t="shared" si="92"/>
        <v>0</v>
      </c>
      <c r="L222" s="635"/>
      <c r="M222" s="635"/>
      <c r="N222" s="635"/>
      <c r="O222" s="635"/>
      <c r="P222" s="635"/>
      <c r="Q222" s="635"/>
      <c r="R222" s="635"/>
      <c r="S222" s="635"/>
      <c r="T222" s="635"/>
      <c r="U222" s="635"/>
      <c r="V222" s="635"/>
      <c r="W222" s="635"/>
      <c r="X222" s="635"/>
      <c r="Y222" s="635"/>
      <c r="Z222" s="635"/>
      <c r="AA222" s="635"/>
      <c r="AB222" s="635"/>
      <c r="AC222" s="635"/>
      <c r="AD222" s="635"/>
      <c r="AE222" s="635"/>
      <c r="AF222" s="635"/>
      <c r="AG222" s="635"/>
      <c r="AH222" s="635"/>
      <c r="AI222" s="635"/>
      <c r="AJ222" s="635"/>
      <c r="AK222" s="635"/>
      <c r="AL222" s="635"/>
      <c r="AM222" s="635"/>
      <c r="AN222" s="635"/>
      <c r="AO222" s="635"/>
      <c r="AP222" s="635"/>
      <c r="AQ222" s="635"/>
      <c r="AR222" s="635"/>
      <c r="AS222" s="635"/>
      <c r="AT222" s="635"/>
      <c r="AU222" s="160"/>
      <c r="AV222" s="160"/>
      <c r="BD222" s="34"/>
      <c r="BJ222" s="16"/>
      <c r="BK222" s="16"/>
      <c r="BO222" s="635"/>
      <c r="BP222" s="635"/>
      <c r="BQ222" s="635"/>
      <c r="BV222"/>
      <c r="BW222"/>
      <c r="BX222"/>
    </row>
    <row r="223" spans="1:76">
      <c r="A223" s="2535" t="s">
        <v>1933</v>
      </c>
      <c r="B223" s="2883" t="s">
        <v>1683</v>
      </c>
      <c r="C223" s="2522" t="s">
        <v>1934</v>
      </c>
      <c r="D223" s="3282">
        <f>SUMIFS(BCRR_REHAB!L:L,BCRR_REHAB!D:D,'Huella materiales (2)'!A223)</f>
        <v>0</v>
      </c>
      <c r="E223" s="1030">
        <f>'Datos_aux_materiales (2)'!M193</f>
        <v>1.1499999999999999</v>
      </c>
      <c r="F223" s="2836">
        <f t="shared" si="88"/>
        <v>0</v>
      </c>
      <c r="G223" s="2823">
        <f>'Datos_aux_materiales (2)'!R193</f>
        <v>41.3</v>
      </c>
      <c r="H223" s="2825">
        <f t="shared" si="89"/>
        <v>0</v>
      </c>
      <c r="I223" s="2829">
        <f t="shared" si="90"/>
        <v>0</v>
      </c>
      <c r="J223" s="2851">
        <f t="shared" si="91"/>
        <v>0</v>
      </c>
      <c r="K223" s="2834">
        <f t="shared" si="92"/>
        <v>0</v>
      </c>
      <c r="L223" s="635"/>
      <c r="M223" s="635"/>
      <c r="N223" s="635"/>
      <c r="O223" s="635"/>
      <c r="P223" s="635"/>
      <c r="Q223" s="635"/>
      <c r="R223" s="635"/>
      <c r="S223" s="635"/>
      <c r="T223" s="635"/>
      <c r="U223" s="635"/>
      <c r="V223" s="635"/>
      <c r="W223" s="635"/>
      <c r="X223" s="635"/>
      <c r="Y223" s="635"/>
      <c r="Z223" s="635"/>
      <c r="AA223" s="635"/>
      <c r="AB223" s="635"/>
      <c r="AC223" s="635"/>
      <c r="AD223" s="635"/>
      <c r="AE223" s="635"/>
      <c r="AF223" s="635"/>
      <c r="AG223" s="635"/>
      <c r="AH223" s="635"/>
      <c r="AI223" s="635"/>
      <c r="AJ223" s="635"/>
      <c r="AK223" s="635"/>
      <c r="AL223" s="635"/>
      <c r="AM223" s="635"/>
      <c r="AN223" s="635"/>
      <c r="AO223" s="635"/>
      <c r="AP223" s="635"/>
      <c r="AQ223" s="635"/>
      <c r="AR223" s="635"/>
      <c r="AS223" s="635"/>
      <c r="AT223" s="635"/>
      <c r="AU223" s="167"/>
      <c r="AV223" s="167"/>
      <c r="AW223" s="16"/>
      <c r="AX223" s="16"/>
      <c r="AY223" s="16"/>
      <c r="AZ223" s="16"/>
      <c r="BA223" s="16"/>
      <c r="BB223" s="16"/>
      <c r="BC223" s="16"/>
      <c r="BD223" s="34"/>
      <c r="BE223" s="22"/>
      <c r="BF223" s="22"/>
      <c r="BG223" s="22"/>
      <c r="BH223" s="22"/>
      <c r="BJ223" s="16"/>
      <c r="BK223" s="16"/>
      <c r="BO223" s="635"/>
      <c r="BP223" s="635"/>
      <c r="BQ223" s="635"/>
      <c r="BV223"/>
      <c r="BW223"/>
      <c r="BX223"/>
    </row>
    <row r="224" spans="1:76">
      <c r="A224" s="2535" t="s">
        <v>1812</v>
      </c>
      <c r="B224" s="2883" t="s">
        <v>1357</v>
      </c>
      <c r="C224" s="2522" t="s">
        <v>1813</v>
      </c>
      <c r="D224" s="3282">
        <f>SUMIFS(BCRR_REHAB!L:L,BCRR_REHAB!D:D,'Huella materiales (2)'!A224)</f>
        <v>0</v>
      </c>
      <c r="E224" s="1030">
        <f>'Datos_aux_materiales (2)'!M194</f>
        <v>1</v>
      </c>
      <c r="F224" s="2836">
        <f t="shared" si="88"/>
        <v>0</v>
      </c>
      <c r="G224" s="2823">
        <f>'Datos_aux_materiales (2)'!R194</f>
        <v>0.51400000000000001</v>
      </c>
      <c r="H224" s="2825">
        <f t="shared" si="89"/>
        <v>0</v>
      </c>
      <c r="I224" s="2829">
        <f t="shared" si="90"/>
        <v>0</v>
      </c>
      <c r="J224" s="2851">
        <f t="shared" si="91"/>
        <v>0</v>
      </c>
      <c r="K224" s="2834">
        <f t="shared" si="92"/>
        <v>0</v>
      </c>
      <c r="L224" s="635"/>
      <c r="M224" s="635"/>
      <c r="N224" s="635"/>
      <c r="O224" s="635"/>
      <c r="P224" s="635"/>
      <c r="Q224" s="635"/>
      <c r="R224" s="635"/>
      <c r="S224" s="635"/>
      <c r="T224" s="635"/>
      <c r="U224" s="635"/>
      <c r="V224" s="635"/>
      <c r="W224" s="635"/>
      <c r="X224" s="635"/>
      <c r="Y224" s="635"/>
      <c r="Z224" s="635"/>
      <c r="AA224" s="635"/>
      <c r="AB224" s="635"/>
      <c r="AC224" s="635"/>
      <c r="AD224" s="635"/>
      <c r="AE224" s="635"/>
      <c r="AF224" s="635"/>
      <c r="AG224" s="635"/>
      <c r="AH224" s="635"/>
      <c r="AI224" s="635"/>
      <c r="AJ224" s="635"/>
      <c r="AK224" s="635"/>
      <c r="AL224" s="635"/>
      <c r="AM224" s="635"/>
      <c r="AN224" s="635"/>
      <c r="AO224" s="635"/>
      <c r="AP224" s="635"/>
      <c r="AQ224" s="635"/>
      <c r="AR224" s="635"/>
      <c r="AS224" s="635"/>
      <c r="AT224" s="635"/>
      <c r="AU224" s="160"/>
      <c r="AV224" s="160"/>
      <c r="BD224" s="34"/>
      <c r="BI224" s="22"/>
      <c r="BJ224" s="16"/>
      <c r="BK224" s="16"/>
      <c r="BO224" s="635"/>
      <c r="BP224" s="635"/>
      <c r="BQ224" s="635"/>
      <c r="BV224"/>
      <c r="BW224"/>
      <c r="BX224"/>
    </row>
    <row r="225" spans="1:76">
      <c r="A225" s="2535" t="s">
        <v>2105</v>
      </c>
      <c r="B225" s="2883" t="s">
        <v>1357</v>
      </c>
      <c r="C225" s="2522" t="s">
        <v>2106</v>
      </c>
      <c r="D225" s="3282">
        <f>SUMIFS(BCRR_REHAB!L:L,BCRR_REHAB!D:D,'Huella materiales (2)'!A225)</f>
        <v>0</v>
      </c>
      <c r="E225" s="1030">
        <f>'Datos_aux_materiales (2)'!M195</f>
        <v>1</v>
      </c>
      <c r="F225" s="2836">
        <f t="shared" si="88"/>
        <v>0</v>
      </c>
      <c r="G225" s="2823">
        <f>'Datos_aux_materiales (2)'!R195</f>
        <v>51</v>
      </c>
      <c r="H225" s="2825">
        <f t="shared" si="89"/>
        <v>0</v>
      </c>
      <c r="I225" s="2829">
        <f t="shared" si="90"/>
        <v>0</v>
      </c>
      <c r="J225" s="2851">
        <f t="shared" si="91"/>
        <v>0</v>
      </c>
      <c r="K225" s="2834">
        <f t="shared" si="92"/>
        <v>0</v>
      </c>
      <c r="L225" s="635"/>
      <c r="M225" s="635"/>
      <c r="N225" s="635"/>
      <c r="O225" s="635"/>
      <c r="P225" s="635"/>
      <c r="Q225" s="635"/>
      <c r="R225" s="635"/>
      <c r="S225" s="635"/>
      <c r="T225" s="635"/>
      <c r="U225" s="635"/>
      <c r="V225" s="635"/>
      <c r="W225" s="635"/>
      <c r="X225" s="635"/>
      <c r="Y225" s="635"/>
      <c r="Z225" s="635"/>
      <c r="AA225" s="635"/>
      <c r="AB225" s="635"/>
      <c r="AC225" s="635"/>
      <c r="AD225" s="635"/>
      <c r="AE225" s="635"/>
      <c r="AF225" s="635"/>
      <c r="AG225" s="635"/>
      <c r="AH225" s="635"/>
      <c r="AI225" s="635"/>
      <c r="AJ225" s="635"/>
      <c r="AK225" s="635"/>
      <c r="AL225" s="635"/>
      <c r="AM225" s="635"/>
      <c r="AN225" s="635"/>
      <c r="AO225" s="635"/>
      <c r="AP225" s="635"/>
      <c r="AQ225" s="635"/>
      <c r="AR225" s="635"/>
      <c r="AS225" s="635"/>
      <c r="AT225" s="635"/>
      <c r="AU225" s="160"/>
      <c r="AV225" s="160"/>
      <c r="BD225" s="34"/>
      <c r="BJ225" s="16"/>
      <c r="BK225" s="16"/>
      <c r="BO225" s="635"/>
      <c r="BP225" s="635"/>
      <c r="BQ225" s="635"/>
      <c r="BV225"/>
      <c r="BW225"/>
      <c r="BX225"/>
    </row>
    <row r="226" spans="1:76" s="22" customFormat="1">
      <c r="A226" s="2535" t="s">
        <v>2110</v>
      </c>
      <c r="B226" s="2883" t="s">
        <v>1357</v>
      </c>
      <c r="C226" s="2522" t="s">
        <v>2111</v>
      </c>
      <c r="D226" s="3282">
        <f>SUMIFS(BCRR_REHAB!L:L,BCRR_REHAB!D:D,'Huella materiales (2)'!A226)</f>
        <v>0</v>
      </c>
      <c r="E226" s="1030">
        <f>'Datos_aux_materiales (2)'!M196</f>
        <v>1</v>
      </c>
      <c r="F226" s="2836">
        <f t="shared" si="88"/>
        <v>0</v>
      </c>
      <c r="G226" s="2823">
        <f>'Datos_aux_materiales (2)'!R196</f>
        <v>51</v>
      </c>
      <c r="H226" s="2825">
        <f t="shared" si="89"/>
        <v>0</v>
      </c>
      <c r="I226" s="2829">
        <f t="shared" si="90"/>
        <v>0</v>
      </c>
      <c r="J226" s="2851">
        <f t="shared" si="91"/>
        <v>0</v>
      </c>
      <c r="K226" s="2834">
        <f t="shared" si="92"/>
        <v>0</v>
      </c>
      <c r="L226" s="635"/>
      <c r="M226" s="635"/>
      <c r="N226" s="635"/>
      <c r="O226" s="635"/>
      <c r="P226" s="635"/>
      <c r="Q226" s="635"/>
      <c r="R226" s="635"/>
      <c r="S226" s="635"/>
      <c r="T226" s="635"/>
      <c r="U226" s="635"/>
      <c r="V226" s="635"/>
      <c r="W226" s="635"/>
      <c r="X226" s="635"/>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c r="AT226" s="635"/>
      <c r="AU226"/>
      <c r="AV226" s="16"/>
      <c r="AW226" s="16"/>
      <c r="AX226" s="16"/>
      <c r="AY226" s="16"/>
      <c r="AZ226"/>
      <c r="BA226"/>
      <c r="BB226"/>
      <c r="BC226"/>
      <c r="BD226"/>
      <c r="BE226"/>
      <c r="BF226"/>
      <c r="BG226"/>
      <c r="BH226"/>
      <c r="BI226"/>
      <c r="BJ226" s="16"/>
      <c r="BK226" s="16"/>
      <c r="BL226" s="16"/>
      <c r="BM226" s="16"/>
      <c r="BN226" s="16"/>
      <c r="BO226" s="635"/>
      <c r="BP226" s="635"/>
      <c r="BQ226" s="635"/>
      <c r="BR226" s="16"/>
      <c r="BS226" s="16"/>
      <c r="BT226" s="16"/>
      <c r="BU226" s="16"/>
    </row>
    <row r="227" spans="1:76">
      <c r="A227" s="2535" t="s">
        <v>1207</v>
      </c>
      <c r="B227" s="2883" t="s">
        <v>1357</v>
      </c>
      <c r="C227" s="2747" t="s">
        <v>2104</v>
      </c>
      <c r="D227" s="3282">
        <f>SUMIFS(BCRR_REHAB!L:L,BCRR_REHAB!D:D,'Huella materiales (2)'!A227)</f>
        <v>0</v>
      </c>
      <c r="E227" s="1030">
        <f>'Datos_aux_materiales (2)'!M197</f>
        <v>1</v>
      </c>
      <c r="F227" s="2836">
        <f t="shared" si="88"/>
        <v>0</v>
      </c>
      <c r="G227" s="2823">
        <f>'Datos_aux_materiales (2)'!R197</f>
        <v>41.3</v>
      </c>
      <c r="H227" s="2825">
        <f t="shared" si="89"/>
        <v>0</v>
      </c>
      <c r="I227" s="2829">
        <f t="shared" si="90"/>
        <v>0</v>
      </c>
      <c r="J227" s="2851">
        <f t="shared" si="91"/>
        <v>0</v>
      </c>
      <c r="K227" s="2834">
        <f t="shared" si="92"/>
        <v>0</v>
      </c>
      <c r="L227" s="2814"/>
      <c r="M227" s="2815"/>
      <c r="N227" s="2814"/>
      <c r="O227" s="2814"/>
      <c r="P227" s="2814"/>
      <c r="Q227" s="2814"/>
      <c r="R227" s="2814"/>
      <c r="S227" s="2814"/>
      <c r="T227" s="2814"/>
      <c r="U227" s="2814"/>
      <c r="V227" s="2814"/>
      <c r="W227" s="2814"/>
      <c r="X227" s="2814"/>
      <c r="Y227" s="2814"/>
      <c r="Z227" s="2814"/>
      <c r="AA227" s="2814"/>
      <c r="AB227" s="2814"/>
      <c r="AC227" s="2814"/>
      <c r="AD227" s="2814"/>
      <c r="AE227" s="2814"/>
      <c r="AF227" s="2814"/>
      <c r="AG227" s="2814"/>
      <c r="AH227" s="2799"/>
      <c r="AI227" s="2799"/>
      <c r="AJ227" s="2799"/>
      <c r="AK227" s="2799"/>
      <c r="AL227" s="2799"/>
      <c r="AM227" s="2799"/>
      <c r="AN227" s="2799"/>
      <c r="AO227" s="2799"/>
      <c r="AP227" s="2799"/>
      <c r="AQ227" s="2799"/>
      <c r="AR227" s="2799"/>
      <c r="AS227" s="2799"/>
      <c r="AT227" s="2799"/>
      <c r="AV227" s="16"/>
      <c r="AW227" s="16"/>
      <c r="AX227" s="16"/>
      <c r="AY227" s="16"/>
      <c r="BO227" s="2814"/>
      <c r="BP227" s="635"/>
      <c r="BQ227" s="635"/>
      <c r="BV227"/>
      <c r="BW227"/>
      <c r="BX227"/>
    </row>
    <row r="228" spans="1:76">
      <c r="A228" s="2535" t="s">
        <v>1698</v>
      </c>
      <c r="B228" s="2883" t="s">
        <v>1357</v>
      </c>
      <c r="C228" s="2522" t="s">
        <v>1699</v>
      </c>
      <c r="D228" s="3282">
        <f>SUMIFS(BCRR_REHAB!L:L,BCRR_REHAB!D:D,'Huella materiales (2)'!A228)</f>
        <v>571.90735485000005</v>
      </c>
      <c r="E228" s="1030">
        <f>'Datos_aux_materiales (2)'!M198</f>
        <v>1</v>
      </c>
      <c r="F228" s="2836">
        <f t="shared" si="88"/>
        <v>571.90735485000005</v>
      </c>
      <c r="G228" s="2823">
        <f>'Datos_aux_materiales (2)'!R198</f>
        <v>58.3</v>
      </c>
      <c r="H228" s="2825">
        <f t="shared" si="89"/>
        <v>33342.198787754998</v>
      </c>
      <c r="I228" s="2829">
        <f t="shared" si="90"/>
        <v>0.59170662637424365</v>
      </c>
      <c r="J228" s="2851">
        <f t="shared" si="91"/>
        <v>1.2510241763790919E-2</v>
      </c>
      <c r="K228" s="2834">
        <f t="shared" si="92"/>
        <v>600.50272259250005</v>
      </c>
      <c r="L228" s="635"/>
      <c r="M228" s="635"/>
      <c r="N228" s="635"/>
      <c r="O228" s="635"/>
      <c r="P228" s="635"/>
      <c r="Q228" s="635"/>
      <c r="R228" s="635"/>
      <c r="S228" s="635"/>
      <c r="T228" s="635"/>
      <c r="U228" s="635"/>
      <c r="V228" s="635"/>
      <c r="W228" s="635"/>
      <c r="X228" s="635"/>
      <c r="Y228" s="635"/>
      <c r="Z228" s="635"/>
      <c r="AA228" s="635"/>
      <c r="AB228" s="635"/>
      <c r="AC228" s="635"/>
      <c r="AD228" s="635"/>
      <c r="AE228" s="635"/>
      <c r="AF228" s="635"/>
      <c r="AG228" s="635"/>
      <c r="AH228" s="635"/>
      <c r="AI228" s="635"/>
      <c r="AJ228" s="635"/>
      <c r="AK228" s="635"/>
      <c r="AL228" s="635"/>
      <c r="AM228" s="635"/>
      <c r="AN228" s="635"/>
      <c r="AO228" s="635"/>
      <c r="AP228" s="635"/>
      <c r="AQ228" s="635"/>
      <c r="AR228" s="635"/>
      <c r="AS228" s="635"/>
      <c r="AT228" s="635"/>
      <c r="BO228" s="635"/>
      <c r="BP228" s="635"/>
      <c r="BQ228" s="635"/>
      <c r="BV228"/>
      <c r="BW228"/>
      <c r="BX228"/>
    </row>
    <row r="229" spans="1:76">
      <c r="A229" s="2523" t="s">
        <v>2937</v>
      </c>
      <c r="B229" s="2565" t="s">
        <v>1683</v>
      </c>
      <c r="C229" s="2522" t="s">
        <v>2936</v>
      </c>
      <c r="D229" s="3282">
        <f>SUMIFS(BCRR_REHAB!L:L,BCRR_REHAB!D:D,'Huella materiales (2)'!A229)</f>
        <v>0</v>
      </c>
      <c r="E229" s="1030">
        <f>'Datos_aux_materiales (2)'!M199</f>
        <v>0.82</v>
      </c>
      <c r="F229" s="2836">
        <f t="shared" si="88"/>
        <v>0</v>
      </c>
      <c r="G229" s="2823">
        <f>'Datos_aux_materiales (2)'!R199</f>
        <v>65.099999999999994</v>
      </c>
      <c r="H229" s="2825">
        <f t="shared" si="89"/>
        <v>0</v>
      </c>
      <c r="I229" s="2829">
        <f t="shared" si="90"/>
        <v>0</v>
      </c>
      <c r="J229" s="2851">
        <f t="shared" si="91"/>
        <v>0</v>
      </c>
      <c r="K229" s="2834">
        <f t="shared" si="92"/>
        <v>0</v>
      </c>
      <c r="L229" s="635"/>
      <c r="M229" s="635"/>
      <c r="N229" s="635"/>
      <c r="O229" s="635"/>
      <c r="P229" s="635"/>
      <c r="Q229" s="635"/>
      <c r="R229" s="635"/>
      <c r="S229" s="635"/>
      <c r="T229" s="635"/>
      <c r="U229" s="635"/>
      <c r="V229" s="635"/>
      <c r="W229" s="635"/>
      <c r="X229" s="635"/>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c r="AT229" s="635"/>
      <c r="BO229" s="635"/>
      <c r="BP229" s="635"/>
      <c r="BQ229" s="635"/>
      <c r="BV229"/>
      <c r="BW229"/>
      <c r="BX229"/>
    </row>
    <row r="230" spans="1:76">
      <c r="A230" s="2523" t="s">
        <v>1214</v>
      </c>
      <c r="B230" s="2565" t="s">
        <v>1357</v>
      </c>
      <c r="C230" s="2747" t="s">
        <v>1700</v>
      </c>
      <c r="D230" s="3282">
        <f>SUMIFS(BCRR_REHAB!L:L,BCRR_REHAB!D:D,'Huella materiales (2)'!A230)</f>
        <v>444.81683154999996</v>
      </c>
      <c r="E230" s="1030">
        <f>'Datos_aux_materiales (2)'!M200</f>
        <v>1</v>
      </c>
      <c r="F230" s="2836">
        <f t="shared" si="88"/>
        <v>444.81683154999996</v>
      </c>
      <c r="G230" s="2823">
        <f>'Datos_aux_materiales (2)'!R200</f>
        <v>135</v>
      </c>
      <c r="H230" s="2825">
        <f t="shared" si="89"/>
        <v>60050.272259249992</v>
      </c>
      <c r="I230" s="2829">
        <f t="shared" si="90"/>
        <v>1.0656808879810562</v>
      </c>
      <c r="J230" s="2851">
        <f t="shared" si="91"/>
        <v>2.2531310209228925E-2</v>
      </c>
      <c r="K230" s="2834">
        <f t="shared" si="92"/>
        <v>467.05767312749998</v>
      </c>
      <c r="L230" s="635"/>
      <c r="M230" s="635"/>
      <c r="N230" s="635"/>
      <c r="O230" s="635"/>
      <c r="P230" s="635"/>
      <c r="Q230" s="635"/>
      <c r="R230" s="635"/>
      <c r="S230" s="635"/>
      <c r="T230" s="635"/>
      <c r="U230" s="635"/>
      <c r="V230" s="635"/>
      <c r="W230" s="635"/>
      <c r="X230" s="635"/>
      <c r="Y230" s="635"/>
      <c r="Z230" s="635"/>
      <c r="AA230" s="635"/>
      <c r="AB230" s="635"/>
      <c r="AC230" s="635"/>
      <c r="AD230" s="635"/>
      <c r="AE230" s="635"/>
      <c r="AF230" s="635"/>
      <c r="AG230" s="635"/>
      <c r="AH230" s="635"/>
      <c r="AI230" s="635"/>
      <c r="AJ230" s="635"/>
      <c r="AK230" s="635"/>
      <c r="AL230" s="635"/>
      <c r="AM230" s="635"/>
      <c r="AN230" s="635"/>
      <c r="AO230" s="635"/>
      <c r="AP230" s="635"/>
      <c r="AQ230" s="635"/>
      <c r="AR230" s="635"/>
      <c r="AS230" s="635"/>
      <c r="AT230" s="635"/>
      <c r="BO230" s="635"/>
      <c r="BP230" s="635"/>
      <c r="BQ230" s="635"/>
      <c r="BV230"/>
      <c r="BW230"/>
      <c r="BX230"/>
    </row>
    <row r="231" spans="1:76">
      <c r="A231" s="2523" t="s">
        <v>2118</v>
      </c>
      <c r="B231" s="2565" t="s">
        <v>1683</v>
      </c>
      <c r="C231" s="2522" t="s">
        <v>2119</v>
      </c>
      <c r="D231" s="3282">
        <f>SUMIFS(BCRR_REHAB!L:L,BCRR_REHAB!D:D,'Huella materiales (2)'!A231)</f>
        <v>0</v>
      </c>
      <c r="E231" s="1030">
        <f>'Datos_aux_materiales (2)'!M201</f>
        <v>1.4</v>
      </c>
      <c r="F231" s="2836">
        <f t="shared" si="88"/>
        <v>0</v>
      </c>
      <c r="G231" s="2823">
        <f>'Datos_aux_materiales (2)'!R201</f>
        <v>65.099999999999994</v>
      </c>
      <c r="H231" s="2825">
        <f t="shared" si="89"/>
        <v>0</v>
      </c>
      <c r="I231" s="2829">
        <f t="shared" si="90"/>
        <v>0</v>
      </c>
      <c r="J231" s="2851">
        <f t="shared" si="91"/>
        <v>0</v>
      </c>
      <c r="K231" s="2834">
        <f t="shared" si="92"/>
        <v>0</v>
      </c>
      <c r="L231" s="635"/>
      <c r="M231" s="635"/>
      <c r="N231" s="635"/>
      <c r="O231" s="635"/>
      <c r="P231" s="635"/>
      <c r="Q231" s="635"/>
      <c r="R231" s="635"/>
      <c r="S231" s="635"/>
      <c r="T231" s="635"/>
      <c r="U231" s="635"/>
      <c r="V231" s="635"/>
      <c r="W231" s="635"/>
      <c r="X231" s="635"/>
      <c r="Y231" s="635"/>
      <c r="Z231" s="635"/>
      <c r="AA231" s="635"/>
      <c r="AB231" s="635"/>
      <c r="AC231" s="635"/>
      <c r="AD231" s="635"/>
      <c r="AE231" s="635"/>
      <c r="AF231" s="635"/>
      <c r="AG231" s="635"/>
      <c r="AH231" s="635"/>
      <c r="AI231" s="635"/>
      <c r="AJ231" s="635"/>
      <c r="AK231" s="635"/>
      <c r="AL231" s="635"/>
      <c r="AM231" s="635"/>
      <c r="AN231" s="635"/>
      <c r="AO231" s="635"/>
      <c r="AP231" s="635"/>
      <c r="AQ231" s="635"/>
      <c r="AR231" s="635"/>
      <c r="AS231" s="635"/>
      <c r="AT231" s="635"/>
      <c r="BO231" s="635"/>
      <c r="BP231" s="635"/>
      <c r="BQ231" s="635"/>
      <c r="BV231"/>
      <c r="BW231"/>
      <c r="BX231"/>
    </row>
    <row r="232" spans="1:76">
      <c r="A232" s="2562" t="s">
        <v>2930</v>
      </c>
      <c r="B232" s="2887" t="s">
        <v>1357</v>
      </c>
      <c r="C232" s="2561" t="s">
        <v>2929</v>
      </c>
      <c r="D232" s="3282">
        <f>SUMIFS(BCRR_REHAB!L:L,BCRR_REHAB!D:D,'Huella materiales (2)'!A232)</f>
        <v>0</v>
      </c>
      <c r="E232" s="1030">
        <f>'Datos_aux_materiales (2)'!M202</f>
        <v>1</v>
      </c>
      <c r="F232" s="2836">
        <f t="shared" si="88"/>
        <v>0</v>
      </c>
      <c r="G232" s="2823">
        <f>'Datos_aux_materiales (2)'!R202</f>
        <v>58.3</v>
      </c>
      <c r="H232" s="2825">
        <f t="shared" si="89"/>
        <v>0</v>
      </c>
      <c r="I232" s="2829">
        <f t="shared" si="90"/>
        <v>0</v>
      </c>
      <c r="J232" s="2851">
        <f t="shared" si="91"/>
        <v>0</v>
      </c>
      <c r="K232" s="2834">
        <f t="shared" si="92"/>
        <v>0</v>
      </c>
      <c r="L232" s="635"/>
      <c r="M232" s="635"/>
      <c r="N232" s="635"/>
      <c r="O232" s="635"/>
      <c r="P232" s="635"/>
      <c r="Q232" s="635"/>
      <c r="R232" s="635"/>
      <c r="S232" s="635"/>
      <c r="T232" s="635"/>
      <c r="U232" s="635"/>
      <c r="V232" s="635"/>
      <c r="W232" s="635"/>
      <c r="X232" s="635"/>
      <c r="Y232" s="635"/>
      <c r="Z232" s="635"/>
      <c r="AA232" s="635"/>
      <c r="AB232" s="635"/>
      <c r="AC232" s="635"/>
      <c r="AD232" s="635"/>
      <c r="AE232" s="635"/>
      <c r="AF232" s="635"/>
      <c r="AG232" s="635"/>
      <c r="AH232" s="635"/>
      <c r="AI232" s="635"/>
      <c r="AJ232" s="635"/>
      <c r="AK232" s="635"/>
      <c r="AL232" s="635"/>
      <c r="AM232" s="635"/>
      <c r="AN232" s="635"/>
      <c r="AO232" s="635"/>
      <c r="AP232" s="635"/>
      <c r="AQ232" s="635"/>
      <c r="AR232" s="635"/>
      <c r="AS232" s="635"/>
      <c r="AT232" s="635"/>
      <c r="AU232" s="167"/>
      <c r="AV232" s="167"/>
      <c r="AW232" s="16"/>
      <c r="AX232" s="16"/>
      <c r="AY232" s="16"/>
      <c r="AZ232" s="16"/>
      <c r="BA232" s="16"/>
      <c r="BB232" s="16"/>
      <c r="BC232" s="16"/>
      <c r="BD232" s="34"/>
      <c r="BE232" s="22"/>
      <c r="BF232" s="22"/>
      <c r="BG232" s="22"/>
      <c r="BH232" s="22"/>
      <c r="BO232" s="635"/>
      <c r="BP232" s="635"/>
      <c r="BQ232" s="635"/>
      <c r="BV232"/>
      <c r="BW232"/>
      <c r="BX232"/>
    </row>
    <row r="233" spans="1:76" ht="18.5">
      <c r="A233" s="2900"/>
      <c r="B233" s="2881"/>
      <c r="C233" s="2811" t="s">
        <v>3121</v>
      </c>
      <c r="D233" s="3284"/>
      <c r="E233" s="2795"/>
      <c r="F233" s="2843">
        <f>SUM(F219:F232)</f>
        <v>1016.9140319328</v>
      </c>
      <c r="G233" s="2844"/>
      <c r="H233" s="2842">
        <f>SUM(H219:H232)</f>
        <v>93411.398646625152</v>
      </c>
      <c r="I233" s="2830">
        <f t="shared" si="90"/>
        <v>1.6577234126020801</v>
      </c>
      <c r="J233" s="2854">
        <f t="shared" si="91"/>
        <v>3.5048653749623231E-2</v>
      </c>
      <c r="K233" s="2835">
        <f>SUM(K219:K232)</f>
        <v>1067.7597335294399</v>
      </c>
      <c r="L233" s="2795"/>
      <c r="M233" s="2795"/>
      <c r="N233" s="2795"/>
      <c r="O233" s="2795"/>
      <c r="P233" s="2795"/>
      <c r="Q233" s="2795"/>
      <c r="R233" s="2795"/>
      <c r="S233" s="2795"/>
      <c r="T233" s="2795"/>
      <c r="U233" s="2795"/>
      <c r="V233" s="2795"/>
      <c r="W233" s="2795"/>
      <c r="X233" s="2795"/>
      <c r="Y233" s="2795"/>
      <c r="Z233" s="2795"/>
      <c r="AA233" s="2795"/>
      <c r="AB233" s="2795"/>
      <c r="AC233" s="2795"/>
      <c r="AD233" s="2795"/>
      <c r="AE233" s="2795"/>
      <c r="AF233" s="2795"/>
      <c r="AG233" s="2795"/>
      <c r="AH233" s="635"/>
      <c r="AI233" s="635"/>
      <c r="AJ233" s="635"/>
      <c r="AK233" s="635"/>
      <c r="AL233" s="635"/>
      <c r="AM233" s="635"/>
      <c r="AN233" s="635"/>
      <c r="AO233" s="635"/>
      <c r="AP233" s="635"/>
      <c r="AQ233" s="635"/>
      <c r="AR233" s="635"/>
      <c r="AS233" s="635"/>
      <c r="AT233" s="635"/>
      <c r="BI233" s="22"/>
      <c r="BJ233" s="16"/>
      <c r="BK233" s="16"/>
      <c r="BO233" s="635"/>
      <c r="BP233" s="635"/>
      <c r="BQ233" s="635"/>
      <c r="BV233"/>
      <c r="BW233"/>
      <c r="BX233"/>
    </row>
    <row r="234" spans="1:76" ht="18.5">
      <c r="A234" s="2909" t="s">
        <v>3014</v>
      </c>
      <c r="B234" s="2910"/>
      <c r="C234" s="2911"/>
      <c r="D234" s="3281"/>
      <c r="E234" s="2915"/>
      <c r="F234" s="2915"/>
      <c r="G234" s="2915"/>
      <c r="H234" s="2916"/>
      <c r="I234" s="2915"/>
      <c r="J234" s="2917"/>
      <c r="K234" s="2918"/>
      <c r="L234" s="2912"/>
      <c r="M234" s="2913"/>
      <c r="N234" s="2914"/>
      <c r="O234" s="2914"/>
      <c r="P234" s="2914"/>
      <c r="Q234" s="2914"/>
      <c r="R234" s="2914"/>
      <c r="S234" s="2914"/>
      <c r="T234" s="2914"/>
      <c r="U234" s="2914"/>
      <c r="V234" s="2914"/>
      <c r="W234" s="2914"/>
      <c r="X234" s="2914"/>
      <c r="Y234" s="2914"/>
      <c r="Z234" s="2914"/>
      <c r="AA234" s="2914"/>
      <c r="AB234" s="2914"/>
      <c r="AC234" s="2914"/>
      <c r="AD234" s="2914"/>
      <c r="AE234" s="2914"/>
      <c r="AF234" s="2914"/>
      <c r="AG234" s="2914"/>
      <c r="AH234" s="2916"/>
      <c r="AI234" s="2916"/>
      <c r="AJ234" s="2916"/>
      <c r="AK234" s="2916"/>
      <c r="AL234" s="2916"/>
      <c r="AM234" s="2916"/>
      <c r="AN234" s="2916"/>
      <c r="AO234" s="2916"/>
      <c r="AP234" s="2916"/>
      <c r="AQ234" s="2916"/>
      <c r="AR234" s="2916"/>
      <c r="AS234" s="2916"/>
      <c r="AT234" s="2799"/>
      <c r="BO234" s="2814"/>
      <c r="BP234" s="2816"/>
      <c r="BQ234" s="2799"/>
      <c r="BV234"/>
      <c r="BW234"/>
      <c r="BX234"/>
    </row>
    <row r="235" spans="1:76" ht="15" customHeight="1">
      <c r="A235" s="2889" t="s">
        <v>1328</v>
      </c>
      <c r="B235" s="2889" t="s">
        <v>1549</v>
      </c>
      <c r="C235" s="2878" t="s">
        <v>3126</v>
      </c>
      <c r="D235" s="3285" t="s">
        <v>914</v>
      </c>
      <c r="E235" s="2794" t="s">
        <v>288</v>
      </c>
      <c r="F235" s="2837" t="s">
        <v>3123</v>
      </c>
      <c r="G235" s="2826" t="s">
        <v>287</v>
      </c>
      <c r="H235" s="2827" t="s">
        <v>3097</v>
      </c>
      <c r="I235" s="161" t="s">
        <v>3124</v>
      </c>
      <c r="J235" s="2850" t="s">
        <v>3125</v>
      </c>
      <c r="K235" s="2833" t="s">
        <v>3136</v>
      </c>
      <c r="L235" s="635"/>
      <c r="M235" s="635"/>
      <c r="N235" s="635"/>
      <c r="O235" s="635"/>
      <c r="P235" s="635"/>
      <c r="Q235" s="635"/>
      <c r="R235" s="635"/>
      <c r="S235" s="635"/>
      <c r="T235" s="635"/>
      <c r="U235" s="635"/>
      <c r="V235" s="635"/>
      <c r="W235" s="635"/>
      <c r="X235" s="635"/>
      <c r="Y235" s="635"/>
      <c r="Z235" s="635"/>
      <c r="AA235" s="635"/>
      <c r="AB235" s="635"/>
      <c r="AC235" s="635"/>
      <c r="AD235" s="635"/>
      <c r="AE235" s="635"/>
      <c r="AF235" s="635"/>
      <c r="AG235" s="635"/>
      <c r="AH235" s="635"/>
      <c r="AI235" s="635"/>
      <c r="AJ235" s="635"/>
      <c r="AK235" s="635"/>
      <c r="AL235" s="635"/>
      <c r="AM235" s="635"/>
      <c r="AN235" s="635"/>
      <c r="AO235" s="635"/>
      <c r="AP235" s="635"/>
      <c r="AQ235" s="635"/>
      <c r="AR235" s="635"/>
      <c r="AS235" s="635"/>
      <c r="AT235" s="635"/>
      <c r="BO235" s="635"/>
      <c r="BP235" s="2938"/>
      <c r="BQ235" s="2939"/>
      <c r="BV235"/>
      <c r="BW235"/>
      <c r="BX235"/>
    </row>
    <row r="236" spans="1:76" ht="15" customHeight="1">
      <c r="A236" s="2523" t="s">
        <v>2460</v>
      </c>
      <c r="B236" s="2565" t="s">
        <v>1504</v>
      </c>
      <c r="C236" s="2522" t="s">
        <v>2461</v>
      </c>
      <c r="D236" s="3282">
        <f>SUMIFS(BCRR_REHAB!L:L,BCRR_REHAB!D:D,'Huella materiales (2)'!A236)</f>
        <v>0</v>
      </c>
      <c r="E236" s="1030">
        <f>'Datos_aux_materiales (2)'!M204</f>
        <v>16.519139999999997</v>
      </c>
      <c r="F236" s="2836">
        <f>D236*E236</f>
        <v>0</v>
      </c>
      <c r="G236" s="2823">
        <f>'Datos_aux_materiales (2)'!R204</f>
        <v>43.5</v>
      </c>
      <c r="H236" s="2825">
        <f t="shared" ref="H236:H239" si="93">F236*G236</f>
        <v>0</v>
      </c>
      <c r="I236" s="2829">
        <f>H236/$AV$5*$AV$7</f>
        <v>0</v>
      </c>
      <c r="J236" s="2851">
        <f>I236/$AV$8</f>
        <v>0</v>
      </c>
      <c r="K236" s="2834">
        <f>F236*1.05</f>
        <v>0</v>
      </c>
      <c r="L236" s="635"/>
      <c r="M236" s="635"/>
      <c r="N236" s="635"/>
      <c r="O236" s="635"/>
      <c r="P236" s="635"/>
      <c r="Q236" s="635"/>
      <c r="R236" s="635"/>
      <c r="S236" s="635"/>
      <c r="T236" s="635"/>
      <c r="U236" s="635"/>
      <c r="V236" s="635"/>
      <c r="W236" s="635"/>
      <c r="X236" s="635"/>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c r="AT236" s="635"/>
      <c r="BO236" s="635"/>
      <c r="BP236" s="635"/>
      <c r="BQ236" s="635"/>
      <c r="BV236"/>
      <c r="BW236"/>
      <c r="BX236"/>
    </row>
    <row r="237" spans="1:76" ht="15" customHeight="1">
      <c r="A237" s="2523" t="s">
        <v>2468</v>
      </c>
      <c r="B237" s="2565" t="s">
        <v>1504</v>
      </c>
      <c r="C237" s="2522" t="s">
        <v>2469</v>
      </c>
      <c r="D237" s="3282">
        <f>SUMIFS(BCRR_REHAB!L:L,BCRR_REHAB!D:D,'Huella materiales (2)'!A237)</f>
        <v>0</v>
      </c>
      <c r="E237" s="1030">
        <f>'Datos_aux_materiales (2)'!M205</f>
        <v>36.70920000000001</v>
      </c>
      <c r="F237" s="2836">
        <f>D237*E237</f>
        <v>0</v>
      </c>
      <c r="G237" s="2823">
        <f>'Datos_aux_materiales (2)'!R205</f>
        <v>43.5</v>
      </c>
      <c r="H237" s="2825">
        <f t="shared" si="93"/>
        <v>0</v>
      </c>
      <c r="I237" s="2829">
        <f>H237/$AV$5*$AV$7</f>
        <v>0</v>
      </c>
      <c r="J237" s="2851">
        <f>I237/$AV$8</f>
        <v>0</v>
      </c>
      <c r="K237" s="2834">
        <f>F237*1.05</f>
        <v>0</v>
      </c>
      <c r="L237" s="635"/>
      <c r="M237" s="635"/>
      <c r="N237" s="635"/>
      <c r="O237" s="635"/>
      <c r="P237" s="635"/>
      <c r="Q237" s="635"/>
      <c r="R237" s="635"/>
      <c r="S237" s="635"/>
      <c r="T237" s="635"/>
      <c r="U237" s="635"/>
      <c r="V237" s="635"/>
      <c r="W237" s="635"/>
      <c r="X237" s="635"/>
      <c r="Y237" s="635"/>
      <c r="Z237" s="635"/>
      <c r="AA237" s="635"/>
      <c r="AB237" s="635"/>
      <c r="AC237" s="635"/>
      <c r="AD237" s="635"/>
      <c r="AE237" s="635"/>
      <c r="AF237" s="635"/>
      <c r="AG237" s="635"/>
      <c r="AH237" s="635"/>
      <c r="AI237" s="635"/>
      <c r="AJ237" s="635"/>
      <c r="AK237" s="635"/>
      <c r="AL237" s="635"/>
      <c r="AM237" s="635"/>
      <c r="AN237" s="635"/>
      <c r="AO237" s="635"/>
      <c r="AP237" s="635"/>
      <c r="AQ237" s="635"/>
      <c r="AR237" s="635"/>
      <c r="AS237" s="635"/>
      <c r="AT237" s="635"/>
      <c r="BO237" s="635"/>
      <c r="BP237" s="635"/>
      <c r="BQ237" s="635"/>
      <c r="BV237"/>
      <c r="BW237"/>
      <c r="BX237"/>
    </row>
    <row r="238" spans="1:76" ht="15" customHeight="1">
      <c r="A238" s="2523" t="s">
        <v>1253</v>
      </c>
      <c r="B238" s="2565" t="s">
        <v>1504</v>
      </c>
      <c r="C238" s="2522" t="s">
        <v>2478</v>
      </c>
      <c r="D238" s="3282">
        <f>SUMIFS(BCRR_REHAB!L:L,BCRR_REHAB!D:D,'Huella materiales (2)'!A238)</f>
        <v>0</v>
      </c>
      <c r="E238" s="1030">
        <f>'Datos_aux_materiales (2)'!M206</f>
        <v>22.02552</v>
      </c>
      <c r="F238" s="2836">
        <f>D238*E238</f>
        <v>0</v>
      </c>
      <c r="G238" s="2823">
        <f>'Datos_aux_materiales (2)'!R206</f>
        <v>43.5</v>
      </c>
      <c r="H238" s="2825">
        <f t="shared" si="93"/>
        <v>0</v>
      </c>
      <c r="I238" s="2829">
        <f>H238/$AV$5*$AV$7</f>
        <v>0</v>
      </c>
      <c r="J238" s="2851">
        <f>I238/$AV$8</f>
        <v>0</v>
      </c>
      <c r="K238" s="2834">
        <f>F238*1.05</f>
        <v>0</v>
      </c>
      <c r="L238" s="635"/>
      <c r="M238" s="635"/>
      <c r="N238" s="635"/>
      <c r="O238" s="635"/>
      <c r="P238" s="635"/>
      <c r="Q238" s="635"/>
      <c r="R238" s="635"/>
      <c r="S238" s="635"/>
      <c r="T238" s="635"/>
      <c r="U238" s="635"/>
      <c r="V238" s="635"/>
      <c r="W238" s="635"/>
      <c r="X238" s="635"/>
      <c r="Y238" s="635"/>
      <c r="Z238" s="635"/>
      <c r="AA238" s="635"/>
      <c r="AB238" s="635"/>
      <c r="AC238" s="635"/>
      <c r="AD238" s="635"/>
      <c r="AE238" s="635"/>
      <c r="AF238" s="635"/>
      <c r="AG238" s="635"/>
      <c r="AH238" s="635"/>
      <c r="AI238" s="635"/>
      <c r="AJ238" s="635"/>
      <c r="AK238" s="635"/>
      <c r="AL238" s="635"/>
      <c r="AM238" s="635"/>
      <c r="AN238" s="635"/>
      <c r="AO238" s="635"/>
      <c r="AP238" s="635"/>
      <c r="AQ238" s="635"/>
      <c r="AR238" s="635"/>
      <c r="AS238" s="635"/>
      <c r="AT238" s="635"/>
      <c r="BO238" s="635"/>
      <c r="BP238" s="635"/>
      <c r="BQ238" s="635"/>
      <c r="BV238"/>
      <c r="BW238"/>
      <c r="BX238"/>
    </row>
    <row r="239" spans="1:76" ht="15" customHeight="1">
      <c r="A239" s="2523" t="s">
        <v>2476</v>
      </c>
      <c r="B239" s="2565" t="s">
        <v>1504</v>
      </c>
      <c r="C239" s="2522" t="s">
        <v>2477</v>
      </c>
      <c r="D239" s="3282">
        <f>SUMIFS(BCRR_REHAB!L:L,BCRR_REHAB!D:D,'Huella materiales (2)'!A239)</f>
        <v>0</v>
      </c>
      <c r="E239" s="1030">
        <f>'Datos_aux_materiales (2)'!M207</f>
        <v>7.3418400000000004</v>
      </c>
      <c r="F239" s="2836">
        <f>D239*E239</f>
        <v>0</v>
      </c>
      <c r="G239" s="2823">
        <f>'Datos_aux_materiales (2)'!R207</f>
        <v>43.5</v>
      </c>
      <c r="H239" s="2825">
        <f t="shared" si="93"/>
        <v>0</v>
      </c>
      <c r="I239" s="2829">
        <f>H239/$AV$5*$AV$7</f>
        <v>0</v>
      </c>
      <c r="J239" s="2851">
        <f>I239/$AV$8</f>
        <v>0</v>
      </c>
      <c r="K239" s="2834">
        <f>F239*1.05</f>
        <v>0</v>
      </c>
      <c r="L239" s="635"/>
      <c r="M239" s="635"/>
      <c r="N239" s="635"/>
      <c r="O239" s="635"/>
      <c r="P239" s="635"/>
      <c r="Q239" s="635"/>
      <c r="R239" s="635"/>
      <c r="S239" s="635"/>
      <c r="T239" s="635"/>
      <c r="U239" s="635"/>
      <c r="V239" s="635"/>
      <c r="W239" s="635"/>
      <c r="X239" s="635"/>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c r="AT239" s="635"/>
      <c r="BO239" s="635"/>
      <c r="BP239" s="635"/>
      <c r="BQ239" s="635"/>
      <c r="BV239"/>
      <c r="BW239"/>
      <c r="BX239"/>
    </row>
    <row r="240" spans="1:76" ht="15" customHeight="1">
      <c r="A240" s="2900"/>
      <c r="B240" s="2881"/>
      <c r="C240" s="2811" t="s">
        <v>3111</v>
      </c>
      <c r="D240" s="3284"/>
      <c r="E240" s="2795"/>
      <c r="F240" s="2843">
        <f>SUM(F236:F239)</f>
        <v>0</v>
      </c>
      <c r="G240" s="2844"/>
      <c r="H240" s="2842">
        <f>SUM(H236:H239)</f>
        <v>0</v>
      </c>
      <c r="I240" s="2830">
        <f>H240/$AV$5*$AV$7</f>
        <v>0</v>
      </c>
      <c r="J240" s="2854">
        <f>I240/$AV$8</f>
        <v>0</v>
      </c>
      <c r="K240" s="2835">
        <f>SUM(K236:K239)</f>
        <v>0</v>
      </c>
      <c r="L240" s="2795"/>
      <c r="M240" s="2795"/>
      <c r="N240" s="2795"/>
      <c r="O240" s="2795"/>
      <c r="P240" s="2795"/>
      <c r="Q240" s="2795"/>
      <c r="R240" s="2795"/>
      <c r="S240" s="2795"/>
      <c r="T240" s="2795"/>
      <c r="U240" s="2795"/>
      <c r="V240" s="2795"/>
      <c r="W240" s="2795"/>
      <c r="X240" s="2795"/>
      <c r="Y240" s="2795"/>
      <c r="Z240" s="2795"/>
      <c r="AA240" s="2795"/>
      <c r="AB240" s="2795"/>
      <c r="AC240" s="2795"/>
      <c r="AD240" s="2795"/>
      <c r="AE240" s="2795"/>
      <c r="AF240" s="2795"/>
      <c r="AG240" s="2795"/>
      <c r="AH240" s="635"/>
      <c r="AI240" s="635"/>
      <c r="AJ240" s="635"/>
      <c r="AK240" s="635"/>
      <c r="AL240" s="635"/>
      <c r="AM240" s="635"/>
      <c r="AN240" s="635"/>
      <c r="AO240" s="635"/>
      <c r="AP240" s="635"/>
      <c r="AQ240" s="635"/>
      <c r="AR240" s="635"/>
      <c r="AS240" s="635"/>
      <c r="AT240" s="635"/>
      <c r="BO240" s="635"/>
      <c r="BP240" s="635"/>
      <c r="BQ240" s="635"/>
      <c r="BV240"/>
      <c r="BW240"/>
      <c r="BX240"/>
    </row>
    <row r="241" spans="1:76" ht="15" customHeight="1">
      <c r="A241" s="2909" t="s">
        <v>2964</v>
      </c>
      <c r="B241" s="2910"/>
      <c r="C241" s="2911"/>
      <c r="D241" s="3281"/>
      <c r="E241" s="2915"/>
      <c r="F241" s="2915"/>
      <c r="G241" s="2915"/>
      <c r="H241" s="2916"/>
      <c r="I241" s="2915"/>
      <c r="J241" s="2917"/>
      <c r="K241" s="2918"/>
      <c r="L241" s="2912"/>
      <c r="M241" s="2913"/>
      <c r="N241" s="2914"/>
      <c r="O241" s="2914"/>
      <c r="P241" s="2914"/>
      <c r="Q241" s="2914"/>
      <c r="R241" s="2914"/>
      <c r="S241" s="2914"/>
      <c r="T241" s="2914"/>
      <c r="U241" s="2914"/>
      <c r="V241" s="2914"/>
      <c r="W241" s="2914"/>
      <c r="X241" s="2914"/>
      <c r="Y241" s="2914"/>
      <c r="Z241" s="2914"/>
      <c r="AA241" s="2914"/>
      <c r="AB241" s="2914"/>
      <c r="AC241" s="2914"/>
      <c r="AD241" s="2914"/>
      <c r="AE241" s="2914"/>
      <c r="AF241" s="2914"/>
      <c r="AG241" s="2914"/>
      <c r="AH241" s="2916"/>
      <c r="AI241" s="2916"/>
      <c r="AJ241" s="2916"/>
      <c r="AK241" s="2916"/>
      <c r="AL241" s="2916"/>
      <c r="AM241" s="2916"/>
      <c r="AN241" s="2916"/>
      <c r="AO241" s="2916"/>
      <c r="AP241" s="2916"/>
      <c r="AQ241" s="2916"/>
      <c r="AR241" s="2916"/>
      <c r="AS241" s="2916"/>
      <c r="AT241" s="2799"/>
      <c r="BO241" s="2814"/>
      <c r="BP241" s="2816"/>
      <c r="BQ241" s="2799"/>
      <c r="BV241"/>
      <c r="BW241"/>
      <c r="BX241"/>
    </row>
    <row r="242" spans="1:76" ht="38.25" customHeight="1">
      <c r="A242" s="2889" t="s">
        <v>1328</v>
      </c>
      <c r="B242" s="2889" t="s">
        <v>1549</v>
      </c>
      <c r="C242" s="2878" t="s">
        <v>3126</v>
      </c>
      <c r="D242" s="3285" t="s">
        <v>914</v>
      </c>
      <c r="E242" s="2794" t="s">
        <v>288</v>
      </c>
      <c r="F242" s="2837" t="s">
        <v>3123</v>
      </c>
      <c r="G242" s="2826" t="s">
        <v>287</v>
      </c>
      <c r="H242" s="2827" t="s">
        <v>3097</v>
      </c>
      <c r="I242" s="161" t="s">
        <v>3124</v>
      </c>
      <c r="J242" s="2850" t="s">
        <v>3125</v>
      </c>
      <c r="K242" s="2833" t="s">
        <v>3136</v>
      </c>
      <c r="L242" s="635"/>
      <c r="M242" s="635"/>
      <c r="N242" s="635"/>
      <c r="O242" s="635"/>
      <c r="P242" s="635"/>
      <c r="Q242" s="635"/>
      <c r="R242" s="635"/>
      <c r="S242" s="635"/>
      <c r="T242" s="635"/>
      <c r="U242" s="635"/>
      <c r="V242" s="635"/>
      <c r="W242" s="635"/>
      <c r="X242" s="635"/>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c r="AT242" s="635"/>
      <c r="BO242" s="635"/>
      <c r="BP242" s="2938"/>
      <c r="BQ242" s="2939"/>
      <c r="BV242"/>
      <c r="BW242"/>
      <c r="BX242"/>
    </row>
    <row r="243" spans="1:76" ht="15" customHeight="1">
      <c r="A243" s="2590" t="s">
        <v>2379</v>
      </c>
      <c r="B243" s="2885" t="s">
        <v>1527</v>
      </c>
      <c r="C243" s="2588" t="s">
        <v>2380</v>
      </c>
      <c r="D243" s="3282">
        <f>SUMIFS(BCRR_REHAB!L:L,BCRR_REHAB!D:D,'Huella materiales (2)'!A243)</f>
        <v>0</v>
      </c>
      <c r="E243" s="1030">
        <f>'Datos_aux_materiales (2)'!M209</f>
        <v>0.128992</v>
      </c>
      <c r="F243" s="2836">
        <f t="shared" ref="F243:F249" si="94">D243*E243</f>
        <v>0</v>
      </c>
      <c r="G243" s="2823">
        <f>'Datos_aux_materiales (2)'!R209</f>
        <v>68.37</v>
      </c>
      <c r="H243" s="2825">
        <f t="shared" ref="H243:H249" si="95">F243*G243</f>
        <v>0</v>
      </c>
      <c r="I243" s="2829">
        <f t="shared" ref="I243:I250" si="96">H243/$AV$5*$AV$7</f>
        <v>0</v>
      </c>
      <c r="J243" s="2851">
        <f t="shared" ref="J243:J250" si="97">I243/$AV$8</f>
        <v>0</v>
      </c>
      <c r="K243" s="2834">
        <f t="shared" ref="K243:K249" si="98">F243*1.05</f>
        <v>0</v>
      </c>
      <c r="L243" s="635"/>
      <c r="M243" s="635"/>
      <c r="N243" s="635"/>
      <c r="O243" s="635"/>
      <c r="P243" s="635"/>
      <c r="Q243" s="635"/>
      <c r="R243" s="635"/>
      <c r="S243" s="635"/>
      <c r="T243" s="635"/>
      <c r="U243" s="635"/>
      <c r="V243" s="635"/>
      <c r="W243" s="635"/>
      <c r="X243" s="635"/>
      <c r="Y243" s="635"/>
      <c r="Z243" s="635"/>
      <c r="AA243" s="635"/>
      <c r="AB243" s="635"/>
      <c r="AC243" s="635"/>
      <c r="AD243" s="635"/>
      <c r="AE243" s="635"/>
      <c r="AF243" s="635"/>
      <c r="AG243" s="635"/>
      <c r="AH243" s="635"/>
      <c r="AI243" s="635"/>
      <c r="AJ243" s="635"/>
      <c r="AK243" s="635"/>
      <c r="AL243" s="635"/>
      <c r="AM243" s="635"/>
      <c r="AN243" s="635"/>
      <c r="AO243" s="635"/>
      <c r="AP243" s="635"/>
      <c r="AQ243" s="635"/>
      <c r="AR243" s="635"/>
      <c r="AS243" s="635"/>
      <c r="AT243" s="635"/>
      <c r="BO243" s="635"/>
      <c r="BP243" s="635"/>
      <c r="BQ243" s="635"/>
      <c r="BV243"/>
      <c r="BW243"/>
      <c r="BX243"/>
    </row>
    <row r="244" spans="1:76" ht="15" customHeight="1">
      <c r="A244" s="2590" t="s">
        <v>2385</v>
      </c>
      <c r="B244" s="2885" t="s">
        <v>1504</v>
      </c>
      <c r="C244" s="2588" t="s">
        <v>2386</v>
      </c>
      <c r="D244" s="3282">
        <f>SUMIFS(BCRR_REHAB!L:L,BCRR_REHAB!D:D,'Huella materiales (2)'!A244)</f>
        <v>0</v>
      </c>
      <c r="E244" s="1030">
        <f>'Datos_aux_materiales (2)'!M210</f>
        <v>0.46912500000000001</v>
      </c>
      <c r="F244" s="2836">
        <f t="shared" si="94"/>
        <v>0</v>
      </c>
      <c r="G244" s="2823">
        <f>'Datos_aux_materiales (2)'!R210</f>
        <v>104</v>
      </c>
      <c r="H244" s="2825">
        <f t="shared" si="95"/>
        <v>0</v>
      </c>
      <c r="I244" s="2829">
        <f t="shared" si="96"/>
        <v>0</v>
      </c>
      <c r="J244" s="2851">
        <f t="shared" si="97"/>
        <v>0</v>
      </c>
      <c r="K244" s="2834">
        <f t="shared" si="98"/>
        <v>0</v>
      </c>
      <c r="L244" s="1663"/>
      <c r="M244" s="1663"/>
      <c r="N244" s="1663"/>
      <c r="O244" s="1663"/>
      <c r="P244" s="1663"/>
      <c r="Q244" s="1663"/>
      <c r="R244" s="1663"/>
      <c r="S244" s="1663"/>
      <c r="T244" s="1663"/>
      <c r="U244" s="1663"/>
      <c r="V244" s="1663"/>
      <c r="W244" s="1663"/>
      <c r="X244" s="105"/>
      <c r="Y244" s="105"/>
      <c r="Z244" s="105"/>
      <c r="AA244" s="105"/>
      <c r="AB244" s="105"/>
      <c r="AC244" s="105"/>
      <c r="AD244" s="105"/>
      <c r="AE244" s="105"/>
      <c r="AF244" s="105"/>
      <c r="AG244" s="105"/>
      <c r="AH244" s="119"/>
      <c r="AI244" s="16"/>
      <c r="AJ244" s="16"/>
      <c r="AK244" s="16"/>
      <c r="AL244" s="16"/>
      <c r="AM244" s="16"/>
      <c r="AN244" s="16"/>
      <c r="AO244" s="16"/>
      <c r="AP244" s="16"/>
      <c r="AQ244" s="16"/>
      <c r="AR244" s="16"/>
      <c r="AS244" s="16"/>
      <c r="AV244" s="16"/>
      <c r="AW244" s="16"/>
      <c r="AX244" s="16"/>
      <c r="AY244" s="16"/>
      <c r="BO244" s="105"/>
      <c r="BP244" s="635"/>
      <c r="BQ244" s="635"/>
      <c r="BV244"/>
      <c r="BW244"/>
      <c r="BX244"/>
    </row>
    <row r="245" spans="1:76">
      <c r="A245" s="2590" t="s">
        <v>2375</v>
      </c>
      <c r="B245" s="2885" t="s">
        <v>1504</v>
      </c>
      <c r="C245" s="2588" t="s">
        <v>2376</v>
      </c>
      <c r="D245" s="3282">
        <f>SUMIFS(BCRR_REHAB!L:L,BCRR_REHAB!D:D,'Huella materiales (2)'!A245)</f>
        <v>0</v>
      </c>
      <c r="E245" s="1030">
        <f>'Datos_aux_materiales (2)'!M211</f>
        <v>6.515625</v>
      </c>
      <c r="F245" s="2836">
        <f t="shared" si="94"/>
        <v>0</v>
      </c>
      <c r="G245" s="2823">
        <f>'Datos_aux_materiales (2)'!R211</f>
        <v>104</v>
      </c>
      <c r="H245" s="2825">
        <f t="shared" si="95"/>
        <v>0</v>
      </c>
      <c r="I245" s="2829">
        <f t="shared" si="96"/>
        <v>0</v>
      </c>
      <c r="J245" s="2851">
        <f t="shared" si="97"/>
        <v>0</v>
      </c>
      <c r="K245" s="2834">
        <f t="shared" si="98"/>
        <v>0</v>
      </c>
      <c r="L245" s="1663"/>
      <c r="M245" s="1663"/>
      <c r="N245" s="1663"/>
      <c r="O245" s="1663"/>
      <c r="P245" s="1663"/>
      <c r="Q245" s="1663"/>
      <c r="R245" s="1663"/>
      <c r="S245" s="1663"/>
      <c r="T245" s="1663"/>
      <c r="U245" s="1663"/>
      <c r="V245" s="1663"/>
      <c r="W245" s="1663"/>
      <c r="X245" s="105"/>
      <c r="Y245" s="105"/>
      <c r="Z245" s="105"/>
      <c r="AA245" s="105"/>
      <c r="AB245" s="105"/>
      <c r="AC245" s="105"/>
      <c r="AD245" s="105"/>
      <c r="AE245" s="105"/>
      <c r="AF245" s="105"/>
      <c r="AG245" s="105"/>
      <c r="AH245" s="119"/>
      <c r="AI245" s="16"/>
      <c r="AJ245" s="16"/>
      <c r="AK245" s="16"/>
      <c r="AL245" s="16"/>
      <c r="AM245" s="16"/>
      <c r="AN245" s="16"/>
      <c r="AO245" s="16"/>
      <c r="AP245" s="16"/>
      <c r="AQ245" s="16"/>
      <c r="AR245" s="16"/>
      <c r="AS245" s="16"/>
      <c r="AV245" s="16"/>
      <c r="AW245" s="16"/>
      <c r="AX245" s="16"/>
      <c r="AY245" s="16"/>
      <c r="BO245" s="105"/>
      <c r="BP245" s="635"/>
      <c r="BQ245" s="635"/>
      <c r="BV245"/>
      <c r="BW245"/>
      <c r="BX245"/>
    </row>
    <row r="246" spans="1:76">
      <c r="A246" s="2544" t="s">
        <v>1674</v>
      </c>
      <c r="B246" s="2549" t="s">
        <v>1527</v>
      </c>
      <c r="C246" s="2592" t="s">
        <v>1675</v>
      </c>
      <c r="D246" s="3282">
        <f>SUMIFS(BCRR_REHAB!L:L,BCRR_REHAB!D:D,'Huella materiales (2)'!A246)</f>
        <v>0</v>
      </c>
      <c r="E246" s="1030">
        <f>'Datos_aux_materiales (2)'!M212</f>
        <v>1.636725</v>
      </c>
      <c r="F246" s="2836">
        <f t="shared" si="94"/>
        <v>0</v>
      </c>
      <c r="G246" s="2823">
        <f>'Datos_aux_materiales (2)'!R212</f>
        <v>64.86</v>
      </c>
      <c r="H246" s="2825">
        <f t="shared" si="95"/>
        <v>0</v>
      </c>
      <c r="I246" s="2829">
        <f t="shared" si="96"/>
        <v>0</v>
      </c>
      <c r="J246" s="2851">
        <f t="shared" si="97"/>
        <v>0</v>
      </c>
      <c r="K246" s="2834">
        <f t="shared" si="98"/>
        <v>0</v>
      </c>
      <c r="L246" s="2814"/>
      <c r="M246" s="2815"/>
      <c r="N246" s="2814"/>
      <c r="O246" s="2814"/>
      <c r="P246" s="2814"/>
      <c r="Q246" s="2814"/>
      <c r="R246" s="2814"/>
      <c r="S246" s="2814"/>
      <c r="T246" s="2814"/>
      <c r="U246" s="2814"/>
      <c r="V246" s="2814"/>
      <c r="W246" s="2814"/>
      <c r="X246" s="2814"/>
      <c r="Y246" s="2814"/>
      <c r="Z246" s="2814"/>
      <c r="AA246" s="2814"/>
      <c r="AB246" s="2814"/>
      <c r="AC246" s="2814"/>
      <c r="AD246" s="2814"/>
      <c r="AE246" s="2814"/>
      <c r="AF246" s="2814"/>
      <c r="AG246" s="2814"/>
      <c r="AH246" s="2799"/>
      <c r="AI246" s="2799"/>
      <c r="AJ246" s="2799"/>
      <c r="AK246" s="2799"/>
      <c r="AL246" s="2799"/>
      <c r="AM246" s="2799"/>
      <c r="AN246" s="2799"/>
      <c r="AO246" s="2799"/>
      <c r="AP246" s="2799"/>
      <c r="AQ246" s="2799"/>
      <c r="AR246" s="2799"/>
      <c r="AS246" s="2799"/>
      <c r="AT246" s="2799"/>
      <c r="AV246" s="16"/>
      <c r="AW246" s="16"/>
      <c r="AX246" s="16"/>
      <c r="AY246" s="16"/>
      <c r="BO246" s="2814"/>
      <c r="BP246" s="635"/>
      <c r="BQ246" s="635"/>
      <c r="BV246"/>
      <c r="BW246"/>
      <c r="BX246"/>
    </row>
    <row r="247" spans="1:76">
      <c r="A247" s="2594" t="s">
        <v>1669</v>
      </c>
      <c r="B247" s="2893" t="s">
        <v>1504</v>
      </c>
      <c r="C247" s="2592" t="s">
        <v>1670</v>
      </c>
      <c r="D247" s="3282">
        <f>SUMIFS(BCRR_REHAB!L:L,BCRR_REHAB!D:D,'Huella materiales (2)'!A247)</f>
        <v>0</v>
      </c>
      <c r="E247" s="1030">
        <f>'Datos_aux_materiales (2)'!M213</f>
        <v>1.3900000000000003</v>
      </c>
      <c r="F247" s="2836">
        <f t="shared" si="94"/>
        <v>0</v>
      </c>
      <c r="G247" s="2823">
        <f>'Datos_aux_materiales (2)'!R213</f>
        <v>104</v>
      </c>
      <c r="H247" s="2825">
        <f t="shared" si="95"/>
        <v>0</v>
      </c>
      <c r="I247" s="2829">
        <f t="shared" si="96"/>
        <v>0</v>
      </c>
      <c r="J247" s="2851">
        <f t="shared" si="97"/>
        <v>0</v>
      </c>
      <c r="K247" s="2834">
        <f t="shared" si="98"/>
        <v>0</v>
      </c>
      <c r="L247" s="635"/>
      <c r="M247" s="635"/>
      <c r="N247" s="635"/>
      <c r="O247" s="635"/>
      <c r="P247" s="635"/>
      <c r="Q247" s="635"/>
      <c r="R247" s="635"/>
      <c r="S247" s="635"/>
      <c r="T247" s="635"/>
      <c r="U247" s="635"/>
      <c r="V247" s="635"/>
      <c r="W247" s="635"/>
      <c r="X247" s="635"/>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c r="AT247" s="635"/>
      <c r="AV247" s="16"/>
      <c r="AW247" s="16"/>
      <c r="AX247" s="16"/>
      <c r="AY247" s="16"/>
      <c r="BO247" s="635"/>
      <c r="BP247" s="635"/>
      <c r="BQ247" s="635"/>
      <c r="BV247"/>
      <c r="BW247"/>
      <c r="BX247"/>
    </row>
    <row r="248" spans="1:76">
      <c r="A248" s="2594" t="s">
        <v>1671</v>
      </c>
      <c r="B248" s="2893" t="s">
        <v>1504</v>
      </c>
      <c r="C248" s="2592" t="s">
        <v>1672</v>
      </c>
      <c r="D248" s="3282">
        <f>SUMIFS(BCRR_REHAB!L:L,BCRR_REHAB!D:D,'Huella materiales (2)'!A248)</f>
        <v>0</v>
      </c>
      <c r="E248" s="1030">
        <f>'Datos_aux_materiales (2)'!M214</f>
        <v>2.7800000000000007</v>
      </c>
      <c r="F248" s="2836">
        <f t="shared" si="94"/>
        <v>0</v>
      </c>
      <c r="G248" s="2823">
        <f>'Datos_aux_materiales (2)'!R214</f>
        <v>104</v>
      </c>
      <c r="H248" s="2825">
        <f t="shared" si="95"/>
        <v>0</v>
      </c>
      <c r="I248" s="2829">
        <f t="shared" si="96"/>
        <v>0</v>
      </c>
      <c r="J248" s="2851">
        <f t="shared" si="97"/>
        <v>0</v>
      </c>
      <c r="K248" s="2834">
        <f t="shared" si="98"/>
        <v>0</v>
      </c>
      <c r="L248" s="635"/>
      <c r="M248" s="635"/>
      <c r="N248" s="635"/>
      <c r="O248" s="635"/>
      <c r="P248" s="635"/>
      <c r="Q248" s="635"/>
      <c r="R248" s="635"/>
      <c r="S248" s="635"/>
      <c r="T248" s="635"/>
      <c r="U248" s="635"/>
      <c r="V248" s="635"/>
      <c r="W248" s="635"/>
      <c r="X248" s="635"/>
      <c r="Y248" s="635"/>
      <c r="Z248" s="635"/>
      <c r="AA248" s="635"/>
      <c r="AB248" s="635"/>
      <c r="AC248" s="635"/>
      <c r="AD248" s="635"/>
      <c r="AE248" s="635"/>
      <c r="AF248" s="635"/>
      <c r="AG248" s="635"/>
      <c r="AH248" s="635"/>
      <c r="AI248" s="635"/>
      <c r="AJ248" s="635"/>
      <c r="AK248" s="635"/>
      <c r="AL248" s="635"/>
      <c r="AM248" s="635"/>
      <c r="AN248" s="635"/>
      <c r="AO248" s="635"/>
      <c r="AP248" s="635"/>
      <c r="AQ248" s="635"/>
      <c r="AR248" s="635"/>
      <c r="AS248" s="635"/>
      <c r="AT248" s="635"/>
      <c r="AV248" s="16"/>
      <c r="AW248" s="16"/>
      <c r="AX248" s="16"/>
      <c r="AY248" s="16"/>
      <c r="BO248" s="635"/>
      <c r="BP248" s="635"/>
      <c r="BQ248" s="635"/>
      <c r="BV248"/>
      <c r="BW248"/>
      <c r="BX248"/>
    </row>
    <row r="249" spans="1:76">
      <c r="A249" s="2766" t="s">
        <v>1526</v>
      </c>
      <c r="B249" s="2766" t="s">
        <v>1527</v>
      </c>
      <c r="C249" s="2768" t="s">
        <v>1528</v>
      </c>
      <c r="D249" s="3282">
        <f>SUMIFS(BCRR_REHAB!L:L,BCRR_REHAB!D:D,'Huella materiales (2)'!A249)</f>
        <v>0</v>
      </c>
      <c r="E249" s="1030">
        <f>'Datos_aux_materiales (2)'!M215</f>
        <v>0.43437500000000001</v>
      </c>
      <c r="F249" s="2836">
        <f t="shared" si="94"/>
        <v>0</v>
      </c>
      <c r="G249" s="2823">
        <f>'Datos_aux_materiales (2)'!R215</f>
        <v>104</v>
      </c>
      <c r="H249" s="2825">
        <f t="shared" si="95"/>
        <v>0</v>
      </c>
      <c r="I249" s="2829">
        <f t="shared" si="96"/>
        <v>0</v>
      </c>
      <c r="J249" s="2851">
        <f t="shared" si="97"/>
        <v>0</v>
      </c>
      <c r="K249" s="2834">
        <f t="shared" si="98"/>
        <v>0</v>
      </c>
      <c r="L249" s="635"/>
      <c r="M249" s="635"/>
      <c r="N249" s="635"/>
      <c r="O249" s="635"/>
      <c r="P249" s="635"/>
      <c r="Q249" s="635"/>
      <c r="R249" s="635"/>
      <c r="S249" s="635"/>
      <c r="T249" s="635"/>
      <c r="U249" s="635"/>
      <c r="V249" s="635"/>
      <c r="W249" s="635"/>
      <c r="X249" s="635"/>
      <c r="Y249" s="635"/>
      <c r="Z249" s="635"/>
      <c r="AA249" s="635"/>
      <c r="AB249" s="635"/>
      <c r="AC249" s="635"/>
      <c r="AD249" s="635"/>
      <c r="AE249" s="635"/>
      <c r="AF249" s="635"/>
      <c r="AG249" s="635"/>
      <c r="AH249" s="635"/>
      <c r="AI249" s="635"/>
      <c r="AJ249" s="635"/>
      <c r="AK249" s="635"/>
      <c r="AL249" s="635"/>
      <c r="AM249" s="635"/>
      <c r="AN249" s="635"/>
      <c r="AO249" s="635"/>
      <c r="AP249" s="635"/>
      <c r="AQ249" s="635"/>
      <c r="AR249" s="635"/>
      <c r="AS249" s="635"/>
      <c r="AT249" s="635"/>
      <c r="AV249" s="16"/>
      <c r="AW249" s="16"/>
      <c r="AX249" s="16"/>
      <c r="AY249" s="16"/>
      <c r="BO249" s="635"/>
      <c r="BP249" s="635"/>
      <c r="BQ249" s="635"/>
      <c r="BV249"/>
      <c r="BW249"/>
      <c r="BX249"/>
    </row>
    <row r="250" spans="1:76" ht="18.5">
      <c r="A250" s="2900"/>
      <c r="B250" s="2881"/>
      <c r="C250" s="2811" t="s">
        <v>3108</v>
      </c>
      <c r="D250" s="3284"/>
      <c r="E250" s="2795"/>
      <c r="F250" s="2843">
        <f>SUM(F243:F249)</f>
        <v>0</v>
      </c>
      <c r="G250" s="2844"/>
      <c r="H250" s="2842">
        <f>SUM(H243:H249)</f>
        <v>0</v>
      </c>
      <c r="I250" s="2830">
        <f t="shared" si="96"/>
        <v>0</v>
      </c>
      <c r="J250" s="2854">
        <f t="shared" si="97"/>
        <v>0</v>
      </c>
      <c r="K250" s="2835">
        <f>SUM(K243:K249)</f>
        <v>0</v>
      </c>
      <c r="L250" s="2795"/>
      <c r="M250" s="2795"/>
      <c r="N250" s="2795"/>
      <c r="O250" s="2795"/>
      <c r="P250" s="2795"/>
      <c r="Q250" s="2795"/>
      <c r="R250" s="2795"/>
      <c r="S250" s="2795"/>
      <c r="T250" s="2795"/>
      <c r="U250" s="2795"/>
      <c r="V250" s="2795"/>
      <c r="W250" s="2795"/>
      <c r="X250" s="2795"/>
      <c r="Y250" s="2795"/>
      <c r="Z250" s="2795"/>
      <c r="AA250" s="2795"/>
      <c r="AB250" s="2795"/>
      <c r="AC250" s="2795"/>
      <c r="AD250" s="2795"/>
      <c r="AE250" s="2795"/>
      <c r="AF250" s="2795"/>
      <c r="AG250" s="2795"/>
      <c r="AH250" s="635"/>
      <c r="AI250" s="635"/>
      <c r="AJ250" s="635"/>
      <c r="AK250" s="635"/>
      <c r="AL250" s="635"/>
      <c r="AM250" s="635"/>
      <c r="AN250" s="635"/>
      <c r="AO250" s="635"/>
      <c r="AP250" s="635"/>
      <c r="AQ250" s="635"/>
      <c r="AR250" s="635"/>
      <c r="AS250" s="635"/>
      <c r="AT250" s="635"/>
      <c r="AV250" s="16"/>
      <c r="AW250" s="16"/>
      <c r="AX250" s="16"/>
      <c r="AY250" s="16"/>
      <c r="BO250" s="635"/>
      <c r="BP250" s="635"/>
      <c r="BQ250" s="635"/>
      <c r="BV250"/>
      <c r="BW250"/>
      <c r="BX250"/>
    </row>
    <row r="251" spans="1:76" ht="18.5">
      <c r="A251" s="2909" t="s">
        <v>2961</v>
      </c>
      <c r="B251" s="2910"/>
      <c r="C251" s="2911"/>
      <c r="D251" s="3281"/>
      <c r="E251" s="2915"/>
      <c r="F251" s="2915"/>
      <c r="G251" s="2915"/>
      <c r="H251" s="2916"/>
      <c r="I251" s="2915"/>
      <c r="J251" s="2917"/>
      <c r="K251" s="2918"/>
      <c r="L251" s="2912"/>
      <c r="M251" s="2913"/>
      <c r="N251" s="2914"/>
      <c r="O251" s="2914"/>
      <c r="P251" s="2914"/>
      <c r="Q251" s="2914"/>
      <c r="R251" s="2914"/>
      <c r="S251" s="2914"/>
      <c r="T251" s="2914"/>
      <c r="U251" s="2914"/>
      <c r="V251" s="2914"/>
      <c r="W251" s="2914"/>
      <c r="X251" s="2914"/>
      <c r="Y251" s="2914"/>
      <c r="Z251" s="2914"/>
      <c r="AA251" s="2914"/>
      <c r="AB251" s="2914"/>
      <c r="AC251" s="2914"/>
      <c r="AD251" s="2914"/>
      <c r="AE251" s="2914"/>
      <c r="AF251" s="2914"/>
      <c r="AG251" s="2914"/>
      <c r="AH251" s="2916"/>
      <c r="AI251" s="2916"/>
      <c r="AJ251" s="2916"/>
      <c r="AK251" s="2916"/>
      <c r="AL251" s="2916"/>
      <c r="AM251" s="2916"/>
      <c r="AN251" s="2916"/>
      <c r="AO251" s="2916"/>
      <c r="AP251" s="2916"/>
      <c r="AQ251" s="2916"/>
      <c r="AR251" s="2916"/>
      <c r="AS251" s="2916"/>
      <c r="AT251" s="2799"/>
      <c r="AV251" s="16"/>
      <c r="AW251" s="16"/>
      <c r="AX251" s="16"/>
      <c r="AY251" s="16"/>
      <c r="BO251" s="2814"/>
      <c r="BP251" s="2816"/>
      <c r="BQ251" s="2799"/>
      <c r="BV251"/>
      <c r="BW251"/>
      <c r="BX251"/>
    </row>
    <row r="252" spans="1:76" ht="40.5" customHeight="1">
      <c r="A252" s="2889" t="s">
        <v>1328</v>
      </c>
      <c r="B252" s="2889" t="s">
        <v>1549</v>
      </c>
      <c r="C252" s="2878" t="s">
        <v>3126</v>
      </c>
      <c r="D252" s="3285" t="s">
        <v>914</v>
      </c>
      <c r="E252" s="2794" t="s">
        <v>288</v>
      </c>
      <c r="F252" s="2837" t="s">
        <v>3123</v>
      </c>
      <c r="G252" s="2826" t="s">
        <v>287</v>
      </c>
      <c r="H252" s="2827" t="s">
        <v>3097</v>
      </c>
      <c r="I252" s="161" t="s">
        <v>3124</v>
      </c>
      <c r="J252" s="2850" t="s">
        <v>3125</v>
      </c>
      <c r="K252" s="2833" t="s">
        <v>3136</v>
      </c>
      <c r="L252" s="635"/>
      <c r="M252" s="635"/>
      <c r="N252" s="635"/>
      <c r="O252" s="635"/>
      <c r="P252" s="635"/>
      <c r="Q252" s="635"/>
      <c r="R252" s="635"/>
      <c r="S252" s="635"/>
      <c r="T252" s="635"/>
      <c r="U252" s="635"/>
      <c r="V252" s="635"/>
      <c r="W252" s="635"/>
      <c r="X252" s="635"/>
      <c r="Y252" s="635"/>
      <c r="Z252" s="635"/>
      <c r="AA252" s="635"/>
      <c r="AB252" s="635"/>
      <c r="AC252" s="635"/>
      <c r="AD252" s="635"/>
      <c r="AE252" s="635"/>
      <c r="AF252" s="635"/>
      <c r="AG252" s="635"/>
      <c r="AH252" s="635"/>
      <c r="AI252" s="635"/>
      <c r="AJ252" s="635"/>
      <c r="AK252" s="635"/>
      <c r="AL252" s="635"/>
      <c r="AM252" s="635"/>
      <c r="AN252" s="635"/>
      <c r="AO252" s="635"/>
      <c r="AP252" s="635"/>
      <c r="AQ252" s="635"/>
      <c r="AR252" s="635"/>
      <c r="AS252" s="635"/>
      <c r="AT252" s="635"/>
      <c r="AV252" s="16"/>
      <c r="AW252" s="16"/>
      <c r="AX252" s="16"/>
      <c r="AY252" s="16"/>
      <c r="BO252" s="635"/>
      <c r="BP252" s="2938"/>
      <c r="BQ252" s="2939"/>
      <c r="BV252"/>
      <c r="BW252"/>
      <c r="BX252"/>
    </row>
    <row r="253" spans="1:76">
      <c r="A253" s="2535" t="s">
        <v>2666</v>
      </c>
      <c r="B253" s="2883" t="s">
        <v>1504</v>
      </c>
      <c r="C253" s="2522" t="s">
        <v>2667</v>
      </c>
      <c r="D253" s="3282">
        <f>SUMIFS(BCRR_REHAB!L:L,BCRR_REHAB!D:D,'Huella materiales (2)'!A253)</f>
        <v>0</v>
      </c>
      <c r="E253" s="1030">
        <f>'Datos_aux_materiales (2)'!M217</f>
        <v>0.88200000000000001</v>
      </c>
      <c r="F253" s="2836">
        <f t="shared" ref="F253:F291" si="99">D253*E253</f>
        <v>0</v>
      </c>
      <c r="G253" s="2823">
        <f>'Datos_aux_materiales (2)'!R217</f>
        <v>108.4</v>
      </c>
      <c r="H253" s="2825">
        <f t="shared" ref="H253:H291" si="100">F253*G253</f>
        <v>0</v>
      </c>
      <c r="I253" s="2829">
        <f t="shared" ref="I253:I292" si="101">H253/$AV$5*$AV$7</f>
        <v>0</v>
      </c>
      <c r="J253" s="2851">
        <f t="shared" ref="J253:J292" si="102">I253/$AV$8</f>
        <v>0</v>
      </c>
      <c r="K253" s="2834">
        <f t="shared" ref="K253:K291" si="103">F253*1.05</f>
        <v>0</v>
      </c>
      <c r="L253" s="635"/>
      <c r="M253" s="635"/>
      <c r="N253" s="635"/>
      <c r="O253" s="635"/>
      <c r="P253" s="635"/>
      <c r="Q253" s="635"/>
      <c r="R253" s="635"/>
      <c r="S253" s="635"/>
      <c r="T253" s="635"/>
      <c r="U253" s="635"/>
      <c r="V253" s="635"/>
      <c r="W253" s="635"/>
      <c r="X253" s="635"/>
      <c r="Y253" s="635"/>
      <c r="Z253" s="635"/>
      <c r="AA253" s="635"/>
      <c r="AB253" s="635"/>
      <c r="AC253" s="635"/>
      <c r="AD253" s="635"/>
      <c r="AE253" s="635"/>
      <c r="AF253" s="635"/>
      <c r="AG253" s="635"/>
      <c r="AH253" s="635"/>
      <c r="AI253" s="635"/>
      <c r="AJ253" s="635"/>
      <c r="AK253" s="635"/>
      <c r="AL253" s="635"/>
      <c r="AM253" s="635"/>
      <c r="AN253" s="635"/>
      <c r="AO253" s="635"/>
      <c r="AP253" s="635"/>
      <c r="AQ253" s="635"/>
      <c r="AR253" s="635"/>
      <c r="AS253" s="635"/>
      <c r="AT253" s="635"/>
      <c r="AV253" s="16"/>
      <c r="AW253" s="16"/>
      <c r="AX253" s="16"/>
      <c r="AY253" s="16"/>
      <c r="BO253" s="635"/>
      <c r="BP253" s="635"/>
      <c r="BQ253" s="635"/>
      <c r="BV253"/>
      <c r="BW253"/>
      <c r="BX253"/>
    </row>
    <row r="254" spans="1:76">
      <c r="A254" s="2594" t="s">
        <v>1255</v>
      </c>
      <c r="B254" s="2893" t="s">
        <v>1504</v>
      </c>
      <c r="C254" s="2592" t="s">
        <v>2262</v>
      </c>
      <c r="D254" s="3282">
        <f>SUMIFS(BCRR_REHAB!L:L,BCRR_REHAB!D:D,'Huella materiales (2)'!A254)</f>
        <v>0</v>
      </c>
      <c r="E254" s="1030">
        <f>'Datos_aux_materiales (2)'!M218</f>
        <v>0.19600000000000001</v>
      </c>
      <c r="F254" s="2836">
        <f t="shared" si="99"/>
        <v>0</v>
      </c>
      <c r="G254" s="2823">
        <f>'Datos_aux_materiales (2)'!R218</f>
        <v>108.4</v>
      </c>
      <c r="H254" s="2825">
        <f t="shared" si="100"/>
        <v>0</v>
      </c>
      <c r="I254" s="2829">
        <f t="shared" si="101"/>
        <v>0</v>
      </c>
      <c r="J254" s="2851">
        <f t="shared" si="102"/>
        <v>0</v>
      </c>
      <c r="K254" s="2834">
        <f t="shared" si="103"/>
        <v>0</v>
      </c>
      <c r="L254" s="635"/>
      <c r="M254" s="635"/>
      <c r="N254" s="635"/>
      <c r="O254" s="635"/>
      <c r="P254" s="635"/>
      <c r="Q254" s="635"/>
      <c r="R254" s="635"/>
      <c r="S254" s="635"/>
      <c r="T254" s="635"/>
      <c r="U254" s="635"/>
      <c r="V254" s="635"/>
      <c r="W254" s="635"/>
      <c r="X254" s="635"/>
      <c r="Y254" s="635"/>
      <c r="Z254" s="635"/>
      <c r="AA254" s="635"/>
      <c r="AB254" s="635"/>
      <c r="AC254" s="635"/>
      <c r="AD254" s="635"/>
      <c r="AE254" s="635"/>
      <c r="AF254" s="635"/>
      <c r="AG254" s="635"/>
      <c r="AH254" s="635"/>
      <c r="AI254" s="635"/>
      <c r="AJ254" s="635"/>
      <c r="AK254" s="635"/>
      <c r="AL254" s="635"/>
      <c r="AM254" s="635"/>
      <c r="AN254" s="635"/>
      <c r="AO254" s="635"/>
      <c r="AP254" s="635"/>
      <c r="AQ254" s="635"/>
      <c r="AR254" s="635"/>
      <c r="AS254" s="635"/>
      <c r="AT254" s="635"/>
      <c r="AV254" s="16"/>
      <c r="AW254" s="16"/>
      <c r="AX254" s="16"/>
      <c r="AY254" s="16"/>
      <c r="BO254" s="635"/>
      <c r="BP254" s="635"/>
      <c r="BQ254" s="635"/>
      <c r="BV254"/>
      <c r="BW254"/>
      <c r="BX254"/>
    </row>
    <row r="255" spans="1:76">
      <c r="A255" s="2594" t="s">
        <v>2265</v>
      </c>
      <c r="B255" s="2893" t="s">
        <v>1504</v>
      </c>
      <c r="C255" s="2592" t="s">
        <v>2266</v>
      </c>
      <c r="D255" s="3282">
        <f>SUMIFS(BCRR_REHAB!L:L,BCRR_REHAB!D:D,'Huella materiales (2)'!A255)</f>
        <v>0</v>
      </c>
      <c r="E255" s="1030">
        <f>'Datos_aux_materiales (2)'!M219</f>
        <v>0.19600000000000001</v>
      </c>
      <c r="F255" s="2836">
        <f t="shared" si="99"/>
        <v>0</v>
      </c>
      <c r="G255" s="2823">
        <f>'Datos_aux_materiales (2)'!R219</f>
        <v>108.4</v>
      </c>
      <c r="H255" s="2825">
        <f t="shared" si="100"/>
        <v>0</v>
      </c>
      <c r="I255" s="2829">
        <f t="shared" si="101"/>
        <v>0</v>
      </c>
      <c r="J255" s="2851">
        <f t="shared" si="102"/>
        <v>0</v>
      </c>
      <c r="K255" s="2834">
        <f t="shared" si="103"/>
        <v>0</v>
      </c>
      <c r="L255" s="635"/>
      <c r="M255" s="635"/>
      <c r="N255" s="635"/>
      <c r="O255" s="635"/>
      <c r="P255" s="635"/>
      <c r="Q255" s="635"/>
      <c r="R255" s="635"/>
      <c r="S255" s="635"/>
      <c r="T255" s="635"/>
      <c r="U255" s="635"/>
      <c r="V255" s="635"/>
      <c r="W255" s="635"/>
      <c r="X255" s="635"/>
      <c r="Y255" s="635"/>
      <c r="Z255" s="635"/>
      <c r="AA255" s="635"/>
      <c r="AB255" s="635"/>
      <c r="AC255" s="635"/>
      <c r="AD255" s="635"/>
      <c r="AE255" s="635"/>
      <c r="AF255" s="635"/>
      <c r="AG255" s="635"/>
      <c r="AH255" s="635"/>
      <c r="AI255" s="635"/>
      <c r="AJ255" s="635"/>
      <c r="AK255" s="635"/>
      <c r="AL255" s="635"/>
      <c r="AM255" s="635"/>
      <c r="AN255" s="635"/>
      <c r="AO255" s="635"/>
      <c r="AP255" s="635"/>
      <c r="AQ255" s="635"/>
      <c r="AR255" s="635"/>
      <c r="AS255" s="635"/>
      <c r="AT255" s="635"/>
      <c r="AV255" s="16"/>
      <c r="AW255" s="16"/>
      <c r="AX255" s="16"/>
      <c r="AY255" s="16"/>
      <c r="BO255" s="635"/>
      <c r="BP255" s="635"/>
      <c r="BQ255" s="635"/>
      <c r="BV255"/>
      <c r="BW255"/>
      <c r="BX255"/>
    </row>
    <row r="256" spans="1:76">
      <c r="A256" s="2594" t="s">
        <v>2269</v>
      </c>
      <c r="B256" s="2893" t="s">
        <v>1504</v>
      </c>
      <c r="C256" s="2592" t="s">
        <v>2270</v>
      </c>
      <c r="D256" s="3282">
        <f>SUMIFS(BCRR_REHAB!L:L,BCRR_REHAB!D:D,'Huella materiales (2)'!A256)</f>
        <v>0</v>
      </c>
      <c r="E256" s="1030">
        <f>'Datos_aux_materiales (2)'!M220</f>
        <v>0.66149999999999998</v>
      </c>
      <c r="F256" s="2836">
        <f t="shared" si="99"/>
        <v>0</v>
      </c>
      <c r="G256" s="2823">
        <f>'Datos_aux_materiales (2)'!R220</f>
        <v>108.4</v>
      </c>
      <c r="H256" s="2825">
        <f t="shared" si="100"/>
        <v>0</v>
      </c>
      <c r="I256" s="2829">
        <f t="shared" si="101"/>
        <v>0</v>
      </c>
      <c r="J256" s="2851">
        <f t="shared" si="102"/>
        <v>0</v>
      </c>
      <c r="K256" s="2834">
        <f t="shared" si="103"/>
        <v>0</v>
      </c>
      <c r="L256" s="635"/>
      <c r="M256" s="635"/>
      <c r="N256" s="635"/>
      <c r="O256" s="635"/>
      <c r="P256" s="635"/>
      <c r="Q256" s="635"/>
      <c r="R256" s="635"/>
      <c r="S256" s="635"/>
      <c r="T256" s="635"/>
      <c r="U256" s="635"/>
      <c r="V256" s="635"/>
      <c r="W256" s="635"/>
      <c r="X256" s="635"/>
      <c r="Y256" s="635"/>
      <c r="Z256" s="635"/>
      <c r="AA256" s="635"/>
      <c r="AB256" s="635"/>
      <c r="AC256" s="635"/>
      <c r="AD256" s="635"/>
      <c r="AE256" s="635"/>
      <c r="AF256" s="635"/>
      <c r="AG256" s="635"/>
      <c r="AH256" s="635"/>
      <c r="AI256" s="635"/>
      <c r="AJ256" s="635"/>
      <c r="AK256" s="635"/>
      <c r="AL256" s="635"/>
      <c r="AM256" s="635"/>
      <c r="AN256" s="635"/>
      <c r="AO256" s="635"/>
      <c r="AP256" s="635"/>
      <c r="AQ256" s="635"/>
      <c r="AR256" s="635"/>
      <c r="AS256" s="635"/>
      <c r="AT256" s="635"/>
      <c r="AV256" s="16"/>
      <c r="AW256" s="16"/>
      <c r="AX256" s="16"/>
      <c r="AY256" s="16"/>
      <c r="BO256" s="635"/>
      <c r="BP256" s="635"/>
      <c r="BQ256" s="635"/>
      <c r="BV256"/>
      <c r="BW256"/>
      <c r="BX256"/>
    </row>
    <row r="257" spans="1:76">
      <c r="A257" s="2594" t="s">
        <v>2275</v>
      </c>
      <c r="B257" s="2893" t="s">
        <v>1504</v>
      </c>
      <c r="C257" s="2592" t="s">
        <v>2276</v>
      </c>
      <c r="D257" s="3282">
        <f>SUMIFS(BCRR_REHAB!L:L,BCRR_REHAB!D:D,'Huella materiales (2)'!A257)</f>
        <v>0</v>
      </c>
      <c r="E257" s="1030">
        <f>'Datos_aux_materiales (2)'!M221</f>
        <v>0.66149999999999998</v>
      </c>
      <c r="F257" s="2836">
        <f t="shared" si="99"/>
        <v>0</v>
      </c>
      <c r="G257" s="2823">
        <f>'Datos_aux_materiales (2)'!R221</f>
        <v>108.4</v>
      </c>
      <c r="H257" s="2825">
        <f t="shared" si="100"/>
        <v>0</v>
      </c>
      <c r="I257" s="2829">
        <f t="shared" si="101"/>
        <v>0</v>
      </c>
      <c r="J257" s="2851">
        <f t="shared" si="102"/>
        <v>0</v>
      </c>
      <c r="K257" s="2834">
        <f t="shared" si="103"/>
        <v>0</v>
      </c>
      <c r="L257" s="635"/>
      <c r="M257" s="635"/>
      <c r="N257" s="635"/>
      <c r="O257" s="635"/>
      <c r="P257" s="635"/>
      <c r="Q257" s="635"/>
      <c r="R257" s="635"/>
      <c r="S257" s="635"/>
      <c r="T257" s="635"/>
      <c r="U257" s="635"/>
      <c r="V257" s="635"/>
      <c r="W257" s="635"/>
      <c r="X257" s="635"/>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c r="AT257" s="635"/>
      <c r="AV257" s="16"/>
      <c r="AW257" s="16"/>
      <c r="AX257" s="16"/>
      <c r="AY257" s="16"/>
      <c r="BO257" s="635"/>
      <c r="BP257" s="635"/>
      <c r="BQ257" s="635"/>
      <c r="BV257"/>
      <c r="BW257"/>
      <c r="BX257"/>
    </row>
    <row r="258" spans="1:76">
      <c r="A258" s="2544" t="s">
        <v>2200</v>
      </c>
      <c r="B258" s="2549" t="s">
        <v>1504</v>
      </c>
      <c r="C258" s="2542" t="s">
        <v>2201</v>
      </c>
      <c r="D258" s="3282">
        <f>SUMIFS(BCRR_REHAB!L:L,BCRR_REHAB!D:D,'Huella materiales (2)'!A258)</f>
        <v>0</v>
      </c>
      <c r="E258" s="1030">
        <f>'Datos_aux_materiales (2)'!M222</f>
        <v>3.6749999999999998</v>
      </c>
      <c r="F258" s="2836">
        <f t="shared" si="99"/>
        <v>0</v>
      </c>
      <c r="G258" s="2823">
        <f>'Datos_aux_materiales (2)'!R222</f>
        <v>109.4</v>
      </c>
      <c r="H258" s="2825">
        <f t="shared" si="100"/>
        <v>0</v>
      </c>
      <c r="I258" s="2829">
        <f t="shared" si="101"/>
        <v>0</v>
      </c>
      <c r="J258" s="2851">
        <f t="shared" si="102"/>
        <v>0</v>
      </c>
      <c r="K258" s="2834">
        <f t="shared" si="103"/>
        <v>0</v>
      </c>
      <c r="L258" s="635"/>
      <c r="M258" s="635"/>
      <c r="N258" s="635"/>
      <c r="O258" s="635"/>
      <c r="P258" s="635"/>
      <c r="Q258" s="635"/>
      <c r="R258" s="635"/>
      <c r="S258" s="635"/>
      <c r="T258" s="635"/>
      <c r="U258" s="635"/>
      <c r="V258" s="635"/>
      <c r="W258" s="635"/>
      <c r="X258" s="635"/>
      <c r="Y258" s="635"/>
      <c r="Z258" s="635"/>
      <c r="AA258" s="635"/>
      <c r="AB258" s="635"/>
      <c r="AC258" s="635"/>
      <c r="AD258" s="635"/>
      <c r="AE258" s="635"/>
      <c r="AF258" s="635"/>
      <c r="AG258" s="635"/>
      <c r="AH258" s="635"/>
      <c r="AI258" s="635"/>
      <c r="AJ258" s="635"/>
      <c r="AK258" s="635"/>
      <c r="AL258" s="635"/>
      <c r="AM258" s="635"/>
      <c r="AN258" s="635"/>
      <c r="AO258" s="635"/>
      <c r="AP258" s="635"/>
      <c r="AQ258" s="635"/>
      <c r="AR258" s="635"/>
      <c r="AS258" s="635"/>
      <c r="AT258" s="635"/>
      <c r="AV258" s="16"/>
      <c r="AW258" s="16"/>
      <c r="AX258" s="16"/>
      <c r="AY258" s="16"/>
      <c r="BO258" s="635"/>
      <c r="BP258" s="635"/>
      <c r="BQ258" s="635"/>
      <c r="BV258"/>
      <c r="BW258"/>
      <c r="BX258"/>
    </row>
    <row r="259" spans="1:76">
      <c r="A259" s="2523" t="s">
        <v>2221</v>
      </c>
      <c r="B259" s="2565" t="s">
        <v>1504</v>
      </c>
      <c r="C259" s="2522" t="s">
        <v>2222</v>
      </c>
      <c r="D259" s="3282">
        <f>SUMIFS(BCRR_REHAB!L:L,BCRR_REHAB!D:D,'Huella materiales (2)'!A259)</f>
        <v>0</v>
      </c>
      <c r="E259" s="1030">
        <f>'Datos_aux_materiales (2)'!M223</f>
        <v>1.4700000000000002</v>
      </c>
      <c r="F259" s="2836">
        <f t="shared" si="99"/>
        <v>0</v>
      </c>
      <c r="G259" s="2823">
        <f>'Datos_aux_materiales (2)'!R223</f>
        <v>108.4</v>
      </c>
      <c r="H259" s="2825">
        <f t="shared" si="100"/>
        <v>0</v>
      </c>
      <c r="I259" s="2829">
        <f t="shared" si="101"/>
        <v>0</v>
      </c>
      <c r="J259" s="2851">
        <f t="shared" si="102"/>
        <v>0</v>
      </c>
      <c r="K259" s="2834">
        <f t="shared" si="103"/>
        <v>0</v>
      </c>
      <c r="L259" s="635"/>
      <c r="M259" s="635"/>
      <c r="N259" s="635"/>
      <c r="O259" s="635"/>
      <c r="P259" s="635"/>
      <c r="Q259" s="635"/>
      <c r="R259" s="635"/>
      <c r="S259" s="635"/>
      <c r="T259" s="635"/>
      <c r="U259" s="635"/>
      <c r="V259" s="635"/>
      <c r="W259" s="635"/>
      <c r="X259" s="635"/>
      <c r="Y259" s="635"/>
      <c r="Z259" s="635"/>
      <c r="AA259" s="635"/>
      <c r="AB259" s="635"/>
      <c r="AC259" s="635"/>
      <c r="AD259" s="635"/>
      <c r="AE259" s="635"/>
      <c r="AF259" s="635"/>
      <c r="AG259" s="635"/>
      <c r="AH259" s="635"/>
      <c r="AI259" s="635"/>
      <c r="AJ259" s="635"/>
      <c r="AK259" s="635"/>
      <c r="AL259" s="635"/>
      <c r="AM259" s="635"/>
      <c r="AN259" s="635"/>
      <c r="AO259" s="635"/>
      <c r="AP259" s="635"/>
      <c r="AQ259" s="635"/>
      <c r="AR259" s="635"/>
      <c r="AS259" s="635"/>
      <c r="AT259" s="635"/>
      <c r="AV259" s="16"/>
      <c r="AW259" s="16"/>
      <c r="AX259" s="16"/>
      <c r="AY259" s="16"/>
      <c r="BO259" s="635"/>
      <c r="BP259" s="635"/>
      <c r="BQ259" s="635"/>
      <c r="BV259"/>
      <c r="BW259"/>
      <c r="BX259"/>
    </row>
    <row r="260" spans="1:76">
      <c r="A260" s="2523" t="s">
        <v>1256</v>
      </c>
      <c r="B260" s="2565" t="s">
        <v>1504</v>
      </c>
      <c r="C260" s="2522" t="s">
        <v>2247</v>
      </c>
      <c r="D260" s="3282">
        <f>SUMIFS(BCRR_REHAB!L:L,BCRR_REHAB!D:D,'Huella materiales (2)'!A260)</f>
        <v>0</v>
      </c>
      <c r="E260" s="1030">
        <f>'Datos_aux_materiales (2)'!M224</f>
        <v>0.24500000000000005</v>
      </c>
      <c r="F260" s="2836">
        <f t="shared" si="99"/>
        <v>0</v>
      </c>
      <c r="G260" s="2823">
        <f>'Datos_aux_materiales (2)'!R224</f>
        <v>108.4</v>
      </c>
      <c r="H260" s="2825">
        <f t="shared" si="100"/>
        <v>0</v>
      </c>
      <c r="I260" s="2829">
        <f t="shared" si="101"/>
        <v>0</v>
      </c>
      <c r="J260" s="2851">
        <f t="shared" si="102"/>
        <v>0</v>
      </c>
      <c r="K260" s="2834">
        <f t="shared" si="103"/>
        <v>0</v>
      </c>
      <c r="L260" s="635"/>
      <c r="M260" s="635"/>
      <c r="N260" s="635"/>
      <c r="O260" s="635"/>
      <c r="P260" s="635"/>
      <c r="Q260" s="635"/>
      <c r="R260" s="635"/>
      <c r="S260" s="635"/>
      <c r="T260" s="635"/>
      <c r="U260" s="635"/>
      <c r="V260" s="635"/>
      <c r="W260" s="635"/>
      <c r="X260" s="635"/>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c r="AT260" s="635"/>
      <c r="AV260" s="16"/>
      <c r="AW260" s="16"/>
      <c r="AX260" s="16"/>
      <c r="AY260" s="16"/>
      <c r="BO260" s="635"/>
      <c r="BP260" s="635"/>
      <c r="BQ260" s="635"/>
      <c r="BV260"/>
      <c r="BW260"/>
      <c r="BX260"/>
    </row>
    <row r="261" spans="1:76">
      <c r="A261" s="2544" t="s">
        <v>2196</v>
      </c>
      <c r="B261" s="2549" t="s">
        <v>1504</v>
      </c>
      <c r="C261" s="2542" t="s">
        <v>2197</v>
      </c>
      <c r="D261" s="3282">
        <f>SUMIFS(BCRR_REHAB!L:L,BCRR_REHAB!D:D,'Huella materiales (2)'!A261)</f>
        <v>0</v>
      </c>
      <c r="E261" s="1030">
        <f>'Datos_aux_materiales (2)'!M225</f>
        <v>0.4900000000000001</v>
      </c>
      <c r="F261" s="2836">
        <f t="shared" si="99"/>
        <v>0</v>
      </c>
      <c r="G261" s="2823">
        <f>'Datos_aux_materiales (2)'!R225</f>
        <v>108.4</v>
      </c>
      <c r="H261" s="2825">
        <f t="shared" si="100"/>
        <v>0</v>
      </c>
      <c r="I261" s="2829">
        <f t="shared" si="101"/>
        <v>0</v>
      </c>
      <c r="J261" s="2851">
        <f t="shared" si="102"/>
        <v>0</v>
      </c>
      <c r="K261" s="2834">
        <f t="shared" si="103"/>
        <v>0</v>
      </c>
      <c r="L261" s="635"/>
      <c r="M261" s="635"/>
      <c r="N261" s="635"/>
      <c r="O261" s="635"/>
      <c r="P261" s="635"/>
      <c r="Q261" s="635"/>
      <c r="R261" s="635"/>
      <c r="S261" s="635"/>
      <c r="T261" s="635"/>
      <c r="U261" s="635"/>
      <c r="V261" s="635"/>
      <c r="W261" s="635"/>
      <c r="X261" s="635"/>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c r="AT261" s="635"/>
      <c r="AV261" s="16"/>
      <c r="AW261" s="16"/>
      <c r="AX261" s="16"/>
      <c r="AY261" s="16"/>
      <c r="BO261" s="635"/>
      <c r="BP261" s="635"/>
      <c r="BQ261" s="635"/>
      <c r="BV261"/>
      <c r="BW261"/>
      <c r="BX261"/>
    </row>
    <row r="262" spans="1:76">
      <c r="A262" s="2523" t="s">
        <v>2705</v>
      </c>
      <c r="B262" s="2565" t="s">
        <v>1504</v>
      </c>
      <c r="C262" s="2542" t="s">
        <v>2706</v>
      </c>
      <c r="D262" s="3282">
        <f>SUMIFS(BCRR_REHAB!L:L,BCRR_REHAB!D:D,'Huella materiales (2)'!A262)</f>
        <v>0</v>
      </c>
      <c r="E262" s="1030">
        <f>'Datos_aux_materiales (2)'!M226</f>
        <v>0.36749999999999999</v>
      </c>
      <c r="F262" s="2836">
        <f t="shared" si="99"/>
        <v>0</v>
      </c>
      <c r="G262" s="2823">
        <f>'Datos_aux_materiales (2)'!R226</f>
        <v>108.4</v>
      </c>
      <c r="H262" s="2825">
        <f t="shared" si="100"/>
        <v>0</v>
      </c>
      <c r="I262" s="2829">
        <f t="shared" si="101"/>
        <v>0</v>
      </c>
      <c r="J262" s="2851">
        <f t="shared" si="102"/>
        <v>0</v>
      </c>
      <c r="K262" s="2834">
        <f t="shared" si="103"/>
        <v>0</v>
      </c>
      <c r="L262" s="635"/>
      <c r="M262" s="635"/>
      <c r="N262" s="635"/>
      <c r="O262" s="635"/>
      <c r="P262" s="635"/>
      <c r="Q262" s="635"/>
      <c r="R262" s="635"/>
      <c r="S262" s="635"/>
      <c r="T262" s="635"/>
      <c r="U262" s="635"/>
      <c r="V262" s="635"/>
      <c r="W262" s="635"/>
      <c r="X262" s="635"/>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c r="AT262" s="635"/>
      <c r="AV262" s="16"/>
      <c r="AW262" s="16"/>
      <c r="AX262" s="16"/>
      <c r="AY262" s="16"/>
      <c r="BO262" s="635"/>
      <c r="BP262" s="635"/>
      <c r="BQ262" s="635"/>
      <c r="BV262"/>
      <c r="BW262"/>
      <c r="BX262"/>
    </row>
    <row r="263" spans="1:76">
      <c r="A263" s="2544" t="s">
        <v>2251</v>
      </c>
      <c r="B263" s="2549" t="s">
        <v>1504</v>
      </c>
      <c r="C263" s="2542" t="s">
        <v>2252</v>
      </c>
      <c r="D263" s="3282">
        <f>SUMIFS(BCRR_REHAB!L:L,BCRR_REHAB!D:D,'Huella materiales (2)'!A263)</f>
        <v>0</v>
      </c>
      <c r="E263" s="1030">
        <f>'Datos_aux_materiales (2)'!M227</f>
        <v>0.30625000000000008</v>
      </c>
      <c r="F263" s="2836">
        <f t="shared" si="99"/>
        <v>0</v>
      </c>
      <c r="G263" s="2823">
        <f>'Datos_aux_materiales (2)'!R227</f>
        <v>108.4</v>
      </c>
      <c r="H263" s="2825">
        <f t="shared" si="100"/>
        <v>0</v>
      </c>
      <c r="I263" s="2829">
        <f t="shared" si="101"/>
        <v>0</v>
      </c>
      <c r="J263" s="2851">
        <f t="shared" si="102"/>
        <v>0</v>
      </c>
      <c r="K263" s="2834">
        <f t="shared" si="103"/>
        <v>0</v>
      </c>
      <c r="L263" s="1663"/>
      <c r="M263" s="1663"/>
      <c r="N263" s="1663"/>
      <c r="O263" s="1663"/>
      <c r="P263" s="1663"/>
      <c r="Q263" s="1663"/>
      <c r="R263" s="1663"/>
      <c r="S263" s="1663"/>
      <c r="T263" s="1663"/>
      <c r="U263" s="1663"/>
      <c r="V263" s="1663"/>
      <c r="W263" s="1663"/>
      <c r="X263" s="105"/>
      <c r="Y263" s="105"/>
      <c r="Z263" s="105"/>
      <c r="AA263" s="105"/>
      <c r="AB263" s="105"/>
      <c r="AC263" s="105"/>
      <c r="AD263" s="105"/>
      <c r="AE263" s="105"/>
      <c r="AF263" s="105"/>
      <c r="AG263" s="105"/>
      <c r="AH263" s="119"/>
      <c r="AI263" s="16"/>
      <c r="AJ263" s="16"/>
      <c r="AK263" s="16"/>
      <c r="AL263" s="16"/>
      <c r="AM263" s="16"/>
      <c r="AN263" s="16"/>
      <c r="AO263" s="16"/>
      <c r="AP263" s="16"/>
      <c r="AQ263" s="16"/>
      <c r="AR263" s="16"/>
      <c r="AS263" s="16"/>
      <c r="AV263" s="16"/>
      <c r="AW263" s="16"/>
      <c r="AX263" s="16"/>
      <c r="AY263" s="16"/>
      <c r="BO263" s="105"/>
      <c r="BP263" s="635"/>
      <c r="BQ263" s="635"/>
      <c r="BV263"/>
      <c r="BW263"/>
      <c r="BX263"/>
    </row>
    <row r="264" spans="1:76">
      <c r="A264" s="2544" t="s">
        <v>2164</v>
      </c>
      <c r="B264" s="2549" t="s">
        <v>1504</v>
      </c>
      <c r="C264" s="2542" t="s">
        <v>2165</v>
      </c>
      <c r="D264" s="3282">
        <f>SUMIFS(BCRR_REHAB!L:L,BCRR_REHAB!D:D,'Huella materiales (2)'!A264)</f>
        <v>0</v>
      </c>
      <c r="E264" s="1030">
        <f>'Datos_aux_materiales (2)'!M228</f>
        <v>6.1250000000000013E-2</v>
      </c>
      <c r="F264" s="2836">
        <f t="shared" si="99"/>
        <v>0</v>
      </c>
      <c r="G264" s="2823">
        <f>'Datos_aux_materiales (2)'!R228</f>
        <v>108.4</v>
      </c>
      <c r="H264" s="2825">
        <f t="shared" si="100"/>
        <v>0</v>
      </c>
      <c r="I264" s="2829">
        <f t="shared" si="101"/>
        <v>0</v>
      </c>
      <c r="J264" s="2851">
        <f t="shared" si="102"/>
        <v>0</v>
      </c>
      <c r="K264" s="2834">
        <f t="shared" si="103"/>
        <v>0</v>
      </c>
      <c r="L264" s="1663"/>
      <c r="M264" s="1663"/>
      <c r="N264" s="1663"/>
      <c r="O264" s="1663"/>
      <c r="P264" s="1663"/>
      <c r="Q264" s="1663"/>
      <c r="R264" s="1663"/>
      <c r="S264" s="1663"/>
      <c r="T264" s="1663"/>
      <c r="U264" s="1663"/>
      <c r="V264" s="1663"/>
      <c r="W264" s="1663"/>
      <c r="X264" s="105"/>
      <c r="Y264" s="105"/>
      <c r="Z264" s="105"/>
      <c r="AA264" s="105"/>
      <c r="AB264" s="105"/>
      <c r="AC264" s="105"/>
      <c r="AD264" s="105"/>
      <c r="AE264" s="105"/>
      <c r="AF264" s="105"/>
      <c r="AG264" s="105"/>
      <c r="AH264" s="119"/>
      <c r="AI264" s="16"/>
      <c r="AJ264" s="16"/>
      <c r="AK264" s="16"/>
      <c r="AL264" s="16"/>
      <c r="AM264" s="16"/>
      <c r="AN264" s="16"/>
      <c r="AO264" s="16"/>
      <c r="AP264" s="16"/>
      <c r="AQ264" s="16"/>
      <c r="AR264" s="16"/>
      <c r="AS264" s="16"/>
      <c r="AU264" s="16"/>
      <c r="AV264" s="16"/>
      <c r="AW264" s="16"/>
      <c r="AX264" s="16"/>
      <c r="BO264" s="105"/>
      <c r="BP264" s="635"/>
      <c r="BQ264" s="635"/>
      <c r="BV264"/>
      <c r="BW264"/>
      <c r="BX264"/>
    </row>
    <row r="265" spans="1:76">
      <c r="A265" s="2544" t="s">
        <v>2194</v>
      </c>
      <c r="B265" s="2549" t="s">
        <v>1504</v>
      </c>
      <c r="C265" s="2542" t="s">
        <v>2195</v>
      </c>
      <c r="D265" s="3282">
        <f>SUMIFS(BCRR_REHAB!L:L,BCRR_REHAB!D:D,'Huella materiales (2)'!A265)</f>
        <v>0</v>
      </c>
      <c r="E265" s="1030">
        <f>'Datos_aux_materiales (2)'!M229</f>
        <v>3.9200000000000006E-2</v>
      </c>
      <c r="F265" s="2836">
        <f t="shared" si="99"/>
        <v>0</v>
      </c>
      <c r="G265" s="2823">
        <f>'Datos_aux_materiales (2)'!R229</f>
        <v>108.4</v>
      </c>
      <c r="H265" s="2825">
        <f t="shared" si="100"/>
        <v>0</v>
      </c>
      <c r="I265" s="2829">
        <f t="shared" si="101"/>
        <v>0</v>
      </c>
      <c r="J265" s="2851">
        <f t="shared" si="102"/>
        <v>0</v>
      </c>
      <c r="K265" s="2834">
        <f t="shared" si="103"/>
        <v>0</v>
      </c>
      <c r="L265" s="1663"/>
      <c r="M265" s="1663"/>
      <c r="N265" s="1663"/>
      <c r="O265" s="1663"/>
      <c r="P265" s="1663"/>
      <c r="Q265" s="1663"/>
      <c r="R265" s="1663"/>
      <c r="S265" s="1663"/>
      <c r="T265" s="1663"/>
      <c r="U265" s="1663"/>
      <c r="V265" s="1663"/>
      <c r="W265" s="1663"/>
      <c r="X265" s="105"/>
      <c r="Y265" s="105"/>
      <c r="Z265" s="105"/>
      <c r="AA265" s="105"/>
      <c r="AB265" s="105"/>
      <c r="AC265" s="105"/>
      <c r="AD265" s="105"/>
      <c r="AE265" s="105"/>
      <c r="AF265" s="105"/>
      <c r="AG265" s="105"/>
      <c r="AH265" s="119"/>
      <c r="AI265" s="16"/>
      <c r="AJ265" s="16"/>
      <c r="AK265" s="16"/>
      <c r="AL265" s="16"/>
      <c r="AM265" s="16"/>
      <c r="AN265" s="16"/>
      <c r="AO265" s="16"/>
      <c r="AP265" s="16"/>
      <c r="AQ265" s="16"/>
      <c r="AR265" s="16"/>
      <c r="AS265" s="16"/>
      <c r="AU265" s="16"/>
      <c r="AV265" s="16"/>
      <c r="AW265" s="16"/>
      <c r="AX265" s="16"/>
      <c r="BO265" s="105"/>
      <c r="BP265" s="635"/>
      <c r="BQ265" s="635"/>
      <c r="BV265"/>
      <c r="BW265"/>
      <c r="BX265"/>
    </row>
    <row r="266" spans="1:76">
      <c r="A266" s="2544" t="s">
        <v>2151</v>
      </c>
      <c r="B266" s="2549" t="s">
        <v>1504</v>
      </c>
      <c r="C266" s="2542" t="s">
        <v>2152</v>
      </c>
      <c r="D266" s="3282">
        <f>SUMIFS(BCRR_REHAB!L:L,BCRR_REHAB!D:D,'Huella materiales (2)'!A266)</f>
        <v>0</v>
      </c>
      <c r="E266" s="1030">
        <f>'Datos_aux_materiales (2)'!M230</f>
        <v>3.9200000000000006E-2</v>
      </c>
      <c r="F266" s="2836">
        <f t="shared" si="99"/>
        <v>0</v>
      </c>
      <c r="G266" s="2823">
        <f>'Datos_aux_materiales (2)'!R230</f>
        <v>108.4</v>
      </c>
      <c r="H266" s="2825">
        <f t="shared" si="100"/>
        <v>0</v>
      </c>
      <c r="I266" s="2829">
        <f t="shared" si="101"/>
        <v>0</v>
      </c>
      <c r="J266" s="2851">
        <f t="shared" si="102"/>
        <v>0</v>
      </c>
      <c r="K266" s="2834">
        <f t="shared" si="103"/>
        <v>0</v>
      </c>
      <c r="L266" s="1663"/>
      <c r="M266" s="1663"/>
      <c r="N266" s="1663"/>
      <c r="O266" s="1663"/>
      <c r="P266" s="1663"/>
      <c r="Q266" s="1663"/>
      <c r="R266" s="1663"/>
      <c r="S266" s="1663"/>
      <c r="T266" s="1663"/>
      <c r="U266" s="1663"/>
      <c r="V266" s="1663"/>
      <c r="W266" s="1663"/>
      <c r="X266" s="105"/>
      <c r="Y266" s="105"/>
      <c r="Z266" s="105"/>
      <c r="AA266" s="105"/>
      <c r="AB266" s="105"/>
      <c r="AC266" s="105"/>
      <c r="AD266" s="105"/>
      <c r="AE266" s="105"/>
      <c r="AF266" s="105"/>
      <c r="AG266" s="105"/>
      <c r="AH266" s="119"/>
      <c r="AI266" s="16"/>
      <c r="AJ266" s="16"/>
      <c r="AK266" s="16"/>
      <c r="AL266" s="16"/>
      <c r="AM266" s="16"/>
      <c r="AN266" s="16"/>
      <c r="AO266" s="16"/>
      <c r="AP266" s="16"/>
      <c r="AQ266" s="16"/>
      <c r="AR266" s="16"/>
      <c r="AS266" s="16"/>
      <c r="AU266" s="16"/>
      <c r="AV266" s="16"/>
      <c r="AW266" s="16"/>
      <c r="AX266" s="16"/>
      <c r="BO266" s="105"/>
      <c r="BP266" s="635"/>
      <c r="BQ266" s="635"/>
      <c r="BV266"/>
      <c r="BW266"/>
      <c r="BX266"/>
    </row>
    <row r="267" spans="1:76">
      <c r="A267" s="2544" t="s">
        <v>2192</v>
      </c>
      <c r="B267" s="2549" t="s">
        <v>1504</v>
      </c>
      <c r="C267" s="2542" t="s">
        <v>2193</v>
      </c>
      <c r="D267" s="3282">
        <f>SUMIFS(BCRR_REHAB!L:L,BCRR_REHAB!D:D,'Huella materiales (2)'!A267)</f>
        <v>0</v>
      </c>
      <c r="E267" s="1030">
        <f>'Datos_aux_materiales (2)'!M231</f>
        <v>3.9200000000000006E-2</v>
      </c>
      <c r="F267" s="2836">
        <f t="shared" si="99"/>
        <v>0</v>
      </c>
      <c r="G267" s="2823">
        <f>'Datos_aux_materiales (2)'!R231</f>
        <v>108.4</v>
      </c>
      <c r="H267" s="2825">
        <f t="shared" si="100"/>
        <v>0</v>
      </c>
      <c r="I267" s="2829">
        <f t="shared" si="101"/>
        <v>0</v>
      </c>
      <c r="J267" s="2851">
        <f t="shared" si="102"/>
        <v>0</v>
      </c>
      <c r="K267" s="2834">
        <f t="shared" si="103"/>
        <v>0</v>
      </c>
      <c r="L267" s="1663"/>
      <c r="M267" s="1663"/>
      <c r="N267" s="1663"/>
      <c r="O267" s="1663"/>
      <c r="P267" s="1663"/>
      <c r="Q267" s="1663"/>
      <c r="R267" s="1663"/>
      <c r="S267" s="1663"/>
      <c r="T267" s="1663"/>
      <c r="U267" s="1663"/>
      <c r="V267" s="1663"/>
      <c r="W267" s="1663"/>
      <c r="X267" s="105"/>
      <c r="Y267" s="105"/>
      <c r="Z267" s="105"/>
      <c r="AA267" s="105"/>
      <c r="AB267" s="105"/>
      <c r="AC267" s="105"/>
      <c r="AD267" s="105"/>
      <c r="AE267" s="105"/>
      <c r="AF267" s="105"/>
      <c r="AG267" s="105"/>
      <c r="AH267" s="119"/>
      <c r="AI267" s="16"/>
      <c r="AJ267" s="16"/>
      <c r="AK267" s="16"/>
      <c r="AL267" s="16"/>
      <c r="AM267" s="16"/>
      <c r="AN267" s="16"/>
      <c r="AO267" s="16"/>
      <c r="AP267" s="16"/>
      <c r="AQ267" s="16"/>
      <c r="AR267" s="16"/>
      <c r="AS267" s="16"/>
      <c r="AU267" s="16"/>
      <c r="AV267" s="16"/>
      <c r="AW267" s="16"/>
      <c r="AX267" s="16"/>
      <c r="BO267" s="105"/>
      <c r="BP267" s="635"/>
      <c r="BQ267" s="635"/>
      <c r="BV267"/>
      <c r="BW267"/>
      <c r="BX267"/>
    </row>
    <row r="268" spans="1:76">
      <c r="A268" s="2544" t="s">
        <v>2155</v>
      </c>
      <c r="B268" s="2549" t="s">
        <v>1504</v>
      </c>
      <c r="C268" s="2542" t="s">
        <v>2156</v>
      </c>
      <c r="D268" s="3282">
        <f>SUMIFS(BCRR_REHAB!L:L,BCRR_REHAB!D:D,'Huella materiales (2)'!A268)</f>
        <v>0</v>
      </c>
      <c r="E268" s="1030">
        <f>'Datos_aux_materiales (2)'!M232</f>
        <v>0.12250000000000003</v>
      </c>
      <c r="F268" s="2836">
        <f t="shared" si="99"/>
        <v>0</v>
      </c>
      <c r="G268" s="2823">
        <f>'Datos_aux_materiales (2)'!R232</f>
        <v>108.4</v>
      </c>
      <c r="H268" s="2825">
        <f t="shared" si="100"/>
        <v>0</v>
      </c>
      <c r="I268" s="2829">
        <f t="shared" si="101"/>
        <v>0</v>
      </c>
      <c r="J268" s="2851">
        <f t="shared" si="102"/>
        <v>0</v>
      </c>
      <c r="K268" s="2834">
        <f t="shared" si="103"/>
        <v>0</v>
      </c>
      <c r="L268" s="1663"/>
      <c r="M268" s="1663"/>
      <c r="N268" s="1663"/>
      <c r="O268" s="1663"/>
      <c r="P268" s="1663"/>
      <c r="Q268" s="1663"/>
      <c r="R268" s="1663"/>
      <c r="S268" s="1663"/>
      <c r="T268" s="1663"/>
      <c r="U268" s="1663"/>
      <c r="V268" s="1663"/>
      <c r="W268" s="1663"/>
      <c r="X268" s="105"/>
      <c r="Y268" s="105"/>
      <c r="Z268" s="105"/>
      <c r="AA268" s="105"/>
      <c r="AB268" s="105"/>
      <c r="AC268" s="105"/>
      <c r="AD268" s="105"/>
      <c r="AE268" s="105"/>
      <c r="AF268" s="105"/>
      <c r="AG268" s="105"/>
      <c r="AH268" s="119"/>
      <c r="AI268" s="16"/>
      <c r="AJ268" s="16"/>
      <c r="AK268" s="16"/>
      <c r="AL268" s="16"/>
      <c r="AM268" s="16"/>
      <c r="AN268" s="16"/>
      <c r="AO268" s="16"/>
      <c r="AP268" s="16"/>
      <c r="AQ268" s="16"/>
      <c r="AR268" s="16"/>
      <c r="AS268" s="16"/>
      <c r="AU268" s="16"/>
      <c r="AV268" s="16"/>
      <c r="AW268" s="16"/>
      <c r="AX268" s="16"/>
      <c r="BO268" s="105"/>
      <c r="BP268" s="635"/>
      <c r="BQ268" s="635"/>
      <c r="BV268"/>
      <c r="BW268"/>
      <c r="BX268"/>
    </row>
    <row r="269" spans="1:76">
      <c r="A269" s="2544" t="s">
        <v>2245</v>
      </c>
      <c r="B269" s="2549" t="s">
        <v>1504</v>
      </c>
      <c r="C269" s="2542" t="s">
        <v>2246</v>
      </c>
      <c r="D269" s="3282">
        <f>SUMIFS(BCRR_REHAB!L:L,BCRR_REHAB!D:D,'Huella materiales (2)'!A269)</f>
        <v>0</v>
      </c>
      <c r="E269" s="1030">
        <f>'Datos_aux_materiales (2)'!M233</f>
        <v>0.24500000000000005</v>
      </c>
      <c r="F269" s="2836">
        <f t="shared" si="99"/>
        <v>0</v>
      </c>
      <c r="G269" s="2823">
        <f>'Datos_aux_materiales (2)'!R233</f>
        <v>108.4</v>
      </c>
      <c r="H269" s="2825">
        <f t="shared" si="100"/>
        <v>0</v>
      </c>
      <c r="I269" s="2829">
        <f t="shared" si="101"/>
        <v>0</v>
      </c>
      <c r="J269" s="2851">
        <f t="shared" si="102"/>
        <v>0</v>
      </c>
      <c r="K269" s="2834">
        <f t="shared" si="103"/>
        <v>0</v>
      </c>
      <c r="L269" s="1663"/>
      <c r="M269" s="1663"/>
      <c r="N269" s="1663"/>
      <c r="O269" s="1663"/>
      <c r="P269" s="1663"/>
      <c r="Q269" s="1663"/>
      <c r="R269" s="1663"/>
      <c r="S269" s="1663"/>
      <c r="T269" s="1663"/>
      <c r="U269" s="1663"/>
      <c r="V269" s="1663"/>
      <c r="W269" s="1663"/>
      <c r="X269" s="105"/>
      <c r="Y269" s="105"/>
      <c r="Z269" s="105"/>
      <c r="AA269" s="105"/>
      <c r="AB269" s="105"/>
      <c r="AC269" s="105"/>
      <c r="AD269" s="105"/>
      <c r="AE269" s="105"/>
      <c r="AF269" s="105"/>
      <c r="AG269" s="105"/>
      <c r="AH269" s="119"/>
      <c r="AI269" s="16"/>
      <c r="AJ269" s="16"/>
      <c r="AK269" s="16"/>
      <c r="AL269" s="16"/>
      <c r="AM269" s="16"/>
      <c r="AN269" s="16"/>
      <c r="AO269" s="16"/>
      <c r="AP269" s="16"/>
      <c r="AQ269" s="16"/>
      <c r="AR269" s="16"/>
      <c r="AS269" s="16"/>
      <c r="AU269" s="16"/>
      <c r="AV269" s="16"/>
      <c r="AW269" s="16"/>
      <c r="AX269" s="16"/>
      <c r="BO269" s="105"/>
      <c r="BP269" s="635"/>
      <c r="BQ269" s="635"/>
      <c r="BV269"/>
      <c r="BW269"/>
      <c r="BX269"/>
    </row>
    <row r="270" spans="1:76">
      <c r="A270" s="2523" t="s">
        <v>2233</v>
      </c>
      <c r="B270" s="2565" t="s">
        <v>1504</v>
      </c>
      <c r="C270" s="2522" t="s">
        <v>2234</v>
      </c>
      <c r="D270" s="3282">
        <f>SUMIFS(BCRR_REHAB!L:L,BCRR_REHAB!D:D,'Huella materiales (2)'!A270)</f>
        <v>0</v>
      </c>
      <c r="E270" s="1030">
        <f>'Datos_aux_materiales (2)'!M234</f>
        <v>0.58800000000000008</v>
      </c>
      <c r="F270" s="2836">
        <f t="shared" si="99"/>
        <v>0</v>
      </c>
      <c r="G270" s="2823">
        <f>'Datos_aux_materiales (2)'!R234</f>
        <v>108.4</v>
      </c>
      <c r="H270" s="2825">
        <f t="shared" si="100"/>
        <v>0</v>
      </c>
      <c r="I270" s="2829">
        <f t="shared" si="101"/>
        <v>0</v>
      </c>
      <c r="J270" s="2851">
        <f t="shared" si="102"/>
        <v>0</v>
      </c>
      <c r="K270" s="2834">
        <f t="shared" si="103"/>
        <v>0</v>
      </c>
      <c r="L270" s="1663"/>
      <c r="M270" s="1663"/>
      <c r="N270" s="1663"/>
      <c r="O270" s="1663"/>
      <c r="P270" s="1663"/>
      <c r="Q270" s="1663"/>
      <c r="R270" s="1663"/>
      <c r="S270" s="1663"/>
      <c r="T270" s="1663"/>
      <c r="U270" s="1663"/>
      <c r="V270" s="1663"/>
      <c r="W270" s="1663"/>
      <c r="X270" s="105"/>
      <c r="Y270" s="105"/>
      <c r="Z270" s="105"/>
      <c r="AA270" s="105"/>
      <c r="AB270" s="105"/>
      <c r="AC270" s="105"/>
      <c r="AD270" s="105"/>
      <c r="AE270" s="105"/>
      <c r="AF270" s="105"/>
      <c r="AG270" s="105"/>
      <c r="AH270" s="119"/>
      <c r="AI270" s="16"/>
      <c r="AJ270" s="16"/>
      <c r="AK270" s="16"/>
      <c r="AL270" s="16"/>
      <c r="AM270" s="16"/>
      <c r="AN270" s="16"/>
      <c r="AO270" s="16"/>
      <c r="AP270" s="16"/>
      <c r="AQ270" s="16"/>
      <c r="AR270" s="16"/>
      <c r="AS270" s="16"/>
      <c r="AV270" s="16"/>
      <c r="AW270" s="16"/>
      <c r="AX270" s="16"/>
      <c r="BO270" s="105"/>
      <c r="BP270" s="635"/>
      <c r="BQ270" s="635"/>
      <c r="BV270"/>
      <c r="BW270"/>
      <c r="BX270"/>
    </row>
    <row r="271" spans="1:76">
      <c r="A271" s="2544" t="s">
        <v>2255</v>
      </c>
      <c r="B271" s="2549" t="s">
        <v>1504</v>
      </c>
      <c r="C271" s="2542" t="s">
        <v>2256</v>
      </c>
      <c r="D271" s="3282">
        <f>SUMIFS(BCRR_REHAB!L:L,BCRR_REHAB!D:D,'Huella materiales (2)'!A271)</f>
        <v>0</v>
      </c>
      <c r="E271" s="1030">
        <f>'Datos_aux_materiales (2)'!M235</f>
        <v>0.19600000000000001</v>
      </c>
      <c r="F271" s="2836">
        <f t="shared" si="99"/>
        <v>0</v>
      </c>
      <c r="G271" s="2823">
        <f>'Datos_aux_materiales (2)'!R235</f>
        <v>108.4</v>
      </c>
      <c r="H271" s="2825">
        <f t="shared" si="100"/>
        <v>0</v>
      </c>
      <c r="I271" s="2829">
        <f t="shared" si="101"/>
        <v>0</v>
      </c>
      <c r="J271" s="2851">
        <f t="shared" si="102"/>
        <v>0</v>
      </c>
      <c r="K271" s="2834">
        <f t="shared" si="103"/>
        <v>0</v>
      </c>
      <c r="L271" s="1663"/>
      <c r="M271" s="1663"/>
      <c r="N271" s="1663"/>
      <c r="O271" s="1663"/>
      <c r="P271" s="1663"/>
      <c r="Q271" s="1663"/>
      <c r="R271" s="1663"/>
      <c r="S271" s="1663"/>
      <c r="T271" s="1663"/>
      <c r="U271" s="1663"/>
      <c r="V271" s="1663"/>
      <c r="W271" s="1663"/>
      <c r="X271" s="105"/>
      <c r="Y271" s="105"/>
      <c r="Z271" s="105"/>
      <c r="AA271" s="105"/>
      <c r="AB271" s="105"/>
      <c r="AC271" s="105"/>
      <c r="AD271" s="105"/>
      <c r="AE271" s="105"/>
      <c r="AF271" s="105"/>
      <c r="AG271" s="105"/>
      <c r="AH271" s="119"/>
      <c r="AI271" s="16"/>
      <c r="AJ271" s="16"/>
      <c r="AK271" s="16"/>
      <c r="AL271" s="16"/>
      <c r="AM271" s="16"/>
      <c r="AN271" s="16"/>
      <c r="AO271" s="16"/>
      <c r="AP271" s="16"/>
      <c r="AQ271" s="16"/>
      <c r="AR271" s="16"/>
      <c r="AS271" s="16"/>
      <c r="AV271" s="16"/>
      <c r="AW271" s="16"/>
      <c r="AX271" s="16"/>
      <c r="BO271" s="105"/>
      <c r="BP271" s="635"/>
      <c r="BQ271" s="635"/>
      <c r="BV271"/>
      <c r="BW271"/>
      <c r="BX271"/>
    </row>
    <row r="272" spans="1:76">
      <c r="A272" s="2523" t="s">
        <v>2217</v>
      </c>
      <c r="B272" s="2565" t="s">
        <v>1504</v>
      </c>
      <c r="C272" s="2522" t="s">
        <v>2218</v>
      </c>
      <c r="D272" s="3282">
        <f>SUMIFS(BCRR_REHAB!L:L,BCRR_REHAB!D:D,'Huella materiales (2)'!A272)</f>
        <v>0</v>
      </c>
      <c r="E272" s="1030">
        <f>'Datos_aux_materiales (2)'!M236</f>
        <v>0.19600000000000001</v>
      </c>
      <c r="F272" s="2836">
        <f t="shared" si="99"/>
        <v>0</v>
      </c>
      <c r="G272" s="2823">
        <f>'Datos_aux_materiales (2)'!R236</f>
        <v>108.4</v>
      </c>
      <c r="H272" s="2825">
        <f t="shared" si="100"/>
        <v>0</v>
      </c>
      <c r="I272" s="2829">
        <f t="shared" si="101"/>
        <v>0</v>
      </c>
      <c r="J272" s="2851">
        <f t="shared" si="102"/>
        <v>0</v>
      </c>
      <c r="K272" s="2834">
        <f t="shared" si="103"/>
        <v>0</v>
      </c>
      <c r="L272" s="1663"/>
      <c r="M272" s="1663"/>
      <c r="N272" s="1663"/>
      <c r="O272" s="1663"/>
      <c r="P272" s="1663"/>
      <c r="Q272" s="1663"/>
      <c r="R272" s="1663"/>
      <c r="S272" s="1663"/>
      <c r="T272" s="1663"/>
      <c r="U272" s="1663"/>
      <c r="V272" s="1663"/>
      <c r="W272" s="1663"/>
      <c r="X272" s="105"/>
      <c r="Y272" s="105"/>
      <c r="Z272" s="105"/>
      <c r="AA272" s="105"/>
      <c r="AB272" s="105"/>
      <c r="AC272" s="105"/>
      <c r="AD272" s="105"/>
      <c r="AE272" s="105"/>
      <c r="AF272" s="105"/>
      <c r="AG272" s="105"/>
      <c r="AH272" s="119"/>
      <c r="AI272" s="16"/>
      <c r="AJ272" s="16"/>
      <c r="AK272" s="16"/>
      <c r="AL272" s="16"/>
      <c r="AM272" s="16"/>
      <c r="AN272" s="16"/>
      <c r="AO272" s="16"/>
      <c r="AP272" s="16"/>
      <c r="AQ272" s="16"/>
      <c r="AR272" s="16"/>
      <c r="AS272" s="16"/>
      <c r="AV272" s="16"/>
      <c r="AW272" s="16"/>
      <c r="AX272" s="16"/>
      <c r="BO272" s="105"/>
      <c r="BP272" s="635"/>
      <c r="BQ272" s="635"/>
      <c r="BV272"/>
      <c r="BW272"/>
      <c r="BX272"/>
    </row>
    <row r="273" spans="1:76">
      <c r="A273" s="2544" t="s">
        <v>2436</v>
      </c>
      <c r="B273" s="2549" t="s">
        <v>1504</v>
      </c>
      <c r="C273" s="2542" t="s">
        <v>2437</v>
      </c>
      <c r="D273" s="3282">
        <f>SUMIFS(BCRR_REHAB!L:L,BCRR_REHAB!D:D,'Huella materiales (2)'!A273)</f>
        <v>0</v>
      </c>
      <c r="E273" s="1030">
        <f>'Datos_aux_materiales (2)'!M237</f>
        <v>2.4500000000000002</v>
      </c>
      <c r="F273" s="2836">
        <f t="shared" si="99"/>
        <v>0</v>
      </c>
      <c r="G273" s="2823">
        <f>'Datos_aux_materiales (2)'!R237</f>
        <v>85.37</v>
      </c>
      <c r="H273" s="2825">
        <f t="shared" si="100"/>
        <v>0</v>
      </c>
      <c r="I273" s="2829">
        <f t="shared" si="101"/>
        <v>0</v>
      </c>
      <c r="J273" s="2851">
        <f t="shared" si="102"/>
        <v>0</v>
      </c>
      <c r="K273" s="2834">
        <f t="shared" si="103"/>
        <v>0</v>
      </c>
      <c r="L273" s="1663"/>
      <c r="M273" s="1663"/>
      <c r="N273" s="1663"/>
      <c r="O273" s="1663"/>
      <c r="P273" s="1663"/>
      <c r="Q273" s="1663"/>
      <c r="R273" s="1663"/>
      <c r="S273" s="1663"/>
      <c r="T273" s="1663"/>
      <c r="U273" s="1663"/>
      <c r="V273" s="1663"/>
      <c r="W273" s="1663"/>
      <c r="X273" s="105"/>
      <c r="Y273" s="105"/>
      <c r="Z273" s="105"/>
      <c r="AA273" s="105"/>
      <c r="AB273" s="105"/>
      <c r="AC273" s="105"/>
      <c r="AD273" s="105"/>
      <c r="AE273" s="105"/>
      <c r="AF273" s="105"/>
      <c r="AG273" s="105"/>
      <c r="AH273" s="119"/>
      <c r="AI273" s="16"/>
      <c r="AJ273" s="16"/>
      <c r="AK273" s="16"/>
      <c r="AL273" s="16"/>
      <c r="AM273" s="16"/>
      <c r="AN273" s="16"/>
      <c r="AO273" s="16"/>
      <c r="AP273" s="16"/>
      <c r="AQ273" s="16"/>
      <c r="AR273" s="16"/>
      <c r="AS273" s="16"/>
      <c r="AU273" s="167"/>
      <c r="AV273" s="167"/>
      <c r="AW273" s="16"/>
      <c r="AX273" s="16"/>
      <c r="AY273" s="16"/>
      <c r="AZ273" s="16"/>
      <c r="BA273" s="16"/>
      <c r="BB273" s="16"/>
      <c r="BC273" s="16"/>
      <c r="BD273" s="34"/>
      <c r="BE273" s="22"/>
      <c r="BF273" s="22"/>
      <c r="BG273" s="22"/>
      <c r="BH273" s="22"/>
      <c r="BO273" s="105"/>
      <c r="BP273" s="635"/>
      <c r="BQ273" s="635"/>
      <c r="BV273"/>
      <c r="BW273"/>
      <c r="BX273"/>
    </row>
    <row r="274" spans="1:76">
      <c r="A274" s="2594" t="s">
        <v>1630</v>
      </c>
      <c r="B274" s="2893" t="s">
        <v>1527</v>
      </c>
      <c r="C274" s="2592" t="s">
        <v>1631</v>
      </c>
      <c r="D274" s="3282">
        <f>SUMIFS(BCRR_REHAB!L:L,BCRR_REHAB!D:D,'Huella materiales (2)'!A274)</f>
        <v>0</v>
      </c>
      <c r="E274" s="1030">
        <f>'Datos_aux_materiales (2)'!M238</f>
        <v>0.12315071999999999</v>
      </c>
      <c r="F274" s="2836">
        <f t="shared" si="99"/>
        <v>0</v>
      </c>
      <c r="G274" s="2823">
        <f>'Datos_aux_materiales (2)'!R238</f>
        <v>85.37</v>
      </c>
      <c r="H274" s="2825">
        <f t="shared" si="100"/>
        <v>0</v>
      </c>
      <c r="I274" s="2829">
        <f t="shared" si="101"/>
        <v>0</v>
      </c>
      <c r="J274" s="2851">
        <f t="shared" si="102"/>
        <v>0</v>
      </c>
      <c r="K274" s="2834">
        <f t="shared" si="103"/>
        <v>0</v>
      </c>
      <c r="L274" s="1663"/>
      <c r="M274" s="1663"/>
      <c r="N274" s="1663"/>
      <c r="O274" s="1663"/>
      <c r="P274" s="1663"/>
      <c r="Q274" s="1663"/>
      <c r="R274" s="1663"/>
      <c r="S274" s="1663"/>
      <c r="T274" s="1663"/>
      <c r="U274" s="1663"/>
      <c r="V274" s="1663"/>
      <c r="W274" s="1663"/>
      <c r="X274" s="105"/>
      <c r="Y274" s="105"/>
      <c r="Z274" s="105"/>
      <c r="AA274" s="105"/>
      <c r="AB274" s="105"/>
      <c r="AC274" s="105"/>
      <c r="AD274" s="105"/>
      <c r="AE274" s="105"/>
      <c r="AF274" s="105"/>
      <c r="AG274" s="105"/>
      <c r="AH274" s="119"/>
      <c r="AI274" s="16"/>
      <c r="AJ274" s="16"/>
      <c r="AK274" s="16"/>
      <c r="AL274" s="16"/>
      <c r="AM274" s="16"/>
      <c r="AN274" s="16"/>
      <c r="AO274" s="16"/>
      <c r="AP274" s="16"/>
      <c r="AQ274" s="16"/>
      <c r="AR274" s="16"/>
      <c r="AS274" s="16"/>
      <c r="AV274" s="16"/>
      <c r="AW274" s="16"/>
      <c r="AX274" s="16"/>
      <c r="BI274" s="22"/>
      <c r="BJ274" s="16"/>
      <c r="BK274" s="16"/>
      <c r="BO274" s="105"/>
      <c r="BP274" s="635"/>
      <c r="BQ274" s="635"/>
      <c r="BV274"/>
      <c r="BW274"/>
      <c r="BX274"/>
    </row>
    <row r="275" spans="1:76">
      <c r="A275" s="2544" t="s">
        <v>2304</v>
      </c>
      <c r="B275" s="2549" t="s">
        <v>1527</v>
      </c>
      <c r="C275" s="2542" t="s">
        <v>2305</v>
      </c>
      <c r="D275" s="3282">
        <f>SUMIFS(BCRR_REHAB!L:L,BCRR_REHAB!D:D,'Huella materiales (2)'!A275)</f>
        <v>0</v>
      </c>
      <c r="E275" s="1030">
        <f>'Datos_aux_materiales (2)'!M239</f>
        <v>0.38484600000000002</v>
      </c>
      <c r="F275" s="2836">
        <f t="shared" si="99"/>
        <v>0</v>
      </c>
      <c r="G275" s="2823">
        <f>'Datos_aux_materiales (2)'!R239</f>
        <v>85.37</v>
      </c>
      <c r="H275" s="2825">
        <f t="shared" si="100"/>
        <v>0</v>
      </c>
      <c r="I275" s="2829">
        <f t="shared" si="101"/>
        <v>0</v>
      </c>
      <c r="J275" s="2851">
        <f t="shared" si="102"/>
        <v>0</v>
      </c>
      <c r="K275" s="2834">
        <f t="shared" si="103"/>
        <v>0</v>
      </c>
      <c r="L275" s="1663"/>
      <c r="M275" s="1663"/>
      <c r="N275" s="1663"/>
      <c r="O275" s="1663"/>
      <c r="P275" s="1663"/>
      <c r="Q275" s="1663"/>
      <c r="R275" s="1663"/>
      <c r="S275" s="1663"/>
      <c r="T275" s="1663"/>
      <c r="U275" s="1663"/>
      <c r="V275" s="1663"/>
      <c r="W275" s="1663"/>
      <c r="X275" s="105"/>
      <c r="Y275" s="105"/>
      <c r="Z275" s="105"/>
      <c r="AA275" s="105"/>
      <c r="AB275" s="105"/>
      <c r="AC275" s="105"/>
      <c r="AD275" s="105"/>
      <c r="AE275" s="105"/>
      <c r="AF275" s="105"/>
      <c r="AG275" s="105"/>
      <c r="AH275" s="119"/>
      <c r="AI275" s="16"/>
      <c r="AJ275" s="16"/>
      <c r="AK275" s="16"/>
      <c r="AL275" s="16"/>
      <c r="AM275" s="16"/>
      <c r="AN275" s="16"/>
      <c r="AO275" s="16"/>
      <c r="AP275" s="16"/>
      <c r="AQ275" s="16"/>
      <c r="AR275" s="16"/>
      <c r="AS275" s="16"/>
      <c r="AV275" s="16"/>
      <c r="AW275" s="16"/>
      <c r="AX275" s="16"/>
      <c r="BO275" s="105"/>
      <c r="BP275" s="635"/>
      <c r="BQ275" s="635"/>
      <c r="BV275"/>
      <c r="BW275"/>
      <c r="BX275"/>
    </row>
    <row r="276" spans="1:76">
      <c r="A276" s="2544" t="s">
        <v>2310</v>
      </c>
      <c r="B276" s="2549" t="s">
        <v>1527</v>
      </c>
      <c r="C276" s="2542" t="s">
        <v>2311</v>
      </c>
      <c r="D276" s="3282">
        <f>SUMIFS(BCRR_REHAB!L:L,BCRR_REHAB!D:D,'Huella materiales (2)'!A276)</f>
        <v>0</v>
      </c>
      <c r="E276" s="1030">
        <f>'Datos_aux_materiales (2)'!M240</f>
        <v>0.49260287999999997</v>
      </c>
      <c r="F276" s="2836">
        <f t="shared" si="99"/>
        <v>0</v>
      </c>
      <c r="G276" s="2823">
        <f>'Datos_aux_materiales (2)'!R240</f>
        <v>85.37</v>
      </c>
      <c r="H276" s="2825">
        <f t="shared" si="100"/>
        <v>0</v>
      </c>
      <c r="I276" s="2829">
        <f t="shared" si="101"/>
        <v>0</v>
      </c>
      <c r="J276" s="2851">
        <f t="shared" si="102"/>
        <v>0</v>
      </c>
      <c r="K276" s="2834">
        <f t="shared" si="103"/>
        <v>0</v>
      </c>
      <c r="L276" s="1663"/>
      <c r="M276" s="1663"/>
      <c r="N276" s="1663"/>
      <c r="O276" s="1663"/>
      <c r="P276" s="1663"/>
      <c r="Q276" s="1663"/>
      <c r="R276" s="1663"/>
      <c r="S276" s="1663"/>
      <c r="T276" s="1663"/>
      <c r="U276" s="1663"/>
      <c r="V276" s="1663"/>
      <c r="W276" s="1663"/>
      <c r="X276" s="105"/>
      <c r="Y276" s="105"/>
      <c r="Z276" s="105"/>
      <c r="AA276" s="105"/>
      <c r="AB276" s="105"/>
      <c r="AC276" s="105"/>
      <c r="AD276" s="105"/>
      <c r="AE276" s="105"/>
      <c r="AF276" s="105"/>
      <c r="AG276" s="105"/>
      <c r="AH276" s="119"/>
      <c r="AI276" s="16"/>
      <c r="AJ276" s="16"/>
      <c r="AK276" s="16"/>
      <c r="AL276" s="16"/>
      <c r="AM276" s="16"/>
      <c r="AN276" s="16"/>
      <c r="AO276" s="16"/>
      <c r="AP276" s="16"/>
      <c r="AQ276" s="16"/>
      <c r="AR276" s="16"/>
      <c r="AS276" s="16"/>
      <c r="BO276" s="105"/>
      <c r="BP276" s="635"/>
      <c r="BQ276" s="635"/>
      <c r="BV276"/>
      <c r="BW276"/>
      <c r="BX276"/>
    </row>
    <row r="277" spans="1:76">
      <c r="A277" s="2590" t="s">
        <v>2367</v>
      </c>
      <c r="B277" s="2885" t="s">
        <v>1527</v>
      </c>
      <c r="C277" s="2588" t="s">
        <v>2368</v>
      </c>
      <c r="D277" s="3282">
        <f>SUMIFS(BCRR_REHAB!L:L,BCRR_REHAB!D:D,'Huella materiales (2)'!A277)</f>
        <v>0</v>
      </c>
      <c r="E277" s="1030">
        <f>'Datos_aux_materiales (2)'!M241</f>
        <v>0.76969200000000004</v>
      </c>
      <c r="F277" s="2836">
        <f t="shared" si="99"/>
        <v>0</v>
      </c>
      <c r="G277" s="2823">
        <f>'Datos_aux_materiales (2)'!R241</f>
        <v>86.37</v>
      </c>
      <c r="H277" s="2825">
        <f t="shared" si="100"/>
        <v>0</v>
      </c>
      <c r="I277" s="2829">
        <f t="shared" si="101"/>
        <v>0</v>
      </c>
      <c r="J277" s="2851">
        <f t="shared" si="102"/>
        <v>0</v>
      </c>
      <c r="K277" s="2834">
        <f t="shared" si="103"/>
        <v>0</v>
      </c>
      <c r="L277" s="1663"/>
      <c r="M277" s="1663"/>
      <c r="N277" s="1663"/>
      <c r="O277" s="1663"/>
      <c r="P277" s="1663"/>
      <c r="Q277" s="1663"/>
      <c r="R277" s="1663"/>
      <c r="S277" s="1663"/>
      <c r="T277" s="1663"/>
      <c r="U277" s="1663"/>
      <c r="V277" s="1663"/>
      <c r="W277" s="1663"/>
      <c r="X277" s="105"/>
      <c r="Y277" s="105"/>
      <c r="Z277" s="105"/>
      <c r="AA277" s="105"/>
      <c r="AB277" s="105"/>
      <c r="AC277" s="105"/>
      <c r="AD277" s="105"/>
      <c r="AE277" s="105"/>
      <c r="AF277" s="105"/>
      <c r="AG277" s="105"/>
      <c r="AH277" s="119"/>
      <c r="AI277" s="16"/>
      <c r="AJ277" s="16"/>
      <c r="AK277" s="16"/>
      <c r="AL277" s="16"/>
      <c r="AM277" s="16"/>
      <c r="AN277" s="16"/>
      <c r="AO277" s="16"/>
      <c r="AP277" s="16"/>
      <c r="AQ277" s="16"/>
      <c r="AR277" s="16"/>
      <c r="AS277" s="16"/>
      <c r="BO277" s="105"/>
      <c r="BP277" s="635"/>
      <c r="BQ277" s="635"/>
      <c r="BV277"/>
      <c r="BW277"/>
      <c r="BX277"/>
    </row>
    <row r="278" spans="1:76">
      <c r="A278" s="2590" t="s">
        <v>2371</v>
      </c>
      <c r="B278" s="2885" t="s">
        <v>1527</v>
      </c>
      <c r="C278" s="2588" t="s">
        <v>2372</v>
      </c>
      <c r="D278" s="3282">
        <f>SUMIFS(BCRR_REHAB!L:L,BCRR_REHAB!D:D,'Huella materiales (2)'!A278)</f>
        <v>0</v>
      </c>
      <c r="E278" s="1030">
        <f>'Datos_aux_materiales (2)'!M242</f>
        <v>4.5565766399999994</v>
      </c>
      <c r="F278" s="2836">
        <f t="shared" si="99"/>
        <v>0</v>
      </c>
      <c r="G278" s="2823">
        <f>'Datos_aux_materiales (2)'!R242</f>
        <v>85.37</v>
      </c>
      <c r="H278" s="2825">
        <f t="shared" si="100"/>
        <v>0</v>
      </c>
      <c r="I278" s="2829">
        <f t="shared" si="101"/>
        <v>0</v>
      </c>
      <c r="J278" s="2851">
        <f t="shared" si="102"/>
        <v>0</v>
      </c>
      <c r="K278" s="2834">
        <f t="shared" si="103"/>
        <v>0</v>
      </c>
      <c r="L278" s="1663"/>
      <c r="M278" s="1663"/>
      <c r="N278" s="1663"/>
      <c r="O278" s="1663"/>
      <c r="P278" s="1663"/>
      <c r="Q278" s="1663"/>
      <c r="R278" s="1663"/>
      <c r="S278" s="1663"/>
      <c r="T278" s="1663"/>
      <c r="U278" s="1663"/>
      <c r="V278" s="1663"/>
      <c r="W278" s="1663"/>
      <c r="X278" s="105"/>
      <c r="Y278" s="105"/>
      <c r="Z278" s="105"/>
      <c r="AA278" s="105"/>
      <c r="AB278" s="105"/>
      <c r="AC278" s="105"/>
      <c r="AD278" s="105"/>
      <c r="AE278" s="105"/>
      <c r="AF278" s="105"/>
      <c r="AG278" s="105"/>
      <c r="AH278" s="119"/>
      <c r="AI278" s="16"/>
      <c r="AJ278" s="16"/>
      <c r="AK278" s="16"/>
      <c r="AL278" s="16"/>
      <c r="AM278" s="16"/>
      <c r="AN278" s="16"/>
      <c r="AO278" s="16"/>
      <c r="AP278" s="16"/>
      <c r="AQ278" s="16"/>
      <c r="AR278" s="16"/>
      <c r="AS278" s="16"/>
      <c r="BO278" s="105"/>
      <c r="BP278" s="635"/>
      <c r="BQ278" s="635"/>
      <c r="BV278"/>
      <c r="BW278"/>
      <c r="BX278"/>
    </row>
    <row r="279" spans="1:76">
      <c r="A279" s="2590" t="s">
        <v>2389</v>
      </c>
      <c r="B279" s="2885" t="s">
        <v>1527</v>
      </c>
      <c r="C279" s="2588" t="s">
        <v>2390</v>
      </c>
      <c r="D279" s="3282">
        <f>SUMIFS(BCRR_REHAB!L:L,BCRR_REHAB!D:D,'Huella materiales (2)'!A279)</f>
        <v>0</v>
      </c>
      <c r="E279" s="1030">
        <f>'Datos_aux_materiales (2)'!M243</f>
        <v>22.721307840000001</v>
      </c>
      <c r="F279" s="2836">
        <f t="shared" si="99"/>
        <v>0</v>
      </c>
      <c r="G279" s="2823">
        <f>'Datos_aux_materiales (2)'!R243</f>
        <v>85.37</v>
      </c>
      <c r="H279" s="2825">
        <f t="shared" si="100"/>
        <v>0</v>
      </c>
      <c r="I279" s="2829">
        <f t="shared" si="101"/>
        <v>0</v>
      </c>
      <c r="J279" s="2851">
        <f t="shared" si="102"/>
        <v>0</v>
      </c>
      <c r="K279" s="2834">
        <f t="shared" si="103"/>
        <v>0</v>
      </c>
      <c r="L279" s="1663"/>
      <c r="M279" s="1663"/>
      <c r="N279" s="1663"/>
      <c r="O279" s="1663"/>
      <c r="P279" s="1663"/>
      <c r="Q279" s="1663"/>
      <c r="R279" s="1663"/>
      <c r="S279" s="1663"/>
      <c r="T279" s="1663"/>
      <c r="U279" s="1663"/>
      <c r="V279" s="1663"/>
      <c r="W279" s="1663"/>
      <c r="X279" s="105"/>
      <c r="Y279" s="105"/>
      <c r="Z279" s="105"/>
      <c r="AA279" s="105"/>
      <c r="AB279" s="105"/>
      <c r="AC279" s="105"/>
      <c r="AD279" s="105"/>
      <c r="AE279" s="105"/>
      <c r="AF279" s="105"/>
      <c r="AG279" s="105"/>
      <c r="AH279" s="119"/>
      <c r="AI279" s="16"/>
      <c r="AJ279" s="16"/>
      <c r="AK279" s="16"/>
      <c r="AL279" s="16"/>
      <c r="AM279" s="16"/>
      <c r="AN279" s="16"/>
      <c r="AO279" s="16"/>
      <c r="AP279" s="16"/>
      <c r="AQ279" s="16"/>
      <c r="AR279" s="16"/>
      <c r="AS279" s="16"/>
      <c r="AU279" s="167"/>
      <c r="AV279" s="167"/>
      <c r="AW279" s="16"/>
      <c r="AX279" s="16"/>
      <c r="AY279" s="16"/>
      <c r="AZ279" s="16"/>
      <c r="BA279" s="16"/>
      <c r="BB279" s="16"/>
      <c r="BC279" s="16"/>
      <c r="BD279" s="34"/>
      <c r="BE279" s="22"/>
      <c r="BF279" s="22"/>
      <c r="BG279" s="22"/>
      <c r="BH279" s="22"/>
      <c r="BO279" s="105"/>
      <c r="BP279" s="635"/>
      <c r="BQ279" s="635"/>
      <c r="BV279"/>
      <c r="BW279"/>
      <c r="BX279"/>
    </row>
    <row r="280" spans="1:76">
      <c r="A280" s="2544" t="s">
        <v>2302</v>
      </c>
      <c r="B280" s="2549" t="s">
        <v>1527</v>
      </c>
      <c r="C280" s="2542" t="s">
        <v>2303</v>
      </c>
      <c r="D280" s="3282">
        <f>SUMIFS(BCRR_REHAB!L:L,BCRR_REHAB!D:D,'Huella materiales (2)'!A280)</f>
        <v>0</v>
      </c>
      <c r="E280" s="1030">
        <f>'Datos_aux_materiales (2)'!M244</f>
        <v>9.8520575999999999E-2</v>
      </c>
      <c r="F280" s="2836">
        <f t="shared" si="99"/>
        <v>0</v>
      </c>
      <c r="G280" s="2823">
        <f>'Datos_aux_materiales (2)'!R244</f>
        <v>85.37</v>
      </c>
      <c r="H280" s="2825">
        <f t="shared" si="100"/>
        <v>0</v>
      </c>
      <c r="I280" s="2829">
        <f t="shared" si="101"/>
        <v>0</v>
      </c>
      <c r="J280" s="2851">
        <f t="shared" si="102"/>
        <v>0</v>
      </c>
      <c r="K280" s="2834">
        <f t="shared" si="103"/>
        <v>0</v>
      </c>
      <c r="L280" s="1663"/>
      <c r="M280" s="1663"/>
      <c r="N280" s="1663"/>
      <c r="O280" s="1663"/>
      <c r="P280" s="1663"/>
      <c r="Q280" s="1663"/>
      <c r="R280" s="1663"/>
      <c r="S280" s="1663"/>
      <c r="T280" s="1663"/>
      <c r="U280" s="1663"/>
      <c r="V280" s="1663"/>
      <c r="W280" s="1663"/>
      <c r="X280" s="105"/>
      <c r="Y280" s="105"/>
      <c r="Z280" s="105"/>
      <c r="AA280" s="105"/>
      <c r="AB280" s="105"/>
      <c r="AC280" s="105"/>
      <c r="AD280" s="105"/>
      <c r="AE280" s="105"/>
      <c r="AF280" s="105"/>
      <c r="AG280" s="105"/>
      <c r="AH280" s="119"/>
      <c r="AI280" s="16"/>
      <c r="AJ280" s="16"/>
      <c r="AK280" s="16"/>
      <c r="AL280" s="16"/>
      <c r="AM280" s="16"/>
      <c r="AN280" s="16"/>
      <c r="AO280" s="16"/>
      <c r="AP280" s="16"/>
      <c r="AQ280" s="16"/>
      <c r="AR280" s="16"/>
      <c r="AS280" s="16"/>
      <c r="BI280" s="22"/>
      <c r="BJ280" s="16"/>
      <c r="BK280" s="16"/>
      <c r="BO280" s="105"/>
      <c r="BP280" s="635"/>
      <c r="BQ280" s="635"/>
      <c r="BV280"/>
      <c r="BW280"/>
      <c r="BX280"/>
    </row>
    <row r="281" spans="1:76">
      <c r="A281" s="2544" t="s">
        <v>2308</v>
      </c>
      <c r="B281" s="2549" t="s">
        <v>1527</v>
      </c>
      <c r="C281" s="2542" t="s">
        <v>2309</v>
      </c>
      <c r="D281" s="3282">
        <f>SUMIFS(BCRR_REHAB!L:L,BCRR_REHAB!D:D,'Huella materiales (2)'!A281)</f>
        <v>0</v>
      </c>
      <c r="E281" s="1030">
        <f>'Datos_aux_materiales (2)'!M245</f>
        <v>0.12315071999999999</v>
      </c>
      <c r="F281" s="2836">
        <f t="shared" si="99"/>
        <v>0</v>
      </c>
      <c r="G281" s="2823">
        <f>'Datos_aux_materiales (2)'!R245</f>
        <v>85.37</v>
      </c>
      <c r="H281" s="2825">
        <f t="shared" si="100"/>
        <v>0</v>
      </c>
      <c r="I281" s="2829">
        <f t="shared" si="101"/>
        <v>0</v>
      </c>
      <c r="J281" s="2851">
        <f t="shared" si="102"/>
        <v>0</v>
      </c>
      <c r="K281" s="2834">
        <f t="shared" si="103"/>
        <v>0</v>
      </c>
      <c r="L281" s="1663"/>
      <c r="M281" s="1663"/>
      <c r="N281" s="1663"/>
      <c r="O281" s="1663"/>
      <c r="P281" s="1663"/>
      <c r="Q281" s="1663"/>
      <c r="R281" s="1663"/>
      <c r="S281" s="1663"/>
      <c r="T281" s="1663"/>
      <c r="U281" s="1663"/>
      <c r="V281" s="1663"/>
      <c r="W281" s="1663"/>
      <c r="X281" s="105"/>
      <c r="Y281" s="105"/>
      <c r="Z281" s="105"/>
      <c r="AA281" s="105"/>
      <c r="AB281" s="105"/>
      <c r="AC281" s="105"/>
      <c r="AD281" s="105"/>
      <c r="AE281" s="105"/>
      <c r="AF281" s="105"/>
      <c r="AG281" s="105"/>
      <c r="AH281" s="119"/>
      <c r="AI281" s="16"/>
      <c r="AJ281" s="16"/>
      <c r="AK281" s="16"/>
      <c r="AL281" s="16"/>
      <c r="AM281" s="16"/>
      <c r="AN281" s="16"/>
      <c r="AO281" s="16"/>
      <c r="AP281" s="16"/>
      <c r="AQ281" s="16"/>
      <c r="AR281" s="16"/>
      <c r="AS281" s="16"/>
      <c r="AV281" s="16"/>
      <c r="AW281" s="16"/>
      <c r="AX281" s="16"/>
      <c r="AY281" s="16"/>
      <c r="BO281" s="105"/>
      <c r="BP281" s="635"/>
      <c r="BQ281" s="635"/>
      <c r="BV281"/>
      <c r="BW281"/>
      <c r="BX281"/>
    </row>
    <row r="282" spans="1:76">
      <c r="A282" s="2544" t="s">
        <v>2314</v>
      </c>
      <c r="B282" s="2549" t="s">
        <v>1527</v>
      </c>
      <c r="C282" s="2542" t="s">
        <v>2315</v>
      </c>
      <c r="D282" s="3282">
        <f>SUMIFS(BCRR_REHAB!L:L,BCRR_REHAB!D:D,'Huella materiales (2)'!A282)</f>
        <v>0</v>
      </c>
      <c r="E282" s="1030">
        <f>'Datos_aux_materiales (2)'!M246</f>
        <v>0.19242300000000001</v>
      </c>
      <c r="F282" s="2836">
        <f t="shared" si="99"/>
        <v>0</v>
      </c>
      <c r="G282" s="2823">
        <f>'Datos_aux_materiales (2)'!R246</f>
        <v>85.37</v>
      </c>
      <c r="H282" s="2825">
        <f t="shared" si="100"/>
        <v>0</v>
      </c>
      <c r="I282" s="2829">
        <f t="shared" si="101"/>
        <v>0</v>
      </c>
      <c r="J282" s="2851">
        <f t="shared" si="102"/>
        <v>0</v>
      </c>
      <c r="K282" s="2834">
        <f t="shared" si="103"/>
        <v>0</v>
      </c>
      <c r="L282" s="1663"/>
      <c r="M282" s="1663"/>
      <c r="N282" s="1663"/>
      <c r="O282" s="1663"/>
      <c r="P282" s="1663"/>
      <c r="Q282" s="1663"/>
      <c r="R282" s="1663"/>
      <c r="S282" s="1663"/>
      <c r="T282" s="1663"/>
      <c r="U282" s="1663"/>
      <c r="V282" s="1663"/>
      <c r="W282" s="1663"/>
      <c r="X282" s="105"/>
      <c r="Y282" s="105"/>
      <c r="Z282" s="105"/>
      <c r="AA282" s="105"/>
      <c r="AB282" s="105"/>
      <c r="AC282" s="105"/>
      <c r="AD282" s="105"/>
      <c r="AE282" s="105"/>
      <c r="AF282" s="105"/>
      <c r="AG282" s="105"/>
      <c r="AH282" s="119"/>
      <c r="AI282" s="16"/>
      <c r="AJ282" s="16"/>
      <c r="AK282" s="16"/>
      <c r="AL282" s="16"/>
      <c r="AM282" s="16"/>
      <c r="AN282" s="16"/>
      <c r="AO282" s="16"/>
      <c r="AP282" s="16"/>
      <c r="AQ282" s="16"/>
      <c r="AR282" s="16"/>
      <c r="AS282" s="16"/>
      <c r="AU282" s="167"/>
      <c r="AV282" s="167"/>
      <c r="AW282" s="16"/>
      <c r="AX282" s="16"/>
      <c r="AY282" s="16"/>
      <c r="AZ282" s="16"/>
      <c r="BA282" s="16"/>
      <c r="BB282" s="16"/>
      <c r="BC282" s="16"/>
      <c r="BD282" s="34"/>
      <c r="BE282" s="22"/>
      <c r="BF282" s="22"/>
      <c r="BG282" s="22"/>
      <c r="BH282" s="22"/>
      <c r="BO282" s="105"/>
      <c r="BP282" s="635"/>
      <c r="BQ282" s="635"/>
      <c r="BV282"/>
      <c r="BW282"/>
      <c r="BX282"/>
    </row>
    <row r="283" spans="1:76">
      <c r="A283" s="2544" t="s">
        <v>2416</v>
      </c>
      <c r="B283" s="2549" t="s">
        <v>1527</v>
      </c>
      <c r="C283" s="2542" t="s">
        <v>2417</v>
      </c>
      <c r="D283" s="3282">
        <f>SUMIFS(BCRR_REHAB!L:L,BCRR_REHAB!D:D,'Huella materiales (2)'!A283)</f>
        <v>0</v>
      </c>
      <c r="E283" s="1030">
        <f>'Datos_aux_materiales (2)'!M247</f>
        <v>0.29556172800000002</v>
      </c>
      <c r="F283" s="2836">
        <f t="shared" si="99"/>
        <v>0</v>
      </c>
      <c r="G283" s="2823">
        <f>'Datos_aux_materiales (2)'!R247</f>
        <v>85.37</v>
      </c>
      <c r="H283" s="2825">
        <f t="shared" si="100"/>
        <v>0</v>
      </c>
      <c r="I283" s="2829">
        <f t="shared" si="101"/>
        <v>0</v>
      </c>
      <c r="J283" s="2851">
        <f t="shared" si="102"/>
        <v>0</v>
      </c>
      <c r="K283" s="2834">
        <f t="shared" si="103"/>
        <v>0</v>
      </c>
      <c r="L283" s="2814"/>
      <c r="M283" s="2815"/>
      <c r="N283" s="635"/>
      <c r="O283" s="2814"/>
      <c r="P283" s="635"/>
      <c r="Q283" s="2814"/>
      <c r="R283" s="2814"/>
      <c r="S283" s="2814"/>
      <c r="T283" s="635"/>
      <c r="U283" s="2814"/>
      <c r="V283" s="2814"/>
      <c r="W283" s="2814"/>
      <c r="X283" s="2814"/>
      <c r="Y283" s="2814"/>
      <c r="Z283" s="2814"/>
      <c r="AA283" s="2814"/>
      <c r="AB283" s="635"/>
      <c r="AC283" s="2814"/>
      <c r="AD283" s="2814"/>
      <c r="AE283" s="2814"/>
      <c r="AF283" s="2814"/>
      <c r="AG283" s="2814"/>
      <c r="AH283" s="2799"/>
      <c r="AI283" s="2799"/>
      <c r="AJ283" s="2799"/>
      <c r="AK283" s="2799"/>
      <c r="AL283" s="2799"/>
      <c r="AM283" s="2799"/>
      <c r="AN283" s="2799"/>
      <c r="AO283" s="2799"/>
      <c r="AP283" s="2799"/>
      <c r="AQ283" s="2799"/>
      <c r="AR283" s="2799"/>
      <c r="AS283" s="2799"/>
      <c r="AT283" s="2799"/>
      <c r="AV283" s="16"/>
      <c r="AW283" s="16"/>
      <c r="AX283" s="16"/>
      <c r="AY283" s="16"/>
      <c r="BI283" s="22"/>
      <c r="BJ283" s="16"/>
      <c r="BK283" s="16"/>
      <c r="BO283" s="2814"/>
      <c r="BP283" s="635"/>
      <c r="BQ283" s="635"/>
      <c r="BV283"/>
      <c r="BW283"/>
      <c r="BX283"/>
    </row>
    <row r="284" spans="1:76">
      <c r="A284" s="2544" t="s">
        <v>2365</v>
      </c>
      <c r="B284" s="2549" t="s">
        <v>1527</v>
      </c>
      <c r="C284" s="2542" t="s">
        <v>2366</v>
      </c>
      <c r="D284" s="3282">
        <f>SUMIFS(BCRR_REHAB!L:L,BCRR_REHAB!D:D,'Huella materiales (2)'!A284)</f>
        <v>0</v>
      </c>
      <c r="E284" s="1030">
        <f>'Datos_aux_materiales (2)'!M248</f>
        <v>0.43102752</v>
      </c>
      <c r="F284" s="2836">
        <f t="shared" si="99"/>
        <v>0</v>
      </c>
      <c r="G284" s="2823">
        <f>'Datos_aux_materiales (2)'!R248</f>
        <v>85.37</v>
      </c>
      <c r="H284" s="2825">
        <f t="shared" si="100"/>
        <v>0</v>
      </c>
      <c r="I284" s="2829">
        <f t="shared" si="101"/>
        <v>0</v>
      </c>
      <c r="J284" s="2851">
        <f t="shared" si="102"/>
        <v>0</v>
      </c>
      <c r="K284" s="2834">
        <f t="shared" si="103"/>
        <v>0</v>
      </c>
      <c r="L284" s="635"/>
      <c r="M284" s="635"/>
      <c r="N284" s="635"/>
      <c r="O284" s="635"/>
      <c r="P284" s="635"/>
      <c r="Q284" s="635"/>
      <c r="R284" s="635"/>
      <c r="S284" s="635"/>
      <c r="T284" s="635"/>
      <c r="U284" s="635"/>
      <c r="V284" s="635"/>
      <c r="W284" s="635"/>
      <c r="X284" s="635"/>
      <c r="Y284" s="635"/>
      <c r="Z284" s="635"/>
      <c r="AA284" s="635"/>
      <c r="AB284" s="635"/>
      <c r="AC284" s="635"/>
      <c r="AD284" s="635"/>
      <c r="AE284" s="635"/>
      <c r="AF284" s="635"/>
      <c r="AG284" s="635"/>
      <c r="AH284" s="635"/>
      <c r="AI284" s="635"/>
      <c r="AJ284" s="635"/>
      <c r="AK284" s="635"/>
      <c r="AL284" s="635"/>
      <c r="AM284" s="635"/>
      <c r="AN284" s="635"/>
      <c r="AO284" s="635"/>
      <c r="AP284" s="635"/>
      <c r="AQ284" s="635"/>
      <c r="AR284" s="635"/>
      <c r="AS284" s="635"/>
      <c r="AT284" s="635"/>
      <c r="AV284" s="16"/>
      <c r="AW284" s="16"/>
      <c r="AX284" s="16"/>
      <c r="AY284" s="16"/>
      <c r="BO284" s="635"/>
      <c r="BP284" s="635"/>
      <c r="BQ284" s="635"/>
      <c r="BV284"/>
      <c r="BW284"/>
      <c r="BX284"/>
    </row>
    <row r="285" spans="1:76">
      <c r="A285" s="2535" t="s">
        <v>2585</v>
      </c>
      <c r="B285" s="2883" t="s">
        <v>1504</v>
      </c>
      <c r="C285" s="2522" t="s">
        <v>2586</v>
      </c>
      <c r="D285" s="3282">
        <f>SUMIFS(BCRR_REHAB!L:L,BCRR_REHAB!D:D,'Huella materiales (2)'!A285)</f>
        <v>0</v>
      </c>
      <c r="E285" s="1030">
        <f>'Datos_aux_materiales (2)'!M249</f>
        <v>0.19600000000000004</v>
      </c>
      <c r="F285" s="2836">
        <f t="shared" si="99"/>
        <v>0</v>
      </c>
      <c r="G285" s="2823">
        <f>'Datos_aux_materiales (2)'!R249</f>
        <v>108.4</v>
      </c>
      <c r="H285" s="2825">
        <f t="shared" si="100"/>
        <v>0</v>
      </c>
      <c r="I285" s="2829">
        <f t="shared" si="101"/>
        <v>0</v>
      </c>
      <c r="J285" s="2851">
        <f t="shared" si="102"/>
        <v>0</v>
      </c>
      <c r="K285" s="2834">
        <f t="shared" si="103"/>
        <v>0</v>
      </c>
      <c r="L285" s="2814"/>
      <c r="M285" s="2815"/>
      <c r="N285" s="2814"/>
      <c r="O285" s="2814"/>
      <c r="P285" s="2814"/>
      <c r="Q285" s="2814"/>
      <c r="R285" s="2814"/>
      <c r="S285" s="2814"/>
      <c r="T285" s="2814"/>
      <c r="U285" s="2814"/>
      <c r="V285" s="2814"/>
      <c r="W285" s="2814"/>
      <c r="X285" s="2814"/>
      <c r="Y285" s="2814"/>
      <c r="Z285" s="2814"/>
      <c r="AA285" s="2814"/>
      <c r="AB285" s="2814"/>
      <c r="AC285" s="2814"/>
      <c r="AD285" s="2814"/>
      <c r="AE285" s="2814"/>
      <c r="AF285" s="2814"/>
      <c r="AG285" s="2814"/>
      <c r="AH285" s="2799"/>
      <c r="AI285" s="2799"/>
      <c r="AJ285" s="2799"/>
      <c r="AK285" s="2799"/>
      <c r="AL285" s="2799"/>
      <c r="AM285" s="2799"/>
      <c r="AN285" s="2799"/>
      <c r="AO285" s="2799"/>
      <c r="AP285" s="2799"/>
      <c r="AQ285" s="2799"/>
      <c r="AR285" s="2799"/>
      <c r="AS285" s="2799"/>
      <c r="AT285" s="2799"/>
      <c r="AU285" s="167"/>
      <c r="AV285" s="167"/>
      <c r="AW285" s="16"/>
      <c r="AX285" s="16"/>
      <c r="AY285" s="16"/>
      <c r="AZ285" s="16"/>
      <c r="BA285" s="16"/>
      <c r="BB285" s="16"/>
      <c r="BC285" s="16"/>
      <c r="BD285" s="34"/>
      <c r="BE285" s="22"/>
      <c r="BF285" s="22"/>
      <c r="BG285" s="22"/>
      <c r="BH285" s="22"/>
      <c r="BO285" s="2814"/>
      <c r="BP285" s="635"/>
      <c r="BQ285" s="635"/>
      <c r="BV285"/>
      <c r="BW285"/>
      <c r="BX285"/>
    </row>
    <row r="286" spans="1:76">
      <c r="A286" s="2544" t="s">
        <v>2593</v>
      </c>
      <c r="B286" s="2549" t="s">
        <v>1504</v>
      </c>
      <c r="C286" s="2542" t="s">
        <v>2594</v>
      </c>
      <c r="D286" s="3282">
        <f>SUMIFS(BCRR_REHAB!L:L,BCRR_REHAB!D:D,'Huella materiales (2)'!A286)</f>
        <v>0</v>
      </c>
      <c r="E286" s="1030">
        <f>'Datos_aux_materiales (2)'!M250</f>
        <v>1.96</v>
      </c>
      <c r="F286" s="2836">
        <f t="shared" si="99"/>
        <v>0</v>
      </c>
      <c r="G286" s="2823">
        <f>'Datos_aux_materiales (2)'!R250</f>
        <v>108.4</v>
      </c>
      <c r="H286" s="2825">
        <f t="shared" si="100"/>
        <v>0</v>
      </c>
      <c r="I286" s="2829">
        <f t="shared" si="101"/>
        <v>0</v>
      </c>
      <c r="J286" s="2851">
        <f t="shared" si="102"/>
        <v>0</v>
      </c>
      <c r="K286" s="2834">
        <f t="shared" si="103"/>
        <v>0</v>
      </c>
      <c r="L286" s="635"/>
      <c r="M286" s="635"/>
      <c r="N286" s="635"/>
      <c r="O286" s="635"/>
      <c r="P286" s="635"/>
      <c r="Q286" s="635"/>
      <c r="R286" s="635"/>
      <c r="S286" s="635"/>
      <c r="T286" s="635"/>
      <c r="U286" s="635"/>
      <c r="V286" s="635"/>
      <c r="W286" s="635"/>
      <c r="X286" s="635"/>
      <c r="Y286" s="635"/>
      <c r="Z286" s="635"/>
      <c r="AA286" s="635"/>
      <c r="AB286" s="635"/>
      <c r="AC286" s="635"/>
      <c r="AD286" s="635"/>
      <c r="AE286" s="635"/>
      <c r="AF286" s="635"/>
      <c r="AG286" s="635"/>
      <c r="AH286" s="635"/>
      <c r="AI286" s="635"/>
      <c r="AJ286" s="635"/>
      <c r="AK286" s="635"/>
      <c r="AL286" s="635"/>
      <c r="AM286" s="635"/>
      <c r="AN286" s="635"/>
      <c r="AO286" s="635"/>
      <c r="AP286" s="635"/>
      <c r="AQ286" s="635"/>
      <c r="AR286" s="635"/>
      <c r="AS286" s="635"/>
      <c r="AT286" s="635"/>
      <c r="AU286" s="160"/>
      <c r="AV286" s="160"/>
      <c r="BD286" s="16"/>
      <c r="BI286" s="22"/>
      <c r="BJ286" s="16"/>
      <c r="BK286" s="16"/>
      <c r="BO286" s="635"/>
      <c r="BP286" s="635"/>
      <c r="BQ286" s="635"/>
      <c r="BV286"/>
      <c r="BW286"/>
      <c r="BX286"/>
    </row>
    <row r="287" spans="1:76">
      <c r="A287" s="2523" t="s">
        <v>2006</v>
      </c>
      <c r="B287" s="2565" t="s">
        <v>1507</v>
      </c>
      <c r="C287" s="2522" t="s">
        <v>2007</v>
      </c>
      <c r="D287" s="3282">
        <f>SUMIFS(BCRR_REHAB!L:L,BCRR_REHAB!D:D,'Huella materiales (2)'!A287)</f>
        <v>0</v>
      </c>
      <c r="E287" s="1030">
        <f>'Datos_aux_materiales (2)'!M251</f>
        <v>7.0000000000000007E-2</v>
      </c>
      <c r="F287" s="2836">
        <f t="shared" si="99"/>
        <v>0</v>
      </c>
      <c r="G287" s="2823">
        <f>'Datos_aux_materiales (2)'!R251</f>
        <v>90.4</v>
      </c>
      <c r="H287" s="2825">
        <f t="shared" si="100"/>
        <v>0</v>
      </c>
      <c r="I287" s="2829">
        <f t="shared" si="101"/>
        <v>0</v>
      </c>
      <c r="J287" s="2851">
        <f t="shared" si="102"/>
        <v>0</v>
      </c>
      <c r="K287" s="2834">
        <f t="shared" si="103"/>
        <v>0</v>
      </c>
      <c r="L287" s="635"/>
      <c r="M287" s="635"/>
      <c r="N287" s="635"/>
      <c r="O287" s="635"/>
      <c r="P287" s="635"/>
      <c r="Q287" s="635"/>
      <c r="R287" s="635"/>
      <c r="S287" s="635"/>
      <c r="T287" s="635"/>
      <c r="U287" s="635"/>
      <c r="V287" s="635"/>
      <c r="W287" s="635"/>
      <c r="X287" s="635"/>
      <c r="Y287" s="635"/>
      <c r="Z287" s="635"/>
      <c r="AA287" s="635"/>
      <c r="AB287" s="635"/>
      <c r="AC287" s="635"/>
      <c r="AD287" s="635"/>
      <c r="AE287" s="635"/>
      <c r="AF287" s="635"/>
      <c r="AG287" s="635"/>
      <c r="AH287" s="635"/>
      <c r="AI287" s="635"/>
      <c r="AJ287" s="635"/>
      <c r="AK287" s="635"/>
      <c r="AL287" s="635"/>
      <c r="AM287" s="635"/>
      <c r="AN287" s="635"/>
      <c r="AO287" s="635"/>
      <c r="AP287" s="635"/>
      <c r="AQ287" s="635"/>
      <c r="AR287" s="635"/>
      <c r="AS287" s="635"/>
      <c r="AT287" s="635"/>
      <c r="AV287" s="16"/>
      <c r="AW287" s="16"/>
      <c r="AX287" s="16"/>
      <c r="AY287" s="16"/>
      <c r="BJ287" s="16"/>
      <c r="BK287" s="16"/>
      <c r="BO287" s="635"/>
      <c r="BP287" s="635"/>
      <c r="BQ287" s="635"/>
      <c r="BV287"/>
      <c r="BW287"/>
      <c r="BX287"/>
    </row>
    <row r="288" spans="1:76">
      <c r="A288" s="2544" t="s">
        <v>1159</v>
      </c>
      <c r="B288" s="2549" t="s">
        <v>1507</v>
      </c>
      <c r="C288" s="2542" t="s">
        <v>1991</v>
      </c>
      <c r="D288" s="3282">
        <f>SUMIFS(BCRR_REHAB!L:L,BCRR_REHAB!D:D,'Huella materiales (2)'!A288)</f>
        <v>0</v>
      </c>
      <c r="E288" s="1030">
        <f>'Datos_aux_materiales (2)'!M252</f>
        <v>0.19600000000000001</v>
      </c>
      <c r="F288" s="2836">
        <f t="shared" si="99"/>
        <v>0</v>
      </c>
      <c r="G288" s="2823">
        <f>'Datos_aux_materiales (2)'!R252</f>
        <v>90.4</v>
      </c>
      <c r="H288" s="2825">
        <f t="shared" si="100"/>
        <v>0</v>
      </c>
      <c r="I288" s="2829">
        <f t="shared" si="101"/>
        <v>0</v>
      </c>
      <c r="J288" s="2851">
        <f t="shared" si="102"/>
        <v>0</v>
      </c>
      <c r="K288" s="2834">
        <f t="shared" si="103"/>
        <v>0</v>
      </c>
      <c r="L288" s="635"/>
      <c r="M288" s="635"/>
      <c r="N288" s="635"/>
      <c r="O288" s="635"/>
      <c r="P288" s="635"/>
      <c r="Q288" s="635"/>
      <c r="R288" s="635"/>
      <c r="S288" s="635"/>
      <c r="T288" s="635"/>
      <c r="U288" s="635"/>
      <c r="V288" s="635"/>
      <c r="W288" s="635"/>
      <c r="X288" s="635"/>
      <c r="Y288" s="635"/>
      <c r="Z288" s="635"/>
      <c r="AA288" s="635"/>
      <c r="AB288" s="635"/>
      <c r="AC288" s="635"/>
      <c r="AD288" s="635"/>
      <c r="AE288" s="635"/>
      <c r="AF288" s="635"/>
      <c r="AG288" s="635"/>
      <c r="AH288" s="635"/>
      <c r="AI288" s="635"/>
      <c r="AJ288" s="635"/>
      <c r="AK288" s="635"/>
      <c r="AL288" s="635"/>
      <c r="AM288" s="635"/>
      <c r="AN288" s="635"/>
      <c r="AO288" s="635"/>
      <c r="AP288" s="635"/>
      <c r="AQ288" s="635"/>
      <c r="AR288" s="635"/>
      <c r="AS288" s="635"/>
      <c r="AT288" s="635"/>
      <c r="AV288" s="16"/>
      <c r="AW288" s="16"/>
      <c r="AX288" s="16"/>
      <c r="AY288" s="16"/>
      <c r="BO288" s="635"/>
      <c r="BP288" s="635"/>
      <c r="BQ288" s="635"/>
      <c r="BV288"/>
      <c r="BW288"/>
      <c r="BX288"/>
    </row>
    <row r="289" spans="1:76">
      <c r="A289" s="2544" t="s">
        <v>2336</v>
      </c>
      <c r="B289" s="2549" t="s">
        <v>1527</v>
      </c>
      <c r="C289" s="2542" t="s">
        <v>2337</v>
      </c>
      <c r="D289" s="3282">
        <f>SUMIFS(BCRR_REHAB!L:L,BCRR_REHAB!D:D,'Huella materiales (2)'!A289)</f>
        <v>3195.4139266499997</v>
      </c>
      <c r="E289" s="1030">
        <f>'Datos_aux_materiales (2)'!M253</f>
        <v>0</v>
      </c>
      <c r="F289" s="2836">
        <f t="shared" si="99"/>
        <v>0</v>
      </c>
      <c r="G289" s="2823">
        <f>'Datos_aux_materiales (2)'!R253</f>
        <v>85.37</v>
      </c>
      <c r="H289" s="2825">
        <f t="shared" si="100"/>
        <v>0</v>
      </c>
      <c r="I289" s="2829">
        <f t="shared" si="101"/>
        <v>0</v>
      </c>
      <c r="J289" s="2851">
        <f t="shared" si="102"/>
        <v>0</v>
      </c>
      <c r="K289" s="2834">
        <f t="shared" si="103"/>
        <v>0</v>
      </c>
      <c r="L289" s="2814"/>
      <c r="M289" s="2815"/>
      <c r="N289" s="2814"/>
      <c r="O289" s="2814"/>
      <c r="P289" s="2814"/>
      <c r="Q289" s="2814"/>
      <c r="R289" s="2814"/>
      <c r="S289" s="2814"/>
      <c r="T289" s="2814"/>
      <c r="U289" s="2814"/>
      <c r="V289" s="2814"/>
      <c r="W289" s="2814"/>
      <c r="X289" s="2814"/>
      <c r="Y289" s="2814"/>
      <c r="Z289" s="2814"/>
      <c r="AA289" s="2814"/>
      <c r="AB289" s="2814"/>
      <c r="AC289" s="2814"/>
      <c r="AD289" s="2814"/>
      <c r="AE289" s="2814"/>
      <c r="AF289" s="2814"/>
      <c r="AG289" s="2814"/>
      <c r="AH289" s="2799"/>
      <c r="AI289" s="2799"/>
      <c r="AJ289" s="2799"/>
      <c r="AK289" s="2799"/>
      <c r="AL289" s="2799"/>
      <c r="AM289" s="2799"/>
      <c r="AN289" s="2799"/>
      <c r="AO289" s="2799"/>
      <c r="AP289" s="2799"/>
      <c r="AQ289" s="2799"/>
      <c r="AR289" s="2799"/>
      <c r="AS289" s="2799"/>
      <c r="AT289" s="2799"/>
      <c r="AV289" s="16"/>
      <c r="AW289" s="16"/>
      <c r="AX289" s="16"/>
      <c r="AY289" s="16"/>
      <c r="BO289" s="2814"/>
      <c r="BP289" s="635"/>
      <c r="BQ289" s="635"/>
      <c r="BV289"/>
      <c r="BW289"/>
      <c r="BX289"/>
    </row>
    <row r="290" spans="1:76">
      <c r="A290" s="2544" t="s">
        <v>2327</v>
      </c>
      <c r="B290" s="2549" t="s">
        <v>1527</v>
      </c>
      <c r="C290" s="2542" t="s">
        <v>2326</v>
      </c>
      <c r="D290" s="3282">
        <f>SUMIFS(BCRR_REHAB!L:L,BCRR_REHAB!D:D,'Huella materiales (2)'!A290)</f>
        <v>0</v>
      </c>
      <c r="E290" s="1030">
        <f>'Datos_aux_materiales (2)'!M254</f>
        <v>1.0529051399999998</v>
      </c>
      <c r="F290" s="2836">
        <f t="shared" si="99"/>
        <v>0</v>
      </c>
      <c r="G290" s="2823">
        <f>'Datos_aux_materiales (2)'!R254</f>
        <v>22.6</v>
      </c>
      <c r="H290" s="2825">
        <f t="shared" si="100"/>
        <v>0</v>
      </c>
      <c r="I290" s="2829">
        <f t="shared" si="101"/>
        <v>0</v>
      </c>
      <c r="J290" s="2851">
        <f t="shared" si="102"/>
        <v>0</v>
      </c>
      <c r="K290" s="2834">
        <f t="shared" si="103"/>
        <v>0</v>
      </c>
      <c r="L290" s="635"/>
      <c r="M290" s="635"/>
      <c r="N290" s="635"/>
      <c r="O290" s="635"/>
      <c r="P290" s="635"/>
      <c r="Q290" s="635"/>
      <c r="R290" s="635"/>
      <c r="S290" s="635"/>
      <c r="T290" s="635"/>
      <c r="U290" s="635"/>
      <c r="V290" s="635"/>
      <c r="W290" s="635"/>
      <c r="X290" s="635"/>
      <c r="Y290" s="635"/>
      <c r="Z290" s="635"/>
      <c r="AA290" s="635"/>
      <c r="AB290" s="635"/>
      <c r="AC290" s="635"/>
      <c r="AD290" s="635"/>
      <c r="AE290" s="635"/>
      <c r="AF290" s="635"/>
      <c r="AG290" s="635"/>
      <c r="AH290" s="635"/>
      <c r="AI290" s="635"/>
      <c r="AJ290" s="635"/>
      <c r="AK290" s="635"/>
      <c r="AL290" s="635"/>
      <c r="AM290" s="635"/>
      <c r="AN290" s="635"/>
      <c r="AO290" s="635"/>
      <c r="AP290" s="635"/>
      <c r="AQ290" s="635"/>
      <c r="AR290" s="635"/>
      <c r="AS290" s="635"/>
      <c r="AT290" s="635"/>
      <c r="AV290" s="16"/>
      <c r="AW290" s="16"/>
      <c r="AX290" s="16"/>
      <c r="AY290" s="16"/>
      <c r="BO290" s="635"/>
      <c r="BP290" s="635"/>
      <c r="BQ290" s="635"/>
      <c r="BV290"/>
      <c r="BW290"/>
      <c r="BX290"/>
    </row>
    <row r="291" spans="1:76">
      <c r="A291" s="2544" t="s">
        <v>2330</v>
      </c>
      <c r="B291" s="2549" t="s">
        <v>1527</v>
      </c>
      <c r="C291" s="2542" t="s">
        <v>2329</v>
      </c>
      <c r="D291" s="3282">
        <f>SUMIFS(BCRR_REHAB!L:L,BCRR_REHAB!D:D,'Huella materiales (2)'!A291)</f>
        <v>0</v>
      </c>
      <c r="E291" s="1030">
        <f>'Datos_aux_materiales (2)'!M255</f>
        <v>2.0473155500000004</v>
      </c>
      <c r="F291" s="2836">
        <f t="shared" si="99"/>
        <v>0</v>
      </c>
      <c r="G291" s="2823">
        <f>'Datos_aux_materiales (2)'!R255</f>
        <v>22.6</v>
      </c>
      <c r="H291" s="2825">
        <f t="shared" si="100"/>
        <v>0</v>
      </c>
      <c r="I291" s="2829">
        <f t="shared" si="101"/>
        <v>0</v>
      </c>
      <c r="J291" s="2851">
        <f t="shared" si="102"/>
        <v>0</v>
      </c>
      <c r="K291" s="2834">
        <f t="shared" si="103"/>
        <v>0</v>
      </c>
      <c r="L291" s="635"/>
      <c r="M291" s="635"/>
      <c r="N291" s="635"/>
      <c r="O291" s="635"/>
      <c r="P291" s="635"/>
      <c r="Q291" s="635"/>
      <c r="R291" s="635"/>
      <c r="S291" s="635"/>
      <c r="T291" s="635"/>
      <c r="U291" s="635"/>
      <c r="V291" s="635"/>
      <c r="W291" s="635"/>
      <c r="X291" s="635"/>
      <c r="Y291" s="635"/>
      <c r="Z291" s="635"/>
      <c r="AA291" s="635"/>
      <c r="AB291" s="635"/>
      <c r="AC291" s="635"/>
      <c r="AD291" s="635"/>
      <c r="AE291" s="635"/>
      <c r="AF291" s="635"/>
      <c r="AG291" s="635"/>
      <c r="AH291" s="635"/>
      <c r="AI291" s="635"/>
      <c r="AJ291" s="635"/>
      <c r="AK291" s="635"/>
      <c r="AL291" s="635"/>
      <c r="AM291" s="635"/>
      <c r="AN291" s="635"/>
      <c r="AO291" s="635"/>
      <c r="AP291" s="635"/>
      <c r="AQ291" s="635"/>
      <c r="AR291" s="635"/>
      <c r="AS291" s="635"/>
      <c r="AT291" s="635"/>
      <c r="AV291" s="16"/>
      <c r="AW291" s="16"/>
      <c r="AX291" s="16"/>
      <c r="AY291" s="16"/>
      <c r="BO291" s="635"/>
      <c r="BP291" s="635"/>
      <c r="BQ291" s="635"/>
      <c r="BV291"/>
      <c r="BW291"/>
      <c r="BX291"/>
    </row>
    <row r="292" spans="1:76" ht="18.5">
      <c r="A292" s="2900"/>
      <c r="B292" s="2881"/>
      <c r="C292" s="2811" t="s">
        <v>3107</v>
      </c>
      <c r="D292" s="3284"/>
      <c r="E292" s="2795"/>
      <c r="F292" s="2843">
        <f>SUM(F253:F291)</f>
        <v>0</v>
      </c>
      <c r="G292" s="2844"/>
      <c r="H292" s="2842">
        <f>SUM(H253:H291)</f>
        <v>0</v>
      </c>
      <c r="I292" s="2830">
        <f t="shared" si="101"/>
        <v>0</v>
      </c>
      <c r="J292" s="2854">
        <f t="shared" si="102"/>
        <v>0</v>
      </c>
      <c r="K292" s="2835">
        <f>SUM(K253:K291)</f>
        <v>0</v>
      </c>
      <c r="L292" s="2795"/>
      <c r="M292" s="2795"/>
      <c r="N292" s="2795"/>
      <c r="O292" s="2795"/>
      <c r="P292" s="2795"/>
      <c r="Q292" s="2795"/>
      <c r="R292" s="2795"/>
      <c r="S292" s="2795"/>
      <c r="T292" s="2795"/>
      <c r="U292" s="2795"/>
      <c r="V292" s="2795"/>
      <c r="W292" s="2795"/>
      <c r="X292" s="2795"/>
      <c r="Y292" s="2795"/>
      <c r="Z292" s="2795"/>
      <c r="AA292" s="2795"/>
      <c r="AB292" s="2795"/>
      <c r="AC292" s="2795"/>
      <c r="AD292" s="2795"/>
      <c r="AE292" s="2795"/>
      <c r="AF292" s="2795"/>
      <c r="AG292" s="2795"/>
      <c r="AH292" s="635"/>
      <c r="AI292" s="635"/>
      <c r="AJ292" s="635"/>
      <c r="AK292" s="635"/>
      <c r="AL292" s="635"/>
      <c r="AM292" s="635"/>
      <c r="AN292" s="635"/>
      <c r="AO292" s="635"/>
      <c r="AP292" s="635"/>
      <c r="AQ292" s="635"/>
      <c r="AR292" s="635"/>
      <c r="AS292" s="635"/>
      <c r="AT292" s="635"/>
      <c r="AV292" s="16"/>
      <c r="AW292" s="16"/>
      <c r="AX292" s="16"/>
      <c r="AY292" s="16"/>
      <c r="BO292" s="635"/>
      <c r="BP292" s="635"/>
      <c r="BQ292" s="635"/>
      <c r="BV292"/>
      <c r="BW292"/>
      <c r="BX292"/>
    </row>
    <row r="293" spans="1:76" ht="18.5">
      <c r="A293" s="2909" t="s">
        <v>2954</v>
      </c>
      <c r="B293" s="2910"/>
      <c r="C293" s="2911"/>
      <c r="D293" s="3281"/>
      <c r="E293" s="2915"/>
      <c r="F293" s="2915"/>
      <c r="G293" s="2915"/>
      <c r="H293" s="2916"/>
      <c r="I293" s="2915"/>
      <c r="J293" s="2917"/>
      <c r="K293" s="2918"/>
      <c r="L293" s="2912"/>
      <c r="M293" s="2913"/>
      <c r="N293" s="2914"/>
      <c r="O293" s="2914"/>
      <c r="P293" s="2914"/>
      <c r="Q293" s="2914"/>
      <c r="R293" s="2914"/>
      <c r="S293" s="2914"/>
      <c r="T293" s="2914"/>
      <c r="U293" s="2914"/>
      <c r="V293" s="2914"/>
      <c r="W293" s="2914"/>
      <c r="X293" s="2914"/>
      <c r="Y293" s="2914"/>
      <c r="Z293" s="2914"/>
      <c r="AA293" s="2914"/>
      <c r="AB293" s="2914"/>
      <c r="AC293" s="2914"/>
      <c r="AD293" s="2914"/>
      <c r="AE293" s="2914"/>
      <c r="AF293" s="2914"/>
      <c r="AG293" s="2914"/>
      <c r="AH293" s="2916"/>
      <c r="AI293" s="2916"/>
      <c r="AJ293" s="2916"/>
      <c r="AK293" s="2916"/>
      <c r="AL293" s="2916"/>
      <c r="AM293" s="2916"/>
      <c r="AN293" s="2916"/>
      <c r="AO293" s="2916"/>
      <c r="AP293" s="2916"/>
      <c r="AQ293" s="2916"/>
      <c r="AR293" s="2916"/>
      <c r="AS293" s="2916"/>
      <c r="AT293" s="2799"/>
      <c r="AV293" s="16"/>
      <c r="AW293" s="16"/>
      <c r="AX293" s="16"/>
      <c r="AY293" s="16"/>
      <c r="BO293" s="2814"/>
      <c r="BP293" s="2816"/>
      <c r="BQ293" s="2799"/>
      <c r="BV293"/>
      <c r="BW293"/>
      <c r="BX293"/>
    </row>
    <row r="294" spans="1:76" ht="30" customHeight="1">
      <c r="A294" s="2889" t="s">
        <v>1328</v>
      </c>
      <c r="B294" s="2889" t="s">
        <v>1549</v>
      </c>
      <c r="C294" s="2878" t="s">
        <v>3126</v>
      </c>
      <c r="D294" s="3285" t="s">
        <v>914</v>
      </c>
      <c r="E294" s="2794" t="s">
        <v>288</v>
      </c>
      <c r="F294" s="2837" t="s">
        <v>3123</v>
      </c>
      <c r="G294" s="2826" t="s">
        <v>287</v>
      </c>
      <c r="H294" s="2827" t="s">
        <v>3097</v>
      </c>
      <c r="I294" s="161" t="s">
        <v>3124</v>
      </c>
      <c r="J294" s="2850" t="s">
        <v>3125</v>
      </c>
      <c r="K294" s="2833" t="s">
        <v>3136</v>
      </c>
      <c r="L294" s="635"/>
      <c r="M294" s="635"/>
      <c r="N294" s="635"/>
      <c r="O294" s="635"/>
      <c r="P294" s="635"/>
      <c r="Q294" s="635"/>
      <c r="R294" s="635"/>
      <c r="S294" s="635"/>
      <c r="T294" s="635"/>
      <c r="U294" s="635"/>
      <c r="V294" s="635"/>
      <c r="W294" s="635"/>
      <c r="X294" s="635"/>
      <c r="Y294" s="635"/>
      <c r="Z294" s="635"/>
      <c r="AA294" s="635"/>
      <c r="AB294" s="635"/>
      <c r="AC294" s="635"/>
      <c r="AD294" s="635"/>
      <c r="AE294" s="635"/>
      <c r="AF294" s="635"/>
      <c r="AG294" s="635"/>
      <c r="AH294" s="635"/>
      <c r="AI294" s="635"/>
      <c r="AJ294" s="635"/>
      <c r="AK294" s="635"/>
      <c r="AL294" s="635"/>
      <c r="AM294" s="635"/>
      <c r="AN294" s="635"/>
      <c r="AO294" s="635"/>
      <c r="AP294" s="635"/>
      <c r="AQ294" s="635"/>
      <c r="AR294" s="635"/>
      <c r="AS294" s="635"/>
      <c r="AT294" s="635"/>
      <c r="AU294" s="160"/>
      <c r="AV294" s="160"/>
      <c r="BD294" s="34"/>
      <c r="BO294" s="635"/>
      <c r="BP294" s="2938"/>
      <c r="BQ294" s="2939"/>
      <c r="BV294"/>
      <c r="BW294"/>
      <c r="BX294"/>
    </row>
    <row r="295" spans="1:76">
      <c r="A295" s="2544" t="s">
        <v>2190</v>
      </c>
      <c r="B295" s="2549" t="s">
        <v>1504</v>
      </c>
      <c r="C295" s="2542" t="s">
        <v>2191</v>
      </c>
      <c r="D295" s="3282">
        <f>SUMIFS(BCRR_REHAB!L:L,BCRR_REHAB!D:D,'Huella materiales (2)'!A295)</f>
        <v>0</v>
      </c>
      <c r="E295" s="1030">
        <f>'Datos_aux_materiales (2)'!M257</f>
        <v>3.0590999999999999</v>
      </c>
      <c r="F295" s="2836">
        <f>D295*E295</f>
        <v>0</v>
      </c>
      <c r="G295" s="2823">
        <f>'Datos_aux_materiales (2)'!R257</f>
        <v>116.69999999999999</v>
      </c>
      <c r="H295" s="2825">
        <f t="shared" ref="H295:H298" si="104">F295*G295</f>
        <v>0</v>
      </c>
      <c r="I295" s="2829">
        <f>H295/$AV$5*$AV$7</f>
        <v>0</v>
      </c>
      <c r="J295" s="2851">
        <f>I295/$AV$8</f>
        <v>0</v>
      </c>
      <c r="K295" s="2834">
        <f>F295*1.05</f>
        <v>0</v>
      </c>
      <c r="L295" s="635"/>
      <c r="M295" s="635"/>
      <c r="N295" s="635"/>
      <c r="O295" s="635"/>
      <c r="P295" s="635"/>
      <c r="Q295" s="635"/>
      <c r="R295" s="635"/>
      <c r="S295" s="635"/>
      <c r="T295" s="635"/>
      <c r="U295" s="635"/>
      <c r="V295" s="635"/>
      <c r="W295" s="635"/>
      <c r="X295" s="635"/>
      <c r="Y295" s="635"/>
      <c r="Z295" s="635"/>
      <c r="AA295" s="635"/>
      <c r="AB295" s="635"/>
      <c r="AC295" s="635"/>
      <c r="AD295" s="635"/>
      <c r="AE295" s="635"/>
      <c r="AF295" s="635"/>
      <c r="AG295" s="635"/>
      <c r="AH295" s="635"/>
      <c r="AI295" s="635"/>
      <c r="AJ295" s="635"/>
      <c r="AK295" s="635"/>
      <c r="AL295" s="635"/>
      <c r="AM295" s="635"/>
      <c r="AN295" s="635"/>
      <c r="AO295" s="635"/>
      <c r="AP295" s="635"/>
      <c r="AQ295" s="635"/>
      <c r="AR295" s="635"/>
      <c r="AS295" s="635"/>
      <c r="AT295" s="635"/>
      <c r="AU295" s="160"/>
      <c r="AV295" s="160"/>
      <c r="BD295" s="34"/>
      <c r="BJ295" s="16"/>
      <c r="BK295" s="16"/>
      <c r="BO295" s="635"/>
      <c r="BP295" s="635"/>
      <c r="BQ295" s="635"/>
      <c r="BV295"/>
      <c r="BW295"/>
      <c r="BX295"/>
    </row>
    <row r="296" spans="1:76">
      <c r="A296" s="2578" t="s">
        <v>2719</v>
      </c>
      <c r="B296" s="2578" t="s">
        <v>1507</v>
      </c>
      <c r="C296" s="2576" t="s">
        <v>2720</v>
      </c>
      <c r="D296" s="3282">
        <f>SUMIFS(BCRR_REHAB!L:L,BCRR_REHAB!D:D,'Huella materiales (2)'!A296)</f>
        <v>0</v>
      </c>
      <c r="E296" s="1030">
        <f>'Datos_aux_materiales (2)'!M258</f>
        <v>3.0590999999999999</v>
      </c>
      <c r="F296" s="2836">
        <f>D296*E296</f>
        <v>0</v>
      </c>
      <c r="G296" s="2823">
        <f>'Datos_aux_materiales (2)'!R258</f>
        <v>116.69999999999999</v>
      </c>
      <c r="H296" s="2825">
        <f t="shared" si="104"/>
        <v>0</v>
      </c>
      <c r="I296" s="2829">
        <f>H296/$AV$5*$AV$7</f>
        <v>0</v>
      </c>
      <c r="J296" s="2851">
        <f>I296/$AV$8</f>
        <v>0</v>
      </c>
      <c r="K296" s="2834">
        <f>F296*1.05</f>
        <v>0</v>
      </c>
      <c r="L296" s="635"/>
      <c r="M296" s="635"/>
      <c r="N296" s="635"/>
      <c r="O296" s="635"/>
      <c r="P296" s="635"/>
      <c r="Q296" s="635"/>
      <c r="R296" s="635"/>
      <c r="S296" s="635"/>
      <c r="T296" s="635"/>
      <c r="U296" s="635"/>
      <c r="V296" s="635"/>
      <c r="W296" s="635"/>
      <c r="X296" s="635"/>
      <c r="Y296" s="635"/>
      <c r="Z296" s="635"/>
      <c r="AA296" s="635"/>
      <c r="AB296" s="635"/>
      <c r="AC296" s="635"/>
      <c r="AD296" s="635"/>
      <c r="AE296" s="635"/>
      <c r="AF296" s="635"/>
      <c r="AG296" s="635"/>
      <c r="AH296" s="635"/>
      <c r="AI296" s="635"/>
      <c r="AJ296" s="635"/>
      <c r="AK296" s="635"/>
      <c r="AL296" s="635"/>
      <c r="AM296" s="635"/>
      <c r="AN296" s="635"/>
      <c r="AO296" s="635"/>
      <c r="AP296" s="635"/>
      <c r="AQ296" s="635"/>
      <c r="AR296" s="635"/>
      <c r="AS296" s="635"/>
      <c r="AT296" s="635"/>
      <c r="AU296" s="22"/>
      <c r="AV296" s="16"/>
      <c r="AW296" s="16"/>
      <c r="AX296" s="16"/>
      <c r="AY296" s="16"/>
      <c r="AZ296" s="22"/>
      <c r="BA296" s="22"/>
      <c r="BB296" s="22"/>
      <c r="BC296" s="22"/>
      <c r="BD296" s="22"/>
      <c r="BE296" s="22"/>
      <c r="BF296" s="22"/>
      <c r="BG296" s="22"/>
      <c r="BH296" s="22"/>
      <c r="BJ296" s="16"/>
      <c r="BK296" s="16"/>
      <c r="BO296" s="635"/>
      <c r="BP296" s="635"/>
      <c r="BQ296" s="635"/>
      <c r="BV296"/>
      <c r="BW296"/>
      <c r="BX296"/>
    </row>
    <row r="297" spans="1:76" s="22" customFormat="1">
      <c r="A297" s="2544" t="s">
        <v>1998</v>
      </c>
      <c r="B297" s="2549" t="s">
        <v>1517</v>
      </c>
      <c r="C297" s="2542" t="s">
        <v>1999</v>
      </c>
      <c r="D297" s="3282">
        <f>SUMIFS(BCRR_REHAB!L:L,BCRR_REHAB!D:D,'Huella materiales (2)'!A297)</f>
        <v>0</v>
      </c>
      <c r="E297" s="1030">
        <f>'Datos_aux_materiales (2)'!M259</f>
        <v>50</v>
      </c>
      <c r="F297" s="2836">
        <f>D297*E297</f>
        <v>0</v>
      </c>
      <c r="G297" s="2823">
        <f>'Datos_aux_materiales (2)'!R259</f>
        <v>116.69999999999999</v>
      </c>
      <c r="H297" s="2825">
        <f t="shared" si="104"/>
        <v>0</v>
      </c>
      <c r="I297" s="2829">
        <f>H297/$AV$5*$AV$7</f>
        <v>0</v>
      </c>
      <c r="J297" s="2851">
        <f>I297/$AV$8</f>
        <v>0</v>
      </c>
      <c r="K297" s="2834">
        <f>F297*1.05</f>
        <v>0</v>
      </c>
      <c r="L297" s="635"/>
      <c r="M297" s="635"/>
      <c r="N297" s="635"/>
      <c r="O297" s="635"/>
      <c r="P297" s="635"/>
      <c r="Q297" s="635"/>
      <c r="R297" s="635"/>
      <c r="S297" s="635"/>
      <c r="T297" s="635"/>
      <c r="U297" s="635"/>
      <c r="V297" s="635"/>
      <c r="W297" s="635"/>
      <c r="X297" s="635"/>
      <c r="Y297" s="635"/>
      <c r="Z297" s="635"/>
      <c r="AA297" s="635"/>
      <c r="AB297" s="635"/>
      <c r="AC297" s="635"/>
      <c r="AD297" s="635"/>
      <c r="AE297" s="635"/>
      <c r="AF297" s="635"/>
      <c r="AG297" s="635"/>
      <c r="AH297" s="635"/>
      <c r="AI297" s="635"/>
      <c r="AJ297" s="635"/>
      <c r="AK297" s="635"/>
      <c r="AL297" s="635"/>
      <c r="AM297" s="635"/>
      <c r="AN297" s="635"/>
      <c r="AO297" s="635"/>
      <c r="AP297" s="635"/>
      <c r="AQ297" s="635"/>
      <c r="AR297" s="635"/>
      <c r="AS297" s="635"/>
      <c r="AT297" s="635"/>
      <c r="BD297" s="16"/>
      <c r="BL297" s="16"/>
      <c r="BM297" s="16"/>
      <c r="BN297" s="16"/>
      <c r="BO297" s="635"/>
      <c r="BP297" s="635"/>
      <c r="BQ297" s="635"/>
      <c r="BR297" s="16"/>
      <c r="BS297" s="16"/>
      <c r="BT297" s="16"/>
      <c r="BU297" s="16"/>
    </row>
    <row r="298" spans="1:76" s="22" customFormat="1">
      <c r="A298" s="2544" t="s">
        <v>1143</v>
      </c>
      <c r="B298" s="2549" t="s">
        <v>1517</v>
      </c>
      <c r="C298" s="2542" t="s">
        <v>1895</v>
      </c>
      <c r="D298" s="3282">
        <f>SUMIFS(BCRR_REHAB!L:L,BCRR_REHAB!D:D,'Huella materiales (2)'!A298)</f>
        <v>0</v>
      </c>
      <c r="E298" s="1030">
        <f>'Datos_aux_materiales (2)'!M260</f>
        <v>15</v>
      </c>
      <c r="F298" s="2836">
        <f>D298*E298</f>
        <v>0</v>
      </c>
      <c r="G298" s="2823">
        <f>'Datos_aux_materiales (2)'!R260</f>
        <v>116.69999999999999</v>
      </c>
      <c r="H298" s="2825">
        <f t="shared" si="104"/>
        <v>0</v>
      </c>
      <c r="I298" s="2829">
        <f>H298/$AV$5*$AV$7</f>
        <v>0</v>
      </c>
      <c r="J298" s="2851">
        <f>I298/$AV$8</f>
        <v>0</v>
      </c>
      <c r="K298" s="2834">
        <f>F298*1.05</f>
        <v>0</v>
      </c>
      <c r="L298" s="635"/>
      <c r="M298" s="635"/>
      <c r="N298" s="635"/>
      <c r="O298" s="635"/>
      <c r="P298" s="635"/>
      <c r="Q298" s="635"/>
      <c r="R298" s="635"/>
      <c r="S298" s="635"/>
      <c r="T298" s="635"/>
      <c r="U298" s="635"/>
      <c r="V298" s="635"/>
      <c r="W298" s="635"/>
      <c r="X298" s="635"/>
      <c r="Y298" s="635"/>
      <c r="Z298" s="635"/>
      <c r="AA298" s="635"/>
      <c r="AB298" s="635"/>
      <c r="AC298" s="635"/>
      <c r="AD298" s="635"/>
      <c r="AE298" s="635"/>
      <c r="AF298" s="635"/>
      <c r="AG298" s="635"/>
      <c r="AH298" s="2799"/>
      <c r="AI298" s="2799"/>
      <c r="AJ298" s="2799"/>
      <c r="AK298" s="2799"/>
      <c r="AL298" s="2799"/>
      <c r="AM298" s="2799"/>
      <c r="AN298" s="2799"/>
      <c r="AO298" s="2799"/>
      <c r="AP298" s="2799"/>
      <c r="AQ298" s="2799"/>
      <c r="AR298" s="2799"/>
      <c r="AS298" s="2799"/>
      <c r="AT298" s="2799"/>
      <c r="AX298" s="16"/>
      <c r="AY298" s="16"/>
      <c r="AZ298" s="16"/>
      <c r="BA298" s="16"/>
      <c r="BB298" s="12" t="s">
        <v>623</v>
      </c>
      <c r="BJ298" s="16"/>
      <c r="BK298" s="16"/>
      <c r="BL298" s="16"/>
      <c r="BM298" s="16"/>
      <c r="BN298" s="16"/>
      <c r="BO298" s="635"/>
      <c r="BP298" s="635"/>
      <c r="BQ298" s="635"/>
      <c r="BR298" s="16"/>
      <c r="BS298" s="16"/>
      <c r="BT298" s="16"/>
      <c r="BU298" s="16"/>
    </row>
    <row r="299" spans="1:76" s="22" customFormat="1" ht="18.5">
      <c r="A299" s="2900"/>
      <c r="B299" s="2881"/>
      <c r="C299" s="2811" t="s">
        <v>3106</v>
      </c>
      <c r="D299" s="3284"/>
      <c r="E299" s="2795"/>
      <c r="F299" s="2843">
        <f>SUM(F295:F298)</f>
        <v>0</v>
      </c>
      <c r="G299" s="2844"/>
      <c r="H299" s="2842">
        <f>SUM(H295:H298)</f>
        <v>0</v>
      </c>
      <c r="I299" s="2830">
        <f>H299/$AV$5*$AV$7</f>
        <v>0</v>
      </c>
      <c r="J299" s="2854">
        <f>I299/$AV$8</f>
        <v>0</v>
      </c>
      <c r="K299" s="2835">
        <f>SUM(K295:K298)</f>
        <v>0</v>
      </c>
      <c r="L299" s="2795"/>
      <c r="M299" s="2795"/>
      <c r="N299" s="2795"/>
      <c r="O299" s="2795"/>
      <c r="P299" s="2795"/>
      <c r="Q299" s="2795"/>
      <c r="R299" s="2795"/>
      <c r="S299" s="2795"/>
      <c r="T299" s="2795"/>
      <c r="U299" s="2795"/>
      <c r="V299" s="2795"/>
      <c r="W299" s="2795"/>
      <c r="X299" s="2795"/>
      <c r="Y299" s="2795"/>
      <c r="Z299" s="2795"/>
      <c r="AA299" s="2795"/>
      <c r="AB299" s="2795"/>
      <c r="AC299" s="2795"/>
      <c r="AD299" s="2795"/>
      <c r="AE299" s="2795"/>
      <c r="AF299" s="2795"/>
      <c r="AG299" s="2795"/>
      <c r="AH299" s="635"/>
      <c r="AI299" s="635"/>
      <c r="AJ299" s="635"/>
      <c r="AK299" s="635"/>
      <c r="AL299" s="635"/>
      <c r="AM299" s="635"/>
      <c r="AN299" s="635"/>
      <c r="AO299" s="635"/>
      <c r="AP299" s="635"/>
      <c r="AQ299" s="635"/>
      <c r="AR299" s="635"/>
      <c r="AS299" s="635"/>
      <c r="AT299" s="635"/>
      <c r="AU299" s="167"/>
      <c r="AV299" s="167"/>
      <c r="AW299" s="16"/>
      <c r="AX299" s="16"/>
      <c r="AY299" s="16"/>
      <c r="AZ299" s="16"/>
      <c r="BA299" s="16"/>
      <c r="BB299" s="16"/>
      <c r="BC299" s="16"/>
      <c r="BD299" s="34"/>
      <c r="BJ299" s="16"/>
      <c r="BK299" s="16"/>
      <c r="BL299" s="16"/>
      <c r="BM299" s="16"/>
      <c r="BN299" s="16"/>
      <c r="BO299" s="635"/>
      <c r="BP299" s="635"/>
      <c r="BQ299" s="635"/>
      <c r="BR299" s="16"/>
      <c r="BS299" s="16"/>
      <c r="BT299" s="16"/>
      <c r="BU299" s="16"/>
    </row>
    <row r="300" spans="1:76" ht="18.5">
      <c r="A300" s="2909" t="s">
        <v>2952</v>
      </c>
      <c r="B300" s="2910"/>
      <c r="C300" s="2911"/>
      <c r="D300" s="3281"/>
      <c r="E300" s="2915"/>
      <c r="F300" s="2915"/>
      <c r="G300" s="2915"/>
      <c r="H300" s="2916"/>
      <c r="I300" s="2915"/>
      <c r="J300" s="2917"/>
      <c r="K300" s="2918"/>
      <c r="L300" s="2912"/>
      <c r="M300" s="2913"/>
      <c r="N300" s="2914"/>
      <c r="O300" s="2914"/>
      <c r="P300" s="2914"/>
      <c r="Q300" s="2914"/>
      <c r="R300" s="2914"/>
      <c r="S300" s="2914"/>
      <c r="T300" s="2914"/>
      <c r="U300" s="2914"/>
      <c r="V300" s="2914"/>
      <c r="W300" s="2914"/>
      <c r="X300" s="2914"/>
      <c r="Y300" s="2914"/>
      <c r="Z300" s="2914"/>
      <c r="AA300" s="2914"/>
      <c r="AB300" s="2914"/>
      <c r="AC300" s="2914"/>
      <c r="AD300" s="2914"/>
      <c r="AE300" s="2914"/>
      <c r="AF300" s="2914"/>
      <c r="AG300" s="2914"/>
      <c r="AH300" s="2916"/>
      <c r="AI300" s="2916"/>
      <c r="AJ300" s="2916"/>
      <c r="AK300" s="2916"/>
      <c r="AL300" s="2916"/>
      <c r="AM300" s="2916"/>
      <c r="AN300" s="2916"/>
      <c r="AO300" s="2916"/>
      <c r="AP300" s="2916"/>
      <c r="AQ300" s="2916"/>
      <c r="AR300" s="2916"/>
      <c r="AS300" s="2916"/>
      <c r="AT300" s="2799"/>
      <c r="AV300" s="16"/>
      <c r="AW300" s="16"/>
      <c r="AX300" s="16"/>
      <c r="AY300" s="16"/>
      <c r="BI300" s="22"/>
      <c r="BJ300" s="16"/>
      <c r="BK300" s="16"/>
      <c r="BO300" s="2814"/>
      <c r="BP300" s="2816"/>
      <c r="BQ300" s="2799"/>
      <c r="BV300"/>
      <c r="BW300"/>
      <c r="BX300"/>
    </row>
    <row r="301" spans="1:76" ht="36.75" customHeight="1">
      <c r="A301" s="2889" t="s">
        <v>1328</v>
      </c>
      <c r="B301" s="2889" t="s">
        <v>1549</v>
      </c>
      <c r="C301" s="2878" t="s">
        <v>3126</v>
      </c>
      <c r="D301" s="3285" t="s">
        <v>914</v>
      </c>
      <c r="E301" s="2794" t="s">
        <v>288</v>
      </c>
      <c r="F301" s="2837" t="s">
        <v>3123</v>
      </c>
      <c r="G301" s="2826" t="s">
        <v>287</v>
      </c>
      <c r="H301" s="2827" t="s">
        <v>3097</v>
      </c>
      <c r="I301" s="161" t="s">
        <v>3124</v>
      </c>
      <c r="J301" s="2850" t="s">
        <v>3125</v>
      </c>
      <c r="K301" s="2833" t="s">
        <v>3136</v>
      </c>
      <c r="L301" s="635"/>
      <c r="M301" s="635"/>
      <c r="N301" s="635"/>
      <c r="O301" s="635"/>
      <c r="P301" s="635"/>
      <c r="Q301" s="635"/>
      <c r="R301" s="635"/>
      <c r="S301" s="635"/>
      <c r="T301" s="635"/>
      <c r="U301" s="635"/>
      <c r="V301" s="635"/>
      <c r="W301" s="635"/>
      <c r="X301" s="635"/>
      <c r="Y301" s="635"/>
      <c r="Z301" s="635"/>
      <c r="AA301" s="635"/>
      <c r="AB301" s="635"/>
      <c r="AC301" s="635"/>
      <c r="AD301" s="635"/>
      <c r="AE301" s="635"/>
      <c r="AF301" s="635"/>
      <c r="AG301" s="635"/>
      <c r="AH301" s="2765"/>
      <c r="AI301" s="2765"/>
      <c r="AJ301" s="2765"/>
      <c r="AK301" s="2765"/>
      <c r="AL301" s="2765"/>
      <c r="AM301" s="2765"/>
      <c r="AN301" s="2765"/>
      <c r="AO301" s="2765"/>
      <c r="AP301" s="2765"/>
      <c r="AQ301" s="2765"/>
      <c r="AR301" s="2765"/>
      <c r="AS301" s="2765"/>
      <c r="AT301" s="2765"/>
      <c r="AW301" s="41"/>
      <c r="AX301" s="41"/>
      <c r="AY301" s="41"/>
      <c r="AZ301" s="41"/>
      <c r="BA301" s="41"/>
      <c r="BB301" s="41"/>
      <c r="BC301" s="41"/>
      <c r="BD301" s="41"/>
      <c r="BE301" s="41"/>
      <c r="BF301" s="41"/>
      <c r="BG301" s="41"/>
      <c r="BH301" s="41"/>
      <c r="BI301" s="32"/>
      <c r="BJ301" s="32"/>
      <c r="BK301" s="28"/>
      <c r="BL301" s="105"/>
      <c r="BM301" s="34"/>
      <c r="BN301" s="34"/>
      <c r="BO301" s="635"/>
      <c r="BP301" s="2938"/>
      <c r="BQ301" s="2939"/>
      <c r="BR301" s="34"/>
      <c r="BS301" s="34"/>
      <c r="BT301" s="34"/>
      <c r="BV301"/>
      <c r="BW301"/>
      <c r="BX301"/>
    </row>
    <row r="302" spans="1:76">
      <c r="A302" s="2549"/>
      <c r="B302" s="2896"/>
      <c r="C302" s="2573"/>
      <c r="D302" s="3282">
        <f>SUMIFS(BCRR_REHAB!L:L,BCRR_REHAB!D:D,'Huella materiales (2)'!A302)</f>
        <v>0</v>
      </c>
      <c r="E302" s="1030">
        <f>'Datos_aux_materiales (2)'!M262</f>
        <v>0</v>
      </c>
      <c r="F302" s="2836">
        <f>D302*E302</f>
        <v>0</v>
      </c>
      <c r="G302" s="2823">
        <f>'Datos_aux_materiales (2)'!R262</f>
        <v>0</v>
      </c>
      <c r="H302" s="2825">
        <f t="shared" ref="H302" si="105">F302*G302</f>
        <v>0</v>
      </c>
      <c r="I302" s="2829">
        <f>H302/$AV$5*$AV$7</f>
        <v>0</v>
      </c>
      <c r="J302" s="2851">
        <f>I302/$AV$8</f>
        <v>0</v>
      </c>
      <c r="K302" s="2834">
        <f>F302*1.05</f>
        <v>0</v>
      </c>
      <c r="L302" s="1663"/>
      <c r="M302" s="1663"/>
      <c r="N302" s="1663"/>
      <c r="O302" s="1663"/>
      <c r="P302" s="1663"/>
      <c r="Q302" s="1663"/>
      <c r="R302" s="1663"/>
      <c r="S302" s="1663"/>
      <c r="T302" s="1663"/>
      <c r="U302" s="1663"/>
      <c r="V302" s="1663"/>
      <c r="W302" s="1663"/>
      <c r="X302" s="105"/>
      <c r="Y302" s="105"/>
      <c r="Z302" s="105"/>
      <c r="AA302" s="105"/>
      <c r="AB302" s="105"/>
      <c r="AC302" s="105"/>
      <c r="AD302" s="105"/>
      <c r="AE302" s="105"/>
      <c r="AF302" s="105"/>
      <c r="AG302" s="105"/>
      <c r="AH302" s="119"/>
      <c r="AI302" s="16"/>
      <c r="AJ302" s="16"/>
      <c r="AK302" s="16"/>
      <c r="AL302" s="16"/>
      <c r="AM302" s="16"/>
      <c r="AN302" s="16"/>
      <c r="AO302" s="16"/>
      <c r="AP302" s="16"/>
      <c r="AQ302" s="16"/>
      <c r="AR302" s="16"/>
      <c r="AS302" s="16"/>
      <c r="AW302" s="41"/>
      <c r="AX302" s="41"/>
      <c r="AY302" s="41"/>
      <c r="AZ302" s="41"/>
      <c r="BA302" s="41"/>
      <c r="BB302" s="41"/>
      <c r="BC302" s="41"/>
      <c r="BD302" s="41"/>
      <c r="BE302" s="41"/>
      <c r="BF302" s="41"/>
      <c r="BG302" s="41"/>
      <c r="BH302" s="41"/>
      <c r="BI302" s="32"/>
      <c r="BJ302" s="32"/>
      <c r="BK302" s="28"/>
      <c r="BL302" s="105"/>
      <c r="BM302" s="34"/>
      <c r="BN302" s="34"/>
      <c r="BO302" s="105"/>
      <c r="BP302" s="635"/>
      <c r="BQ302" s="635"/>
      <c r="BR302" s="34"/>
      <c r="BS302" s="34"/>
      <c r="BT302" s="34"/>
      <c r="BV302"/>
      <c r="BW302"/>
      <c r="BX302"/>
    </row>
    <row r="303" spans="1:76" ht="18.5">
      <c r="A303" s="2900"/>
      <c r="B303" s="2881"/>
      <c r="C303" s="2811" t="s">
        <v>3105</v>
      </c>
      <c r="D303" s="3284"/>
      <c r="E303" s="2795"/>
      <c r="F303" s="2843">
        <f>SUM(F302)</f>
        <v>0</v>
      </c>
      <c r="G303" s="2844"/>
      <c r="H303" s="2842">
        <f>SUM(H302)</f>
        <v>0</v>
      </c>
      <c r="I303" s="2830">
        <f>H303/$AV$5*$AV$7</f>
        <v>0</v>
      </c>
      <c r="J303" s="2854">
        <f>I303/$AV$8</f>
        <v>0</v>
      </c>
      <c r="K303" s="2835">
        <f>SUM(K302)</f>
        <v>0</v>
      </c>
      <c r="L303" s="2795"/>
      <c r="M303" s="2795"/>
      <c r="N303" s="2795"/>
      <c r="O303" s="2795"/>
      <c r="P303" s="2795"/>
      <c r="Q303" s="2795"/>
      <c r="R303" s="2795"/>
      <c r="S303" s="2795"/>
      <c r="T303" s="2795"/>
      <c r="U303" s="2795"/>
      <c r="V303" s="2795"/>
      <c r="W303" s="2795"/>
      <c r="X303" s="2795"/>
      <c r="Y303" s="2795"/>
      <c r="Z303" s="2795"/>
      <c r="AA303" s="2795"/>
      <c r="AB303" s="2795"/>
      <c r="AC303" s="2795"/>
      <c r="AD303" s="2795"/>
      <c r="AE303" s="2795"/>
      <c r="AF303" s="2795"/>
      <c r="AG303" s="2795"/>
      <c r="AH303" s="635"/>
      <c r="AI303" s="635"/>
      <c r="AJ303" s="635"/>
      <c r="AK303" s="635"/>
      <c r="AL303" s="635"/>
      <c r="AM303" s="635"/>
      <c r="AN303" s="635"/>
      <c r="AO303" s="635"/>
      <c r="AP303" s="635"/>
      <c r="AQ303" s="635"/>
      <c r="AR303" s="635"/>
      <c r="AS303" s="635"/>
      <c r="AT303" s="635"/>
      <c r="AW303" s="40"/>
      <c r="AX303" s="40"/>
      <c r="AY303" s="40"/>
      <c r="AZ303" s="40"/>
      <c r="BA303" s="40"/>
      <c r="BB303" s="40"/>
      <c r="BC303" s="40"/>
      <c r="BD303" s="40"/>
      <c r="BE303" s="40"/>
      <c r="BF303" s="40"/>
      <c r="BG303" s="40"/>
      <c r="BH303" s="40"/>
      <c r="BI303" s="28"/>
      <c r="BJ303" s="28"/>
      <c r="BK303" s="28"/>
      <c r="BL303" s="105"/>
      <c r="BM303" s="105"/>
      <c r="BN303" s="105"/>
      <c r="BO303" s="635"/>
      <c r="BP303" s="635"/>
      <c r="BQ303" s="635"/>
      <c r="BR303" s="105"/>
      <c r="BS303" s="105"/>
      <c r="BT303" s="105"/>
      <c r="BV303"/>
      <c r="BW303"/>
      <c r="BX303"/>
    </row>
    <row r="304" spans="1:76" ht="18.5">
      <c r="A304" s="2909" t="s">
        <v>2951</v>
      </c>
      <c r="B304" s="2910"/>
      <c r="C304" s="2911"/>
      <c r="D304" s="3281"/>
      <c r="E304" s="2915"/>
      <c r="F304" s="2915"/>
      <c r="G304" s="2915"/>
      <c r="H304" s="2916"/>
      <c r="I304" s="2915"/>
      <c r="J304" s="2917"/>
      <c r="K304" s="2918"/>
      <c r="L304" s="2912"/>
      <c r="M304" s="2913"/>
      <c r="N304" s="2914"/>
      <c r="O304" s="2914"/>
      <c r="P304" s="2914"/>
      <c r="Q304" s="2914"/>
      <c r="R304" s="2914"/>
      <c r="S304" s="2914"/>
      <c r="T304" s="2914"/>
      <c r="U304" s="2914"/>
      <c r="V304" s="2914"/>
      <c r="W304" s="2914"/>
      <c r="X304" s="2914"/>
      <c r="Y304" s="2914"/>
      <c r="Z304" s="2914"/>
      <c r="AA304" s="2914"/>
      <c r="AB304" s="2914"/>
      <c r="AC304" s="2914"/>
      <c r="AD304" s="2914"/>
      <c r="AE304" s="2914"/>
      <c r="AF304" s="2914"/>
      <c r="AG304" s="2914"/>
      <c r="AH304" s="2916"/>
      <c r="AI304" s="2916"/>
      <c r="AJ304" s="2916"/>
      <c r="AK304" s="2916"/>
      <c r="AL304" s="2916"/>
      <c r="AM304" s="2916"/>
      <c r="AN304" s="2916"/>
      <c r="AO304" s="2916"/>
      <c r="AP304" s="2916"/>
      <c r="AQ304" s="2916"/>
      <c r="AR304" s="2916"/>
      <c r="AS304" s="2916"/>
      <c r="AT304" s="2799"/>
      <c r="AW304" s="40"/>
      <c r="AX304" s="40"/>
      <c r="AY304" s="40"/>
      <c r="AZ304" s="40"/>
      <c r="BA304" s="40"/>
      <c r="BB304" s="40"/>
      <c r="BC304" s="40"/>
      <c r="BD304" s="40"/>
      <c r="BE304" s="40"/>
      <c r="BF304" s="40"/>
      <c r="BG304" s="40"/>
      <c r="BH304" s="40"/>
      <c r="BI304" s="28"/>
      <c r="BJ304" s="28"/>
      <c r="BK304" s="28"/>
      <c r="BL304" s="105"/>
      <c r="BM304" s="105"/>
      <c r="BN304" s="105"/>
      <c r="BO304" s="2814"/>
      <c r="BP304" s="2816"/>
      <c r="BQ304" s="2799"/>
      <c r="BR304" s="105"/>
      <c r="BS304" s="105"/>
      <c r="BT304" s="105"/>
      <c r="BV304"/>
      <c r="BW304"/>
      <c r="BX304"/>
    </row>
    <row r="305" spans="1:76" ht="40.5" customHeight="1">
      <c r="A305" s="2889" t="s">
        <v>1328</v>
      </c>
      <c r="B305" s="2889" t="s">
        <v>1549</v>
      </c>
      <c r="C305" s="2878" t="s">
        <v>3126</v>
      </c>
      <c r="D305" s="3285" t="s">
        <v>914</v>
      </c>
      <c r="E305" s="2794" t="s">
        <v>288</v>
      </c>
      <c r="F305" s="2837" t="s">
        <v>3123</v>
      </c>
      <c r="G305" s="2826" t="s">
        <v>287</v>
      </c>
      <c r="H305" s="2827" t="s">
        <v>3097</v>
      </c>
      <c r="I305" s="161" t="s">
        <v>3124</v>
      </c>
      <c r="J305" s="2850" t="s">
        <v>3125</v>
      </c>
      <c r="K305" s="2833" t="s">
        <v>3136</v>
      </c>
      <c r="L305" s="1663"/>
      <c r="M305" s="1663"/>
      <c r="N305" s="1663"/>
      <c r="O305" s="1663"/>
      <c r="P305" s="1663"/>
      <c r="Q305" s="1663"/>
      <c r="R305" s="1663"/>
      <c r="S305" s="1663"/>
      <c r="T305" s="1663"/>
      <c r="U305" s="1663"/>
      <c r="V305" s="1663"/>
      <c r="W305" s="1663"/>
      <c r="X305" s="105"/>
      <c r="Y305" s="105"/>
      <c r="Z305" s="105"/>
      <c r="AA305" s="105"/>
      <c r="AB305" s="105"/>
      <c r="AC305" s="105"/>
      <c r="AD305" s="105"/>
      <c r="AE305" s="105"/>
      <c r="AF305" s="105"/>
      <c r="AG305" s="105"/>
      <c r="AH305" s="119"/>
      <c r="AI305" s="16"/>
      <c r="AJ305" s="16"/>
      <c r="AK305" s="16"/>
      <c r="AL305" s="16"/>
      <c r="AM305" s="16"/>
      <c r="AN305" s="16"/>
      <c r="AO305" s="16"/>
      <c r="AP305" s="16"/>
      <c r="AQ305" s="16"/>
      <c r="AR305" s="16"/>
      <c r="AS305" s="16"/>
      <c r="AW305" s="40"/>
      <c r="AX305" s="40"/>
      <c r="AY305" s="40"/>
      <c r="AZ305" s="40"/>
      <c r="BA305" s="40"/>
      <c r="BB305" s="40"/>
      <c r="BC305" s="40"/>
      <c r="BD305" s="40"/>
      <c r="BE305" s="40"/>
      <c r="BF305" s="40"/>
      <c r="BG305" s="40"/>
      <c r="BH305" s="40"/>
      <c r="BI305" s="28"/>
      <c r="BJ305" s="28"/>
      <c r="BK305" s="28"/>
      <c r="BL305" s="105"/>
      <c r="BM305" s="105"/>
      <c r="BN305" s="105"/>
      <c r="BO305" s="105"/>
      <c r="BP305" s="2938"/>
      <c r="BQ305" s="2939"/>
      <c r="BR305" s="105"/>
      <c r="BS305" s="105"/>
      <c r="BT305" s="105"/>
      <c r="BV305"/>
      <c r="BW305"/>
      <c r="BX305"/>
    </row>
    <row r="306" spans="1:76">
      <c r="A306" s="2549"/>
      <c r="B306" s="2896"/>
      <c r="C306" s="2573"/>
      <c r="D306" s="3282">
        <f>SUMIFS(BCRR_REHAB!L:L,BCRR_REHAB!D:D,'Huella materiales (2)'!A306)</f>
        <v>0</v>
      </c>
      <c r="E306" s="1030">
        <f>'Datos_aux_materiales (2)'!M264</f>
        <v>0</v>
      </c>
      <c r="F306" s="2836">
        <f>D306*E306</f>
        <v>0</v>
      </c>
      <c r="G306" s="2823">
        <f>'Datos_aux_materiales (2)'!R264</f>
        <v>0</v>
      </c>
      <c r="H306" s="2825">
        <f t="shared" ref="H306" si="106">F306*G306</f>
        <v>0</v>
      </c>
      <c r="I306" s="2829">
        <f>H306/$AV$5*$AV$7</f>
        <v>0</v>
      </c>
      <c r="J306" s="2851">
        <f>I306/$AV$8</f>
        <v>0</v>
      </c>
      <c r="K306" s="2834">
        <f>F306*1.05</f>
        <v>0</v>
      </c>
      <c r="L306" s="1663"/>
      <c r="M306" s="1663"/>
      <c r="N306" s="1663"/>
      <c r="O306" s="1663"/>
      <c r="P306" s="1663"/>
      <c r="Q306" s="1663"/>
      <c r="R306" s="1663"/>
      <c r="S306" s="1663"/>
      <c r="T306" s="1663"/>
      <c r="U306" s="1663"/>
      <c r="V306" s="1663"/>
      <c r="W306" s="1663"/>
      <c r="X306" s="105"/>
      <c r="Y306" s="105"/>
      <c r="Z306" s="105"/>
      <c r="AA306" s="105"/>
      <c r="AB306" s="105"/>
      <c r="AC306" s="105"/>
      <c r="AD306" s="105"/>
      <c r="AE306" s="105"/>
      <c r="AF306" s="105"/>
      <c r="AG306" s="105"/>
      <c r="AH306" s="119"/>
      <c r="AI306" s="16"/>
      <c r="AJ306" s="16"/>
      <c r="AK306" s="16"/>
      <c r="AL306" s="16"/>
      <c r="AM306" s="16"/>
      <c r="AN306" s="16"/>
      <c r="AO306" s="16"/>
      <c r="AP306" s="16"/>
      <c r="AQ306" s="16"/>
      <c r="AR306" s="16"/>
      <c r="AS306" s="16"/>
      <c r="BK306" s="28"/>
      <c r="BL306" s="105"/>
      <c r="BO306" s="105"/>
      <c r="BP306" s="635"/>
      <c r="BQ306" s="635"/>
      <c r="BV306"/>
      <c r="BW306"/>
      <c r="BX306"/>
    </row>
    <row r="307" spans="1:76" ht="18.5">
      <c r="A307" s="2900"/>
      <c r="B307" s="2881"/>
      <c r="C307" s="2811" t="s">
        <v>3104</v>
      </c>
      <c r="D307" s="3284"/>
      <c r="E307" s="2795"/>
      <c r="F307" s="2843">
        <f>SUM(F306)</f>
        <v>0</v>
      </c>
      <c r="G307" s="2844"/>
      <c r="H307" s="2842">
        <f>SUM(H306)</f>
        <v>0</v>
      </c>
      <c r="I307" s="2830">
        <f>H307/$AV$5*$AV$7</f>
        <v>0</v>
      </c>
      <c r="J307" s="2854">
        <f>I307/$AV$8</f>
        <v>0</v>
      </c>
      <c r="K307" s="2835">
        <f>SUM(K306)</f>
        <v>0</v>
      </c>
      <c r="L307" s="2795"/>
      <c r="M307" s="2795"/>
      <c r="N307" s="2795"/>
      <c r="O307" s="2795"/>
      <c r="P307" s="2795"/>
      <c r="Q307" s="2795"/>
      <c r="R307" s="2795"/>
      <c r="S307" s="2795"/>
      <c r="T307" s="2795"/>
      <c r="U307" s="2795"/>
      <c r="V307" s="2795"/>
      <c r="W307" s="2795"/>
      <c r="X307" s="2795"/>
      <c r="Y307" s="2795"/>
      <c r="Z307" s="2795"/>
      <c r="AA307" s="2795"/>
      <c r="AB307" s="2795"/>
      <c r="AC307" s="2795"/>
      <c r="AD307" s="2795"/>
      <c r="AE307" s="2795"/>
      <c r="AF307" s="2795"/>
      <c r="AG307" s="2795"/>
      <c r="AH307" s="635"/>
      <c r="AI307" s="635"/>
      <c r="AJ307" s="635"/>
      <c r="AK307" s="635"/>
      <c r="AL307" s="635"/>
      <c r="AM307" s="635"/>
      <c r="AN307" s="635"/>
      <c r="AO307" s="635"/>
      <c r="AP307" s="635"/>
      <c r="AQ307" s="635"/>
      <c r="AR307" s="635"/>
      <c r="AS307" s="635"/>
      <c r="AT307" s="635"/>
      <c r="BK307" s="28"/>
      <c r="BL307" s="105"/>
      <c r="BO307" s="635"/>
      <c r="BP307" s="635"/>
      <c r="BQ307" s="635"/>
      <c r="BV307"/>
      <c r="BW307"/>
      <c r="BX307"/>
    </row>
    <row r="308" spans="1:76" ht="18.5">
      <c r="A308" s="2909" t="s">
        <v>232</v>
      </c>
      <c r="B308" s="2910"/>
      <c r="C308" s="2911"/>
      <c r="D308" s="3281"/>
      <c r="E308" s="2915"/>
      <c r="F308" s="2915"/>
      <c r="G308" s="2915"/>
      <c r="H308" s="2916"/>
      <c r="I308" s="2915"/>
      <c r="J308" s="2917"/>
      <c r="K308" s="2918"/>
      <c r="L308" s="2912"/>
      <c r="M308" s="2913"/>
      <c r="N308" s="2914"/>
      <c r="O308" s="2914"/>
      <c r="P308" s="2914"/>
      <c r="Q308" s="2914"/>
      <c r="R308" s="2914"/>
      <c r="S308" s="2914"/>
      <c r="T308" s="2914"/>
      <c r="U308" s="2914"/>
      <c r="V308" s="2914"/>
      <c r="W308" s="2914"/>
      <c r="X308" s="2914"/>
      <c r="Y308" s="2914"/>
      <c r="Z308" s="2914"/>
      <c r="AA308" s="2914"/>
      <c r="AB308" s="2914"/>
      <c r="AC308" s="2914"/>
      <c r="AD308" s="2914"/>
      <c r="AE308" s="2914"/>
      <c r="AF308" s="2914"/>
      <c r="AG308" s="2914"/>
      <c r="AH308" s="2916"/>
      <c r="AI308" s="2916"/>
      <c r="AJ308" s="2916"/>
      <c r="AK308" s="2916"/>
      <c r="AL308" s="2916"/>
      <c r="AM308" s="2916"/>
      <c r="AN308" s="2916"/>
      <c r="AO308" s="2916"/>
      <c r="AP308" s="2916"/>
      <c r="AQ308" s="2916"/>
      <c r="AR308" s="2916"/>
      <c r="AS308" s="2916"/>
      <c r="AT308" s="2799"/>
      <c r="BK308" s="28"/>
      <c r="BL308" s="105"/>
      <c r="BO308" s="2814"/>
      <c r="BP308" s="2816"/>
      <c r="BQ308" s="2799"/>
      <c r="BV308"/>
      <c r="BW308"/>
      <c r="BX308"/>
    </row>
    <row r="309" spans="1:76" ht="42.75" customHeight="1">
      <c r="A309" s="2889" t="s">
        <v>1328</v>
      </c>
      <c r="B309" s="2889" t="s">
        <v>1549</v>
      </c>
      <c r="C309" s="2878" t="s">
        <v>3126</v>
      </c>
      <c r="D309" s="3285" t="s">
        <v>914</v>
      </c>
      <c r="E309" s="2794" t="s">
        <v>288</v>
      </c>
      <c r="F309" s="2837" t="s">
        <v>3123</v>
      </c>
      <c r="G309" s="2826" t="s">
        <v>287</v>
      </c>
      <c r="H309" s="2827" t="s">
        <v>3097</v>
      </c>
      <c r="I309" s="161" t="s">
        <v>3124</v>
      </c>
      <c r="J309" s="2850" t="s">
        <v>3125</v>
      </c>
      <c r="K309" s="2833" t="s">
        <v>3136</v>
      </c>
      <c r="L309" s="635"/>
      <c r="M309" s="635"/>
      <c r="N309" s="635"/>
      <c r="O309" s="635"/>
      <c r="P309" s="635"/>
      <c r="Q309" s="635"/>
      <c r="R309" s="635"/>
      <c r="S309" s="635"/>
      <c r="T309" s="635"/>
      <c r="U309" s="635"/>
      <c r="V309" s="635"/>
      <c r="W309" s="635"/>
      <c r="X309" s="635"/>
      <c r="Y309" s="635"/>
      <c r="Z309" s="635"/>
      <c r="AA309" s="635"/>
      <c r="AB309" s="635"/>
      <c r="AC309" s="635"/>
      <c r="AD309" s="635"/>
      <c r="AE309" s="635"/>
      <c r="AF309" s="635"/>
      <c r="AG309" s="635"/>
      <c r="AH309" s="635"/>
      <c r="AI309" s="635"/>
      <c r="AJ309" s="635"/>
      <c r="AK309" s="635"/>
      <c r="AL309" s="635"/>
      <c r="AM309" s="635"/>
      <c r="AN309" s="635"/>
      <c r="AO309" s="635"/>
      <c r="AP309" s="635"/>
      <c r="AQ309" s="635"/>
      <c r="AR309" s="635"/>
      <c r="AS309" s="635"/>
      <c r="AT309" s="635"/>
      <c r="BK309" s="28"/>
      <c r="BL309" s="105"/>
      <c r="BO309" s="635"/>
      <c r="BP309" s="2938"/>
      <c r="BQ309" s="2939"/>
      <c r="BV309"/>
      <c r="BW309"/>
      <c r="BX309"/>
    </row>
    <row r="310" spans="1:76">
      <c r="A310" s="2523" t="s">
        <v>1903</v>
      </c>
      <c r="B310" s="2549" t="s">
        <v>1507</v>
      </c>
      <c r="C310" s="2542" t="s">
        <v>3001</v>
      </c>
      <c r="D310" s="3282">
        <f>SUMIFS(BCRR_REHAB!L:L,BCRR_REHAB!D:D,'Huella materiales (2)'!A310)</f>
        <v>0</v>
      </c>
      <c r="E310" s="1030">
        <f>'Datos_aux_materiales (2)'!M266</f>
        <v>0.152</v>
      </c>
      <c r="F310" s="2836">
        <f t="shared" ref="F310:F321" si="107">D310*E310</f>
        <v>0</v>
      </c>
      <c r="G310" s="2823">
        <f>'Datos_aux_materiales (2)'!R266</f>
        <v>46.2</v>
      </c>
      <c r="H310" s="2825">
        <f t="shared" ref="H310:H321" si="108">F310*G310</f>
        <v>0</v>
      </c>
      <c r="I310" s="2829">
        <f t="shared" ref="I310:I322" si="109">H310/$AV$5*$AV$7</f>
        <v>0</v>
      </c>
      <c r="J310" s="2851">
        <f t="shared" ref="J310:J322" si="110">I310/$AV$8</f>
        <v>0</v>
      </c>
      <c r="K310" s="2834">
        <f t="shared" ref="K310:K321" si="111">F310*1.05</f>
        <v>0</v>
      </c>
      <c r="L310" s="1663"/>
      <c r="M310" s="1663"/>
      <c r="N310" s="1663"/>
      <c r="O310" s="1663"/>
      <c r="P310" s="1663"/>
      <c r="Q310" s="1663"/>
      <c r="R310" s="1663"/>
      <c r="S310" s="1663"/>
      <c r="T310" s="1663"/>
      <c r="U310" s="1663"/>
      <c r="V310" s="1663"/>
      <c r="W310" s="1663"/>
      <c r="X310" s="105"/>
      <c r="Y310" s="105"/>
      <c r="Z310" s="105"/>
      <c r="AA310" s="105"/>
      <c r="AB310" s="105"/>
      <c r="AC310" s="105"/>
      <c r="AD310" s="105"/>
      <c r="AE310" s="105"/>
      <c r="AF310" s="105"/>
      <c r="AG310" s="105"/>
      <c r="AH310" s="119"/>
      <c r="AI310" s="16"/>
      <c r="AJ310" s="16"/>
      <c r="AK310" s="16"/>
      <c r="AL310" s="16"/>
      <c r="AM310" s="16"/>
      <c r="AN310" s="16"/>
      <c r="AO310" s="16"/>
      <c r="AP310" s="16"/>
      <c r="AQ310" s="16"/>
      <c r="AR310" s="16"/>
      <c r="AS310" s="16"/>
      <c r="AW310" s="16"/>
      <c r="AX310" s="4922"/>
      <c r="AY310" s="4922"/>
      <c r="AZ310" s="4917"/>
      <c r="BA310" s="4917"/>
      <c r="BB310" s="4917"/>
      <c r="BC310" s="4917"/>
      <c r="BD310" s="4917"/>
      <c r="BE310" s="4917"/>
      <c r="BF310" s="4917"/>
      <c r="BG310" s="4917"/>
      <c r="BH310" s="4917"/>
      <c r="BI310" s="4917"/>
      <c r="BJ310" s="4917"/>
      <c r="BK310" s="4917"/>
      <c r="BL310" s="2741"/>
      <c r="BM310" s="2741"/>
      <c r="BN310" s="2743"/>
      <c r="BO310" s="105"/>
      <c r="BP310" s="635"/>
      <c r="BQ310" s="635"/>
      <c r="BR310" s="2741"/>
      <c r="BS310" s="2741"/>
      <c r="BT310" s="2743"/>
      <c r="BX310"/>
    </row>
    <row r="311" spans="1:76">
      <c r="A311" s="2523" t="s">
        <v>1786</v>
      </c>
      <c r="B311" s="2549" t="s">
        <v>1787</v>
      </c>
      <c r="C311" s="2542" t="s">
        <v>3000</v>
      </c>
      <c r="D311" s="3282">
        <f>SUMIFS(BCRR_REHAB!L:L,BCRR_REHAB!D:D,'Huella materiales (2)'!A311)</f>
        <v>0</v>
      </c>
      <c r="E311" s="1030">
        <f>'Datos_aux_materiales (2)'!M267</f>
        <v>0.217</v>
      </c>
      <c r="F311" s="2836">
        <f t="shared" si="107"/>
        <v>0</v>
      </c>
      <c r="G311" s="2823">
        <f>'Datos_aux_materiales (2)'!R267</f>
        <v>46.2</v>
      </c>
      <c r="H311" s="2825">
        <f t="shared" si="108"/>
        <v>0</v>
      </c>
      <c r="I311" s="2829">
        <f t="shared" si="109"/>
        <v>0</v>
      </c>
      <c r="J311" s="2851">
        <f t="shared" si="110"/>
        <v>0</v>
      </c>
      <c r="K311" s="2834">
        <f t="shared" si="111"/>
        <v>0</v>
      </c>
      <c r="L311" s="1663"/>
      <c r="M311" s="1663"/>
      <c r="N311" s="1663"/>
      <c r="O311" s="1663"/>
      <c r="P311" s="1663"/>
      <c r="Q311" s="1663"/>
      <c r="R311" s="1663"/>
      <c r="S311" s="1663"/>
      <c r="T311" s="1663"/>
      <c r="U311" s="1663"/>
      <c r="V311" s="1663"/>
      <c r="W311" s="1663"/>
      <c r="X311" s="105"/>
      <c r="Y311" s="105"/>
      <c r="Z311" s="105"/>
      <c r="AA311" s="105"/>
      <c r="AB311" s="105"/>
      <c r="AC311" s="105"/>
      <c r="AD311" s="105"/>
      <c r="AE311" s="105"/>
      <c r="AF311" s="105"/>
      <c r="AG311" s="105"/>
      <c r="AH311" s="119"/>
      <c r="AI311" s="16"/>
      <c r="AJ311" s="16"/>
      <c r="AK311" s="16"/>
      <c r="AL311" s="16"/>
      <c r="AM311" s="16"/>
      <c r="AN311" s="16"/>
      <c r="AO311" s="16"/>
      <c r="AP311" s="16"/>
      <c r="AQ311" s="16"/>
      <c r="AR311" s="16"/>
      <c r="AS311" s="16"/>
      <c r="AW311" s="16"/>
      <c r="AX311" s="105"/>
      <c r="AY311" s="16"/>
      <c r="AZ311" s="105"/>
      <c r="BA311" s="16"/>
      <c r="BB311" s="105"/>
      <c r="BC311" s="16"/>
      <c r="BD311" s="105"/>
      <c r="BE311" s="16"/>
      <c r="BF311" s="105"/>
      <c r="BG311" s="16"/>
      <c r="BH311" s="105"/>
      <c r="BI311" s="16"/>
      <c r="BJ311" s="105"/>
      <c r="BK311" s="16"/>
      <c r="BL311" s="105"/>
      <c r="BN311" s="105"/>
      <c r="BO311" s="105"/>
      <c r="BP311" s="635"/>
      <c r="BQ311" s="635"/>
      <c r="BR311" s="105"/>
      <c r="BX311"/>
    </row>
    <row r="312" spans="1:76">
      <c r="A312" s="2523" t="s">
        <v>1777</v>
      </c>
      <c r="B312" s="2549" t="s">
        <v>1507</v>
      </c>
      <c r="C312" s="2542" t="s">
        <v>1778</v>
      </c>
      <c r="D312" s="3282">
        <f>SUMIFS(BCRR_REHAB!L:L,BCRR_REHAB!D:D,'Huella materiales (2)'!A312)</f>
        <v>0</v>
      </c>
      <c r="E312" s="1030">
        <f>'Datos_aux_materiales (2)'!M268</f>
        <v>1.7000000000000001E-2</v>
      </c>
      <c r="F312" s="2836">
        <f t="shared" si="107"/>
        <v>0</v>
      </c>
      <c r="G312" s="2823">
        <f>'Datos_aux_materiales (2)'!R268</f>
        <v>46.2</v>
      </c>
      <c r="H312" s="2825">
        <f t="shared" si="108"/>
        <v>0</v>
      </c>
      <c r="I312" s="2829">
        <f t="shared" si="109"/>
        <v>0</v>
      </c>
      <c r="J312" s="2851">
        <f t="shared" si="110"/>
        <v>0</v>
      </c>
      <c r="K312" s="2834">
        <f t="shared" si="111"/>
        <v>0</v>
      </c>
      <c r="L312" s="1663"/>
      <c r="M312" s="1663"/>
      <c r="N312" s="1663"/>
      <c r="O312" s="1663"/>
      <c r="P312" s="1663"/>
      <c r="Q312" s="1663"/>
      <c r="R312" s="1663"/>
      <c r="S312" s="1663"/>
      <c r="T312" s="1663"/>
      <c r="U312" s="1663"/>
      <c r="V312" s="1663"/>
      <c r="W312" s="1663"/>
      <c r="X312" s="105"/>
      <c r="Y312" s="105"/>
      <c r="Z312" s="105"/>
      <c r="AA312" s="105"/>
      <c r="AB312" s="105"/>
      <c r="AC312" s="105"/>
      <c r="AD312" s="105"/>
      <c r="AE312" s="105"/>
      <c r="AF312" s="105"/>
      <c r="AG312" s="105"/>
      <c r="AH312" s="119"/>
      <c r="AI312" s="16"/>
      <c r="AJ312" s="16"/>
      <c r="AK312" s="16"/>
      <c r="AL312" s="16"/>
      <c r="AM312" s="16"/>
      <c r="AN312" s="16"/>
      <c r="AO312" s="16"/>
      <c r="AP312" s="16"/>
      <c r="AQ312" s="16"/>
      <c r="AR312" s="16"/>
      <c r="AS312" s="16"/>
      <c r="AW312" s="3000"/>
      <c r="AX312" s="2940"/>
      <c r="AY312" s="2940"/>
      <c r="AZ312" s="2940"/>
      <c r="BA312" s="2940"/>
      <c r="BB312" s="2940"/>
      <c r="BC312" s="2940"/>
      <c r="BD312" s="2940"/>
      <c r="BE312" s="2940"/>
      <c r="BF312" s="2940"/>
      <c r="BG312" s="2940"/>
      <c r="BH312" s="2940"/>
      <c r="BI312" s="2940"/>
      <c r="BJ312" s="2940"/>
      <c r="BK312" s="2940"/>
      <c r="BL312" s="2940"/>
      <c r="BM312" s="2940"/>
      <c r="BN312" s="2940"/>
      <c r="BO312" s="105"/>
      <c r="BP312" s="635"/>
      <c r="BQ312" s="635"/>
      <c r="BR312" s="2940"/>
      <c r="BS312" s="2940"/>
      <c r="BT312" s="2940"/>
      <c r="BX312"/>
    </row>
    <row r="313" spans="1:76">
      <c r="A313" s="2523" t="s">
        <v>1252</v>
      </c>
      <c r="B313" s="2549" t="s">
        <v>1527</v>
      </c>
      <c r="C313" s="2542" t="s">
        <v>2997</v>
      </c>
      <c r="D313" s="3282">
        <f>SUMIFS(BCRR_REHAB!L:L,BCRR_REHAB!D:D,'Huella materiales (2)'!A313)</f>
        <v>3195.4139266499997</v>
      </c>
      <c r="E313" s="1030">
        <f>'Datos_aux_materiales (2)'!M269</f>
        <v>0.36880869999999999</v>
      </c>
      <c r="F313" s="2836">
        <f t="shared" si="107"/>
        <v>1178.4964562496816</v>
      </c>
      <c r="G313" s="2823">
        <f>'Datos_aux_materiales (2)'!R269</f>
        <v>68.37</v>
      </c>
      <c r="H313" s="2825">
        <f t="shared" si="108"/>
        <v>80573.802713790734</v>
      </c>
      <c r="I313" s="2829">
        <f t="shared" si="109"/>
        <v>1.4299012875968498</v>
      </c>
      <c r="J313" s="2851">
        <f t="shared" si="110"/>
        <v>3.0231891969515357E-2</v>
      </c>
      <c r="K313" s="2834">
        <f t="shared" si="111"/>
        <v>1237.4212790621657</v>
      </c>
      <c r="L313" s="1663"/>
      <c r="M313" s="1663"/>
      <c r="N313" s="1663"/>
      <c r="O313" s="1663"/>
      <c r="P313" s="1663"/>
      <c r="Q313" s="1663"/>
      <c r="R313" s="1663"/>
      <c r="S313" s="1663"/>
      <c r="T313" s="1663"/>
      <c r="U313" s="1663"/>
      <c r="V313" s="1663"/>
      <c r="W313" s="1663"/>
      <c r="X313" s="105"/>
      <c r="Y313" s="105"/>
      <c r="Z313" s="105"/>
      <c r="AA313" s="105"/>
      <c r="AB313" s="105"/>
      <c r="AC313" s="105"/>
      <c r="AD313" s="105"/>
      <c r="AE313" s="105"/>
      <c r="AF313" s="105"/>
      <c r="AG313" s="105"/>
      <c r="AH313" s="119"/>
      <c r="AI313" s="16"/>
      <c r="AJ313" s="16"/>
      <c r="AK313" s="16"/>
      <c r="AL313" s="16"/>
      <c r="AM313" s="16"/>
      <c r="AN313" s="16"/>
      <c r="AO313" s="16"/>
      <c r="AP313" s="16"/>
      <c r="AQ313" s="16"/>
      <c r="AR313" s="16"/>
      <c r="AS313" s="16"/>
      <c r="AW313" s="3000"/>
      <c r="AX313" s="16"/>
      <c r="AY313" s="16"/>
      <c r="AZ313" s="16"/>
      <c r="BA313" s="16"/>
      <c r="BB313" s="16"/>
      <c r="BC313" s="16"/>
      <c r="BD313" s="16"/>
      <c r="BE313" s="16"/>
      <c r="BF313" s="16"/>
      <c r="BG313" s="16"/>
      <c r="BH313" s="16"/>
      <c r="BI313" s="16"/>
      <c r="BJ313" s="16"/>
      <c r="BK313" s="16"/>
      <c r="BO313" s="105"/>
      <c r="BP313" s="635"/>
      <c r="BQ313" s="635"/>
      <c r="BX313"/>
    </row>
    <row r="314" spans="1:76">
      <c r="A314" s="2523" t="s">
        <v>2176</v>
      </c>
      <c r="B314" s="2549" t="s">
        <v>1527</v>
      </c>
      <c r="C314" s="2542" t="s">
        <v>2177</v>
      </c>
      <c r="D314" s="3282">
        <f>SUMIFS(BCRR_REHAB!L:L,BCRR_REHAB!D:D,'Huella materiales (2)'!A314)</f>
        <v>0</v>
      </c>
      <c r="E314" s="1030">
        <f>'Datos_aux_materiales (2)'!M270</f>
        <v>0.4539184</v>
      </c>
      <c r="F314" s="2836">
        <f t="shared" si="107"/>
        <v>0</v>
      </c>
      <c r="G314" s="2823">
        <f>'Datos_aux_materiales (2)'!R270</f>
        <v>68.37</v>
      </c>
      <c r="H314" s="2825">
        <f t="shared" si="108"/>
        <v>0</v>
      </c>
      <c r="I314" s="2829">
        <f t="shared" si="109"/>
        <v>0</v>
      </c>
      <c r="J314" s="2851">
        <f t="shared" si="110"/>
        <v>0</v>
      </c>
      <c r="K314" s="2834">
        <f t="shared" si="111"/>
        <v>0</v>
      </c>
      <c r="L314" s="1663"/>
      <c r="M314" s="1663"/>
      <c r="N314" s="1663"/>
      <c r="O314" s="1663"/>
      <c r="P314" s="1663"/>
      <c r="Q314" s="1663"/>
      <c r="R314" s="1663"/>
      <c r="S314" s="1663"/>
      <c r="T314" s="1663"/>
      <c r="U314" s="1663"/>
      <c r="V314" s="1663"/>
      <c r="W314" s="1663"/>
      <c r="X314" s="105"/>
      <c r="Y314" s="105"/>
      <c r="Z314" s="105"/>
      <c r="AA314" s="105"/>
      <c r="AB314" s="105"/>
      <c r="AC314" s="105"/>
      <c r="AD314" s="105"/>
      <c r="AE314" s="105"/>
      <c r="AF314" s="105"/>
      <c r="AG314" s="105"/>
      <c r="AH314" s="119"/>
      <c r="AI314" s="16"/>
      <c r="AJ314" s="16"/>
      <c r="AK314" s="16"/>
      <c r="AL314" s="16"/>
      <c r="AM314" s="16"/>
      <c r="AN314" s="16"/>
      <c r="AO314" s="16"/>
      <c r="AP314" s="16"/>
      <c r="AQ314" s="16"/>
      <c r="AR314" s="16"/>
      <c r="AS314" s="16"/>
      <c r="AW314" s="3000"/>
      <c r="AX314" s="16"/>
      <c r="AY314" s="16"/>
      <c r="AZ314" s="16"/>
      <c r="BA314" s="16"/>
      <c r="BB314" s="16"/>
      <c r="BC314" s="16"/>
      <c r="BD314" s="16"/>
      <c r="BE314" s="16"/>
      <c r="BF314" s="16"/>
      <c r="BG314" s="16"/>
      <c r="BH314" s="16"/>
      <c r="BI314" s="16"/>
      <c r="BJ314" s="16"/>
      <c r="BK314" s="16"/>
      <c r="BO314" s="105"/>
      <c r="BP314" s="635"/>
      <c r="BQ314" s="635"/>
      <c r="BX314"/>
    </row>
    <row r="315" spans="1:76">
      <c r="A315" s="2523" t="s">
        <v>2182</v>
      </c>
      <c r="B315" s="2549" t="s">
        <v>1527</v>
      </c>
      <c r="C315" s="2542" t="s">
        <v>2183</v>
      </c>
      <c r="D315" s="3282">
        <f>SUMIFS(BCRR_REHAB!L:L,BCRR_REHAB!D:D,'Huella materiales (2)'!A315)</f>
        <v>0</v>
      </c>
      <c r="E315" s="1030">
        <f>'Datos_aux_materiales (2)'!M271</f>
        <v>0.80308640000000009</v>
      </c>
      <c r="F315" s="2836">
        <f t="shared" si="107"/>
        <v>0</v>
      </c>
      <c r="G315" s="2823">
        <f>'Datos_aux_materiales (2)'!R271</f>
        <v>68.37</v>
      </c>
      <c r="H315" s="2825">
        <f t="shared" si="108"/>
        <v>0</v>
      </c>
      <c r="I315" s="2829">
        <f t="shared" si="109"/>
        <v>0</v>
      </c>
      <c r="J315" s="2851">
        <f t="shared" si="110"/>
        <v>0</v>
      </c>
      <c r="K315" s="2834">
        <f t="shared" si="111"/>
        <v>0</v>
      </c>
      <c r="L315" s="1663"/>
      <c r="M315" s="1663"/>
      <c r="N315" s="1663"/>
      <c r="O315" s="1663"/>
      <c r="P315" s="1663"/>
      <c r="Q315" s="1663"/>
      <c r="R315" s="1663"/>
      <c r="S315" s="1663"/>
      <c r="T315" s="1663"/>
      <c r="U315" s="1663"/>
      <c r="V315" s="1663"/>
      <c r="W315" s="1663"/>
      <c r="X315" s="105"/>
      <c r="Y315" s="105"/>
      <c r="Z315" s="105"/>
      <c r="AA315" s="105"/>
      <c r="AB315" s="105"/>
      <c r="AC315" s="105"/>
      <c r="AD315" s="105"/>
      <c r="AE315" s="105"/>
      <c r="AF315" s="105"/>
      <c r="AG315" s="105"/>
      <c r="AH315" s="119"/>
      <c r="AI315" s="16"/>
      <c r="AJ315" s="16"/>
      <c r="AK315" s="16"/>
      <c r="AL315" s="16"/>
      <c r="AM315" s="16"/>
      <c r="AN315" s="16"/>
      <c r="AO315" s="16"/>
      <c r="AP315" s="16"/>
      <c r="AQ315" s="16"/>
      <c r="AR315" s="16"/>
      <c r="AS315" s="16"/>
      <c r="AW315" s="3000"/>
      <c r="AX315" s="16"/>
      <c r="AY315" s="16"/>
      <c r="AZ315" s="16"/>
      <c r="BA315" s="16"/>
      <c r="BB315" s="16"/>
      <c r="BC315" s="16"/>
      <c r="BD315" s="16"/>
      <c r="BE315" s="16"/>
      <c r="BF315" s="16"/>
      <c r="BG315" s="16"/>
      <c r="BH315" s="16"/>
      <c r="BI315" s="16"/>
      <c r="BJ315" s="16"/>
      <c r="BK315" s="16"/>
      <c r="BO315" s="105"/>
      <c r="BP315" s="635"/>
      <c r="BQ315" s="635"/>
      <c r="BX315"/>
    </row>
    <row r="316" spans="1:76">
      <c r="A316" s="2523" t="s">
        <v>2239</v>
      </c>
      <c r="B316" s="2549" t="s">
        <v>1527</v>
      </c>
      <c r="C316" s="2542" t="s">
        <v>2240</v>
      </c>
      <c r="D316" s="3282">
        <f>SUMIFS(BCRR_REHAB!L:L,BCRR_REHAB!D:D,'Huella materiales (2)'!A316)</f>
        <v>0</v>
      </c>
      <c r="E316" s="1030">
        <f>'Datos_aux_materiales (2)'!M272</f>
        <v>1.1391606000000001</v>
      </c>
      <c r="F316" s="2836">
        <f t="shared" si="107"/>
        <v>0</v>
      </c>
      <c r="G316" s="2823">
        <f>'Datos_aux_materiales (2)'!R272</f>
        <v>68.37</v>
      </c>
      <c r="H316" s="2825">
        <f t="shared" si="108"/>
        <v>0</v>
      </c>
      <c r="I316" s="2829">
        <f t="shared" si="109"/>
        <v>0</v>
      </c>
      <c r="J316" s="2851">
        <f t="shared" si="110"/>
        <v>0</v>
      </c>
      <c r="K316" s="2834">
        <f t="shared" si="111"/>
        <v>0</v>
      </c>
      <c r="L316" s="1663"/>
      <c r="M316" s="1663"/>
      <c r="N316" s="1663"/>
      <c r="O316" s="1663"/>
      <c r="P316" s="1663"/>
      <c r="Q316" s="1663"/>
      <c r="R316" s="1663"/>
      <c r="S316" s="1663"/>
      <c r="T316" s="1663"/>
      <c r="U316" s="1663"/>
      <c r="V316" s="1663"/>
      <c r="W316" s="1663"/>
      <c r="X316" s="105"/>
      <c r="Y316" s="105"/>
      <c r="Z316" s="105"/>
      <c r="AA316" s="105"/>
      <c r="AB316" s="105"/>
      <c r="AC316" s="105"/>
      <c r="AD316" s="105"/>
      <c r="AE316" s="105"/>
      <c r="AF316" s="105"/>
      <c r="AG316" s="105"/>
      <c r="AH316" s="119"/>
      <c r="AI316" s="16"/>
      <c r="AJ316" s="16"/>
      <c r="AK316" s="16"/>
      <c r="AL316" s="16"/>
      <c r="AM316" s="16"/>
      <c r="AN316" s="16"/>
      <c r="AO316" s="16"/>
      <c r="AP316" s="16"/>
      <c r="AQ316" s="16"/>
      <c r="AR316" s="16"/>
      <c r="AS316" s="16"/>
      <c r="AW316" s="3000"/>
      <c r="AX316" s="16"/>
      <c r="AY316" s="16"/>
      <c r="AZ316" s="16"/>
      <c r="BA316" s="16"/>
      <c r="BB316" s="16"/>
      <c r="BC316" s="16"/>
      <c r="BD316" s="16"/>
      <c r="BE316" s="16"/>
      <c r="BF316" s="16"/>
      <c r="BG316" s="16"/>
      <c r="BH316" s="16"/>
      <c r="BI316" s="16"/>
      <c r="BJ316" s="16"/>
      <c r="BK316" s="16"/>
      <c r="BO316" s="105"/>
      <c r="BP316" s="635"/>
      <c r="BQ316" s="635"/>
      <c r="BX316"/>
    </row>
    <row r="317" spans="1:76">
      <c r="A317" s="2523" t="s">
        <v>2470</v>
      </c>
      <c r="B317" s="2549" t="s">
        <v>1504</v>
      </c>
      <c r="C317" s="2542" t="s">
        <v>2471</v>
      </c>
      <c r="D317" s="3282">
        <f>SUMIFS(BCRR_REHAB!L:L,BCRR_REHAB!D:D,'Huella materiales (2)'!A317)</f>
        <v>0</v>
      </c>
      <c r="E317" s="1030">
        <f>'Datos_aux_materiales (2)'!M273</f>
        <v>5.4731250000000005</v>
      </c>
      <c r="F317" s="2836">
        <f t="shared" si="107"/>
        <v>0</v>
      </c>
      <c r="G317" s="2823">
        <f>'Datos_aux_materiales (2)'!R273</f>
        <v>89.2</v>
      </c>
      <c r="H317" s="2825">
        <f t="shared" si="108"/>
        <v>0</v>
      </c>
      <c r="I317" s="2829">
        <f t="shared" si="109"/>
        <v>0</v>
      </c>
      <c r="J317" s="2851">
        <f t="shared" si="110"/>
        <v>0</v>
      </c>
      <c r="K317" s="2834">
        <f t="shared" si="111"/>
        <v>0</v>
      </c>
      <c r="L317" s="1663"/>
      <c r="M317" s="1663"/>
      <c r="N317" s="1663"/>
      <c r="O317" s="1663"/>
      <c r="P317" s="1663"/>
      <c r="Q317" s="1663"/>
      <c r="R317" s="1663"/>
      <c r="S317" s="1663"/>
      <c r="T317" s="1663"/>
      <c r="U317" s="1663"/>
      <c r="V317" s="1663"/>
      <c r="W317" s="1663"/>
      <c r="X317" s="105"/>
      <c r="Y317" s="105"/>
      <c r="Z317" s="105"/>
      <c r="AA317" s="105"/>
      <c r="AB317" s="105"/>
      <c r="AC317" s="105"/>
      <c r="AD317" s="105"/>
      <c r="AE317" s="105"/>
      <c r="AF317" s="105"/>
      <c r="AG317" s="105"/>
      <c r="AH317" s="2799"/>
      <c r="AI317" s="2799"/>
      <c r="AJ317" s="2799"/>
      <c r="AK317" s="2799"/>
      <c r="AL317" s="2799"/>
      <c r="AM317" s="2799"/>
      <c r="AN317" s="2799"/>
      <c r="AO317" s="2799"/>
      <c r="AP317" s="2799"/>
      <c r="AQ317" s="2799"/>
      <c r="AR317" s="2799"/>
      <c r="AS317" s="2799"/>
      <c r="AT317" s="2799"/>
      <c r="AW317" s="2945"/>
      <c r="AX317" s="16"/>
      <c r="AY317" s="16"/>
      <c r="AZ317" s="16"/>
      <c r="BA317" s="16"/>
      <c r="BB317" s="16"/>
      <c r="BC317" s="16"/>
      <c r="BD317" s="16"/>
      <c r="BE317" s="16"/>
      <c r="BF317" s="16"/>
      <c r="BG317" s="16"/>
      <c r="BH317" s="16"/>
      <c r="BI317" s="16"/>
      <c r="BJ317" s="16"/>
      <c r="BK317" s="16"/>
      <c r="BO317" s="105"/>
      <c r="BP317" s="635"/>
      <c r="BQ317" s="635"/>
      <c r="BX317"/>
    </row>
    <row r="318" spans="1:76">
      <c r="A318" s="2523" t="s">
        <v>2505</v>
      </c>
      <c r="B318" s="2549" t="s">
        <v>1504</v>
      </c>
      <c r="C318" s="2542" t="s">
        <v>2506</v>
      </c>
      <c r="D318" s="3282">
        <f>SUMIFS(BCRR_REHAB!L:L,BCRR_REHAB!D:D,'Huella materiales (2)'!A318)</f>
        <v>0</v>
      </c>
      <c r="E318" s="1030">
        <f>'Datos_aux_materiales (2)'!M274</f>
        <v>0.69866960000000011</v>
      </c>
      <c r="F318" s="2836">
        <f t="shared" si="107"/>
        <v>0</v>
      </c>
      <c r="G318" s="2823">
        <f>'Datos_aux_materiales (2)'!R274</f>
        <v>125.6</v>
      </c>
      <c r="H318" s="2825">
        <f t="shared" si="108"/>
        <v>0</v>
      </c>
      <c r="I318" s="2829">
        <f t="shared" si="109"/>
        <v>0</v>
      </c>
      <c r="J318" s="2851">
        <f t="shared" si="110"/>
        <v>0</v>
      </c>
      <c r="K318" s="2834">
        <f t="shared" si="111"/>
        <v>0</v>
      </c>
      <c r="L318" s="1663"/>
      <c r="M318" s="1663"/>
      <c r="N318" s="1663"/>
      <c r="O318" s="1663"/>
      <c r="P318" s="1663"/>
      <c r="Q318" s="1663"/>
      <c r="R318" s="1663"/>
      <c r="S318" s="1663"/>
      <c r="T318" s="1663"/>
      <c r="U318" s="1663"/>
      <c r="V318" s="1663"/>
      <c r="W318" s="1663"/>
      <c r="X318" s="105"/>
      <c r="Y318" s="105"/>
      <c r="Z318" s="105"/>
      <c r="AA318" s="105"/>
      <c r="AB318" s="105"/>
      <c r="AC318" s="105"/>
      <c r="AD318" s="105"/>
      <c r="AE318" s="105"/>
      <c r="AF318" s="105"/>
      <c r="AG318" s="105"/>
      <c r="AH318" s="635"/>
      <c r="AI318" s="635"/>
      <c r="AJ318" s="635"/>
      <c r="AK318" s="635"/>
      <c r="AL318" s="635"/>
      <c r="AM318" s="635"/>
      <c r="AN318" s="635"/>
      <c r="AO318" s="635"/>
      <c r="AP318" s="635"/>
      <c r="AQ318" s="635"/>
      <c r="AR318" s="635"/>
      <c r="AS318" s="635"/>
      <c r="AT318" s="635"/>
      <c r="AW318" s="3001"/>
      <c r="AX318" s="105"/>
      <c r="AY318" s="105"/>
      <c r="AZ318" s="105"/>
      <c r="BA318" s="105"/>
      <c r="BB318" s="105"/>
      <c r="BC318" s="105"/>
      <c r="BD318" s="105"/>
      <c r="BE318" s="105"/>
      <c r="BF318" s="105"/>
      <c r="BG318" s="105"/>
      <c r="BH318" s="105"/>
      <c r="BI318" s="105"/>
      <c r="BJ318" s="105"/>
      <c r="BK318" s="105"/>
      <c r="BL318" s="105"/>
      <c r="BM318" s="105"/>
      <c r="BN318" s="105"/>
      <c r="BO318" s="105"/>
      <c r="BP318" s="635"/>
      <c r="BQ318" s="635"/>
      <c r="BR318" s="105"/>
      <c r="BS318" s="105"/>
      <c r="BT318" s="105"/>
      <c r="BX318"/>
    </row>
    <row r="319" spans="1:76" ht="18" customHeight="1">
      <c r="A319" s="2523" t="s">
        <v>2493</v>
      </c>
      <c r="B319" s="2549" t="s">
        <v>1504</v>
      </c>
      <c r="C319" s="2542" t="s">
        <v>2494</v>
      </c>
      <c r="D319" s="3282">
        <f>SUMIFS(BCRR_REHAB!L:L,BCRR_REHAB!D:D,'Huella materiales (2)'!A319)</f>
        <v>0</v>
      </c>
      <c r="E319" s="1030">
        <f>'Datos_aux_materiales (2)'!M275</f>
        <v>43.666850000000011</v>
      </c>
      <c r="F319" s="2836">
        <f t="shared" si="107"/>
        <v>0</v>
      </c>
      <c r="G319" s="2823">
        <f>'Datos_aux_materiales (2)'!R275</f>
        <v>126.6</v>
      </c>
      <c r="H319" s="2825">
        <f t="shared" si="108"/>
        <v>0</v>
      </c>
      <c r="I319" s="2829">
        <f t="shared" si="109"/>
        <v>0</v>
      </c>
      <c r="J319" s="2851">
        <f t="shared" si="110"/>
        <v>0</v>
      </c>
      <c r="K319" s="2834">
        <f t="shared" si="111"/>
        <v>0</v>
      </c>
      <c r="L319" s="1663"/>
      <c r="M319" s="1663"/>
      <c r="N319" s="1663"/>
      <c r="O319" s="1663"/>
      <c r="P319" s="1663"/>
      <c r="Q319" s="1663"/>
      <c r="R319" s="1663"/>
      <c r="S319" s="1663"/>
      <c r="T319" s="1663"/>
      <c r="U319" s="1663"/>
      <c r="V319" s="1663"/>
      <c r="W319" s="1663"/>
      <c r="X319" s="105"/>
      <c r="Y319" s="105"/>
      <c r="Z319" s="105"/>
      <c r="AA319" s="105"/>
      <c r="AB319" s="105"/>
      <c r="AC319" s="105"/>
      <c r="AD319" s="105"/>
      <c r="AE319" s="105"/>
      <c r="AF319" s="105"/>
      <c r="AG319" s="105"/>
      <c r="AH319" s="119"/>
      <c r="AI319" s="16"/>
      <c r="AJ319" s="16"/>
      <c r="AK319" s="16"/>
      <c r="AL319" s="16"/>
      <c r="AM319" s="16"/>
      <c r="AN319" s="16"/>
      <c r="AO319" s="16"/>
      <c r="AP319" s="16"/>
      <c r="AQ319" s="16"/>
      <c r="AR319" s="16"/>
      <c r="AS319" s="16"/>
      <c r="AW319" s="3001"/>
      <c r="AX319" s="16"/>
      <c r="AY319" s="16"/>
      <c r="AZ319" s="16"/>
      <c r="BA319" s="16"/>
      <c r="BB319" s="16"/>
      <c r="BC319" s="16"/>
      <c r="BD319" s="16"/>
      <c r="BE319" s="16"/>
      <c r="BF319" s="16"/>
      <c r="BG319" s="16"/>
      <c r="BH319" s="16"/>
      <c r="BI319" s="16"/>
      <c r="BJ319" s="16"/>
      <c r="BK319" s="16"/>
      <c r="BO319" s="105"/>
      <c r="BP319" s="635"/>
      <c r="BQ319" s="635"/>
      <c r="BX319"/>
    </row>
    <row r="320" spans="1:76">
      <c r="A320" s="2523" t="s">
        <v>2991</v>
      </c>
      <c r="B320" s="2549" t="s">
        <v>1971</v>
      </c>
      <c r="C320" s="2542" t="s">
        <v>2990</v>
      </c>
      <c r="D320" s="3282">
        <f>SUMIFS(BCRR_REHAB!L:L,BCRR_REHAB!D:D,'Huella materiales (2)'!A320)</f>
        <v>0</v>
      </c>
      <c r="E320" s="1030">
        <f>'Datos_aux_materiales (2)'!M276</f>
        <v>1.6367250000000002</v>
      </c>
      <c r="F320" s="2836">
        <f t="shared" si="107"/>
        <v>0</v>
      </c>
      <c r="G320" s="2823">
        <f>'Datos_aux_materiales (2)'!R276</f>
        <v>64.86</v>
      </c>
      <c r="H320" s="2825">
        <f t="shared" si="108"/>
        <v>0</v>
      </c>
      <c r="I320" s="2829">
        <f t="shared" si="109"/>
        <v>0</v>
      </c>
      <c r="J320" s="2851">
        <f t="shared" si="110"/>
        <v>0</v>
      </c>
      <c r="K320" s="2834">
        <f t="shared" si="111"/>
        <v>0</v>
      </c>
      <c r="L320" s="1663"/>
      <c r="M320" s="1663"/>
      <c r="N320" s="1663"/>
      <c r="O320" s="1663"/>
      <c r="P320" s="1663"/>
      <c r="Q320" s="1663"/>
      <c r="R320" s="1663"/>
      <c r="S320" s="1663"/>
      <c r="T320" s="1663"/>
      <c r="U320" s="1663"/>
      <c r="V320" s="1663"/>
      <c r="W320" s="1663"/>
      <c r="X320" s="105"/>
      <c r="Y320" s="105"/>
      <c r="Z320" s="105"/>
      <c r="AA320" s="105"/>
      <c r="AB320" s="105"/>
      <c r="AC320" s="105"/>
      <c r="AD320" s="105"/>
      <c r="AE320" s="105"/>
      <c r="AF320" s="105"/>
      <c r="AG320" s="105"/>
      <c r="AH320" s="2799"/>
      <c r="AI320" s="2799"/>
      <c r="AJ320" s="2799"/>
      <c r="AK320" s="2799"/>
      <c r="AL320" s="2799"/>
      <c r="AM320" s="2799"/>
      <c r="AN320" s="2799"/>
      <c r="AO320" s="2799"/>
      <c r="AP320" s="2799"/>
      <c r="AQ320" s="2799"/>
      <c r="AR320" s="2799"/>
      <c r="AS320" s="2799"/>
      <c r="AT320" s="2799"/>
      <c r="AW320" s="201"/>
      <c r="AX320" s="16"/>
      <c r="AY320" s="16"/>
      <c r="AZ320" s="16"/>
      <c r="BA320" s="16"/>
      <c r="BB320" s="16"/>
      <c r="BC320" s="16"/>
      <c r="BD320" s="16"/>
      <c r="BE320" s="16"/>
      <c r="BF320" s="16"/>
      <c r="BG320" s="16"/>
      <c r="BH320" s="16"/>
      <c r="BI320" s="16"/>
      <c r="BJ320" s="16"/>
      <c r="BK320" s="16"/>
      <c r="BO320" s="105"/>
      <c r="BP320" s="635"/>
      <c r="BQ320" s="635"/>
      <c r="BX320"/>
    </row>
    <row r="321" spans="1:76" ht="18.5">
      <c r="A321" s="2523" t="s">
        <v>2225</v>
      </c>
      <c r="B321" s="2549" t="s">
        <v>1527</v>
      </c>
      <c r="C321" s="2542" t="s">
        <v>2226</v>
      </c>
      <c r="D321" s="3282">
        <f>SUMIFS(BCRR_REHAB!L:L,BCRR_REHAB!D:D,'Huella materiales (2)'!A321)</f>
        <v>0</v>
      </c>
      <c r="E321" s="1030">
        <f>'Datos_aux_materiales (2)'!M277</f>
        <v>1.30938</v>
      </c>
      <c r="F321" s="2836">
        <f t="shared" si="107"/>
        <v>0</v>
      </c>
      <c r="G321" s="2823">
        <f>'Datos_aux_materiales (2)'!R277</f>
        <v>64.86</v>
      </c>
      <c r="H321" s="2825">
        <f t="shared" si="108"/>
        <v>0</v>
      </c>
      <c r="I321" s="2829">
        <f t="shared" si="109"/>
        <v>0</v>
      </c>
      <c r="J321" s="2851">
        <f t="shared" si="110"/>
        <v>0</v>
      </c>
      <c r="K321" s="2834">
        <f t="shared" si="111"/>
        <v>0</v>
      </c>
      <c r="L321" s="1663"/>
      <c r="M321" s="1663"/>
      <c r="N321" s="1663"/>
      <c r="O321" s="1663"/>
      <c r="P321" s="1663"/>
      <c r="Q321" s="1663"/>
      <c r="R321" s="1663"/>
      <c r="S321" s="1663"/>
      <c r="T321" s="1663"/>
      <c r="U321" s="1663"/>
      <c r="V321" s="1663"/>
      <c r="W321" s="1663"/>
      <c r="X321" s="105"/>
      <c r="Y321" s="105"/>
      <c r="Z321" s="105"/>
      <c r="AA321" s="105"/>
      <c r="AB321" s="105"/>
      <c r="AC321" s="105"/>
      <c r="AD321" s="105"/>
      <c r="AE321" s="105"/>
      <c r="AF321" s="105"/>
      <c r="AG321" s="105"/>
      <c r="AH321" s="635"/>
      <c r="AI321" s="635"/>
      <c r="AJ321" s="635"/>
      <c r="AK321" s="635"/>
      <c r="AL321" s="635"/>
      <c r="AM321" s="635"/>
      <c r="AN321" s="635"/>
      <c r="AO321" s="635"/>
      <c r="AP321" s="635"/>
      <c r="AQ321" s="635"/>
      <c r="AR321" s="635"/>
      <c r="AS321" s="635"/>
      <c r="AT321" s="635"/>
      <c r="AW321" s="3002"/>
      <c r="AX321" s="2941"/>
      <c r="AY321" s="2941"/>
      <c r="AZ321" s="2941"/>
      <c r="BA321" s="2941"/>
      <c r="BB321" s="2941"/>
      <c r="BC321" s="2941"/>
      <c r="BD321" s="2941"/>
      <c r="BE321" s="2941"/>
      <c r="BF321" s="2941"/>
      <c r="BG321" s="2941"/>
      <c r="BH321" s="2941"/>
      <c r="BI321" s="2941"/>
      <c r="BJ321" s="2941"/>
      <c r="BK321" s="2941"/>
      <c r="BL321" s="2941"/>
      <c r="BM321" s="2941"/>
      <c r="BN321" s="2941"/>
      <c r="BO321" s="105"/>
      <c r="BP321" s="635"/>
      <c r="BQ321" s="635"/>
      <c r="BR321" s="2941"/>
      <c r="BS321" s="2941"/>
      <c r="BT321" s="2941"/>
      <c r="BX321"/>
    </row>
    <row r="322" spans="1:76" ht="19.5" customHeight="1">
      <c r="A322" s="2900"/>
      <c r="B322" s="2881"/>
      <c r="C322" s="2811" t="s">
        <v>3110</v>
      </c>
      <c r="D322" s="3284"/>
      <c r="E322" s="2795"/>
      <c r="F322" s="2843">
        <f>SUM(F310:F321)</f>
        <v>1178.4964562496816</v>
      </c>
      <c r="G322" s="2844"/>
      <c r="H322" s="2842">
        <f>SUM(H310:H321)</f>
        <v>80573.802713790734</v>
      </c>
      <c r="I322" s="2830">
        <f t="shared" si="109"/>
        <v>1.4299012875968498</v>
      </c>
      <c r="J322" s="2854">
        <f t="shared" si="110"/>
        <v>3.0231891969515357E-2</v>
      </c>
      <c r="K322" s="2835">
        <f>SUM(K310:K321)</f>
        <v>1237.4212790621657</v>
      </c>
      <c r="L322" s="2795"/>
      <c r="M322" s="2795"/>
      <c r="N322" s="2795"/>
      <c r="O322" s="2795"/>
      <c r="P322" s="2795"/>
      <c r="Q322" s="2795"/>
      <c r="R322" s="2795"/>
      <c r="S322" s="2795"/>
      <c r="T322" s="2795"/>
      <c r="U322" s="2795"/>
      <c r="V322" s="2795"/>
      <c r="W322" s="2795"/>
      <c r="X322" s="2795"/>
      <c r="Y322" s="2795"/>
      <c r="Z322" s="2795"/>
      <c r="AA322" s="2795"/>
      <c r="AB322" s="2795"/>
      <c r="AC322" s="2795"/>
      <c r="AD322" s="2795"/>
      <c r="AE322" s="2795"/>
      <c r="AF322" s="2795"/>
      <c r="AG322" s="2795"/>
      <c r="AH322" s="635"/>
      <c r="AI322" s="635"/>
      <c r="AJ322" s="635"/>
      <c r="AK322" s="635"/>
      <c r="AL322" s="635"/>
      <c r="AM322" s="635"/>
      <c r="AN322" s="635"/>
      <c r="AO322" s="635"/>
      <c r="AP322" s="635"/>
      <c r="AQ322" s="635"/>
      <c r="AR322" s="635"/>
      <c r="AS322" s="635"/>
      <c r="AT322" s="635"/>
      <c r="AW322" s="2975"/>
      <c r="AX322" s="2941"/>
      <c r="AY322" s="2941"/>
      <c r="AZ322" s="16"/>
      <c r="BA322" s="16"/>
      <c r="BB322" s="16"/>
      <c r="BC322" s="16"/>
      <c r="BD322" s="16"/>
      <c r="BE322" s="16"/>
      <c r="BF322" s="16"/>
      <c r="BG322" s="16"/>
      <c r="BH322" s="16"/>
      <c r="BI322" s="16"/>
      <c r="BJ322" s="16"/>
      <c r="BK322" s="16"/>
      <c r="BO322" s="635"/>
      <c r="BP322" s="635"/>
      <c r="BQ322" s="635"/>
      <c r="BX322"/>
    </row>
    <row r="323" spans="1:76" ht="18.5">
      <c r="A323" s="2909" t="s">
        <v>795</v>
      </c>
      <c r="B323" s="2910"/>
      <c r="C323" s="2911"/>
      <c r="D323" s="3281"/>
      <c r="E323" s="2915"/>
      <c r="F323" s="2915"/>
      <c r="G323" s="2915"/>
      <c r="H323" s="2916"/>
      <c r="I323" s="2915"/>
      <c r="J323" s="2917"/>
      <c r="K323" s="2918"/>
      <c r="L323" s="2912"/>
      <c r="M323" s="2913"/>
      <c r="N323" s="2914"/>
      <c r="O323" s="2914"/>
      <c r="P323" s="2914"/>
      <c r="Q323" s="2914"/>
      <c r="R323" s="2914"/>
      <c r="S323" s="2914"/>
      <c r="T323" s="2914"/>
      <c r="U323" s="2914"/>
      <c r="V323" s="2914"/>
      <c r="W323" s="2914"/>
      <c r="X323" s="2914"/>
      <c r="Y323" s="2914"/>
      <c r="Z323" s="2914"/>
      <c r="AA323" s="2914"/>
      <c r="AB323" s="2914"/>
      <c r="AC323" s="2914"/>
      <c r="AD323" s="2914"/>
      <c r="AE323" s="2914"/>
      <c r="AF323" s="2914"/>
      <c r="AG323" s="2914"/>
      <c r="AH323" s="2916"/>
      <c r="AI323" s="2916"/>
      <c r="AJ323" s="2916"/>
      <c r="AK323" s="2916"/>
      <c r="AL323" s="2916"/>
      <c r="AM323" s="2916"/>
      <c r="AN323" s="2916"/>
      <c r="AO323" s="2916"/>
      <c r="AP323" s="2916"/>
      <c r="AQ323" s="2916"/>
      <c r="AR323" s="2916"/>
      <c r="AS323" s="2916"/>
      <c r="AT323" s="2799"/>
      <c r="AW323" s="16"/>
      <c r="AX323" s="16"/>
      <c r="AY323" s="16"/>
      <c r="AZ323" s="16"/>
      <c r="BA323" s="16"/>
      <c r="BB323" s="16"/>
      <c r="BC323" s="16"/>
      <c r="BD323" s="16"/>
      <c r="BE323" s="16"/>
      <c r="BF323" s="16"/>
      <c r="BG323" s="16"/>
      <c r="BH323" s="16"/>
      <c r="BI323" s="16"/>
      <c r="BJ323" s="16"/>
      <c r="BK323" s="16"/>
      <c r="BO323" s="2814"/>
      <c r="BP323" s="2816"/>
      <c r="BQ323" s="2799"/>
      <c r="BX323"/>
    </row>
    <row r="324" spans="1:76" ht="42.75" customHeight="1">
      <c r="A324" s="2889" t="s">
        <v>1328</v>
      </c>
      <c r="B324" s="2889" t="s">
        <v>1549</v>
      </c>
      <c r="C324" s="2878" t="s">
        <v>3126</v>
      </c>
      <c r="D324" s="3285" t="s">
        <v>914</v>
      </c>
      <c r="E324" s="2794" t="s">
        <v>288</v>
      </c>
      <c r="F324" s="2837" t="s">
        <v>3123</v>
      </c>
      <c r="G324" s="2826" t="s">
        <v>287</v>
      </c>
      <c r="H324" s="2827" t="s">
        <v>3097</v>
      </c>
      <c r="I324" s="161" t="s">
        <v>3124</v>
      </c>
      <c r="J324" s="2850" t="s">
        <v>3125</v>
      </c>
      <c r="K324" s="2833" t="s">
        <v>3136</v>
      </c>
      <c r="L324" s="1663"/>
      <c r="M324" s="1663"/>
      <c r="N324" s="1663"/>
      <c r="O324" s="1663"/>
      <c r="P324" s="1663"/>
      <c r="Q324" s="1663"/>
      <c r="R324" s="1663"/>
      <c r="S324" s="1663"/>
      <c r="T324" s="1663"/>
      <c r="U324" s="1663"/>
      <c r="V324" s="1663"/>
      <c r="W324" s="1663"/>
      <c r="X324" s="105"/>
      <c r="Y324" s="105"/>
      <c r="Z324" s="105"/>
      <c r="AA324" s="105"/>
      <c r="AB324" s="105"/>
      <c r="AC324" s="105"/>
      <c r="AD324" s="105"/>
      <c r="AE324" s="105"/>
      <c r="AF324" s="105"/>
      <c r="AG324" s="105"/>
      <c r="AH324" s="119"/>
      <c r="AI324" s="16"/>
      <c r="AJ324" s="16"/>
      <c r="AK324" s="16"/>
      <c r="AL324" s="16"/>
      <c r="AM324" s="16"/>
      <c r="AN324" s="16"/>
      <c r="AO324" s="16"/>
      <c r="AP324" s="16"/>
      <c r="AQ324" s="16"/>
      <c r="AR324" s="16"/>
      <c r="AS324" s="16"/>
      <c r="AU324" s="167"/>
      <c r="AV324" s="167"/>
      <c r="AW324" s="16"/>
      <c r="AX324" s="16"/>
      <c r="AY324" s="16"/>
      <c r="AZ324" s="16"/>
      <c r="BA324" s="16"/>
      <c r="BB324" s="16"/>
      <c r="BC324" s="16"/>
      <c r="BD324" s="34"/>
      <c r="BE324" s="16"/>
      <c r="BF324" s="16"/>
      <c r="BG324" s="16"/>
      <c r="BH324" s="16"/>
      <c r="BI324" s="16"/>
      <c r="BJ324" s="16"/>
      <c r="BK324" s="16"/>
      <c r="BO324" s="105"/>
      <c r="BP324" s="2938"/>
      <c r="BQ324" s="2939"/>
      <c r="BX324"/>
    </row>
    <row r="325" spans="1:76">
      <c r="A325" s="2562" t="s">
        <v>2926</v>
      </c>
      <c r="B325" s="2887" t="s">
        <v>1507</v>
      </c>
      <c r="C325" s="2561" t="s">
        <v>2925</v>
      </c>
      <c r="D325" s="3282">
        <f>SUMIFS(BCRR_REHAB!L:L,BCRR_REHAB!D:D,'Huella materiales (2)'!A325)</f>
        <v>0</v>
      </c>
      <c r="E325" s="1030">
        <f>'Datos_aux_materiales (2)'!M279</f>
        <v>1.52955</v>
      </c>
      <c r="F325" s="2836">
        <f>D325*E325</f>
        <v>0</v>
      </c>
      <c r="G325" s="2823">
        <f>'Datos_aux_materiales (2)'!R279</f>
        <v>12.9</v>
      </c>
      <c r="H325" s="2825">
        <f t="shared" ref="H325:H326" si="112">F325*G325</f>
        <v>0</v>
      </c>
      <c r="I325" s="2829">
        <f>H325/$AV$5*$AV$7</f>
        <v>0</v>
      </c>
      <c r="J325" s="2851">
        <f>I325/$AV$8</f>
        <v>0</v>
      </c>
      <c r="K325" s="2834">
        <f>F325*1.05</f>
        <v>0</v>
      </c>
      <c r="L325" s="1663"/>
      <c r="M325" s="1663"/>
      <c r="N325" s="1663"/>
      <c r="O325" s="1663"/>
      <c r="P325" s="1663"/>
      <c r="Q325" s="1663"/>
      <c r="R325" s="1663"/>
      <c r="S325" s="1663"/>
      <c r="T325" s="1663"/>
      <c r="U325" s="1663"/>
      <c r="V325" s="1663"/>
      <c r="W325" s="1663"/>
      <c r="X325" s="105"/>
      <c r="Y325" s="105"/>
      <c r="Z325" s="105"/>
      <c r="AA325" s="105"/>
      <c r="AB325" s="105"/>
      <c r="AC325" s="105"/>
      <c r="AD325" s="105"/>
      <c r="AE325" s="105"/>
      <c r="AF325" s="105"/>
      <c r="AG325" s="105"/>
      <c r="AH325" s="119"/>
      <c r="AI325" s="16"/>
      <c r="AJ325" s="16"/>
      <c r="AK325" s="16"/>
      <c r="AL325" s="16"/>
      <c r="AM325" s="16"/>
      <c r="AN325" s="16"/>
      <c r="AO325" s="16"/>
      <c r="AP325" s="16"/>
      <c r="AQ325" s="16"/>
      <c r="AR325" s="16"/>
      <c r="AS325" s="16"/>
      <c r="BI325" s="22"/>
      <c r="BJ325" s="16"/>
      <c r="BK325" s="16"/>
      <c r="BO325" s="105"/>
      <c r="BP325" s="635"/>
      <c r="BQ325" s="635"/>
      <c r="BV325"/>
      <c r="BW325"/>
      <c r="BX325"/>
    </row>
    <row r="326" spans="1:76">
      <c r="A326" s="2544" t="s">
        <v>2080</v>
      </c>
      <c r="B326" s="2549" t="s">
        <v>1507</v>
      </c>
      <c r="C326" s="2542" t="s">
        <v>2081</v>
      </c>
      <c r="D326" s="3282">
        <f>SUMIFS(BCRR_REHAB!L:L,BCRR_REHAB!D:D,'Huella materiales (2)'!A326)</f>
        <v>0</v>
      </c>
      <c r="E326" s="1030">
        <f>'Datos_aux_materiales (2)'!M280</f>
        <v>3.0590999999999999</v>
      </c>
      <c r="F326" s="2836">
        <f>D326*E326</f>
        <v>0</v>
      </c>
      <c r="G326" s="2823">
        <f>'Datos_aux_materiales (2)'!R280</f>
        <v>12.9</v>
      </c>
      <c r="H326" s="2825">
        <f t="shared" si="112"/>
        <v>0</v>
      </c>
      <c r="I326" s="2829">
        <f>H326/$AV$5*$AV$7</f>
        <v>0</v>
      </c>
      <c r="J326" s="2851">
        <f>I326/$AV$8</f>
        <v>0</v>
      </c>
      <c r="K326" s="2834">
        <f>F326*1.05</f>
        <v>0</v>
      </c>
      <c r="L326" s="1663"/>
      <c r="M326" s="1663"/>
      <c r="N326" s="1663"/>
      <c r="O326" s="1663"/>
      <c r="P326" s="1663"/>
      <c r="Q326" s="1663"/>
      <c r="R326" s="1663"/>
      <c r="S326" s="1663"/>
      <c r="T326" s="1663"/>
      <c r="U326" s="1663"/>
      <c r="V326" s="1663"/>
      <c r="W326" s="1663"/>
      <c r="X326" s="105"/>
      <c r="Y326" s="105"/>
      <c r="Z326" s="105"/>
      <c r="AA326" s="105"/>
      <c r="AB326" s="105"/>
      <c r="AC326" s="105"/>
      <c r="AD326" s="105"/>
      <c r="AE326" s="105"/>
      <c r="AF326" s="105"/>
      <c r="AG326" s="105"/>
      <c r="AH326" s="119"/>
      <c r="AI326" s="16"/>
      <c r="AJ326" s="16"/>
      <c r="AK326" s="16"/>
      <c r="AL326" s="16"/>
      <c r="AM326" s="16"/>
      <c r="AN326" s="16"/>
      <c r="AO326" s="16"/>
      <c r="AP326" s="16"/>
      <c r="AQ326" s="16"/>
      <c r="AR326" s="16"/>
      <c r="AS326" s="16"/>
      <c r="BO326" s="105"/>
      <c r="BP326" s="635"/>
      <c r="BQ326" s="635"/>
      <c r="BV326"/>
      <c r="BW326"/>
      <c r="BX326"/>
    </row>
    <row r="327" spans="1:76" ht="18.5">
      <c r="A327" s="2900"/>
      <c r="B327" s="2881"/>
      <c r="C327" s="2811" t="s">
        <v>3103</v>
      </c>
      <c r="D327" s="3284"/>
      <c r="E327" s="2795"/>
      <c r="F327" s="2797">
        <f>SUM(F325:F326)</f>
        <v>0</v>
      </c>
      <c r="G327" s="2844"/>
      <c r="H327" s="2842">
        <f>SUM(H325:H326)</f>
        <v>0</v>
      </c>
      <c r="I327" s="2830">
        <f>H327/$AV$5*$AV$7</f>
        <v>0</v>
      </c>
      <c r="J327" s="2854">
        <f>I327/$AV$8</f>
        <v>0</v>
      </c>
      <c r="K327" s="2835">
        <f>SUM(K325:K326)</f>
        <v>0</v>
      </c>
      <c r="L327" s="2795"/>
      <c r="M327" s="2795"/>
      <c r="N327" s="2795"/>
      <c r="O327" s="2795"/>
      <c r="P327" s="2795"/>
      <c r="Q327" s="2795"/>
      <c r="R327" s="2795"/>
      <c r="S327" s="2795"/>
      <c r="T327" s="2795"/>
      <c r="U327" s="2795"/>
      <c r="V327" s="2795"/>
      <c r="W327" s="2795"/>
      <c r="X327" s="2795"/>
      <c r="Y327" s="2795"/>
      <c r="Z327" s="2795"/>
      <c r="AA327" s="2795"/>
      <c r="AB327" s="2795"/>
      <c r="AC327" s="2795"/>
      <c r="AD327" s="2795"/>
      <c r="AE327" s="2795"/>
      <c r="AF327" s="2795"/>
      <c r="AG327" s="2795"/>
      <c r="AH327" s="635"/>
      <c r="AI327" s="635"/>
      <c r="AJ327" s="635"/>
      <c r="AK327" s="635"/>
      <c r="AL327" s="635"/>
      <c r="AM327" s="635"/>
      <c r="AN327" s="635"/>
      <c r="AO327" s="635"/>
      <c r="AP327" s="635"/>
      <c r="AQ327" s="635"/>
      <c r="AR327" s="635"/>
      <c r="AS327" s="635"/>
      <c r="AT327" s="635"/>
      <c r="BO327" s="635"/>
      <c r="BP327" s="635"/>
      <c r="BQ327" s="635"/>
      <c r="BV327"/>
      <c r="BW327"/>
      <c r="BX327"/>
    </row>
    <row r="328" spans="1:76" ht="18.5">
      <c r="A328" s="2909" t="s">
        <v>2905</v>
      </c>
      <c r="B328" s="2910"/>
      <c r="C328" s="2911"/>
      <c r="D328" s="3281"/>
      <c r="E328" s="2915"/>
      <c r="F328" s="2915"/>
      <c r="G328" s="2915"/>
      <c r="H328" s="2916"/>
      <c r="I328" s="2915"/>
      <c r="J328" s="2917"/>
      <c r="K328" s="2918"/>
      <c r="L328" s="2912"/>
      <c r="M328" s="2913"/>
      <c r="N328" s="2914"/>
      <c r="O328" s="2914"/>
      <c r="P328" s="2914"/>
      <c r="Q328" s="2914"/>
      <c r="R328" s="2914"/>
      <c r="S328" s="2914"/>
      <c r="T328" s="2914"/>
      <c r="U328" s="2914"/>
      <c r="V328" s="2914"/>
      <c r="W328" s="2914"/>
      <c r="X328" s="2914"/>
      <c r="Y328" s="2914"/>
      <c r="Z328" s="2914"/>
      <c r="AA328" s="2914"/>
      <c r="AB328" s="2914"/>
      <c r="AC328" s="2914"/>
      <c r="AD328" s="2914"/>
      <c r="AE328" s="2914"/>
      <c r="AF328" s="2914"/>
      <c r="AG328" s="2914"/>
      <c r="AH328" s="2916"/>
      <c r="AI328" s="2916"/>
      <c r="AJ328" s="2916"/>
      <c r="AK328" s="2916"/>
      <c r="AL328" s="2916"/>
      <c r="AM328" s="2916"/>
      <c r="AN328" s="2916"/>
      <c r="AO328" s="2916"/>
      <c r="AP328" s="2916"/>
      <c r="AQ328" s="2916"/>
      <c r="AR328" s="2916"/>
      <c r="AS328" s="2916"/>
      <c r="AT328" s="2799"/>
      <c r="BO328" s="2814"/>
      <c r="BP328" s="2816"/>
      <c r="BQ328" s="2799"/>
      <c r="BV328"/>
      <c r="BW328"/>
      <c r="BX328"/>
    </row>
    <row r="329" spans="1:76" ht="39.75" customHeight="1">
      <c r="A329" s="2889" t="s">
        <v>1328</v>
      </c>
      <c r="B329" s="2889" t="s">
        <v>1549</v>
      </c>
      <c r="C329" s="2878" t="s">
        <v>3126</v>
      </c>
      <c r="D329" s="3285" t="s">
        <v>914</v>
      </c>
      <c r="E329" s="2794" t="s">
        <v>288</v>
      </c>
      <c r="F329" s="2837" t="s">
        <v>3123</v>
      </c>
      <c r="G329" s="2826" t="s">
        <v>287</v>
      </c>
      <c r="H329" s="2827" t="s">
        <v>3097</v>
      </c>
      <c r="I329" s="161" t="s">
        <v>3124</v>
      </c>
      <c r="J329" s="2850" t="s">
        <v>3125</v>
      </c>
      <c r="K329" s="2833" t="s">
        <v>3136</v>
      </c>
      <c r="L329" s="1663"/>
      <c r="M329" s="1663"/>
      <c r="N329" s="1663"/>
      <c r="O329" s="1663"/>
      <c r="P329" s="1663"/>
      <c r="Q329" s="1663"/>
      <c r="R329" s="1663"/>
      <c r="S329" s="1663"/>
      <c r="T329" s="1663"/>
      <c r="U329" s="1663"/>
      <c r="V329" s="1663"/>
      <c r="W329" s="1663"/>
      <c r="X329" s="105"/>
      <c r="Y329" s="105"/>
      <c r="Z329" s="105"/>
      <c r="AA329" s="105"/>
      <c r="AB329" s="105"/>
      <c r="AC329" s="105"/>
      <c r="AD329" s="105"/>
      <c r="AE329" s="105"/>
      <c r="AF329" s="105"/>
      <c r="AG329" s="105"/>
      <c r="AH329" s="119"/>
      <c r="AI329" s="16"/>
      <c r="AJ329" s="16"/>
      <c r="AK329" s="16"/>
      <c r="AL329" s="16"/>
      <c r="AM329" s="16"/>
      <c r="AN329" s="16"/>
      <c r="AO329" s="16"/>
      <c r="AP329" s="16"/>
      <c r="AQ329" s="16"/>
      <c r="AR329" s="16"/>
      <c r="AS329" s="16"/>
      <c r="BO329" s="105"/>
      <c r="BP329" s="2938"/>
      <c r="BQ329" s="2939"/>
      <c r="BV329"/>
      <c r="BW329"/>
      <c r="BX329"/>
    </row>
    <row r="330" spans="1:76">
      <c r="A330" s="2552" t="s">
        <v>2042</v>
      </c>
      <c r="B330" s="2629" t="s">
        <v>1507</v>
      </c>
      <c r="C330" s="2551" t="s">
        <v>2043</v>
      </c>
      <c r="D330" s="3282">
        <f>SUMIFS(BCRR_REHAB!L:L,BCRR_REHAB!D:D,'Huella materiales (2)'!A330)</f>
        <v>0</v>
      </c>
      <c r="E330" s="1030">
        <f>'Datos_aux_materiales (2)'!M282</f>
        <v>0.4343921999999999</v>
      </c>
      <c r="F330" s="2836">
        <f>D330*E330</f>
        <v>0</v>
      </c>
      <c r="G330" s="2823">
        <f>'Datos_aux_materiales (2)'!R282</f>
        <v>56.7</v>
      </c>
      <c r="H330" s="2825">
        <f t="shared" ref="H330" si="113">F330*G330</f>
        <v>0</v>
      </c>
      <c r="I330" s="2829">
        <f>H330/$AV$5*$AV$7</f>
        <v>0</v>
      </c>
      <c r="J330" s="2851">
        <f>I330/$AV$8</f>
        <v>0</v>
      </c>
      <c r="K330" s="2834">
        <f>F330*1.05</f>
        <v>0</v>
      </c>
      <c r="L330" s="40"/>
      <c r="M330" s="40"/>
      <c r="N330" s="40"/>
      <c r="O330" s="40"/>
      <c r="P330" s="40"/>
      <c r="Q330" s="40"/>
      <c r="R330" s="40"/>
      <c r="S330" s="40"/>
      <c r="T330" s="40"/>
      <c r="U330" s="40"/>
      <c r="V330" s="40"/>
      <c r="W330" s="40"/>
      <c r="X330" s="28"/>
      <c r="Y330" s="28"/>
      <c r="Z330" s="28"/>
      <c r="AA330" s="28"/>
      <c r="AB330" s="28"/>
      <c r="AC330" s="28"/>
      <c r="AD330" s="28"/>
      <c r="AE330" s="28"/>
      <c r="AF330" s="28"/>
      <c r="AG330" s="28"/>
      <c r="AH330" s="119"/>
      <c r="AI330" s="16"/>
      <c r="AJ330" s="16"/>
      <c r="AK330" s="16"/>
      <c r="AL330" s="16"/>
      <c r="AM330" s="16"/>
      <c r="AN330" s="16"/>
      <c r="AO330" s="16"/>
      <c r="AP330" s="16"/>
      <c r="AQ330" s="16"/>
      <c r="AR330" s="16"/>
      <c r="AS330" s="16"/>
      <c r="BO330" s="105"/>
      <c r="BP330" s="635"/>
      <c r="BQ330" s="635"/>
      <c r="BV330"/>
      <c r="BW330"/>
      <c r="BX330"/>
    </row>
    <row r="331" spans="1:76" ht="18.5">
      <c r="A331" s="2900"/>
      <c r="B331" s="2881"/>
      <c r="C331" s="2811" t="s">
        <v>3102</v>
      </c>
      <c r="D331" s="3284"/>
      <c r="E331" s="2795"/>
      <c r="F331" s="2843">
        <f>SUM(F330)</f>
        <v>0</v>
      </c>
      <c r="G331" s="2844"/>
      <c r="H331" s="2842">
        <f>SUM(H330)</f>
        <v>0</v>
      </c>
      <c r="I331" s="2830">
        <f>H331/$AV$5*$AV$7</f>
        <v>0</v>
      </c>
      <c r="J331" s="2854">
        <f>I331/$AV$8</f>
        <v>0</v>
      </c>
      <c r="K331" s="2835">
        <f>SUM(K330)</f>
        <v>0</v>
      </c>
      <c r="L331" s="2795"/>
      <c r="M331" s="2795"/>
      <c r="N331" s="2795"/>
      <c r="O331" s="2795"/>
      <c r="P331" s="2795"/>
      <c r="Q331" s="2795"/>
      <c r="R331" s="2795"/>
      <c r="S331" s="2795"/>
      <c r="T331" s="2795"/>
      <c r="U331" s="2795"/>
      <c r="V331" s="2795"/>
      <c r="W331" s="2795"/>
      <c r="X331" s="2795"/>
      <c r="Y331" s="2795"/>
      <c r="Z331" s="2795"/>
      <c r="AA331" s="2795"/>
      <c r="AB331" s="2795"/>
      <c r="AC331" s="2795"/>
      <c r="AD331" s="2795"/>
      <c r="AE331" s="2795"/>
      <c r="AF331" s="2795"/>
      <c r="AG331" s="2795"/>
      <c r="AH331" s="635"/>
      <c r="AI331" s="635"/>
      <c r="AJ331" s="635"/>
      <c r="AK331" s="635"/>
      <c r="AL331" s="635"/>
      <c r="AM331" s="635"/>
      <c r="AN331" s="635"/>
      <c r="AO331" s="635"/>
      <c r="AP331" s="635"/>
      <c r="AQ331" s="635"/>
      <c r="AR331" s="635"/>
      <c r="AS331" s="635"/>
      <c r="AT331" s="635"/>
      <c r="BO331" s="635"/>
      <c r="BP331" s="635"/>
      <c r="BQ331" s="635"/>
      <c r="BV331"/>
      <c r="BW331"/>
      <c r="BX331"/>
    </row>
    <row r="332" spans="1:76" ht="18.5">
      <c r="A332" s="2909" t="s">
        <v>2903</v>
      </c>
      <c r="B332" s="2910"/>
      <c r="C332" s="2911"/>
      <c r="D332" s="3281"/>
      <c r="E332" s="2915"/>
      <c r="F332" s="2915"/>
      <c r="G332" s="2915"/>
      <c r="H332" s="2916"/>
      <c r="I332" s="2915"/>
      <c r="J332" s="2917"/>
      <c r="K332" s="2918"/>
      <c r="L332" s="2912"/>
      <c r="M332" s="2913"/>
      <c r="N332" s="2914"/>
      <c r="O332" s="2914"/>
      <c r="P332" s="2914"/>
      <c r="Q332" s="2914"/>
      <c r="R332" s="2914"/>
      <c r="S332" s="2914"/>
      <c r="T332" s="2914"/>
      <c r="U332" s="2914"/>
      <c r="V332" s="2914"/>
      <c r="W332" s="2914"/>
      <c r="X332" s="2914"/>
      <c r="Y332" s="2914"/>
      <c r="Z332" s="2914"/>
      <c r="AA332" s="2914"/>
      <c r="AB332" s="2914"/>
      <c r="AC332" s="2914"/>
      <c r="AD332" s="2914"/>
      <c r="AE332" s="2914"/>
      <c r="AF332" s="2914"/>
      <c r="AG332" s="2914"/>
      <c r="AH332" s="2916"/>
      <c r="AI332" s="2916"/>
      <c r="AJ332" s="2916"/>
      <c r="AK332" s="2916"/>
      <c r="AL332" s="2916"/>
      <c r="AM332" s="2916"/>
      <c r="AN332" s="2916"/>
      <c r="AO332" s="2916"/>
      <c r="AP332" s="2916"/>
      <c r="AQ332" s="2916"/>
      <c r="AR332" s="2916"/>
      <c r="AS332" s="2916"/>
      <c r="AT332" s="2799"/>
      <c r="BO332" s="2814"/>
      <c r="BP332" s="2816"/>
      <c r="BQ332" s="2799"/>
      <c r="BV332"/>
      <c r="BW332"/>
      <c r="BX332"/>
    </row>
    <row r="333" spans="1:76" ht="42.75" customHeight="1">
      <c r="A333" s="2889" t="s">
        <v>1328</v>
      </c>
      <c r="B333" s="2889" t="s">
        <v>1549</v>
      </c>
      <c r="C333" s="2878" t="s">
        <v>3126</v>
      </c>
      <c r="D333" s="3285" t="s">
        <v>914</v>
      </c>
      <c r="E333" s="2794" t="s">
        <v>288</v>
      </c>
      <c r="F333" s="2837" t="s">
        <v>3123</v>
      </c>
      <c r="G333" s="2826" t="s">
        <v>287</v>
      </c>
      <c r="H333" s="2827" t="s">
        <v>3097</v>
      </c>
      <c r="I333" s="161" t="s">
        <v>3124</v>
      </c>
      <c r="J333" s="2850" t="s">
        <v>3125</v>
      </c>
      <c r="K333" s="2833" t="s">
        <v>3136</v>
      </c>
      <c r="L333" s="1663"/>
      <c r="M333" s="1663"/>
      <c r="N333" s="1663"/>
      <c r="O333" s="1663"/>
      <c r="P333" s="1663"/>
      <c r="Q333" s="1663"/>
      <c r="R333" s="1663"/>
      <c r="S333" s="1663"/>
      <c r="T333" s="1663"/>
      <c r="U333" s="1663"/>
      <c r="V333" s="1663"/>
      <c r="W333" s="1663"/>
      <c r="X333" s="105"/>
      <c r="Y333" s="105"/>
      <c r="Z333" s="105"/>
      <c r="AA333" s="105"/>
      <c r="AB333" s="105"/>
      <c r="AC333" s="105"/>
      <c r="AD333" s="105"/>
      <c r="AE333" s="105"/>
      <c r="AF333" s="105"/>
      <c r="AG333" s="105"/>
      <c r="AH333" s="119"/>
      <c r="AI333" s="16"/>
      <c r="AJ333" s="16"/>
      <c r="AK333" s="16"/>
      <c r="AL333" s="16"/>
      <c r="AM333" s="16"/>
      <c r="AN333" s="16"/>
      <c r="AO333" s="16"/>
      <c r="AP333" s="16"/>
      <c r="AQ333" s="16"/>
      <c r="AR333" s="16"/>
      <c r="AS333" s="16"/>
      <c r="BO333" s="105"/>
      <c r="BP333" s="2938"/>
      <c r="BQ333" s="2939"/>
      <c r="BV333"/>
      <c r="BW333"/>
      <c r="BX333"/>
    </row>
    <row r="334" spans="1:76">
      <c r="A334" s="2544" t="s">
        <v>1069</v>
      </c>
      <c r="B334" s="2549" t="s">
        <v>1517</v>
      </c>
      <c r="C334" s="2542" t="s">
        <v>1578</v>
      </c>
      <c r="D334" s="3282">
        <f>SUMIFS(BCRR_REHAB!L:L,BCRR_REHAB!D:D,'Huella materiales (2)'!A334)</f>
        <v>5.4174606029999977</v>
      </c>
      <c r="E334" s="1030">
        <f>'Datos_aux_materiales (2)'!M284</f>
        <v>1019.7</v>
      </c>
      <c r="F334" s="2836">
        <f t="shared" ref="F334:F349" si="114">D334*E334</f>
        <v>5524.1845768790981</v>
      </c>
      <c r="G334" s="2823">
        <f>'Datos_aux_materiales (2)'!R284</f>
        <v>6.0000000000000001E-3</v>
      </c>
      <c r="H334" s="2825">
        <f>F334*G334</f>
        <v>33.145107461274591</v>
      </c>
      <c r="I334" s="2829">
        <f t="shared" ref="I334:I351" si="115">H334/$AV$5*$AV$7</f>
        <v>5.8820894931276035E-4</v>
      </c>
      <c r="J334" s="2851">
        <f t="shared" ref="J334:J351" si="116">I334/$AV$8</f>
        <v>1.2436291627523311E-5</v>
      </c>
      <c r="K334" s="2834">
        <f t="shared" ref="K334:K349" si="117">F334*1.05</f>
        <v>5800.3938057230534</v>
      </c>
      <c r="L334" s="1663"/>
      <c r="M334" s="1663"/>
      <c r="N334" s="1663"/>
      <c r="O334" s="1663"/>
      <c r="P334" s="1663"/>
      <c r="Q334" s="1663"/>
      <c r="R334" s="1663"/>
      <c r="S334" s="1663"/>
      <c r="T334" s="1663"/>
      <c r="U334" s="1663"/>
      <c r="V334" s="1663"/>
      <c r="W334" s="1663"/>
      <c r="X334" s="105"/>
      <c r="Y334" s="105"/>
      <c r="Z334" s="105"/>
      <c r="AA334" s="105"/>
      <c r="AB334" s="105"/>
      <c r="AC334" s="105"/>
      <c r="AD334" s="105"/>
      <c r="AE334" s="105"/>
      <c r="AF334" s="105"/>
      <c r="AG334" s="105"/>
      <c r="AH334" s="119"/>
      <c r="AI334" s="16"/>
      <c r="AJ334" s="16"/>
      <c r="AK334" s="16"/>
      <c r="AL334" s="16"/>
      <c r="AM334" s="16"/>
      <c r="AN334" s="16"/>
      <c r="AO334" s="16"/>
      <c r="AP334" s="16"/>
      <c r="AQ334" s="16"/>
      <c r="AR334" s="16"/>
      <c r="AS334" s="16"/>
      <c r="BO334" s="105"/>
      <c r="BP334" s="635"/>
      <c r="BQ334" s="635"/>
      <c r="BV334"/>
      <c r="BW334"/>
      <c r="BX334"/>
    </row>
    <row r="335" spans="1:76">
      <c r="A335" s="2539" t="s">
        <v>2672</v>
      </c>
      <c r="B335" s="2883" t="s">
        <v>1504</v>
      </c>
      <c r="C335" s="2522" t="s">
        <v>2673</v>
      </c>
      <c r="D335" s="3282">
        <f>SUMIFS(BCRR_REHAB!L:L,BCRR_REHAB!D:D,'Huella materiales (2)'!A335)</f>
        <v>0</v>
      </c>
      <c r="E335" s="1030">
        <f>'Datos_aux_materiales (2)'!M285</f>
        <v>0</v>
      </c>
      <c r="F335" s="2836">
        <f t="shared" si="114"/>
        <v>0</v>
      </c>
      <c r="G335" s="2823">
        <f>'Datos_aux_materiales (2)'!R285</f>
        <v>0</v>
      </c>
      <c r="H335" s="2825">
        <f t="shared" ref="H335:H349" si="118">F335*G335</f>
        <v>0</v>
      </c>
      <c r="I335" s="2829">
        <f t="shared" si="115"/>
        <v>0</v>
      </c>
      <c r="J335" s="2851">
        <f t="shared" si="116"/>
        <v>0</v>
      </c>
      <c r="K335" s="2834">
        <f t="shared" si="117"/>
        <v>0</v>
      </c>
      <c r="L335" s="1663"/>
      <c r="M335" s="1663"/>
      <c r="N335" s="1663"/>
      <c r="O335" s="1663"/>
      <c r="P335" s="1663"/>
      <c r="Q335" s="1663"/>
      <c r="R335" s="1663"/>
      <c r="S335" s="1663"/>
      <c r="T335" s="1663"/>
      <c r="U335" s="1663"/>
      <c r="V335" s="1663"/>
      <c r="W335" s="1663"/>
      <c r="X335" s="105"/>
      <c r="Y335" s="105"/>
      <c r="Z335" s="105"/>
      <c r="AA335" s="105"/>
      <c r="AB335" s="105"/>
      <c r="AC335" s="105"/>
      <c r="AD335" s="105"/>
      <c r="AE335" s="105"/>
      <c r="AF335" s="105"/>
      <c r="AG335" s="105"/>
      <c r="AH335" s="119"/>
      <c r="AI335" s="16"/>
      <c r="AJ335" s="16"/>
      <c r="AK335" s="16"/>
      <c r="AL335" s="16"/>
      <c r="AM335" s="16"/>
      <c r="AN335" s="16"/>
      <c r="AO335" s="16"/>
      <c r="AP335" s="16"/>
      <c r="AQ335" s="16"/>
      <c r="AR335" s="16"/>
      <c r="AS335" s="16"/>
      <c r="BO335" s="105"/>
      <c r="BP335" s="635"/>
      <c r="BQ335" s="635"/>
      <c r="BV335"/>
      <c r="BW335"/>
      <c r="BX335"/>
    </row>
    <row r="336" spans="1:76">
      <c r="A336" s="2539" t="s">
        <v>2733</v>
      </c>
      <c r="B336" s="2883" t="s">
        <v>1357</v>
      </c>
      <c r="C336" s="2522" t="s">
        <v>2734</v>
      </c>
      <c r="D336" s="3282">
        <f>SUMIFS(BCRR_REHAB!L:L,BCRR_REHAB!D:D,'Huella materiales (2)'!A336)</f>
        <v>1110.0969</v>
      </c>
      <c r="E336" s="1030">
        <f>'Datos_aux_materiales (2)'!M286</f>
        <v>1</v>
      </c>
      <c r="F336" s="2836">
        <f t="shared" si="114"/>
        <v>1110.0969</v>
      </c>
      <c r="G336" s="2823">
        <f>'Datos_aux_materiales (2)'!R286</f>
        <v>0</v>
      </c>
      <c r="H336" s="2825">
        <f t="shared" si="118"/>
        <v>0</v>
      </c>
      <c r="I336" s="2829">
        <f t="shared" si="115"/>
        <v>0</v>
      </c>
      <c r="J336" s="2851">
        <f t="shared" si="116"/>
        <v>0</v>
      </c>
      <c r="K336" s="2834">
        <f t="shared" si="117"/>
        <v>1165.6017450000002</v>
      </c>
      <c r="L336" s="1663"/>
      <c r="M336" s="1663"/>
      <c r="N336" s="1663"/>
      <c r="O336" s="1663"/>
      <c r="P336" s="1663"/>
      <c r="Q336" s="1663"/>
      <c r="R336" s="1663"/>
      <c r="S336" s="1663"/>
      <c r="T336" s="1663"/>
      <c r="U336" s="1663"/>
      <c r="V336" s="1663"/>
      <c r="W336" s="1663"/>
      <c r="X336" s="105"/>
      <c r="Y336" s="105"/>
      <c r="Z336" s="105"/>
      <c r="AA336" s="105"/>
      <c r="AB336" s="105"/>
      <c r="AC336" s="105"/>
      <c r="AD336" s="105"/>
      <c r="AE336" s="105"/>
      <c r="AF336" s="105"/>
      <c r="AG336" s="105"/>
      <c r="AH336" s="119"/>
      <c r="AI336" s="16"/>
      <c r="AJ336" s="16"/>
      <c r="AK336" s="16"/>
      <c r="AL336" s="16"/>
      <c r="AM336" s="16"/>
      <c r="AN336" s="16"/>
      <c r="AO336" s="16"/>
      <c r="AP336" s="16"/>
      <c r="AQ336" s="16"/>
      <c r="AR336" s="16"/>
      <c r="AS336" s="16"/>
      <c r="BO336" s="105"/>
      <c r="BP336" s="635"/>
      <c r="BQ336" s="635"/>
      <c r="BV336"/>
      <c r="BW336"/>
      <c r="BX336"/>
    </row>
    <row r="337" spans="1:76">
      <c r="A337" s="2535" t="s">
        <v>2767</v>
      </c>
      <c r="B337" s="2883" t="s">
        <v>1504</v>
      </c>
      <c r="C337" s="2522" t="s">
        <v>2768</v>
      </c>
      <c r="D337" s="3282">
        <f>SUMIFS(BCRR_REHAB!L:L,BCRR_REHAB!D:D,'Huella materiales (2)'!A337)</f>
        <v>0</v>
      </c>
      <c r="E337" s="1030">
        <f>'Datos_aux_materiales (2)'!M287</f>
        <v>1.2006967499999999</v>
      </c>
      <c r="F337" s="2836">
        <f t="shared" si="114"/>
        <v>0</v>
      </c>
      <c r="G337" s="2823">
        <f>'Datos_aux_materiales (2)'!R287</f>
        <v>68.3</v>
      </c>
      <c r="H337" s="2825">
        <f t="shared" si="118"/>
        <v>0</v>
      </c>
      <c r="I337" s="2829">
        <f t="shared" si="115"/>
        <v>0</v>
      </c>
      <c r="J337" s="2851">
        <f t="shared" si="116"/>
        <v>0</v>
      </c>
      <c r="K337" s="2834">
        <f t="shared" si="117"/>
        <v>0</v>
      </c>
      <c r="L337" s="1663"/>
      <c r="M337" s="1663"/>
      <c r="N337" s="1663"/>
      <c r="O337" s="1663"/>
      <c r="P337" s="1663"/>
      <c r="Q337" s="1663"/>
      <c r="R337" s="1663"/>
      <c r="S337" s="1663"/>
      <c r="T337" s="1663"/>
      <c r="U337" s="1663"/>
      <c r="V337" s="1663"/>
      <c r="W337" s="1663"/>
      <c r="X337" s="105"/>
      <c r="Y337" s="105"/>
      <c r="Z337" s="105"/>
      <c r="AA337" s="105"/>
      <c r="AB337" s="105"/>
      <c r="AC337" s="105"/>
      <c r="AD337" s="105"/>
      <c r="AE337" s="105"/>
      <c r="AF337" s="105"/>
      <c r="AG337" s="105"/>
      <c r="AH337" s="119"/>
      <c r="AI337" s="16"/>
      <c r="AJ337" s="16"/>
      <c r="AK337" s="16"/>
      <c r="AL337" s="16"/>
      <c r="AM337" s="16"/>
      <c r="AN337" s="16"/>
      <c r="AO337" s="16"/>
      <c r="AP337" s="16"/>
      <c r="AQ337" s="16"/>
      <c r="AR337" s="16"/>
      <c r="AS337" s="16"/>
      <c r="BO337" s="105"/>
      <c r="BP337" s="635"/>
      <c r="BQ337" s="635"/>
      <c r="BV337"/>
      <c r="BW337"/>
      <c r="BX337"/>
    </row>
    <row r="338" spans="1:76">
      <c r="A338" s="2535" t="s">
        <v>2764</v>
      </c>
      <c r="B338" s="2883" t="s">
        <v>1504</v>
      </c>
      <c r="C338" s="2522" t="s">
        <v>2765</v>
      </c>
      <c r="D338" s="3282">
        <f>SUMIFS(BCRR_REHAB!L:L,BCRR_REHAB!D:D,'Huella materiales (2)'!A338)</f>
        <v>0</v>
      </c>
      <c r="E338" s="1030">
        <f>'Datos_aux_materiales (2)'!M288</f>
        <v>3.2018580000000005</v>
      </c>
      <c r="F338" s="2836">
        <f t="shared" si="114"/>
        <v>0</v>
      </c>
      <c r="G338" s="2823">
        <f>'Datos_aux_materiales (2)'!R288</f>
        <v>68.3</v>
      </c>
      <c r="H338" s="2825">
        <f t="shared" si="118"/>
        <v>0</v>
      </c>
      <c r="I338" s="2829">
        <f t="shared" si="115"/>
        <v>0</v>
      </c>
      <c r="J338" s="2851">
        <f t="shared" si="116"/>
        <v>0</v>
      </c>
      <c r="K338" s="2834">
        <f t="shared" si="117"/>
        <v>0</v>
      </c>
      <c r="L338" s="1663"/>
      <c r="M338" s="1663"/>
      <c r="N338" s="1663"/>
      <c r="O338" s="1663"/>
      <c r="P338" s="1663"/>
      <c r="Q338" s="1663"/>
      <c r="R338" s="1663"/>
      <c r="S338" s="1663"/>
      <c r="T338" s="1663"/>
      <c r="U338" s="1663"/>
      <c r="V338" s="1663"/>
      <c r="W338" s="1663"/>
      <c r="X338" s="105"/>
      <c r="Y338" s="105"/>
      <c r="Z338" s="105"/>
      <c r="AA338" s="105"/>
      <c r="AB338" s="105"/>
      <c r="AC338" s="105"/>
      <c r="AD338" s="105"/>
      <c r="AE338" s="105"/>
      <c r="AF338" s="105"/>
      <c r="AG338" s="105"/>
      <c r="AH338" s="119"/>
      <c r="AI338" s="16"/>
      <c r="AJ338" s="16"/>
      <c r="AK338" s="16"/>
      <c r="AL338" s="16"/>
      <c r="AM338" s="16"/>
      <c r="AN338" s="16"/>
      <c r="AO338" s="16"/>
      <c r="AP338" s="16"/>
      <c r="AQ338" s="16"/>
      <c r="AR338" s="16"/>
      <c r="AS338" s="16"/>
      <c r="BO338" s="105"/>
      <c r="BP338" s="635"/>
      <c r="BQ338" s="635"/>
      <c r="BV338"/>
      <c r="BW338"/>
      <c r="BX338"/>
    </row>
    <row r="339" spans="1:76">
      <c r="A339" s="2535" t="s">
        <v>2773</v>
      </c>
      <c r="B339" s="2883" t="s">
        <v>1504</v>
      </c>
      <c r="C339" s="2522" t="s">
        <v>2774</v>
      </c>
      <c r="D339" s="3282">
        <f>SUMIFS(BCRR_REHAB!L:L,BCRR_REHAB!D:D,'Huella materiales (2)'!A339)</f>
        <v>0</v>
      </c>
      <c r="E339" s="1030">
        <f>'Datos_aux_materiales (2)'!M289</f>
        <v>4.0023225000000009</v>
      </c>
      <c r="F339" s="2836">
        <f t="shared" si="114"/>
        <v>0</v>
      </c>
      <c r="G339" s="2823">
        <f>'Datos_aux_materiales (2)'!R289</f>
        <v>68.3</v>
      </c>
      <c r="H339" s="2825">
        <f t="shared" si="118"/>
        <v>0</v>
      </c>
      <c r="I339" s="2829">
        <f t="shared" si="115"/>
        <v>0</v>
      </c>
      <c r="J339" s="2851">
        <f t="shared" si="116"/>
        <v>0</v>
      </c>
      <c r="K339" s="2834">
        <f t="shared" si="117"/>
        <v>0</v>
      </c>
      <c r="L339" s="1663"/>
      <c r="M339" s="1663"/>
      <c r="N339" s="1663"/>
      <c r="O339" s="1663"/>
      <c r="P339" s="1663"/>
      <c r="Q339" s="1663"/>
      <c r="R339" s="1663"/>
      <c r="S339" s="1663"/>
      <c r="T339" s="1663"/>
      <c r="U339" s="1663"/>
      <c r="V339" s="1663"/>
      <c r="W339" s="1663"/>
      <c r="X339" s="105"/>
      <c r="Y339" s="105"/>
      <c r="Z339" s="105"/>
      <c r="AA339" s="105"/>
      <c r="AB339" s="105"/>
      <c r="AC339" s="105"/>
      <c r="AD339" s="105"/>
      <c r="AE339" s="105"/>
      <c r="AF339" s="105"/>
      <c r="AG339" s="105"/>
      <c r="AH339" s="119"/>
      <c r="AI339" s="16"/>
      <c r="AJ339" s="16"/>
      <c r="AK339" s="16"/>
      <c r="AL339" s="16"/>
      <c r="AM339" s="16"/>
      <c r="AN339" s="16"/>
      <c r="AO339" s="16"/>
      <c r="AP339" s="16"/>
      <c r="AQ339" s="16"/>
      <c r="AR339" s="16"/>
      <c r="AS339" s="16"/>
      <c r="BO339" s="105"/>
      <c r="BP339" s="635"/>
      <c r="BQ339" s="635"/>
      <c r="BV339"/>
      <c r="BW339"/>
      <c r="BX339"/>
    </row>
    <row r="340" spans="1:76">
      <c r="A340" s="2534" t="s">
        <v>2519</v>
      </c>
      <c r="B340" s="2883" t="s">
        <v>1504</v>
      </c>
      <c r="C340" s="2532" t="s">
        <v>2520</v>
      </c>
      <c r="D340" s="3282">
        <f>SUMIFS(BCRR_REHAB!L:L,BCRR_REHAB!D:D,'Huella materiales (2)'!A340)</f>
        <v>0</v>
      </c>
      <c r="E340" s="1030">
        <f>'Datos_aux_materiales (2)'!M290</f>
        <v>0</v>
      </c>
      <c r="F340" s="2836">
        <f t="shared" si="114"/>
        <v>0</v>
      </c>
      <c r="G340" s="2823">
        <f>'Datos_aux_materiales (2)'!R290</f>
        <v>0</v>
      </c>
      <c r="H340" s="2825">
        <f t="shared" si="118"/>
        <v>0</v>
      </c>
      <c r="I340" s="2829">
        <f t="shared" si="115"/>
        <v>0</v>
      </c>
      <c r="J340" s="2851">
        <f t="shared" si="116"/>
        <v>0</v>
      </c>
      <c r="K340" s="2834">
        <f t="shared" si="117"/>
        <v>0</v>
      </c>
      <c r="L340" s="2814"/>
      <c r="M340" s="2815"/>
      <c r="N340" s="2814"/>
      <c r="O340" s="2814"/>
      <c r="P340" s="2814"/>
      <c r="Q340" s="2814"/>
      <c r="R340" s="2814"/>
      <c r="S340" s="2814"/>
      <c r="T340" s="2814"/>
      <c r="U340" s="2814"/>
      <c r="V340" s="2814"/>
      <c r="W340" s="2814"/>
      <c r="X340" s="2814"/>
      <c r="Y340" s="2814"/>
      <c r="Z340" s="2814"/>
      <c r="AA340" s="2814"/>
      <c r="AB340" s="2814"/>
      <c r="AC340" s="2814"/>
      <c r="AD340" s="2814"/>
      <c r="AE340" s="2814"/>
      <c r="AF340" s="2814"/>
      <c r="AG340" s="2814"/>
      <c r="AH340" s="2799"/>
      <c r="AI340" s="2799"/>
      <c r="AJ340" s="2799"/>
      <c r="AK340" s="2799"/>
      <c r="AL340" s="2799"/>
      <c r="AM340" s="2799"/>
      <c r="AN340" s="2799"/>
      <c r="AO340" s="2799"/>
      <c r="AP340" s="2799"/>
      <c r="AQ340" s="2799"/>
      <c r="AR340" s="2799"/>
      <c r="AS340" s="2799"/>
      <c r="AT340" s="2799"/>
      <c r="BO340" s="2814"/>
      <c r="BP340" s="635"/>
      <c r="BQ340" s="635"/>
      <c r="BV340"/>
      <c r="BW340"/>
      <c r="BX340"/>
    </row>
    <row r="341" spans="1:76">
      <c r="A341" s="2534" t="s">
        <v>2581</v>
      </c>
      <c r="B341" s="2883" t="s">
        <v>1504</v>
      </c>
      <c r="C341" s="2532" t="s">
        <v>2582</v>
      </c>
      <c r="D341" s="3282">
        <f>SUMIFS(BCRR_REHAB!L:L,BCRR_REHAB!D:D,'Huella materiales (2)'!A341)</f>
        <v>0</v>
      </c>
      <c r="E341" s="1030">
        <f>'Datos_aux_materiales (2)'!M291</f>
        <v>0</v>
      </c>
      <c r="F341" s="2836">
        <f t="shared" si="114"/>
        <v>0</v>
      </c>
      <c r="G341" s="2823">
        <f>'Datos_aux_materiales (2)'!R291</f>
        <v>0</v>
      </c>
      <c r="H341" s="2825">
        <f t="shared" si="118"/>
        <v>0</v>
      </c>
      <c r="I341" s="2829">
        <f t="shared" si="115"/>
        <v>0</v>
      </c>
      <c r="J341" s="2851">
        <f t="shared" si="116"/>
        <v>0</v>
      </c>
      <c r="K341" s="2834">
        <f t="shared" si="117"/>
        <v>0</v>
      </c>
      <c r="L341" s="635"/>
      <c r="M341" s="635"/>
      <c r="N341" s="635"/>
      <c r="O341" s="635"/>
      <c r="P341" s="635"/>
      <c r="Q341" s="635"/>
      <c r="R341" s="635"/>
      <c r="S341" s="635"/>
      <c r="T341" s="635"/>
      <c r="U341" s="635"/>
      <c r="V341" s="635"/>
      <c r="W341" s="635"/>
      <c r="X341" s="635"/>
      <c r="Y341" s="635"/>
      <c r="Z341" s="635"/>
      <c r="AA341" s="635"/>
      <c r="AB341" s="635"/>
      <c r="AC341" s="635"/>
      <c r="AD341" s="635"/>
      <c r="AE341" s="635"/>
      <c r="AF341" s="635"/>
      <c r="AG341" s="635"/>
      <c r="AH341" s="635"/>
      <c r="AI341" s="635"/>
      <c r="AJ341" s="635"/>
      <c r="AK341" s="635"/>
      <c r="AL341" s="635"/>
      <c r="AM341" s="635"/>
      <c r="AN341" s="635"/>
      <c r="AO341" s="635"/>
      <c r="AP341" s="635"/>
      <c r="AQ341" s="635"/>
      <c r="AR341" s="635"/>
      <c r="AS341" s="635"/>
      <c r="AT341" s="635"/>
      <c r="BO341" s="635"/>
      <c r="BP341" s="635"/>
      <c r="BQ341" s="635"/>
      <c r="BV341"/>
      <c r="BW341"/>
      <c r="BX341"/>
    </row>
    <row r="342" spans="1:76">
      <c r="A342" s="2534" t="s">
        <v>2603</v>
      </c>
      <c r="B342" s="2883" t="s">
        <v>1504</v>
      </c>
      <c r="C342" s="2532" t="s">
        <v>2604</v>
      </c>
      <c r="D342" s="3282">
        <f>SUMIFS(BCRR_REHAB!L:L,BCRR_REHAB!D:D,'Huella materiales (2)'!A342)</f>
        <v>0</v>
      </c>
      <c r="E342" s="1030">
        <f>'Datos_aux_materiales (2)'!M292</f>
        <v>0</v>
      </c>
      <c r="F342" s="2836">
        <f t="shared" si="114"/>
        <v>0</v>
      </c>
      <c r="G342" s="2823">
        <f>'Datos_aux_materiales (2)'!R292</f>
        <v>0</v>
      </c>
      <c r="H342" s="2825">
        <f t="shared" si="118"/>
        <v>0</v>
      </c>
      <c r="I342" s="2829">
        <f t="shared" si="115"/>
        <v>0</v>
      </c>
      <c r="J342" s="2851">
        <f t="shared" si="116"/>
        <v>0</v>
      </c>
      <c r="K342" s="2834">
        <f t="shared" si="117"/>
        <v>0</v>
      </c>
      <c r="L342" s="2814"/>
      <c r="M342" s="2815"/>
      <c r="N342" s="2814"/>
      <c r="O342" s="2814"/>
      <c r="P342" s="2814"/>
      <c r="Q342" s="2814"/>
      <c r="R342" s="2814"/>
      <c r="S342" s="2814"/>
      <c r="T342" s="2814"/>
      <c r="U342" s="2814"/>
      <c r="V342" s="2814"/>
      <c r="W342" s="2814"/>
      <c r="X342" s="2814"/>
      <c r="Y342" s="2814"/>
      <c r="Z342" s="2814"/>
      <c r="AA342" s="2814"/>
      <c r="AB342" s="2814"/>
      <c r="AC342" s="2814"/>
      <c r="AD342" s="2814"/>
      <c r="AE342" s="2814"/>
      <c r="AF342" s="2814"/>
      <c r="AG342" s="2814"/>
      <c r="AH342" s="2799"/>
      <c r="AI342" s="2799"/>
      <c r="AJ342" s="2799"/>
      <c r="AK342" s="2799"/>
      <c r="AL342" s="2799"/>
      <c r="AM342" s="2799"/>
      <c r="AN342" s="2799"/>
      <c r="AO342" s="2799"/>
      <c r="AP342" s="2799"/>
      <c r="AQ342" s="2799"/>
      <c r="AR342" s="2799"/>
      <c r="AS342" s="2799"/>
      <c r="AT342" s="2799"/>
      <c r="BO342" s="2814"/>
      <c r="BP342" s="635"/>
      <c r="BQ342" s="635"/>
      <c r="BV342"/>
      <c r="BW342"/>
      <c r="BX342"/>
    </row>
    <row r="343" spans="1:76">
      <c r="A343" s="2535" t="s">
        <v>2535</v>
      </c>
      <c r="B343" s="2883" t="s">
        <v>1504</v>
      </c>
      <c r="C343" s="2522" t="s">
        <v>2536</v>
      </c>
      <c r="D343" s="3282">
        <f>SUMIFS(BCRR_REHAB!L:L,BCRR_REHAB!D:D,'Huella materiales (2)'!A343)</f>
        <v>0</v>
      </c>
      <c r="E343" s="1030">
        <f>'Datos_aux_materiales (2)'!M293</f>
        <v>4.0023225000000009</v>
      </c>
      <c r="F343" s="2836">
        <f t="shared" si="114"/>
        <v>0</v>
      </c>
      <c r="G343" s="2823">
        <f>'Datos_aux_materiales (2)'!R293</f>
        <v>68.3</v>
      </c>
      <c r="H343" s="2825">
        <f t="shared" si="118"/>
        <v>0</v>
      </c>
      <c r="I343" s="2829">
        <f t="shared" si="115"/>
        <v>0</v>
      </c>
      <c r="J343" s="2851">
        <f t="shared" si="116"/>
        <v>0</v>
      </c>
      <c r="K343" s="2834">
        <f t="shared" si="117"/>
        <v>0</v>
      </c>
      <c r="L343" s="635"/>
      <c r="M343" s="635"/>
      <c r="N343" s="635"/>
      <c r="O343" s="635"/>
      <c r="P343" s="635"/>
      <c r="Q343" s="635"/>
      <c r="R343" s="635"/>
      <c r="S343" s="635"/>
      <c r="T343" s="635"/>
      <c r="U343" s="635"/>
      <c r="V343" s="635"/>
      <c r="W343" s="635"/>
      <c r="X343" s="635"/>
      <c r="Y343" s="635"/>
      <c r="Z343" s="635"/>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BO343" s="635"/>
      <c r="BP343" s="635"/>
      <c r="BQ343" s="635"/>
      <c r="BV343"/>
      <c r="BW343"/>
      <c r="BX343"/>
    </row>
    <row r="344" spans="1:76">
      <c r="A344" s="2535" t="s">
        <v>2533</v>
      </c>
      <c r="B344" s="2883" t="s">
        <v>1504</v>
      </c>
      <c r="C344" s="2522" t="s">
        <v>2534</v>
      </c>
      <c r="D344" s="3282">
        <f>SUMIFS(BCRR_REHAB!L:L,BCRR_REHAB!D:D,'Huella materiales (2)'!A344)</f>
        <v>0</v>
      </c>
      <c r="E344" s="1030">
        <f>'Datos_aux_materiales (2)'!M294</f>
        <v>4.0023225000000009</v>
      </c>
      <c r="F344" s="2836">
        <f t="shared" si="114"/>
        <v>0</v>
      </c>
      <c r="G344" s="2823">
        <f>'Datos_aux_materiales (2)'!R294</f>
        <v>68.3</v>
      </c>
      <c r="H344" s="2825">
        <f t="shared" si="118"/>
        <v>0</v>
      </c>
      <c r="I344" s="2829">
        <f t="shared" si="115"/>
        <v>0</v>
      </c>
      <c r="J344" s="2851">
        <f t="shared" si="116"/>
        <v>0</v>
      </c>
      <c r="K344" s="2834">
        <f t="shared" si="117"/>
        <v>0</v>
      </c>
      <c r="L344" s="635"/>
      <c r="M344" s="635"/>
      <c r="N344" s="635"/>
      <c r="O344" s="635"/>
      <c r="P344" s="635"/>
      <c r="Q344" s="635"/>
      <c r="R344" s="635"/>
      <c r="S344" s="635"/>
      <c r="T344" s="635"/>
      <c r="U344" s="635"/>
      <c r="V344" s="635"/>
      <c r="W344" s="635"/>
      <c r="X344" s="635"/>
      <c r="Y344" s="635"/>
      <c r="Z344" s="635"/>
      <c r="AA344" s="635"/>
      <c r="AB344" s="635"/>
      <c r="AC344" s="635"/>
      <c r="AD344" s="635"/>
      <c r="AE344" s="635"/>
      <c r="AF344" s="635"/>
      <c r="AG344" s="635"/>
      <c r="AH344" s="635"/>
      <c r="AI344" s="635"/>
      <c r="AJ344" s="635"/>
      <c r="AK344" s="635"/>
      <c r="AL344" s="635"/>
      <c r="AM344" s="635"/>
      <c r="AN344" s="635"/>
      <c r="AO344" s="635"/>
      <c r="AP344" s="635"/>
      <c r="AQ344" s="635"/>
      <c r="AR344" s="635"/>
      <c r="AS344" s="635"/>
      <c r="AT344" s="635"/>
      <c r="BO344" s="635"/>
      <c r="BP344" s="635"/>
      <c r="BQ344" s="635"/>
      <c r="BV344"/>
      <c r="BW344"/>
      <c r="BX344"/>
    </row>
    <row r="345" spans="1:76">
      <c r="A345" s="2534" t="s">
        <v>2515</v>
      </c>
      <c r="B345" s="2883" t="s">
        <v>1504</v>
      </c>
      <c r="C345" s="2532" t="s">
        <v>2516</v>
      </c>
      <c r="D345" s="3282">
        <f>SUMIFS(BCRR_REHAB!L:L,BCRR_REHAB!D:D,'Huella materiales (2)'!A345)</f>
        <v>0</v>
      </c>
      <c r="E345" s="1030">
        <f>'Datos_aux_materiales (2)'!M295</f>
        <v>0</v>
      </c>
      <c r="F345" s="2836">
        <f t="shared" si="114"/>
        <v>0</v>
      </c>
      <c r="G345" s="2823">
        <f>'Datos_aux_materiales (2)'!R295</f>
        <v>0</v>
      </c>
      <c r="H345" s="2825">
        <f t="shared" si="118"/>
        <v>0</v>
      </c>
      <c r="I345" s="2829">
        <f t="shared" si="115"/>
        <v>0</v>
      </c>
      <c r="J345" s="2851">
        <f t="shared" si="116"/>
        <v>0</v>
      </c>
      <c r="K345" s="2834">
        <f t="shared" si="117"/>
        <v>0</v>
      </c>
      <c r="L345" s="635"/>
      <c r="M345" s="635"/>
      <c r="N345" s="635"/>
      <c r="O345" s="635"/>
      <c r="P345" s="635"/>
      <c r="Q345" s="635"/>
      <c r="R345" s="635"/>
      <c r="S345" s="635"/>
      <c r="T345" s="635"/>
      <c r="U345" s="635"/>
      <c r="V345" s="635"/>
      <c r="W345" s="635"/>
      <c r="X345" s="635"/>
      <c r="Y345" s="635"/>
      <c r="Z345" s="635"/>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BO345" s="635"/>
      <c r="BP345" s="635"/>
      <c r="BQ345" s="635"/>
      <c r="BV345"/>
      <c r="BW345"/>
      <c r="BX345"/>
    </row>
    <row r="346" spans="1:76">
      <c r="A346" s="2534" t="s">
        <v>2555</v>
      </c>
      <c r="B346" s="2883" t="s">
        <v>1504</v>
      </c>
      <c r="C346" s="2532" t="s">
        <v>2556</v>
      </c>
      <c r="D346" s="3282">
        <f>SUMIFS(BCRR_REHAB!L:L,BCRR_REHAB!D:D,'Huella materiales (2)'!A346)</f>
        <v>0</v>
      </c>
      <c r="E346" s="1030">
        <f>'Datos_aux_materiales (2)'!M296</f>
        <v>0</v>
      </c>
      <c r="F346" s="2836">
        <f t="shared" si="114"/>
        <v>0</v>
      </c>
      <c r="G346" s="2823">
        <f>'Datos_aux_materiales (2)'!R296</f>
        <v>0</v>
      </c>
      <c r="H346" s="2825">
        <f t="shared" si="118"/>
        <v>0</v>
      </c>
      <c r="I346" s="2829">
        <f t="shared" si="115"/>
        <v>0</v>
      </c>
      <c r="J346" s="2851">
        <f t="shared" si="116"/>
        <v>0</v>
      </c>
      <c r="K346" s="2834">
        <f t="shared" si="117"/>
        <v>0</v>
      </c>
      <c r="L346" s="635"/>
      <c r="M346" s="635"/>
      <c r="N346" s="635"/>
      <c r="O346" s="635"/>
      <c r="P346" s="635"/>
      <c r="Q346" s="635"/>
      <c r="R346" s="635"/>
      <c r="S346" s="635"/>
      <c r="T346" s="635"/>
      <c r="U346" s="635"/>
      <c r="V346" s="635"/>
      <c r="W346" s="635"/>
      <c r="X346" s="635"/>
      <c r="Y346" s="635"/>
      <c r="Z346" s="635"/>
      <c r="AA346" s="635"/>
      <c r="AB346" s="635"/>
      <c r="AC346" s="635"/>
      <c r="AD346" s="635"/>
      <c r="AE346" s="635"/>
      <c r="AF346" s="635"/>
      <c r="AG346" s="635"/>
      <c r="AH346" s="635"/>
      <c r="AI346" s="635"/>
      <c r="AJ346" s="635"/>
      <c r="AK346" s="635"/>
      <c r="AL346" s="635"/>
      <c r="AM346" s="635"/>
      <c r="AN346" s="635"/>
      <c r="AO346" s="635"/>
      <c r="AP346" s="635"/>
      <c r="AQ346" s="635"/>
      <c r="AR346" s="635"/>
      <c r="AS346" s="635"/>
      <c r="AT346" s="635"/>
      <c r="BO346" s="635"/>
      <c r="BP346" s="635"/>
      <c r="BQ346" s="635"/>
      <c r="BV346"/>
      <c r="BW346"/>
      <c r="BX346"/>
    </row>
    <row r="347" spans="1:76">
      <c r="A347" s="2534" t="s">
        <v>2617</v>
      </c>
      <c r="B347" s="2883" t="s">
        <v>1504</v>
      </c>
      <c r="C347" s="2532" t="s">
        <v>2618</v>
      </c>
      <c r="D347" s="3282">
        <f>SUMIFS(BCRR_REHAB!L:L,BCRR_REHAB!D:D,'Huella materiales (2)'!A347)</f>
        <v>0</v>
      </c>
      <c r="E347" s="1030">
        <f>'Datos_aux_materiales (2)'!M297</f>
        <v>0</v>
      </c>
      <c r="F347" s="2836">
        <f t="shared" si="114"/>
        <v>0</v>
      </c>
      <c r="G347" s="2823">
        <f>'Datos_aux_materiales (2)'!R297</f>
        <v>0</v>
      </c>
      <c r="H347" s="2825">
        <f t="shared" si="118"/>
        <v>0</v>
      </c>
      <c r="I347" s="2829">
        <f t="shared" si="115"/>
        <v>0</v>
      </c>
      <c r="J347" s="2851">
        <f t="shared" si="116"/>
        <v>0</v>
      </c>
      <c r="K347" s="2834">
        <f t="shared" si="117"/>
        <v>0</v>
      </c>
      <c r="L347" s="635"/>
      <c r="M347" s="635"/>
      <c r="N347" s="635"/>
      <c r="O347" s="635"/>
      <c r="P347" s="635"/>
      <c r="Q347" s="635"/>
      <c r="R347" s="635"/>
      <c r="S347" s="635"/>
      <c r="T347" s="635"/>
      <c r="U347" s="635"/>
      <c r="V347" s="635"/>
      <c r="W347" s="635"/>
      <c r="X347" s="635"/>
      <c r="Y347" s="635"/>
      <c r="Z347" s="635"/>
      <c r="AA347" s="635"/>
      <c r="AB347" s="635"/>
      <c r="AC347" s="635"/>
      <c r="AD347" s="635"/>
      <c r="AE347" s="635"/>
      <c r="AF347" s="635"/>
      <c r="AG347" s="635"/>
      <c r="AH347" s="635"/>
      <c r="AI347" s="635"/>
      <c r="AJ347" s="635"/>
      <c r="AK347" s="635"/>
      <c r="AL347" s="635"/>
      <c r="AM347" s="635"/>
      <c r="AN347" s="635"/>
      <c r="AO347" s="635"/>
      <c r="AP347" s="635"/>
      <c r="AQ347" s="635"/>
      <c r="AR347" s="635"/>
      <c r="AS347" s="635"/>
      <c r="AT347" s="635"/>
      <c r="BO347" s="635"/>
      <c r="BP347" s="635"/>
      <c r="BQ347" s="635"/>
      <c r="BV347"/>
      <c r="BW347"/>
      <c r="BX347"/>
    </row>
    <row r="348" spans="1:76">
      <c r="A348" s="2523" t="s">
        <v>1097</v>
      </c>
      <c r="B348" s="2565" t="s">
        <v>1504</v>
      </c>
      <c r="C348" s="2522" t="s">
        <v>1632</v>
      </c>
      <c r="D348" s="3282">
        <f>SUMIFS(BCRR_REHAB!L:L,BCRR_REHAB!D:D,'Huella materiales (2)'!A348)</f>
        <v>54981.543797999992</v>
      </c>
      <c r="E348" s="1030">
        <f>'Datos_aux_materiales (2)'!M298</f>
        <v>0.40023225000000007</v>
      </c>
      <c r="F348" s="2836">
        <f t="shared" si="114"/>
        <v>22005.386982747084</v>
      </c>
      <c r="G348" s="2823">
        <f>'Datos_aux_materiales (2)'!R298</f>
        <v>68.3</v>
      </c>
      <c r="H348" s="2825">
        <f t="shared" si="118"/>
        <v>1502967.9309216258</v>
      </c>
      <c r="I348" s="2829">
        <f t="shared" si="115"/>
        <v>26.672388633257025</v>
      </c>
      <c r="J348" s="2851">
        <f t="shared" si="116"/>
        <v>0.56392478188809225</v>
      </c>
      <c r="K348" s="2834">
        <f t="shared" si="117"/>
        <v>23105.656331884438</v>
      </c>
      <c r="L348" s="635"/>
      <c r="M348" s="635"/>
      <c r="N348" s="635"/>
      <c r="O348" s="635"/>
      <c r="P348" s="635"/>
      <c r="Q348" s="635"/>
      <c r="R348" s="635"/>
      <c r="S348" s="635"/>
      <c r="T348" s="635"/>
      <c r="U348" s="635"/>
      <c r="V348" s="635"/>
      <c r="W348" s="635"/>
      <c r="X348" s="635"/>
      <c r="Y348" s="635"/>
      <c r="Z348" s="635"/>
      <c r="AA348" s="635"/>
      <c r="AB348" s="635"/>
      <c r="AC348" s="635"/>
      <c r="AD348" s="635"/>
      <c r="AE348" s="635"/>
      <c r="AF348" s="635"/>
      <c r="AG348" s="635"/>
      <c r="AH348" s="635"/>
      <c r="AI348" s="635"/>
      <c r="AJ348" s="635"/>
      <c r="AK348" s="635"/>
      <c r="AL348" s="635"/>
      <c r="AM348" s="635"/>
      <c r="AN348" s="635"/>
      <c r="AO348" s="635"/>
      <c r="AP348" s="635"/>
      <c r="AQ348" s="635"/>
      <c r="AR348" s="635"/>
      <c r="AS348" s="635"/>
      <c r="AT348" s="635"/>
      <c r="BO348" s="635"/>
      <c r="BP348" s="635"/>
      <c r="BQ348" s="635"/>
      <c r="BV348"/>
      <c r="BW348"/>
      <c r="BX348"/>
    </row>
    <row r="349" spans="1:76">
      <c r="A349" s="2523" t="s">
        <v>1082</v>
      </c>
      <c r="B349" s="2565" t="s">
        <v>1504</v>
      </c>
      <c r="C349" s="2522" t="s">
        <v>1541</v>
      </c>
      <c r="D349" s="3282">
        <f>SUMIFS(BCRR_REHAB!L:L,BCRR_REHAB!D:D,'Huella materiales (2)'!A349)</f>
        <v>20745.989762499994</v>
      </c>
      <c r="E349" s="1030">
        <f>'Datos_aux_materiales (2)'!M299</f>
        <v>0.40023225000000007</v>
      </c>
      <c r="F349" s="2836">
        <f t="shared" si="114"/>
        <v>8303.2141611223396</v>
      </c>
      <c r="G349" s="2824">
        <f>'Datos_aux_materiales (2)'!R299</f>
        <v>68.3</v>
      </c>
      <c r="H349" s="2825">
        <f t="shared" si="118"/>
        <v>567109.52720465581</v>
      </c>
      <c r="I349" s="2829">
        <f t="shared" si="115"/>
        <v>10.064197243350231</v>
      </c>
      <c r="J349" s="2851">
        <f t="shared" si="116"/>
        <v>0.21278372602364018</v>
      </c>
      <c r="K349" s="2834">
        <f t="shared" si="117"/>
        <v>8718.3748691784567</v>
      </c>
      <c r="L349" s="635"/>
      <c r="M349" s="635"/>
      <c r="N349" s="635"/>
      <c r="O349" s="635"/>
      <c r="P349" s="635"/>
      <c r="Q349" s="635"/>
      <c r="R349" s="635"/>
      <c r="S349" s="635"/>
      <c r="T349" s="635"/>
      <c r="U349" s="635"/>
      <c r="V349" s="635"/>
      <c r="W349" s="635"/>
      <c r="X349" s="635"/>
      <c r="Y349" s="635"/>
      <c r="Z349" s="635"/>
      <c r="AA349" s="635"/>
      <c r="AB349" s="635"/>
      <c r="AC349" s="635"/>
      <c r="AD349" s="635"/>
      <c r="AE349" s="635"/>
      <c r="AF349" s="635"/>
      <c r="AG349" s="635"/>
      <c r="AH349" s="635"/>
      <c r="AI349" s="635"/>
      <c r="AJ349" s="635"/>
      <c r="AK349" s="635"/>
      <c r="AL349" s="635"/>
      <c r="AM349" s="635"/>
      <c r="AN349" s="635"/>
      <c r="AO349" s="635"/>
      <c r="AP349" s="635"/>
      <c r="AQ349" s="635"/>
      <c r="AR349" s="635"/>
      <c r="AS349" s="635"/>
      <c r="AT349" s="635"/>
      <c r="BO349" s="635"/>
      <c r="BP349" s="635"/>
      <c r="BQ349" s="635"/>
      <c r="BV349"/>
      <c r="BW349"/>
      <c r="BX349"/>
    </row>
    <row r="350" spans="1:76" ht="18.5">
      <c r="A350" s="2901"/>
      <c r="B350" s="2902"/>
      <c r="C350" s="2903" t="s">
        <v>3101</v>
      </c>
      <c r="D350" s="3286"/>
      <c r="E350" s="2795"/>
      <c r="F350" s="2843">
        <f>SUM(F334:F349)</f>
        <v>36942.882620748525</v>
      </c>
      <c r="G350" s="2844"/>
      <c r="H350" s="2842">
        <f>SUM(H334:H349)</f>
        <v>2070110.603233743</v>
      </c>
      <c r="I350" s="2830">
        <f t="shared" si="115"/>
        <v>36.737174085556568</v>
      </c>
      <c r="J350" s="2854">
        <f t="shared" si="116"/>
        <v>0.77672094420335991</v>
      </c>
      <c r="K350" s="2835">
        <f>SUM(K334:K349)</f>
        <v>38790.026751785947</v>
      </c>
      <c r="L350" s="2904"/>
      <c r="M350" s="2904"/>
      <c r="N350" s="2904"/>
      <c r="O350" s="2904"/>
      <c r="P350" s="2904"/>
      <c r="Q350" s="2904"/>
      <c r="R350" s="2904"/>
      <c r="S350" s="2904"/>
      <c r="T350" s="2904"/>
      <c r="U350" s="2904"/>
      <c r="V350" s="2904"/>
      <c r="W350" s="2904"/>
      <c r="X350" s="2904"/>
      <c r="Y350" s="2904"/>
      <c r="Z350" s="2904"/>
      <c r="AA350" s="2904"/>
      <c r="AB350" s="2904"/>
      <c r="AC350" s="2904"/>
      <c r="AD350" s="2904"/>
      <c r="AE350" s="2904"/>
      <c r="AF350" s="2904"/>
      <c r="AG350" s="2904"/>
      <c r="AH350" s="635"/>
      <c r="AI350" s="635"/>
      <c r="AJ350" s="635"/>
      <c r="AK350" s="635"/>
      <c r="AL350" s="635"/>
      <c r="AM350" s="635"/>
      <c r="AN350" s="635"/>
      <c r="AO350" s="635"/>
      <c r="AP350" s="635"/>
      <c r="AQ350" s="635"/>
      <c r="AR350" s="635"/>
      <c r="AS350" s="635"/>
      <c r="AT350" s="635"/>
      <c r="BO350" s="635"/>
      <c r="BP350" s="635"/>
      <c r="BQ350" s="635"/>
      <c r="BV350"/>
      <c r="BW350"/>
      <c r="BX350"/>
    </row>
    <row r="351" spans="1:76" ht="18.5">
      <c r="A351" s="2905"/>
      <c r="B351" s="2906"/>
      <c r="C351" s="2907"/>
      <c r="D351" s="2908" t="s">
        <v>327</v>
      </c>
      <c r="E351" s="2848"/>
      <c r="F351" s="2849">
        <f>F73+F86+F91+F97+F102+F110+F121+F135+F163+F169+F173+F185+F199+F212+F216+F233+F240+F250+F292+F299+F303+F307+F322+F327+F331+F350</f>
        <v>89688.422950589666</v>
      </c>
      <c r="G351" s="2846"/>
      <c r="H351" s="2847">
        <f>H73+H86+H91+H97+H102+H110+H121+H135+H163+H169+H173+H185+H199+H212+H216+H233+H240+H250+H292+H299+H303+H307+H322+H327+H331+H350</f>
        <v>2665192.2015015855</v>
      </c>
      <c r="I351" s="2830">
        <f t="shared" si="115"/>
        <v>47.297777097070394</v>
      </c>
      <c r="J351" s="2853">
        <f t="shared" si="116"/>
        <v>1</v>
      </c>
      <c r="K351" s="2845">
        <f>K73+K86+K91+K97+K102+K110+K121+K135+K163+K169+K173+K185+K199+K212+K216+K233+K240+K250+K292+K299+K303+K307+K322+K327+K331+K350</f>
        <v>94172.844098119152</v>
      </c>
      <c r="L351" s="2848"/>
      <c r="M351" s="2848"/>
      <c r="N351" s="2848"/>
      <c r="O351" s="2848"/>
      <c r="P351" s="2848"/>
      <c r="Q351" s="2848"/>
      <c r="R351" s="2848"/>
      <c r="S351" s="2848"/>
      <c r="T351" s="2848"/>
      <c r="U351" s="2848"/>
      <c r="V351" s="2848"/>
      <c r="W351" s="2848"/>
      <c r="X351" s="2848"/>
      <c r="Y351" s="2848"/>
      <c r="Z351" s="2848"/>
      <c r="AA351" s="2848"/>
      <c r="AB351" s="2848"/>
      <c r="AC351" s="2848"/>
      <c r="AD351" s="2848"/>
      <c r="AE351" s="2848"/>
      <c r="AF351" s="2848"/>
      <c r="AG351" s="2848"/>
      <c r="AH351" s="635"/>
      <c r="AI351" s="635"/>
      <c r="AJ351" s="635"/>
      <c r="AK351" s="635"/>
      <c r="AL351" s="635"/>
      <c r="AM351" s="635"/>
      <c r="AN351" s="635"/>
      <c r="AO351" s="635"/>
      <c r="AP351" s="635"/>
      <c r="AQ351" s="635"/>
      <c r="AR351" s="635"/>
      <c r="AS351" s="635"/>
      <c r="AT351" s="635"/>
      <c r="BO351" s="2942"/>
      <c r="BP351" s="2942"/>
      <c r="BQ351" s="2942"/>
      <c r="BV351"/>
      <c r="BW351"/>
      <c r="BX351"/>
    </row>
    <row r="352" spans="1:76" ht="15.5">
      <c r="A352" s="2743"/>
      <c r="B352" s="2897"/>
      <c r="C352" s="2813"/>
      <c r="D352" s="2799"/>
      <c r="E352" s="2815"/>
      <c r="F352" s="2815"/>
      <c r="G352" s="2815"/>
      <c r="H352" s="2765"/>
      <c r="I352" s="2815"/>
      <c r="J352" s="2815"/>
      <c r="K352" s="2815"/>
      <c r="L352" s="2765"/>
      <c r="M352" s="635"/>
      <c r="N352" s="2765"/>
      <c r="O352" s="2816"/>
      <c r="P352" s="2799"/>
      <c r="Q352" s="635"/>
      <c r="R352" s="2765"/>
      <c r="S352" s="2799"/>
      <c r="T352" s="2799"/>
      <c r="U352" s="2799"/>
      <c r="V352" s="2799"/>
      <c r="W352" s="2799"/>
      <c r="X352" s="2799"/>
      <c r="Y352" s="2799"/>
      <c r="Z352" s="2799"/>
      <c r="AA352" s="2799"/>
      <c r="AB352" s="2799"/>
      <c r="AC352" s="2799"/>
      <c r="AD352" s="2799"/>
      <c r="AE352" s="2799"/>
      <c r="AF352" s="635"/>
      <c r="AG352" s="2763"/>
      <c r="AH352" s="2763"/>
      <c r="AI352" s="2763"/>
      <c r="AJ352" s="2763"/>
      <c r="AK352" s="2763"/>
      <c r="AL352" s="2763"/>
      <c r="AM352" s="2763"/>
      <c r="AN352" s="2763"/>
      <c r="AO352" s="2763"/>
      <c r="AP352" s="2763"/>
      <c r="AQ352" s="2763"/>
      <c r="AR352" s="2763"/>
      <c r="AS352" s="2763"/>
      <c r="AT352" s="2763"/>
      <c r="AU352" s="2763"/>
      <c r="AV352" s="2763"/>
      <c r="AW352" s="2763"/>
      <c r="AX352" s="2763"/>
      <c r="AY352" s="2763"/>
      <c r="AZ352" s="2763"/>
      <c r="BA352" s="2763"/>
      <c r="BB352" s="2763"/>
      <c r="BC352" s="2763"/>
      <c r="BD352" s="2763"/>
      <c r="BE352" s="2763"/>
      <c r="BF352" s="2763"/>
      <c r="BG352" s="2763"/>
      <c r="BH352" s="2763"/>
      <c r="BI352" s="2763"/>
      <c r="BJ352" s="2763"/>
      <c r="BK352" s="2763"/>
      <c r="BL352" s="2763"/>
      <c r="BM352" s="2763"/>
      <c r="BN352" s="2763"/>
      <c r="BO352" s="2763"/>
      <c r="BV352"/>
      <c r="BW352"/>
      <c r="BX352"/>
    </row>
    <row r="353" spans="1:76">
      <c r="A353" s="2743"/>
      <c r="B353" s="2898"/>
      <c r="C353" s="2764"/>
      <c r="D353" s="3287"/>
      <c r="E353" s="635"/>
      <c r="F353" s="635"/>
      <c r="G353" s="635"/>
      <c r="H353" s="635"/>
      <c r="I353" s="635"/>
      <c r="J353" s="635"/>
      <c r="K353" s="635"/>
      <c r="L353" s="635"/>
      <c r="M353" s="635"/>
      <c r="N353" s="635"/>
      <c r="O353" s="635"/>
      <c r="P353" s="635"/>
      <c r="Q353" s="635"/>
      <c r="R353" s="635"/>
      <c r="S353" s="636"/>
      <c r="T353" s="635"/>
      <c r="U353" s="635"/>
      <c r="V353" s="635"/>
      <c r="W353" s="635"/>
      <c r="X353" s="635"/>
      <c r="Y353" s="635"/>
      <c r="Z353" s="635"/>
      <c r="AA353" s="635"/>
      <c r="AB353" s="635"/>
      <c r="AC353" s="635"/>
      <c r="AD353" s="635"/>
      <c r="AE353" s="635"/>
      <c r="AF353" s="635"/>
      <c r="AG353" s="635"/>
      <c r="AH353" s="635"/>
      <c r="AI353" s="635"/>
      <c r="AJ353" s="635"/>
      <c r="AK353" s="635"/>
      <c r="AL353" s="635"/>
      <c r="AM353" s="635"/>
      <c r="AN353" s="635"/>
      <c r="AO353" s="635"/>
      <c r="AP353" s="635"/>
      <c r="AQ353" s="635"/>
      <c r="AR353" s="635"/>
      <c r="AS353" s="2763"/>
      <c r="AT353" s="2763"/>
      <c r="AU353" s="2763"/>
      <c r="AV353" s="2763"/>
      <c r="AW353" s="2763"/>
      <c r="AX353" s="2763"/>
      <c r="AY353" s="2763"/>
      <c r="AZ353" s="2763"/>
      <c r="BA353" s="2763"/>
      <c r="BB353" s="2763"/>
      <c r="BC353" s="2763"/>
      <c r="BD353" s="2763"/>
      <c r="BE353" s="2763"/>
      <c r="BF353" s="2763"/>
      <c r="BG353" s="2763"/>
      <c r="BH353" s="2763"/>
      <c r="BI353" s="2763"/>
      <c r="BJ353" s="2763"/>
      <c r="BK353" s="2763"/>
      <c r="BL353" s="2763"/>
      <c r="BM353" s="2763"/>
      <c r="BN353" s="2763"/>
      <c r="BO353" s="2763"/>
      <c r="BP353" s="2763"/>
      <c r="BQ353" s="2763"/>
      <c r="BV353"/>
      <c r="BW353"/>
      <c r="BX353"/>
    </row>
    <row r="354" spans="1:76">
      <c r="A354" s="2743"/>
      <c r="B354" s="281"/>
      <c r="C354" s="2818"/>
      <c r="D354" s="3288"/>
      <c r="E354" s="2818"/>
      <c r="F354" s="2819"/>
      <c r="G354" s="2818"/>
      <c r="H354" s="2819"/>
      <c r="I354" s="2818"/>
      <c r="J354" s="635"/>
      <c r="K354" s="2818"/>
      <c r="L354" s="635"/>
      <c r="M354" s="2818"/>
      <c r="N354" s="635"/>
      <c r="O354" s="635"/>
      <c r="P354" s="2818"/>
      <c r="Q354" s="2818"/>
      <c r="R354" s="2818"/>
      <c r="S354" s="2818"/>
      <c r="T354" s="636"/>
      <c r="U354" s="2800"/>
      <c r="V354" s="2800"/>
      <c r="W354" s="2800"/>
      <c r="X354" s="2800"/>
      <c r="Y354" s="2800"/>
      <c r="Z354" s="2800"/>
      <c r="AA354" s="2800"/>
      <c r="AB354" s="2800"/>
      <c r="AC354" s="2800"/>
      <c r="AD354" s="2800"/>
      <c r="AE354" s="2800"/>
      <c r="AF354" s="2800"/>
      <c r="AG354" s="2800"/>
      <c r="AH354" s="2800"/>
      <c r="AI354" s="2800"/>
      <c r="AJ354" s="2800"/>
      <c r="AK354" s="2800"/>
      <c r="AL354" s="2800"/>
      <c r="AM354" s="2800"/>
      <c r="AN354" s="2800"/>
      <c r="AO354" s="2800"/>
      <c r="AP354" s="2800"/>
      <c r="AQ354" s="2800"/>
      <c r="AR354" s="174"/>
      <c r="AS354" s="2763"/>
      <c r="AT354" s="2763"/>
      <c r="AU354" s="2763"/>
      <c r="AV354" s="2763"/>
      <c r="AW354" s="2763"/>
      <c r="AX354" s="2763"/>
      <c r="AY354" s="2763"/>
      <c r="AZ354" s="2763"/>
      <c r="BA354" s="2763"/>
      <c r="BB354" s="2763"/>
      <c r="BC354" s="2763"/>
      <c r="BD354" s="2763"/>
      <c r="BE354" s="2763"/>
      <c r="BF354" s="2763"/>
      <c r="BG354" s="2763"/>
      <c r="BH354" s="2763"/>
      <c r="BI354" s="2763"/>
      <c r="BJ354" s="2763"/>
      <c r="BK354" s="2763"/>
      <c r="BL354" s="2763"/>
      <c r="BM354" s="2763"/>
      <c r="BN354" s="2763"/>
      <c r="BO354" s="2763"/>
      <c r="BP354" s="2763"/>
      <c r="BQ354" s="2763"/>
      <c r="BV354"/>
      <c r="BW354"/>
      <c r="BX354"/>
    </row>
    <row r="355" spans="1:76" ht="15.5">
      <c r="A355"/>
      <c r="B355"/>
      <c r="C355"/>
      <c r="D355" s="3289" t="s">
        <v>3129</v>
      </c>
      <c r="E355" s="2801"/>
      <c r="G355" s="41"/>
      <c r="H355" s="41"/>
      <c r="I355" s="41"/>
      <c r="J355" s="34"/>
      <c r="K355" s="2990" t="s">
        <v>3131</v>
      </c>
      <c r="L355" s="34"/>
      <c r="M355" s="2817"/>
      <c r="N355" s="34"/>
      <c r="O355" s="34"/>
      <c r="P355" s="34"/>
      <c r="Q355" s="34"/>
      <c r="R355" s="41"/>
      <c r="S355" s="41"/>
      <c r="T355" s="34"/>
      <c r="U355" s="34"/>
      <c r="V355" s="34"/>
      <c r="W355" s="119"/>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U355" s="16"/>
      <c r="AV355" s="16"/>
      <c r="AW355" s="16"/>
      <c r="AX355" s="16"/>
      <c r="AY355" s="16"/>
      <c r="AZ355" s="16"/>
      <c r="BA355" s="16"/>
      <c r="BB355" s="16"/>
      <c r="BC355" s="16"/>
      <c r="BD355" s="16"/>
      <c r="BE355" s="16"/>
      <c r="BF355" s="16"/>
      <c r="BG355" s="16"/>
      <c r="BH355" s="16"/>
      <c r="BI355" s="16"/>
      <c r="BJ355" s="16"/>
      <c r="BK355" s="16"/>
      <c r="BV355"/>
      <c r="BW355"/>
      <c r="BX355"/>
    </row>
    <row r="356" spans="1:76">
      <c r="B356"/>
      <c r="C356"/>
      <c r="D356" s="3290" t="s">
        <v>1280</v>
      </c>
      <c r="E356" s="2762" t="s">
        <v>1281</v>
      </c>
      <c r="G356" s="41"/>
      <c r="H356" s="41"/>
      <c r="I356" s="34"/>
      <c r="J356" s="34"/>
      <c r="K356" s="2992"/>
      <c r="L356" s="34"/>
      <c r="M356" s="34"/>
      <c r="N356" s="34"/>
      <c r="O356" s="34"/>
      <c r="P356" s="34"/>
      <c r="Q356" s="34"/>
      <c r="R356" s="34"/>
      <c r="S356" s="34"/>
      <c r="T356" s="34"/>
      <c r="U356" s="34"/>
      <c r="V356" s="34"/>
      <c r="W356" s="119"/>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2656"/>
      <c r="AT356" s="635"/>
      <c r="AU356" s="16"/>
      <c r="AV356" s="16"/>
      <c r="AW356" s="16"/>
      <c r="AX356" s="16"/>
      <c r="AY356" s="16"/>
      <c r="AZ356" s="16"/>
      <c r="BA356" s="16"/>
      <c r="BB356" s="16"/>
      <c r="BC356" s="16"/>
      <c r="BD356" s="16"/>
      <c r="BE356" s="16"/>
      <c r="BF356" s="16"/>
      <c r="BG356" s="16"/>
      <c r="BH356" s="16"/>
      <c r="BI356" s="16"/>
      <c r="BJ356" s="16"/>
      <c r="BK356" s="16"/>
      <c r="BV356"/>
      <c r="BW356"/>
      <c r="BX356"/>
    </row>
    <row r="357" spans="1:76" ht="15.5">
      <c r="B357" s="2953" t="str">
        <f>A4</f>
        <v>ACERO</v>
      </c>
      <c r="C357" s="2954" t="s">
        <v>3127</v>
      </c>
      <c r="D357" s="2965">
        <f>F73/1000</f>
        <v>2.3699284</v>
      </c>
      <c r="E357" s="2919">
        <f>D357</f>
        <v>2.3699284</v>
      </c>
      <c r="G357" s="41"/>
      <c r="H357" s="41"/>
      <c r="I357" s="34"/>
      <c r="J357" s="34"/>
      <c r="K357" s="2991">
        <f>K73/1000</f>
        <v>2.4884248200000001</v>
      </c>
      <c r="L357" s="34"/>
      <c r="M357" s="34"/>
      <c r="N357" s="34"/>
      <c r="O357" s="34"/>
      <c r="P357" s="34"/>
      <c r="Q357" s="34"/>
      <c r="R357" s="34"/>
      <c r="S357" s="34"/>
      <c r="T357" s="34"/>
      <c r="U357" s="34"/>
      <c r="V357" s="34"/>
      <c r="W357" s="119"/>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U357" s="16"/>
      <c r="AV357" s="16"/>
      <c r="AW357" s="16"/>
      <c r="AX357" s="16"/>
      <c r="AY357" s="16"/>
      <c r="AZ357" s="16"/>
      <c r="BA357" s="16"/>
      <c r="BB357" s="16"/>
      <c r="BC357" s="16"/>
      <c r="BD357" s="16"/>
      <c r="BE357" s="16"/>
      <c r="BF357" s="16"/>
      <c r="BG357" s="16"/>
      <c r="BH357" s="16"/>
      <c r="BI357" s="16"/>
      <c r="BJ357" s="16"/>
      <c r="BK357" s="16"/>
    </row>
    <row r="358" spans="1:76">
      <c r="B358"/>
      <c r="C358" s="2954" t="s">
        <v>1318</v>
      </c>
      <c r="D358" s="2966">
        <v>24</v>
      </c>
      <c r="E358" s="88">
        <v>24</v>
      </c>
      <c r="G358" s="41"/>
      <c r="H358" s="41"/>
      <c r="I358" s="34"/>
      <c r="J358" s="34"/>
      <c r="K358" s="1042">
        <v>24</v>
      </c>
      <c r="L358" s="34"/>
      <c r="M358" s="34"/>
      <c r="N358" s="34"/>
      <c r="O358" s="34"/>
      <c r="P358" s="34"/>
      <c r="Q358" s="34"/>
      <c r="R358" s="34"/>
      <c r="S358" s="34"/>
      <c r="T358" s="34"/>
      <c r="U358" s="34"/>
      <c r="V358" s="34"/>
      <c r="W358" s="119"/>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U358" s="16"/>
      <c r="AV358" s="16"/>
      <c r="AW358" s="16"/>
      <c r="AX358" s="16"/>
      <c r="AY358" s="16"/>
      <c r="AZ358" s="16"/>
      <c r="BA358" s="16"/>
      <c r="BB358" s="16"/>
      <c r="BC358" s="16"/>
      <c r="BD358" s="16"/>
      <c r="BE358" s="16"/>
      <c r="BF358" s="16"/>
      <c r="BG358" s="16"/>
      <c r="BH358" s="16"/>
      <c r="BI358" s="16"/>
      <c r="BJ358" s="16"/>
      <c r="BK358" s="16"/>
    </row>
    <row r="359" spans="1:76">
      <c r="B359"/>
      <c r="C359" s="2954" t="s">
        <v>1319</v>
      </c>
      <c r="D359" s="2966">
        <v>530</v>
      </c>
      <c r="E359" s="1042">
        <v>530</v>
      </c>
      <c r="G359" s="41"/>
      <c r="H359" s="41"/>
      <c r="I359" s="34"/>
      <c r="J359" s="34" t="s">
        <v>3132</v>
      </c>
      <c r="K359" s="1042">
        <v>20</v>
      </c>
      <c r="L359" s="34"/>
      <c r="M359" s="34"/>
      <c r="N359" s="34"/>
      <c r="O359" s="34"/>
      <c r="P359" s="34"/>
      <c r="Q359" s="34"/>
      <c r="R359" s="34"/>
      <c r="S359" s="34"/>
      <c r="T359" s="34"/>
      <c r="U359" s="34"/>
      <c r="V359" s="119"/>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U359" s="16"/>
      <c r="AV359" s="16"/>
      <c r="AW359" s="16"/>
      <c r="AX359" s="16"/>
      <c r="AY359" s="16"/>
      <c r="AZ359" s="16"/>
      <c r="BA359" s="16"/>
      <c r="BB359" s="16"/>
      <c r="BC359" s="16"/>
      <c r="BD359" s="16"/>
      <c r="BE359" s="16"/>
      <c r="BF359" s="16"/>
      <c r="BG359" s="16"/>
      <c r="BH359" s="16"/>
      <c r="BI359" s="16"/>
      <c r="BJ359" s="16"/>
      <c r="BK359" s="16"/>
    </row>
    <row r="360" spans="1:76">
      <c r="B360"/>
      <c r="C360" s="2954" t="s">
        <v>1320</v>
      </c>
      <c r="D360" s="2966">
        <v>26</v>
      </c>
      <c r="E360" s="88">
        <v>26</v>
      </c>
      <c r="G360" s="41"/>
      <c r="H360" s="41"/>
      <c r="I360" s="34"/>
      <c r="J360" s="34"/>
      <c r="K360" s="1042">
        <v>26</v>
      </c>
      <c r="L360" s="34"/>
      <c r="M360" s="34"/>
      <c r="N360" s="34"/>
      <c r="O360" s="34"/>
      <c r="P360" s="34"/>
      <c r="Q360" s="34"/>
      <c r="R360" s="34"/>
      <c r="S360" s="34"/>
      <c r="T360" s="34"/>
      <c r="U360" s="34"/>
      <c r="V360" s="119"/>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U360" s="16"/>
      <c r="AV360" s="16"/>
      <c r="AW360" s="16"/>
      <c r="AX360" s="16"/>
      <c r="AY360" s="16"/>
      <c r="AZ360" s="16"/>
      <c r="BA360" s="16"/>
      <c r="BB360" s="16"/>
      <c r="BC360" s="16"/>
      <c r="BD360" s="16"/>
      <c r="BE360" s="16"/>
      <c r="BF360" s="16"/>
      <c r="BG360" s="16"/>
      <c r="BH360" s="16"/>
      <c r="BI360" s="16"/>
      <c r="BJ360" s="16"/>
      <c r="BK360" s="16"/>
    </row>
    <row r="361" spans="1:76">
      <c r="B361"/>
      <c r="C361" s="2954" t="s">
        <v>1321</v>
      </c>
      <c r="D361" s="2966">
        <v>3.09</v>
      </c>
      <c r="E361" s="88">
        <v>3.09</v>
      </c>
      <c r="K361" s="1042">
        <v>3.09</v>
      </c>
      <c r="Q361" s="34"/>
      <c r="R361" s="34"/>
      <c r="S361" s="34"/>
      <c r="T361" s="34"/>
      <c r="U361" s="34"/>
      <c r="V361" s="119"/>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U361" s="16"/>
      <c r="AV361" s="16"/>
      <c r="AW361" s="16"/>
      <c r="AX361" s="16"/>
      <c r="AY361" s="16"/>
      <c r="AZ361" s="16"/>
      <c r="BA361" s="16"/>
      <c r="BB361" s="16"/>
      <c r="BC361" s="16"/>
      <c r="BD361" s="16"/>
      <c r="BE361" s="16"/>
      <c r="BF361" s="16"/>
      <c r="BG361" s="16"/>
      <c r="BH361" s="16"/>
      <c r="BI361" s="16"/>
      <c r="BJ361" s="16"/>
      <c r="BK361" s="16"/>
    </row>
    <row r="362" spans="1:76">
      <c r="B362"/>
      <c r="C362" s="2959" t="s">
        <v>1278</v>
      </c>
      <c r="D362" s="2968">
        <f>ROUNDUP(D357/D358,0)</f>
        <v>1</v>
      </c>
      <c r="E362" s="2957">
        <f>ROUNDUP(E357/E358,0)</f>
        <v>1</v>
      </c>
      <c r="K362" s="2960">
        <f>ROUNDUP(K357/K358,0)</f>
        <v>1</v>
      </c>
      <c r="Q362" s="34"/>
      <c r="R362" s="34"/>
      <c r="S362" s="34"/>
      <c r="T362" s="34"/>
      <c r="U362" s="34"/>
      <c r="V362" s="119"/>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U362" s="16"/>
      <c r="AV362" s="16"/>
      <c r="AW362" s="16"/>
      <c r="AX362" s="16"/>
      <c r="AY362" s="16"/>
      <c r="AZ362" s="16"/>
      <c r="BA362" s="16"/>
      <c r="BB362" s="16"/>
      <c r="BC362" s="16"/>
      <c r="BD362" s="16"/>
      <c r="BE362" s="16"/>
      <c r="BF362" s="16"/>
      <c r="BG362" s="16"/>
      <c r="BH362" s="16"/>
      <c r="BI362" s="16"/>
      <c r="BJ362" s="16"/>
      <c r="BK362" s="16"/>
    </row>
    <row r="363" spans="1:76">
      <c r="B363"/>
      <c r="C363" s="2955" t="s">
        <v>301</v>
      </c>
      <c r="D363" s="2970">
        <v>71000</v>
      </c>
      <c r="E363" s="108"/>
      <c r="K363" s="1043">
        <v>71000</v>
      </c>
      <c r="U363" s="105"/>
      <c r="V363" s="119"/>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U363" s="16"/>
      <c r="AV363" s="16"/>
      <c r="AW363" s="16"/>
      <c r="AX363" s="16"/>
      <c r="AY363" s="16"/>
      <c r="AZ363" s="16"/>
      <c r="BA363" s="16"/>
      <c r="BB363" s="16"/>
      <c r="BC363" s="16"/>
      <c r="BD363" s="16"/>
      <c r="BE363" s="16"/>
      <c r="BF363" s="16"/>
      <c r="BG363" s="16"/>
      <c r="BH363" s="16"/>
      <c r="BI363" s="16"/>
      <c r="BJ363" s="16"/>
      <c r="BK363" s="16"/>
    </row>
    <row r="364" spans="1:76">
      <c r="B364"/>
      <c r="C364" s="2956" t="s">
        <v>515</v>
      </c>
      <c r="D364" s="2966">
        <v>35</v>
      </c>
      <c r="E364" s="88">
        <v>3.59</v>
      </c>
      <c r="K364" s="1042">
        <v>35</v>
      </c>
      <c r="U364" s="105"/>
      <c r="V364" s="119"/>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U364" s="16"/>
      <c r="AV364" s="16"/>
      <c r="AW364" s="16"/>
      <c r="AX364" s="16"/>
      <c r="AY364" s="16"/>
      <c r="AZ364" s="16"/>
      <c r="BA364" s="16"/>
      <c r="BB364" s="16"/>
      <c r="BC364" s="16"/>
      <c r="BD364" s="16"/>
      <c r="BE364" s="16"/>
      <c r="BF364" s="16"/>
      <c r="BG364" s="16"/>
      <c r="BH364" s="16"/>
      <c r="BI364" s="16"/>
      <c r="BJ364" s="16"/>
      <c r="BK364" s="16"/>
    </row>
    <row r="365" spans="1:76">
      <c r="B365"/>
      <c r="C365" s="2958" t="s">
        <v>1275</v>
      </c>
      <c r="D365" s="2966">
        <v>1.26</v>
      </c>
      <c r="E365" s="88">
        <v>1.26</v>
      </c>
      <c r="K365" s="1042">
        <v>1.26</v>
      </c>
      <c r="U365" s="105"/>
      <c r="V365" s="119"/>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U365" s="16"/>
      <c r="AV365" s="16"/>
      <c r="AW365" s="16"/>
      <c r="AX365" s="16"/>
      <c r="AY365" s="16"/>
      <c r="AZ365" s="16"/>
      <c r="BA365" s="16"/>
      <c r="BB365" s="16"/>
      <c r="BC365" s="16"/>
      <c r="BD365" s="16"/>
      <c r="BE365" s="16"/>
      <c r="BF365" s="16"/>
      <c r="BG365" s="16"/>
      <c r="BH365" s="16"/>
      <c r="BI365" s="16"/>
      <c r="BJ365" s="16"/>
      <c r="BK365" s="16"/>
    </row>
    <row r="366" spans="1:76" ht="25.5" customHeight="1">
      <c r="B366"/>
      <c r="C366" s="2950" t="s">
        <v>1322</v>
      </c>
      <c r="D366" s="2951">
        <f>D362*D359*(D360/100)*(D364/D363)*D365</f>
        <v>8.559126760563382E-2</v>
      </c>
      <c r="E366" s="2952">
        <f>E362*E359*(E360/100)*(E361/1000)/E364*E365</f>
        <v>0.14944582729805014</v>
      </c>
      <c r="K366" s="2951">
        <f>K362*K359*(K360/100)*(K364/K363)*K365</f>
        <v>3.2298591549295777E-3</v>
      </c>
      <c r="Q366"/>
      <c r="R366"/>
      <c r="S366"/>
      <c r="T36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U366" s="16"/>
      <c r="AV366" s="16"/>
      <c r="AW366" s="16"/>
      <c r="AX366" s="16"/>
      <c r="AY366" s="16"/>
      <c r="AZ366" s="16"/>
      <c r="BA366" s="16"/>
      <c r="BB366" s="16"/>
      <c r="BC366" s="16"/>
      <c r="BD366" s="16"/>
      <c r="BE366" s="16"/>
      <c r="BF366" s="16"/>
      <c r="BG366" s="16"/>
      <c r="BH366" s="16"/>
      <c r="BI366" s="16"/>
      <c r="BJ366" s="16"/>
      <c r="BK366" s="16"/>
    </row>
    <row r="367" spans="1:76" ht="40.5" customHeight="1">
      <c r="B367"/>
      <c r="C367" s="2947" t="s">
        <v>1323</v>
      </c>
      <c r="D367" s="3291"/>
      <c r="E367" s="2948"/>
      <c r="Q367"/>
      <c r="R367"/>
      <c r="S367"/>
      <c r="T367"/>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U367" s="16"/>
      <c r="AV367" s="16"/>
      <c r="AW367" s="16"/>
      <c r="AX367" s="16"/>
      <c r="AY367" s="16"/>
      <c r="AZ367" s="16"/>
      <c r="BA367" s="16"/>
      <c r="BB367" s="16"/>
      <c r="BC367" s="16"/>
      <c r="BD367" s="16"/>
      <c r="BE367" s="16"/>
      <c r="BF367" s="16"/>
      <c r="BG367" s="16"/>
      <c r="BH367" s="16"/>
      <c r="BI367" s="16"/>
      <c r="BJ367" s="16"/>
      <c r="BK367" s="16"/>
    </row>
    <row r="368" spans="1:76" ht="24" customHeight="1">
      <c r="B368"/>
      <c r="C368" s="2949" t="s">
        <v>1325</v>
      </c>
      <c r="D368" s="2973"/>
      <c r="E368" s="2920"/>
      <c r="Q368"/>
      <c r="R368"/>
      <c r="S368"/>
      <c r="T368"/>
      <c r="U368" s="16"/>
      <c r="V368" s="16"/>
      <c r="W368" s="16"/>
      <c r="X368" s="16"/>
      <c r="Y368" s="16"/>
      <c r="Z368" s="16"/>
      <c r="AA368" s="16"/>
      <c r="AB368" s="16"/>
      <c r="AC368" s="16"/>
      <c r="AD368" s="16"/>
      <c r="AE368" s="16"/>
      <c r="AF368" s="16"/>
      <c r="AG368" s="34"/>
      <c r="AH368" s="34"/>
      <c r="AI368" s="34"/>
      <c r="AJ368" s="34"/>
      <c r="AK368" s="34"/>
      <c r="AL368" s="34"/>
      <c r="AM368" s="34"/>
      <c r="AN368" s="34"/>
      <c r="AO368" s="34"/>
      <c r="AP368" s="34"/>
      <c r="AQ368" s="34"/>
      <c r="AR368" s="16"/>
      <c r="AS368" s="16"/>
      <c r="AU368" s="16"/>
      <c r="AV368" s="16"/>
      <c r="AW368" s="16"/>
      <c r="AX368" s="16"/>
      <c r="AY368" s="16"/>
      <c r="AZ368" s="16"/>
      <c r="BA368" s="16"/>
      <c r="BB368" s="16"/>
      <c r="BC368" s="16"/>
      <c r="BD368" s="16"/>
      <c r="BE368" s="16"/>
      <c r="BF368" s="16"/>
      <c r="BG368" s="16"/>
      <c r="BH368" s="16"/>
      <c r="BI368" s="16"/>
      <c r="BJ368" s="16"/>
      <c r="BK368" s="16"/>
    </row>
    <row r="369" spans="1:77">
      <c r="A369"/>
      <c r="C369" s="2742"/>
      <c r="R369"/>
      <c r="S369"/>
      <c r="T369"/>
      <c r="U369"/>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34"/>
      <c r="AS369" s="16"/>
      <c r="AU369" s="16"/>
      <c r="AV369" s="16"/>
      <c r="AW369" s="16"/>
      <c r="AX369" s="16"/>
      <c r="AY369" s="16"/>
      <c r="AZ369" s="16"/>
      <c r="BA369" s="16"/>
      <c r="BB369" s="16"/>
      <c r="BC369" s="16"/>
      <c r="BD369" s="16"/>
      <c r="BE369" s="16"/>
      <c r="BF369" s="16"/>
      <c r="BG369" s="16"/>
      <c r="BH369" s="16"/>
      <c r="BI369" s="16"/>
      <c r="BJ369" s="16"/>
      <c r="BK369" s="16"/>
      <c r="BY369" s="16"/>
    </row>
    <row r="370" spans="1:77">
      <c r="A370"/>
      <c r="B370"/>
      <c r="C370"/>
      <c r="D370" s="273"/>
      <c r="E370"/>
      <c r="R370" s="4923" t="s">
        <v>1300</v>
      </c>
      <c r="S370" s="4924"/>
      <c r="T370" s="2839"/>
      <c r="U370"/>
      <c r="V370" s="16"/>
      <c r="W370" s="16"/>
      <c r="X370" s="16"/>
      <c r="Y370" s="16"/>
      <c r="Z370" s="16"/>
      <c r="AA370" s="16"/>
      <c r="AB370" s="16"/>
      <c r="AC370" s="16"/>
      <c r="AD370" s="16"/>
      <c r="AE370" s="16"/>
      <c r="AF370" s="16"/>
      <c r="AG370" s="34"/>
      <c r="AH370" s="34"/>
      <c r="AI370" s="34"/>
      <c r="AJ370" s="34"/>
      <c r="AK370" s="34"/>
      <c r="AL370" s="34"/>
      <c r="AM370" s="34"/>
      <c r="AN370" s="34"/>
      <c r="AO370" s="34"/>
      <c r="AP370" s="34"/>
      <c r="AQ370" s="34"/>
      <c r="AR370" s="16"/>
      <c r="AS370" s="16"/>
      <c r="AU370" s="16"/>
      <c r="AV370" s="16"/>
      <c r="AW370" s="16"/>
      <c r="AX370" s="16"/>
      <c r="AY370" s="16"/>
      <c r="AZ370" s="16"/>
      <c r="BA370" s="16"/>
      <c r="BB370" s="16"/>
      <c r="BC370" s="16"/>
      <c r="BD370" s="16"/>
      <c r="BE370" s="16"/>
      <c r="BF370" s="16"/>
      <c r="BG370" s="16"/>
      <c r="BH370" s="16"/>
      <c r="BI370" s="16"/>
      <c r="BJ370" s="16"/>
      <c r="BK370" s="16"/>
      <c r="BY370" s="16"/>
    </row>
    <row r="371" spans="1:77" ht="15.5">
      <c r="A371"/>
      <c r="B371"/>
      <c r="C371"/>
      <c r="D371" s="4918" t="s">
        <v>3129</v>
      </c>
      <c r="E371" s="4919"/>
      <c r="K371" s="2990" t="s">
        <v>3131</v>
      </c>
      <c r="R371" s="27" t="s">
        <v>1280</v>
      </c>
      <c r="S371" s="10" t="s">
        <v>1281</v>
      </c>
      <c r="T371" s="19"/>
      <c r="U371"/>
      <c r="V371" s="16"/>
      <c r="W371" s="16"/>
      <c r="X371" s="16"/>
      <c r="Y371" s="16"/>
      <c r="Z371" s="16"/>
      <c r="AA371" s="16"/>
      <c r="AB371" s="16"/>
      <c r="AC371" s="16"/>
      <c r="AD371" s="16"/>
      <c r="AE371" s="16"/>
      <c r="AF371" s="16"/>
      <c r="AG371" s="34"/>
      <c r="AH371" s="34"/>
      <c r="AI371" s="34"/>
      <c r="AJ371" s="34"/>
      <c r="AK371" s="34"/>
      <c r="AL371" s="34"/>
      <c r="AM371" s="34"/>
      <c r="AN371" s="34"/>
      <c r="AO371" s="34"/>
      <c r="AP371" s="34"/>
      <c r="AQ371" s="34"/>
      <c r="AR371" s="16"/>
      <c r="AS371" s="16"/>
      <c r="AU371" s="16"/>
      <c r="AV371" s="16"/>
      <c r="AW371" s="16"/>
      <c r="AX371" s="16"/>
      <c r="AY371" s="16"/>
      <c r="AZ371" s="16"/>
      <c r="BA371" s="16"/>
      <c r="BB371" s="16"/>
      <c r="BC371" s="16"/>
      <c r="BD371" s="16"/>
      <c r="BE371" s="16"/>
      <c r="BF371" s="16"/>
      <c r="BG371" s="16"/>
      <c r="BH371" s="16"/>
      <c r="BI371" s="16"/>
      <c r="BJ371" s="16"/>
      <c r="BK371" s="16"/>
      <c r="BY371" s="16"/>
    </row>
    <row r="372" spans="1:77">
      <c r="A372"/>
      <c r="B372"/>
      <c r="C372"/>
      <c r="D372" s="3289" t="s">
        <v>1280</v>
      </c>
      <c r="E372" s="2801" t="s">
        <v>1281</v>
      </c>
      <c r="K372" s="2992"/>
      <c r="R372" s="1051" t="e">
        <f>#REF!</f>
        <v>#REF!</v>
      </c>
      <c r="S372" s="1051" t="e">
        <f>#REF!</f>
        <v>#REF!</v>
      </c>
      <c r="T372" s="2840"/>
      <c r="U372"/>
      <c r="V372" s="16"/>
      <c r="W372" s="16"/>
      <c r="X372" s="16"/>
      <c r="Y372" s="16"/>
      <c r="Z372" s="16"/>
      <c r="AA372" s="16"/>
      <c r="AB372" s="16"/>
      <c r="AC372" s="16"/>
      <c r="AD372" s="16"/>
      <c r="AE372" s="16"/>
      <c r="AF372" s="16"/>
      <c r="AG372" s="34"/>
      <c r="AH372" s="34"/>
      <c r="AI372" s="34"/>
      <c r="AJ372" s="34"/>
      <c r="AK372" s="34"/>
      <c r="AL372" s="34"/>
      <c r="AM372" s="34"/>
      <c r="AN372" s="34"/>
      <c r="AO372" s="34"/>
      <c r="AP372" s="34"/>
      <c r="AQ372" s="34"/>
      <c r="AR372" s="16"/>
      <c r="AS372" s="16"/>
      <c r="AU372" s="16"/>
      <c r="AV372" s="16"/>
      <c r="AW372" s="16"/>
      <c r="AX372" s="16"/>
      <c r="AY372" s="16"/>
      <c r="AZ372" s="16"/>
      <c r="BA372" s="16"/>
      <c r="BB372" s="16"/>
      <c r="BC372" s="16"/>
      <c r="BD372" s="16"/>
      <c r="BE372" s="16"/>
      <c r="BF372" s="16"/>
      <c r="BG372" s="16"/>
      <c r="BH372" s="16"/>
      <c r="BI372" s="16"/>
      <c r="BJ372" s="16"/>
      <c r="BK372" s="16"/>
      <c r="BY372" s="16"/>
    </row>
    <row r="373" spans="1:77" ht="15.5">
      <c r="A373"/>
      <c r="B373" s="2953" t="str">
        <f>A74</f>
        <v>ALUMINIO</v>
      </c>
      <c r="C373" s="2954" t="s">
        <v>3127</v>
      </c>
      <c r="D373" s="2965">
        <f>F86/1000</f>
        <v>0</v>
      </c>
      <c r="E373" s="2965">
        <f>D373</f>
        <v>0</v>
      </c>
      <c r="K373" s="2991">
        <f>K86/1000</f>
        <v>0</v>
      </c>
      <c r="R373" s="1042">
        <v>24</v>
      </c>
      <c r="S373" s="88">
        <v>24</v>
      </c>
      <c r="T373" s="19"/>
      <c r="U373"/>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U373" s="16"/>
      <c r="AV373" s="16"/>
      <c r="AW373" s="16"/>
      <c r="AX373" s="16"/>
      <c r="AY373" s="16"/>
      <c r="AZ373" s="16"/>
      <c r="BA373" s="16"/>
      <c r="BB373" s="16"/>
      <c r="BC373" s="16"/>
      <c r="BD373" s="16"/>
      <c r="BE373" s="16"/>
      <c r="BF373" s="16"/>
      <c r="BG373" s="16"/>
      <c r="BH373" s="16"/>
      <c r="BI373" s="16"/>
      <c r="BJ373" s="16"/>
      <c r="BK373" s="16"/>
      <c r="BY373" s="16"/>
    </row>
    <row r="374" spans="1:77">
      <c r="A374"/>
      <c r="B374"/>
      <c r="C374" s="2954" t="s">
        <v>1318</v>
      </c>
      <c r="D374" s="2966">
        <v>24</v>
      </c>
      <c r="E374" s="2967">
        <v>24</v>
      </c>
      <c r="K374" s="1042">
        <v>24</v>
      </c>
      <c r="R374" s="1042">
        <v>20</v>
      </c>
      <c r="S374" s="88">
        <v>20</v>
      </c>
      <c r="T374" s="19"/>
      <c r="U374"/>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U374" s="16"/>
      <c r="AV374" s="16"/>
      <c r="AW374" s="16"/>
      <c r="AX374" s="16"/>
      <c r="AY374" s="16"/>
      <c r="AZ374" s="16"/>
      <c r="BA374" s="16"/>
      <c r="BB374" s="16"/>
      <c r="BC374" s="16"/>
      <c r="BD374" s="16"/>
      <c r="BE374" s="16"/>
      <c r="BF374" s="16"/>
      <c r="BG374" s="16"/>
      <c r="BH374" s="16"/>
      <c r="BI374" s="16"/>
      <c r="BJ374" s="16"/>
      <c r="BK374" s="16"/>
      <c r="BY374" s="16"/>
    </row>
    <row r="375" spans="1:77">
      <c r="A375"/>
      <c r="B375"/>
      <c r="C375" s="2954" t="s">
        <v>1319</v>
      </c>
      <c r="D375" s="2966">
        <v>412</v>
      </c>
      <c r="E375" s="2966">
        <v>412</v>
      </c>
      <c r="I375" s="34"/>
      <c r="J375" s="34" t="s">
        <v>3132</v>
      </c>
      <c r="K375" s="1042">
        <v>20</v>
      </c>
      <c r="R375" s="1042">
        <v>26</v>
      </c>
      <c r="S375" s="88">
        <v>26</v>
      </c>
      <c r="T375" s="19"/>
      <c r="U375"/>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U375" s="16"/>
      <c r="AV375" s="16"/>
      <c r="AW375" s="16"/>
      <c r="AX375" s="16"/>
      <c r="AY375" s="16"/>
      <c r="AZ375" s="16"/>
      <c r="BA375" s="16"/>
      <c r="BB375" s="16"/>
      <c r="BC375" s="16"/>
      <c r="BD375" s="16"/>
      <c r="BE375" s="16"/>
      <c r="BF375" s="16"/>
      <c r="BG375" s="16"/>
      <c r="BH375" s="16"/>
      <c r="BI375" s="16"/>
      <c r="BJ375" s="16"/>
      <c r="BK375" s="16"/>
      <c r="BY375" s="16"/>
    </row>
    <row r="376" spans="1:77">
      <c r="A376"/>
      <c r="B376"/>
      <c r="C376" s="2954" t="s">
        <v>1320</v>
      </c>
      <c r="D376" s="2966">
        <v>26</v>
      </c>
      <c r="E376" s="2967">
        <v>26</v>
      </c>
      <c r="K376" s="1042">
        <v>26</v>
      </c>
      <c r="R376" s="1042">
        <v>3.09</v>
      </c>
      <c r="S376" s="88">
        <v>3.09</v>
      </c>
      <c r="T376" s="19"/>
      <c r="U37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U376" s="16"/>
      <c r="AV376" s="16"/>
      <c r="AW376" s="16"/>
      <c r="AX376" s="16"/>
      <c r="AY376" s="16"/>
      <c r="AZ376" s="16"/>
      <c r="BA376" s="16"/>
      <c r="BB376" s="16"/>
      <c r="BC376" s="16"/>
      <c r="BD376" s="16"/>
      <c r="BE376" s="16"/>
      <c r="BF376" s="16"/>
      <c r="BG376" s="16"/>
      <c r="BH376" s="16"/>
      <c r="BI376" s="16"/>
      <c r="BJ376" s="16"/>
      <c r="BK376" s="16"/>
      <c r="BY376" s="16"/>
    </row>
    <row r="377" spans="1:77">
      <c r="A377"/>
      <c r="B377"/>
      <c r="C377" s="2954" t="s">
        <v>1321</v>
      </c>
      <c r="D377" s="2966">
        <v>3.09</v>
      </c>
      <c r="E377" s="2967">
        <v>3.09</v>
      </c>
      <c r="K377" s="1042">
        <v>3.09</v>
      </c>
      <c r="R377" s="1045" t="e">
        <f t="shared" ref="R377:S377" si="119">ROUNDUP(R372/R373,0)</f>
        <v>#REF!</v>
      </c>
      <c r="S377" s="1046" t="e">
        <f t="shared" si="119"/>
        <v>#REF!</v>
      </c>
      <c r="T377" s="449"/>
      <c r="U377"/>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U377" s="16"/>
      <c r="AV377" s="16"/>
      <c r="AW377" s="16"/>
      <c r="AX377" s="16"/>
      <c r="AY377" s="16"/>
      <c r="AZ377" s="16"/>
      <c r="BA377" s="16"/>
      <c r="BB377" s="16"/>
      <c r="BC377" s="16"/>
      <c r="BD377" s="16"/>
      <c r="BE377" s="16"/>
      <c r="BF377" s="16"/>
      <c r="BG377" s="16"/>
      <c r="BH377" s="16"/>
      <c r="BI377" s="16"/>
      <c r="BJ377" s="16"/>
      <c r="BK377" s="16"/>
      <c r="BY377" s="16"/>
    </row>
    <row r="378" spans="1:77">
      <c r="A378"/>
      <c r="B378"/>
      <c r="C378" s="2959" t="s">
        <v>1278</v>
      </c>
      <c r="D378" s="2968">
        <f t="shared" ref="D378:E378" si="120">ROUNDUP(D373/D374,0)</f>
        <v>0</v>
      </c>
      <c r="E378" s="2969">
        <f t="shared" si="120"/>
        <v>0</v>
      </c>
      <c r="K378" s="2960">
        <f t="shared" ref="K378" si="121">ROUNDUP(K373/K374,0)</f>
        <v>0</v>
      </c>
      <c r="R378" s="1043">
        <v>71000</v>
      </c>
      <c r="S378" s="108"/>
      <c r="T378" s="106"/>
      <c r="U378"/>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U378" s="16"/>
      <c r="AV378" s="16"/>
      <c r="AW378" s="16"/>
      <c r="AX378" s="16"/>
      <c r="AY378" s="16"/>
      <c r="AZ378" s="16"/>
      <c r="BA378" s="16"/>
      <c r="BB378" s="16"/>
      <c r="BC378" s="16"/>
      <c r="BD378" s="16"/>
      <c r="BE378" s="16"/>
      <c r="BF378" s="16"/>
      <c r="BG378" s="16"/>
      <c r="BH378" s="16"/>
      <c r="BI378" s="16"/>
      <c r="BJ378" s="16"/>
      <c r="BK378" s="16"/>
      <c r="BY378" s="16"/>
    </row>
    <row r="379" spans="1:77">
      <c r="A379"/>
      <c r="B379"/>
      <c r="C379" s="2955" t="s">
        <v>301</v>
      </c>
      <c r="D379" s="2970">
        <v>71000</v>
      </c>
      <c r="E379" s="2971"/>
      <c r="K379" s="1043">
        <v>71000</v>
      </c>
      <c r="R379" s="1042">
        <v>35</v>
      </c>
      <c r="S379" s="88">
        <v>3.59</v>
      </c>
      <c r="T379" s="19"/>
      <c r="U379"/>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U379" s="16"/>
      <c r="AV379" s="16"/>
      <c r="AW379" s="16"/>
      <c r="AX379" s="16"/>
      <c r="AY379" s="16"/>
      <c r="AZ379" s="16"/>
      <c r="BA379" s="16"/>
      <c r="BB379" s="16"/>
      <c r="BC379" s="16"/>
      <c r="BD379" s="16"/>
      <c r="BE379" s="16"/>
      <c r="BF379" s="16"/>
      <c r="BG379" s="16"/>
      <c r="BH379" s="16"/>
      <c r="BI379" s="16"/>
      <c r="BJ379" s="16"/>
      <c r="BK379" s="16"/>
      <c r="BY379" s="16"/>
    </row>
    <row r="380" spans="1:77">
      <c r="A380"/>
      <c r="B380"/>
      <c r="C380" s="2956" t="s">
        <v>515</v>
      </c>
      <c r="D380" s="2966">
        <v>35</v>
      </c>
      <c r="E380" s="2967">
        <v>3.59</v>
      </c>
      <c r="K380" s="1042">
        <v>35</v>
      </c>
      <c r="R380" s="1042">
        <v>1.26</v>
      </c>
      <c r="S380" s="88">
        <v>1.26</v>
      </c>
      <c r="T380" s="19"/>
      <c r="U380"/>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U380" s="16"/>
      <c r="AV380" s="16"/>
      <c r="AW380" s="16"/>
      <c r="AX380" s="16"/>
      <c r="AY380" s="16"/>
      <c r="AZ380" s="16"/>
      <c r="BA380" s="16"/>
      <c r="BB380" s="16"/>
      <c r="BC380" s="16"/>
      <c r="BD380" s="16"/>
      <c r="BE380" s="16"/>
      <c r="BF380" s="16"/>
      <c r="BG380" s="16"/>
      <c r="BH380" s="16"/>
      <c r="BI380" s="16"/>
      <c r="BJ380" s="16"/>
      <c r="BK380" s="16"/>
      <c r="BY380" s="16"/>
    </row>
    <row r="381" spans="1:77" ht="18.5">
      <c r="A381"/>
      <c r="B381"/>
      <c r="C381" s="2958" t="s">
        <v>1275</v>
      </c>
      <c r="D381" s="2966">
        <v>1.26</v>
      </c>
      <c r="E381" s="2967">
        <v>1.26</v>
      </c>
      <c r="F381" s="1663"/>
      <c r="G381" s="1663"/>
      <c r="K381" s="1042">
        <v>1.26</v>
      </c>
      <c r="R381" s="1038" t="e">
        <f>R377*R374*(R375/100)*(R379/R378)*R380</f>
        <v>#REF!</v>
      </c>
      <c r="S381" s="1044" t="e">
        <f>S377*S374*(S375/100)*(S376/1000)/S379*S380</f>
        <v>#REF!</v>
      </c>
      <c r="T381" s="2841"/>
      <c r="U381"/>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U381" s="16"/>
      <c r="AV381" s="16"/>
      <c r="AW381" s="16"/>
      <c r="AX381" s="16"/>
      <c r="AY381" s="16"/>
      <c r="AZ381" s="16"/>
      <c r="BA381" s="16"/>
      <c r="BB381" s="16"/>
      <c r="BC381" s="16"/>
      <c r="BD381" s="16"/>
      <c r="BE381" s="16"/>
      <c r="BF381" s="16"/>
      <c r="BG381" s="16"/>
      <c r="BH381" s="16"/>
      <c r="BI381" s="16"/>
      <c r="BJ381" s="16"/>
      <c r="BK381" s="16"/>
      <c r="BY381" s="16"/>
    </row>
    <row r="382" spans="1:77" ht="18.5">
      <c r="A382"/>
      <c r="B382"/>
      <c r="C382" s="2950" t="s">
        <v>1322</v>
      </c>
      <c r="D382" s="2951">
        <f>D378*D375*(D376/100)*(D380/D379)*D381</f>
        <v>0</v>
      </c>
      <c r="E382" s="2972">
        <f>E378*E375*(E376/100)*(E377/1000)/E380*E381</f>
        <v>0</v>
      </c>
      <c r="F382" s="1663"/>
      <c r="G382" s="1663"/>
      <c r="K382" s="2951">
        <f>K378*K375*(K376/100)*(K380/K379)*K381</f>
        <v>0</v>
      </c>
      <c r="R382"/>
      <c r="S382"/>
      <c r="T382"/>
      <c r="U382"/>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U382" s="16"/>
      <c r="AV382" s="16"/>
      <c r="AW382" s="16"/>
      <c r="AX382" s="16"/>
      <c r="AY382" s="16"/>
      <c r="AZ382" s="16"/>
      <c r="BA382" s="16"/>
      <c r="BB382" s="16"/>
      <c r="BC382" s="16"/>
      <c r="BD382" s="16"/>
      <c r="BE382" s="16"/>
      <c r="BF382" s="16"/>
      <c r="BG382" s="16"/>
      <c r="BH382" s="16"/>
      <c r="BI382" s="16"/>
      <c r="BJ382" s="16"/>
      <c r="BK382" s="16"/>
      <c r="BY382" s="16"/>
    </row>
    <row r="383" spans="1:77" ht="37">
      <c r="A383"/>
      <c r="B383"/>
      <c r="C383" s="2947" t="s">
        <v>1323</v>
      </c>
      <c r="D383" s="3291">
        <f>D379*D376*(D377/100)*(D381/D380)*D382</f>
        <v>0</v>
      </c>
      <c r="E383" s="2977">
        <f>E379*E376*(E377/100)*(E378/1000)/E381*E382</f>
        <v>0</v>
      </c>
      <c r="F383" s="16"/>
      <c r="G383" s="16"/>
      <c r="H383"/>
      <c r="I383"/>
      <c r="J383"/>
      <c r="K383"/>
      <c r="L383"/>
      <c r="M383"/>
      <c r="N383"/>
      <c r="O383"/>
      <c r="P383"/>
      <c r="Q383"/>
      <c r="R383"/>
      <c r="S383"/>
      <c r="T383"/>
      <c r="U383"/>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U383" s="16"/>
      <c r="AV383" s="16"/>
      <c r="AW383" s="16"/>
      <c r="AX383" s="16"/>
      <c r="AY383" s="16"/>
      <c r="AZ383" s="16"/>
      <c r="BA383" s="16"/>
      <c r="BB383" s="16"/>
      <c r="BC383" s="16"/>
      <c r="BD383" s="16"/>
      <c r="BE383" s="16"/>
      <c r="BF383" s="16"/>
      <c r="BG383" s="16"/>
      <c r="BH383" s="16"/>
      <c r="BI383" s="16"/>
      <c r="BJ383" s="16"/>
      <c r="BK383" s="16"/>
      <c r="BY383" s="16"/>
    </row>
    <row r="384" spans="1:77">
      <c r="A384"/>
      <c r="B384"/>
      <c r="C384" s="2949" t="s">
        <v>1325</v>
      </c>
      <c r="D384" s="2973"/>
      <c r="E384" s="2973"/>
      <c r="F384" s="16"/>
      <c r="G384" s="16"/>
      <c r="H384"/>
      <c r="I384"/>
      <c r="J384"/>
      <c r="K384"/>
      <c r="L384"/>
      <c r="M384"/>
      <c r="N384"/>
      <c r="O384"/>
      <c r="P384"/>
      <c r="Q384"/>
      <c r="R384"/>
      <c r="S384"/>
      <c r="T384"/>
      <c r="U384"/>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U384" s="16"/>
      <c r="AV384" s="16"/>
      <c r="AW384" s="16"/>
      <c r="AX384" s="16"/>
      <c r="AY384" s="16"/>
      <c r="AZ384" s="16"/>
      <c r="BA384" s="16"/>
      <c r="BB384" s="16"/>
      <c r="BC384" s="16"/>
      <c r="BD384" s="16"/>
      <c r="BE384" s="16"/>
      <c r="BF384" s="16"/>
      <c r="BG384" s="16"/>
      <c r="BH384" s="16"/>
      <c r="BI384" s="16"/>
      <c r="BJ384" s="16"/>
      <c r="BK384" s="16"/>
      <c r="BY384" s="16"/>
    </row>
    <row r="385" spans="1:77" ht="18.5">
      <c r="A385"/>
      <c r="B385"/>
      <c r="C385" s="2975"/>
      <c r="D385" s="2976"/>
      <c r="E385" s="2976"/>
      <c r="F385" s="16"/>
      <c r="G385" s="16"/>
      <c r="H385"/>
      <c r="I385"/>
      <c r="J385"/>
      <c r="K385"/>
      <c r="L385"/>
      <c r="M385"/>
      <c r="N385"/>
      <c r="O385"/>
      <c r="P385"/>
      <c r="Q385"/>
      <c r="R385"/>
      <c r="S385"/>
      <c r="T385"/>
      <c r="U385"/>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U385" s="16"/>
      <c r="AV385" s="16"/>
      <c r="AW385" s="16"/>
      <c r="AX385" s="16"/>
      <c r="AY385" s="16"/>
      <c r="AZ385" s="16"/>
      <c r="BA385" s="16"/>
      <c r="BB385" s="16"/>
      <c r="BC385" s="16"/>
      <c r="BD385" s="16"/>
      <c r="BE385" s="16"/>
      <c r="BF385" s="16"/>
      <c r="BG385" s="16"/>
      <c r="BH385" s="16"/>
      <c r="BI385" s="16"/>
      <c r="BJ385" s="16"/>
      <c r="BK385" s="16"/>
      <c r="BY385" s="16"/>
    </row>
    <row r="386" spans="1:77">
      <c r="A386"/>
      <c r="B386"/>
      <c r="C386"/>
      <c r="D386" s="273"/>
      <c r="E386"/>
      <c r="F386" s="2922"/>
      <c r="G386" s="2923"/>
      <c r="H386" s="2923"/>
      <c r="I386"/>
      <c r="J386"/>
      <c r="K386"/>
      <c r="L386"/>
      <c r="M386"/>
      <c r="N386"/>
      <c r="O386"/>
      <c r="P386"/>
      <c r="Q386"/>
      <c r="R386"/>
      <c r="S386"/>
      <c r="T386"/>
      <c r="U38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U386" s="16"/>
      <c r="AV386" s="16"/>
      <c r="AW386" s="16"/>
      <c r="AX386" s="16"/>
      <c r="AY386" s="16"/>
      <c r="AZ386" s="16"/>
      <c r="BA386" s="16"/>
      <c r="BB386" s="16"/>
      <c r="BC386" s="16"/>
      <c r="BD386" s="16"/>
      <c r="BE386" s="16"/>
      <c r="BF386" s="16"/>
      <c r="BG386" s="16"/>
      <c r="BH386" s="16"/>
      <c r="BI386" s="16"/>
      <c r="BJ386" s="16"/>
      <c r="BK386" s="16"/>
      <c r="BY386" s="16"/>
    </row>
    <row r="387" spans="1:77" ht="15.5">
      <c r="A387"/>
      <c r="B387"/>
      <c r="C387"/>
      <c r="D387" s="3289" t="s">
        <v>3129</v>
      </c>
      <c r="E387" s="2801"/>
      <c r="F387" s="635"/>
      <c r="G387" s="635"/>
      <c r="H387" s="635"/>
      <c r="I387"/>
      <c r="J387"/>
      <c r="K387" s="2990" t="s">
        <v>3131</v>
      </c>
      <c r="L387"/>
      <c r="M387"/>
      <c r="N387"/>
      <c r="O387"/>
      <c r="P387"/>
      <c r="Q387"/>
      <c r="R387"/>
      <c r="S387" s="16"/>
      <c r="T387" s="16"/>
      <c r="U387"/>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U387" s="16"/>
      <c r="AV387" s="16"/>
      <c r="AW387" s="16"/>
      <c r="AX387" s="16"/>
      <c r="AY387" s="16"/>
      <c r="AZ387" s="16"/>
      <c r="BA387" s="16"/>
      <c r="BB387" s="16"/>
      <c r="BC387" s="16"/>
      <c r="BD387" s="16"/>
      <c r="BE387" s="16"/>
      <c r="BF387" s="16"/>
      <c r="BG387" s="16"/>
      <c r="BH387" s="16"/>
      <c r="BI387" s="16"/>
      <c r="BJ387" s="16"/>
      <c r="BK387" s="16"/>
      <c r="BY387" s="16"/>
    </row>
    <row r="388" spans="1:77">
      <c r="A388"/>
      <c r="B388"/>
      <c r="C388"/>
      <c r="D388" s="3290" t="s">
        <v>1280</v>
      </c>
      <c r="E388" s="2762" t="s">
        <v>1281</v>
      </c>
      <c r="F388" s="2924"/>
      <c r="G388" s="2974"/>
      <c r="H388" s="2924"/>
      <c r="I388"/>
      <c r="J388"/>
      <c r="K388" s="2992" t="s">
        <v>1280</v>
      </c>
      <c r="L388"/>
      <c r="M388"/>
      <c r="N388"/>
      <c r="O388"/>
      <c r="P388"/>
      <c r="Q388"/>
      <c r="R388"/>
      <c r="S388" s="16"/>
      <c r="T388" s="16"/>
      <c r="U388"/>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U388" s="16"/>
      <c r="AV388" s="16"/>
      <c r="AW388" s="16"/>
      <c r="AX388" s="16"/>
      <c r="AY388" s="16"/>
      <c r="AZ388" s="16"/>
      <c r="BA388" s="16"/>
      <c r="BB388" s="16"/>
      <c r="BC388" s="16"/>
      <c r="BD388" s="16"/>
      <c r="BE388" s="16"/>
      <c r="BF388" s="16"/>
      <c r="BG388" s="16"/>
      <c r="BH388" s="16"/>
      <c r="BI388" s="16"/>
      <c r="BJ388" s="16"/>
      <c r="BK388" s="16"/>
      <c r="BY388" s="16"/>
    </row>
    <row r="389" spans="1:77" ht="15.5">
      <c r="A389"/>
      <c r="B389" s="2953" t="s">
        <v>3048</v>
      </c>
      <c r="C389" s="2954" t="s">
        <v>3127</v>
      </c>
      <c r="D389" s="2965">
        <f>F91/1000</f>
        <v>38.288297946273204</v>
      </c>
      <c r="E389" s="2919">
        <f>D389</f>
        <v>38.288297946273204</v>
      </c>
      <c r="F389" s="296"/>
      <c r="G389" s="296"/>
      <c r="H389" s="296"/>
      <c r="I389"/>
      <c r="J389"/>
      <c r="K389" s="2991">
        <f>K91/1000</f>
        <v>40.202712843586866</v>
      </c>
      <c r="L389"/>
      <c r="M389"/>
      <c r="N389"/>
      <c r="O389"/>
      <c r="P389"/>
      <c r="Q389"/>
      <c r="R389"/>
      <c r="S389" s="16"/>
      <c r="T389" s="16"/>
      <c r="U389"/>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U389" s="16"/>
      <c r="AV389" s="16"/>
      <c r="AW389" s="16"/>
      <c r="AX389" s="16"/>
      <c r="AY389" s="16"/>
      <c r="AZ389" s="16"/>
      <c r="BA389" s="16"/>
      <c r="BB389" s="16"/>
      <c r="BC389" s="16"/>
      <c r="BD389" s="16"/>
      <c r="BE389" s="16"/>
      <c r="BF389" s="16"/>
      <c r="BG389" s="16"/>
      <c r="BH389" s="16"/>
      <c r="BI389" s="16"/>
      <c r="BJ389" s="16"/>
      <c r="BK389" s="16"/>
      <c r="BY389" s="16"/>
    </row>
    <row r="390" spans="1:77">
      <c r="A390"/>
      <c r="B390"/>
      <c r="C390" s="2954" t="s">
        <v>1318</v>
      </c>
      <c r="D390" s="2966">
        <v>24</v>
      </c>
      <c r="E390" s="88">
        <v>24</v>
      </c>
      <c r="F390" s="296"/>
      <c r="G390" s="296"/>
      <c r="H390" s="296"/>
      <c r="I390"/>
      <c r="J390"/>
      <c r="K390" s="1042">
        <v>24</v>
      </c>
      <c r="L390"/>
      <c r="M390"/>
      <c r="N390"/>
      <c r="O390"/>
      <c r="P390"/>
      <c r="Q390"/>
      <c r="R390"/>
      <c r="S390" s="16"/>
      <c r="T390" s="16"/>
      <c r="U390"/>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U390" s="16"/>
      <c r="AV390" s="16"/>
      <c r="AW390" s="16"/>
      <c r="AX390" s="16"/>
      <c r="AY390" s="16"/>
      <c r="AZ390" s="16"/>
      <c r="BA390" s="16"/>
      <c r="BB390" s="16"/>
      <c r="BC390" s="16"/>
      <c r="BD390" s="16"/>
      <c r="BE390" s="16"/>
      <c r="BF390" s="16"/>
      <c r="BG390" s="16"/>
      <c r="BH390" s="16"/>
      <c r="BI390" s="16"/>
      <c r="BJ390" s="16"/>
      <c r="BK390" s="16"/>
      <c r="BY390" s="16"/>
    </row>
    <row r="391" spans="1:77">
      <c r="A391"/>
      <c r="B391"/>
      <c r="C391" s="2954" t="s">
        <v>1319</v>
      </c>
      <c r="D391" s="2966">
        <v>50</v>
      </c>
      <c r="E391" s="1042">
        <v>50</v>
      </c>
      <c r="F391" s="296"/>
      <c r="G391" s="296"/>
      <c r="H391" s="296"/>
      <c r="I391" s="34"/>
      <c r="J391" s="34" t="s">
        <v>3132</v>
      </c>
      <c r="K391" s="1042">
        <v>20</v>
      </c>
      <c r="L391"/>
      <c r="M391"/>
      <c r="N391"/>
      <c r="O391"/>
      <c r="P391"/>
      <c r="Q391"/>
      <c r="R391"/>
      <c r="S391" s="16"/>
      <c r="T391" s="16"/>
      <c r="U391"/>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U391" s="16"/>
      <c r="AV391" s="16"/>
      <c r="AW391" s="16"/>
      <c r="AX391" s="16"/>
      <c r="AY391" s="16"/>
      <c r="AZ391" s="16"/>
      <c r="BA391" s="16"/>
      <c r="BB391" s="16"/>
      <c r="BC391" s="16"/>
      <c r="BD391" s="16"/>
      <c r="BE391" s="16"/>
      <c r="BF391" s="16"/>
      <c r="BG391" s="16"/>
      <c r="BH391" s="16"/>
      <c r="BI391" s="16"/>
      <c r="BJ391" s="16"/>
      <c r="BK391" s="16"/>
      <c r="BY391" s="16"/>
    </row>
    <row r="392" spans="1:77">
      <c r="A392"/>
      <c r="B392"/>
      <c r="C392" s="2954" t="s">
        <v>1320</v>
      </c>
      <c r="D392" s="2966">
        <v>26</v>
      </c>
      <c r="E392" s="88">
        <v>26</v>
      </c>
      <c r="F392" s="296"/>
      <c r="G392" s="296"/>
      <c r="H392" s="296"/>
      <c r="I392"/>
      <c r="J392"/>
      <c r="K392" s="1042">
        <v>26</v>
      </c>
      <c r="L392"/>
      <c r="M392"/>
      <c r="N392"/>
      <c r="O392"/>
      <c r="P392"/>
      <c r="Q392"/>
      <c r="R392"/>
      <c r="S392" s="16"/>
      <c r="T392" s="16"/>
      <c r="U392"/>
      <c r="V392"/>
      <c r="BY392" s="16"/>
    </row>
    <row r="393" spans="1:77">
      <c r="A393"/>
      <c r="B393"/>
      <c r="C393" s="2954" t="s">
        <v>1321</v>
      </c>
      <c r="D393" s="2966">
        <v>3.09</v>
      </c>
      <c r="E393" s="88">
        <v>3.09</v>
      </c>
      <c r="F393" s="296"/>
      <c r="G393" s="296"/>
      <c r="H393" s="296"/>
      <c r="I393"/>
      <c r="J393"/>
      <c r="K393" s="1042">
        <v>3.09</v>
      </c>
      <c r="L393"/>
      <c r="M393"/>
      <c r="N393"/>
      <c r="O393"/>
      <c r="P393"/>
      <c r="Q393"/>
      <c r="R393"/>
      <c r="S393" s="16"/>
      <c r="T393" s="16"/>
      <c r="U393"/>
      <c r="V393"/>
      <c r="BY393" s="16"/>
    </row>
    <row r="394" spans="1:77">
      <c r="A394"/>
      <c r="B394"/>
      <c r="C394" s="2959" t="s">
        <v>1278</v>
      </c>
      <c r="D394" s="2968">
        <f t="shared" ref="D394" si="122">ROUNDUP(D389/D390,0)</f>
        <v>2</v>
      </c>
      <c r="E394" s="2957">
        <f t="shared" ref="E394" si="123">ROUNDUP(E389/E390,0)</f>
        <v>2</v>
      </c>
      <c r="F394" s="681"/>
      <c r="G394" s="681"/>
      <c r="H394" s="681"/>
      <c r="I394"/>
      <c r="J394"/>
      <c r="K394" s="2960">
        <f t="shared" ref="K394" si="124">ROUNDUP(K389/K390,0)</f>
        <v>2</v>
      </c>
      <c r="L394"/>
      <c r="M394"/>
      <c r="N394"/>
      <c r="O394"/>
      <c r="P394"/>
      <c r="Q394"/>
      <c r="R394"/>
      <c r="S394" s="16"/>
      <c r="T394" s="16"/>
      <c r="U394"/>
      <c r="V394"/>
      <c r="BY394" s="16"/>
    </row>
    <row r="395" spans="1:77">
      <c r="A395"/>
      <c r="B395"/>
      <c r="C395" s="2955" t="s">
        <v>301</v>
      </c>
      <c r="D395" s="2970">
        <v>71000</v>
      </c>
      <c r="E395" s="108"/>
      <c r="F395" s="296"/>
      <c r="G395" s="296"/>
      <c r="H395" s="296"/>
      <c r="I395"/>
      <c r="J395"/>
      <c r="K395" s="1043">
        <v>71000</v>
      </c>
      <c r="L395"/>
      <c r="M395"/>
      <c r="N395"/>
      <c r="O395"/>
      <c r="P395"/>
      <c r="Q395"/>
      <c r="R395"/>
      <c r="S395"/>
      <c r="T395"/>
      <c r="U395"/>
      <c r="V395"/>
      <c r="BY395" s="16"/>
    </row>
    <row r="396" spans="1:77">
      <c r="A396"/>
      <c r="B396"/>
      <c r="C396" s="2956" t="s">
        <v>515</v>
      </c>
      <c r="D396" s="2966">
        <v>35</v>
      </c>
      <c r="E396" s="88">
        <v>3.59</v>
      </c>
      <c r="F396" s="296"/>
      <c r="G396" s="296"/>
      <c r="H396" s="296"/>
      <c r="I396"/>
      <c r="J396"/>
      <c r="K396" s="1042">
        <v>35</v>
      </c>
      <c r="L396"/>
      <c r="M396"/>
      <c r="N396"/>
      <c r="O396"/>
      <c r="P396"/>
      <c r="Q396"/>
      <c r="R396"/>
      <c r="S396" s="16"/>
      <c r="T396" s="16"/>
      <c r="U396"/>
      <c r="V396"/>
      <c r="BY396" s="16"/>
    </row>
    <row r="397" spans="1:77" ht="18">
      <c r="A397"/>
      <c r="B397"/>
      <c r="C397" s="2958" t="s">
        <v>1275</v>
      </c>
      <c r="D397" s="2966">
        <v>1.26</v>
      </c>
      <c r="E397" s="88">
        <v>1.26</v>
      </c>
      <c r="F397" s="2925"/>
      <c r="G397" s="2925"/>
      <c r="H397" s="2925"/>
      <c r="I397"/>
      <c r="J397"/>
      <c r="K397" s="1042">
        <v>1.26</v>
      </c>
      <c r="L397"/>
      <c r="M397"/>
      <c r="N397"/>
      <c r="O397"/>
      <c r="P397"/>
      <c r="Q397"/>
      <c r="R397"/>
      <c r="S397" s="16"/>
      <c r="T397" s="16"/>
      <c r="U397"/>
      <c r="V397"/>
      <c r="BY397" s="16"/>
    </row>
    <row r="398" spans="1:77" ht="18.5">
      <c r="A398"/>
      <c r="B398"/>
      <c r="C398" s="2950" t="s">
        <v>1322</v>
      </c>
      <c r="D398" s="2951">
        <f>D394*D391*(D392/100)*(D396/D395)*D397</f>
        <v>1.6149295774647889E-2</v>
      </c>
      <c r="E398" s="2952">
        <f>E394*E391*(E392/100)*(E393/1000)/E396*E397</f>
        <v>2.8197325905292479E-2</v>
      </c>
      <c r="F398" s="2925"/>
      <c r="G398" s="296"/>
      <c r="H398" s="296"/>
      <c r="I398"/>
      <c r="J398"/>
      <c r="K398" s="2951">
        <f>K394*K391*(K392/100)*(K396/K395)*K397</f>
        <v>6.4597183098591554E-3</v>
      </c>
      <c r="L398"/>
      <c r="M398"/>
      <c r="N398"/>
      <c r="O398"/>
      <c r="P398"/>
      <c r="Q398"/>
      <c r="R398"/>
      <c r="S398"/>
      <c r="T398"/>
      <c r="U398"/>
      <c r="V398"/>
      <c r="AG398" s="16"/>
      <c r="AH398" s="16"/>
      <c r="AI398" s="16"/>
      <c r="AJ398" s="16"/>
      <c r="AK398" s="16"/>
      <c r="AL398" s="16"/>
      <c r="AM398" s="16"/>
      <c r="AN398" s="16"/>
      <c r="AO398" s="16"/>
      <c r="AP398" s="16"/>
      <c r="AQ398" s="16"/>
      <c r="BY398" s="16"/>
    </row>
    <row r="399" spans="1:77" ht="42.75" customHeight="1">
      <c r="A399"/>
      <c r="B399"/>
      <c r="C399" s="2947" t="s">
        <v>1323</v>
      </c>
      <c r="D399" s="3291"/>
      <c r="E399" s="2948"/>
      <c r="F399" s="296"/>
      <c r="G399" s="296"/>
      <c r="H399" s="296"/>
      <c r="I399"/>
      <c r="J399"/>
      <c r="K399"/>
      <c r="L399"/>
      <c r="M399"/>
      <c r="N399"/>
      <c r="O399"/>
      <c r="P399"/>
      <c r="Q399"/>
      <c r="R399"/>
      <c r="S399"/>
      <c r="T399"/>
      <c r="U399"/>
      <c r="V399"/>
      <c r="AR399" s="16"/>
      <c r="BY399" s="16"/>
    </row>
    <row r="400" spans="1:77">
      <c r="A400"/>
      <c r="B400"/>
      <c r="C400" s="2949" t="s">
        <v>1325</v>
      </c>
      <c r="D400" s="2973"/>
      <c r="E400" s="2920"/>
      <c r="F400" s="16"/>
      <c r="G400" s="16"/>
      <c r="H400" s="16"/>
      <c r="I400"/>
      <c r="J400"/>
      <c r="K400"/>
      <c r="L400"/>
      <c r="M400"/>
      <c r="N400"/>
      <c r="O400"/>
      <c r="P400"/>
      <c r="Q400"/>
      <c r="R400"/>
      <c r="S400"/>
      <c r="T400"/>
      <c r="U400"/>
      <c r="V400"/>
      <c r="AR400" s="16"/>
      <c r="BY400" s="16"/>
    </row>
    <row r="401" spans="1:77">
      <c r="A401"/>
      <c r="B401"/>
      <c r="C401"/>
      <c r="F401" s="16"/>
      <c r="G401" s="16"/>
      <c r="H401" s="16"/>
      <c r="I401"/>
      <c r="J401"/>
      <c r="K401"/>
      <c r="L401"/>
      <c r="M401"/>
      <c r="N401"/>
      <c r="O401"/>
      <c r="P401"/>
      <c r="Q401"/>
      <c r="R401"/>
      <c r="S401"/>
      <c r="T401"/>
      <c r="U401"/>
      <c r="V401"/>
      <c r="AR401" s="31"/>
      <c r="BY401" s="16"/>
    </row>
    <row r="402" spans="1:77">
      <c r="A402"/>
      <c r="B402"/>
      <c r="C402"/>
      <c r="F402" s="16"/>
      <c r="G402" s="16"/>
      <c r="H402" s="16"/>
      <c r="I402"/>
      <c r="J402"/>
      <c r="K402"/>
      <c r="L402"/>
      <c r="M402"/>
      <c r="N402"/>
      <c r="O402"/>
      <c r="P402"/>
      <c r="Q402"/>
      <c r="R402"/>
      <c r="S402"/>
      <c r="T402"/>
      <c r="U402"/>
      <c r="V402"/>
      <c r="AR402" s="31"/>
      <c r="BY402" s="16"/>
    </row>
    <row r="403" spans="1:77" ht="15.5">
      <c r="A403"/>
      <c r="B403"/>
      <c r="C403"/>
      <c r="D403" s="3289" t="s">
        <v>3129</v>
      </c>
      <c r="E403" s="2801"/>
      <c r="F403" s="16"/>
      <c r="G403" s="16"/>
      <c r="H403" s="16"/>
      <c r="I403"/>
      <c r="J403"/>
      <c r="K403" s="2990" t="s">
        <v>3131</v>
      </c>
      <c r="L403"/>
      <c r="M403"/>
      <c r="N403"/>
      <c r="O403"/>
      <c r="P403"/>
      <c r="Q403"/>
      <c r="R403"/>
      <c r="S403"/>
      <c r="T403"/>
      <c r="U403"/>
      <c r="V403"/>
      <c r="AR403" s="31"/>
      <c r="BY403" s="16"/>
    </row>
    <row r="404" spans="1:77">
      <c r="A404"/>
      <c r="B404"/>
      <c r="C404"/>
      <c r="D404" s="3290" t="s">
        <v>1280</v>
      </c>
      <c r="E404" s="2762" t="s">
        <v>1281</v>
      </c>
      <c r="F404" s="16"/>
      <c r="G404" s="16"/>
      <c r="H404" s="16"/>
      <c r="I404"/>
      <c r="J404"/>
      <c r="K404" s="2992" t="s">
        <v>1280</v>
      </c>
      <c r="L404"/>
      <c r="M404"/>
      <c r="N404"/>
      <c r="O404"/>
      <c r="P404"/>
      <c r="Q404"/>
      <c r="R404"/>
      <c r="S404"/>
      <c r="T404"/>
      <c r="U404"/>
      <c r="V404"/>
      <c r="AR404" s="31"/>
      <c r="BY404" s="16"/>
    </row>
    <row r="405" spans="1:77" ht="15.5">
      <c r="A405"/>
      <c r="B405" s="2953" t="s">
        <v>2916</v>
      </c>
      <c r="C405" s="2954" t="s">
        <v>3127</v>
      </c>
      <c r="D405" s="2965">
        <f>F97/1000</f>
        <v>0</v>
      </c>
      <c r="E405" s="2919">
        <f>D405</f>
        <v>0</v>
      </c>
      <c r="F405" s="16"/>
      <c r="G405" s="16"/>
      <c r="H405" s="16"/>
      <c r="I405"/>
      <c r="J405"/>
      <c r="K405" s="2991">
        <f>K97/1000</f>
        <v>0</v>
      </c>
      <c r="L405"/>
      <c r="M405"/>
      <c r="N405"/>
      <c r="O405"/>
      <c r="P405"/>
      <c r="Q405"/>
      <c r="R405"/>
      <c r="S405"/>
      <c r="T405"/>
      <c r="U405"/>
      <c r="V405"/>
      <c r="AR405" s="31"/>
      <c r="BY405" s="16"/>
    </row>
    <row r="406" spans="1:77">
      <c r="A406"/>
      <c r="B406"/>
      <c r="C406" s="2954" t="s">
        <v>1318</v>
      </c>
      <c r="D406" s="2966">
        <v>24</v>
      </c>
      <c r="E406" s="88">
        <v>24</v>
      </c>
      <c r="F406"/>
      <c r="G406"/>
      <c r="H406"/>
      <c r="I406"/>
      <c r="J406"/>
      <c r="K406" s="1042">
        <v>24</v>
      </c>
      <c r="L406"/>
      <c r="M406"/>
      <c r="N406"/>
      <c r="O406"/>
      <c r="P406"/>
      <c r="Q406"/>
      <c r="R406"/>
      <c r="S406"/>
      <c r="T406"/>
      <c r="U406"/>
      <c r="V406"/>
      <c r="AR406" s="31"/>
      <c r="BY406" s="16"/>
    </row>
    <row r="407" spans="1:77">
      <c r="A407"/>
      <c r="B407"/>
      <c r="C407" s="2954" t="s">
        <v>1319</v>
      </c>
      <c r="D407" s="2966">
        <v>412</v>
      </c>
      <c r="E407" s="1042">
        <v>412</v>
      </c>
      <c r="F407"/>
      <c r="G407"/>
      <c r="H407"/>
      <c r="I407" s="34"/>
      <c r="J407" s="34" t="s">
        <v>3132</v>
      </c>
      <c r="K407" s="1042">
        <v>20</v>
      </c>
      <c r="L407"/>
      <c r="M407"/>
      <c r="N407"/>
      <c r="O407"/>
      <c r="P407"/>
      <c r="Q407"/>
      <c r="R407"/>
      <c r="S407"/>
      <c r="T407"/>
      <c r="U407"/>
      <c r="V407"/>
      <c r="AR407" s="31"/>
      <c r="BY407" s="16"/>
    </row>
    <row r="408" spans="1:77">
      <c r="A408"/>
      <c r="B408"/>
      <c r="C408" s="2954" t="s">
        <v>1320</v>
      </c>
      <c r="D408" s="2966">
        <v>26</v>
      </c>
      <c r="E408" s="88">
        <v>26</v>
      </c>
      <c r="F408"/>
      <c r="G408"/>
      <c r="H408"/>
      <c r="I408"/>
      <c r="J408"/>
      <c r="K408" s="1042">
        <v>26</v>
      </c>
      <c r="L408"/>
      <c r="M408"/>
      <c r="N408"/>
      <c r="O408"/>
      <c r="P408"/>
      <c r="Q408"/>
      <c r="R408"/>
      <c r="S408"/>
      <c r="T408"/>
      <c r="U408"/>
      <c r="V408"/>
      <c r="AR408" s="31"/>
      <c r="BY408" s="16"/>
    </row>
    <row r="409" spans="1:77">
      <c r="A409"/>
      <c r="B409"/>
      <c r="C409" s="2954" t="s">
        <v>1321</v>
      </c>
      <c r="D409" s="2966">
        <v>3.09</v>
      </c>
      <c r="E409" s="88">
        <v>3.09</v>
      </c>
      <c r="F409"/>
      <c r="G409"/>
      <c r="H409"/>
      <c r="I409"/>
      <c r="J409"/>
      <c r="K409" s="1042">
        <v>3.09</v>
      </c>
      <c r="L409"/>
      <c r="M409"/>
      <c r="N409"/>
      <c r="O409"/>
      <c r="P409"/>
      <c r="Q409"/>
      <c r="R409"/>
      <c r="S409"/>
      <c r="T409"/>
      <c r="U409"/>
      <c r="V409"/>
      <c r="AR409" s="31"/>
      <c r="BY409" s="16"/>
    </row>
    <row r="410" spans="1:77">
      <c r="A410"/>
      <c r="B410"/>
      <c r="C410" s="2959" t="s">
        <v>1278</v>
      </c>
      <c r="D410" s="2968">
        <f t="shared" ref="D410:E410" si="125">ROUNDUP(D405/D406,0)</f>
        <v>0</v>
      </c>
      <c r="E410" s="2957">
        <f t="shared" si="125"/>
        <v>0</v>
      </c>
      <c r="F410"/>
      <c r="G410"/>
      <c r="H410"/>
      <c r="I410"/>
      <c r="J410"/>
      <c r="K410" s="2960">
        <f t="shared" ref="K410" si="126">ROUNDUP(K405/K406,0)</f>
        <v>0</v>
      </c>
      <c r="L410"/>
      <c r="M410"/>
      <c r="N410"/>
      <c r="O410"/>
      <c r="P410"/>
      <c r="Q410"/>
      <c r="R410"/>
      <c r="S410"/>
      <c r="T410"/>
      <c r="U410"/>
      <c r="V410"/>
      <c r="AR410" s="31"/>
      <c r="BY410" s="16"/>
    </row>
    <row r="411" spans="1:77">
      <c r="A411"/>
      <c r="B411"/>
      <c r="C411" s="2955" t="s">
        <v>301</v>
      </c>
      <c r="D411" s="2970">
        <v>71000</v>
      </c>
      <c r="E411" s="108"/>
      <c r="F411"/>
      <c r="G411"/>
      <c r="H411"/>
      <c r="I411"/>
      <c r="J411"/>
      <c r="K411" s="1043">
        <v>71000</v>
      </c>
      <c r="L411"/>
      <c r="M411"/>
      <c r="N411"/>
      <c r="O411"/>
      <c r="P411"/>
      <c r="Q411"/>
      <c r="R411"/>
      <c r="S411"/>
      <c r="T411"/>
      <c r="U411"/>
      <c r="V411"/>
      <c r="AR411" s="31"/>
      <c r="BY411" s="16"/>
    </row>
    <row r="412" spans="1:77">
      <c r="A412"/>
      <c r="B412"/>
      <c r="C412" s="2956" t="s">
        <v>515</v>
      </c>
      <c r="D412" s="2966">
        <v>35</v>
      </c>
      <c r="E412" s="88">
        <v>3.59</v>
      </c>
      <c r="F412"/>
      <c r="G412"/>
      <c r="H412"/>
      <c r="I412"/>
      <c r="J412"/>
      <c r="K412" s="1042">
        <v>35</v>
      </c>
      <c r="L412"/>
      <c r="M412"/>
      <c r="N412"/>
      <c r="O412"/>
      <c r="P412"/>
      <c r="Q412"/>
      <c r="R412"/>
      <c r="S412"/>
      <c r="T412"/>
      <c r="U412"/>
      <c r="V412"/>
      <c r="AR412" s="31"/>
      <c r="BY412" s="16"/>
    </row>
    <row r="413" spans="1:77">
      <c r="A413"/>
      <c r="B413"/>
      <c r="C413" s="2958" t="s">
        <v>1275</v>
      </c>
      <c r="D413" s="2966">
        <v>1.26</v>
      </c>
      <c r="E413" s="88">
        <v>1.26</v>
      </c>
      <c r="F413"/>
      <c r="G413"/>
      <c r="H413"/>
      <c r="I413"/>
      <c r="J413"/>
      <c r="K413" s="1042">
        <v>1.26</v>
      </c>
      <c r="L413"/>
      <c r="M413"/>
      <c r="N413"/>
      <c r="O413"/>
      <c r="P413"/>
      <c r="Q413"/>
      <c r="R413"/>
      <c r="S413"/>
      <c r="T413"/>
      <c r="U413"/>
      <c r="V413"/>
      <c r="AR413" s="31"/>
      <c r="BY413" s="16"/>
    </row>
    <row r="414" spans="1:77" ht="18.5">
      <c r="A414"/>
      <c r="B414"/>
      <c r="C414" s="2950" t="s">
        <v>1322</v>
      </c>
      <c r="D414" s="2951">
        <f>D410*D407*(D408/100)*(D412/D411)*D413</f>
        <v>0</v>
      </c>
      <c r="E414" s="2952">
        <f>E410*E407*(E408/100)*(E409/1000)/E412*E413</f>
        <v>0</v>
      </c>
      <c r="F414"/>
      <c r="G414"/>
      <c r="H414"/>
      <c r="I414"/>
      <c r="J414"/>
      <c r="K414" s="2951">
        <f>K410*K407*(K408/100)*(K412/K411)*K413</f>
        <v>0</v>
      </c>
      <c r="L414"/>
      <c r="M414"/>
      <c r="N414"/>
      <c r="O414"/>
      <c r="P414"/>
      <c r="Q414"/>
      <c r="R414"/>
      <c r="S414"/>
      <c r="T414"/>
      <c r="U414"/>
      <c r="V414"/>
      <c r="AR414" s="31"/>
      <c r="BY414" s="16"/>
    </row>
    <row r="415" spans="1:77" ht="37">
      <c r="A415"/>
      <c r="B415"/>
      <c r="C415" s="2947" t="s">
        <v>1323</v>
      </c>
      <c r="D415" s="3291"/>
      <c r="E415" s="2948"/>
      <c r="F415"/>
      <c r="G415"/>
      <c r="H415"/>
      <c r="I415"/>
      <c r="J415"/>
      <c r="K415"/>
      <c r="L415"/>
      <c r="M415"/>
      <c r="N415"/>
      <c r="O415"/>
      <c r="P415"/>
      <c r="Q415"/>
      <c r="R415"/>
      <c r="S415"/>
      <c r="T415"/>
      <c r="U415"/>
      <c r="V415"/>
      <c r="AR415" s="31"/>
      <c r="BY415" s="16"/>
    </row>
    <row r="416" spans="1:77">
      <c r="A416"/>
      <c r="B416"/>
      <c r="C416" s="2949" t="s">
        <v>1325</v>
      </c>
      <c r="D416" s="2973"/>
      <c r="E416" s="2920"/>
      <c r="F416"/>
      <c r="G416"/>
      <c r="H416"/>
      <c r="I416"/>
      <c r="J416"/>
      <c r="K416"/>
      <c r="L416"/>
      <c r="M416"/>
      <c r="N416"/>
      <c r="O416"/>
      <c r="P416"/>
      <c r="Q416"/>
      <c r="R416"/>
      <c r="S416"/>
      <c r="T416"/>
      <c r="U416"/>
      <c r="V416"/>
      <c r="AR416" s="31"/>
      <c r="BY416" s="16"/>
    </row>
    <row r="417" spans="1:77">
      <c r="A417"/>
      <c r="B417"/>
      <c r="C417"/>
      <c r="F417"/>
      <c r="G417"/>
      <c r="H417"/>
      <c r="I417"/>
      <c r="J417"/>
      <c r="K417"/>
      <c r="L417"/>
      <c r="M417"/>
      <c r="N417"/>
      <c r="O417"/>
      <c r="P417"/>
      <c r="Q417"/>
      <c r="R417"/>
      <c r="S417"/>
      <c r="T417"/>
      <c r="U417"/>
      <c r="V417"/>
      <c r="AR417" s="31"/>
      <c r="BY417" s="16"/>
    </row>
    <row r="418" spans="1:77" ht="15.5">
      <c r="A418"/>
      <c r="B418"/>
      <c r="C418"/>
      <c r="D418" s="3289" t="s">
        <v>3129</v>
      </c>
      <c r="E418" s="2801"/>
      <c r="F418"/>
      <c r="G418"/>
      <c r="H418"/>
      <c r="I418"/>
      <c r="J418"/>
      <c r="K418" s="2990" t="s">
        <v>3131</v>
      </c>
      <c r="L418"/>
      <c r="M418"/>
      <c r="N418"/>
      <c r="O418"/>
      <c r="P418"/>
      <c r="Q418"/>
      <c r="R418"/>
      <c r="S418"/>
      <c r="T418"/>
      <c r="U418"/>
      <c r="V418"/>
      <c r="AR418" s="31"/>
      <c r="BY418" s="16"/>
    </row>
    <row r="419" spans="1:77">
      <c r="A419"/>
      <c r="B419"/>
      <c r="C419"/>
      <c r="D419" s="3290" t="s">
        <v>1280</v>
      </c>
      <c r="E419" s="2762" t="s">
        <v>1281</v>
      </c>
      <c r="F419"/>
      <c r="G419"/>
      <c r="H419"/>
      <c r="I419"/>
      <c r="J419"/>
      <c r="K419" s="2992" t="s">
        <v>1280</v>
      </c>
      <c r="L419"/>
      <c r="M419"/>
      <c r="N419"/>
      <c r="O419"/>
      <c r="P419"/>
      <c r="Q419"/>
      <c r="R419"/>
      <c r="S419"/>
      <c r="T419"/>
      <c r="U419"/>
      <c r="V419"/>
      <c r="W419" s="118"/>
      <c r="AR419" s="31"/>
      <c r="BY419" s="16"/>
    </row>
    <row r="420" spans="1:77" ht="15.5">
      <c r="A420"/>
      <c r="B420" s="2953" t="s">
        <v>3021</v>
      </c>
      <c r="C420" s="2954" t="s">
        <v>3127</v>
      </c>
      <c r="D420" s="2965">
        <f>F102/1000</f>
        <v>6.0761999999999995E-3</v>
      </c>
      <c r="E420" s="2919">
        <f>D420</f>
        <v>6.0761999999999995E-3</v>
      </c>
      <c r="F420"/>
      <c r="G420"/>
      <c r="H420"/>
      <c r="I420"/>
      <c r="J420"/>
      <c r="K420" s="2991">
        <f>K102/1000</f>
        <v>6.3800099999999993E-3</v>
      </c>
      <c r="L420"/>
      <c r="M420"/>
      <c r="N420"/>
      <c r="O420"/>
      <c r="P420"/>
      <c r="Q420"/>
      <c r="R420"/>
      <c r="S420"/>
      <c r="T420"/>
      <c r="U420"/>
      <c r="V420"/>
      <c r="W420" s="118"/>
      <c r="AR420" s="31"/>
      <c r="BY420" s="16"/>
    </row>
    <row r="421" spans="1:77">
      <c r="A421"/>
      <c r="B421"/>
      <c r="C421" s="2954" t="s">
        <v>1318</v>
      </c>
      <c r="D421" s="2966">
        <v>24</v>
      </c>
      <c r="E421" s="88">
        <v>24</v>
      </c>
      <c r="F421"/>
      <c r="G421"/>
      <c r="H421"/>
      <c r="I421"/>
      <c r="J421"/>
      <c r="K421" s="1042">
        <v>24</v>
      </c>
      <c r="L421"/>
      <c r="M421"/>
      <c r="N421"/>
      <c r="O421"/>
      <c r="P421"/>
      <c r="Q421"/>
      <c r="R421"/>
      <c r="S421"/>
      <c r="T421"/>
      <c r="U421"/>
      <c r="V421"/>
      <c r="W421" s="118"/>
      <c r="AR421" s="31"/>
      <c r="BY421" s="16"/>
    </row>
    <row r="422" spans="1:77">
      <c r="A422"/>
      <c r="B422"/>
      <c r="C422" s="2954" t="s">
        <v>1319</v>
      </c>
      <c r="D422" s="2966">
        <v>412</v>
      </c>
      <c r="E422" s="1042">
        <v>412</v>
      </c>
      <c r="F422"/>
      <c r="G422"/>
      <c r="H422"/>
      <c r="I422" s="34"/>
      <c r="J422" s="34" t="s">
        <v>3132</v>
      </c>
      <c r="K422" s="1042">
        <v>20</v>
      </c>
      <c r="L422"/>
      <c r="M422"/>
      <c r="N422"/>
      <c r="O422"/>
      <c r="P422"/>
      <c r="Q422"/>
      <c r="R422"/>
      <c r="S422"/>
      <c r="T422"/>
      <c r="U422"/>
      <c r="V422"/>
      <c r="W422" s="118"/>
      <c r="AR422" s="31"/>
      <c r="BY422" s="16"/>
    </row>
    <row r="423" spans="1:77">
      <c r="A423"/>
      <c r="B423"/>
      <c r="C423" s="2954" t="s">
        <v>1320</v>
      </c>
      <c r="D423" s="2966">
        <v>26</v>
      </c>
      <c r="E423" s="88">
        <v>26</v>
      </c>
      <c r="F423"/>
      <c r="G423"/>
      <c r="H423"/>
      <c r="I423"/>
      <c r="J423"/>
      <c r="K423" s="1042">
        <v>26</v>
      </c>
      <c r="L423"/>
      <c r="M423"/>
      <c r="N423"/>
      <c r="O423"/>
      <c r="P423"/>
      <c r="Q423"/>
      <c r="R423"/>
      <c r="S423"/>
      <c r="T423"/>
      <c r="U423"/>
      <c r="V423"/>
      <c r="W423" s="118"/>
      <c r="AR423" s="31"/>
      <c r="BY423" s="16"/>
    </row>
    <row r="424" spans="1:77">
      <c r="A424"/>
      <c r="B424"/>
      <c r="C424" s="2954" t="s">
        <v>1321</v>
      </c>
      <c r="D424" s="2966">
        <v>3.09</v>
      </c>
      <c r="E424" s="88">
        <v>3.09</v>
      </c>
      <c r="F424"/>
      <c r="G424"/>
      <c r="H424"/>
      <c r="I424"/>
      <c r="J424"/>
      <c r="K424" s="1042">
        <v>3.09</v>
      </c>
      <c r="L424"/>
      <c r="M424"/>
      <c r="N424"/>
      <c r="O424"/>
      <c r="P424"/>
      <c r="Q424"/>
      <c r="R424"/>
      <c r="S424"/>
      <c r="T424"/>
      <c r="U424"/>
      <c r="V424"/>
      <c r="W424" s="118"/>
      <c r="AR424" s="31"/>
      <c r="BY424" s="16"/>
    </row>
    <row r="425" spans="1:77">
      <c r="A425"/>
      <c r="B425"/>
      <c r="C425" s="2959" t="s">
        <v>1278</v>
      </c>
      <c r="D425" s="2968">
        <f t="shared" ref="D425:E425" si="127">ROUNDUP(D420/D421,0)</f>
        <v>1</v>
      </c>
      <c r="E425" s="2957">
        <f t="shared" si="127"/>
        <v>1</v>
      </c>
      <c r="F425"/>
      <c r="G425"/>
      <c r="H425"/>
      <c r="I425"/>
      <c r="J425"/>
      <c r="K425" s="2960">
        <f t="shared" ref="K425" si="128">ROUNDUP(K420/K421,0)</f>
        <v>1</v>
      </c>
      <c r="L425"/>
      <c r="M425"/>
      <c r="N425"/>
      <c r="O425"/>
      <c r="P425"/>
      <c r="Q425"/>
      <c r="R425"/>
      <c r="S425"/>
      <c r="T425"/>
      <c r="U425"/>
      <c r="V425"/>
      <c r="W425" s="118"/>
      <c r="AR425" s="31"/>
      <c r="BY425" s="16"/>
    </row>
    <row r="426" spans="1:77">
      <c r="A426"/>
      <c r="B426"/>
      <c r="C426" s="2955" t="s">
        <v>301</v>
      </c>
      <c r="D426" s="2970">
        <v>71000</v>
      </c>
      <c r="E426" s="108"/>
      <c r="F426"/>
      <c r="G426"/>
      <c r="H426"/>
      <c r="I426"/>
      <c r="J426"/>
      <c r="K426" s="1043">
        <v>71000</v>
      </c>
      <c r="L426"/>
      <c r="M426"/>
      <c r="N426"/>
      <c r="O426"/>
      <c r="P426"/>
      <c r="Q426"/>
      <c r="R426"/>
      <c r="S426"/>
      <c r="T426"/>
      <c r="U426"/>
      <c r="V426"/>
      <c r="W426" s="118"/>
      <c r="AR426" s="31"/>
      <c r="BY426" s="16"/>
    </row>
    <row r="427" spans="1:77">
      <c r="A427"/>
      <c r="B427"/>
      <c r="C427" s="2956" t="s">
        <v>515</v>
      </c>
      <c r="D427" s="2966">
        <v>35</v>
      </c>
      <c r="E427" s="88">
        <v>3.59</v>
      </c>
      <c r="F427"/>
      <c r="G427"/>
      <c r="H427"/>
      <c r="I427"/>
      <c r="J427"/>
      <c r="K427" s="1042">
        <v>35</v>
      </c>
      <c r="L427"/>
      <c r="M427"/>
      <c r="N427"/>
      <c r="O427"/>
      <c r="P427"/>
      <c r="Q427"/>
      <c r="R427"/>
      <c r="S427"/>
      <c r="T427"/>
      <c r="U427"/>
      <c r="V427"/>
      <c r="W427" s="118"/>
      <c r="AR427" s="31"/>
      <c r="BY427" s="16"/>
    </row>
    <row r="428" spans="1:77">
      <c r="A428"/>
      <c r="B428"/>
      <c r="C428" s="2958" t="s">
        <v>1275</v>
      </c>
      <c r="D428" s="2966">
        <v>1.26</v>
      </c>
      <c r="E428" s="88">
        <v>1.26</v>
      </c>
      <c r="F428"/>
      <c r="G428"/>
      <c r="H428"/>
      <c r="I428"/>
      <c r="J428"/>
      <c r="K428" s="1042">
        <v>1.26</v>
      </c>
      <c r="L428"/>
      <c r="M428"/>
      <c r="N428"/>
      <c r="O428"/>
      <c r="P428"/>
      <c r="Q428"/>
      <c r="R428"/>
      <c r="S428"/>
      <c r="T428"/>
      <c r="U428"/>
      <c r="V428"/>
      <c r="W428" s="118"/>
      <c r="AR428" s="31"/>
      <c r="BY428" s="16"/>
    </row>
    <row r="429" spans="1:77" ht="18.5">
      <c r="A429"/>
      <c r="B429"/>
      <c r="C429" s="2950" t="s">
        <v>1322</v>
      </c>
      <c r="D429" s="2951">
        <f>D425*D422*(D423/100)*(D427/D426)*D428</f>
        <v>6.6535098591549297E-2</v>
      </c>
      <c r="E429" s="2952">
        <f>E425*E422*(E423/100)*(E424/1000)/E427*E428</f>
        <v>0.11617298272980502</v>
      </c>
      <c r="F429"/>
      <c r="G429"/>
      <c r="H429"/>
      <c r="I429"/>
      <c r="J429"/>
      <c r="K429" s="2951">
        <f>K425*K422*(K423/100)*(K427/K426)*K428</f>
        <v>3.2298591549295777E-3</v>
      </c>
      <c r="L429"/>
      <c r="M429"/>
      <c r="N429"/>
      <c r="O429"/>
      <c r="P429"/>
      <c r="Q429"/>
      <c r="R429"/>
      <c r="S429"/>
      <c r="T429"/>
      <c r="U429"/>
      <c r="V429"/>
      <c r="W429" s="118"/>
      <c r="AR429" s="31"/>
      <c r="BY429" s="16"/>
    </row>
    <row r="430" spans="1:77" ht="37">
      <c r="A430"/>
      <c r="B430"/>
      <c r="C430" s="2947" t="s">
        <v>1323</v>
      </c>
      <c r="D430" s="3291"/>
      <c r="E430" s="2948"/>
      <c r="F430"/>
      <c r="G430"/>
      <c r="H430"/>
      <c r="I430"/>
      <c r="J430"/>
      <c r="K430"/>
      <c r="L430"/>
      <c r="M430"/>
      <c r="N430"/>
      <c r="O430"/>
      <c r="P430"/>
      <c r="Q430"/>
      <c r="R430"/>
      <c r="S430"/>
      <c r="T430"/>
      <c r="U430"/>
      <c r="V430"/>
      <c r="W430" s="118"/>
      <c r="X430" s="35"/>
      <c r="AR430" s="31"/>
      <c r="BY430" s="16"/>
    </row>
    <row r="431" spans="1:77">
      <c r="A431"/>
      <c r="B431"/>
      <c r="C431" s="2949" t="s">
        <v>1325</v>
      </c>
      <c r="D431" s="2973"/>
      <c r="E431" s="2920"/>
      <c r="F431"/>
      <c r="G431"/>
      <c r="H431"/>
      <c r="I431"/>
      <c r="J431"/>
      <c r="K431"/>
      <c r="L431"/>
      <c r="M431"/>
      <c r="N431"/>
      <c r="O431"/>
      <c r="P431"/>
      <c r="Q431"/>
      <c r="R431"/>
      <c r="S431"/>
      <c r="T431"/>
      <c r="U431"/>
      <c r="V431"/>
      <c r="W431" s="44"/>
      <c r="X431" s="35"/>
      <c r="AR431" s="31"/>
      <c r="BY431" s="16"/>
    </row>
    <row r="432" spans="1:77">
      <c r="A432"/>
      <c r="B432"/>
      <c r="C432"/>
      <c r="F432"/>
      <c r="G432"/>
      <c r="H432"/>
      <c r="I432"/>
      <c r="J432"/>
      <c r="K432"/>
      <c r="L432"/>
      <c r="M432"/>
      <c r="N432"/>
      <c r="O432"/>
      <c r="P432"/>
      <c r="Q432"/>
      <c r="R432"/>
      <c r="S432"/>
      <c r="T432"/>
      <c r="U432"/>
      <c r="V432"/>
      <c r="W432" s="44"/>
      <c r="X432" s="35"/>
      <c r="AR432" s="31"/>
      <c r="BY432" s="16"/>
    </row>
    <row r="433" spans="1:77">
      <c r="A433"/>
      <c r="B433"/>
      <c r="C433"/>
      <c r="F433"/>
      <c r="G433"/>
      <c r="H433"/>
      <c r="I433"/>
      <c r="J433"/>
      <c r="K433"/>
      <c r="L433"/>
      <c r="M433"/>
      <c r="N433"/>
      <c r="O433"/>
      <c r="P433"/>
      <c r="Q433"/>
      <c r="R433"/>
      <c r="S433"/>
      <c r="T433"/>
      <c r="U433"/>
      <c r="V433"/>
      <c r="W433" s="44"/>
      <c r="X433" s="35"/>
      <c r="AR433" s="31"/>
      <c r="BY433" s="16"/>
    </row>
    <row r="434" spans="1:77" ht="15.5">
      <c r="A434"/>
      <c r="B434"/>
      <c r="C434"/>
      <c r="D434" s="3289" t="s">
        <v>3129</v>
      </c>
      <c r="E434" s="2801"/>
      <c r="F434"/>
      <c r="G434"/>
      <c r="H434"/>
      <c r="I434"/>
      <c r="J434"/>
      <c r="K434" s="2990" t="s">
        <v>3131</v>
      </c>
      <c r="L434"/>
      <c r="M434"/>
      <c r="N434"/>
      <c r="O434"/>
      <c r="P434"/>
      <c r="Q434"/>
      <c r="R434"/>
      <c r="S434"/>
      <c r="T434"/>
      <c r="U434"/>
      <c r="V434"/>
      <c r="W434" s="44"/>
      <c r="X434" s="35"/>
      <c r="AR434" s="31"/>
      <c r="BY434" s="16"/>
    </row>
    <row r="435" spans="1:77">
      <c r="A435"/>
      <c r="B435"/>
      <c r="C435"/>
      <c r="D435" s="3290" t="s">
        <v>1280</v>
      </c>
      <c r="E435" s="2762" t="s">
        <v>1281</v>
      </c>
      <c r="F435"/>
      <c r="G435"/>
      <c r="H435"/>
      <c r="I435"/>
      <c r="J435"/>
      <c r="K435" s="2992" t="s">
        <v>1280</v>
      </c>
      <c r="L435"/>
      <c r="M435"/>
      <c r="N435"/>
      <c r="O435"/>
      <c r="P435"/>
      <c r="Q435"/>
      <c r="R435"/>
      <c r="S435"/>
      <c r="T435"/>
      <c r="U435"/>
      <c r="V435"/>
      <c r="W435" s="44"/>
      <c r="X435" s="35"/>
      <c r="AR435" s="31"/>
      <c r="BY435" s="16"/>
    </row>
    <row r="436" spans="1:77" ht="15.5">
      <c r="A436"/>
      <c r="B436" s="2953" t="s">
        <v>2922</v>
      </c>
      <c r="C436" s="2954" t="s">
        <v>3127</v>
      </c>
      <c r="D436" s="2965">
        <f>F110/1000</f>
        <v>2.7146267651156593</v>
      </c>
      <c r="E436" s="2919">
        <f>D436</f>
        <v>2.7146267651156593</v>
      </c>
      <c r="F436"/>
      <c r="G436"/>
      <c r="H436"/>
      <c r="I436"/>
      <c r="J436"/>
      <c r="K436" s="2991">
        <f>K110/1000</f>
        <v>2.850358103371442</v>
      </c>
      <c r="L436"/>
      <c r="M436"/>
      <c r="N436"/>
      <c r="O436"/>
      <c r="P436"/>
      <c r="Q436"/>
      <c r="R436"/>
      <c r="S436"/>
      <c r="T436"/>
      <c r="U436"/>
      <c r="V436"/>
      <c r="W436" s="44"/>
      <c r="X436" s="35"/>
      <c r="AR436" s="31"/>
      <c r="BY436" s="16"/>
    </row>
    <row r="437" spans="1:77">
      <c r="A437"/>
      <c r="B437"/>
      <c r="C437" s="2954" t="s">
        <v>1318</v>
      </c>
      <c r="D437" s="2966">
        <v>24</v>
      </c>
      <c r="E437" s="88">
        <v>24</v>
      </c>
      <c r="F437"/>
      <c r="G437"/>
      <c r="H437"/>
      <c r="I437"/>
      <c r="J437"/>
      <c r="K437" s="1042">
        <v>24</v>
      </c>
      <c r="L437"/>
      <c r="M437"/>
      <c r="N437"/>
      <c r="O437"/>
      <c r="P437"/>
      <c r="Q437"/>
      <c r="R437"/>
      <c r="S437"/>
      <c r="T437"/>
      <c r="U437"/>
      <c r="V437"/>
      <c r="W437" s="44"/>
      <c r="X437" s="35"/>
      <c r="AR437" s="31"/>
      <c r="BY437" s="16"/>
    </row>
    <row r="438" spans="1:77">
      <c r="A438"/>
      <c r="B438"/>
      <c r="C438" s="2954" t="s">
        <v>1319</v>
      </c>
      <c r="D438" s="2966">
        <v>412</v>
      </c>
      <c r="E438" s="1042">
        <v>412</v>
      </c>
      <c r="F438"/>
      <c r="G438"/>
      <c r="H438"/>
      <c r="I438" s="34"/>
      <c r="J438" s="34" t="s">
        <v>3132</v>
      </c>
      <c r="K438" s="1042">
        <v>20</v>
      </c>
      <c r="L438"/>
      <c r="M438"/>
      <c r="N438"/>
      <c r="O438"/>
      <c r="P438"/>
      <c r="Q438"/>
      <c r="R438"/>
      <c r="S438"/>
      <c r="T438"/>
      <c r="U438"/>
      <c r="V438"/>
      <c r="W438" s="44"/>
      <c r="AR438" s="31"/>
      <c r="BY438" s="16"/>
    </row>
    <row r="439" spans="1:77">
      <c r="A439"/>
      <c r="B439"/>
      <c r="C439" s="2954" t="s">
        <v>1320</v>
      </c>
      <c r="D439" s="2966">
        <v>26</v>
      </c>
      <c r="E439" s="88">
        <v>26</v>
      </c>
      <c r="F439"/>
      <c r="G439"/>
      <c r="H439"/>
      <c r="I439"/>
      <c r="J439"/>
      <c r="K439" s="1042">
        <v>26</v>
      </c>
      <c r="L439"/>
      <c r="M439"/>
      <c r="N439"/>
      <c r="O439"/>
      <c r="P439"/>
      <c r="Q439"/>
      <c r="R439"/>
      <c r="S439"/>
      <c r="T439"/>
      <c r="U439"/>
      <c r="V439"/>
      <c r="W439" s="118"/>
      <c r="AR439" s="31"/>
      <c r="BY439" s="16"/>
    </row>
    <row r="440" spans="1:77">
      <c r="A440"/>
      <c r="B440"/>
      <c r="C440" s="2954" t="s">
        <v>1321</v>
      </c>
      <c r="D440" s="2966">
        <v>3.09</v>
      </c>
      <c r="E440" s="88">
        <v>3.09</v>
      </c>
      <c r="F440"/>
      <c r="G440"/>
      <c r="H440"/>
      <c r="I440"/>
      <c r="J440"/>
      <c r="K440" s="1042">
        <v>3.09</v>
      </c>
      <c r="L440"/>
      <c r="M440"/>
      <c r="N440"/>
      <c r="O440"/>
      <c r="P440"/>
      <c r="Q440"/>
      <c r="R440"/>
      <c r="S440"/>
      <c r="T440"/>
      <c r="U440"/>
      <c r="V440"/>
      <c r="W440" s="118"/>
      <c r="AR440" s="31"/>
      <c r="BY440" s="16"/>
    </row>
    <row r="441" spans="1:77">
      <c r="A441"/>
      <c r="B441"/>
      <c r="C441" s="2959" t="s">
        <v>1278</v>
      </c>
      <c r="D441" s="2968">
        <f t="shared" ref="D441:E441" si="129">ROUNDUP(D436/D437,0)</f>
        <v>1</v>
      </c>
      <c r="E441" s="2957">
        <f t="shared" si="129"/>
        <v>1</v>
      </c>
      <c r="F441"/>
      <c r="G441"/>
      <c r="H441"/>
      <c r="I441"/>
      <c r="J441"/>
      <c r="K441" s="2960">
        <f t="shared" ref="K441" si="130">ROUNDUP(K436/K437,0)</f>
        <v>1</v>
      </c>
      <c r="L441"/>
      <c r="M441"/>
      <c r="N441"/>
      <c r="O441"/>
      <c r="P441"/>
      <c r="Q441"/>
      <c r="R441"/>
      <c r="S441"/>
      <c r="T441"/>
      <c r="U441"/>
      <c r="V441"/>
      <c r="W441" s="118"/>
      <c r="AR441" s="31"/>
      <c r="BY441" s="16"/>
    </row>
    <row r="442" spans="1:77">
      <c r="A442"/>
      <c r="B442"/>
      <c r="C442" s="2955" t="s">
        <v>301</v>
      </c>
      <c r="D442" s="2970">
        <v>71000</v>
      </c>
      <c r="E442" s="108"/>
      <c r="F442"/>
      <c r="G442"/>
      <c r="H442"/>
      <c r="I442"/>
      <c r="J442"/>
      <c r="K442" s="1043">
        <v>71000</v>
      </c>
      <c r="L442"/>
      <c r="M442"/>
      <c r="N442"/>
      <c r="O442"/>
      <c r="P442"/>
      <c r="Q442"/>
      <c r="R442"/>
      <c r="S442"/>
      <c r="T442"/>
      <c r="U442"/>
      <c r="V442"/>
      <c r="W442" s="118"/>
      <c r="AR442" s="31"/>
      <c r="BY442" s="16"/>
    </row>
    <row r="443" spans="1:77">
      <c r="A443"/>
      <c r="B443"/>
      <c r="C443" s="2956" t="s">
        <v>515</v>
      </c>
      <c r="D443" s="2966">
        <v>35</v>
      </c>
      <c r="E443" s="88">
        <v>3.59</v>
      </c>
      <c r="F443"/>
      <c r="G443"/>
      <c r="H443"/>
      <c r="I443"/>
      <c r="J443"/>
      <c r="K443" s="1042">
        <v>35</v>
      </c>
      <c r="L443"/>
      <c r="M443"/>
      <c r="N443"/>
      <c r="O443"/>
      <c r="P443"/>
      <c r="Q443"/>
      <c r="R443"/>
      <c r="S443"/>
      <c r="T443"/>
      <c r="U443"/>
      <c r="V443"/>
      <c r="W443" s="118"/>
      <c r="AR443" s="31"/>
      <c r="BY443" s="16"/>
    </row>
    <row r="444" spans="1:77">
      <c r="A444"/>
      <c r="B444"/>
      <c r="C444" s="2958" t="s">
        <v>1275</v>
      </c>
      <c r="D444" s="2966">
        <v>1.26</v>
      </c>
      <c r="E444" s="88">
        <v>1.26</v>
      </c>
      <c r="K444" s="1042">
        <v>1.26</v>
      </c>
      <c r="V444" s="28"/>
      <c r="W444" s="118"/>
      <c r="BY444" s="16"/>
    </row>
    <row r="445" spans="1:77" ht="18.5">
      <c r="A445"/>
      <c r="B445"/>
      <c r="C445" s="2950" t="s">
        <v>1322</v>
      </c>
      <c r="D445" s="2951">
        <f>D441*D438*(D439/100)*(D443/D442)*D444</f>
        <v>6.6535098591549297E-2</v>
      </c>
      <c r="E445" s="2952">
        <f>E441*E438*(E439/100)*(E440/1000)/E443*E444</f>
        <v>0.11617298272980502</v>
      </c>
      <c r="K445" s="2951">
        <f>K441*K438*(K439/100)*(K443/K442)*K444</f>
        <v>3.2298591549295777E-3</v>
      </c>
      <c r="V445" s="28"/>
      <c r="W445" s="118"/>
      <c r="BY445" s="16"/>
    </row>
    <row r="446" spans="1:77" ht="37">
      <c r="A446"/>
      <c r="B446"/>
      <c r="C446" s="2947" t="s">
        <v>1323</v>
      </c>
      <c r="D446" s="3291"/>
      <c r="E446" s="2948"/>
      <c r="V446" s="28"/>
      <c r="W446" s="118"/>
      <c r="BY446" s="16"/>
    </row>
    <row r="447" spans="1:77">
      <c r="A447"/>
      <c r="B447"/>
      <c r="C447" s="2949" t="s">
        <v>1325</v>
      </c>
      <c r="D447" s="2973"/>
      <c r="E447" s="2920"/>
      <c r="V447" s="28"/>
      <c r="W447" s="118"/>
      <c r="BY447" s="16"/>
    </row>
    <row r="448" spans="1:77">
      <c r="A448"/>
      <c r="B448"/>
      <c r="C448"/>
      <c r="V448" s="28"/>
      <c r="W448" s="118"/>
      <c r="BY448" s="16"/>
    </row>
    <row r="449" spans="1:77" ht="15.5">
      <c r="A449"/>
      <c r="B449"/>
      <c r="C449"/>
      <c r="D449" s="3289" t="s">
        <v>3129</v>
      </c>
      <c r="E449" s="2801"/>
      <c r="K449" s="2990" t="s">
        <v>3131</v>
      </c>
      <c r="V449" s="28"/>
      <c r="W449" s="118"/>
      <c r="BY449" s="16"/>
    </row>
    <row r="450" spans="1:77">
      <c r="A450"/>
      <c r="B450"/>
      <c r="C450"/>
      <c r="D450" s="3290" t="s">
        <v>1280</v>
      </c>
      <c r="E450" s="2762" t="s">
        <v>1281</v>
      </c>
      <c r="K450" s="2992" t="s">
        <v>1280</v>
      </c>
      <c r="V450" s="28"/>
      <c r="W450" s="118"/>
      <c r="BY450" s="16"/>
    </row>
    <row r="451" spans="1:77" ht="15.5">
      <c r="A451"/>
      <c r="B451" s="2953" t="s">
        <v>3011</v>
      </c>
      <c r="C451" s="2954" t="s">
        <v>3127</v>
      </c>
      <c r="D451" s="2965">
        <f>F121/1000</f>
        <v>5.1143283879999997</v>
      </c>
      <c r="E451" s="2919">
        <f>D451</f>
        <v>5.1143283879999997</v>
      </c>
      <c r="K451" s="2991">
        <f>K121/1000</f>
        <v>5.3700448074000002</v>
      </c>
      <c r="V451" s="28"/>
      <c r="W451" s="118"/>
      <c r="BY451" s="16"/>
    </row>
    <row r="452" spans="1:77">
      <c r="A452"/>
      <c r="B452"/>
      <c r="C452" s="2954" t="s">
        <v>1318</v>
      </c>
      <c r="D452" s="2966">
        <v>24</v>
      </c>
      <c r="E452" s="88">
        <v>24</v>
      </c>
      <c r="K452" s="1042">
        <v>24</v>
      </c>
      <c r="V452" s="28"/>
      <c r="W452" s="118"/>
      <c r="BY452" s="16"/>
    </row>
    <row r="453" spans="1:77">
      <c r="A453"/>
      <c r="B453"/>
      <c r="C453" s="2954" t="s">
        <v>1319</v>
      </c>
      <c r="D453" s="2966">
        <v>412</v>
      </c>
      <c r="E453" s="1042">
        <v>412</v>
      </c>
      <c r="I453" s="34"/>
      <c r="J453" s="34" t="s">
        <v>3132</v>
      </c>
      <c r="K453" s="1042">
        <v>20</v>
      </c>
      <c r="V453" s="28"/>
      <c r="W453" s="118"/>
      <c r="BY453" s="16"/>
    </row>
    <row r="454" spans="1:77">
      <c r="A454"/>
      <c r="B454"/>
      <c r="C454" s="2954" t="s">
        <v>1320</v>
      </c>
      <c r="D454" s="2966">
        <v>26</v>
      </c>
      <c r="E454" s="88">
        <v>26</v>
      </c>
      <c r="K454" s="1042">
        <v>26</v>
      </c>
      <c r="V454" s="28"/>
      <c r="W454" s="118"/>
      <c r="BY454" s="16"/>
    </row>
    <row r="455" spans="1:77">
      <c r="A455"/>
      <c r="B455"/>
      <c r="C455" s="2954" t="s">
        <v>1321</v>
      </c>
      <c r="D455" s="2966">
        <v>3.09</v>
      </c>
      <c r="E455" s="88">
        <v>3.09</v>
      </c>
      <c r="K455" s="1042">
        <v>3.09</v>
      </c>
      <c r="V455" s="28"/>
      <c r="W455" s="118"/>
      <c r="BY455" s="16"/>
    </row>
    <row r="456" spans="1:77">
      <c r="A456"/>
      <c r="B456"/>
      <c r="C456" s="2959" t="s">
        <v>1278</v>
      </c>
      <c r="D456" s="2968">
        <f t="shared" ref="D456:E456" si="131">ROUNDUP(D451/D452,0)</f>
        <v>1</v>
      </c>
      <c r="E456" s="2957">
        <f t="shared" si="131"/>
        <v>1</v>
      </c>
      <c r="K456" s="2960">
        <f t="shared" ref="K456" si="132">ROUNDUP(K451/K452,0)</f>
        <v>1</v>
      </c>
      <c r="V456" s="28"/>
      <c r="W456" s="118"/>
      <c r="BY456" s="16"/>
    </row>
    <row r="457" spans="1:77">
      <c r="A457"/>
      <c r="B457"/>
      <c r="C457" s="2955" t="s">
        <v>301</v>
      </c>
      <c r="D457" s="2970">
        <v>71000</v>
      </c>
      <c r="E457" s="108"/>
      <c r="K457" s="1043">
        <v>71000</v>
      </c>
      <c r="V457" s="28"/>
      <c r="W457" s="118"/>
      <c r="BY457" s="16"/>
    </row>
    <row r="458" spans="1:77">
      <c r="A458"/>
      <c r="B458"/>
      <c r="C458" s="2956" t="s">
        <v>515</v>
      </c>
      <c r="D458" s="2966">
        <v>35</v>
      </c>
      <c r="E458" s="88">
        <v>3.59</v>
      </c>
      <c r="K458" s="1042">
        <v>35</v>
      </c>
      <c r="V458" s="28"/>
      <c r="W458" s="118"/>
      <c r="BY458" s="16"/>
    </row>
    <row r="459" spans="1:77">
      <c r="A459"/>
      <c r="B459"/>
      <c r="C459" s="2958" t="s">
        <v>1275</v>
      </c>
      <c r="D459" s="2966">
        <v>1.26</v>
      </c>
      <c r="E459" s="88">
        <v>1.26</v>
      </c>
      <c r="K459" s="1042">
        <v>1.26</v>
      </c>
      <c r="V459" s="28"/>
      <c r="W459" s="118"/>
      <c r="BY459" s="16"/>
    </row>
    <row r="460" spans="1:77" ht="18.5">
      <c r="A460"/>
      <c r="B460"/>
      <c r="C460" s="2950" t="s">
        <v>1322</v>
      </c>
      <c r="D460" s="2951">
        <f>D456*D453*(D454/100)*(D458/D457)*D459</f>
        <v>6.6535098591549297E-2</v>
      </c>
      <c r="E460" s="2952">
        <f>E456*E453*(E454/100)*(E455/1000)/E458*E459</f>
        <v>0.11617298272980502</v>
      </c>
      <c r="K460" s="2951">
        <f>K456*K453*(K454/100)*(K458/K457)*K459</f>
        <v>3.2298591549295777E-3</v>
      </c>
      <c r="V460" s="28"/>
      <c r="W460" s="118"/>
      <c r="BY460" s="16"/>
    </row>
    <row r="461" spans="1:77" ht="37">
      <c r="A461"/>
      <c r="B461"/>
      <c r="C461" s="2947" t="s">
        <v>1323</v>
      </c>
      <c r="D461" s="3291"/>
      <c r="E461" s="2948"/>
      <c r="V461" s="28"/>
      <c r="W461" s="118"/>
      <c r="BY461" s="16"/>
    </row>
    <row r="462" spans="1:77">
      <c r="A462"/>
      <c r="B462"/>
      <c r="C462" s="2949" t="s">
        <v>1325</v>
      </c>
      <c r="D462" s="2973"/>
      <c r="E462" s="2920"/>
      <c r="V462" s="28"/>
      <c r="W462" s="118"/>
      <c r="BY462" s="16"/>
    </row>
    <row r="463" spans="1:77">
      <c r="A463"/>
      <c r="B463"/>
      <c r="C463"/>
      <c r="V463" s="28"/>
      <c r="W463" s="118"/>
      <c r="BY463" s="16"/>
    </row>
    <row r="464" spans="1:77">
      <c r="A464"/>
      <c r="B464"/>
      <c r="C464"/>
      <c r="V464" s="28"/>
      <c r="W464" s="118"/>
      <c r="BY464" s="16"/>
    </row>
    <row r="465" spans="1:77" ht="15.5">
      <c r="A465"/>
      <c r="B465"/>
      <c r="C465"/>
      <c r="D465" s="3289" t="s">
        <v>3129</v>
      </c>
      <c r="E465" s="2801"/>
      <c r="K465" s="2990" t="s">
        <v>3131</v>
      </c>
      <c r="V465" s="28"/>
      <c r="W465" s="118"/>
      <c r="BY465" s="16"/>
    </row>
    <row r="466" spans="1:77">
      <c r="A466"/>
      <c r="B466"/>
      <c r="C466"/>
      <c r="D466" s="3290" t="s">
        <v>1280</v>
      </c>
      <c r="E466" s="2762" t="s">
        <v>1281</v>
      </c>
      <c r="K466" s="2992" t="s">
        <v>1280</v>
      </c>
      <c r="V466" s="28"/>
      <c r="W466" s="118"/>
      <c r="BY466" s="16"/>
    </row>
    <row r="467" spans="1:77" ht="15.5">
      <c r="A467"/>
      <c r="B467" s="2953" t="s">
        <v>3039</v>
      </c>
      <c r="C467" s="2954" t="s">
        <v>3127</v>
      </c>
      <c r="D467" s="2965">
        <f>F135/1000</f>
        <v>0.22695095808000001</v>
      </c>
      <c r="E467" s="2919">
        <f>D467</f>
        <v>0.22695095808000001</v>
      </c>
      <c r="K467" s="2991">
        <f>K135/1000</f>
        <v>0.23829850598400004</v>
      </c>
      <c r="V467" s="28"/>
      <c r="W467" s="118"/>
      <c r="BY467" s="16"/>
    </row>
    <row r="468" spans="1:77">
      <c r="A468"/>
      <c r="B468"/>
      <c r="C468" s="2954" t="s">
        <v>1318</v>
      </c>
      <c r="D468" s="2966">
        <v>24</v>
      </c>
      <c r="E468" s="88">
        <v>24</v>
      </c>
      <c r="K468" s="1042">
        <v>24</v>
      </c>
      <c r="V468" s="28"/>
      <c r="W468" s="118"/>
      <c r="BY468" s="16"/>
    </row>
    <row r="469" spans="1:77">
      <c r="A469"/>
      <c r="B469"/>
      <c r="C469" s="2954" t="s">
        <v>1319</v>
      </c>
      <c r="D469" s="2966">
        <v>412</v>
      </c>
      <c r="E469" s="1042">
        <v>412</v>
      </c>
      <c r="I469" s="34"/>
      <c r="J469" s="34" t="s">
        <v>3132</v>
      </c>
      <c r="K469" s="1042">
        <v>20</v>
      </c>
      <c r="V469" s="28"/>
      <c r="W469" s="118"/>
      <c r="BY469" s="16"/>
    </row>
    <row r="470" spans="1:77">
      <c r="A470"/>
      <c r="B470"/>
      <c r="C470" s="2954" t="s">
        <v>1320</v>
      </c>
      <c r="D470" s="2966">
        <v>26</v>
      </c>
      <c r="E470" s="88">
        <v>26</v>
      </c>
      <c r="K470" s="1042">
        <v>26</v>
      </c>
      <c r="V470" s="28"/>
      <c r="W470" s="118"/>
      <c r="BY470" s="16"/>
    </row>
    <row r="471" spans="1:77">
      <c r="A471"/>
      <c r="B471"/>
      <c r="C471" s="2954" t="s">
        <v>1321</v>
      </c>
      <c r="D471" s="2966">
        <v>3.09</v>
      </c>
      <c r="E471" s="88">
        <v>3.09</v>
      </c>
      <c r="K471" s="1042">
        <v>3.09</v>
      </c>
      <c r="V471" s="28"/>
      <c r="W471" s="118"/>
      <c r="BY471" s="16"/>
    </row>
    <row r="472" spans="1:77">
      <c r="A472"/>
      <c r="B472"/>
      <c r="C472" s="2959" t="s">
        <v>1278</v>
      </c>
      <c r="D472" s="2968">
        <f t="shared" ref="D472:E472" si="133">ROUNDUP(D467/D468,0)</f>
        <v>1</v>
      </c>
      <c r="E472" s="2957">
        <f t="shared" si="133"/>
        <v>1</v>
      </c>
      <c r="K472" s="2960">
        <f t="shared" ref="K472" si="134">ROUNDUP(K467/K468,0)</f>
        <v>1</v>
      </c>
      <c r="V472" s="28"/>
      <c r="W472" s="118"/>
      <c r="BY472" s="16"/>
    </row>
    <row r="473" spans="1:77">
      <c r="A473"/>
      <c r="B473"/>
      <c r="C473" s="2955" t="s">
        <v>301</v>
      </c>
      <c r="D473" s="2970">
        <v>71000</v>
      </c>
      <c r="E473" s="108"/>
      <c r="K473" s="1043">
        <v>71000</v>
      </c>
      <c r="V473" s="28"/>
      <c r="W473" s="118"/>
      <c r="BY473" s="16"/>
    </row>
    <row r="474" spans="1:77">
      <c r="A474"/>
      <c r="B474"/>
      <c r="C474" s="2956" t="s">
        <v>515</v>
      </c>
      <c r="D474" s="2966">
        <v>35</v>
      </c>
      <c r="E474" s="88">
        <v>3.59</v>
      </c>
      <c r="K474" s="1042">
        <v>35</v>
      </c>
      <c r="V474" s="28"/>
      <c r="W474" s="118"/>
      <c r="BY474" s="16"/>
    </row>
    <row r="475" spans="1:77">
      <c r="A475"/>
      <c r="B475"/>
      <c r="C475" s="2958" t="s">
        <v>1275</v>
      </c>
      <c r="D475" s="2966">
        <v>1.26</v>
      </c>
      <c r="E475" s="88">
        <v>1.26</v>
      </c>
      <c r="K475" s="1042">
        <v>1.26</v>
      </c>
      <c r="V475" s="28"/>
      <c r="W475" s="118"/>
      <c r="BY475" s="16"/>
    </row>
    <row r="476" spans="1:77" ht="18.5">
      <c r="A476"/>
      <c r="B476"/>
      <c r="C476" s="2950" t="s">
        <v>1322</v>
      </c>
      <c r="D476" s="2951">
        <f>D472*D469*(D470/100)*(D474/D473)*D475</f>
        <v>6.6535098591549297E-2</v>
      </c>
      <c r="E476" s="2952">
        <f>E472*E469*(E470/100)*(E471/1000)/E474*E475</f>
        <v>0.11617298272980502</v>
      </c>
      <c r="K476" s="2951">
        <f>K472*K469*(K470/100)*(K474/K473)*K475</f>
        <v>3.2298591549295777E-3</v>
      </c>
      <c r="V476" s="28"/>
      <c r="W476" s="118"/>
      <c r="BY476" s="16"/>
    </row>
    <row r="477" spans="1:77" ht="37">
      <c r="A477"/>
      <c r="B477"/>
      <c r="C477" s="2947" t="s">
        <v>1323</v>
      </c>
      <c r="D477" s="3291"/>
      <c r="E477" s="2948"/>
      <c r="V477" s="28"/>
      <c r="W477" s="118"/>
      <c r="BY477" s="16"/>
    </row>
    <row r="478" spans="1:77">
      <c r="A478"/>
      <c r="B478"/>
      <c r="C478" s="2949" t="s">
        <v>1325</v>
      </c>
      <c r="D478" s="2973"/>
      <c r="E478" s="2920"/>
      <c r="V478" s="28"/>
      <c r="W478" s="118"/>
      <c r="BY478" s="16"/>
    </row>
    <row r="479" spans="1:77">
      <c r="A479"/>
      <c r="B479"/>
      <c r="C479"/>
      <c r="V479" s="28"/>
      <c r="W479" s="118"/>
      <c r="BY479" s="16"/>
    </row>
    <row r="480" spans="1:77" ht="15.5">
      <c r="A480"/>
      <c r="B480"/>
      <c r="C480"/>
      <c r="D480" s="3289" t="s">
        <v>3129</v>
      </c>
      <c r="E480" s="2801"/>
      <c r="K480" s="2990" t="s">
        <v>3131</v>
      </c>
      <c r="V480" s="28"/>
      <c r="W480" s="118"/>
      <c r="BY480" s="16"/>
    </row>
    <row r="481" spans="1:77">
      <c r="A481"/>
      <c r="B481"/>
      <c r="C481"/>
      <c r="D481" s="3290" t="s">
        <v>1280</v>
      </c>
      <c r="E481" s="2762" t="s">
        <v>1281</v>
      </c>
      <c r="K481" s="2992" t="s">
        <v>1280</v>
      </c>
      <c r="V481" s="28"/>
      <c r="W481" s="118"/>
      <c r="BY481" s="16"/>
    </row>
    <row r="482" spans="1:77" ht="15.5">
      <c r="A482"/>
      <c r="B482" s="2953" t="s">
        <v>3027</v>
      </c>
      <c r="C482" s="2954" t="s">
        <v>3127</v>
      </c>
      <c r="D482" s="2965">
        <f>F163/1000</f>
        <v>1.7131284477007924</v>
      </c>
      <c r="E482" s="2919">
        <f>D482</f>
        <v>1.7131284477007924</v>
      </c>
      <c r="K482" s="2991">
        <f>K163/1000</f>
        <v>1.798784870085832</v>
      </c>
      <c r="V482" s="28"/>
      <c r="W482" s="118"/>
      <c r="BY482" s="16"/>
    </row>
    <row r="483" spans="1:77">
      <c r="A483"/>
      <c r="B483"/>
      <c r="C483" s="2954" t="s">
        <v>1318</v>
      </c>
      <c r="D483" s="2966">
        <v>24</v>
      </c>
      <c r="E483" s="88">
        <v>24</v>
      </c>
      <c r="K483" s="1042">
        <v>24</v>
      </c>
      <c r="V483" s="28"/>
      <c r="W483" s="118"/>
      <c r="BY483" s="16"/>
    </row>
    <row r="484" spans="1:77">
      <c r="A484"/>
      <c r="B484"/>
      <c r="C484" s="2954" t="s">
        <v>1319</v>
      </c>
      <c r="D484" s="2966">
        <v>412</v>
      </c>
      <c r="E484" s="1042">
        <v>412</v>
      </c>
      <c r="I484" s="34"/>
      <c r="J484" s="34" t="s">
        <v>3132</v>
      </c>
      <c r="K484" s="1042">
        <v>20</v>
      </c>
      <c r="V484" s="28"/>
      <c r="W484" s="118"/>
      <c r="BY484" s="16"/>
    </row>
    <row r="485" spans="1:77">
      <c r="A485"/>
      <c r="B485"/>
      <c r="C485" s="2954" t="s">
        <v>1320</v>
      </c>
      <c r="D485" s="2966">
        <v>26</v>
      </c>
      <c r="E485" s="88">
        <v>26</v>
      </c>
      <c r="K485" s="1042">
        <v>26</v>
      </c>
      <c r="V485" s="28"/>
      <c r="W485" s="118"/>
      <c r="BY485" s="16"/>
    </row>
    <row r="486" spans="1:77">
      <c r="A486"/>
      <c r="B486"/>
      <c r="C486" s="2954" t="s">
        <v>1321</v>
      </c>
      <c r="D486" s="2966">
        <v>3.09</v>
      </c>
      <c r="E486" s="88">
        <v>3.09</v>
      </c>
      <c r="K486" s="1042">
        <v>3.09</v>
      </c>
      <c r="V486" s="28"/>
      <c r="W486" s="118"/>
      <c r="BY486" s="16"/>
    </row>
    <row r="487" spans="1:77">
      <c r="A487"/>
      <c r="B487"/>
      <c r="C487" s="2959" t="s">
        <v>1278</v>
      </c>
      <c r="D487" s="2968">
        <f t="shared" ref="D487:E487" si="135">ROUNDUP(D482/D483,0)</f>
        <v>1</v>
      </c>
      <c r="E487" s="2957">
        <f t="shared" si="135"/>
        <v>1</v>
      </c>
      <c r="K487" s="2960">
        <f t="shared" ref="K487" si="136">ROUNDUP(K482/K483,0)</f>
        <v>1</v>
      </c>
      <c r="V487" s="28"/>
      <c r="W487" s="118"/>
      <c r="BY487" s="16"/>
    </row>
    <row r="488" spans="1:77">
      <c r="A488"/>
      <c r="B488"/>
      <c r="C488" s="2955" t="s">
        <v>301</v>
      </c>
      <c r="D488" s="2970">
        <v>71000</v>
      </c>
      <c r="E488" s="108"/>
      <c r="K488" s="1043">
        <v>71000</v>
      </c>
      <c r="V488" s="28"/>
      <c r="W488" s="118"/>
      <c r="BY488" s="16"/>
    </row>
    <row r="489" spans="1:77">
      <c r="A489"/>
      <c r="B489"/>
      <c r="C489" s="2956" t="s">
        <v>515</v>
      </c>
      <c r="D489" s="2966">
        <v>35</v>
      </c>
      <c r="E489" s="88">
        <v>3.59</v>
      </c>
      <c r="K489" s="1042">
        <v>35</v>
      </c>
      <c r="V489" s="28"/>
      <c r="W489" s="118"/>
      <c r="BY489" s="16"/>
    </row>
    <row r="490" spans="1:77">
      <c r="A490"/>
      <c r="B490"/>
      <c r="C490" s="2958" t="s">
        <v>1275</v>
      </c>
      <c r="D490" s="2966">
        <v>1.26</v>
      </c>
      <c r="E490" s="88">
        <v>1.26</v>
      </c>
      <c r="K490" s="1042">
        <v>1.26</v>
      </c>
      <c r="V490" s="28"/>
      <c r="W490" s="118"/>
      <c r="BY490" s="16"/>
    </row>
    <row r="491" spans="1:77" ht="18.5">
      <c r="A491"/>
      <c r="B491"/>
      <c r="C491" s="2950" t="s">
        <v>1322</v>
      </c>
      <c r="D491" s="2951">
        <f>D487*D484*(D485/100)*(D489/D488)*D490</f>
        <v>6.6535098591549297E-2</v>
      </c>
      <c r="E491" s="2952">
        <f>E487*E484*(E485/100)*(E486/1000)/E489*E490</f>
        <v>0.11617298272980502</v>
      </c>
      <c r="K491" s="2951">
        <f>K487*K484*(K485/100)*(K489/K488)*K490</f>
        <v>3.2298591549295777E-3</v>
      </c>
      <c r="V491" s="28"/>
      <c r="W491" s="118"/>
      <c r="BY491" s="16"/>
    </row>
    <row r="492" spans="1:77" ht="37">
      <c r="A492"/>
      <c r="B492"/>
      <c r="C492" s="2947" t="s">
        <v>1323</v>
      </c>
      <c r="D492" s="3291"/>
      <c r="E492" s="2948"/>
      <c r="V492" s="28"/>
      <c r="W492" s="118"/>
      <c r="BY492" s="16"/>
    </row>
    <row r="493" spans="1:77">
      <c r="A493"/>
      <c r="B493"/>
      <c r="C493" s="2949" t="s">
        <v>1325</v>
      </c>
      <c r="D493" s="2973"/>
      <c r="E493" s="2920"/>
      <c r="V493" s="28"/>
      <c r="W493" s="118"/>
      <c r="BY493" s="16"/>
    </row>
    <row r="494" spans="1:77">
      <c r="A494"/>
      <c r="B494"/>
      <c r="C494"/>
      <c r="V494" s="28"/>
      <c r="W494" s="118"/>
      <c r="BY494" s="16"/>
    </row>
    <row r="495" spans="1:77" ht="15.5">
      <c r="A495"/>
      <c r="B495"/>
      <c r="C495"/>
      <c r="D495" s="3289" t="s">
        <v>3129</v>
      </c>
      <c r="E495" s="2801"/>
      <c r="K495" s="2990" t="s">
        <v>3131</v>
      </c>
      <c r="V495" s="28"/>
      <c r="W495" s="118"/>
      <c r="BY495" s="16"/>
    </row>
    <row r="496" spans="1:77">
      <c r="A496"/>
      <c r="B496"/>
      <c r="C496"/>
      <c r="D496" s="3290" t="s">
        <v>1280</v>
      </c>
      <c r="E496" s="2762" t="s">
        <v>1281</v>
      </c>
      <c r="K496" s="2992" t="s">
        <v>1280</v>
      </c>
      <c r="V496" s="28"/>
      <c r="W496" s="118"/>
      <c r="BY496" s="16"/>
    </row>
    <row r="497" spans="1:77" ht="15.5">
      <c r="A497"/>
      <c r="B497" s="2953" t="s">
        <v>3032</v>
      </c>
      <c r="C497" s="2954" t="s">
        <v>3127</v>
      </c>
      <c r="D497" s="2965">
        <f>F169/1000</f>
        <v>0</v>
      </c>
      <c r="E497" s="2919">
        <f>D497</f>
        <v>0</v>
      </c>
      <c r="K497" s="2991">
        <f>K169/1000</f>
        <v>0</v>
      </c>
      <c r="V497" s="28"/>
      <c r="W497" s="118"/>
      <c r="BY497" s="16"/>
    </row>
    <row r="498" spans="1:77">
      <c r="A498"/>
      <c r="B498"/>
      <c r="C498" s="2954" t="s">
        <v>1318</v>
      </c>
      <c r="D498" s="2966">
        <v>24</v>
      </c>
      <c r="E498" s="88">
        <v>24</v>
      </c>
      <c r="K498" s="1042">
        <v>24</v>
      </c>
      <c r="V498" s="28"/>
      <c r="W498" s="118"/>
      <c r="BY498" s="16"/>
    </row>
    <row r="499" spans="1:77">
      <c r="A499"/>
      <c r="B499"/>
      <c r="C499" s="2954" t="s">
        <v>1319</v>
      </c>
      <c r="D499" s="2966">
        <v>412</v>
      </c>
      <c r="E499" s="1042">
        <v>412</v>
      </c>
      <c r="I499" s="34"/>
      <c r="J499" s="34" t="s">
        <v>3132</v>
      </c>
      <c r="K499" s="1042">
        <v>20</v>
      </c>
      <c r="V499" s="28"/>
      <c r="W499" s="118"/>
      <c r="BY499" s="16"/>
    </row>
    <row r="500" spans="1:77">
      <c r="A500"/>
      <c r="B500"/>
      <c r="C500" s="2954" t="s">
        <v>1320</v>
      </c>
      <c r="D500" s="2966">
        <v>26</v>
      </c>
      <c r="E500" s="88">
        <v>26</v>
      </c>
      <c r="K500" s="1042">
        <v>26</v>
      </c>
      <c r="V500" s="28"/>
      <c r="W500" s="118"/>
      <c r="BY500" s="16"/>
    </row>
    <row r="501" spans="1:77">
      <c r="A501"/>
      <c r="B501"/>
      <c r="C501" s="2954" t="s">
        <v>1321</v>
      </c>
      <c r="D501" s="2966">
        <v>3.09</v>
      </c>
      <c r="E501" s="88">
        <v>3.09</v>
      </c>
      <c r="K501" s="1042">
        <v>3.09</v>
      </c>
      <c r="V501" s="28"/>
      <c r="W501" s="118"/>
      <c r="BY501" s="16"/>
    </row>
    <row r="502" spans="1:77">
      <c r="A502"/>
      <c r="B502"/>
      <c r="C502" s="2959" t="s">
        <v>1278</v>
      </c>
      <c r="D502" s="2968">
        <f t="shared" ref="D502:E502" si="137">ROUNDUP(D497/D498,0)</f>
        <v>0</v>
      </c>
      <c r="E502" s="2957">
        <f t="shared" si="137"/>
        <v>0</v>
      </c>
      <c r="K502" s="2960">
        <f t="shared" ref="K502" si="138">ROUNDUP(K497/K498,0)</f>
        <v>0</v>
      </c>
      <c r="V502" s="28"/>
      <c r="W502" s="118"/>
      <c r="BY502" s="16"/>
    </row>
    <row r="503" spans="1:77">
      <c r="A503"/>
      <c r="B503"/>
      <c r="C503" s="2955" t="s">
        <v>301</v>
      </c>
      <c r="D503" s="2970">
        <v>71000</v>
      </c>
      <c r="E503" s="108"/>
      <c r="K503" s="1043">
        <v>71000</v>
      </c>
      <c r="V503" s="28"/>
      <c r="W503" s="118"/>
      <c r="BY503" s="16"/>
    </row>
    <row r="504" spans="1:77">
      <c r="A504"/>
      <c r="B504"/>
      <c r="C504" s="2956" t="s">
        <v>515</v>
      </c>
      <c r="D504" s="2966">
        <v>35</v>
      </c>
      <c r="E504" s="88">
        <v>3.59</v>
      </c>
      <c r="K504" s="1042">
        <v>35</v>
      </c>
      <c r="V504" s="28"/>
      <c r="W504" s="118"/>
      <c r="BY504" s="16"/>
    </row>
    <row r="505" spans="1:77">
      <c r="A505"/>
      <c r="B505"/>
      <c r="C505" s="2958" t="s">
        <v>1275</v>
      </c>
      <c r="D505" s="2966">
        <v>1.26</v>
      </c>
      <c r="E505" s="88">
        <v>1.26</v>
      </c>
      <c r="K505" s="1042">
        <v>1.26</v>
      </c>
      <c r="V505" s="28"/>
      <c r="W505" s="118"/>
      <c r="BY505" s="16"/>
    </row>
    <row r="506" spans="1:77" ht="18.5">
      <c r="A506"/>
      <c r="B506"/>
      <c r="C506" s="2950" t="s">
        <v>1322</v>
      </c>
      <c r="D506" s="2951">
        <f>D502*D499*(D500/100)*(D504/D503)*D505</f>
        <v>0</v>
      </c>
      <c r="E506" s="2952">
        <f>E502*E499*(E500/100)*(E501/1000)/E504*E505</f>
        <v>0</v>
      </c>
      <c r="K506" s="2951">
        <f>K502*K499*(K500/100)*(K504/K503)*K505</f>
        <v>0</v>
      </c>
      <c r="V506" s="28"/>
      <c r="W506" s="118"/>
      <c r="BY506" s="16"/>
    </row>
    <row r="507" spans="1:77" ht="37">
      <c r="A507"/>
      <c r="B507"/>
      <c r="C507" s="2947" t="s">
        <v>1323</v>
      </c>
      <c r="D507" s="3291"/>
      <c r="E507" s="2948"/>
      <c r="V507" s="28"/>
      <c r="W507" s="118"/>
      <c r="BY507" s="16"/>
    </row>
    <row r="508" spans="1:77">
      <c r="A508"/>
      <c r="B508"/>
      <c r="C508" s="2949" t="s">
        <v>1325</v>
      </c>
      <c r="D508" s="2973"/>
      <c r="E508" s="2920"/>
      <c r="V508" s="28"/>
      <c r="W508" s="118"/>
      <c r="BY508" s="16"/>
    </row>
    <row r="509" spans="1:77">
      <c r="A509"/>
      <c r="B509"/>
      <c r="C509"/>
      <c r="V509" s="28"/>
      <c r="W509" s="118"/>
      <c r="BY509" s="16"/>
    </row>
    <row r="510" spans="1:77">
      <c r="A510"/>
      <c r="B510"/>
      <c r="C510"/>
      <c r="V510" s="28"/>
      <c r="W510" s="118"/>
      <c r="BY510" s="16"/>
    </row>
    <row r="511" spans="1:77" ht="15.5">
      <c r="A511"/>
      <c r="B511"/>
      <c r="C511"/>
      <c r="D511" s="3289" t="s">
        <v>3129</v>
      </c>
      <c r="E511" s="2801"/>
      <c r="K511" s="2990" t="s">
        <v>3131</v>
      </c>
      <c r="V511" s="28"/>
      <c r="W511" s="118"/>
      <c r="BY511" s="16"/>
    </row>
    <row r="512" spans="1:77">
      <c r="A512"/>
      <c r="B512"/>
      <c r="C512"/>
      <c r="D512" s="3290" t="s">
        <v>1280</v>
      </c>
      <c r="E512" s="2762" t="s">
        <v>1281</v>
      </c>
      <c r="K512" s="2992" t="s">
        <v>1280</v>
      </c>
      <c r="V512" s="28"/>
      <c r="W512" s="118"/>
      <c r="BY512" s="16"/>
    </row>
    <row r="513" spans="1:77" ht="15.5">
      <c r="A513"/>
      <c r="B513" s="2953" t="s">
        <v>3051</v>
      </c>
      <c r="C513" s="2954" t="s">
        <v>3127</v>
      </c>
      <c r="D513" s="2965">
        <f>F173/1000</f>
        <v>0</v>
      </c>
      <c r="E513" s="2919">
        <f>D513</f>
        <v>0</v>
      </c>
      <c r="K513" s="2991">
        <f>K173/1000</f>
        <v>0</v>
      </c>
      <c r="V513" s="28"/>
      <c r="W513" s="118"/>
      <c r="BY513" s="16"/>
    </row>
    <row r="514" spans="1:77">
      <c r="A514"/>
      <c r="B514"/>
      <c r="C514" s="2954" t="s">
        <v>1318</v>
      </c>
      <c r="D514" s="2966">
        <v>24</v>
      </c>
      <c r="E514" s="88">
        <v>24</v>
      </c>
      <c r="K514" s="1042">
        <v>24</v>
      </c>
      <c r="V514" s="28"/>
      <c r="W514" s="118"/>
      <c r="BY514" s="16"/>
    </row>
    <row r="515" spans="1:77">
      <c r="A515"/>
      <c r="B515"/>
      <c r="C515" s="2954" t="s">
        <v>1319</v>
      </c>
      <c r="D515" s="2966">
        <v>412</v>
      </c>
      <c r="E515" s="1042">
        <v>412</v>
      </c>
      <c r="I515" s="34"/>
      <c r="J515" s="34" t="s">
        <v>3132</v>
      </c>
      <c r="K515" s="1042">
        <v>20</v>
      </c>
      <c r="V515" s="28"/>
      <c r="W515" s="118"/>
      <c r="BY515" s="16"/>
    </row>
    <row r="516" spans="1:77">
      <c r="A516"/>
      <c r="B516"/>
      <c r="C516" s="2954" t="s">
        <v>1320</v>
      </c>
      <c r="D516" s="2966">
        <v>26</v>
      </c>
      <c r="E516" s="88">
        <v>26</v>
      </c>
      <c r="K516" s="1042">
        <v>26</v>
      </c>
      <c r="V516" s="28"/>
      <c r="W516" s="118"/>
      <c r="BY516" s="16"/>
    </row>
    <row r="517" spans="1:77">
      <c r="A517"/>
      <c r="B517"/>
      <c r="C517" s="2954" t="s">
        <v>1321</v>
      </c>
      <c r="D517" s="2966">
        <v>3.09</v>
      </c>
      <c r="E517" s="88">
        <v>3.09</v>
      </c>
      <c r="K517" s="1042">
        <v>3.09</v>
      </c>
      <c r="V517" s="28"/>
      <c r="W517" s="118"/>
      <c r="BY517" s="16"/>
    </row>
    <row r="518" spans="1:77">
      <c r="A518"/>
      <c r="B518"/>
      <c r="C518" s="2959" t="s">
        <v>1278</v>
      </c>
      <c r="D518" s="2968">
        <f t="shared" ref="D518:E518" si="139">ROUNDUP(D513/D514,0)</f>
        <v>0</v>
      </c>
      <c r="E518" s="2957">
        <f t="shared" si="139"/>
        <v>0</v>
      </c>
      <c r="K518" s="2960">
        <f t="shared" ref="K518" si="140">ROUNDUP(K513/K514,0)</f>
        <v>0</v>
      </c>
      <c r="V518" s="28"/>
      <c r="W518" s="118"/>
      <c r="BY518" s="16"/>
    </row>
    <row r="519" spans="1:77">
      <c r="A519"/>
      <c r="B519"/>
      <c r="C519" s="2955" t="s">
        <v>301</v>
      </c>
      <c r="D519" s="2970">
        <v>71000</v>
      </c>
      <c r="E519" s="108"/>
      <c r="K519" s="1043">
        <v>71000</v>
      </c>
      <c r="V519" s="28"/>
      <c r="W519" s="118"/>
      <c r="BY519" s="16"/>
    </row>
    <row r="520" spans="1:77">
      <c r="A520"/>
      <c r="B520"/>
      <c r="C520" s="2956" t="s">
        <v>515</v>
      </c>
      <c r="D520" s="2966">
        <v>35</v>
      </c>
      <c r="E520" s="88">
        <v>3.59</v>
      </c>
      <c r="K520" s="1042">
        <v>35</v>
      </c>
      <c r="V520" s="28"/>
      <c r="W520" s="118"/>
      <c r="BY520" s="16"/>
    </row>
    <row r="521" spans="1:77">
      <c r="A521"/>
      <c r="B521"/>
      <c r="C521" s="2958" t="s">
        <v>1275</v>
      </c>
      <c r="D521" s="2966">
        <v>1.26</v>
      </c>
      <c r="E521" s="88">
        <v>1.26</v>
      </c>
      <c r="K521" s="1042">
        <v>1.26</v>
      </c>
      <c r="V521" s="28"/>
      <c r="W521" s="118"/>
      <c r="BY521" s="16"/>
    </row>
    <row r="522" spans="1:77" ht="18.5">
      <c r="A522"/>
      <c r="B522"/>
      <c r="C522" s="2950" t="s">
        <v>1322</v>
      </c>
      <c r="D522" s="2951">
        <f>D518*D515*(D516/100)*(D520/D519)*D521</f>
        <v>0</v>
      </c>
      <c r="E522" s="2952">
        <f>E518*E515*(E516/100)*(E517/1000)/E520*E521</f>
        <v>0</v>
      </c>
      <c r="K522" s="2951">
        <f>K518*K515*(K516/100)*(K520/K519)*K521</f>
        <v>0</v>
      </c>
      <c r="V522" s="28"/>
      <c r="W522" s="118"/>
      <c r="BY522" s="16"/>
    </row>
    <row r="523" spans="1:77" ht="37">
      <c r="A523"/>
      <c r="B523"/>
      <c r="C523" s="2947" t="s">
        <v>1323</v>
      </c>
      <c r="D523" s="3291"/>
      <c r="E523" s="2948"/>
      <c r="V523" s="28"/>
      <c r="W523" s="118"/>
      <c r="BY523" s="16"/>
    </row>
    <row r="524" spans="1:77">
      <c r="A524"/>
      <c r="B524"/>
      <c r="C524" s="2949" t="s">
        <v>1325</v>
      </c>
      <c r="D524" s="2973"/>
      <c r="E524" s="2920"/>
      <c r="V524" s="28"/>
      <c r="W524" s="118"/>
      <c r="BY524" s="16"/>
    </row>
    <row r="525" spans="1:77">
      <c r="A525"/>
      <c r="B525"/>
      <c r="C525"/>
      <c r="V525" s="28"/>
      <c r="W525" s="118"/>
      <c r="BY525" s="16"/>
    </row>
    <row r="526" spans="1:77">
      <c r="A526"/>
      <c r="B526"/>
      <c r="C526"/>
      <c r="V526" s="28"/>
      <c r="W526" s="118"/>
      <c r="BY526" s="16"/>
    </row>
    <row r="527" spans="1:77" ht="15.5">
      <c r="A527"/>
      <c r="B527"/>
      <c r="C527"/>
      <c r="D527" s="3289" t="s">
        <v>3129</v>
      </c>
      <c r="E527" s="2801"/>
      <c r="K527" s="2990" t="s">
        <v>3131</v>
      </c>
      <c r="V527" s="28"/>
      <c r="W527" s="118"/>
      <c r="BY527" s="16"/>
    </row>
    <row r="528" spans="1:77">
      <c r="A528"/>
      <c r="B528"/>
      <c r="C528"/>
      <c r="D528" s="3290" t="s">
        <v>1280</v>
      </c>
      <c r="E528" s="2762" t="s">
        <v>1281</v>
      </c>
      <c r="K528" s="2992" t="s">
        <v>1280</v>
      </c>
      <c r="V528" s="28"/>
      <c r="W528" s="118"/>
      <c r="BY528" s="16"/>
    </row>
    <row r="529" spans="1:77" ht="15.5">
      <c r="A529"/>
      <c r="B529" s="2953" t="s">
        <v>3046</v>
      </c>
      <c r="C529" s="2954" t="s">
        <v>3127</v>
      </c>
      <c r="D529" s="2965">
        <f>F185/1000</f>
        <v>0.11679273648900003</v>
      </c>
      <c r="E529" s="2919">
        <f>D529</f>
        <v>0.11679273648900003</v>
      </c>
      <c r="K529" s="2991">
        <f>K185/1000</f>
        <v>0.12263237331345005</v>
      </c>
      <c r="V529" s="28"/>
      <c r="W529" s="118"/>
      <c r="BY529" s="16"/>
    </row>
    <row r="530" spans="1:77">
      <c r="A530"/>
      <c r="B530"/>
      <c r="C530" s="2954" t="s">
        <v>1318</v>
      </c>
      <c r="D530" s="2966">
        <v>24</v>
      </c>
      <c r="E530" s="88">
        <v>24</v>
      </c>
      <c r="K530" s="1042">
        <v>24</v>
      </c>
      <c r="V530" s="28"/>
      <c r="W530" s="118"/>
      <c r="BY530" s="16"/>
    </row>
    <row r="531" spans="1:77">
      <c r="A531"/>
      <c r="B531"/>
      <c r="C531" s="2954" t="s">
        <v>1319</v>
      </c>
      <c r="D531" s="2966">
        <v>20</v>
      </c>
      <c r="E531" s="1042">
        <v>412</v>
      </c>
      <c r="I531" s="34"/>
      <c r="J531" s="34" t="s">
        <v>3132</v>
      </c>
      <c r="K531" s="1042">
        <v>20</v>
      </c>
      <c r="V531" s="28"/>
      <c r="W531" s="118"/>
      <c r="BY531" s="16"/>
    </row>
    <row r="532" spans="1:77">
      <c r="A532"/>
      <c r="B532"/>
      <c r="C532" s="2954" t="s">
        <v>1320</v>
      </c>
      <c r="D532" s="2966">
        <v>26</v>
      </c>
      <c r="E532" s="88">
        <v>26</v>
      </c>
      <c r="K532" s="1042">
        <v>26</v>
      </c>
      <c r="V532" s="28"/>
      <c r="W532" s="118"/>
      <c r="BY532" s="16"/>
    </row>
    <row r="533" spans="1:77">
      <c r="A533"/>
      <c r="B533"/>
      <c r="C533" s="2954" t="s">
        <v>1321</v>
      </c>
      <c r="D533" s="2966">
        <v>3.09</v>
      </c>
      <c r="E533" s="88">
        <v>3.09</v>
      </c>
      <c r="K533" s="1042">
        <v>3.09</v>
      </c>
      <c r="V533" s="28"/>
      <c r="W533" s="118"/>
      <c r="BY533" s="16"/>
    </row>
    <row r="534" spans="1:77">
      <c r="A534"/>
      <c r="B534"/>
      <c r="C534" s="2959" t="s">
        <v>1278</v>
      </c>
      <c r="D534" s="2968">
        <f t="shared" ref="D534:E534" si="141">ROUNDUP(D529/D530,0)</f>
        <v>1</v>
      </c>
      <c r="E534" s="2957">
        <f t="shared" si="141"/>
        <v>1</v>
      </c>
      <c r="K534" s="2960">
        <f t="shared" ref="K534" si="142">ROUNDUP(K529/K530,0)</f>
        <v>1</v>
      </c>
      <c r="V534" s="28"/>
      <c r="W534" s="118"/>
      <c r="BY534" s="16"/>
    </row>
    <row r="535" spans="1:77">
      <c r="A535"/>
      <c r="B535"/>
      <c r="C535" s="2955" t="s">
        <v>301</v>
      </c>
      <c r="D535" s="2970">
        <v>71000</v>
      </c>
      <c r="E535" s="108"/>
      <c r="K535" s="1043">
        <v>71000</v>
      </c>
      <c r="V535" s="28"/>
      <c r="W535" s="118"/>
      <c r="BY535" s="16"/>
    </row>
    <row r="536" spans="1:77">
      <c r="A536"/>
      <c r="B536"/>
      <c r="C536" s="2956" t="s">
        <v>515</v>
      </c>
      <c r="D536" s="2966">
        <v>35</v>
      </c>
      <c r="E536" s="88">
        <v>3.59</v>
      </c>
      <c r="K536" s="1042">
        <v>35</v>
      </c>
      <c r="V536" s="28"/>
      <c r="W536" s="118"/>
      <c r="BY536" s="16"/>
    </row>
    <row r="537" spans="1:77">
      <c r="A537"/>
      <c r="B537"/>
      <c r="C537" s="2958" t="s">
        <v>1275</v>
      </c>
      <c r="D537" s="2966">
        <v>1.26</v>
      </c>
      <c r="E537" s="88">
        <v>1.26</v>
      </c>
      <c r="K537" s="1042">
        <v>1.26</v>
      </c>
      <c r="V537" s="28"/>
      <c r="W537" s="118"/>
      <c r="BY537" s="16"/>
    </row>
    <row r="538" spans="1:77" ht="18.5">
      <c r="A538"/>
      <c r="B538"/>
      <c r="C538" s="2950" t="s">
        <v>1322</v>
      </c>
      <c r="D538" s="2951">
        <f>D534*D531*(D532/100)*(D536/D535)*D537</f>
        <v>3.2298591549295777E-3</v>
      </c>
      <c r="E538" s="2952">
        <f>E534*E531*(E532/100)*(E533/1000)/E536*E537</f>
        <v>0.11617298272980502</v>
      </c>
      <c r="K538" s="2951">
        <f>K534*K531*(K532/100)*(K536/K535)*K537</f>
        <v>3.2298591549295777E-3</v>
      </c>
      <c r="V538" s="28"/>
      <c r="W538" s="118"/>
      <c r="BY538" s="16"/>
    </row>
    <row r="539" spans="1:77" ht="37">
      <c r="A539"/>
      <c r="B539"/>
      <c r="C539" s="2947" t="s">
        <v>1323</v>
      </c>
      <c r="D539" s="3291"/>
      <c r="E539" s="2948"/>
      <c r="V539" s="28"/>
      <c r="W539" s="118"/>
      <c r="BY539" s="16"/>
    </row>
    <row r="540" spans="1:77">
      <c r="A540"/>
      <c r="B540"/>
      <c r="C540" s="2949" t="s">
        <v>1325</v>
      </c>
      <c r="D540" s="2973"/>
      <c r="E540" s="2920"/>
      <c r="V540" s="28"/>
      <c r="W540" s="118"/>
      <c r="BY540" s="16"/>
    </row>
    <row r="541" spans="1:77">
      <c r="A541"/>
      <c r="B541"/>
      <c r="C541"/>
      <c r="V541" s="28"/>
      <c r="W541" s="118"/>
      <c r="BY541" s="16"/>
    </row>
    <row r="542" spans="1:77" ht="15.5">
      <c r="A542"/>
      <c r="B542"/>
      <c r="C542"/>
      <c r="D542" s="3289" t="s">
        <v>3129</v>
      </c>
      <c r="E542" s="2801"/>
      <c r="K542" s="2990" t="s">
        <v>3131</v>
      </c>
      <c r="V542" s="28"/>
      <c r="W542" s="118"/>
      <c r="BY542" s="16"/>
    </row>
    <row r="543" spans="1:77">
      <c r="A543"/>
      <c r="B543"/>
      <c r="C543"/>
      <c r="D543" s="3290" t="s">
        <v>1280</v>
      </c>
      <c r="E543" s="2762" t="s">
        <v>1281</v>
      </c>
      <c r="K543" s="2992" t="s">
        <v>1280</v>
      </c>
      <c r="V543" s="28"/>
      <c r="W543" s="118"/>
      <c r="BY543" s="16"/>
    </row>
    <row r="544" spans="1:77" ht="15.5">
      <c r="A544"/>
      <c r="B544" s="2953" t="s">
        <v>2980</v>
      </c>
      <c r="C544" s="2954" t="s">
        <v>3127</v>
      </c>
      <c r="D544" s="2965">
        <f>F199/1000</f>
        <v>0</v>
      </c>
      <c r="E544" s="2919">
        <f>D544</f>
        <v>0</v>
      </c>
      <c r="K544" s="2991">
        <f>K199/1000</f>
        <v>0</v>
      </c>
      <c r="V544" s="28"/>
      <c r="W544" s="118"/>
      <c r="BY544" s="16"/>
    </row>
    <row r="545" spans="1:77">
      <c r="A545"/>
      <c r="B545"/>
      <c r="C545" s="2954" t="s">
        <v>1318</v>
      </c>
      <c r="D545" s="2966">
        <v>24</v>
      </c>
      <c r="E545" s="88">
        <v>24</v>
      </c>
      <c r="K545" s="1042">
        <v>24</v>
      </c>
      <c r="V545" s="28"/>
      <c r="W545" s="118"/>
      <c r="BY545" s="16"/>
    </row>
    <row r="546" spans="1:77">
      <c r="A546"/>
      <c r="B546"/>
      <c r="C546" s="2954" t="s">
        <v>1319</v>
      </c>
      <c r="D546" s="2966">
        <v>412</v>
      </c>
      <c r="E546" s="1042">
        <v>412</v>
      </c>
      <c r="I546" s="34"/>
      <c r="J546" s="34" t="s">
        <v>3132</v>
      </c>
      <c r="K546" s="1042">
        <v>20</v>
      </c>
      <c r="V546" s="28"/>
      <c r="W546" s="118"/>
      <c r="BY546" s="16"/>
    </row>
    <row r="547" spans="1:77">
      <c r="A547"/>
      <c r="B547"/>
      <c r="C547" s="2954" t="s">
        <v>1320</v>
      </c>
      <c r="D547" s="2966">
        <v>26</v>
      </c>
      <c r="E547" s="88">
        <v>26</v>
      </c>
      <c r="K547" s="1042">
        <v>26</v>
      </c>
      <c r="V547" s="28"/>
      <c r="W547" s="118"/>
      <c r="BY547" s="16"/>
    </row>
    <row r="548" spans="1:77">
      <c r="A548"/>
      <c r="B548"/>
      <c r="C548" s="2954" t="s">
        <v>1321</v>
      </c>
      <c r="D548" s="2966">
        <v>3.09</v>
      </c>
      <c r="E548" s="88">
        <v>3.09</v>
      </c>
      <c r="K548" s="1042">
        <v>3.09</v>
      </c>
      <c r="V548" s="28"/>
      <c r="W548" s="118"/>
      <c r="BY548" s="16"/>
    </row>
    <row r="549" spans="1:77">
      <c r="A549"/>
      <c r="B549"/>
      <c r="C549" s="2959" t="s">
        <v>1278</v>
      </c>
      <c r="D549" s="2968">
        <f t="shared" ref="D549:E549" si="143">ROUNDUP(D544/D545,0)</f>
        <v>0</v>
      </c>
      <c r="E549" s="2957">
        <f t="shared" si="143"/>
        <v>0</v>
      </c>
      <c r="K549" s="2960">
        <f t="shared" ref="K549" si="144">ROUNDUP(K544/K545,0)</f>
        <v>0</v>
      </c>
      <c r="V549" s="28"/>
      <c r="W549" s="118"/>
      <c r="BY549" s="16"/>
    </row>
    <row r="550" spans="1:77">
      <c r="A550"/>
      <c r="B550"/>
      <c r="C550" s="2955" t="s">
        <v>301</v>
      </c>
      <c r="D550" s="2970">
        <v>71000</v>
      </c>
      <c r="E550" s="108"/>
      <c r="K550" s="1043">
        <v>71000</v>
      </c>
      <c r="V550" s="28"/>
      <c r="W550" s="118"/>
      <c r="BY550" s="16"/>
    </row>
    <row r="551" spans="1:77">
      <c r="A551"/>
      <c r="B551"/>
      <c r="C551" s="2956" t="s">
        <v>515</v>
      </c>
      <c r="D551" s="2966">
        <v>35</v>
      </c>
      <c r="E551" s="88">
        <v>3.59</v>
      </c>
      <c r="K551" s="1042">
        <v>35</v>
      </c>
      <c r="V551" s="28"/>
      <c r="W551" s="118"/>
      <c r="BY551" s="16"/>
    </row>
    <row r="552" spans="1:77">
      <c r="A552"/>
      <c r="B552"/>
      <c r="C552" s="2958" t="s">
        <v>1275</v>
      </c>
      <c r="D552" s="2966">
        <v>1.26</v>
      </c>
      <c r="E552" s="88">
        <v>1.26</v>
      </c>
      <c r="K552" s="1042">
        <v>1.26</v>
      </c>
      <c r="V552" s="28"/>
      <c r="W552" s="118"/>
      <c r="BY552" s="16"/>
    </row>
    <row r="553" spans="1:77" ht="18.5">
      <c r="A553"/>
      <c r="B553"/>
      <c r="C553" s="2950" t="s">
        <v>1322</v>
      </c>
      <c r="D553" s="2951">
        <f>D549*D546*(D547/100)*(D551/D550)*D552</f>
        <v>0</v>
      </c>
      <c r="E553" s="2952">
        <f>E549*E546*(E547/100)*(E548/1000)/E551*E552</f>
        <v>0</v>
      </c>
      <c r="K553" s="2951">
        <f>K549*K546*(K547/100)*(K551/K550)*K552</f>
        <v>0</v>
      </c>
      <c r="V553" s="28"/>
      <c r="W553" s="118"/>
      <c r="BY553" s="16"/>
    </row>
    <row r="554" spans="1:77" ht="37">
      <c r="A554"/>
      <c r="B554"/>
      <c r="C554" s="2947" t="s">
        <v>1323</v>
      </c>
      <c r="D554" s="3291"/>
      <c r="E554" s="2948"/>
      <c r="V554" s="28"/>
      <c r="W554" s="118"/>
      <c r="BY554" s="16"/>
    </row>
    <row r="555" spans="1:77">
      <c r="A555"/>
      <c r="B555"/>
      <c r="C555" s="2949" t="s">
        <v>1325</v>
      </c>
      <c r="D555" s="2973"/>
      <c r="E555" s="2920"/>
      <c r="V555" s="28"/>
      <c r="W555" s="118"/>
      <c r="BY555" s="16"/>
    </row>
    <row r="556" spans="1:77">
      <c r="A556"/>
      <c r="B556"/>
      <c r="C556"/>
      <c r="V556" s="28"/>
      <c r="W556" s="118"/>
      <c r="BY556" s="16"/>
    </row>
    <row r="557" spans="1:77" ht="15.5">
      <c r="A557"/>
      <c r="B557"/>
      <c r="C557"/>
      <c r="K557" s="2990" t="s">
        <v>3131</v>
      </c>
      <c r="V557" s="28"/>
      <c r="W557" s="118"/>
      <c r="BY557" s="16"/>
    </row>
    <row r="558" spans="1:77">
      <c r="A558"/>
      <c r="B558"/>
      <c r="C558"/>
      <c r="D558" s="3289" t="s">
        <v>3129</v>
      </c>
      <c r="E558" s="2801"/>
      <c r="K558" s="2992" t="s">
        <v>1280</v>
      </c>
      <c r="V558" s="28"/>
      <c r="W558" s="118"/>
      <c r="BY558" s="16"/>
    </row>
    <row r="559" spans="1:77">
      <c r="A559"/>
      <c r="B559"/>
      <c r="C559"/>
      <c r="D559" s="3290" t="s">
        <v>1280</v>
      </c>
      <c r="E559" s="2762" t="s">
        <v>1281</v>
      </c>
      <c r="K559" s="2991">
        <f>K211/1000</f>
        <v>0</v>
      </c>
      <c r="V559" s="28"/>
      <c r="W559" s="118"/>
      <c r="BY559" s="16"/>
    </row>
    <row r="560" spans="1:77" ht="15.5">
      <c r="A560"/>
      <c r="B560" s="2953" t="s">
        <v>2988</v>
      </c>
      <c r="C560" s="2954" t="s">
        <v>3127</v>
      </c>
      <c r="D560" s="2965">
        <f>F212/1000</f>
        <v>0</v>
      </c>
      <c r="E560" s="2919">
        <f>D560</f>
        <v>0</v>
      </c>
      <c r="K560" s="1042">
        <v>24</v>
      </c>
      <c r="V560" s="28"/>
      <c r="W560" s="118"/>
      <c r="BY560" s="16"/>
    </row>
    <row r="561" spans="1:77">
      <c r="A561"/>
      <c r="B561"/>
      <c r="C561" s="2954" t="s">
        <v>1318</v>
      </c>
      <c r="D561" s="2966">
        <v>24</v>
      </c>
      <c r="E561" s="88">
        <v>24</v>
      </c>
      <c r="K561" s="1042">
        <v>412</v>
      </c>
      <c r="V561" s="28"/>
      <c r="W561" s="118"/>
      <c r="BY561" s="16"/>
    </row>
    <row r="562" spans="1:77">
      <c r="A562"/>
      <c r="B562"/>
      <c r="C562" s="2954" t="s">
        <v>1319</v>
      </c>
      <c r="D562" s="2966">
        <v>412</v>
      </c>
      <c r="E562" s="1042">
        <v>412</v>
      </c>
      <c r="K562" s="1042">
        <v>26</v>
      </c>
      <c r="V562" s="28"/>
      <c r="W562" s="118"/>
      <c r="BY562" s="16"/>
    </row>
    <row r="563" spans="1:77">
      <c r="A563"/>
      <c r="B563"/>
      <c r="C563" s="2954" t="s">
        <v>1320</v>
      </c>
      <c r="D563" s="2966">
        <v>26</v>
      </c>
      <c r="E563" s="88">
        <v>26</v>
      </c>
      <c r="K563" s="1042">
        <v>3.09</v>
      </c>
      <c r="V563" s="28"/>
      <c r="W563" s="118"/>
      <c r="BY563" s="16"/>
    </row>
    <row r="564" spans="1:77">
      <c r="A564"/>
      <c r="B564"/>
      <c r="C564" s="2954" t="s">
        <v>1321</v>
      </c>
      <c r="D564" s="2966">
        <v>3.09</v>
      </c>
      <c r="E564" s="88">
        <v>3.09</v>
      </c>
      <c r="K564" s="2960">
        <f t="shared" ref="K564" si="145">ROUNDUP(K559/K560,0)</f>
        <v>0</v>
      </c>
      <c r="V564" s="28"/>
      <c r="W564" s="118"/>
      <c r="BY564" s="16"/>
    </row>
    <row r="565" spans="1:77">
      <c r="A565"/>
      <c r="B565"/>
      <c r="C565" s="2959" t="s">
        <v>1278</v>
      </c>
      <c r="D565" s="2968">
        <f t="shared" ref="D565:E565" si="146">ROUNDUP(D560/D561,0)</f>
        <v>0</v>
      </c>
      <c r="E565" s="2957">
        <f t="shared" si="146"/>
        <v>0</v>
      </c>
      <c r="K565" s="1043">
        <v>71000</v>
      </c>
      <c r="V565" s="28"/>
      <c r="W565" s="118"/>
      <c r="BY565" s="16"/>
    </row>
    <row r="566" spans="1:77">
      <c r="A566"/>
      <c r="B566"/>
      <c r="C566" s="2955" t="s">
        <v>301</v>
      </c>
      <c r="D566" s="2970">
        <v>71000</v>
      </c>
      <c r="E566" s="108"/>
      <c r="K566" s="1042">
        <v>35</v>
      </c>
      <c r="V566" s="28"/>
      <c r="W566" s="118"/>
      <c r="BY566" s="16"/>
    </row>
    <row r="567" spans="1:77">
      <c r="A567"/>
      <c r="B567"/>
      <c r="C567" s="2956" t="s">
        <v>515</v>
      </c>
      <c r="D567" s="2966">
        <v>35</v>
      </c>
      <c r="E567" s="88">
        <v>3.59</v>
      </c>
      <c r="K567" s="1042">
        <v>1.26</v>
      </c>
      <c r="V567" s="28"/>
      <c r="W567" s="118"/>
      <c r="BY567" s="16"/>
    </row>
    <row r="568" spans="1:77" ht="18.5">
      <c r="A568"/>
      <c r="B568"/>
      <c r="C568" s="2958" t="s">
        <v>1275</v>
      </c>
      <c r="D568" s="2966">
        <v>1.26</v>
      </c>
      <c r="E568" s="88">
        <v>1.26</v>
      </c>
      <c r="K568" s="2951">
        <f>K564*K561*(K562/100)*(K566/K565)*K567</f>
        <v>0</v>
      </c>
      <c r="V568" s="28"/>
      <c r="W568" s="118"/>
      <c r="BY568" s="16"/>
    </row>
    <row r="569" spans="1:77" ht="18.5">
      <c r="A569"/>
      <c r="B569"/>
      <c r="C569" s="2950" t="s">
        <v>1322</v>
      </c>
      <c r="D569" s="2951">
        <f>D565*D562*(D563/100)*(D567/D566)*D568</f>
        <v>0</v>
      </c>
      <c r="E569" s="2952">
        <f>E565*E562*(E563/100)*(E564/1000)/E567*E568</f>
        <v>0</v>
      </c>
      <c r="V569" s="28"/>
      <c r="W569" s="118"/>
      <c r="BY569" s="16"/>
    </row>
    <row r="570" spans="1:77" ht="37">
      <c r="A570"/>
      <c r="B570"/>
      <c r="C570" s="2947" t="s">
        <v>1323</v>
      </c>
      <c r="D570" s="3291"/>
      <c r="E570" s="2948"/>
      <c r="V570" s="28"/>
      <c r="W570" s="118"/>
      <c r="BY570" s="16"/>
    </row>
    <row r="571" spans="1:77">
      <c r="A571"/>
      <c r="B571"/>
      <c r="C571" s="2949" t="s">
        <v>1325</v>
      </c>
      <c r="D571" s="2973"/>
      <c r="E571" s="2920"/>
      <c r="V571" s="28"/>
      <c r="W571" s="118"/>
      <c r="BY571" s="16"/>
    </row>
    <row r="572" spans="1:77">
      <c r="A572"/>
      <c r="B572"/>
      <c r="C572"/>
      <c r="V572" s="28"/>
      <c r="W572" s="118"/>
      <c r="BY572" s="16"/>
    </row>
    <row r="573" spans="1:77">
      <c r="A573"/>
      <c r="B573"/>
      <c r="C573"/>
      <c r="V573" s="28"/>
      <c r="W573" s="118"/>
      <c r="BY573" s="16"/>
    </row>
    <row r="574" spans="1:77" ht="15.5">
      <c r="A574"/>
      <c r="B574"/>
      <c r="C574"/>
      <c r="D574" s="3289" t="s">
        <v>3129</v>
      </c>
      <c r="E574" s="2801"/>
      <c r="K574" s="2990" t="s">
        <v>3131</v>
      </c>
      <c r="V574" s="28"/>
      <c r="W574" s="118"/>
      <c r="BY574" s="16"/>
    </row>
    <row r="575" spans="1:77">
      <c r="A575"/>
      <c r="B575"/>
      <c r="C575"/>
      <c r="D575" s="3290" t="s">
        <v>1280</v>
      </c>
      <c r="E575" s="2762" t="s">
        <v>1281</v>
      </c>
      <c r="K575" s="2992" t="s">
        <v>1280</v>
      </c>
      <c r="V575" s="28"/>
      <c r="W575" s="118"/>
      <c r="BY575" s="16"/>
    </row>
    <row r="576" spans="1:77" ht="15.5">
      <c r="A576"/>
      <c r="B576" s="2953" t="s">
        <v>2978</v>
      </c>
      <c r="C576" s="2954" t="s">
        <v>3127</v>
      </c>
      <c r="D576" s="2965">
        <f>F216/1000</f>
        <v>0</v>
      </c>
      <c r="E576" s="2919">
        <f>D576</f>
        <v>0</v>
      </c>
      <c r="K576" s="2991">
        <f>K216/1000</f>
        <v>0</v>
      </c>
      <c r="V576" s="28"/>
      <c r="W576" s="118"/>
      <c r="BY576" s="16"/>
    </row>
    <row r="577" spans="1:77">
      <c r="A577"/>
      <c r="B577"/>
      <c r="C577" s="2954" t="s">
        <v>1318</v>
      </c>
      <c r="D577" s="2966">
        <v>24</v>
      </c>
      <c r="E577" s="88">
        <v>24</v>
      </c>
      <c r="K577" s="1042">
        <v>24</v>
      </c>
      <c r="V577" s="28"/>
      <c r="W577" s="118"/>
      <c r="BY577" s="16"/>
    </row>
    <row r="578" spans="1:77">
      <c r="A578"/>
      <c r="B578"/>
      <c r="C578" s="2954" t="s">
        <v>1319</v>
      </c>
      <c r="D578" s="2966">
        <v>412</v>
      </c>
      <c r="E578" s="1042">
        <v>412</v>
      </c>
      <c r="I578" s="34"/>
      <c r="J578" s="34" t="s">
        <v>3132</v>
      </c>
      <c r="K578" s="1042">
        <v>20</v>
      </c>
      <c r="V578" s="28"/>
      <c r="W578" s="118"/>
      <c r="BY578" s="16"/>
    </row>
    <row r="579" spans="1:77">
      <c r="A579"/>
      <c r="B579"/>
      <c r="C579" s="2954" t="s">
        <v>1320</v>
      </c>
      <c r="D579" s="2966">
        <v>26</v>
      </c>
      <c r="E579" s="88">
        <v>26</v>
      </c>
      <c r="K579" s="1042">
        <v>26</v>
      </c>
      <c r="V579" s="28"/>
      <c r="W579" s="118"/>
      <c r="BY579" s="16"/>
    </row>
    <row r="580" spans="1:77">
      <c r="A580"/>
      <c r="B580"/>
      <c r="C580" s="2954" t="s">
        <v>1321</v>
      </c>
      <c r="D580" s="2966">
        <v>3.09</v>
      </c>
      <c r="E580" s="88">
        <v>3.09</v>
      </c>
      <c r="K580" s="1042">
        <v>3.09</v>
      </c>
      <c r="V580" s="28"/>
      <c r="W580" s="118"/>
      <c r="BY580" s="16"/>
    </row>
    <row r="581" spans="1:77">
      <c r="A581"/>
      <c r="B581"/>
      <c r="C581" s="2959" t="s">
        <v>1278</v>
      </c>
      <c r="D581" s="2968">
        <f t="shared" ref="D581:E581" si="147">ROUNDUP(D576/D577,0)</f>
        <v>0</v>
      </c>
      <c r="E581" s="2957">
        <f t="shared" si="147"/>
        <v>0</v>
      </c>
      <c r="K581" s="2960">
        <f t="shared" ref="K581" si="148">ROUNDUP(K576/K577,0)</f>
        <v>0</v>
      </c>
      <c r="V581" s="28"/>
      <c r="W581" s="118"/>
      <c r="BY581" s="16"/>
    </row>
    <row r="582" spans="1:77">
      <c r="A582"/>
      <c r="B582"/>
      <c r="C582" s="2955" t="s">
        <v>301</v>
      </c>
      <c r="D582" s="2970">
        <v>71000</v>
      </c>
      <c r="E582" s="108"/>
      <c r="K582" s="1043">
        <v>71000</v>
      </c>
      <c r="V582" s="28"/>
      <c r="W582" s="118"/>
      <c r="BY582" s="16"/>
    </row>
    <row r="583" spans="1:77">
      <c r="A583"/>
      <c r="B583"/>
      <c r="C583" s="2956" t="s">
        <v>515</v>
      </c>
      <c r="D583" s="2966">
        <v>35</v>
      </c>
      <c r="E583" s="88">
        <v>3.59</v>
      </c>
      <c r="K583" s="1042">
        <v>35</v>
      </c>
      <c r="V583" s="28"/>
      <c r="W583" s="118"/>
      <c r="BY583" s="16"/>
    </row>
    <row r="584" spans="1:77">
      <c r="A584"/>
      <c r="B584"/>
      <c r="C584" s="2958" t="s">
        <v>1275</v>
      </c>
      <c r="D584" s="2966">
        <v>1.26</v>
      </c>
      <c r="E584" s="88">
        <v>1.26</v>
      </c>
      <c r="K584" s="1042">
        <v>1.26</v>
      </c>
      <c r="V584" s="28"/>
      <c r="W584" s="118"/>
      <c r="BY584" s="16"/>
    </row>
    <row r="585" spans="1:77" ht="18.5">
      <c r="A585"/>
      <c r="B585"/>
      <c r="C585" s="2950" t="s">
        <v>1322</v>
      </c>
      <c r="D585" s="2951">
        <f>D581*D578*(D579/100)*(D583/D582)*D584</f>
        <v>0</v>
      </c>
      <c r="E585" s="2952">
        <f>E581*E578*(E579/100)*(E580/1000)/E583*E584</f>
        <v>0</v>
      </c>
      <c r="K585" s="2951">
        <f>K581*K578*(K579/100)*(K583/K582)*K584</f>
        <v>0</v>
      </c>
      <c r="V585" s="28"/>
      <c r="W585" s="118"/>
      <c r="BY585" s="16"/>
    </row>
    <row r="586" spans="1:77" ht="37">
      <c r="A586"/>
      <c r="B586"/>
      <c r="C586" s="2947" t="s">
        <v>1323</v>
      </c>
      <c r="D586" s="3291"/>
      <c r="E586" s="2948"/>
      <c r="V586" s="28"/>
      <c r="W586" s="118"/>
      <c r="BY586" s="16"/>
    </row>
    <row r="587" spans="1:77">
      <c r="A587"/>
      <c r="B587"/>
      <c r="C587" s="2949" t="s">
        <v>1325</v>
      </c>
      <c r="D587" s="2973"/>
      <c r="E587" s="2920"/>
      <c r="V587" s="28"/>
      <c r="W587" s="118"/>
      <c r="BY587" s="16"/>
    </row>
    <row r="588" spans="1:77">
      <c r="A588"/>
      <c r="B588"/>
      <c r="C588"/>
      <c r="V588" s="28"/>
      <c r="W588" s="118"/>
      <c r="BY588" s="16"/>
    </row>
    <row r="589" spans="1:77">
      <c r="A589"/>
      <c r="B589"/>
      <c r="C589"/>
      <c r="V589" s="28"/>
      <c r="W589" s="118"/>
      <c r="BY589" s="16"/>
    </row>
    <row r="590" spans="1:77" ht="15.5">
      <c r="A590"/>
      <c r="B590"/>
      <c r="C590"/>
      <c r="D590" s="3289" t="s">
        <v>3129</v>
      </c>
      <c r="E590" s="2801"/>
      <c r="K590" s="2990" t="s">
        <v>3131</v>
      </c>
      <c r="V590" s="28"/>
      <c r="W590" s="118"/>
      <c r="BY590" s="16"/>
    </row>
    <row r="591" spans="1:77">
      <c r="A591"/>
      <c r="B591"/>
      <c r="C591"/>
      <c r="D591" s="3290" t="s">
        <v>1280</v>
      </c>
      <c r="E591" s="2762" t="s">
        <v>1281</v>
      </c>
      <c r="K591" s="2992" t="s">
        <v>1280</v>
      </c>
      <c r="V591" s="28"/>
      <c r="W591" s="118"/>
      <c r="BY591" s="16"/>
    </row>
    <row r="592" spans="1:77" ht="15.5">
      <c r="A592"/>
      <c r="B592" s="2953" t="s">
        <v>2950</v>
      </c>
      <c r="C592" s="2954" t="s">
        <v>3127</v>
      </c>
      <c r="D592" s="2965">
        <f>F233/1000</f>
        <v>1.0169140319328001</v>
      </c>
      <c r="E592" s="2919">
        <f>D592</f>
        <v>1.0169140319328001</v>
      </c>
      <c r="K592" s="2991">
        <f>K233/1000</f>
        <v>1.06775973352944</v>
      </c>
      <c r="V592" s="28"/>
      <c r="W592" s="118"/>
      <c r="BY592" s="16"/>
    </row>
    <row r="593" spans="1:77">
      <c r="A593"/>
      <c r="B593"/>
      <c r="C593" s="2954" t="s">
        <v>1318</v>
      </c>
      <c r="D593" s="2966">
        <v>24</v>
      </c>
      <c r="E593" s="88">
        <v>24</v>
      </c>
      <c r="K593" s="1042">
        <v>24</v>
      </c>
      <c r="V593" s="28"/>
      <c r="W593" s="118"/>
      <c r="BY593" s="16"/>
    </row>
    <row r="594" spans="1:77">
      <c r="A594"/>
      <c r="B594"/>
      <c r="C594" s="2954" t="s">
        <v>1319</v>
      </c>
      <c r="D594" s="2966">
        <v>412</v>
      </c>
      <c r="E594" s="1042">
        <v>412</v>
      </c>
      <c r="I594" s="34"/>
      <c r="J594" s="34" t="s">
        <v>3132</v>
      </c>
      <c r="K594" s="1042">
        <v>20</v>
      </c>
      <c r="V594" s="28"/>
      <c r="W594" s="118"/>
      <c r="BY594" s="16"/>
    </row>
    <row r="595" spans="1:77">
      <c r="A595"/>
      <c r="B595"/>
      <c r="C595" s="2954" t="s">
        <v>1320</v>
      </c>
      <c r="D595" s="2966">
        <v>26</v>
      </c>
      <c r="E595" s="88">
        <v>26</v>
      </c>
      <c r="K595" s="1042">
        <v>26</v>
      </c>
      <c r="V595" s="28"/>
      <c r="W595" s="118"/>
      <c r="BY595" s="16"/>
    </row>
    <row r="596" spans="1:77">
      <c r="A596"/>
      <c r="B596"/>
      <c r="C596" s="2954" t="s">
        <v>1321</v>
      </c>
      <c r="D596" s="2966">
        <v>3.09</v>
      </c>
      <c r="E596" s="88">
        <v>3.09</v>
      </c>
      <c r="K596" s="1042">
        <v>3.09</v>
      </c>
      <c r="V596" s="28"/>
      <c r="W596" s="118"/>
      <c r="BY596" s="16"/>
    </row>
    <row r="597" spans="1:77">
      <c r="A597"/>
      <c r="B597"/>
      <c r="C597" s="2959" t="s">
        <v>1278</v>
      </c>
      <c r="D597" s="2968">
        <f t="shared" ref="D597:E597" si="149">ROUNDUP(D592/D593,0)</f>
        <v>1</v>
      </c>
      <c r="E597" s="2957">
        <f t="shared" si="149"/>
        <v>1</v>
      </c>
      <c r="K597" s="2960">
        <f t="shared" ref="K597" si="150">ROUNDUP(K592/K593,0)</f>
        <v>1</v>
      </c>
      <c r="V597" s="28"/>
      <c r="W597" s="118"/>
      <c r="BY597" s="16"/>
    </row>
    <row r="598" spans="1:77">
      <c r="A598"/>
      <c r="B598"/>
      <c r="C598" s="2955" t="s">
        <v>301</v>
      </c>
      <c r="D598" s="2970">
        <v>71000</v>
      </c>
      <c r="E598" s="108"/>
      <c r="K598" s="1043">
        <v>71000</v>
      </c>
      <c r="V598" s="28"/>
      <c r="W598" s="118"/>
      <c r="BY598" s="16"/>
    </row>
    <row r="599" spans="1:77">
      <c r="A599"/>
      <c r="B599"/>
      <c r="C599" s="2956" t="s">
        <v>515</v>
      </c>
      <c r="D599" s="2966">
        <v>35</v>
      </c>
      <c r="E599" s="88">
        <v>3.59</v>
      </c>
      <c r="K599" s="1042">
        <v>35</v>
      </c>
      <c r="V599" s="28"/>
      <c r="W599" s="118"/>
      <c r="BY599" s="16"/>
    </row>
    <row r="600" spans="1:77">
      <c r="A600"/>
      <c r="B600"/>
      <c r="C600" s="2958" t="s">
        <v>1275</v>
      </c>
      <c r="D600" s="2966">
        <v>1.26</v>
      </c>
      <c r="E600" s="88">
        <v>1.26</v>
      </c>
      <c r="K600" s="1042">
        <v>1.26</v>
      </c>
      <c r="V600" s="28"/>
      <c r="W600" s="118"/>
      <c r="BY600" s="16"/>
    </row>
    <row r="601" spans="1:77" ht="18.5">
      <c r="A601"/>
      <c r="B601"/>
      <c r="C601" s="2950" t="s">
        <v>1322</v>
      </c>
      <c r="D601" s="2951">
        <f>D597*D594*(D595/100)*(D599/D598)*D600</f>
        <v>6.6535098591549297E-2</v>
      </c>
      <c r="E601" s="2952">
        <f>E597*E594*(E595/100)*(E596/1000)/E599*E600</f>
        <v>0.11617298272980502</v>
      </c>
      <c r="K601" s="2951">
        <f>K597*K594*(K595/100)*(K599/K598)*K600</f>
        <v>3.2298591549295777E-3</v>
      </c>
      <c r="V601" s="28"/>
      <c r="W601" s="118"/>
      <c r="BY601" s="16"/>
    </row>
    <row r="602" spans="1:77" ht="37">
      <c r="A602"/>
      <c r="B602"/>
      <c r="C602" s="2947" t="s">
        <v>1323</v>
      </c>
      <c r="D602" s="3291"/>
      <c r="E602" s="2948"/>
      <c r="V602" s="28"/>
      <c r="W602" s="118"/>
      <c r="BY602" s="16"/>
    </row>
    <row r="603" spans="1:77">
      <c r="A603"/>
      <c r="B603"/>
      <c r="C603" s="2949" t="s">
        <v>1325</v>
      </c>
      <c r="D603" s="2973"/>
      <c r="E603" s="2920"/>
      <c r="V603" s="28"/>
      <c r="W603" s="118"/>
      <c r="BY603" s="16"/>
    </row>
    <row r="604" spans="1:77">
      <c r="A604"/>
      <c r="B604"/>
      <c r="C604"/>
      <c r="V604" s="28"/>
      <c r="W604" s="118"/>
      <c r="BY604" s="16"/>
    </row>
    <row r="605" spans="1:77">
      <c r="A605"/>
      <c r="B605"/>
      <c r="C605"/>
      <c r="V605" s="28"/>
      <c r="W605" s="118"/>
      <c r="BY605" s="16"/>
    </row>
    <row r="606" spans="1:77" ht="15.5">
      <c r="A606"/>
      <c r="B606"/>
      <c r="C606"/>
      <c r="D606" s="3289" t="s">
        <v>3129</v>
      </c>
      <c r="E606" s="2801"/>
      <c r="K606" s="2990" t="s">
        <v>3131</v>
      </c>
      <c r="V606" s="28"/>
      <c r="W606" s="118"/>
      <c r="BY606" s="16"/>
    </row>
    <row r="607" spans="1:77">
      <c r="A607"/>
      <c r="B607"/>
      <c r="C607"/>
      <c r="D607" s="3290" t="s">
        <v>1280</v>
      </c>
      <c r="E607" s="2762" t="s">
        <v>1281</v>
      </c>
      <c r="K607" s="2992" t="s">
        <v>1280</v>
      </c>
      <c r="V607" s="28"/>
      <c r="W607" s="118"/>
      <c r="BY607" s="16"/>
    </row>
    <row r="608" spans="1:77" ht="15.5">
      <c r="A608"/>
      <c r="B608" s="2953" t="s">
        <v>3014</v>
      </c>
      <c r="C608" s="2954" t="s">
        <v>3127</v>
      </c>
      <c r="D608" s="2965">
        <f>F240/1000</f>
        <v>0</v>
      </c>
      <c r="E608" s="2919">
        <f>D608</f>
        <v>0</v>
      </c>
      <c r="K608" s="2991">
        <f>K240/1000</f>
        <v>0</v>
      </c>
      <c r="V608" s="28"/>
      <c r="W608" s="118"/>
      <c r="BY608" s="16"/>
    </row>
    <row r="609" spans="1:77">
      <c r="A609"/>
      <c r="B609"/>
      <c r="C609" s="2954" t="s">
        <v>1318</v>
      </c>
      <c r="D609" s="2966">
        <v>24</v>
      </c>
      <c r="E609" s="88">
        <v>24</v>
      </c>
      <c r="K609" s="1042">
        <v>24</v>
      </c>
      <c r="V609" s="28"/>
      <c r="W609" s="118"/>
      <c r="BY609" s="16"/>
    </row>
    <row r="610" spans="1:77">
      <c r="A610"/>
      <c r="B610"/>
      <c r="C610" s="2954" t="s">
        <v>1319</v>
      </c>
      <c r="D610" s="2966">
        <v>412</v>
      </c>
      <c r="E610" s="1042">
        <v>412</v>
      </c>
      <c r="I610" s="34"/>
      <c r="J610" s="34" t="s">
        <v>3132</v>
      </c>
      <c r="K610" s="1042">
        <v>20</v>
      </c>
      <c r="V610" s="28"/>
      <c r="W610" s="118"/>
      <c r="BY610" s="16"/>
    </row>
    <row r="611" spans="1:77">
      <c r="A611"/>
      <c r="B611"/>
      <c r="C611" s="2954" t="s">
        <v>1320</v>
      </c>
      <c r="D611" s="2966">
        <v>26</v>
      </c>
      <c r="E611" s="88">
        <v>26</v>
      </c>
      <c r="K611" s="1042">
        <v>26</v>
      </c>
      <c r="V611" s="28"/>
      <c r="W611" s="118"/>
      <c r="BY611" s="16"/>
    </row>
    <row r="612" spans="1:77">
      <c r="A612"/>
      <c r="B612"/>
      <c r="C612" s="2954" t="s">
        <v>1321</v>
      </c>
      <c r="D612" s="2966">
        <v>3.09</v>
      </c>
      <c r="E612" s="88">
        <v>3.09</v>
      </c>
      <c r="K612" s="1042">
        <v>3.09</v>
      </c>
      <c r="V612" s="28"/>
      <c r="W612" s="118"/>
      <c r="BY612" s="16"/>
    </row>
    <row r="613" spans="1:77">
      <c r="A613"/>
      <c r="B613"/>
      <c r="C613" s="2959" t="s">
        <v>1278</v>
      </c>
      <c r="D613" s="2968">
        <f t="shared" ref="D613:E613" si="151">ROUNDUP(D608/D609,0)</f>
        <v>0</v>
      </c>
      <c r="E613" s="2957">
        <f t="shared" si="151"/>
        <v>0</v>
      </c>
      <c r="K613" s="2960">
        <f t="shared" ref="K613" si="152">ROUNDUP(K608/K609,0)</f>
        <v>0</v>
      </c>
      <c r="V613" s="28"/>
      <c r="W613" s="118"/>
      <c r="BY613" s="16"/>
    </row>
    <row r="614" spans="1:77">
      <c r="A614"/>
      <c r="B614"/>
      <c r="C614" s="2955" t="s">
        <v>301</v>
      </c>
      <c r="D614" s="2970">
        <v>71000</v>
      </c>
      <c r="E614" s="108"/>
      <c r="K614" s="1043">
        <v>71000</v>
      </c>
      <c r="V614" s="28"/>
      <c r="W614" s="118"/>
      <c r="BY614" s="16"/>
    </row>
    <row r="615" spans="1:77">
      <c r="A615"/>
      <c r="B615"/>
      <c r="C615" s="2956" t="s">
        <v>515</v>
      </c>
      <c r="D615" s="2966">
        <v>35</v>
      </c>
      <c r="E615" s="88">
        <v>3.59</v>
      </c>
      <c r="K615" s="1042">
        <v>35</v>
      </c>
      <c r="V615" s="28"/>
      <c r="W615" s="118"/>
      <c r="BY615" s="16"/>
    </row>
    <row r="616" spans="1:77">
      <c r="A616"/>
      <c r="B616"/>
      <c r="C616" s="2958" t="s">
        <v>1275</v>
      </c>
      <c r="D616" s="2966">
        <v>1.26</v>
      </c>
      <c r="E616" s="88">
        <v>1.26</v>
      </c>
      <c r="K616" s="1042">
        <v>1.26</v>
      </c>
      <c r="V616" s="28"/>
      <c r="W616" s="118"/>
      <c r="BY616" s="16"/>
    </row>
    <row r="617" spans="1:77" ht="18.5">
      <c r="A617"/>
      <c r="B617"/>
      <c r="C617" s="2950" t="s">
        <v>1322</v>
      </c>
      <c r="D617" s="2951">
        <f>D613*D610*(D611/100)*(D615/D614)*D616</f>
        <v>0</v>
      </c>
      <c r="E617" s="2952">
        <f>E613*E610*(E611/100)*(E612/1000)/E615*E616</f>
        <v>0</v>
      </c>
      <c r="K617" s="2951">
        <f>K613*K610*(K611/100)*(K615/K614)*K616</f>
        <v>0</v>
      </c>
      <c r="V617" s="28"/>
      <c r="W617" s="118"/>
      <c r="BY617" s="16"/>
    </row>
    <row r="618" spans="1:77" ht="37">
      <c r="A618"/>
      <c r="B618"/>
      <c r="C618" s="2947" t="s">
        <v>1323</v>
      </c>
      <c r="D618" s="3291"/>
      <c r="E618" s="2948"/>
      <c r="V618" s="28"/>
      <c r="W618" s="118"/>
      <c r="BY618" s="16"/>
    </row>
    <row r="619" spans="1:77">
      <c r="A619"/>
      <c r="B619"/>
      <c r="C619" s="2949" t="s">
        <v>1325</v>
      </c>
      <c r="D619" s="2973"/>
      <c r="E619" s="2920"/>
      <c r="V619" s="28"/>
      <c r="W619" s="118"/>
      <c r="BY619" s="16"/>
    </row>
    <row r="620" spans="1:77">
      <c r="A620"/>
      <c r="B620"/>
      <c r="C620"/>
      <c r="V620" s="28"/>
      <c r="W620" s="118"/>
      <c r="BY620" s="16"/>
    </row>
    <row r="621" spans="1:77" ht="15.5">
      <c r="A621"/>
      <c r="B621"/>
      <c r="C621"/>
      <c r="D621" s="3289" t="s">
        <v>3129</v>
      </c>
      <c r="E621" s="2801"/>
      <c r="K621" s="2990" t="s">
        <v>3131</v>
      </c>
      <c r="V621" s="28"/>
      <c r="W621" s="118"/>
      <c r="BY621" s="16"/>
    </row>
    <row r="622" spans="1:77">
      <c r="A622"/>
      <c r="B622"/>
      <c r="C622"/>
      <c r="D622" s="3290" t="s">
        <v>1280</v>
      </c>
      <c r="E622" s="2762" t="s">
        <v>1281</v>
      </c>
      <c r="K622" s="2992" t="s">
        <v>1280</v>
      </c>
      <c r="V622" s="28"/>
      <c r="W622" s="118"/>
      <c r="BY622" s="16"/>
    </row>
    <row r="623" spans="1:77" ht="15.5">
      <c r="A623"/>
      <c r="B623" s="2953" t="s">
        <v>2964</v>
      </c>
      <c r="C623" s="2954" t="s">
        <v>3127</v>
      </c>
      <c r="D623" s="2965">
        <f>F250/1000</f>
        <v>0</v>
      </c>
      <c r="E623" s="2919">
        <f>D623</f>
        <v>0</v>
      </c>
      <c r="K623" s="2991">
        <f>K250/1000</f>
        <v>0</v>
      </c>
      <c r="V623" s="28"/>
      <c r="W623" s="118"/>
      <c r="BY623" s="16"/>
    </row>
    <row r="624" spans="1:77">
      <c r="A624"/>
      <c r="B624"/>
      <c r="C624" s="2954" t="s">
        <v>1318</v>
      </c>
      <c r="D624" s="2966">
        <v>24</v>
      </c>
      <c r="E624" s="88">
        <v>24</v>
      </c>
      <c r="K624" s="1042">
        <v>24</v>
      </c>
      <c r="V624" s="28"/>
      <c r="W624" s="118"/>
      <c r="BY624" s="16"/>
    </row>
    <row r="625" spans="1:77">
      <c r="A625"/>
      <c r="B625"/>
      <c r="C625" s="2954" t="s">
        <v>1319</v>
      </c>
      <c r="D625" s="2966">
        <v>412</v>
      </c>
      <c r="E625" s="1042">
        <v>412</v>
      </c>
      <c r="I625" s="34"/>
      <c r="J625" s="34" t="s">
        <v>3132</v>
      </c>
      <c r="K625" s="1042">
        <v>20</v>
      </c>
      <c r="V625" s="28"/>
      <c r="W625" s="118"/>
      <c r="BY625" s="16"/>
    </row>
    <row r="626" spans="1:77">
      <c r="A626"/>
      <c r="B626"/>
      <c r="C626" s="2954" t="s">
        <v>1320</v>
      </c>
      <c r="D626" s="2966">
        <v>26</v>
      </c>
      <c r="E626" s="88">
        <v>26</v>
      </c>
      <c r="K626" s="1042">
        <v>26</v>
      </c>
      <c r="V626" s="28"/>
      <c r="W626" s="118"/>
      <c r="BY626" s="16"/>
    </row>
    <row r="627" spans="1:77">
      <c r="A627"/>
      <c r="B627"/>
      <c r="C627" s="2954" t="s">
        <v>1321</v>
      </c>
      <c r="D627" s="2966">
        <v>3.09</v>
      </c>
      <c r="E627" s="88">
        <v>3.09</v>
      </c>
      <c r="K627" s="1042">
        <v>3.09</v>
      </c>
      <c r="V627" s="28"/>
      <c r="W627" s="118"/>
      <c r="BY627" s="16"/>
    </row>
    <row r="628" spans="1:77">
      <c r="A628"/>
      <c r="B628"/>
      <c r="C628" s="2959" t="s">
        <v>1278</v>
      </c>
      <c r="D628" s="2968">
        <f t="shared" ref="D628:E628" si="153">ROUNDUP(D623/D624,0)</f>
        <v>0</v>
      </c>
      <c r="E628" s="2957">
        <f t="shared" si="153"/>
        <v>0</v>
      </c>
      <c r="K628" s="2960">
        <f t="shared" ref="K628" si="154">ROUNDUP(K623/K624,0)</f>
        <v>0</v>
      </c>
      <c r="V628" s="28"/>
      <c r="W628" s="118"/>
      <c r="BY628" s="16"/>
    </row>
    <row r="629" spans="1:77">
      <c r="A629"/>
      <c r="B629"/>
      <c r="C629" s="2955" t="s">
        <v>301</v>
      </c>
      <c r="D629" s="2970">
        <v>71000</v>
      </c>
      <c r="E629" s="108"/>
      <c r="K629" s="1043">
        <v>71000</v>
      </c>
      <c r="V629" s="28"/>
      <c r="W629" s="118"/>
      <c r="BY629" s="16"/>
    </row>
    <row r="630" spans="1:77">
      <c r="A630"/>
      <c r="B630"/>
      <c r="C630" s="2956" t="s">
        <v>515</v>
      </c>
      <c r="D630" s="2966">
        <v>35</v>
      </c>
      <c r="E630" s="88">
        <v>3.59</v>
      </c>
      <c r="K630" s="1042">
        <v>35</v>
      </c>
      <c r="V630" s="28"/>
      <c r="W630" s="118"/>
      <c r="BY630" s="16"/>
    </row>
    <row r="631" spans="1:77">
      <c r="A631"/>
      <c r="B631"/>
      <c r="C631" s="2958" t="s">
        <v>1275</v>
      </c>
      <c r="D631" s="2966">
        <v>1.26</v>
      </c>
      <c r="E631" s="88">
        <v>1.26</v>
      </c>
      <c r="K631" s="1042">
        <v>1.26</v>
      </c>
      <c r="V631" s="28"/>
      <c r="W631" s="118"/>
      <c r="BY631" s="16"/>
    </row>
    <row r="632" spans="1:77" ht="18.5">
      <c r="A632"/>
      <c r="B632"/>
      <c r="C632" s="2950" t="s">
        <v>1322</v>
      </c>
      <c r="D632" s="2951">
        <f>D628*D625*(D626/100)*(D630/D629)*D631</f>
        <v>0</v>
      </c>
      <c r="E632" s="2952">
        <f>E628*E625*(E626/100)*(E627/1000)/E630*E631</f>
        <v>0</v>
      </c>
      <c r="K632" s="2951">
        <f>K628*K625*(K626/100)*(K630/K629)*K631</f>
        <v>0</v>
      </c>
      <c r="V632" s="28"/>
      <c r="W632" s="118"/>
      <c r="BY632" s="16"/>
    </row>
    <row r="633" spans="1:77" ht="37">
      <c r="A633"/>
      <c r="B633"/>
      <c r="C633" s="2947" t="s">
        <v>1323</v>
      </c>
      <c r="D633" s="3291"/>
      <c r="E633" s="2948"/>
      <c r="V633" s="28"/>
      <c r="W633" s="118"/>
      <c r="BY633" s="16"/>
    </row>
    <row r="634" spans="1:77">
      <c r="A634"/>
      <c r="B634"/>
      <c r="C634" s="2949" t="s">
        <v>1325</v>
      </c>
      <c r="D634" s="2973"/>
      <c r="E634" s="2920"/>
      <c r="V634" s="28"/>
      <c r="W634" s="118"/>
      <c r="BY634" s="16"/>
    </row>
    <row r="635" spans="1:77">
      <c r="A635"/>
      <c r="B635"/>
      <c r="C635"/>
      <c r="V635" s="28"/>
      <c r="W635" s="118"/>
      <c r="BY635" s="16"/>
    </row>
    <row r="636" spans="1:77">
      <c r="A636"/>
      <c r="B636"/>
      <c r="C636"/>
      <c r="V636" s="28"/>
      <c r="W636" s="118"/>
      <c r="BY636" s="16"/>
    </row>
    <row r="637" spans="1:77" ht="15.5">
      <c r="A637"/>
      <c r="B637"/>
      <c r="C637"/>
      <c r="D637" s="3289" t="s">
        <v>3129</v>
      </c>
      <c r="E637" s="2801"/>
      <c r="K637" s="2990" t="s">
        <v>3131</v>
      </c>
      <c r="V637" s="28"/>
      <c r="W637" s="118"/>
      <c r="BY637" s="16"/>
    </row>
    <row r="638" spans="1:77">
      <c r="A638"/>
      <c r="B638"/>
      <c r="C638"/>
      <c r="D638" s="3290" t="s">
        <v>1280</v>
      </c>
      <c r="E638" s="2762" t="s">
        <v>1281</v>
      </c>
      <c r="K638" s="2992" t="s">
        <v>1280</v>
      </c>
      <c r="V638" s="28"/>
      <c r="W638" s="118"/>
      <c r="BY638" s="16"/>
    </row>
    <row r="639" spans="1:77" ht="15.5">
      <c r="A639"/>
      <c r="B639" s="2953" t="s">
        <v>2961</v>
      </c>
      <c r="C639" s="2954" t="s">
        <v>3127</v>
      </c>
      <c r="D639" s="2965">
        <f>F292/1000</f>
        <v>0</v>
      </c>
      <c r="E639" s="2919">
        <f>D639</f>
        <v>0</v>
      </c>
      <c r="K639" s="2991">
        <f>K292/1000</f>
        <v>0</v>
      </c>
      <c r="V639" s="28"/>
      <c r="W639" s="118"/>
      <c r="BY639" s="16"/>
    </row>
    <row r="640" spans="1:77">
      <c r="A640"/>
      <c r="B640"/>
      <c r="C640" s="2954" t="s">
        <v>1318</v>
      </c>
      <c r="D640" s="2966">
        <v>24</v>
      </c>
      <c r="E640" s="88">
        <v>24</v>
      </c>
      <c r="K640" s="1042">
        <v>24</v>
      </c>
      <c r="V640" s="28"/>
      <c r="W640" s="118"/>
      <c r="BY640" s="16"/>
    </row>
    <row r="641" spans="1:77">
      <c r="A641"/>
      <c r="B641"/>
      <c r="C641" s="2954" t="s">
        <v>1319</v>
      </c>
      <c r="D641" s="2966">
        <v>412</v>
      </c>
      <c r="E641" s="1042">
        <v>412</v>
      </c>
      <c r="I641" s="34"/>
      <c r="J641" s="34" t="s">
        <v>3132</v>
      </c>
      <c r="K641" s="1042">
        <v>20</v>
      </c>
      <c r="V641" s="28"/>
      <c r="W641" s="118"/>
      <c r="BY641" s="16"/>
    </row>
    <row r="642" spans="1:77">
      <c r="A642"/>
      <c r="B642"/>
      <c r="C642" s="2954" t="s">
        <v>1320</v>
      </c>
      <c r="D642" s="2966">
        <v>26</v>
      </c>
      <c r="E642" s="88">
        <v>26</v>
      </c>
      <c r="K642" s="1042">
        <v>26</v>
      </c>
      <c r="V642" s="28"/>
      <c r="W642" s="118"/>
      <c r="BY642" s="16"/>
    </row>
    <row r="643" spans="1:77">
      <c r="A643"/>
      <c r="B643"/>
      <c r="C643" s="2954" t="s">
        <v>1321</v>
      </c>
      <c r="D643" s="2966">
        <v>3.09</v>
      </c>
      <c r="E643" s="88">
        <v>3.09</v>
      </c>
      <c r="K643" s="1042">
        <v>3.09</v>
      </c>
      <c r="V643" s="28"/>
      <c r="W643" s="118"/>
      <c r="BY643" s="16"/>
    </row>
    <row r="644" spans="1:77">
      <c r="A644"/>
      <c r="B644"/>
      <c r="C644" s="2959" t="s">
        <v>1278</v>
      </c>
      <c r="D644" s="2968">
        <f t="shared" ref="D644:E644" si="155">ROUNDUP(D639/D640,0)</f>
        <v>0</v>
      </c>
      <c r="E644" s="2957">
        <f t="shared" si="155"/>
        <v>0</v>
      </c>
      <c r="K644" s="2960">
        <f t="shared" ref="K644" si="156">ROUNDUP(K639/K640,0)</f>
        <v>0</v>
      </c>
      <c r="V644" s="28"/>
      <c r="W644" s="118"/>
      <c r="BY644" s="16"/>
    </row>
    <row r="645" spans="1:77">
      <c r="A645"/>
      <c r="B645"/>
      <c r="C645" s="2955" t="s">
        <v>301</v>
      </c>
      <c r="D645" s="2970">
        <v>71000</v>
      </c>
      <c r="E645" s="108"/>
      <c r="K645" s="1043">
        <v>71000</v>
      </c>
      <c r="V645" s="28"/>
      <c r="W645" s="118"/>
      <c r="BY645" s="16"/>
    </row>
    <row r="646" spans="1:77">
      <c r="A646"/>
      <c r="B646"/>
      <c r="C646" s="2956" t="s">
        <v>515</v>
      </c>
      <c r="D646" s="2966">
        <v>35</v>
      </c>
      <c r="E646" s="88">
        <v>3.59</v>
      </c>
      <c r="K646" s="1042">
        <v>35</v>
      </c>
      <c r="V646" s="28"/>
      <c r="W646" s="118"/>
      <c r="BY646" s="16"/>
    </row>
    <row r="647" spans="1:77">
      <c r="A647"/>
      <c r="B647"/>
      <c r="C647" s="2958" t="s">
        <v>1275</v>
      </c>
      <c r="D647" s="2966">
        <v>1.26</v>
      </c>
      <c r="E647" s="88">
        <v>1.26</v>
      </c>
      <c r="K647" s="1042">
        <v>1.26</v>
      </c>
      <c r="V647" s="28"/>
      <c r="W647" s="118"/>
      <c r="BY647" s="16"/>
    </row>
    <row r="648" spans="1:77" ht="18.5">
      <c r="A648"/>
      <c r="B648"/>
      <c r="C648" s="2950" t="s">
        <v>1322</v>
      </c>
      <c r="D648" s="2951">
        <f>D644*D641*(D642/100)*(D646/D645)*D647</f>
        <v>0</v>
      </c>
      <c r="E648" s="2952">
        <f>E644*E641*(E642/100)*(E643/1000)/E646*E647</f>
        <v>0</v>
      </c>
      <c r="K648" s="2951">
        <f>K644*K641*(K642/100)*(K646/K645)*K647</f>
        <v>0</v>
      </c>
      <c r="V648" s="28"/>
      <c r="W648" s="118"/>
      <c r="BY648" s="16"/>
    </row>
    <row r="649" spans="1:77" ht="37">
      <c r="A649"/>
      <c r="B649"/>
      <c r="C649" s="2947" t="s">
        <v>1323</v>
      </c>
      <c r="D649" s="3291"/>
      <c r="E649" s="2948"/>
      <c r="V649" s="28"/>
      <c r="W649" s="118"/>
      <c r="BY649" s="16"/>
    </row>
    <row r="650" spans="1:77">
      <c r="A650"/>
      <c r="B650"/>
      <c r="C650" s="2949" t="s">
        <v>1325</v>
      </c>
      <c r="D650" s="2973"/>
      <c r="E650" s="2920"/>
      <c r="V650" s="28"/>
      <c r="W650" s="118"/>
      <c r="BY650" s="16"/>
    </row>
    <row r="651" spans="1:77">
      <c r="A651"/>
      <c r="B651"/>
      <c r="C651"/>
      <c r="V651" s="28"/>
      <c r="W651" s="118"/>
      <c r="BY651" s="16"/>
    </row>
    <row r="652" spans="1:77">
      <c r="A652"/>
      <c r="B652"/>
      <c r="C652"/>
      <c r="V652" s="28"/>
      <c r="W652" s="118"/>
      <c r="BY652" s="16"/>
    </row>
    <row r="653" spans="1:77" ht="15.5">
      <c r="A653"/>
      <c r="B653"/>
      <c r="C653"/>
      <c r="D653" s="3289" t="s">
        <v>3129</v>
      </c>
      <c r="E653" s="2801"/>
      <c r="K653" s="2990" t="s">
        <v>3131</v>
      </c>
      <c r="V653" s="28"/>
      <c r="W653" s="118"/>
      <c r="BY653" s="16"/>
    </row>
    <row r="654" spans="1:77">
      <c r="A654"/>
      <c r="B654"/>
      <c r="C654"/>
      <c r="D654" s="3290" t="s">
        <v>1280</v>
      </c>
      <c r="E654" s="2762" t="s">
        <v>1281</v>
      </c>
      <c r="K654" s="2992" t="s">
        <v>1280</v>
      </c>
      <c r="V654" s="28"/>
      <c r="W654" s="118"/>
      <c r="BY654" s="16"/>
    </row>
    <row r="655" spans="1:77" ht="15.5">
      <c r="A655"/>
      <c r="B655" s="2953" t="s">
        <v>2954</v>
      </c>
      <c r="C655" s="2954" t="s">
        <v>3127</v>
      </c>
      <c r="D655" s="2965">
        <f>F299/1000</f>
        <v>0</v>
      </c>
      <c r="E655" s="2919">
        <f>D655</f>
        <v>0</v>
      </c>
      <c r="K655" s="2991">
        <f>K298/1000</f>
        <v>0</v>
      </c>
      <c r="V655" s="28"/>
      <c r="W655" s="118"/>
      <c r="BY655" s="16"/>
    </row>
    <row r="656" spans="1:77">
      <c r="A656"/>
      <c r="B656"/>
      <c r="C656" s="2954" t="s">
        <v>1318</v>
      </c>
      <c r="D656" s="2966">
        <v>24</v>
      </c>
      <c r="E656" s="88">
        <v>24</v>
      </c>
      <c r="K656" s="1042">
        <v>24</v>
      </c>
      <c r="V656" s="28"/>
      <c r="W656" s="118"/>
      <c r="BY656" s="16"/>
    </row>
    <row r="657" spans="1:77">
      <c r="A657"/>
      <c r="B657"/>
      <c r="C657" s="2954" t="s">
        <v>1319</v>
      </c>
      <c r="D657" s="2966">
        <v>412</v>
      </c>
      <c r="E657" s="1042">
        <v>412</v>
      </c>
      <c r="I657" s="34"/>
      <c r="J657" s="34" t="s">
        <v>3132</v>
      </c>
      <c r="K657" s="1042">
        <v>20</v>
      </c>
      <c r="V657" s="28"/>
      <c r="W657" s="118"/>
      <c r="BY657" s="16"/>
    </row>
    <row r="658" spans="1:77">
      <c r="A658"/>
      <c r="B658"/>
      <c r="C658" s="2954" t="s">
        <v>1320</v>
      </c>
      <c r="D658" s="2966">
        <v>26</v>
      </c>
      <c r="E658" s="88">
        <v>26</v>
      </c>
      <c r="K658" s="1042">
        <v>26</v>
      </c>
      <c r="V658" s="28"/>
      <c r="W658" s="118"/>
      <c r="BY658" s="16"/>
    </row>
    <row r="659" spans="1:77">
      <c r="A659"/>
      <c r="B659"/>
      <c r="C659" s="2954" t="s">
        <v>1321</v>
      </c>
      <c r="D659" s="2966">
        <v>3.09</v>
      </c>
      <c r="E659" s="88">
        <v>3.09</v>
      </c>
      <c r="K659" s="1042">
        <v>3.09</v>
      </c>
      <c r="V659" s="28"/>
      <c r="W659" s="118"/>
      <c r="BY659" s="16"/>
    </row>
    <row r="660" spans="1:77">
      <c r="A660"/>
      <c r="B660"/>
      <c r="C660" s="2959" t="s">
        <v>1278</v>
      </c>
      <c r="D660" s="2968">
        <f t="shared" ref="D660:E660" si="157">ROUNDUP(D655/D656,0)</f>
        <v>0</v>
      </c>
      <c r="E660" s="2957">
        <f t="shared" si="157"/>
        <v>0</v>
      </c>
      <c r="K660" s="2960">
        <f t="shared" ref="K660" si="158">ROUNDUP(K655/K656,0)</f>
        <v>0</v>
      </c>
      <c r="V660" s="28"/>
      <c r="W660" s="118"/>
      <c r="BY660" s="16"/>
    </row>
    <row r="661" spans="1:77">
      <c r="A661"/>
      <c r="B661"/>
      <c r="C661" s="2955" t="s">
        <v>301</v>
      </c>
      <c r="D661" s="2970">
        <v>71000</v>
      </c>
      <c r="E661" s="108"/>
      <c r="K661" s="1043">
        <v>71000</v>
      </c>
      <c r="V661" s="28"/>
      <c r="W661" s="118"/>
      <c r="BY661" s="16"/>
    </row>
    <row r="662" spans="1:77">
      <c r="A662"/>
      <c r="B662"/>
      <c r="C662" s="2956" t="s">
        <v>515</v>
      </c>
      <c r="D662" s="2966">
        <v>35</v>
      </c>
      <c r="E662" s="88">
        <v>3.59</v>
      </c>
      <c r="K662" s="1042">
        <v>35</v>
      </c>
      <c r="V662" s="28"/>
      <c r="W662" s="118"/>
      <c r="BY662" s="16"/>
    </row>
    <row r="663" spans="1:77">
      <c r="A663"/>
      <c r="B663"/>
      <c r="C663" s="2958" t="s">
        <v>1275</v>
      </c>
      <c r="D663" s="2966">
        <v>1.26</v>
      </c>
      <c r="E663" s="88">
        <v>1.26</v>
      </c>
      <c r="K663" s="1042">
        <v>1.26</v>
      </c>
      <c r="V663" s="28"/>
      <c r="W663" s="118"/>
      <c r="BY663" s="16"/>
    </row>
    <row r="664" spans="1:77" ht="44.25" customHeight="1">
      <c r="A664"/>
      <c r="B664"/>
      <c r="C664" s="2950" t="s">
        <v>1322</v>
      </c>
      <c r="D664" s="2951">
        <f>D660*D657*(D658/100)*(D662/D661)*D663</f>
        <v>0</v>
      </c>
      <c r="E664" s="2952">
        <f>E660*E657*(E658/100)*(E659/1000)/E662*E663</f>
        <v>0</v>
      </c>
      <c r="K664" s="2951">
        <f>K660*K657*(K658/100)*(K662/K661)*K663</f>
        <v>0</v>
      </c>
      <c r="V664" s="28"/>
      <c r="W664" s="118"/>
      <c r="BY664" s="16"/>
    </row>
    <row r="665" spans="1:77" ht="37">
      <c r="A665"/>
      <c r="B665"/>
      <c r="C665" s="2947" t="s">
        <v>1323</v>
      </c>
      <c r="D665" s="3291"/>
      <c r="E665" s="2948"/>
      <c r="V665" s="28"/>
      <c r="W665" s="118"/>
      <c r="BY665" s="16"/>
    </row>
    <row r="666" spans="1:77">
      <c r="A666"/>
      <c r="B666"/>
      <c r="C666" s="2949" t="s">
        <v>1325</v>
      </c>
      <c r="D666" s="2973"/>
      <c r="E666" s="2920"/>
      <c r="V666" s="28"/>
      <c r="W666" s="118"/>
      <c r="BY666" s="16"/>
    </row>
    <row r="667" spans="1:77">
      <c r="A667"/>
      <c r="B667"/>
      <c r="C667"/>
      <c r="V667" s="28"/>
      <c r="W667" s="118"/>
      <c r="BY667" s="16"/>
    </row>
    <row r="668" spans="1:77">
      <c r="A668"/>
      <c r="B668"/>
      <c r="C668"/>
      <c r="V668" s="28"/>
      <c r="W668" s="118"/>
      <c r="BY668" s="16"/>
    </row>
    <row r="669" spans="1:77" ht="15.5">
      <c r="A669"/>
      <c r="B669"/>
      <c r="C669"/>
      <c r="D669" s="3289" t="s">
        <v>3129</v>
      </c>
      <c r="E669" s="2801"/>
      <c r="K669" s="2990" t="s">
        <v>3131</v>
      </c>
      <c r="V669" s="28"/>
      <c r="W669" s="118"/>
      <c r="BY669" s="16"/>
    </row>
    <row r="670" spans="1:77">
      <c r="A670"/>
      <c r="B670"/>
      <c r="C670"/>
      <c r="D670" s="3290" t="s">
        <v>1280</v>
      </c>
      <c r="E670" s="2762" t="s">
        <v>1281</v>
      </c>
      <c r="K670" s="2992" t="s">
        <v>1280</v>
      </c>
      <c r="V670" s="28"/>
      <c r="W670" s="118"/>
      <c r="BY670" s="16"/>
    </row>
    <row r="671" spans="1:77" ht="15.5">
      <c r="A671"/>
      <c r="B671" s="2953" t="s">
        <v>2952</v>
      </c>
      <c r="C671" s="2954" t="s">
        <v>3127</v>
      </c>
      <c r="D671" s="2965">
        <f>F303/1000</f>
        <v>0</v>
      </c>
      <c r="E671" s="2919">
        <f>D671</f>
        <v>0</v>
      </c>
      <c r="K671" s="2991">
        <f>K303/1000</f>
        <v>0</v>
      </c>
      <c r="V671" s="28"/>
      <c r="W671" s="118"/>
      <c r="BY671" s="16"/>
    </row>
    <row r="672" spans="1:77">
      <c r="A672"/>
      <c r="B672"/>
      <c r="C672" s="2954" t="s">
        <v>1318</v>
      </c>
      <c r="D672" s="2966">
        <v>24</v>
      </c>
      <c r="E672" s="88">
        <v>24</v>
      </c>
      <c r="K672" s="1042">
        <v>24</v>
      </c>
      <c r="V672" s="28"/>
      <c r="W672" s="118"/>
      <c r="BY672" s="16"/>
    </row>
    <row r="673" spans="1:77">
      <c r="A673"/>
      <c r="B673"/>
      <c r="C673" s="2954" t="s">
        <v>1319</v>
      </c>
      <c r="D673" s="2966">
        <v>412</v>
      </c>
      <c r="E673" s="1042">
        <v>412</v>
      </c>
      <c r="I673" s="34"/>
      <c r="J673" s="34" t="s">
        <v>3132</v>
      </c>
      <c r="K673" s="1042">
        <v>20</v>
      </c>
      <c r="V673" s="28"/>
      <c r="W673" s="118"/>
      <c r="BY673" s="16"/>
    </row>
    <row r="674" spans="1:77">
      <c r="A674"/>
      <c r="B674"/>
      <c r="C674" s="2954" t="s">
        <v>1320</v>
      </c>
      <c r="D674" s="2966">
        <v>26</v>
      </c>
      <c r="E674" s="88">
        <v>26</v>
      </c>
      <c r="K674" s="1042">
        <v>26</v>
      </c>
      <c r="V674" s="28"/>
      <c r="W674" s="118"/>
      <c r="BY674" s="16"/>
    </row>
    <row r="675" spans="1:77">
      <c r="A675"/>
      <c r="B675"/>
      <c r="C675" s="2954" t="s">
        <v>1321</v>
      </c>
      <c r="D675" s="2966">
        <v>3.09</v>
      </c>
      <c r="E675" s="88">
        <v>3.09</v>
      </c>
      <c r="K675" s="1042">
        <v>3.09</v>
      </c>
      <c r="V675" s="28"/>
      <c r="W675" s="118"/>
      <c r="BY675" s="16"/>
    </row>
    <row r="676" spans="1:77">
      <c r="A676"/>
      <c r="B676"/>
      <c r="C676" s="2959" t="s">
        <v>1278</v>
      </c>
      <c r="D676" s="2968">
        <f t="shared" ref="D676:E676" si="159">ROUNDUP(D671/D672,0)</f>
        <v>0</v>
      </c>
      <c r="E676" s="2957">
        <f t="shared" si="159"/>
        <v>0</v>
      </c>
      <c r="K676" s="2960">
        <f t="shared" ref="K676" si="160">ROUNDUP(K671/K672,0)</f>
        <v>0</v>
      </c>
      <c r="V676" s="28"/>
      <c r="W676" s="118"/>
      <c r="BY676" s="16"/>
    </row>
    <row r="677" spans="1:77">
      <c r="A677"/>
      <c r="B677"/>
      <c r="C677" s="2955" t="s">
        <v>301</v>
      </c>
      <c r="D677" s="2970">
        <v>71000</v>
      </c>
      <c r="E677" s="108"/>
      <c r="K677" s="1043">
        <v>71000</v>
      </c>
      <c r="V677" s="28"/>
      <c r="W677" s="118"/>
      <c r="BY677" s="16"/>
    </row>
    <row r="678" spans="1:77">
      <c r="A678"/>
      <c r="B678"/>
      <c r="C678" s="2956" t="s">
        <v>515</v>
      </c>
      <c r="D678" s="2966">
        <v>35</v>
      </c>
      <c r="E678" s="88">
        <v>3.59</v>
      </c>
      <c r="K678" s="1042">
        <v>35</v>
      </c>
      <c r="V678" s="28"/>
      <c r="W678" s="118"/>
      <c r="BY678" s="16"/>
    </row>
    <row r="679" spans="1:77">
      <c r="A679"/>
      <c r="B679"/>
      <c r="C679" s="2958" t="s">
        <v>1275</v>
      </c>
      <c r="D679" s="2966">
        <v>1.26</v>
      </c>
      <c r="E679" s="88">
        <v>1.26</v>
      </c>
      <c r="K679" s="1042">
        <v>1.26</v>
      </c>
      <c r="V679" s="28"/>
      <c r="W679" s="118"/>
      <c r="BY679" s="16"/>
    </row>
    <row r="680" spans="1:77" ht="27.75" customHeight="1">
      <c r="A680"/>
      <c r="B680"/>
      <c r="C680" s="2950" t="s">
        <v>1322</v>
      </c>
      <c r="D680" s="2951">
        <f>D676*D673*(D674/100)*(D678/D677)*D679</f>
        <v>0</v>
      </c>
      <c r="E680" s="2952">
        <f>E676*E673*(E674/100)*(E675/1000)/E678*E679</f>
        <v>0</v>
      </c>
      <c r="K680" s="2951">
        <f>K676*K673*(K674/100)*(K678/K677)*K679</f>
        <v>0</v>
      </c>
      <c r="V680" s="28"/>
      <c r="W680" s="118"/>
      <c r="BY680" s="16"/>
    </row>
    <row r="681" spans="1:77" ht="36.75" customHeight="1">
      <c r="A681"/>
      <c r="B681"/>
      <c r="C681" s="2947" t="s">
        <v>1323</v>
      </c>
      <c r="D681" s="3291"/>
      <c r="E681" s="2948"/>
      <c r="V681" s="28"/>
      <c r="W681" s="118"/>
      <c r="BY681" s="16"/>
    </row>
    <row r="682" spans="1:77">
      <c r="A682"/>
      <c r="B682"/>
      <c r="C682" s="2949" t="s">
        <v>1325</v>
      </c>
      <c r="D682" s="2973"/>
      <c r="E682" s="2920"/>
      <c r="V682" s="28"/>
      <c r="W682" s="118"/>
      <c r="BY682" s="16"/>
    </row>
    <row r="683" spans="1:77" s="16" customFormat="1">
      <c r="C683" s="2945"/>
      <c r="D683" s="2976"/>
      <c r="F683" s="1663"/>
      <c r="G683" s="1663"/>
      <c r="H683" s="1663"/>
      <c r="I683" s="105"/>
      <c r="J683" s="105"/>
      <c r="K683" s="105"/>
      <c r="L683" s="105"/>
      <c r="M683" s="105"/>
      <c r="N683" s="105"/>
      <c r="O683" s="105"/>
      <c r="P683" s="105"/>
      <c r="Q683" s="105"/>
      <c r="R683" s="105"/>
      <c r="S683" s="105"/>
      <c r="T683" s="105"/>
      <c r="U683" s="105"/>
      <c r="V683" s="105"/>
      <c r="W683" s="119"/>
    </row>
    <row r="684" spans="1:77" s="16" customFormat="1" ht="15.5">
      <c r="B684"/>
      <c r="C684"/>
      <c r="D684" s="3289" t="s">
        <v>3129</v>
      </c>
      <c r="E684" s="2801"/>
      <c r="F684" s="1663"/>
      <c r="G684" s="1663"/>
      <c r="H684" s="1663"/>
      <c r="I684" s="105"/>
      <c r="J684" s="105"/>
      <c r="K684" s="2990" t="s">
        <v>3131</v>
      </c>
      <c r="L684" s="105"/>
      <c r="M684" s="105"/>
      <c r="N684" s="105"/>
      <c r="O684" s="105"/>
      <c r="P684" s="105"/>
      <c r="Q684" s="105"/>
      <c r="R684" s="105"/>
      <c r="S684" s="105"/>
      <c r="T684" s="105"/>
      <c r="U684" s="105"/>
      <c r="V684" s="105"/>
      <c r="W684" s="119"/>
    </row>
    <row r="685" spans="1:77">
      <c r="A685"/>
      <c r="B685"/>
      <c r="C685"/>
      <c r="D685" s="3290" t="s">
        <v>1280</v>
      </c>
      <c r="E685" s="2762" t="s">
        <v>1281</v>
      </c>
      <c r="K685" s="2992" t="s">
        <v>1280</v>
      </c>
      <c r="V685" s="28"/>
      <c r="W685" s="118"/>
      <c r="BY685" s="16"/>
    </row>
    <row r="686" spans="1:77" ht="15.5">
      <c r="A686"/>
      <c r="B686" s="2953" t="s">
        <v>2951</v>
      </c>
      <c r="C686" s="2954" t="s">
        <v>3127</v>
      </c>
      <c r="D686" s="2965">
        <f>F307/1000</f>
        <v>0</v>
      </c>
      <c r="E686" s="2919">
        <f>D686</f>
        <v>0</v>
      </c>
      <c r="K686" s="2991">
        <f>K307/1000</f>
        <v>0</v>
      </c>
      <c r="V686" s="28"/>
      <c r="W686" s="118"/>
      <c r="BY686" s="16"/>
    </row>
    <row r="687" spans="1:77">
      <c r="A687"/>
      <c r="B687"/>
      <c r="C687" s="2954" t="s">
        <v>1318</v>
      </c>
      <c r="D687" s="2966">
        <v>24</v>
      </c>
      <c r="E687" s="88">
        <v>24</v>
      </c>
      <c r="K687" s="1042">
        <v>24</v>
      </c>
      <c r="V687" s="28"/>
      <c r="W687" s="118"/>
      <c r="BY687" s="16"/>
    </row>
    <row r="688" spans="1:77">
      <c r="A688"/>
      <c r="B688"/>
      <c r="C688" s="2954" t="s">
        <v>1319</v>
      </c>
      <c r="D688" s="2966">
        <v>412</v>
      </c>
      <c r="E688" s="1042">
        <v>412</v>
      </c>
      <c r="I688" s="34"/>
      <c r="J688" s="34" t="s">
        <v>3132</v>
      </c>
      <c r="K688" s="1042">
        <v>20</v>
      </c>
      <c r="V688" s="28"/>
      <c r="W688" s="118"/>
      <c r="BY688" s="16"/>
    </row>
    <row r="689" spans="1:77">
      <c r="A689"/>
      <c r="B689"/>
      <c r="C689" s="2954" t="s">
        <v>1320</v>
      </c>
      <c r="D689" s="2966">
        <v>26</v>
      </c>
      <c r="E689" s="88">
        <v>26</v>
      </c>
      <c r="K689" s="1042">
        <v>26</v>
      </c>
      <c r="V689" s="28"/>
      <c r="W689" s="118"/>
      <c r="BY689" s="16"/>
    </row>
    <row r="690" spans="1:77">
      <c r="A690"/>
      <c r="B690"/>
      <c r="C690" s="2954" t="s">
        <v>1321</v>
      </c>
      <c r="D690" s="2966">
        <v>3.09</v>
      </c>
      <c r="E690" s="88">
        <v>3.09</v>
      </c>
      <c r="K690" s="1042">
        <v>3.09</v>
      </c>
      <c r="V690" s="28"/>
      <c r="W690" s="118"/>
      <c r="BY690" s="16"/>
    </row>
    <row r="691" spans="1:77">
      <c r="A691"/>
      <c r="B691"/>
      <c r="C691" s="2959" t="s">
        <v>1278</v>
      </c>
      <c r="D691" s="2968">
        <f t="shared" ref="D691:E691" si="161">ROUNDUP(D686/D687,0)</f>
        <v>0</v>
      </c>
      <c r="E691" s="2957">
        <f t="shared" si="161"/>
        <v>0</v>
      </c>
      <c r="K691" s="2960">
        <f t="shared" ref="K691" si="162">ROUNDUP(K686/K687,0)</f>
        <v>0</v>
      </c>
      <c r="V691" s="28"/>
      <c r="W691" s="118"/>
      <c r="BY691" s="16"/>
    </row>
    <row r="692" spans="1:77">
      <c r="A692"/>
      <c r="B692"/>
      <c r="C692" s="2955" t="s">
        <v>301</v>
      </c>
      <c r="D692" s="2970">
        <v>71000</v>
      </c>
      <c r="E692" s="108"/>
      <c r="K692" s="1043">
        <v>71000</v>
      </c>
      <c r="V692" s="28"/>
      <c r="W692" s="118"/>
      <c r="BY692" s="16"/>
    </row>
    <row r="693" spans="1:77">
      <c r="A693"/>
      <c r="B693"/>
      <c r="C693" s="2956" t="s">
        <v>515</v>
      </c>
      <c r="D693" s="2966">
        <v>35</v>
      </c>
      <c r="E693" s="88">
        <v>3.59</v>
      </c>
      <c r="K693" s="1042">
        <v>35</v>
      </c>
      <c r="V693" s="28"/>
      <c r="W693" s="118"/>
      <c r="BY693" s="16"/>
    </row>
    <row r="694" spans="1:77">
      <c r="A694"/>
      <c r="B694"/>
      <c r="C694" s="2958" t="s">
        <v>1275</v>
      </c>
      <c r="D694" s="2966">
        <v>1.26</v>
      </c>
      <c r="E694" s="88">
        <v>1.26</v>
      </c>
      <c r="K694" s="1042">
        <v>1.26</v>
      </c>
      <c r="V694" s="28"/>
      <c r="W694" s="118"/>
      <c r="BY694" s="16"/>
    </row>
    <row r="695" spans="1:77" ht="18.5">
      <c r="A695"/>
      <c r="B695"/>
      <c r="C695" s="2950" t="s">
        <v>1322</v>
      </c>
      <c r="D695" s="2951">
        <f>D691*D688*(D689/100)*(D693/D692)*D694</f>
        <v>0</v>
      </c>
      <c r="E695" s="2952">
        <f>E691*E688*(E689/100)*(E690/1000)/E693*E694</f>
        <v>0</v>
      </c>
      <c r="K695" s="2951">
        <f>K691*K688*(K689/100)*(K693/K692)*K694</f>
        <v>0</v>
      </c>
      <c r="V695" s="28"/>
      <c r="W695" s="118"/>
      <c r="BY695" s="16"/>
    </row>
    <row r="696" spans="1:77" ht="37">
      <c r="A696"/>
      <c r="B696"/>
      <c r="C696" s="2947" t="s">
        <v>1323</v>
      </c>
      <c r="D696" s="3291"/>
      <c r="E696" s="2948"/>
      <c r="V696" s="28"/>
      <c r="W696" s="118"/>
      <c r="BY696" s="16"/>
    </row>
    <row r="697" spans="1:77">
      <c r="A697"/>
      <c r="B697"/>
      <c r="C697" s="2949" t="s">
        <v>1325</v>
      </c>
      <c r="D697" s="2973"/>
      <c r="E697" s="2920"/>
      <c r="V697" s="28"/>
      <c r="W697" s="118"/>
      <c r="BY697" s="16"/>
    </row>
    <row r="698" spans="1:77" s="16" customFormat="1" ht="18.5">
      <c r="B698" s="2946"/>
      <c r="C698" s="2945"/>
      <c r="D698" s="2976"/>
      <c r="F698" s="1663"/>
      <c r="G698" s="1663"/>
      <c r="H698" s="1663"/>
      <c r="I698" s="105"/>
      <c r="J698" s="105"/>
      <c r="K698" s="105"/>
      <c r="L698" s="105"/>
      <c r="M698" s="105"/>
      <c r="N698" s="105"/>
      <c r="O698" s="105"/>
      <c r="P698" s="105"/>
      <c r="Q698" s="105"/>
      <c r="R698" s="105"/>
      <c r="S698" s="105"/>
      <c r="T698" s="105"/>
      <c r="U698" s="105"/>
      <c r="V698" s="105"/>
      <c r="W698" s="119"/>
    </row>
    <row r="699" spans="1:77" s="16" customFormat="1" ht="18.5">
      <c r="B699" s="2946"/>
      <c r="C699" s="2945"/>
      <c r="D699" s="2976"/>
      <c r="F699" s="1663"/>
      <c r="G699" s="1663"/>
      <c r="H699" s="1663"/>
      <c r="I699" s="105"/>
      <c r="J699" s="105"/>
      <c r="K699" s="105"/>
      <c r="L699" s="105"/>
      <c r="M699" s="105"/>
      <c r="N699" s="105"/>
      <c r="O699" s="105"/>
      <c r="P699" s="105"/>
      <c r="Q699" s="105"/>
      <c r="R699" s="105"/>
      <c r="S699" s="105"/>
      <c r="T699" s="105"/>
      <c r="U699" s="105"/>
      <c r="V699" s="105"/>
      <c r="W699" s="119"/>
    </row>
    <row r="700" spans="1:77" s="16" customFormat="1" ht="18.5">
      <c r="B700" s="2946"/>
      <c r="C700" s="2945"/>
      <c r="D700" s="2976"/>
      <c r="F700" s="1663"/>
      <c r="G700" s="1663"/>
      <c r="H700" s="1663"/>
      <c r="I700" s="105"/>
      <c r="J700" s="105"/>
      <c r="K700" s="105"/>
      <c r="L700" s="105"/>
      <c r="M700" s="105"/>
      <c r="N700" s="105"/>
      <c r="O700" s="105"/>
      <c r="P700" s="105"/>
      <c r="Q700" s="105"/>
      <c r="R700" s="105"/>
      <c r="S700" s="105"/>
      <c r="T700" s="105"/>
      <c r="U700" s="105"/>
      <c r="V700" s="105"/>
      <c r="W700" s="119"/>
    </row>
    <row r="701" spans="1:77" s="16" customFormat="1" ht="15.5">
      <c r="B701"/>
      <c r="C701"/>
      <c r="D701" s="3289" t="s">
        <v>3129</v>
      </c>
      <c r="E701" s="2801"/>
      <c r="F701" s="1663"/>
      <c r="G701" s="1663"/>
      <c r="H701" s="1663"/>
      <c r="I701" s="105"/>
      <c r="J701" s="105"/>
      <c r="K701" s="2990" t="s">
        <v>3131</v>
      </c>
      <c r="L701" s="105"/>
      <c r="M701" s="105"/>
      <c r="N701" s="105"/>
      <c r="O701" s="105"/>
      <c r="P701" s="105"/>
      <c r="Q701" s="105"/>
      <c r="R701" s="105"/>
      <c r="S701" s="105"/>
      <c r="T701" s="105"/>
      <c r="U701" s="105"/>
      <c r="V701" s="105"/>
      <c r="W701" s="119"/>
    </row>
    <row r="702" spans="1:77" s="16" customFormat="1">
      <c r="B702"/>
      <c r="C702"/>
      <c r="D702" s="3290" t="s">
        <v>1280</v>
      </c>
      <c r="E702" s="2762" t="s">
        <v>1281</v>
      </c>
      <c r="F702" s="1663"/>
      <c r="G702" s="1663"/>
      <c r="H702" s="1663"/>
      <c r="I702" s="105"/>
      <c r="J702" s="105"/>
      <c r="K702" s="2992" t="s">
        <v>1280</v>
      </c>
      <c r="L702" s="105"/>
      <c r="M702" s="105"/>
      <c r="N702" s="105"/>
      <c r="O702" s="105"/>
      <c r="P702" s="105"/>
      <c r="Q702" s="105"/>
      <c r="R702" s="105"/>
      <c r="S702" s="105"/>
      <c r="T702" s="105"/>
      <c r="U702" s="105"/>
      <c r="V702" s="105"/>
      <c r="W702" s="119"/>
    </row>
    <row r="703" spans="1:77" s="16" customFormat="1" ht="15.5">
      <c r="B703" s="2953" t="s">
        <v>232</v>
      </c>
      <c r="C703" s="2954" t="s">
        <v>3127</v>
      </c>
      <c r="D703" s="2965">
        <f>F322/1000</f>
        <v>1.1784964562496816</v>
      </c>
      <c r="E703" s="2919">
        <f>D703</f>
        <v>1.1784964562496816</v>
      </c>
      <c r="F703" s="1663"/>
      <c r="G703" s="1663"/>
      <c r="H703" s="1663"/>
      <c r="I703" s="105"/>
      <c r="J703" s="105"/>
      <c r="K703" s="2991">
        <f>K322/1000</f>
        <v>1.2374212790621657</v>
      </c>
      <c r="L703" s="105"/>
      <c r="M703" s="105"/>
      <c r="N703" s="105"/>
      <c r="O703" s="105"/>
      <c r="P703" s="105"/>
      <c r="Q703" s="105"/>
      <c r="R703" s="105"/>
      <c r="S703" s="105"/>
      <c r="T703" s="105"/>
      <c r="U703" s="105"/>
      <c r="V703" s="105"/>
      <c r="W703" s="119"/>
    </row>
    <row r="704" spans="1:77" s="16" customFormat="1">
      <c r="B704"/>
      <c r="C704" s="2954" t="s">
        <v>1318</v>
      </c>
      <c r="D704" s="2966">
        <v>24</v>
      </c>
      <c r="E704" s="88">
        <v>24</v>
      </c>
      <c r="F704" s="1663"/>
      <c r="G704" s="1663"/>
      <c r="H704" s="1663"/>
      <c r="I704" s="105"/>
      <c r="J704" s="105"/>
      <c r="K704" s="1042">
        <v>24</v>
      </c>
      <c r="L704" s="105"/>
      <c r="M704" s="105"/>
      <c r="N704" s="105"/>
      <c r="O704" s="105"/>
      <c r="P704" s="105"/>
      <c r="Q704" s="105"/>
      <c r="R704" s="105"/>
      <c r="S704" s="105"/>
      <c r="T704" s="105"/>
      <c r="U704" s="105"/>
      <c r="V704" s="105"/>
      <c r="W704" s="119"/>
    </row>
    <row r="705" spans="1:77" s="16" customFormat="1">
      <c r="B705"/>
      <c r="C705" s="2954" t="s">
        <v>1319</v>
      </c>
      <c r="D705" s="2966">
        <v>412</v>
      </c>
      <c r="E705" s="1042">
        <v>412</v>
      </c>
      <c r="F705" s="1663"/>
      <c r="G705" s="1663"/>
      <c r="H705" s="1663"/>
      <c r="I705" s="34"/>
      <c r="J705" s="34" t="s">
        <v>3132</v>
      </c>
      <c r="K705" s="1042">
        <v>20</v>
      </c>
      <c r="L705" s="105"/>
      <c r="M705" s="105"/>
      <c r="N705" s="105"/>
      <c r="O705" s="105"/>
      <c r="P705" s="105"/>
      <c r="Q705" s="105"/>
      <c r="R705" s="105"/>
      <c r="S705" s="105"/>
      <c r="T705" s="105"/>
      <c r="U705" s="105"/>
      <c r="V705" s="105"/>
      <c r="W705" s="119"/>
    </row>
    <row r="706" spans="1:77" s="16" customFormat="1">
      <c r="B706"/>
      <c r="C706" s="2954" t="s">
        <v>1320</v>
      </c>
      <c r="D706" s="2966">
        <v>26</v>
      </c>
      <c r="E706" s="88">
        <v>26</v>
      </c>
      <c r="F706" s="1663"/>
      <c r="G706" s="1663"/>
      <c r="H706" s="1663"/>
      <c r="I706" s="105"/>
      <c r="J706" s="105"/>
      <c r="K706" s="1042">
        <v>26</v>
      </c>
      <c r="L706" s="105"/>
      <c r="M706" s="105"/>
      <c r="N706" s="105"/>
      <c r="O706" s="105"/>
      <c r="P706" s="105"/>
      <c r="Q706" s="105"/>
      <c r="R706" s="105"/>
      <c r="S706" s="105"/>
      <c r="T706" s="105"/>
      <c r="U706" s="105"/>
      <c r="V706" s="105"/>
      <c r="W706" s="119"/>
    </row>
    <row r="707" spans="1:77" s="16" customFormat="1">
      <c r="B707"/>
      <c r="C707" s="2954" t="s">
        <v>1321</v>
      </c>
      <c r="D707" s="2966">
        <v>3.09</v>
      </c>
      <c r="E707" s="88">
        <v>3.09</v>
      </c>
      <c r="F707" s="1663"/>
      <c r="G707" s="1663"/>
      <c r="H707" s="1663"/>
      <c r="I707" s="105"/>
      <c r="J707" s="105"/>
      <c r="K707" s="1042">
        <v>3.09</v>
      </c>
      <c r="L707" s="105"/>
      <c r="M707" s="105"/>
      <c r="N707" s="105"/>
      <c r="O707" s="105"/>
      <c r="P707" s="105"/>
      <c r="Q707" s="105"/>
      <c r="R707" s="105"/>
      <c r="S707" s="105"/>
      <c r="T707" s="105"/>
      <c r="U707" s="105"/>
      <c r="V707" s="105"/>
      <c r="W707" s="119"/>
    </row>
    <row r="708" spans="1:77" s="16" customFormat="1">
      <c r="B708"/>
      <c r="C708" s="2959" t="s">
        <v>1278</v>
      </c>
      <c r="D708" s="2968">
        <f t="shared" ref="D708:E708" si="163">ROUNDUP(D703/D704,0)</f>
        <v>1</v>
      </c>
      <c r="E708" s="2957">
        <f t="shared" si="163"/>
        <v>1</v>
      </c>
      <c r="F708" s="1663"/>
      <c r="G708" s="1663"/>
      <c r="H708" s="1663"/>
      <c r="I708" s="105"/>
      <c r="J708" s="105"/>
      <c r="K708" s="2960">
        <f t="shared" ref="K708" si="164">ROUNDUP(K703/K704,0)</f>
        <v>1</v>
      </c>
      <c r="L708" s="105"/>
      <c r="M708" s="105"/>
      <c r="N708" s="105"/>
      <c r="O708" s="105"/>
      <c r="P708" s="105"/>
      <c r="Q708" s="105"/>
      <c r="R708" s="105"/>
      <c r="S708" s="105"/>
      <c r="T708" s="105"/>
      <c r="U708" s="105"/>
      <c r="V708" s="105"/>
      <c r="W708" s="119"/>
    </row>
    <row r="709" spans="1:77" s="16" customFormat="1">
      <c r="B709"/>
      <c r="C709" s="2955" t="s">
        <v>301</v>
      </c>
      <c r="D709" s="2970">
        <v>71000</v>
      </c>
      <c r="E709" s="108"/>
      <c r="F709" s="1663"/>
      <c r="G709" s="1663"/>
      <c r="H709" s="1663"/>
      <c r="I709" s="105"/>
      <c r="J709" s="105"/>
      <c r="K709" s="1043">
        <v>71000</v>
      </c>
      <c r="L709" s="105"/>
      <c r="M709" s="105"/>
      <c r="N709" s="105"/>
      <c r="O709" s="105"/>
      <c r="P709" s="105"/>
      <c r="Q709" s="105"/>
      <c r="R709" s="105"/>
      <c r="S709" s="105"/>
      <c r="T709" s="105"/>
      <c r="U709" s="105"/>
      <c r="V709" s="105"/>
      <c r="W709" s="119"/>
    </row>
    <row r="710" spans="1:77" s="16" customFormat="1">
      <c r="B710"/>
      <c r="C710" s="2956" t="s">
        <v>515</v>
      </c>
      <c r="D710" s="2966">
        <v>35</v>
      </c>
      <c r="E710" s="88">
        <v>3.59</v>
      </c>
      <c r="F710" s="1663"/>
      <c r="G710" s="1663"/>
      <c r="H710" s="1663"/>
      <c r="I710" s="105"/>
      <c r="J710" s="105"/>
      <c r="K710" s="1042">
        <v>35</v>
      </c>
      <c r="L710" s="105"/>
      <c r="M710" s="105"/>
      <c r="N710" s="105"/>
      <c r="O710" s="105"/>
      <c r="P710" s="105"/>
      <c r="Q710" s="105"/>
      <c r="R710" s="105"/>
      <c r="S710" s="105"/>
      <c r="T710" s="105"/>
      <c r="U710" s="105"/>
      <c r="V710" s="105"/>
      <c r="W710" s="119"/>
    </row>
    <row r="711" spans="1:77" s="16" customFormat="1">
      <c r="B711"/>
      <c r="C711" s="2958" t="s">
        <v>1275</v>
      </c>
      <c r="D711" s="2966">
        <v>1.26</v>
      </c>
      <c r="E711" s="88">
        <v>1.26</v>
      </c>
      <c r="F711" s="1663"/>
      <c r="G711" s="1663"/>
      <c r="H711" s="1663"/>
      <c r="I711" s="105"/>
      <c r="J711" s="105"/>
      <c r="K711" s="1042">
        <v>1.26</v>
      </c>
      <c r="L711" s="105"/>
      <c r="M711" s="105"/>
      <c r="N711" s="105"/>
      <c r="O711" s="105"/>
      <c r="P711" s="105"/>
      <c r="Q711" s="105"/>
      <c r="R711" s="105"/>
      <c r="S711" s="105"/>
      <c r="T711" s="105"/>
      <c r="U711" s="105"/>
      <c r="V711" s="105"/>
      <c r="W711" s="119"/>
    </row>
    <row r="712" spans="1:77" s="16" customFormat="1" ht="18.5">
      <c r="B712"/>
      <c r="C712" s="2950" t="s">
        <v>1322</v>
      </c>
      <c r="D712" s="2951">
        <f>D708*D705*(D706/100)*(D710/D709)*D711</f>
        <v>6.6535098591549297E-2</v>
      </c>
      <c r="E712" s="2952">
        <f>E708*E705*(E706/100)*(E707/1000)/E710*E711</f>
        <v>0.11617298272980502</v>
      </c>
      <c r="F712" s="1663"/>
      <c r="G712" s="1663"/>
      <c r="H712" s="1663"/>
      <c r="I712" s="105"/>
      <c r="J712" s="105"/>
      <c r="K712" s="2951">
        <f>K708*K705*(K706/100)*(K710/K709)*K711</f>
        <v>3.2298591549295777E-3</v>
      </c>
      <c r="L712" s="105"/>
      <c r="M712" s="105"/>
      <c r="N712" s="105"/>
      <c r="O712" s="105"/>
      <c r="P712" s="105"/>
      <c r="Q712" s="105"/>
      <c r="R712" s="105"/>
      <c r="S712" s="105"/>
      <c r="T712" s="105"/>
      <c r="U712" s="105"/>
      <c r="V712" s="105"/>
      <c r="W712" s="119"/>
    </row>
    <row r="713" spans="1:77" s="16" customFormat="1" ht="37">
      <c r="B713"/>
      <c r="C713" s="2947" t="s">
        <v>1323</v>
      </c>
      <c r="D713" s="3291"/>
      <c r="E713" s="2948"/>
      <c r="F713" s="1663"/>
      <c r="G713" s="1663"/>
      <c r="H713" s="1663"/>
      <c r="I713" s="105"/>
      <c r="J713" s="105"/>
      <c r="K713" s="105"/>
      <c r="L713" s="105"/>
      <c r="M713" s="105"/>
      <c r="N713" s="105"/>
      <c r="O713" s="105"/>
      <c r="P713" s="105"/>
      <c r="Q713" s="105"/>
      <c r="R713" s="105"/>
      <c r="S713" s="105"/>
      <c r="T713" s="105"/>
      <c r="U713" s="105"/>
      <c r="V713" s="105"/>
      <c r="W713" s="119"/>
    </row>
    <row r="714" spans="1:77" s="16" customFormat="1">
      <c r="B714"/>
      <c r="C714" s="2949" t="s">
        <v>1325</v>
      </c>
      <c r="D714" s="2973"/>
      <c r="E714" s="2920"/>
      <c r="F714" s="1663"/>
      <c r="G714" s="1663"/>
      <c r="H714" s="1663"/>
      <c r="I714" s="105"/>
      <c r="J714" s="105"/>
      <c r="K714" s="105"/>
      <c r="L714" s="105"/>
      <c r="M714" s="105"/>
      <c r="N714" s="105"/>
      <c r="O714" s="105"/>
      <c r="P714" s="105"/>
      <c r="Q714" s="105"/>
      <c r="R714" s="105"/>
      <c r="S714" s="105"/>
      <c r="T714" s="105"/>
      <c r="U714" s="105"/>
      <c r="V714" s="105"/>
      <c r="W714" s="119"/>
    </row>
    <row r="715" spans="1:77" s="16" customFormat="1" ht="18.5">
      <c r="B715" s="2946"/>
      <c r="C715" s="2945"/>
      <c r="D715" s="2976"/>
      <c r="F715" s="1663"/>
      <c r="G715" s="1663"/>
      <c r="H715" s="1663"/>
      <c r="I715" s="105"/>
      <c r="J715" s="105"/>
      <c r="K715" s="105"/>
      <c r="L715" s="105"/>
      <c r="M715" s="105"/>
      <c r="N715" s="105"/>
      <c r="O715" s="105"/>
      <c r="P715" s="105"/>
      <c r="Q715" s="105"/>
      <c r="R715" s="105"/>
      <c r="S715" s="105"/>
      <c r="T715" s="105"/>
      <c r="U715" s="105"/>
      <c r="V715" s="105"/>
      <c r="W715" s="119"/>
    </row>
    <row r="716" spans="1:77" ht="18.5">
      <c r="A716"/>
      <c r="B716" s="2946"/>
      <c r="C716" s="2945"/>
      <c r="D716" s="2976"/>
      <c r="E716" s="16"/>
      <c r="V716" s="28"/>
      <c r="W716" s="118"/>
      <c r="BY716" s="16"/>
    </row>
    <row r="717" spans="1:77" ht="18.5">
      <c r="A717"/>
      <c r="B717" s="2946"/>
      <c r="C717" s="2945"/>
      <c r="D717" s="2976"/>
      <c r="E717" s="16"/>
      <c r="V717" s="28"/>
      <c r="W717" s="118"/>
      <c r="BY717" s="16"/>
    </row>
    <row r="718" spans="1:77" ht="15.5">
      <c r="A718"/>
      <c r="B718"/>
      <c r="C718"/>
      <c r="D718" s="3289" t="s">
        <v>3129</v>
      </c>
      <c r="E718" s="2801"/>
      <c r="K718" s="2990" t="s">
        <v>3131</v>
      </c>
      <c r="V718" s="28"/>
      <c r="W718" s="118"/>
      <c r="BY718" s="16"/>
    </row>
    <row r="719" spans="1:77">
      <c r="A719"/>
      <c r="B719"/>
      <c r="C719"/>
      <c r="D719" s="3290" t="s">
        <v>1280</v>
      </c>
      <c r="E719" s="2762" t="s">
        <v>1281</v>
      </c>
      <c r="K719" s="2992" t="s">
        <v>1280</v>
      </c>
      <c r="V719" s="28"/>
      <c r="W719" s="118"/>
      <c r="BY719" s="16"/>
    </row>
    <row r="720" spans="1:77" ht="15.5">
      <c r="A720"/>
      <c r="B720" s="2953" t="s">
        <v>795</v>
      </c>
      <c r="C720" s="2954" t="s">
        <v>3127</v>
      </c>
      <c r="D720" s="2965">
        <f>F327/1000</f>
        <v>0</v>
      </c>
      <c r="E720" s="2919">
        <f>D720</f>
        <v>0</v>
      </c>
      <c r="K720" s="2991">
        <f>K327/1000</f>
        <v>0</v>
      </c>
      <c r="V720" s="28"/>
      <c r="W720" s="118"/>
      <c r="BY720" s="16"/>
    </row>
    <row r="721" spans="1:77">
      <c r="A721"/>
      <c r="B721"/>
      <c r="C721" s="2954" t="s">
        <v>1318</v>
      </c>
      <c r="D721" s="2966">
        <v>24</v>
      </c>
      <c r="E721" s="88">
        <v>24</v>
      </c>
      <c r="K721" s="1042">
        <v>24</v>
      </c>
      <c r="V721" s="28"/>
      <c r="W721" s="118"/>
      <c r="BY721" s="16"/>
    </row>
    <row r="722" spans="1:77">
      <c r="A722"/>
      <c r="B722"/>
      <c r="C722" s="2954" t="s">
        <v>1319</v>
      </c>
      <c r="D722" s="2966">
        <v>412</v>
      </c>
      <c r="E722" s="1042">
        <v>412</v>
      </c>
      <c r="I722" s="34"/>
      <c r="J722" s="34" t="s">
        <v>3132</v>
      </c>
      <c r="K722" s="1042">
        <v>20</v>
      </c>
      <c r="V722" s="28"/>
      <c r="W722" s="118"/>
      <c r="BY722" s="16"/>
    </row>
    <row r="723" spans="1:77">
      <c r="A723"/>
      <c r="B723"/>
      <c r="C723" s="2954" t="s">
        <v>1320</v>
      </c>
      <c r="D723" s="2966">
        <v>26</v>
      </c>
      <c r="E723" s="88">
        <v>26</v>
      </c>
      <c r="K723" s="1042">
        <v>26</v>
      </c>
      <c r="V723" s="28"/>
      <c r="W723" s="118"/>
      <c r="BY723" s="16"/>
    </row>
    <row r="724" spans="1:77">
      <c r="A724"/>
      <c r="B724"/>
      <c r="C724" s="2954" t="s">
        <v>1321</v>
      </c>
      <c r="D724" s="2966">
        <v>3.09</v>
      </c>
      <c r="E724" s="88">
        <v>3.09</v>
      </c>
      <c r="K724" s="1042">
        <v>3.09</v>
      </c>
      <c r="V724" s="28"/>
      <c r="W724" s="118"/>
      <c r="BY724" s="16"/>
    </row>
    <row r="725" spans="1:77">
      <c r="A725"/>
      <c r="B725"/>
      <c r="C725" s="2959" t="s">
        <v>1278</v>
      </c>
      <c r="D725" s="2968">
        <f t="shared" ref="D725:E725" si="165">ROUNDUP(D720/D721,0)</f>
        <v>0</v>
      </c>
      <c r="E725" s="2957">
        <f t="shared" si="165"/>
        <v>0</v>
      </c>
      <c r="K725" s="2960">
        <f t="shared" ref="K725" si="166">ROUNDUP(K720/K721,0)</f>
        <v>0</v>
      </c>
      <c r="V725" s="28"/>
      <c r="W725" s="118"/>
      <c r="BY725" s="16"/>
    </row>
    <row r="726" spans="1:77">
      <c r="A726"/>
      <c r="B726"/>
      <c r="C726" s="2955" t="s">
        <v>301</v>
      </c>
      <c r="D726" s="2970">
        <v>71000</v>
      </c>
      <c r="E726" s="108"/>
      <c r="K726" s="1043">
        <v>71000</v>
      </c>
      <c r="V726" s="28"/>
      <c r="W726" s="118"/>
      <c r="BY726" s="16"/>
    </row>
    <row r="727" spans="1:77">
      <c r="A727"/>
      <c r="B727"/>
      <c r="C727" s="2956" t="s">
        <v>515</v>
      </c>
      <c r="D727" s="2966">
        <v>35</v>
      </c>
      <c r="E727" s="88">
        <v>3.59</v>
      </c>
      <c r="K727" s="1042">
        <v>35</v>
      </c>
      <c r="V727" s="28"/>
      <c r="W727" s="118"/>
      <c r="BY727" s="16"/>
    </row>
    <row r="728" spans="1:77">
      <c r="A728"/>
      <c r="B728"/>
      <c r="C728" s="2958" t="s">
        <v>1275</v>
      </c>
      <c r="D728" s="2966">
        <v>1.26</v>
      </c>
      <c r="E728" s="88">
        <v>1.26</v>
      </c>
      <c r="K728" s="1042">
        <v>1.26</v>
      </c>
      <c r="V728" s="28"/>
      <c r="W728" s="118"/>
      <c r="BY728" s="16"/>
    </row>
    <row r="729" spans="1:77" ht="18.5">
      <c r="A729"/>
      <c r="B729"/>
      <c r="C729" s="2950" t="s">
        <v>1322</v>
      </c>
      <c r="D729" s="2951">
        <f>D725*D722*(D723/100)*(D727/D726)*D728</f>
        <v>0</v>
      </c>
      <c r="E729" s="2952">
        <f>E725*E722*(E723/100)*(E724/1000)/E727*E728</f>
        <v>0</v>
      </c>
      <c r="K729" s="2951">
        <f>K725*K722*(K723/100)*(K727/K726)*K728</f>
        <v>0</v>
      </c>
      <c r="V729" s="28"/>
      <c r="W729" s="118"/>
      <c r="BY729" s="16"/>
    </row>
    <row r="730" spans="1:77" ht="37">
      <c r="A730"/>
      <c r="B730"/>
      <c r="C730" s="2947" t="s">
        <v>1323</v>
      </c>
      <c r="D730" s="3291"/>
      <c r="E730" s="2948"/>
      <c r="V730" s="28"/>
      <c r="W730" s="118"/>
      <c r="BY730" s="16"/>
    </row>
    <row r="731" spans="1:77">
      <c r="A731"/>
      <c r="B731"/>
      <c r="C731" s="2949" t="s">
        <v>1325</v>
      </c>
      <c r="D731" s="2973"/>
      <c r="E731" s="2920"/>
      <c r="V731" s="28"/>
      <c r="W731" s="118"/>
      <c r="BY731" s="16"/>
    </row>
    <row r="732" spans="1:77" ht="18.5">
      <c r="A732"/>
      <c r="B732" s="2946"/>
      <c r="C732" s="22"/>
      <c r="D732" s="3293"/>
      <c r="E732" s="2944"/>
      <c r="V732" s="28"/>
      <c r="W732" s="118"/>
      <c r="BY732" s="16"/>
    </row>
    <row r="733" spans="1:77" ht="18.5">
      <c r="A733"/>
      <c r="B733" s="2946"/>
      <c r="C733" s="22"/>
      <c r="D733" s="3293"/>
      <c r="E733" s="2944"/>
      <c r="V733" s="28"/>
      <c r="W733" s="118"/>
      <c r="BY733" s="16"/>
    </row>
    <row r="734" spans="1:77" ht="18.5">
      <c r="A734"/>
      <c r="B734" s="2946"/>
      <c r="C734" s="22"/>
      <c r="D734" s="3293"/>
      <c r="E734" s="2944"/>
      <c r="V734" s="28"/>
      <c r="W734" s="118"/>
      <c r="BY734" s="16"/>
    </row>
    <row r="735" spans="1:77" ht="15.5">
      <c r="A735"/>
      <c r="B735"/>
      <c r="C735"/>
      <c r="D735" s="3289" t="s">
        <v>3129</v>
      </c>
      <c r="E735" s="2801"/>
      <c r="K735" s="2990" t="s">
        <v>3131</v>
      </c>
      <c r="V735" s="28"/>
      <c r="W735" s="118"/>
      <c r="BY735" s="16"/>
    </row>
    <row r="736" spans="1:77">
      <c r="A736"/>
      <c r="B736"/>
      <c r="C736"/>
      <c r="D736" s="3290" t="s">
        <v>1280</v>
      </c>
      <c r="E736" s="2762" t="s">
        <v>1281</v>
      </c>
      <c r="K736" s="2992" t="s">
        <v>1280</v>
      </c>
      <c r="V736" s="28"/>
      <c r="W736" s="118"/>
      <c r="BY736" s="16"/>
    </row>
    <row r="737" spans="1:77" ht="15.5">
      <c r="A737"/>
      <c r="B737" s="2953" t="s">
        <v>2905</v>
      </c>
      <c r="C737" s="2954" t="s">
        <v>3127</v>
      </c>
      <c r="D737" s="2965">
        <f>F331/1000</f>
        <v>0</v>
      </c>
      <c r="E737" s="2919">
        <f>D737</f>
        <v>0</v>
      </c>
      <c r="K737" s="2991">
        <f>K330/1000</f>
        <v>0</v>
      </c>
      <c r="V737" s="28"/>
      <c r="W737" s="118"/>
      <c r="BY737" s="16"/>
    </row>
    <row r="738" spans="1:77">
      <c r="A738"/>
      <c r="B738"/>
      <c r="C738" s="2954" t="s">
        <v>1318</v>
      </c>
      <c r="D738" s="2966">
        <v>24</v>
      </c>
      <c r="E738" s="88">
        <v>24</v>
      </c>
      <c r="K738" s="1042">
        <v>24</v>
      </c>
      <c r="V738" s="28"/>
      <c r="W738" s="118"/>
      <c r="BY738" s="16"/>
    </row>
    <row r="739" spans="1:77">
      <c r="A739"/>
      <c r="B739"/>
      <c r="C739" s="2954" t="s">
        <v>1319</v>
      </c>
      <c r="D739" s="2966">
        <v>412</v>
      </c>
      <c r="E739" s="1042">
        <v>412</v>
      </c>
      <c r="I739" s="34"/>
      <c r="J739" s="34" t="s">
        <v>3132</v>
      </c>
      <c r="K739" s="1042">
        <v>20</v>
      </c>
      <c r="V739" s="28"/>
      <c r="W739" s="118"/>
      <c r="BY739" s="16"/>
    </row>
    <row r="740" spans="1:77">
      <c r="A740"/>
      <c r="B740"/>
      <c r="C740" s="2954" t="s">
        <v>1320</v>
      </c>
      <c r="D740" s="2966">
        <v>26</v>
      </c>
      <c r="E740" s="88">
        <v>26</v>
      </c>
      <c r="K740" s="1042">
        <v>26</v>
      </c>
      <c r="V740" s="28"/>
      <c r="W740" s="118"/>
      <c r="BY740" s="16"/>
    </row>
    <row r="741" spans="1:77">
      <c r="A741"/>
      <c r="B741"/>
      <c r="C741" s="2954" t="s">
        <v>1321</v>
      </c>
      <c r="D741" s="2966">
        <v>3.09</v>
      </c>
      <c r="E741" s="88">
        <v>3.09</v>
      </c>
      <c r="K741" s="1042">
        <v>3.09</v>
      </c>
      <c r="V741" s="28"/>
      <c r="W741" s="118"/>
      <c r="BY741" s="16"/>
    </row>
    <row r="742" spans="1:77">
      <c r="A742"/>
      <c r="B742"/>
      <c r="C742" s="2959" t="s">
        <v>1278</v>
      </c>
      <c r="D742" s="2968">
        <f t="shared" ref="D742:E742" si="167">ROUNDUP(D737/D738,0)</f>
        <v>0</v>
      </c>
      <c r="E742" s="2957">
        <f t="shared" si="167"/>
        <v>0</v>
      </c>
      <c r="K742" s="2960">
        <f t="shared" ref="K742" si="168">ROUNDUP(K737/K738,0)</f>
        <v>0</v>
      </c>
      <c r="V742" s="28"/>
      <c r="W742" s="118"/>
      <c r="BY742" s="16"/>
    </row>
    <row r="743" spans="1:77">
      <c r="A743"/>
      <c r="B743"/>
      <c r="C743" s="2955" t="s">
        <v>301</v>
      </c>
      <c r="D743" s="2970">
        <v>71000</v>
      </c>
      <c r="E743" s="108"/>
      <c r="K743" s="1043">
        <v>71000</v>
      </c>
      <c r="V743" s="28"/>
      <c r="W743" s="118"/>
      <c r="BY743" s="16"/>
    </row>
    <row r="744" spans="1:77">
      <c r="A744"/>
      <c r="B744"/>
      <c r="C744" s="2956" t="s">
        <v>515</v>
      </c>
      <c r="D744" s="2966">
        <v>35</v>
      </c>
      <c r="E744" s="88">
        <v>3.59</v>
      </c>
      <c r="K744" s="1042">
        <v>35</v>
      </c>
      <c r="V744" s="28"/>
      <c r="W744" s="118"/>
      <c r="BY744" s="16"/>
    </row>
    <row r="745" spans="1:77">
      <c r="A745"/>
      <c r="B745"/>
      <c r="C745" s="2958" t="s">
        <v>1275</v>
      </c>
      <c r="D745" s="2966">
        <v>1.26</v>
      </c>
      <c r="E745" s="88">
        <v>1.26</v>
      </c>
      <c r="K745" s="1042">
        <v>1.26</v>
      </c>
      <c r="V745" s="28"/>
      <c r="W745" s="118"/>
      <c r="BY745" s="16"/>
    </row>
    <row r="746" spans="1:77" ht="18.5">
      <c r="A746"/>
      <c r="B746"/>
      <c r="C746" s="2950" t="s">
        <v>1322</v>
      </c>
      <c r="D746" s="2951">
        <f>D742*D739*(D740/100)*(D744/D743)*D745</f>
        <v>0</v>
      </c>
      <c r="E746" s="2952">
        <f>E742*E739*(E740/100)*(E741/1000)/E744*E745</f>
        <v>0</v>
      </c>
      <c r="K746" s="2951">
        <f>K742*K739*(K740/100)*(K744/K743)*K745</f>
        <v>0</v>
      </c>
      <c r="V746" s="28"/>
      <c r="W746" s="118"/>
      <c r="BY746" s="16"/>
    </row>
    <row r="747" spans="1:77" ht="37">
      <c r="A747"/>
      <c r="B747"/>
      <c r="C747" s="2947" t="s">
        <v>1323</v>
      </c>
      <c r="D747" s="3291"/>
      <c r="E747" s="2948"/>
      <c r="V747" s="28"/>
      <c r="W747" s="118"/>
      <c r="BY747" s="16"/>
    </row>
    <row r="748" spans="1:77">
      <c r="A748"/>
      <c r="B748"/>
      <c r="C748" s="2949" t="s">
        <v>1325</v>
      </c>
      <c r="D748" s="2973"/>
      <c r="E748" s="2920"/>
      <c r="V748" s="28"/>
      <c r="W748" s="118"/>
      <c r="BY748" s="16"/>
    </row>
    <row r="749" spans="1:77" ht="18.5">
      <c r="A749"/>
      <c r="B749" s="2946"/>
      <c r="C749" s="22"/>
      <c r="D749" s="3293"/>
      <c r="E749" s="2944"/>
      <c r="V749" s="28"/>
      <c r="W749" s="118"/>
      <c r="BY749" s="16"/>
    </row>
    <row r="750" spans="1:77" ht="18.5">
      <c r="A750"/>
      <c r="B750" s="2946"/>
      <c r="C750" s="22"/>
      <c r="D750" s="3293"/>
      <c r="E750" s="2944"/>
      <c r="V750" s="28"/>
      <c r="W750" s="118"/>
      <c r="BY750" s="16"/>
    </row>
    <row r="751" spans="1:77" ht="18.5">
      <c r="A751"/>
      <c r="B751" s="2946"/>
      <c r="C751" s="22"/>
      <c r="D751" s="3293"/>
      <c r="E751" s="2944"/>
      <c r="V751" s="28"/>
      <c r="W751" s="118"/>
      <c r="BY751" s="16"/>
    </row>
    <row r="752" spans="1:77" ht="15.5">
      <c r="A752"/>
      <c r="B752"/>
      <c r="C752"/>
      <c r="D752" s="3289" t="s">
        <v>3129</v>
      </c>
      <c r="E752" s="2801"/>
      <c r="K752" s="2990" t="s">
        <v>3131</v>
      </c>
      <c r="V752" s="28"/>
      <c r="W752" s="118"/>
      <c r="BY752" s="16"/>
    </row>
    <row r="753" spans="1:77">
      <c r="A753"/>
      <c r="B753"/>
      <c r="C753"/>
      <c r="D753" s="3290" t="s">
        <v>1280</v>
      </c>
      <c r="E753" s="2762" t="s">
        <v>1281</v>
      </c>
      <c r="K753" s="2992" t="s">
        <v>1280</v>
      </c>
      <c r="V753" s="28"/>
      <c r="W753" s="118"/>
      <c r="BY753" s="16"/>
    </row>
    <row r="754" spans="1:77" ht="15.5">
      <c r="A754"/>
      <c r="B754" s="2953" t="s">
        <v>2903</v>
      </c>
      <c r="C754" s="2954" t="s">
        <v>3127</v>
      </c>
      <c r="D754" s="2965">
        <f>F350/1000</f>
        <v>36.942882620748527</v>
      </c>
      <c r="E754" s="2919">
        <f>D754</f>
        <v>36.942882620748527</v>
      </c>
      <c r="K754" s="2991">
        <f>K350/1000</f>
        <v>38.790026751785945</v>
      </c>
      <c r="V754" s="28"/>
      <c r="W754" s="118"/>
      <c r="BY754" s="16"/>
    </row>
    <row r="755" spans="1:77">
      <c r="A755"/>
      <c r="B755"/>
      <c r="C755" s="2954" t="s">
        <v>1318</v>
      </c>
      <c r="D755" s="2966">
        <v>24</v>
      </c>
      <c r="E755" s="88">
        <v>24</v>
      </c>
      <c r="K755" s="1042">
        <v>24</v>
      </c>
      <c r="V755" s="28"/>
      <c r="W755" s="118"/>
      <c r="BY755" s="16"/>
    </row>
    <row r="756" spans="1:77">
      <c r="A756"/>
      <c r="B756"/>
      <c r="C756" s="2954" t="s">
        <v>1319</v>
      </c>
      <c r="D756" s="2966">
        <v>412</v>
      </c>
      <c r="E756" s="1042">
        <v>412</v>
      </c>
      <c r="I756" s="34"/>
      <c r="J756" s="34" t="s">
        <v>3132</v>
      </c>
      <c r="K756" s="1042">
        <v>20</v>
      </c>
      <c r="V756" s="28"/>
      <c r="W756" s="118"/>
      <c r="BY756" s="16"/>
    </row>
    <row r="757" spans="1:77">
      <c r="A757"/>
      <c r="B757"/>
      <c r="C757" s="2954" t="s">
        <v>1320</v>
      </c>
      <c r="D757" s="2966">
        <v>26</v>
      </c>
      <c r="E757" s="88">
        <v>26</v>
      </c>
      <c r="K757" s="1042">
        <v>26</v>
      </c>
      <c r="V757" s="28"/>
      <c r="W757" s="118"/>
      <c r="BY757" s="16"/>
    </row>
    <row r="758" spans="1:77">
      <c r="A758"/>
      <c r="B758"/>
      <c r="C758" s="2954" t="s">
        <v>1321</v>
      </c>
      <c r="D758" s="2966">
        <v>3.09</v>
      </c>
      <c r="E758" s="88">
        <v>3.09</v>
      </c>
      <c r="K758" s="1042">
        <v>3.09</v>
      </c>
      <c r="V758" s="28"/>
      <c r="W758" s="118"/>
      <c r="BY758" s="16"/>
    </row>
    <row r="759" spans="1:77">
      <c r="A759"/>
      <c r="B759"/>
      <c r="C759" s="2959" t="s">
        <v>1278</v>
      </c>
      <c r="D759" s="2968">
        <f t="shared" ref="D759:E759" si="169">ROUNDUP(D754/D755,0)</f>
        <v>2</v>
      </c>
      <c r="E759" s="2957">
        <f t="shared" si="169"/>
        <v>2</v>
      </c>
      <c r="K759" s="2960">
        <f t="shared" ref="K759" si="170">ROUNDUP(K754/K755,0)</f>
        <v>2</v>
      </c>
      <c r="V759" s="28"/>
      <c r="W759" s="118"/>
      <c r="BY759" s="16"/>
    </row>
    <row r="760" spans="1:77">
      <c r="A760"/>
      <c r="B760"/>
      <c r="C760" s="2955" t="s">
        <v>301</v>
      </c>
      <c r="D760" s="2970">
        <v>71000</v>
      </c>
      <c r="E760" s="108"/>
      <c r="K760" s="1043">
        <v>71000</v>
      </c>
      <c r="V760" s="28"/>
      <c r="W760" s="118"/>
      <c r="BY760" s="16"/>
    </row>
    <row r="761" spans="1:77">
      <c r="A761"/>
      <c r="B761"/>
      <c r="C761" s="2956" t="s">
        <v>515</v>
      </c>
      <c r="D761" s="2966">
        <v>35</v>
      </c>
      <c r="E761" s="88">
        <v>3.59</v>
      </c>
      <c r="K761" s="1042">
        <v>35</v>
      </c>
      <c r="V761" s="28"/>
      <c r="W761" s="118"/>
      <c r="BY761" s="16"/>
    </row>
    <row r="762" spans="1:77">
      <c r="A762"/>
      <c r="B762"/>
      <c r="C762" s="2958" t="s">
        <v>1275</v>
      </c>
      <c r="D762" s="2966">
        <v>1.26</v>
      </c>
      <c r="E762" s="88">
        <v>1.26</v>
      </c>
      <c r="K762" s="1042">
        <v>1.26</v>
      </c>
      <c r="V762" s="28"/>
      <c r="W762" s="118"/>
      <c r="BY762" s="16"/>
    </row>
    <row r="763" spans="1:77" ht="18.5">
      <c r="A763"/>
      <c r="B763"/>
      <c r="C763" s="2950" t="s">
        <v>1322</v>
      </c>
      <c r="D763" s="2951">
        <f>D759*D756*(D757/100)*(D761/D760)*D762</f>
        <v>0.13307019718309859</v>
      </c>
      <c r="E763" s="2952">
        <f>E759*E756*(E757/100)*(E758/1000)/E761*E762</f>
        <v>0.23234596545961003</v>
      </c>
      <c r="K763" s="2951">
        <f>K759*K756*(K757/100)*(K761/K760)*K762</f>
        <v>6.4597183098591554E-3</v>
      </c>
      <c r="V763" s="28"/>
      <c r="W763" s="118"/>
      <c r="BY763" s="16"/>
    </row>
    <row r="764" spans="1:77" ht="37">
      <c r="A764"/>
      <c r="B764"/>
      <c r="C764" s="2947" t="s">
        <v>1323</v>
      </c>
      <c r="D764" s="3291"/>
      <c r="E764" s="2948"/>
      <c r="V764" s="28"/>
      <c r="W764" s="118"/>
      <c r="BY764" s="16"/>
    </row>
    <row r="765" spans="1:77">
      <c r="A765"/>
      <c r="B765"/>
      <c r="C765" s="2949" t="s">
        <v>1325</v>
      </c>
      <c r="D765" s="2973"/>
      <c r="E765" s="2920"/>
      <c r="V765" s="28"/>
      <c r="W765" s="118"/>
      <c r="BY765" s="16"/>
    </row>
    <row r="766" spans="1:77" ht="19" thickBot="1">
      <c r="A766"/>
      <c r="B766" s="2946"/>
      <c r="C766"/>
      <c r="V766" s="28"/>
      <c r="W766" s="118"/>
      <c r="BY766" s="16"/>
    </row>
    <row r="767" spans="1:77" ht="19" thickBot="1">
      <c r="A767"/>
      <c r="B767" s="2981" t="s">
        <v>705</v>
      </c>
      <c r="C767" s="2979" t="s">
        <v>1278</v>
      </c>
      <c r="D767" s="3294">
        <f>D362+D378+D394+D410+D425+D441+D456+D472+D487+D502+D518+D534+D549+D565+D581+D597+D613+D628+D644+D660+D676+D691+D708+D725+D742+D759</f>
        <v>13</v>
      </c>
      <c r="E767" s="2980"/>
      <c r="K767" s="2993">
        <f>K362+K378+K394+K410+K425+K441+K456+K472+K487+K502+K518+K534+K549+K564+K581+K597+K613+K628+K644+K660+K676+K691+K708+K725+K742+K759</f>
        <v>13</v>
      </c>
      <c r="V767" s="28"/>
      <c r="W767" s="118"/>
      <c r="BY767" s="16"/>
    </row>
    <row r="768" spans="1:77" ht="15" thickBot="1">
      <c r="A768"/>
      <c r="B768"/>
      <c r="C768"/>
      <c r="K768" s="40"/>
      <c r="V768" s="28"/>
      <c r="W768" s="118"/>
      <c r="BY768" s="16"/>
    </row>
    <row r="769" spans="1:77" ht="21.5" thickBot="1">
      <c r="A769"/>
      <c r="B769"/>
      <c r="C769" s="2961" t="s">
        <v>1322</v>
      </c>
      <c r="D769" s="3295">
        <f>D763+D746+D729+D712+D695+D680+D664+D648+D632+D617+D601+D585+D569+D553+D538+D522+D506+D491+D476+D460+D445+D429+D414+D398+D382+D366</f>
        <v>0.7037863098591548</v>
      </c>
      <c r="E769" s="2962">
        <f>E680+E664+E648+E632+E617+E601+E585+E569+E553+E538+E522+E506+E491+E476+E460+E445+E429+E414+E398+E382+E366</f>
        <v>0.99085403231197766</v>
      </c>
      <c r="K769" s="2962">
        <f>K763+K746+K729+K712+K695+K680+K664+K648+K632+K617+K601+K585+K568+K553+K538+K522+K506+K491+K476+K460+K445+K429+K414+K398+K382+K366</f>
        <v>4.198816901408451E-2</v>
      </c>
      <c r="V769" s="28"/>
      <c r="W769" s="118"/>
      <c r="BY769" s="16"/>
    </row>
    <row r="770" spans="1:77" ht="21.5" thickBot="1">
      <c r="A770"/>
      <c r="B770"/>
      <c r="C770" s="2327"/>
      <c r="D770" s="3296"/>
      <c r="E770" s="2921"/>
      <c r="K770" s="2921"/>
      <c r="V770" s="28"/>
      <c r="W770" s="118"/>
      <c r="BY770" s="16"/>
    </row>
    <row r="771" spans="1:77" ht="24" thickBot="1">
      <c r="A771"/>
      <c r="B771"/>
      <c r="C771" s="2963" t="s">
        <v>3128</v>
      </c>
      <c r="D771" s="3297">
        <f>D769/$AV$8*100</f>
        <v>1.4879902461689833</v>
      </c>
      <c r="E771" s="2978" t="s">
        <v>3130</v>
      </c>
      <c r="K771" s="2964">
        <f>K769/$AV$8*100</f>
        <v>8.8774085361160118E-2</v>
      </c>
      <c r="V771" s="28"/>
      <c r="W771" s="118"/>
      <c r="BY771" s="16"/>
    </row>
    <row r="772" spans="1:77">
      <c r="A772"/>
      <c r="B772"/>
      <c r="C772"/>
      <c r="V772" s="28"/>
      <c r="W772" s="118"/>
      <c r="BY772" s="16"/>
    </row>
    <row r="773" spans="1:77">
      <c r="A773"/>
      <c r="B773"/>
      <c r="C773"/>
      <c r="V773" s="28"/>
      <c r="W773" s="118"/>
      <c r="BY773" s="16"/>
    </row>
    <row r="774" spans="1:77">
      <c r="A774"/>
      <c r="B774"/>
      <c r="C774"/>
      <c r="V774" s="28"/>
      <c r="W774" s="118"/>
      <c r="BY774" s="16"/>
    </row>
    <row r="775" spans="1:77">
      <c r="A775"/>
      <c r="B775"/>
      <c r="C775"/>
      <c r="V775" s="28"/>
      <c r="W775" s="118"/>
      <c r="BY775" s="16"/>
    </row>
    <row r="776" spans="1:77">
      <c r="A776"/>
      <c r="B776"/>
      <c r="C776"/>
      <c r="V776" s="28"/>
      <c r="W776" s="118"/>
      <c r="BY776" s="16"/>
    </row>
    <row r="777" spans="1:77">
      <c r="A777"/>
      <c r="B777"/>
      <c r="C777"/>
      <c r="V777" s="28"/>
      <c r="W777" s="118"/>
      <c r="BY777" s="16"/>
    </row>
    <row r="778" spans="1:77">
      <c r="A778"/>
      <c r="B778"/>
      <c r="C778"/>
      <c r="V778" s="28"/>
      <c r="W778" s="118"/>
      <c r="BY778" s="16"/>
    </row>
    <row r="779" spans="1:77">
      <c r="A779"/>
      <c r="B779"/>
      <c r="C779"/>
      <c r="V779" s="28"/>
      <c r="W779" s="118"/>
      <c r="BY779" s="16"/>
    </row>
    <row r="780" spans="1:77">
      <c r="A780"/>
      <c r="B780"/>
      <c r="C780"/>
      <c r="V780" s="28"/>
      <c r="W780" s="118"/>
      <c r="BY780" s="16"/>
    </row>
    <row r="781" spans="1:77">
      <c r="A781"/>
      <c r="B781"/>
      <c r="C781"/>
      <c r="V781" s="28"/>
      <c r="W781" s="118"/>
      <c r="BY781" s="16"/>
    </row>
    <row r="782" spans="1:77">
      <c r="A782"/>
      <c r="B782"/>
      <c r="C782"/>
      <c r="V782" s="28"/>
      <c r="W782" s="118"/>
      <c r="BY782" s="16"/>
    </row>
    <row r="783" spans="1:77">
      <c r="A783"/>
      <c r="B783"/>
      <c r="C783"/>
      <c r="V783" s="28"/>
      <c r="W783" s="118"/>
      <c r="BY783" s="16"/>
    </row>
    <row r="784" spans="1:77">
      <c r="A784"/>
      <c r="B784"/>
      <c r="C784"/>
      <c r="V784" s="28"/>
      <c r="W784" s="118"/>
      <c r="BY784" s="16"/>
    </row>
    <row r="785" spans="1:77">
      <c r="A785"/>
      <c r="B785"/>
      <c r="C785"/>
      <c r="V785" s="28"/>
      <c r="W785" s="118"/>
      <c r="BY785" s="16"/>
    </row>
    <row r="786" spans="1:77">
      <c r="A786"/>
      <c r="B786"/>
      <c r="C786"/>
      <c r="V786" s="28"/>
      <c r="W786" s="118"/>
      <c r="BY786" s="16"/>
    </row>
    <row r="787" spans="1:77">
      <c r="A787"/>
      <c r="B787"/>
      <c r="C787"/>
      <c r="V787" s="28"/>
      <c r="W787" s="118"/>
      <c r="BY787" s="16"/>
    </row>
    <row r="788" spans="1:77">
      <c r="A788"/>
      <c r="B788"/>
    </row>
    <row r="789" spans="1:77">
      <c r="A789"/>
      <c r="B789"/>
    </row>
    <row r="790" spans="1:77">
      <c r="A790"/>
      <c r="B790"/>
    </row>
    <row r="791" spans="1:77">
      <c r="A791"/>
      <c r="B791"/>
    </row>
    <row r="792" spans="1:77">
      <c r="A792"/>
      <c r="B792"/>
    </row>
    <row r="793" spans="1:77">
      <c r="A793"/>
      <c r="B793"/>
    </row>
    <row r="794" spans="1:77">
      <c r="A794"/>
      <c r="B794"/>
    </row>
    <row r="795" spans="1:77">
      <c r="A795"/>
      <c r="B795"/>
    </row>
    <row r="796" spans="1:77">
      <c r="A796"/>
      <c r="B796"/>
    </row>
    <row r="797" spans="1:77">
      <c r="A797"/>
      <c r="B797"/>
    </row>
    <row r="798" spans="1:77">
      <c r="A798"/>
      <c r="B798"/>
    </row>
    <row r="799" spans="1:77">
      <c r="A799"/>
      <c r="B799"/>
    </row>
    <row r="800" spans="1:77">
      <c r="A800"/>
      <c r="B800"/>
    </row>
    <row r="801" spans="1:2">
      <c r="A801"/>
      <c r="B801"/>
    </row>
    <row r="802" spans="1:2">
      <c r="A802"/>
      <c r="B802"/>
    </row>
    <row r="803" spans="1:2">
      <c r="A803"/>
      <c r="B803"/>
    </row>
  </sheetData>
  <mergeCells count="11">
    <mergeCell ref="D371:E371"/>
    <mergeCell ref="C1:Y1"/>
    <mergeCell ref="AU27:AV27"/>
    <mergeCell ref="AX310:AY310"/>
    <mergeCell ref="AZ310:BA310"/>
    <mergeCell ref="R370:S370"/>
    <mergeCell ref="BB310:BC310"/>
    <mergeCell ref="BD310:BE310"/>
    <mergeCell ref="BF310:BG310"/>
    <mergeCell ref="BH310:BI310"/>
    <mergeCell ref="BJ310:BK310"/>
  </mergeCells>
  <printOptions horizontalCentered="1" verticalCentered="1"/>
  <pageMargins left="0.11811023622047245" right="0.11811023622047245" top="0.15748031496062992" bottom="0.15748031496062992" header="0.31496062992125984" footer="0.31496062992125984"/>
  <pageSetup paperSize="9" scale="60" orientation="portrait" r:id="rId1"/>
  <colBreaks count="1" manualBreakCount="1">
    <brk id="25" min="1" max="183"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topLeftCell="A46" zoomScale="130" zoomScaleNormal="130" workbookViewId="0">
      <selection activeCell="I30" sqref="I30"/>
    </sheetView>
  </sheetViews>
  <sheetFormatPr defaultColWidth="10.90625" defaultRowHeight="14.5"/>
  <cols>
    <col min="1" max="1" width="17.7265625" customWidth="1"/>
    <col min="2" max="2" width="22.1796875" customWidth="1"/>
    <col min="5" max="5" width="16.1796875" customWidth="1"/>
    <col min="7" max="7" width="18" customWidth="1"/>
    <col min="8" max="8" width="15.81640625" customWidth="1"/>
    <col min="9" max="9" width="61.54296875" bestFit="1" customWidth="1"/>
  </cols>
  <sheetData>
    <row r="1" spans="1:21" ht="21" customHeight="1">
      <c r="A1" s="3032" t="s">
        <v>3150</v>
      </c>
      <c r="D1" t="s">
        <v>3163</v>
      </c>
    </row>
    <row r="2" spans="1:21">
      <c r="A2" s="16" t="s">
        <v>3146</v>
      </c>
      <c r="B2" s="484" t="s">
        <v>3147</v>
      </c>
      <c r="C2" s="16"/>
      <c r="D2" s="16"/>
      <c r="E2" s="16"/>
      <c r="F2" s="16"/>
      <c r="G2" s="16"/>
      <c r="H2" s="16"/>
      <c r="I2" s="16"/>
      <c r="J2" s="16"/>
      <c r="K2" s="16"/>
      <c r="L2" s="16"/>
      <c r="M2" s="16"/>
      <c r="N2" s="16"/>
      <c r="O2" s="16"/>
      <c r="P2" s="16"/>
      <c r="Q2" s="16"/>
      <c r="R2" s="16"/>
      <c r="S2" s="16"/>
      <c r="T2" s="16"/>
      <c r="U2" s="16"/>
    </row>
    <row r="3" spans="1:21" ht="15" customHeight="1">
      <c r="A3" s="16" t="s">
        <v>3148</v>
      </c>
      <c r="B3" s="3031" t="s">
        <v>3149</v>
      </c>
      <c r="C3" s="3019"/>
      <c r="D3" s="3019"/>
      <c r="E3" s="3019"/>
      <c r="F3" s="2832"/>
      <c r="G3" s="3019"/>
      <c r="H3" s="3020"/>
      <c r="I3" s="3020"/>
      <c r="J3" s="3021"/>
      <c r="K3" s="3021"/>
      <c r="L3" s="1635"/>
      <c r="M3" s="1635"/>
      <c r="N3" s="1635"/>
      <c r="O3" s="3022"/>
      <c r="P3" s="3019"/>
      <c r="Q3" s="1641"/>
      <c r="R3" s="1636"/>
      <c r="S3" s="16"/>
      <c r="T3" s="16"/>
      <c r="U3" s="16"/>
    </row>
    <row r="4" spans="1:21" ht="15" customHeight="1">
      <c r="A4" s="16"/>
      <c r="B4" s="3031" t="s">
        <v>3155</v>
      </c>
      <c r="C4" s="3019" t="s">
        <v>3156</v>
      </c>
      <c r="D4" s="3019" t="s">
        <v>3157</v>
      </c>
      <c r="E4" s="3019" t="s">
        <v>3158</v>
      </c>
      <c r="F4" s="3019" t="s">
        <v>3159</v>
      </c>
      <c r="G4" s="3034" t="s">
        <v>3162</v>
      </c>
      <c r="H4" s="3035" t="s">
        <v>3161</v>
      </c>
      <c r="I4" s="3020"/>
      <c r="J4" s="3021"/>
      <c r="K4" s="3021"/>
      <c r="L4" s="1635"/>
      <c r="M4" s="1635"/>
      <c r="N4" s="1635"/>
      <c r="O4" s="3022"/>
      <c r="P4" s="3019"/>
      <c r="Q4" s="1641"/>
      <c r="R4" s="1636"/>
      <c r="S4" s="16"/>
      <c r="T4" s="16"/>
      <c r="U4" s="16"/>
    </row>
    <row r="5" spans="1:21" ht="15" customHeight="1">
      <c r="A5" s="16" t="s">
        <v>3153</v>
      </c>
      <c r="B5" s="3019" t="s">
        <v>3154</v>
      </c>
      <c r="C5" s="3019">
        <v>950</v>
      </c>
      <c r="D5" s="3019">
        <v>3450</v>
      </c>
      <c r="E5" s="3019">
        <v>2750</v>
      </c>
      <c r="F5" s="3006">
        <v>700</v>
      </c>
      <c r="G5" s="3019"/>
      <c r="H5" s="3020"/>
      <c r="I5" s="3020"/>
      <c r="J5" s="3021"/>
      <c r="K5" s="3021"/>
      <c r="L5" s="1635"/>
      <c r="M5" s="1635"/>
      <c r="N5" s="1635"/>
      <c r="O5" s="3022"/>
      <c r="P5" s="3019"/>
      <c r="Q5" s="1641"/>
      <c r="R5" s="1636"/>
      <c r="S5" s="16"/>
      <c r="T5" s="16"/>
      <c r="U5" s="16"/>
    </row>
    <row r="6" spans="1:21" ht="15" customHeight="1">
      <c r="A6" s="16"/>
      <c r="B6" s="3019"/>
      <c r="C6" s="3019"/>
      <c r="D6" s="3019"/>
      <c r="E6" s="3019"/>
      <c r="F6" s="3006"/>
      <c r="G6" s="3019"/>
      <c r="H6" s="3020"/>
      <c r="I6" s="3020"/>
      <c r="J6" s="3021"/>
      <c r="K6" s="3021"/>
      <c r="L6" s="1635"/>
      <c r="M6" s="1635"/>
      <c r="N6" s="1635"/>
      <c r="O6" s="3022"/>
      <c r="P6" s="3019"/>
      <c r="Q6" s="1641"/>
      <c r="R6" s="1636"/>
      <c r="S6" s="16"/>
      <c r="T6" s="16"/>
      <c r="U6" s="16"/>
    </row>
    <row r="7" spans="1:21">
      <c r="A7" s="16"/>
      <c r="B7" s="3019" t="s">
        <v>3142</v>
      </c>
      <c r="C7" s="3019" t="s">
        <v>3126</v>
      </c>
      <c r="D7" s="3019" t="s">
        <v>3130</v>
      </c>
      <c r="E7" s="3019" t="s">
        <v>3152</v>
      </c>
      <c r="F7" s="2832" t="s">
        <v>3144</v>
      </c>
      <c r="G7" s="3037" t="s">
        <v>3151</v>
      </c>
      <c r="H7" s="3020"/>
      <c r="I7" s="3020"/>
      <c r="J7" s="3021"/>
      <c r="K7" s="3021"/>
      <c r="L7" s="3011"/>
      <c r="M7" s="3011"/>
      <c r="N7" s="3011"/>
      <c r="O7" s="3022"/>
      <c r="P7" s="3019"/>
      <c r="Q7" s="1292"/>
      <c r="R7" s="3012"/>
      <c r="S7" s="16"/>
      <c r="T7" s="16"/>
      <c r="U7" s="16"/>
    </row>
    <row r="8" spans="1:21">
      <c r="A8" s="16"/>
      <c r="B8" s="16"/>
      <c r="C8" s="16"/>
      <c r="D8" s="16"/>
      <c r="E8" s="16"/>
      <c r="F8" s="16"/>
      <c r="G8" s="16"/>
      <c r="H8" s="2976"/>
      <c r="I8" s="1173"/>
      <c r="J8" s="1173"/>
      <c r="K8" s="3013"/>
      <c r="L8" s="3011"/>
      <c r="M8" s="3011"/>
      <c r="N8" s="3014"/>
      <c r="O8" s="3015"/>
      <c r="P8" s="1641"/>
      <c r="Q8" s="3016"/>
      <c r="R8" s="3016"/>
      <c r="S8" s="16"/>
      <c r="T8" s="16"/>
      <c r="U8" s="16"/>
    </row>
    <row r="9" spans="1:21">
      <c r="A9" s="3038" t="s">
        <v>3141</v>
      </c>
      <c r="B9" s="16">
        <v>535</v>
      </c>
      <c r="C9" s="16" t="s">
        <v>234</v>
      </c>
      <c r="D9" s="16">
        <v>80</v>
      </c>
      <c r="E9" s="16">
        <f>B9*D9/100</f>
        <v>428</v>
      </c>
      <c r="F9" s="16">
        <v>68.3</v>
      </c>
      <c r="G9" s="3261">
        <f>B9*D9/100*F9</f>
        <v>29232.399999999998</v>
      </c>
      <c r="H9" s="3017"/>
      <c r="I9" s="1295"/>
      <c r="J9" s="1295"/>
      <c r="K9" s="1638"/>
      <c r="L9" s="1561"/>
      <c r="M9" s="1561"/>
      <c r="N9" s="1561"/>
      <c r="O9" s="3008"/>
      <c r="P9" s="1292"/>
      <c r="Q9" s="1292"/>
      <c r="R9" s="1292"/>
      <c r="S9" s="16"/>
      <c r="T9" s="16"/>
      <c r="U9" s="16"/>
    </row>
    <row r="10" spans="1:21">
      <c r="A10" s="3038"/>
      <c r="B10" s="16"/>
      <c r="C10" s="16" t="s">
        <v>232</v>
      </c>
      <c r="D10" s="16">
        <v>20</v>
      </c>
      <c r="E10" s="16">
        <f>B9*D10/100</f>
        <v>107</v>
      </c>
      <c r="F10" s="16">
        <v>125.6</v>
      </c>
      <c r="G10" s="3261">
        <f>B9*D10/100*F10</f>
        <v>13439.199999999999</v>
      </c>
      <c r="H10" s="3017"/>
      <c r="I10" s="1295"/>
      <c r="J10" s="1295"/>
      <c r="K10" s="1638"/>
      <c r="L10" s="1561"/>
      <c r="M10" s="1561"/>
      <c r="N10" s="1561"/>
      <c r="O10" s="3008"/>
      <c r="P10" s="1292"/>
      <c r="Q10" s="1292"/>
      <c r="R10" s="1292"/>
      <c r="S10" s="16"/>
      <c r="T10" s="16"/>
      <c r="U10" s="16"/>
    </row>
    <row r="11" spans="1:21">
      <c r="A11" s="3038" t="s">
        <v>3143</v>
      </c>
      <c r="B11" s="16">
        <f>B9*0.75</f>
        <v>401.25</v>
      </c>
      <c r="C11" s="16" t="s">
        <v>3145</v>
      </c>
      <c r="D11" s="16">
        <v>20</v>
      </c>
      <c r="E11" s="16">
        <f>B11*D11/100</f>
        <v>80.25</v>
      </c>
      <c r="F11" s="16">
        <v>68.3</v>
      </c>
      <c r="G11" s="3261">
        <f>B11*D11/100*F11</f>
        <v>5481.0749999999998</v>
      </c>
      <c r="H11" s="3017"/>
      <c r="I11" s="1295"/>
      <c r="J11" s="1295"/>
      <c r="K11" s="1638"/>
      <c r="L11" s="1561"/>
      <c r="M11" s="1561"/>
      <c r="N11" s="1561"/>
      <c r="O11" s="3008"/>
      <c r="P11" s="1292"/>
      <c r="Q11" s="1292"/>
      <c r="R11" s="1292"/>
      <c r="S11" s="16"/>
      <c r="T11" s="16"/>
      <c r="U11" s="16"/>
    </row>
    <row r="12" spans="1:21">
      <c r="A12" s="3038"/>
      <c r="B12" s="16"/>
      <c r="C12" s="16" t="s">
        <v>233</v>
      </c>
      <c r="D12" s="16">
        <v>80</v>
      </c>
      <c r="E12" s="16">
        <f t="shared" ref="E12" si="0">B11*D12/100</f>
        <v>321</v>
      </c>
      <c r="F12" s="16">
        <v>1E-3</v>
      </c>
      <c r="G12" s="3261">
        <f>B11*D12/100*F12</f>
        <v>0.32100000000000001</v>
      </c>
      <c r="H12" s="3017"/>
      <c r="I12" s="1295"/>
      <c r="J12" s="1295"/>
      <c r="K12" s="1638"/>
      <c r="L12" s="1561"/>
      <c r="M12" s="1561"/>
      <c r="N12" s="1561"/>
      <c r="O12" s="3008"/>
      <c r="P12" s="1292"/>
      <c r="Q12" s="1292"/>
      <c r="R12" s="1292"/>
      <c r="S12" s="16"/>
      <c r="T12" s="16"/>
      <c r="U12" s="16"/>
    </row>
    <row r="13" spans="1:21">
      <c r="A13" s="3038" t="s">
        <v>327</v>
      </c>
      <c r="B13" s="16">
        <f>SUM(B9:B12)</f>
        <v>936.25</v>
      </c>
      <c r="C13" s="16"/>
      <c r="D13" s="16"/>
      <c r="E13" s="16"/>
      <c r="F13" s="16"/>
      <c r="G13" s="3033">
        <f>SUM(G9:G12)</f>
        <v>48152.995999999999</v>
      </c>
      <c r="H13" s="3018"/>
      <c r="I13" s="1462"/>
      <c r="J13" s="1798"/>
      <c r="K13" s="1638"/>
      <c r="L13" s="1561"/>
      <c r="M13" s="1561"/>
      <c r="N13" s="1561"/>
      <c r="O13" s="3008"/>
      <c r="P13" s="1292"/>
      <c r="Q13" s="1292"/>
      <c r="R13" s="1292"/>
      <c r="S13" s="16"/>
      <c r="T13" s="16"/>
      <c r="U13" s="16"/>
    </row>
    <row r="14" spans="1:21">
      <c r="A14" s="16"/>
      <c r="B14" s="16"/>
      <c r="C14" s="16"/>
      <c r="D14" s="16"/>
      <c r="E14" s="16"/>
      <c r="F14" s="16"/>
      <c r="G14" s="16"/>
      <c r="H14" s="3018"/>
      <c r="I14" s="1462"/>
      <c r="J14" s="1638"/>
      <c r="K14" s="1638"/>
      <c r="L14" s="1561"/>
      <c r="M14" s="1561"/>
      <c r="N14" s="1561"/>
      <c r="O14" s="3008"/>
      <c r="P14" s="1292"/>
      <c r="Q14" s="1292"/>
      <c r="R14" s="1292"/>
      <c r="S14" s="16"/>
      <c r="T14" s="16"/>
      <c r="U14" s="16"/>
    </row>
    <row r="15" spans="1:21">
      <c r="A15" s="16"/>
      <c r="B15" s="16"/>
      <c r="C15" s="16"/>
      <c r="D15" s="16"/>
      <c r="E15" s="16"/>
      <c r="F15" s="16"/>
      <c r="G15" s="16"/>
      <c r="H15" s="3018"/>
      <c r="I15" s="1462"/>
      <c r="J15" s="1638"/>
      <c r="K15" s="1638"/>
      <c r="L15" s="1561"/>
      <c r="M15" s="1561"/>
      <c r="N15" s="1561"/>
      <c r="O15" s="3008"/>
      <c r="P15" s="1292"/>
      <c r="Q15" s="1292"/>
      <c r="R15" s="1292"/>
      <c r="S15" s="16"/>
      <c r="T15" s="16"/>
      <c r="U15" s="16"/>
    </row>
    <row r="16" spans="1:21" ht="15" thickBot="1">
      <c r="A16" s="16"/>
      <c r="B16" s="16"/>
      <c r="C16" s="16"/>
      <c r="D16" s="16"/>
      <c r="E16" s="16"/>
      <c r="F16" s="16"/>
      <c r="G16" s="16"/>
      <c r="H16" s="3018"/>
      <c r="I16" s="1462"/>
      <c r="J16" s="1638"/>
      <c r="K16" s="1638"/>
      <c r="L16" s="1561"/>
      <c r="M16" s="1561"/>
      <c r="N16" s="1561"/>
      <c r="O16" s="3008"/>
      <c r="P16" s="1292"/>
      <c r="Q16" s="1292"/>
      <c r="R16" s="1292"/>
      <c r="S16" s="16"/>
      <c r="T16" s="16"/>
      <c r="U16" s="16"/>
    </row>
    <row r="17" spans="1:21">
      <c r="A17" s="3262" t="s">
        <v>3150</v>
      </c>
      <c r="B17" s="565"/>
      <c r="C17" s="565"/>
      <c r="D17" s="565"/>
      <c r="E17" s="565"/>
      <c r="F17" s="565"/>
      <c r="G17" s="565"/>
      <c r="H17" s="3263"/>
      <c r="I17" s="1462"/>
      <c r="J17" s="1638"/>
      <c r="K17" s="1638"/>
      <c r="L17" s="1561"/>
      <c r="M17" s="1561"/>
      <c r="N17" s="1561"/>
      <c r="O17" s="3008"/>
      <c r="P17" s="1292"/>
      <c r="Q17" s="1292"/>
      <c r="R17" s="1292"/>
      <c r="S17" s="16"/>
      <c r="T17" s="16"/>
      <c r="U17" s="16"/>
    </row>
    <row r="18" spans="1:21">
      <c r="A18" s="3264" t="s">
        <v>3146</v>
      </c>
      <c r="B18" s="484">
        <v>950</v>
      </c>
      <c r="C18" s="16" t="s">
        <v>1357</v>
      </c>
      <c r="D18" s="16"/>
      <c r="E18" s="16"/>
      <c r="F18" s="16"/>
      <c r="G18" s="16"/>
      <c r="H18" s="3265"/>
      <c r="I18" s="1462"/>
      <c r="J18" s="1638"/>
      <c r="K18" s="16"/>
      <c r="L18" s="1561"/>
      <c r="M18" s="1561"/>
      <c r="N18" s="1561"/>
      <c r="O18" s="3008"/>
      <c r="P18" s="1292"/>
      <c r="Q18" s="1292"/>
      <c r="R18" s="1292"/>
      <c r="S18" s="16"/>
      <c r="T18" s="16"/>
      <c r="U18" s="16"/>
    </row>
    <row r="19" spans="1:21">
      <c r="A19" s="3264" t="s">
        <v>3148</v>
      </c>
      <c r="B19" s="3031">
        <v>320</v>
      </c>
      <c r="C19" s="3031" t="s">
        <v>1357</v>
      </c>
      <c r="D19" s="3019"/>
      <c r="E19" s="3019"/>
      <c r="F19" s="3193"/>
      <c r="G19" s="3019"/>
      <c r="H19" s="3265"/>
      <c r="I19" s="1462"/>
      <c r="J19" s="1798"/>
      <c r="K19" s="1638"/>
      <c r="L19" s="1561"/>
      <c r="M19" s="1561"/>
      <c r="N19" s="1561"/>
      <c r="O19" s="3008"/>
      <c r="P19" s="1292"/>
      <c r="Q19" s="1292"/>
      <c r="R19" s="1292"/>
      <c r="S19" s="16"/>
      <c r="T19" s="16"/>
      <c r="U19" s="16"/>
    </row>
    <row r="20" spans="1:21">
      <c r="A20" s="3264"/>
      <c r="B20" s="3031" t="s">
        <v>3155</v>
      </c>
      <c r="C20" s="3019" t="s">
        <v>3156</v>
      </c>
      <c r="D20" s="3019" t="s">
        <v>3157</v>
      </c>
      <c r="E20" s="3019" t="s">
        <v>3158</v>
      </c>
      <c r="F20" s="3019" t="s">
        <v>3159</v>
      </c>
      <c r="G20" s="3266">
        <v>57128.26</v>
      </c>
      <c r="H20" s="3267" t="s">
        <v>3161</v>
      </c>
      <c r="I20" s="1462"/>
      <c r="J20" s="1798"/>
      <c r="K20" s="1638"/>
      <c r="L20" s="1561"/>
      <c r="M20" s="1561"/>
      <c r="N20" s="1561"/>
      <c r="O20" s="3008"/>
      <c r="P20" s="1292"/>
      <c r="Q20" s="1292"/>
      <c r="R20" s="1292"/>
      <c r="S20" s="16"/>
      <c r="T20" s="16"/>
      <c r="U20" s="16"/>
    </row>
    <row r="21" spans="1:21">
      <c r="A21" s="3264" t="s">
        <v>3153</v>
      </c>
      <c r="B21" s="3019" t="s">
        <v>3319</v>
      </c>
      <c r="C21" s="3037">
        <v>950</v>
      </c>
      <c r="D21" s="3037">
        <v>3450</v>
      </c>
      <c r="E21" s="3037">
        <v>2750</v>
      </c>
      <c r="F21" s="3037">
        <v>700</v>
      </c>
      <c r="G21" s="3019"/>
      <c r="H21" s="3265"/>
      <c r="I21" s="1462"/>
      <c r="J21" s="1798"/>
      <c r="K21" s="1638"/>
      <c r="L21" s="1561"/>
      <c r="M21" s="1561"/>
      <c r="N21" s="1561"/>
      <c r="O21" s="3008"/>
      <c r="P21" s="1292"/>
      <c r="Q21" s="1292"/>
      <c r="R21" s="1292"/>
      <c r="S21" s="16"/>
      <c r="T21" s="16"/>
      <c r="U21" s="16"/>
    </row>
    <row r="22" spans="1:21">
      <c r="A22" s="3264"/>
      <c r="B22" s="3019"/>
      <c r="C22" s="3019"/>
      <c r="D22" s="3019"/>
      <c r="E22" s="3019"/>
      <c r="F22" s="3193"/>
      <c r="G22" s="3019"/>
      <c r="H22" s="3265"/>
      <c r="I22" s="1462"/>
      <c r="J22" s="1798"/>
      <c r="K22" s="1638"/>
      <c r="L22" s="1561"/>
      <c r="M22" s="1561"/>
      <c r="N22" s="1561"/>
      <c r="O22" s="3008"/>
      <c r="P22" s="1292"/>
      <c r="Q22" s="1292"/>
      <c r="R22" s="1292"/>
      <c r="S22" s="16"/>
      <c r="T22" s="16"/>
      <c r="U22" s="16"/>
    </row>
    <row r="23" spans="1:21">
      <c r="A23" s="3264"/>
      <c r="B23" s="3019" t="s">
        <v>3142</v>
      </c>
      <c r="C23" s="3019" t="s">
        <v>3126</v>
      </c>
      <c r="D23" s="3019" t="s">
        <v>3130</v>
      </c>
      <c r="E23" s="3019" t="s">
        <v>3152</v>
      </c>
      <c r="F23" s="3193" t="s">
        <v>3144</v>
      </c>
      <c r="G23" s="3037" t="s">
        <v>3151</v>
      </c>
      <c r="H23" s="3268"/>
      <c r="I23" s="1173"/>
      <c r="J23" s="1173"/>
      <c r="K23" s="13"/>
      <c r="L23" s="1561"/>
      <c r="M23" s="1561"/>
      <c r="N23" s="16"/>
      <c r="O23" s="16"/>
      <c r="P23" s="13"/>
      <c r="Q23" s="13"/>
      <c r="R23" s="16"/>
      <c r="S23" s="16"/>
      <c r="T23" s="16"/>
      <c r="U23" s="16"/>
    </row>
    <row r="24" spans="1:21">
      <c r="A24" s="3264"/>
      <c r="B24" s="16"/>
      <c r="C24" s="16"/>
      <c r="D24" s="16"/>
      <c r="E24" s="16"/>
      <c r="F24" s="16"/>
      <c r="G24" s="16"/>
      <c r="H24" s="3269"/>
      <c r="I24" s="1295"/>
      <c r="J24" s="2976"/>
      <c r="K24" s="1295"/>
      <c r="L24" s="1800"/>
      <c r="M24" s="1561"/>
      <c r="N24" s="1561"/>
      <c r="O24" s="3009"/>
      <c r="P24" s="1709"/>
      <c r="Q24" s="1709"/>
      <c r="R24" s="16"/>
      <c r="S24" s="16"/>
      <c r="T24" s="16"/>
      <c r="U24" s="16"/>
    </row>
    <row r="25" spans="1:21">
      <c r="A25" s="3270" t="s">
        <v>3141</v>
      </c>
      <c r="B25" s="16">
        <f>B18-B19</f>
        <v>630</v>
      </c>
      <c r="C25" s="16" t="s">
        <v>234</v>
      </c>
      <c r="D25" s="16">
        <v>80</v>
      </c>
      <c r="E25" s="16">
        <f>B25*D25/100</f>
        <v>504</v>
      </c>
      <c r="F25" s="16">
        <v>68.3</v>
      </c>
      <c r="G25" s="3261">
        <f>B25*D25/100*F25</f>
        <v>34423.199999999997</v>
      </c>
      <c r="H25" s="3265"/>
      <c r="I25" s="1462"/>
      <c r="J25" s="1798"/>
      <c r="K25" s="13"/>
      <c r="L25" s="1561"/>
      <c r="M25" s="13"/>
      <c r="N25" s="16"/>
      <c r="O25" s="3008"/>
      <c r="P25" s="1292"/>
      <c r="Q25" s="1292"/>
      <c r="R25" s="1292"/>
      <c r="S25" s="16"/>
      <c r="T25" s="16"/>
      <c r="U25" s="16"/>
    </row>
    <row r="26" spans="1:21">
      <c r="A26" s="3270"/>
      <c r="B26" s="16"/>
      <c r="C26" s="16" t="s">
        <v>232</v>
      </c>
      <c r="D26" s="16">
        <v>20</v>
      </c>
      <c r="E26" s="16">
        <f>B25*D26/100</f>
        <v>126</v>
      </c>
      <c r="F26" s="16">
        <v>125.6</v>
      </c>
      <c r="G26" s="3261">
        <f>B25*D26/100*F26</f>
        <v>15825.599999999999</v>
      </c>
      <c r="H26" s="3265"/>
      <c r="I26" s="1462"/>
      <c r="J26" s="1798"/>
      <c r="K26" s="13"/>
      <c r="L26" s="1561"/>
      <c r="M26" s="13"/>
      <c r="N26" s="16"/>
      <c r="O26" s="3008"/>
      <c r="P26" s="1292"/>
      <c r="Q26" s="1292"/>
      <c r="R26" s="1292"/>
      <c r="S26" s="16"/>
      <c r="T26" s="16"/>
      <c r="U26" s="16"/>
    </row>
    <row r="27" spans="1:21">
      <c r="A27" s="3270" t="s">
        <v>3143</v>
      </c>
      <c r="B27" s="16">
        <f>B25*0.75</f>
        <v>472.5</v>
      </c>
      <c r="C27" s="16" t="s">
        <v>3145</v>
      </c>
      <c r="D27" s="16">
        <v>20</v>
      </c>
      <c r="E27" s="16">
        <f>B27*D27/100</f>
        <v>94.5</v>
      </c>
      <c r="F27" s="16">
        <v>68.3</v>
      </c>
      <c r="G27" s="3261">
        <f>B27*D27/100*F27</f>
        <v>6454.3499999999995</v>
      </c>
      <c r="H27" s="3271"/>
      <c r="I27" s="1328"/>
      <c r="J27" s="1328"/>
      <c r="K27" s="2831"/>
      <c r="L27" s="1561"/>
      <c r="M27" s="1561"/>
      <c r="N27" s="1561"/>
      <c r="O27" s="16"/>
      <c r="P27" s="2831"/>
      <c r="Q27" s="13"/>
      <c r="R27" s="16"/>
      <c r="S27" s="16"/>
      <c r="T27" s="16"/>
      <c r="U27" s="16"/>
    </row>
    <row r="28" spans="1:21">
      <c r="A28" s="3270"/>
      <c r="B28" s="16"/>
      <c r="C28" s="16" t="s">
        <v>233</v>
      </c>
      <c r="D28" s="16">
        <v>80</v>
      </c>
      <c r="E28" s="16">
        <f t="shared" ref="E28" si="1">B27*D28/100</f>
        <v>378</v>
      </c>
      <c r="F28" s="16">
        <v>1E-3</v>
      </c>
      <c r="G28" s="3261">
        <f>B27*D28/100*F28</f>
        <v>0.378</v>
      </c>
      <c r="H28" s="3268"/>
      <c r="I28" s="1173"/>
      <c r="J28" s="1173"/>
      <c r="K28" s="13"/>
      <c r="L28" s="1561"/>
      <c r="M28" s="1561"/>
      <c r="N28" s="16"/>
      <c r="O28" s="16"/>
      <c r="P28" s="13"/>
      <c r="Q28" s="13"/>
      <c r="R28" s="16"/>
      <c r="S28" s="16"/>
      <c r="T28" s="16"/>
      <c r="U28" s="16"/>
    </row>
    <row r="29" spans="1:21">
      <c r="A29" s="3270" t="s">
        <v>327</v>
      </c>
      <c r="B29" s="16">
        <f>SUM(B25:B28)</f>
        <v>1102.5</v>
      </c>
      <c r="C29" s="16"/>
      <c r="D29" s="16"/>
      <c r="E29" s="16"/>
      <c r="F29" s="16"/>
      <c r="G29" s="3033">
        <f>SUM(G25:G28)</f>
        <v>56703.527999999991</v>
      </c>
      <c r="H29" s="3268"/>
      <c r="I29" s="3"/>
      <c r="J29" s="3"/>
      <c r="K29" s="13"/>
      <c r="L29" s="1561"/>
      <c r="M29" s="1561"/>
      <c r="N29" s="1561"/>
      <c r="O29" s="16"/>
      <c r="P29" s="13"/>
      <c r="Q29" s="13"/>
      <c r="R29" s="16"/>
      <c r="S29" s="16"/>
      <c r="T29" s="16"/>
      <c r="U29" s="16"/>
    </row>
    <row r="30" spans="1:21">
      <c r="A30" s="3270"/>
      <c r="B30" s="16"/>
      <c r="C30" s="16"/>
      <c r="D30" s="16"/>
      <c r="E30" s="16"/>
      <c r="F30" s="16"/>
      <c r="G30" s="105"/>
      <c r="H30" s="3268"/>
      <c r="I30" s="2831"/>
      <c r="J30" s="2831"/>
      <c r="K30" s="2831"/>
      <c r="L30" s="1561"/>
      <c r="M30" s="1561"/>
      <c r="N30" s="1561"/>
      <c r="O30" s="105"/>
      <c r="P30" s="13"/>
      <c r="Q30" s="13"/>
      <c r="R30" s="105"/>
      <c r="S30" s="16"/>
      <c r="T30" s="16"/>
      <c r="U30" s="16"/>
    </row>
    <row r="31" spans="1:21">
      <c r="A31" s="3270" t="s">
        <v>3160</v>
      </c>
      <c r="B31" s="16">
        <f>E21+F21</f>
        <v>3450</v>
      </c>
      <c r="C31" s="16" t="s">
        <v>234</v>
      </c>
      <c r="D31" s="16">
        <v>80</v>
      </c>
      <c r="E31" s="16">
        <f>B31*D31/100</f>
        <v>2760</v>
      </c>
      <c r="F31" s="16">
        <v>68.3</v>
      </c>
      <c r="G31" s="3261">
        <f>B31*D31/100*F31</f>
        <v>188508</v>
      </c>
      <c r="H31" s="3268"/>
      <c r="I31" s="3"/>
      <c r="J31" s="3"/>
      <c r="K31" s="2831"/>
      <c r="L31" s="1561"/>
      <c r="M31" s="1561"/>
      <c r="N31" s="1561"/>
      <c r="O31" s="16"/>
      <c r="P31" s="13"/>
      <c r="Q31" s="2831"/>
      <c r="R31" s="16"/>
      <c r="S31" s="16"/>
      <c r="T31" s="16"/>
      <c r="U31" s="16"/>
    </row>
    <row r="32" spans="1:21">
      <c r="A32" s="3270"/>
      <c r="B32" s="16"/>
      <c r="C32" s="16" t="s">
        <v>232</v>
      </c>
      <c r="D32" s="16">
        <v>20</v>
      </c>
      <c r="E32" s="16">
        <f>B31*D32/100</f>
        <v>690</v>
      </c>
      <c r="F32" s="16">
        <v>125.6</v>
      </c>
      <c r="G32" s="3261">
        <f>B31*D32/100*F32</f>
        <v>86664</v>
      </c>
      <c r="H32" s="3268"/>
      <c r="I32" s="3"/>
      <c r="J32" s="3"/>
      <c r="K32" s="13"/>
      <c r="L32" s="1561"/>
      <c r="M32" s="1561"/>
      <c r="N32" s="1561"/>
      <c r="O32" s="16"/>
      <c r="P32" s="13"/>
      <c r="Q32" s="13"/>
      <c r="R32" s="16"/>
      <c r="S32" s="16"/>
      <c r="T32" s="16"/>
      <c r="U32" s="16"/>
    </row>
    <row r="33" spans="1:21">
      <c r="A33" s="3270"/>
      <c r="B33" s="16"/>
      <c r="C33" s="16"/>
      <c r="D33" s="16"/>
      <c r="E33" s="16"/>
      <c r="F33" s="16"/>
      <c r="G33" s="3033">
        <f>SUM(G31:G32)</f>
        <v>275172</v>
      </c>
      <c r="H33" s="3268"/>
      <c r="I33" s="16"/>
      <c r="J33" s="16"/>
      <c r="K33" s="16"/>
      <c r="L33" s="16"/>
      <c r="M33" s="16"/>
      <c r="N33" s="16"/>
      <c r="O33" s="16"/>
      <c r="P33" s="16"/>
      <c r="Q33" s="16"/>
      <c r="R33" s="16"/>
      <c r="S33" s="16"/>
      <c r="T33" s="16"/>
      <c r="U33" s="16"/>
    </row>
    <row r="34" spans="1:21">
      <c r="A34" s="3264"/>
      <c r="B34" s="16"/>
      <c r="C34" s="16"/>
      <c r="D34" s="16"/>
      <c r="E34" s="16"/>
      <c r="F34" s="16"/>
      <c r="G34" s="3033">
        <f>G29+G33</f>
        <v>331875.52799999999</v>
      </c>
      <c r="H34" s="3268"/>
      <c r="I34" s="16"/>
      <c r="J34" s="16"/>
      <c r="K34" s="16"/>
      <c r="L34" s="16"/>
      <c r="M34" s="16"/>
      <c r="N34" s="16"/>
      <c r="O34" s="16"/>
      <c r="P34" s="16"/>
      <c r="Q34" s="16"/>
      <c r="R34" s="16"/>
      <c r="S34" s="16"/>
      <c r="T34" s="16"/>
      <c r="U34" s="16"/>
    </row>
    <row r="35" spans="1:21" ht="15" thickBot="1">
      <c r="A35" s="3272"/>
      <c r="B35" s="3273"/>
      <c r="C35" s="3273"/>
      <c r="D35" s="3273"/>
      <c r="E35" s="3273"/>
      <c r="F35" s="3274"/>
      <c r="G35" s="3273"/>
      <c r="H35" s="3275"/>
      <c r="I35" s="3020"/>
      <c r="J35" s="3021"/>
      <c r="K35" s="3021"/>
      <c r="L35" s="1635"/>
      <c r="M35" s="1635"/>
      <c r="N35" s="1635"/>
      <c r="O35" s="3022"/>
      <c r="P35" s="3019"/>
      <c r="Q35" s="1641"/>
      <c r="R35" s="1636"/>
      <c r="S35" s="16"/>
      <c r="T35" s="16"/>
      <c r="U35" s="16"/>
    </row>
    <row r="36" spans="1:21">
      <c r="A36" s="3032" t="s">
        <v>3150</v>
      </c>
      <c r="H36" s="3020"/>
      <c r="I36" s="3020"/>
      <c r="J36" s="3021"/>
      <c r="K36" s="3021"/>
      <c r="L36" s="3011"/>
      <c r="M36" s="3011"/>
      <c r="N36" s="3011"/>
      <c r="O36" s="3022"/>
      <c r="P36" s="3019"/>
      <c r="Q36" s="1292"/>
      <c r="R36" s="3012"/>
      <c r="S36" s="16"/>
      <c r="T36" s="16"/>
      <c r="U36" s="16"/>
    </row>
    <row r="37" spans="1:21">
      <c r="A37" s="16" t="s">
        <v>3146</v>
      </c>
      <c r="B37" s="484" t="s">
        <v>3147</v>
      </c>
      <c r="C37" s="16"/>
      <c r="D37" s="16"/>
      <c r="E37" s="16"/>
      <c r="F37" s="16"/>
      <c r="G37" s="16"/>
      <c r="H37" s="2976"/>
      <c r="I37" s="1173"/>
      <c r="J37" s="1173"/>
      <c r="K37" s="3013"/>
      <c r="L37" s="3011"/>
      <c r="M37" s="3011"/>
      <c r="N37" s="3014"/>
      <c r="O37" s="3015"/>
      <c r="P37" s="1641"/>
      <c r="Q37" s="3016"/>
      <c r="R37" s="3016"/>
      <c r="S37" s="16"/>
      <c r="T37" s="16"/>
      <c r="U37" s="16"/>
    </row>
    <row r="38" spans="1:21">
      <c r="A38" s="16" t="s">
        <v>3148</v>
      </c>
      <c r="B38" s="3031" t="s">
        <v>3149</v>
      </c>
      <c r="C38" s="3019"/>
      <c r="D38" s="3019"/>
      <c r="E38" s="3019"/>
      <c r="F38" s="3006"/>
      <c r="G38" s="3019"/>
      <c r="H38" s="3017"/>
      <c r="I38" s="1295"/>
      <c r="J38" s="1295"/>
      <c r="K38" s="1638"/>
      <c r="L38" s="1561"/>
      <c r="M38" s="1561"/>
      <c r="N38" s="1561"/>
      <c r="O38" s="3008"/>
      <c r="P38" s="1292"/>
      <c r="Q38" s="1292"/>
      <c r="R38" s="1292"/>
      <c r="S38" s="16"/>
      <c r="T38" s="16"/>
      <c r="U38" s="16"/>
    </row>
    <row r="39" spans="1:21">
      <c r="A39" s="16"/>
      <c r="B39" s="3031" t="s">
        <v>3155</v>
      </c>
      <c r="C39" s="3019" t="s">
        <v>3156</v>
      </c>
      <c r="D39" s="3019" t="s">
        <v>3157</v>
      </c>
      <c r="E39" s="3019" t="s">
        <v>3158</v>
      </c>
      <c r="F39" s="3019" t="s">
        <v>3159</v>
      </c>
      <c r="G39" s="3034">
        <v>57128.26</v>
      </c>
      <c r="H39" s="3035" t="s">
        <v>3161</v>
      </c>
      <c r="I39" s="1295"/>
      <c r="J39" s="1295"/>
      <c r="K39" s="1638"/>
      <c r="L39" s="1561"/>
      <c r="M39" s="1561"/>
      <c r="N39" s="1561"/>
      <c r="O39" s="3008"/>
      <c r="P39" s="1292"/>
      <c r="Q39" s="1292"/>
      <c r="R39" s="1292"/>
      <c r="S39" s="16"/>
      <c r="T39" s="16"/>
      <c r="U39" s="16"/>
    </row>
    <row r="40" spans="1:21">
      <c r="A40" s="16" t="s">
        <v>3153</v>
      </c>
      <c r="B40" s="3019" t="s">
        <v>3154</v>
      </c>
      <c r="C40" s="3019">
        <v>950</v>
      </c>
      <c r="D40" s="3019">
        <v>3450</v>
      </c>
      <c r="E40" s="3019">
        <v>2750</v>
      </c>
      <c r="F40" s="3006">
        <v>700</v>
      </c>
      <c r="G40" s="3019"/>
      <c r="H40" s="3017"/>
      <c r="I40" s="1295"/>
      <c r="J40" s="1295"/>
      <c r="K40" s="1638"/>
      <c r="L40" s="1561"/>
      <c r="M40" s="1561"/>
      <c r="N40" s="1561"/>
      <c r="O40" s="3008"/>
      <c r="P40" s="1292"/>
      <c r="Q40" s="1292"/>
      <c r="R40" s="1292"/>
      <c r="S40" s="16"/>
      <c r="T40" s="16"/>
      <c r="U40" s="16"/>
    </row>
    <row r="41" spans="1:21">
      <c r="A41" s="16"/>
      <c r="B41" s="3019"/>
      <c r="C41" s="3019"/>
      <c r="D41" s="3019"/>
      <c r="E41" s="3019"/>
      <c r="F41" s="3006"/>
      <c r="G41" s="3019"/>
      <c r="H41" s="3017"/>
      <c r="I41" s="1295"/>
      <c r="J41" s="1295"/>
      <c r="K41" s="1638"/>
      <c r="L41" s="1561"/>
      <c r="M41" s="1561"/>
      <c r="N41" s="1561"/>
      <c r="O41" s="3008"/>
      <c r="P41" s="1292"/>
      <c r="Q41" s="1292"/>
      <c r="R41" s="1292"/>
      <c r="S41" s="16"/>
      <c r="T41" s="16"/>
      <c r="U41" s="16"/>
    </row>
    <row r="42" spans="1:21">
      <c r="A42" s="16"/>
      <c r="B42" s="3019" t="s">
        <v>3142</v>
      </c>
      <c r="C42" s="3019" t="s">
        <v>3126</v>
      </c>
      <c r="D42" s="3019" t="s">
        <v>3130</v>
      </c>
      <c r="E42" s="3019" t="s">
        <v>3152</v>
      </c>
      <c r="F42" s="3006" t="s">
        <v>3144</v>
      </c>
      <c r="G42" s="3037" t="s">
        <v>3151</v>
      </c>
      <c r="H42" s="16"/>
      <c r="I42" s="1173"/>
      <c r="J42" s="1173"/>
      <c r="K42" s="13"/>
      <c r="L42" s="1561"/>
      <c r="M42" s="1561"/>
      <c r="N42" s="16"/>
      <c r="O42" s="16"/>
      <c r="P42" s="13"/>
      <c r="Q42" s="13"/>
      <c r="R42" s="16"/>
      <c r="S42" s="16"/>
      <c r="T42" s="16"/>
      <c r="U42" s="16"/>
    </row>
    <row r="43" spans="1:21">
      <c r="A43" s="16"/>
      <c r="B43" s="16"/>
      <c r="C43" s="16"/>
      <c r="D43" s="16"/>
      <c r="E43" s="16"/>
      <c r="F43" s="16"/>
      <c r="G43" s="16"/>
      <c r="H43" s="16"/>
      <c r="I43" s="16"/>
      <c r="J43" s="16"/>
      <c r="K43" s="16"/>
      <c r="L43" s="16"/>
      <c r="M43" s="16"/>
      <c r="N43" s="16"/>
      <c r="O43" s="16"/>
      <c r="P43" s="16"/>
      <c r="Q43" s="16"/>
      <c r="R43" s="16"/>
      <c r="S43" s="16"/>
      <c r="T43" s="16"/>
      <c r="U43" s="16"/>
    </row>
    <row r="44" spans="1:21">
      <c r="A44" s="3038" t="s">
        <v>3141</v>
      </c>
      <c r="B44" s="16">
        <v>535</v>
      </c>
      <c r="C44" s="16" t="s">
        <v>234</v>
      </c>
      <c r="D44" s="16">
        <v>80</v>
      </c>
      <c r="E44" s="16">
        <f>B44*D44/100</f>
        <v>428</v>
      </c>
      <c r="F44" s="16">
        <v>68.3</v>
      </c>
      <c r="G44" s="3261">
        <f>B44*D44/100*F44</f>
        <v>29232.399999999998</v>
      </c>
      <c r="H44" s="16"/>
      <c r="I44" s="16"/>
      <c r="J44" s="16"/>
      <c r="K44" s="16"/>
      <c r="L44" s="16"/>
      <c r="M44" s="16"/>
      <c r="N44" s="16"/>
      <c r="O44" s="16"/>
      <c r="P44" s="16"/>
      <c r="Q44" s="16"/>
      <c r="R44" s="16"/>
      <c r="S44" s="16"/>
      <c r="T44" s="16"/>
      <c r="U44" s="16"/>
    </row>
    <row r="45" spans="1:21">
      <c r="A45" s="3038"/>
      <c r="B45" s="16"/>
      <c r="C45" s="16" t="s">
        <v>232</v>
      </c>
      <c r="D45" s="16">
        <v>20</v>
      </c>
      <c r="E45" s="16">
        <f>B44*D45/100</f>
        <v>107</v>
      </c>
      <c r="F45" s="16">
        <v>125.6</v>
      </c>
      <c r="G45" s="3261">
        <f>B44*D45/100*F45</f>
        <v>13439.199999999999</v>
      </c>
      <c r="H45" s="16"/>
      <c r="I45" s="1173"/>
      <c r="J45" s="1173"/>
      <c r="K45" s="13"/>
      <c r="L45" s="1561"/>
      <c r="M45" s="1561"/>
      <c r="N45" s="16"/>
      <c r="O45" s="16"/>
      <c r="P45" s="13"/>
      <c r="Q45" s="13"/>
      <c r="R45" s="16"/>
      <c r="S45" s="16"/>
      <c r="T45" s="16"/>
      <c r="U45" s="16"/>
    </row>
    <row r="46" spans="1:21">
      <c r="A46" s="3038" t="s">
        <v>3143</v>
      </c>
      <c r="B46" s="16">
        <f>B44*0.75</f>
        <v>401.25</v>
      </c>
      <c r="C46" s="16" t="s">
        <v>3145</v>
      </c>
      <c r="D46" s="16">
        <v>20</v>
      </c>
      <c r="E46" s="16">
        <f>B46*D46/100</f>
        <v>80.25</v>
      </c>
      <c r="F46" s="16">
        <v>68.3</v>
      </c>
      <c r="G46" s="3261">
        <f>B46*D46/100*F46</f>
        <v>5481.0749999999998</v>
      </c>
      <c r="H46" s="16"/>
      <c r="I46" s="16"/>
      <c r="J46" s="16"/>
      <c r="K46" s="16"/>
      <c r="L46" s="16"/>
      <c r="M46" s="16"/>
      <c r="N46" s="16"/>
      <c r="O46" s="16"/>
      <c r="P46" s="16"/>
      <c r="Q46" s="16"/>
      <c r="R46" s="16"/>
      <c r="S46" s="16"/>
      <c r="T46" s="16"/>
      <c r="U46" s="16"/>
    </row>
    <row r="47" spans="1:21">
      <c r="A47" s="3038"/>
      <c r="B47" s="16"/>
      <c r="C47" s="16" t="s">
        <v>233</v>
      </c>
      <c r="D47" s="16">
        <v>80</v>
      </c>
      <c r="E47" s="16">
        <f t="shared" ref="E47" si="2">B46*D47/100</f>
        <v>321</v>
      </c>
      <c r="F47" s="16">
        <v>1E-3</v>
      </c>
      <c r="G47" s="3261">
        <f>B46*D47/100*F47</f>
        <v>0.32100000000000001</v>
      </c>
      <c r="H47" s="16"/>
      <c r="I47" s="16"/>
      <c r="J47" s="16"/>
      <c r="K47" s="16"/>
      <c r="L47" s="16"/>
      <c r="M47" s="16"/>
      <c r="N47" s="16"/>
      <c r="O47" s="16"/>
      <c r="P47" s="16"/>
      <c r="Q47" s="16"/>
      <c r="R47" s="16"/>
      <c r="S47" s="16"/>
      <c r="T47" s="16"/>
      <c r="U47" s="16"/>
    </row>
    <row r="48" spans="1:21">
      <c r="A48" s="3038" t="s">
        <v>327</v>
      </c>
      <c r="B48" s="16">
        <f>SUM(B44:B47)</f>
        <v>936.25</v>
      </c>
      <c r="C48" s="16"/>
      <c r="D48" s="16"/>
      <c r="E48" s="16"/>
      <c r="F48" s="16"/>
      <c r="G48" s="3033">
        <f>SUM(G44:G47)</f>
        <v>48152.995999999999</v>
      </c>
      <c r="H48" s="16"/>
      <c r="I48" s="16"/>
      <c r="J48" s="16"/>
      <c r="K48" s="16"/>
      <c r="L48" s="16"/>
      <c r="M48" s="16"/>
      <c r="N48" s="16"/>
      <c r="O48" s="16"/>
      <c r="P48" s="16"/>
      <c r="Q48" s="16"/>
      <c r="R48" s="16"/>
      <c r="S48" s="16"/>
      <c r="T48" s="16"/>
      <c r="U48" s="16"/>
    </row>
    <row r="49" spans="1:21">
      <c r="A49" s="3038"/>
      <c r="B49" s="16"/>
      <c r="C49" s="16"/>
      <c r="D49" s="16"/>
      <c r="E49" s="16"/>
      <c r="F49" s="16"/>
      <c r="G49" s="105"/>
      <c r="H49" s="16"/>
      <c r="I49" s="1799"/>
      <c r="J49" s="16"/>
      <c r="K49" s="16"/>
      <c r="L49" s="16"/>
      <c r="M49" s="16"/>
      <c r="N49" s="16"/>
      <c r="O49" s="16"/>
      <c r="P49" s="16"/>
      <c r="Q49" s="16"/>
      <c r="R49" s="16"/>
      <c r="S49" s="16"/>
      <c r="T49" s="16"/>
      <c r="U49" s="16"/>
    </row>
    <row r="50" spans="1:21">
      <c r="A50" s="3038" t="s">
        <v>3160</v>
      </c>
      <c r="B50" s="16">
        <f>D40-C40</f>
        <v>2500</v>
      </c>
      <c r="C50" s="16" t="s">
        <v>234</v>
      </c>
      <c r="D50" s="16">
        <v>80</v>
      </c>
      <c r="E50" s="16">
        <f>B50*D50/100</f>
        <v>2000</v>
      </c>
      <c r="F50" s="16">
        <v>68.3</v>
      </c>
      <c r="G50" s="3261">
        <f>B50*D50/100*F50</f>
        <v>136600</v>
      </c>
      <c r="H50" s="3018"/>
      <c r="I50" s="1462"/>
      <c r="J50" s="1798"/>
      <c r="K50" s="1638"/>
      <c r="L50" s="1561"/>
      <c r="M50" s="1561"/>
      <c r="N50" s="1561"/>
      <c r="O50" s="3008"/>
      <c r="P50" s="1292"/>
      <c r="Q50" s="1292"/>
      <c r="R50" s="1292"/>
      <c r="S50" s="16"/>
      <c r="T50" s="16"/>
      <c r="U50" s="16"/>
    </row>
    <row r="51" spans="1:21">
      <c r="A51" s="3038"/>
      <c r="B51" s="16"/>
      <c r="C51" s="16" t="s">
        <v>232</v>
      </c>
      <c r="D51" s="16">
        <v>20</v>
      </c>
      <c r="E51" s="16">
        <f>B50*D51/100</f>
        <v>500</v>
      </c>
      <c r="F51" s="16">
        <v>125.6</v>
      </c>
      <c r="G51" s="3261">
        <f>B50*D51/100*F51</f>
        <v>62800</v>
      </c>
      <c r="H51" s="3018"/>
      <c r="I51" s="1462"/>
      <c r="J51" s="1638"/>
      <c r="K51" s="1638"/>
      <c r="L51" s="1561"/>
      <c r="M51" s="1561"/>
      <c r="N51" s="1561"/>
      <c r="O51" s="3008"/>
      <c r="P51" s="1292"/>
      <c r="Q51" s="1292"/>
      <c r="R51" s="1292"/>
      <c r="S51" s="16"/>
      <c r="T51" s="16"/>
      <c r="U51" s="16"/>
    </row>
    <row r="52" spans="1:21">
      <c r="A52" s="16"/>
      <c r="B52" s="16"/>
      <c r="C52" s="16"/>
      <c r="D52" s="16"/>
      <c r="E52" s="16"/>
      <c r="F52" s="16"/>
      <c r="G52" s="3033">
        <f>SUM(G50:G51)</f>
        <v>199400</v>
      </c>
      <c r="H52" s="3018"/>
      <c r="I52" s="1462"/>
      <c r="J52" s="1638"/>
      <c r="K52" s="1638"/>
      <c r="L52" s="1561"/>
      <c r="M52" s="1561"/>
      <c r="N52" s="1561"/>
      <c r="O52" s="3008"/>
      <c r="P52" s="1292"/>
      <c r="Q52" s="1292"/>
      <c r="R52" s="1292"/>
      <c r="S52" s="16"/>
      <c r="T52" s="16"/>
      <c r="U52" s="16"/>
    </row>
    <row r="53" spans="1:21">
      <c r="A53" s="16"/>
      <c r="B53" s="16"/>
      <c r="C53" s="16"/>
      <c r="D53" s="16"/>
      <c r="E53" s="16"/>
      <c r="F53" s="16"/>
      <c r="G53" s="16"/>
      <c r="H53" s="3018"/>
      <c r="I53" s="1462"/>
      <c r="J53" s="1638"/>
      <c r="K53" s="1638"/>
      <c r="L53" s="1561"/>
      <c r="M53" s="1561"/>
      <c r="N53" s="1561"/>
      <c r="O53" s="3008"/>
      <c r="P53" s="1292"/>
      <c r="Q53" s="1292"/>
      <c r="R53" s="1292"/>
      <c r="S53" s="16"/>
      <c r="T53" s="16"/>
      <c r="U53" s="16"/>
    </row>
    <row r="54" spans="1:21">
      <c r="A54" s="3032" t="s">
        <v>3150</v>
      </c>
      <c r="H54" s="3018"/>
      <c r="I54" s="1462"/>
      <c r="J54" s="1638"/>
      <c r="K54" s="1638"/>
      <c r="L54" s="1561"/>
      <c r="M54" s="1561"/>
      <c r="N54" s="1561"/>
      <c r="O54" s="3008"/>
      <c r="P54" s="1292"/>
      <c r="Q54" s="1292"/>
      <c r="R54" s="1292"/>
      <c r="S54" s="16"/>
      <c r="T54" s="16"/>
      <c r="U54" s="16"/>
    </row>
    <row r="55" spans="1:21">
      <c r="A55" s="16" t="s">
        <v>3146</v>
      </c>
      <c r="B55" s="484" t="s">
        <v>3147</v>
      </c>
      <c r="C55" s="16"/>
      <c r="D55" s="16"/>
      <c r="E55" s="16"/>
      <c r="F55" s="16"/>
      <c r="G55" s="16"/>
      <c r="H55" s="3018"/>
      <c r="I55" s="1462"/>
      <c r="J55" s="1638"/>
      <c r="K55" s="16"/>
      <c r="L55" s="1561"/>
      <c r="M55" s="1561"/>
      <c r="N55" s="1561"/>
      <c r="O55" s="3008"/>
      <c r="P55" s="1292"/>
      <c r="Q55" s="1292"/>
      <c r="R55" s="1292"/>
      <c r="S55" s="16"/>
      <c r="T55" s="16"/>
      <c r="U55" s="16"/>
    </row>
    <row r="56" spans="1:21">
      <c r="A56" s="16" t="s">
        <v>3148</v>
      </c>
      <c r="B56" s="3031" t="s">
        <v>3149</v>
      </c>
      <c r="C56" s="3019"/>
      <c r="D56" s="3019"/>
      <c r="E56" s="3019"/>
      <c r="F56" s="3006"/>
      <c r="G56" s="3019"/>
      <c r="H56" s="3018"/>
      <c r="I56" s="1462"/>
      <c r="J56" s="1798"/>
      <c r="K56" s="1638"/>
      <c r="L56" s="1561"/>
      <c r="M56" s="1561"/>
      <c r="N56" s="1561"/>
      <c r="O56" s="3008"/>
      <c r="P56" s="1292"/>
      <c r="Q56" s="1292"/>
      <c r="R56" s="1292"/>
      <c r="S56" s="16"/>
      <c r="T56" s="16"/>
      <c r="U56" s="16"/>
    </row>
    <row r="57" spans="1:21">
      <c r="A57" s="16"/>
      <c r="B57" s="3031"/>
      <c r="C57" s="3019"/>
      <c r="D57" s="3019"/>
      <c r="E57" s="3019"/>
      <c r="F57" s="3006"/>
      <c r="G57" s="3019"/>
      <c r="H57" s="3018"/>
      <c r="I57" s="1462"/>
      <c r="J57" s="1798"/>
      <c r="K57" s="1638"/>
      <c r="L57" s="1561"/>
      <c r="M57" s="1561"/>
      <c r="N57" s="1561"/>
      <c r="O57" s="3008"/>
      <c r="P57" s="1292"/>
      <c r="Q57" s="1292"/>
      <c r="R57" s="1292"/>
      <c r="S57" s="16"/>
      <c r="T57" s="16"/>
      <c r="U57" s="16"/>
    </row>
    <row r="58" spans="1:21">
      <c r="A58" s="16"/>
      <c r="B58" s="3031" t="s">
        <v>3155</v>
      </c>
      <c r="C58" s="3019" t="s">
        <v>3156</v>
      </c>
      <c r="D58" s="3019" t="s">
        <v>3157</v>
      </c>
      <c r="E58" s="3019" t="s">
        <v>3158</v>
      </c>
      <c r="F58" s="3019" t="s">
        <v>3159</v>
      </c>
      <c r="G58" s="3034">
        <v>57128.26</v>
      </c>
      <c r="H58" s="3035" t="s">
        <v>3161</v>
      </c>
      <c r="I58" s="1462"/>
      <c r="J58" s="1798"/>
      <c r="K58" s="1638"/>
      <c r="L58" s="1561"/>
      <c r="M58" s="1561"/>
      <c r="N58" s="1561"/>
      <c r="O58" s="3008"/>
      <c r="P58" s="1292"/>
      <c r="Q58" s="1292"/>
      <c r="R58" s="1292"/>
      <c r="S58" s="16"/>
      <c r="T58" s="16"/>
      <c r="U58" s="16"/>
    </row>
    <row r="59" spans="1:21">
      <c r="A59" s="3038" t="s">
        <v>3153</v>
      </c>
      <c r="B59" s="3019" t="s">
        <v>3154</v>
      </c>
      <c r="C59" s="3019">
        <v>950</v>
      </c>
      <c r="D59" s="3019">
        <v>3450</v>
      </c>
      <c r="E59" s="3019">
        <v>2750</v>
      </c>
      <c r="F59" s="3006">
        <v>700</v>
      </c>
      <c r="G59" s="3019"/>
      <c r="H59" s="3018"/>
      <c r="I59" s="1462"/>
      <c r="J59" s="1798"/>
      <c r="K59" s="1638"/>
      <c r="L59" s="1561"/>
      <c r="M59" s="1561"/>
      <c r="N59" s="1561"/>
      <c r="O59" s="3008"/>
      <c r="P59" s="1292"/>
      <c r="Q59" s="1292"/>
      <c r="R59" s="1292"/>
      <c r="S59" s="16"/>
      <c r="T59" s="16"/>
      <c r="U59" s="16"/>
    </row>
    <row r="60" spans="1:21">
      <c r="A60" s="3038"/>
      <c r="B60" s="3019"/>
      <c r="C60" s="3019"/>
      <c r="D60" s="3019"/>
      <c r="E60" s="3019"/>
      <c r="F60" s="3006"/>
      <c r="G60" s="3019"/>
      <c r="H60" s="3018"/>
      <c r="I60" s="1462"/>
      <c r="J60" s="1798"/>
      <c r="K60" s="1638"/>
      <c r="L60" s="1561"/>
      <c r="M60" s="1561"/>
      <c r="N60" s="1561"/>
      <c r="O60" s="3008"/>
      <c r="P60" s="1292"/>
      <c r="Q60" s="1292"/>
      <c r="R60" s="1292"/>
      <c r="S60" s="16"/>
      <c r="T60" s="16"/>
      <c r="U60" s="16"/>
    </row>
    <row r="61" spans="1:21">
      <c r="A61" s="3038"/>
      <c r="B61" s="3019" t="s">
        <v>3142</v>
      </c>
      <c r="C61" s="3019" t="s">
        <v>3126</v>
      </c>
      <c r="D61" s="3019" t="s">
        <v>3130</v>
      </c>
      <c r="E61" s="3019" t="s">
        <v>3152</v>
      </c>
      <c r="F61" s="3006" t="s">
        <v>3144</v>
      </c>
      <c r="G61" s="3037" t="s">
        <v>3151</v>
      </c>
      <c r="H61" s="3017"/>
      <c r="I61" s="1295"/>
      <c r="J61" s="2976"/>
      <c r="K61" s="1295"/>
      <c r="L61" s="1800"/>
      <c r="M61" s="1561"/>
      <c r="N61" s="1561"/>
      <c r="O61" s="3009"/>
      <c r="P61" s="1709"/>
      <c r="Q61" s="1709"/>
      <c r="R61" s="16"/>
      <c r="S61" s="16"/>
      <c r="T61" s="16"/>
      <c r="U61" s="16"/>
    </row>
    <row r="62" spans="1:21">
      <c r="A62" s="3038"/>
      <c r="B62" s="16"/>
      <c r="C62" s="16"/>
      <c r="D62" s="16"/>
      <c r="E62" s="16"/>
      <c r="F62" s="16"/>
      <c r="G62" s="16"/>
      <c r="H62" s="3018"/>
      <c r="I62" s="1462"/>
      <c r="J62" s="1798"/>
      <c r="K62" s="13"/>
      <c r="L62" s="1561"/>
      <c r="M62" s="13"/>
      <c r="N62" s="16"/>
      <c r="O62" s="3008"/>
      <c r="P62" s="1292"/>
      <c r="Q62" s="1292"/>
      <c r="R62" s="1292"/>
      <c r="S62" s="16"/>
      <c r="T62" s="16"/>
      <c r="U62" s="16"/>
    </row>
    <row r="63" spans="1:21">
      <c r="A63" s="3038" t="s">
        <v>3141</v>
      </c>
      <c r="B63" s="16">
        <v>535</v>
      </c>
      <c r="C63" s="16" t="s">
        <v>234</v>
      </c>
      <c r="D63" s="16">
        <v>80</v>
      </c>
      <c r="E63" s="16">
        <f>B63*D63/100</f>
        <v>428</v>
      </c>
      <c r="F63" s="16">
        <v>68.3</v>
      </c>
      <c r="G63" s="3261">
        <f>B63*D63/100*F63</f>
        <v>29232.399999999998</v>
      </c>
      <c r="H63" s="3018"/>
      <c r="I63" s="1462"/>
      <c r="J63" s="1798"/>
      <c r="K63" s="13"/>
      <c r="L63" s="1561"/>
      <c r="M63" s="13"/>
      <c r="N63" s="16"/>
      <c r="O63" s="3008"/>
      <c r="P63" s="1292"/>
      <c r="Q63" s="1292"/>
      <c r="R63" s="1292"/>
      <c r="S63" s="16"/>
      <c r="T63" s="16"/>
      <c r="U63" s="16"/>
    </row>
    <row r="64" spans="1:21">
      <c r="A64" s="3038"/>
      <c r="B64" s="16"/>
      <c r="C64" s="16" t="s">
        <v>232</v>
      </c>
      <c r="D64" s="16">
        <v>20</v>
      </c>
      <c r="E64" s="16">
        <f>B63*D64/100</f>
        <v>107</v>
      </c>
      <c r="F64" s="16">
        <v>125.6</v>
      </c>
      <c r="G64" s="3261">
        <f>B63*D64/100*F64</f>
        <v>13439.199999999999</v>
      </c>
      <c r="H64" s="3010"/>
      <c r="I64" s="1328"/>
      <c r="J64" s="1328"/>
      <c r="K64" s="2831"/>
      <c r="L64" s="1561"/>
      <c r="M64" s="1561"/>
      <c r="N64" s="1561"/>
      <c r="O64" s="16"/>
      <c r="P64" s="2831"/>
      <c r="Q64" s="13"/>
      <c r="R64" s="16"/>
      <c r="S64" s="16"/>
      <c r="T64" s="16"/>
      <c r="U64" s="16"/>
    </row>
    <row r="65" spans="1:21">
      <c r="A65" s="3038" t="s">
        <v>3143</v>
      </c>
      <c r="B65" s="16">
        <f>B63*0.75</f>
        <v>401.25</v>
      </c>
      <c r="C65" s="16" t="s">
        <v>3145</v>
      </c>
      <c r="D65" s="16">
        <v>20</v>
      </c>
      <c r="E65" s="16">
        <f>B65*D65/100</f>
        <v>80.25</v>
      </c>
      <c r="F65" s="16">
        <v>68.3</v>
      </c>
      <c r="G65" s="3261">
        <f>B65*D65/100*F65</f>
        <v>5481.0749999999998</v>
      </c>
      <c r="H65" s="16"/>
      <c r="I65" s="16"/>
      <c r="J65" s="16"/>
      <c r="K65" s="16"/>
      <c r="L65" s="16"/>
      <c r="M65" s="16"/>
      <c r="N65" s="16"/>
      <c r="O65" s="16"/>
      <c r="P65" s="16"/>
      <c r="Q65" s="16"/>
      <c r="R65" s="16"/>
      <c r="S65" s="16"/>
      <c r="T65" s="16"/>
      <c r="U65" s="16"/>
    </row>
    <row r="66" spans="1:21">
      <c r="A66" s="3038"/>
      <c r="B66" s="16"/>
      <c r="C66" s="16" t="s">
        <v>233</v>
      </c>
      <c r="D66" s="16">
        <v>80</v>
      </c>
      <c r="E66" s="16">
        <f t="shared" ref="E66" si="3">B65*D66/100</f>
        <v>321</v>
      </c>
      <c r="F66" s="16">
        <v>1E-3</v>
      </c>
      <c r="G66" s="3261">
        <f>B65*D66/100*F66</f>
        <v>0.32100000000000001</v>
      </c>
      <c r="H66" s="16"/>
      <c r="I66" s="16"/>
      <c r="J66" s="16"/>
      <c r="K66" s="16"/>
      <c r="L66" s="16"/>
      <c r="M66" s="16"/>
      <c r="N66" s="16"/>
      <c r="O66" s="16"/>
      <c r="P66" s="16"/>
      <c r="Q66" s="16"/>
      <c r="R66" s="16"/>
      <c r="S66" s="16"/>
      <c r="T66" s="16"/>
      <c r="U66" s="16"/>
    </row>
    <row r="67" spans="1:21">
      <c r="A67" s="3038" t="s">
        <v>3164</v>
      </c>
      <c r="B67" s="16">
        <f>SUM(B63:B66)</f>
        <v>936.25</v>
      </c>
      <c r="C67" s="16"/>
      <c r="D67" s="16"/>
      <c r="E67" s="16"/>
      <c r="F67" s="16"/>
      <c r="G67" s="3033">
        <f>SUM(G63:G66)</f>
        <v>48152.995999999999</v>
      </c>
      <c r="H67" s="16"/>
      <c r="I67" s="16"/>
      <c r="J67" s="16"/>
      <c r="K67" s="16"/>
      <c r="L67" s="16"/>
      <c r="M67" s="16"/>
      <c r="N67" s="16"/>
      <c r="O67" s="16"/>
      <c r="P67" s="16"/>
      <c r="Q67" s="16"/>
      <c r="R67" s="16"/>
      <c r="S67" s="16"/>
      <c r="T67" s="16"/>
      <c r="U67" s="16"/>
    </row>
    <row r="68" spans="1:21">
      <c r="A68" s="3038"/>
      <c r="B68" s="16"/>
      <c r="C68" s="16"/>
      <c r="D68" s="16"/>
      <c r="E68" s="16"/>
      <c r="F68" s="16"/>
      <c r="G68" s="105"/>
    </row>
    <row r="69" spans="1:21">
      <c r="A69" s="3038" t="s">
        <v>3160</v>
      </c>
      <c r="B69" s="16">
        <f>F59</f>
        <v>700</v>
      </c>
      <c r="C69" s="16" t="s">
        <v>234</v>
      </c>
      <c r="D69" s="16">
        <v>100</v>
      </c>
      <c r="E69" s="16">
        <f>B69*D69/100</f>
        <v>700</v>
      </c>
      <c r="F69" s="16">
        <v>68.3</v>
      </c>
      <c r="G69" s="3261">
        <f>B69*D69/100*F69</f>
        <v>47810</v>
      </c>
    </row>
    <row r="70" spans="1:21">
      <c r="A70" s="16"/>
      <c r="B70" s="16"/>
      <c r="C70" s="16"/>
      <c r="D70" s="16"/>
      <c r="E70" s="16"/>
      <c r="F70" s="16"/>
      <c r="G70" s="1638"/>
    </row>
    <row r="71" spans="1:21">
      <c r="A71" s="16"/>
      <c r="B71" s="16"/>
      <c r="C71" s="16"/>
      <c r="D71" s="16"/>
      <c r="E71" s="16"/>
      <c r="F71" s="16"/>
      <c r="G71" s="3033">
        <f>SUM(G69:G70)</f>
        <v>47810</v>
      </c>
    </row>
    <row r="73" spans="1:21">
      <c r="A73" t="s">
        <v>327</v>
      </c>
      <c r="G73" s="3036">
        <f>G67+G71</f>
        <v>95962.995999999999</v>
      </c>
    </row>
  </sheetData>
  <pageMargins left="0.7" right="0.7" top="0.75" bottom="0.75" header="0.3" footer="0.3"/>
  <pageSetup paperSize="9" scale="45"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P264"/>
  <sheetViews>
    <sheetView zoomScale="73" zoomScaleNormal="73" workbookViewId="0">
      <selection activeCell="D5" sqref="D5"/>
    </sheetView>
  </sheetViews>
  <sheetFormatPr defaultColWidth="10.90625" defaultRowHeight="14.5"/>
  <cols>
    <col min="1" max="1" width="13.26953125" customWidth="1"/>
    <col min="2" max="2" width="47.7265625" customWidth="1"/>
    <col min="3" max="3" width="16" style="40" customWidth="1"/>
    <col min="4" max="4" width="47.54296875" style="40" customWidth="1"/>
    <col min="5" max="6" width="14" style="40" customWidth="1"/>
    <col min="7" max="7" width="13.54296875" style="40" customWidth="1"/>
    <col min="8" max="8" width="12.7265625" style="40" customWidth="1"/>
    <col min="9" max="9" width="13.453125" style="40" customWidth="1"/>
    <col min="10" max="10" width="10.81640625" style="40" customWidth="1"/>
    <col min="11" max="11" width="14" style="40" customWidth="1"/>
    <col min="12" max="12" width="12.453125" style="40" customWidth="1"/>
    <col min="13" max="13" width="12.26953125" style="40" customWidth="1"/>
    <col min="14" max="14" width="14.453125" style="40" customWidth="1"/>
    <col min="15" max="15" width="12.54296875" style="40" customWidth="1"/>
    <col min="16" max="16" width="10.81640625" style="28" customWidth="1"/>
    <col min="17" max="17" width="12.26953125" style="28" customWidth="1"/>
    <col min="18" max="18" width="11.81640625" style="28" customWidth="1"/>
    <col min="19" max="19" width="14.54296875" style="28" customWidth="1"/>
    <col min="20" max="20" width="12.26953125" style="28" customWidth="1"/>
    <col min="21" max="21" width="13.54296875" style="28" customWidth="1"/>
    <col min="22" max="22" width="12.26953125" style="28" customWidth="1"/>
    <col min="23" max="23" width="22" style="28" customWidth="1"/>
    <col min="24" max="24" width="18.81640625" style="28" customWidth="1"/>
    <col min="25" max="25" width="15.1796875" style="28" customWidth="1"/>
    <col min="26" max="26" width="18.54296875" style="28" customWidth="1"/>
    <col min="27" max="27" width="14.54296875" style="28" customWidth="1"/>
    <col min="28" max="28" width="18.54296875" style="28" customWidth="1"/>
    <col min="29" max="29" width="21.26953125" style="28" customWidth="1"/>
    <col min="30" max="30" width="18.26953125" style="28" customWidth="1"/>
    <col min="31" max="31" width="20.1796875" style="28" customWidth="1"/>
    <col min="32" max="32" width="16.1796875" style="28" customWidth="1"/>
    <col min="33" max="33" width="12.26953125" style="118" customWidth="1"/>
    <col min="34" max="34" width="16.1796875" customWidth="1"/>
    <col min="35" max="35" width="19.453125" customWidth="1"/>
    <col min="36" max="36" width="18.453125" customWidth="1"/>
    <col min="37" max="37" width="16.26953125" bestFit="1" customWidth="1"/>
    <col min="38" max="38" width="14.81640625" bestFit="1" customWidth="1"/>
    <col min="39" max="39" width="16.7265625" customWidth="1"/>
    <col min="40" max="40" width="16.26953125" customWidth="1"/>
    <col min="41" max="41" width="18" customWidth="1"/>
    <col min="42" max="42" width="17.26953125" customWidth="1"/>
    <col min="43" max="43" width="16.26953125" customWidth="1"/>
    <col min="44" max="44" width="17.453125" customWidth="1"/>
    <col min="45" max="45" width="19.81640625" customWidth="1"/>
    <col min="46" max="46" width="18.453125" customWidth="1"/>
    <col min="47" max="47" width="20" customWidth="1"/>
    <col min="48" max="48" width="18.54296875" customWidth="1"/>
    <col min="49" max="49" width="53.7265625" customWidth="1"/>
    <col min="50" max="50" width="16" style="16" customWidth="1"/>
    <col min="51" max="51" width="15.1796875" style="16" customWidth="1"/>
    <col min="52" max="52" width="15.54296875" style="16" customWidth="1"/>
    <col min="53" max="53" width="15.7265625" style="16" customWidth="1"/>
    <col min="54" max="54" width="18.453125" customWidth="1"/>
    <col min="55" max="55" width="15.7265625" customWidth="1"/>
    <col min="56" max="56" width="14" customWidth="1"/>
    <col min="57" max="57" width="13.54296875" customWidth="1"/>
    <col min="58" max="58" width="14.7265625" customWidth="1"/>
    <col min="59" max="59" width="13.54296875" customWidth="1"/>
    <col min="60" max="60" width="14.453125" customWidth="1"/>
    <col min="61" max="61" width="15.26953125" customWidth="1"/>
    <col min="62" max="62" width="15" customWidth="1"/>
    <col min="63" max="63" width="13.453125" customWidth="1"/>
    <col min="64" max="64" width="14.1796875" customWidth="1"/>
  </cols>
  <sheetData>
    <row r="1" spans="1:68" ht="27" customHeight="1">
      <c r="B1" s="160"/>
      <c r="C1" s="4621" t="s">
        <v>656</v>
      </c>
      <c r="D1" s="4621"/>
      <c r="E1" s="4621"/>
      <c r="F1" s="4621"/>
      <c r="G1" s="4621"/>
      <c r="H1" s="4621"/>
      <c r="I1" s="4621"/>
      <c r="J1" s="4621"/>
      <c r="K1" s="4621"/>
      <c r="L1" s="4621"/>
      <c r="M1" s="4621"/>
      <c r="N1" s="4621"/>
      <c r="O1" s="4621"/>
      <c r="P1" s="4621"/>
      <c r="Q1" s="4621"/>
      <c r="R1" s="4621"/>
      <c r="S1" s="4621"/>
      <c r="T1" s="4621"/>
      <c r="U1" s="4621"/>
      <c r="V1" s="4621"/>
      <c r="W1" s="4621"/>
      <c r="X1" s="4621"/>
      <c r="Y1" s="4621"/>
      <c r="Z1" s="4621"/>
      <c r="AA1" s="4621"/>
      <c r="AB1" s="4621"/>
      <c r="AC1" s="4621"/>
      <c r="AD1" s="4621"/>
      <c r="AE1" s="4621"/>
      <c r="AF1" s="4621"/>
      <c r="AG1" s="4621"/>
      <c r="AH1" s="4621"/>
      <c r="AI1" s="4621"/>
      <c r="AJ1" s="4621"/>
      <c r="AW1" s="16"/>
      <c r="BA1"/>
    </row>
    <row r="2" spans="1:68" ht="32.25" customHeight="1" thickBot="1">
      <c r="B2" s="207" t="s">
        <v>674</v>
      </c>
      <c r="C2" s="211" t="str">
        <f>'Seleccion proyecto HEREVEA02'!L6</f>
        <v>c107</v>
      </c>
      <c r="D2" s="211"/>
      <c r="E2" s="211"/>
      <c r="F2" s="211"/>
      <c r="G2" s="211"/>
      <c r="H2" s="1016"/>
      <c r="I2" s="211"/>
      <c r="J2" s="211"/>
      <c r="K2" s="211"/>
      <c r="L2" s="211"/>
      <c r="M2" s="211"/>
      <c r="N2" s="211"/>
      <c r="O2" s="211"/>
      <c r="P2" s="211"/>
      <c r="Q2" s="211"/>
      <c r="R2" s="211"/>
      <c r="S2" s="211"/>
      <c r="T2" s="208"/>
      <c r="U2" s="208"/>
      <c r="V2" s="208"/>
      <c r="W2" s="208"/>
      <c r="X2" s="209"/>
      <c r="Y2" s="209"/>
      <c r="Z2" s="209"/>
      <c r="AA2" s="209"/>
      <c r="AB2" s="209"/>
      <c r="AC2" s="209"/>
      <c r="AD2" s="1021"/>
      <c r="AE2" s="209"/>
      <c r="AF2" s="209"/>
      <c r="AG2" s="209"/>
      <c r="AH2" s="209"/>
      <c r="AI2" s="209"/>
      <c r="AJ2" s="209"/>
      <c r="AK2" s="209"/>
      <c r="AL2" s="209"/>
      <c r="AM2" s="210"/>
      <c r="AN2" s="160"/>
      <c r="AO2" s="160"/>
      <c r="AP2" s="160"/>
      <c r="AX2"/>
      <c r="AY2"/>
      <c r="AZ2"/>
      <c r="BA2"/>
      <c r="BD2" s="16"/>
      <c r="BE2" s="16"/>
      <c r="BF2" s="16"/>
      <c r="BG2" s="16"/>
    </row>
    <row r="3" spans="1:68" ht="41.25" customHeight="1">
      <c r="A3" s="21"/>
      <c r="B3" s="413" t="s">
        <v>286</v>
      </c>
      <c r="C3" s="414" t="s">
        <v>914</v>
      </c>
      <c r="D3" s="676" t="s">
        <v>899</v>
      </c>
      <c r="E3" s="1010" t="s">
        <v>1282</v>
      </c>
      <c r="F3" s="676" t="s">
        <v>903</v>
      </c>
      <c r="G3" s="1010" t="s">
        <v>1285</v>
      </c>
      <c r="H3" s="676" t="s">
        <v>900</v>
      </c>
      <c r="I3" s="1010" t="s">
        <v>1287</v>
      </c>
      <c r="J3" s="676" t="s">
        <v>901</v>
      </c>
      <c r="K3" s="1010" t="s">
        <v>1289</v>
      </c>
      <c r="L3" s="676" t="s">
        <v>904</v>
      </c>
      <c r="M3" s="1010" t="s">
        <v>1291</v>
      </c>
      <c r="N3" s="676" t="s">
        <v>905</v>
      </c>
      <c r="O3" s="1010" t="s">
        <v>1293</v>
      </c>
      <c r="P3" s="676" t="s">
        <v>906</v>
      </c>
      <c r="Q3" s="1010" t="s">
        <v>1301</v>
      </c>
      <c r="R3" s="676" t="s">
        <v>907</v>
      </c>
      <c r="S3" s="1010" t="s">
        <v>1302</v>
      </c>
      <c r="T3" s="676" t="s">
        <v>908</v>
      </c>
      <c r="U3" s="1010" t="s">
        <v>1303</v>
      </c>
      <c r="V3" s="676" t="s">
        <v>909</v>
      </c>
      <c r="W3" s="1010" t="s">
        <v>1304</v>
      </c>
      <c r="X3" s="676" t="s">
        <v>910</v>
      </c>
      <c r="Y3" s="1010" t="s">
        <v>1305</v>
      </c>
      <c r="Z3" s="676" t="s">
        <v>911</v>
      </c>
      <c r="AA3" s="1010" t="s">
        <v>1306</v>
      </c>
      <c r="AB3" s="1025" t="s">
        <v>288</v>
      </c>
      <c r="AC3" s="1027" t="s">
        <v>898</v>
      </c>
      <c r="AD3" s="1029" t="s">
        <v>1274</v>
      </c>
      <c r="AE3" s="1018" t="s">
        <v>287</v>
      </c>
      <c r="AF3" s="415" t="s">
        <v>915</v>
      </c>
      <c r="AG3" s="677" t="s">
        <v>899</v>
      </c>
      <c r="AH3" s="677" t="s">
        <v>903</v>
      </c>
      <c r="AI3" s="677" t="s">
        <v>900</v>
      </c>
      <c r="AJ3" s="677" t="s">
        <v>901</v>
      </c>
      <c r="AK3" s="677" t="s">
        <v>904</v>
      </c>
      <c r="AL3" s="677" t="s">
        <v>905</v>
      </c>
      <c r="AM3" s="677" t="s">
        <v>906</v>
      </c>
      <c r="AN3" s="677" t="s">
        <v>907</v>
      </c>
      <c r="AO3" s="677" t="s">
        <v>908</v>
      </c>
      <c r="AP3" s="677" t="s">
        <v>909</v>
      </c>
      <c r="AQ3" s="677" t="s">
        <v>910</v>
      </c>
      <c r="AR3" s="677" t="s">
        <v>911</v>
      </c>
      <c r="AS3" s="677" t="s">
        <v>898</v>
      </c>
      <c r="AT3" s="161" t="s">
        <v>657</v>
      </c>
      <c r="AU3" s="418" t="s">
        <v>658</v>
      </c>
      <c r="AV3" s="162"/>
      <c r="AW3" s="1076" t="s">
        <v>776</v>
      </c>
      <c r="AX3" s="1087" t="s">
        <v>327</v>
      </c>
      <c r="AY3" s="1086" t="s">
        <v>899</v>
      </c>
      <c r="AZ3" s="1088" t="s">
        <v>903</v>
      </c>
      <c r="BA3" s="1086" t="s">
        <v>900</v>
      </c>
      <c r="BB3" s="1088" t="s">
        <v>901</v>
      </c>
      <c r="BC3" s="1086" t="s">
        <v>904</v>
      </c>
      <c r="BD3" s="1088" t="s">
        <v>905</v>
      </c>
      <c r="BE3" s="1086" t="s">
        <v>906</v>
      </c>
      <c r="BF3" s="1088" t="s">
        <v>907</v>
      </c>
      <c r="BG3" s="1086" t="s">
        <v>908</v>
      </c>
      <c r="BH3" s="1088" t="s">
        <v>909</v>
      </c>
      <c r="BI3" s="1086" t="s">
        <v>910</v>
      </c>
      <c r="BJ3" s="1088" t="s">
        <v>911</v>
      </c>
      <c r="BK3" s="679" t="s">
        <v>1327</v>
      </c>
      <c r="BL3" s="679"/>
      <c r="BM3" s="679"/>
      <c r="BN3" s="679"/>
    </row>
    <row r="4" spans="1:68" ht="20.25" customHeight="1">
      <c r="A4" s="23"/>
      <c r="B4" s="163" t="s">
        <v>234</v>
      </c>
      <c r="C4" s="1015"/>
      <c r="D4" s="987"/>
      <c r="E4" s="1014" t="e">
        <f>SUM(E5:E22)</f>
        <v>#REF!</v>
      </c>
      <c r="F4" s="987"/>
      <c r="G4" s="987" t="e">
        <f>SUM(G5:G22)</f>
        <v>#REF!</v>
      </c>
      <c r="H4" s="987"/>
      <c r="I4" s="987" t="e">
        <f>SUM(I5:I22)</f>
        <v>#REF!</v>
      </c>
      <c r="J4" s="987"/>
      <c r="K4" s="987" t="e">
        <f>SUM(K5:K22)</f>
        <v>#REF!</v>
      </c>
      <c r="L4" s="987"/>
      <c r="M4" s="987" t="e">
        <f>SUM(M5:M22)</f>
        <v>#REF!</v>
      </c>
      <c r="N4" s="987"/>
      <c r="O4" s="987" t="e">
        <f>SUM(O5:O22)</f>
        <v>#REF!</v>
      </c>
      <c r="P4" s="987"/>
      <c r="Q4" s="987" t="e">
        <f>SUM(Q5:Q22)</f>
        <v>#REF!</v>
      </c>
      <c r="R4" s="987"/>
      <c r="S4" s="987" t="e">
        <f>SUM(S5:S22)</f>
        <v>#REF!</v>
      </c>
      <c r="T4" s="987"/>
      <c r="U4" s="987" t="e">
        <f>SUM(U5:U22)</f>
        <v>#REF!</v>
      </c>
      <c r="V4" s="987"/>
      <c r="W4" s="987" t="e">
        <f>SUM(W5:W22)</f>
        <v>#REF!</v>
      </c>
      <c r="X4" s="987" t="e">
        <f>SUM(X5:X22)</f>
        <v>#REF!</v>
      </c>
      <c r="Y4" s="987" t="e">
        <f>SUM(Y5:Y22)</f>
        <v>#REF!</v>
      </c>
      <c r="Z4" s="987" t="e">
        <f>SUM(Z5:Z22)</f>
        <v>#REF!</v>
      </c>
      <c r="AA4" s="987" t="e">
        <f>SUM(AA5:AA22)</f>
        <v>#REF!</v>
      </c>
      <c r="AB4" s="165"/>
      <c r="AC4" s="1028" t="e">
        <f>SUM(AC5:AC22)</f>
        <v>#REF!</v>
      </c>
      <c r="AD4" s="1026">
        <f>SUM(AD5:AD22)</f>
        <v>1267.4284</v>
      </c>
      <c r="AE4" s="1079"/>
      <c r="AF4" s="1080">
        <f>SUM(AF5:AF22)</f>
        <v>50697.135999999999</v>
      </c>
      <c r="AG4" s="1080" t="e">
        <f>SUM(AG5:AG22)</f>
        <v>#REF!</v>
      </c>
      <c r="AH4" s="1080" t="e">
        <f t="shared" ref="AH4:AR4" si="0">SUM(AH5:AH22)</f>
        <v>#REF!</v>
      </c>
      <c r="AI4" s="1080" t="e">
        <f>SUM(AI5:AI22)</f>
        <v>#REF!</v>
      </c>
      <c r="AJ4" s="1080" t="e">
        <f t="shared" si="0"/>
        <v>#REF!</v>
      </c>
      <c r="AK4" s="1080" t="e">
        <f>SUM(AK5:AK22)</f>
        <v>#REF!</v>
      </c>
      <c r="AL4" s="1080" t="e">
        <f>SUM(AL5:AL22)</f>
        <v>#REF!</v>
      </c>
      <c r="AM4" s="1080" t="e">
        <f>SUM(AM5:AM22)</f>
        <v>#REF!</v>
      </c>
      <c r="AN4" s="1080" t="e">
        <f t="shared" si="0"/>
        <v>#REF!</v>
      </c>
      <c r="AO4" s="1080" t="e">
        <f t="shared" si="0"/>
        <v>#REF!</v>
      </c>
      <c r="AP4" s="1080" t="e">
        <f t="shared" si="0"/>
        <v>#REF!</v>
      </c>
      <c r="AQ4" s="1080" t="e">
        <f t="shared" si="0"/>
        <v>#REF!</v>
      </c>
      <c r="AR4" s="1080" t="e">
        <f t="shared" si="0"/>
        <v>#REF!</v>
      </c>
      <c r="AS4" s="1080" t="e">
        <f>AG4+AH4+AI4+AJ4+AK4+AM4+AN4+AO4+AP4+AQ4+AR4</f>
        <v>#REF!</v>
      </c>
      <c r="AT4" s="165">
        <f>SUM(AF5:AF18)/$AX$5*$AX$7</f>
        <v>0.89969565295774645</v>
      </c>
      <c r="AU4" s="166">
        <f>AT4/$AX$8</f>
        <v>0.2515286259471215</v>
      </c>
      <c r="AV4" s="167"/>
      <c r="AW4" s="1085" t="s">
        <v>346</v>
      </c>
      <c r="AX4" s="1097">
        <f t="shared" ref="AX4:BJ4" si="1">AF174</f>
        <v>201556.12828997837</v>
      </c>
      <c r="AY4" s="1097" t="e">
        <f t="shared" si="1"/>
        <v>#REF!</v>
      </c>
      <c r="AZ4" s="1097" t="e">
        <f t="shared" si="1"/>
        <v>#REF!</v>
      </c>
      <c r="BA4" s="1097" t="e">
        <f t="shared" si="1"/>
        <v>#REF!</v>
      </c>
      <c r="BB4" s="1097" t="e">
        <f t="shared" si="1"/>
        <v>#REF!</v>
      </c>
      <c r="BC4" s="1097" t="e">
        <f t="shared" si="1"/>
        <v>#REF!</v>
      </c>
      <c r="BD4" s="1097" t="e">
        <f t="shared" si="1"/>
        <v>#REF!</v>
      </c>
      <c r="BE4" s="1097" t="e">
        <f t="shared" si="1"/>
        <v>#REF!</v>
      </c>
      <c r="BF4" s="1097" t="e">
        <f t="shared" si="1"/>
        <v>#REF!</v>
      </c>
      <c r="BG4" s="1097" t="e">
        <f t="shared" si="1"/>
        <v>#REF!</v>
      </c>
      <c r="BH4" s="1097" t="e">
        <f t="shared" si="1"/>
        <v>#REF!</v>
      </c>
      <c r="BI4" s="1097" t="e">
        <f t="shared" si="1"/>
        <v>#REF!</v>
      </c>
      <c r="BJ4" s="1097" t="e">
        <f t="shared" si="1"/>
        <v>#REF!</v>
      </c>
      <c r="BK4" s="680" t="e">
        <f>SUM(AY4:BJ4)</f>
        <v>#REF!</v>
      </c>
      <c r="BL4" s="680" t="e">
        <f>BK4-AX4</f>
        <v>#REF!</v>
      </c>
      <c r="BM4" s="680"/>
      <c r="BN4" s="680"/>
      <c r="BO4" s="10" t="s">
        <v>527</v>
      </c>
    </row>
    <row r="5" spans="1:68" ht="17.25" customHeight="1">
      <c r="A5" s="975" t="s">
        <v>1074</v>
      </c>
      <c r="B5" s="175" t="s">
        <v>13</v>
      </c>
      <c r="C5" s="169">
        <f>SUMIFS(BCRR_REHAB!L:L,BCRR_REHAB!D:D,'Huella materiales'!A5)</f>
        <v>0</v>
      </c>
      <c r="D5" s="146" t="e">
        <f>SUMIF(#REF!,'Huella materiales'!A5,#REF!)</f>
        <v>#REF!</v>
      </c>
      <c r="E5" s="1013" t="e">
        <f t="shared" ref="E5:E22" si="2">D5*AB5</f>
        <v>#REF!</v>
      </c>
      <c r="F5" s="146" t="e">
        <f>SUMIF(#REF!,'Huella materiales'!A5,#REF!)</f>
        <v>#REF!</v>
      </c>
      <c r="G5" s="1013" t="e">
        <f t="shared" ref="G5:G22" si="3">F5*AB5</f>
        <v>#REF!</v>
      </c>
      <c r="H5" s="146" t="e">
        <f>SUMIF(#REF!,'Huella materiales'!A5,#REF!)</f>
        <v>#REF!</v>
      </c>
      <c r="I5" s="1013" t="e">
        <f t="shared" ref="I5:I22" si="4">H5*AB5</f>
        <v>#REF!</v>
      </c>
      <c r="J5" s="146" t="e">
        <f>SUMIF(#REF!,'Huella materiales'!A5,#REF!)</f>
        <v>#REF!</v>
      </c>
      <c r="K5" s="1013" t="e">
        <f t="shared" ref="K5:K22" si="5">J5*AB5</f>
        <v>#REF!</v>
      </c>
      <c r="L5" s="146" t="e">
        <f>SUMIF(#REF!,'Huella materiales'!A5,#REF!)</f>
        <v>#REF!</v>
      </c>
      <c r="M5" s="1013" t="e">
        <f t="shared" ref="M5:M22" si="6">L5*AB5</f>
        <v>#REF!</v>
      </c>
      <c r="N5" s="146" t="e">
        <f>SUMIF(#REF!,'Huella materiales'!A5,#REF!)</f>
        <v>#REF!</v>
      </c>
      <c r="O5" s="1013" t="e">
        <f t="shared" ref="O5:O22" si="7">N5*AB5</f>
        <v>#REF!</v>
      </c>
      <c r="P5" s="146" t="e">
        <f>SUMIF(#REF!,'Huella materiales'!A5,#REF!)</f>
        <v>#REF!</v>
      </c>
      <c r="Q5" s="1013" t="e">
        <f>P5*AB5</f>
        <v>#REF!</v>
      </c>
      <c r="R5" s="146" t="e">
        <f>SUMIF(#REF!,'Huella materiales'!A5,#REF!)</f>
        <v>#REF!</v>
      </c>
      <c r="S5" s="1013" t="e">
        <f>R5*AB5</f>
        <v>#REF!</v>
      </c>
      <c r="T5" s="146" t="e">
        <f>SUMIF(#REF!,'Huella materiales'!A5,#REF!)</f>
        <v>#REF!</v>
      </c>
      <c r="U5" s="1013" t="e">
        <f>T5*AB5</f>
        <v>#REF!</v>
      </c>
      <c r="V5" s="146" t="e">
        <f>SUMIF(#REF!,'Huella materiales'!A5,#REF!)</f>
        <v>#REF!</v>
      </c>
      <c r="W5" s="1013" t="e">
        <f>V5*AB5</f>
        <v>#REF!</v>
      </c>
      <c r="X5" s="146" t="e">
        <f>SUMIF(#REF!,'Huella materiales'!A5,#REF!)</f>
        <v>#REF!</v>
      </c>
      <c r="Y5" s="1013" t="e">
        <f>X5*AB5</f>
        <v>#REF!</v>
      </c>
      <c r="Z5" s="146" t="e">
        <f>SUMIF(#REF!,'Huella materiales'!A5,#REF!)</f>
        <v>#REF!</v>
      </c>
      <c r="AA5" s="1013" t="e">
        <f>Z5*AB5</f>
        <v>#REF!</v>
      </c>
      <c r="AB5" s="1030">
        <f>'Datos auxiliares materiales'!$C$5</f>
        <v>1</v>
      </c>
      <c r="AC5" s="1017" t="e">
        <f>E5+G5+I5+K5+M5+O5+Q5+S5+U5+W5+Y5+AA5</f>
        <v>#REF!</v>
      </c>
      <c r="AD5" s="1022">
        <f t="shared" ref="AD5:AD22" si="8">C5*AB5</f>
        <v>0</v>
      </c>
      <c r="AE5" s="1077">
        <f>'Datos auxiliares materiales'!$D$5</f>
        <v>40</v>
      </c>
      <c r="AF5" s="170">
        <f>C5*AB5*AE5</f>
        <v>0</v>
      </c>
      <c r="AG5" s="170" t="e">
        <f>D5*AB5*AE5</f>
        <v>#REF!</v>
      </c>
      <c r="AH5" s="170" t="e">
        <f>F5*AB5*AE5</f>
        <v>#REF!</v>
      </c>
      <c r="AI5" s="170" t="e">
        <f>H5*AB5*AE5</f>
        <v>#REF!</v>
      </c>
      <c r="AJ5" s="170" t="e">
        <f>J5*AB5*AE5</f>
        <v>#REF!</v>
      </c>
      <c r="AK5" s="170" t="e">
        <f>L5*$AB$5*$AE$5</f>
        <v>#REF!</v>
      </c>
      <c r="AL5" s="170" t="e">
        <f>M5*$AB$5*$AE$5</f>
        <v>#REF!</v>
      </c>
      <c r="AM5" s="170" t="e">
        <f>P5*AB5*AE5</f>
        <v>#REF!</v>
      </c>
      <c r="AN5" s="170" t="e">
        <f>R5*AB5*AE5</f>
        <v>#REF!</v>
      </c>
      <c r="AO5" s="170" t="e">
        <f>T5*AB5*AE5</f>
        <v>#REF!</v>
      </c>
      <c r="AP5" s="170" t="e">
        <f>V5*AB5*AE5</f>
        <v>#REF!</v>
      </c>
      <c r="AQ5" s="170" t="e">
        <f>X5*AB5*AE5</f>
        <v>#REF!</v>
      </c>
      <c r="AR5" s="170" t="e">
        <f>Z5*AB5*AE5</f>
        <v>#REF!</v>
      </c>
      <c r="AS5" s="170"/>
      <c r="AT5" s="170"/>
      <c r="AU5" s="171"/>
      <c r="AV5" s="167"/>
      <c r="AW5" s="1073" t="s">
        <v>301</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N5" s="681"/>
      <c r="BO5" s="10" t="s">
        <v>528</v>
      </c>
    </row>
    <row r="6" spans="1:68" s="1521" customFormat="1">
      <c r="A6" s="1527" t="s">
        <v>1075</v>
      </c>
      <c r="B6" s="1513" t="s">
        <v>13</v>
      </c>
      <c r="C6" s="169">
        <f>SUMIFS(BCRR_REHAB!L:L,BCRR_REHAB!D:D,'Huella materiales'!A6)</f>
        <v>0</v>
      </c>
      <c r="D6" s="1515" t="e">
        <f>SUMIF(#REF!,'Huella materiales'!A6,#REF!)</f>
        <v>#REF!</v>
      </c>
      <c r="E6" s="1515" t="e">
        <f t="shared" si="2"/>
        <v>#REF!</v>
      </c>
      <c r="F6" s="146" t="e">
        <f>SUMIF(#REF!,'Huella materiales'!A6,#REF!)</f>
        <v>#REF!</v>
      </c>
      <c r="G6" s="1515" t="e">
        <f t="shared" si="3"/>
        <v>#REF!</v>
      </c>
      <c r="H6" s="146" t="e">
        <f>SUMIF(#REF!,'Huella materiales'!A6,#REF!)</f>
        <v>#REF!</v>
      </c>
      <c r="I6" s="1515" t="e">
        <f t="shared" si="4"/>
        <v>#REF!</v>
      </c>
      <c r="J6" s="146" t="e">
        <f>SUMIF(#REF!,'Huella materiales'!A6,#REF!)</f>
        <v>#REF!</v>
      </c>
      <c r="K6" s="1515" t="e">
        <f t="shared" si="5"/>
        <v>#REF!</v>
      </c>
      <c r="L6" s="146" t="e">
        <f>SUMIF(#REF!,'Huella materiales'!A6,#REF!)</f>
        <v>#REF!</v>
      </c>
      <c r="M6" s="1515" t="e">
        <f t="shared" si="6"/>
        <v>#REF!</v>
      </c>
      <c r="N6" s="1515" t="e">
        <f>SUMIF(#REF!,'Huella materiales'!A6,#REF!)</f>
        <v>#REF!</v>
      </c>
      <c r="O6" s="1515" t="e">
        <f t="shared" si="7"/>
        <v>#REF!</v>
      </c>
      <c r="P6" s="1515" t="e">
        <f>SUMIF(#REF!,'Huella materiales'!A6,#REF!)</f>
        <v>#REF!</v>
      </c>
      <c r="Q6" s="1515" t="e">
        <f t="shared" ref="Q6:Q22" si="9">P6*AB6</f>
        <v>#REF!</v>
      </c>
      <c r="R6" s="1515" t="e">
        <f>SUMIF(#REF!,'Huella materiales'!A6,#REF!)</f>
        <v>#REF!</v>
      </c>
      <c r="S6" s="1515" t="e">
        <f t="shared" ref="S6:S22" si="10">R6*AB6</f>
        <v>#REF!</v>
      </c>
      <c r="T6" s="146" t="e">
        <f>SUMIF(#REF!,'Huella materiales'!A6,#REF!)</f>
        <v>#REF!</v>
      </c>
      <c r="U6" s="1515" t="e">
        <f t="shared" ref="U6:U22" si="11">T6*AB6</f>
        <v>#REF!</v>
      </c>
      <c r="V6" s="1515" t="e">
        <f>SUMIF(#REF!,'Huella materiales'!A6,#REF!)</f>
        <v>#REF!</v>
      </c>
      <c r="W6" s="1515" t="e">
        <f t="shared" ref="W6:W22" si="12">V6*AB6</f>
        <v>#REF!</v>
      </c>
      <c r="X6" s="1515" t="e">
        <f>SUMIF(#REF!,'Huella materiales'!A6,#REF!)</f>
        <v>#REF!</v>
      </c>
      <c r="Y6" s="1515" t="e">
        <f t="shared" ref="Y6:Y22" si="13">X6*AB6</f>
        <v>#REF!</v>
      </c>
      <c r="Z6" s="1515" t="e">
        <f>SUMIF(#REF!,'Huella materiales'!A6,#REF!)</f>
        <v>#REF!</v>
      </c>
      <c r="AA6" s="1515" t="e">
        <f t="shared" ref="AA6:AA22" si="14">Z6*AB6</f>
        <v>#REF!</v>
      </c>
      <c r="AB6" s="1515">
        <f>'Datos auxiliares materiales'!$C$5</f>
        <v>1</v>
      </c>
      <c r="AC6" s="1516" t="e">
        <f t="shared" ref="AC6:AC22" si="15">E6+G6+I6+K6+M6+O6+Q6+S6+U6+W6+Y6+AA6</f>
        <v>#REF!</v>
      </c>
      <c r="AD6" s="1517">
        <f t="shared" si="8"/>
        <v>0</v>
      </c>
      <c r="AE6" s="1518">
        <f>'Datos auxiliares materiales'!$D$5</f>
        <v>40</v>
      </c>
      <c r="AF6" s="1515">
        <f t="shared" ref="AF6:AF22" si="16">C6*AB6*AE6</f>
        <v>0</v>
      </c>
      <c r="AG6" s="1515" t="e">
        <f t="shared" ref="AG6:AG27" si="17">D6*AB6*AE6</f>
        <v>#REF!</v>
      </c>
      <c r="AH6" s="1515" t="e">
        <f t="shared" ref="AH6:AH27" si="18">F6*AB6*AE6</f>
        <v>#REF!</v>
      </c>
      <c r="AI6" s="1515" t="e">
        <f t="shared" ref="AI6:AI27" si="19">H6*AB6*AE6</f>
        <v>#REF!</v>
      </c>
      <c r="AJ6" s="1515" t="e">
        <f t="shared" ref="AJ6:AJ27" si="20">J6*AB6*AE6</f>
        <v>#REF!</v>
      </c>
      <c r="AK6" s="1515" t="e">
        <f t="shared" ref="AK6:AK21" si="21">L6*AB6*AE6</f>
        <v>#REF!</v>
      </c>
      <c r="AL6" s="1515"/>
      <c r="AM6" s="1515" t="e">
        <f t="shared" ref="AM6:AM22" si="22">P6*AB6*AE6</f>
        <v>#REF!</v>
      </c>
      <c r="AN6" s="1515" t="e">
        <f t="shared" ref="AN6:AN22" si="23">R6*AB6*AE6</f>
        <v>#REF!</v>
      </c>
      <c r="AO6" s="1515" t="e">
        <f t="shared" ref="AO6:AO22" si="24">T6*AB6*AE6</f>
        <v>#REF!</v>
      </c>
      <c r="AP6" s="1515" t="e">
        <f t="shared" ref="AP6:AP22" si="25">V6*AB6*AE6</f>
        <v>#REF!</v>
      </c>
      <c r="AQ6" s="1515" t="e">
        <f t="shared" ref="AQ6:AQ22" si="26">X6*AB6*AE6</f>
        <v>#REF!</v>
      </c>
      <c r="AR6" s="1515" t="e">
        <f t="shared" ref="AR6:AR22" si="27">Z6*AB6*AE6</f>
        <v>#REF!</v>
      </c>
      <c r="AS6" s="1515"/>
      <c r="AT6" s="1515"/>
      <c r="AU6" s="1519"/>
      <c r="AV6" s="1520"/>
      <c r="AW6" s="1529" t="s">
        <v>347</v>
      </c>
      <c r="AX6" s="1537">
        <f>AX4/AX5</f>
        <v>2.8388187083095544</v>
      </c>
      <c r="AY6" s="1537" t="e">
        <f>AY4/AY5</f>
        <v>#REF!</v>
      </c>
      <c r="AZ6" s="1537" t="e">
        <f t="shared" ref="AZ6:BJ6" si="28">AZ4/AZ5</f>
        <v>#REF!</v>
      </c>
      <c r="BA6" s="1537" t="e">
        <f t="shared" si="28"/>
        <v>#REF!</v>
      </c>
      <c r="BB6" s="1537" t="e">
        <f t="shared" si="28"/>
        <v>#REF!</v>
      </c>
      <c r="BC6" s="1537" t="e">
        <f t="shared" si="28"/>
        <v>#REF!</v>
      </c>
      <c r="BD6" s="1537" t="e">
        <f t="shared" si="28"/>
        <v>#REF!</v>
      </c>
      <c r="BE6" s="1537" t="e">
        <f t="shared" si="28"/>
        <v>#REF!</v>
      </c>
      <c r="BF6" s="1537" t="e">
        <f t="shared" si="28"/>
        <v>#REF!</v>
      </c>
      <c r="BG6" s="1537" t="e">
        <f t="shared" si="28"/>
        <v>#REF!</v>
      </c>
      <c r="BH6" s="1537" t="e">
        <f t="shared" si="28"/>
        <v>#REF!</v>
      </c>
      <c r="BI6" s="1537" t="e">
        <f t="shared" si="28"/>
        <v>#REF!</v>
      </c>
      <c r="BJ6" s="1537" t="e">
        <f t="shared" si="28"/>
        <v>#REF!</v>
      </c>
      <c r="BK6" s="1538"/>
      <c r="BL6" s="1538"/>
      <c r="BM6" s="1538"/>
      <c r="BN6" s="1538"/>
      <c r="BO6" s="1373"/>
    </row>
    <row r="7" spans="1:68" s="1521" customFormat="1">
      <c r="A7" s="1527" t="s">
        <v>1533</v>
      </c>
      <c r="B7" s="1513" t="s">
        <v>1589</v>
      </c>
      <c r="C7" s="169">
        <f>SUMIFS(BCRR_REHAB!L:L,BCRR_REHAB!D:D,'Huella materiales'!A7)</f>
        <v>0</v>
      </c>
      <c r="D7" s="1515" t="e">
        <f>SUMIF(#REF!,'Huella materiales'!A7,#REF!)</f>
        <v>#REF!</v>
      </c>
      <c r="E7" s="1515" t="e">
        <f>D7*AB7</f>
        <v>#REF!</v>
      </c>
      <c r="F7" s="146" t="e">
        <f>SUMIF(#REF!,'Huella materiales'!A7,#REF!)</f>
        <v>#REF!</v>
      </c>
      <c r="G7" s="1515" t="e">
        <f>F7*AB7</f>
        <v>#REF!</v>
      </c>
      <c r="H7" s="146" t="e">
        <f>SUMIF(#REF!,'Huella materiales'!A7,#REF!)</f>
        <v>#REF!</v>
      </c>
      <c r="I7" s="1515" t="e">
        <f>H7*AB7</f>
        <v>#REF!</v>
      </c>
      <c r="J7" s="146" t="e">
        <f>SUMIF(#REF!,'Huella materiales'!A7,#REF!)</f>
        <v>#REF!</v>
      </c>
      <c r="K7" s="1515" t="e">
        <f>J7*AB7</f>
        <v>#REF!</v>
      </c>
      <c r="L7" s="146" t="e">
        <f>SUMIF(#REF!,'Huella materiales'!A7,#REF!)</f>
        <v>#REF!</v>
      </c>
      <c r="M7" s="1515" t="e">
        <f>L7*AB7</f>
        <v>#REF!</v>
      </c>
      <c r="N7" s="1515" t="e">
        <f>SUMIF(#REF!,'Huella materiales'!A7,#REF!)</f>
        <v>#REF!</v>
      </c>
      <c r="O7" s="1515" t="e">
        <f>N7*AB7</f>
        <v>#REF!</v>
      </c>
      <c r="P7" s="1515" t="e">
        <f>SUMIF(#REF!,'Huella materiales'!A7,#REF!)</f>
        <v>#REF!</v>
      </c>
      <c r="Q7" s="1515" t="e">
        <f>P7*AB7</f>
        <v>#REF!</v>
      </c>
      <c r="R7" s="1515" t="e">
        <f>SUMIF(#REF!,'Huella materiales'!A7,#REF!)</f>
        <v>#REF!</v>
      </c>
      <c r="S7" s="1515" t="e">
        <f>R7*AB7</f>
        <v>#REF!</v>
      </c>
      <c r="T7" s="146" t="e">
        <f>SUMIF(#REF!,'Huella materiales'!A7,#REF!)</f>
        <v>#REF!</v>
      </c>
      <c r="U7" s="1515" t="e">
        <f>T7*AB7</f>
        <v>#REF!</v>
      </c>
      <c r="V7" s="1515" t="e">
        <f>SUMIF(#REF!,'Huella materiales'!A7,#REF!)</f>
        <v>#REF!</v>
      </c>
      <c r="W7" s="1515" t="e">
        <f>V7*AB7</f>
        <v>#REF!</v>
      </c>
      <c r="X7" s="1515" t="e">
        <f>SUMIF(#REF!,'Huella materiales'!A7,#REF!)</f>
        <v>#REF!</v>
      </c>
      <c r="Y7" s="1515" t="e">
        <f>X7*AB7</f>
        <v>#REF!</v>
      </c>
      <c r="Z7" s="1515" t="e">
        <f>SUMIF(#REF!,'Huella materiales'!A7,#REF!)</f>
        <v>#REF!</v>
      </c>
      <c r="AA7" s="1515" t="e">
        <f>Z7*AB7</f>
        <v>#REF!</v>
      </c>
      <c r="AB7" s="1515">
        <f>'Datos auxiliares materiales'!$C$5</f>
        <v>1</v>
      </c>
      <c r="AC7" s="1516" t="e">
        <f>E7+G7+I7+K7+M7+O7+Q7+S7+U7+W7+Y7+AA7</f>
        <v>#REF!</v>
      </c>
      <c r="AD7" s="1517">
        <f>C7*AB7</f>
        <v>0</v>
      </c>
      <c r="AE7" s="1518">
        <f>'Datos auxiliares materiales'!$D$5</f>
        <v>40</v>
      </c>
      <c r="AF7" s="1515">
        <f>C7*AB7*AE7</f>
        <v>0</v>
      </c>
      <c r="AG7" s="1515" t="e">
        <f>D7*AB7*AE7</f>
        <v>#REF!</v>
      </c>
      <c r="AH7" s="1515" t="e">
        <f>F7*AB7*AE7</f>
        <v>#REF!</v>
      </c>
      <c r="AI7" s="1515" t="e">
        <f>H7*AB7*AE7</f>
        <v>#REF!</v>
      </c>
      <c r="AJ7" s="1515" t="e">
        <f>J7*AB7*AE7</f>
        <v>#REF!</v>
      </c>
      <c r="AK7" s="1515" t="e">
        <f>L7*AB7*AE7</f>
        <v>#REF!</v>
      </c>
      <c r="AL7" s="1515"/>
      <c r="AM7" s="1515" t="e">
        <f>P7*AB7*AE7</f>
        <v>#REF!</v>
      </c>
      <c r="AN7" s="1515" t="e">
        <f>R7*AB7*AE7</f>
        <v>#REF!</v>
      </c>
      <c r="AO7" s="1515" t="e">
        <f>T7*AB7*AE7</f>
        <v>#REF!</v>
      </c>
      <c r="AP7" s="1515" t="e">
        <f>V7*AB7*AE7</f>
        <v>#REF!</v>
      </c>
      <c r="AQ7" s="1515" t="e">
        <f>X7*AB7*AE7</f>
        <v>#REF!</v>
      </c>
      <c r="AR7" s="1515" t="e">
        <f>Z7*AB7*AE7</f>
        <v>#REF!</v>
      </c>
      <c r="AS7" s="1515"/>
      <c r="AT7" s="1515"/>
      <c r="AU7" s="1519"/>
      <c r="AV7" s="1520"/>
      <c r="AW7" s="1073" t="s">
        <v>348</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1538"/>
      <c r="BL7" s="1538"/>
      <c r="BM7" s="1538"/>
      <c r="BN7" s="1538"/>
      <c r="BO7" s="1373"/>
    </row>
    <row r="8" spans="1:68">
      <c r="A8" s="975" t="s">
        <v>1108</v>
      </c>
      <c r="B8" s="175" t="s">
        <v>13</v>
      </c>
      <c r="C8" s="169">
        <f>SUMIFS(BCRR_REHAB!L:L,BCRR_REHAB!D:D,'Huella materiales'!A8)</f>
        <v>0</v>
      </c>
      <c r="D8" s="146" t="e">
        <f>SUMIF(#REF!,'Huella materiales'!A8,#REF!)</f>
        <v>#REF!</v>
      </c>
      <c r="E8" s="1013" t="e">
        <f t="shared" si="2"/>
        <v>#REF!</v>
      </c>
      <c r="F8" s="146" t="e">
        <f>SUMIF(#REF!,'Huella materiales'!A8,#REF!)</f>
        <v>#REF!</v>
      </c>
      <c r="G8" s="1013" t="e">
        <f t="shared" si="3"/>
        <v>#REF!</v>
      </c>
      <c r="H8" s="146" t="e">
        <f>SUMIF(#REF!,'Huella materiales'!A8,#REF!)</f>
        <v>#REF!</v>
      </c>
      <c r="I8" s="1013" t="e">
        <f t="shared" si="4"/>
        <v>#REF!</v>
      </c>
      <c r="J8" s="146" t="e">
        <f>SUMIF(#REF!,'Huella materiales'!A8,#REF!)</f>
        <v>#REF!</v>
      </c>
      <c r="K8" s="1013" t="e">
        <f t="shared" si="5"/>
        <v>#REF!</v>
      </c>
      <c r="L8" s="146" t="e">
        <f>SUMIF(#REF!,'Huella materiales'!A8,#REF!)</f>
        <v>#REF!</v>
      </c>
      <c r="M8" s="1013" t="e">
        <f t="shared" si="6"/>
        <v>#REF!</v>
      </c>
      <c r="N8" s="146" t="e">
        <f>SUMIF(#REF!,'Huella materiales'!A8,#REF!)</f>
        <v>#REF!</v>
      </c>
      <c r="O8" s="1013" t="e">
        <f t="shared" si="7"/>
        <v>#REF!</v>
      </c>
      <c r="P8" s="146" t="e">
        <f>SUMIF(#REF!,'Huella materiales'!A8,#REF!)</f>
        <v>#REF!</v>
      </c>
      <c r="Q8" s="1013" t="e">
        <f t="shared" si="9"/>
        <v>#REF!</v>
      </c>
      <c r="R8" s="146" t="e">
        <f>SUMIF(#REF!,'Huella materiales'!A8,#REF!)</f>
        <v>#REF!</v>
      </c>
      <c r="S8" s="1013" t="e">
        <f t="shared" si="10"/>
        <v>#REF!</v>
      </c>
      <c r="T8" s="146" t="e">
        <f>SUMIF(#REF!,'Huella materiales'!A8,#REF!)</f>
        <v>#REF!</v>
      </c>
      <c r="U8" s="1013" t="e">
        <f t="shared" si="11"/>
        <v>#REF!</v>
      </c>
      <c r="V8" s="146" t="e">
        <f>SUMIF(#REF!,'Huella materiales'!A8,#REF!)</f>
        <v>#REF!</v>
      </c>
      <c r="W8" s="1013" t="e">
        <f t="shared" si="12"/>
        <v>#REF!</v>
      </c>
      <c r="X8" s="146" t="e">
        <f>SUMIF(#REF!,'Huella materiales'!A8,#REF!)</f>
        <v>#REF!</v>
      </c>
      <c r="Y8" s="1013" t="e">
        <f t="shared" si="13"/>
        <v>#REF!</v>
      </c>
      <c r="Z8" s="146" t="e">
        <f>SUMIF(#REF!,'Huella materiales'!A8,#REF!)</f>
        <v>#REF!</v>
      </c>
      <c r="AA8" s="1013" t="e">
        <f t="shared" si="14"/>
        <v>#REF!</v>
      </c>
      <c r="AB8" s="1030">
        <f>'Datos auxiliares materiales'!$C$5</f>
        <v>1</v>
      </c>
      <c r="AC8" s="1017" t="e">
        <f t="shared" si="15"/>
        <v>#REF!</v>
      </c>
      <c r="AD8" s="1022">
        <f t="shared" si="8"/>
        <v>0</v>
      </c>
      <c r="AE8" s="1077">
        <f>'Datos auxiliares materiales'!$D$5</f>
        <v>40</v>
      </c>
      <c r="AF8" s="170">
        <f t="shared" si="16"/>
        <v>0</v>
      </c>
      <c r="AG8" s="170" t="e">
        <f t="shared" si="17"/>
        <v>#REF!</v>
      </c>
      <c r="AH8" s="170" t="e">
        <f t="shared" si="18"/>
        <v>#REF!</v>
      </c>
      <c r="AI8" s="170" t="e">
        <f t="shared" si="19"/>
        <v>#REF!</v>
      </c>
      <c r="AJ8" s="170" t="e">
        <f t="shared" si="20"/>
        <v>#REF!</v>
      </c>
      <c r="AK8" s="170" t="e">
        <f t="shared" si="21"/>
        <v>#REF!</v>
      </c>
      <c r="AL8" s="170"/>
      <c r="AM8" s="170" t="e">
        <f t="shared" si="22"/>
        <v>#REF!</v>
      </c>
      <c r="AN8" s="170" t="e">
        <f t="shared" si="23"/>
        <v>#REF!</v>
      </c>
      <c r="AO8" s="170" t="e">
        <f t="shared" si="24"/>
        <v>#REF!</v>
      </c>
      <c r="AP8" s="170" t="e">
        <f t="shared" si="25"/>
        <v>#REF!</v>
      </c>
      <c r="AQ8" s="170" t="e">
        <f t="shared" si="26"/>
        <v>#REF!</v>
      </c>
      <c r="AR8" s="170" t="e">
        <f t="shared" si="27"/>
        <v>#REF!</v>
      </c>
      <c r="AS8" s="170"/>
      <c r="AT8" s="170"/>
      <c r="AU8" s="171"/>
      <c r="AV8" s="167"/>
      <c r="AW8" s="1074" t="s">
        <v>731</v>
      </c>
      <c r="AX8" s="1089">
        <f t="shared" ref="AX8:BJ8" si="29">AX6*AX7</f>
        <v>3.5769115724700384</v>
      </c>
      <c r="AY8" s="1090" t="e">
        <f t="shared" si="29"/>
        <v>#REF!</v>
      </c>
      <c r="AZ8" s="1090" t="e">
        <f t="shared" si="29"/>
        <v>#REF!</v>
      </c>
      <c r="BA8" s="1090" t="e">
        <f t="shared" si="29"/>
        <v>#REF!</v>
      </c>
      <c r="BB8" s="1090" t="e">
        <f t="shared" si="29"/>
        <v>#REF!</v>
      </c>
      <c r="BC8" s="1090" t="e">
        <f t="shared" si="29"/>
        <v>#REF!</v>
      </c>
      <c r="BD8" s="1090" t="e">
        <f t="shared" si="29"/>
        <v>#REF!</v>
      </c>
      <c r="BE8" s="1090" t="e">
        <f t="shared" si="29"/>
        <v>#REF!</v>
      </c>
      <c r="BF8" s="1090" t="e">
        <f t="shared" si="29"/>
        <v>#REF!</v>
      </c>
      <c r="BG8" s="1090" t="e">
        <f t="shared" si="29"/>
        <v>#REF!</v>
      </c>
      <c r="BH8" s="1090" t="e">
        <f t="shared" si="29"/>
        <v>#REF!</v>
      </c>
      <c r="BI8" s="1090" t="e">
        <f t="shared" si="29"/>
        <v>#REF!</v>
      </c>
      <c r="BJ8" s="1090" t="e">
        <f t="shared" si="29"/>
        <v>#REF!</v>
      </c>
      <c r="BK8" s="1072"/>
      <c r="BL8" s="1072"/>
      <c r="BM8" s="1072"/>
      <c r="BN8" s="681"/>
      <c r="BO8" s="10"/>
    </row>
    <row r="9" spans="1:68" ht="18" customHeight="1">
      <c r="A9" s="11" t="s">
        <v>1174</v>
      </c>
      <c r="B9" s="1145" t="s">
        <v>13</v>
      </c>
      <c r="C9" s="169">
        <f>SUMIFS(BCRR_REHAB!L:L,BCRR_REHAB!D:D,'Huella materiales'!A9)</f>
        <v>0</v>
      </c>
      <c r="D9" s="146" t="e">
        <f>SUMIF(#REF!,'Huella materiales'!A9,#REF!)</f>
        <v>#REF!</v>
      </c>
      <c r="E9" s="1013" t="e">
        <f t="shared" si="2"/>
        <v>#REF!</v>
      </c>
      <c r="F9" s="146" t="e">
        <f>SUMIF(#REF!,'Huella materiales'!A9,#REF!)</f>
        <v>#REF!</v>
      </c>
      <c r="G9" s="1013" t="e">
        <f t="shared" si="3"/>
        <v>#REF!</v>
      </c>
      <c r="H9" s="146" t="e">
        <f>SUMIF(#REF!,'Huella materiales'!A9,#REF!)</f>
        <v>#REF!</v>
      </c>
      <c r="I9" s="1013" t="e">
        <f t="shared" si="4"/>
        <v>#REF!</v>
      </c>
      <c r="J9" s="146" t="e">
        <f>SUMIF(#REF!,'Huella materiales'!A9,#REF!)</f>
        <v>#REF!</v>
      </c>
      <c r="K9" s="1013" t="e">
        <f t="shared" si="5"/>
        <v>#REF!</v>
      </c>
      <c r="L9" s="146" t="e">
        <f>SUMIF(#REF!,'Huella materiales'!A9,#REF!)</f>
        <v>#REF!</v>
      </c>
      <c r="M9" s="1013" t="e">
        <f t="shared" si="6"/>
        <v>#REF!</v>
      </c>
      <c r="N9" s="146" t="e">
        <f>SUMIF(#REF!,'Huella materiales'!A9,#REF!)</f>
        <v>#REF!</v>
      </c>
      <c r="O9" s="1013" t="e">
        <f t="shared" si="7"/>
        <v>#REF!</v>
      </c>
      <c r="P9" s="146" t="e">
        <f>SUMIF(#REF!,'Huella materiales'!A9,#REF!)</f>
        <v>#REF!</v>
      </c>
      <c r="Q9" s="1013" t="e">
        <f t="shared" si="9"/>
        <v>#REF!</v>
      </c>
      <c r="R9" s="146" t="e">
        <f>SUMIF(#REF!,'Huella materiales'!A9,#REF!)</f>
        <v>#REF!</v>
      </c>
      <c r="S9" s="1013" t="e">
        <f t="shared" si="10"/>
        <v>#REF!</v>
      </c>
      <c r="T9" s="146" t="e">
        <f>SUMIF(#REF!,'Huella materiales'!A9,#REF!)</f>
        <v>#REF!</v>
      </c>
      <c r="U9" s="1013" t="e">
        <f t="shared" si="11"/>
        <v>#REF!</v>
      </c>
      <c r="V9" s="146" t="e">
        <f>SUMIF(#REF!,'Huella materiales'!A9,#REF!)</f>
        <v>#REF!</v>
      </c>
      <c r="W9" s="1013" t="e">
        <f t="shared" si="12"/>
        <v>#REF!</v>
      </c>
      <c r="X9" s="146" t="e">
        <f>SUMIF(#REF!,'Huella materiales'!A9,#REF!)</f>
        <v>#REF!</v>
      </c>
      <c r="Y9" s="1013" t="e">
        <f t="shared" si="13"/>
        <v>#REF!</v>
      </c>
      <c r="Z9" s="146" t="e">
        <f>SUMIF(#REF!,'Huella materiales'!A9,#REF!)</f>
        <v>#REF!</v>
      </c>
      <c r="AA9" s="1013" t="e">
        <f t="shared" si="14"/>
        <v>#REF!</v>
      </c>
      <c r="AB9" s="1030">
        <f>'Datos auxiliares materiales'!$C$5</f>
        <v>1</v>
      </c>
      <c r="AC9" s="1017" t="e">
        <f t="shared" si="15"/>
        <v>#REF!</v>
      </c>
      <c r="AD9" s="1022">
        <f t="shared" si="8"/>
        <v>0</v>
      </c>
      <c r="AE9" s="1077">
        <f>'Datos auxiliares materiales'!$D$5</f>
        <v>40</v>
      </c>
      <c r="AF9" s="170">
        <f t="shared" si="16"/>
        <v>0</v>
      </c>
      <c r="AG9" s="170" t="e">
        <f t="shared" si="17"/>
        <v>#REF!</v>
      </c>
      <c r="AH9" s="170" t="e">
        <f t="shared" si="18"/>
        <v>#REF!</v>
      </c>
      <c r="AI9" s="170" t="e">
        <f t="shared" si="19"/>
        <v>#REF!</v>
      </c>
      <c r="AJ9" s="170" t="e">
        <f t="shared" si="20"/>
        <v>#REF!</v>
      </c>
      <c r="AK9" s="170" t="e">
        <f t="shared" si="21"/>
        <v>#REF!</v>
      </c>
      <c r="AL9" s="170"/>
      <c r="AM9" s="170" t="e">
        <f t="shared" si="22"/>
        <v>#REF!</v>
      </c>
      <c r="AN9" s="170" t="e">
        <f t="shared" si="23"/>
        <v>#REF!</v>
      </c>
      <c r="AO9" s="170" t="e">
        <f t="shared" si="24"/>
        <v>#REF!</v>
      </c>
      <c r="AP9" s="170" t="e">
        <f t="shared" si="25"/>
        <v>#REF!</v>
      </c>
      <c r="AQ9" s="170" t="e">
        <f t="shared" si="26"/>
        <v>#REF!</v>
      </c>
      <c r="AR9" s="170" t="e">
        <f t="shared" si="27"/>
        <v>#REF!</v>
      </c>
      <c r="AS9" s="170"/>
      <c r="AT9" s="170"/>
      <c r="AU9" s="171"/>
      <c r="AV9" s="167"/>
      <c r="AW9" s="1094" t="s">
        <v>1322</v>
      </c>
      <c r="AX9" s="1095">
        <f t="shared" ref="AX9:BJ9" si="30">E216</f>
        <v>6.4597183098591554E-3</v>
      </c>
      <c r="AY9" s="1075" t="e">
        <f t="shared" si="30"/>
        <v>#REF!</v>
      </c>
      <c r="AZ9" s="1095" t="e">
        <f t="shared" si="30"/>
        <v>#REF!</v>
      </c>
      <c r="BA9" s="1075" t="e">
        <f t="shared" si="30"/>
        <v>#REF!</v>
      </c>
      <c r="BB9" s="1095" t="e">
        <f t="shared" si="30"/>
        <v>#REF!</v>
      </c>
      <c r="BC9" s="1075" t="e">
        <f t="shared" si="30"/>
        <v>#REF!</v>
      </c>
      <c r="BD9" s="1095" t="e">
        <f t="shared" si="30"/>
        <v>#REF!</v>
      </c>
      <c r="BE9" s="1075" t="e">
        <f t="shared" si="30"/>
        <v>#REF!</v>
      </c>
      <c r="BF9" s="1095" t="e">
        <f t="shared" si="30"/>
        <v>#REF!</v>
      </c>
      <c r="BG9" s="1075" t="e">
        <f t="shared" si="30"/>
        <v>#REF!</v>
      </c>
      <c r="BH9" s="1095" t="e">
        <f t="shared" si="30"/>
        <v>#REF!</v>
      </c>
      <c r="BI9" s="1075" t="e">
        <f t="shared" si="30"/>
        <v>#REF!</v>
      </c>
      <c r="BJ9" s="1095" t="e">
        <f t="shared" si="30"/>
        <v>#REF!</v>
      </c>
      <c r="BK9" s="1072"/>
      <c r="BL9" s="1072"/>
      <c r="BM9" s="1072"/>
      <c r="BN9" s="681"/>
      <c r="BO9" s="10"/>
    </row>
    <row r="10" spans="1:68" ht="19.5" customHeight="1">
      <c r="A10" s="11" t="s">
        <v>1193</v>
      </c>
      <c r="B10" s="1145" t="s">
        <v>13</v>
      </c>
      <c r="C10" s="169">
        <f>SUMIFS(BCRR_REHAB!L:L,BCRR_REHAB!D:D,'Huella materiales'!A10)</f>
        <v>739.2</v>
      </c>
      <c r="D10" s="146" t="e">
        <f>SUMIF(#REF!,'Huella materiales'!A10,#REF!)</f>
        <v>#REF!</v>
      </c>
      <c r="E10" s="1013" t="e">
        <f t="shared" si="2"/>
        <v>#REF!</v>
      </c>
      <c r="F10" s="146" t="e">
        <f>SUMIF(#REF!,'Huella materiales'!A10,#REF!)</f>
        <v>#REF!</v>
      </c>
      <c r="G10" s="1013" t="e">
        <f t="shared" si="3"/>
        <v>#REF!</v>
      </c>
      <c r="H10" s="146" t="e">
        <f>SUMIF(#REF!,'Huella materiales'!A10,#REF!)</f>
        <v>#REF!</v>
      </c>
      <c r="I10" s="1013" t="e">
        <f t="shared" si="4"/>
        <v>#REF!</v>
      </c>
      <c r="J10" s="146" t="e">
        <f>SUMIF(#REF!,'Huella materiales'!A10,#REF!)</f>
        <v>#REF!</v>
      </c>
      <c r="K10" s="1013" t="e">
        <f t="shared" si="5"/>
        <v>#REF!</v>
      </c>
      <c r="L10" s="146" t="e">
        <f>SUMIF(#REF!,'Huella materiales'!A10,#REF!)</f>
        <v>#REF!</v>
      </c>
      <c r="M10" s="1013" t="e">
        <f t="shared" si="6"/>
        <v>#REF!</v>
      </c>
      <c r="N10" s="146" t="e">
        <f>SUMIF(#REF!,'Huella materiales'!A10,#REF!)</f>
        <v>#REF!</v>
      </c>
      <c r="O10" s="1013" t="e">
        <f t="shared" si="7"/>
        <v>#REF!</v>
      </c>
      <c r="P10" s="146" t="e">
        <f>SUMIF(#REF!,'Huella materiales'!A10,#REF!)</f>
        <v>#REF!</v>
      </c>
      <c r="Q10" s="1013" t="e">
        <f t="shared" si="9"/>
        <v>#REF!</v>
      </c>
      <c r="R10" s="146" t="e">
        <f>SUMIF(#REF!,'Huella materiales'!A10,#REF!)</f>
        <v>#REF!</v>
      </c>
      <c r="S10" s="1013" t="e">
        <f t="shared" si="10"/>
        <v>#REF!</v>
      </c>
      <c r="T10" s="146" t="e">
        <f>SUMIF(#REF!,'Huella materiales'!A10,#REF!)</f>
        <v>#REF!</v>
      </c>
      <c r="U10" s="1013" t="e">
        <f t="shared" si="11"/>
        <v>#REF!</v>
      </c>
      <c r="V10" s="146" t="e">
        <f>SUMIF(#REF!,'Huella materiales'!A10,#REF!)</f>
        <v>#REF!</v>
      </c>
      <c r="W10" s="1013" t="e">
        <f t="shared" si="12"/>
        <v>#REF!</v>
      </c>
      <c r="X10" s="146" t="e">
        <f>SUMIF(#REF!,'Huella materiales'!A10,#REF!)</f>
        <v>#REF!</v>
      </c>
      <c r="Y10" s="1013" t="e">
        <f t="shared" si="13"/>
        <v>#REF!</v>
      </c>
      <c r="Z10" s="146" t="e">
        <f>SUMIF(#REF!,'Huella materiales'!A10,#REF!)</f>
        <v>#REF!</v>
      </c>
      <c r="AA10" s="1013" t="e">
        <f t="shared" si="14"/>
        <v>#REF!</v>
      </c>
      <c r="AB10" s="1030">
        <f>'Datos auxiliares materiales'!$C$5</f>
        <v>1</v>
      </c>
      <c r="AC10" s="1017" t="e">
        <f t="shared" si="15"/>
        <v>#REF!</v>
      </c>
      <c r="AD10" s="1022">
        <f t="shared" si="8"/>
        <v>739.2</v>
      </c>
      <c r="AE10" s="1077">
        <f>'Datos auxiliares materiales'!$D$5</f>
        <v>40</v>
      </c>
      <c r="AF10" s="170">
        <f t="shared" si="16"/>
        <v>29568</v>
      </c>
      <c r="AG10" s="170" t="e">
        <f t="shared" si="17"/>
        <v>#REF!</v>
      </c>
      <c r="AH10" s="170" t="e">
        <f t="shared" si="18"/>
        <v>#REF!</v>
      </c>
      <c r="AI10" s="170" t="e">
        <f t="shared" si="19"/>
        <v>#REF!</v>
      </c>
      <c r="AJ10" s="170" t="e">
        <f t="shared" si="20"/>
        <v>#REF!</v>
      </c>
      <c r="AK10" s="170" t="e">
        <f t="shared" si="21"/>
        <v>#REF!</v>
      </c>
      <c r="AL10" s="170"/>
      <c r="AM10" s="170" t="e">
        <f t="shared" si="22"/>
        <v>#REF!</v>
      </c>
      <c r="AN10" s="170" t="e">
        <f t="shared" si="23"/>
        <v>#REF!</v>
      </c>
      <c r="AO10" s="170" t="e">
        <f t="shared" si="24"/>
        <v>#REF!</v>
      </c>
      <c r="AP10" s="170" t="e">
        <f t="shared" si="25"/>
        <v>#REF!</v>
      </c>
      <c r="AQ10" s="170" t="e">
        <f t="shared" si="26"/>
        <v>#REF!</v>
      </c>
      <c r="AR10" s="170" t="e">
        <f t="shared" si="27"/>
        <v>#REF!</v>
      </c>
      <c r="AS10" s="170"/>
      <c r="AT10" s="170"/>
      <c r="AU10" s="171"/>
      <c r="AV10" s="167"/>
      <c r="AW10" s="1096" t="s">
        <v>1326</v>
      </c>
      <c r="AX10" s="1098">
        <f>AX8+AX9</f>
        <v>3.5833712907798976</v>
      </c>
      <c r="AY10" s="1091" t="e">
        <f t="shared" ref="AY10:BJ10" si="31">AY8+AY9</f>
        <v>#REF!</v>
      </c>
      <c r="AZ10" s="1098" t="e">
        <f t="shared" si="31"/>
        <v>#REF!</v>
      </c>
      <c r="BA10" s="1091" t="e">
        <f t="shared" si="31"/>
        <v>#REF!</v>
      </c>
      <c r="BB10" s="1098" t="e">
        <f t="shared" si="31"/>
        <v>#REF!</v>
      </c>
      <c r="BC10" s="1091" t="e">
        <f t="shared" si="31"/>
        <v>#REF!</v>
      </c>
      <c r="BD10" s="1098" t="e">
        <f t="shared" si="31"/>
        <v>#REF!</v>
      </c>
      <c r="BE10" s="1091" t="e">
        <f t="shared" si="31"/>
        <v>#REF!</v>
      </c>
      <c r="BF10" s="1098" t="e">
        <f t="shared" si="31"/>
        <v>#REF!</v>
      </c>
      <c r="BG10" s="1091" t="e">
        <f t="shared" si="31"/>
        <v>#REF!</v>
      </c>
      <c r="BH10" s="1098" t="e">
        <f t="shared" si="31"/>
        <v>#REF!</v>
      </c>
      <c r="BI10" s="1091" t="e">
        <f t="shared" si="31"/>
        <v>#REF!</v>
      </c>
      <c r="BJ10" s="1098" t="e">
        <f t="shared" si="31"/>
        <v>#REF!</v>
      </c>
      <c r="BK10" s="681"/>
      <c r="BL10" s="681"/>
      <c r="BM10" s="681"/>
      <c r="BN10" s="681"/>
      <c r="BO10" s="10"/>
    </row>
    <row r="11" spans="1:68" ht="21.75" customHeight="1">
      <c r="A11" s="11" t="s">
        <v>1194</v>
      </c>
      <c r="B11" s="1145" t="s">
        <v>13</v>
      </c>
      <c r="C11" s="169">
        <f>SUMIFS(BCRR_REHAB!L:L,BCRR_REHAB!D:D,'Huella materiales'!A11)</f>
        <v>491.25684999999999</v>
      </c>
      <c r="D11" s="146" t="e">
        <f>SUMIF(#REF!,'Huella materiales'!A11,#REF!)</f>
        <v>#REF!</v>
      </c>
      <c r="E11" s="1013" t="e">
        <f t="shared" si="2"/>
        <v>#REF!</v>
      </c>
      <c r="F11" s="146" t="e">
        <f>SUMIF(#REF!,'Huella materiales'!A11,#REF!)</f>
        <v>#REF!</v>
      </c>
      <c r="G11" s="1013" t="e">
        <f t="shared" si="3"/>
        <v>#REF!</v>
      </c>
      <c r="H11" s="146" t="e">
        <f>SUMIF(#REF!,'Huella materiales'!A11,#REF!)</f>
        <v>#REF!</v>
      </c>
      <c r="I11" s="1013" t="e">
        <f t="shared" si="4"/>
        <v>#REF!</v>
      </c>
      <c r="J11" s="146" t="e">
        <f>SUMIF(#REF!,'Huella materiales'!A11,#REF!)</f>
        <v>#REF!</v>
      </c>
      <c r="K11" s="1013" t="e">
        <f t="shared" si="5"/>
        <v>#REF!</v>
      </c>
      <c r="L11" s="146" t="e">
        <f>SUMIF(#REF!,'Huella materiales'!A11,#REF!)</f>
        <v>#REF!</v>
      </c>
      <c r="M11" s="1013" t="e">
        <f t="shared" si="6"/>
        <v>#REF!</v>
      </c>
      <c r="N11" s="146" t="e">
        <f>SUMIF(#REF!,'Huella materiales'!A11,#REF!)</f>
        <v>#REF!</v>
      </c>
      <c r="O11" s="1013" t="e">
        <f t="shared" si="7"/>
        <v>#REF!</v>
      </c>
      <c r="P11" s="146" t="e">
        <f>SUMIF(#REF!,'Huella materiales'!A11,#REF!)</f>
        <v>#REF!</v>
      </c>
      <c r="Q11" s="1013" t="e">
        <f t="shared" si="9"/>
        <v>#REF!</v>
      </c>
      <c r="R11" s="146" t="e">
        <f>SUMIF(#REF!,'Huella materiales'!A11,#REF!)</f>
        <v>#REF!</v>
      </c>
      <c r="S11" s="1013" t="e">
        <f t="shared" si="10"/>
        <v>#REF!</v>
      </c>
      <c r="T11" s="146" t="e">
        <f>SUMIF(#REF!,'Huella materiales'!A11,#REF!)</f>
        <v>#REF!</v>
      </c>
      <c r="U11" s="1013" t="e">
        <f t="shared" si="11"/>
        <v>#REF!</v>
      </c>
      <c r="V11" s="146" t="e">
        <f>SUMIF(#REF!,'Huella materiales'!A11,#REF!)</f>
        <v>#REF!</v>
      </c>
      <c r="W11" s="1013" t="e">
        <f t="shared" si="12"/>
        <v>#REF!</v>
      </c>
      <c r="X11" s="146" t="e">
        <f>SUMIF(#REF!,'Huella materiales'!A11,#REF!)</f>
        <v>#REF!</v>
      </c>
      <c r="Y11" s="1013" t="e">
        <f t="shared" si="13"/>
        <v>#REF!</v>
      </c>
      <c r="Z11" s="146" t="e">
        <f>SUMIF(#REF!,'Huella materiales'!A11,#REF!)</f>
        <v>#REF!</v>
      </c>
      <c r="AA11" s="1013" t="e">
        <f t="shared" si="14"/>
        <v>#REF!</v>
      </c>
      <c r="AB11" s="1030">
        <f>'Datos auxiliares materiales'!$C$5</f>
        <v>1</v>
      </c>
      <c r="AC11" s="1017" t="e">
        <f t="shared" si="15"/>
        <v>#REF!</v>
      </c>
      <c r="AD11" s="1022">
        <f t="shared" si="8"/>
        <v>491.25684999999999</v>
      </c>
      <c r="AE11" s="1077">
        <f>'Datos auxiliares materiales'!$D$5</f>
        <v>40</v>
      </c>
      <c r="AF11" s="170">
        <f t="shared" si="16"/>
        <v>19650.273999999998</v>
      </c>
      <c r="AG11" s="170" t="e">
        <f t="shared" si="17"/>
        <v>#REF!</v>
      </c>
      <c r="AH11" s="170" t="e">
        <f t="shared" si="18"/>
        <v>#REF!</v>
      </c>
      <c r="AI11" s="170" t="e">
        <f t="shared" si="19"/>
        <v>#REF!</v>
      </c>
      <c r="AJ11" s="170" t="e">
        <f t="shared" si="20"/>
        <v>#REF!</v>
      </c>
      <c r="AK11" s="170" t="e">
        <f t="shared" si="21"/>
        <v>#REF!</v>
      </c>
      <c r="AL11" s="170"/>
      <c r="AM11" s="170" t="e">
        <f t="shared" si="22"/>
        <v>#REF!</v>
      </c>
      <c r="AN11" s="170" t="e">
        <f t="shared" si="23"/>
        <v>#REF!</v>
      </c>
      <c r="AO11" s="170" t="e">
        <f t="shared" si="24"/>
        <v>#REF!</v>
      </c>
      <c r="AP11" s="170" t="e">
        <f t="shared" si="25"/>
        <v>#REF!</v>
      </c>
      <c r="AQ11" s="170" t="e">
        <f t="shared" si="26"/>
        <v>#REF!</v>
      </c>
      <c r="AR11" s="170" t="e">
        <f t="shared" si="27"/>
        <v>#REF!</v>
      </c>
      <c r="AS11" s="170"/>
      <c r="AT11" s="170"/>
      <c r="AU11" s="171"/>
      <c r="AV11" s="167"/>
      <c r="AW11" s="160"/>
      <c r="AX11" s="160"/>
      <c r="AY11"/>
      <c r="AZ11"/>
      <c r="BA11"/>
      <c r="BF11" s="80"/>
      <c r="BL11" s="681"/>
      <c r="BM11" s="681"/>
      <c r="BN11" s="681"/>
      <c r="BO11" s="681"/>
      <c r="BP11" s="10"/>
    </row>
    <row r="12" spans="1:68">
      <c r="A12" s="975" t="s">
        <v>1196</v>
      </c>
      <c r="B12" s="175" t="s">
        <v>13</v>
      </c>
      <c r="C12" s="169">
        <f>SUMIFS(BCRR_REHAB!L:L,BCRR_REHAB!D:D,'Huella materiales'!A12)</f>
        <v>36.971550000000001</v>
      </c>
      <c r="D12" s="146" t="e">
        <f>SUMIF(#REF!,'Huella materiales'!A12,#REF!)</f>
        <v>#REF!</v>
      </c>
      <c r="E12" s="1013" t="e">
        <f t="shared" si="2"/>
        <v>#REF!</v>
      </c>
      <c r="F12" s="146" t="e">
        <f>SUMIF(#REF!,'Huella materiales'!A12,#REF!)</f>
        <v>#REF!</v>
      </c>
      <c r="G12" s="1013" t="e">
        <f t="shared" si="3"/>
        <v>#REF!</v>
      </c>
      <c r="H12" s="146" t="e">
        <f>SUMIF(#REF!,'Huella materiales'!A12,#REF!)</f>
        <v>#REF!</v>
      </c>
      <c r="I12" s="1013" t="e">
        <f t="shared" si="4"/>
        <v>#REF!</v>
      </c>
      <c r="J12" s="146" t="e">
        <f>SUMIF(#REF!,'Huella materiales'!A12,#REF!)</f>
        <v>#REF!</v>
      </c>
      <c r="K12" s="1013" t="e">
        <f t="shared" si="5"/>
        <v>#REF!</v>
      </c>
      <c r="L12" s="146" t="e">
        <f>SUMIF(#REF!,'Huella materiales'!A12,#REF!)</f>
        <v>#REF!</v>
      </c>
      <c r="M12" s="1013" t="e">
        <f t="shared" si="6"/>
        <v>#REF!</v>
      </c>
      <c r="N12" s="146" t="e">
        <f>SUMIF(#REF!,'Huella materiales'!A12,#REF!)</f>
        <v>#REF!</v>
      </c>
      <c r="O12" s="1013" t="e">
        <f t="shared" si="7"/>
        <v>#REF!</v>
      </c>
      <c r="P12" s="146" t="e">
        <f>SUMIF(#REF!,'Huella materiales'!A12,#REF!)</f>
        <v>#REF!</v>
      </c>
      <c r="Q12" s="1013" t="e">
        <f t="shared" si="9"/>
        <v>#REF!</v>
      </c>
      <c r="R12" s="146" t="e">
        <f>SUMIF(#REF!,'Huella materiales'!A12,#REF!)</f>
        <v>#REF!</v>
      </c>
      <c r="S12" s="1013" t="e">
        <f t="shared" si="10"/>
        <v>#REF!</v>
      </c>
      <c r="T12" s="146" t="e">
        <f>SUMIF(#REF!,'Huella materiales'!A12,#REF!)</f>
        <v>#REF!</v>
      </c>
      <c r="U12" s="1013" t="e">
        <f t="shared" si="11"/>
        <v>#REF!</v>
      </c>
      <c r="V12" s="146" t="e">
        <f>SUMIF(#REF!,'Huella materiales'!A12,#REF!)</f>
        <v>#REF!</v>
      </c>
      <c r="W12" s="1013" t="e">
        <f t="shared" si="12"/>
        <v>#REF!</v>
      </c>
      <c r="X12" s="146" t="e">
        <f>SUMIF(#REF!,'Huella materiales'!A12,#REF!)</f>
        <v>#REF!</v>
      </c>
      <c r="Y12" s="1013" t="e">
        <f t="shared" si="13"/>
        <v>#REF!</v>
      </c>
      <c r="Z12" s="146" t="e">
        <f>SUMIF(#REF!,'Huella materiales'!A12,#REF!)</f>
        <v>#REF!</v>
      </c>
      <c r="AA12" s="1013" t="e">
        <f t="shared" si="14"/>
        <v>#REF!</v>
      </c>
      <c r="AB12" s="1030">
        <f>'Datos auxiliares materiales'!$C$5</f>
        <v>1</v>
      </c>
      <c r="AC12" s="1017" t="e">
        <f t="shared" si="15"/>
        <v>#REF!</v>
      </c>
      <c r="AD12" s="1022">
        <f t="shared" si="8"/>
        <v>36.971550000000001</v>
      </c>
      <c r="AE12" s="1077">
        <f>'Datos auxiliares materiales'!$D$5</f>
        <v>40</v>
      </c>
      <c r="AF12" s="170">
        <f t="shared" si="16"/>
        <v>1478.8620000000001</v>
      </c>
      <c r="AG12" s="170" t="e">
        <f t="shared" si="17"/>
        <v>#REF!</v>
      </c>
      <c r="AH12" s="170" t="e">
        <f t="shared" si="18"/>
        <v>#REF!</v>
      </c>
      <c r="AI12" s="170" t="e">
        <f t="shared" si="19"/>
        <v>#REF!</v>
      </c>
      <c r="AJ12" s="170" t="e">
        <f t="shared" si="20"/>
        <v>#REF!</v>
      </c>
      <c r="AK12" s="170" t="e">
        <f t="shared" si="21"/>
        <v>#REF!</v>
      </c>
      <c r="AL12" s="170"/>
      <c r="AM12" s="170" t="e">
        <f t="shared" si="22"/>
        <v>#REF!</v>
      </c>
      <c r="AN12" s="170" t="e">
        <f t="shared" si="23"/>
        <v>#REF!</v>
      </c>
      <c r="AO12" s="170" t="e">
        <f t="shared" si="24"/>
        <v>#REF!</v>
      </c>
      <c r="AP12" s="170" t="e">
        <f t="shared" si="25"/>
        <v>#REF!</v>
      </c>
      <c r="AQ12" s="170" t="e">
        <f t="shared" si="26"/>
        <v>#REF!</v>
      </c>
      <c r="AR12" s="170" t="e">
        <f t="shared" si="27"/>
        <v>#REF!</v>
      </c>
      <c r="AS12" s="170"/>
      <c r="AT12" s="170"/>
      <c r="AU12" s="171"/>
      <c r="AV12" s="167"/>
      <c r="AW12" s="160"/>
      <c r="AX12" s="160"/>
      <c r="AY12"/>
      <c r="AZ12"/>
      <c r="BA12"/>
      <c r="BF12" s="80"/>
      <c r="BL12" s="681"/>
      <c r="BM12" s="681"/>
      <c r="BN12" s="681"/>
      <c r="BO12" s="681"/>
      <c r="BP12" s="10"/>
    </row>
    <row r="13" spans="1:68">
      <c r="A13" s="975" t="s">
        <v>1090</v>
      </c>
      <c r="B13" s="175" t="s">
        <v>1217</v>
      </c>
      <c r="C13" s="169">
        <f>SUMIFS(BCRR_REHAB!L:L,BCRR_REHAB!D:D,'Huella materiales'!A13)</f>
        <v>0</v>
      </c>
      <c r="D13" s="146" t="e">
        <f>SUMIF(#REF!,'Huella materiales'!A13,#REF!)</f>
        <v>#REF!</v>
      </c>
      <c r="E13" s="1013" t="e">
        <f t="shared" si="2"/>
        <v>#REF!</v>
      </c>
      <c r="F13" s="146" t="e">
        <f>SUMIF(#REF!,'Huella materiales'!A13,#REF!)</f>
        <v>#REF!</v>
      </c>
      <c r="G13" s="1013" t="e">
        <f t="shared" si="3"/>
        <v>#REF!</v>
      </c>
      <c r="H13" s="146" t="e">
        <f>SUMIF(#REF!,'Huella materiales'!A13,#REF!)</f>
        <v>#REF!</v>
      </c>
      <c r="I13" s="1013" t="e">
        <f t="shared" si="4"/>
        <v>#REF!</v>
      </c>
      <c r="J13" s="146" t="e">
        <f>SUMIF(#REF!,'Huella materiales'!A13,#REF!)</f>
        <v>#REF!</v>
      </c>
      <c r="K13" s="1013" t="e">
        <f t="shared" si="5"/>
        <v>#REF!</v>
      </c>
      <c r="L13" s="146" t="e">
        <f>SUMIF(#REF!,'Huella materiales'!A13,#REF!)</f>
        <v>#REF!</v>
      </c>
      <c r="M13" s="1013" t="e">
        <f t="shared" si="6"/>
        <v>#REF!</v>
      </c>
      <c r="N13" s="146" t="e">
        <f>SUMIF(#REF!,'Huella materiales'!A13,#REF!)</f>
        <v>#REF!</v>
      </c>
      <c r="O13" s="1013" t="e">
        <f t="shared" si="7"/>
        <v>#REF!</v>
      </c>
      <c r="P13" s="146" t="e">
        <f>SUMIF(#REF!,'Huella materiales'!A13,#REF!)</f>
        <v>#REF!</v>
      </c>
      <c r="Q13" s="1013" t="e">
        <f t="shared" si="9"/>
        <v>#REF!</v>
      </c>
      <c r="R13" s="146" t="e">
        <f>SUMIF(#REF!,'Huella materiales'!A13,#REF!)</f>
        <v>#REF!</v>
      </c>
      <c r="S13" s="1013" t="e">
        <f t="shared" si="10"/>
        <v>#REF!</v>
      </c>
      <c r="T13" s="146" t="e">
        <f>SUMIF(#REF!,'Huella materiales'!A13,#REF!)</f>
        <v>#REF!</v>
      </c>
      <c r="U13" s="1013" t="e">
        <f t="shared" si="11"/>
        <v>#REF!</v>
      </c>
      <c r="V13" s="146" t="e">
        <f>SUMIF(#REF!,'Huella materiales'!A13,#REF!)</f>
        <v>#REF!</v>
      </c>
      <c r="W13" s="1013" t="e">
        <f t="shared" si="12"/>
        <v>#REF!</v>
      </c>
      <c r="X13" s="146" t="e">
        <f>SUMIF(#REF!,'Huella materiales'!A13,#REF!)</f>
        <v>#REF!</v>
      </c>
      <c r="Y13" s="1013" t="e">
        <f t="shared" si="13"/>
        <v>#REF!</v>
      </c>
      <c r="Z13" s="146" t="e">
        <f>SUMIF(#REF!,'Huella materiales'!A13,#REF!)</f>
        <v>#REF!</v>
      </c>
      <c r="AA13" s="1013" t="e">
        <f t="shared" si="14"/>
        <v>#REF!</v>
      </c>
      <c r="AB13" s="1030">
        <f>'Datos auxiliares materiales'!$C$5</f>
        <v>1</v>
      </c>
      <c r="AC13" s="1017" t="e">
        <f t="shared" si="15"/>
        <v>#REF!</v>
      </c>
      <c r="AD13" s="1022">
        <f t="shared" si="8"/>
        <v>0</v>
      </c>
      <c r="AE13" s="1077">
        <f>'Datos auxiliares materiales'!$D$5</f>
        <v>40</v>
      </c>
      <c r="AF13" s="170">
        <f t="shared" si="16"/>
        <v>0</v>
      </c>
      <c r="AG13" s="170" t="e">
        <f t="shared" si="17"/>
        <v>#REF!</v>
      </c>
      <c r="AH13" s="170" t="e">
        <f t="shared" si="18"/>
        <v>#REF!</v>
      </c>
      <c r="AI13" s="170" t="e">
        <f t="shared" si="19"/>
        <v>#REF!</v>
      </c>
      <c r="AJ13" s="170" t="e">
        <f t="shared" si="20"/>
        <v>#REF!</v>
      </c>
      <c r="AK13" s="170" t="e">
        <f t="shared" si="21"/>
        <v>#REF!</v>
      </c>
      <c r="AL13" s="170"/>
      <c r="AM13" s="170" t="e">
        <f t="shared" si="22"/>
        <v>#REF!</v>
      </c>
      <c r="AN13" s="170" t="e">
        <f t="shared" si="23"/>
        <v>#REF!</v>
      </c>
      <c r="AO13" s="170" t="e">
        <f t="shared" si="24"/>
        <v>#REF!</v>
      </c>
      <c r="AP13" s="170" t="e">
        <f t="shared" si="25"/>
        <v>#REF!</v>
      </c>
      <c r="AQ13" s="170" t="e">
        <f t="shared" si="26"/>
        <v>#REF!</v>
      </c>
      <c r="AR13" s="170" t="e">
        <f t="shared" si="27"/>
        <v>#REF!</v>
      </c>
      <c r="AS13" s="170"/>
      <c r="AT13" s="170"/>
      <c r="AU13" s="171"/>
      <c r="AV13" s="167"/>
      <c r="AW13" s="160"/>
      <c r="AX13" s="160"/>
      <c r="AY13"/>
      <c r="AZ13"/>
      <c r="BA13"/>
      <c r="BF13" s="80"/>
      <c r="BL13" s="632"/>
      <c r="BM13" s="632"/>
      <c r="BN13" s="632"/>
      <c r="BO13" s="681"/>
      <c r="BP13" s="10"/>
    </row>
    <row r="14" spans="1:68">
      <c r="A14" s="975" t="s">
        <v>1199</v>
      </c>
      <c r="B14" s="175" t="s">
        <v>143</v>
      </c>
      <c r="C14" s="169">
        <f>SUMIFS(BCRR_REHAB!L:L,BCRR_REHAB!D:D,'Huella materiales'!A14)</f>
        <v>0</v>
      </c>
      <c r="D14" s="146" t="e">
        <f>SUMIF(#REF!,'Huella materiales'!A14,#REF!)</f>
        <v>#REF!</v>
      </c>
      <c r="E14" s="1013" t="e">
        <f t="shared" si="2"/>
        <v>#REF!</v>
      </c>
      <c r="F14" s="146" t="e">
        <f>SUMIF(#REF!,'Huella materiales'!A14,#REF!)</f>
        <v>#REF!</v>
      </c>
      <c r="G14" s="1013" t="e">
        <f t="shared" si="3"/>
        <v>#REF!</v>
      </c>
      <c r="H14" s="146" t="e">
        <f>SUMIF(#REF!,'Huella materiales'!A14,#REF!)</f>
        <v>#REF!</v>
      </c>
      <c r="I14" s="1013" t="e">
        <f t="shared" si="4"/>
        <v>#REF!</v>
      </c>
      <c r="J14" s="146" t="e">
        <f>SUMIF(#REF!,'Huella materiales'!A14,#REF!)</f>
        <v>#REF!</v>
      </c>
      <c r="K14" s="1013" t="e">
        <f t="shared" si="5"/>
        <v>#REF!</v>
      </c>
      <c r="L14" s="146" t="e">
        <f>SUMIF(#REF!,'Huella materiales'!A14,#REF!)</f>
        <v>#REF!</v>
      </c>
      <c r="M14" s="1013" t="e">
        <f t="shared" si="6"/>
        <v>#REF!</v>
      </c>
      <c r="N14" s="146" t="e">
        <f>SUMIF(#REF!,'Huella materiales'!A14,#REF!)</f>
        <v>#REF!</v>
      </c>
      <c r="O14" s="1013" t="e">
        <f t="shared" si="7"/>
        <v>#REF!</v>
      </c>
      <c r="P14" s="146" t="e">
        <f>SUMIF(#REF!,'Huella materiales'!A14,#REF!)</f>
        <v>#REF!</v>
      </c>
      <c r="Q14" s="1013" t="e">
        <f t="shared" si="9"/>
        <v>#REF!</v>
      </c>
      <c r="R14" s="146" t="e">
        <f>SUMIF(#REF!,'Huella materiales'!A14,#REF!)</f>
        <v>#REF!</v>
      </c>
      <c r="S14" s="1013" t="e">
        <f t="shared" si="10"/>
        <v>#REF!</v>
      </c>
      <c r="T14" s="146" t="e">
        <f>SUMIF(#REF!,'Huella materiales'!A14,#REF!)</f>
        <v>#REF!</v>
      </c>
      <c r="U14" s="1013" t="e">
        <f t="shared" si="11"/>
        <v>#REF!</v>
      </c>
      <c r="V14" s="146" t="e">
        <f>SUMIF(#REF!,'Huella materiales'!A14,#REF!)</f>
        <v>#REF!</v>
      </c>
      <c r="W14" s="1013" t="e">
        <f t="shared" si="12"/>
        <v>#REF!</v>
      </c>
      <c r="X14" s="146" t="e">
        <f>SUMIF(#REF!,'Huella materiales'!A14,#REF!)</f>
        <v>#REF!</v>
      </c>
      <c r="Y14" s="1013" t="e">
        <f t="shared" si="13"/>
        <v>#REF!</v>
      </c>
      <c r="Z14" s="146" t="e">
        <f>SUMIF(#REF!,'Huella materiales'!A14,#REF!)</f>
        <v>#REF!</v>
      </c>
      <c r="AA14" s="1013" t="e">
        <f t="shared" si="14"/>
        <v>#REF!</v>
      </c>
      <c r="AB14" s="1030">
        <f>'Datos auxiliares materiales'!C6</f>
        <v>0.1</v>
      </c>
      <c r="AC14" s="1017" t="e">
        <f t="shared" si="15"/>
        <v>#REF!</v>
      </c>
      <c r="AD14" s="1022">
        <f t="shared" si="8"/>
        <v>0</v>
      </c>
      <c r="AE14" s="1077">
        <f>'Datos auxiliares materiales'!D6</f>
        <v>40</v>
      </c>
      <c r="AF14" s="170">
        <f t="shared" si="16"/>
        <v>0</v>
      </c>
      <c r="AG14" s="170" t="e">
        <f t="shared" si="17"/>
        <v>#REF!</v>
      </c>
      <c r="AH14" s="170" t="e">
        <f t="shared" si="18"/>
        <v>#REF!</v>
      </c>
      <c r="AI14" s="170" t="e">
        <f t="shared" si="19"/>
        <v>#REF!</v>
      </c>
      <c r="AJ14" s="170" t="e">
        <f t="shared" si="20"/>
        <v>#REF!</v>
      </c>
      <c r="AK14" s="170" t="e">
        <f t="shared" si="21"/>
        <v>#REF!</v>
      </c>
      <c r="AL14" s="170" t="e">
        <f>N14*$AB$14*$AE$14</f>
        <v>#REF!</v>
      </c>
      <c r="AM14" s="170" t="e">
        <f t="shared" si="22"/>
        <v>#REF!</v>
      </c>
      <c r="AN14" s="170" t="e">
        <f t="shared" si="23"/>
        <v>#REF!</v>
      </c>
      <c r="AO14" s="170" t="e">
        <f t="shared" si="24"/>
        <v>#REF!</v>
      </c>
      <c r="AP14" s="170" t="e">
        <f t="shared" si="25"/>
        <v>#REF!</v>
      </c>
      <c r="AQ14" s="170" t="e">
        <f t="shared" si="26"/>
        <v>#REF!</v>
      </c>
      <c r="AR14" s="170" t="e">
        <f t="shared" si="27"/>
        <v>#REF!</v>
      </c>
      <c r="AS14" s="170"/>
      <c r="AT14" s="170"/>
      <c r="AU14" s="171"/>
      <c r="AV14" s="167"/>
      <c r="AW14" s="160"/>
      <c r="AX14" s="160"/>
      <c r="AY14"/>
      <c r="AZ14"/>
      <c r="BA14"/>
      <c r="BF14" s="81"/>
      <c r="BL14" s="635"/>
      <c r="BM14" s="635"/>
      <c r="BN14" s="635"/>
      <c r="BO14" s="632"/>
      <c r="BP14" s="10" t="s">
        <v>529</v>
      </c>
    </row>
    <row r="15" spans="1:68">
      <c r="A15" s="23"/>
      <c r="B15" s="175" t="s">
        <v>123</v>
      </c>
      <c r="C15" s="169">
        <f>SUMIFS(BCRR_REHAB!L:L,BCRR_REHAB!D:D,'Huella materiales'!A15)</f>
        <v>0</v>
      </c>
      <c r="D15" s="146" t="e">
        <f>SUMIF(#REF!,'Huella materiales'!A15,#REF!)</f>
        <v>#REF!</v>
      </c>
      <c r="E15" s="1013" t="e">
        <f t="shared" si="2"/>
        <v>#REF!</v>
      </c>
      <c r="F15" s="146" t="e">
        <f>SUMIF(#REF!,'Huella materiales'!A15,#REF!)</f>
        <v>#REF!</v>
      </c>
      <c r="G15" s="1013" t="e">
        <f t="shared" si="3"/>
        <v>#REF!</v>
      </c>
      <c r="H15" s="146" t="e">
        <f>SUMIF(#REF!,'Huella materiales'!A15,#REF!)</f>
        <v>#REF!</v>
      </c>
      <c r="I15" s="1013" t="e">
        <f t="shared" si="4"/>
        <v>#REF!</v>
      </c>
      <c r="J15" s="146" t="e">
        <f>SUMIF(#REF!,'Huella materiales'!A15,#REF!)</f>
        <v>#REF!</v>
      </c>
      <c r="K15" s="1013" t="e">
        <f t="shared" si="5"/>
        <v>#REF!</v>
      </c>
      <c r="L15" s="146" t="e">
        <f>SUMIF(#REF!,'Huella materiales'!A15,#REF!)</f>
        <v>#REF!</v>
      </c>
      <c r="M15" s="1013" t="e">
        <f t="shared" si="6"/>
        <v>#REF!</v>
      </c>
      <c r="N15" s="146" t="e">
        <f>SUMIF(#REF!,'Huella materiales'!A15,#REF!)</f>
        <v>#REF!</v>
      </c>
      <c r="O15" s="1013" t="e">
        <f t="shared" si="7"/>
        <v>#REF!</v>
      </c>
      <c r="P15" s="146" t="e">
        <f>SUMIF(#REF!,'Huella materiales'!A15,#REF!)</f>
        <v>#REF!</v>
      </c>
      <c r="Q15" s="1013" t="e">
        <f t="shared" si="9"/>
        <v>#REF!</v>
      </c>
      <c r="R15" s="146" t="e">
        <f>SUMIF(#REF!,'Huella materiales'!A15,#REF!)</f>
        <v>#REF!</v>
      </c>
      <c r="S15" s="1013" t="e">
        <f t="shared" si="10"/>
        <v>#REF!</v>
      </c>
      <c r="T15" s="146" t="e">
        <f>SUMIF(#REF!,'Huella materiales'!A15,#REF!)</f>
        <v>#REF!</v>
      </c>
      <c r="U15" s="1013" t="e">
        <f t="shared" si="11"/>
        <v>#REF!</v>
      </c>
      <c r="V15" s="146" t="e">
        <f>SUMIF(#REF!,'Huella materiales'!A15,#REF!)</f>
        <v>#REF!</v>
      </c>
      <c r="W15" s="1013" t="e">
        <f t="shared" si="12"/>
        <v>#REF!</v>
      </c>
      <c r="X15" s="146" t="e">
        <f>SUMIF(#REF!,'Huella materiales'!A15,#REF!)</f>
        <v>#REF!</v>
      </c>
      <c r="Y15" s="1013" t="e">
        <f t="shared" si="13"/>
        <v>#REF!</v>
      </c>
      <c r="Z15" s="146" t="e">
        <f>SUMIF(#REF!,'Huella materiales'!A15,#REF!)</f>
        <v>#REF!</v>
      </c>
      <c r="AA15" s="1013" t="e">
        <f t="shared" si="14"/>
        <v>#REF!</v>
      </c>
      <c r="AB15" s="1030">
        <f>'Datos auxiliares materiales'!C7</f>
        <v>12.26</v>
      </c>
      <c r="AC15" s="1017" t="e">
        <f t="shared" si="15"/>
        <v>#REF!</v>
      </c>
      <c r="AD15" s="1022">
        <f t="shared" si="8"/>
        <v>0</v>
      </c>
      <c r="AE15" s="1077">
        <f>'Datos auxiliares materiales'!D7</f>
        <v>40</v>
      </c>
      <c r="AF15" s="170">
        <f t="shared" si="16"/>
        <v>0</v>
      </c>
      <c r="AG15" s="170" t="e">
        <f t="shared" si="17"/>
        <v>#REF!</v>
      </c>
      <c r="AH15" s="170" t="e">
        <f t="shared" si="18"/>
        <v>#REF!</v>
      </c>
      <c r="AI15" s="170" t="e">
        <f t="shared" si="19"/>
        <v>#REF!</v>
      </c>
      <c r="AJ15" s="170" t="e">
        <f t="shared" si="20"/>
        <v>#REF!</v>
      </c>
      <c r="AK15" s="170" t="e">
        <f t="shared" si="21"/>
        <v>#REF!</v>
      </c>
      <c r="AL15" s="170" t="e">
        <f>N15*$AB$15*$AE$15</f>
        <v>#REF!</v>
      </c>
      <c r="AM15" s="170" t="e">
        <f t="shared" si="22"/>
        <v>#REF!</v>
      </c>
      <c r="AN15" s="170" t="e">
        <f t="shared" si="23"/>
        <v>#REF!</v>
      </c>
      <c r="AO15" s="170" t="e">
        <f t="shared" si="24"/>
        <v>#REF!</v>
      </c>
      <c r="AP15" s="170" t="e">
        <f t="shared" si="25"/>
        <v>#REF!</v>
      </c>
      <c r="AQ15" s="170" t="e">
        <f t="shared" si="26"/>
        <v>#REF!</v>
      </c>
      <c r="AR15" s="170" t="e">
        <f t="shared" si="27"/>
        <v>#REF!</v>
      </c>
      <c r="AS15" s="170"/>
      <c r="AT15" s="170"/>
      <c r="AU15" s="171"/>
      <c r="AV15" s="167"/>
      <c r="AW15" s="38" t="s">
        <v>767</v>
      </c>
      <c r="AX15" s="397"/>
      <c r="AY15"/>
      <c r="AZ15"/>
      <c r="BA15"/>
      <c r="BF15" s="81"/>
      <c r="BL15" s="635"/>
      <c r="BM15" s="635"/>
      <c r="BN15" s="635"/>
      <c r="BO15" s="635"/>
      <c r="BP15" s="10" t="s">
        <v>530</v>
      </c>
    </row>
    <row r="16" spans="1:68">
      <c r="A16" s="975" t="s">
        <v>1177</v>
      </c>
      <c r="B16" s="978" t="s">
        <v>1236</v>
      </c>
      <c r="C16" s="169">
        <f>SUMIFS(BCRR_REHAB!L:L,BCRR_REHAB!D:D,'Huella materiales'!A16)</f>
        <v>0</v>
      </c>
      <c r="D16" s="146" t="e">
        <f>SUMIF(#REF!,'Huella materiales'!A16,#REF!)</f>
        <v>#REF!</v>
      </c>
      <c r="E16" s="1013" t="e">
        <f t="shared" si="2"/>
        <v>#REF!</v>
      </c>
      <c r="F16" s="146" t="e">
        <f>SUMIF(#REF!,'Huella materiales'!A16,#REF!)</f>
        <v>#REF!</v>
      </c>
      <c r="G16" s="1013" t="e">
        <f t="shared" si="3"/>
        <v>#REF!</v>
      </c>
      <c r="H16" s="146" t="e">
        <f>SUMIF(#REF!,'Huella materiales'!A16,#REF!)</f>
        <v>#REF!</v>
      </c>
      <c r="I16" s="1013" t="e">
        <f t="shared" si="4"/>
        <v>#REF!</v>
      </c>
      <c r="J16" s="146" t="e">
        <f>SUMIF(#REF!,'Huella materiales'!A16,#REF!)</f>
        <v>#REF!</v>
      </c>
      <c r="K16" s="1013" t="e">
        <f t="shared" si="5"/>
        <v>#REF!</v>
      </c>
      <c r="L16" s="146" t="e">
        <f>SUMIF(#REF!,'Huella materiales'!A16,#REF!)</f>
        <v>#REF!</v>
      </c>
      <c r="M16" s="1013" t="e">
        <f t="shared" si="6"/>
        <v>#REF!</v>
      </c>
      <c r="N16" s="146" t="e">
        <f>SUMIF(#REF!,'Huella materiales'!A16,#REF!)</f>
        <v>#REF!</v>
      </c>
      <c r="O16" s="1013" t="e">
        <f t="shared" si="7"/>
        <v>#REF!</v>
      </c>
      <c r="P16" s="146" t="e">
        <f>SUMIF(#REF!,'Huella materiales'!A16,#REF!)</f>
        <v>#REF!</v>
      </c>
      <c r="Q16" s="1013" t="e">
        <f t="shared" si="9"/>
        <v>#REF!</v>
      </c>
      <c r="R16" s="146" t="e">
        <f>SUMIF(#REF!,'Huella materiales'!A16,#REF!)</f>
        <v>#REF!</v>
      </c>
      <c r="S16" s="1013" t="e">
        <f t="shared" si="10"/>
        <v>#REF!</v>
      </c>
      <c r="T16" s="146" t="e">
        <f>SUMIF(#REF!,'Huella materiales'!A16,#REF!)</f>
        <v>#REF!</v>
      </c>
      <c r="U16" s="1013" t="e">
        <f t="shared" si="11"/>
        <v>#REF!</v>
      </c>
      <c r="V16" s="146" t="e">
        <f>SUMIF(#REF!,'Huella materiales'!A16,#REF!)</f>
        <v>#REF!</v>
      </c>
      <c r="W16" s="1013" t="e">
        <f t="shared" si="12"/>
        <v>#REF!</v>
      </c>
      <c r="X16" s="146" t="e">
        <f>SUMIF(#REF!,'Huella materiales'!A16,#REF!)</f>
        <v>#REF!</v>
      </c>
      <c r="Y16" s="1013" t="e">
        <f t="shared" si="13"/>
        <v>#REF!</v>
      </c>
      <c r="Z16" s="146" t="e">
        <f>SUMIF(#REF!,'Huella materiales'!A16,#REF!)</f>
        <v>#REF!</v>
      </c>
      <c r="AA16" s="1013" t="e">
        <f t="shared" si="14"/>
        <v>#REF!</v>
      </c>
      <c r="AB16" s="1030">
        <f>'Datos auxiliares materiales'!C8</f>
        <v>1.3574999999999999</v>
      </c>
      <c r="AC16" s="1017" t="e">
        <f t="shared" si="15"/>
        <v>#REF!</v>
      </c>
      <c r="AD16" s="1022">
        <f t="shared" si="8"/>
        <v>0</v>
      </c>
      <c r="AE16" s="1077">
        <f>'Datos auxiliares materiales'!D8</f>
        <v>177</v>
      </c>
      <c r="AF16" s="170">
        <f t="shared" si="16"/>
        <v>0</v>
      </c>
      <c r="AG16" s="170" t="e">
        <f t="shared" si="17"/>
        <v>#REF!</v>
      </c>
      <c r="AH16" s="170" t="e">
        <f t="shared" si="18"/>
        <v>#REF!</v>
      </c>
      <c r="AI16" s="170" t="e">
        <f t="shared" si="19"/>
        <v>#REF!</v>
      </c>
      <c r="AJ16" s="170" t="e">
        <f t="shared" si="20"/>
        <v>#REF!</v>
      </c>
      <c r="AK16" s="170" t="e">
        <f t="shared" si="21"/>
        <v>#REF!</v>
      </c>
      <c r="AL16" s="170" t="e">
        <f>N16*$AB$15*$AE$15</f>
        <v>#REF!</v>
      </c>
      <c r="AM16" s="170" t="e">
        <f t="shared" si="22"/>
        <v>#REF!</v>
      </c>
      <c r="AN16" s="170" t="e">
        <f t="shared" si="23"/>
        <v>#REF!</v>
      </c>
      <c r="AO16" s="170" t="e">
        <f t="shared" si="24"/>
        <v>#REF!</v>
      </c>
      <c r="AP16" s="170" t="e">
        <f t="shared" si="25"/>
        <v>#REF!</v>
      </c>
      <c r="AQ16" s="170" t="e">
        <f t="shared" si="26"/>
        <v>#REF!</v>
      </c>
      <c r="AR16" s="170" t="e">
        <f t="shared" si="27"/>
        <v>#REF!</v>
      </c>
      <c r="AS16" s="170"/>
      <c r="AT16" s="170"/>
      <c r="AU16" s="171"/>
      <c r="AV16" s="167"/>
      <c r="AW16" s="38"/>
      <c r="AX16" s="38"/>
      <c r="AY16"/>
      <c r="AZ16"/>
      <c r="BA16"/>
      <c r="BF16" s="81"/>
      <c r="BL16" s="652"/>
      <c r="BM16" s="652"/>
      <c r="BN16" s="652"/>
      <c r="BO16" s="635"/>
      <c r="BP16" s="10" t="s">
        <v>530</v>
      </c>
    </row>
    <row r="17" spans="1:68">
      <c r="A17" s="984" t="s">
        <v>1254</v>
      </c>
      <c r="B17" s="175" t="s">
        <v>94</v>
      </c>
      <c r="C17" s="169">
        <f>SUMIFS(BCRR_REHAB!L:L,BCRR_REHAB!D:D,'Huella materiales'!A17)</f>
        <v>0</v>
      </c>
      <c r="D17" s="146" t="e">
        <f>SUMIF(#REF!,'Huella materiales'!A17,#REF!)</f>
        <v>#REF!</v>
      </c>
      <c r="E17" s="1013" t="e">
        <f t="shared" si="2"/>
        <v>#REF!</v>
      </c>
      <c r="F17" s="146" t="e">
        <f>SUMIF(#REF!,'Huella materiales'!A17,#REF!)</f>
        <v>#REF!</v>
      </c>
      <c r="G17" s="1013" t="e">
        <f t="shared" si="3"/>
        <v>#REF!</v>
      </c>
      <c r="H17" s="146" t="e">
        <f>SUMIF(#REF!,'Huella materiales'!A17,#REF!)</f>
        <v>#REF!</v>
      </c>
      <c r="I17" s="1013" t="e">
        <f t="shared" si="4"/>
        <v>#REF!</v>
      </c>
      <c r="J17" s="146" t="e">
        <f>SUMIF(#REF!,'Huella materiales'!A17,#REF!)</f>
        <v>#REF!</v>
      </c>
      <c r="K17" s="1013" t="e">
        <f t="shared" si="5"/>
        <v>#REF!</v>
      </c>
      <c r="L17" s="146" t="e">
        <f>SUMIF(#REF!,'Huella materiales'!A17,#REF!)</f>
        <v>#REF!</v>
      </c>
      <c r="M17" s="1013" t="e">
        <f t="shared" si="6"/>
        <v>#REF!</v>
      </c>
      <c r="N17" s="146" t="e">
        <f>SUMIF(#REF!,'Huella materiales'!A17,#REF!)</f>
        <v>#REF!</v>
      </c>
      <c r="O17" s="1013" t="e">
        <f t="shared" si="7"/>
        <v>#REF!</v>
      </c>
      <c r="P17" s="146" t="e">
        <f>SUMIF(#REF!,'Huella materiales'!A17,#REF!)</f>
        <v>#REF!</v>
      </c>
      <c r="Q17" s="1013" t="e">
        <f t="shared" si="9"/>
        <v>#REF!</v>
      </c>
      <c r="R17" s="146" t="e">
        <f>SUMIF(#REF!,'Huella materiales'!A17,#REF!)</f>
        <v>#REF!</v>
      </c>
      <c r="S17" s="1013" t="e">
        <f t="shared" si="10"/>
        <v>#REF!</v>
      </c>
      <c r="T17" s="146" t="e">
        <f>SUMIF(#REF!,'Huella materiales'!A17,#REF!)</f>
        <v>#REF!</v>
      </c>
      <c r="U17" s="1013" t="e">
        <f t="shared" si="11"/>
        <v>#REF!</v>
      </c>
      <c r="V17" s="146" t="e">
        <f>SUMIF(#REF!,'Huella materiales'!A17,#REF!)</f>
        <v>#REF!</v>
      </c>
      <c r="W17" s="1013" t="e">
        <f t="shared" si="12"/>
        <v>#REF!</v>
      </c>
      <c r="X17" s="146" t="e">
        <f>SUMIF(#REF!,'Huella materiales'!A17,#REF!)</f>
        <v>#REF!</v>
      </c>
      <c r="Y17" s="1013" t="e">
        <f t="shared" si="13"/>
        <v>#REF!</v>
      </c>
      <c r="Z17" s="146" t="e">
        <f>SUMIF(#REF!,'Huella materiales'!A17,#REF!)</f>
        <v>#REF!</v>
      </c>
      <c r="AA17" s="1013" t="e">
        <f t="shared" si="14"/>
        <v>#REF!</v>
      </c>
      <c r="AB17" s="1030">
        <f>'Datos auxiliares materiales'!C8</f>
        <v>1.3574999999999999</v>
      </c>
      <c r="AC17" s="1017" t="e">
        <f t="shared" si="15"/>
        <v>#REF!</v>
      </c>
      <c r="AD17" s="1022">
        <f t="shared" si="8"/>
        <v>0</v>
      </c>
      <c r="AE17" s="1077">
        <f>'Datos auxiliares materiales'!D8</f>
        <v>177</v>
      </c>
      <c r="AF17" s="170">
        <f t="shared" si="16"/>
        <v>0</v>
      </c>
      <c r="AG17" s="170" t="e">
        <f t="shared" si="17"/>
        <v>#REF!</v>
      </c>
      <c r="AH17" s="170" t="e">
        <f t="shared" si="18"/>
        <v>#REF!</v>
      </c>
      <c r="AI17" s="170" t="e">
        <f t="shared" si="19"/>
        <v>#REF!</v>
      </c>
      <c r="AJ17" s="170" t="e">
        <f t="shared" si="20"/>
        <v>#REF!</v>
      </c>
      <c r="AK17" s="170" t="e">
        <f t="shared" si="21"/>
        <v>#REF!</v>
      </c>
      <c r="AL17" s="170" t="e">
        <f>N17*$AB$17*$AE$17</f>
        <v>#REF!</v>
      </c>
      <c r="AM17" s="170" t="e">
        <f t="shared" si="22"/>
        <v>#REF!</v>
      </c>
      <c r="AN17" s="170" t="e">
        <f t="shared" si="23"/>
        <v>#REF!</v>
      </c>
      <c r="AO17" s="170" t="e">
        <f t="shared" si="24"/>
        <v>#REF!</v>
      </c>
      <c r="AP17" s="170" t="e">
        <f t="shared" si="25"/>
        <v>#REF!</v>
      </c>
      <c r="AQ17" s="170" t="e">
        <f t="shared" si="26"/>
        <v>#REF!</v>
      </c>
      <c r="AR17" s="170" t="e">
        <f t="shared" si="27"/>
        <v>#REF!</v>
      </c>
      <c r="AS17" s="170"/>
      <c r="AT17" s="170"/>
      <c r="AU17" s="171"/>
      <c r="AV17" s="167"/>
      <c r="AW17" s="160"/>
      <c r="AX17" s="160"/>
      <c r="AY17"/>
      <c r="AZ17"/>
      <c r="BA17"/>
      <c r="BF17" s="16"/>
      <c r="BL17" s="16"/>
      <c r="BM17" s="16"/>
      <c r="BN17" s="16"/>
      <c r="BO17" s="652"/>
      <c r="BP17" s="10" t="s">
        <v>531</v>
      </c>
    </row>
    <row r="18" spans="1:68">
      <c r="A18" s="975" t="s">
        <v>1085</v>
      </c>
      <c r="B18" s="175" t="s">
        <v>24</v>
      </c>
      <c r="C18" s="169">
        <f>SUMIFS(BCRR_REHAB!L:L,BCRR_REHAB!D:D,'Huella materiales'!A18)</f>
        <v>0</v>
      </c>
      <c r="D18" s="146" t="e">
        <f>SUMIF(#REF!,'Huella materiales'!A18,#REF!)</f>
        <v>#REF!</v>
      </c>
      <c r="E18" s="1013" t="e">
        <f t="shared" si="2"/>
        <v>#REF!</v>
      </c>
      <c r="F18" s="146" t="e">
        <f>SUMIF(#REF!,'Huella materiales'!A18,#REF!)</f>
        <v>#REF!</v>
      </c>
      <c r="G18" s="1013" t="e">
        <f t="shared" si="3"/>
        <v>#REF!</v>
      </c>
      <c r="H18" s="146" t="e">
        <f>SUMIF(#REF!,'Huella materiales'!A18,#REF!)</f>
        <v>#REF!</v>
      </c>
      <c r="I18" s="1013" t="e">
        <f t="shared" si="4"/>
        <v>#REF!</v>
      </c>
      <c r="J18" s="146" t="e">
        <f>SUMIF(#REF!,'Huella materiales'!A18,#REF!)</f>
        <v>#REF!</v>
      </c>
      <c r="K18" s="1013" t="e">
        <f t="shared" si="5"/>
        <v>#REF!</v>
      </c>
      <c r="L18" s="146" t="e">
        <f>SUMIF(#REF!,'Huella materiales'!A18,#REF!)</f>
        <v>#REF!</v>
      </c>
      <c r="M18" s="1013" t="e">
        <f t="shared" si="6"/>
        <v>#REF!</v>
      </c>
      <c r="N18" s="146" t="e">
        <f>SUMIF(#REF!,'Huella materiales'!A18,#REF!)</f>
        <v>#REF!</v>
      </c>
      <c r="O18" s="1013" t="e">
        <f t="shared" si="7"/>
        <v>#REF!</v>
      </c>
      <c r="P18" s="146" t="e">
        <f>SUMIF(#REF!,'Huella materiales'!A18,#REF!)</f>
        <v>#REF!</v>
      </c>
      <c r="Q18" s="1013" t="e">
        <f t="shared" si="9"/>
        <v>#REF!</v>
      </c>
      <c r="R18" s="146" t="e">
        <f>SUMIF(#REF!,'Huella materiales'!A18,#REF!)</f>
        <v>#REF!</v>
      </c>
      <c r="S18" s="1013" t="e">
        <f t="shared" si="10"/>
        <v>#REF!</v>
      </c>
      <c r="T18" s="146" t="e">
        <f>SUMIF(#REF!,'Huella materiales'!A18,#REF!)</f>
        <v>#REF!</v>
      </c>
      <c r="U18" s="1013" t="e">
        <f t="shared" si="11"/>
        <v>#REF!</v>
      </c>
      <c r="V18" s="146" t="e">
        <f>SUMIF(#REF!,'Huella materiales'!A18,#REF!)</f>
        <v>#REF!</v>
      </c>
      <c r="W18" s="1013" t="e">
        <f t="shared" si="12"/>
        <v>#REF!</v>
      </c>
      <c r="X18" s="146" t="e">
        <f>SUMIF(#REF!,'Huella materiales'!A18,#REF!)</f>
        <v>#REF!</v>
      </c>
      <c r="Y18" s="1013" t="e">
        <f t="shared" si="13"/>
        <v>#REF!</v>
      </c>
      <c r="Z18" s="146" t="e">
        <f>SUMIF(#REF!,'Huella materiales'!A18,#REF!)</f>
        <v>#REF!</v>
      </c>
      <c r="AA18" s="1013" t="e">
        <f t="shared" si="14"/>
        <v>#REF!</v>
      </c>
      <c r="AB18" s="1030">
        <f>'Datos auxiliares materiales'!C9</f>
        <v>4.63</v>
      </c>
      <c r="AC18" s="1017" t="e">
        <f t="shared" si="15"/>
        <v>#REF!</v>
      </c>
      <c r="AD18" s="1022">
        <f t="shared" si="8"/>
        <v>0</v>
      </c>
      <c r="AE18" s="1077">
        <f>'Datos auxiliares materiales'!D9</f>
        <v>40</v>
      </c>
      <c r="AF18" s="170">
        <f t="shared" si="16"/>
        <v>0</v>
      </c>
      <c r="AG18" s="170" t="e">
        <f t="shared" si="17"/>
        <v>#REF!</v>
      </c>
      <c r="AH18" s="170" t="e">
        <f t="shared" si="18"/>
        <v>#REF!</v>
      </c>
      <c r="AI18" s="170" t="e">
        <f t="shared" si="19"/>
        <v>#REF!</v>
      </c>
      <c r="AJ18" s="170" t="e">
        <f t="shared" si="20"/>
        <v>#REF!</v>
      </c>
      <c r="AK18" s="170" t="e">
        <f t="shared" si="21"/>
        <v>#REF!</v>
      </c>
      <c r="AL18" s="170" t="e">
        <f>N18*$AB$18*$AE$18</f>
        <v>#REF!</v>
      </c>
      <c r="AM18" s="170" t="e">
        <f t="shared" si="22"/>
        <v>#REF!</v>
      </c>
      <c r="AN18" s="170" t="e">
        <f t="shared" si="23"/>
        <v>#REF!</v>
      </c>
      <c r="AO18" s="170" t="e">
        <f t="shared" si="24"/>
        <v>#REF!</v>
      </c>
      <c r="AP18" s="170" t="e">
        <f t="shared" si="25"/>
        <v>#REF!</v>
      </c>
      <c r="AQ18" s="170" t="e">
        <f t="shared" si="26"/>
        <v>#REF!</v>
      </c>
      <c r="AR18" s="170" t="e">
        <f t="shared" si="27"/>
        <v>#REF!</v>
      </c>
      <c r="AS18" s="170"/>
      <c r="AT18" s="170"/>
      <c r="AU18" s="171"/>
      <c r="AV18" s="167"/>
      <c r="AW18" s="38" t="s">
        <v>768</v>
      </c>
      <c r="AX18" s="398"/>
      <c r="AY18"/>
      <c r="AZ18"/>
      <c r="BA18"/>
      <c r="BF18" s="81"/>
      <c r="BL18" s="16"/>
      <c r="BM18" s="16"/>
      <c r="BN18" s="16"/>
      <c r="BO18" s="16"/>
      <c r="BP18" s="10" t="s">
        <v>532</v>
      </c>
    </row>
    <row r="19" spans="1:68">
      <c r="A19" s="975" t="s">
        <v>1118</v>
      </c>
      <c r="B19" s="175" t="s">
        <v>24</v>
      </c>
      <c r="C19" s="169">
        <f>SUMIFS(BCRR_REHAB!L:L,BCRR_REHAB!D:D,'Huella materiales'!A19)</f>
        <v>0</v>
      </c>
      <c r="D19" s="146" t="e">
        <f>SUMIF(#REF!,'Huella materiales'!A19,#REF!)</f>
        <v>#REF!</v>
      </c>
      <c r="E19" s="1013" t="e">
        <f t="shared" si="2"/>
        <v>#REF!</v>
      </c>
      <c r="F19" s="146" t="e">
        <f>SUMIF(#REF!,'Huella materiales'!A19,#REF!)</f>
        <v>#REF!</v>
      </c>
      <c r="G19" s="1013" t="e">
        <f t="shared" si="3"/>
        <v>#REF!</v>
      </c>
      <c r="H19" s="146" t="e">
        <f>SUMIF(#REF!,'Huella materiales'!A19,#REF!)</f>
        <v>#REF!</v>
      </c>
      <c r="I19" s="1013" t="e">
        <f t="shared" si="4"/>
        <v>#REF!</v>
      </c>
      <c r="J19" s="146" t="e">
        <f>SUMIF(#REF!,'Huella materiales'!A19,#REF!)</f>
        <v>#REF!</v>
      </c>
      <c r="K19" s="1013" t="e">
        <f t="shared" si="5"/>
        <v>#REF!</v>
      </c>
      <c r="L19" s="146" t="e">
        <f>SUMIF(#REF!,'Huella materiales'!A19,#REF!)</f>
        <v>#REF!</v>
      </c>
      <c r="M19" s="1013" t="e">
        <f t="shared" si="6"/>
        <v>#REF!</v>
      </c>
      <c r="N19" s="146" t="e">
        <f>SUMIF(#REF!,'Huella materiales'!A19,#REF!)</f>
        <v>#REF!</v>
      </c>
      <c r="O19" s="1013" t="e">
        <f t="shared" si="7"/>
        <v>#REF!</v>
      </c>
      <c r="P19" s="146" t="e">
        <f>SUMIF(#REF!,'Huella materiales'!A19,#REF!)</f>
        <v>#REF!</v>
      </c>
      <c r="Q19" s="1013" t="e">
        <f t="shared" si="9"/>
        <v>#REF!</v>
      </c>
      <c r="R19" s="146" t="e">
        <f>SUMIF(#REF!,'Huella materiales'!A19,#REF!)</f>
        <v>#REF!</v>
      </c>
      <c r="S19" s="1013" t="e">
        <f t="shared" si="10"/>
        <v>#REF!</v>
      </c>
      <c r="T19" s="146" t="e">
        <f>SUMIF(#REF!,'Huella materiales'!A19,#REF!)</f>
        <v>#REF!</v>
      </c>
      <c r="U19" s="1013" t="e">
        <f t="shared" si="11"/>
        <v>#REF!</v>
      </c>
      <c r="V19" s="146" t="e">
        <f>SUMIF(#REF!,'Huella materiales'!A19,#REF!)</f>
        <v>#REF!</v>
      </c>
      <c r="W19" s="1013" t="e">
        <f t="shared" si="12"/>
        <v>#REF!</v>
      </c>
      <c r="X19" s="146" t="e">
        <f>SUMIF(#REF!,'Huella materiales'!A19,#REF!)</f>
        <v>#REF!</v>
      </c>
      <c r="Y19" s="1013" t="e">
        <f t="shared" si="13"/>
        <v>#REF!</v>
      </c>
      <c r="Z19" s="146" t="e">
        <f>SUMIF(#REF!,'Huella materiales'!A19,#REF!)</f>
        <v>#REF!</v>
      </c>
      <c r="AA19" s="1013" t="e">
        <f t="shared" si="14"/>
        <v>#REF!</v>
      </c>
      <c r="AB19" s="1030">
        <f>'Datos auxiliares materiales'!C10</f>
        <v>0</v>
      </c>
      <c r="AC19" s="1017" t="e">
        <f t="shared" si="15"/>
        <v>#REF!</v>
      </c>
      <c r="AD19" s="1022">
        <f t="shared" si="8"/>
        <v>0</v>
      </c>
      <c r="AE19" s="1077">
        <f>'Datos auxiliares materiales'!D10</f>
        <v>0</v>
      </c>
      <c r="AF19" s="170">
        <f t="shared" si="16"/>
        <v>0</v>
      </c>
      <c r="AG19" s="170" t="e">
        <f t="shared" si="17"/>
        <v>#REF!</v>
      </c>
      <c r="AH19" s="170" t="e">
        <f t="shared" si="18"/>
        <v>#REF!</v>
      </c>
      <c r="AI19" s="170" t="e">
        <f t="shared" si="19"/>
        <v>#REF!</v>
      </c>
      <c r="AJ19" s="170" t="e">
        <f t="shared" si="20"/>
        <v>#REF!</v>
      </c>
      <c r="AK19" s="170" t="e">
        <f t="shared" si="21"/>
        <v>#REF!</v>
      </c>
      <c r="AL19" s="170" t="e">
        <f>N19*$AB$18*$AE$18</f>
        <v>#REF!</v>
      </c>
      <c r="AM19" s="170" t="e">
        <f t="shared" si="22"/>
        <v>#REF!</v>
      </c>
      <c r="AN19" s="170" t="e">
        <f t="shared" si="23"/>
        <v>#REF!</v>
      </c>
      <c r="AO19" s="170" t="e">
        <f t="shared" si="24"/>
        <v>#REF!</v>
      </c>
      <c r="AP19" s="170" t="e">
        <f t="shared" si="25"/>
        <v>#REF!</v>
      </c>
      <c r="AQ19" s="170" t="e">
        <f t="shared" si="26"/>
        <v>#REF!</v>
      </c>
      <c r="AR19" s="170" t="e">
        <f t="shared" si="27"/>
        <v>#REF!</v>
      </c>
      <c r="AS19" s="170"/>
      <c r="AT19" s="170"/>
      <c r="AU19" s="171"/>
      <c r="AV19" s="167"/>
      <c r="AW19" s="38"/>
      <c r="AX19" s="38"/>
      <c r="AY19"/>
      <c r="AZ19"/>
      <c r="BA19"/>
      <c r="BF19" s="80"/>
      <c r="BL19" s="16"/>
      <c r="BM19" s="16"/>
      <c r="BN19" s="16"/>
      <c r="BO19" s="16"/>
      <c r="BP19" s="10" t="s">
        <v>532</v>
      </c>
    </row>
    <row r="20" spans="1:68">
      <c r="A20" s="975" t="s">
        <v>1105</v>
      </c>
      <c r="B20" s="175" t="s">
        <v>258</v>
      </c>
      <c r="C20" s="169">
        <f>SUMIFS(BCRR_REHAB!L:L,BCRR_REHAB!D:D,'Huella materiales'!A20)</f>
        <v>0</v>
      </c>
      <c r="D20" s="146" t="e">
        <f>SUMIF(#REF!,'Huella materiales'!A20,#REF!)</f>
        <v>#REF!</v>
      </c>
      <c r="E20" s="1013" t="e">
        <f t="shared" si="2"/>
        <v>#REF!</v>
      </c>
      <c r="F20" s="146" t="e">
        <f>SUMIF(#REF!,'Huella materiales'!A20,#REF!)</f>
        <v>#REF!</v>
      </c>
      <c r="G20" s="1013" t="e">
        <f t="shared" si="3"/>
        <v>#REF!</v>
      </c>
      <c r="H20" s="146" t="e">
        <f>SUMIF(#REF!,'Huella materiales'!A20,#REF!)</f>
        <v>#REF!</v>
      </c>
      <c r="I20" s="1013" t="e">
        <f t="shared" si="4"/>
        <v>#REF!</v>
      </c>
      <c r="J20" s="146" t="e">
        <f>SUMIF(#REF!,'Huella materiales'!A20,#REF!)</f>
        <v>#REF!</v>
      </c>
      <c r="K20" s="1013" t="e">
        <f t="shared" si="5"/>
        <v>#REF!</v>
      </c>
      <c r="L20" s="146" t="e">
        <f>SUMIF(#REF!,'Huella materiales'!A20,#REF!)</f>
        <v>#REF!</v>
      </c>
      <c r="M20" s="1013" t="e">
        <f t="shared" si="6"/>
        <v>#REF!</v>
      </c>
      <c r="N20" s="146" t="e">
        <f>SUMIF(#REF!,'Huella materiales'!A20,#REF!)</f>
        <v>#REF!</v>
      </c>
      <c r="O20" s="1013" t="e">
        <f t="shared" si="7"/>
        <v>#REF!</v>
      </c>
      <c r="P20" s="146" t="e">
        <f>SUMIF(#REF!,'Huella materiales'!A20,#REF!)</f>
        <v>#REF!</v>
      </c>
      <c r="Q20" s="1013" t="e">
        <f t="shared" si="9"/>
        <v>#REF!</v>
      </c>
      <c r="R20" s="146" t="e">
        <f>SUMIF(#REF!,'Huella materiales'!A20,#REF!)</f>
        <v>#REF!</v>
      </c>
      <c r="S20" s="1013" t="e">
        <f t="shared" si="10"/>
        <v>#REF!</v>
      </c>
      <c r="T20" s="146" t="e">
        <f>SUMIF(#REF!,'Huella materiales'!A20,#REF!)</f>
        <v>#REF!</v>
      </c>
      <c r="U20" s="1013" t="e">
        <f t="shared" si="11"/>
        <v>#REF!</v>
      </c>
      <c r="V20" s="146" t="e">
        <f>SUMIF(#REF!,'Huella materiales'!A20,#REF!)</f>
        <v>#REF!</v>
      </c>
      <c r="W20" s="1013" t="e">
        <f t="shared" si="12"/>
        <v>#REF!</v>
      </c>
      <c r="X20" s="146" t="e">
        <f>SUMIF(#REF!,'Huella materiales'!A20,#REF!)</f>
        <v>#REF!</v>
      </c>
      <c r="Y20" s="1013" t="e">
        <f t="shared" si="13"/>
        <v>#REF!</v>
      </c>
      <c r="Z20" s="146" t="e">
        <f>SUMIF(#REF!,'Huella materiales'!A20,#REF!)</f>
        <v>#REF!</v>
      </c>
      <c r="AA20" s="1013" t="e">
        <f t="shared" si="14"/>
        <v>#REF!</v>
      </c>
      <c r="AB20" s="1030"/>
      <c r="AC20" s="1017" t="e">
        <f t="shared" si="15"/>
        <v>#REF!</v>
      </c>
      <c r="AD20" s="1022">
        <f t="shared" si="8"/>
        <v>0</v>
      </c>
      <c r="AE20" s="1077"/>
      <c r="AF20" s="170">
        <f t="shared" si="16"/>
        <v>0</v>
      </c>
      <c r="AG20" s="170" t="e">
        <f t="shared" si="17"/>
        <v>#REF!</v>
      </c>
      <c r="AH20" s="170" t="e">
        <f t="shared" si="18"/>
        <v>#REF!</v>
      </c>
      <c r="AI20" s="170" t="e">
        <f t="shared" si="19"/>
        <v>#REF!</v>
      </c>
      <c r="AJ20" s="170" t="e">
        <f t="shared" si="20"/>
        <v>#REF!</v>
      </c>
      <c r="AK20" s="170" t="e">
        <f t="shared" si="21"/>
        <v>#REF!</v>
      </c>
      <c r="AL20" s="170"/>
      <c r="AM20" s="170" t="e">
        <f t="shared" si="22"/>
        <v>#REF!</v>
      </c>
      <c r="AN20" s="170" t="e">
        <f t="shared" si="23"/>
        <v>#REF!</v>
      </c>
      <c r="AO20" s="170" t="e">
        <f t="shared" si="24"/>
        <v>#REF!</v>
      </c>
      <c r="AP20" s="170" t="e">
        <f t="shared" si="25"/>
        <v>#REF!</v>
      </c>
      <c r="AQ20" s="170" t="e">
        <f t="shared" si="26"/>
        <v>#REF!</v>
      </c>
      <c r="AR20" s="170" t="e">
        <f t="shared" si="27"/>
        <v>#REF!</v>
      </c>
      <c r="AS20" s="170"/>
      <c r="AT20" s="170"/>
      <c r="AU20" s="171"/>
      <c r="AV20" s="167"/>
      <c r="AW20" s="38" t="s">
        <v>769</v>
      </c>
      <c r="AX20" s="399"/>
      <c r="AY20"/>
      <c r="AZ20"/>
      <c r="BA20"/>
      <c r="BF20" s="80"/>
      <c r="BL20" s="16"/>
      <c r="BM20" s="16"/>
      <c r="BN20" s="16"/>
      <c r="BO20" s="16"/>
      <c r="BP20" s="10"/>
    </row>
    <row r="21" spans="1:68">
      <c r="A21" s="975" t="s">
        <v>1107</v>
      </c>
      <c r="B21" s="175" t="s">
        <v>258</v>
      </c>
      <c r="C21" s="169">
        <f>SUMIFS(BCRR_REHAB!L:L,BCRR_REHAB!D:D,'Huella materiales'!A21)</f>
        <v>0</v>
      </c>
      <c r="D21" s="146" t="e">
        <f>SUMIF(#REF!,'Huella materiales'!A21,#REF!)</f>
        <v>#REF!</v>
      </c>
      <c r="E21" s="1013" t="e">
        <f t="shared" si="2"/>
        <v>#REF!</v>
      </c>
      <c r="F21" s="146" t="e">
        <f>SUMIF(#REF!,'Huella materiales'!A21,#REF!)</f>
        <v>#REF!</v>
      </c>
      <c r="G21" s="1013" t="e">
        <f t="shared" si="3"/>
        <v>#REF!</v>
      </c>
      <c r="H21" s="146" t="e">
        <f>SUMIF(#REF!,'Huella materiales'!A21,#REF!)</f>
        <v>#REF!</v>
      </c>
      <c r="I21" s="1013" t="e">
        <f t="shared" si="4"/>
        <v>#REF!</v>
      </c>
      <c r="J21" s="146" t="e">
        <f>SUMIF(#REF!,'Huella materiales'!A21,#REF!)</f>
        <v>#REF!</v>
      </c>
      <c r="K21" s="1013" t="e">
        <f t="shared" si="5"/>
        <v>#REF!</v>
      </c>
      <c r="L21" s="146" t="e">
        <f>SUMIF(#REF!,'Huella materiales'!A21,#REF!)</f>
        <v>#REF!</v>
      </c>
      <c r="M21" s="1013" t="e">
        <f t="shared" si="6"/>
        <v>#REF!</v>
      </c>
      <c r="N21" s="146" t="e">
        <f>SUMIF(#REF!,'Huella materiales'!A21,#REF!)</f>
        <v>#REF!</v>
      </c>
      <c r="O21" s="1013" t="e">
        <f t="shared" si="7"/>
        <v>#REF!</v>
      </c>
      <c r="P21" s="146" t="e">
        <f>SUMIF(#REF!,'Huella materiales'!A21,#REF!)</f>
        <v>#REF!</v>
      </c>
      <c r="Q21" s="1013" t="e">
        <f t="shared" si="9"/>
        <v>#REF!</v>
      </c>
      <c r="R21" s="146" t="e">
        <f>SUMIF(#REF!,'Huella materiales'!A21,#REF!)</f>
        <v>#REF!</v>
      </c>
      <c r="S21" s="1013" t="e">
        <f t="shared" si="10"/>
        <v>#REF!</v>
      </c>
      <c r="T21" s="146" t="e">
        <f>SUMIF(#REF!,'Huella materiales'!A21,#REF!)</f>
        <v>#REF!</v>
      </c>
      <c r="U21" s="1013" t="e">
        <f t="shared" si="11"/>
        <v>#REF!</v>
      </c>
      <c r="V21" s="146" t="e">
        <f>SUMIF(#REF!,'Huella materiales'!A21,#REF!)</f>
        <v>#REF!</v>
      </c>
      <c r="W21" s="1013" t="e">
        <f t="shared" si="12"/>
        <v>#REF!</v>
      </c>
      <c r="X21" s="146" t="e">
        <f>SUMIF(#REF!,'Huella materiales'!A21,#REF!)</f>
        <v>#REF!</v>
      </c>
      <c r="Y21" s="1013" t="e">
        <f t="shared" si="13"/>
        <v>#REF!</v>
      </c>
      <c r="Z21" s="146" t="e">
        <f>SUMIF(#REF!,'Huella materiales'!A21,#REF!)</f>
        <v>#REF!</v>
      </c>
      <c r="AA21" s="1013" t="e">
        <f t="shared" si="14"/>
        <v>#REF!</v>
      </c>
      <c r="AB21" s="1030"/>
      <c r="AC21" s="1017" t="e">
        <f t="shared" si="15"/>
        <v>#REF!</v>
      </c>
      <c r="AD21" s="1022">
        <f t="shared" si="8"/>
        <v>0</v>
      </c>
      <c r="AE21" s="1077"/>
      <c r="AF21" s="170">
        <f t="shared" si="16"/>
        <v>0</v>
      </c>
      <c r="AG21" s="170" t="e">
        <f t="shared" si="17"/>
        <v>#REF!</v>
      </c>
      <c r="AH21" s="170" t="e">
        <f t="shared" si="18"/>
        <v>#REF!</v>
      </c>
      <c r="AI21" s="170" t="e">
        <f t="shared" si="19"/>
        <v>#REF!</v>
      </c>
      <c r="AJ21" s="170" t="e">
        <f t="shared" si="20"/>
        <v>#REF!</v>
      </c>
      <c r="AK21" s="170" t="e">
        <f t="shared" si="21"/>
        <v>#REF!</v>
      </c>
      <c r="AL21" s="170"/>
      <c r="AM21" s="170" t="e">
        <f t="shared" si="22"/>
        <v>#REF!</v>
      </c>
      <c r="AN21" s="170" t="e">
        <f t="shared" si="23"/>
        <v>#REF!</v>
      </c>
      <c r="AO21" s="170" t="e">
        <f t="shared" si="24"/>
        <v>#REF!</v>
      </c>
      <c r="AP21" s="170" t="e">
        <f t="shared" si="25"/>
        <v>#REF!</v>
      </c>
      <c r="AQ21" s="170" t="e">
        <f t="shared" si="26"/>
        <v>#REF!</v>
      </c>
      <c r="AR21" s="170" t="e">
        <f t="shared" si="27"/>
        <v>#REF!</v>
      </c>
      <c r="AS21" s="170"/>
      <c r="AT21" s="170"/>
      <c r="AU21" s="171"/>
      <c r="AV21" s="167"/>
      <c r="AW21" s="38"/>
      <c r="AX21" s="38"/>
      <c r="AY21"/>
      <c r="AZ21"/>
      <c r="BA21"/>
      <c r="BF21" s="80"/>
      <c r="BL21" s="16"/>
      <c r="BM21" s="16"/>
      <c r="BN21" s="16"/>
      <c r="BO21" s="16"/>
      <c r="BP21" s="10"/>
    </row>
    <row r="22" spans="1:68">
      <c r="A22" s="975" t="s">
        <v>1160</v>
      </c>
      <c r="B22" s="175" t="s">
        <v>1233</v>
      </c>
      <c r="C22" s="169">
        <f>SUMIFS(BCRR_REHAB!L:L,BCRR_REHAB!D:D,'Huella materiales'!A22)</f>
        <v>0</v>
      </c>
      <c r="D22" s="146" t="e">
        <f>SUMIF(#REF!,'Huella materiales'!A22,#REF!)</f>
        <v>#REF!</v>
      </c>
      <c r="E22" s="1013" t="e">
        <f t="shared" si="2"/>
        <v>#REF!</v>
      </c>
      <c r="F22" s="146" t="e">
        <f>SUMIF(#REF!,'Huella materiales'!A22,#REF!)</f>
        <v>#REF!</v>
      </c>
      <c r="G22" s="1013" t="e">
        <f t="shared" si="3"/>
        <v>#REF!</v>
      </c>
      <c r="H22" s="146" t="e">
        <f>SUMIF(#REF!,'Huella materiales'!A22,#REF!)</f>
        <v>#REF!</v>
      </c>
      <c r="I22" s="1013" t="e">
        <f t="shared" si="4"/>
        <v>#REF!</v>
      </c>
      <c r="J22" s="146" t="e">
        <f>SUMIF(#REF!,'Huella materiales'!A22,#REF!)</f>
        <v>#REF!</v>
      </c>
      <c r="K22" s="1013" t="e">
        <f t="shared" si="5"/>
        <v>#REF!</v>
      </c>
      <c r="L22" s="146" t="e">
        <f>SUMIF(#REF!,'Huella materiales'!A22,#REF!)</f>
        <v>#REF!</v>
      </c>
      <c r="M22" s="1013" t="e">
        <f t="shared" si="6"/>
        <v>#REF!</v>
      </c>
      <c r="N22" s="146" t="e">
        <f>SUMIF(#REF!,'Huella materiales'!A22,#REF!)</f>
        <v>#REF!</v>
      </c>
      <c r="O22" s="1013" t="e">
        <f t="shared" si="7"/>
        <v>#REF!</v>
      </c>
      <c r="P22" s="146" t="e">
        <f>SUMIF(#REF!,'Huella materiales'!A22,#REF!)</f>
        <v>#REF!</v>
      </c>
      <c r="Q22" s="1013" t="e">
        <f t="shared" si="9"/>
        <v>#REF!</v>
      </c>
      <c r="R22" s="146" t="e">
        <f>SUMIF(#REF!,'Huella materiales'!A22,#REF!)</f>
        <v>#REF!</v>
      </c>
      <c r="S22" s="1013" t="e">
        <f t="shared" si="10"/>
        <v>#REF!</v>
      </c>
      <c r="T22" s="146" t="e">
        <f>SUMIF(#REF!,'Huella materiales'!A22,#REF!)</f>
        <v>#REF!</v>
      </c>
      <c r="U22" s="1013" t="e">
        <f t="shared" si="11"/>
        <v>#REF!</v>
      </c>
      <c r="V22" s="146" t="e">
        <f>SUMIF(#REF!,'Huella materiales'!A22,#REF!)</f>
        <v>#REF!</v>
      </c>
      <c r="W22" s="1013" t="e">
        <f t="shared" si="12"/>
        <v>#REF!</v>
      </c>
      <c r="X22" s="146" t="e">
        <f>SUMIF(#REF!,'Huella materiales'!A22,#REF!)</f>
        <v>#REF!</v>
      </c>
      <c r="Y22" s="1013" t="e">
        <f t="shared" si="13"/>
        <v>#REF!</v>
      </c>
      <c r="Z22" s="146" t="e">
        <f>SUMIF(#REF!,'Huella materiales'!A22,#REF!)</f>
        <v>#REF!</v>
      </c>
      <c r="AA22" s="1013" t="e">
        <f t="shared" si="14"/>
        <v>#REF!</v>
      </c>
      <c r="AB22" s="1030"/>
      <c r="AC22" s="1017" t="e">
        <f t="shared" si="15"/>
        <v>#REF!</v>
      </c>
      <c r="AD22" s="1022">
        <f t="shared" si="8"/>
        <v>0</v>
      </c>
      <c r="AE22" s="1077"/>
      <c r="AF22" s="170">
        <f t="shared" si="16"/>
        <v>0</v>
      </c>
      <c r="AG22" s="170" t="e">
        <f t="shared" si="17"/>
        <v>#REF!</v>
      </c>
      <c r="AH22" s="170" t="e">
        <f t="shared" si="18"/>
        <v>#REF!</v>
      </c>
      <c r="AI22" s="170" t="e">
        <f t="shared" si="19"/>
        <v>#REF!</v>
      </c>
      <c r="AJ22" s="170" t="e">
        <f t="shared" si="20"/>
        <v>#REF!</v>
      </c>
      <c r="AK22" s="170" t="e">
        <f>L22*AB22*AE22</f>
        <v>#REF!</v>
      </c>
      <c r="AL22" s="170"/>
      <c r="AM22" s="170" t="e">
        <f t="shared" si="22"/>
        <v>#REF!</v>
      </c>
      <c r="AN22" s="170" t="e">
        <f t="shared" si="23"/>
        <v>#REF!</v>
      </c>
      <c r="AO22" s="170" t="e">
        <f t="shared" si="24"/>
        <v>#REF!</v>
      </c>
      <c r="AP22" s="170" t="e">
        <f t="shared" si="25"/>
        <v>#REF!</v>
      </c>
      <c r="AQ22" s="170" t="e">
        <f t="shared" si="26"/>
        <v>#REF!</v>
      </c>
      <c r="AR22" s="170" t="e">
        <f t="shared" si="27"/>
        <v>#REF!</v>
      </c>
      <c r="AS22" s="170"/>
      <c r="AT22" s="170"/>
      <c r="AU22" s="171"/>
      <c r="AV22" s="167"/>
      <c r="AW22" s="38"/>
      <c r="AX22" s="38"/>
      <c r="AY22"/>
      <c r="AZ22"/>
      <c r="BA22"/>
      <c r="BF22" s="80"/>
      <c r="BL22" s="16"/>
      <c r="BM22" s="16"/>
      <c r="BN22" s="16"/>
      <c r="BO22" s="16"/>
      <c r="BP22" s="10"/>
    </row>
    <row r="23" spans="1:68" ht="15.5">
      <c r="A23" s="23"/>
      <c r="B23" s="163" t="s">
        <v>273</v>
      </c>
      <c r="C23" s="169">
        <f>SUMIFS(BCRR_REHAB!L:L,BCRR_REHAB!D:D,'Huella materiales'!A23)</f>
        <v>0</v>
      </c>
      <c r="D23" s="987"/>
      <c r="E23" s="1014" t="e">
        <f t="shared" ref="E23:U23" si="32">SUM(E24:E27)</f>
        <v>#REF!</v>
      </c>
      <c r="F23" s="987"/>
      <c r="G23" s="987" t="e">
        <f t="shared" si="32"/>
        <v>#REF!</v>
      </c>
      <c r="H23" s="987"/>
      <c r="I23" s="987" t="e">
        <f t="shared" si="32"/>
        <v>#REF!</v>
      </c>
      <c r="J23" s="987"/>
      <c r="K23" s="987" t="e">
        <f t="shared" si="32"/>
        <v>#REF!</v>
      </c>
      <c r="L23" s="987"/>
      <c r="M23" s="987" t="e">
        <f t="shared" si="32"/>
        <v>#REF!</v>
      </c>
      <c r="N23" s="987"/>
      <c r="O23" s="987" t="e">
        <f t="shared" si="32"/>
        <v>#REF!</v>
      </c>
      <c r="P23" s="987"/>
      <c r="Q23" s="987" t="e">
        <f t="shared" si="32"/>
        <v>#REF!</v>
      </c>
      <c r="R23" s="987"/>
      <c r="S23" s="987" t="e">
        <f t="shared" si="32"/>
        <v>#REF!</v>
      </c>
      <c r="T23" s="987"/>
      <c r="U23" s="987" t="e">
        <f t="shared" si="32"/>
        <v>#REF!</v>
      </c>
      <c r="V23" s="987"/>
      <c r="W23" s="987" t="e">
        <f>SUM(W24:W27)</f>
        <v>#REF!</v>
      </c>
      <c r="X23" s="987"/>
      <c r="Y23" s="987" t="e">
        <f>SUM(Y24:Y27)</f>
        <v>#REF!</v>
      </c>
      <c r="Z23" s="987"/>
      <c r="AA23" s="987" t="e">
        <f>SUM(AA24:AA27)</f>
        <v>#REF!</v>
      </c>
      <c r="AB23" s="164"/>
      <c r="AC23" s="1028" t="e">
        <f>AC24+AC26+AC27</f>
        <v>#REF!</v>
      </c>
      <c r="AD23" s="1026">
        <f>AD24+AD26+AD27</f>
        <v>2941.95</v>
      </c>
      <c r="AE23" s="1019"/>
      <c r="AF23" s="1080">
        <f>SUM(AF24:AF27)</f>
        <v>3770.5776791400003</v>
      </c>
      <c r="AG23" s="1080" t="e">
        <f t="shared" ref="AG23:AR23" si="33">AG24+AG26+AG27</f>
        <v>#REF!</v>
      </c>
      <c r="AH23" s="1080" t="e">
        <f t="shared" si="33"/>
        <v>#REF!</v>
      </c>
      <c r="AI23" s="1080" t="e">
        <f>SUM(AI24:AI27)</f>
        <v>#REF!</v>
      </c>
      <c r="AJ23" s="1080" t="e">
        <f t="shared" si="33"/>
        <v>#REF!</v>
      </c>
      <c r="AK23" s="1080" t="e">
        <f>SUM(AK24:AK27)</f>
        <v>#REF!</v>
      </c>
      <c r="AL23" s="1080">
        <f>AL24+AL26+AL27</f>
        <v>0</v>
      </c>
      <c r="AM23" s="1080" t="e">
        <f t="shared" si="33"/>
        <v>#REF!</v>
      </c>
      <c r="AN23" s="1080" t="e">
        <f t="shared" si="33"/>
        <v>#REF!</v>
      </c>
      <c r="AO23" s="1080" t="e">
        <f t="shared" si="33"/>
        <v>#REF!</v>
      </c>
      <c r="AP23" s="1080" t="e">
        <f t="shared" si="33"/>
        <v>#REF!</v>
      </c>
      <c r="AQ23" s="1080" t="e">
        <f t="shared" si="33"/>
        <v>#REF!</v>
      </c>
      <c r="AR23" s="1080" t="e">
        <f t="shared" si="33"/>
        <v>#REF!</v>
      </c>
      <c r="AS23" s="1080" t="e">
        <f>AG23+AH23+AI23+AJ23+AK23+AM23+AN23+AO23+AP23+AQ23+AR23</f>
        <v>#REF!</v>
      </c>
      <c r="AT23" s="165">
        <f>SUM(AF24:AF26)/$AX$5*$AX$7</f>
        <v>6.69144771227662E-2</v>
      </c>
      <c r="AU23" s="166">
        <f>AT23/$AX$8</f>
        <v>1.8707333342478569E-2</v>
      </c>
      <c r="AV23" s="167"/>
      <c r="AW23" s="1528" t="s">
        <v>770</v>
      </c>
      <c r="AX23" s="1529"/>
      <c r="AY23" s="1521"/>
      <c r="AZ23" s="1521"/>
      <c r="BA23" s="1521"/>
      <c r="BB23" s="1521"/>
      <c r="BC23" s="1521"/>
      <c r="BD23" s="1521"/>
      <c r="BE23" s="1521"/>
      <c r="BF23" s="1530"/>
      <c r="BG23" s="1521"/>
      <c r="BH23" s="1521"/>
      <c r="BI23" s="1521"/>
      <c r="BJ23" s="1521"/>
      <c r="BL23" s="16"/>
      <c r="BM23" s="16"/>
      <c r="BN23" s="16"/>
      <c r="BO23" s="16"/>
      <c r="BP23" s="10" t="s">
        <v>533</v>
      </c>
    </row>
    <row r="24" spans="1:68" s="1521" customFormat="1">
      <c r="A24" s="1527" t="s">
        <v>1094</v>
      </c>
      <c r="B24" s="1513" t="s">
        <v>109</v>
      </c>
      <c r="C24" s="169">
        <f>SUMIFS(BCRR_REHAB!L:L,BCRR_REHAB!D:D,'Huella materiales'!A24)</f>
        <v>1.9612999999999998</v>
      </c>
      <c r="D24" s="1515" t="e">
        <f>SUMIF(#REF!,'Huella materiales'!A24,#REF!)</f>
        <v>#REF!</v>
      </c>
      <c r="E24" s="1515" t="e">
        <f>D24*AB24</f>
        <v>#REF!</v>
      </c>
      <c r="F24" s="146" t="e">
        <f>SUMIF(#REF!,'Huella materiales'!A24,#REF!)</f>
        <v>#REF!</v>
      </c>
      <c r="G24" s="1515" t="e">
        <f>F24*AB24</f>
        <v>#REF!</v>
      </c>
      <c r="H24" s="146" t="e">
        <f>SUMIF(#REF!,'Huella materiales'!A24,#REF!)</f>
        <v>#REF!</v>
      </c>
      <c r="I24" s="1515" t="e">
        <f>H24*AB24</f>
        <v>#REF!</v>
      </c>
      <c r="J24" s="146" t="e">
        <f>SUMIF(#REF!,'Huella materiales'!A24,#REF!)</f>
        <v>#REF!</v>
      </c>
      <c r="K24" s="1515" t="e">
        <f>J24*AB24</f>
        <v>#REF!</v>
      </c>
      <c r="L24" s="146" t="e">
        <f>SUMIF(#REF!,'Huella materiales'!A24,#REF!)</f>
        <v>#REF!</v>
      </c>
      <c r="M24" s="1515" t="e">
        <f>L24*AB24</f>
        <v>#REF!</v>
      </c>
      <c r="N24" s="1515" t="e">
        <f>SUMIF(#REF!,'Huella materiales'!A24,#REF!)</f>
        <v>#REF!</v>
      </c>
      <c r="O24" s="1515" t="e">
        <f>N24*AB24</f>
        <v>#REF!</v>
      </c>
      <c r="P24" s="1515" t="e">
        <f>SUMIF(#REF!,'Huella materiales'!A24,#REF!)</f>
        <v>#REF!</v>
      </c>
      <c r="Q24" s="1515" t="e">
        <f>P24*AB24</f>
        <v>#REF!</v>
      </c>
      <c r="R24" s="1515" t="e">
        <f>SUMIF(#REF!,'Huella materiales'!A24,#REF!)</f>
        <v>#REF!</v>
      </c>
      <c r="S24" s="1515" t="e">
        <f>R24*AB24</f>
        <v>#REF!</v>
      </c>
      <c r="T24" s="146" t="e">
        <f>SUMIF(#REF!,'Huella materiales'!A24,#REF!)</f>
        <v>#REF!</v>
      </c>
      <c r="U24" s="1515" t="e">
        <f>T24*AB24</f>
        <v>#REF!</v>
      </c>
      <c r="V24" s="1515" t="e">
        <f>SUMIF(#REF!,'Huella materiales'!A24,#REF!)</f>
        <v>#REF!</v>
      </c>
      <c r="W24" s="1515" t="e">
        <f>V24*AB24</f>
        <v>#REF!</v>
      </c>
      <c r="X24" s="1515" t="e">
        <f>SUMIF(#REF!,'Huella materiales'!A24,#REF!)</f>
        <v>#REF!</v>
      </c>
      <c r="Y24" s="1515" t="e">
        <f>X24*AB24</f>
        <v>#REF!</v>
      </c>
      <c r="Z24" s="1515" t="e">
        <f>SUMIF(#REF!,'Huella materiales'!A24,#REF!)</f>
        <v>#REF!</v>
      </c>
      <c r="AA24" s="1515" t="e">
        <f>Z24*AB24</f>
        <v>#REF!</v>
      </c>
      <c r="AB24" s="1515">
        <f>'Datos auxiliares materiales'!C11</f>
        <v>1500</v>
      </c>
      <c r="AC24" s="1516" t="e">
        <f>E24+G24+I24+K24+M24+O24+Q24+S24+U24+W24+Y24+AA24</f>
        <v>#REF!</v>
      </c>
      <c r="AD24" s="1517">
        <f>C24*AB24</f>
        <v>2941.95</v>
      </c>
      <c r="AE24" s="1518">
        <f>'Datos auxiliares materiales'!D11</f>
        <v>0.08</v>
      </c>
      <c r="AF24" s="1515">
        <f>C24*AB24*AE24</f>
        <v>235.35599999999999</v>
      </c>
      <c r="AG24" s="1515" t="e">
        <f t="shared" si="17"/>
        <v>#REF!</v>
      </c>
      <c r="AH24" s="1515" t="e">
        <f t="shared" si="18"/>
        <v>#REF!</v>
      </c>
      <c r="AI24" s="1515" t="e">
        <f t="shared" si="19"/>
        <v>#REF!</v>
      </c>
      <c r="AJ24" s="1515" t="e">
        <f t="shared" si="20"/>
        <v>#REF!</v>
      </c>
      <c r="AK24" s="1515" t="e">
        <f>L24*AB24*AE24</f>
        <v>#REF!</v>
      </c>
      <c r="AL24" s="1515"/>
      <c r="AM24" s="1515" t="e">
        <f>P24*AB24*AE24</f>
        <v>#REF!</v>
      </c>
      <c r="AN24" s="1515" t="e">
        <f>R24*AB24*AE24</f>
        <v>#REF!</v>
      </c>
      <c r="AO24" s="1515" t="e">
        <f>T24*AB24*AE24</f>
        <v>#REF!</v>
      </c>
      <c r="AP24" s="1515" t="e">
        <f>V24*AB24*AE24</f>
        <v>#REF!</v>
      </c>
      <c r="AQ24" s="1515" t="e">
        <f>X24*AB24*AE24</f>
        <v>#REF!</v>
      </c>
      <c r="AR24" s="1515" t="e">
        <f>Z24*AB24*AE24</f>
        <v>#REF!</v>
      </c>
      <c r="AS24" s="1515"/>
      <c r="AT24" s="1515"/>
      <c r="AU24" s="1519"/>
      <c r="AV24" s="1520"/>
      <c r="AW24" s="1528" t="s">
        <v>770</v>
      </c>
      <c r="AX24" s="1529"/>
      <c r="BF24" s="1530"/>
      <c r="BL24" s="1522"/>
      <c r="BM24" s="1522"/>
      <c r="BN24" s="1522"/>
      <c r="BO24" s="1522"/>
      <c r="BP24" s="1373" t="s">
        <v>534</v>
      </c>
    </row>
    <row r="25" spans="1:68" s="1521" customFormat="1">
      <c r="A25" s="1527" t="s">
        <v>1576</v>
      </c>
      <c r="B25" s="1513" t="s">
        <v>1585</v>
      </c>
      <c r="C25" s="169">
        <f>SUMIFS(BCRR_REHAB!L:L,BCRR_REHAB!D:D,'Huella materiales'!A25)</f>
        <v>20.795421642000001</v>
      </c>
      <c r="D25" s="1515" t="e">
        <f>SUMIF(#REF!,'Huella materiales'!A25,#REF!)</f>
        <v>#REF!</v>
      </c>
      <c r="E25" s="1515" t="e">
        <f>D25*AB25</f>
        <v>#REF!</v>
      </c>
      <c r="F25" s="146" t="e">
        <f>SUMIF(#REF!,'Huella materiales'!A25,#REF!)</f>
        <v>#REF!</v>
      </c>
      <c r="G25" s="1515" t="e">
        <f>F25*AB25</f>
        <v>#REF!</v>
      </c>
      <c r="H25" s="146" t="e">
        <f>SUMIF(#REF!,'Huella materiales'!A25,#REF!)</f>
        <v>#REF!</v>
      </c>
      <c r="I25" s="1515" t="e">
        <f>H25*AB25</f>
        <v>#REF!</v>
      </c>
      <c r="J25" s="146" t="e">
        <f>SUMIF(#REF!,'Huella materiales'!A25,#REF!)</f>
        <v>#REF!</v>
      </c>
      <c r="K25" s="1515" t="e">
        <f>J25*AB25</f>
        <v>#REF!</v>
      </c>
      <c r="L25" s="146" t="e">
        <f>SUMIF(#REF!,'Huella materiales'!A25,#REF!)</f>
        <v>#REF!</v>
      </c>
      <c r="M25" s="1515" t="e">
        <f>L25*AB25</f>
        <v>#REF!</v>
      </c>
      <c r="N25" s="1515" t="e">
        <f>SUMIF(#REF!,'Huella materiales'!A25,#REF!)</f>
        <v>#REF!</v>
      </c>
      <c r="O25" s="1515" t="e">
        <f>N25*AB25</f>
        <v>#REF!</v>
      </c>
      <c r="P25" s="1515" t="e">
        <f>SUMIF(#REF!,'Huella materiales'!A25,#REF!)</f>
        <v>#REF!</v>
      </c>
      <c r="Q25" s="1515" t="e">
        <f>P25*AB25</f>
        <v>#REF!</v>
      </c>
      <c r="R25" s="1515" t="e">
        <f>SUMIF(#REF!,'Huella materiales'!A25,#REF!)</f>
        <v>#REF!</v>
      </c>
      <c r="S25" s="1515" t="e">
        <f>R25*AB25</f>
        <v>#REF!</v>
      </c>
      <c r="T25" s="146" t="e">
        <f>SUMIF(#REF!,'Huella materiales'!A25,#REF!)</f>
        <v>#REF!</v>
      </c>
      <c r="U25" s="1515" t="e">
        <f>T25*AB25</f>
        <v>#REF!</v>
      </c>
      <c r="V25" s="1515" t="e">
        <f>SUMIF(#REF!,'Huella materiales'!A25,#REF!)</f>
        <v>#REF!</v>
      </c>
      <c r="W25" s="1515" t="e">
        <f>V25*AB25</f>
        <v>#REF!</v>
      </c>
      <c r="X25" s="1515" t="e">
        <f>SUMIF(#REF!,'Huella materiales'!A25,#REF!)</f>
        <v>#REF!</v>
      </c>
      <c r="Y25" s="1515" t="e">
        <f>X25*AB25</f>
        <v>#REF!</v>
      </c>
      <c r="Z25" s="1515" t="e">
        <f>SUMIF(#REF!,'Huella materiales'!A25,#REF!)</f>
        <v>#REF!</v>
      </c>
      <c r="AA25" s="1515" t="e">
        <f>Z25*AB25</f>
        <v>#REF!</v>
      </c>
      <c r="AB25" s="1515">
        <f>'Datos auxiliares materiales'!C12</f>
        <v>1700</v>
      </c>
      <c r="AC25" s="1516" t="e">
        <f>E25+G25+I25+K25+M25+O25+Q25+S25+U25+W25+Y25+AA25</f>
        <v>#REF!</v>
      </c>
      <c r="AD25" s="1517">
        <f>C25*AB25</f>
        <v>35352.216791400002</v>
      </c>
      <c r="AE25" s="1518">
        <f>'Datos auxiliares materiales'!D12</f>
        <v>0.1</v>
      </c>
      <c r="AF25" s="1515">
        <f>C25*AB25*AE25</f>
        <v>3535.2216791400006</v>
      </c>
      <c r="AG25" s="1515" t="e">
        <f>D25*AB25*AE25</f>
        <v>#REF!</v>
      </c>
      <c r="AH25" s="1515" t="e">
        <f>F25*AB25*AE25</f>
        <v>#REF!</v>
      </c>
      <c r="AI25" s="1515" t="e">
        <f>H25*AB25*AE25</f>
        <v>#REF!</v>
      </c>
      <c r="AJ25" s="1515" t="e">
        <f>J25*AB25*AE25</f>
        <v>#REF!</v>
      </c>
      <c r="AK25" s="1515" t="e">
        <f>L25*AB25*AE25</f>
        <v>#REF!</v>
      </c>
      <c r="AL25" s="1515"/>
      <c r="AM25" s="1515" t="e">
        <f>P25*AB25*AE25</f>
        <v>#REF!</v>
      </c>
      <c r="AN25" s="1515" t="e">
        <f>R25*AB25*AE25</f>
        <v>#REF!</v>
      </c>
      <c r="AO25" s="1515" t="e">
        <f>T25*AB25*AE25</f>
        <v>#REF!</v>
      </c>
      <c r="AP25" s="1515" t="e">
        <f>V25*AB25*AE25</f>
        <v>#REF!</v>
      </c>
      <c r="AQ25" s="1515" t="e">
        <f>X25*AB25*AE25</f>
        <v>#REF!</v>
      </c>
      <c r="AR25" s="1515" t="e">
        <f>Z25*AB25*AE25</f>
        <v>#REF!</v>
      </c>
      <c r="AS25" s="1515"/>
      <c r="AT25" s="1515"/>
      <c r="AU25" s="1519"/>
      <c r="AV25" s="1520"/>
      <c r="AW25" s="38"/>
      <c r="AX25" s="127"/>
      <c r="AY25"/>
      <c r="AZ25"/>
      <c r="BA25"/>
      <c r="BB25"/>
      <c r="BC25"/>
      <c r="BD25"/>
      <c r="BE25"/>
      <c r="BF25" s="80"/>
      <c r="BG25"/>
      <c r="BH25"/>
      <c r="BI25"/>
      <c r="BJ25"/>
      <c r="BL25" s="1522"/>
      <c r="BM25" s="1522"/>
      <c r="BN25" s="1522"/>
      <c r="BO25" s="1522"/>
      <c r="BP25" s="1373" t="s">
        <v>534</v>
      </c>
    </row>
    <row r="26" spans="1:68">
      <c r="A26" s="975" t="s">
        <v>1164</v>
      </c>
      <c r="B26" s="175" t="s">
        <v>267</v>
      </c>
      <c r="C26" s="169">
        <f>SUMIFS(BCRR_REHAB!L:L,BCRR_REHAB!D:D,'Huella materiales'!A26)</f>
        <v>0</v>
      </c>
      <c r="D26" s="146" t="e">
        <f>SUMIF(#REF!,'Huella materiales'!A26,#REF!)</f>
        <v>#REF!</v>
      </c>
      <c r="E26" s="1013" t="e">
        <f>D26*AB26</f>
        <v>#REF!</v>
      </c>
      <c r="F26" s="146" t="e">
        <f>SUMIF(#REF!,'Huella materiales'!A26,#REF!)</f>
        <v>#REF!</v>
      </c>
      <c r="G26" s="1013" t="e">
        <f>F26*AB26</f>
        <v>#REF!</v>
      </c>
      <c r="H26" s="146" t="e">
        <f>SUMIF(#REF!,'Huella materiales'!A26,#REF!)</f>
        <v>#REF!</v>
      </c>
      <c r="I26" s="1013" t="e">
        <f>H26*AB26</f>
        <v>#REF!</v>
      </c>
      <c r="J26" s="146" t="e">
        <f>SUMIF(#REF!,'Huella materiales'!A26,#REF!)</f>
        <v>#REF!</v>
      </c>
      <c r="K26" s="1013" t="e">
        <f>J26*AB26</f>
        <v>#REF!</v>
      </c>
      <c r="L26" s="146" t="e">
        <f>SUMIF(#REF!,'Huella materiales'!A26,#REF!)</f>
        <v>#REF!</v>
      </c>
      <c r="M26" s="1013" t="e">
        <f>L26*AB26</f>
        <v>#REF!</v>
      </c>
      <c r="N26" s="146" t="e">
        <f>SUMIF(#REF!,'Huella materiales'!A26,#REF!)</f>
        <v>#REF!</v>
      </c>
      <c r="O26" s="1013" t="e">
        <f>N26*AB26</f>
        <v>#REF!</v>
      </c>
      <c r="P26" s="146" t="e">
        <f>SUMIF(#REF!,'Huella materiales'!A26,#REF!)</f>
        <v>#REF!</v>
      </c>
      <c r="Q26" s="1013" t="e">
        <f>P26*AB26</f>
        <v>#REF!</v>
      </c>
      <c r="R26" s="146" t="e">
        <f>SUMIF(#REF!,'Huella materiales'!A26,#REF!)</f>
        <v>#REF!</v>
      </c>
      <c r="S26" s="1013" t="e">
        <f>R26*AB26</f>
        <v>#REF!</v>
      </c>
      <c r="T26" s="146" t="e">
        <f>SUMIF(#REF!,'Huella materiales'!A26,#REF!)</f>
        <v>#REF!</v>
      </c>
      <c r="U26" s="1013" t="e">
        <f>T26*AB26</f>
        <v>#REF!</v>
      </c>
      <c r="V26" s="146" t="e">
        <f>SUMIF(#REF!,'Huella materiales'!A26,#REF!)</f>
        <v>#REF!</v>
      </c>
      <c r="W26" s="1013" t="e">
        <f>V26*AB26</f>
        <v>#REF!</v>
      </c>
      <c r="X26" s="146" t="e">
        <f>SUMIF(#REF!,'Huella materiales'!A26,#REF!)</f>
        <v>#REF!</v>
      </c>
      <c r="Y26" s="1013" t="e">
        <f>X26*AB26</f>
        <v>#REF!</v>
      </c>
      <c r="Z26" s="146" t="e">
        <f>SUMIF(#REF!,'Huella materiales'!A26,#REF!)</f>
        <v>#REF!</v>
      </c>
      <c r="AA26" s="1013" t="e">
        <f>Z26*AB26</f>
        <v>#REF!</v>
      </c>
      <c r="AB26" s="1030">
        <f>'Datos auxiliares materiales'!C12</f>
        <v>1700</v>
      </c>
      <c r="AC26" s="1017" t="e">
        <f>E26+G26+I26+K26+M26+O26+Q26+S26+U26+W26+Y26+AA26</f>
        <v>#REF!</v>
      </c>
      <c r="AD26" s="1022">
        <f>C26*AB26</f>
        <v>0</v>
      </c>
      <c r="AE26" s="1077">
        <f>'Datos auxiliares materiales'!D12</f>
        <v>0.1</v>
      </c>
      <c r="AF26" s="170">
        <f>C26*AB26*AE26</f>
        <v>0</v>
      </c>
      <c r="AG26" s="170" t="e">
        <f t="shared" si="17"/>
        <v>#REF!</v>
      </c>
      <c r="AH26" s="170" t="e">
        <f t="shared" si="18"/>
        <v>#REF!</v>
      </c>
      <c r="AI26" s="170" t="e">
        <f t="shared" si="19"/>
        <v>#REF!</v>
      </c>
      <c r="AJ26" s="170" t="e">
        <f t="shared" si="20"/>
        <v>#REF!</v>
      </c>
      <c r="AK26" s="170" t="e">
        <f>L26*AB26*AE26</f>
        <v>#REF!</v>
      </c>
      <c r="AL26" s="170"/>
      <c r="AM26" s="170" t="e">
        <f>P26*AB26*AE26</f>
        <v>#REF!</v>
      </c>
      <c r="AN26" s="170" t="e">
        <f>R26*AB26*AE26</f>
        <v>#REF!</v>
      </c>
      <c r="AO26" s="170" t="e">
        <f>T26*AB26*AE26</f>
        <v>#REF!</v>
      </c>
      <c r="AP26" s="170" t="e">
        <f>V26*AB26*AE26</f>
        <v>#REF!</v>
      </c>
      <c r="AQ26" s="170" t="e">
        <f>X26*AB26*AE26</f>
        <v>#REF!</v>
      </c>
      <c r="AR26" s="170" t="e">
        <f>Z26*AB26*AE26</f>
        <v>#REF!</v>
      </c>
      <c r="AS26" s="170"/>
      <c r="AT26" s="170"/>
      <c r="AU26" s="171"/>
      <c r="AV26" s="167"/>
      <c r="AW26" s="38"/>
      <c r="AX26" s="127"/>
      <c r="AY26"/>
      <c r="AZ26"/>
      <c r="BA26"/>
      <c r="BF26" s="80"/>
      <c r="BL26" s="16"/>
      <c r="BM26" s="16"/>
      <c r="BN26" s="16"/>
      <c r="BO26" s="16"/>
      <c r="BP26" s="10" t="s">
        <v>535</v>
      </c>
    </row>
    <row r="27" spans="1:68">
      <c r="A27" s="10" t="s">
        <v>1135</v>
      </c>
      <c r="B27" s="175" t="s">
        <v>263</v>
      </c>
      <c r="C27" s="169">
        <f>SUMIFS(BCRR_REHAB!L:L,BCRR_REHAB!D:D,'Huella materiales'!A27)</f>
        <v>0</v>
      </c>
      <c r="D27" s="146" t="e">
        <f>SUMIF(#REF!,'Huella materiales'!A27,#REF!)</f>
        <v>#REF!</v>
      </c>
      <c r="E27" s="1013" t="e">
        <f>D27*AB27</f>
        <v>#REF!</v>
      </c>
      <c r="F27" s="146" t="e">
        <f>SUMIF(#REF!,'Huella materiales'!A27,#REF!)</f>
        <v>#REF!</v>
      </c>
      <c r="G27" s="1013" t="e">
        <f>F27*AB27</f>
        <v>#REF!</v>
      </c>
      <c r="H27" s="146" t="e">
        <f>SUMIF(#REF!,'Huella materiales'!A27,#REF!)</f>
        <v>#REF!</v>
      </c>
      <c r="I27" s="1013" t="e">
        <f>H27*AB27</f>
        <v>#REF!</v>
      </c>
      <c r="J27" s="146" t="e">
        <f>SUMIF(#REF!,'Huella materiales'!A27,#REF!)</f>
        <v>#REF!</v>
      </c>
      <c r="K27" s="1013" t="e">
        <f>J27*AB27</f>
        <v>#REF!</v>
      </c>
      <c r="L27" s="146" t="e">
        <f>SUMIF(#REF!,'Huella materiales'!A27,#REF!)</f>
        <v>#REF!</v>
      </c>
      <c r="M27" s="1013" t="e">
        <f>L27*AB27</f>
        <v>#REF!</v>
      </c>
      <c r="N27" s="146" t="e">
        <f>SUMIF(#REF!,'Huella materiales'!A27,#REF!)</f>
        <v>#REF!</v>
      </c>
      <c r="O27" s="1013" t="e">
        <f>N27*AB27</f>
        <v>#REF!</v>
      </c>
      <c r="P27" s="146" t="e">
        <f>SUMIF(#REF!,'Huella materiales'!A27,#REF!)</f>
        <v>#REF!</v>
      </c>
      <c r="Q27" s="1013" t="e">
        <f>P27*AB27</f>
        <v>#REF!</v>
      </c>
      <c r="R27" s="146" t="e">
        <f>SUMIF(#REF!,'Huella materiales'!A27,#REF!)</f>
        <v>#REF!</v>
      </c>
      <c r="S27" s="1013" t="e">
        <f>R27*AB27</f>
        <v>#REF!</v>
      </c>
      <c r="T27" s="146" t="e">
        <f>SUMIF(#REF!,'Huella materiales'!A27,#REF!)</f>
        <v>#REF!</v>
      </c>
      <c r="U27" s="1013" t="e">
        <f>T27*AB27</f>
        <v>#REF!</v>
      </c>
      <c r="V27" s="146" t="e">
        <f>SUMIF(#REF!,'Huella materiales'!A27,#REF!)</f>
        <v>#REF!</v>
      </c>
      <c r="W27" s="1013" t="e">
        <f>V27*AB27</f>
        <v>#REF!</v>
      </c>
      <c r="X27" s="146" t="e">
        <f>SUMIF(#REF!,'Huella materiales'!A27,#REF!)</f>
        <v>#REF!</v>
      </c>
      <c r="Y27" s="1013" t="e">
        <f>X27*AB27</f>
        <v>#REF!</v>
      </c>
      <c r="Z27" s="146" t="e">
        <f>SUMIF(#REF!,'Huella materiales'!A27,#REF!)</f>
        <v>#REF!</v>
      </c>
      <c r="AA27" s="1013" t="e">
        <f>Z27*AB27</f>
        <v>#REF!</v>
      </c>
      <c r="AB27" s="1030"/>
      <c r="AC27" s="1017" t="e">
        <f>E27+G27+I27+K27+M27+O27+Q27+S27+U27+W27+Y27+AA27</f>
        <v>#REF!</v>
      </c>
      <c r="AD27" s="1022">
        <f>C27*AB27</f>
        <v>0</v>
      </c>
      <c r="AE27" s="1077"/>
      <c r="AF27" s="170">
        <f>C27*AB27*AE27</f>
        <v>0</v>
      </c>
      <c r="AG27" s="170" t="e">
        <f t="shared" si="17"/>
        <v>#REF!</v>
      </c>
      <c r="AH27" s="170" t="e">
        <f t="shared" si="18"/>
        <v>#REF!</v>
      </c>
      <c r="AI27" s="170" t="e">
        <f t="shared" si="19"/>
        <v>#REF!</v>
      </c>
      <c r="AJ27" s="170" t="e">
        <f t="shared" si="20"/>
        <v>#REF!</v>
      </c>
      <c r="AK27" s="170" t="e">
        <f>L27*AB27*AE27</f>
        <v>#REF!</v>
      </c>
      <c r="AL27" s="170"/>
      <c r="AM27" s="170" t="e">
        <f>P27*AB27*AE27</f>
        <v>#REF!</v>
      </c>
      <c r="AN27" s="170" t="e">
        <f>R27*AB27*AE27</f>
        <v>#REF!</v>
      </c>
      <c r="AO27" s="170" t="e">
        <f>T27*AB27*AE27</f>
        <v>#REF!</v>
      </c>
      <c r="AP27" s="170" t="e">
        <f>V27*AB27*AE27</f>
        <v>#REF!</v>
      </c>
      <c r="AQ27" s="170" t="e">
        <f>X27*AB27*AE27</f>
        <v>#REF!</v>
      </c>
      <c r="AR27" s="170" t="e">
        <f>Z27*AB27*AE27</f>
        <v>#REF!</v>
      </c>
      <c r="AS27" s="170"/>
      <c r="AT27" s="170"/>
      <c r="AU27" s="171"/>
      <c r="AV27" s="160"/>
      <c r="AX27" s="28"/>
      <c r="AY27"/>
      <c r="AZ27"/>
      <c r="BA27"/>
      <c r="BL27" s="16"/>
      <c r="BM27" s="16"/>
      <c r="BN27" s="16"/>
      <c r="BO27" s="16"/>
      <c r="BP27" s="10"/>
    </row>
    <row r="28" spans="1:68" ht="15.5">
      <c r="A28" s="22"/>
      <c r="B28" s="163" t="s">
        <v>233</v>
      </c>
      <c r="C28" s="169">
        <f>SUMIFS(BCRR_REHAB!L:L,BCRR_REHAB!D:D,'Huella materiales'!A28)</f>
        <v>0</v>
      </c>
      <c r="D28" s="987"/>
      <c r="E28" s="1014" t="e">
        <f t="shared" ref="E28:AF28" si="34">SUM(E29:E40)</f>
        <v>#REF!</v>
      </c>
      <c r="F28" s="987"/>
      <c r="G28" s="987" t="e">
        <f t="shared" si="34"/>
        <v>#REF!</v>
      </c>
      <c r="H28" s="987"/>
      <c r="I28" s="987" t="e">
        <f t="shared" si="34"/>
        <v>#REF!</v>
      </c>
      <c r="J28" s="987"/>
      <c r="K28" s="987" t="e">
        <f t="shared" si="34"/>
        <v>#REF!</v>
      </c>
      <c r="L28" s="987"/>
      <c r="M28" s="987" t="e">
        <f t="shared" si="34"/>
        <v>#REF!</v>
      </c>
      <c r="N28" s="987"/>
      <c r="O28" s="987" t="e">
        <f t="shared" si="34"/>
        <v>#REF!</v>
      </c>
      <c r="P28" s="987"/>
      <c r="Q28" s="987" t="e">
        <f t="shared" si="34"/>
        <v>#REF!</v>
      </c>
      <c r="R28" s="987"/>
      <c r="S28" s="987" t="e">
        <f t="shared" si="34"/>
        <v>#REF!</v>
      </c>
      <c r="T28" s="987"/>
      <c r="U28" s="987" t="e">
        <f t="shared" si="34"/>
        <v>#REF!</v>
      </c>
      <c r="V28" s="987"/>
      <c r="W28" s="987" t="e">
        <f t="shared" si="34"/>
        <v>#REF!</v>
      </c>
      <c r="X28" s="987"/>
      <c r="Y28" s="987" t="e">
        <f t="shared" si="34"/>
        <v>#REF!</v>
      </c>
      <c r="Z28" s="987"/>
      <c r="AA28" s="987" t="e">
        <f t="shared" si="34"/>
        <v>#REF!</v>
      </c>
      <c r="AB28" s="987">
        <f t="shared" si="34"/>
        <v>20167.91</v>
      </c>
      <c r="AC28" s="1028" t="e">
        <f t="shared" si="34"/>
        <v>#REF!</v>
      </c>
      <c r="AD28" s="1026">
        <f t="shared" si="34"/>
        <v>0</v>
      </c>
      <c r="AE28" s="1019"/>
      <c r="AF28" s="1080">
        <f t="shared" si="34"/>
        <v>0</v>
      </c>
      <c r="AG28" s="1080" t="e">
        <f t="shared" ref="AG28:AR28" si="35">SUM(AG29:AG40)</f>
        <v>#REF!</v>
      </c>
      <c r="AH28" s="1080" t="e">
        <f t="shared" si="35"/>
        <v>#REF!</v>
      </c>
      <c r="AI28" s="1080" t="e">
        <f t="shared" si="35"/>
        <v>#REF!</v>
      </c>
      <c r="AJ28" s="1080" t="e">
        <f t="shared" si="35"/>
        <v>#REF!</v>
      </c>
      <c r="AK28" s="1080" t="e">
        <f>SUM(AK30:AK40)</f>
        <v>#REF!</v>
      </c>
      <c r="AL28" s="1080" t="e">
        <f t="shared" si="35"/>
        <v>#REF!</v>
      </c>
      <c r="AM28" s="1080" t="e">
        <f t="shared" si="35"/>
        <v>#REF!</v>
      </c>
      <c r="AN28" s="1080" t="e">
        <f t="shared" si="35"/>
        <v>#REF!</v>
      </c>
      <c r="AO28" s="1080" t="e">
        <f t="shared" si="35"/>
        <v>#REF!</v>
      </c>
      <c r="AP28" s="1080" t="e">
        <f t="shared" si="35"/>
        <v>#REF!</v>
      </c>
      <c r="AQ28" s="1080" t="e">
        <f t="shared" si="35"/>
        <v>#REF!</v>
      </c>
      <c r="AR28" s="1080" t="e">
        <f t="shared" si="35"/>
        <v>#REF!</v>
      </c>
      <c r="AS28" s="1080" t="e">
        <f>AG28+AH28+AI28+AJ28+AK28+AM28+AN28+AO28+AP28+AQ28+AR28</f>
        <v>#REF!</v>
      </c>
      <c r="AT28" s="165">
        <f>SUM(AF29:AF38)/$AX$5*$AX$7</f>
        <v>0</v>
      </c>
      <c r="AU28" s="166">
        <f>AT28/$AX$8</f>
        <v>0</v>
      </c>
      <c r="AV28" s="167"/>
      <c r="AW28" s="1520"/>
      <c r="AX28" s="1520"/>
      <c r="AY28" s="1521"/>
      <c r="AZ28" s="1521"/>
      <c r="BA28" s="1521"/>
      <c r="BB28" s="1521"/>
      <c r="BC28" s="1521"/>
      <c r="BD28" s="1521"/>
      <c r="BE28" s="1521"/>
      <c r="BF28" s="1521"/>
      <c r="BG28" s="1521"/>
      <c r="BH28" s="1521"/>
      <c r="BI28" s="1521"/>
      <c r="BJ28" s="1521"/>
      <c r="BL28" s="16"/>
      <c r="BM28" s="16"/>
      <c r="BN28" s="16"/>
      <c r="BO28" s="16"/>
      <c r="BP28" s="10" t="s">
        <v>536</v>
      </c>
    </row>
    <row r="29" spans="1:68" s="1521" customFormat="1">
      <c r="A29" s="1373" t="s">
        <v>1098</v>
      </c>
      <c r="B29" s="1513" t="s">
        <v>255</v>
      </c>
      <c r="C29" s="169">
        <f>SUMIFS(BCRR_REHAB!L:L,BCRR_REHAB!D:D,'Huella materiales'!A29)</f>
        <v>0</v>
      </c>
      <c r="D29" s="1515" t="e">
        <f>SUMIF(#REF!,'Huella materiales'!A29,#REF!)</f>
        <v>#REF!</v>
      </c>
      <c r="E29" s="1515" t="e">
        <f t="shared" ref="E29:E40" si="36">D29*AB29</f>
        <v>#REF!</v>
      </c>
      <c r="F29" s="146" t="e">
        <f>SUMIF(#REF!,'Huella materiales'!A29,#REF!)</f>
        <v>#REF!</v>
      </c>
      <c r="G29" s="1515" t="e">
        <f t="shared" ref="G29:G40" si="37">F29*AB29</f>
        <v>#REF!</v>
      </c>
      <c r="H29" s="146" t="e">
        <f>SUMIF(#REF!,'Huella materiales'!A29,#REF!)</f>
        <v>#REF!</v>
      </c>
      <c r="I29" s="1515" t="e">
        <f t="shared" ref="I29:I40" si="38">H29*AB29</f>
        <v>#REF!</v>
      </c>
      <c r="J29" s="146" t="e">
        <f>SUMIF(#REF!,'Huella materiales'!A29,#REF!)</f>
        <v>#REF!</v>
      </c>
      <c r="K29" s="1515" t="e">
        <f t="shared" ref="K29:K40" si="39">J29*AB29</f>
        <v>#REF!</v>
      </c>
      <c r="L29" s="146" t="e">
        <f>SUMIF(#REF!,'Huella materiales'!A29,#REF!)</f>
        <v>#REF!</v>
      </c>
      <c r="M29" s="1515" t="e">
        <f t="shared" ref="M29:M40" si="40">L29*AB29</f>
        <v>#REF!</v>
      </c>
      <c r="N29" s="1515" t="e">
        <f>SUMIF(#REF!,'Huella materiales'!A29,#REF!)</f>
        <v>#REF!</v>
      </c>
      <c r="O29" s="1515" t="e">
        <f t="shared" ref="O29:O40" si="41">N29*AB29</f>
        <v>#REF!</v>
      </c>
      <c r="P29" s="1515" t="e">
        <f>SUMIF(#REF!,'Huella materiales'!A29,#REF!)</f>
        <v>#REF!</v>
      </c>
      <c r="Q29" s="1515" t="e">
        <f>P29*AB29</f>
        <v>#REF!</v>
      </c>
      <c r="R29" s="1515" t="e">
        <f>SUMIF(#REF!,'Huella materiales'!A29,#REF!)</f>
        <v>#REF!</v>
      </c>
      <c r="S29" s="1515" t="e">
        <f>R29*AB29</f>
        <v>#REF!</v>
      </c>
      <c r="T29" s="146" t="e">
        <f>SUMIF(#REF!,'Huella materiales'!A29,#REF!)</f>
        <v>#REF!</v>
      </c>
      <c r="U29" s="1515" t="e">
        <f>T29*AB29</f>
        <v>#REF!</v>
      </c>
      <c r="V29" s="1515" t="e">
        <f>SUMIF(#REF!,'Huella materiales'!A29,#REF!)</f>
        <v>#REF!</v>
      </c>
      <c r="W29" s="1515" t="e">
        <f>V29*AB29</f>
        <v>#REF!</v>
      </c>
      <c r="X29" s="1515" t="e">
        <f>SUMIF(#REF!,'Huella materiales'!A29,#REF!)</f>
        <v>#REF!</v>
      </c>
      <c r="Y29" s="1515" t="e">
        <f>X29*AB29</f>
        <v>#REF!</v>
      </c>
      <c r="Z29" s="1515" t="e">
        <f>SUMIF(#REF!,'Huella materiales'!A29,#REF!)</f>
        <v>#REF!</v>
      </c>
      <c r="AA29" s="1515" t="e">
        <f>Z29*AB29</f>
        <v>#REF!</v>
      </c>
      <c r="AB29" s="1515">
        <f>'Datos auxiliares materiales'!C14</f>
        <v>100.91</v>
      </c>
      <c r="AC29" s="1516" t="e">
        <f>E29+G29+I29+K29+M29+O29+Q29+S29+U29+W29+Y29+AA29</f>
        <v>#REF!</v>
      </c>
      <c r="AD29" s="1517">
        <f t="shared" ref="AD29:AD40" si="42">C29*AB29</f>
        <v>0</v>
      </c>
      <c r="AE29" s="1518">
        <f>'Datos auxiliares materiales'!D14</f>
        <v>2</v>
      </c>
      <c r="AF29" s="1515">
        <f>C29*$AB$29*$AE$29</f>
        <v>0</v>
      </c>
      <c r="AG29" s="1515" t="e">
        <f>D29*$AB$29*$AE$29</f>
        <v>#REF!</v>
      </c>
      <c r="AH29" s="1515" t="e">
        <f>F29*AB29*AE29</f>
        <v>#REF!</v>
      </c>
      <c r="AI29" s="1515" t="e">
        <f>H29*AB29*AE29</f>
        <v>#REF!</v>
      </c>
      <c r="AJ29" s="1515" t="e">
        <f>J29*AB29*AE29</f>
        <v>#REF!</v>
      </c>
      <c r="AK29" s="1515" t="e">
        <f>L29*AB29*AE29</f>
        <v>#REF!</v>
      </c>
      <c r="AL29" s="1515" t="e">
        <f>N29*$AB$29*$AE$29</f>
        <v>#REF!</v>
      </c>
      <c r="AM29" s="1515" t="e">
        <f>P29*AB29*AE29</f>
        <v>#REF!</v>
      </c>
      <c r="AN29" s="1515" t="e">
        <f>R29*AB29*AE29</f>
        <v>#REF!</v>
      </c>
      <c r="AO29" s="1515" t="e">
        <f>T29*AB29*AE29</f>
        <v>#REF!</v>
      </c>
      <c r="AP29" s="1515" t="e">
        <f>V29*AB29*AE29</f>
        <v>#REF!</v>
      </c>
      <c r="AQ29" s="1515" t="e">
        <f>X29*AB29*AE29</f>
        <v>#REF!</v>
      </c>
      <c r="AR29" s="1515" t="e">
        <f>Z29*AB29*AE29</f>
        <v>#REF!</v>
      </c>
      <c r="AS29" s="1515"/>
      <c r="AT29" s="1515"/>
      <c r="AU29" s="1519"/>
      <c r="AV29" s="1520"/>
      <c r="AW29" s="160"/>
      <c r="AX29" s="160"/>
      <c r="AY29"/>
      <c r="AZ29"/>
      <c r="BA29"/>
      <c r="BB29"/>
      <c r="BC29"/>
      <c r="BD29"/>
      <c r="BE29"/>
      <c r="BF29"/>
      <c r="BG29"/>
      <c r="BH29"/>
      <c r="BI29"/>
      <c r="BJ29"/>
      <c r="BL29" s="1522"/>
      <c r="BM29" s="1522"/>
      <c r="BN29" s="1522"/>
      <c r="BO29" s="1522"/>
      <c r="BP29" s="1373" t="s">
        <v>537</v>
      </c>
    </row>
    <row r="30" spans="1:68">
      <c r="A30" s="12" t="s">
        <v>1078</v>
      </c>
      <c r="B30" s="175" t="s">
        <v>260</v>
      </c>
      <c r="C30" s="169">
        <f>SUMIFS(BCRR_REHAB!L:L,BCRR_REHAB!D:D,'Huella materiales'!A30)</f>
        <v>0</v>
      </c>
      <c r="D30" s="146" t="e">
        <f>SUMIF(#REF!,'Huella materiales'!A30,#REF!)</f>
        <v>#REF!</v>
      </c>
      <c r="E30" s="1013" t="e">
        <f t="shared" si="36"/>
        <v>#REF!</v>
      </c>
      <c r="F30" s="146" t="e">
        <f>SUMIF(#REF!,'Huella materiales'!A30,#REF!)</f>
        <v>#REF!</v>
      </c>
      <c r="G30" s="1013" t="e">
        <f t="shared" si="37"/>
        <v>#REF!</v>
      </c>
      <c r="H30" s="146" t="e">
        <f>SUMIF(#REF!,'Huella materiales'!A30,#REF!)</f>
        <v>#REF!</v>
      </c>
      <c r="I30" s="1013" t="e">
        <f t="shared" si="38"/>
        <v>#REF!</v>
      </c>
      <c r="J30" s="146" t="e">
        <f>SUMIF(#REF!,'Huella materiales'!A30,#REF!)</f>
        <v>#REF!</v>
      </c>
      <c r="K30" s="1013" t="e">
        <f t="shared" si="39"/>
        <v>#REF!</v>
      </c>
      <c r="L30" s="146" t="e">
        <f>SUMIF(#REF!,'Huella materiales'!A30,#REF!)</f>
        <v>#REF!</v>
      </c>
      <c r="M30" s="1013" t="e">
        <f t="shared" si="40"/>
        <v>#REF!</v>
      </c>
      <c r="N30" s="146" t="e">
        <f>SUMIF(#REF!,'Huella materiales'!A30,#REF!)</f>
        <v>#REF!</v>
      </c>
      <c r="O30" s="1013" t="e">
        <f t="shared" si="41"/>
        <v>#REF!</v>
      </c>
      <c r="P30" s="146" t="e">
        <f>SUMIF(#REF!,'Huella materiales'!A30,#REF!)</f>
        <v>#REF!</v>
      </c>
      <c r="Q30" s="1013" t="e">
        <f t="shared" ref="Q30:Q40" si="43">P30*AB30</f>
        <v>#REF!</v>
      </c>
      <c r="R30" s="146" t="e">
        <f>SUMIF(#REF!,'Huella materiales'!A30,#REF!)</f>
        <v>#REF!</v>
      </c>
      <c r="S30" s="1013" t="e">
        <f t="shared" ref="S30:S40" si="44">R30*AB30</f>
        <v>#REF!</v>
      </c>
      <c r="T30" s="146" t="e">
        <f>SUMIF(#REF!,'Huella materiales'!A30,#REF!)</f>
        <v>#REF!</v>
      </c>
      <c r="U30" s="1013" t="e">
        <f t="shared" ref="U30:U40" si="45">T30*AB30</f>
        <v>#REF!</v>
      </c>
      <c r="V30" s="146" t="e">
        <f>SUMIF(#REF!,'Huella materiales'!A30,#REF!)</f>
        <v>#REF!</v>
      </c>
      <c r="W30" s="1013" t="e">
        <f t="shared" ref="W30:W40" si="46">V30*AB30</f>
        <v>#REF!</v>
      </c>
      <c r="X30" s="146" t="e">
        <f>SUMIF(#REF!,'Huella materiales'!A30,#REF!)</f>
        <v>#REF!</v>
      </c>
      <c r="Y30" s="1013" t="e">
        <f t="shared" ref="Y30:Y40" si="47">X30*AB30</f>
        <v>#REF!</v>
      </c>
      <c r="Z30" s="146" t="e">
        <f>SUMIF(#REF!,'Huella materiales'!A30,#REF!)</f>
        <v>#REF!</v>
      </c>
      <c r="AA30" s="1013" t="e">
        <f t="shared" ref="AA30:AA40" si="48">Z30*AB30</f>
        <v>#REF!</v>
      </c>
      <c r="AB30" s="1030">
        <f>'Datos auxiliares materiales'!C15</f>
        <v>2500</v>
      </c>
      <c r="AC30" s="1017" t="e">
        <f t="shared" ref="AC30:AC40" si="49">E30+G30+I30+K30+M30+O30+Q30+S30+U30+W30+Y30+AA30</f>
        <v>#REF!</v>
      </c>
      <c r="AD30" s="1022">
        <f t="shared" si="42"/>
        <v>0</v>
      </c>
      <c r="AE30" s="1077">
        <f>'Datos auxiliares materiales'!D15</f>
        <v>1</v>
      </c>
      <c r="AF30" s="170">
        <f>C30*AB30*AE30</f>
        <v>0</v>
      </c>
      <c r="AG30" s="170" t="e">
        <f>D30*AB30*AE30</f>
        <v>#REF!</v>
      </c>
      <c r="AH30" s="170" t="e">
        <f t="shared" ref="AH30:AH40" si="50">F30*AB30*AE30</f>
        <v>#REF!</v>
      </c>
      <c r="AI30" s="170" t="e">
        <f t="shared" ref="AI30:AI40" si="51">H30*AB30*AE30</f>
        <v>#REF!</v>
      </c>
      <c r="AJ30" s="170" t="e">
        <f t="shared" ref="AJ30:AJ40" si="52">J30*AB30*AE30</f>
        <v>#REF!</v>
      </c>
      <c r="AK30" s="170" t="e">
        <f t="shared" ref="AK30:AK40" si="53">L30*AB30*AE30</f>
        <v>#REF!</v>
      </c>
      <c r="AL30" s="170" t="e">
        <f>N30*$AB$30*$AE$30</f>
        <v>#REF!</v>
      </c>
      <c r="AM30" s="170" t="e">
        <f t="shared" ref="AM30:AM40" si="54">P30*AB30*AE30</f>
        <v>#REF!</v>
      </c>
      <c r="AN30" s="170" t="e">
        <f t="shared" ref="AN30:AN40" si="55">R30*AB30*AE30</f>
        <v>#REF!</v>
      </c>
      <c r="AO30" s="170" t="e">
        <f t="shared" ref="AO30:AO40" si="56">T30*AB30*AE30</f>
        <v>#REF!</v>
      </c>
      <c r="AP30" s="170" t="e">
        <f t="shared" ref="AP30:AP40" si="57">V30*AB30*AE30</f>
        <v>#REF!</v>
      </c>
      <c r="AQ30" s="170" t="e">
        <f t="shared" ref="AQ30:AQ40" si="58">X30*AB30*AE30</f>
        <v>#REF!</v>
      </c>
      <c r="AR30" s="170" t="e">
        <f t="shared" ref="AR30:AR40" si="59">Z30*AB30*AE30</f>
        <v>#REF!</v>
      </c>
      <c r="AS30" s="170"/>
      <c r="AT30" s="170"/>
      <c r="AU30" s="171"/>
      <c r="AV30" s="167"/>
      <c r="AW30" s="160"/>
      <c r="AX30" s="160"/>
      <c r="AY30"/>
      <c r="AZ30"/>
      <c r="BA30"/>
      <c r="BL30" s="16"/>
      <c r="BM30" s="16"/>
      <c r="BN30" s="16"/>
      <c r="BO30" s="16"/>
      <c r="BP30" s="10" t="s">
        <v>538</v>
      </c>
    </row>
    <row r="31" spans="1:68">
      <c r="A31" s="12" t="s">
        <v>1086</v>
      </c>
      <c r="B31" s="175" t="s">
        <v>260</v>
      </c>
      <c r="C31" s="169">
        <f>SUMIFS(BCRR_REHAB!L:L,BCRR_REHAB!D:D,'Huella materiales'!A31)</f>
        <v>0</v>
      </c>
      <c r="D31" s="146" t="e">
        <f>SUMIF(#REF!,'Huella materiales'!A31,#REF!)</f>
        <v>#REF!</v>
      </c>
      <c r="E31" s="1013" t="e">
        <f t="shared" si="36"/>
        <v>#REF!</v>
      </c>
      <c r="F31" s="146" t="e">
        <f>SUMIF(#REF!,'Huella materiales'!A31,#REF!)</f>
        <v>#REF!</v>
      </c>
      <c r="G31" s="1013" t="e">
        <f t="shared" si="37"/>
        <v>#REF!</v>
      </c>
      <c r="H31" s="146" t="e">
        <f>SUMIF(#REF!,'Huella materiales'!A31,#REF!)</f>
        <v>#REF!</v>
      </c>
      <c r="I31" s="1013" t="e">
        <f t="shared" si="38"/>
        <v>#REF!</v>
      </c>
      <c r="J31" s="146" t="e">
        <f>SUMIF(#REF!,'Huella materiales'!A31,#REF!)</f>
        <v>#REF!</v>
      </c>
      <c r="K31" s="1013" t="e">
        <f t="shared" si="39"/>
        <v>#REF!</v>
      </c>
      <c r="L31" s="146" t="e">
        <f>SUMIF(#REF!,'Huella materiales'!A31,#REF!)</f>
        <v>#REF!</v>
      </c>
      <c r="M31" s="1013" t="e">
        <f t="shared" si="40"/>
        <v>#REF!</v>
      </c>
      <c r="N31" s="146" t="e">
        <f>SUMIF(#REF!,'Huella materiales'!A31,#REF!)</f>
        <v>#REF!</v>
      </c>
      <c r="O31" s="1013" t="e">
        <f t="shared" si="41"/>
        <v>#REF!</v>
      </c>
      <c r="P31" s="146" t="e">
        <f>SUMIF(#REF!,'Huella materiales'!A31,#REF!)</f>
        <v>#REF!</v>
      </c>
      <c r="Q31" s="1013" t="e">
        <f t="shared" si="43"/>
        <v>#REF!</v>
      </c>
      <c r="R31" s="146" t="e">
        <f>SUMIF(#REF!,'Huella materiales'!A31,#REF!)</f>
        <v>#REF!</v>
      </c>
      <c r="S31" s="1013" t="e">
        <f t="shared" si="44"/>
        <v>#REF!</v>
      </c>
      <c r="T31" s="146" t="e">
        <f>SUMIF(#REF!,'Huella materiales'!A31,#REF!)</f>
        <v>#REF!</v>
      </c>
      <c r="U31" s="1013" t="e">
        <f t="shared" si="45"/>
        <v>#REF!</v>
      </c>
      <c r="V31" s="146" t="e">
        <f>SUMIF(#REF!,'Huella materiales'!A31,#REF!)</f>
        <v>#REF!</v>
      </c>
      <c r="W31" s="1013" t="e">
        <f t="shared" si="46"/>
        <v>#REF!</v>
      </c>
      <c r="X31" s="146" t="e">
        <f>SUMIF(#REF!,'Huella materiales'!A31,#REF!)</f>
        <v>#REF!</v>
      </c>
      <c r="Y31" s="1013" t="e">
        <f t="shared" si="47"/>
        <v>#REF!</v>
      </c>
      <c r="Z31" s="146" t="e">
        <f>SUMIF(#REF!,'Huella materiales'!A31,#REF!)</f>
        <v>#REF!</v>
      </c>
      <c r="AA31" s="1013" t="e">
        <f t="shared" si="48"/>
        <v>#REF!</v>
      </c>
      <c r="AB31" s="1030">
        <f>'Datos auxiliares materiales'!C15</f>
        <v>2500</v>
      </c>
      <c r="AC31" s="1017" t="e">
        <f t="shared" si="49"/>
        <v>#REF!</v>
      </c>
      <c r="AD31" s="1022">
        <f t="shared" si="42"/>
        <v>0</v>
      </c>
      <c r="AE31" s="1077"/>
      <c r="AF31" s="170">
        <f t="shared" ref="AF31:AF40" si="60">C31*AB31*AE31</f>
        <v>0</v>
      </c>
      <c r="AG31" s="170" t="e">
        <f t="shared" ref="AG31:AG40" si="61">D31*AB31*AE31</f>
        <v>#REF!</v>
      </c>
      <c r="AH31" s="170" t="e">
        <f t="shared" si="50"/>
        <v>#REF!</v>
      </c>
      <c r="AI31" s="170" t="e">
        <f t="shared" si="51"/>
        <v>#REF!</v>
      </c>
      <c r="AJ31" s="170" t="e">
        <f t="shared" si="52"/>
        <v>#REF!</v>
      </c>
      <c r="AK31" s="170" t="e">
        <f t="shared" si="53"/>
        <v>#REF!</v>
      </c>
      <c r="AL31" s="170"/>
      <c r="AM31" s="170" t="e">
        <f t="shared" si="54"/>
        <v>#REF!</v>
      </c>
      <c r="AN31" s="170" t="e">
        <f t="shared" si="55"/>
        <v>#REF!</v>
      </c>
      <c r="AO31" s="170" t="e">
        <f t="shared" si="56"/>
        <v>#REF!</v>
      </c>
      <c r="AP31" s="170" t="e">
        <f t="shared" si="57"/>
        <v>#REF!</v>
      </c>
      <c r="AQ31" s="170" t="e">
        <f t="shared" si="58"/>
        <v>#REF!</v>
      </c>
      <c r="AR31" s="170" t="e">
        <f t="shared" si="59"/>
        <v>#REF!</v>
      </c>
      <c r="AS31" s="170"/>
      <c r="AT31" s="170"/>
      <c r="AU31" s="171"/>
      <c r="AV31" s="167"/>
      <c r="AW31" s="160"/>
      <c r="AX31" s="160"/>
      <c r="AY31"/>
      <c r="AZ31"/>
      <c r="BA31"/>
      <c r="BL31" s="16"/>
      <c r="BM31" s="16"/>
      <c r="BN31" s="16"/>
      <c r="BO31" s="16"/>
      <c r="BP31" s="10"/>
    </row>
    <row r="32" spans="1:68">
      <c r="A32" s="12" t="s">
        <v>1091</v>
      </c>
      <c r="B32" s="175" t="s">
        <v>260</v>
      </c>
      <c r="C32" s="169">
        <f>SUMIFS(BCRR_REHAB!L:L,BCRR_REHAB!D:D,'Huella materiales'!A32)</f>
        <v>0</v>
      </c>
      <c r="D32" s="146" t="e">
        <f>SUMIF(#REF!,'Huella materiales'!A32,#REF!)</f>
        <v>#REF!</v>
      </c>
      <c r="E32" s="1013" t="e">
        <f t="shared" si="36"/>
        <v>#REF!</v>
      </c>
      <c r="F32" s="146" t="e">
        <f>SUMIF(#REF!,'Huella materiales'!A32,#REF!)</f>
        <v>#REF!</v>
      </c>
      <c r="G32" s="1013" t="e">
        <f t="shared" si="37"/>
        <v>#REF!</v>
      </c>
      <c r="H32" s="146" t="e">
        <f>SUMIF(#REF!,'Huella materiales'!A32,#REF!)</f>
        <v>#REF!</v>
      </c>
      <c r="I32" s="1013" t="e">
        <f t="shared" si="38"/>
        <v>#REF!</v>
      </c>
      <c r="J32" s="146" t="e">
        <f>SUMIF(#REF!,'Huella materiales'!A32,#REF!)</f>
        <v>#REF!</v>
      </c>
      <c r="K32" s="1013" t="e">
        <f t="shared" si="39"/>
        <v>#REF!</v>
      </c>
      <c r="L32" s="146" t="e">
        <f>SUMIF(#REF!,'Huella materiales'!A32,#REF!)</f>
        <v>#REF!</v>
      </c>
      <c r="M32" s="1013" t="e">
        <f t="shared" si="40"/>
        <v>#REF!</v>
      </c>
      <c r="N32" s="146" t="e">
        <f>SUMIF(#REF!,'Huella materiales'!A32,#REF!)</f>
        <v>#REF!</v>
      </c>
      <c r="O32" s="1013" t="e">
        <f t="shared" si="41"/>
        <v>#REF!</v>
      </c>
      <c r="P32" s="146" t="e">
        <f>SUMIF(#REF!,'Huella materiales'!A32,#REF!)</f>
        <v>#REF!</v>
      </c>
      <c r="Q32" s="1013" t="e">
        <f t="shared" si="43"/>
        <v>#REF!</v>
      </c>
      <c r="R32" s="146" t="e">
        <f>SUMIF(#REF!,'Huella materiales'!A32,#REF!)</f>
        <v>#REF!</v>
      </c>
      <c r="S32" s="1013" t="e">
        <f t="shared" si="44"/>
        <v>#REF!</v>
      </c>
      <c r="T32" s="146" t="e">
        <f>SUMIF(#REF!,'Huella materiales'!A32,#REF!)</f>
        <v>#REF!</v>
      </c>
      <c r="U32" s="1013" t="e">
        <f t="shared" si="45"/>
        <v>#REF!</v>
      </c>
      <c r="V32" s="146" t="e">
        <f>SUMIF(#REF!,'Huella materiales'!A32,#REF!)</f>
        <v>#REF!</v>
      </c>
      <c r="W32" s="1013" t="e">
        <f t="shared" si="46"/>
        <v>#REF!</v>
      </c>
      <c r="X32" s="146" t="e">
        <f>SUMIF(#REF!,'Huella materiales'!A32,#REF!)</f>
        <v>#REF!</v>
      </c>
      <c r="Y32" s="1013" t="e">
        <f t="shared" si="47"/>
        <v>#REF!</v>
      </c>
      <c r="Z32" s="146" t="e">
        <f>SUMIF(#REF!,'Huella materiales'!A32,#REF!)</f>
        <v>#REF!</v>
      </c>
      <c r="AA32" s="1013" t="e">
        <f t="shared" si="48"/>
        <v>#REF!</v>
      </c>
      <c r="AB32" s="1030">
        <f>'Datos auxiliares materiales'!C15</f>
        <v>2500</v>
      </c>
      <c r="AC32" s="1017" t="e">
        <f t="shared" si="49"/>
        <v>#REF!</v>
      </c>
      <c r="AD32" s="1022">
        <f t="shared" si="42"/>
        <v>0</v>
      </c>
      <c r="AE32" s="1077"/>
      <c r="AF32" s="170">
        <f t="shared" si="60"/>
        <v>0</v>
      </c>
      <c r="AG32" s="170" t="e">
        <f t="shared" si="61"/>
        <v>#REF!</v>
      </c>
      <c r="AH32" s="170" t="e">
        <f t="shared" si="50"/>
        <v>#REF!</v>
      </c>
      <c r="AI32" s="170" t="e">
        <f t="shared" si="51"/>
        <v>#REF!</v>
      </c>
      <c r="AJ32" s="170" t="e">
        <f t="shared" si="52"/>
        <v>#REF!</v>
      </c>
      <c r="AK32" s="170" t="e">
        <f t="shared" si="53"/>
        <v>#REF!</v>
      </c>
      <c r="AL32" s="170"/>
      <c r="AM32" s="170" t="e">
        <f t="shared" si="54"/>
        <v>#REF!</v>
      </c>
      <c r="AN32" s="170" t="e">
        <f t="shared" si="55"/>
        <v>#REF!</v>
      </c>
      <c r="AO32" s="170" t="e">
        <f t="shared" si="56"/>
        <v>#REF!</v>
      </c>
      <c r="AP32" s="170" t="e">
        <f t="shared" si="57"/>
        <v>#REF!</v>
      </c>
      <c r="AQ32" s="170" t="e">
        <f t="shared" si="58"/>
        <v>#REF!</v>
      </c>
      <c r="AR32" s="170" t="e">
        <f t="shared" si="59"/>
        <v>#REF!</v>
      </c>
      <c r="AS32" s="170"/>
      <c r="AT32" s="170"/>
      <c r="AU32" s="171"/>
      <c r="AV32" s="167"/>
      <c r="AW32" s="160"/>
      <c r="AX32" s="160"/>
      <c r="AY32"/>
      <c r="AZ32"/>
      <c r="BA32"/>
      <c r="BL32" s="16"/>
      <c r="BM32" s="16"/>
      <c r="BN32" s="16"/>
      <c r="BO32" s="16"/>
      <c r="BP32" s="10"/>
    </row>
    <row r="33" spans="1:68">
      <c r="A33" s="12" t="s">
        <v>1093</v>
      </c>
      <c r="B33" s="175" t="s">
        <v>260</v>
      </c>
      <c r="C33" s="169">
        <f>SUMIFS(BCRR_REHAB!L:L,BCRR_REHAB!D:D,'Huella materiales'!A33)</f>
        <v>0</v>
      </c>
      <c r="D33" s="146" t="e">
        <f>SUMIF(#REF!,'Huella materiales'!A33,#REF!)</f>
        <v>#REF!</v>
      </c>
      <c r="E33" s="1013" t="e">
        <f t="shared" si="36"/>
        <v>#REF!</v>
      </c>
      <c r="F33" s="146" t="e">
        <f>SUMIF(#REF!,'Huella materiales'!A33,#REF!)</f>
        <v>#REF!</v>
      </c>
      <c r="G33" s="1013" t="e">
        <f t="shared" si="37"/>
        <v>#REF!</v>
      </c>
      <c r="H33" s="146" t="e">
        <f>SUMIF(#REF!,'Huella materiales'!A33,#REF!)</f>
        <v>#REF!</v>
      </c>
      <c r="I33" s="1013" t="e">
        <f t="shared" si="38"/>
        <v>#REF!</v>
      </c>
      <c r="J33" s="146" t="e">
        <f>SUMIF(#REF!,'Huella materiales'!A33,#REF!)</f>
        <v>#REF!</v>
      </c>
      <c r="K33" s="1013" t="e">
        <f t="shared" si="39"/>
        <v>#REF!</v>
      </c>
      <c r="L33" s="146" t="e">
        <f>SUMIF(#REF!,'Huella materiales'!A33,#REF!)</f>
        <v>#REF!</v>
      </c>
      <c r="M33" s="1013" t="e">
        <f t="shared" si="40"/>
        <v>#REF!</v>
      </c>
      <c r="N33" s="146" t="e">
        <f>SUMIF(#REF!,'Huella materiales'!A33,#REF!)</f>
        <v>#REF!</v>
      </c>
      <c r="O33" s="1013" t="e">
        <f t="shared" si="41"/>
        <v>#REF!</v>
      </c>
      <c r="P33" s="146" t="e">
        <f>SUMIF(#REF!,'Huella materiales'!A33,#REF!)</f>
        <v>#REF!</v>
      </c>
      <c r="Q33" s="1013" t="e">
        <f t="shared" si="43"/>
        <v>#REF!</v>
      </c>
      <c r="R33" s="146" t="e">
        <f>SUMIF(#REF!,'Huella materiales'!A33,#REF!)</f>
        <v>#REF!</v>
      </c>
      <c r="S33" s="1013" t="e">
        <f t="shared" si="44"/>
        <v>#REF!</v>
      </c>
      <c r="T33" s="146" t="e">
        <f>SUMIF(#REF!,'Huella materiales'!A33,#REF!)</f>
        <v>#REF!</v>
      </c>
      <c r="U33" s="1013" t="e">
        <f t="shared" si="45"/>
        <v>#REF!</v>
      </c>
      <c r="V33" s="146" t="e">
        <f>SUMIF(#REF!,'Huella materiales'!A33,#REF!)</f>
        <v>#REF!</v>
      </c>
      <c r="W33" s="1013" t="e">
        <f t="shared" si="46"/>
        <v>#REF!</v>
      </c>
      <c r="X33" s="146" t="e">
        <f>SUMIF(#REF!,'Huella materiales'!A33,#REF!)</f>
        <v>#REF!</v>
      </c>
      <c r="Y33" s="1013" t="e">
        <f t="shared" si="47"/>
        <v>#REF!</v>
      </c>
      <c r="Z33" s="146" t="e">
        <f>SUMIF(#REF!,'Huella materiales'!A33,#REF!)</f>
        <v>#REF!</v>
      </c>
      <c r="AA33" s="1013" t="e">
        <f t="shared" si="48"/>
        <v>#REF!</v>
      </c>
      <c r="AB33" s="1030">
        <f>'Datos auxiliares materiales'!C15</f>
        <v>2500</v>
      </c>
      <c r="AC33" s="1017" t="e">
        <f t="shared" si="49"/>
        <v>#REF!</v>
      </c>
      <c r="AD33" s="1022">
        <f t="shared" si="42"/>
        <v>0</v>
      </c>
      <c r="AE33" s="1077"/>
      <c r="AF33" s="170">
        <f t="shared" si="60"/>
        <v>0</v>
      </c>
      <c r="AG33" s="170" t="e">
        <f t="shared" si="61"/>
        <v>#REF!</v>
      </c>
      <c r="AH33" s="170" t="e">
        <f t="shared" si="50"/>
        <v>#REF!</v>
      </c>
      <c r="AI33" s="170" t="e">
        <f t="shared" si="51"/>
        <v>#REF!</v>
      </c>
      <c r="AJ33" s="170" t="e">
        <f t="shared" si="52"/>
        <v>#REF!</v>
      </c>
      <c r="AK33" s="170" t="e">
        <f t="shared" si="53"/>
        <v>#REF!</v>
      </c>
      <c r="AL33" s="170"/>
      <c r="AM33" s="170" t="e">
        <f t="shared" si="54"/>
        <v>#REF!</v>
      </c>
      <c r="AN33" s="170" t="e">
        <f t="shared" si="55"/>
        <v>#REF!</v>
      </c>
      <c r="AO33" s="170" t="e">
        <f t="shared" si="56"/>
        <v>#REF!</v>
      </c>
      <c r="AP33" s="170" t="e">
        <f t="shared" si="57"/>
        <v>#REF!</v>
      </c>
      <c r="AQ33" s="170" t="e">
        <f t="shared" si="58"/>
        <v>#REF!</v>
      </c>
      <c r="AR33" s="170" t="e">
        <f t="shared" si="59"/>
        <v>#REF!</v>
      </c>
      <c r="AS33" s="170"/>
      <c r="AT33" s="170"/>
      <c r="AU33" s="171"/>
      <c r="AV33" s="167"/>
      <c r="AW33" s="1520"/>
      <c r="AX33" s="1520"/>
      <c r="AY33" s="1521"/>
      <c r="AZ33" s="1521"/>
      <c r="BA33" s="1521"/>
      <c r="BB33" s="1521"/>
      <c r="BC33" s="1521"/>
      <c r="BD33" s="1521"/>
      <c r="BE33" s="1521"/>
      <c r="BF33" s="1521"/>
      <c r="BG33" s="1521"/>
      <c r="BH33" s="1521"/>
      <c r="BI33" s="1521"/>
      <c r="BJ33" s="1521"/>
      <c r="BL33" s="16"/>
      <c r="BM33" s="16"/>
      <c r="BN33" s="16"/>
      <c r="BO33" s="16"/>
      <c r="BP33" s="10"/>
    </row>
    <row r="34" spans="1:68" s="1521" customFormat="1">
      <c r="A34" s="1373" t="s">
        <v>1113</v>
      </c>
      <c r="B34" s="1513" t="s">
        <v>260</v>
      </c>
      <c r="C34" s="169">
        <f>SUMIFS(BCRR_REHAB!L:L,BCRR_REHAB!D:D,'Huella materiales'!A34)</f>
        <v>0</v>
      </c>
      <c r="D34" s="1515" t="e">
        <f>SUMIF(#REF!,'Huella materiales'!A34,#REF!)</f>
        <v>#REF!</v>
      </c>
      <c r="E34" s="1515" t="e">
        <f t="shared" si="36"/>
        <v>#REF!</v>
      </c>
      <c r="F34" s="146" t="e">
        <f>SUMIF(#REF!,'Huella materiales'!A34,#REF!)</f>
        <v>#REF!</v>
      </c>
      <c r="G34" s="1515" t="e">
        <f t="shared" si="37"/>
        <v>#REF!</v>
      </c>
      <c r="H34" s="146" t="e">
        <f>SUMIF(#REF!,'Huella materiales'!A34,#REF!)</f>
        <v>#REF!</v>
      </c>
      <c r="I34" s="1515" t="e">
        <f t="shared" si="38"/>
        <v>#REF!</v>
      </c>
      <c r="J34" s="146" t="e">
        <f>SUMIF(#REF!,'Huella materiales'!A34,#REF!)</f>
        <v>#REF!</v>
      </c>
      <c r="K34" s="1515" t="e">
        <f t="shared" si="39"/>
        <v>#REF!</v>
      </c>
      <c r="L34" s="146" t="e">
        <f>SUMIF(#REF!,'Huella materiales'!A34,#REF!)</f>
        <v>#REF!</v>
      </c>
      <c r="M34" s="1515" t="e">
        <f t="shared" si="40"/>
        <v>#REF!</v>
      </c>
      <c r="N34" s="1515" t="e">
        <f>SUMIF(#REF!,'Huella materiales'!A34,#REF!)</f>
        <v>#REF!</v>
      </c>
      <c r="O34" s="1515" t="e">
        <f t="shared" si="41"/>
        <v>#REF!</v>
      </c>
      <c r="P34" s="1515" t="e">
        <f>SUMIF(#REF!,'Huella materiales'!A34,#REF!)</f>
        <v>#REF!</v>
      </c>
      <c r="Q34" s="1515" t="e">
        <f t="shared" si="43"/>
        <v>#REF!</v>
      </c>
      <c r="R34" s="1515" t="e">
        <f>SUMIF(#REF!,'Huella materiales'!A34,#REF!)</f>
        <v>#REF!</v>
      </c>
      <c r="S34" s="1515" t="e">
        <f t="shared" si="44"/>
        <v>#REF!</v>
      </c>
      <c r="T34" s="146" t="e">
        <f>SUMIF(#REF!,'Huella materiales'!A34,#REF!)</f>
        <v>#REF!</v>
      </c>
      <c r="U34" s="1515" t="e">
        <f t="shared" si="45"/>
        <v>#REF!</v>
      </c>
      <c r="V34" s="1515" t="e">
        <f>SUMIF(#REF!,'Huella materiales'!A34,#REF!)</f>
        <v>#REF!</v>
      </c>
      <c r="W34" s="1515" t="e">
        <f t="shared" si="46"/>
        <v>#REF!</v>
      </c>
      <c r="X34" s="1515" t="e">
        <f>SUMIF(#REF!,'Huella materiales'!A34,#REF!)</f>
        <v>#REF!</v>
      </c>
      <c r="Y34" s="1515" t="e">
        <f t="shared" si="47"/>
        <v>#REF!</v>
      </c>
      <c r="Z34" s="1515" t="e">
        <f>SUMIF(#REF!,'Huella materiales'!A34,#REF!)</f>
        <v>#REF!</v>
      </c>
      <c r="AA34" s="1515" t="e">
        <f t="shared" si="48"/>
        <v>#REF!</v>
      </c>
      <c r="AB34" s="1515">
        <f>'Datos auxiliares materiales'!C15</f>
        <v>2500</v>
      </c>
      <c r="AC34" s="1516" t="e">
        <f t="shared" si="49"/>
        <v>#REF!</v>
      </c>
      <c r="AD34" s="1517">
        <f t="shared" si="42"/>
        <v>0</v>
      </c>
      <c r="AE34" s="1518"/>
      <c r="AF34" s="1515">
        <f t="shared" si="60"/>
        <v>0</v>
      </c>
      <c r="AG34" s="1515" t="e">
        <f t="shared" si="61"/>
        <v>#REF!</v>
      </c>
      <c r="AH34" s="1515" t="e">
        <f t="shared" si="50"/>
        <v>#REF!</v>
      </c>
      <c r="AI34" s="1515" t="e">
        <f t="shared" si="51"/>
        <v>#REF!</v>
      </c>
      <c r="AJ34" s="1515" t="e">
        <f t="shared" si="52"/>
        <v>#REF!</v>
      </c>
      <c r="AK34" s="1515" t="e">
        <f>L34*AB34*AE34</f>
        <v>#REF!</v>
      </c>
      <c r="AL34" s="1515"/>
      <c r="AM34" s="1515" t="e">
        <f t="shared" si="54"/>
        <v>#REF!</v>
      </c>
      <c r="AN34" s="1515" t="e">
        <f t="shared" si="55"/>
        <v>#REF!</v>
      </c>
      <c r="AO34" s="1515" t="e">
        <f t="shared" si="56"/>
        <v>#REF!</v>
      </c>
      <c r="AP34" s="1515" t="e">
        <f t="shared" si="57"/>
        <v>#REF!</v>
      </c>
      <c r="AQ34" s="1515" t="e">
        <f t="shared" si="58"/>
        <v>#REF!</v>
      </c>
      <c r="AR34" s="1515" t="e">
        <f t="shared" si="59"/>
        <v>#REF!</v>
      </c>
      <c r="AS34" s="1515"/>
      <c r="AT34" s="1515"/>
      <c r="AU34" s="1519"/>
      <c r="AV34" s="1520"/>
      <c r="AW34" s="160"/>
      <c r="AX34" s="160"/>
      <c r="AY34"/>
      <c r="AZ34"/>
      <c r="BA34"/>
      <c r="BB34"/>
      <c r="BC34"/>
      <c r="BD34"/>
      <c r="BE34"/>
      <c r="BF34"/>
      <c r="BG34"/>
      <c r="BH34"/>
      <c r="BI34"/>
      <c r="BJ34"/>
      <c r="BL34" s="1522"/>
      <c r="BM34" s="1522"/>
      <c r="BN34" s="1522"/>
      <c r="BO34" s="1522"/>
      <c r="BP34" s="1373"/>
    </row>
    <row r="35" spans="1:68">
      <c r="A35" s="12" t="s">
        <v>1222</v>
      </c>
      <c r="B35" s="175" t="s">
        <v>260</v>
      </c>
      <c r="C35" s="169">
        <f>SUMIFS(BCRR_REHAB!L:L,BCRR_REHAB!D:D,'Huella materiales'!A35)</f>
        <v>0</v>
      </c>
      <c r="D35" s="146" t="e">
        <f>SUMIF(#REF!,'Huella materiales'!A35,#REF!)</f>
        <v>#REF!</v>
      </c>
      <c r="E35" s="1013" t="e">
        <f t="shared" si="36"/>
        <v>#REF!</v>
      </c>
      <c r="F35" s="146" t="e">
        <f>SUMIF(#REF!,'Huella materiales'!A35,#REF!)</f>
        <v>#REF!</v>
      </c>
      <c r="G35" s="1013" t="e">
        <f t="shared" si="37"/>
        <v>#REF!</v>
      </c>
      <c r="H35" s="146" t="e">
        <f>SUMIF(#REF!,'Huella materiales'!A35,#REF!)</f>
        <v>#REF!</v>
      </c>
      <c r="I35" s="1013" t="e">
        <f t="shared" si="38"/>
        <v>#REF!</v>
      </c>
      <c r="J35" s="146" t="e">
        <f>SUMIF(#REF!,'Huella materiales'!A35,#REF!)</f>
        <v>#REF!</v>
      </c>
      <c r="K35" s="1013" t="e">
        <f t="shared" si="39"/>
        <v>#REF!</v>
      </c>
      <c r="L35" s="146" t="e">
        <f>SUMIF(#REF!,'Huella materiales'!A35,#REF!)</f>
        <v>#REF!</v>
      </c>
      <c r="M35" s="1013" t="e">
        <f t="shared" si="40"/>
        <v>#REF!</v>
      </c>
      <c r="N35" s="146" t="e">
        <f>SUMIF(#REF!,'Huella materiales'!A35,#REF!)</f>
        <v>#REF!</v>
      </c>
      <c r="O35" s="1013" t="e">
        <f t="shared" si="41"/>
        <v>#REF!</v>
      </c>
      <c r="P35" s="146" t="e">
        <f>SUMIF(#REF!,'Huella materiales'!A35,#REF!)</f>
        <v>#REF!</v>
      </c>
      <c r="Q35" s="1013" t="e">
        <f t="shared" si="43"/>
        <v>#REF!</v>
      </c>
      <c r="R35" s="146" t="e">
        <f>SUMIF(#REF!,'Huella materiales'!A35,#REF!)</f>
        <v>#REF!</v>
      </c>
      <c r="S35" s="1013" t="e">
        <f t="shared" si="44"/>
        <v>#REF!</v>
      </c>
      <c r="T35" s="146" t="e">
        <f>SUMIF(#REF!,'Huella materiales'!A35,#REF!)</f>
        <v>#REF!</v>
      </c>
      <c r="U35" s="1013" t="e">
        <f t="shared" si="45"/>
        <v>#REF!</v>
      </c>
      <c r="V35" s="146" t="e">
        <f>SUMIF(#REF!,'Huella materiales'!A35,#REF!)</f>
        <v>#REF!</v>
      </c>
      <c r="W35" s="1013" t="e">
        <f t="shared" si="46"/>
        <v>#REF!</v>
      </c>
      <c r="X35" s="146" t="e">
        <f>SUMIF(#REF!,'Huella materiales'!A35,#REF!)</f>
        <v>#REF!</v>
      </c>
      <c r="Y35" s="1013" t="e">
        <f t="shared" si="47"/>
        <v>#REF!</v>
      </c>
      <c r="Z35" s="146" t="e">
        <f>SUMIF(#REF!,'Huella materiales'!A35,#REF!)</f>
        <v>#REF!</v>
      </c>
      <c r="AA35" s="1013" t="e">
        <f t="shared" si="48"/>
        <v>#REF!</v>
      </c>
      <c r="AB35" s="1030">
        <f>'Datos auxiliares materiales'!C15</f>
        <v>2500</v>
      </c>
      <c r="AC35" s="1017" t="e">
        <f t="shared" si="49"/>
        <v>#REF!</v>
      </c>
      <c r="AD35" s="1022">
        <f t="shared" si="42"/>
        <v>0</v>
      </c>
      <c r="AE35" s="1077"/>
      <c r="AF35" s="170">
        <f t="shared" si="60"/>
        <v>0</v>
      </c>
      <c r="AG35" s="170" t="e">
        <f t="shared" si="61"/>
        <v>#REF!</v>
      </c>
      <c r="AH35" s="170" t="e">
        <f t="shared" si="50"/>
        <v>#REF!</v>
      </c>
      <c r="AI35" s="170" t="e">
        <f t="shared" si="51"/>
        <v>#REF!</v>
      </c>
      <c r="AJ35" s="170" t="e">
        <f t="shared" si="52"/>
        <v>#REF!</v>
      </c>
      <c r="AK35" s="170" t="e">
        <f t="shared" si="53"/>
        <v>#REF!</v>
      </c>
      <c r="AL35" s="170"/>
      <c r="AM35" s="170" t="e">
        <f t="shared" si="54"/>
        <v>#REF!</v>
      </c>
      <c r="AN35" s="170" t="e">
        <f t="shared" si="55"/>
        <v>#REF!</v>
      </c>
      <c r="AO35" s="170" t="e">
        <f t="shared" si="56"/>
        <v>#REF!</v>
      </c>
      <c r="AP35" s="170" t="e">
        <f t="shared" si="57"/>
        <v>#REF!</v>
      </c>
      <c r="AQ35" s="170" t="e">
        <f t="shared" si="58"/>
        <v>#REF!</v>
      </c>
      <c r="AR35" s="170" t="e">
        <f t="shared" si="59"/>
        <v>#REF!</v>
      </c>
      <c r="AS35" s="170"/>
      <c r="AT35" s="170"/>
      <c r="AU35" s="171"/>
      <c r="AV35" s="167"/>
      <c r="AW35" s="160"/>
      <c r="AX35" s="160"/>
      <c r="AY35"/>
      <c r="AZ35"/>
      <c r="BA35"/>
      <c r="BL35" s="16"/>
      <c r="BM35" s="16"/>
      <c r="BN35" s="16"/>
      <c r="BO35" s="16"/>
      <c r="BP35" s="10"/>
    </row>
    <row r="36" spans="1:68">
      <c r="A36" s="12" t="s">
        <v>1092</v>
      </c>
      <c r="B36" s="175" t="s">
        <v>33</v>
      </c>
      <c r="C36" s="169">
        <f>SUMIFS(BCRR_REHAB!L:L,BCRR_REHAB!D:D,'Huella materiales'!A36)</f>
        <v>0</v>
      </c>
      <c r="D36" s="146" t="e">
        <f>SUMIF(#REF!,'Huella materiales'!A36,#REF!)</f>
        <v>#REF!</v>
      </c>
      <c r="E36" s="1013" t="e">
        <f t="shared" si="36"/>
        <v>#REF!</v>
      </c>
      <c r="F36" s="146" t="e">
        <f>SUMIF(#REF!,'Huella materiales'!A36,#REF!)</f>
        <v>#REF!</v>
      </c>
      <c r="G36" s="1013" t="e">
        <f t="shared" si="37"/>
        <v>#REF!</v>
      </c>
      <c r="H36" s="146" t="e">
        <f>SUMIF(#REF!,'Huella materiales'!A36,#REF!)</f>
        <v>#REF!</v>
      </c>
      <c r="I36" s="1013" t="e">
        <f t="shared" si="38"/>
        <v>#REF!</v>
      </c>
      <c r="J36" s="146" t="e">
        <f>SUMIF(#REF!,'Huella materiales'!A36,#REF!)</f>
        <v>#REF!</v>
      </c>
      <c r="K36" s="1013" t="e">
        <f t="shared" si="39"/>
        <v>#REF!</v>
      </c>
      <c r="L36" s="146" t="e">
        <f>SUMIF(#REF!,'Huella materiales'!A36,#REF!)</f>
        <v>#REF!</v>
      </c>
      <c r="M36" s="1013" t="e">
        <f t="shared" si="40"/>
        <v>#REF!</v>
      </c>
      <c r="N36" s="146" t="e">
        <f>SUMIF(#REF!,'Huella materiales'!A36,#REF!)</f>
        <v>#REF!</v>
      </c>
      <c r="O36" s="1013" t="e">
        <f t="shared" si="41"/>
        <v>#REF!</v>
      </c>
      <c r="P36" s="146" t="e">
        <f>SUMIF(#REF!,'Huella materiales'!A36,#REF!)</f>
        <v>#REF!</v>
      </c>
      <c r="Q36" s="1013" t="e">
        <f t="shared" si="43"/>
        <v>#REF!</v>
      </c>
      <c r="R36" s="146" t="e">
        <f>SUMIF(#REF!,'Huella materiales'!A36,#REF!)</f>
        <v>#REF!</v>
      </c>
      <c r="S36" s="1013" t="e">
        <f t="shared" si="44"/>
        <v>#REF!</v>
      </c>
      <c r="T36" s="146" t="e">
        <f>SUMIF(#REF!,'Huella materiales'!A36,#REF!)</f>
        <v>#REF!</v>
      </c>
      <c r="U36" s="1013" t="e">
        <f t="shared" si="45"/>
        <v>#REF!</v>
      </c>
      <c r="V36" s="146" t="e">
        <f>SUMIF(#REF!,'Huella materiales'!A36,#REF!)</f>
        <v>#REF!</v>
      </c>
      <c r="W36" s="1013" t="e">
        <f t="shared" si="46"/>
        <v>#REF!</v>
      </c>
      <c r="X36" s="146" t="e">
        <f>SUMIF(#REF!,'Huella materiales'!A36,#REF!)</f>
        <v>#REF!</v>
      </c>
      <c r="Y36" s="1013" t="e">
        <f t="shared" si="47"/>
        <v>#REF!</v>
      </c>
      <c r="Z36" s="146" t="e">
        <f>SUMIF(#REF!,'Huella materiales'!A36,#REF!)</f>
        <v>#REF!</v>
      </c>
      <c r="AA36" s="1013" t="e">
        <f t="shared" si="48"/>
        <v>#REF!</v>
      </c>
      <c r="AB36" s="1030">
        <f>'Datos auxiliares materiales'!C16</f>
        <v>2500</v>
      </c>
      <c r="AC36" s="1017" t="e">
        <f t="shared" si="49"/>
        <v>#REF!</v>
      </c>
      <c r="AD36" s="1022">
        <f t="shared" si="42"/>
        <v>0</v>
      </c>
      <c r="AE36" s="1077">
        <f>'Datos auxiliares materiales'!D16</f>
        <v>1</v>
      </c>
      <c r="AF36" s="170">
        <f t="shared" si="60"/>
        <v>0</v>
      </c>
      <c r="AG36" s="170" t="e">
        <f t="shared" si="61"/>
        <v>#REF!</v>
      </c>
      <c r="AH36" s="170" t="e">
        <f t="shared" si="50"/>
        <v>#REF!</v>
      </c>
      <c r="AI36" s="170" t="e">
        <f t="shared" si="51"/>
        <v>#REF!</v>
      </c>
      <c r="AJ36" s="170" t="e">
        <f t="shared" si="52"/>
        <v>#REF!</v>
      </c>
      <c r="AK36" s="170" t="e">
        <f t="shared" si="53"/>
        <v>#REF!</v>
      </c>
      <c r="AL36" s="170" t="e">
        <f>N36*$AB$36*$AE$36</f>
        <v>#REF!</v>
      </c>
      <c r="AM36" s="170" t="e">
        <f t="shared" si="54"/>
        <v>#REF!</v>
      </c>
      <c r="AN36" s="170" t="e">
        <f t="shared" si="55"/>
        <v>#REF!</v>
      </c>
      <c r="AO36" s="170" t="e">
        <f t="shared" si="56"/>
        <v>#REF!</v>
      </c>
      <c r="AP36" s="170" t="e">
        <f t="shared" si="57"/>
        <v>#REF!</v>
      </c>
      <c r="AQ36" s="170" t="e">
        <f t="shared" si="58"/>
        <v>#REF!</v>
      </c>
      <c r="AR36" s="170" t="e">
        <f t="shared" si="59"/>
        <v>#REF!</v>
      </c>
      <c r="AS36" s="170"/>
      <c r="AT36" s="170"/>
      <c r="AU36" s="171"/>
      <c r="AV36" s="167"/>
      <c r="AW36" s="1520"/>
      <c r="AX36" s="1520"/>
      <c r="AY36" s="1521"/>
      <c r="AZ36" s="1521"/>
      <c r="BA36" s="1521"/>
      <c r="BB36" s="1521"/>
      <c r="BC36" s="1521"/>
      <c r="BD36" s="1521"/>
      <c r="BE36" s="1521"/>
      <c r="BF36" s="1521"/>
      <c r="BG36" s="1521"/>
      <c r="BH36" s="1521"/>
      <c r="BI36" s="1521"/>
      <c r="BJ36" s="1521"/>
      <c r="BL36" s="16"/>
      <c r="BM36" s="16"/>
      <c r="BN36" s="16"/>
      <c r="BO36" s="16"/>
      <c r="BP36" s="10" t="s">
        <v>539</v>
      </c>
    </row>
    <row r="37" spans="1:68" s="1521" customFormat="1">
      <c r="A37" s="1373" t="s">
        <v>1095</v>
      </c>
      <c r="B37" s="1513" t="s">
        <v>33</v>
      </c>
      <c r="C37" s="169">
        <f>SUMIFS(BCRR_REHAB!L:L,BCRR_REHAB!D:D,'Huella materiales'!A37)</f>
        <v>0</v>
      </c>
      <c r="D37" s="1515" t="e">
        <f>SUMIF(#REF!,'Huella materiales'!A37,#REF!)</f>
        <v>#REF!</v>
      </c>
      <c r="E37" s="1515" t="e">
        <f t="shared" si="36"/>
        <v>#REF!</v>
      </c>
      <c r="F37" s="146" t="e">
        <f>SUMIF(#REF!,'Huella materiales'!A37,#REF!)</f>
        <v>#REF!</v>
      </c>
      <c r="G37" s="1515" t="e">
        <f t="shared" si="37"/>
        <v>#REF!</v>
      </c>
      <c r="H37" s="146" t="e">
        <f>SUMIF(#REF!,'Huella materiales'!A37,#REF!)</f>
        <v>#REF!</v>
      </c>
      <c r="I37" s="1515" t="e">
        <f t="shared" si="38"/>
        <v>#REF!</v>
      </c>
      <c r="J37" s="146" t="e">
        <f>SUMIF(#REF!,'Huella materiales'!A37,#REF!)</f>
        <v>#REF!</v>
      </c>
      <c r="K37" s="1515" t="e">
        <f t="shared" si="39"/>
        <v>#REF!</v>
      </c>
      <c r="L37" s="146" t="e">
        <f>SUMIF(#REF!,'Huella materiales'!A37,#REF!)</f>
        <v>#REF!</v>
      </c>
      <c r="M37" s="1515" t="e">
        <f t="shared" si="40"/>
        <v>#REF!</v>
      </c>
      <c r="N37" s="1515" t="e">
        <f>SUMIF(#REF!,'Huella materiales'!A37,#REF!)</f>
        <v>#REF!</v>
      </c>
      <c r="O37" s="1515" t="e">
        <f t="shared" si="41"/>
        <v>#REF!</v>
      </c>
      <c r="P37" s="1515" t="e">
        <f>SUMIF(#REF!,'Huella materiales'!A37,#REF!)</f>
        <v>#REF!</v>
      </c>
      <c r="Q37" s="1515" t="e">
        <f t="shared" si="43"/>
        <v>#REF!</v>
      </c>
      <c r="R37" s="1515" t="e">
        <f>SUMIF(#REF!,'Huella materiales'!A37,#REF!)</f>
        <v>#REF!</v>
      </c>
      <c r="S37" s="1515" t="e">
        <f t="shared" si="44"/>
        <v>#REF!</v>
      </c>
      <c r="T37" s="146" t="e">
        <f>SUMIF(#REF!,'Huella materiales'!A37,#REF!)</f>
        <v>#REF!</v>
      </c>
      <c r="U37" s="1515" t="e">
        <f t="shared" si="45"/>
        <v>#REF!</v>
      </c>
      <c r="V37" s="1515" t="e">
        <f>SUMIF(#REF!,'Huella materiales'!A37,#REF!)</f>
        <v>#REF!</v>
      </c>
      <c r="W37" s="1515" t="e">
        <f t="shared" si="46"/>
        <v>#REF!</v>
      </c>
      <c r="X37" s="1515" t="e">
        <f>SUMIF(#REF!,'Huella materiales'!A37,#REF!)</f>
        <v>#REF!</v>
      </c>
      <c r="Y37" s="1515" t="e">
        <f t="shared" si="47"/>
        <v>#REF!</v>
      </c>
      <c r="Z37" s="1515" t="e">
        <f>SUMIF(#REF!,'Huella materiales'!A37,#REF!)</f>
        <v>#REF!</v>
      </c>
      <c r="AA37" s="1515" t="e">
        <f t="shared" si="48"/>
        <v>#REF!</v>
      </c>
      <c r="AB37" s="1515">
        <f>'Datos auxiliares materiales'!C16</f>
        <v>2500</v>
      </c>
      <c r="AC37" s="1516" t="e">
        <f t="shared" si="49"/>
        <v>#REF!</v>
      </c>
      <c r="AD37" s="1517">
        <f t="shared" si="42"/>
        <v>0</v>
      </c>
      <c r="AE37" s="1518"/>
      <c r="AF37" s="1515">
        <f t="shared" si="60"/>
        <v>0</v>
      </c>
      <c r="AG37" s="1515" t="e">
        <f t="shared" si="61"/>
        <v>#REF!</v>
      </c>
      <c r="AH37" s="1515" t="e">
        <f t="shared" si="50"/>
        <v>#REF!</v>
      </c>
      <c r="AI37" s="1515" t="e">
        <f t="shared" si="51"/>
        <v>#REF!</v>
      </c>
      <c r="AJ37" s="1515" t="e">
        <f t="shared" si="52"/>
        <v>#REF!</v>
      </c>
      <c r="AK37" s="1515" t="e">
        <f t="shared" si="53"/>
        <v>#REF!</v>
      </c>
      <c r="AL37" s="1515"/>
      <c r="AM37" s="1515" t="e">
        <f t="shared" si="54"/>
        <v>#REF!</v>
      </c>
      <c r="AN37" s="1515" t="e">
        <f t="shared" si="55"/>
        <v>#REF!</v>
      </c>
      <c r="AO37" s="1515" t="e">
        <f t="shared" si="56"/>
        <v>#REF!</v>
      </c>
      <c r="AP37" s="1515" t="e">
        <f t="shared" si="57"/>
        <v>#REF!</v>
      </c>
      <c r="AQ37" s="1515" t="e">
        <f t="shared" si="58"/>
        <v>#REF!</v>
      </c>
      <c r="AR37" s="1515" t="e">
        <f t="shared" si="59"/>
        <v>#REF!</v>
      </c>
      <c r="AS37" s="1515"/>
      <c r="AT37" s="1515"/>
      <c r="AU37" s="1519"/>
      <c r="AV37" s="1520"/>
      <c r="AW37" s="160"/>
      <c r="AX37" s="160"/>
      <c r="AY37"/>
      <c r="AZ37"/>
      <c r="BA37"/>
      <c r="BB37"/>
      <c r="BC37"/>
      <c r="BD37"/>
      <c r="BE37"/>
      <c r="BF37"/>
      <c r="BG37"/>
      <c r="BH37"/>
      <c r="BI37"/>
      <c r="BJ37"/>
      <c r="BL37" s="1522"/>
      <c r="BM37" s="1522"/>
      <c r="BN37" s="1522"/>
      <c r="BO37" s="1522"/>
      <c r="BP37" s="1373"/>
    </row>
    <row r="38" spans="1:68">
      <c r="A38" s="12" t="s">
        <v>1104</v>
      </c>
      <c r="B38" s="175" t="s">
        <v>257</v>
      </c>
      <c r="C38" s="169">
        <f>SUMIFS(BCRR_REHAB!L:L,BCRR_REHAB!D:D,'Huella materiales'!A38)</f>
        <v>0</v>
      </c>
      <c r="D38" s="146" t="e">
        <f>SUMIF(#REF!,'Huella materiales'!A38,#REF!)</f>
        <v>#REF!</v>
      </c>
      <c r="E38" s="1013" t="e">
        <f t="shared" si="36"/>
        <v>#REF!</v>
      </c>
      <c r="F38" s="146" t="e">
        <f>SUMIF(#REF!,'Huella materiales'!A38,#REF!)</f>
        <v>#REF!</v>
      </c>
      <c r="G38" s="1013" t="e">
        <f t="shared" si="37"/>
        <v>#REF!</v>
      </c>
      <c r="H38" s="146" t="e">
        <f>SUMIF(#REF!,'Huella materiales'!A38,#REF!)</f>
        <v>#REF!</v>
      </c>
      <c r="I38" s="1013" t="e">
        <f t="shared" si="38"/>
        <v>#REF!</v>
      </c>
      <c r="J38" s="146" t="e">
        <f>SUMIF(#REF!,'Huella materiales'!A38,#REF!)</f>
        <v>#REF!</v>
      </c>
      <c r="K38" s="1013" t="e">
        <f t="shared" si="39"/>
        <v>#REF!</v>
      </c>
      <c r="L38" s="146" t="e">
        <f>SUMIF(#REF!,'Huella materiales'!A38,#REF!)</f>
        <v>#REF!</v>
      </c>
      <c r="M38" s="1013" t="e">
        <f t="shared" si="40"/>
        <v>#REF!</v>
      </c>
      <c r="N38" s="146" t="e">
        <f>SUMIF(#REF!,'Huella materiales'!A38,#REF!)</f>
        <v>#REF!</v>
      </c>
      <c r="O38" s="1013" t="e">
        <f t="shared" si="41"/>
        <v>#REF!</v>
      </c>
      <c r="P38" s="146" t="e">
        <f>SUMIF(#REF!,'Huella materiales'!A38,#REF!)</f>
        <v>#REF!</v>
      </c>
      <c r="Q38" s="1013" t="e">
        <f t="shared" si="43"/>
        <v>#REF!</v>
      </c>
      <c r="R38" s="146" t="e">
        <f>SUMIF(#REF!,'Huella materiales'!A38,#REF!)</f>
        <v>#REF!</v>
      </c>
      <c r="S38" s="1013" t="e">
        <f t="shared" si="44"/>
        <v>#REF!</v>
      </c>
      <c r="T38" s="146" t="e">
        <f>SUMIF(#REF!,'Huella materiales'!A38,#REF!)</f>
        <v>#REF!</v>
      </c>
      <c r="U38" s="1013" t="e">
        <f t="shared" si="45"/>
        <v>#REF!</v>
      </c>
      <c r="V38" s="146" t="e">
        <f>SUMIF(#REF!,'Huella materiales'!A38,#REF!)</f>
        <v>#REF!</v>
      </c>
      <c r="W38" s="1013" t="e">
        <f t="shared" si="46"/>
        <v>#REF!</v>
      </c>
      <c r="X38" s="146" t="e">
        <f>SUMIF(#REF!,'Huella materiales'!A38,#REF!)</f>
        <v>#REF!</v>
      </c>
      <c r="Y38" s="1013" t="e">
        <f t="shared" si="47"/>
        <v>#REF!</v>
      </c>
      <c r="Z38" s="146" t="e">
        <f>SUMIF(#REF!,'Huella materiales'!A38,#REF!)</f>
        <v>#REF!</v>
      </c>
      <c r="AA38" s="1013" t="e">
        <f t="shared" si="48"/>
        <v>#REF!</v>
      </c>
      <c r="AB38" s="1030">
        <f>'Datos auxiliares materiales'!C17</f>
        <v>67</v>
      </c>
      <c r="AC38" s="1017" t="e">
        <f t="shared" si="49"/>
        <v>#REF!</v>
      </c>
      <c r="AD38" s="1022">
        <f t="shared" si="42"/>
        <v>0</v>
      </c>
      <c r="AE38" s="1077">
        <f>'Datos auxiliares materiales'!D17</f>
        <v>2</v>
      </c>
      <c r="AF38" s="170">
        <f t="shared" si="60"/>
        <v>0</v>
      </c>
      <c r="AG38" s="170" t="e">
        <f t="shared" si="61"/>
        <v>#REF!</v>
      </c>
      <c r="AH38" s="170" t="e">
        <f t="shared" si="50"/>
        <v>#REF!</v>
      </c>
      <c r="AI38" s="170" t="e">
        <f t="shared" si="51"/>
        <v>#REF!</v>
      </c>
      <c r="AJ38" s="170" t="e">
        <f t="shared" si="52"/>
        <v>#REF!</v>
      </c>
      <c r="AK38" s="170" t="e">
        <f t="shared" si="53"/>
        <v>#REF!</v>
      </c>
      <c r="AL38" s="170" t="e">
        <f>N38*$AB$38*$AE$38</f>
        <v>#REF!</v>
      </c>
      <c r="AM38" s="170" t="e">
        <f t="shared" si="54"/>
        <v>#REF!</v>
      </c>
      <c r="AN38" s="170" t="e">
        <f t="shared" si="55"/>
        <v>#REF!</v>
      </c>
      <c r="AO38" s="170" t="e">
        <f t="shared" si="56"/>
        <v>#REF!</v>
      </c>
      <c r="AP38" s="170" t="e">
        <f t="shared" si="57"/>
        <v>#REF!</v>
      </c>
      <c r="AQ38" s="170" t="e">
        <f t="shared" si="58"/>
        <v>#REF!</v>
      </c>
      <c r="AR38" s="170" t="e">
        <f t="shared" si="59"/>
        <v>#REF!</v>
      </c>
      <c r="AS38" s="170"/>
      <c r="AT38" s="170"/>
      <c r="AU38" s="171"/>
      <c r="AV38" s="167"/>
      <c r="AW38" s="160"/>
      <c r="AX38" s="160"/>
      <c r="AY38"/>
      <c r="AZ38"/>
      <c r="BA38"/>
      <c r="BL38" s="16"/>
      <c r="BM38" s="16"/>
      <c r="BN38" s="16"/>
      <c r="BO38" s="16"/>
      <c r="BP38" s="10" t="s">
        <v>540</v>
      </c>
    </row>
    <row r="39" spans="1:68">
      <c r="A39" s="12" t="s">
        <v>1136</v>
      </c>
      <c r="B39" s="175" t="s">
        <v>62</v>
      </c>
      <c r="C39" s="169">
        <f>SUMIFS(BCRR_REHAB!L:L,BCRR_REHAB!D:D,'Huella materiales'!A39)</f>
        <v>0</v>
      </c>
      <c r="D39" s="146" t="e">
        <f>SUMIF(#REF!,'Huella materiales'!A39,#REF!)</f>
        <v>#REF!</v>
      </c>
      <c r="E39" s="1013" t="e">
        <f t="shared" si="36"/>
        <v>#REF!</v>
      </c>
      <c r="F39" s="146" t="e">
        <f>SUMIF(#REF!,'Huella materiales'!A39,#REF!)</f>
        <v>#REF!</v>
      </c>
      <c r="G39" s="1013" t="e">
        <f t="shared" si="37"/>
        <v>#REF!</v>
      </c>
      <c r="H39" s="146" t="e">
        <f>SUMIF(#REF!,'Huella materiales'!A39,#REF!)</f>
        <v>#REF!</v>
      </c>
      <c r="I39" s="1013" t="e">
        <f t="shared" si="38"/>
        <v>#REF!</v>
      </c>
      <c r="J39" s="146" t="e">
        <f>SUMIF(#REF!,'Huella materiales'!A39,#REF!)</f>
        <v>#REF!</v>
      </c>
      <c r="K39" s="1013" t="e">
        <f t="shared" si="39"/>
        <v>#REF!</v>
      </c>
      <c r="L39" s="146" t="e">
        <f>SUMIF(#REF!,'Huella materiales'!A39,#REF!)</f>
        <v>#REF!</v>
      </c>
      <c r="M39" s="1013" t="e">
        <f t="shared" si="40"/>
        <v>#REF!</v>
      </c>
      <c r="N39" s="146" t="e">
        <f>SUMIF(#REF!,'Huella materiales'!A39,#REF!)</f>
        <v>#REF!</v>
      </c>
      <c r="O39" s="1013" t="e">
        <f t="shared" si="41"/>
        <v>#REF!</v>
      </c>
      <c r="P39" s="146" t="e">
        <f>SUMIF(#REF!,'Huella materiales'!A39,#REF!)</f>
        <v>#REF!</v>
      </c>
      <c r="Q39" s="1013" t="e">
        <f t="shared" si="43"/>
        <v>#REF!</v>
      </c>
      <c r="R39" s="146" t="e">
        <f>SUMIF(#REF!,'Huella materiales'!A39,#REF!)</f>
        <v>#REF!</v>
      </c>
      <c r="S39" s="1013" t="e">
        <f t="shared" si="44"/>
        <v>#REF!</v>
      </c>
      <c r="T39" s="146" t="e">
        <f>SUMIF(#REF!,'Huella materiales'!A39,#REF!)</f>
        <v>#REF!</v>
      </c>
      <c r="U39" s="1013" t="e">
        <f t="shared" si="45"/>
        <v>#REF!</v>
      </c>
      <c r="V39" s="146" t="e">
        <f>SUMIF(#REF!,'Huella materiales'!A39,#REF!)</f>
        <v>#REF!</v>
      </c>
      <c r="W39" s="1013" t="e">
        <f t="shared" si="46"/>
        <v>#REF!</v>
      </c>
      <c r="X39" s="146" t="e">
        <f>SUMIF(#REF!,'Huella materiales'!A39,#REF!)</f>
        <v>#REF!</v>
      </c>
      <c r="Y39" s="1013" t="e">
        <f t="shared" si="47"/>
        <v>#REF!</v>
      </c>
      <c r="Z39" s="146" t="e">
        <f>SUMIF(#REF!,'Huella materiales'!A39,#REF!)</f>
        <v>#REF!</v>
      </c>
      <c r="AA39" s="1013" t="e">
        <f t="shared" si="48"/>
        <v>#REF!</v>
      </c>
      <c r="AB39" s="1030"/>
      <c r="AC39" s="1017" t="e">
        <f t="shared" si="49"/>
        <v>#REF!</v>
      </c>
      <c r="AD39" s="1022">
        <f t="shared" si="42"/>
        <v>0</v>
      </c>
      <c r="AE39" s="1077"/>
      <c r="AF39" s="170">
        <f t="shared" si="60"/>
        <v>0</v>
      </c>
      <c r="AG39" s="170" t="e">
        <f t="shared" si="61"/>
        <v>#REF!</v>
      </c>
      <c r="AH39" s="170" t="e">
        <f t="shared" si="50"/>
        <v>#REF!</v>
      </c>
      <c r="AI39" s="170" t="e">
        <f t="shared" si="51"/>
        <v>#REF!</v>
      </c>
      <c r="AJ39" s="170" t="e">
        <f t="shared" si="52"/>
        <v>#REF!</v>
      </c>
      <c r="AK39" s="170" t="e">
        <f t="shared" si="53"/>
        <v>#REF!</v>
      </c>
      <c r="AL39" s="170"/>
      <c r="AM39" s="170" t="e">
        <f t="shared" si="54"/>
        <v>#REF!</v>
      </c>
      <c r="AN39" s="170" t="e">
        <f t="shared" si="55"/>
        <v>#REF!</v>
      </c>
      <c r="AO39" s="170" t="e">
        <f t="shared" si="56"/>
        <v>#REF!</v>
      </c>
      <c r="AP39" s="170" t="e">
        <f t="shared" si="57"/>
        <v>#REF!</v>
      </c>
      <c r="AQ39" s="170" t="e">
        <f t="shared" si="58"/>
        <v>#REF!</v>
      </c>
      <c r="AR39" s="170" t="e">
        <f t="shared" si="59"/>
        <v>#REF!</v>
      </c>
      <c r="AS39" s="170"/>
      <c r="AT39" s="170"/>
      <c r="AU39" s="171"/>
      <c r="AV39" s="167"/>
      <c r="AW39" s="160"/>
      <c r="AX39" s="160"/>
      <c r="AY39"/>
      <c r="AZ39"/>
      <c r="BA39"/>
      <c r="BL39" s="16"/>
      <c r="BM39" s="16"/>
      <c r="BN39" s="16"/>
      <c r="BO39" s="16"/>
      <c r="BP39" s="10"/>
    </row>
    <row r="40" spans="1:68">
      <c r="A40" s="12" t="s">
        <v>1139</v>
      </c>
      <c r="B40" s="175" t="s">
        <v>1225</v>
      </c>
      <c r="C40" s="169">
        <f>SUMIFS(BCRR_REHAB!L:L,BCRR_REHAB!D:D,'Huella materiales'!A40)</f>
        <v>0</v>
      </c>
      <c r="D40" s="146" t="e">
        <f>SUMIF(#REF!,'Huella materiales'!A40,#REF!)</f>
        <v>#REF!</v>
      </c>
      <c r="E40" s="1013" t="e">
        <f t="shared" si="36"/>
        <v>#REF!</v>
      </c>
      <c r="F40" s="146" t="e">
        <f>SUMIF(#REF!,'Huella materiales'!A40,#REF!)</f>
        <v>#REF!</v>
      </c>
      <c r="G40" s="1013" t="e">
        <f t="shared" si="37"/>
        <v>#REF!</v>
      </c>
      <c r="H40" s="146" t="e">
        <f>SUMIF(#REF!,'Huella materiales'!A40,#REF!)</f>
        <v>#REF!</v>
      </c>
      <c r="I40" s="1013" t="e">
        <f t="shared" si="38"/>
        <v>#REF!</v>
      </c>
      <c r="J40" s="146" t="e">
        <f>SUMIF(#REF!,'Huella materiales'!A40,#REF!)</f>
        <v>#REF!</v>
      </c>
      <c r="K40" s="1013" t="e">
        <f t="shared" si="39"/>
        <v>#REF!</v>
      </c>
      <c r="L40" s="146" t="e">
        <f>SUMIF(#REF!,'Huella materiales'!A40,#REF!)</f>
        <v>#REF!</v>
      </c>
      <c r="M40" s="1013" t="e">
        <f t="shared" si="40"/>
        <v>#REF!</v>
      </c>
      <c r="N40" s="146" t="e">
        <f>SUMIF(#REF!,'Huella materiales'!A40,#REF!)</f>
        <v>#REF!</v>
      </c>
      <c r="O40" s="1013" t="e">
        <f t="shared" si="41"/>
        <v>#REF!</v>
      </c>
      <c r="P40" s="146" t="e">
        <f>SUMIF(#REF!,'Huella materiales'!A40,#REF!)</f>
        <v>#REF!</v>
      </c>
      <c r="Q40" s="1013" t="e">
        <f t="shared" si="43"/>
        <v>#REF!</v>
      </c>
      <c r="R40" s="146" t="e">
        <f>SUMIF(#REF!,'Huella materiales'!A40,#REF!)</f>
        <v>#REF!</v>
      </c>
      <c r="S40" s="1013" t="e">
        <f t="shared" si="44"/>
        <v>#REF!</v>
      </c>
      <c r="T40" s="146" t="e">
        <f>SUMIF(#REF!,'Huella materiales'!A40,#REF!)</f>
        <v>#REF!</v>
      </c>
      <c r="U40" s="1013" t="e">
        <f t="shared" si="45"/>
        <v>#REF!</v>
      </c>
      <c r="V40" s="146" t="e">
        <f>SUMIF(#REF!,'Huella materiales'!A40,#REF!)</f>
        <v>#REF!</v>
      </c>
      <c r="W40" s="1013" t="e">
        <f t="shared" si="46"/>
        <v>#REF!</v>
      </c>
      <c r="X40" s="146" t="e">
        <f>SUMIF(#REF!,'Huella materiales'!A40,#REF!)</f>
        <v>#REF!</v>
      </c>
      <c r="Y40" s="1013" t="e">
        <f t="shared" si="47"/>
        <v>#REF!</v>
      </c>
      <c r="Z40" s="146" t="e">
        <f>SUMIF(#REF!,'Huella materiales'!A40,#REF!)</f>
        <v>#REF!</v>
      </c>
      <c r="AA40" s="1013" t="e">
        <f t="shared" si="48"/>
        <v>#REF!</v>
      </c>
      <c r="AB40" s="1030"/>
      <c r="AC40" s="1017" t="e">
        <f t="shared" si="49"/>
        <v>#REF!</v>
      </c>
      <c r="AD40" s="1022">
        <f t="shared" si="42"/>
        <v>0</v>
      </c>
      <c r="AE40" s="1077"/>
      <c r="AF40" s="170">
        <f t="shared" si="60"/>
        <v>0</v>
      </c>
      <c r="AG40" s="170" t="e">
        <f t="shared" si="61"/>
        <v>#REF!</v>
      </c>
      <c r="AH40" s="170" t="e">
        <f t="shared" si="50"/>
        <v>#REF!</v>
      </c>
      <c r="AI40" s="170" t="e">
        <f t="shared" si="51"/>
        <v>#REF!</v>
      </c>
      <c r="AJ40" s="170" t="e">
        <f t="shared" si="52"/>
        <v>#REF!</v>
      </c>
      <c r="AK40" s="170" t="e">
        <f t="shared" si="53"/>
        <v>#REF!</v>
      </c>
      <c r="AL40" s="170"/>
      <c r="AM40" s="170" t="e">
        <f t="shared" si="54"/>
        <v>#REF!</v>
      </c>
      <c r="AN40" s="170" t="e">
        <f t="shared" si="55"/>
        <v>#REF!</v>
      </c>
      <c r="AO40" s="170" t="e">
        <f t="shared" si="56"/>
        <v>#REF!</v>
      </c>
      <c r="AP40" s="170" t="e">
        <f t="shared" si="57"/>
        <v>#REF!</v>
      </c>
      <c r="AQ40" s="170" t="e">
        <f t="shared" si="58"/>
        <v>#REF!</v>
      </c>
      <c r="AR40" s="170" t="e">
        <f t="shared" si="59"/>
        <v>#REF!</v>
      </c>
      <c r="AS40" s="170"/>
      <c r="AT40" s="170"/>
      <c r="AU40" s="171"/>
      <c r="AV40" s="167"/>
      <c r="AW40" s="160"/>
      <c r="AX40" s="160"/>
      <c r="AY40"/>
      <c r="AZ40"/>
      <c r="BA40"/>
      <c r="BL40" s="16"/>
      <c r="BM40" s="16"/>
      <c r="BN40" s="16"/>
      <c r="BO40" s="16"/>
      <c r="BP40" s="10"/>
    </row>
    <row r="41" spans="1:68" ht="15.5">
      <c r="A41" s="22"/>
      <c r="B41" s="163" t="s">
        <v>247</v>
      </c>
      <c r="C41" s="169">
        <f>SUMIFS(BCRR_REHAB!L:L,BCRR_REHAB!D:D,'Huella materiales'!A41)</f>
        <v>0</v>
      </c>
      <c r="D41" s="987"/>
      <c r="E41" s="1014" t="e">
        <f t="shared" ref="E41:AD41" si="62">SUM(E42:E54)</f>
        <v>#REF!</v>
      </c>
      <c r="F41" s="987"/>
      <c r="G41" s="987" t="e">
        <f t="shared" si="62"/>
        <v>#REF!</v>
      </c>
      <c r="H41" s="987"/>
      <c r="I41" s="987" t="e">
        <f t="shared" si="62"/>
        <v>#REF!</v>
      </c>
      <c r="J41" s="987"/>
      <c r="K41" s="987" t="e">
        <f t="shared" si="62"/>
        <v>#REF!</v>
      </c>
      <c r="L41" s="987"/>
      <c r="M41" s="987" t="e">
        <f t="shared" si="62"/>
        <v>#REF!</v>
      </c>
      <c r="N41" s="987"/>
      <c r="O41" s="987" t="e">
        <f t="shared" si="62"/>
        <v>#REF!</v>
      </c>
      <c r="P41" s="987"/>
      <c r="Q41" s="987" t="e">
        <f t="shared" si="62"/>
        <v>#REF!</v>
      </c>
      <c r="R41" s="987" t="e">
        <f t="shared" si="62"/>
        <v>#REF!</v>
      </c>
      <c r="S41" s="987" t="e">
        <f t="shared" si="62"/>
        <v>#REF!</v>
      </c>
      <c r="T41" s="987"/>
      <c r="U41" s="987" t="e">
        <f t="shared" si="62"/>
        <v>#REF!</v>
      </c>
      <c r="V41" s="987"/>
      <c r="W41" s="987" t="e">
        <f t="shared" si="62"/>
        <v>#REF!</v>
      </c>
      <c r="X41" s="987"/>
      <c r="Y41" s="987" t="e">
        <f t="shared" si="62"/>
        <v>#REF!</v>
      </c>
      <c r="Z41" s="987"/>
      <c r="AA41" s="987" t="e">
        <f t="shared" si="62"/>
        <v>#REF!</v>
      </c>
      <c r="AB41" s="987"/>
      <c r="AC41" s="1028" t="e">
        <f t="shared" si="62"/>
        <v>#REF!</v>
      </c>
      <c r="AD41" s="1026">
        <f t="shared" si="62"/>
        <v>249.04320000000004</v>
      </c>
      <c r="AE41" s="1019"/>
      <c r="AF41" s="1080">
        <f t="shared" ref="AF41:AR41" si="63">SUM(AF42:AF54)</f>
        <v>722.22528000000011</v>
      </c>
      <c r="AG41" s="1080" t="e">
        <f t="shared" si="63"/>
        <v>#REF!</v>
      </c>
      <c r="AH41" s="1080" t="e">
        <f t="shared" si="63"/>
        <v>#REF!</v>
      </c>
      <c r="AI41" s="1080" t="e">
        <f t="shared" si="63"/>
        <v>#REF!</v>
      </c>
      <c r="AJ41" s="1080" t="e">
        <f t="shared" si="63"/>
        <v>#REF!</v>
      </c>
      <c r="AK41" s="1080" t="e">
        <f t="shared" si="63"/>
        <v>#REF!</v>
      </c>
      <c r="AL41" s="1080" t="e">
        <f t="shared" si="63"/>
        <v>#REF!</v>
      </c>
      <c r="AM41" s="1080" t="e">
        <f t="shared" si="63"/>
        <v>#REF!</v>
      </c>
      <c r="AN41" s="1080" t="e">
        <f t="shared" si="63"/>
        <v>#REF!</v>
      </c>
      <c r="AO41" s="1080" t="e">
        <f t="shared" si="63"/>
        <v>#REF!</v>
      </c>
      <c r="AP41" s="1080" t="e">
        <f t="shared" si="63"/>
        <v>#REF!</v>
      </c>
      <c r="AQ41" s="1080" t="e">
        <f t="shared" si="63"/>
        <v>#REF!</v>
      </c>
      <c r="AR41" s="1080" t="e">
        <f t="shared" si="63"/>
        <v>#REF!</v>
      </c>
      <c r="AS41" s="1083" t="e">
        <f>AG41+AH41+AI41+AJ41+AK41+AL41+AM41+AN41+AO41+AP41+AQ41+AR41</f>
        <v>#REF!</v>
      </c>
      <c r="AT41" s="165">
        <f>SUM(AF42:AF49)/$AX$5*$AX$7</f>
        <v>1.281695567323944E-2</v>
      </c>
      <c r="AU41" s="166">
        <f>AT41/$AX$8</f>
        <v>3.58324644419115E-3</v>
      </c>
      <c r="AV41" s="167"/>
      <c r="AW41" s="1520"/>
      <c r="AX41" s="1520"/>
      <c r="AY41" s="1521"/>
      <c r="AZ41" s="1521"/>
      <c r="BA41" s="1521"/>
      <c r="BB41" s="1521"/>
      <c r="BC41" s="1521"/>
      <c r="BD41" s="1521"/>
      <c r="BE41" s="1521"/>
      <c r="BF41" s="1521"/>
      <c r="BG41" s="1521"/>
      <c r="BH41" s="1521"/>
      <c r="BI41" s="1521"/>
      <c r="BJ41" s="1521"/>
      <c r="BL41" s="16"/>
      <c r="BM41" s="16"/>
      <c r="BN41" s="16"/>
      <c r="BO41" s="16"/>
      <c r="BP41" s="10" t="s">
        <v>541</v>
      </c>
    </row>
    <row r="42" spans="1:68" s="1521" customFormat="1">
      <c r="A42" s="1373" t="s">
        <v>1101</v>
      </c>
      <c r="B42" s="1513" t="s">
        <v>256</v>
      </c>
      <c r="C42" s="169">
        <f>SUMIFS(BCRR_REHAB!L:L,BCRR_REHAB!D:D,'Huella materiales'!A42)</f>
        <v>0.13440000000000002</v>
      </c>
      <c r="D42" s="1515" t="e">
        <f>SUMIF(#REF!,'Huella materiales'!A42,#REF!)</f>
        <v>#REF!</v>
      </c>
      <c r="E42" s="1515" t="e">
        <f t="shared" ref="E42:E54" si="64">D42*AB42</f>
        <v>#REF!</v>
      </c>
      <c r="F42" s="146" t="e">
        <f>SUMIF(#REF!,'Huella materiales'!A42,#REF!)</f>
        <v>#REF!</v>
      </c>
      <c r="G42" s="1515" t="e">
        <f t="shared" ref="G42:G54" si="65">F42*AB42</f>
        <v>#REF!</v>
      </c>
      <c r="H42" s="146" t="e">
        <f>SUMIF(#REF!,'Huella materiales'!A42,#REF!)</f>
        <v>#REF!</v>
      </c>
      <c r="I42" s="1515" t="e">
        <f t="shared" ref="I42:I54" si="66">H42*AB42</f>
        <v>#REF!</v>
      </c>
      <c r="J42" s="146" t="e">
        <f>SUMIF(#REF!,'Huella materiales'!A42,#REF!)</f>
        <v>#REF!</v>
      </c>
      <c r="K42" s="1515" t="e">
        <f t="shared" ref="K42:K54" si="67">J42*AB42</f>
        <v>#REF!</v>
      </c>
      <c r="L42" s="146" t="e">
        <f>SUMIF(#REF!,'Huella materiales'!A42,#REF!)</f>
        <v>#REF!</v>
      </c>
      <c r="M42" s="1515" t="e">
        <f t="shared" ref="M42:M54" si="68">L42*AB42</f>
        <v>#REF!</v>
      </c>
      <c r="N42" s="1515" t="e">
        <f>SUMIF(#REF!,'Huella materiales'!A42,#REF!)</f>
        <v>#REF!</v>
      </c>
      <c r="O42" s="1515" t="e">
        <f t="shared" ref="O42:O54" si="69">N42*AB42</f>
        <v>#REF!</v>
      </c>
      <c r="P42" s="1515" t="e">
        <f>SUMIF(#REF!,'Huella materiales'!A42,#REF!)</f>
        <v>#REF!</v>
      </c>
      <c r="Q42" s="1515" t="e">
        <f>P42*AB42</f>
        <v>#REF!</v>
      </c>
      <c r="R42" s="1515" t="e">
        <f>SUMIF(#REF!,'Huella materiales'!A42,#REF!)</f>
        <v>#REF!</v>
      </c>
      <c r="S42" s="1515" t="e">
        <f>R42*AB42</f>
        <v>#REF!</v>
      </c>
      <c r="T42" s="146" t="e">
        <f>SUMIF(#REF!,'Huella materiales'!A42,#REF!)</f>
        <v>#REF!</v>
      </c>
      <c r="U42" s="1515" t="e">
        <f>T42*AB42</f>
        <v>#REF!</v>
      </c>
      <c r="V42" s="1515" t="e">
        <f>SUMIF(#REF!,'Huella materiales'!A42,#REF!)</f>
        <v>#REF!</v>
      </c>
      <c r="W42" s="1515" t="e">
        <f>V42*AB42</f>
        <v>#REF!</v>
      </c>
      <c r="X42" s="1515" t="e">
        <f>SUMIF(#REF!,'Huella materiales'!A42,#REF!)</f>
        <v>#REF!</v>
      </c>
      <c r="Y42" s="1515" t="e">
        <f>X42*AB42</f>
        <v>#REF!</v>
      </c>
      <c r="Z42" s="1515" t="e">
        <f>SUMIF(#REF!,'Huella materiales'!A42,#REF!)</f>
        <v>#REF!</v>
      </c>
      <c r="AA42" s="1515" t="e">
        <f>Z42*AB42</f>
        <v>#REF!</v>
      </c>
      <c r="AB42" s="1515">
        <f>'Datos auxiliares materiales'!C19</f>
        <v>1853</v>
      </c>
      <c r="AC42" s="1516" t="e">
        <f>E42+G42+I42+K42+M42+O42+Q42+S42+U42+W42+Y42+AA42</f>
        <v>#REF!</v>
      </c>
      <c r="AD42" s="1517">
        <f t="shared" ref="AD42:AD54" si="70">C42*AB42</f>
        <v>249.04320000000004</v>
      </c>
      <c r="AE42" s="1518">
        <f>'Datos auxiliares materiales'!D19</f>
        <v>2.9</v>
      </c>
      <c r="AF42" s="1515">
        <f>C42*AB42*AE42</f>
        <v>722.22528000000011</v>
      </c>
      <c r="AG42" s="1515" t="e">
        <f>D42*AB42*AE42</f>
        <v>#REF!</v>
      </c>
      <c r="AH42" s="1515" t="e">
        <f>F42*AB42*AE42</f>
        <v>#REF!</v>
      </c>
      <c r="AI42" s="1515" t="e">
        <f>H42*AB42*AE42</f>
        <v>#REF!</v>
      </c>
      <c r="AJ42" s="1515" t="e">
        <f>J42*AB42*AE42</f>
        <v>#REF!</v>
      </c>
      <c r="AK42" s="1515" t="e">
        <f>L42*AB42*AE42</f>
        <v>#REF!</v>
      </c>
      <c r="AL42" s="1515" t="e">
        <f>N42*AB42*AE42</f>
        <v>#REF!</v>
      </c>
      <c r="AM42" s="1515" t="e">
        <f>P42*AB42*AE42</f>
        <v>#REF!</v>
      </c>
      <c r="AN42" s="1515" t="e">
        <f>R42*AB42*AE42</f>
        <v>#REF!</v>
      </c>
      <c r="AO42" s="1515" t="e">
        <f>T42*AB42*AE42</f>
        <v>#REF!</v>
      </c>
      <c r="AP42" s="1515" t="e">
        <f>V42*AB42*AE42</f>
        <v>#REF!</v>
      </c>
      <c r="AQ42" s="1515" t="e">
        <f>X42*AB42*AE42</f>
        <v>#REF!</v>
      </c>
      <c r="AR42" s="1515" t="e">
        <f>Z42*AB42*AE42</f>
        <v>#REF!</v>
      </c>
      <c r="AS42" s="1523" t="e">
        <f>AG42+AH42+AI42+AJ42+AK42+AM42+AN42+AO42+AP42+AQ42+AR42</f>
        <v>#REF!</v>
      </c>
      <c r="AT42" s="1515"/>
      <c r="AU42" s="1519"/>
      <c r="AV42" s="1520"/>
      <c r="AW42" s="160"/>
      <c r="AX42" s="160"/>
      <c r="AY42"/>
      <c r="AZ42"/>
      <c r="BA42"/>
      <c r="BB42"/>
      <c r="BC42"/>
      <c r="BD42"/>
      <c r="BE42"/>
      <c r="BF42"/>
      <c r="BG42"/>
      <c r="BH42"/>
      <c r="BI42"/>
      <c r="BJ42"/>
      <c r="BL42" s="1522"/>
      <c r="BM42" s="1522"/>
      <c r="BN42" s="1522"/>
      <c r="BO42" s="1522"/>
      <c r="BP42" s="1373" t="s">
        <v>542</v>
      </c>
    </row>
    <row r="43" spans="1:68">
      <c r="A43" s="12" t="s">
        <v>1123</v>
      </c>
      <c r="B43" s="175" t="s">
        <v>256</v>
      </c>
      <c r="C43" s="169">
        <f>SUMIFS(BCRR_REHAB!L:L,BCRR_REHAB!D:D,'Huella materiales'!A43)</f>
        <v>0</v>
      </c>
      <c r="D43" s="146" t="e">
        <f>SUMIF(#REF!,'Huella materiales'!A43,#REF!)</f>
        <v>#REF!</v>
      </c>
      <c r="E43" s="1013" t="e">
        <f t="shared" si="64"/>
        <v>#REF!</v>
      </c>
      <c r="F43" s="146" t="e">
        <f>SUMIF(#REF!,'Huella materiales'!A43,#REF!)</f>
        <v>#REF!</v>
      </c>
      <c r="G43" s="1013" t="e">
        <f t="shared" si="65"/>
        <v>#REF!</v>
      </c>
      <c r="H43" s="146" t="e">
        <f>SUMIF(#REF!,'Huella materiales'!A43,#REF!)</f>
        <v>#REF!</v>
      </c>
      <c r="I43" s="1013" t="e">
        <f t="shared" si="66"/>
        <v>#REF!</v>
      </c>
      <c r="J43" s="146" t="e">
        <f>SUMIF(#REF!,'Huella materiales'!A43,#REF!)</f>
        <v>#REF!</v>
      </c>
      <c r="K43" s="1013" t="e">
        <f t="shared" si="67"/>
        <v>#REF!</v>
      </c>
      <c r="L43" s="146" t="e">
        <f>SUMIF(#REF!,'Huella materiales'!A43,#REF!)</f>
        <v>#REF!</v>
      </c>
      <c r="M43" s="1013" t="e">
        <f t="shared" si="68"/>
        <v>#REF!</v>
      </c>
      <c r="N43" s="146" t="e">
        <f>SUMIF(#REF!,'Huella materiales'!A43,#REF!)</f>
        <v>#REF!</v>
      </c>
      <c r="O43" s="1013" t="e">
        <f t="shared" si="69"/>
        <v>#REF!</v>
      </c>
      <c r="P43" s="146" t="e">
        <f>SUMIF(#REF!,'Huella materiales'!A43,#REF!)</f>
        <v>#REF!</v>
      </c>
      <c r="Q43" s="1013" t="e">
        <f t="shared" ref="Q43:Q54" si="71">P43*AB43</f>
        <v>#REF!</v>
      </c>
      <c r="R43" s="146" t="e">
        <f>SUMIF(#REF!,'Huella materiales'!A43,#REF!)</f>
        <v>#REF!</v>
      </c>
      <c r="S43" s="1013" t="e">
        <f t="shared" ref="S43:S54" si="72">R43*AB43</f>
        <v>#REF!</v>
      </c>
      <c r="T43" s="146" t="e">
        <f>SUMIF(#REF!,'Huella materiales'!A43,#REF!)</f>
        <v>#REF!</v>
      </c>
      <c r="U43" s="1013" t="e">
        <f t="shared" ref="U43:U54" si="73">T43*AB43</f>
        <v>#REF!</v>
      </c>
      <c r="V43" s="146" t="e">
        <f>SUMIF(#REF!,'Huella materiales'!A43,#REF!)</f>
        <v>#REF!</v>
      </c>
      <c r="W43" s="1013" t="e">
        <f t="shared" ref="W43:W54" si="74">V43*AB43</f>
        <v>#REF!</v>
      </c>
      <c r="X43" s="146" t="e">
        <f>SUMIF(#REF!,'Huella materiales'!A43,#REF!)</f>
        <v>#REF!</v>
      </c>
      <c r="Y43" s="1013" t="e">
        <f t="shared" ref="Y43:Y54" si="75">X43*AB43</f>
        <v>#REF!</v>
      </c>
      <c r="Z43" s="146" t="e">
        <f>SUMIF(#REF!,'Huella materiales'!A43,#REF!)</f>
        <v>#REF!</v>
      </c>
      <c r="AA43" s="1013" t="e">
        <f t="shared" ref="AA43:AA54" si="76">Z43*AB43</f>
        <v>#REF!</v>
      </c>
      <c r="AB43" s="1030">
        <f>'Datos auxiliares materiales'!C19</f>
        <v>1853</v>
      </c>
      <c r="AC43" s="1017" t="e">
        <f t="shared" ref="AC43:AC54" si="77">E43+G43+I43+K43+M43+O43+Q43+S43+U43+W43+Y43+AA43</f>
        <v>#REF!</v>
      </c>
      <c r="AD43" s="1022">
        <f t="shared" si="70"/>
        <v>0</v>
      </c>
      <c r="AE43" s="1077">
        <f>'Datos auxiliares materiales'!D19</f>
        <v>2.9</v>
      </c>
      <c r="AF43" s="170">
        <f t="shared" ref="AF43:AF54" si="78">C43*AB43*AE43</f>
        <v>0</v>
      </c>
      <c r="AG43" s="170" t="e">
        <f t="shared" ref="AG43:AG54" si="79">D43*AB43*AE43</f>
        <v>#REF!</v>
      </c>
      <c r="AH43" s="170" t="e">
        <f t="shared" ref="AH43:AH54" si="80">F43*AB43*AE43</f>
        <v>#REF!</v>
      </c>
      <c r="AI43" s="170" t="e">
        <f t="shared" ref="AI43:AI54" si="81">H43*AB43*AE43</f>
        <v>#REF!</v>
      </c>
      <c r="AJ43" s="170" t="e">
        <f t="shared" ref="AJ43:AJ54" si="82">J43*AB43*AE43</f>
        <v>#REF!</v>
      </c>
      <c r="AK43" s="170" t="e">
        <f t="shared" ref="AK43:AK54" si="83">L43*AB43*AE43</f>
        <v>#REF!</v>
      </c>
      <c r="AL43" s="170" t="e">
        <f t="shared" ref="AL43:AL54" si="84">N43*AB43*AE43</f>
        <v>#REF!</v>
      </c>
      <c r="AM43" s="170" t="e">
        <f t="shared" ref="AM43:AM54" si="85">P43*AB43*AE43</f>
        <v>#REF!</v>
      </c>
      <c r="AN43" s="170" t="e">
        <f t="shared" ref="AN43:AN53" si="86">R43*AB43*AE43</f>
        <v>#REF!</v>
      </c>
      <c r="AO43" s="170" t="e">
        <f t="shared" ref="AO43:AO54" si="87">T43*AB43*AE43</f>
        <v>#REF!</v>
      </c>
      <c r="AP43" s="170" t="e">
        <f t="shared" ref="AP43:AP54" si="88">V43*AB43*AE43</f>
        <v>#REF!</v>
      </c>
      <c r="AQ43" s="170" t="e">
        <f t="shared" ref="AQ43:AQ54" si="89">X43*AB43*AE43</f>
        <v>#REF!</v>
      </c>
      <c r="AR43" s="170" t="e">
        <f t="shared" ref="AR43:AR54" si="90">Z43*AB43*AE43</f>
        <v>#REF!</v>
      </c>
      <c r="AS43" s="1082" t="e">
        <f>AG43+AH43+AI43+AJ43+AK43+AL43+AM43+AN43+AO43+AP43+AQ43+AR43</f>
        <v>#REF!</v>
      </c>
      <c r="AT43" s="170"/>
      <c r="AU43" s="171"/>
      <c r="AV43" s="167"/>
      <c r="AW43" s="160"/>
      <c r="AX43" s="160"/>
      <c r="AY43"/>
      <c r="AZ43"/>
      <c r="BA43"/>
      <c r="BL43" s="16"/>
      <c r="BM43" s="16"/>
      <c r="BN43" s="16"/>
      <c r="BO43" s="16"/>
      <c r="BP43" s="10" t="s">
        <v>542</v>
      </c>
    </row>
    <row r="44" spans="1:68">
      <c r="A44" s="12" t="s">
        <v>1124</v>
      </c>
      <c r="B44" s="175" t="s">
        <v>256</v>
      </c>
      <c r="C44" s="169">
        <f>SUMIFS(BCRR_REHAB!L:L,BCRR_REHAB!D:D,'Huella materiales'!A44)</f>
        <v>0</v>
      </c>
      <c r="D44" s="146" t="e">
        <f>SUMIF(#REF!,'Huella materiales'!A44,#REF!)</f>
        <v>#REF!</v>
      </c>
      <c r="E44" s="1013" t="e">
        <f t="shared" si="64"/>
        <v>#REF!</v>
      </c>
      <c r="F44" s="146" t="e">
        <f>SUMIF(#REF!,'Huella materiales'!A44,#REF!)</f>
        <v>#REF!</v>
      </c>
      <c r="G44" s="1013" t="e">
        <f t="shared" si="65"/>
        <v>#REF!</v>
      </c>
      <c r="H44" s="146" t="e">
        <f>SUMIF(#REF!,'Huella materiales'!A44,#REF!)</f>
        <v>#REF!</v>
      </c>
      <c r="I44" s="1013" t="e">
        <f t="shared" si="66"/>
        <v>#REF!</v>
      </c>
      <c r="J44" s="146" t="e">
        <f>SUMIF(#REF!,'Huella materiales'!A44,#REF!)</f>
        <v>#REF!</v>
      </c>
      <c r="K44" s="1013" t="e">
        <f t="shared" si="67"/>
        <v>#REF!</v>
      </c>
      <c r="L44" s="146" t="e">
        <f>SUMIF(#REF!,'Huella materiales'!A44,#REF!)</f>
        <v>#REF!</v>
      </c>
      <c r="M44" s="1013" t="e">
        <f t="shared" si="68"/>
        <v>#REF!</v>
      </c>
      <c r="N44" s="146" t="e">
        <f>SUMIF(#REF!,'Huella materiales'!A44,#REF!)</f>
        <v>#REF!</v>
      </c>
      <c r="O44" s="1013" t="e">
        <f t="shared" si="69"/>
        <v>#REF!</v>
      </c>
      <c r="P44" s="146" t="e">
        <f>SUMIF(#REF!,'Huella materiales'!A44,#REF!)</f>
        <v>#REF!</v>
      </c>
      <c r="Q44" s="1013" t="e">
        <f t="shared" si="71"/>
        <v>#REF!</v>
      </c>
      <c r="R44" s="146" t="e">
        <f>SUMIF(#REF!,'Huella materiales'!A44,#REF!)</f>
        <v>#REF!</v>
      </c>
      <c r="S44" s="1013" t="e">
        <f t="shared" si="72"/>
        <v>#REF!</v>
      </c>
      <c r="T44" s="146" t="e">
        <f>SUMIF(#REF!,'Huella materiales'!A44,#REF!)</f>
        <v>#REF!</v>
      </c>
      <c r="U44" s="1013" t="e">
        <f t="shared" si="73"/>
        <v>#REF!</v>
      </c>
      <c r="V44" s="146" t="e">
        <f>SUMIF(#REF!,'Huella materiales'!A44,#REF!)</f>
        <v>#REF!</v>
      </c>
      <c r="W44" s="1013" t="e">
        <f t="shared" si="74"/>
        <v>#REF!</v>
      </c>
      <c r="X44" s="146" t="e">
        <f>SUMIF(#REF!,'Huella materiales'!A44,#REF!)</f>
        <v>#REF!</v>
      </c>
      <c r="Y44" s="1013" t="e">
        <f t="shared" si="75"/>
        <v>#REF!</v>
      </c>
      <c r="Z44" s="146" t="e">
        <f>SUMIF(#REF!,'Huella materiales'!A44,#REF!)</f>
        <v>#REF!</v>
      </c>
      <c r="AA44" s="1013" t="e">
        <f t="shared" si="76"/>
        <v>#REF!</v>
      </c>
      <c r="AB44" s="1030">
        <f>'Datos auxiliares materiales'!C19</f>
        <v>1853</v>
      </c>
      <c r="AC44" s="1017" t="e">
        <f t="shared" si="77"/>
        <v>#REF!</v>
      </c>
      <c r="AD44" s="1022">
        <f t="shared" si="70"/>
        <v>0</v>
      </c>
      <c r="AE44" s="1077">
        <f>'Datos auxiliares materiales'!D19</f>
        <v>2.9</v>
      </c>
      <c r="AF44" s="170">
        <f t="shared" si="78"/>
        <v>0</v>
      </c>
      <c r="AG44" s="170" t="e">
        <f t="shared" si="79"/>
        <v>#REF!</v>
      </c>
      <c r="AH44" s="170" t="e">
        <f t="shared" si="80"/>
        <v>#REF!</v>
      </c>
      <c r="AI44" s="170" t="e">
        <f t="shared" si="81"/>
        <v>#REF!</v>
      </c>
      <c r="AJ44" s="170" t="e">
        <f t="shared" si="82"/>
        <v>#REF!</v>
      </c>
      <c r="AK44" s="170" t="e">
        <f t="shared" si="83"/>
        <v>#REF!</v>
      </c>
      <c r="AL44" s="170" t="e">
        <f t="shared" si="84"/>
        <v>#REF!</v>
      </c>
      <c r="AM44" s="170" t="e">
        <f t="shared" si="85"/>
        <v>#REF!</v>
      </c>
      <c r="AN44" s="170" t="e">
        <f t="shared" si="86"/>
        <v>#REF!</v>
      </c>
      <c r="AO44" s="170" t="e">
        <f t="shared" si="87"/>
        <v>#REF!</v>
      </c>
      <c r="AP44" s="170" t="e">
        <f t="shared" si="88"/>
        <v>#REF!</v>
      </c>
      <c r="AQ44" s="170" t="e">
        <f t="shared" si="89"/>
        <v>#REF!</v>
      </c>
      <c r="AR44" s="170" t="e">
        <f t="shared" si="90"/>
        <v>#REF!</v>
      </c>
      <c r="AS44" s="1081" t="e">
        <f>AG44+AH44+AI44+AJ44+AK44+AM44+AN44+AO44+AP44+AQ44+AR44</f>
        <v>#REF!</v>
      </c>
      <c r="AT44" s="170"/>
      <c r="AU44" s="171"/>
      <c r="AV44" s="167"/>
      <c r="AW44" s="160"/>
      <c r="AX44" s="160"/>
      <c r="AY44"/>
      <c r="AZ44"/>
      <c r="BA44"/>
      <c r="BL44" s="16"/>
      <c r="BM44" s="16"/>
      <c r="BN44" s="16"/>
      <c r="BO44" s="16"/>
      <c r="BP44" s="10" t="s">
        <v>542</v>
      </c>
    </row>
    <row r="45" spans="1:68">
      <c r="A45" s="12" t="s">
        <v>1125</v>
      </c>
      <c r="B45" s="175" t="s">
        <v>256</v>
      </c>
      <c r="C45" s="169">
        <f>SUMIFS(BCRR_REHAB!L:L,BCRR_REHAB!D:D,'Huella materiales'!A45)</f>
        <v>0</v>
      </c>
      <c r="D45" s="146" t="e">
        <f>SUMIF(#REF!,'Huella materiales'!A45,#REF!)</f>
        <v>#REF!</v>
      </c>
      <c r="E45" s="1013" t="e">
        <f t="shared" si="64"/>
        <v>#REF!</v>
      </c>
      <c r="F45" s="146" t="e">
        <f>SUMIF(#REF!,'Huella materiales'!A45,#REF!)</f>
        <v>#REF!</v>
      </c>
      <c r="G45" s="1013" t="e">
        <f t="shared" si="65"/>
        <v>#REF!</v>
      </c>
      <c r="H45" s="146" t="e">
        <f>SUMIF(#REF!,'Huella materiales'!A45,#REF!)</f>
        <v>#REF!</v>
      </c>
      <c r="I45" s="1013" t="e">
        <f t="shared" si="66"/>
        <v>#REF!</v>
      </c>
      <c r="J45" s="146" t="e">
        <f>SUMIF(#REF!,'Huella materiales'!A45,#REF!)</f>
        <v>#REF!</v>
      </c>
      <c r="K45" s="1013" t="e">
        <f t="shared" si="67"/>
        <v>#REF!</v>
      </c>
      <c r="L45" s="146" t="e">
        <f>SUMIF(#REF!,'Huella materiales'!A45,#REF!)</f>
        <v>#REF!</v>
      </c>
      <c r="M45" s="1013" t="e">
        <f t="shared" si="68"/>
        <v>#REF!</v>
      </c>
      <c r="N45" s="146" t="e">
        <f>SUMIF(#REF!,'Huella materiales'!A45,#REF!)</f>
        <v>#REF!</v>
      </c>
      <c r="O45" s="1013" t="e">
        <f t="shared" si="69"/>
        <v>#REF!</v>
      </c>
      <c r="P45" s="146" t="e">
        <f>SUMIF(#REF!,'Huella materiales'!A45,#REF!)</f>
        <v>#REF!</v>
      </c>
      <c r="Q45" s="1013" t="e">
        <f t="shared" si="71"/>
        <v>#REF!</v>
      </c>
      <c r="R45" s="146" t="e">
        <f>SUMIF(#REF!,'Huella materiales'!A45,#REF!)</f>
        <v>#REF!</v>
      </c>
      <c r="S45" s="1013" t="e">
        <f t="shared" si="72"/>
        <v>#REF!</v>
      </c>
      <c r="T45" s="146" t="e">
        <f>SUMIF(#REF!,'Huella materiales'!A45,#REF!)</f>
        <v>#REF!</v>
      </c>
      <c r="U45" s="1013" t="e">
        <f t="shared" si="73"/>
        <v>#REF!</v>
      </c>
      <c r="V45" s="146" t="e">
        <f>SUMIF(#REF!,'Huella materiales'!A45,#REF!)</f>
        <v>#REF!</v>
      </c>
      <c r="W45" s="1013" t="e">
        <f t="shared" si="74"/>
        <v>#REF!</v>
      </c>
      <c r="X45" s="146" t="e">
        <f>SUMIF(#REF!,'Huella materiales'!A45,#REF!)</f>
        <v>#REF!</v>
      </c>
      <c r="Y45" s="1013" t="e">
        <f t="shared" si="75"/>
        <v>#REF!</v>
      </c>
      <c r="Z45" s="146" t="e">
        <f>SUMIF(#REF!,'Huella materiales'!A45,#REF!)</f>
        <v>#REF!</v>
      </c>
      <c r="AA45" s="1013" t="e">
        <f t="shared" si="76"/>
        <v>#REF!</v>
      </c>
      <c r="AB45" s="1030">
        <f>'Datos auxiliares materiales'!C19</f>
        <v>1853</v>
      </c>
      <c r="AC45" s="1017" t="e">
        <f t="shared" si="77"/>
        <v>#REF!</v>
      </c>
      <c r="AD45" s="1022">
        <f t="shared" si="70"/>
        <v>0</v>
      </c>
      <c r="AE45" s="1077">
        <f>'Datos auxiliares materiales'!D19</f>
        <v>2.9</v>
      </c>
      <c r="AF45" s="170">
        <f t="shared" si="78"/>
        <v>0</v>
      </c>
      <c r="AG45" s="170" t="e">
        <f t="shared" si="79"/>
        <v>#REF!</v>
      </c>
      <c r="AH45" s="170" t="e">
        <f t="shared" si="80"/>
        <v>#REF!</v>
      </c>
      <c r="AI45" s="170" t="e">
        <f t="shared" si="81"/>
        <v>#REF!</v>
      </c>
      <c r="AJ45" s="170" t="e">
        <f t="shared" si="82"/>
        <v>#REF!</v>
      </c>
      <c r="AK45" s="170" t="e">
        <f t="shared" si="83"/>
        <v>#REF!</v>
      </c>
      <c r="AL45" s="170" t="e">
        <f t="shared" si="84"/>
        <v>#REF!</v>
      </c>
      <c r="AM45" s="170" t="e">
        <f t="shared" si="85"/>
        <v>#REF!</v>
      </c>
      <c r="AN45" s="170" t="e">
        <f t="shared" si="86"/>
        <v>#REF!</v>
      </c>
      <c r="AO45" s="170" t="e">
        <f t="shared" si="87"/>
        <v>#REF!</v>
      </c>
      <c r="AP45" s="170" t="e">
        <f t="shared" si="88"/>
        <v>#REF!</v>
      </c>
      <c r="AQ45" s="170" t="e">
        <f t="shared" si="89"/>
        <v>#REF!</v>
      </c>
      <c r="AR45" s="170" t="e">
        <f t="shared" si="90"/>
        <v>#REF!</v>
      </c>
      <c r="AS45" s="1081" t="e">
        <f>AG45+AH45+AI45+AJ45+AK45+AM45+AN45+AO45+AP45+AQ45+AR45</f>
        <v>#REF!</v>
      </c>
      <c r="AT45" s="170"/>
      <c r="AU45" s="171"/>
      <c r="AV45" s="167"/>
      <c r="AW45" s="160"/>
      <c r="AX45" s="160"/>
      <c r="AY45"/>
      <c r="AZ45"/>
      <c r="BA45"/>
      <c r="BL45" s="16"/>
      <c r="BM45" s="16"/>
      <c r="BN45" s="16"/>
      <c r="BO45" s="16"/>
      <c r="BP45" s="10" t="s">
        <v>542</v>
      </c>
    </row>
    <row r="46" spans="1:68">
      <c r="A46" s="12" t="s">
        <v>1170</v>
      </c>
      <c r="B46" s="175" t="s">
        <v>270</v>
      </c>
      <c r="C46" s="169">
        <f>SUMIFS(BCRR_REHAB!L:L,BCRR_REHAB!D:D,'Huella materiales'!A46)</f>
        <v>0</v>
      </c>
      <c r="D46" s="146" t="e">
        <f>SUMIF(#REF!,'Huella materiales'!A46,#REF!)</f>
        <v>#REF!</v>
      </c>
      <c r="E46" s="1013" t="e">
        <f t="shared" si="64"/>
        <v>#REF!</v>
      </c>
      <c r="F46" s="146" t="e">
        <f>SUMIF(#REF!,'Huella materiales'!A46,#REF!)</f>
        <v>#REF!</v>
      </c>
      <c r="G46" s="1013" t="e">
        <f t="shared" si="65"/>
        <v>#REF!</v>
      </c>
      <c r="H46" s="146" t="e">
        <f>SUMIF(#REF!,'Huella materiales'!A46,#REF!)</f>
        <v>#REF!</v>
      </c>
      <c r="I46" s="1013" t="e">
        <f t="shared" si="66"/>
        <v>#REF!</v>
      </c>
      <c r="J46" s="146" t="e">
        <f>SUMIF(#REF!,'Huella materiales'!A46,#REF!)</f>
        <v>#REF!</v>
      </c>
      <c r="K46" s="1013" t="e">
        <f t="shared" si="67"/>
        <v>#REF!</v>
      </c>
      <c r="L46" s="146" t="e">
        <f>SUMIF(#REF!,'Huella materiales'!A46,#REF!)</f>
        <v>#REF!</v>
      </c>
      <c r="M46" s="1013" t="e">
        <f t="shared" si="68"/>
        <v>#REF!</v>
      </c>
      <c r="N46" s="146" t="e">
        <f>SUMIF(#REF!,'Huella materiales'!A46,#REF!)</f>
        <v>#REF!</v>
      </c>
      <c r="O46" s="1013" t="e">
        <f t="shared" si="69"/>
        <v>#REF!</v>
      </c>
      <c r="P46" s="146" t="e">
        <f>SUMIF(#REF!,'Huella materiales'!A46,#REF!)</f>
        <v>#REF!</v>
      </c>
      <c r="Q46" s="1013" t="e">
        <f t="shared" si="71"/>
        <v>#REF!</v>
      </c>
      <c r="R46" s="146" t="e">
        <f>SUMIF(#REF!,'Huella materiales'!A46,#REF!)</f>
        <v>#REF!</v>
      </c>
      <c r="S46" s="1013" t="e">
        <f t="shared" si="72"/>
        <v>#REF!</v>
      </c>
      <c r="T46" s="146" t="e">
        <f>SUMIF(#REF!,'Huella materiales'!A46,#REF!)</f>
        <v>#REF!</v>
      </c>
      <c r="U46" s="1013" t="e">
        <f t="shared" si="73"/>
        <v>#REF!</v>
      </c>
      <c r="V46" s="146" t="e">
        <f>SUMIF(#REF!,'Huella materiales'!A46,#REF!)</f>
        <v>#REF!</v>
      </c>
      <c r="W46" s="1013" t="e">
        <f t="shared" si="74"/>
        <v>#REF!</v>
      </c>
      <c r="X46" s="146" t="e">
        <f>SUMIF(#REF!,'Huella materiales'!A46,#REF!)</f>
        <v>#REF!</v>
      </c>
      <c r="Y46" s="1013" t="e">
        <f t="shared" si="75"/>
        <v>#REF!</v>
      </c>
      <c r="Z46" s="146" t="e">
        <f>SUMIF(#REF!,'Huella materiales'!A46,#REF!)</f>
        <v>#REF!</v>
      </c>
      <c r="AA46" s="1013" t="e">
        <f t="shared" si="76"/>
        <v>#REF!</v>
      </c>
      <c r="AB46" s="1030">
        <f>'Datos auxiliares materiales'!C23</f>
        <v>14.273</v>
      </c>
      <c r="AC46" s="1017" t="e">
        <f t="shared" si="77"/>
        <v>#REF!</v>
      </c>
      <c r="AD46" s="1022">
        <f t="shared" si="70"/>
        <v>0</v>
      </c>
      <c r="AE46" s="1077">
        <f>'Datos auxiliares materiales'!D23</f>
        <v>2.5</v>
      </c>
      <c r="AF46" s="170">
        <f t="shared" si="78"/>
        <v>0</v>
      </c>
      <c r="AG46" s="170" t="e">
        <f t="shared" si="79"/>
        <v>#REF!</v>
      </c>
      <c r="AH46" s="170" t="e">
        <f t="shared" si="80"/>
        <v>#REF!</v>
      </c>
      <c r="AI46" s="170" t="e">
        <f t="shared" si="81"/>
        <v>#REF!</v>
      </c>
      <c r="AJ46" s="170" t="e">
        <f t="shared" si="82"/>
        <v>#REF!</v>
      </c>
      <c r="AK46" s="170" t="e">
        <f t="shared" si="83"/>
        <v>#REF!</v>
      </c>
      <c r="AL46" s="170" t="e">
        <f t="shared" si="84"/>
        <v>#REF!</v>
      </c>
      <c r="AM46" s="170" t="e">
        <f t="shared" si="85"/>
        <v>#REF!</v>
      </c>
      <c r="AN46" s="170" t="e">
        <f t="shared" si="86"/>
        <v>#REF!</v>
      </c>
      <c r="AO46" s="170" t="e">
        <f t="shared" si="87"/>
        <v>#REF!</v>
      </c>
      <c r="AP46" s="170" t="e">
        <f t="shared" si="88"/>
        <v>#REF!</v>
      </c>
      <c r="AQ46" s="170" t="e">
        <f t="shared" si="89"/>
        <v>#REF!</v>
      </c>
      <c r="AR46" s="170" t="e">
        <f t="shared" si="90"/>
        <v>#REF!</v>
      </c>
      <c r="AS46" s="1081" t="e">
        <f>AG46+AH46+AI46+AJ46+AK46+AM46+AN46+AO46+AP46+AQ46+AR46</f>
        <v>#REF!</v>
      </c>
      <c r="AT46" s="170"/>
      <c r="AU46" s="171"/>
      <c r="AV46" s="167"/>
      <c r="AW46" s="160"/>
      <c r="AX46" s="160"/>
      <c r="AY46"/>
      <c r="AZ46"/>
      <c r="BA46"/>
      <c r="BL46" s="16"/>
      <c r="BM46" s="16"/>
      <c r="BN46" s="16"/>
      <c r="BO46" s="16"/>
      <c r="BP46" s="10" t="s">
        <v>542</v>
      </c>
    </row>
    <row r="47" spans="1:68">
      <c r="A47" s="12" t="s">
        <v>1146</v>
      </c>
      <c r="B47" s="175" t="s">
        <v>101</v>
      </c>
      <c r="C47" s="169">
        <f>SUMIFS(BCRR_REHAB!L:L,BCRR_REHAB!D:D,'Huella materiales'!A47)</f>
        <v>0</v>
      </c>
      <c r="D47" s="146" t="e">
        <f>SUMIF(#REF!,'Huella materiales'!A47,#REF!)</f>
        <v>#REF!</v>
      </c>
      <c r="E47" s="1013" t="e">
        <f t="shared" si="64"/>
        <v>#REF!</v>
      </c>
      <c r="F47" s="146" t="e">
        <f>SUMIF(#REF!,'Huella materiales'!A47,#REF!)</f>
        <v>#REF!</v>
      </c>
      <c r="G47" s="1013" t="e">
        <f t="shared" si="65"/>
        <v>#REF!</v>
      </c>
      <c r="H47" s="146" t="e">
        <f>SUMIF(#REF!,'Huella materiales'!A47,#REF!)</f>
        <v>#REF!</v>
      </c>
      <c r="I47" s="1013" t="e">
        <f t="shared" si="66"/>
        <v>#REF!</v>
      </c>
      <c r="J47" s="146" t="e">
        <f>SUMIF(#REF!,'Huella materiales'!A47,#REF!)</f>
        <v>#REF!</v>
      </c>
      <c r="K47" s="1013" t="e">
        <f t="shared" si="67"/>
        <v>#REF!</v>
      </c>
      <c r="L47" s="146" t="e">
        <f>SUMIF(#REF!,'Huella materiales'!A47,#REF!)</f>
        <v>#REF!</v>
      </c>
      <c r="M47" s="1013" t="e">
        <f t="shared" si="68"/>
        <v>#REF!</v>
      </c>
      <c r="N47" s="146" t="e">
        <f>SUMIF(#REF!,'Huella materiales'!A47,#REF!)</f>
        <v>#REF!</v>
      </c>
      <c r="O47" s="1013" t="e">
        <f t="shared" si="69"/>
        <v>#REF!</v>
      </c>
      <c r="P47" s="146" t="e">
        <f>SUMIF(#REF!,'Huella materiales'!A47,#REF!)</f>
        <v>#REF!</v>
      </c>
      <c r="Q47" s="1013" t="e">
        <f t="shared" si="71"/>
        <v>#REF!</v>
      </c>
      <c r="R47" s="146" t="e">
        <f>SUMIF(#REF!,'Huella materiales'!A47,#REF!)</f>
        <v>#REF!</v>
      </c>
      <c r="S47" s="1013" t="e">
        <f t="shared" si="72"/>
        <v>#REF!</v>
      </c>
      <c r="T47" s="146" t="e">
        <f>SUMIF(#REF!,'Huella materiales'!A47,#REF!)</f>
        <v>#REF!</v>
      </c>
      <c r="U47" s="1013" t="e">
        <f t="shared" si="73"/>
        <v>#REF!</v>
      </c>
      <c r="V47" s="146" t="e">
        <f>SUMIF(#REF!,'Huella materiales'!A47,#REF!)</f>
        <v>#REF!</v>
      </c>
      <c r="W47" s="1013" t="e">
        <f t="shared" si="74"/>
        <v>#REF!</v>
      </c>
      <c r="X47" s="146" t="e">
        <f>SUMIF(#REF!,'Huella materiales'!A47,#REF!)</f>
        <v>#REF!</v>
      </c>
      <c r="Y47" s="1013" t="e">
        <f t="shared" si="75"/>
        <v>#REF!</v>
      </c>
      <c r="Z47" s="146" t="e">
        <f>SUMIF(#REF!,'Huella materiales'!A47,#REF!)</f>
        <v>#REF!</v>
      </c>
      <c r="AA47" s="1013" t="e">
        <f t="shared" si="76"/>
        <v>#REF!</v>
      </c>
      <c r="AB47" s="1030">
        <f>'Datos auxiliares materiales'!C20</f>
        <v>0.3</v>
      </c>
      <c r="AC47" s="1017" t="e">
        <f t="shared" si="77"/>
        <v>#REF!</v>
      </c>
      <c r="AD47" s="1022">
        <f t="shared" si="70"/>
        <v>0</v>
      </c>
      <c r="AE47" s="1077">
        <f>'Datos auxiliares materiales'!D20</f>
        <v>8</v>
      </c>
      <c r="AF47" s="170">
        <f t="shared" si="78"/>
        <v>0</v>
      </c>
      <c r="AG47" s="170" t="e">
        <f t="shared" si="79"/>
        <v>#REF!</v>
      </c>
      <c r="AH47" s="170" t="e">
        <f t="shared" si="80"/>
        <v>#REF!</v>
      </c>
      <c r="AI47" s="170" t="e">
        <f t="shared" si="81"/>
        <v>#REF!</v>
      </c>
      <c r="AJ47" s="170" t="e">
        <f t="shared" si="82"/>
        <v>#REF!</v>
      </c>
      <c r="AK47" s="170" t="e">
        <f t="shared" si="83"/>
        <v>#REF!</v>
      </c>
      <c r="AL47" s="170" t="e">
        <f t="shared" si="84"/>
        <v>#REF!</v>
      </c>
      <c r="AM47" s="170" t="e">
        <f t="shared" si="85"/>
        <v>#REF!</v>
      </c>
      <c r="AN47" s="170" t="e">
        <f t="shared" si="86"/>
        <v>#REF!</v>
      </c>
      <c r="AO47" s="170" t="e">
        <f t="shared" si="87"/>
        <v>#REF!</v>
      </c>
      <c r="AP47" s="170" t="e">
        <f t="shared" si="88"/>
        <v>#REF!</v>
      </c>
      <c r="AQ47" s="170" t="e">
        <f t="shared" si="89"/>
        <v>#REF!</v>
      </c>
      <c r="AR47" s="170" t="e">
        <f t="shared" si="90"/>
        <v>#REF!</v>
      </c>
      <c r="AS47" s="1081" t="e">
        <f>AG47+AH47+AI47+AJ47+AK47+AM47+AN47+AO47+AP47+AQ47+AR47</f>
        <v>#REF!</v>
      </c>
      <c r="AT47" s="170"/>
      <c r="AU47" s="171"/>
      <c r="AV47" s="167"/>
      <c r="AW47" s="160"/>
      <c r="AX47" s="160"/>
      <c r="AY47"/>
      <c r="AZ47"/>
      <c r="BA47"/>
      <c r="BL47" s="16"/>
      <c r="BM47" s="16"/>
      <c r="BN47" s="16"/>
      <c r="BO47" s="16"/>
      <c r="BP47" s="10" t="s">
        <v>543</v>
      </c>
    </row>
    <row r="48" spans="1:68">
      <c r="A48" s="12" t="s">
        <v>1692</v>
      </c>
      <c r="B48" s="175" t="s">
        <v>1874</v>
      </c>
      <c r="C48" s="169">
        <f>SUMIFS(BCRR_REHAB!L:L,BCRR_REHAB!D:D,'Huella materiales'!A48)</f>
        <v>0</v>
      </c>
      <c r="D48" s="146" t="e">
        <f>SUMIF(#REF!,'Huella materiales'!A48,#REF!)</f>
        <v>#REF!</v>
      </c>
      <c r="E48" s="1013" t="e">
        <f t="shared" ref="E48" si="91">D48*AB48</f>
        <v>#REF!</v>
      </c>
      <c r="F48" s="146" t="e">
        <f>SUMIF(#REF!,'Huella materiales'!A48,#REF!)</f>
        <v>#REF!</v>
      </c>
      <c r="G48" s="1013" t="e">
        <f t="shared" ref="G48" si="92">F48*AB48</f>
        <v>#REF!</v>
      </c>
      <c r="H48" s="146" t="e">
        <f>SUMIF(#REF!,'Huella materiales'!A48,#REF!)</f>
        <v>#REF!</v>
      </c>
      <c r="I48" s="1013" t="e">
        <f t="shared" ref="I48" si="93">H48*AB48</f>
        <v>#REF!</v>
      </c>
      <c r="J48" s="146" t="e">
        <f>SUMIF(#REF!,'Huella materiales'!A48,#REF!)</f>
        <v>#REF!</v>
      </c>
      <c r="K48" s="1013" t="e">
        <f t="shared" ref="K48" si="94">J48*AB48</f>
        <v>#REF!</v>
      </c>
      <c r="L48" s="146" t="e">
        <f>SUMIF(#REF!,'Huella materiales'!A48,#REF!)</f>
        <v>#REF!</v>
      </c>
      <c r="M48" s="1013" t="e">
        <f t="shared" ref="M48" si="95">L48*AB48</f>
        <v>#REF!</v>
      </c>
      <c r="N48" s="146" t="e">
        <f>SUMIF(#REF!,'Huella materiales'!A48,#REF!)</f>
        <v>#REF!</v>
      </c>
      <c r="O48" s="1013" t="e">
        <f t="shared" ref="O48" si="96">N48*AB48</f>
        <v>#REF!</v>
      </c>
      <c r="P48" s="146" t="e">
        <f>SUMIF(#REF!,'Huella materiales'!A48,#REF!)</f>
        <v>#REF!</v>
      </c>
      <c r="Q48" s="1013" t="e">
        <f t="shared" ref="Q48" si="97">P48*AB48</f>
        <v>#REF!</v>
      </c>
      <c r="R48" s="146" t="e">
        <f>SUMIF(#REF!,'Huella materiales'!A48,#REF!)</f>
        <v>#REF!</v>
      </c>
      <c r="S48" s="1013" t="e">
        <f t="shared" ref="S48" si="98">R48*AB48</f>
        <v>#REF!</v>
      </c>
      <c r="T48" s="146" t="e">
        <f>SUMIF(#REF!,'Huella materiales'!A48,#REF!)</f>
        <v>#REF!</v>
      </c>
      <c r="U48" s="1013" t="e">
        <f t="shared" ref="U48" si="99">T48*AB48</f>
        <v>#REF!</v>
      </c>
      <c r="V48" s="146" t="e">
        <f>SUMIF(#REF!,'Huella materiales'!A48,#REF!)</f>
        <v>#REF!</v>
      </c>
      <c r="W48" s="1013" t="e">
        <f t="shared" ref="W48" si="100">V48*AB48</f>
        <v>#REF!</v>
      </c>
      <c r="X48" s="146" t="e">
        <f>SUMIF(#REF!,'Huella materiales'!A48,#REF!)</f>
        <v>#REF!</v>
      </c>
      <c r="Y48" s="1013" t="e">
        <f t="shared" ref="Y48" si="101">X48*AB48</f>
        <v>#REF!</v>
      </c>
      <c r="Z48" s="146" t="e">
        <f>SUMIF(#REF!,'Huella materiales'!A48,#REF!)</f>
        <v>#REF!</v>
      </c>
      <c r="AA48" s="1013" t="e">
        <f t="shared" ref="AA48" si="102">Z48*AB48</f>
        <v>#REF!</v>
      </c>
      <c r="AB48" s="1030">
        <f>'Datos auxiliares materiales'!C20</f>
        <v>0.3</v>
      </c>
      <c r="AC48" s="1017" t="e">
        <f t="shared" ref="AC48" si="103">E48+G48+I48+K48+M48+O48+Q48+S48+U48+W48+Y48+AA48</f>
        <v>#REF!</v>
      </c>
      <c r="AD48" s="1022">
        <f t="shared" ref="AD48" si="104">C48*AB48</f>
        <v>0</v>
      </c>
      <c r="AE48" s="1077">
        <f>'Datos auxiliares materiales'!D20</f>
        <v>8</v>
      </c>
      <c r="AF48" s="170">
        <f t="shared" ref="AF48" si="105">C48*AB48*AE48</f>
        <v>0</v>
      </c>
      <c r="AG48" s="170" t="e">
        <f t="shared" ref="AG48" si="106">D48*AB48*AE48</f>
        <v>#REF!</v>
      </c>
      <c r="AH48" s="170" t="e">
        <f t="shared" ref="AH48" si="107">F48*AB48*AE48</f>
        <v>#REF!</v>
      </c>
      <c r="AI48" s="170" t="e">
        <f t="shared" ref="AI48" si="108">H48*AB48*AE48</f>
        <v>#REF!</v>
      </c>
      <c r="AJ48" s="170" t="e">
        <f t="shared" ref="AJ48" si="109">J48*AB48*AE48</f>
        <v>#REF!</v>
      </c>
      <c r="AK48" s="170" t="e">
        <f t="shared" ref="AK48" si="110">L48*AB48*AE48</f>
        <v>#REF!</v>
      </c>
      <c r="AL48" s="170" t="e">
        <f t="shared" ref="AL48" si="111">N48*AB48*AE48</f>
        <v>#REF!</v>
      </c>
      <c r="AM48" s="170" t="e">
        <f t="shared" ref="AM48" si="112">P48*AB48*AE48</f>
        <v>#REF!</v>
      </c>
      <c r="AN48" s="170" t="e">
        <f t="shared" ref="AN48" si="113">R48*AB48*AE48</f>
        <v>#REF!</v>
      </c>
      <c r="AO48" s="170" t="e">
        <f t="shared" ref="AO48" si="114">T48*AB48*AE48</f>
        <v>#REF!</v>
      </c>
      <c r="AP48" s="170" t="e">
        <f t="shared" ref="AP48" si="115">V48*AB48*AE48</f>
        <v>#REF!</v>
      </c>
      <c r="AQ48" s="170" t="e">
        <f t="shared" ref="AQ48" si="116">X48*AB48*AE48</f>
        <v>#REF!</v>
      </c>
      <c r="AR48" s="170" t="e">
        <f t="shared" ref="AR48" si="117">Z48*AB48*AE48</f>
        <v>#REF!</v>
      </c>
      <c r="AS48" s="1081" t="e">
        <f>AG48+AH48+AI48+AJ48+AK48+AM48+AN48+AO48+AP48+AQ48+AR48</f>
        <v>#REF!</v>
      </c>
      <c r="AT48" s="170"/>
      <c r="AU48" s="171"/>
      <c r="AV48" s="167"/>
      <c r="AW48" s="160"/>
      <c r="AX48" s="160"/>
      <c r="AY48"/>
      <c r="AZ48"/>
      <c r="BA48"/>
      <c r="BL48" s="16"/>
      <c r="BM48" s="16"/>
      <c r="BN48" s="16"/>
      <c r="BO48" s="16"/>
      <c r="BP48" s="10"/>
    </row>
    <row r="49" spans="1:68">
      <c r="A49" s="12" t="s">
        <v>1129</v>
      </c>
      <c r="B49" s="175" t="s">
        <v>264</v>
      </c>
      <c r="C49" s="169">
        <f>SUMIFS(BCRR_REHAB!L:L,BCRR_REHAB!D:D,'Huella materiales'!A49)</f>
        <v>0</v>
      </c>
      <c r="D49" s="146" t="e">
        <f>SUMIF(#REF!,'Huella materiales'!A49,#REF!)</f>
        <v>#REF!</v>
      </c>
      <c r="E49" s="1013" t="e">
        <f t="shared" si="64"/>
        <v>#REF!</v>
      </c>
      <c r="F49" s="146" t="e">
        <f>SUMIF(#REF!,'Huella materiales'!A49,#REF!)</f>
        <v>#REF!</v>
      </c>
      <c r="G49" s="1013" t="e">
        <f t="shared" si="65"/>
        <v>#REF!</v>
      </c>
      <c r="H49" s="146" t="e">
        <f>SUMIF(#REF!,'Huella materiales'!A49,#REF!)</f>
        <v>#REF!</v>
      </c>
      <c r="I49" s="1013" t="e">
        <f t="shared" si="66"/>
        <v>#REF!</v>
      </c>
      <c r="J49" s="146" t="e">
        <f>SUMIF(#REF!,'Huella materiales'!A49,#REF!)</f>
        <v>#REF!</v>
      </c>
      <c r="K49" s="1013" t="e">
        <f t="shared" si="67"/>
        <v>#REF!</v>
      </c>
      <c r="L49" s="146" t="e">
        <f>SUMIF(#REF!,'Huella materiales'!A49,#REF!)</f>
        <v>#REF!</v>
      </c>
      <c r="M49" s="1013" t="e">
        <f t="shared" si="68"/>
        <v>#REF!</v>
      </c>
      <c r="N49" s="146" t="e">
        <f>SUMIF(#REF!,'Huella materiales'!A49,#REF!)</f>
        <v>#REF!</v>
      </c>
      <c r="O49" s="1013" t="e">
        <f t="shared" si="69"/>
        <v>#REF!</v>
      </c>
      <c r="P49" s="146" t="e">
        <f>SUMIF(#REF!,'Huella materiales'!A49,#REF!)</f>
        <v>#REF!</v>
      </c>
      <c r="Q49" s="1013" t="e">
        <f t="shared" si="71"/>
        <v>#REF!</v>
      </c>
      <c r="R49" s="146" t="e">
        <f>SUMIF(#REF!,'Huella materiales'!A49,#REF!)</f>
        <v>#REF!</v>
      </c>
      <c r="S49" s="1013" t="e">
        <f t="shared" si="72"/>
        <v>#REF!</v>
      </c>
      <c r="T49" s="146" t="e">
        <f>SUMIF(#REF!,'Huella materiales'!A49,#REF!)</f>
        <v>#REF!</v>
      </c>
      <c r="U49" s="1013" t="e">
        <f t="shared" si="73"/>
        <v>#REF!</v>
      </c>
      <c r="V49" s="146" t="e">
        <f>SUMIF(#REF!,'Huella materiales'!A49,#REF!)</f>
        <v>#REF!</v>
      </c>
      <c r="W49" s="1013" t="e">
        <f t="shared" si="74"/>
        <v>#REF!</v>
      </c>
      <c r="X49" s="146" t="e">
        <f>SUMIF(#REF!,'Huella materiales'!A49,#REF!)</f>
        <v>#REF!</v>
      </c>
      <c r="Y49" s="1013" t="e">
        <f t="shared" si="75"/>
        <v>#REF!</v>
      </c>
      <c r="Z49" s="146" t="e">
        <f>SUMIF(#REF!,'Huella materiales'!A49,#REF!)</f>
        <v>#REF!</v>
      </c>
      <c r="AA49" s="1013" t="e">
        <f t="shared" si="76"/>
        <v>#REF!</v>
      </c>
      <c r="AB49" s="1030">
        <f>'Datos auxiliares materiales'!C21</f>
        <v>0.74</v>
      </c>
      <c r="AC49" s="1017" t="e">
        <f t="shared" si="77"/>
        <v>#REF!</v>
      </c>
      <c r="AD49" s="1022">
        <f t="shared" si="70"/>
        <v>0</v>
      </c>
      <c r="AE49" s="1077">
        <f>'Datos auxiliares materiales'!D21</f>
        <v>2.9</v>
      </c>
      <c r="AF49" s="170">
        <f t="shared" si="78"/>
        <v>0</v>
      </c>
      <c r="AG49" s="170" t="e">
        <f t="shared" si="79"/>
        <v>#REF!</v>
      </c>
      <c r="AH49" s="170" t="e">
        <f t="shared" si="80"/>
        <v>#REF!</v>
      </c>
      <c r="AI49" s="170" t="e">
        <f t="shared" si="81"/>
        <v>#REF!</v>
      </c>
      <c r="AJ49" s="170" t="e">
        <f t="shared" si="82"/>
        <v>#REF!</v>
      </c>
      <c r="AK49" s="170" t="e">
        <f t="shared" si="83"/>
        <v>#REF!</v>
      </c>
      <c r="AL49" s="170" t="e">
        <f t="shared" si="84"/>
        <v>#REF!</v>
      </c>
      <c r="AM49" s="170" t="e">
        <f t="shared" si="85"/>
        <v>#REF!</v>
      </c>
      <c r="AN49" s="170" t="e">
        <f t="shared" si="86"/>
        <v>#REF!</v>
      </c>
      <c r="AO49" s="170" t="e">
        <f t="shared" si="87"/>
        <v>#REF!</v>
      </c>
      <c r="AP49" s="170" t="e">
        <f t="shared" si="88"/>
        <v>#REF!</v>
      </c>
      <c r="AQ49" s="170" t="e">
        <f t="shared" si="89"/>
        <v>#REF!</v>
      </c>
      <c r="AR49" s="170" t="e">
        <f t="shared" si="90"/>
        <v>#REF!</v>
      </c>
      <c r="AS49" s="1082" t="e">
        <f>AG49+AH49+AI49+AJ49+AK49+AL49+AM49+AN49+AO49+AP49+AQ49+AR49</f>
        <v>#REF!</v>
      </c>
      <c r="AT49" s="170"/>
      <c r="AU49" s="171"/>
      <c r="AV49" s="160"/>
      <c r="AW49" s="160"/>
      <c r="AX49" s="160"/>
      <c r="AY49"/>
      <c r="AZ49"/>
      <c r="BA49"/>
      <c r="BL49" s="16"/>
      <c r="BM49" s="16"/>
      <c r="BN49" s="16"/>
      <c r="BO49" s="16"/>
      <c r="BP49" s="10" t="s">
        <v>544</v>
      </c>
    </row>
    <row r="50" spans="1:68">
      <c r="A50" s="12" t="s">
        <v>1156</v>
      </c>
      <c r="B50" s="175" t="s">
        <v>266</v>
      </c>
      <c r="C50" s="169">
        <f>SUMIFS(BCRR_REHAB!L:L,BCRR_REHAB!D:D,'Huella materiales'!A50)</f>
        <v>0</v>
      </c>
      <c r="D50" s="146" t="e">
        <f>SUMIF(#REF!,'Huella materiales'!A50,#REF!)</f>
        <v>#REF!</v>
      </c>
      <c r="E50" s="1013" t="e">
        <f t="shared" si="64"/>
        <v>#REF!</v>
      </c>
      <c r="F50" s="146" t="e">
        <f>SUMIF(#REF!,'Huella materiales'!A50,#REF!)</f>
        <v>#REF!</v>
      </c>
      <c r="G50" s="1013" t="e">
        <f t="shared" si="65"/>
        <v>#REF!</v>
      </c>
      <c r="H50" s="146" t="e">
        <f>SUMIF(#REF!,'Huella materiales'!A50,#REF!)</f>
        <v>#REF!</v>
      </c>
      <c r="I50" s="1013" t="e">
        <f t="shared" si="66"/>
        <v>#REF!</v>
      </c>
      <c r="J50" s="146" t="e">
        <f>SUMIF(#REF!,'Huella materiales'!A50,#REF!)</f>
        <v>#REF!</v>
      </c>
      <c r="K50" s="1013" t="e">
        <f t="shared" si="67"/>
        <v>#REF!</v>
      </c>
      <c r="L50" s="146" t="e">
        <f>SUMIF(#REF!,'Huella materiales'!A50,#REF!)</f>
        <v>#REF!</v>
      </c>
      <c r="M50" s="1013" t="e">
        <f t="shared" si="68"/>
        <v>#REF!</v>
      </c>
      <c r="N50" s="146" t="e">
        <f>SUMIF(#REF!,'Huella materiales'!A50,#REF!)</f>
        <v>#REF!</v>
      </c>
      <c r="O50" s="1013" t="e">
        <f t="shared" si="69"/>
        <v>#REF!</v>
      </c>
      <c r="P50" s="146" t="e">
        <f>SUMIF(#REF!,'Huella materiales'!A50,#REF!)</f>
        <v>#REF!</v>
      </c>
      <c r="Q50" s="1013" t="e">
        <f t="shared" si="71"/>
        <v>#REF!</v>
      </c>
      <c r="R50" s="146" t="e">
        <f>SUMIF(#REF!,'Huella materiales'!A50,#REF!)</f>
        <v>#REF!</v>
      </c>
      <c r="S50" s="1013" t="e">
        <f t="shared" si="72"/>
        <v>#REF!</v>
      </c>
      <c r="T50" s="146" t="e">
        <f>SUMIF(#REF!,'Huella materiales'!A50,#REF!)</f>
        <v>#REF!</v>
      </c>
      <c r="U50" s="1013" t="e">
        <f t="shared" si="73"/>
        <v>#REF!</v>
      </c>
      <c r="V50" s="146" t="e">
        <f>SUMIF(#REF!,'Huella materiales'!A50,#REF!)</f>
        <v>#REF!</v>
      </c>
      <c r="W50" s="1013" t="e">
        <f t="shared" si="74"/>
        <v>#REF!</v>
      </c>
      <c r="X50" s="146" t="e">
        <f>SUMIF(#REF!,'Huella materiales'!A50,#REF!)</f>
        <v>#REF!</v>
      </c>
      <c r="Y50" s="1013" t="e">
        <f t="shared" si="75"/>
        <v>#REF!</v>
      </c>
      <c r="Z50" s="146" t="e">
        <f>SUMIF(#REF!,'Huella materiales'!A50,#REF!)</f>
        <v>#REF!</v>
      </c>
      <c r="AA50" s="1013" t="e">
        <f t="shared" si="76"/>
        <v>#REF!</v>
      </c>
      <c r="AB50" s="1030">
        <f>'Datos auxiliares materiales'!C21</f>
        <v>0.74</v>
      </c>
      <c r="AC50" s="1017" t="e">
        <f t="shared" si="77"/>
        <v>#REF!</v>
      </c>
      <c r="AD50" s="1022">
        <f t="shared" si="70"/>
        <v>0</v>
      </c>
      <c r="AE50" s="1077">
        <f>'Datos auxiliares materiales'!D22</f>
        <v>0</v>
      </c>
      <c r="AF50" s="170">
        <f t="shared" si="78"/>
        <v>0</v>
      </c>
      <c r="AG50" s="170" t="e">
        <f t="shared" si="79"/>
        <v>#REF!</v>
      </c>
      <c r="AH50" s="170" t="e">
        <f t="shared" si="80"/>
        <v>#REF!</v>
      </c>
      <c r="AI50" s="170" t="e">
        <f t="shared" si="81"/>
        <v>#REF!</v>
      </c>
      <c r="AJ50" s="170" t="e">
        <f t="shared" si="82"/>
        <v>#REF!</v>
      </c>
      <c r="AK50" s="170" t="e">
        <f t="shared" si="83"/>
        <v>#REF!</v>
      </c>
      <c r="AL50" s="170" t="e">
        <f t="shared" si="84"/>
        <v>#REF!</v>
      </c>
      <c r="AM50" s="170" t="e">
        <f t="shared" si="85"/>
        <v>#REF!</v>
      </c>
      <c r="AN50" s="170" t="e">
        <f t="shared" si="86"/>
        <v>#REF!</v>
      </c>
      <c r="AO50" s="170" t="e">
        <f t="shared" si="87"/>
        <v>#REF!</v>
      </c>
      <c r="AP50" s="170" t="e">
        <f t="shared" si="88"/>
        <v>#REF!</v>
      </c>
      <c r="AQ50" s="170" t="e">
        <f t="shared" si="89"/>
        <v>#REF!</v>
      </c>
      <c r="AR50" s="170" t="e">
        <f t="shared" si="90"/>
        <v>#REF!</v>
      </c>
      <c r="AS50" s="1081" t="e">
        <f>AG50+AH50+AI50+AJ50+AK50+AM50+AN50+AO50+AP50+AQ50+AR50</f>
        <v>#REF!</v>
      </c>
      <c r="AT50" s="170"/>
      <c r="AU50" s="171"/>
      <c r="AV50" s="160"/>
      <c r="AW50" s="1520"/>
      <c r="AX50" s="1520"/>
      <c r="AY50" s="1521"/>
      <c r="AZ50" s="1521"/>
      <c r="BA50" s="1521"/>
      <c r="BB50" s="1521"/>
      <c r="BC50" s="1521"/>
      <c r="BD50" s="1521"/>
      <c r="BE50" s="1521"/>
      <c r="BF50" s="1521"/>
      <c r="BG50" s="1521"/>
      <c r="BH50" s="1521"/>
      <c r="BI50" s="1521"/>
      <c r="BJ50" s="1521"/>
      <c r="BL50" s="16"/>
      <c r="BM50" s="16"/>
      <c r="BN50" s="16"/>
      <c r="BO50" s="16"/>
      <c r="BP50" s="10" t="s">
        <v>544</v>
      </c>
    </row>
    <row r="51" spans="1:68" s="1521" customFormat="1">
      <c r="A51" s="1373" t="s">
        <v>1545</v>
      </c>
      <c r="B51" s="1513" t="s">
        <v>1590</v>
      </c>
      <c r="C51" s="169">
        <f>SUMIFS(BCRR_REHAB!L:L,BCRR_REHAB!D:D,'Huella materiales'!A51)</f>
        <v>0</v>
      </c>
      <c r="D51" s="1514" t="e">
        <f>SUMIF(#REF!,'Huella materiales'!A51,#REF!)</f>
        <v>#REF!</v>
      </c>
      <c r="E51" s="1515" t="e">
        <f>D51*AB51</f>
        <v>#REF!</v>
      </c>
      <c r="F51" s="146" t="e">
        <f>SUMIF(#REF!,'Huella materiales'!A51,#REF!)</f>
        <v>#REF!</v>
      </c>
      <c r="G51" s="1515" t="e">
        <f>F51*AB51</f>
        <v>#REF!</v>
      </c>
      <c r="H51" s="146" t="e">
        <f>SUMIF(#REF!,'Huella materiales'!A51,#REF!)</f>
        <v>#REF!</v>
      </c>
      <c r="I51" s="1515" t="e">
        <f>H51*AB51</f>
        <v>#REF!</v>
      </c>
      <c r="J51" s="146" t="e">
        <f>SUMIF(#REF!,'Huella materiales'!A51,#REF!)</f>
        <v>#REF!</v>
      </c>
      <c r="K51" s="1515" t="e">
        <f>J51*AB51</f>
        <v>#REF!</v>
      </c>
      <c r="L51" s="146" t="e">
        <f>SUMIF(#REF!,'Huella materiales'!A51,#REF!)</f>
        <v>#REF!</v>
      </c>
      <c r="M51" s="1515" t="e">
        <f>L51*AB51</f>
        <v>#REF!</v>
      </c>
      <c r="N51" s="1515" t="e">
        <f>SUMIF(#REF!,'Huella materiales'!A51,#REF!)</f>
        <v>#REF!</v>
      </c>
      <c r="O51" s="1515" t="e">
        <f>N51*AB51</f>
        <v>#REF!</v>
      </c>
      <c r="P51" s="1515" t="e">
        <f>SUMIF(#REF!,'Huella materiales'!A51,#REF!)</f>
        <v>#REF!</v>
      </c>
      <c r="Q51" s="1515" t="e">
        <f>P51*AB51</f>
        <v>#REF!</v>
      </c>
      <c r="R51" s="1515" t="e">
        <f>SUMIF(#REF!,'Huella materiales'!A51,#REF!)</f>
        <v>#REF!</v>
      </c>
      <c r="S51" s="1515" t="e">
        <f>R51*AB51</f>
        <v>#REF!</v>
      </c>
      <c r="T51" s="146" t="e">
        <f>SUMIF(#REF!,'Huella materiales'!A51,#REF!)</f>
        <v>#REF!</v>
      </c>
      <c r="U51" s="1515" t="e">
        <f>T51*AB51</f>
        <v>#REF!</v>
      </c>
      <c r="V51" s="1515" t="e">
        <f>SUMIF(#REF!,'Huella materiales'!A51,#REF!)</f>
        <v>#REF!</v>
      </c>
      <c r="W51" s="1515" t="e">
        <f>V51*AB51</f>
        <v>#REF!</v>
      </c>
      <c r="X51" s="1515" t="e">
        <f>SUMIF(#REF!,'Huella materiales'!A51,#REF!)</f>
        <v>#REF!</v>
      </c>
      <c r="Y51" s="1515" t="e">
        <f>X51*AB51</f>
        <v>#REF!</v>
      </c>
      <c r="Z51" s="1515" t="e">
        <f>SUMIF(#REF!,'Huella materiales'!A51,#REF!)</f>
        <v>#REF!</v>
      </c>
      <c r="AA51" s="1515" t="e">
        <f>Z51*AB51</f>
        <v>#REF!</v>
      </c>
      <c r="AB51" s="1515">
        <f>'Datos auxiliares materiales'!C22</f>
        <v>0</v>
      </c>
      <c r="AC51" s="1516" t="e">
        <f>E51+G51+I51+K51+M51+O51+Q51+S51+U51+W51+Y51+AA51</f>
        <v>#REF!</v>
      </c>
      <c r="AD51" s="1517">
        <f>C51*AB51</f>
        <v>0</v>
      </c>
      <c r="AE51" s="1518">
        <f>'Datos auxiliares materiales'!D23</f>
        <v>2.5</v>
      </c>
      <c r="AF51" s="1515">
        <f>C51*AB51*AE51</f>
        <v>0</v>
      </c>
      <c r="AG51" s="1515" t="e">
        <f>D51*AB51*AE51</f>
        <v>#REF!</v>
      </c>
      <c r="AH51" s="1515" t="e">
        <f>F51*AB51*AE51</f>
        <v>#REF!</v>
      </c>
      <c r="AI51" s="1515" t="e">
        <f>H51*AB51*AE51</f>
        <v>#REF!</v>
      </c>
      <c r="AJ51" s="1515" t="e">
        <f>J51*AB51*AE51</f>
        <v>#REF!</v>
      </c>
      <c r="AK51" s="1515" t="e">
        <f>L51*AB51*AE51</f>
        <v>#REF!</v>
      </c>
      <c r="AL51" s="1515" t="e">
        <f>N51*AB51*AE51</f>
        <v>#REF!</v>
      </c>
      <c r="AM51" s="1515" t="e">
        <f>P51*AB51*AE51</f>
        <v>#REF!</v>
      </c>
      <c r="AN51" s="1515" t="e">
        <f>R51*AB51*AE51</f>
        <v>#REF!</v>
      </c>
      <c r="AO51" s="1515" t="e">
        <f>T51*AB51*AE51</f>
        <v>#REF!</v>
      </c>
      <c r="AP51" s="1515" t="e">
        <f>V51*AB51*AE51</f>
        <v>#REF!</v>
      </c>
      <c r="AQ51" s="1515" t="e">
        <f>X51*AB51*AE51</f>
        <v>#REF!</v>
      </c>
      <c r="AR51" s="1515" t="e">
        <f>Z51*AB51*AE51</f>
        <v>#REF!</v>
      </c>
      <c r="AS51" s="1523" t="e">
        <f>AG51+AH51+AI51+AJ51+AK51+AM51+AN51+AO51+AP51+AQ51+AR51</f>
        <v>#REF!</v>
      </c>
      <c r="AT51" s="1515"/>
      <c r="AU51" s="1519"/>
      <c r="AV51" s="1520"/>
      <c r="AW51" s="160"/>
      <c r="AX51" s="160"/>
      <c r="AY51"/>
      <c r="AZ51"/>
      <c r="BA51"/>
      <c r="BB51"/>
      <c r="BC51"/>
      <c r="BD51"/>
      <c r="BE51"/>
      <c r="BF51"/>
      <c r="BG51"/>
      <c r="BH51"/>
      <c r="BI51"/>
      <c r="BJ51"/>
      <c r="BL51" s="1522"/>
      <c r="BM51" s="1522"/>
      <c r="BN51" s="1522"/>
      <c r="BO51" s="1522"/>
      <c r="BP51" s="1373" t="s">
        <v>544</v>
      </c>
    </row>
    <row r="52" spans="1:68">
      <c r="A52" s="10" t="s">
        <v>1112</v>
      </c>
      <c r="B52" s="175" t="s">
        <v>44</v>
      </c>
      <c r="C52" s="169">
        <f>SUMIFS(BCRR_REHAB!L:L,BCRR_REHAB!D:D,'Huella materiales'!A52)</f>
        <v>0</v>
      </c>
      <c r="D52" s="146" t="e">
        <f>SUMIF(#REF!,'Huella materiales'!A52,#REF!)</f>
        <v>#REF!</v>
      </c>
      <c r="E52" s="1013" t="e">
        <f t="shared" si="64"/>
        <v>#REF!</v>
      </c>
      <c r="F52" s="146" t="e">
        <f>SUMIF(#REF!,'Huella materiales'!A52,#REF!)</f>
        <v>#REF!</v>
      </c>
      <c r="G52" s="1013" t="e">
        <f t="shared" si="65"/>
        <v>#REF!</v>
      </c>
      <c r="H52" s="146" t="e">
        <f>SUMIF(#REF!,'Huella materiales'!A52,#REF!)</f>
        <v>#REF!</v>
      </c>
      <c r="I52" s="1013" t="e">
        <f t="shared" si="66"/>
        <v>#REF!</v>
      </c>
      <c r="J52" s="146" t="e">
        <f>SUMIF(#REF!,'Huella materiales'!A52,#REF!)</f>
        <v>#REF!</v>
      </c>
      <c r="K52" s="1013" t="e">
        <f t="shared" si="67"/>
        <v>#REF!</v>
      </c>
      <c r="L52" s="146" t="e">
        <f>SUMIF(#REF!,'Huella materiales'!A52,#REF!)</f>
        <v>#REF!</v>
      </c>
      <c r="M52" s="1013" t="e">
        <f t="shared" si="68"/>
        <v>#REF!</v>
      </c>
      <c r="N52" s="146" t="e">
        <f>SUMIF(#REF!,'Huella materiales'!A52,#REF!)</f>
        <v>#REF!</v>
      </c>
      <c r="O52" s="1013" t="e">
        <f t="shared" si="69"/>
        <v>#REF!</v>
      </c>
      <c r="P52" s="146" t="e">
        <f>SUMIF(#REF!,'Huella materiales'!A52,#REF!)</f>
        <v>#REF!</v>
      </c>
      <c r="Q52" s="1013" t="e">
        <f t="shared" si="71"/>
        <v>#REF!</v>
      </c>
      <c r="R52" s="146" t="e">
        <f>SUMIF(#REF!,'Huella materiales'!A52,#REF!)</f>
        <v>#REF!</v>
      </c>
      <c r="S52" s="1013" t="e">
        <f t="shared" si="72"/>
        <v>#REF!</v>
      </c>
      <c r="T52" s="146" t="e">
        <f>SUMIF(#REF!,'Huella materiales'!A52,#REF!)</f>
        <v>#REF!</v>
      </c>
      <c r="U52" s="1013" t="e">
        <f t="shared" si="73"/>
        <v>#REF!</v>
      </c>
      <c r="V52" s="146" t="e">
        <f>SUMIF(#REF!,'Huella materiales'!A52,#REF!)</f>
        <v>#REF!</v>
      </c>
      <c r="W52" s="1013" t="e">
        <f t="shared" si="74"/>
        <v>#REF!</v>
      </c>
      <c r="X52" s="146" t="e">
        <f>SUMIF(#REF!,'Huella materiales'!A52,#REF!)</f>
        <v>#REF!</v>
      </c>
      <c r="Y52" s="1013" t="e">
        <f t="shared" si="75"/>
        <v>#REF!</v>
      </c>
      <c r="Z52" s="146" t="e">
        <f>SUMIF(#REF!,'Huella materiales'!A52,#REF!)</f>
        <v>#REF!</v>
      </c>
      <c r="AA52" s="1013" t="e">
        <f t="shared" si="76"/>
        <v>#REF!</v>
      </c>
      <c r="AB52" s="1030"/>
      <c r="AC52" s="1017" t="e">
        <f t="shared" si="77"/>
        <v>#REF!</v>
      </c>
      <c r="AD52" s="1022">
        <f t="shared" si="70"/>
        <v>0</v>
      </c>
      <c r="AE52" s="1077"/>
      <c r="AF52" s="170">
        <f t="shared" si="78"/>
        <v>0</v>
      </c>
      <c r="AG52" s="170" t="e">
        <f t="shared" si="79"/>
        <v>#REF!</v>
      </c>
      <c r="AH52" s="170" t="e">
        <f t="shared" si="80"/>
        <v>#REF!</v>
      </c>
      <c r="AI52" s="170" t="e">
        <f t="shared" si="81"/>
        <v>#REF!</v>
      </c>
      <c r="AJ52" s="170" t="e">
        <f t="shared" si="82"/>
        <v>#REF!</v>
      </c>
      <c r="AK52" s="170" t="e">
        <f t="shared" si="83"/>
        <v>#REF!</v>
      </c>
      <c r="AL52" s="170" t="e">
        <f t="shared" si="84"/>
        <v>#REF!</v>
      </c>
      <c r="AM52" s="170" t="e">
        <f t="shared" si="85"/>
        <v>#REF!</v>
      </c>
      <c r="AN52" s="170" t="e">
        <f t="shared" si="86"/>
        <v>#REF!</v>
      </c>
      <c r="AO52" s="170" t="e">
        <f t="shared" si="87"/>
        <v>#REF!</v>
      </c>
      <c r="AP52" s="170" t="e">
        <f t="shared" si="88"/>
        <v>#REF!</v>
      </c>
      <c r="AQ52" s="170" t="e">
        <f t="shared" si="89"/>
        <v>#REF!</v>
      </c>
      <c r="AR52" s="170" t="e">
        <f t="shared" si="90"/>
        <v>#REF!</v>
      </c>
      <c r="AS52" s="1081" t="e">
        <f>AG52+AH52+AI52+AJ52+AK52+AM52+AN52+AO52+AP52+AQ52+AR52</f>
        <v>#REF!</v>
      </c>
      <c r="AT52" s="170"/>
      <c r="AU52" s="171"/>
      <c r="AV52" s="160"/>
      <c r="AW52" s="160"/>
      <c r="AX52" s="160"/>
      <c r="AY52"/>
      <c r="AZ52"/>
      <c r="BA52"/>
      <c r="BL52" s="16"/>
      <c r="BM52" s="16"/>
      <c r="BN52" s="16"/>
      <c r="BO52" s="16"/>
      <c r="BP52" s="10"/>
    </row>
    <row r="53" spans="1:68">
      <c r="A53" s="10" t="s">
        <v>1120</v>
      </c>
      <c r="B53" s="175" t="s">
        <v>1223</v>
      </c>
      <c r="C53" s="169">
        <f>SUMIFS(BCRR_REHAB!L:L,BCRR_REHAB!D:D,'Huella materiales'!A53)</f>
        <v>0</v>
      </c>
      <c r="D53" s="146" t="e">
        <f>SUMIF(#REF!,'Huella materiales'!A53,#REF!)</f>
        <v>#REF!</v>
      </c>
      <c r="E53" s="1013" t="e">
        <f t="shared" si="64"/>
        <v>#REF!</v>
      </c>
      <c r="F53" s="146" t="e">
        <f>SUMIF(#REF!,'Huella materiales'!A53,#REF!)</f>
        <v>#REF!</v>
      </c>
      <c r="G53" s="1013" t="e">
        <f t="shared" si="65"/>
        <v>#REF!</v>
      </c>
      <c r="H53" s="146" t="e">
        <f>SUMIF(#REF!,'Huella materiales'!A53,#REF!)</f>
        <v>#REF!</v>
      </c>
      <c r="I53" s="1013" t="e">
        <f t="shared" si="66"/>
        <v>#REF!</v>
      </c>
      <c r="J53" s="146" t="e">
        <f>SUMIF(#REF!,'Huella materiales'!A53,#REF!)</f>
        <v>#REF!</v>
      </c>
      <c r="K53" s="1013" t="e">
        <f t="shared" si="67"/>
        <v>#REF!</v>
      </c>
      <c r="L53" s="146" t="e">
        <f>SUMIF(#REF!,'Huella materiales'!A53,#REF!)</f>
        <v>#REF!</v>
      </c>
      <c r="M53" s="1013" t="e">
        <f t="shared" si="68"/>
        <v>#REF!</v>
      </c>
      <c r="N53" s="146" t="e">
        <f>SUMIF(#REF!,'Huella materiales'!A53,#REF!)</f>
        <v>#REF!</v>
      </c>
      <c r="O53" s="1013" t="e">
        <f t="shared" si="69"/>
        <v>#REF!</v>
      </c>
      <c r="P53" s="146" t="e">
        <f>SUMIF(#REF!,'Huella materiales'!A53,#REF!)</f>
        <v>#REF!</v>
      </c>
      <c r="Q53" s="1013" t="e">
        <f t="shared" si="71"/>
        <v>#REF!</v>
      </c>
      <c r="R53" s="146" t="e">
        <f>SUMIF(#REF!,'Huella materiales'!A53,#REF!)</f>
        <v>#REF!</v>
      </c>
      <c r="S53" s="1013" t="e">
        <f t="shared" si="72"/>
        <v>#REF!</v>
      </c>
      <c r="T53" s="146" t="e">
        <f>SUMIF(#REF!,'Huella materiales'!A53,#REF!)</f>
        <v>#REF!</v>
      </c>
      <c r="U53" s="1013" t="e">
        <f t="shared" si="73"/>
        <v>#REF!</v>
      </c>
      <c r="V53" s="146" t="e">
        <f>SUMIF(#REF!,'Huella materiales'!A53,#REF!)</f>
        <v>#REF!</v>
      </c>
      <c r="W53" s="1013" t="e">
        <f t="shared" si="74"/>
        <v>#REF!</v>
      </c>
      <c r="X53" s="146" t="e">
        <f>SUMIF(#REF!,'Huella materiales'!A53,#REF!)</f>
        <v>#REF!</v>
      </c>
      <c r="Y53" s="1013" t="e">
        <f t="shared" si="75"/>
        <v>#REF!</v>
      </c>
      <c r="Z53" s="146" t="e">
        <f>SUMIF(#REF!,'Huella materiales'!A53,#REF!)</f>
        <v>#REF!</v>
      </c>
      <c r="AA53" s="1013" t="e">
        <f t="shared" si="76"/>
        <v>#REF!</v>
      </c>
      <c r="AB53" s="1030"/>
      <c r="AC53" s="1017" t="e">
        <f t="shared" si="77"/>
        <v>#REF!</v>
      </c>
      <c r="AD53" s="1022">
        <f t="shared" si="70"/>
        <v>0</v>
      </c>
      <c r="AE53" s="1077"/>
      <c r="AF53" s="170">
        <f t="shared" si="78"/>
        <v>0</v>
      </c>
      <c r="AG53" s="170" t="e">
        <f t="shared" si="79"/>
        <v>#REF!</v>
      </c>
      <c r="AH53" s="170" t="e">
        <f t="shared" si="80"/>
        <v>#REF!</v>
      </c>
      <c r="AI53" s="170" t="e">
        <f t="shared" si="81"/>
        <v>#REF!</v>
      </c>
      <c r="AJ53" s="170" t="e">
        <f t="shared" si="82"/>
        <v>#REF!</v>
      </c>
      <c r="AK53" s="170" t="e">
        <f t="shared" si="83"/>
        <v>#REF!</v>
      </c>
      <c r="AL53" s="170" t="e">
        <f t="shared" si="84"/>
        <v>#REF!</v>
      </c>
      <c r="AM53" s="170" t="e">
        <f t="shared" si="85"/>
        <v>#REF!</v>
      </c>
      <c r="AN53" s="170" t="e">
        <f t="shared" si="86"/>
        <v>#REF!</v>
      </c>
      <c r="AO53" s="170" t="e">
        <f t="shared" si="87"/>
        <v>#REF!</v>
      </c>
      <c r="AP53" s="170" t="e">
        <f t="shared" si="88"/>
        <v>#REF!</v>
      </c>
      <c r="AQ53" s="170" t="e">
        <f t="shared" si="89"/>
        <v>#REF!</v>
      </c>
      <c r="AR53" s="170" t="e">
        <f t="shared" si="90"/>
        <v>#REF!</v>
      </c>
      <c r="AS53" s="1081" t="e">
        <f>AG53+AH53+AI53+AJ53+AK53+AM53+AN53+AO53+AP53+AQ53+AR53</f>
        <v>#REF!</v>
      </c>
      <c r="AT53" s="170"/>
      <c r="AU53" s="171"/>
      <c r="AV53" s="160"/>
      <c r="AW53" s="160"/>
      <c r="AX53" s="160"/>
      <c r="AY53"/>
      <c r="AZ53"/>
      <c r="BA53"/>
      <c r="BL53" s="16"/>
      <c r="BM53" s="16"/>
      <c r="BN53" s="16"/>
      <c r="BO53" s="16"/>
      <c r="BP53" s="10"/>
    </row>
    <row r="54" spans="1:68">
      <c r="A54" s="12" t="s">
        <v>1138</v>
      </c>
      <c r="B54" s="175" t="s">
        <v>1224</v>
      </c>
      <c r="C54" s="169">
        <f>SUMIFS(BCRR_REHAB!L:L,BCRR_REHAB!D:D,'Huella materiales'!A54)</f>
        <v>0</v>
      </c>
      <c r="D54" s="146" t="e">
        <f>SUMIF(#REF!,'Huella materiales'!A54,#REF!)</f>
        <v>#REF!</v>
      </c>
      <c r="E54" s="1013" t="e">
        <f t="shared" si="64"/>
        <v>#REF!</v>
      </c>
      <c r="F54" s="146" t="e">
        <f>SUMIF(#REF!,'Huella materiales'!A54,#REF!)</f>
        <v>#REF!</v>
      </c>
      <c r="G54" s="1013" t="e">
        <f t="shared" si="65"/>
        <v>#REF!</v>
      </c>
      <c r="H54" s="146" t="e">
        <f>SUMIF(#REF!,'Huella materiales'!A54,#REF!)</f>
        <v>#REF!</v>
      </c>
      <c r="I54" s="1013" t="e">
        <f t="shared" si="66"/>
        <v>#REF!</v>
      </c>
      <c r="J54" s="146" t="e">
        <f>SUMIF(#REF!,'Huella materiales'!A54,#REF!)</f>
        <v>#REF!</v>
      </c>
      <c r="K54" s="1013" t="e">
        <f t="shared" si="67"/>
        <v>#REF!</v>
      </c>
      <c r="L54" s="146" t="e">
        <f>SUMIF(#REF!,'Huella materiales'!A54,#REF!)</f>
        <v>#REF!</v>
      </c>
      <c r="M54" s="1013" t="e">
        <f t="shared" si="68"/>
        <v>#REF!</v>
      </c>
      <c r="N54" s="146" t="e">
        <f>SUMIF(#REF!,'Huella materiales'!A54,#REF!)</f>
        <v>#REF!</v>
      </c>
      <c r="O54" s="1013" t="e">
        <f t="shared" si="69"/>
        <v>#REF!</v>
      </c>
      <c r="P54" s="146" t="e">
        <f>SUMIF(#REF!,'Huella materiales'!A54,#REF!)</f>
        <v>#REF!</v>
      </c>
      <c r="Q54" s="1013" t="e">
        <f t="shared" si="71"/>
        <v>#REF!</v>
      </c>
      <c r="R54" s="146" t="e">
        <f>SUMIF(#REF!,'Huella materiales'!A54,#REF!)</f>
        <v>#REF!</v>
      </c>
      <c r="S54" s="1013" t="e">
        <f t="shared" si="72"/>
        <v>#REF!</v>
      </c>
      <c r="T54" s="146" t="e">
        <f>SUMIF(#REF!,'Huella materiales'!A54,#REF!)</f>
        <v>#REF!</v>
      </c>
      <c r="U54" s="1013" t="e">
        <f t="shared" si="73"/>
        <v>#REF!</v>
      </c>
      <c r="V54" s="146" t="e">
        <f>SUMIF(#REF!,'Huella materiales'!A54,#REF!)</f>
        <v>#REF!</v>
      </c>
      <c r="W54" s="1013" t="e">
        <f t="shared" si="74"/>
        <v>#REF!</v>
      </c>
      <c r="X54" s="146" t="e">
        <f>SUMIF(#REF!,'Huella materiales'!A54,#REF!)</f>
        <v>#REF!</v>
      </c>
      <c r="Y54" s="1013" t="e">
        <f t="shared" si="75"/>
        <v>#REF!</v>
      </c>
      <c r="Z54" s="146" t="e">
        <f>SUMIF(#REF!,'Huella materiales'!A54,#REF!)</f>
        <v>#REF!</v>
      </c>
      <c r="AA54" s="1013" t="e">
        <f t="shared" si="76"/>
        <v>#REF!</v>
      </c>
      <c r="AB54" s="1030">
        <f>'Datos auxiliares materiales'!C24</f>
        <v>475</v>
      </c>
      <c r="AC54" s="1017" t="e">
        <f t="shared" si="77"/>
        <v>#REF!</v>
      </c>
      <c r="AD54" s="1022">
        <f t="shared" si="70"/>
        <v>0</v>
      </c>
      <c r="AE54" s="1077">
        <f>'Datos auxiliares materiales'!D24</f>
        <v>0.92</v>
      </c>
      <c r="AF54" s="170">
        <f t="shared" si="78"/>
        <v>0</v>
      </c>
      <c r="AG54" s="170" t="e">
        <f t="shared" si="79"/>
        <v>#REF!</v>
      </c>
      <c r="AH54" s="170" t="e">
        <f t="shared" si="80"/>
        <v>#REF!</v>
      </c>
      <c r="AI54" s="170" t="e">
        <f t="shared" si="81"/>
        <v>#REF!</v>
      </c>
      <c r="AJ54" s="170" t="e">
        <f t="shared" si="82"/>
        <v>#REF!</v>
      </c>
      <c r="AK54" s="170" t="e">
        <f t="shared" si="83"/>
        <v>#REF!</v>
      </c>
      <c r="AL54" s="170" t="e">
        <f t="shared" si="84"/>
        <v>#REF!</v>
      </c>
      <c r="AM54" s="170" t="e">
        <f t="shared" si="85"/>
        <v>#REF!</v>
      </c>
      <c r="AN54" s="170" t="e">
        <f>R54*AB54*AE54</f>
        <v>#REF!</v>
      </c>
      <c r="AO54" s="170" t="e">
        <f t="shared" si="87"/>
        <v>#REF!</v>
      </c>
      <c r="AP54" s="170" t="e">
        <f t="shared" si="88"/>
        <v>#REF!</v>
      </c>
      <c r="AQ54" s="170" t="e">
        <f t="shared" si="89"/>
        <v>#REF!</v>
      </c>
      <c r="AR54" s="170" t="e">
        <f t="shared" si="90"/>
        <v>#REF!</v>
      </c>
      <c r="AS54" s="1082" t="e">
        <f t="shared" ref="AS54:AS59" si="118">AG54+AH54+AI54+AJ54+AK54+AL54+AM54+AN54+AO54+AP54+AQ54+AR54</f>
        <v>#REF!</v>
      </c>
      <c r="AT54" s="170"/>
      <c r="AU54" s="171"/>
      <c r="AV54" s="160"/>
      <c r="AW54" s="160"/>
      <c r="AX54" s="160"/>
      <c r="AY54"/>
      <c r="AZ54"/>
      <c r="BA54"/>
      <c r="BL54" s="16"/>
      <c r="BM54" s="16"/>
      <c r="BN54" s="16"/>
      <c r="BO54" s="16"/>
      <c r="BP54" s="10" t="s">
        <v>544</v>
      </c>
    </row>
    <row r="55" spans="1:68" ht="15.5">
      <c r="B55" s="163" t="s">
        <v>274</v>
      </c>
      <c r="C55" s="169">
        <f>SUMIFS(BCRR_REHAB!L:L,BCRR_REHAB!D:D,'Huella materiales'!A55)</f>
        <v>0</v>
      </c>
      <c r="D55" s="987"/>
      <c r="E55" s="1014" t="e">
        <f t="shared" ref="E55:AD55" si="119">SUM(E56:E61)</f>
        <v>#REF!</v>
      </c>
      <c r="F55" s="987"/>
      <c r="G55" s="987" t="e">
        <f t="shared" si="119"/>
        <v>#REF!</v>
      </c>
      <c r="H55" s="987"/>
      <c r="I55" s="987" t="e">
        <f t="shared" si="119"/>
        <v>#REF!</v>
      </c>
      <c r="J55" s="987"/>
      <c r="K55" s="987" t="e">
        <f t="shared" si="119"/>
        <v>#REF!</v>
      </c>
      <c r="L55" s="987"/>
      <c r="M55" s="987" t="e">
        <f t="shared" si="119"/>
        <v>#REF!</v>
      </c>
      <c r="N55" s="987"/>
      <c r="O55" s="987" t="e">
        <f t="shared" si="119"/>
        <v>#REF!</v>
      </c>
      <c r="P55" s="987"/>
      <c r="Q55" s="987" t="e">
        <f t="shared" si="119"/>
        <v>#REF!</v>
      </c>
      <c r="R55" s="987"/>
      <c r="S55" s="987" t="e">
        <f t="shared" si="119"/>
        <v>#REF!</v>
      </c>
      <c r="T55" s="987"/>
      <c r="U55" s="987" t="e">
        <f t="shared" si="119"/>
        <v>#REF!</v>
      </c>
      <c r="V55" s="987"/>
      <c r="W55" s="987" t="e">
        <f t="shared" si="119"/>
        <v>#REF!</v>
      </c>
      <c r="X55" s="987"/>
      <c r="Y55" s="987" t="e">
        <f t="shared" si="119"/>
        <v>#REF!</v>
      </c>
      <c r="Z55" s="987"/>
      <c r="AA55" s="987" t="e">
        <f t="shared" si="119"/>
        <v>#REF!</v>
      </c>
      <c r="AB55" s="987"/>
      <c r="AC55" s="1028" t="e">
        <f t="shared" si="119"/>
        <v>#REF!</v>
      </c>
      <c r="AD55" s="1026">
        <f t="shared" si="119"/>
        <v>11865.679231309197</v>
      </c>
      <c r="AE55" s="1019"/>
      <c r="AF55" s="1080">
        <f>SUM(AF56:AF62)</f>
        <v>52202.306722499983</v>
      </c>
      <c r="AG55" s="1080" t="e">
        <f t="shared" ref="AG55:AR55" si="120">SUM(AG56:AG61)</f>
        <v>#REF!</v>
      </c>
      <c r="AH55" s="1080" t="e">
        <f t="shared" si="120"/>
        <v>#REF!</v>
      </c>
      <c r="AI55" s="1080" t="e">
        <f>SUM(AI56:AI62)</f>
        <v>#REF!</v>
      </c>
      <c r="AJ55" s="1080" t="e">
        <f t="shared" si="120"/>
        <v>#REF!</v>
      </c>
      <c r="AK55" s="1080" t="e">
        <f>SUM(AK56:AK62)</f>
        <v>#REF!</v>
      </c>
      <c r="AL55" s="1080" t="e">
        <f t="shared" si="120"/>
        <v>#REF!</v>
      </c>
      <c r="AM55" s="1080" t="e">
        <f t="shared" si="120"/>
        <v>#REF!</v>
      </c>
      <c r="AN55" s="1080" t="e">
        <f t="shared" si="120"/>
        <v>#REF!</v>
      </c>
      <c r="AO55" s="1080" t="e">
        <f t="shared" si="120"/>
        <v>#REF!</v>
      </c>
      <c r="AP55" s="1080" t="e">
        <f t="shared" si="120"/>
        <v>#REF!</v>
      </c>
      <c r="AQ55" s="1080" t="e">
        <f t="shared" si="120"/>
        <v>#REF!</v>
      </c>
      <c r="AR55" s="1080" t="e">
        <f t="shared" si="120"/>
        <v>#REF!</v>
      </c>
      <c r="AS55" s="1083" t="e">
        <f t="shared" si="118"/>
        <v>#REF!</v>
      </c>
      <c r="AT55" s="165">
        <f>SUM(AF56:AF59)/$AX$5*$AX$7</f>
        <v>0.6948053500389082</v>
      </c>
      <c r="AU55" s="166">
        <f>AT55/$AX$8</f>
        <v>0.19424728175740447</v>
      </c>
      <c r="AV55" s="160"/>
      <c r="AW55" s="160"/>
      <c r="AX55" s="160"/>
      <c r="AY55"/>
      <c r="AZ55"/>
      <c r="BA55"/>
      <c r="BL55" s="16"/>
      <c r="BM55" s="16"/>
      <c r="BN55" s="16"/>
      <c r="BO55" s="16"/>
      <c r="BP55" s="10" t="s">
        <v>545</v>
      </c>
    </row>
    <row r="56" spans="1:68">
      <c r="A56" s="10" t="s">
        <v>1168</v>
      </c>
      <c r="B56" s="175" t="s">
        <v>116</v>
      </c>
      <c r="C56" s="169">
        <f>SUMIFS(BCRR_REHAB!L:L,BCRR_REHAB!D:D,'Huella materiales'!A56)</f>
        <v>0</v>
      </c>
      <c r="D56" s="146" t="e">
        <f>SUMIF(#REF!,'Huella materiales'!A56,#REF!)</f>
        <v>#REF!</v>
      </c>
      <c r="E56" s="1013" t="e">
        <f>D56*AB56</f>
        <v>#REF!</v>
      </c>
      <c r="F56" s="146" t="e">
        <f>SUMIF(#REF!,'Huella materiales'!A56,#REF!)</f>
        <v>#REF!</v>
      </c>
      <c r="G56" s="1013" t="e">
        <f>F56*AB56</f>
        <v>#REF!</v>
      </c>
      <c r="H56" s="146" t="e">
        <f>SUMIF(#REF!,'Huella materiales'!A56,#REF!)</f>
        <v>#REF!</v>
      </c>
      <c r="I56" s="1013" t="e">
        <f>H56*AB56</f>
        <v>#REF!</v>
      </c>
      <c r="J56" s="146" t="e">
        <f>SUMIF(#REF!,'Huella materiales'!A56,#REF!)</f>
        <v>#REF!</v>
      </c>
      <c r="K56" s="1013" t="e">
        <f>J56*AB56</f>
        <v>#REF!</v>
      </c>
      <c r="L56" s="146" t="e">
        <f>SUMIF(#REF!,'Huella materiales'!A56,#REF!)</f>
        <v>#REF!</v>
      </c>
      <c r="M56" s="1013" t="e">
        <f>L56*AB56</f>
        <v>#REF!</v>
      </c>
      <c r="N56" s="146" t="e">
        <f>SUMIF(#REF!,'Huella materiales'!A56,#REF!)</f>
        <v>#REF!</v>
      </c>
      <c r="O56" s="1013" t="e">
        <f>N56*AB56</f>
        <v>#REF!</v>
      </c>
      <c r="P56" s="146" t="e">
        <f>SUMIF(#REF!,'Huella materiales'!A56,#REF!)</f>
        <v>#REF!</v>
      </c>
      <c r="Q56" s="1013" t="e">
        <f>P56*AB56</f>
        <v>#REF!</v>
      </c>
      <c r="R56" s="146" t="e">
        <f>SUMIF(#REF!,'Huella materiales'!A56,#REF!)</f>
        <v>#REF!</v>
      </c>
      <c r="S56" s="1013" t="e">
        <f>R56*AB56</f>
        <v>#REF!</v>
      </c>
      <c r="T56" s="146" t="e">
        <f>SUMIF(#REF!,'Huella materiales'!A56,#REF!)</f>
        <v>#REF!</v>
      </c>
      <c r="U56" s="1013" t="e">
        <f>T56*AB56</f>
        <v>#REF!</v>
      </c>
      <c r="V56" s="146" t="e">
        <f>SUMIF(#REF!,'Huella materiales'!A56,#REF!)</f>
        <v>#REF!</v>
      </c>
      <c r="W56" s="1013" t="e">
        <f>V56*AB56</f>
        <v>#REF!</v>
      </c>
      <c r="X56" s="146" t="e">
        <f>SUMIF(#REF!,'Huella materiales'!A56,#REF!)</f>
        <v>#REF!</v>
      </c>
      <c r="Y56" s="1013" t="e">
        <f>X56*AB56</f>
        <v>#REF!</v>
      </c>
      <c r="Z56" s="146" t="e">
        <f>SUMIF(#REF!,'Huella materiales'!A56,#REF!)</f>
        <v>#REF!</v>
      </c>
      <c r="AA56" s="1013" t="e">
        <f>Z56*AB56</f>
        <v>#REF!</v>
      </c>
      <c r="AB56" s="1030">
        <f>'Datos auxiliares materiales'!C23</f>
        <v>14.273</v>
      </c>
      <c r="AC56" s="1017" t="e">
        <f>E56+G56+I56+K56+M56+O56+Q56+S56+U56+W56+Y56+AA56</f>
        <v>#REF!</v>
      </c>
      <c r="AD56" s="1022">
        <f>C56*AB56</f>
        <v>0</v>
      </c>
      <c r="AE56" s="1077">
        <f>'Datos auxiliares materiales'!D23</f>
        <v>2.5</v>
      </c>
      <c r="AF56" s="170">
        <f>C56*$AB$56*$AE$56</f>
        <v>0</v>
      </c>
      <c r="AG56" s="170" t="e">
        <f>D56*AB56*AE56</f>
        <v>#REF!</v>
      </c>
      <c r="AH56" s="170" t="e">
        <f>F56*AB56*AE56</f>
        <v>#REF!</v>
      </c>
      <c r="AI56" s="170" t="e">
        <f>H56*AB56*AE56</f>
        <v>#REF!</v>
      </c>
      <c r="AJ56" s="170" t="e">
        <f>J56*AB56*AE56</f>
        <v>#REF!</v>
      </c>
      <c r="AK56" s="170" t="e">
        <f>L56*AB56*AE56</f>
        <v>#REF!</v>
      </c>
      <c r="AL56" s="170" t="e">
        <f>N56*AB56*AE56</f>
        <v>#REF!</v>
      </c>
      <c r="AM56" s="170" t="e">
        <f>P56*AB56*AE56</f>
        <v>#REF!</v>
      </c>
      <c r="AN56" s="170" t="e">
        <f>R56*AB56*AE56</f>
        <v>#REF!</v>
      </c>
      <c r="AO56" s="170" t="e">
        <f>T56*AB56*AE56</f>
        <v>#REF!</v>
      </c>
      <c r="AP56" s="170" t="e">
        <f>V56*AB56*AE56</f>
        <v>#REF!</v>
      </c>
      <c r="AQ56" s="170" t="e">
        <f>X56*AB56*AE56</f>
        <v>#REF!</v>
      </c>
      <c r="AR56" s="170" t="e">
        <f>Z56*AB56*AE56</f>
        <v>#REF!</v>
      </c>
      <c r="AS56" s="1082" t="e">
        <f t="shared" si="118"/>
        <v>#REF!</v>
      </c>
      <c r="AT56" s="170"/>
      <c r="AU56" s="171"/>
      <c r="AV56" s="160"/>
      <c r="AW56" s="160"/>
      <c r="AX56" s="160"/>
      <c r="AY56"/>
      <c r="AZ56" s="19"/>
      <c r="BA56" s="19"/>
      <c r="BL56" s="16"/>
      <c r="BM56" s="16"/>
      <c r="BN56" s="16"/>
      <c r="BO56" s="16"/>
      <c r="BP56" s="10" t="s">
        <v>546</v>
      </c>
    </row>
    <row r="57" spans="1:68">
      <c r="A57" s="1338" t="s">
        <v>1154</v>
      </c>
      <c r="B57" s="1903" t="s">
        <v>108</v>
      </c>
      <c r="C57" s="169">
        <f>SUMIFS(BCRR_REHAB!L:L,BCRR_REHAB!D:D,'Huella materiales'!A57)</f>
        <v>0</v>
      </c>
      <c r="D57" s="146" t="e">
        <f>SUMIF(#REF!,'Huella materiales'!A57,#REF!)</f>
        <v>#REF!</v>
      </c>
      <c r="E57" s="1013" t="e">
        <f>D57*AB57</f>
        <v>#REF!</v>
      </c>
      <c r="F57" s="146" t="e">
        <f>SUMIF(#REF!,'Huella materiales'!A57,#REF!)</f>
        <v>#REF!</v>
      </c>
      <c r="G57" s="1013" t="e">
        <f>F57*AB57</f>
        <v>#REF!</v>
      </c>
      <c r="H57" s="146" t="e">
        <f>SUMIF(#REF!,'Huella materiales'!A57,#REF!)</f>
        <v>#REF!</v>
      </c>
      <c r="I57" s="1013" t="e">
        <f>H57*AB57</f>
        <v>#REF!</v>
      </c>
      <c r="J57" s="146" t="e">
        <f>SUMIF(#REF!,'Huella materiales'!A57,#REF!)</f>
        <v>#REF!</v>
      </c>
      <c r="K57" s="1013" t="e">
        <f>J57*AB57</f>
        <v>#REF!</v>
      </c>
      <c r="L57" s="146" t="e">
        <f>SUMIF(#REF!,'Huella materiales'!A57,#REF!)</f>
        <v>#REF!</v>
      </c>
      <c r="M57" s="1013" t="e">
        <f>L57*AB57</f>
        <v>#REF!</v>
      </c>
      <c r="N57" s="146" t="e">
        <f>SUMIF(#REF!,'Huella materiales'!A57,#REF!)</f>
        <v>#REF!</v>
      </c>
      <c r="O57" s="1013" t="e">
        <f>N57*AB57</f>
        <v>#REF!</v>
      </c>
      <c r="P57" s="146" t="e">
        <f>SUMIF(#REF!,'Huella materiales'!A57,#REF!)</f>
        <v>#REF!</v>
      </c>
      <c r="Q57" s="1013" t="e">
        <f>P57*AB57</f>
        <v>#REF!</v>
      </c>
      <c r="R57" s="146" t="e">
        <f>SUMIF(#REF!,'Huella materiales'!A57,#REF!)</f>
        <v>#REF!</v>
      </c>
      <c r="S57" s="1013" t="e">
        <f>R57*AB57</f>
        <v>#REF!</v>
      </c>
      <c r="T57" s="146" t="e">
        <f>SUMIF(#REF!,'Huella materiales'!A57,#REF!)</f>
        <v>#REF!</v>
      </c>
      <c r="U57" s="1013" t="e">
        <f>T57*AB57</f>
        <v>#REF!</v>
      </c>
      <c r="V57" s="146" t="e">
        <f>SUMIF(#REF!,'Huella materiales'!A57,#REF!)</f>
        <v>#REF!</v>
      </c>
      <c r="W57" s="1013" t="e">
        <f>V57*AB57</f>
        <v>#REF!</v>
      </c>
      <c r="X57" s="146" t="e">
        <f>SUMIF(#REF!,'Huella materiales'!A57,#REF!)</f>
        <v>#REF!</v>
      </c>
      <c r="Y57" s="1013" t="e">
        <f>X57*AB57</f>
        <v>#REF!</v>
      </c>
      <c r="Z57" s="146" t="e">
        <f>SUMIF(#REF!,'Huella materiales'!A57,#REF!)</f>
        <v>#REF!</v>
      </c>
      <c r="AA57" s="1013" t="e">
        <f>Z57*AB57</f>
        <v>#REF!</v>
      </c>
      <c r="AB57" s="1030">
        <f>'Datos auxiliares materiales'!C24</f>
        <v>475</v>
      </c>
      <c r="AC57" s="1017" t="e">
        <f>E57+G57+I57+K57+M57+O57+Q57+S57+U57+W57+Y57+AA57</f>
        <v>#REF!</v>
      </c>
      <c r="AD57" s="1022">
        <f>C57*AB57</f>
        <v>0</v>
      </c>
      <c r="AE57" s="1077">
        <f>'Datos auxiliares materiales'!D24</f>
        <v>0.92</v>
      </c>
      <c r="AF57" s="170">
        <f>C57*$AB$57*$AE$57</f>
        <v>0</v>
      </c>
      <c r="AG57" s="170" t="e">
        <f>D57*AB57*AE57</f>
        <v>#REF!</v>
      </c>
      <c r="AH57" s="170" t="e">
        <f>F57*AB57*AE57</f>
        <v>#REF!</v>
      </c>
      <c r="AI57" s="170" t="e">
        <f>H57*AB57*AE57</f>
        <v>#REF!</v>
      </c>
      <c r="AJ57" s="170" t="e">
        <f>J57*AB57*AE57</f>
        <v>#REF!</v>
      </c>
      <c r="AK57" s="170" t="e">
        <f>L57*AB57*AE57</f>
        <v>#REF!</v>
      </c>
      <c r="AL57" s="170" t="e">
        <f>N57*AB57*AE57</f>
        <v>#REF!</v>
      </c>
      <c r="AM57" s="170" t="e">
        <f>P57*AB57*AE57</f>
        <v>#REF!</v>
      </c>
      <c r="AN57" s="170" t="e">
        <f>R57*AB57*AE57</f>
        <v>#REF!</v>
      </c>
      <c r="AO57" s="170" t="e">
        <f>T57*AB57*AE57</f>
        <v>#REF!</v>
      </c>
      <c r="AP57" s="170" t="e">
        <f>V57*AB57*AE57</f>
        <v>#REF!</v>
      </c>
      <c r="AQ57" s="170" t="e">
        <f>X57*AB57*AE57</f>
        <v>#REF!</v>
      </c>
      <c r="AR57" s="170" t="e">
        <f>Z57*AB57*AE57</f>
        <v>#REF!</v>
      </c>
      <c r="AS57" s="1082" t="e">
        <f t="shared" si="118"/>
        <v>#REF!</v>
      </c>
      <c r="AT57" s="170"/>
      <c r="AU57" s="171"/>
      <c r="AV57" s="160"/>
      <c r="AW57" s="160"/>
      <c r="AX57" s="160"/>
      <c r="AY57"/>
      <c r="AZ57" s="34"/>
      <c r="BA57" s="34"/>
      <c r="BB57" s="34"/>
      <c r="BC57" s="34"/>
      <c r="BD57" s="34"/>
      <c r="BE57" s="34"/>
      <c r="BL57" s="16"/>
      <c r="BM57" s="16"/>
      <c r="BN57" s="16"/>
      <c r="BO57" s="16"/>
      <c r="BP57" s="10" t="s">
        <v>547</v>
      </c>
    </row>
    <row r="58" spans="1:68">
      <c r="A58" s="1338" t="s">
        <v>1167</v>
      </c>
      <c r="B58" s="1903" t="s">
        <v>115</v>
      </c>
      <c r="C58" s="169">
        <f>SUMIFS(BCRR_REHAB!L:L,BCRR_REHAB!D:D,'Huella materiales'!A58)</f>
        <v>0</v>
      </c>
      <c r="D58" s="146" t="e">
        <f>SUMIF(#REF!,'Huella materiales'!A58,#REF!)</f>
        <v>#REF!</v>
      </c>
      <c r="E58" s="1013" t="e">
        <f>D58*AB58</f>
        <v>#REF!</v>
      </c>
      <c r="F58" s="146" t="e">
        <f>SUMIF(#REF!,'Huella materiales'!A58,#REF!)</f>
        <v>#REF!</v>
      </c>
      <c r="G58" s="1013" t="e">
        <f>F58*AB58</f>
        <v>#REF!</v>
      </c>
      <c r="H58" s="146" t="e">
        <f>SUMIF(#REF!,'Huella materiales'!A58,#REF!)</f>
        <v>#REF!</v>
      </c>
      <c r="I58" s="1013" t="e">
        <f>H58*AB58</f>
        <v>#REF!</v>
      </c>
      <c r="J58" s="146" t="e">
        <f>SUMIF(#REF!,'Huella materiales'!A58,#REF!)</f>
        <v>#REF!</v>
      </c>
      <c r="K58" s="1013" t="e">
        <f>J58*AB58</f>
        <v>#REF!</v>
      </c>
      <c r="L58" s="146" t="e">
        <f>SUMIF(#REF!,'Huella materiales'!A58,#REF!)</f>
        <v>#REF!</v>
      </c>
      <c r="M58" s="1013" t="e">
        <f>L58*AB58</f>
        <v>#REF!</v>
      </c>
      <c r="N58" s="146" t="e">
        <f>SUMIF(#REF!,'Huella materiales'!A58,#REF!)</f>
        <v>#REF!</v>
      </c>
      <c r="O58" s="1013" t="e">
        <f>N58*AB58</f>
        <v>#REF!</v>
      </c>
      <c r="P58" s="146" t="e">
        <f>SUMIF(#REF!,'Huella materiales'!A58,#REF!)</f>
        <v>#REF!</v>
      </c>
      <c r="Q58" s="1013" t="e">
        <f>P58*AB58</f>
        <v>#REF!</v>
      </c>
      <c r="R58" s="146" t="e">
        <f>SUMIF(#REF!,'Huella materiales'!A58,#REF!)</f>
        <v>#REF!</v>
      </c>
      <c r="S58" s="1013" t="e">
        <f>R58*AB58</f>
        <v>#REF!</v>
      </c>
      <c r="T58" s="146" t="e">
        <f>SUMIF(#REF!,'Huella materiales'!A58,#REF!)</f>
        <v>#REF!</v>
      </c>
      <c r="U58" s="1013" t="e">
        <f>T58*AB58</f>
        <v>#REF!</v>
      </c>
      <c r="V58" s="146" t="e">
        <f>SUMIF(#REF!,'Huella materiales'!A58,#REF!)</f>
        <v>#REF!</v>
      </c>
      <c r="W58" s="1013" t="e">
        <f>V58*AB58</f>
        <v>#REF!</v>
      </c>
      <c r="X58" s="146" t="e">
        <f>SUMIF(#REF!,'Huella materiales'!A58,#REF!)</f>
        <v>#REF!</v>
      </c>
      <c r="Y58" s="1013" t="e">
        <f>X58*AB58</f>
        <v>#REF!</v>
      </c>
      <c r="Z58" s="146" t="e">
        <f>SUMIF(#REF!,'Huella materiales'!A58,#REF!)</f>
        <v>#REF!</v>
      </c>
      <c r="AA58" s="1013" t="e">
        <f>Z58*AB58</f>
        <v>#REF!</v>
      </c>
      <c r="AB58" s="1030">
        <f>'Datos auxiliares materiales'!C25</f>
        <v>1250</v>
      </c>
      <c r="AC58" s="1017" t="e">
        <f>E58+G58+I58+K58+M58+O58+Q58+S58+U58+W58+Y58+AA58</f>
        <v>#REF!</v>
      </c>
      <c r="AD58" s="1022">
        <f>C58*AB58</f>
        <v>0</v>
      </c>
      <c r="AE58" s="1077">
        <f>'Datos auxiliares materiales'!D25</f>
        <v>2.5</v>
      </c>
      <c r="AF58" s="170">
        <f>C58*$AB$58*$AE$58</f>
        <v>0</v>
      </c>
      <c r="AG58" s="170" t="e">
        <f>D58*AB58*AE58</f>
        <v>#REF!</v>
      </c>
      <c r="AH58" s="170" t="e">
        <f>F58*AB58*AE58</f>
        <v>#REF!</v>
      </c>
      <c r="AI58" s="170" t="e">
        <f>H58*AB58*AE58</f>
        <v>#REF!</v>
      </c>
      <c r="AJ58" s="170" t="e">
        <f>J58*AB58*AE58</f>
        <v>#REF!</v>
      </c>
      <c r="AK58" s="170" t="e">
        <f>L58*AB58*AE58</f>
        <v>#REF!</v>
      </c>
      <c r="AL58" s="170" t="e">
        <f>N58*AB58*AE58</f>
        <v>#REF!</v>
      </c>
      <c r="AM58" s="170" t="e">
        <f>P58*AB58*AE58</f>
        <v>#REF!</v>
      </c>
      <c r="AN58" s="170" t="e">
        <f>R58*AB58*AE58</f>
        <v>#REF!</v>
      </c>
      <c r="AO58" s="170" t="e">
        <f>T58*AB58*AE58</f>
        <v>#REF!</v>
      </c>
      <c r="AP58" s="170" t="e">
        <f>V58*AB58*AE58</f>
        <v>#REF!</v>
      </c>
      <c r="AQ58" s="170" t="e">
        <f>X58*AB58*AE58</f>
        <v>#REF!</v>
      </c>
      <c r="AR58" s="170" t="e">
        <f>Z58*AB58*AE58</f>
        <v>#REF!</v>
      </c>
      <c r="AS58" s="1082" t="e">
        <f t="shared" si="118"/>
        <v>#REF!</v>
      </c>
      <c r="AT58" s="170"/>
      <c r="AU58" s="171"/>
      <c r="AV58" s="160"/>
      <c r="AW58" s="160"/>
      <c r="AX58" s="160"/>
      <c r="AY58"/>
      <c r="AZ58" s="34"/>
      <c r="BA58" s="34"/>
      <c r="BB58" s="34"/>
      <c r="BC58" s="34"/>
      <c r="BD58" s="34"/>
      <c r="BE58" s="34"/>
      <c r="BL58" s="16"/>
      <c r="BM58" s="16"/>
      <c r="BN58" s="16"/>
      <c r="BO58" s="16"/>
      <c r="BP58" s="10" t="s">
        <v>548</v>
      </c>
    </row>
    <row r="59" spans="1:68">
      <c r="A59" s="1338" t="s">
        <v>1128</v>
      </c>
      <c r="B59" s="1903" t="s">
        <v>61</v>
      </c>
      <c r="C59" s="169">
        <f>SUMIFS(BCRR_REHAB!L:L,BCRR_REHAB!D:D,'Huella materiales'!A59)</f>
        <v>9.4913284949999976</v>
      </c>
      <c r="D59" s="146" t="e">
        <f>SUMIF(#REF!,'Huella materiales'!A59,#REF!)</f>
        <v>#REF!</v>
      </c>
      <c r="E59" s="1013" t="e">
        <f>D59*AB59</f>
        <v>#REF!</v>
      </c>
      <c r="F59" s="146" t="e">
        <f>SUMIF(#REF!,'Huella materiales'!A59,#REF!)</f>
        <v>#REF!</v>
      </c>
      <c r="G59" s="1013" t="e">
        <f>F59*AB59</f>
        <v>#REF!</v>
      </c>
      <c r="H59" s="146" t="e">
        <f>SUMIF(#REF!,'Huella materiales'!A59,#REF!)</f>
        <v>#REF!</v>
      </c>
      <c r="I59" s="1013" t="e">
        <f>H59*AB59</f>
        <v>#REF!</v>
      </c>
      <c r="J59" s="146" t="e">
        <f>SUMIF(#REF!,'Huella materiales'!A59,#REF!)</f>
        <v>#REF!</v>
      </c>
      <c r="K59" s="1013" t="e">
        <f>J59*AB59</f>
        <v>#REF!</v>
      </c>
      <c r="L59" s="146" t="e">
        <f>SUMIF(#REF!,'Huella materiales'!A59,#REF!)</f>
        <v>#REF!</v>
      </c>
      <c r="M59" s="1013" t="e">
        <f>L59*AB59</f>
        <v>#REF!</v>
      </c>
      <c r="N59" s="146" t="e">
        <f>SUMIF(#REF!,'Huella materiales'!A59,#REF!)</f>
        <v>#REF!</v>
      </c>
      <c r="O59" s="1013" t="e">
        <f>N59*AB59</f>
        <v>#REF!</v>
      </c>
      <c r="P59" s="146" t="e">
        <f>SUMIF(#REF!,'Huella materiales'!A59,#REF!)</f>
        <v>#REF!</v>
      </c>
      <c r="Q59" s="1013" t="e">
        <f>P59*AB59</f>
        <v>#REF!</v>
      </c>
      <c r="R59" s="146" t="e">
        <f>SUMIF(#REF!,'Huella materiales'!A59,#REF!)</f>
        <v>#REF!</v>
      </c>
      <c r="S59" s="1013" t="e">
        <f>R59*AB59</f>
        <v>#REF!</v>
      </c>
      <c r="T59" s="146" t="e">
        <f>SUMIF(#REF!,'Huella materiales'!A59,#REF!)</f>
        <v>#REF!</v>
      </c>
      <c r="U59" s="1013" t="e">
        <f>T59*AB59</f>
        <v>#REF!</v>
      </c>
      <c r="V59" s="146" t="e">
        <f>SUMIF(#REF!,'Huella materiales'!A59,#REF!)</f>
        <v>#REF!</v>
      </c>
      <c r="W59" s="1013" t="e">
        <f>V59*AB59</f>
        <v>#REF!</v>
      </c>
      <c r="X59" s="146" t="e">
        <f>SUMIF(#REF!,'Huella materiales'!A59,#REF!)</f>
        <v>#REF!</v>
      </c>
      <c r="Y59" s="1013" t="e">
        <f>X59*AB59</f>
        <v>#REF!</v>
      </c>
      <c r="Z59" s="146" t="e">
        <f>SUMIF(#REF!,'Huella materiales'!A59,#REF!)</f>
        <v>#REF!</v>
      </c>
      <c r="AA59" s="1013" t="e">
        <f>Z59*AB59</f>
        <v>#REF!</v>
      </c>
      <c r="AB59" s="1030">
        <f>'Datos auxiliares materiales'!C26</f>
        <v>1250</v>
      </c>
      <c r="AC59" s="1017" t="e">
        <f>E59+G59+I59+K59+M59+O59+Q59+S59+U59+W59+Y59+AA59</f>
        <v>#REF!</v>
      </c>
      <c r="AD59" s="1022">
        <f>C59*AB59</f>
        <v>11864.160618749997</v>
      </c>
      <c r="AE59" s="1077">
        <f>'Datos auxiliares materiales'!D26</f>
        <v>3.3</v>
      </c>
      <c r="AF59" s="170">
        <f>C59*$AB$59*$AE$59</f>
        <v>39151.730041874987</v>
      </c>
      <c r="AG59" s="170" t="e">
        <f>D59*AB59*AE59</f>
        <v>#REF!</v>
      </c>
      <c r="AH59" s="170" t="e">
        <f>F59*AB59*AE59</f>
        <v>#REF!</v>
      </c>
      <c r="AI59" s="170" t="e">
        <f>H59*AB59*AE59</f>
        <v>#REF!</v>
      </c>
      <c r="AJ59" s="170" t="e">
        <f>J59*AB59*AE59</f>
        <v>#REF!</v>
      </c>
      <c r="AK59" s="170" t="e">
        <f>L59*AB59*AE59</f>
        <v>#REF!</v>
      </c>
      <c r="AL59" s="170" t="e">
        <f>N59*AB59*AE59</f>
        <v>#REF!</v>
      </c>
      <c r="AM59" s="170" t="e">
        <f>P59*AB59*AE59</f>
        <v>#REF!</v>
      </c>
      <c r="AN59" s="170" t="e">
        <f>R59*AB59*AE59</f>
        <v>#REF!</v>
      </c>
      <c r="AO59" s="170" t="e">
        <f>T59*AB59*AE59</f>
        <v>#REF!</v>
      </c>
      <c r="AP59" s="170" t="e">
        <f>V59*AB59*AE59</f>
        <v>#REF!</v>
      </c>
      <c r="AQ59" s="170" t="e">
        <f>X59*AB59*AE59</f>
        <v>#REF!</v>
      </c>
      <c r="AR59" s="170" t="e">
        <f>Z59*AB59*AE59</f>
        <v>#REF!</v>
      </c>
      <c r="AS59" s="1082" t="e">
        <f t="shared" si="118"/>
        <v>#REF!</v>
      </c>
      <c r="AT59" s="170"/>
      <c r="AU59" s="171"/>
      <c r="AV59" s="160"/>
      <c r="AW59" s="160"/>
      <c r="AX59" s="160"/>
      <c r="AY59"/>
      <c r="AZ59" s="34"/>
      <c r="BA59" s="34"/>
      <c r="BB59" s="34"/>
      <c r="BC59" s="34"/>
      <c r="BD59" s="34"/>
      <c r="BE59" s="34"/>
      <c r="BL59" s="16"/>
      <c r="BM59" s="16"/>
      <c r="BN59" s="16"/>
      <c r="BO59" s="16"/>
      <c r="BP59" s="10" t="s">
        <v>549</v>
      </c>
    </row>
    <row r="60" spans="1:68">
      <c r="A60" s="175" t="s">
        <v>1779</v>
      </c>
      <c r="B60" s="1904" t="s">
        <v>1869</v>
      </c>
      <c r="C60" s="169">
        <f>SUMIFS(BCRR_REHAB!L:L,BCRR_REHAB!D:D,'Huella materiales'!A60)</f>
        <v>0</v>
      </c>
      <c r="D60" s="146" t="e">
        <f>SUMIF(#REF!,'Huella materiales'!A60,#REF!)</f>
        <v>#REF!</v>
      </c>
      <c r="E60" s="1013" t="e">
        <f t="shared" ref="E60:E62" si="121">D60*AB60</f>
        <v>#REF!</v>
      </c>
      <c r="F60" s="146" t="e">
        <f>SUMIF(#REF!,'Huella materiales'!A60,#REF!)</f>
        <v>#REF!</v>
      </c>
      <c r="G60" s="1013" t="e">
        <f t="shared" ref="G60:G62" si="122">F60*AB60</f>
        <v>#REF!</v>
      </c>
      <c r="H60" s="146" t="e">
        <f>SUMIF(#REF!,'Huella materiales'!A60,#REF!)</f>
        <v>#REF!</v>
      </c>
      <c r="I60" s="1013" t="e">
        <f t="shared" ref="I60:I62" si="123">H60*AB60</f>
        <v>#REF!</v>
      </c>
      <c r="J60" s="146" t="e">
        <f>SUMIF(#REF!,'Huella materiales'!A60,#REF!)</f>
        <v>#REF!</v>
      </c>
      <c r="K60" s="1013" t="e">
        <f t="shared" ref="K60:K62" si="124">J60*AB60</f>
        <v>#REF!</v>
      </c>
      <c r="L60" s="146" t="e">
        <f>SUMIF(#REF!,'Huella materiales'!A60,#REF!)</f>
        <v>#REF!</v>
      </c>
      <c r="M60" s="1013" t="e">
        <f t="shared" ref="M60:M62" si="125">L60*AB60</f>
        <v>#REF!</v>
      </c>
      <c r="N60" s="146" t="e">
        <f>SUMIF(#REF!,'Huella materiales'!A60,#REF!)</f>
        <v>#REF!</v>
      </c>
      <c r="O60" s="1013" t="e">
        <f t="shared" ref="O60:O62" si="126">N60*AB60</f>
        <v>#REF!</v>
      </c>
      <c r="P60" s="146" t="e">
        <f>SUMIF(#REF!,'Huella materiales'!A60,#REF!)</f>
        <v>#REF!</v>
      </c>
      <c r="Q60" s="1013" t="e">
        <f t="shared" ref="Q60:Q62" si="127">P60*AB60</f>
        <v>#REF!</v>
      </c>
      <c r="R60" s="146" t="e">
        <f>SUMIF(#REF!,'Huella materiales'!A60,#REF!)</f>
        <v>#REF!</v>
      </c>
      <c r="S60" s="1013" t="e">
        <f t="shared" ref="S60:S62" si="128">R60*AB60</f>
        <v>#REF!</v>
      </c>
      <c r="T60" s="146" t="e">
        <f>SUMIF(#REF!,'Huella materiales'!A60,#REF!)</f>
        <v>#REF!</v>
      </c>
      <c r="U60" s="1013" t="e">
        <f t="shared" ref="U60:U62" si="129">T60*AB60</f>
        <v>#REF!</v>
      </c>
      <c r="V60" s="146" t="e">
        <f>SUMIF(#REF!,'Huella materiales'!A60,#REF!)</f>
        <v>#REF!</v>
      </c>
      <c r="W60" s="1013" t="e">
        <f t="shared" ref="W60:W62" si="130">V60*AB60</f>
        <v>#REF!</v>
      </c>
      <c r="X60" s="146" t="e">
        <f>SUMIF(#REF!,'Huella materiales'!A60,#REF!)</f>
        <v>#REF!</v>
      </c>
      <c r="Y60" s="1013" t="e">
        <f t="shared" ref="Y60:Y62" si="131">X60*AB60</f>
        <v>#REF!</v>
      </c>
      <c r="Z60" s="146" t="e">
        <f>SUMIF(#REF!,'Huella materiales'!A60,#REF!)</f>
        <v>#REF!</v>
      </c>
      <c r="AA60" s="1013" t="e">
        <f t="shared" ref="AA60:AA62" si="132">Z60*AB60</f>
        <v>#REF!</v>
      </c>
      <c r="AB60" s="1030">
        <f>'Datos auxiliares materiales'!C27</f>
        <v>1000</v>
      </c>
      <c r="AC60" s="1017" t="e">
        <f t="shared" ref="AC60:AC62" si="133">E60+G60+I60+K60+M60+O60+Q60+S60+U60+W60+Y60+AA60</f>
        <v>#REF!</v>
      </c>
      <c r="AD60" s="1022">
        <f t="shared" ref="AD60:AD62" si="134">C60*AB60</f>
        <v>0</v>
      </c>
      <c r="AE60" s="1077">
        <f>'Datos auxiliares materiales'!D27</f>
        <v>2.5</v>
      </c>
      <c r="AF60" s="170">
        <f t="shared" ref="AF60:AF62" si="135">C60*$AB$59*$AE$59</f>
        <v>0</v>
      </c>
      <c r="AG60" s="170" t="e">
        <f t="shared" ref="AG60:AG62" si="136">D60*AB60*AE60</f>
        <v>#REF!</v>
      </c>
      <c r="AH60" s="170" t="e">
        <f t="shared" ref="AH60:AH62" si="137">F60*AB60*AE60</f>
        <v>#REF!</v>
      </c>
      <c r="AI60" s="170" t="e">
        <f t="shared" ref="AI60:AI62" si="138">H60*AB60*AE60</f>
        <v>#REF!</v>
      </c>
      <c r="AJ60" s="170" t="e">
        <f t="shared" ref="AJ60:AJ62" si="139">J60*AB60*AE60</f>
        <v>#REF!</v>
      </c>
      <c r="AK60" s="170" t="e">
        <f t="shared" ref="AK60:AK62" si="140">L60*AB60*AE60</f>
        <v>#REF!</v>
      </c>
      <c r="AL60" s="170" t="e">
        <f t="shared" ref="AL60:AL62" si="141">N60*AB60*AE60</f>
        <v>#REF!</v>
      </c>
      <c r="AM60" s="170" t="e">
        <f t="shared" ref="AM60:AM62" si="142">P60*AB60*AE60</f>
        <v>#REF!</v>
      </c>
      <c r="AN60" s="170" t="e">
        <f t="shared" ref="AN60:AN62" si="143">R60*AB60*AE60</f>
        <v>#REF!</v>
      </c>
      <c r="AO60" s="170" t="e">
        <f t="shared" ref="AO60:AO62" si="144">T60*AB60*AE60</f>
        <v>#REF!</v>
      </c>
      <c r="AP60" s="170" t="e">
        <f t="shared" ref="AP60:AP62" si="145">V60*AB60*AE60</f>
        <v>#REF!</v>
      </c>
      <c r="AQ60" s="170" t="e">
        <f t="shared" ref="AQ60:AQ62" si="146">X60*AB60*AE60</f>
        <v>#REF!</v>
      </c>
      <c r="AR60" s="170" t="e">
        <f t="shared" ref="AR60:AR62" si="147">Z60*AB60*AE60</f>
        <v>#REF!</v>
      </c>
      <c r="AS60" s="1082" t="e">
        <f t="shared" ref="AS60:AS62" si="148">AG60+AH60+AI60+AJ60+AK60+AL60+AM60+AN60+AO60+AP60+AQ60+AR60</f>
        <v>#REF!</v>
      </c>
      <c r="AT60" s="170"/>
      <c r="AU60" s="171"/>
      <c r="AV60" s="160"/>
      <c r="AW60" s="160"/>
      <c r="AX60" s="160"/>
      <c r="AY60"/>
      <c r="AZ60" s="34"/>
      <c r="BA60" s="34"/>
      <c r="BB60" s="34"/>
      <c r="BC60" s="34"/>
      <c r="BD60" s="34"/>
      <c r="BE60" s="34"/>
      <c r="BL60" s="16"/>
      <c r="BM60" s="16"/>
      <c r="BN60" s="16"/>
      <c r="BO60" s="16"/>
      <c r="BP60" s="10"/>
    </row>
    <row r="61" spans="1:68">
      <c r="A61" s="1338" t="s">
        <v>1152</v>
      </c>
      <c r="B61" s="1903" t="s">
        <v>106</v>
      </c>
      <c r="C61" s="169">
        <f>SUMIFS(BCRR_REHAB!L:L,BCRR_REHAB!D:D,'Huella materiales'!A61)</f>
        <v>3.1637761649999998</v>
      </c>
      <c r="D61" s="146" t="e">
        <f>SUMIF(#REF!,'Huella materiales'!A61,#REF!)</f>
        <v>#REF!</v>
      </c>
      <c r="E61" s="1013" t="e">
        <f t="shared" si="121"/>
        <v>#REF!</v>
      </c>
      <c r="F61" s="146" t="e">
        <f>SUMIF(#REF!,'Huella materiales'!A61,#REF!)</f>
        <v>#REF!</v>
      </c>
      <c r="G61" s="1013" t="e">
        <f t="shared" si="122"/>
        <v>#REF!</v>
      </c>
      <c r="H61" s="146" t="e">
        <f>SUMIF(#REF!,'Huella materiales'!A61,#REF!)</f>
        <v>#REF!</v>
      </c>
      <c r="I61" s="1013" t="e">
        <f t="shared" si="123"/>
        <v>#REF!</v>
      </c>
      <c r="J61" s="146" t="e">
        <f>SUMIF(#REF!,'Huella materiales'!A61,#REF!)</f>
        <v>#REF!</v>
      </c>
      <c r="K61" s="1013" t="e">
        <f t="shared" si="124"/>
        <v>#REF!</v>
      </c>
      <c r="L61" s="146" t="e">
        <f>SUMIF(#REF!,'Huella materiales'!A61,#REF!)</f>
        <v>#REF!</v>
      </c>
      <c r="M61" s="1013" t="e">
        <f t="shared" si="125"/>
        <v>#REF!</v>
      </c>
      <c r="N61" s="146" t="e">
        <f>SUMIF(#REF!,'Huella materiales'!A61,#REF!)</f>
        <v>#REF!</v>
      </c>
      <c r="O61" s="1013" t="e">
        <f t="shared" si="126"/>
        <v>#REF!</v>
      </c>
      <c r="P61" s="146" t="e">
        <f>SUMIF(#REF!,'Huella materiales'!A61,#REF!)</f>
        <v>#REF!</v>
      </c>
      <c r="Q61" s="1013" t="e">
        <f t="shared" si="127"/>
        <v>#REF!</v>
      </c>
      <c r="R61" s="146" t="e">
        <f>SUMIF(#REF!,'Huella materiales'!A61,#REF!)</f>
        <v>#REF!</v>
      </c>
      <c r="S61" s="1013" t="e">
        <f t="shared" si="128"/>
        <v>#REF!</v>
      </c>
      <c r="T61" s="146" t="e">
        <f>SUMIF(#REF!,'Huella materiales'!A61,#REF!)</f>
        <v>#REF!</v>
      </c>
      <c r="U61" s="1013" t="e">
        <f t="shared" si="129"/>
        <v>#REF!</v>
      </c>
      <c r="V61" s="146" t="e">
        <f>SUMIF(#REF!,'Huella materiales'!A61,#REF!)</f>
        <v>#REF!</v>
      </c>
      <c r="W61" s="1013" t="e">
        <f t="shared" si="130"/>
        <v>#REF!</v>
      </c>
      <c r="X61" s="146" t="e">
        <f>SUMIF(#REF!,'Huella materiales'!A61,#REF!)</f>
        <v>#REF!</v>
      </c>
      <c r="Y61" s="1013" t="e">
        <f t="shared" si="131"/>
        <v>#REF!</v>
      </c>
      <c r="Z61" s="146" t="e">
        <f>SUMIF(#REF!,'Huella materiales'!A61,#REF!)</f>
        <v>#REF!</v>
      </c>
      <c r="AA61" s="1013" t="e">
        <f t="shared" si="132"/>
        <v>#REF!</v>
      </c>
      <c r="AB61" s="1030">
        <f>'Datos auxiliares materiales'!C30</f>
        <v>0.48</v>
      </c>
      <c r="AC61" s="1017" t="e">
        <f t="shared" si="133"/>
        <v>#REF!</v>
      </c>
      <c r="AD61" s="1022">
        <f t="shared" si="134"/>
        <v>1.5186125591999999</v>
      </c>
      <c r="AE61" s="1077">
        <f>'Datos auxiliares materiales'!D30</f>
        <v>100</v>
      </c>
      <c r="AF61" s="170">
        <f t="shared" si="135"/>
        <v>13050.576680624998</v>
      </c>
      <c r="AG61" s="170" t="e">
        <f t="shared" si="136"/>
        <v>#REF!</v>
      </c>
      <c r="AH61" s="170" t="e">
        <f t="shared" si="137"/>
        <v>#REF!</v>
      </c>
      <c r="AI61" s="170" t="e">
        <f t="shared" si="138"/>
        <v>#REF!</v>
      </c>
      <c r="AJ61" s="170" t="e">
        <f t="shared" si="139"/>
        <v>#REF!</v>
      </c>
      <c r="AK61" s="170" t="e">
        <f t="shared" si="140"/>
        <v>#REF!</v>
      </c>
      <c r="AL61" s="170" t="e">
        <f t="shared" si="141"/>
        <v>#REF!</v>
      </c>
      <c r="AM61" s="170" t="e">
        <f t="shared" si="142"/>
        <v>#REF!</v>
      </c>
      <c r="AN61" s="170" t="e">
        <f t="shared" si="143"/>
        <v>#REF!</v>
      </c>
      <c r="AO61" s="170" t="e">
        <f t="shared" si="144"/>
        <v>#REF!</v>
      </c>
      <c r="AP61" s="170" t="e">
        <f t="shared" si="145"/>
        <v>#REF!</v>
      </c>
      <c r="AQ61" s="170" t="e">
        <f t="shared" si="146"/>
        <v>#REF!</v>
      </c>
      <c r="AR61" s="170" t="e">
        <f t="shared" si="147"/>
        <v>#REF!</v>
      </c>
      <c r="AS61" s="1082" t="e">
        <f t="shared" si="148"/>
        <v>#REF!</v>
      </c>
      <c r="AT61" s="170"/>
      <c r="AU61" s="171"/>
      <c r="AV61" s="160"/>
      <c r="AW61" s="160"/>
      <c r="AX61" s="160"/>
      <c r="AY61"/>
      <c r="AZ61" s="34"/>
      <c r="BA61" s="34"/>
      <c r="BB61" s="34"/>
      <c r="BC61" s="34"/>
      <c r="BD61" s="34"/>
      <c r="BE61" s="34"/>
      <c r="BL61" s="16"/>
      <c r="BM61" s="16"/>
      <c r="BN61" s="16"/>
      <c r="BO61" s="16"/>
      <c r="BP61" s="10" t="s">
        <v>549</v>
      </c>
    </row>
    <row r="62" spans="1:68">
      <c r="A62" s="175" t="s">
        <v>1781</v>
      </c>
      <c r="B62" s="1904" t="s">
        <v>1782</v>
      </c>
      <c r="C62" s="169">
        <f>SUMIFS(BCRR_REHAB!L:L,BCRR_REHAB!D:D,'Huella materiales'!A62)</f>
        <v>0</v>
      </c>
      <c r="D62" s="146" t="e">
        <f>SUMIF(#REF!,'Huella materiales'!A62,#REF!)</f>
        <v>#REF!</v>
      </c>
      <c r="E62" s="1013" t="e">
        <f t="shared" si="121"/>
        <v>#REF!</v>
      </c>
      <c r="F62" s="146" t="e">
        <f>SUMIF(#REF!,'Huella materiales'!A62,#REF!)</f>
        <v>#REF!</v>
      </c>
      <c r="G62" s="1013" t="e">
        <f t="shared" si="122"/>
        <v>#REF!</v>
      </c>
      <c r="H62" s="146" t="e">
        <f>SUMIF(#REF!,'Huella materiales'!A62,#REF!)</f>
        <v>#REF!</v>
      </c>
      <c r="I62" s="1013" t="e">
        <f t="shared" si="123"/>
        <v>#REF!</v>
      </c>
      <c r="J62" s="146" t="e">
        <f>SUMIF(#REF!,'Huella materiales'!A62,#REF!)</f>
        <v>#REF!</v>
      </c>
      <c r="K62" s="1013" t="e">
        <f t="shared" si="124"/>
        <v>#REF!</v>
      </c>
      <c r="L62" s="146" t="e">
        <f>SUMIF(#REF!,'Huella materiales'!A62,#REF!)</f>
        <v>#REF!</v>
      </c>
      <c r="M62" s="1013" t="e">
        <f t="shared" si="125"/>
        <v>#REF!</v>
      </c>
      <c r="N62" s="146" t="e">
        <f>SUMIF(#REF!,'Huella materiales'!A62,#REF!)</f>
        <v>#REF!</v>
      </c>
      <c r="O62" s="1013" t="e">
        <f t="shared" si="126"/>
        <v>#REF!</v>
      </c>
      <c r="P62" s="146" t="e">
        <f>SUMIF(#REF!,'Huella materiales'!A62,#REF!)</f>
        <v>#REF!</v>
      </c>
      <c r="Q62" s="1013" t="e">
        <f t="shared" si="127"/>
        <v>#REF!</v>
      </c>
      <c r="R62" s="146" t="e">
        <f>SUMIF(#REF!,'Huella materiales'!A62,#REF!)</f>
        <v>#REF!</v>
      </c>
      <c r="S62" s="1013" t="e">
        <f t="shared" si="128"/>
        <v>#REF!</v>
      </c>
      <c r="T62" s="146" t="e">
        <f>SUMIF(#REF!,'Huella materiales'!A62,#REF!)</f>
        <v>#REF!</v>
      </c>
      <c r="U62" s="1013" t="e">
        <f t="shared" si="129"/>
        <v>#REF!</v>
      </c>
      <c r="V62" s="146" t="e">
        <f>SUMIF(#REF!,'Huella materiales'!A62,#REF!)</f>
        <v>#REF!</v>
      </c>
      <c r="W62" s="1013" t="e">
        <f t="shared" si="130"/>
        <v>#REF!</v>
      </c>
      <c r="X62" s="146" t="e">
        <f>SUMIF(#REF!,'Huella materiales'!A62,#REF!)</f>
        <v>#REF!</v>
      </c>
      <c r="Y62" s="1013" t="e">
        <f t="shared" si="131"/>
        <v>#REF!</v>
      </c>
      <c r="Z62" s="146" t="e">
        <f>SUMIF(#REF!,'Huella materiales'!A62,#REF!)</f>
        <v>#REF!</v>
      </c>
      <c r="AA62" s="1013" t="e">
        <f t="shared" si="132"/>
        <v>#REF!</v>
      </c>
      <c r="AB62" s="1030">
        <f>'Datos auxiliares materiales'!C28</f>
        <v>1000</v>
      </c>
      <c r="AC62" s="1017" t="e">
        <f t="shared" si="133"/>
        <v>#REF!</v>
      </c>
      <c r="AD62" s="1022">
        <f t="shared" si="134"/>
        <v>0</v>
      </c>
      <c r="AE62" s="1077">
        <f>'Datos auxiliares materiales'!D28</f>
        <v>2.5</v>
      </c>
      <c r="AF62" s="170">
        <f t="shared" si="135"/>
        <v>0</v>
      </c>
      <c r="AG62" s="170" t="e">
        <f t="shared" si="136"/>
        <v>#REF!</v>
      </c>
      <c r="AH62" s="170" t="e">
        <f t="shared" si="137"/>
        <v>#REF!</v>
      </c>
      <c r="AI62" s="170" t="e">
        <f t="shared" si="138"/>
        <v>#REF!</v>
      </c>
      <c r="AJ62" s="170" t="e">
        <f t="shared" si="139"/>
        <v>#REF!</v>
      </c>
      <c r="AK62" s="170" t="e">
        <f t="shared" si="140"/>
        <v>#REF!</v>
      </c>
      <c r="AL62" s="170" t="e">
        <f t="shared" si="141"/>
        <v>#REF!</v>
      </c>
      <c r="AM62" s="170" t="e">
        <f t="shared" si="142"/>
        <v>#REF!</v>
      </c>
      <c r="AN62" s="170" t="e">
        <f t="shared" si="143"/>
        <v>#REF!</v>
      </c>
      <c r="AO62" s="170" t="e">
        <f t="shared" si="144"/>
        <v>#REF!</v>
      </c>
      <c r="AP62" s="170" t="e">
        <f t="shared" si="145"/>
        <v>#REF!</v>
      </c>
      <c r="AQ62" s="170" t="e">
        <f t="shared" si="146"/>
        <v>#REF!</v>
      </c>
      <c r="AR62" s="170" t="e">
        <f t="shared" si="147"/>
        <v>#REF!</v>
      </c>
      <c r="AS62" s="1082" t="e">
        <f t="shared" si="148"/>
        <v>#REF!</v>
      </c>
      <c r="AT62" s="170"/>
      <c r="AU62" s="171"/>
      <c r="AV62" s="160"/>
      <c r="AW62" s="160"/>
      <c r="AX62" s="160"/>
      <c r="AY62"/>
      <c r="AZ62" s="34"/>
      <c r="BA62" s="34"/>
      <c r="BB62" s="34"/>
      <c r="BC62" s="34"/>
      <c r="BD62" s="34"/>
      <c r="BE62" s="34"/>
      <c r="BL62" s="16"/>
      <c r="BM62" s="16"/>
      <c r="BN62" s="16"/>
      <c r="BO62" s="16"/>
      <c r="BP62" s="10"/>
    </row>
    <row r="63" spans="1:68" ht="15.5">
      <c r="B63" s="163" t="s">
        <v>236</v>
      </c>
      <c r="C63" s="169">
        <f>SUMIFS(BCRR_REHAB!L:L,BCRR_REHAB!D:D,'Huella materiales'!A63)</f>
        <v>0</v>
      </c>
      <c r="D63" s="987"/>
      <c r="E63" s="1014" t="e">
        <f t="shared" ref="E63:AD63" si="149">SUM(E64:E65)</f>
        <v>#REF!</v>
      </c>
      <c r="F63" s="987"/>
      <c r="G63" s="987" t="e">
        <f t="shared" si="149"/>
        <v>#REF!</v>
      </c>
      <c r="H63" s="987"/>
      <c r="I63" s="987" t="e">
        <f t="shared" si="149"/>
        <v>#REF!</v>
      </c>
      <c r="J63" s="987"/>
      <c r="K63" s="987" t="e">
        <f t="shared" si="149"/>
        <v>#REF!</v>
      </c>
      <c r="L63" s="987"/>
      <c r="M63" s="987" t="e">
        <f t="shared" si="149"/>
        <v>#REF!</v>
      </c>
      <c r="N63" s="987"/>
      <c r="O63" s="987" t="e">
        <f t="shared" si="149"/>
        <v>#REF!</v>
      </c>
      <c r="P63" s="987"/>
      <c r="Q63" s="987" t="e">
        <f t="shared" si="149"/>
        <v>#REF!</v>
      </c>
      <c r="R63" s="987"/>
      <c r="S63" s="987" t="e">
        <f t="shared" si="149"/>
        <v>#REF!</v>
      </c>
      <c r="T63" s="987"/>
      <c r="U63" s="987" t="e">
        <f t="shared" si="149"/>
        <v>#REF!</v>
      </c>
      <c r="V63" s="987"/>
      <c r="W63" s="987" t="e">
        <f t="shared" si="149"/>
        <v>#REF!</v>
      </c>
      <c r="X63" s="987"/>
      <c r="Y63" s="987" t="e">
        <f t="shared" si="149"/>
        <v>#REF!</v>
      </c>
      <c r="Z63" s="987"/>
      <c r="AA63" s="987" t="e">
        <f t="shared" si="149"/>
        <v>#REF!</v>
      </c>
      <c r="AB63" s="987"/>
      <c r="AC63" s="1028" t="e">
        <f t="shared" si="149"/>
        <v>#REF!</v>
      </c>
      <c r="AD63" s="1026">
        <f t="shared" si="149"/>
        <v>85.421956454999986</v>
      </c>
      <c r="AE63" s="1019"/>
      <c r="AF63" s="1080">
        <f>SUM(AF64:AF65)</f>
        <v>8542.1956454999981</v>
      </c>
      <c r="AG63" s="1080" t="e">
        <f t="shared" ref="AG63:AR63" si="150">SUM(AG64:AG65)</f>
        <v>#REF!</v>
      </c>
      <c r="AH63" s="1080" t="e">
        <f t="shared" si="150"/>
        <v>#REF!</v>
      </c>
      <c r="AI63" s="1080" t="e">
        <f>SUM(AI64:AI65)</f>
        <v>#REF!</v>
      </c>
      <c r="AJ63" s="1080" t="e">
        <f t="shared" si="150"/>
        <v>#REF!</v>
      </c>
      <c r="AK63" s="1080" t="e">
        <f>SUM(AK64:AK65)</f>
        <v>#REF!</v>
      </c>
      <c r="AL63" s="1080" t="e">
        <f t="shared" si="150"/>
        <v>#REF!</v>
      </c>
      <c r="AM63" s="1080" t="e">
        <f t="shared" si="150"/>
        <v>#REF!</v>
      </c>
      <c r="AN63" s="1080" t="e">
        <f t="shared" si="150"/>
        <v>#REF!</v>
      </c>
      <c r="AO63" s="1080" t="e">
        <f t="shared" si="150"/>
        <v>#REF!</v>
      </c>
      <c r="AP63" s="1080" t="e">
        <f t="shared" si="150"/>
        <v>#REF!</v>
      </c>
      <c r="AQ63" s="1080" t="e">
        <f t="shared" si="150"/>
        <v>#REF!</v>
      </c>
      <c r="AR63" s="1080" t="e">
        <f t="shared" si="150"/>
        <v>#REF!</v>
      </c>
      <c r="AS63" s="1080" t="e">
        <f>AG63+AH63+AI63+AJ63+AK63+AM63+AN63+AO63+AP63+AQ63+AR63</f>
        <v>#REF!</v>
      </c>
      <c r="AT63" s="165">
        <f>SUM(AF64:AF65)/$AX$5*$AX$7</f>
        <v>0.15159389455394362</v>
      </c>
      <c r="AU63" s="166">
        <f>AT63/$AX$8</f>
        <v>4.2381225110706432E-2</v>
      </c>
      <c r="AV63" s="160"/>
      <c r="AW63" s="160"/>
      <c r="AX63" s="160"/>
      <c r="AY63"/>
      <c r="AZ63" s="34"/>
      <c r="BA63" s="34"/>
      <c r="BB63" s="34"/>
      <c r="BC63" s="34"/>
      <c r="BD63" s="34"/>
      <c r="BE63" s="34"/>
      <c r="BL63" s="16"/>
      <c r="BM63" s="16"/>
      <c r="BN63" s="16"/>
      <c r="BO63" s="16"/>
      <c r="BP63" s="10" t="s">
        <v>550</v>
      </c>
    </row>
    <row r="64" spans="1:68">
      <c r="A64" s="982" t="s">
        <v>1244</v>
      </c>
      <c r="B64" s="175" t="s">
        <v>89</v>
      </c>
      <c r="C64" s="169">
        <f>SUMIFS(BCRR_REHAB!L:L,BCRR_REHAB!D:D,'Huella materiales'!A64)</f>
        <v>0</v>
      </c>
      <c r="D64" s="146" t="e">
        <f>SUMIF(#REF!,'Huella materiales'!A64,#REF!)</f>
        <v>#REF!</v>
      </c>
      <c r="E64" s="1013" t="e">
        <f>D64*AB64</f>
        <v>#REF!</v>
      </c>
      <c r="F64" s="146" t="e">
        <f>SUMIF(#REF!,'Huella materiales'!A64,#REF!)</f>
        <v>#REF!</v>
      </c>
      <c r="G64" s="1013" t="e">
        <f>F64*AB64</f>
        <v>#REF!</v>
      </c>
      <c r="H64" s="146" t="e">
        <f>SUMIF(#REF!,'Huella materiales'!A64,#REF!)</f>
        <v>#REF!</v>
      </c>
      <c r="I64" s="1013" t="e">
        <f>H64*AB64</f>
        <v>#REF!</v>
      </c>
      <c r="J64" s="146" t="e">
        <f>SUMIF(#REF!,'Huella materiales'!A64,#REF!)</f>
        <v>#REF!</v>
      </c>
      <c r="K64" s="1013" t="e">
        <f>J64*AB64</f>
        <v>#REF!</v>
      </c>
      <c r="L64" s="146" t="e">
        <f>SUMIF(#REF!,'Huella materiales'!A64,#REF!)</f>
        <v>#REF!</v>
      </c>
      <c r="M64" s="1013" t="e">
        <f>L64*AB64</f>
        <v>#REF!</v>
      </c>
      <c r="N64" s="146" t="e">
        <f>SUMIF(#REF!,'Huella materiales'!A64,#REF!)</f>
        <v>#REF!</v>
      </c>
      <c r="O64" s="1013" t="e">
        <f>N64*AB64</f>
        <v>#REF!</v>
      </c>
      <c r="P64" s="146" t="e">
        <f>SUMIF(#REF!,'Huella materiales'!A64,#REF!)</f>
        <v>#REF!</v>
      </c>
      <c r="Q64" s="1013" t="e">
        <f>P64*AB64</f>
        <v>#REF!</v>
      </c>
      <c r="R64" s="146" t="e">
        <f>SUMIF(#REF!,'Huella materiales'!A64,#REF!)</f>
        <v>#REF!</v>
      </c>
      <c r="S64" s="1013" t="e">
        <f>R64*AB64</f>
        <v>#REF!</v>
      </c>
      <c r="T64" s="146" t="e">
        <f>SUMIF(#REF!,'Huella materiales'!A64,#REF!)</f>
        <v>#REF!</v>
      </c>
      <c r="U64" s="1013" t="e">
        <f>T64*AB64</f>
        <v>#REF!</v>
      </c>
      <c r="V64" s="146" t="e">
        <f>SUMIF(#REF!,'Huella materiales'!A64,#REF!)</f>
        <v>#REF!</v>
      </c>
      <c r="W64" s="1013" t="e">
        <f>V64*AB64</f>
        <v>#REF!</v>
      </c>
      <c r="X64" s="146" t="e">
        <f>SUMIF(#REF!,'Huella materiales'!A64,#REF!)</f>
        <v>#REF!</v>
      </c>
      <c r="Y64" s="1013" t="e">
        <f>X64*AB64</f>
        <v>#REF!</v>
      </c>
      <c r="Z64" s="146" t="e">
        <f>SUMIF(#REF!,'Huella materiales'!A64,#REF!)</f>
        <v>#REF!</v>
      </c>
      <c r="AA64" s="1013" t="e">
        <f>Z64*AB64</f>
        <v>#REF!</v>
      </c>
      <c r="AB64" s="1030">
        <f>'Datos auxiliares materiales'!C30</f>
        <v>0.48</v>
      </c>
      <c r="AC64" s="1017" t="e">
        <f>E64+G64+I64+K64+M64+O64+Q64+S64+U64+W64+Y64+AA64</f>
        <v>#REF!</v>
      </c>
      <c r="AD64" s="1022">
        <f>C64*AB64</f>
        <v>0</v>
      </c>
      <c r="AE64" s="1077">
        <f>'Datos auxiliares materiales'!D30</f>
        <v>100</v>
      </c>
      <c r="AF64" s="170">
        <f>C64*$AB$64*$AE$64</f>
        <v>0</v>
      </c>
      <c r="AG64" s="170" t="e">
        <f>D64*AB64*AE64</f>
        <v>#REF!</v>
      </c>
      <c r="AH64" s="170" t="e">
        <f>F64*AB64*AE64</f>
        <v>#REF!</v>
      </c>
      <c r="AI64" s="170" t="e">
        <f>H64*AB64*AE64</f>
        <v>#REF!</v>
      </c>
      <c r="AJ64" s="170" t="e">
        <f>J64*AB64*AE64</f>
        <v>#REF!</v>
      </c>
      <c r="AK64" s="170" t="e">
        <f>L64*AB64*AE64</f>
        <v>#REF!</v>
      </c>
      <c r="AL64" s="170" t="e">
        <f>N64*$AB$49*$AE$49</f>
        <v>#REF!</v>
      </c>
      <c r="AM64" s="170" t="e">
        <f>P64*AB64*AE64</f>
        <v>#REF!</v>
      </c>
      <c r="AN64" s="170" t="e">
        <f>R64*AB64*AE64</f>
        <v>#REF!</v>
      </c>
      <c r="AO64" s="170" t="e">
        <f>T64*AB64*AE64</f>
        <v>#REF!</v>
      </c>
      <c r="AP64" s="170" t="e">
        <f>V64*AB64*AE64</f>
        <v>#REF!</v>
      </c>
      <c r="AQ64" s="170" t="e">
        <f>X64*AB64*AE64</f>
        <v>#REF!</v>
      </c>
      <c r="AR64" s="170" t="e">
        <f>Z64*AB64*AE64</f>
        <v>#REF!</v>
      </c>
      <c r="AS64" s="170"/>
      <c r="AT64" s="170"/>
      <c r="AU64" s="171"/>
      <c r="AV64" s="160"/>
      <c r="AW64" s="160"/>
      <c r="AX64" s="160"/>
      <c r="AY64"/>
      <c r="AZ64" s="34"/>
      <c r="BA64" s="34"/>
      <c r="BB64" s="34"/>
      <c r="BC64" s="34"/>
      <c r="BD64" s="34"/>
      <c r="BE64" s="34"/>
      <c r="BL64" s="16"/>
      <c r="BM64" s="16"/>
      <c r="BN64" s="16"/>
      <c r="BO64" s="16"/>
      <c r="BP64" s="10" t="s">
        <v>551</v>
      </c>
    </row>
    <row r="65" spans="1:68">
      <c r="A65" s="983" t="s">
        <v>1245</v>
      </c>
      <c r="B65" s="175" t="s">
        <v>76</v>
      </c>
      <c r="C65" s="169">
        <f>SUMIFS(BCRR_REHAB!L:L,BCRR_REHAB!D:D,'Huella materiales'!A65)</f>
        <v>9491.3284949999997</v>
      </c>
      <c r="D65" s="146" t="e">
        <f>SUMIF(#REF!,'Huella materiales'!A65,#REF!)</f>
        <v>#REF!</v>
      </c>
      <c r="E65" s="1013" t="e">
        <f>D65*AB65</f>
        <v>#REF!</v>
      </c>
      <c r="F65" s="146" t="e">
        <f>SUMIF(#REF!,'Huella materiales'!A65,#REF!)</f>
        <v>#REF!</v>
      </c>
      <c r="G65" s="1013" t="e">
        <f>F65*AB65</f>
        <v>#REF!</v>
      </c>
      <c r="H65" s="146" t="e">
        <f>SUMIF(#REF!,'Huella materiales'!A65,#REF!)</f>
        <v>#REF!</v>
      </c>
      <c r="I65" s="1013" t="e">
        <f>H65*AB65</f>
        <v>#REF!</v>
      </c>
      <c r="J65" s="146" t="e">
        <f>SUMIF(#REF!,'Huella materiales'!A65,#REF!)</f>
        <v>#REF!</v>
      </c>
      <c r="K65" s="1013" t="e">
        <f>J65*AB65</f>
        <v>#REF!</v>
      </c>
      <c r="L65" s="146" t="e">
        <f>SUMIF(#REF!,'Huella materiales'!A65,#REF!)</f>
        <v>#REF!</v>
      </c>
      <c r="M65" s="1013" t="e">
        <f>L65*AB65</f>
        <v>#REF!</v>
      </c>
      <c r="N65" s="146" t="e">
        <f>SUMIF(#REF!,'Huella materiales'!A65,#REF!)</f>
        <v>#REF!</v>
      </c>
      <c r="O65" s="1013" t="e">
        <f>N65*AB65</f>
        <v>#REF!</v>
      </c>
      <c r="P65" s="146" t="e">
        <f>SUMIF(#REF!,'Huella materiales'!A65,#REF!)</f>
        <v>#REF!</v>
      </c>
      <c r="Q65" s="1013" t="e">
        <f>P65*AB65</f>
        <v>#REF!</v>
      </c>
      <c r="R65" s="146" t="e">
        <f>SUMIF(#REF!,'Huella materiales'!A65,#REF!)</f>
        <v>#REF!</v>
      </c>
      <c r="S65" s="1013" t="e">
        <f>R65*AB65</f>
        <v>#REF!</v>
      </c>
      <c r="T65" s="146" t="e">
        <f>SUMIF(#REF!,'Huella materiales'!A65,#REF!)</f>
        <v>#REF!</v>
      </c>
      <c r="U65" s="1013" t="e">
        <f>T65*AB65</f>
        <v>#REF!</v>
      </c>
      <c r="V65" s="146" t="e">
        <f>SUMIF(#REF!,'Huella materiales'!A65,#REF!)</f>
        <v>#REF!</v>
      </c>
      <c r="W65" s="1013" t="e">
        <f>V65*AB65</f>
        <v>#REF!</v>
      </c>
      <c r="X65" s="146" t="e">
        <f>SUMIF(#REF!,'Huella materiales'!A65,#REF!)</f>
        <v>#REF!</v>
      </c>
      <c r="Y65" s="1013" t="e">
        <f>X65*AB65</f>
        <v>#REF!</v>
      </c>
      <c r="Z65" s="146" t="e">
        <f>SUMIF(#REF!,'Huella materiales'!A65,#REF!)</f>
        <v>#REF!</v>
      </c>
      <c r="AA65" s="1013" t="e">
        <f>Z65*AB65</f>
        <v>#REF!</v>
      </c>
      <c r="AB65" s="1030">
        <f>'Datos auxiliares materiales'!C31</f>
        <v>8.9999999999999993E-3</v>
      </c>
      <c r="AC65" s="1017" t="e">
        <f>E65+G65+I65+K65+M65+O65+Q65+S65+U65+W65+Y65+AA65</f>
        <v>#REF!</v>
      </c>
      <c r="AD65" s="1022">
        <f>C65*AB65</f>
        <v>85.421956454999986</v>
      </c>
      <c r="AE65" s="1077">
        <f>'Datos auxiliares materiales'!D31</f>
        <v>100</v>
      </c>
      <c r="AF65" s="170">
        <f>C65*$AB$65*$AE$65</f>
        <v>8542.1956454999981</v>
      </c>
      <c r="AG65" s="170" t="e">
        <f>D65*AB65*AE65</f>
        <v>#REF!</v>
      </c>
      <c r="AH65" s="170" t="e">
        <f>F65*AB65*AE65</f>
        <v>#REF!</v>
      </c>
      <c r="AI65" s="170" t="e">
        <f>H65*AB65*AE65</f>
        <v>#REF!</v>
      </c>
      <c r="AJ65" s="170" t="e">
        <f>J65*AB65*AE65</f>
        <v>#REF!</v>
      </c>
      <c r="AK65" s="170" t="e">
        <f>L65*AB65*AE65</f>
        <v>#REF!</v>
      </c>
      <c r="AL65" s="170" t="e">
        <f>N65*$AB$49*$AE$49</f>
        <v>#REF!</v>
      </c>
      <c r="AM65" s="170" t="e">
        <f>P65*AB65*AE65</f>
        <v>#REF!</v>
      </c>
      <c r="AN65" s="170" t="e">
        <f>R65*AB65*AE65</f>
        <v>#REF!</v>
      </c>
      <c r="AO65" s="170" t="e">
        <f>T65*AB65*AE65</f>
        <v>#REF!</v>
      </c>
      <c r="AP65" s="170" t="e">
        <f>V65*AB65*AE65</f>
        <v>#REF!</v>
      </c>
      <c r="AQ65" s="170" t="e">
        <f>X65*AB65*AE65</f>
        <v>#REF!</v>
      </c>
      <c r="AR65" s="170" t="e">
        <f>Z65*AB65*AE65</f>
        <v>#REF!</v>
      </c>
      <c r="AS65" s="170"/>
      <c r="AT65" s="170"/>
      <c r="AU65" s="171"/>
      <c r="AV65" s="160"/>
      <c r="AW65" s="160"/>
      <c r="AX65" s="160"/>
      <c r="AY65"/>
      <c r="AZ65" s="34"/>
      <c r="BA65" s="34"/>
      <c r="BB65" s="34"/>
      <c r="BC65" s="34"/>
      <c r="BD65" s="34"/>
      <c r="BE65" s="34"/>
      <c r="BL65" s="16"/>
      <c r="BM65" s="16"/>
      <c r="BN65" s="16"/>
      <c r="BO65" s="16"/>
      <c r="BP65" s="10" t="s">
        <v>552</v>
      </c>
    </row>
    <row r="66" spans="1:68" ht="15.5">
      <c r="B66" s="163" t="s">
        <v>275</v>
      </c>
      <c r="C66" s="169">
        <f>SUMIFS(BCRR_REHAB!L:L,BCRR_REHAB!D:D,'Huella materiales'!A66)</f>
        <v>0</v>
      </c>
      <c r="D66" s="987"/>
      <c r="E66" s="1014" t="e">
        <f t="shared" ref="E66:AD66" si="151">SUM(E67:E68)</f>
        <v>#REF!</v>
      </c>
      <c r="F66" s="987"/>
      <c r="G66" s="987" t="e">
        <f t="shared" si="151"/>
        <v>#REF!</v>
      </c>
      <c r="H66" s="987"/>
      <c r="I66" s="987" t="e">
        <f t="shared" si="151"/>
        <v>#REF!</v>
      </c>
      <c r="J66" s="987"/>
      <c r="K66" s="987" t="e">
        <f t="shared" si="151"/>
        <v>#REF!</v>
      </c>
      <c r="L66" s="987"/>
      <c r="M66" s="987" t="e">
        <f t="shared" si="151"/>
        <v>#REF!</v>
      </c>
      <c r="N66" s="987"/>
      <c r="O66" s="987" t="e">
        <f t="shared" si="151"/>
        <v>#REF!</v>
      </c>
      <c r="P66" s="987"/>
      <c r="Q66" s="987" t="e">
        <f t="shared" si="151"/>
        <v>#REF!</v>
      </c>
      <c r="R66" s="987"/>
      <c r="S66" s="987" t="e">
        <f t="shared" si="151"/>
        <v>#REF!</v>
      </c>
      <c r="T66" s="987"/>
      <c r="U66" s="987" t="e">
        <f t="shared" si="151"/>
        <v>#REF!</v>
      </c>
      <c r="V66" s="987"/>
      <c r="W66" s="987" t="e">
        <f t="shared" si="151"/>
        <v>#REF!</v>
      </c>
      <c r="X66" s="987"/>
      <c r="Y66" s="987" t="e">
        <f t="shared" si="151"/>
        <v>#REF!</v>
      </c>
      <c r="Z66" s="987" t="e">
        <f t="shared" si="151"/>
        <v>#REF!</v>
      </c>
      <c r="AA66" s="987" t="e">
        <f t="shared" si="151"/>
        <v>#REF!</v>
      </c>
      <c r="AB66" s="987"/>
      <c r="AC66" s="1028" t="e">
        <f t="shared" si="151"/>
        <v>#REF!</v>
      </c>
      <c r="AD66" s="1026">
        <f t="shared" si="151"/>
        <v>0</v>
      </c>
      <c r="AE66" s="1019"/>
      <c r="AF66" s="1080">
        <f>SUM(AF67:AF70)</f>
        <v>12.090617198399999</v>
      </c>
      <c r="AG66" s="1080" t="e">
        <f t="shared" ref="AG66:AR66" si="152">SUM(AG67:AG68)</f>
        <v>#REF!</v>
      </c>
      <c r="AH66" s="1080" t="e">
        <f t="shared" si="152"/>
        <v>#REF!</v>
      </c>
      <c r="AI66" s="1080" t="e">
        <f>SUM(AI67:AI70)</f>
        <v>#REF!</v>
      </c>
      <c r="AJ66" s="1080" t="e">
        <f t="shared" si="152"/>
        <v>#REF!</v>
      </c>
      <c r="AK66" s="1080" t="e">
        <f>SUM(AK67:AK70)</f>
        <v>#REF!</v>
      </c>
      <c r="AL66" s="1080" t="e">
        <f t="shared" si="152"/>
        <v>#REF!</v>
      </c>
      <c r="AM66" s="1080" t="e">
        <f t="shared" si="152"/>
        <v>#REF!</v>
      </c>
      <c r="AN66" s="1080" t="e">
        <f t="shared" si="152"/>
        <v>#REF!</v>
      </c>
      <c r="AO66" s="1080" t="e">
        <f t="shared" si="152"/>
        <v>#REF!</v>
      </c>
      <c r="AP66" s="1080" t="e">
        <f t="shared" si="152"/>
        <v>#REF!</v>
      </c>
      <c r="AQ66" s="1080" t="e">
        <f t="shared" si="152"/>
        <v>#REF!</v>
      </c>
      <c r="AR66" s="1080" t="e">
        <f t="shared" si="152"/>
        <v>#REF!</v>
      </c>
      <c r="AS66" s="1083" t="e">
        <f>AG66+AH66+AI66+AJ66+AK66+AL66+AM66+AN66+AO66+AP66+AQ66+AR66</f>
        <v>#REF!</v>
      </c>
      <c r="AT66" s="165">
        <f>SUM(AF67:AF68)/$AX$5*$AX$7</f>
        <v>0</v>
      </c>
      <c r="AU66" s="166">
        <f>AT66/$AX$8</f>
        <v>0</v>
      </c>
      <c r="AV66" s="160"/>
      <c r="AW66" s="160"/>
      <c r="AX66" s="160"/>
      <c r="AY66"/>
      <c r="AZ66" s="34"/>
      <c r="BA66" s="34"/>
      <c r="BB66" s="34"/>
      <c r="BC66" s="34"/>
      <c r="BD66" s="34"/>
      <c r="BE66" s="34"/>
      <c r="BL66" s="16"/>
      <c r="BM66" s="16"/>
      <c r="BN66" s="16"/>
      <c r="BO66" s="16"/>
      <c r="BP66" s="10" t="s">
        <v>553</v>
      </c>
    </row>
    <row r="67" spans="1:68">
      <c r="A67" s="10" t="s">
        <v>1210</v>
      </c>
      <c r="B67" s="175" t="s">
        <v>157</v>
      </c>
      <c r="C67" s="169">
        <f>SUMIFS(BCRR_REHAB!L:L,BCRR_REHAB!D:D,'Huella materiales'!A67)</f>
        <v>0</v>
      </c>
      <c r="D67" s="146" t="e">
        <f>SUMIF(#REF!,'Huella materiales'!A67,#REF!)</f>
        <v>#REF!</v>
      </c>
      <c r="E67" s="1013" t="e">
        <f>D67*AB67</f>
        <v>#REF!</v>
      </c>
      <c r="F67" s="146" t="e">
        <f>SUMIF(#REF!,'Huella materiales'!A67,#REF!)</f>
        <v>#REF!</v>
      </c>
      <c r="G67" s="1013" t="e">
        <f>F67*AB67</f>
        <v>#REF!</v>
      </c>
      <c r="H67" s="146" t="e">
        <f>SUMIF(#REF!,'Huella materiales'!A67,#REF!)</f>
        <v>#REF!</v>
      </c>
      <c r="I67" s="1013" t="e">
        <f>H67*AB67</f>
        <v>#REF!</v>
      </c>
      <c r="J67" s="146" t="e">
        <f>SUMIF(#REF!,'Huella materiales'!A67,#REF!)</f>
        <v>#REF!</v>
      </c>
      <c r="K67" s="1013" t="e">
        <f>J67*AB67</f>
        <v>#REF!</v>
      </c>
      <c r="L67" s="146" t="e">
        <f>SUMIF(#REF!,'Huella materiales'!A67,#REF!)</f>
        <v>#REF!</v>
      </c>
      <c r="M67" s="1013" t="e">
        <f>L67*AB67</f>
        <v>#REF!</v>
      </c>
      <c r="N67" s="146" t="e">
        <f>SUMIF(#REF!,'Huella materiales'!A67,#REF!)</f>
        <v>#REF!</v>
      </c>
      <c r="O67" s="1013" t="e">
        <f>N67*AB67</f>
        <v>#REF!</v>
      </c>
      <c r="P67" s="146" t="e">
        <f>SUMIF(#REF!,'Huella materiales'!A67,#REF!)</f>
        <v>#REF!</v>
      </c>
      <c r="Q67" s="1013" t="e">
        <f>P67*AB67</f>
        <v>#REF!</v>
      </c>
      <c r="R67" s="146" t="e">
        <f>SUMIF(#REF!,'Huella materiales'!A67,#REF!)</f>
        <v>#REF!</v>
      </c>
      <c r="S67" s="1013" t="e">
        <f>R67*AB67</f>
        <v>#REF!</v>
      </c>
      <c r="T67" s="146" t="e">
        <f>SUMIF(#REF!,'Huella materiales'!A67,#REF!)</f>
        <v>#REF!</v>
      </c>
      <c r="U67" s="1013" t="e">
        <f>T67*AB67</f>
        <v>#REF!</v>
      </c>
      <c r="V67" s="146" t="e">
        <f>SUMIF(#REF!,'Huella materiales'!A67,#REF!)</f>
        <v>#REF!</v>
      </c>
      <c r="W67" s="1013" t="e">
        <f>V67*AB67</f>
        <v>#REF!</v>
      </c>
      <c r="X67" s="146" t="e">
        <f>SUMIF(#REF!,'Huella materiales'!A67,#REF!)</f>
        <v>#REF!</v>
      </c>
      <c r="Y67" s="1013" t="e">
        <f>X67*AB67</f>
        <v>#REF!</v>
      </c>
      <c r="Z67" s="146" t="e">
        <f>SUMIF(#REF!,'Huella materiales'!A67,#REF!)</f>
        <v>#REF!</v>
      </c>
      <c r="AA67" s="1013" t="e">
        <f>Z67*AB67</f>
        <v>#REF!</v>
      </c>
      <c r="AB67" s="1030">
        <f>'Datos auxiliares materiales'!C33</f>
        <v>1</v>
      </c>
      <c r="AC67" s="1017" t="e">
        <f>E67+G67+I67+K67+M67+O67+Q67+S67+U67+W67+Y67+AA67</f>
        <v>#REF!</v>
      </c>
      <c r="AD67" s="1022">
        <f>C67*AB67</f>
        <v>0</v>
      </c>
      <c r="AE67" s="1077">
        <f>'Datos auxiliares materiales'!D33</f>
        <v>2.0099999999999998</v>
      </c>
      <c r="AF67" s="170">
        <f>C67*$AB$67*$AE$67</f>
        <v>0</v>
      </c>
      <c r="AG67" s="170" t="e">
        <f>D67*AB67*AE67</f>
        <v>#REF!</v>
      </c>
      <c r="AH67" s="170" t="e">
        <f>F67*AB67*AE67</f>
        <v>#REF!</v>
      </c>
      <c r="AI67" s="170" t="e">
        <f>H67*AB67*AE67</f>
        <v>#REF!</v>
      </c>
      <c r="AJ67" s="170" t="e">
        <f>J67*AB67*AE67</f>
        <v>#REF!</v>
      </c>
      <c r="AK67" s="170" t="e">
        <f>L67*AB67*AE67</f>
        <v>#REF!</v>
      </c>
      <c r="AL67" s="170" t="e">
        <f>N67*$AB$49*$AE$49</f>
        <v>#REF!</v>
      </c>
      <c r="AM67" s="170" t="e">
        <f>P67*AB67*AE67</f>
        <v>#REF!</v>
      </c>
      <c r="AN67" s="170" t="e">
        <f>R67*AB67*AE67</f>
        <v>#REF!</v>
      </c>
      <c r="AO67" s="170" t="e">
        <f>T67*AB67*AE67</f>
        <v>#REF!</v>
      </c>
      <c r="AP67" s="170" t="e">
        <f>V67*AB67*AE67</f>
        <v>#REF!</v>
      </c>
      <c r="AQ67" s="170" t="e">
        <f>X67*AB67*AE67</f>
        <v>#REF!</v>
      </c>
      <c r="AR67" s="170" t="e">
        <f>Z67*AB67*AE67</f>
        <v>#REF!</v>
      </c>
      <c r="AS67" s="1082" t="e">
        <f>AG67+AH67+AI67+AJ67+AK67+AM67+AN67+AO67+AP67+AQ67+AR67</f>
        <v>#REF!</v>
      </c>
      <c r="AT67" s="170"/>
      <c r="AU67" s="171"/>
      <c r="AV67" s="160"/>
      <c r="AW67" s="160"/>
      <c r="AX67" s="160"/>
      <c r="AY67"/>
      <c r="AZ67" s="34"/>
      <c r="BA67" s="34"/>
      <c r="BB67" s="34"/>
      <c r="BC67" s="34"/>
      <c r="BD67" s="34"/>
      <c r="BE67" s="34"/>
      <c r="BL67" s="16"/>
      <c r="BM67" s="16"/>
      <c r="BN67" s="16"/>
      <c r="BO67" s="16"/>
      <c r="BP67" s="10" t="s">
        <v>554</v>
      </c>
    </row>
    <row r="68" spans="1:68">
      <c r="A68" s="1338" t="s">
        <v>1126</v>
      </c>
      <c r="B68" s="1903" t="s">
        <v>66</v>
      </c>
      <c r="C68" s="169">
        <f>SUMIFS(BCRR_REHAB!L:L,BCRR_REHAB!D:D,'Huella materiales'!A68)</f>
        <v>0</v>
      </c>
      <c r="D68" s="146" t="e">
        <f>SUMIF(#REF!,'Huella materiales'!A68,#REF!)</f>
        <v>#REF!</v>
      </c>
      <c r="E68" s="1013" t="e">
        <f>D68*AB68</f>
        <v>#REF!</v>
      </c>
      <c r="F68" s="146" t="e">
        <f>SUMIF(#REF!,'Huella materiales'!A68,#REF!)</f>
        <v>#REF!</v>
      </c>
      <c r="G68" s="1013" t="e">
        <f>F68*AB68</f>
        <v>#REF!</v>
      </c>
      <c r="H68" s="146" t="e">
        <f>SUMIF(#REF!,'Huella materiales'!A68,#REF!)</f>
        <v>#REF!</v>
      </c>
      <c r="I68" s="1013" t="e">
        <f>H68*AB68</f>
        <v>#REF!</v>
      </c>
      <c r="J68" s="146" t="e">
        <f>SUMIF(#REF!,'Huella materiales'!A68,#REF!)</f>
        <v>#REF!</v>
      </c>
      <c r="K68" s="1013" t="e">
        <f>J68*AB68</f>
        <v>#REF!</v>
      </c>
      <c r="L68" s="146" t="e">
        <f>SUMIF(#REF!,'Huella materiales'!A68,#REF!)</f>
        <v>#REF!</v>
      </c>
      <c r="M68" s="1013" t="e">
        <f>L68*AB68</f>
        <v>#REF!</v>
      </c>
      <c r="N68" s="146" t="e">
        <f>SUMIF(#REF!,'Huella materiales'!A68,#REF!)</f>
        <v>#REF!</v>
      </c>
      <c r="O68" s="1013" t="e">
        <f>N68*AB68</f>
        <v>#REF!</v>
      </c>
      <c r="P68" s="146" t="e">
        <f>SUMIF(#REF!,'Huella materiales'!A68,#REF!)</f>
        <v>#REF!</v>
      </c>
      <c r="Q68" s="1013" t="e">
        <f>P68*AB68</f>
        <v>#REF!</v>
      </c>
      <c r="R68" s="146" t="e">
        <f>SUMIF(#REF!,'Huella materiales'!A68,#REF!)</f>
        <v>#REF!</v>
      </c>
      <c r="S68" s="1013" t="e">
        <f>R68*AB68</f>
        <v>#REF!</v>
      </c>
      <c r="T68" s="146" t="e">
        <f>SUMIF(#REF!,'Huella materiales'!A68,#REF!)</f>
        <v>#REF!</v>
      </c>
      <c r="U68" s="1013" t="e">
        <f>T68*AB68</f>
        <v>#REF!</v>
      </c>
      <c r="V68" s="146" t="e">
        <f>SUMIF(#REF!,'Huella materiales'!A68,#REF!)</f>
        <v>#REF!</v>
      </c>
      <c r="W68" s="1013" t="e">
        <f>V68*AB68</f>
        <v>#REF!</v>
      </c>
      <c r="X68" s="146" t="e">
        <f>SUMIF(#REF!,'Huella materiales'!A68,#REF!)</f>
        <v>#REF!</v>
      </c>
      <c r="Y68" s="1013" t="e">
        <f>X68*AB68</f>
        <v>#REF!</v>
      </c>
      <c r="Z68" s="146" t="e">
        <f>SUMIF(#REF!,'Huella materiales'!A68,#REF!)</f>
        <v>#REF!</v>
      </c>
      <c r="AA68" s="1013" t="e">
        <f>Z68*AB68</f>
        <v>#REF!</v>
      </c>
      <c r="AB68" s="1030">
        <f>'Datos auxiliares materiales'!C34</f>
        <v>988</v>
      </c>
      <c r="AC68" s="1017" t="e">
        <f>E68+G68+I68+K68+M68+O68+Q68+S68+U68+W68+Y68+AA68</f>
        <v>#REF!</v>
      </c>
      <c r="AD68" s="1022">
        <f>C68*AB68</f>
        <v>0</v>
      </c>
      <c r="AE68" s="1077">
        <f>'Datos auxiliares materiales'!D34</f>
        <v>2.0139999999999998</v>
      </c>
      <c r="AF68" s="170">
        <f>C68*$AB$68*$AE$68</f>
        <v>0</v>
      </c>
      <c r="AG68" s="170" t="e">
        <f>D68*AB68*AE68</f>
        <v>#REF!</v>
      </c>
      <c r="AH68" s="170" t="e">
        <f>F68*AB68*AE68</f>
        <v>#REF!</v>
      </c>
      <c r="AI68" s="170" t="e">
        <f>H68*AB68*AE68</f>
        <v>#REF!</v>
      </c>
      <c r="AJ68" s="170" t="e">
        <f>J68*AB68*AE68</f>
        <v>#REF!</v>
      </c>
      <c r="AK68" s="170" t="e">
        <f>L68*AB68*AE68</f>
        <v>#REF!</v>
      </c>
      <c r="AL68" s="170" t="e">
        <f>N68*AB68*AE68</f>
        <v>#REF!</v>
      </c>
      <c r="AM68" s="170" t="e">
        <f>P68*AB68*AE68</f>
        <v>#REF!</v>
      </c>
      <c r="AN68" s="170" t="e">
        <f>R68*AB68*AE68</f>
        <v>#REF!</v>
      </c>
      <c r="AO68" s="170" t="e">
        <f>T68*AB68*AE68</f>
        <v>#REF!</v>
      </c>
      <c r="AP68" s="170" t="e">
        <f>V68*AB68*AE68</f>
        <v>#REF!</v>
      </c>
      <c r="AQ68" s="170" t="e">
        <f>X68*AB68*AE68</f>
        <v>#REF!</v>
      </c>
      <c r="AR68" s="170" t="e">
        <f>Z68*AB68*AE68</f>
        <v>#REF!</v>
      </c>
      <c r="AS68" s="1082" t="e">
        <f>AG68+AH68+AI68+AJ68+AK68+AL68+AM68+AN68+AO68+AP68+AQ68+AR68</f>
        <v>#REF!</v>
      </c>
      <c r="AT68" s="170"/>
      <c r="AU68" s="171"/>
      <c r="AV68" s="160"/>
      <c r="AW68" s="160"/>
      <c r="AX68" s="160"/>
      <c r="AY68"/>
      <c r="AZ68" s="34"/>
      <c r="BA68" s="34"/>
      <c r="BB68" s="34"/>
      <c r="BC68" s="34"/>
      <c r="BD68" s="34"/>
      <c r="BE68" s="34"/>
      <c r="BL68" s="16"/>
      <c r="BM68" s="16"/>
      <c r="BN68" s="16"/>
      <c r="BO68" s="16"/>
      <c r="BP68" s="10" t="s">
        <v>555</v>
      </c>
    </row>
    <row r="69" spans="1:68">
      <c r="A69" s="1880" t="s">
        <v>1792</v>
      </c>
      <c r="B69" s="1880" t="s">
        <v>1867</v>
      </c>
      <c r="C69" s="169">
        <f>SUMIFS(BCRR_REHAB!L:L,BCRR_REHAB!D:D,'Huella materiales'!A69)</f>
        <v>6.0761999999999995E-3</v>
      </c>
      <c r="D69" s="146" t="e">
        <f>SUMIF(#REF!,'Huella materiales'!A69,#REF!)</f>
        <v>#REF!</v>
      </c>
      <c r="E69" s="1013" t="e">
        <f t="shared" ref="E69:E70" si="153">D69*AB69</f>
        <v>#REF!</v>
      </c>
      <c r="F69" s="146" t="e">
        <f>SUMIF(#REF!,'Huella materiales'!A69,#REF!)</f>
        <v>#REF!</v>
      </c>
      <c r="G69" s="1013" t="e">
        <f t="shared" ref="G69:G70" si="154">F69*AB69</f>
        <v>#REF!</v>
      </c>
      <c r="H69" s="146" t="e">
        <f>SUMIF(#REF!,'Huella materiales'!A69,#REF!)</f>
        <v>#REF!</v>
      </c>
      <c r="I69" s="1013" t="e">
        <f t="shared" ref="I69:I70" si="155">H69*AB69</f>
        <v>#REF!</v>
      </c>
      <c r="J69" s="146" t="e">
        <f>SUMIF(#REF!,'Huella materiales'!A69,#REF!)</f>
        <v>#REF!</v>
      </c>
      <c r="K69" s="1013" t="e">
        <f t="shared" ref="K69:K70" si="156">J69*AB69</f>
        <v>#REF!</v>
      </c>
      <c r="L69" s="146" t="e">
        <f>SUMIF(#REF!,'Huella materiales'!A69,#REF!)</f>
        <v>#REF!</v>
      </c>
      <c r="M69" s="1013" t="e">
        <f t="shared" ref="M69:M70" si="157">L69*AB69</f>
        <v>#REF!</v>
      </c>
      <c r="N69" s="146" t="e">
        <f>SUMIF(#REF!,'Huella materiales'!A69,#REF!)</f>
        <v>#REF!</v>
      </c>
      <c r="O69" s="1013" t="e">
        <f t="shared" ref="O69:O70" si="158">N69*AB69</f>
        <v>#REF!</v>
      </c>
      <c r="P69" s="146" t="e">
        <f>SUMIF(#REF!,'Huella materiales'!A69,#REF!)</f>
        <v>#REF!</v>
      </c>
      <c r="Q69" s="1013" t="e">
        <f t="shared" ref="Q69:Q70" si="159">P69*AB69</f>
        <v>#REF!</v>
      </c>
      <c r="R69" s="146" t="e">
        <f>SUMIF(#REF!,'Huella materiales'!A69,#REF!)</f>
        <v>#REF!</v>
      </c>
      <c r="S69" s="1013" t="e">
        <f t="shared" ref="S69:S70" si="160">R69*AB69</f>
        <v>#REF!</v>
      </c>
      <c r="T69" s="146" t="e">
        <f>SUMIF(#REF!,'Huella materiales'!A69,#REF!)</f>
        <v>#REF!</v>
      </c>
      <c r="U69" s="1013" t="e">
        <f t="shared" ref="U69:U70" si="161">T69*AB69</f>
        <v>#REF!</v>
      </c>
      <c r="V69" s="146" t="e">
        <f>SUMIF(#REF!,'Huella materiales'!A69,#REF!)</f>
        <v>#REF!</v>
      </c>
      <c r="W69" s="1013" t="e">
        <f t="shared" ref="W69:W70" si="162">V69*AB69</f>
        <v>#REF!</v>
      </c>
      <c r="X69" s="146" t="e">
        <f>SUMIF(#REF!,'Huella materiales'!A69,#REF!)</f>
        <v>#REF!</v>
      </c>
      <c r="Y69" s="1013" t="e">
        <f t="shared" ref="Y69:Y70" si="163">X69*AB69</f>
        <v>#REF!</v>
      </c>
      <c r="Z69" s="146" t="e">
        <f>SUMIF(#REF!,'Huella materiales'!A69,#REF!)</f>
        <v>#REF!</v>
      </c>
      <c r="AA69" s="1013" t="e">
        <f t="shared" ref="AA69:AA70" si="164">Z69*AB69</f>
        <v>#REF!</v>
      </c>
      <c r="AB69" s="1030">
        <f>'Datos auxiliares materiales'!C35</f>
        <v>1000</v>
      </c>
      <c r="AC69" s="1017" t="e">
        <f t="shared" ref="AC69:AC70" si="165">E69+G69+I69+K69+M69+O69+Q69+S69+U69+W69+Y69+AA69</f>
        <v>#REF!</v>
      </c>
      <c r="AD69" s="1022">
        <f t="shared" ref="AD69:AD70" si="166">C69*AB69</f>
        <v>6.0761999999999992</v>
      </c>
      <c r="AE69" s="1077">
        <f>'Datos auxiliares materiales'!D35</f>
        <v>4</v>
      </c>
      <c r="AF69" s="170">
        <f t="shared" ref="AF69:AF70" si="167">C69*$AB$68*$AE$68</f>
        <v>12.090617198399999</v>
      </c>
      <c r="AG69" s="170" t="e">
        <f t="shared" ref="AG69:AG70" si="168">D69*AB69*AE69</f>
        <v>#REF!</v>
      </c>
      <c r="AH69" s="170" t="e">
        <f t="shared" ref="AH69:AH70" si="169">F69*AB69*AE69</f>
        <v>#REF!</v>
      </c>
      <c r="AI69" s="170" t="e">
        <f t="shared" ref="AI69:AI70" si="170">H69*AB69*AE69</f>
        <v>#REF!</v>
      </c>
      <c r="AJ69" s="170" t="e">
        <f t="shared" ref="AJ69:AJ70" si="171">J69*AB69*AE69</f>
        <v>#REF!</v>
      </c>
      <c r="AK69" s="170" t="e">
        <f t="shared" ref="AK69:AK70" si="172">L69*AB69*AE69</f>
        <v>#REF!</v>
      </c>
      <c r="AL69" s="170" t="e">
        <f t="shared" ref="AL69:AL70" si="173">N69*AB69*AE69</f>
        <v>#REF!</v>
      </c>
      <c r="AM69" s="170" t="e">
        <f t="shared" ref="AM69:AM70" si="174">P69*AB69*AE69</f>
        <v>#REF!</v>
      </c>
      <c r="AN69" s="170" t="e">
        <f t="shared" ref="AN69:AN70" si="175">R69*AB69*AE69</f>
        <v>#REF!</v>
      </c>
      <c r="AO69" s="170" t="e">
        <f t="shared" ref="AO69:AO70" si="176">T69*AB69*AE69</f>
        <v>#REF!</v>
      </c>
      <c r="AP69" s="170" t="e">
        <f t="shared" ref="AP69:AP70" si="177">V69*AB69*AE69</f>
        <v>#REF!</v>
      </c>
      <c r="AQ69" s="170" t="e">
        <f t="shared" ref="AQ69:AQ70" si="178">X69*AB69*AE69</f>
        <v>#REF!</v>
      </c>
      <c r="AR69" s="170" t="e">
        <f t="shared" ref="AR69:AR70" si="179">Z69*AB69*AE69</f>
        <v>#REF!</v>
      </c>
      <c r="AS69" s="1082" t="e">
        <f t="shared" ref="AS69:AS70" si="180">AG69+AH69+AI69+AJ69+AK69+AL69+AM69+AN69+AO69+AP69+AQ69+AR69</f>
        <v>#REF!</v>
      </c>
      <c r="AT69" s="170"/>
      <c r="AU69" s="171"/>
      <c r="AV69" s="160"/>
      <c r="AW69" s="160"/>
      <c r="AX69" s="160"/>
      <c r="AY69"/>
      <c r="AZ69" s="34"/>
      <c r="BA69" s="34"/>
      <c r="BB69" s="34"/>
      <c r="BC69" s="34"/>
      <c r="BD69" s="34"/>
      <c r="BE69" s="34"/>
      <c r="BL69" s="16"/>
      <c r="BM69" s="16"/>
      <c r="BN69" s="16"/>
      <c r="BO69" s="16"/>
      <c r="BP69" s="10"/>
    </row>
    <row r="70" spans="1:68">
      <c r="A70" s="1880" t="s">
        <v>1858</v>
      </c>
      <c r="B70" s="1880" t="s">
        <v>1868</v>
      </c>
      <c r="C70" s="169">
        <f>SUMIFS(BCRR_REHAB!L:L,BCRR_REHAB!D:D,'Huella materiales'!A70)</f>
        <v>0</v>
      </c>
      <c r="D70" s="146" t="e">
        <f>SUMIF(#REF!,'Huella materiales'!A70,#REF!)</f>
        <v>#REF!</v>
      </c>
      <c r="E70" s="1013" t="e">
        <f t="shared" si="153"/>
        <v>#REF!</v>
      </c>
      <c r="F70" s="146" t="e">
        <f>SUMIF(#REF!,'Huella materiales'!A70,#REF!)</f>
        <v>#REF!</v>
      </c>
      <c r="G70" s="1013" t="e">
        <f t="shared" si="154"/>
        <v>#REF!</v>
      </c>
      <c r="H70" s="146" t="e">
        <f>SUMIF(#REF!,'Huella materiales'!A70,#REF!)</f>
        <v>#REF!</v>
      </c>
      <c r="I70" s="1013" t="e">
        <f t="shared" si="155"/>
        <v>#REF!</v>
      </c>
      <c r="J70" s="146" t="e">
        <f>SUMIF(#REF!,'Huella materiales'!A70,#REF!)</f>
        <v>#REF!</v>
      </c>
      <c r="K70" s="1013" t="e">
        <f t="shared" si="156"/>
        <v>#REF!</v>
      </c>
      <c r="L70" s="146" t="e">
        <f>SUMIF(#REF!,'Huella materiales'!A70,#REF!)</f>
        <v>#REF!</v>
      </c>
      <c r="M70" s="1013" t="e">
        <f t="shared" si="157"/>
        <v>#REF!</v>
      </c>
      <c r="N70" s="146" t="e">
        <f>SUMIF(#REF!,'Huella materiales'!A70,#REF!)</f>
        <v>#REF!</v>
      </c>
      <c r="O70" s="1013" t="e">
        <f t="shared" si="158"/>
        <v>#REF!</v>
      </c>
      <c r="P70" s="146" t="e">
        <f>SUMIF(#REF!,'Huella materiales'!A70,#REF!)</f>
        <v>#REF!</v>
      </c>
      <c r="Q70" s="1013" t="e">
        <f t="shared" si="159"/>
        <v>#REF!</v>
      </c>
      <c r="R70" s="146" t="e">
        <f>SUMIF(#REF!,'Huella materiales'!A70,#REF!)</f>
        <v>#REF!</v>
      </c>
      <c r="S70" s="1013" t="e">
        <f t="shared" si="160"/>
        <v>#REF!</v>
      </c>
      <c r="T70" s="146" t="e">
        <f>SUMIF(#REF!,'Huella materiales'!A70,#REF!)</f>
        <v>#REF!</v>
      </c>
      <c r="U70" s="1013" t="e">
        <f t="shared" si="161"/>
        <v>#REF!</v>
      </c>
      <c r="V70" s="146" t="e">
        <f>SUMIF(#REF!,'Huella materiales'!A70,#REF!)</f>
        <v>#REF!</v>
      </c>
      <c r="W70" s="1013" t="e">
        <f t="shared" si="162"/>
        <v>#REF!</v>
      </c>
      <c r="X70" s="146" t="e">
        <f>SUMIF(#REF!,'Huella materiales'!A70,#REF!)</f>
        <v>#REF!</v>
      </c>
      <c r="Y70" s="1013" t="e">
        <f t="shared" si="163"/>
        <v>#REF!</v>
      </c>
      <c r="Z70" s="146" t="e">
        <f>SUMIF(#REF!,'Huella materiales'!A70,#REF!)</f>
        <v>#REF!</v>
      </c>
      <c r="AA70" s="1013" t="e">
        <f t="shared" si="164"/>
        <v>#REF!</v>
      </c>
      <c r="AB70" s="1030">
        <f>'Datos auxiliares materiales'!C37</f>
        <v>17.175000000000001</v>
      </c>
      <c r="AC70" s="1017" t="e">
        <f t="shared" si="165"/>
        <v>#REF!</v>
      </c>
      <c r="AD70" s="1022">
        <f t="shared" si="166"/>
        <v>0</v>
      </c>
      <c r="AE70" s="1077">
        <f>'Datos auxiliares materiales'!D37</f>
        <v>27.5</v>
      </c>
      <c r="AF70" s="170">
        <f t="shared" si="167"/>
        <v>0</v>
      </c>
      <c r="AG70" s="170" t="e">
        <f t="shared" si="168"/>
        <v>#REF!</v>
      </c>
      <c r="AH70" s="170" t="e">
        <f t="shared" si="169"/>
        <v>#REF!</v>
      </c>
      <c r="AI70" s="170" t="e">
        <f t="shared" si="170"/>
        <v>#REF!</v>
      </c>
      <c r="AJ70" s="170" t="e">
        <f t="shared" si="171"/>
        <v>#REF!</v>
      </c>
      <c r="AK70" s="170" t="e">
        <f t="shared" si="172"/>
        <v>#REF!</v>
      </c>
      <c r="AL70" s="170" t="e">
        <f t="shared" si="173"/>
        <v>#REF!</v>
      </c>
      <c r="AM70" s="170" t="e">
        <f t="shared" si="174"/>
        <v>#REF!</v>
      </c>
      <c r="AN70" s="170" t="e">
        <f t="shared" si="175"/>
        <v>#REF!</v>
      </c>
      <c r="AO70" s="170" t="e">
        <f t="shared" si="176"/>
        <v>#REF!</v>
      </c>
      <c r="AP70" s="170" t="e">
        <f t="shared" si="177"/>
        <v>#REF!</v>
      </c>
      <c r="AQ70" s="170" t="e">
        <f t="shared" si="178"/>
        <v>#REF!</v>
      </c>
      <c r="AR70" s="170" t="e">
        <f t="shared" si="179"/>
        <v>#REF!</v>
      </c>
      <c r="AS70" s="1082" t="e">
        <f t="shared" si="180"/>
        <v>#REF!</v>
      </c>
      <c r="AT70" s="170"/>
      <c r="AU70" s="171"/>
      <c r="AV70" s="160"/>
      <c r="AW70" s="160"/>
      <c r="AX70" s="160"/>
      <c r="AY70"/>
      <c r="AZ70"/>
      <c r="BA70"/>
      <c r="BL70" s="16"/>
      <c r="BM70" s="16"/>
      <c r="BN70" s="16"/>
      <c r="BO70" s="16"/>
      <c r="BP70" s="10"/>
    </row>
    <row r="71" spans="1:68" ht="15.5">
      <c r="B71" s="163" t="s">
        <v>253</v>
      </c>
      <c r="C71" s="169">
        <f>SUMIFS(BCRR_REHAB!L:L,BCRR_REHAB!D:D,'Huella materiales'!A71)</f>
        <v>0</v>
      </c>
      <c r="D71" s="987"/>
      <c r="E71" s="1014" t="e">
        <f t="shared" ref="E71:AD71" si="181">SUM(E72)</f>
        <v>#REF!</v>
      </c>
      <c r="F71" s="987"/>
      <c r="G71" s="987" t="e">
        <f t="shared" si="181"/>
        <v>#REF!</v>
      </c>
      <c r="H71" s="987"/>
      <c r="I71" s="987" t="e">
        <f t="shared" si="181"/>
        <v>#REF!</v>
      </c>
      <c r="J71" s="987"/>
      <c r="K71" s="987" t="e">
        <f t="shared" si="181"/>
        <v>#REF!</v>
      </c>
      <c r="L71" s="987"/>
      <c r="M71" s="987" t="e">
        <f t="shared" si="181"/>
        <v>#REF!</v>
      </c>
      <c r="N71" s="987"/>
      <c r="O71" s="987" t="e">
        <f t="shared" si="181"/>
        <v>#REF!</v>
      </c>
      <c r="P71" s="987"/>
      <c r="Q71" s="987" t="e">
        <f t="shared" si="181"/>
        <v>#REF!</v>
      </c>
      <c r="R71" s="987"/>
      <c r="S71" s="987" t="e">
        <f t="shared" si="181"/>
        <v>#REF!</v>
      </c>
      <c r="T71" s="987"/>
      <c r="U71" s="987" t="e">
        <f t="shared" si="181"/>
        <v>#REF!</v>
      </c>
      <c r="V71" s="987"/>
      <c r="W71" s="987" t="e">
        <f t="shared" si="181"/>
        <v>#REF!</v>
      </c>
      <c r="X71" s="987"/>
      <c r="Y71" s="987" t="e">
        <f t="shared" si="181"/>
        <v>#REF!</v>
      </c>
      <c r="Z71" s="987"/>
      <c r="AA71" s="987" t="e">
        <f t="shared" si="181"/>
        <v>#REF!</v>
      </c>
      <c r="AB71" s="987"/>
      <c r="AC71" s="1028" t="e">
        <f t="shared" si="181"/>
        <v>#REF!</v>
      </c>
      <c r="AD71" s="1026">
        <f t="shared" si="181"/>
        <v>0</v>
      </c>
      <c r="AE71" s="1019"/>
      <c r="AF71" s="1080">
        <f>SUM(AF72)</f>
        <v>0</v>
      </c>
      <c r="AG71" s="1080" t="e">
        <f t="shared" ref="AG71:AR71" si="182">SUM(AG72)</f>
        <v>#REF!</v>
      </c>
      <c r="AH71" s="1080" t="e">
        <f t="shared" si="182"/>
        <v>#REF!</v>
      </c>
      <c r="AI71" s="1080" t="e">
        <f>SUM(AI72)</f>
        <v>#REF!</v>
      </c>
      <c r="AJ71" s="1080" t="e">
        <f t="shared" si="182"/>
        <v>#REF!</v>
      </c>
      <c r="AK71" s="1080" t="e">
        <f>SUM(AK72)</f>
        <v>#REF!</v>
      </c>
      <c r="AL71" s="1080" t="e">
        <f t="shared" si="182"/>
        <v>#REF!</v>
      </c>
      <c r="AM71" s="1080" t="e">
        <f t="shared" si="182"/>
        <v>#REF!</v>
      </c>
      <c r="AN71" s="1080" t="e">
        <f t="shared" si="182"/>
        <v>#REF!</v>
      </c>
      <c r="AO71" s="1080" t="e">
        <f t="shared" si="182"/>
        <v>#REF!</v>
      </c>
      <c r="AP71" s="1080" t="e">
        <f t="shared" si="182"/>
        <v>#REF!</v>
      </c>
      <c r="AQ71" s="1080" t="e">
        <f t="shared" si="182"/>
        <v>#REF!</v>
      </c>
      <c r="AR71" s="1080" t="e">
        <f t="shared" si="182"/>
        <v>#REF!</v>
      </c>
      <c r="AS71" s="1080" t="e">
        <f>AG71+AH71+AI71+AJ71+AK71+AM71+AN71+AO71+AP71+AQ71+AR71</f>
        <v>#REF!</v>
      </c>
      <c r="AT71" s="165">
        <f>SUM(AF72)/$AX$5*$AX$7</f>
        <v>0</v>
      </c>
      <c r="AU71" s="166">
        <f>AT71/$AX$8</f>
        <v>0</v>
      </c>
      <c r="AV71" s="160"/>
      <c r="AW71" s="160"/>
      <c r="AX71" s="160"/>
      <c r="AY71"/>
      <c r="AZ71"/>
      <c r="BA71"/>
      <c r="BL71" s="16"/>
      <c r="BM71" s="16"/>
      <c r="BN71" s="16"/>
      <c r="BO71" s="16"/>
      <c r="BP71" s="10" t="s">
        <v>556</v>
      </c>
    </row>
    <row r="72" spans="1:68">
      <c r="A72" s="981" t="s">
        <v>1253</v>
      </c>
      <c r="B72" s="175" t="s">
        <v>96</v>
      </c>
      <c r="C72" s="169">
        <f>SUMIFS(BCRR_REHAB!L:L,BCRR_REHAB!D:D,'Huella materiales'!A72)</f>
        <v>0</v>
      </c>
      <c r="D72" s="146" t="e">
        <f>SUMIF(#REF!,'Huella materiales'!A72,#REF!)</f>
        <v>#REF!</v>
      </c>
      <c r="E72" s="1013" t="e">
        <f>D72*AB72</f>
        <v>#REF!</v>
      </c>
      <c r="F72" s="146" t="e">
        <f>SUMIF(#REF!,'Huella materiales'!A72,#REF!)</f>
        <v>#REF!</v>
      </c>
      <c r="G72" s="1013" t="e">
        <f>F72*AB72</f>
        <v>#REF!</v>
      </c>
      <c r="H72" s="146" t="e">
        <f>SUMIF(#REF!,'Huella materiales'!A72,#REF!)</f>
        <v>#REF!</v>
      </c>
      <c r="I72" s="1013" t="e">
        <f>H72*AB72</f>
        <v>#REF!</v>
      </c>
      <c r="J72" s="146" t="e">
        <f>SUMIF(#REF!,'Huella materiales'!A72,#REF!)</f>
        <v>#REF!</v>
      </c>
      <c r="K72" s="1013" t="e">
        <f>J72*AB72</f>
        <v>#REF!</v>
      </c>
      <c r="L72" s="146" t="e">
        <f>SUMIF(#REF!,'Huella materiales'!A72,#REF!)</f>
        <v>#REF!</v>
      </c>
      <c r="M72" s="1013" t="e">
        <f>L72*AB72</f>
        <v>#REF!</v>
      </c>
      <c r="N72" s="146" t="e">
        <f>SUMIF(#REF!,'Huella materiales'!A72,#REF!)</f>
        <v>#REF!</v>
      </c>
      <c r="O72" s="1013" t="e">
        <f>N72*AB72</f>
        <v>#REF!</v>
      </c>
      <c r="P72" s="146" t="e">
        <f>SUMIF(#REF!,'Huella materiales'!A72,#REF!)</f>
        <v>#REF!</v>
      </c>
      <c r="Q72" s="1013" t="e">
        <f>P72*AB72</f>
        <v>#REF!</v>
      </c>
      <c r="R72" s="146" t="e">
        <f>SUMIF(#REF!,'Huella materiales'!A72,#REF!)</f>
        <v>#REF!</v>
      </c>
      <c r="S72" s="1013" t="e">
        <f>R72*AB72</f>
        <v>#REF!</v>
      </c>
      <c r="T72" s="146" t="e">
        <f>SUMIF(#REF!,'Huella materiales'!A72,#REF!)</f>
        <v>#REF!</v>
      </c>
      <c r="U72" s="1013" t="e">
        <f>T72*AB72</f>
        <v>#REF!</v>
      </c>
      <c r="V72" s="146" t="e">
        <f>SUMIF(#REF!,'Huella materiales'!A72,#REF!)</f>
        <v>#REF!</v>
      </c>
      <c r="W72" s="1013" t="e">
        <f>V72*AB72</f>
        <v>#REF!</v>
      </c>
      <c r="X72" s="146" t="e">
        <f>SUMIF(#REF!,'Huella materiales'!A72,#REF!)</f>
        <v>#REF!</v>
      </c>
      <c r="Y72" s="1013" t="e">
        <f>X72*AB72</f>
        <v>#REF!</v>
      </c>
      <c r="Z72" s="146" t="e">
        <f>SUMIF(#REF!,'Huella materiales'!A72,#REF!)</f>
        <v>#REF!</v>
      </c>
      <c r="AA72" s="1013" t="e">
        <f>Z72*AB72</f>
        <v>#REF!</v>
      </c>
      <c r="AB72" s="1030">
        <f>'Datos auxiliares materiales'!C37</f>
        <v>17.175000000000001</v>
      </c>
      <c r="AC72" s="1017" t="e">
        <f>E72+G72+I72+K72+M72+O72+Q72+S72+U72+W72+Y72+AA72</f>
        <v>#REF!</v>
      </c>
      <c r="AD72" s="1022">
        <f>C72*AB72</f>
        <v>0</v>
      </c>
      <c r="AE72" s="1077">
        <f>'Datos auxiliares materiales'!D37</f>
        <v>27.5</v>
      </c>
      <c r="AF72" s="170">
        <f>C72*$AB$72*$AE$72</f>
        <v>0</v>
      </c>
      <c r="AG72" s="170" t="e">
        <f>D72*AB72*AE72</f>
        <v>#REF!</v>
      </c>
      <c r="AH72" s="170" t="e">
        <f>F72*AB72*AE72</f>
        <v>#REF!</v>
      </c>
      <c r="AI72" s="170" t="e">
        <f>H72*AB72*AE72</f>
        <v>#REF!</v>
      </c>
      <c r="AJ72" s="170" t="e">
        <f>J72*AB72*AE72</f>
        <v>#REF!</v>
      </c>
      <c r="AK72" s="170" t="e">
        <f>L72*AB72*AE72</f>
        <v>#REF!</v>
      </c>
      <c r="AL72" s="170" t="e">
        <f>N72*$AB$49*$AE$49</f>
        <v>#REF!</v>
      </c>
      <c r="AM72" s="170" t="e">
        <f>P72*AB72*AE72</f>
        <v>#REF!</v>
      </c>
      <c r="AN72" s="170" t="e">
        <f>R72*AB72*AE72</f>
        <v>#REF!</v>
      </c>
      <c r="AO72" s="170" t="e">
        <f>T72*AB72*AE72</f>
        <v>#REF!</v>
      </c>
      <c r="AP72" s="170" t="e">
        <f>V72*AB72*AE72</f>
        <v>#REF!</v>
      </c>
      <c r="AQ72" s="170" t="e">
        <f>X72*AB72*AE72</f>
        <v>#REF!</v>
      </c>
      <c r="AR72" s="170" t="e">
        <f>Z72*AB72*AE72</f>
        <v>#REF!</v>
      </c>
      <c r="AS72" s="170"/>
      <c r="AT72" s="170"/>
      <c r="AU72" s="171"/>
      <c r="AV72" s="160"/>
      <c r="AW72" s="160"/>
      <c r="AX72" s="160"/>
      <c r="AY72"/>
      <c r="AZ72"/>
      <c r="BA72"/>
      <c r="BL72" s="16"/>
      <c r="BM72" s="16"/>
      <c r="BN72" s="16"/>
      <c r="BO72" s="16"/>
      <c r="BP72" s="10" t="s">
        <v>557</v>
      </c>
    </row>
    <row r="73" spans="1:68" ht="15.5">
      <c r="B73" s="163" t="s">
        <v>276</v>
      </c>
      <c r="C73" s="169">
        <f>SUMIFS(BCRR_REHAB!L:L,BCRR_REHAB!D:D,'Huella materiales'!A73)</f>
        <v>0</v>
      </c>
      <c r="D73" s="987"/>
      <c r="E73" s="1014" t="e">
        <f t="shared" ref="E73:AD73" si="183">SUM(E74:E84)</f>
        <v>#REF!</v>
      </c>
      <c r="F73" s="987"/>
      <c r="G73" s="987" t="e">
        <f t="shared" si="183"/>
        <v>#REF!</v>
      </c>
      <c r="H73" s="987"/>
      <c r="I73" s="987" t="e">
        <f t="shared" si="183"/>
        <v>#REF!</v>
      </c>
      <c r="J73" s="987"/>
      <c r="K73" s="987" t="e">
        <f t="shared" si="183"/>
        <v>#REF!</v>
      </c>
      <c r="L73" s="987"/>
      <c r="M73" s="987" t="e">
        <f t="shared" si="183"/>
        <v>#REF!</v>
      </c>
      <c r="N73" s="987"/>
      <c r="O73" s="987" t="e">
        <f t="shared" si="183"/>
        <v>#REF!</v>
      </c>
      <c r="P73" s="987"/>
      <c r="Q73" s="987" t="e">
        <f t="shared" si="183"/>
        <v>#REF!</v>
      </c>
      <c r="R73" s="987"/>
      <c r="S73" s="987" t="e">
        <f t="shared" si="183"/>
        <v>#REF!</v>
      </c>
      <c r="T73" s="987"/>
      <c r="U73" s="987" t="e">
        <f t="shared" si="183"/>
        <v>#REF!</v>
      </c>
      <c r="V73" s="987"/>
      <c r="W73" s="987" t="e">
        <f t="shared" si="183"/>
        <v>#REF!</v>
      </c>
      <c r="X73" s="987"/>
      <c r="Y73" s="987" t="e">
        <f t="shared" si="183"/>
        <v>#REF!</v>
      </c>
      <c r="Z73" s="987"/>
      <c r="AA73" s="987" t="e">
        <f t="shared" si="183"/>
        <v>#REF!</v>
      </c>
      <c r="AB73" s="987"/>
      <c r="AC73" s="1028" t="e">
        <f t="shared" si="183"/>
        <v>#REF!</v>
      </c>
      <c r="AD73" s="1026">
        <f t="shared" si="183"/>
        <v>10228.656776</v>
      </c>
      <c r="AE73" s="1019"/>
      <c r="AF73" s="1080">
        <f>SUM(AF74:AF84)</f>
        <v>71600.597431999995</v>
      </c>
      <c r="AG73" s="1080" t="e">
        <f t="shared" ref="AG73:AR73" si="184">SUM(AG74:AG84)</f>
        <v>#REF!</v>
      </c>
      <c r="AH73" s="1080" t="e">
        <f t="shared" si="184"/>
        <v>#REF!</v>
      </c>
      <c r="AI73" s="1080" t="e">
        <f>SUM(AI74:AI84)</f>
        <v>#REF!</v>
      </c>
      <c r="AJ73" s="1080" t="e">
        <f t="shared" si="184"/>
        <v>#REF!</v>
      </c>
      <c r="AK73" s="1080" t="e">
        <f>SUM(AK74:AK84)</f>
        <v>#REF!</v>
      </c>
      <c r="AL73" s="1080" t="e">
        <f t="shared" si="184"/>
        <v>#REF!</v>
      </c>
      <c r="AM73" s="1080" t="e">
        <f t="shared" si="184"/>
        <v>#REF!</v>
      </c>
      <c r="AN73" s="1080" t="e">
        <f t="shared" si="184"/>
        <v>#REF!</v>
      </c>
      <c r="AO73" s="1080" t="e">
        <f t="shared" si="184"/>
        <v>#REF!</v>
      </c>
      <c r="AP73" s="1080" t="e">
        <f t="shared" si="184"/>
        <v>#REF!</v>
      </c>
      <c r="AQ73" s="1080" t="e">
        <f t="shared" si="184"/>
        <v>#REF!</v>
      </c>
      <c r="AR73" s="1080" t="e">
        <f t="shared" si="184"/>
        <v>#REF!</v>
      </c>
      <c r="AS73" s="1083" t="e">
        <f>AG73+AH73+AI73+AJ73+AK73+AL73+AM73+AN73+AO73+AP73+AQ73+AR73</f>
        <v>#REF!</v>
      </c>
      <c r="AT73" s="165">
        <f>SUM(AF74:AF83)/$AX$5*$AX$7</f>
        <v>1.27065848963831</v>
      </c>
      <c r="AU73" s="171">
        <f>AT73/$AX$8</f>
        <v>0.35523899987297031</v>
      </c>
      <c r="AV73" s="160"/>
      <c r="AW73" s="160"/>
      <c r="AX73" s="160"/>
      <c r="AY73"/>
      <c r="AZ73"/>
      <c r="BA73"/>
      <c r="BL73" s="16"/>
      <c r="BM73" s="16"/>
      <c r="BN73" s="16"/>
      <c r="BO73" s="16"/>
      <c r="BP73" s="10" t="s">
        <v>558</v>
      </c>
    </row>
    <row r="74" spans="1:68">
      <c r="A74" s="10" t="s">
        <v>1155</v>
      </c>
      <c r="B74" s="175" t="s">
        <v>110</v>
      </c>
      <c r="C74" s="169">
        <f>SUMIFS(BCRR_REHAB!L:L,BCRR_REHAB!D:D,'Huella materiales'!A74)</f>
        <v>0</v>
      </c>
      <c r="D74" s="146" t="e">
        <f>SUMIF(#REF!,'Huella materiales'!A74,#REF!)</f>
        <v>#REF!</v>
      </c>
      <c r="E74" s="1013" t="e">
        <f t="shared" ref="E74:E84" si="185">D74*AB74</f>
        <v>#REF!</v>
      </c>
      <c r="F74" s="146" t="e">
        <f>SUMIF(#REF!,'Huella materiales'!A74,#REF!)</f>
        <v>#REF!</v>
      </c>
      <c r="G74" s="1013" t="e">
        <f t="shared" ref="G74:G84" si="186">F74*AB74</f>
        <v>#REF!</v>
      </c>
      <c r="H74" s="146" t="e">
        <f>SUMIF(#REF!,'Huella materiales'!A74,#REF!)</f>
        <v>#REF!</v>
      </c>
      <c r="I74" s="1013" t="e">
        <f t="shared" ref="I74:I84" si="187">H74*AB74</f>
        <v>#REF!</v>
      </c>
      <c r="J74" s="146" t="e">
        <f>SUMIF(#REF!,'Huella materiales'!A74,#REF!)</f>
        <v>#REF!</v>
      </c>
      <c r="K74" s="1013" t="e">
        <f t="shared" ref="K74:K84" si="188">J74*AB74</f>
        <v>#REF!</v>
      </c>
      <c r="L74" s="146" t="e">
        <f>SUMIF(#REF!,'Huella materiales'!A74,#REF!)</f>
        <v>#REF!</v>
      </c>
      <c r="M74" s="1013" t="e">
        <f t="shared" ref="M74:M84" si="189">L74*AB74</f>
        <v>#REF!</v>
      </c>
      <c r="N74" s="146" t="e">
        <f>SUMIF(#REF!,'Huella materiales'!A74,#REF!)</f>
        <v>#REF!</v>
      </c>
      <c r="O74" s="1013" t="e">
        <f t="shared" ref="O74:O84" si="190">N74*AB74</f>
        <v>#REF!</v>
      </c>
      <c r="P74" s="146" t="e">
        <f>SUMIF(#REF!,'Huella materiales'!A74,#REF!)</f>
        <v>#REF!</v>
      </c>
      <c r="Q74" s="1013" t="e">
        <f>P74*AB74</f>
        <v>#REF!</v>
      </c>
      <c r="R74" s="146" t="e">
        <f>SUMIF(#REF!,'Huella materiales'!A74,#REF!)</f>
        <v>#REF!</v>
      </c>
      <c r="S74" s="1013" t="e">
        <f>R74*AB74</f>
        <v>#REF!</v>
      </c>
      <c r="T74" s="146" t="e">
        <f>SUMIF(#REF!,'Huella materiales'!A74,#REF!)</f>
        <v>#REF!</v>
      </c>
      <c r="U74" s="1013" t="e">
        <f>T74*AB74</f>
        <v>#REF!</v>
      </c>
      <c r="V74" s="146" t="e">
        <f>SUMIF(#REF!,'Huella materiales'!A74,#REF!)</f>
        <v>#REF!</v>
      </c>
      <c r="W74" s="1013" t="e">
        <f>V74*AB74</f>
        <v>#REF!</v>
      </c>
      <c r="X74" s="146" t="e">
        <f>SUMIF(#REF!,'Huella materiales'!A74,#REF!)</f>
        <v>#REF!</v>
      </c>
      <c r="Y74" s="1013" t="e">
        <f>X74*AB74</f>
        <v>#REF!</v>
      </c>
      <c r="Z74" s="146" t="e">
        <f>SUMIF(#REF!,'Huella materiales'!A74,#REF!)</f>
        <v>#REF!</v>
      </c>
      <c r="AA74" s="1013" t="e">
        <f>Z74*AB74</f>
        <v>#REF!</v>
      </c>
      <c r="AB74" s="1030">
        <f>'Datos auxiliares materiales'!C39</f>
        <v>1.9</v>
      </c>
      <c r="AC74" s="1017" t="e">
        <f>E74+G74+I74+K74+M74+O74+Q74+S74+U74+W74+Y74+AA74</f>
        <v>#REF!</v>
      </c>
      <c r="AD74" s="1022">
        <f t="shared" ref="AD74:AD84" si="191">C74*AB74</f>
        <v>0</v>
      </c>
      <c r="AE74" s="1077">
        <f>'Datos auxiliares materiales'!D39</f>
        <v>1.34</v>
      </c>
      <c r="AF74" s="170">
        <f>C74*AB74*AE74</f>
        <v>0</v>
      </c>
      <c r="AG74" s="170" t="e">
        <f>D74*AB74*AE74</f>
        <v>#REF!</v>
      </c>
      <c r="AH74" s="170" t="e">
        <f>F74*AB74*AE74</f>
        <v>#REF!</v>
      </c>
      <c r="AI74" s="170" t="e">
        <f>H74*AB74*AE74</f>
        <v>#REF!</v>
      </c>
      <c r="AJ74" s="170" t="e">
        <f>J74*AB74*AE74</f>
        <v>#REF!</v>
      </c>
      <c r="AK74" s="170" t="e">
        <f>L74*AB74*AE74</f>
        <v>#REF!</v>
      </c>
      <c r="AL74" s="170" t="e">
        <f>N74*AB74*AE74</f>
        <v>#REF!</v>
      </c>
      <c r="AM74" s="170" t="e">
        <f>P74*AB74*AE74</f>
        <v>#REF!</v>
      </c>
      <c r="AN74" s="170" t="e">
        <f>R74*AB74*AE74</f>
        <v>#REF!</v>
      </c>
      <c r="AO74" s="170" t="e">
        <f>T74*AB74*AE74</f>
        <v>#REF!</v>
      </c>
      <c r="AP74" s="170" t="e">
        <f>V74*AB74*AE74</f>
        <v>#REF!</v>
      </c>
      <c r="AQ74" s="170" t="e">
        <f>X74*AB74*AE74</f>
        <v>#REF!</v>
      </c>
      <c r="AR74" s="170" t="e">
        <f>Z74*AB74*AE74</f>
        <v>#REF!</v>
      </c>
      <c r="AS74" s="1082" t="e">
        <f t="shared" ref="AS74:AS84" si="192">AG74+AH74+AI74+AJ74+AK74+AM74+AN74+AO74+AP74+AQ74+AR74</f>
        <v>#REF!</v>
      </c>
      <c r="AT74" s="170"/>
      <c r="AU74" s="171"/>
      <c r="AV74" s="160"/>
      <c r="AW74" s="160"/>
      <c r="AX74" s="160"/>
      <c r="AY74"/>
      <c r="AZ74"/>
      <c r="BA74"/>
      <c r="BL74" s="16"/>
      <c r="BM74" s="16"/>
      <c r="BN74" s="16"/>
      <c r="BO74" s="16"/>
      <c r="BP74" s="10" t="s">
        <v>559</v>
      </c>
    </row>
    <row r="75" spans="1:68">
      <c r="A75" s="1880" t="s">
        <v>1394</v>
      </c>
      <c r="B75" s="1880" t="s">
        <v>1866</v>
      </c>
      <c r="C75" s="169">
        <f>SUMIFS(BCRR_REHAB!L:L,BCRR_REHAB!D:D,'Huella materiales'!A75)</f>
        <v>5.1143283879999997</v>
      </c>
      <c r="D75" s="146" t="e">
        <f>SUMIF(#REF!,'Huella materiales'!A75,#REF!)</f>
        <v>#REF!</v>
      </c>
      <c r="E75" s="1013" t="e">
        <f t="shared" ref="E75" si="193">D75*AB75</f>
        <v>#REF!</v>
      </c>
      <c r="F75" s="146" t="e">
        <f>SUMIF(#REF!,'Huella materiales'!A75,#REF!)</f>
        <v>#REF!</v>
      </c>
      <c r="G75" s="1013" t="e">
        <f t="shared" ref="G75" si="194">F75*AB75</f>
        <v>#REF!</v>
      </c>
      <c r="H75" s="146" t="e">
        <f>SUMIF(#REF!,'Huella materiales'!A75,#REF!)</f>
        <v>#REF!</v>
      </c>
      <c r="I75" s="1013" t="e">
        <f t="shared" ref="I75" si="195">H75*AB75</f>
        <v>#REF!</v>
      </c>
      <c r="J75" s="146" t="e">
        <f>SUMIF(#REF!,'Huella materiales'!A75,#REF!)</f>
        <v>#REF!</v>
      </c>
      <c r="K75" s="1013" t="e">
        <f t="shared" ref="K75" si="196">J75*AB75</f>
        <v>#REF!</v>
      </c>
      <c r="L75" s="146" t="e">
        <f>SUMIF(#REF!,'Huella materiales'!A75,#REF!)</f>
        <v>#REF!</v>
      </c>
      <c r="M75" s="1013" t="e">
        <f t="shared" ref="M75" si="197">L75*AB75</f>
        <v>#REF!</v>
      </c>
      <c r="N75" s="146" t="e">
        <f>SUMIF(#REF!,'Huella materiales'!A75,#REF!)</f>
        <v>#REF!</v>
      </c>
      <c r="O75" s="1013" t="e">
        <f t="shared" ref="O75" si="198">N75*AB75</f>
        <v>#REF!</v>
      </c>
      <c r="P75" s="146" t="e">
        <f>SUMIF(#REF!,'Huella materiales'!A75,#REF!)</f>
        <v>#REF!</v>
      </c>
      <c r="Q75" s="1013" t="e">
        <f>P75*AB75</f>
        <v>#REF!</v>
      </c>
      <c r="R75" s="146" t="e">
        <f>SUMIF(#REF!,'Huella materiales'!A75,#REF!)</f>
        <v>#REF!</v>
      </c>
      <c r="S75" s="1013" t="e">
        <f>R75*AB75</f>
        <v>#REF!</v>
      </c>
      <c r="T75" s="146" t="e">
        <f>SUMIF(#REF!,'Huella materiales'!A75,#REF!)</f>
        <v>#REF!</v>
      </c>
      <c r="U75" s="1013" t="e">
        <f>T75*AB75</f>
        <v>#REF!</v>
      </c>
      <c r="V75" s="146" t="e">
        <f>SUMIF(#REF!,'Huella materiales'!A75,#REF!)</f>
        <v>#REF!</v>
      </c>
      <c r="W75" s="1013" t="e">
        <f>V75*AB75</f>
        <v>#REF!</v>
      </c>
      <c r="X75" s="146" t="e">
        <f>SUMIF(#REF!,'Huella materiales'!A75,#REF!)</f>
        <v>#REF!</v>
      </c>
      <c r="Y75" s="1013" t="e">
        <f>X75*AB75</f>
        <v>#REF!</v>
      </c>
      <c r="Z75" s="146" t="e">
        <f>SUMIF(#REF!,'Huella materiales'!A75,#REF!)</f>
        <v>#REF!</v>
      </c>
      <c r="AA75" s="1013" t="e">
        <f>Z75*AB75</f>
        <v>#REF!</v>
      </c>
      <c r="AB75" s="1030">
        <f>'Datos auxiliares materiales'!C42</f>
        <v>1000</v>
      </c>
      <c r="AC75" s="1017" t="e">
        <f>E75+G75+I75+K75+M75+O75+Q75+S75+U75+W75+Y75+AA75</f>
        <v>#REF!</v>
      </c>
      <c r="AD75" s="1022">
        <f t="shared" ref="AD75" si="199">C75*AB75</f>
        <v>5114.3283879999999</v>
      </c>
      <c r="AE75" s="1077">
        <f>'Datos auxiliares materiales'!D42</f>
        <v>7</v>
      </c>
      <c r="AF75" s="170">
        <f>C75*AB75*AE75</f>
        <v>35800.298715999998</v>
      </c>
      <c r="AG75" s="170" t="e">
        <f>D75*AB75*AE75</f>
        <v>#REF!</v>
      </c>
      <c r="AH75" s="170" t="e">
        <f>F75*AB75*AE75</f>
        <v>#REF!</v>
      </c>
      <c r="AI75" s="170" t="e">
        <f>H75*AB75*AE75</f>
        <v>#REF!</v>
      </c>
      <c r="AJ75" s="170" t="e">
        <f>J75*AB75*AE75</f>
        <v>#REF!</v>
      </c>
      <c r="AK75" s="170" t="e">
        <f>L75*AB75*AE75</f>
        <v>#REF!</v>
      </c>
      <c r="AL75" s="170" t="e">
        <f>N75*AB75*AE75</f>
        <v>#REF!</v>
      </c>
      <c r="AM75" s="170" t="e">
        <f>P75*AB75*AE75</f>
        <v>#REF!</v>
      </c>
      <c r="AN75" s="170" t="e">
        <f>R75*AB75*AE75</f>
        <v>#REF!</v>
      </c>
      <c r="AO75" s="170" t="e">
        <f>T75*AB75*AE75</f>
        <v>#REF!</v>
      </c>
      <c r="AP75" s="170" t="e">
        <f>V75*AB75*AE75</f>
        <v>#REF!</v>
      </c>
      <c r="AQ75" s="170" t="e">
        <f>X75*AB75*AE75</f>
        <v>#REF!</v>
      </c>
      <c r="AR75" s="170" t="e">
        <f>Z75*AB75*AE75</f>
        <v>#REF!</v>
      </c>
      <c r="AS75" s="1082" t="e">
        <f t="shared" ref="AS75" si="200">AG75+AH75+AI75+AJ75+AK75+AM75+AN75+AO75+AP75+AQ75+AR75</f>
        <v>#REF!</v>
      </c>
      <c r="AT75" s="170"/>
      <c r="AU75" s="171"/>
      <c r="AV75" s="160"/>
      <c r="AW75" s="160"/>
      <c r="AX75" s="160"/>
      <c r="AY75"/>
      <c r="AZ75"/>
      <c r="BA75"/>
      <c r="BL75" s="16"/>
      <c r="BM75" s="16"/>
      <c r="BN75" s="16"/>
      <c r="BO75" s="16"/>
      <c r="BP75" s="10"/>
    </row>
    <row r="76" spans="1:68">
      <c r="A76" s="1338" t="s">
        <v>1100</v>
      </c>
      <c r="B76" s="1903" t="s">
        <v>261</v>
      </c>
      <c r="C76" s="169">
        <f>SUMIFS(BCRR_REHAB!L:L,BCRR_REHAB!D:D,'Huella materiales'!A76)</f>
        <v>0</v>
      </c>
      <c r="D76" s="146" t="e">
        <f>SUMIF(#REF!,'Huella materiales'!A76,#REF!)</f>
        <v>#REF!</v>
      </c>
      <c r="E76" s="1013" t="e">
        <f t="shared" si="185"/>
        <v>#REF!</v>
      </c>
      <c r="F76" s="146" t="e">
        <f>SUMIF(#REF!,'Huella materiales'!A76,#REF!)</f>
        <v>#REF!</v>
      </c>
      <c r="G76" s="1013" t="e">
        <f t="shared" si="186"/>
        <v>#REF!</v>
      </c>
      <c r="H76" s="146" t="e">
        <f>SUMIF(#REF!,'Huella materiales'!A76,#REF!)</f>
        <v>#REF!</v>
      </c>
      <c r="I76" s="1013" t="e">
        <f t="shared" si="187"/>
        <v>#REF!</v>
      </c>
      <c r="J76" s="146" t="e">
        <f>SUMIF(#REF!,'Huella materiales'!A76,#REF!)</f>
        <v>#REF!</v>
      </c>
      <c r="K76" s="1013" t="e">
        <f t="shared" si="188"/>
        <v>#REF!</v>
      </c>
      <c r="L76" s="146" t="e">
        <f>SUMIF(#REF!,'Huella materiales'!A76,#REF!)</f>
        <v>#REF!</v>
      </c>
      <c r="M76" s="1013" t="e">
        <f t="shared" si="189"/>
        <v>#REF!</v>
      </c>
      <c r="N76" s="146" t="e">
        <f>SUMIF(#REF!,'Huella materiales'!A76,#REF!)</f>
        <v>#REF!</v>
      </c>
      <c r="O76" s="1013" t="e">
        <f t="shared" si="190"/>
        <v>#REF!</v>
      </c>
      <c r="P76" s="146" t="e">
        <f>SUMIF(#REF!,'Huella materiales'!A76,#REF!)</f>
        <v>#REF!</v>
      </c>
      <c r="Q76" s="1013" t="e">
        <f t="shared" ref="Q76:Q84" si="201">P76*AB76</f>
        <v>#REF!</v>
      </c>
      <c r="R76" s="146" t="e">
        <f>SUMIF(#REF!,'Huella materiales'!A76,#REF!)</f>
        <v>#REF!</v>
      </c>
      <c r="S76" s="1013" t="e">
        <f t="shared" ref="S76:S84" si="202">R76*AB76</f>
        <v>#REF!</v>
      </c>
      <c r="T76" s="146" t="e">
        <f>SUMIF(#REF!,'Huella materiales'!A76,#REF!)</f>
        <v>#REF!</v>
      </c>
      <c r="U76" s="1013" t="e">
        <f t="shared" ref="U76:U84" si="203">T76*AB76</f>
        <v>#REF!</v>
      </c>
      <c r="V76" s="146" t="e">
        <f>SUMIF(#REF!,'Huella materiales'!A76,#REF!)</f>
        <v>#REF!</v>
      </c>
      <c r="W76" s="1013" t="e">
        <f t="shared" ref="W76:W84" si="204">V76*AB76</f>
        <v>#REF!</v>
      </c>
      <c r="X76" s="146" t="e">
        <f>SUMIF(#REF!,'Huella materiales'!A76,#REF!)</f>
        <v>#REF!</v>
      </c>
      <c r="Y76" s="1013" t="e">
        <f t="shared" ref="Y76:Y84" si="205">X76*AB76</f>
        <v>#REF!</v>
      </c>
      <c r="Z76" s="146" t="e">
        <f>SUMIF(#REF!,'Huella materiales'!A76,#REF!)</f>
        <v>#REF!</v>
      </c>
      <c r="AA76" s="1013" t="e">
        <f t="shared" ref="AA76:AA84" si="206">Z76*AB76</f>
        <v>#REF!</v>
      </c>
      <c r="AB76" s="1030">
        <f>'Datos auxiliares materiales'!C40</f>
        <v>2.1</v>
      </c>
      <c r="AC76" s="1017" t="e">
        <f t="shared" ref="AC76:AC84" si="207">E76+G76+I76+K76+M76+O76+Q76+S76+U76+W76+Y76+AA76</f>
        <v>#REF!</v>
      </c>
      <c r="AD76" s="1022">
        <f t="shared" si="191"/>
        <v>0</v>
      </c>
      <c r="AE76" s="1077">
        <f>'Datos auxiliares materiales'!D40</f>
        <v>1.34</v>
      </c>
      <c r="AF76" s="170">
        <f t="shared" ref="AF76:AF84" si="208">C76*AB76*AE76</f>
        <v>0</v>
      </c>
      <c r="AG76" s="170" t="e">
        <f t="shared" ref="AG76:AG84" si="209">D76*AB76*AE76</f>
        <v>#REF!</v>
      </c>
      <c r="AH76" s="170" t="e">
        <f t="shared" ref="AH76:AH84" si="210">F76*AB76*AE76</f>
        <v>#REF!</v>
      </c>
      <c r="AI76" s="170" t="e">
        <f t="shared" ref="AI76:AI84" si="211">H76*AB76*AE76</f>
        <v>#REF!</v>
      </c>
      <c r="AJ76" s="170" t="e">
        <f t="shared" ref="AJ76:AJ84" si="212">J76*AB76*AE76</f>
        <v>#REF!</v>
      </c>
      <c r="AK76" s="170" t="e">
        <f t="shared" ref="AK76:AK84" si="213">L76*AB76*AE76</f>
        <v>#REF!</v>
      </c>
      <c r="AL76" s="170" t="e">
        <f t="shared" ref="AL76:AL84" si="214">N76*AB76*AE76</f>
        <v>#REF!</v>
      </c>
      <c r="AM76" s="170" t="e">
        <f t="shared" ref="AM76:AM84" si="215">P76*AB76*AE76</f>
        <v>#REF!</v>
      </c>
      <c r="AN76" s="170" t="e">
        <f t="shared" ref="AN76:AN84" si="216">R76*AB76*AE76</f>
        <v>#REF!</v>
      </c>
      <c r="AO76" s="170" t="e">
        <f t="shared" ref="AO76:AO84" si="217">T76*AB76*AE76</f>
        <v>#REF!</v>
      </c>
      <c r="AP76" s="170" t="e">
        <f t="shared" ref="AP76:AP84" si="218">V76*AB76*AE76</f>
        <v>#REF!</v>
      </c>
      <c r="AQ76" s="170" t="e">
        <f t="shared" ref="AQ76:AQ84" si="219">X76*AB76*AE76</f>
        <v>#REF!</v>
      </c>
      <c r="AR76" s="170" t="e">
        <f t="shared" ref="AR76:AR84" si="220">Z76*AB76*AE76</f>
        <v>#REF!</v>
      </c>
      <c r="AS76" s="1082" t="e">
        <f t="shared" si="192"/>
        <v>#REF!</v>
      </c>
      <c r="AT76" s="170"/>
      <c r="AU76" s="171"/>
      <c r="AV76" s="160"/>
      <c r="AW76" s="160"/>
      <c r="AX76" s="160"/>
      <c r="AY76"/>
      <c r="AZ76"/>
      <c r="BA76"/>
      <c r="BL76" s="16"/>
      <c r="BM76" s="16"/>
      <c r="BN76" s="16"/>
      <c r="BO76" s="16"/>
      <c r="BP76" s="10" t="s">
        <v>560</v>
      </c>
    </row>
    <row r="77" spans="1:68">
      <c r="A77" s="1338" t="s">
        <v>1122</v>
      </c>
      <c r="B77" s="1903" t="s">
        <v>261</v>
      </c>
      <c r="C77" s="169">
        <f>SUMIFS(BCRR_REHAB!L:L,BCRR_REHAB!D:D,'Huella materiales'!A77)</f>
        <v>0</v>
      </c>
      <c r="D77" s="146" t="e">
        <f>SUMIF(#REF!,'Huella materiales'!A77,#REF!)</f>
        <v>#REF!</v>
      </c>
      <c r="E77" s="1013" t="e">
        <f t="shared" si="185"/>
        <v>#REF!</v>
      </c>
      <c r="F77" s="146" t="e">
        <f>SUMIF(#REF!,'Huella materiales'!A77,#REF!)</f>
        <v>#REF!</v>
      </c>
      <c r="G77" s="1013" t="e">
        <f t="shared" si="186"/>
        <v>#REF!</v>
      </c>
      <c r="H77" s="146" t="e">
        <f>SUMIF(#REF!,'Huella materiales'!A77,#REF!)</f>
        <v>#REF!</v>
      </c>
      <c r="I77" s="1013" t="e">
        <f t="shared" si="187"/>
        <v>#REF!</v>
      </c>
      <c r="J77" s="146" t="e">
        <f>SUMIF(#REF!,'Huella materiales'!A77,#REF!)</f>
        <v>#REF!</v>
      </c>
      <c r="K77" s="1013" t="e">
        <f t="shared" si="188"/>
        <v>#REF!</v>
      </c>
      <c r="L77" s="146" t="e">
        <f>SUMIF(#REF!,'Huella materiales'!A77,#REF!)</f>
        <v>#REF!</v>
      </c>
      <c r="M77" s="1013" t="e">
        <f t="shared" si="189"/>
        <v>#REF!</v>
      </c>
      <c r="N77" s="146" t="e">
        <f>SUMIF(#REF!,'Huella materiales'!A77,#REF!)</f>
        <v>#REF!</v>
      </c>
      <c r="O77" s="1013" t="e">
        <f t="shared" si="190"/>
        <v>#REF!</v>
      </c>
      <c r="P77" s="146" t="e">
        <f>SUMIF(#REF!,'Huella materiales'!A77,#REF!)</f>
        <v>#REF!</v>
      </c>
      <c r="Q77" s="1013" t="e">
        <f t="shared" si="201"/>
        <v>#REF!</v>
      </c>
      <c r="R77" s="146" t="e">
        <f>SUMIF(#REF!,'Huella materiales'!A77,#REF!)</f>
        <v>#REF!</v>
      </c>
      <c r="S77" s="1013" t="e">
        <f t="shared" si="202"/>
        <v>#REF!</v>
      </c>
      <c r="T77" s="146" t="e">
        <f>SUMIF(#REF!,'Huella materiales'!A77,#REF!)</f>
        <v>#REF!</v>
      </c>
      <c r="U77" s="1013" t="e">
        <f t="shared" si="203"/>
        <v>#REF!</v>
      </c>
      <c r="V77" s="146" t="e">
        <f>SUMIF(#REF!,'Huella materiales'!A77,#REF!)</f>
        <v>#REF!</v>
      </c>
      <c r="W77" s="1013" t="e">
        <f t="shared" si="204"/>
        <v>#REF!</v>
      </c>
      <c r="X77" s="146" t="e">
        <f>SUMIF(#REF!,'Huella materiales'!A77,#REF!)</f>
        <v>#REF!</v>
      </c>
      <c r="Y77" s="1013" t="e">
        <f t="shared" si="205"/>
        <v>#REF!</v>
      </c>
      <c r="Z77" s="146" t="e">
        <f>SUMIF(#REF!,'Huella materiales'!A77,#REF!)</f>
        <v>#REF!</v>
      </c>
      <c r="AA77" s="1013" t="e">
        <f t="shared" si="206"/>
        <v>#REF!</v>
      </c>
      <c r="AB77" s="1030">
        <f>'Datos auxiliares materiales'!C41</f>
        <v>1000</v>
      </c>
      <c r="AC77" s="1017" t="e">
        <f t="shared" si="207"/>
        <v>#REF!</v>
      </c>
      <c r="AD77" s="1022">
        <f t="shared" si="191"/>
        <v>0</v>
      </c>
      <c r="AE77" s="1077">
        <f>'Datos auxiliares materiales'!D40</f>
        <v>1.34</v>
      </c>
      <c r="AF77" s="170">
        <f t="shared" si="208"/>
        <v>0</v>
      </c>
      <c r="AG77" s="170" t="e">
        <f t="shared" si="209"/>
        <v>#REF!</v>
      </c>
      <c r="AH77" s="170" t="e">
        <f t="shared" si="210"/>
        <v>#REF!</v>
      </c>
      <c r="AI77" s="170" t="e">
        <f t="shared" si="211"/>
        <v>#REF!</v>
      </c>
      <c r="AJ77" s="170" t="e">
        <f t="shared" si="212"/>
        <v>#REF!</v>
      </c>
      <c r="AK77" s="170" t="e">
        <f t="shared" si="213"/>
        <v>#REF!</v>
      </c>
      <c r="AL77" s="170" t="e">
        <f t="shared" si="214"/>
        <v>#REF!</v>
      </c>
      <c r="AM77" s="170" t="e">
        <f t="shared" si="215"/>
        <v>#REF!</v>
      </c>
      <c r="AN77" s="170" t="e">
        <f t="shared" si="216"/>
        <v>#REF!</v>
      </c>
      <c r="AO77" s="170" t="e">
        <f t="shared" si="217"/>
        <v>#REF!</v>
      </c>
      <c r="AP77" s="170" t="e">
        <f t="shared" si="218"/>
        <v>#REF!</v>
      </c>
      <c r="AQ77" s="170" t="e">
        <f t="shared" si="219"/>
        <v>#REF!</v>
      </c>
      <c r="AR77" s="170" t="e">
        <f t="shared" si="220"/>
        <v>#REF!</v>
      </c>
      <c r="AS77" s="1082" t="e">
        <f t="shared" si="192"/>
        <v>#REF!</v>
      </c>
      <c r="AT77" s="170"/>
      <c r="AU77" s="171"/>
      <c r="AV77" s="160"/>
      <c r="AW77" s="160"/>
      <c r="AX77" s="160"/>
      <c r="AY77"/>
      <c r="AZ77"/>
      <c r="BA77"/>
      <c r="BL77" s="16"/>
      <c r="BM77" s="16"/>
      <c r="BN77" s="16"/>
      <c r="BO77" s="16"/>
      <c r="BP77" s="10" t="s">
        <v>560</v>
      </c>
    </row>
    <row r="78" spans="1:68">
      <c r="A78" s="1338" t="s">
        <v>1127</v>
      </c>
      <c r="B78" s="1903" t="s">
        <v>261</v>
      </c>
      <c r="C78" s="169">
        <f>SUMIFS(BCRR_REHAB!L:L,BCRR_REHAB!D:D,'Huella materiales'!A78)</f>
        <v>0</v>
      </c>
      <c r="D78" s="146" t="e">
        <f>SUMIF(#REF!,'Huella materiales'!A78,#REF!)</f>
        <v>#REF!</v>
      </c>
      <c r="E78" s="1013" t="e">
        <f t="shared" si="185"/>
        <v>#REF!</v>
      </c>
      <c r="F78" s="146" t="e">
        <f>SUMIF(#REF!,'Huella materiales'!A78,#REF!)</f>
        <v>#REF!</v>
      </c>
      <c r="G78" s="1013" t="e">
        <f t="shared" si="186"/>
        <v>#REF!</v>
      </c>
      <c r="H78" s="146" t="e">
        <f>SUMIF(#REF!,'Huella materiales'!A78,#REF!)</f>
        <v>#REF!</v>
      </c>
      <c r="I78" s="1013" t="e">
        <f t="shared" si="187"/>
        <v>#REF!</v>
      </c>
      <c r="J78" s="146" t="e">
        <f>SUMIF(#REF!,'Huella materiales'!A78,#REF!)</f>
        <v>#REF!</v>
      </c>
      <c r="K78" s="1013" t="e">
        <f t="shared" si="188"/>
        <v>#REF!</v>
      </c>
      <c r="L78" s="146" t="e">
        <f>SUMIF(#REF!,'Huella materiales'!A78,#REF!)</f>
        <v>#REF!</v>
      </c>
      <c r="M78" s="1013" t="e">
        <f t="shared" si="189"/>
        <v>#REF!</v>
      </c>
      <c r="N78" s="146" t="e">
        <f>SUMIF(#REF!,'Huella materiales'!A78,#REF!)</f>
        <v>#REF!</v>
      </c>
      <c r="O78" s="1013" t="e">
        <f t="shared" si="190"/>
        <v>#REF!</v>
      </c>
      <c r="P78" s="146" t="e">
        <f>SUMIF(#REF!,'Huella materiales'!A78,#REF!)</f>
        <v>#REF!</v>
      </c>
      <c r="Q78" s="1013" t="e">
        <f t="shared" si="201"/>
        <v>#REF!</v>
      </c>
      <c r="R78" s="146" t="e">
        <f>SUMIF(#REF!,'Huella materiales'!A78,#REF!)</f>
        <v>#REF!</v>
      </c>
      <c r="S78" s="1013" t="e">
        <f t="shared" si="202"/>
        <v>#REF!</v>
      </c>
      <c r="T78" s="146" t="e">
        <f>SUMIF(#REF!,'Huella materiales'!A78,#REF!)</f>
        <v>#REF!</v>
      </c>
      <c r="U78" s="1013" t="e">
        <f t="shared" si="203"/>
        <v>#REF!</v>
      </c>
      <c r="V78" s="146" t="e">
        <f>SUMIF(#REF!,'Huella materiales'!A78,#REF!)</f>
        <v>#REF!</v>
      </c>
      <c r="W78" s="1013" t="e">
        <f t="shared" si="204"/>
        <v>#REF!</v>
      </c>
      <c r="X78" s="146" t="e">
        <f>SUMIF(#REF!,'Huella materiales'!A78,#REF!)</f>
        <v>#REF!</v>
      </c>
      <c r="Y78" s="1013" t="e">
        <f t="shared" si="205"/>
        <v>#REF!</v>
      </c>
      <c r="Z78" s="146" t="e">
        <f>SUMIF(#REF!,'Huella materiales'!A78,#REF!)</f>
        <v>#REF!</v>
      </c>
      <c r="AA78" s="1013" t="e">
        <f t="shared" si="206"/>
        <v>#REF!</v>
      </c>
      <c r="AB78" s="1030">
        <f>'Datos auxiliares materiales'!C43</f>
        <v>18</v>
      </c>
      <c r="AC78" s="1017" t="e">
        <f t="shared" si="207"/>
        <v>#REF!</v>
      </c>
      <c r="AD78" s="1022">
        <f t="shared" si="191"/>
        <v>0</v>
      </c>
      <c r="AE78" s="1077">
        <f>'Datos auxiliares materiales'!D43</f>
        <v>1.34</v>
      </c>
      <c r="AF78" s="170">
        <f t="shared" si="208"/>
        <v>0</v>
      </c>
      <c r="AG78" s="170" t="e">
        <f t="shared" si="209"/>
        <v>#REF!</v>
      </c>
      <c r="AH78" s="170" t="e">
        <f t="shared" si="210"/>
        <v>#REF!</v>
      </c>
      <c r="AI78" s="170" t="e">
        <f t="shared" si="211"/>
        <v>#REF!</v>
      </c>
      <c r="AJ78" s="170" t="e">
        <f t="shared" si="212"/>
        <v>#REF!</v>
      </c>
      <c r="AK78" s="170" t="e">
        <f t="shared" si="213"/>
        <v>#REF!</v>
      </c>
      <c r="AL78" s="170" t="e">
        <f t="shared" si="214"/>
        <v>#REF!</v>
      </c>
      <c r="AM78" s="170" t="e">
        <f t="shared" si="215"/>
        <v>#REF!</v>
      </c>
      <c r="AN78" s="170" t="e">
        <f t="shared" si="216"/>
        <v>#REF!</v>
      </c>
      <c r="AO78" s="170" t="e">
        <f>T78*AB78*AE78</f>
        <v>#REF!</v>
      </c>
      <c r="AP78" s="170" t="e">
        <f t="shared" si="218"/>
        <v>#REF!</v>
      </c>
      <c r="AQ78" s="170" t="e">
        <f t="shared" si="219"/>
        <v>#REF!</v>
      </c>
      <c r="AR78" s="170" t="e">
        <f t="shared" si="220"/>
        <v>#REF!</v>
      </c>
      <c r="AS78" s="1082" t="e">
        <f>AG78+AH78+AI78+AJ78+AK78+AL78+AM78+AN78+AO78+AP78+AQ78+AR78</f>
        <v>#REF!</v>
      </c>
      <c r="AT78" s="170"/>
      <c r="AU78" s="171"/>
      <c r="AV78" s="160"/>
      <c r="AW78" s="160"/>
      <c r="AX78" s="160"/>
      <c r="AY78"/>
      <c r="AZ78"/>
      <c r="BA78"/>
      <c r="BL78" s="16"/>
      <c r="BM78" s="16"/>
      <c r="BN78" s="16"/>
      <c r="BO78" s="16"/>
      <c r="BP78" s="10" t="s">
        <v>560</v>
      </c>
    </row>
    <row r="79" spans="1:68">
      <c r="A79" s="1338" t="s">
        <v>1137</v>
      </c>
      <c r="B79" s="1903" t="s">
        <v>261</v>
      </c>
      <c r="C79" s="169">
        <f>SUMIFS(BCRR_REHAB!L:L,BCRR_REHAB!D:D,'Huella materiales'!A79)</f>
        <v>0</v>
      </c>
      <c r="D79" s="146" t="e">
        <f>SUMIF(#REF!,'Huella materiales'!A79,#REF!)</f>
        <v>#REF!</v>
      </c>
      <c r="E79" s="1013" t="e">
        <f t="shared" si="185"/>
        <v>#REF!</v>
      </c>
      <c r="F79" s="146" t="e">
        <f>SUMIF(#REF!,'Huella materiales'!A79,#REF!)</f>
        <v>#REF!</v>
      </c>
      <c r="G79" s="1013" t="e">
        <f t="shared" si="186"/>
        <v>#REF!</v>
      </c>
      <c r="H79" s="146" t="e">
        <f>SUMIF(#REF!,'Huella materiales'!A79,#REF!)</f>
        <v>#REF!</v>
      </c>
      <c r="I79" s="1013" t="e">
        <f t="shared" si="187"/>
        <v>#REF!</v>
      </c>
      <c r="J79" s="146" t="e">
        <f>SUMIF(#REF!,'Huella materiales'!A79,#REF!)</f>
        <v>#REF!</v>
      </c>
      <c r="K79" s="1013" t="e">
        <f t="shared" si="188"/>
        <v>#REF!</v>
      </c>
      <c r="L79" s="146" t="e">
        <f>SUMIF(#REF!,'Huella materiales'!A79,#REF!)</f>
        <v>#REF!</v>
      </c>
      <c r="M79" s="1013" t="e">
        <f t="shared" si="189"/>
        <v>#REF!</v>
      </c>
      <c r="N79" s="146" t="e">
        <f>SUMIF(#REF!,'Huella materiales'!A79,#REF!)</f>
        <v>#REF!</v>
      </c>
      <c r="O79" s="1013" t="e">
        <f t="shared" si="190"/>
        <v>#REF!</v>
      </c>
      <c r="P79" s="146" t="e">
        <f>SUMIF(#REF!,'Huella materiales'!A79,#REF!)</f>
        <v>#REF!</v>
      </c>
      <c r="Q79" s="1013" t="e">
        <f t="shared" si="201"/>
        <v>#REF!</v>
      </c>
      <c r="R79" s="146" t="e">
        <f>SUMIF(#REF!,'Huella materiales'!A79,#REF!)</f>
        <v>#REF!</v>
      </c>
      <c r="S79" s="1013" t="e">
        <f t="shared" si="202"/>
        <v>#REF!</v>
      </c>
      <c r="T79" s="146" t="e">
        <f>SUMIF(#REF!,'Huella materiales'!A79,#REF!)</f>
        <v>#REF!</v>
      </c>
      <c r="U79" s="1013" t="e">
        <f t="shared" si="203"/>
        <v>#REF!</v>
      </c>
      <c r="V79" s="146" t="e">
        <f>SUMIF(#REF!,'Huella materiales'!A79,#REF!)</f>
        <v>#REF!</v>
      </c>
      <c r="W79" s="1013" t="e">
        <f t="shared" si="204"/>
        <v>#REF!</v>
      </c>
      <c r="X79" s="146" t="e">
        <f>SUMIF(#REF!,'Huella materiales'!A79,#REF!)</f>
        <v>#REF!</v>
      </c>
      <c r="Y79" s="1013" t="e">
        <f t="shared" si="205"/>
        <v>#REF!</v>
      </c>
      <c r="Z79" s="146" t="e">
        <f>SUMIF(#REF!,'Huella materiales'!A79,#REF!)</f>
        <v>#REF!</v>
      </c>
      <c r="AA79" s="1013" t="e">
        <f t="shared" si="206"/>
        <v>#REF!</v>
      </c>
      <c r="AB79" s="1030">
        <f>'Datos auxiliares materiales'!C44</f>
        <v>1.9</v>
      </c>
      <c r="AC79" s="1017" t="e">
        <f t="shared" si="207"/>
        <v>#REF!</v>
      </c>
      <c r="AD79" s="1022">
        <f t="shared" si="191"/>
        <v>0</v>
      </c>
      <c r="AE79" s="1077">
        <f>'Datos auxiliares materiales'!D44</f>
        <v>1.34</v>
      </c>
      <c r="AF79" s="170">
        <f t="shared" si="208"/>
        <v>0</v>
      </c>
      <c r="AG79" s="170" t="e">
        <f t="shared" si="209"/>
        <v>#REF!</v>
      </c>
      <c r="AH79" s="170" t="e">
        <f t="shared" si="210"/>
        <v>#REF!</v>
      </c>
      <c r="AI79" s="170" t="e">
        <f t="shared" si="211"/>
        <v>#REF!</v>
      </c>
      <c r="AJ79" s="170" t="e">
        <f t="shared" si="212"/>
        <v>#REF!</v>
      </c>
      <c r="AK79" s="170" t="e">
        <f t="shared" si="213"/>
        <v>#REF!</v>
      </c>
      <c r="AL79" s="170" t="e">
        <f t="shared" si="214"/>
        <v>#REF!</v>
      </c>
      <c r="AM79" s="170" t="e">
        <f t="shared" si="215"/>
        <v>#REF!</v>
      </c>
      <c r="AN79" s="170" t="e">
        <f t="shared" si="216"/>
        <v>#REF!</v>
      </c>
      <c r="AO79" s="170" t="e">
        <f t="shared" si="217"/>
        <v>#REF!</v>
      </c>
      <c r="AP79" s="170" t="e">
        <f t="shared" si="218"/>
        <v>#REF!</v>
      </c>
      <c r="AQ79" s="170" t="e">
        <f t="shared" si="219"/>
        <v>#REF!</v>
      </c>
      <c r="AR79" s="170" t="e">
        <f t="shared" si="220"/>
        <v>#REF!</v>
      </c>
      <c r="AS79" s="1082" t="e">
        <f>AG79+AH79+AI79+AJ79+AK79+AL79+AM79+AN79+AO79+AP79+AQ79+AR79</f>
        <v>#REF!</v>
      </c>
      <c r="AT79" s="170"/>
      <c r="AU79" s="171"/>
      <c r="AV79" s="160"/>
      <c r="AW79" s="160"/>
      <c r="AX79" s="160"/>
      <c r="AY79"/>
      <c r="AZ79" s="29">
        <v>1.4E-2</v>
      </c>
      <c r="BA79" s="34"/>
      <c r="BB79" s="34"/>
      <c r="BC79" s="34"/>
      <c r="BD79" s="34"/>
      <c r="BE79" s="34"/>
      <c r="BL79" s="16"/>
      <c r="BM79" s="16"/>
      <c r="BN79" s="16"/>
      <c r="BO79" s="16"/>
      <c r="BP79" s="10" t="s">
        <v>560</v>
      </c>
    </row>
    <row r="80" spans="1:68">
      <c r="A80" s="10" t="s">
        <v>1145</v>
      </c>
      <c r="B80" s="175" t="s">
        <v>100</v>
      </c>
      <c r="C80" s="169">
        <f>SUMIFS(BCRR_REHAB!L:L,BCRR_REHAB!D:D,'Huella materiales'!A80)</f>
        <v>0</v>
      </c>
      <c r="D80" s="146" t="e">
        <f>SUMIF(#REF!,'Huella materiales'!A80,#REF!)</f>
        <v>#REF!</v>
      </c>
      <c r="E80" s="1013" t="e">
        <f t="shared" si="185"/>
        <v>#REF!</v>
      </c>
      <c r="F80" s="146" t="e">
        <f>SUMIF(#REF!,'Huella materiales'!A80,#REF!)</f>
        <v>#REF!</v>
      </c>
      <c r="G80" s="1013" t="e">
        <f t="shared" si="186"/>
        <v>#REF!</v>
      </c>
      <c r="H80" s="146" t="e">
        <f>SUMIF(#REF!,'Huella materiales'!A80,#REF!)</f>
        <v>#REF!</v>
      </c>
      <c r="I80" s="1013" t="e">
        <f t="shared" si="187"/>
        <v>#REF!</v>
      </c>
      <c r="J80" s="146" t="e">
        <f>SUMIF(#REF!,'Huella materiales'!A80,#REF!)</f>
        <v>#REF!</v>
      </c>
      <c r="K80" s="1013" t="e">
        <f t="shared" si="188"/>
        <v>#REF!</v>
      </c>
      <c r="L80" s="146" t="e">
        <f>SUMIF(#REF!,'Huella materiales'!A80,#REF!)</f>
        <v>#REF!</v>
      </c>
      <c r="M80" s="1013" t="e">
        <f t="shared" si="189"/>
        <v>#REF!</v>
      </c>
      <c r="N80" s="146" t="e">
        <f>SUMIF(#REF!,'Huella materiales'!A80,#REF!)</f>
        <v>#REF!</v>
      </c>
      <c r="O80" s="1013" t="e">
        <f t="shared" si="190"/>
        <v>#REF!</v>
      </c>
      <c r="P80" s="146" t="e">
        <f>SUMIF(#REF!,'Huella materiales'!A80,#REF!)</f>
        <v>#REF!</v>
      </c>
      <c r="Q80" s="1013" t="e">
        <f t="shared" si="201"/>
        <v>#REF!</v>
      </c>
      <c r="R80" s="146" t="e">
        <f>SUMIF(#REF!,'Huella materiales'!A80,#REF!)</f>
        <v>#REF!</v>
      </c>
      <c r="S80" s="1013" t="e">
        <f t="shared" si="202"/>
        <v>#REF!</v>
      </c>
      <c r="T80" s="146" t="e">
        <f>SUMIF(#REF!,'Huella materiales'!A80,#REF!)</f>
        <v>#REF!</v>
      </c>
      <c r="U80" s="1013" t="e">
        <f t="shared" si="203"/>
        <v>#REF!</v>
      </c>
      <c r="V80" s="146" t="e">
        <f>SUMIF(#REF!,'Huella materiales'!A80,#REF!)</f>
        <v>#REF!</v>
      </c>
      <c r="W80" s="1013" t="e">
        <f t="shared" si="204"/>
        <v>#REF!</v>
      </c>
      <c r="X80" s="146" t="e">
        <f>SUMIF(#REF!,'Huella materiales'!A80,#REF!)</f>
        <v>#REF!</v>
      </c>
      <c r="Y80" s="1013" t="e">
        <f t="shared" si="205"/>
        <v>#REF!</v>
      </c>
      <c r="Z80" s="146" t="e">
        <f>SUMIF(#REF!,'Huella materiales'!A80,#REF!)</f>
        <v>#REF!</v>
      </c>
      <c r="AA80" s="1013" t="e">
        <f t="shared" si="206"/>
        <v>#REF!</v>
      </c>
      <c r="AB80" s="1030">
        <f>'Datos auxiliares materiales'!C41</f>
        <v>1000</v>
      </c>
      <c r="AC80" s="1017" t="e">
        <f t="shared" si="207"/>
        <v>#REF!</v>
      </c>
      <c r="AD80" s="1022">
        <f t="shared" si="191"/>
        <v>0</v>
      </c>
      <c r="AE80" s="1077">
        <f>'Datos auxiliares materiales'!D41</f>
        <v>7</v>
      </c>
      <c r="AF80" s="170">
        <f t="shared" si="208"/>
        <v>0</v>
      </c>
      <c r="AG80" s="170" t="e">
        <f t="shared" si="209"/>
        <v>#REF!</v>
      </c>
      <c r="AH80" s="170" t="e">
        <f t="shared" si="210"/>
        <v>#REF!</v>
      </c>
      <c r="AI80" s="170" t="e">
        <f t="shared" si="211"/>
        <v>#REF!</v>
      </c>
      <c r="AJ80" s="170" t="e">
        <f t="shared" si="212"/>
        <v>#REF!</v>
      </c>
      <c r="AK80" s="170" t="e">
        <f t="shared" si="213"/>
        <v>#REF!</v>
      </c>
      <c r="AL80" s="170" t="e">
        <f t="shared" si="214"/>
        <v>#REF!</v>
      </c>
      <c r="AM80" s="170" t="e">
        <f t="shared" si="215"/>
        <v>#REF!</v>
      </c>
      <c r="AN80" s="170" t="e">
        <f t="shared" si="216"/>
        <v>#REF!</v>
      </c>
      <c r="AO80" s="170" t="e">
        <f t="shared" si="217"/>
        <v>#REF!</v>
      </c>
      <c r="AP80" s="170" t="e">
        <f t="shared" si="218"/>
        <v>#REF!</v>
      </c>
      <c r="AQ80" s="170" t="e">
        <f t="shared" si="219"/>
        <v>#REF!</v>
      </c>
      <c r="AR80" s="170" t="e">
        <f t="shared" si="220"/>
        <v>#REF!</v>
      </c>
      <c r="AS80" s="1082" t="e">
        <f t="shared" si="192"/>
        <v>#REF!</v>
      </c>
      <c r="AT80" s="170"/>
      <c r="AU80" s="171"/>
      <c r="AV80" s="160"/>
      <c r="AW80" s="1520"/>
      <c r="AX80" s="1520"/>
      <c r="AY80" s="1521"/>
      <c r="AZ80" s="1525">
        <v>1.4E-2</v>
      </c>
      <c r="BA80" s="1526"/>
      <c r="BB80" s="1526"/>
      <c r="BC80" s="1526"/>
      <c r="BD80" s="1526"/>
      <c r="BE80" s="1526"/>
      <c r="BF80" s="1521"/>
      <c r="BG80" s="1521"/>
      <c r="BH80" s="1521"/>
      <c r="BI80" s="1521"/>
      <c r="BJ80" s="1521"/>
      <c r="BL80" s="16"/>
      <c r="BM80" s="16"/>
      <c r="BN80" s="16"/>
      <c r="BO80" s="16"/>
      <c r="BP80" s="10" t="s">
        <v>561</v>
      </c>
    </row>
    <row r="81" spans="1:68" s="1521" customFormat="1">
      <c r="A81" s="1373" t="s">
        <v>1394</v>
      </c>
      <c r="B81" s="1904" t="s">
        <v>1579</v>
      </c>
      <c r="C81" s="169">
        <f>SUMIFS(BCRR_REHAB!L:L,BCRR_REHAB!D:D,'Huella materiales'!A81)</f>
        <v>5.1143283879999997</v>
      </c>
      <c r="D81" s="1515" t="e">
        <f>SUMIF(#REF!,'Huella materiales'!A81,#REF!)</f>
        <v>#REF!</v>
      </c>
      <c r="E81" s="1515" t="e">
        <f>D81*AB81</f>
        <v>#REF!</v>
      </c>
      <c r="F81" s="146" t="e">
        <f>SUMIF(#REF!,'Huella materiales'!A81,#REF!)</f>
        <v>#REF!</v>
      </c>
      <c r="G81" s="1515" t="e">
        <f>F81*AB81</f>
        <v>#REF!</v>
      </c>
      <c r="H81" s="146" t="e">
        <f>SUMIF(#REF!,'Huella materiales'!A81,#REF!)</f>
        <v>#REF!</v>
      </c>
      <c r="I81" s="1515" t="e">
        <f>H81*AB81</f>
        <v>#REF!</v>
      </c>
      <c r="J81" s="146" t="e">
        <f>SUMIF(#REF!,'Huella materiales'!A81,#REF!)</f>
        <v>#REF!</v>
      </c>
      <c r="K81" s="1515" t="e">
        <f>J81*AB81</f>
        <v>#REF!</v>
      </c>
      <c r="L81" s="146" t="e">
        <f>SUMIF(#REF!,'Huella materiales'!A81,#REF!)</f>
        <v>#REF!</v>
      </c>
      <c r="M81" s="1515" t="e">
        <f>L81*AB81</f>
        <v>#REF!</v>
      </c>
      <c r="N81" s="1515" t="e">
        <f>SUMIF(#REF!,'Huella materiales'!A81,#REF!)</f>
        <v>#REF!</v>
      </c>
      <c r="O81" s="1515" t="e">
        <f>N81*AB81</f>
        <v>#REF!</v>
      </c>
      <c r="P81" s="1515" t="e">
        <f>SUMIF(#REF!,'Huella materiales'!A81,#REF!)</f>
        <v>#REF!</v>
      </c>
      <c r="Q81" s="1515" t="e">
        <f>P81*AB81</f>
        <v>#REF!</v>
      </c>
      <c r="R81" s="1515" t="e">
        <f>SUMIF(#REF!,'Huella materiales'!A81,#REF!)</f>
        <v>#REF!</v>
      </c>
      <c r="S81" s="1515" t="e">
        <f>R81*AB81</f>
        <v>#REF!</v>
      </c>
      <c r="T81" s="146" t="e">
        <f>SUMIF(#REF!,'Huella materiales'!A81,#REF!)</f>
        <v>#REF!</v>
      </c>
      <c r="U81" s="1515" t="e">
        <f>T81*AB81</f>
        <v>#REF!</v>
      </c>
      <c r="V81" s="1515" t="e">
        <f>SUMIF(#REF!,'Huella materiales'!A81,#REF!)</f>
        <v>#REF!</v>
      </c>
      <c r="W81" s="1515" t="e">
        <f>V81*AB81</f>
        <v>#REF!</v>
      </c>
      <c r="X81" s="1515" t="e">
        <f>SUMIF(#REF!,'Huella materiales'!A81,#REF!)</f>
        <v>#REF!</v>
      </c>
      <c r="Y81" s="1515" t="e">
        <f>X81*AB81</f>
        <v>#REF!</v>
      </c>
      <c r="Z81" s="1515" t="e">
        <f>SUMIF(#REF!,'Huella materiales'!A81,#REF!)</f>
        <v>#REF!</v>
      </c>
      <c r="AA81" s="1515" t="e">
        <f>Z81*AB81</f>
        <v>#REF!</v>
      </c>
      <c r="AB81" s="1030">
        <f>'Datos auxiliares materiales'!C42</f>
        <v>1000</v>
      </c>
      <c r="AC81" s="1516" t="e">
        <f>E81+G81+I81+K81+M81+O81+Q81+S81+U81+W81+Y81+AA81</f>
        <v>#REF!</v>
      </c>
      <c r="AD81" s="1517">
        <f>C81*AB81</f>
        <v>5114.3283879999999</v>
      </c>
      <c r="AE81" s="1077">
        <f>'Datos auxiliares materiales'!D42</f>
        <v>7</v>
      </c>
      <c r="AF81" s="1515">
        <f>C81*AB81*AE81</f>
        <v>35800.298715999998</v>
      </c>
      <c r="AG81" s="1515" t="e">
        <f>D81*AB81*AE81</f>
        <v>#REF!</v>
      </c>
      <c r="AH81" s="1515" t="e">
        <f>F81*AB81*AE81</f>
        <v>#REF!</v>
      </c>
      <c r="AI81" s="1515" t="e">
        <f>H81*AB81*AE81</f>
        <v>#REF!</v>
      </c>
      <c r="AJ81" s="1515" t="e">
        <f>J81*AB81*AE81</f>
        <v>#REF!</v>
      </c>
      <c r="AK81" s="1515" t="e">
        <f>L81*AB81*AE81</f>
        <v>#REF!</v>
      </c>
      <c r="AL81" s="1515" t="e">
        <f>N81*AB81*AE81</f>
        <v>#REF!</v>
      </c>
      <c r="AM81" s="1515" t="e">
        <f>P81*AB81*AE81</f>
        <v>#REF!</v>
      </c>
      <c r="AN81" s="1515" t="e">
        <f>R81*AB81*AE81</f>
        <v>#REF!</v>
      </c>
      <c r="AO81" s="1515" t="e">
        <f>T81*AB81*AE81</f>
        <v>#REF!</v>
      </c>
      <c r="AP81" s="1515" t="e">
        <f>V81*AB81*AE81</f>
        <v>#REF!</v>
      </c>
      <c r="AQ81" s="1515" t="e">
        <f>X81*AB81*AE81</f>
        <v>#REF!</v>
      </c>
      <c r="AR81" s="1515" t="e">
        <f>Z81*AB81*AE81</f>
        <v>#REF!</v>
      </c>
      <c r="AS81" s="1524" t="e">
        <f>AG81+AH81+AI81+AJ81+AK81+AM81+AN81+AO81+AP81+AQ81+AR81</f>
        <v>#REF!</v>
      </c>
      <c r="AT81" s="1515"/>
      <c r="AU81" s="1519"/>
      <c r="AV81" s="1520"/>
      <c r="AW81" s="1520"/>
      <c r="AX81" s="1520"/>
      <c r="AZ81" s="1525"/>
      <c r="BA81" s="1526"/>
      <c r="BB81" s="1526"/>
      <c r="BC81" s="1526"/>
      <c r="BD81" s="1526"/>
      <c r="BE81" s="1526"/>
      <c r="BL81" s="1522"/>
      <c r="BM81" s="1522"/>
      <c r="BN81" s="1522"/>
      <c r="BO81" s="1522"/>
      <c r="BP81" s="1373" t="s">
        <v>561</v>
      </c>
    </row>
    <row r="82" spans="1:68" s="1521" customFormat="1">
      <c r="A82" s="1373" t="s">
        <v>1116</v>
      </c>
      <c r="B82" s="1513" t="s">
        <v>47</v>
      </c>
      <c r="C82" s="169">
        <f>SUMIFS(BCRR_REHAB!L:L,BCRR_REHAB!D:D,'Huella materiales'!A82)</f>
        <v>0</v>
      </c>
      <c r="D82" s="1515" t="e">
        <f>SUMIF(#REF!,'Huella materiales'!A82,#REF!)</f>
        <v>#REF!</v>
      </c>
      <c r="E82" s="1515" t="e">
        <f t="shared" si="185"/>
        <v>#REF!</v>
      </c>
      <c r="F82" s="146" t="e">
        <f>SUMIF(#REF!,'Huella materiales'!A82,#REF!)</f>
        <v>#REF!</v>
      </c>
      <c r="G82" s="1515" t="e">
        <f t="shared" si="186"/>
        <v>#REF!</v>
      </c>
      <c r="H82" s="146" t="e">
        <f>SUMIF(#REF!,'Huella materiales'!A82,#REF!)</f>
        <v>#REF!</v>
      </c>
      <c r="I82" s="1515" t="e">
        <f t="shared" si="187"/>
        <v>#REF!</v>
      </c>
      <c r="J82" s="146" t="e">
        <f>SUMIF(#REF!,'Huella materiales'!A82,#REF!)</f>
        <v>#REF!</v>
      </c>
      <c r="K82" s="1515" t="e">
        <f t="shared" si="188"/>
        <v>#REF!</v>
      </c>
      <c r="L82" s="146" t="e">
        <f>SUMIF(#REF!,'Huella materiales'!A82,#REF!)</f>
        <v>#REF!</v>
      </c>
      <c r="M82" s="1515" t="e">
        <f t="shared" si="189"/>
        <v>#REF!</v>
      </c>
      <c r="N82" s="1515" t="e">
        <f>SUMIF(#REF!,'Huella materiales'!A82,#REF!)</f>
        <v>#REF!</v>
      </c>
      <c r="O82" s="1515" t="e">
        <f t="shared" si="190"/>
        <v>#REF!</v>
      </c>
      <c r="P82" s="1515" t="e">
        <f>SUMIF(#REF!,'Huella materiales'!A82,#REF!)</f>
        <v>#REF!</v>
      </c>
      <c r="Q82" s="1515" t="e">
        <f t="shared" si="201"/>
        <v>#REF!</v>
      </c>
      <c r="R82" s="1515" t="e">
        <f>SUMIF(#REF!,'Huella materiales'!A82,#REF!)</f>
        <v>#REF!</v>
      </c>
      <c r="S82" s="1515" t="e">
        <f t="shared" si="202"/>
        <v>#REF!</v>
      </c>
      <c r="T82" s="146" t="e">
        <f>SUMIF(#REF!,'Huella materiales'!A82,#REF!)</f>
        <v>#REF!</v>
      </c>
      <c r="U82" s="1515" t="e">
        <f t="shared" si="203"/>
        <v>#REF!</v>
      </c>
      <c r="V82" s="1515" t="e">
        <f>SUMIF(#REF!,'Huella materiales'!A82,#REF!)</f>
        <v>#REF!</v>
      </c>
      <c r="W82" s="1515" t="e">
        <f t="shared" si="204"/>
        <v>#REF!</v>
      </c>
      <c r="X82" s="1515" t="e">
        <f>SUMIF(#REF!,'Huella materiales'!A82,#REF!)</f>
        <v>#REF!</v>
      </c>
      <c r="Y82" s="1515" t="e">
        <f t="shared" si="205"/>
        <v>#REF!</v>
      </c>
      <c r="Z82" s="1515" t="e">
        <f>SUMIF(#REF!,'Huella materiales'!A82,#REF!)</f>
        <v>#REF!</v>
      </c>
      <c r="AA82" s="1515" t="e">
        <f t="shared" si="206"/>
        <v>#REF!</v>
      </c>
      <c r="AB82" s="1515">
        <f>'Datos auxiliares materiales'!C43</f>
        <v>18</v>
      </c>
      <c r="AC82" s="1516" t="e">
        <f t="shared" si="207"/>
        <v>#REF!</v>
      </c>
      <c r="AD82" s="1517">
        <f t="shared" si="191"/>
        <v>0</v>
      </c>
      <c r="AE82" s="1518">
        <f>'Datos auxiliares materiales'!D43</f>
        <v>1.34</v>
      </c>
      <c r="AF82" s="1515">
        <f t="shared" si="208"/>
        <v>0</v>
      </c>
      <c r="AG82" s="1515" t="e">
        <f t="shared" si="209"/>
        <v>#REF!</v>
      </c>
      <c r="AH82" s="1515" t="e">
        <f t="shared" si="210"/>
        <v>#REF!</v>
      </c>
      <c r="AI82" s="1515" t="e">
        <f t="shared" si="211"/>
        <v>#REF!</v>
      </c>
      <c r="AJ82" s="1515" t="e">
        <f t="shared" si="212"/>
        <v>#REF!</v>
      </c>
      <c r="AK82" s="1515" t="e">
        <f t="shared" si="213"/>
        <v>#REF!</v>
      </c>
      <c r="AL82" s="1515" t="e">
        <f t="shared" si="214"/>
        <v>#REF!</v>
      </c>
      <c r="AM82" s="1515" t="e">
        <f t="shared" si="215"/>
        <v>#REF!</v>
      </c>
      <c r="AN82" s="1515" t="e">
        <f t="shared" si="216"/>
        <v>#REF!</v>
      </c>
      <c r="AO82" s="1515" t="e">
        <f t="shared" si="217"/>
        <v>#REF!</v>
      </c>
      <c r="AP82" s="1515" t="e">
        <f t="shared" si="218"/>
        <v>#REF!</v>
      </c>
      <c r="AQ82" s="1515" t="e">
        <f t="shared" si="219"/>
        <v>#REF!</v>
      </c>
      <c r="AR82" s="1515" t="e">
        <f t="shared" si="220"/>
        <v>#REF!</v>
      </c>
      <c r="AS82" s="1524" t="e">
        <f t="shared" si="192"/>
        <v>#REF!</v>
      </c>
      <c r="AT82" s="1515"/>
      <c r="AU82" s="1519"/>
      <c r="AV82" s="1520"/>
      <c r="AW82" s="160"/>
      <c r="AX82" s="160"/>
      <c r="AY82"/>
      <c r="AZ82" s="29"/>
      <c r="BA82" s="34"/>
      <c r="BB82" s="34"/>
      <c r="BC82" s="34"/>
      <c r="BD82" s="34"/>
      <c r="BE82" s="34"/>
      <c r="BF82"/>
      <c r="BG82"/>
      <c r="BH82"/>
      <c r="BI82"/>
      <c r="BJ82"/>
      <c r="BL82" s="1522"/>
      <c r="BM82" s="1522"/>
      <c r="BN82" s="1522"/>
      <c r="BO82" s="1522"/>
      <c r="BP82" s="1373" t="s">
        <v>562</v>
      </c>
    </row>
    <row r="83" spans="1:68">
      <c r="A83" s="1338" t="s">
        <v>1119</v>
      </c>
      <c r="B83" s="1903" t="s">
        <v>262</v>
      </c>
      <c r="C83" s="169">
        <f>SUMIFS(BCRR_REHAB!L:L,BCRR_REHAB!D:D,'Huella materiales'!A83)</f>
        <v>0</v>
      </c>
      <c r="D83" s="146" t="e">
        <f>SUMIF(#REF!,'Huella materiales'!A83,#REF!)</f>
        <v>#REF!</v>
      </c>
      <c r="E83" s="1013" t="e">
        <f t="shared" si="185"/>
        <v>#REF!</v>
      </c>
      <c r="F83" s="146" t="e">
        <f>SUMIF(#REF!,'Huella materiales'!A83,#REF!)</f>
        <v>#REF!</v>
      </c>
      <c r="G83" s="1013" t="e">
        <f t="shared" si="186"/>
        <v>#REF!</v>
      </c>
      <c r="H83" s="146" t="e">
        <f>SUMIF(#REF!,'Huella materiales'!A83,#REF!)</f>
        <v>#REF!</v>
      </c>
      <c r="I83" s="1013" t="e">
        <f t="shared" si="187"/>
        <v>#REF!</v>
      </c>
      <c r="J83" s="146" t="e">
        <f>SUMIF(#REF!,'Huella materiales'!A83,#REF!)</f>
        <v>#REF!</v>
      </c>
      <c r="K83" s="1013" t="e">
        <f t="shared" si="188"/>
        <v>#REF!</v>
      </c>
      <c r="L83" s="146" t="e">
        <f>SUMIF(#REF!,'Huella materiales'!A83,#REF!)</f>
        <v>#REF!</v>
      </c>
      <c r="M83" s="1013" t="e">
        <f t="shared" si="189"/>
        <v>#REF!</v>
      </c>
      <c r="N83" s="146" t="e">
        <f>SUMIF(#REF!,'Huella materiales'!A83,#REF!)</f>
        <v>#REF!</v>
      </c>
      <c r="O83" s="1013" t="e">
        <f t="shared" si="190"/>
        <v>#REF!</v>
      </c>
      <c r="P83" s="146" t="e">
        <f>SUMIF(#REF!,'Huella materiales'!A83,#REF!)</f>
        <v>#REF!</v>
      </c>
      <c r="Q83" s="1013" t="e">
        <f t="shared" si="201"/>
        <v>#REF!</v>
      </c>
      <c r="R83" s="146" t="e">
        <f>SUMIF(#REF!,'Huella materiales'!A83,#REF!)</f>
        <v>#REF!</v>
      </c>
      <c r="S83" s="1013" t="e">
        <f t="shared" si="202"/>
        <v>#REF!</v>
      </c>
      <c r="T83" s="146" t="e">
        <f>SUMIF(#REF!,'Huella materiales'!A83,#REF!)</f>
        <v>#REF!</v>
      </c>
      <c r="U83" s="1013" t="e">
        <f t="shared" si="203"/>
        <v>#REF!</v>
      </c>
      <c r="V83" s="146" t="e">
        <f>SUMIF(#REF!,'Huella materiales'!A83,#REF!)</f>
        <v>#REF!</v>
      </c>
      <c r="W83" s="1013" t="e">
        <f t="shared" si="204"/>
        <v>#REF!</v>
      </c>
      <c r="X83" s="146" t="e">
        <f>SUMIF(#REF!,'Huella materiales'!A83,#REF!)</f>
        <v>#REF!</v>
      </c>
      <c r="Y83" s="1013" t="e">
        <f t="shared" si="205"/>
        <v>#REF!</v>
      </c>
      <c r="Z83" s="146" t="e">
        <f>SUMIF(#REF!,'Huella materiales'!A83,#REF!)</f>
        <v>#REF!</v>
      </c>
      <c r="AA83" s="1013" t="e">
        <f t="shared" si="206"/>
        <v>#REF!</v>
      </c>
      <c r="AB83" s="1030">
        <f>'Datos auxiliares materiales'!C44</f>
        <v>1.9</v>
      </c>
      <c r="AC83" s="1017" t="e">
        <f t="shared" si="207"/>
        <v>#REF!</v>
      </c>
      <c r="AD83" s="1022">
        <f t="shared" si="191"/>
        <v>0</v>
      </c>
      <c r="AE83" s="1077">
        <f>'Datos auxiliares materiales'!D44</f>
        <v>1.34</v>
      </c>
      <c r="AF83" s="170">
        <f t="shared" si="208"/>
        <v>0</v>
      </c>
      <c r="AG83" s="170" t="e">
        <f t="shared" si="209"/>
        <v>#REF!</v>
      </c>
      <c r="AH83" s="170" t="e">
        <f t="shared" si="210"/>
        <v>#REF!</v>
      </c>
      <c r="AI83" s="170" t="e">
        <f t="shared" si="211"/>
        <v>#REF!</v>
      </c>
      <c r="AJ83" s="170" t="e">
        <f t="shared" si="212"/>
        <v>#REF!</v>
      </c>
      <c r="AK83" s="170" t="e">
        <f t="shared" si="213"/>
        <v>#REF!</v>
      </c>
      <c r="AL83" s="170" t="e">
        <f t="shared" si="214"/>
        <v>#REF!</v>
      </c>
      <c r="AM83" s="170" t="e">
        <f t="shared" si="215"/>
        <v>#REF!</v>
      </c>
      <c r="AN83" s="170" t="e">
        <f t="shared" si="216"/>
        <v>#REF!</v>
      </c>
      <c r="AO83" s="170" t="e">
        <f t="shared" si="217"/>
        <v>#REF!</v>
      </c>
      <c r="AP83" s="170" t="e">
        <f t="shared" si="218"/>
        <v>#REF!</v>
      </c>
      <c r="AQ83" s="170" t="e">
        <f t="shared" si="219"/>
        <v>#REF!</v>
      </c>
      <c r="AR83" s="170" t="e">
        <f t="shared" si="220"/>
        <v>#REF!</v>
      </c>
      <c r="AS83" s="1082" t="e">
        <f t="shared" si="192"/>
        <v>#REF!</v>
      </c>
      <c r="AT83" s="170"/>
      <c r="AU83" s="171"/>
      <c r="AV83" s="160"/>
      <c r="AW83" s="160"/>
      <c r="AX83" s="160"/>
      <c r="AY83"/>
      <c r="AZ83" s="29">
        <v>1.9E-2</v>
      </c>
      <c r="BA83" s="34"/>
      <c r="BB83" s="34"/>
      <c r="BC83" s="34"/>
      <c r="BD83" s="34"/>
      <c r="BE83" s="34"/>
      <c r="BL83" s="16"/>
      <c r="BM83" s="16"/>
      <c r="BN83" s="16"/>
      <c r="BO83" s="16"/>
      <c r="BP83" s="10" t="s">
        <v>563</v>
      </c>
    </row>
    <row r="84" spans="1:68">
      <c r="A84" s="12" t="s">
        <v>1157</v>
      </c>
      <c r="B84" s="175" t="s">
        <v>1231</v>
      </c>
      <c r="C84" s="169">
        <f>SUMIFS(BCRR_REHAB!L:L,BCRR_REHAB!D:D,'Huella materiales'!A84)</f>
        <v>0</v>
      </c>
      <c r="D84" s="146" t="e">
        <f>SUMIF(#REF!,'Huella materiales'!A84,#REF!)</f>
        <v>#REF!</v>
      </c>
      <c r="E84" s="1013" t="e">
        <f t="shared" si="185"/>
        <v>#REF!</v>
      </c>
      <c r="F84" s="146" t="e">
        <f>SUMIF(#REF!,'Huella materiales'!A84,#REF!)</f>
        <v>#REF!</v>
      </c>
      <c r="G84" s="1013" t="e">
        <f t="shared" si="186"/>
        <v>#REF!</v>
      </c>
      <c r="H84" s="146" t="e">
        <f>SUMIF(#REF!,'Huella materiales'!A84,#REF!)</f>
        <v>#REF!</v>
      </c>
      <c r="I84" s="1013" t="e">
        <f t="shared" si="187"/>
        <v>#REF!</v>
      </c>
      <c r="J84" s="146" t="e">
        <f>SUMIF(#REF!,'Huella materiales'!A84,#REF!)</f>
        <v>#REF!</v>
      </c>
      <c r="K84" s="1013" t="e">
        <f t="shared" si="188"/>
        <v>#REF!</v>
      </c>
      <c r="L84" s="146" t="e">
        <f>SUMIF(#REF!,'Huella materiales'!A84,#REF!)</f>
        <v>#REF!</v>
      </c>
      <c r="M84" s="1013" t="e">
        <f t="shared" si="189"/>
        <v>#REF!</v>
      </c>
      <c r="N84" s="146" t="e">
        <f>SUMIF(#REF!,'Huella materiales'!A84,#REF!)</f>
        <v>#REF!</v>
      </c>
      <c r="O84" s="1013" t="e">
        <f t="shared" si="190"/>
        <v>#REF!</v>
      </c>
      <c r="P84" s="146" t="e">
        <f>SUMIF(#REF!,'Huella materiales'!A84,#REF!)</f>
        <v>#REF!</v>
      </c>
      <c r="Q84" s="1013" t="e">
        <f t="shared" si="201"/>
        <v>#REF!</v>
      </c>
      <c r="R84" s="146" t="e">
        <f>SUMIF(#REF!,'Huella materiales'!A84,#REF!)</f>
        <v>#REF!</v>
      </c>
      <c r="S84" s="1013" t="e">
        <f t="shared" si="202"/>
        <v>#REF!</v>
      </c>
      <c r="T84" s="146" t="e">
        <f>SUMIF(#REF!,'Huella materiales'!A84,#REF!)</f>
        <v>#REF!</v>
      </c>
      <c r="U84" s="1013" t="e">
        <f t="shared" si="203"/>
        <v>#REF!</v>
      </c>
      <c r="V84" s="146" t="e">
        <f>SUMIF(#REF!,'Huella materiales'!A84,#REF!)</f>
        <v>#REF!</v>
      </c>
      <c r="W84" s="1013" t="e">
        <f t="shared" si="204"/>
        <v>#REF!</v>
      </c>
      <c r="X84" s="146" t="e">
        <f>SUMIF(#REF!,'Huella materiales'!A84,#REF!)</f>
        <v>#REF!</v>
      </c>
      <c r="Y84" s="1013" t="e">
        <f t="shared" si="205"/>
        <v>#REF!</v>
      </c>
      <c r="Z84" s="146" t="e">
        <f>SUMIF(#REF!,'Huella materiales'!A84,#REF!)</f>
        <v>#REF!</v>
      </c>
      <c r="AA84" s="1013" t="e">
        <f t="shared" si="206"/>
        <v>#REF!</v>
      </c>
      <c r="AB84" s="1030">
        <f>'Datos auxiliares materiales'!C55</f>
        <v>650</v>
      </c>
      <c r="AC84" s="1017" t="e">
        <f t="shared" si="207"/>
        <v>#REF!</v>
      </c>
      <c r="AD84" s="1022">
        <f t="shared" si="191"/>
        <v>0</v>
      </c>
      <c r="AE84" s="1077">
        <f>'Datos auxiliares materiales'!D55</f>
        <v>3</v>
      </c>
      <c r="AF84" s="170">
        <f t="shared" si="208"/>
        <v>0</v>
      </c>
      <c r="AG84" s="170" t="e">
        <f t="shared" si="209"/>
        <v>#REF!</v>
      </c>
      <c r="AH84" s="170" t="e">
        <f t="shared" si="210"/>
        <v>#REF!</v>
      </c>
      <c r="AI84" s="170" t="e">
        <f t="shared" si="211"/>
        <v>#REF!</v>
      </c>
      <c r="AJ84" s="170" t="e">
        <f t="shared" si="212"/>
        <v>#REF!</v>
      </c>
      <c r="AK84" s="170" t="e">
        <f t="shared" si="213"/>
        <v>#REF!</v>
      </c>
      <c r="AL84" s="170" t="e">
        <f t="shared" si="214"/>
        <v>#REF!</v>
      </c>
      <c r="AM84" s="170" t="e">
        <f t="shared" si="215"/>
        <v>#REF!</v>
      </c>
      <c r="AN84" s="170" t="e">
        <f t="shared" si="216"/>
        <v>#REF!</v>
      </c>
      <c r="AO84" s="170" t="e">
        <f t="shared" si="217"/>
        <v>#REF!</v>
      </c>
      <c r="AP84" s="170" t="e">
        <f t="shared" si="218"/>
        <v>#REF!</v>
      </c>
      <c r="AQ84" s="170" t="e">
        <f t="shared" si="219"/>
        <v>#REF!</v>
      </c>
      <c r="AR84" s="170" t="e">
        <f t="shared" si="220"/>
        <v>#REF!</v>
      </c>
      <c r="AS84" s="1082" t="e">
        <f t="shared" si="192"/>
        <v>#REF!</v>
      </c>
      <c r="AT84" s="170"/>
      <c r="AU84" s="171"/>
      <c r="AV84" s="160"/>
      <c r="AW84" s="160"/>
      <c r="AX84" s="160"/>
      <c r="AY84"/>
      <c r="AZ84" s="29">
        <v>0.17499999999999999</v>
      </c>
      <c r="BA84" s="34"/>
      <c r="BB84" s="34"/>
      <c r="BC84" s="34"/>
      <c r="BD84" s="34"/>
      <c r="BE84" s="34"/>
      <c r="BL84" s="16"/>
      <c r="BM84" s="16"/>
      <c r="BN84" s="16"/>
      <c r="BO84" s="16"/>
      <c r="BP84" s="10" t="s">
        <v>544</v>
      </c>
    </row>
    <row r="85" spans="1:68" ht="15.5">
      <c r="B85" s="163" t="s">
        <v>232</v>
      </c>
      <c r="C85" s="169">
        <f>SUMIFS(BCRR_REHAB!L:L,BCRR_REHAB!D:D,'Huella materiales'!A85)</f>
        <v>0</v>
      </c>
      <c r="D85" s="987"/>
      <c r="E85" s="1014" t="e">
        <f t="shared" ref="E85:AD85" si="221">SUM(E86:E92)</f>
        <v>#REF!</v>
      </c>
      <c r="F85" s="987"/>
      <c r="G85" s="987" t="e">
        <f t="shared" si="221"/>
        <v>#REF!</v>
      </c>
      <c r="H85" s="987"/>
      <c r="I85" s="987" t="e">
        <f t="shared" si="221"/>
        <v>#REF!</v>
      </c>
      <c r="J85" s="987"/>
      <c r="K85" s="987" t="e">
        <f t="shared" si="221"/>
        <v>#REF!</v>
      </c>
      <c r="L85" s="987"/>
      <c r="M85" s="987" t="e">
        <f t="shared" si="221"/>
        <v>#REF!</v>
      </c>
      <c r="N85" s="987"/>
      <c r="O85" s="987" t="e">
        <f t="shared" si="221"/>
        <v>#REF!</v>
      </c>
      <c r="P85" s="987"/>
      <c r="Q85" s="987" t="e">
        <f t="shared" si="221"/>
        <v>#REF!</v>
      </c>
      <c r="R85" s="987"/>
      <c r="S85" s="987" t="e">
        <f t="shared" si="221"/>
        <v>#REF!</v>
      </c>
      <c r="T85" s="987"/>
      <c r="U85" s="987" t="e">
        <f t="shared" si="221"/>
        <v>#REF!</v>
      </c>
      <c r="V85" s="987"/>
      <c r="W85" s="987" t="e">
        <f t="shared" si="221"/>
        <v>#REF!</v>
      </c>
      <c r="X85" s="987"/>
      <c r="Y85" s="987" t="e">
        <f t="shared" si="221"/>
        <v>#REF!</v>
      </c>
      <c r="Z85" s="987"/>
      <c r="AA85" s="987" t="e">
        <f t="shared" si="221"/>
        <v>#REF!</v>
      </c>
      <c r="AB85" s="987"/>
      <c r="AC85" s="1028" t="e">
        <f t="shared" si="221"/>
        <v>#REF!</v>
      </c>
      <c r="AD85" s="1026">
        <f t="shared" si="221"/>
        <v>63.908278532999994</v>
      </c>
      <c r="AE85" s="1019"/>
      <c r="AF85" s="1080">
        <f>SUM(AF86:AF92)</f>
        <v>5112.6622826399998</v>
      </c>
      <c r="AG85" s="1080" t="e">
        <f t="shared" ref="AG85:AR85" si="222">SUM(AG86:AG92)</f>
        <v>#REF!</v>
      </c>
      <c r="AH85" s="1080" t="e">
        <f t="shared" si="222"/>
        <v>#REF!</v>
      </c>
      <c r="AI85" s="1080" t="e">
        <f>SUM(AI86:AI92)</f>
        <v>#REF!</v>
      </c>
      <c r="AJ85" s="1080" t="e">
        <f t="shared" si="222"/>
        <v>#REF!</v>
      </c>
      <c r="AK85" s="1080" t="e">
        <f>SUM(AK86:AK92)</f>
        <v>#REF!</v>
      </c>
      <c r="AL85" s="1080" t="e">
        <f t="shared" si="222"/>
        <v>#REF!</v>
      </c>
      <c r="AM85" s="1080" t="e">
        <f t="shared" si="222"/>
        <v>#REF!</v>
      </c>
      <c r="AN85" s="1080" t="e">
        <f t="shared" si="222"/>
        <v>#REF!</v>
      </c>
      <c r="AO85" s="1080" t="e">
        <f t="shared" si="222"/>
        <v>#REF!</v>
      </c>
      <c r="AP85" s="1080" t="e">
        <f t="shared" si="222"/>
        <v>#REF!</v>
      </c>
      <c r="AQ85" s="1080" t="e">
        <f t="shared" si="222"/>
        <v>#REF!</v>
      </c>
      <c r="AR85" s="1080" t="e">
        <f t="shared" si="222"/>
        <v>#REF!</v>
      </c>
      <c r="AS85" s="1083" t="e">
        <f>AG85+AH85+AI85+AJ85+AK85+AL85+AM85+AN85+AO85+AP85+AQ85+AR85</f>
        <v>#REF!</v>
      </c>
      <c r="AT85" s="165">
        <f>SUM(AF86:AF92)/$AX$5*$AX$7</f>
        <v>9.0731753184878874E-2</v>
      </c>
      <c r="AU85" s="166">
        <f>AT85/$AX$8</f>
        <v>2.5365948066259858E-2</v>
      </c>
      <c r="AV85" s="160"/>
      <c r="AW85" s="160"/>
      <c r="AX85" s="160"/>
      <c r="AY85"/>
      <c r="AZ85" s="29">
        <v>2.1999999999999999E-2</v>
      </c>
      <c r="BA85" s="34"/>
      <c r="BB85" s="34"/>
      <c r="BC85" s="34"/>
      <c r="BD85" s="34"/>
      <c r="BE85" s="34"/>
      <c r="BL85" s="16"/>
      <c r="BM85" s="16"/>
      <c r="BN85" s="16"/>
      <c r="BO85" s="16"/>
      <c r="BP85" s="10" t="s">
        <v>564</v>
      </c>
    </row>
    <row r="86" spans="1:68">
      <c r="A86" s="10" t="s">
        <v>1200</v>
      </c>
      <c r="B86" s="175" t="s">
        <v>271</v>
      </c>
      <c r="C86" s="169">
        <f>SUMIFS(BCRR_REHAB!L:L,BCRR_REHAB!D:D,'Huella materiales'!A86)</f>
        <v>0</v>
      </c>
      <c r="D86" s="146" t="e">
        <f>SUMIF(#REF!,'Huella materiales'!A86,#REF!)</f>
        <v>#REF!</v>
      </c>
      <c r="E86" s="1013" t="e">
        <f t="shared" ref="E86:E92" si="223">D86*AB86</f>
        <v>#REF!</v>
      </c>
      <c r="F86" s="146" t="e">
        <f>SUMIF(#REF!,'Huella materiales'!A86,#REF!)</f>
        <v>#REF!</v>
      </c>
      <c r="G86" s="1013" t="e">
        <f t="shared" ref="G86:G92" si="224">F86*AB86</f>
        <v>#REF!</v>
      </c>
      <c r="H86" s="146" t="e">
        <f>SUMIF(#REF!,'Huella materiales'!A86,#REF!)</f>
        <v>#REF!</v>
      </c>
      <c r="I86" s="1013" t="e">
        <f t="shared" ref="I86:I92" si="225">H86*AB86</f>
        <v>#REF!</v>
      </c>
      <c r="J86" s="146" t="e">
        <f>SUMIF(#REF!,'Huella materiales'!A86,#REF!)</f>
        <v>#REF!</v>
      </c>
      <c r="K86" s="1013" t="e">
        <f t="shared" ref="K86:K92" si="226">J86*AB86</f>
        <v>#REF!</v>
      </c>
      <c r="L86" s="146" t="e">
        <f>SUMIF(#REF!,'Huella materiales'!A86,#REF!)</f>
        <v>#REF!</v>
      </c>
      <c r="M86" s="1013" t="e">
        <f t="shared" ref="M86:M92" si="227">L86*AB86</f>
        <v>#REF!</v>
      </c>
      <c r="N86" s="146" t="e">
        <f>SUMIF(#REF!,'Huella materiales'!A86,#REF!)</f>
        <v>#REF!</v>
      </c>
      <c r="O86" s="1013" t="e">
        <f t="shared" ref="O86:O92" si="228">N86*AB86</f>
        <v>#REF!</v>
      </c>
      <c r="P86" s="146" t="e">
        <f>SUMIF(#REF!,'Huella materiales'!A86,#REF!)</f>
        <v>#REF!</v>
      </c>
      <c r="Q86" s="1013" t="e">
        <f>P86*AB86</f>
        <v>#REF!</v>
      </c>
      <c r="R86" s="146" t="e">
        <f>SUMIF(#REF!,'Huella materiales'!A86,#REF!)</f>
        <v>#REF!</v>
      </c>
      <c r="S86" s="1013" t="e">
        <f>R86*AB86</f>
        <v>#REF!</v>
      </c>
      <c r="T86" s="146" t="e">
        <f>SUMIF(#REF!,'Huella materiales'!A86,#REF!)</f>
        <v>#REF!</v>
      </c>
      <c r="U86" s="1013" t="e">
        <f>T86*AB86</f>
        <v>#REF!</v>
      </c>
      <c r="V86" s="146" t="e">
        <f>SUMIF(#REF!,'Huella materiales'!A86,#REF!)</f>
        <v>#REF!</v>
      </c>
      <c r="W86" s="1013" t="e">
        <f>V86*AB86</f>
        <v>#REF!</v>
      </c>
      <c r="X86" s="146" t="e">
        <f>SUMIF(#REF!,'Huella materiales'!A86,#REF!)</f>
        <v>#REF!</v>
      </c>
      <c r="Y86" s="1013" t="e">
        <f>X86*AB86</f>
        <v>#REF!</v>
      </c>
      <c r="Z86" s="146" t="e">
        <f>SUMIF(#REF!,'Huella materiales'!A86,#REF!)</f>
        <v>#REF!</v>
      </c>
      <c r="AA86" s="1013" t="e">
        <f>Z86*AB86</f>
        <v>#REF!</v>
      </c>
      <c r="AB86" s="1030">
        <f>'Datos auxiliares materiales'!C46</f>
        <v>6.07</v>
      </c>
      <c r="AC86" s="1017" t="e">
        <f>E86+G86+I86+K86+M86+O86+Q86+S86+U86+W86+Y86+AA86</f>
        <v>#REF!</v>
      </c>
      <c r="AD86" s="1022">
        <f t="shared" ref="AD86:AD92" si="229">C86*AB86</f>
        <v>0</v>
      </c>
      <c r="AE86" s="1077">
        <f>'Datos auxiliares materiales'!D46</f>
        <v>80</v>
      </c>
      <c r="AF86" s="170">
        <f>C86*AB86*AE86</f>
        <v>0</v>
      </c>
      <c r="AG86" s="170" t="e">
        <f>D86*AB86*AE86</f>
        <v>#REF!</v>
      </c>
      <c r="AH86" s="170" t="e">
        <f>F86*AB86*AE86</f>
        <v>#REF!</v>
      </c>
      <c r="AI86" s="170" t="e">
        <f>H86*AB86*AE86</f>
        <v>#REF!</v>
      </c>
      <c r="AJ86" s="170" t="e">
        <f>J86*AB86*AE86</f>
        <v>#REF!</v>
      </c>
      <c r="AK86" s="170" t="e">
        <f>L86*AB86*AE86</f>
        <v>#REF!</v>
      </c>
      <c r="AL86" s="170" t="e">
        <f>N86*AB86*AE86</f>
        <v>#REF!</v>
      </c>
      <c r="AM86" s="170" t="e">
        <f>P86*AB86*AE86</f>
        <v>#REF!</v>
      </c>
      <c r="AN86" s="170" t="e">
        <f>R86*AB86*AE86</f>
        <v>#REF!</v>
      </c>
      <c r="AO86" s="170" t="e">
        <f>T86*AB86*AE86</f>
        <v>#REF!</v>
      </c>
      <c r="AP86" s="170" t="e">
        <f>V86*AB86*AE86</f>
        <v>#REF!</v>
      </c>
      <c r="AQ86" s="170" t="e">
        <f>X86*AB86*AE86</f>
        <v>#REF!</v>
      </c>
      <c r="AR86" s="170" t="e">
        <f>Z86*AB86*AE86</f>
        <v>#REF!</v>
      </c>
      <c r="AS86" s="1082" t="e">
        <f t="shared" ref="AS86:AS92" si="230">AG86+AH86+AI86+AJ86+AK86+AL86+AM86+AN86+AO86+AP86+AQ86+AR86</f>
        <v>#REF!</v>
      </c>
      <c r="AT86" s="170"/>
      <c r="AU86" s="171"/>
      <c r="AV86" s="160"/>
      <c r="AW86" s="160"/>
      <c r="AX86" s="160"/>
      <c r="AY86"/>
      <c r="AZ86" s="29">
        <v>2.1999999999999999E-2</v>
      </c>
      <c r="BA86" s="34"/>
      <c r="BB86" s="34"/>
      <c r="BC86" s="34"/>
      <c r="BD86" s="34"/>
      <c r="BE86" s="34"/>
      <c r="BL86" s="16"/>
      <c r="BM86" s="16"/>
      <c r="BN86" s="16"/>
      <c r="BO86" s="16"/>
      <c r="BP86" s="10" t="s">
        <v>565</v>
      </c>
    </row>
    <row r="87" spans="1:68">
      <c r="A87" s="980" t="s">
        <v>1258</v>
      </c>
      <c r="B87" s="175" t="s">
        <v>1259</v>
      </c>
      <c r="C87" s="169">
        <f>SUMIFS(BCRR_REHAB!L:L,BCRR_REHAB!D:D,'Huella materiales'!A87)</f>
        <v>0</v>
      </c>
      <c r="D87" s="146" t="e">
        <f>SUMIF(#REF!,'Huella materiales'!A87,#REF!)</f>
        <v>#REF!</v>
      </c>
      <c r="E87" s="1013" t="e">
        <f t="shared" si="223"/>
        <v>#REF!</v>
      </c>
      <c r="F87" s="146" t="e">
        <f>SUMIF(#REF!,'Huella materiales'!A87,#REF!)</f>
        <v>#REF!</v>
      </c>
      <c r="G87" s="1013" t="e">
        <f t="shared" si="224"/>
        <v>#REF!</v>
      </c>
      <c r="H87" s="146" t="e">
        <f>SUMIF(#REF!,'Huella materiales'!A87,#REF!)</f>
        <v>#REF!</v>
      </c>
      <c r="I87" s="1013" t="e">
        <f t="shared" si="225"/>
        <v>#REF!</v>
      </c>
      <c r="J87" s="146" t="e">
        <f>SUMIF(#REF!,'Huella materiales'!A87,#REF!)</f>
        <v>#REF!</v>
      </c>
      <c r="K87" s="1013" t="e">
        <f t="shared" si="226"/>
        <v>#REF!</v>
      </c>
      <c r="L87" s="146" t="e">
        <f>SUMIF(#REF!,'Huella materiales'!A87,#REF!)</f>
        <v>#REF!</v>
      </c>
      <c r="M87" s="1013" t="e">
        <f t="shared" si="227"/>
        <v>#REF!</v>
      </c>
      <c r="N87" s="146" t="e">
        <f>SUMIF(#REF!,'Huella materiales'!A87,#REF!)</f>
        <v>#REF!</v>
      </c>
      <c r="O87" s="1013" t="e">
        <f t="shared" si="228"/>
        <v>#REF!</v>
      </c>
      <c r="P87" s="146" t="e">
        <f>SUMIF(#REF!,'Huella materiales'!A87,#REF!)</f>
        <v>#REF!</v>
      </c>
      <c r="Q87" s="1013" t="e">
        <f t="shared" ref="Q87:Q92" si="231">P87*AB87</f>
        <v>#REF!</v>
      </c>
      <c r="R87" s="146" t="e">
        <f>SUMIF(#REF!,'Huella materiales'!A87,#REF!)</f>
        <v>#REF!</v>
      </c>
      <c r="S87" s="1013" t="e">
        <f t="shared" ref="S87:S92" si="232">R87*AB87</f>
        <v>#REF!</v>
      </c>
      <c r="T87" s="146" t="e">
        <f>SUMIF(#REF!,'Huella materiales'!A87,#REF!)</f>
        <v>#REF!</v>
      </c>
      <c r="U87" s="1013" t="e">
        <f t="shared" ref="U87:U92" si="233">T87*AB87</f>
        <v>#REF!</v>
      </c>
      <c r="V87" s="146" t="e">
        <f>SUMIF(#REF!,'Huella materiales'!A87,#REF!)</f>
        <v>#REF!</v>
      </c>
      <c r="W87" s="1013" t="e">
        <f t="shared" ref="W87:W92" si="234">V87*AB87</f>
        <v>#REF!</v>
      </c>
      <c r="X87" s="146" t="e">
        <f>SUMIF(#REF!,'Huella materiales'!A87,#REF!)</f>
        <v>#REF!</v>
      </c>
      <c r="Y87" s="1013" t="e">
        <f t="shared" ref="Y87:Y92" si="235">X87*AB87</f>
        <v>#REF!</v>
      </c>
      <c r="Z87" s="146" t="e">
        <f>SUMIF(#REF!,'Huella materiales'!A87,#REF!)</f>
        <v>#REF!</v>
      </c>
      <c r="AA87" s="1013" t="e">
        <f t="shared" ref="AA87:AA92" si="236">Z87*AB87</f>
        <v>#REF!</v>
      </c>
      <c r="AB87" s="1030">
        <f>'Datos auxiliares materiales'!C47</f>
        <v>0.2</v>
      </c>
      <c r="AC87" s="1017" t="e">
        <f t="shared" ref="AC87:AC92" si="237">E87+G87+I87+K87+M87+O87+Q87+S87+U87+W87+Y87+AA87</f>
        <v>#REF!</v>
      </c>
      <c r="AD87" s="1022">
        <f t="shared" si="229"/>
        <v>0</v>
      </c>
      <c r="AE87" s="1077">
        <f>'Datos auxiliares materiales'!D47</f>
        <v>80</v>
      </c>
      <c r="AF87" s="170">
        <f t="shared" ref="AF87:AF92" si="238">C87*AB87*AE87</f>
        <v>0</v>
      </c>
      <c r="AG87" s="170" t="e">
        <f t="shared" ref="AG87:AG92" si="239">D87*AB87*AE87</f>
        <v>#REF!</v>
      </c>
      <c r="AH87" s="170" t="e">
        <f t="shared" ref="AH87:AH92" si="240">F87*AB87*AE87</f>
        <v>#REF!</v>
      </c>
      <c r="AI87" s="170" t="e">
        <f t="shared" ref="AI87:AI92" si="241">H87*AB87*AE87</f>
        <v>#REF!</v>
      </c>
      <c r="AJ87" s="170" t="e">
        <f t="shared" ref="AJ87:AJ92" si="242">J87*AB87*AE87</f>
        <v>#REF!</v>
      </c>
      <c r="AK87" s="170" t="e">
        <f t="shared" ref="AK87:AK92" si="243">L87*AB87*AE87</f>
        <v>#REF!</v>
      </c>
      <c r="AL87" s="170" t="e">
        <f t="shared" ref="AL87:AL92" si="244">N87*AB87*AE87</f>
        <v>#REF!</v>
      </c>
      <c r="AM87" s="170" t="e">
        <f t="shared" ref="AM87:AM92" si="245">P87*AB87*AE87</f>
        <v>#REF!</v>
      </c>
      <c r="AN87" s="170" t="e">
        <f t="shared" ref="AN87:AN92" si="246">R87*AB87*AE87</f>
        <v>#REF!</v>
      </c>
      <c r="AO87" s="170" t="e">
        <f t="shared" ref="AO87:AO92" si="247">T87*AB87*AE87</f>
        <v>#REF!</v>
      </c>
      <c r="AP87" s="170" t="e">
        <f t="shared" ref="AP87:AP92" si="248">V87*AB87*AE87</f>
        <v>#REF!</v>
      </c>
      <c r="AQ87" s="170" t="e">
        <f t="shared" ref="AQ87:AQ92" si="249">X87*AB87*AE87</f>
        <v>#REF!</v>
      </c>
      <c r="AR87" s="170" t="e">
        <f t="shared" ref="AR87:AR92" si="250">Z87*AB87*AE87</f>
        <v>#REF!</v>
      </c>
      <c r="AS87" s="1082" t="e">
        <f t="shared" si="230"/>
        <v>#REF!</v>
      </c>
      <c r="AT87" s="170"/>
      <c r="AU87" s="171"/>
      <c r="AV87" s="160"/>
      <c r="AW87" s="160"/>
      <c r="AX87" s="160"/>
      <c r="AY87"/>
      <c r="AZ87" s="29">
        <v>0.432</v>
      </c>
      <c r="BA87" s="34"/>
      <c r="BB87" s="34"/>
      <c r="BC87" s="34"/>
      <c r="BD87" s="34"/>
      <c r="BE87" s="34"/>
      <c r="BL87" s="16"/>
      <c r="BM87" s="16"/>
      <c r="BN87" s="16"/>
      <c r="BO87" s="16"/>
      <c r="BP87" s="10" t="s">
        <v>566</v>
      </c>
    </row>
    <row r="88" spans="1:68">
      <c r="A88" s="10" t="s">
        <v>1109</v>
      </c>
      <c r="B88" s="175" t="s">
        <v>259</v>
      </c>
      <c r="C88" s="169">
        <f>SUMIFS(BCRR_REHAB!L:L,BCRR_REHAB!D:D,'Huella materiales'!A88)</f>
        <v>0</v>
      </c>
      <c r="D88" s="146" t="e">
        <f>SUMIF(#REF!,'Huella materiales'!A88,#REF!)</f>
        <v>#REF!</v>
      </c>
      <c r="E88" s="1013" t="e">
        <f t="shared" si="223"/>
        <v>#REF!</v>
      </c>
      <c r="F88" s="146" t="e">
        <f>SUMIF(#REF!,'Huella materiales'!A88,#REF!)</f>
        <v>#REF!</v>
      </c>
      <c r="G88" s="1013" t="e">
        <f t="shared" si="224"/>
        <v>#REF!</v>
      </c>
      <c r="H88" s="146" t="e">
        <f>SUMIF(#REF!,'Huella materiales'!A88,#REF!)</f>
        <v>#REF!</v>
      </c>
      <c r="I88" s="1013" t="e">
        <f t="shared" si="225"/>
        <v>#REF!</v>
      </c>
      <c r="J88" s="146" t="e">
        <f>SUMIF(#REF!,'Huella materiales'!A88,#REF!)</f>
        <v>#REF!</v>
      </c>
      <c r="K88" s="1013" t="e">
        <f t="shared" si="226"/>
        <v>#REF!</v>
      </c>
      <c r="L88" s="146" t="e">
        <f>SUMIF(#REF!,'Huella materiales'!A88,#REF!)</f>
        <v>#REF!</v>
      </c>
      <c r="M88" s="1013" t="e">
        <f t="shared" si="227"/>
        <v>#REF!</v>
      </c>
      <c r="N88" s="146" t="e">
        <f>SUMIF(#REF!,'Huella materiales'!A88,#REF!)</f>
        <v>#REF!</v>
      </c>
      <c r="O88" s="1013" t="e">
        <f t="shared" si="228"/>
        <v>#REF!</v>
      </c>
      <c r="P88" s="146" t="e">
        <f>SUMIF(#REF!,'Huella materiales'!A88,#REF!)</f>
        <v>#REF!</v>
      </c>
      <c r="Q88" s="1013" t="e">
        <f t="shared" si="231"/>
        <v>#REF!</v>
      </c>
      <c r="R88" s="146" t="e">
        <f>SUMIF(#REF!,'Huella materiales'!A88,#REF!)</f>
        <v>#REF!</v>
      </c>
      <c r="S88" s="1013" t="e">
        <f t="shared" si="232"/>
        <v>#REF!</v>
      </c>
      <c r="T88" s="146" t="e">
        <f>SUMIF(#REF!,'Huella materiales'!A88,#REF!)</f>
        <v>#REF!</v>
      </c>
      <c r="U88" s="1013" t="e">
        <f t="shared" si="233"/>
        <v>#REF!</v>
      </c>
      <c r="V88" s="146" t="e">
        <f>SUMIF(#REF!,'Huella materiales'!A88,#REF!)</f>
        <v>#REF!</v>
      </c>
      <c r="W88" s="1013" t="e">
        <f t="shared" si="234"/>
        <v>#REF!</v>
      </c>
      <c r="X88" s="146" t="e">
        <f>SUMIF(#REF!,'Huella materiales'!A88,#REF!)</f>
        <v>#REF!</v>
      </c>
      <c r="Y88" s="1013" t="e">
        <f t="shared" si="235"/>
        <v>#REF!</v>
      </c>
      <c r="Z88" s="146" t="e">
        <f>SUMIF(#REF!,'Huella materiales'!A88,#REF!)</f>
        <v>#REF!</v>
      </c>
      <c r="AA88" s="1013" t="e">
        <f t="shared" si="236"/>
        <v>#REF!</v>
      </c>
      <c r="AB88" s="1030">
        <f>'Datos auxiliares materiales'!C48</f>
        <v>1.39</v>
      </c>
      <c r="AC88" s="1017" t="e">
        <f t="shared" si="237"/>
        <v>#REF!</v>
      </c>
      <c r="AD88" s="1022">
        <f t="shared" si="229"/>
        <v>0</v>
      </c>
      <c r="AE88" s="1077">
        <f>'Datos auxiliares materiales'!D48</f>
        <v>80</v>
      </c>
      <c r="AF88" s="170">
        <f t="shared" si="238"/>
        <v>0</v>
      </c>
      <c r="AG88" s="170" t="e">
        <f t="shared" si="239"/>
        <v>#REF!</v>
      </c>
      <c r="AH88" s="170" t="e">
        <f t="shared" si="240"/>
        <v>#REF!</v>
      </c>
      <c r="AI88" s="170" t="e">
        <f t="shared" si="241"/>
        <v>#REF!</v>
      </c>
      <c r="AJ88" s="170" t="e">
        <f t="shared" si="242"/>
        <v>#REF!</v>
      </c>
      <c r="AK88" s="170" t="e">
        <f t="shared" si="243"/>
        <v>#REF!</v>
      </c>
      <c r="AL88" s="170" t="e">
        <f t="shared" si="244"/>
        <v>#REF!</v>
      </c>
      <c r="AM88" s="170" t="e">
        <f t="shared" si="245"/>
        <v>#REF!</v>
      </c>
      <c r="AN88" s="170" t="e">
        <f t="shared" si="246"/>
        <v>#REF!</v>
      </c>
      <c r="AO88" s="170" t="e">
        <f t="shared" si="247"/>
        <v>#REF!</v>
      </c>
      <c r="AP88" s="170" t="e">
        <f t="shared" si="248"/>
        <v>#REF!</v>
      </c>
      <c r="AQ88" s="170" t="e">
        <f t="shared" si="249"/>
        <v>#REF!</v>
      </c>
      <c r="AR88" s="170" t="e">
        <f t="shared" si="250"/>
        <v>#REF!</v>
      </c>
      <c r="AS88" s="1082" t="e">
        <f t="shared" si="230"/>
        <v>#REF!</v>
      </c>
      <c r="AT88" s="170"/>
      <c r="AU88" s="171"/>
      <c r="AV88" s="160"/>
      <c r="AW88" s="160"/>
      <c r="AX88" s="160"/>
      <c r="AY88"/>
      <c r="AZ88" s="29">
        <v>4.4999999999999998E-2</v>
      </c>
      <c r="BA88" s="34"/>
      <c r="BB88" s="34"/>
      <c r="BC88" s="34"/>
      <c r="BD88" s="34"/>
      <c r="BE88" s="34"/>
      <c r="BL88" s="16"/>
      <c r="BM88" s="16"/>
      <c r="BN88" s="16"/>
      <c r="BO88" s="16"/>
      <c r="BP88" s="10" t="s">
        <v>567</v>
      </c>
    </row>
    <row r="89" spans="1:68">
      <c r="A89" s="10" t="s">
        <v>1102</v>
      </c>
      <c r="B89" s="175" t="s">
        <v>87</v>
      </c>
      <c r="C89" s="169">
        <f>SUMIFS(BCRR_REHAB!L:L,BCRR_REHAB!D:D,'Huella materiales'!A89)</f>
        <v>0</v>
      </c>
      <c r="D89" s="146" t="e">
        <f>SUMIF(#REF!,'Huella materiales'!A89,#REF!)</f>
        <v>#REF!</v>
      </c>
      <c r="E89" s="1013" t="e">
        <f t="shared" si="223"/>
        <v>#REF!</v>
      </c>
      <c r="F89" s="146" t="e">
        <f>SUMIF(#REF!,'Huella materiales'!A89,#REF!)</f>
        <v>#REF!</v>
      </c>
      <c r="G89" s="1013" t="e">
        <f t="shared" si="224"/>
        <v>#REF!</v>
      </c>
      <c r="H89" s="146" t="e">
        <f>SUMIF(#REF!,'Huella materiales'!A89,#REF!)</f>
        <v>#REF!</v>
      </c>
      <c r="I89" s="1013" t="e">
        <f t="shared" si="225"/>
        <v>#REF!</v>
      </c>
      <c r="J89" s="146" t="e">
        <f>SUMIF(#REF!,'Huella materiales'!A89,#REF!)</f>
        <v>#REF!</v>
      </c>
      <c r="K89" s="1013" t="e">
        <f t="shared" si="226"/>
        <v>#REF!</v>
      </c>
      <c r="L89" s="146" t="e">
        <f>SUMIF(#REF!,'Huella materiales'!A89,#REF!)</f>
        <v>#REF!</v>
      </c>
      <c r="M89" s="1013" t="e">
        <f t="shared" si="227"/>
        <v>#REF!</v>
      </c>
      <c r="N89" s="146" t="e">
        <f>SUMIF(#REF!,'Huella materiales'!A89,#REF!)</f>
        <v>#REF!</v>
      </c>
      <c r="O89" s="1013" t="e">
        <f t="shared" si="228"/>
        <v>#REF!</v>
      </c>
      <c r="P89" s="146" t="e">
        <f>SUMIF(#REF!,'Huella materiales'!A89,#REF!)</f>
        <v>#REF!</v>
      </c>
      <c r="Q89" s="1013" t="e">
        <f t="shared" si="231"/>
        <v>#REF!</v>
      </c>
      <c r="R89" s="146" t="e">
        <f>SUMIF(#REF!,'Huella materiales'!A89,#REF!)</f>
        <v>#REF!</v>
      </c>
      <c r="S89" s="1013" t="e">
        <f t="shared" si="232"/>
        <v>#REF!</v>
      </c>
      <c r="T89" s="146" t="e">
        <f>SUMIF(#REF!,'Huella materiales'!A89,#REF!)</f>
        <v>#REF!</v>
      </c>
      <c r="U89" s="1013" t="e">
        <f t="shared" si="233"/>
        <v>#REF!</v>
      </c>
      <c r="V89" s="146" t="e">
        <f>SUMIF(#REF!,'Huella materiales'!A89,#REF!)</f>
        <v>#REF!</v>
      </c>
      <c r="W89" s="1013" t="e">
        <f t="shared" si="234"/>
        <v>#REF!</v>
      </c>
      <c r="X89" s="146" t="e">
        <f>SUMIF(#REF!,'Huella materiales'!A89,#REF!)</f>
        <v>#REF!</v>
      </c>
      <c r="Y89" s="1013" t="e">
        <f t="shared" si="235"/>
        <v>#REF!</v>
      </c>
      <c r="Z89" s="146" t="e">
        <f>SUMIF(#REF!,'Huella materiales'!A89,#REF!)</f>
        <v>#REF!</v>
      </c>
      <c r="AA89" s="1013" t="e">
        <f t="shared" si="236"/>
        <v>#REF!</v>
      </c>
      <c r="AB89" s="1030">
        <f>'Datos auxiliares materiales'!C49</f>
        <v>2.1291818181818174</v>
      </c>
      <c r="AC89" s="1017" t="e">
        <f t="shared" si="237"/>
        <v>#REF!</v>
      </c>
      <c r="AD89" s="1022">
        <f t="shared" si="229"/>
        <v>0</v>
      </c>
      <c r="AE89" s="1077">
        <f>'Datos auxiliares materiales'!D49</f>
        <v>80</v>
      </c>
      <c r="AF89" s="170">
        <f t="shared" si="238"/>
        <v>0</v>
      </c>
      <c r="AG89" s="170" t="e">
        <f t="shared" si="239"/>
        <v>#REF!</v>
      </c>
      <c r="AH89" s="170" t="e">
        <f t="shared" si="240"/>
        <v>#REF!</v>
      </c>
      <c r="AI89" s="170" t="e">
        <f t="shared" si="241"/>
        <v>#REF!</v>
      </c>
      <c r="AJ89" s="170" t="e">
        <f t="shared" si="242"/>
        <v>#REF!</v>
      </c>
      <c r="AK89" s="170" t="e">
        <f t="shared" si="243"/>
        <v>#REF!</v>
      </c>
      <c r="AL89" s="170" t="e">
        <f t="shared" si="244"/>
        <v>#REF!</v>
      </c>
      <c r="AM89" s="170" t="e">
        <f t="shared" si="245"/>
        <v>#REF!</v>
      </c>
      <c r="AN89" s="170" t="e">
        <f t="shared" si="246"/>
        <v>#REF!</v>
      </c>
      <c r="AO89" s="170" t="e">
        <f t="shared" si="247"/>
        <v>#REF!</v>
      </c>
      <c r="AP89" s="170" t="e">
        <f t="shared" si="248"/>
        <v>#REF!</v>
      </c>
      <c r="AQ89" s="170" t="e">
        <f t="shared" si="249"/>
        <v>#REF!</v>
      </c>
      <c r="AR89" s="170" t="e">
        <f t="shared" si="250"/>
        <v>#REF!</v>
      </c>
      <c r="AS89" s="1082" t="e">
        <f t="shared" si="230"/>
        <v>#REF!</v>
      </c>
      <c r="AT89" s="170"/>
      <c r="AU89" s="171"/>
      <c r="AV89" s="160"/>
      <c r="AW89" s="160"/>
      <c r="AX89" s="160"/>
      <c r="AY89"/>
      <c r="AZ89" s="29">
        <v>6.3E-2</v>
      </c>
      <c r="BA89" s="34"/>
      <c r="BB89" s="34"/>
      <c r="BC89" s="34"/>
      <c r="BD89" s="34"/>
      <c r="BE89" s="34"/>
      <c r="BL89" s="16"/>
      <c r="BM89" s="16"/>
      <c r="BN89" s="16"/>
      <c r="BO89" s="16"/>
      <c r="BP89" s="10" t="s">
        <v>568</v>
      </c>
    </row>
    <row r="90" spans="1:68">
      <c r="A90" s="979" t="s">
        <v>1246</v>
      </c>
      <c r="B90" s="980" t="s">
        <v>1247</v>
      </c>
      <c r="C90" s="169">
        <f>SUMIFS(BCRR_REHAB!L:L,BCRR_REHAB!D:D,'Huella materiales'!A90)</f>
        <v>0</v>
      </c>
      <c r="D90" s="146" t="e">
        <f>SUMIF(#REF!,'Huella materiales'!A90,#REF!)</f>
        <v>#REF!</v>
      </c>
      <c r="E90" s="1013" t="e">
        <f t="shared" si="223"/>
        <v>#REF!</v>
      </c>
      <c r="F90" s="146" t="e">
        <f>SUMIF(#REF!,'Huella materiales'!A90,#REF!)</f>
        <v>#REF!</v>
      </c>
      <c r="G90" s="1013" t="e">
        <f t="shared" si="224"/>
        <v>#REF!</v>
      </c>
      <c r="H90" s="146" t="e">
        <f>SUMIF(#REF!,'Huella materiales'!A90,#REF!)</f>
        <v>#REF!</v>
      </c>
      <c r="I90" s="1013" t="e">
        <f t="shared" si="225"/>
        <v>#REF!</v>
      </c>
      <c r="J90" s="146" t="e">
        <f>SUMIF(#REF!,'Huella materiales'!A90,#REF!)</f>
        <v>#REF!</v>
      </c>
      <c r="K90" s="1013" t="e">
        <f t="shared" si="226"/>
        <v>#REF!</v>
      </c>
      <c r="L90" s="146" t="e">
        <f>SUMIF(#REF!,'Huella materiales'!A90,#REF!)</f>
        <v>#REF!</v>
      </c>
      <c r="M90" s="1013" t="e">
        <f t="shared" si="227"/>
        <v>#REF!</v>
      </c>
      <c r="N90" s="146" t="e">
        <f>SUMIF(#REF!,'Huella materiales'!A90,#REF!)</f>
        <v>#REF!</v>
      </c>
      <c r="O90" s="1013" t="e">
        <f t="shared" si="228"/>
        <v>#REF!</v>
      </c>
      <c r="P90" s="146" t="e">
        <f>SUMIF(#REF!,'Huella materiales'!A90,#REF!)</f>
        <v>#REF!</v>
      </c>
      <c r="Q90" s="1013" t="e">
        <f t="shared" si="231"/>
        <v>#REF!</v>
      </c>
      <c r="R90" s="146" t="e">
        <f>SUMIF(#REF!,'Huella materiales'!A90,#REF!)</f>
        <v>#REF!</v>
      </c>
      <c r="S90" s="1013" t="e">
        <f t="shared" si="232"/>
        <v>#REF!</v>
      </c>
      <c r="T90" s="146" t="e">
        <f>SUMIF(#REF!,'Huella materiales'!A90,#REF!)</f>
        <v>#REF!</v>
      </c>
      <c r="U90" s="1013" t="e">
        <f t="shared" si="233"/>
        <v>#REF!</v>
      </c>
      <c r="V90" s="146" t="e">
        <f>SUMIF(#REF!,'Huella materiales'!A90,#REF!)</f>
        <v>#REF!</v>
      </c>
      <c r="W90" s="1013" t="e">
        <f t="shared" si="234"/>
        <v>#REF!</v>
      </c>
      <c r="X90" s="146" t="e">
        <f>SUMIF(#REF!,'Huella materiales'!A90,#REF!)</f>
        <v>#REF!</v>
      </c>
      <c r="Y90" s="1013" t="e">
        <f t="shared" si="235"/>
        <v>#REF!</v>
      </c>
      <c r="Z90" s="146" t="e">
        <f>SUMIF(#REF!,'Huella materiales'!A90,#REF!)</f>
        <v>#REF!</v>
      </c>
      <c r="AA90" s="1013" t="e">
        <f t="shared" si="236"/>
        <v>#REF!</v>
      </c>
      <c r="AB90" s="1030">
        <f>'Datos auxiliares materiales'!C50</f>
        <v>1.0900000000000001</v>
      </c>
      <c r="AC90" s="1017" t="e">
        <f t="shared" si="237"/>
        <v>#REF!</v>
      </c>
      <c r="AD90" s="1022">
        <f t="shared" si="229"/>
        <v>0</v>
      </c>
      <c r="AE90" s="1077">
        <f>'Datos auxiliares materiales'!D50</f>
        <v>80</v>
      </c>
      <c r="AF90" s="170">
        <f t="shared" si="238"/>
        <v>0</v>
      </c>
      <c r="AG90" s="170" t="e">
        <f t="shared" si="239"/>
        <v>#REF!</v>
      </c>
      <c r="AH90" s="170" t="e">
        <f t="shared" si="240"/>
        <v>#REF!</v>
      </c>
      <c r="AI90" s="170" t="e">
        <f t="shared" si="241"/>
        <v>#REF!</v>
      </c>
      <c r="AJ90" s="170" t="e">
        <f t="shared" si="242"/>
        <v>#REF!</v>
      </c>
      <c r="AK90" s="170" t="e">
        <f t="shared" si="243"/>
        <v>#REF!</v>
      </c>
      <c r="AL90" s="170" t="e">
        <f t="shared" si="244"/>
        <v>#REF!</v>
      </c>
      <c r="AM90" s="170" t="e">
        <f t="shared" si="245"/>
        <v>#REF!</v>
      </c>
      <c r="AN90" s="170" t="e">
        <f t="shared" si="246"/>
        <v>#REF!</v>
      </c>
      <c r="AO90" s="170" t="e">
        <f t="shared" si="247"/>
        <v>#REF!</v>
      </c>
      <c r="AP90" s="170" t="e">
        <f t="shared" si="248"/>
        <v>#REF!</v>
      </c>
      <c r="AQ90" s="170" t="e">
        <f t="shared" si="249"/>
        <v>#REF!</v>
      </c>
      <c r="AR90" s="170" t="e">
        <f t="shared" si="250"/>
        <v>#REF!</v>
      </c>
      <c r="AS90" s="1082" t="e">
        <f t="shared" si="230"/>
        <v>#REF!</v>
      </c>
      <c r="AT90" s="170"/>
      <c r="AU90" s="171"/>
      <c r="AV90" s="160"/>
      <c r="AW90" s="160"/>
      <c r="AX90" s="160"/>
      <c r="AY90"/>
      <c r="AZ90">
        <f>SUM(AZ89)/7</f>
        <v>8.9999999999999993E-3</v>
      </c>
      <c r="BA90"/>
      <c r="BL90" s="16"/>
      <c r="BM90" s="16"/>
      <c r="BN90" s="16"/>
      <c r="BO90" s="16"/>
      <c r="BP90" s="10"/>
    </row>
    <row r="91" spans="1:68">
      <c r="A91" s="979" t="s">
        <v>1252</v>
      </c>
      <c r="B91" s="980" t="s">
        <v>1251</v>
      </c>
      <c r="C91" s="169">
        <f>SUMIFS(BCRR_REHAB!L:L,BCRR_REHAB!D:D,'Huella materiales'!A91)</f>
        <v>3195.4139266499997</v>
      </c>
      <c r="D91" s="146" t="e">
        <f>SUMIF(#REF!,'Huella materiales'!A91,#REF!)</f>
        <v>#REF!</v>
      </c>
      <c r="E91" s="1013" t="e">
        <f t="shared" si="223"/>
        <v>#REF!</v>
      </c>
      <c r="F91" s="146" t="e">
        <f>SUMIF(#REF!,'Huella materiales'!A91,#REF!)</f>
        <v>#REF!</v>
      </c>
      <c r="G91" s="1013" t="e">
        <f t="shared" si="224"/>
        <v>#REF!</v>
      </c>
      <c r="H91" s="146" t="e">
        <f>SUMIF(#REF!,'Huella materiales'!A91,#REF!)</f>
        <v>#REF!</v>
      </c>
      <c r="I91" s="1013" t="e">
        <f t="shared" si="225"/>
        <v>#REF!</v>
      </c>
      <c r="J91" s="146" t="e">
        <f>SUMIF(#REF!,'Huella materiales'!A91,#REF!)</f>
        <v>#REF!</v>
      </c>
      <c r="K91" s="1013" t="e">
        <f t="shared" si="226"/>
        <v>#REF!</v>
      </c>
      <c r="L91" s="146" t="e">
        <f>SUMIF(#REF!,'Huella materiales'!A91,#REF!)</f>
        <v>#REF!</v>
      </c>
      <c r="M91" s="1013" t="e">
        <f t="shared" si="227"/>
        <v>#REF!</v>
      </c>
      <c r="N91" s="146" t="e">
        <f>SUMIF(#REF!,'Huella materiales'!A91,#REF!)</f>
        <v>#REF!</v>
      </c>
      <c r="O91" s="1013" t="e">
        <f t="shared" si="228"/>
        <v>#REF!</v>
      </c>
      <c r="P91" s="146" t="e">
        <f>SUMIF(#REF!,'Huella materiales'!A91,#REF!)</f>
        <v>#REF!</v>
      </c>
      <c r="Q91" s="1013" t="e">
        <f t="shared" si="231"/>
        <v>#REF!</v>
      </c>
      <c r="R91" s="146" t="e">
        <f>SUMIF(#REF!,'Huella materiales'!A91,#REF!)</f>
        <v>#REF!</v>
      </c>
      <c r="S91" s="1013" t="e">
        <f t="shared" si="232"/>
        <v>#REF!</v>
      </c>
      <c r="T91" s="146" t="e">
        <f>SUMIF(#REF!,'Huella materiales'!A91,#REF!)</f>
        <v>#REF!</v>
      </c>
      <c r="U91" s="1013" t="e">
        <f t="shared" si="233"/>
        <v>#REF!</v>
      </c>
      <c r="V91" s="146" t="e">
        <f>SUMIF(#REF!,'Huella materiales'!A91,#REF!)</f>
        <v>#REF!</v>
      </c>
      <c r="W91" s="1013" t="e">
        <f t="shared" si="234"/>
        <v>#REF!</v>
      </c>
      <c r="X91" s="146" t="e">
        <f>SUMIF(#REF!,'Huella materiales'!A91,#REF!)</f>
        <v>#REF!</v>
      </c>
      <c r="Y91" s="1013" t="e">
        <f t="shared" si="235"/>
        <v>#REF!</v>
      </c>
      <c r="Z91" s="146" t="e">
        <f>SUMIF(#REF!,'Huella materiales'!A91,#REF!)</f>
        <v>#REF!</v>
      </c>
      <c r="AA91" s="1013" t="e">
        <f t="shared" si="236"/>
        <v>#REF!</v>
      </c>
      <c r="AB91" s="1030">
        <f>'Datos auxiliares materiales'!C51</f>
        <v>0.02</v>
      </c>
      <c r="AC91" s="1017" t="e">
        <f t="shared" si="237"/>
        <v>#REF!</v>
      </c>
      <c r="AD91" s="1022">
        <f t="shared" si="229"/>
        <v>63.908278532999994</v>
      </c>
      <c r="AE91" s="1077">
        <f>'Datos auxiliares materiales'!D51</f>
        <v>80</v>
      </c>
      <c r="AF91" s="170">
        <f t="shared" si="238"/>
        <v>5112.6622826399998</v>
      </c>
      <c r="AG91" s="170" t="e">
        <f t="shared" si="239"/>
        <v>#REF!</v>
      </c>
      <c r="AH91" s="170" t="e">
        <f t="shared" si="240"/>
        <v>#REF!</v>
      </c>
      <c r="AI91" s="170" t="e">
        <f t="shared" si="241"/>
        <v>#REF!</v>
      </c>
      <c r="AJ91" s="170" t="e">
        <f t="shared" si="242"/>
        <v>#REF!</v>
      </c>
      <c r="AK91" s="170" t="e">
        <f t="shared" si="243"/>
        <v>#REF!</v>
      </c>
      <c r="AL91" s="170" t="e">
        <f t="shared" si="244"/>
        <v>#REF!</v>
      </c>
      <c r="AM91" s="170" t="e">
        <f t="shared" si="245"/>
        <v>#REF!</v>
      </c>
      <c r="AN91" s="170" t="e">
        <f t="shared" si="246"/>
        <v>#REF!</v>
      </c>
      <c r="AO91" s="170" t="e">
        <f t="shared" si="247"/>
        <v>#REF!</v>
      </c>
      <c r="AP91" s="170" t="e">
        <f t="shared" si="248"/>
        <v>#REF!</v>
      </c>
      <c r="AQ91" s="170" t="e">
        <f t="shared" si="249"/>
        <v>#REF!</v>
      </c>
      <c r="AR91" s="170" t="e">
        <f t="shared" si="250"/>
        <v>#REF!</v>
      </c>
      <c r="AS91" s="1082" t="e">
        <f t="shared" si="230"/>
        <v>#REF!</v>
      </c>
      <c r="AT91" s="170"/>
      <c r="AU91" s="171"/>
      <c r="AV91" s="160"/>
      <c r="AW91" s="160"/>
      <c r="AX91" s="160"/>
      <c r="AY91"/>
      <c r="AZ91">
        <f>SUM(AZ90)/7</f>
        <v>1.2857142857142856E-3</v>
      </c>
      <c r="BA91"/>
      <c r="BL91" s="16"/>
      <c r="BM91" s="16"/>
      <c r="BN91" s="16"/>
      <c r="BO91" s="16"/>
      <c r="BP91" s="10"/>
    </row>
    <row r="92" spans="1:68">
      <c r="A92" s="986" t="s">
        <v>1260</v>
      </c>
      <c r="B92" s="175" t="s">
        <v>93</v>
      </c>
      <c r="C92" s="169">
        <f>SUMIFS(BCRR_REHAB!L:L,BCRR_REHAB!D:D,'Huella materiales'!A92)</f>
        <v>0</v>
      </c>
      <c r="D92" s="146" t="e">
        <f>SUMIF(#REF!,'Huella materiales'!A92,#REF!)</f>
        <v>#REF!</v>
      </c>
      <c r="E92" s="1013" t="e">
        <f t="shared" si="223"/>
        <v>#REF!</v>
      </c>
      <c r="F92" s="146" t="e">
        <f>SUMIF(#REF!,'Huella materiales'!A92,#REF!)</f>
        <v>#REF!</v>
      </c>
      <c r="G92" s="1013" t="e">
        <f t="shared" si="224"/>
        <v>#REF!</v>
      </c>
      <c r="H92" s="146" t="e">
        <f>SUMIF(#REF!,'Huella materiales'!A92,#REF!)</f>
        <v>#REF!</v>
      </c>
      <c r="I92" s="1013" t="e">
        <f t="shared" si="225"/>
        <v>#REF!</v>
      </c>
      <c r="J92" s="146" t="e">
        <f>SUMIF(#REF!,'Huella materiales'!A92,#REF!)</f>
        <v>#REF!</v>
      </c>
      <c r="K92" s="1013" t="e">
        <f t="shared" si="226"/>
        <v>#REF!</v>
      </c>
      <c r="L92" s="146" t="e">
        <f>SUMIF(#REF!,'Huella materiales'!A92,#REF!)</f>
        <v>#REF!</v>
      </c>
      <c r="M92" s="1013" t="e">
        <f t="shared" si="227"/>
        <v>#REF!</v>
      </c>
      <c r="N92" s="146" t="e">
        <f>SUMIF(#REF!,'Huella materiales'!A92,#REF!)</f>
        <v>#REF!</v>
      </c>
      <c r="O92" s="1013" t="e">
        <f t="shared" si="228"/>
        <v>#REF!</v>
      </c>
      <c r="P92" s="146" t="e">
        <f>SUMIF(#REF!,'Huella materiales'!A92,#REF!)</f>
        <v>#REF!</v>
      </c>
      <c r="Q92" s="1013" t="e">
        <f t="shared" si="231"/>
        <v>#REF!</v>
      </c>
      <c r="R92" s="146" t="e">
        <f>SUMIF(#REF!,'Huella materiales'!A92,#REF!)</f>
        <v>#REF!</v>
      </c>
      <c r="S92" s="1013" t="e">
        <f t="shared" si="232"/>
        <v>#REF!</v>
      </c>
      <c r="T92" s="146" t="e">
        <f>SUMIF(#REF!,'Huella materiales'!A92,#REF!)</f>
        <v>#REF!</v>
      </c>
      <c r="U92" s="1013" t="e">
        <f t="shared" si="233"/>
        <v>#REF!</v>
      </c>
      <c r="V92" s="146" t="e">
        <f>SUMIF(#REF!,'Huella materiales'!A92,#REF!)</f>
        <v>#REF!</v>
      </c>
      <c r="W92" s="1013" t="e">
        <f t="shared" si="234"/>
        <v>#REF!</v>
      </c>
      <c r="X92" s="146" t="e">
        <f>SUMIF(#REF!,'Huella materiales'!A92,#REF!)</f>
        <v>#REF!</v>
      </c>
      <c r="Y92" s="1013" t="e">
        <f t="shared" si="235"/>
        <v>#REF!</v>
      </c>
      <c r="Z92" s="146" t="e">
        <f>SUMIF(#REF!,'Huella materiales'!A92,#REF!)</f>
        <v>#REF!</v>
      </c>
      <c r="AA92" s="1013" t="e">
        <f t="shared" si="236"/>
        <v>#REF!</v>
      </c>
      <c r="AB92" s="1030">
        <f>'Datos auxiliares materiales'!C52</f>
        <v>0.31</v>
      </c>
      <c r="AC92" s="1017" t="e">
        <f t="shared" si="237"/>
        <v>#REF!</v>
      </c>
      <c r="AD92" s="1022">
        <f t="shared" si="229"/>
        <v>0</v>
      </c>
      <c r="AE92" s="1077">
        <f>'Datos auxiliares materiales'!D52</f>
        <v>80</v>
      </c>
      <c r="AF92" s="170">
        <f t="shared" si="238"/>
        <v>0</v>
      </c>
      <c r="AG92" s="170" t="e">
        <f t="shared" si="239"/>
        <v>#REF!</v>
      </c>
      <c r="AH92" s="170" t="e">
        <f t="shared" si="240"/>
        <v>#REF!</v>
      </c>
      <c r="AI92" s="170" t="e">
        <f t="shared" si="241"/>
        <v>#REF!</v>
      </c>
      <c r="AJ92" s="170" t="e">
        <f t="shared" si="242"/>
        <v>#REF!</v>
      </c>
      <c r="AK92" s="170" t="e">
        <f t="shared" si="243"/>
        <v>#REF!</v>
      </c>
      <c r="AL92" s="170" t="e">
        <f t="shared" si="244"/>
        <v>#REF!</v>
      </c>
      <c r="AM92" s="170" t="e">
        <f t="shared" si="245"/>
        <v>#REF!</v>
      </c>
      <c r="AN92" s="170" t="e">
        <f t="shared" si="246"/>
        <v>#REF!</v>
      </c>
      <c r="AO92" s="170" t="e">
        <f t="shared" si="247"/>
        <v>#REF!</v>
      </c>
      <c r="AP92" s="170" t="e">
        <f t="shared" si="248"/>
        <v>#REF!</v>
      </c>
      <c r="AQ92" s="170" t="e">
        <f t="shared" si="249"/>
        <v>#REF!</v>
      </c>
      <c r="AR92" s="170" t="e">
        <f t="shared" si="250"/>
        <v>#REF!</v>
      </c>
      <c r="AS92" s="1082" t="e">
        <f t="shared" si="230"/>
        <v>#REF!</v>
      </c>
      <c r="AT92" s="170"/>
      <c r="AU92" s="171"/>
      <c r="AV92" s="160"/>
      <c r="AW92" s="160"/>
      <c r="AX92" s="160"/>
      <c r="AY92"/>
      <c r="AZ92"/>
      <c r="BA92"/>
      <c r="BL92" s="16"/>
      <c r="BM92" s="16"/>
      <c r="BN92" s="16"/>
      <c r="BO92" s="16"/>
      <c r="BP92" s="10" t="s">
        <v>569</v>
      </c>
    </row>
    <row r="93" spans="1:68" ht="15.5">
      <c r="B93" s="163" t="s">
        <v>230</v>
      </c>
      <c r="C93" s="169">
        <f>SUMIFS(BCRR_REHAB!L:L,BCRR_REHAB!D:D,'Huella materiales'!A93)</f>
        <v>0</v>
      </c>
      <c r="D93" s="987"/>
      <c r="E93" s="1014" t="e">
        <f t="shared" ref="E93:AD93" si="251">SUM(E94:E104)</f>
        <v>#REF!</v>
      </c>
      <c r="F93" s="987"/>
      <c r="G93" s="987" t="e">
        <f t="shared" si="251"/>
        <v>#REF!</v>
      </c>
      <c r="H93" s="987"/>
      <c r="I93" s="987" t="e">
        <f t="shared" si="251"/>
        <v>#REF!</v>
      </c>
      <c r="J93" s="987"/>
      <c r="K93" s="987" t="e">
        <f t="shared" si="251"/>
        <v>#REF!</v>
      </c>
      <c r="L93" s="987"/>
      <c r="M93" s="987" t="e">
        <f t="shared" si="251"/>
        <v>#REF!</v>
      </c>
      <c r="N93" s="987"/>
      <c r="O93" s="987" t="e">
        <f t="shared" si="251"/>
        <v>#REF!</v>
      </c>
      <c r="P93" s="987"/>
      <c r="Q93" s="987" t="e">
        <f t="shared" si="251"/>
        <v>#REF!</v>
      </c>
      <c r="R93" s="987"/>
      <c r="S93" s="987" t="e">
        <f t="shared" si="251"/>
        <v>#REF!</v>
      </c>
      <c r="T93" s="987"/>
      <c r="U93" s="987" t="e">
        <f t="shared" si="251"/>
        <v>#REF!</v>
      </c>
      <c r="V93" s="987"/>
      <c r="W93" s="987" t="e">
        <f t="shared" si="251"/>
        <v>#REF!</v>
      </c>
      <c r="X93" s="987"/>
      <c r="Y93" s="987" t="e">
        <f t="shared" si="251"/>
        <v>#REF!</v>
      </c>
      <c r="Z93" s="987"/>
      <c r="AA93" s="987" t="e">
        <f t="shared" si="251"/>
        <v>#REF!</v>
      </c>
      <c r="AB93" s="987"/>
      <c r="AC93" s="1028" t="e">
        <f t="shared" si="251"/>
        <v>#REF!</v>
      </c>
      <c r="AD93" s="1026">
        <f t="shared" si="251"/>
        <v>0</v>
      </c>
      <c r="AE93" s="1019"/>
      <c r="AF93" s="1080">
        <f>SUM(AF94:AF104)</f>
        <v>0</v>
      </c>
      <c r="AG93" s="1080" t="e">
        <f t="shared" ref="AG93:AR93" si="252">SUM(AG94:AG104)</f>
        <v>#REF!</v>
      </c>
      <c r="AH93" s="1080" t="e">
        <f t="shared" si="252"/>
        <v>#REF!</v>
      </c>
      <c r="AI93" s="1080" t="e">
        <f>SUM(AI94:AI104)</f>
        <v>#REF!</v>
      </c>
      <c r="AJ93" s="1080" t="e">
        <f t="shared" si="252"/>
        <v>#REF!</v>
      </c>
      <c r="AK93" s="1080" t="e">
        <f>SUM(AK94:AK104)</f>
        <v>#REF!</v>
      </c>
      <c r="AL93" s="1080" t="e">
        <f t="shared" si="252"/>
        <v>#REF!</v>
      </c>
      <c r="AM93" s="1080" t="e">
        <f t="shared" si="252"/>
        <v>#REF!</v>
      </c>
      <c r="AN93" s="1080" t="e">
        <f t="shared" si="252"/>
        <v>#REF!</v>
      </c>
      <c r="AO93" s="1080" t="e">
        <f t="shared" si="252"/>
        <v>#REF!</v>
      </c>
      <c r="AP93" s="1080" t="e">
        <f t="shared" si="252"/>
        <v>#REF!</v>
      </c>
      <c r="AQ93" s="1080" t="e">
        <f t="shared" si="252"/>
        <v>#REF!</v>
      </c>
      <c r="AR93" s="1080" t="e">
        <f t="shared" si="252"/>
        <v>#REF!</v>
      </c>
      <c r="AS93" s="1083" t="e">
        <f>AG93+AH93+AI93+AJ93+AK93+AM93+AN93+AO93+AP93+AQ93+AR93</f>
        <v>#REF!</v>
      </c>
      <c r="AT93" s="165">
        <f>SUM(AF94:AF99)/$AX$5*$AX$7</f>
        <v>0</v>
      </c>
      <c r="AU93" s="166">
        <f>AT93/$AX$8</f>
        <v>0</v>
      </c>
      <c r="AV93" s="160"/>
      <c r="AW93" s="160"/>
      <c r="AX93" s="160"/>
      <c r="AY93"/>
      <c r="AZ93"/>
      <c r="BA93"/>
      <c r="BL93" s="16"/>
      <c r="BM93" s="16"/>
      <c r="BN93" s="16"/>
      <c r="BO93" s="16"/>
      <c r="BP93" s="10" t="s">
        <v>570</v>
      </c>
    </row>
    <row r="94" spans="1:68">
      <c r="A94" s="10" t="s">
        <v>1081</v>
      </c>
      <c r="B94" s="175" t="s">
        <v>18</v>
      </c>
      <c r="C94" s="169">
        <f>SUMIFS(BCRR_REHAB!L:L,BCRR_REHAB!D:D,'Huella materiales'!A94)</f>
        <v>0</v>
      </c>
      <c r="D94" s="146" t="e">
        <f>SUMIF(#REF!,'Huella materiales'!A94,#REF!)</f>
        <v>#REF!</v>
      </c>
      <c r="E94" s="1013" t="e">
        <f t="shared" ref="E94:E104" si="253">D94*AB94</f>
        <v>#REF!</v>
      </c>
      <c r="F94" s="146" t="e">
        <f>SUMIF(#REF!,'Huella materiales'!A94,#REF!)</f>
        <v>#REF!</v>
      </c>
      <c r="G94" s="1013" t="e">
        <f t="shared" ref="G94:G104" si="254">F94*AB94</f>
        <v>#REF!</v>
      </c>
      <c r="H94" s="146" t="e">
        <f>SUMIF(#REF!,'Huella materiales'!A94,#REF!)</f>
        <v>#REF!</v>
      </c>
      <c r="I94" s="1013" t="e">
        <f t="shared" ref="I94:I104" si="255">H94*AB94</f>
        <v>#REF!</v>
      </c>
      <c r="J94" s="146" t="e">
        <f>SUMIF(#REF!,'Huella materiales'!A94,#REF!)</f>
        <v>#REF!</v>
      </c>
      <c r="K94" s="1013" t="e">
        <f t="shared" ref="K94:K104" si="256">J94*AB94</f>
        <v>#REF!</v>
      </c>
      <c r="L94" s="146" t="e">
        <f>SUMIF(#REF!,'Huella materiales'!A94,#REF!)</f>
        <v>#REF!</v>
      </c>
      <c r="M94" s="1013" t="e">
        <f t="shared" ref="M94:M104" si="257">L94*AB94</f>
        <v>#REF!</v>
      </c>
      <c r="N94" s="146" t="e">
        <f>SUMIF(#REF!,'Huella materiales'!A94,#REF!)</f>
        <v>#REF!</v>
      </c>
      <c r="O94" s="1013" t="e">
        <f t="shared" ref="O94:O104" si="258">N94*AB94</f>
        <v>#REF!</v>
      </c>
      <c r="P94" s="146" t="e">
        <f>SUMIF(#REF!,'Huella materiales'!A94,#REF!)</f>
        <v>#REF!</v>
      </c>
      <c r="Q94" s="1013" t="e">
        <f>P94*AB94</f>
        <v>#REF!</v>
      </c>
      <c r="R94" s="146" t="e">
        <f>SUMIF(#REF!,'Huella materiales'!A94,#REF!)</f>
        <v>#REF!</v>
      </c>
      <c r="S94" s="1013" t="e">
        <f>R94*AB94</f>
        <v>#REF!</v>
      </c>
      <c r="T94" s="146" t="e">
        <f>SUMIF(#REF!,'Huella materiales'!A94,#REF!)</f>
        <v>#REF!</v>
      </c>
      <c r="U94" s="1013" t="e">
        <f>T94*AB94</f>
        <v>#REF!</v>
      </c>
      <c r="V94" s="146" t="e">
        <f>SUMIF(#REF!,'Huella materiales'!A94,#REF!)</f>
        <v>#REF!</v>
      </c>
      <c r="W94" s="1013" t="e">
        <f>V94*AB94</f>
        <v>#REF!</v>
      </c>
      <c r="X94" s="146" t="e">
        <f>SUMIF(#REF!,'Huella materiales'!A94,#REF!)</f>
        <v>#REF!</v>
      </c>
      <c r="Y94" s="1013" t="e">
        <f>X94*AB94</f>
        <v>#REF!</v>
      </c>
      <c r="Z94" s="146" t="e">
        <f>SUMIF(#REF!,'Huella materiales'!A94,#REF!)</f>
        <v>#REF!</v>
      </c>
      <c r="AA94" s="1013" t="e">
        <f>Z94*AB94</f>
        <v>#REF!</v>
      </c>
      <c r="AB94" s="1030">
        <f>'Datos auxiliares materiales'!C54</f>
        <v>425</v>
      </c>
      <c r="AC94" s="1017" t="e">
        <f>E94+G94+I94+K94+M94+O94+Q94+S94+U94+W94+Y94+AA94</f>
        <v>#REF!</v>
      </c>
      <c r="AD94" s="1022">
        <f t="shared" ref="AD94:AD104" si="259">C94*AB94</f>
        <v>0</v>
      </c>
      <c r="AE94" s="1077">
        <f>'Datos auxiliares materiales'!D54</f>
        <v>3</v>
      </c>
      <c r="AF94" s="170">
        <f>C94*AB94*AE94</f>
        <v>0</v>
      </c>
      <c r="AG94" s="170" t="e">
        <f>D94*AB94*AE94</f>
        <v>#REF!</v>
      </c>
      <c r="AH94" s="170" t="e">
        <f>F94*AB94*AE94</f>
        <v>#REF!</v>
      </c>
      <c r="AI94" s="170" t="e">
        <f>H94*AB94*AE94</f>
        <v>#REF!</v>
      </c>
      <c r="AJ94" s="170" t="e">
        <f>J94*AB94*AE94</f>
        <v>#REF!</v>
      </c>
      <c r="AK94" s="170" t="e">
        <f>L94*AB94*AE94</f>
        <v>#REF!</v>
      </c>
      <c r="AL94" s="170" t="e">
        <f>N94*$AB$49*$AE$49</f>
        <v>#REF!</v>
      </c>
      <c r="AM94" s="170" t="e">
        <f>P94*AB94*AE94</f>
        <v>#REF!</v>
      </c>
      <c r="AN94" s="170" t="e">
        <f>R94*AB94*AE94</f>
        <v>#REF!</v>
      </c>
      <c r="AO94" s="170" t="e">
        <f>T94*AB94*AE94</f>
        <v>#REF!</v>
      </c>
      <c r="AP94" s="170" t="e">
        <f>V94*AB94*AE94</f>
        <v>#REF!</v>
      </c>
      <c r="AQ94" s="170" t="e">
        <f>X94*AB94*AE94</f>
        <v>#REF!</v>
      </c>
      <c r="AR94" s="170" t="e">
        <f>Z94*AB94*AE94</f>
        <v>#REF!</v>
      </c>
      <c r="AS94" s="1082" t="e">
        <f t="shared" ref="AS94:AS104" si="260">AG94+AH94+AI94+AJ94+AK94+AM94+AN94+AO94+AP94+AQ94+AR94</f>
        <v>#REF!</v>
      </c>
      <c r="AT94" s="170"/>
      <c r="AU94" s="171"/>
      <c r="AV94" s="160"/>
      <c r="AW94" s="1520"/>
      <c r="AX94" s="1520"/>
      <c r="AY94" s="1521"/>
      <c r="AZ94" s="1521"/>
      <c r="BA94" s="1521"/>
      <c r="BB94" s="1521"/>
      <c r="BC94" s="1521"/>
      <c r="BD94" s="1521"/>
      <c r="BE94" s="1521"/>
      <c r="BF94" s="1521"/>
      <c r="BG94" s="1521"/>
      <c r="BH94" s="1521"/>
      <c r="BI94" s="1521"/>
      <c r="BJ94" s="1521"/>
      <c r="BL94" s="16"/>
      <c r="BM94" s="16"/>
      <c r="BN94" s="16"/>
      <c r="BO94" s="16"/>
      <c r="BP94" s="10" t="s">
        <v>571</v>
      </c>
    </row>
    <row r="95" spans="1:68" s="1521" customFormat="1">
      <c r="A95" s="1373" t="s">
        <v>1114</v>
      </c>
      <c r="B95" s="1513" t="s">
        <v>18</v>
      </c>
      <c r="C95" s="169">
        <f>SUMIFS(BCRR_REHAB!L:L,BCRR_REHAB!D:D,'Huella materiales'!A95)</f>
        <v>0</v>
      </c>
      <c r="D95" s="1515" t="e">
        <f>SUMIF(#REF!,'Huella materiales'!A95,#REF!)</f>
        <v>#REF!</v>
      </c>
      <c r="E95" s="1515" t="e">
        <f t="shared" si="253"/>
        <v>#REF!</v>
      </c>
      <c r="F95" s="146" t="e">
        <f>SUMIF(#REF!,'Huella materiales'!A95,#REF!)</f>
        <v>#REF!</v>
      </c>
      <c r="G95" s="1515" t="e">
        <f t="shared" si="254"/>
        <v>#REF!</v>
      </c>
      <c r="H95" s="146" t="e">
        <f>SUMIF(#REF!,'Huella materiales'!A95,#REF!)</f>
        <v>#REF!</v>
      </c>
      <c r="I95" s="1515" t="e">
        <f t="shared" si="255"/>
        <v>#REF!</v>
      </c>
      <c r="J95" s="146" t="e">
        <f>SUMIF(#REF!,'Huella materiales'!A95,#REF!)</f>
        <v>#REF!</v>
      </c>
      <c r="K95" s="1515" t="e">
        <f t="shared" si="256"/>
        <v>#REF!</v>
      </c>
      <c r="L95" s="146" t="e">
        <f>SUMIF(#REF!,'Huella materiales'!A95,#REF!)</f>
        <v>#REF!</v>
      </c>
      <c r="M95" s="1515" t="e">
        <f t="shared" si="257"/>
        <v>#REF!</v>
      </c>
      <c r="N95" s="1515" t="e">
        <f>SUMIF(#REF!,'Huella materiales'!A95,#REF!)</f>
        <v>#REF!</v>
      </c>
      <c r="O95" s="1515" t="e">
        <f t="shared" si="258"/>
        <v>#REF!</v>
      </c>
      <c r="P95" s="1515" t="e">
        <f>SUMIF(#REF!,'Huella materiales'!A95,#REF!)</f>
        <v>#REF!</v>
      </c>
      <c r="Q95" s="1515" t="e">
        <f t="shared" ref="Q95:Q104" si="261">P95*AB95</f>
        <v>#REF!</v>
      </c>
      <c r="R95" s="1515" t="e">
        <f>SUMIF(#REF!,'Huella materiales'!A95,#REF!)</f>
        <v>#REF!</v>
      </c>
      <c r="S95" s="1515" t="e">
        <f t="shared" ref="S95:S104" si="262">R95*AB95</f>
        <v>#REF!</v>
      </c>
      <c r="T95" s="146" t="e">
        <f>SUMIF(#REF!,'Huella materiales'!A95,#REF!)</f>
        <v>#REF!</v>
      </c>
      <c r="U95" s="1515" t="e">
        <f t="shared" ref="U95:U104" si="263">T95*AB95</f>
        <v>#REF!</v>
      </c>
      <c r="V95" s="1515" t="e">
        <f>SUMIF(#REF!,'Huella materiales'!A95,#REF!)</f>
        <v>#REF!</v>
      </c>
      <c r="W95" s="1515" t="e">
        <f t="shared" ref="W95:W104" si="264">V95*AB95</f>
        <v>#REF!</v>
      </c>
      <c r="X95" s="1515" t="e">
        <f>SUMIF(#REF!,'Huella materiales'!A95,#REF!)</f>
        <v>#REF!</v>
      </c>
      <c r="Y95" s="1515" t="e">
        <f t="shared" ref="Y95:Y104" si="265">X95*AB95</f>
        <v>#REF!</v>
      </c>
      <c r="Z95" s="1515" t="e">
        <f>SUMIF(#REF!,'Huella materiales'!A95,#REF!)</f>
        <v>#REF!</v>
      </c>
      <c r="AA95" s="1515" t="e">
        <f t="shared" ref="AA95:AA104" si="266">Z95*AB95</f>
        <v>#REF!</v>
      </c>
      <c r="AB95" s="1515">
        <f>'Datos auxiliares materiales'!C55</f>
        <v>650</v>
      </c>
      <c r="AC95" s="1516" t="e">
        <f t="shared" ref="AC95:AC104" si="267">E95+G95+I95+K95+M95+O95+Q95+S95+U95+W95+Y95+AA95</f>
        <v>#REF!</v>
      </c>
      <c r="AD95" s="1517">
        <f t="shared" si="259"/>
        <v>0</v>
      </c>
      <c r="AE95" s="1518">
        <f>'Datos auxiliares materiales'!D55</f>
        <v>3</v>
      </c>
      <c r="AF95" s="1515">
        <f t="shared" ref="AF95:AF104" si="268">C95*AB95*AE95</f>
        <v>0</v>
      </c>
      <c r="AG95" s="1515" t="e">
        <f t="shared" ref="AG95:AG104" si="269">D95*AB95*AE95</f>
        <v>#REF!</v>
      </c>
      <c r="AH95" s="1515" t="e">
        <f t="shared" ref="AH95:AH104" si="270">F95*AB95*AE95</f>
        <v>#REF!</v>
      </c>
      <c r="AI95" s="1515" t="e">
        <f t="shared" ref="AI95:AI104" si="271">H95*AB95*AE95</f>
        <v>#REF!</v>
      </c>
      <c r="AJ95" s="1515" t="e">
        <f t="shared" ref="AJ95:AJ104" si="272">J95*AB95*AE95</f>
        <v>#REF!</v>
      </c>
      <c r="AK95" s="1515" t="e">
        <f t="shared" ref="AK95:AK104" si="273">L95*AB95*AE95</f>
        <v>#REF!</v>
      </c>
      <c r="AL95" s="1515" t="e">
        <f t="shared" ref="AL95:AL104" si="274">N95*$AB$49*$AE$49</f>
        <v>#REF!</v>
      </c>
      <c r="AM95" s="1515" t="e">
        <f t="shared" ref="AM95:AM104" si="275">P95*AB95*AE95</f>
        <v>#REF!</v>
      </c>
      <c r="AN95" s="1515" t="e">
        <f t="shared" ref="AN95:AN104" si="276">R95*AB95*AE95</f>
        <v>#REF!</v>
      </c>
      <c r="AO95" s="1515" t="e">
        <f t="shared" ref="AO95:AO104" si="277">T95*AB95*AE95</f>
        <v>#REF!</v>
      </c>
      <c r="AP95" s="1515" t="e">
        <f t="shared" ref="AP95:AP104" si="278">V95*AB95*AE95</f>
        <v>#REF!</v>
      </c>
      <c r="AQ95" s="1515" t="e">
        <f t="shared" ref="AQ95:AQ104" si="279">X95*AB95*AE95</f>
        <v>#REF!</v>
      </c>
      <c r="AR95" s="1515" t="e">
        <f t="shared" ref="AR95:AR104" si="280">Z95*AB95*AE95</f>
        <v>#REF!</v>
      </c>
      <c r="AS95" s="1524" t="e">
        <f>AG95+AH95+AI95+AJ95+AK95+AL95+AM95+AN95+AO95+AP95+AQ95+AR95</f>
        <v>#REF!</v>
      </c>
      <c r="AT95" s="1515"/>
      <c r="AU95" s="1519"/>
      <c r="AV95" s="1520"/>
      <c r="AW95" s="160"/>
      <c r="AX95" s="160"/>
      <c r="AY95"/>
      <c r="AZ95"/>
      <c r="BA95"/>
      <c r="BB95"/>
      <c r="BC95"/>
      <c r="BD95"/>
      <c r="BE95"/>
      <c r="BF95"/>
      <c r="BG95"/>
      <c r="BH95"/>
      <c r="BI95"/>
      <c r="BJ95"/>
      <c r="BL95" s="1522"/>
      <c r="BM95" s="1522"/>
      <c r="BN95" s="1522"/>
      <c r="BO95" s="1522"/>
      <c r="BP95" s="1373" t="s">
        <v>571</v>
      </c>
    </row>
    <row r="96" spans="1:68">
      <c r="A96" s="10" t="s">
        <v>1181</v>
      </c>
      <c r="B96" s="175" t="s">
        <v>132</v>
      </c>
      <c r="C96" s="169">
        <f>SUMIFS(BCRR_REHAB!L:L,BCRR_REHAB!D:D,'Huella materiales'!A96)</f>
        <v>0</v>
      </c>
      <c r="D96" s="146" t="e">
        <f>SUMIF(#REF!,'Huella materiales'!A96,#REF!)</f>
        <v>#REF!</v>
      </c>
      <c r="E96" s="1013" t="e">
        <f t="shared" si="253"/>
        <v>#REF!</v>
      </c>
      <c r="F96" s="146" t="e">
        <f>SUMIF(#REF!,'Huella materiales'!A96,#REF!)</f>
        <v>#REF!</v>
      </c>
      <c r="G96" s="1013" t="e">
        <f t="shared" si="254"/>
        <v>#REF!</v>
      </c>
      <c r="H96" s="146" t="e">
        <f>SUMIF(#REF!,'Huella materiales'!A96,#REF!)</f>
        <v>#REF!</v>
      </c>
      <c r="I96" s="1013" t="e">
        <f t="shared" si="255"/>
        <v>#REF!</v>
      </c>
      <c r="J96" s="146" t="e">
        <f>SUMIF(#REF!,'Huella materiales'!A96,#REF!)</f>
        <v>#REF!</v>
      </c>
      <c r="K96" s="1013" t="e">
        <f t="shared" si="256"/>
        <v>#REF!</v>
      </c>
      <c r="L96" s="146" t="e">
        <f>SUMIF(#REF!,'Huella materiales'!A96,#REF!)</f>
        <v>#REF!</v>
      </c>
      <c r="M96" s="1013" t="e">
        <f t="shared" si="257"/>
        <v>#REF!</v>
      </c>
      <c r="N96" s="146" t="e">
        <f>SUMIF(#REF!,'Huella materiales'!A96,#REF!)</f>
        <v>#REF!</v>
      </c>
      <c r="O96" s="1013" t="e">
        <f t="shared" si="258"/>
        <v>#REF!</v>
      </c>
      <c r="P96" s="146" t="e">
        <f>SUMIF(#REF!,'Huella materiales'!A96,#REF!)</f>
        <v>#REF!</v>
      </c>
      <c r="Q96" s="1013" t="e">
        <f t="shared" si="261"/>
        <v>#REF!</v>
      </c>
      <c r="R96" s="146" t="e">
        <f>SUMIF(#REF!,'Huella materiales'!A96,#REF!)</f>
        <v>#REF!</v>
      </c>
      <c r="S96" s="1013" t="e">
        <f t="shared" si="262"/>
        <v>#REF!</v>
      </c>
      <c r="T96" s="146" t="e">
        <f>SUMIF(#REF!,'Huella materiales'!A96,#REF!)</f>
        <v>#REF!</v>
      </c>
      <c r="U96" s="1013" t="e">
        <f t="shared" si="263"/>
        <v>#REF!</v>
      </c>
      <c r="V96" s="146" t="e">
        <f>SUMIF(#REF!,'Huella materiales'!A96,#REF!)</f>
        <v>#REF!</v>
      </c>
      <c r="W96" s="1013" t="e">
        <f t="shared" si="264"/>
        <v>#REF!</v>
      </c>
      <c r="X96" s="146" t="e">
        <f>SUMIF(#REF!,'Huella materiales'!A96,#REF!)</f>
        <v>#REF!</v>
      </c>
      <c r="Y96" s="1013" t="e">
        <f t="shared" si="265"/>
        <v>#REF!</v>
      </c>
      <c r="Z96" s="146" t="e">
        <f>SUMIF(#REF!,'Huella materiales'!A96,#REF!)</f>
        <v>#REF!</v>
      </c>
      <c r="AA96" s="1013" t="e">
        <f t="shared" si="266"/>
        <v>#REF!</v>
      </c>
      <c r="AB96" s="1030">
        <f>'Datos auxiliares materiales'!C55</f>
        <v>650</v>
      </c>
      <c r="AC96" s="1017" t="e">
        <f>E96+G96+I96+K96+M96+O96+Q96+S96+U96+W96+Y96+AA96</f>
        <v>#REF!</v>
      </c>
      <c r="AD96" s="1022">
        <f t="shared" si="259"/>
        <v>0</v>
      </c>
      <c r="AE96" s="1077">
        <f>'Datos auxiliares materiales'!D55</f>
        <v>3</v>
      </c>
      <c r="AF96" s="170">
        <f t="shared" si="268"/>
        <v>0</v>
      </c>
      <c r="AG96" s="170" t="e">
        <f t="shared" si="269"/>
        <v>#REF!</v>
      </c>
      <c r="AH96" s="170" t="e">
        <f t="shared" si="270"/>
        <v>#REF!</v>
      </c>
      <c r="AI96" s="170" t="e">
        <f t="shared" si="271"/>
        <v>#REF!</v>
      </c>
      <c r="AJ96" s="170" t="e">
        <f t="shared" si="272"/>
        <v>#REF!</v>
      </c>
      <c r="AK96" s="170" t="e">
        <f t="shared" si="273"/>
        <v>#REF!</v>
      </c>
      <c r="AL96" s="170" t="e">
        <f t="shared" si="274"/>
        <v>#REF!</v>
      </c>
      <c r="AM96" s="170" t="e">
        <f t="shared" si="275"/>
        <v>#REF!</v>
      </c>
      <c r="AN96" s="170" t="e">
        <f t="shared" si="276"/>
        <v>#REF!</v>
      </c>
      <c r="AO96" s="170" t="e">
        <f t="shared" si="277"/>
        <v>#REF!</v>
      </c>
      <c r="AP96" s="170" t="e">
        <f t="shared" si="278"/>
        <v>#REF!</v>
      </c>
      <c r="AQ96" s="170" t="e">
        <f t="shared" si="279"/>
        <v>#REF!</v>
      </c>
      <c r="AR96" s="170" t="e">
        <f t="shared" si="280"/>
        <v>#REF!</v>
      </c>
      <c r="AS96" s="1082" t="e">
        <f t="shared" si="260"/>
        <v>#REF!</v>
      </c>
      <c r="AT96" s="170"/>
      <c r="AU96" s="171"/>
      <c r="AV96" s="160"/>
      <c r="AW96" s="160"/>
      <c r="AX96" s="160"/>
      <c r="AY96"/>
      <c r="AZ96" s="30">
        <v>18.3</v>
      </c>
      <c r="BA96" s="34"/>
      <c r="BB96" s="34"/>
      <c r="BC96" s="34"/>
      <c r="BD96" s="34"/>
      <c r="BE96" s="34"/>
      <c r="BL96" s="16"/>
      <c r="BM96" s="16"/>
      <c r="BN96" s="16"/>
      <c r="BO96" s="16"/>
      <c r="BP96" s="10" t="s">
        <v>572</v>
      </c>
    </row>
    <row r="97" spans="1:68">
      <c r="A97" s="10" t="s">
        <v>1179</v>
      </c>
      <c r="B97" s="175" t="s">
        <v>130</v>
      </c>
      <c r="C97" s="169">
        <f>SUMIFS(BCRR_REHAB!L:L,BCRR_REHAB!D:D,'Huella materiales'!A97)</f>
        <v>0</v>
      </c>
      <c r="D97" s="146" t="e">
        <f>SUMIF(#REF!,'Huella materiales'!A97,#REF!)</f>
        <v>#REF!</v>
      </c>
      <c r="E97" s="1013" t="e">
        <f t="shared" si="253"/>
        <v>#REF!</v>
      </c>
      <c r="F97" s="146" t="e">
        <f>SUMIF(#REF!,'Huella materiales'!A97,#REF!)</f>
        <v>#REF!</v>
      </c>
      <c r="G97" s="1013" t="e">
        <f t="shared" si="254"/>
        <v>#REF!</v>
      </c>
      <c r="H97" s="146" t="e">
        <f>SUMIF(#REF!,'Huella materiales'!A97,#REF!)</f>
        <v>#REF!</v>
      </c>
      <c r="I97" s="1013" t="e">
        <f t="shared" si="255"/>
        <v>#REF!</v>
      </c>
      <c r="J97" s="146" t="e">
        <f>SUMIF(#REF!,'Huella materiales'!A97,#REF!)</f>
        <v>#REF!</v>
      </c>
      <c r="K97" s="1013" t="e">
        <f t="shared" si="256"/>
        <v>#REF!</v>
      </c>
      <c r="L97" s="146" t="e">
        <f>SUMIF(#REF!,'Huella materiales'!A97,#REF!)</f>
        <v>#REF!</v>
      </c>
      <c r="M97" s="1013" t="e">
        <f t="shared" si="257"/>
        <v>#REF!</v>
      </c>
      <c r="N97" s="146" t="e">
        <f>SUMIF(#REF!,'Huella materiales'!A97,#REF!)</f>
        <v>#REF!</v>
      </c>
      <c r="O97" s="1013" t="e">
        <f t="shared" si="258"/>
        <v>#REF!</v>
      </c>
      <c r="P97" s="146" t="e">
        <f>SUMIF(#REF!,'Huella materiales'!A97,#REF!)</f>
        <v>#REF!</v>
      </c>
      <c r="Q97" s="1013" t="e">
        <f t="shared" si="261"/>
        <v>#REF!</v>
      </c>
      <c r="R97" s="146" t="e">
        <f>SUMIF(#REF!,'Huella materiales'!A97,#REF!)</f>
        <v>#REF!</v>
      </c>
      <c r="S97" s="1013" t="e">
        <f t="shared" si="262"/>
        <v>#REF!</v>
      </c>
      <c r="T97" s="146" t="e">
        <f>SUMIF(#REF!,'Huella materiales'!A97,#REF!)</f>
        <v>#REF!</v>
      </c>
      <c r="U97" s="1013" t="e">
        <f t="shared" si="263"/>
        <v>#REF!</v>
      </c>
      <c r="V97" s="146" t="e">
        <f>SUMIF(#REF!,'Huella materiales'!A97,#REF!)</f>
        <v>#REF!</v>
      </c>
      <c r="W97" s="1013" t="e">
        <f t="shared" si="264"/>
        <v>#REF!</v>
      </c>
      <c r="X97" s="146" t="e">
        <f>SUMIF(#REF!,'Huella materiales'!A97,#REF!)</f>
        <v>#REF!</v>
      </c>
      <c r="Y97" s="1013" t="e">
        <f t="shared" si="265"/>
        <v>#REF!</v>
      </c>
      <c r="Z97" s="146" t="e">
        <f>SUMIF(#REF!,'Huella materiales'!A97,#REF!)</f>
        <v>#REF!</v>
      </c>
      <c r="AA97" s="1013" t="e">
        <f t="shared" si="266"/>
        <v>#REF!</v>
      </c>
      <c r="AB97" s="1030">
        <f>'Datos auxiliares materiales'!C56</f>
        <v>11.2</v>
      </c>
      <c r="AC97" s="1017" t="e">
        <f t="shared" si="267"/>
        <v>#REF!</v>
      </c>
      <c r="AD97" s="1022">
        <f t="shared" si="259"/>
        <v>0</v>
      </c>
      <c r="AE97" s="1077">
        <f>'Datos auxiliares materiales'!D56</f>
        <v>3</v>
      </c>
      <c r="AF97" s="170">
        <f t="shared" si="268"/>
        <v>0</v>
      </c>
      <c r="AG97" s="170" t="e">
        <f t="shared" si="269"/>
        <v>#REF!</v>
      </c>
      <c r="AH97" s="170" t="e">
        <f t="shared" si="270"/>
        <v>#REF!</v>
      </c>
      <c r="AI97" s="170" t="e">
        <f t="shared" si="271"/>
        <v>#REF!</v>
      </c>
      <c r="AJ97" s="170" t="e">
        <f t="shared" si="272"/>
        <v>#REF!</v>
      </c>
      <c r="AK97" s="170" t="e">
        <f t="shared" si="273"/>
        <v>#REF!</v>
      </c>
      <c r="AL97" s="170" t="e">
        <f t="shared" si="274"/>
        <v>#REF!</v>
      </c>
      <c r="AM97" s="170" t="e">
        <f t="shared" si="275"/>
        <v>#REF!</v>
      </c>
      <c r="AN97" s="170" t="e">
        <f t="shared" si="276"/>
        <v>#REF!</v>
      </c>
      <c r="AO97" s="170" t="e">
        <f t="shared" si="277"/>
        <v>#REF!</v>
      </c>
      <c r="AP97" s="170" t="e">
        <f t="shared" si="278"/>
        <v>#REF!</v>
      </c>
      <c r="AQ97" s="170" t="e">
        <f t="shared" si="279"/>
        <v>#REF!</v>
      </c>
      <c r="AR97" s="170" t="e">
        <f t="shared" si="280"/>
        <v>#REF!</v>
      </c>
      <c r="AS97" s="1082" t="e">
        <f t="shared" si="260"/>
        <v>#REF!</v>
      </c>
      <c r="AT97" s="170"/>
      <c r="AU97" s="171"/>
      <c r="AV97" s="160"/>
      <c r="AW97" s="160"/>
      <c r="AX97" s="160"/>
      <c r="AY97"/>
      <c r="AZ97" s="79">
        <v>29.8</v>
      </c>
      <c r="BA97" s="34"/>
      <c r="BB97" s="34"/>
      <c r="BC97" s="34"/>
      <c r="BD97" s="34"/>
      <c r="BE97" s="34"/>
      <c r="BF97" s="16"/>
      <c r="BL97" s="16"/>
      <c r="BM97" s="16"/>
      <c r="BN97" s="16"/>
      <c r="BO97" s="16"/>
      <c r="BP97" s="10" t="s">
        <v>573</v>
      </c>
    </row>
    <row r="98" spans="1:68">
      <c r="A98" s="10" t="s">
        <v>1178</v>
      </c>
      <c r="B98" s="175" t="s">
        <v>129</v>
      </c>
      <c r="C98" s="169">
        <f>SUMIFS(BCRR_REHAB!L:L,BCRR_REHAB!D:D,'Huella materiales'!A98)</f>
        <v>0</v>
      </c>
      <c r="D98" s="146" t="e">
        <f>SUMIF(#REF!,'Huella materiales'!A98,#REF!)</f>
        <v>#REF!</v>
      </c>
      <c r="E98" s="1013" t="e">
        <f t="shared" si="253"/>
        <v>#REF!</v>
      </c>
      <c r="F98" s="146" t="e">
        <f>SUMIF(#REF!,'Huella materiales'!A98,#REF!)</f>
        <v>#REF!</v>
      </c>
      <c r="G98" s="1013" t="e">
        <f t="shared" si="254"/>
        <v>#REF!</v>
      </c>
      <c r="H98" s="146" t="e">
        <f>SUMIF(#REF!,'Huella materiales'!A98,#REF!)</f>
        <v>#REF!</v>
      </c>
      <c r="I98" s="1013" t="e">
        <f t="shared" si="255"/>
        <v>#REF!</v>
      </c>
      <c r="J98" s="146" t="e">
        <f>SUMIF(#REF!,'Huella materiales'!A98,#REF!)</f>
        <v>#REF!</v>
      </c>
      <c r="K98" s="1013" t="e">
        <f t="shared" si="256"/>
        <v>#REF!</v>
      </c>
      <c r="L98" s="146" t="e">
        <f>SUMIF(#REF!,'Huella materiales'!A98,#REF!)</f>
        <v>#REF!</v>
      </c>
      <c r="M98" s="1013" t="e">
        <f t="shared" si="257"/>
        <v>#REF!</v>
      </c>
      <c r="N98" s="146" t="e">
        <f>SUMIF(#REF!,'Huella materiales'!A98,#REF!)</f>
        <v>#REF!</v>
      </c>
      <c r="O98" s="1013" t="e">
        <f t="shared" si="258"/>
        <v>#REF!</v>
      </c>
      <c r="P98" s="146" t="e">
        <f>SUMIF(#REF!,'Huella materiales'!A98,#REF!)</f>
        <v>#REF!</v>
      </c>
      <c r="Q98" s="1013" t="e">
        <f t="shared" si="261"/>
        <v>#REF!</v>
      </c>
      <c r="R98" s="146" t="e">
        <f>SUMIF(#REF!,'Huella materiales'!A98,#REF!)</f>
        <v>#REF!</v>
      </c>
      <c r="S98" s="1013" t="e">
        <f t="shared" si="262"/>
        <v>#REF!</v>
      </c>
      <c r="T98" s="146" t="e">
        <f>SUMIF(#REF!,'Huella materiales'!A98,#REF!)</f>
        <v>#REF!</v>
      </c>
      <c r="U98" s="1013" t="e">
        <f t="shared" si="263"/>
        <v>#REF!</v>
      </c>
      <c r="V98" s="146" t="e">
        <f>SUMIF(#REF!,'Huella materiales'!A98,#REF!)</f>
        <v>#REF!</v>
      </c>
      <c r="W98" s="1013" t="e">
        <f t="shared" si="264"/>
        <v>#REF!</v>
      </c>
      <c r="X98" s="146" t="e">
        <f>SUMIF(#REF!,'Huella materiales'!A98,#REF!)</f>
        <v>#REF!</v>
      </c>
      <c r="Y98" s="1013" t="e">
        <f t="shared" si="265"/>
        <v>#REF!</v>
      </c>
      <c r="Z98" s="146" t="e">
        <f>SUMIF(#REF!,'Huella materiales'!A98,#REF!)</f>
        <v>#REF!</v>
      </c>
      <c r="AA98" s="1013" t="e">
        <f t="shared" si="266"/>
        <v>#REF!</v>
      </c>
      <c r="AB98" s="1030">
        <f>'Datos auxiliares materiales'!C57</f>
        <v>2.5613333333333337</v>
      </c>
      <c r="AC98" s="1017" t="e">
        <f t="shared" si="267"/>
        <v>#REF!</v>
      </c>
      <c r="AD98" s="1022">
        <f t="shared" si="259"/>
        <v>0</v>
      </c>
      <c r="AE98" s="1077">
        <f>'Datos auxiliares materiales'!D57</f>
        <v>3</v>
      </c>
      <c r="AF98" s="170">
        <f t="shared" si="268"/>
        <v>0</v>
      </c>
      <c r="AG98" s="170" t="e">
        <f t="shared" si="269"/>
        <v>#REF!</v>
      </c>
      <c r="AH98" s="170" t="e">
        <f t="shared" si="270"/>
        <v>#REF!</v>
      </c>
      <c r="AI98" s="170" t="e">
        <f t="shared" si="271"/>
        <v>#REF!</v>
      </c>
      <c r="AJ98" s="170" t="e">
        <f t="shared" si="272"/>
        <v>#REF!</v>
      </c>
      <c r="AK98" s="170" t="e">
        <f t="shared" si="273"/>
        <v>#REF!</v>
      </c>
      <c r="AL98" s="170" t="e">
        <f t="shared" si="274"/>
        <v>#REF!</v>
      </c>
      <c r="AM98" s="170" t="e">
        <f t="shared" si="275"/>
        <v>#REF!</v>
      </c>
      <c r="AN98" s="170" t="e">
        <f t="shared" si="276"/>
        <v>#REF!</v>
      </c>
      <c r="AO98" s="170" t="e">
        <f t="shared" si="277"/>
        <v>#REF!</v>
      </c>
      <c r="AP98" s="170" t="e">
        <f t="shared" si="278"/>
        <v>#REF!</v>
      </c>
      <c r="AQ98" s="170" t="e">
        <f t="shared" si="279"/>
        <v>#REF!</v>
      </c>
      <c r="AR98" s="170" t="e">
        <f t="shared" si="280"/>
        <v>#REF!</v>
      </c>
      <c r="AS98" s="1082" t="e">
        <f t="shared" si="260"/>
        <v>#REF!</v>
      </c>
      <c r="AT98" s="170"/>
      <c r="AU98" s="171"/>
      <c r="AV98" s="160"/>
      <c r="AW98" s="160"/>
      <c r="AX98" s="160"/>
      <c r="AY98"/>
      <c r="AZ98" s="79">
        <v>12</v>
      </c>
      <c r="BA98" s="34"/>
      <c r="BB98" s="34"/>
      <c r="BC98" s="34"/>
      <c r="BD98" s="34"/>
      <c r="BE98" s="34"/>
      <c r="BF98" s="16"/>
      <c r="BL98" s="16"/>
      <c r="BM98" s="16"/>
      <c r="BN98" s="16"/>
      <c r="BO98" s="16"/>
      <c r="BP98" s="10" t="s">
        <v>574</v>
      </c>
    </row>
    <row r="99" spans="1:68">
      <c r="A99" s="10" t="s">
        <v>1182</v>
      </c>
      <c r="B99" s="175" t="s">
        <v>133</v>
      </c>
      <c r="C99" s="169">
        <f>SUMIFS(BCRR_REHAB!L:L,BCRR_REHAB!D:D,'Huella materiales'!A99)</f>
        <v>0</v>
      </c>
      <c r="D99" s="146" t="e">
        <f>SUMIF(#REF!,'Huella materiales'!A99,#REF!)</f>
        <v>#REF!</v>
      </c>
      <c r="E99" s="1013" t="e">
        <f t="shared" si="253"/>
        <v>#REF!</v>
      </c>
      <c r="F99" s="146" t="e">
        <f>SUMIF(#REF!,'Huella materiales'!A99,#REF!)</f>
        <v>#REF!</v>
      </c>
      <c r="G99" s="1013" t="e">
        <f t="shared" si="254"/>
        <v>#REF!</v>
      </c>
      <c r="H99" s="146" t="e">
        <f>SUMIF(#REF!,'Huella materiales'!A99,#REF!)</f>
        <v>#REF!</v>
      </c>
      <c r="I99" s="1013" t="e">
        <f t="shared" si="255"/>
        <v>#REF!</v>
      </c>
      <c r="J99" s="146" t="e">
        <f>SUMIF(#REF!,'Huella materiales'!A99,#REF!)</f>
        <v>#REF!</v>
      </c>
      <c r="K99" s="1013" t="e">
        <f t="shared" si="256"/>
        <v>#REF!</v>
      </c>
      <c r="L99" s="146" t="e">
        <f>SUMIF(#REF!,'Huella materiales'!A99,#REF!)</f>
        <v>#REF!</v>
      </c>
      <c r="M99" s="1013" t="e">
        <f t="shared" si="257"/>
        <v>#REF!</v>
      </c>
      <c r="N99" s="146" t="e">
        <f>SUMIF(#REF!,'Huella materiales'!A99,#REF!)</f>
        <v>#REF!</v>
      </c>
      <c r="O99" s="1013" t="e">
        <f t="shared" si="258"/>
        <v>#REF!</v>
      </c>
      <c r="P99" s="146" t="e">
        <f>SUMIF(#REF!,'Huella materiales'!A99,#REF!)</f>
        <v>#REF!</v>
      </c>
      <c r="Q99" s="1013" t="e">
        <f t="shared" si="261"/>
        <v>#REF!</v>
      </c>
      <c r="R99" s="146" t="e">
        <f>SUMIF(#REF!,'Huella materiales'!A99,#REF!)</f>
        <v>#REF!</v>
      </c>
      <c r="S99" s="1013" t="e">
        <f t="shared" si="262"/>
        <v>#REF!</v>
      </c>
      <c r="T99" s="146" t="e">
        <f>SUMIF(#REF!,'Huella materiales'!A99,#REF!)</f>
        <v>#REF!</v>
      </c>
      <c r="U99" s="1013" t="e">
        <f t="shared" si="263"/>
        <v>#REF!</v>
      </c>
      <c r="V99" s="146" t="e">
        <f>SUMIF(#REF!,'Huella materiales'!A99,#REF!)</f>
        <v>#REF!</v>
      </c>
      <c r="W99" s="1013" t="e">
        <f t="shared" si="264"/>
        <v>#REF!</v>
      </c>
      <c r="X99" s="146" t="e">
        <f>SUMIF(#REF!,'Huella materiales'!A99,#REF!)</f>
        <v>#REF!</v>
      </c>
      <c r="Y99" s="1013" t="e">
        <f t="shared" si="265"/>
        <v>#REF!</v>
      </c>
      <c r="Z99" s="146" t="e">
        <f>SUMIF(#REF!,'Huella materiales'!A99,#REF!)</f>
        <v>#REF!</v>
      </c>
      <c r="AA99" s="1013" t="e">
        <f t="shared" si="266"/>
        <v>#REF!</v>
      </c>
      <c r="AB99" s="1030">
        <f>'Datos auxiliares materiales'!C58</f>
        <v>0.42749999999999999</v>
      </c>
      <c r="AC99" s="1017" t="e">
        <f t="shared" si="267"/>
        <v>#REF!</v>
      </c>
      <c r="AD99" s="1022">
        <f t="shared" si="259"/>
        <v>0</v>
      </c>
      <c r="AE99" s="1077">
        <f>'Datos auxiliares materiales'!D58</f>
        <v>3</v>
      </c>
      <c r="AF99" s="170">
        <f t="shared" si="268"/>
        <v>0</v>
      </c>
      <c r="AG99" s="170" t="e">
        <f t="shared" si="269"/>
        <v>#REF!</v>
      </c>
      <c r="AH99" s="170" t="e">
        <f t="shared" si="270"/>
        <v>#REF!</v>
      </c>
      <c r="AI99" s="170" t="e">
        <f t="shared" si="271"/>
        <v>#REF!</v>
      </c>
      <c r="AJ99" s="170" t="e">
        <f t="shared" si="272"/>
        <v>#REF!</v>
      </c>
      <c r="AK99" s="170" t="e">
        <f t="shared" si="273"/>
        <v>#REF!</v>
      </c>
      <c r="AL99" s="170" t="e">
        <f t="shared" si="274"/>
        <v>#REF!</v>
      </c>
      <c r="AM99" s="170" t="e">
        <f t="shared" si="275"/>
        <v>#REF!</v>
      </c>
      <c r="AN99" s="170" t="e">
        <f t="shared" si="276"/>
        <v>#REF!</v>
      </c>
      <c r="AO99" s="170" t="e">
        <f t="shared" si="277"/>
        <v>#REF!</v>
      </c>
      <c r="AP99" s="170" t="e">
        <f t="shared" si="278"/>
        <v>#REF!</v>
      </c>
      <c r="AQ99" s="170" t="e">
        <f t="shared" si="279"/>
        <v>#REF!</v>
      </c>
      <c r="AR99" s="170" t="e">
        <f t="shared" si="280"/>
        <v>#REF!</v>
      </c>
      <c r="AS99" s="1082" t="e">
        <f t="shared" si="260"/>
        <v>#REF!</v>
      </c>
      <c r="AT99" s="170"/>
      <c r="AU99" s="171"/>
      <c r="AV99" s="160"/>
      <c r="AW99" s="160"/>
      <c r="AX99" s="160"/>
      <c r="AY99"/>
      <c r="AZ99" s="79">
        <v>12.2</v>
      </c>
      <c r="BA99" s="34"/>
      <c r="BB99" s="34"/>
      <c r="BC99" s="34"/>
      <c r="BD99" s="34"/>
      <c r="BE99" s="34"/>
      <c r="BF99" s="34"/>
      <c r="BL99" s="16"/>
      <c r="BM99" s="16"/>
      <c r="BN99" s="16"/>
      <c r="BO99" s="16"/>
      <c r="BP99" s="10" t="s">
        <v>575</v>
      </c>
    </row>
    <row r="100" spans="1:68">
      <c r="A100" s="10" t="s">
        <v>1191</v>
      </c>
      <c r="B100" s="175" t="s">
        <v>1190</v>
      </c>
      <c r="C100" s="169">
        <f>SUMIFS(BCRR_REHAB!L:L,BCRR_REHAB!D:D,'Huella materiales'!A100)</f>
        <v>0</v>
      </c>
      <c r="D100" s="146" t="e">
        <f>SUMIF(#REF!,'Huella materiales'!A100,#REF!)</f>
        <v>#REF!</v>
      </c>
      <c r="E100" s="1013" t="e">
        <f t="shared" si="253"/>
        <v>#REF!</v>
      </c>
      <c r="F100" s="146" t="e">
        <f>SUMIF(#REF!,'Huella materiales'!A100,#REF!)</f>
        <v>#REF!</v>
      </c>
      <c r="G100" s="1013" t="e">
        <f t="shared" si="254"/>
        <v>#REF!</v>
      </c>
      <c r="H100" s="146" t="e">
        <f>SUMIF(#REF!,'Huella materiales'!A100,#REF!)</f>
        <v>#REF!</v>
      </c>
      <c r="I100" s="1013" t="e">
        <f t="shared" si="255"/>
        <v>#REF!</v>
      </c>
      <c r="J100" s="146" t="e">
        <f>SUMIF(#REF!,'Huella materiales'!A100,#REF!)</f>
        <v>#REF!</v>
      </c>
      <c r="K100" s="1013" t="e">
        <f t="shared" si="256"/>
        <v>#REF!</v>
      </c>
      <c r="L100" s="146" t="e">
        <f>SUMIF(#REF!,'Huella materiales'!A100,#REF!)</f>
        <v>#REF!</v>
      </c>
      <c r="M100" s="1013" t="e">
        <f t="shared" si="257"/>
        <v>#REF!</v>
      </c>
      <c r="N100" s="146" t="e">
        <f>SUMIF(#REF!,'Huella materiales'!A100,#REF!)</f>
        <v>#REF!</v>
      </c>
      <c r="O100" s="1013" t="e">
        <f t="shared" si="258"/>
        <v>#REF!</v>
      </c>
      <c r="P100" s="146" t="e">
        <f>SUMIF(#REF!,'Huella materiales'!A100,#REF!)</f>
        <v>#REF!</v>
      </c>
      <c r="Q100" s="1013" t="e">
        <f t="shared" si="261"/>
        <v>#REF!</v>
      </c>
      <c r="R100" s="146" t="e">
        <f>SUMIF(#REF!,'Huella materiales'!A100,#REF!)</f>
        <v>#REF!</v>
      </c>
      <c r="S100" s="1013" t="e">
        <f t="shared" si="262"/>
        <v>#REF!</v>
      </c>
      <c r="T100" s="146" t="e">
        <f>SUMIF(#REF!,'Huella materiales'!A100,#REF!)</f>
        <v>#REF!</v>
      </c>
      <c r="U100" s="1013" t="e">
        <f t="shared" si="263"/>
        <v>#REF!</v>
      </c>
      <c r="V100" s="146" t="e">
        <f>SUMIF(#REF!,'Huella materiales'!A100,#REF!)</f>
        <v>#REF!</v>
      </c>
      <c r="W100" s="1013" t="e">
        <f t="shared" si="264"/>
        <v>#REF!</v>
      </c>
      <c r="X100" s="146" t="e">
        <f>SUMIF(#REF!,'Huella materiales'!A100,#REF!)</f>
        <v>#REF!</v>
      </c>
      <c r="Y100" s="1013" t="e">
        <f t="shared" si="265"/>
        <v>#REF!</v>
      </c>
      <c r="Z100" s="146" t="e">
        <f>SUMIF(#REF!,'Huella materiales'!A100,#REF!)</f>
        <v>#REF!</v>
      </c>
      <c r="AA100" s="1013" t="e">
        <f t="shared" si="266"/>
        <v>#REF!</v>
      </c>
      <c r="AB100" s="1030">
        <f>'Datos auxiliares materiales'!C59</f>
        <v>1.2016666666666667</v>
      </c>
      <c r="AC100" s="1017" t="e">
        <f t="shared" si="267"/>
        <v>#REF!</v>
      </c>
      <c r="AD100" s="1022">
        <f t="shared" si="259"/>
        <v>0</v>
      </c>
      <c r="AE100" s="1077">
        <f>'Datos auxiliares materiales'!D59</f>
        <v>3</v>
      </c>
      <c r="AF100" s="170">
        <f t="shared" si="268"/>
        <v>0</v>
      </c>
      <c r="AG100" s="170" t="e">
        <f t="shared" si="269"/>
        <v>#REF!</v>
      </c>
      <c r="AH100" s="170" t="e">
        <f t="shared" si="270"/>
        <v>#REF!</v>
      </c>
      <c r="AI100" s="170" t="e">
        <f t="shared" si="271"/>
        <v>#REF!</v>
      </c>
      <c r="AJ100" s="170" t="e">
        <f t="shared" si="272"/>
        <v>#REF!</v>
      </c>
      <c r="AK100" s="170" t="e">
        <f t="shared" si="273"/>
        <v>#REF!</v>
      </c>
      <c r="AL100" s="170" t="e">
        <f t="shared" si="274"/>
        <v>#REF!</v>
      </c>
      <c r="AM100" s="170" t="e">
        <f t="shared" si="275"/>
        <v>#REF!</v>
      </c>
      <c r="AN100" s="170" t="e">
        <f t="shared" si="276"/>
        <v>#REF!</v>
      </c>
      <c r="AO100" s="170" t="e">
        <f t="shared" si="277"/>
        <v>#REF!</v>
      </c>
      <c r="AP100" s="170" t="e">
        <f t="shared" si="278"/>
        <v>#REF!</v>
      </c>
      <c r="AQ100" s="170" t="e">
        <f t="shared" si="279"/>
        <v>#REF!</v>
      </c>
      <c r="AR100" s="170" t="e">
        <f t="shared" si="280"/>
        <v>#REF!</v>
      </c>
      <c r="AS100" s="1082" t="e">
        <f t="shared" si="260"/>
        <v>#REF!</v>
      </c>
      <c r="AT100" s="170"/>
      <c r="AU100" s="171"/>
      <c r="AV100" s="160"/>
      <c r="AW100" s="160"/>
      <c r="AX100" s="160"/>
      <c r="AY100"/>
      <c r="AZ100" s="79">
        <v>12</v>
      </c>
      <c r="BA100" s="34"/>
      <c r="BB100" s="34"/>
      <c r="BC100" s="34"/>
      <c r="BD100" s="34"/>
      <c r="BE100" s="34"/>
      <c r="BF100" s="34"/>
      <c r="BL100" s="16"/>
      <c r="BM100" s="16"/>
      <c r="BN100" s="16"/>
      <c r="BO100" s="16"/>
      <c r="BP100" s="10" t="s">
        <v>575</v>
      </c>
    </row>
    <row r="101" spans="1:68">
      <c r="A101" s="10" t="s">
        <v>1180</v>
      </c>
      <c r="B101" s="175" t="s">
        <v>131</v>
      </c>
      <c r="C101" s="169">
        <f>SUMIFS(BCRR_REHAB!L:L,BCRR_REHAB!D:D,'Huella materiales'!A101)</f>
        <v>0</v>
      </c>
      <c r="D101" s="146" t="e">
        <f>SUMIF(#REF!,'Huella materiales'!A101,#REF!)</f>
        <v>#REF!</v>
      </c>
      <c r="E101" s="1013" t="e">
        <f t="shared" si="253"/>
        <v>#REF!</v>
      </c>
      <c r="F101" s="146" t="e">
        <f>SUMIF(#REF!,'Huella materiales'!A101,#REF!)</f>
        <v>#REF!</v>
      </c>
      <c r="G101" s="1013" t="e">
        <f t="shared" si="254"/>
        <v>#REF!</v>
      </c>
      <c r="H101" s="146" t="e">
        <f>SUMIF(#REF!,'Huella materiales'!A101,#REF!)</f>
        <v>#REF!</v>
      </c>
      <c r="I101" s="1013" t="e">
        <f t="shared" si="255"/>
        <v>#REF!</v>
      </c>
      <c r="J101" s="146" t="e">
        <f>SUMIF(#REF!,'Huella materiales'!A101,#REF!)</f>
        <v>#REF!</v>
      </c>
      <c r="K101" s="1013" t="e">
        <f t="shared" si="256"/>
        <v>#REF!</v>
      </c>
      <c r="L101" s="146" t="e">
        <f>SUMIF(#REF!,'Huella materiales'!A101,#REF!)</f>
        <v>#REF!</v>
      </c>
      <c r="M101" s="1013" t="e">
        <f t="shared" si="257"/>
        <v>#REF!</v>
      </c>
      <c r="N101" s="146" t="e">
        <f>SUMIF(#REF!,'Huella materiales'!A101,#REF!)</f>
        <v>#REF!</v>
      </c>
      <c r="O101" s="1013" t="e">
        <f t="shared" si="258"/>
        <v>#REF!</v>
      </c>
      <c r="P101" s="146" t="e">
        <f>SUMIF(#REF!,'Huella materiales'!A101,#REF!)</f>
        <v>#REF!</v>
      </c>
      <c r="Q101" s="1013" t="e">
        <f t="shared" si="261"/>
        <v>#REF!</v>
      </c>
      <c r="R101" s="146" t="e">
        <f>SUMIF(#REF!,'Huella materiales'!A101,#REF!)</f>
        <v>#REF!</v>
      </c>
      <c r="S101" s="1013" t="e">
        <f t="shared" si="262"/>
        <v>#REF!</v>
      </c>
      <c r="T101" s="146" t="e">
        <f>SUMIF(#REF!,'Huella materiales'!A101,#REF!)</f>
        <v>#REF!</v>
      </c>
      <c r="U101" s="1013" t="e">
        <f t="shared" si="263"/>
        <v>#REF!</v>
      </c>
      <c r="V101" s="146" t="e">
        <f>SUMIF(#REF!,'Huella materiales'!A101,#REF!)</f>
        <v>#REF!</v>
      </c>
      <c r="W101" s="1013" t="e">
        <f t="shared" si="264"/>
        <v>#REF!</v>
      </c>
      <c r="X101" s="146" t="e">
        <f>SUMIF(#REF!,'Huella materiales'!A101,#REF!)</f>
        <v>#REF!</v>
      </c>
      <c r="Y101" s="1013" t="e">
        <f t="shared" si="265"/>
        <v>#REF!</v>
      </c>
      <c r="Z101" s="146" t="e">
        <f>SUMIF(#REF!,'Huella materiales'!A101,#REF!)</f>
        <v>#REF!</v>
      </c>
      <c r="AA101" s="1013" t="e">
        <f t="shared" si="266"/>
        <v>#REF!</v>
      </c>
      <c r="AB101" s="1030">
        <f>'Datos auxiliares materiales'!C59</f>
        <v>1.2016666666666667</v>
      </c>
      <c r="AC101" s="1017" t="e">
        <f t="shared" si="267"/>
        <v>#REF!</v>
      </c>
      <c r="AD101" s="1022">
        <f t="shared" si="259"/>
        <v>0</v>
      </c>
      <c r="AE101" s="1077">
        <f>'Datos auxiliares materiales'!D59</f>
        <v>3</v>
      </c>
      <c r="AF101" s="170">
        <f t="shared" si="268"/>
        <v>0</v>
      </c>
      <c r="AG101" s="170" t="e">
        <f t="shared" si="269"/>
        <v>#REF!</v>
      </c>
      <c r="AH101" s="170" t="e">
        <f t="shared" si="270"/>
        <v>#REF!</v>
      </c>
      <c r="AI101" s="170" t="e">
        <f t="shared" si="271"/>
        <v>#REF!</v>
      </c>
      <c r="AJ101" s="170" t="e">
        <f t="shared" si="272"/>
        <v>#REF!</v>
      </c>
      <c r="AK101" s="170" t="e">
        <f t="shared" si="273"/>
        <v>#REF!</v>
      </c>
      <c r="AL101" s="170" t="e">
        <f t="shared" si="274"/>
        <v>#REF!</v>
      </c>
      <c r="AM101" s="170" t="e">
        <f t="shared" si="275"/>
        <v>#REF!</v>
      </c>
      <c r="AN101" s="170" t="e">
        <f t="shared" si="276"/>
        <v>#REF!</v>
      </c>
      <c r="AO101" s="170" t="e">
        <f t="shared" si="277"/>
        <v>#REF!</v>
      </c>
      <c r="AP101" s="170" t="e">
        <f t="shared" si="278"/>
        <v>#REF!</v>
      </c>
      <c r="AQ101" s="170" t="e">
        <f t="shared" si="279"/>
        <v>#REF!</v>
      </c>
      <c r="AR101" s="170" t="e">
        <f t="shared" si="280"/>
        <v>#REF!</v>
      </c>
      <c r="AS101" s="1082" t="e">
        <f t="shared" si="260"/>
        <v>#REF!</v>
      </c>
      <c r="AT101" s="170"/>
      <c r="AU101" s="171"/>
      <c r="AV101" s="160"/>
      <c r="AW101" s="160"/>
      <c r="AX101" s="160"/>
      <c r="AY101"/>
      <c r="AZ101" s="79">
        <v>18.75</v>
      </c>
      <c r="BA101" s="34"/>
      <c r="BB101" s="34"/>
      <c r="BC101" s="34"/>
      <c r="BD101" s="34"/>
      <c r="BE101" s="34"/>
      <c r="BF101" s="34"/>
      <c r="BL101" s="16"/>
      <c r="BM101" s="16"/>
      <c r="BN101" s="16"/>
      <c r="BO101" s="16"/>
      <c r="BP101" s="10" t="s">
        <v>576</v>
      </c>
    </row>
    <row r="102" spans="1:68">
      <c r="A102" s="10" t="s">
        <v>1189</v>
      </c>
      <c r="B102" s="175" t="s">
        <v>1237</v>
      </c>
      <c r="C102" s="169">
        <f>SUMIFS(BCRR_REHAB!L:L,BCRR_REHAB!D:D,'Huella materiales'!A102)</f>
        <v>0</v>
      </c>
      <c r="D102" s="146" t="e">
        <f>SUMIF(#REF!,'Huella materiales'!A102,#REF!)</f>
        <v>#REF!</v>
      </c>
      <c r="E102" s="1013" t="e">
        <f t="shared" si="253"/>
        <v>#REF!</v>
      </c>
      <c r="F102" s="146" t="e">
        <f>SUMIF(#REF!,'Huella materiales'!A102,#REF!)</f>
        <v>#REF!</v>
      </c>
      <c r="G102" s="1013" t="e">
        <f t="shared" si="254"/>
        <v>#REF!</v>
      </c>
      <c r="H102" s="146" t="e">
        <f>SUMIF(#REF!,'Huella materiales'!A102,#REF!)</f>
        <v>#REF!</v>
      </c>
      <c r="I102" s="1013" t="e">
        <f t="shared" si="255"/>
        <v>#REF!</v>
      </c>
      <c r="J102" s="146" t="e">
        <f>SUMIF(#REF!,'Huella materiales'!A102,#REF!)</f>
        <v>#REF!</v>
      </c>
      <c r="K102" s="1013" t="e">
        <f t="shared" si="256"/>
        <v>#REF!</v>
      </c>
      <c r="L102" s="146" t="e">
        <f>SUMIF(#REF!,'Huella materiales'!A102,#REF!)</f>
        <v>#REF!</v>
      </c>
      <c r="M102" s="1013" t="e">
        <f t="shared" si="257"/>
        <v>#REF!</v>
      </c>
      <c r="N102" s="146" t="e">
        <f>SUMIF(#REF!,'Huella materiales'!A102,#REF!)</f>
        <v>#REF!</v>
      </c>
      <c r="O102" s="1013" t="e">
        <f t="shared" si="258"/>
        <v>#REF!</v>
      </c>
      <c r="P102" s="146" t="e">
        <f>SUMIF(#REF!,'Huella materiales'!A102,#REF!)</f>
        <v>#REF!</v>
      </c>
      <c r="Q102" s="1013" t="e">
        <f t="shared" si="261"/>
        <v>#REF!</v>
      </c>
      <c r="R102" s="146" t="e">
        <f>SUMIF(#REF!,'Huella materiales'!A102,#REF!)</f>
        <v>#REF!</v>
      </c>
      <c r="S102" s="1013" t="e">
        <f t="shared" si="262"/>
        <v>#REF!</v>
      </c>
      <c r="T102" s="146" t="e">
        <f>SUMIF(#REF!,'Huella materiales'!A102,#REF!)</f>
        <v>#REF!</v>
      </c>
      <c r="U102" s="1013" t="e">
        <f t="shared" si="263"/>
        <v>#REF!</v>
      </c>
      <c r="V102" s="146" t="e">
        <f>SUMIF(#REF!,'Huella materiales'!A102,#REF!)</f>
        <v>#REF!</v>
      </c>
      <c r="W102" s="1013" t="e">
        <f t="shared" si="264"/>
        <v>#REF!</v>
      </c>
      <c r="X102" s="146" t="e">
        <f>SUMIF(#REF!,'Huella materiales'!A102,#REF!)</f>
        <v>#REF!</v>
      </c>
      <c r="Y102" s="1013" t="e">
        <f t="shared" si="265"/>
        <v>#REF!</v>
      </c>
      <c r="Z102" s="146" t="e">
        <f>SUMIF(#REF!,'Huella materiales'!A102,#REF!)</f>
        <v>#REF!</v>
      </c>
      <c r="AA102" s="1013" t="e">
        <f t="shared" si="266"/>
        <v>#REF!</v>
      </c>
      <c r="AB102" s="1030">
        <f>'Datos auxiliares materiales'!C59</f>
        <v>1.2016666666666667</v>
      </c>
      <c r="AC102" s="1017" t="e">
        <f t="shared" si="267"/>
        <v>#REF!</v>
      </c>
      <c r="AD102" s="1022">
        <f t="shared" si="259"/>
        <v>0</v>
      </c>
      <c r="AE102" s="1077">
        <f>'Datos auxiliares materiales'!D59</f>
        <v>3</v>
      </c>
      <c r="AF102" s="170">
        <f t="shared" si="268"/>
        <v>0</v>
      </c>
      <c r="AG102" s="170" t="e">
        <f t="shared" si="269"/>
        <v>#REF!</v>
      </c>
      <c r="AH102" s="170" t="e">
        <f t="shared" si="270"/>
        <v>#REF!</v>
      </c>
      <c r="AI102" s="170" t="e">
        <f t="shared" si="271"/>
        <v>#REF!</v>
      </c>
      <c r="AJ102" s="170" t="e">
        <f t="shared" si="272"/>
        <v>#REF!</v>
      </c>
      <c r="AK102" s="170" t="e">
        <f t="shared" si="273"/>
        <v>#REF!</v>
      </c>
      <c r="AL102" s="170" t="e">
        <f t="shared" si="274"/>
        <v>#REF!</v>
      </c>
      <c r="AM102" s="170" t="e">
        <f t="shared" si="275"/>
        <v>#REF!</v>
      </c>
      <c r="AN102" s="170" t="e">
        <f t="shared" si="276"/>
        <v>#REF!</v>
      </c>
      <c r="AO102" s="170" t="e">
        <f t="shared" si="277"/>
        <v>#REF!</v>
      </c>
      <c r="AP102" s="170" t="e">
        <f t="shared" si="278"/>
        <v>#REF!</v>
      </c>
      <c r="AQ102" s="170" t="e">
        <f t="shared" si="279"/>
        <v>#REF!</v>
      </c>
      <c r="AR102" s="170" t="e">
        <f t="shared" si="280"/>
        <v>#REF!</v>
      </c>
      <c r="AS102" s="1082" t="e">
        <f t="shared" si="260"/>
        <v>#REF!</v>
      </c>
      <c r="AT102" s="170"/>
      <c r="AU102" s="171"/>
      <c r="AV102" s="160"/>
      <c r="AW102" s="160"/>
      <c r="AX102" s="160"/>
      <c r="AY102"/>
      <c r="AZ102" t="s">
        <v>285</v>
      </c>
      <c r="BA102"/>
      <c r="BF102" s="34"/>
      <c r="BL102" s="16"/>
      <c r="BM102" s="16"/>
      <c r="BN102" s="16"/>
      <c r="BO102" s="16"/>
      <c r="BP102" s="10" t="s">
        <v>576</v>
      </c>
    </row>
    <row r="103" spans="1:68">
      <c r="A103" s="10" t="s">
        <v>1158</v>
      </c>
      <c r="B103" s="175" t="s">
        <v>1232</v>
      </c>
      <c r="C103" s="169">
        <f>SUMIFS(BCRR_REHAB!L:L,BCRR_REHAB!D:D,'Huella materiales'!A103)</f>
        <v>0</v>
      </c>
      <c r="D103" s="146" t="e">
        <f>SUMIF(#REF!,'Huella materiales'!A103,#REF!)</f>
        <v>#REF!</v>
      </c>
      <c r="E103" s="1013" t="e">
        <f t="shared" si="253"/>
        <v>#REF!</v>
      </c>
      <c r="F103" s="146" t="e">
        <f>SUMIF(#REF!,'Huella materiales'!A103,#REF!)</f>
        <v>#REF!</v>
      </c>
      <c r="G103" s="1013" t="e">
        <f t="shared" si="254"/>
        <v>#REF!</v>
      </c>
      <c r="H103" s="146" t="e">
        <f>SUMIF(#REF!,'Huella materiales'!A103,#REF!)</f>
        <v>#REF!</v>
      </c>
      <c r="I103" s="1013" t="e">
        <f t="shared" si="255"/>
        <v>#REF!</v>
      </c>
      <c r="J103" s="146" t="e">
        <f>SUMIF(#REF!,'Huella materiales'!A103,#REF!)</f>
        <v>#REF!</v>
      </c>
      <c r="K103" s="1013" t="e">
        <f t="shared" si="256"/>
        <v>#REF!</v>
      </c>
      <c r="L103" s="146" t="e">
        <f>SUMIF(#REF!,'Huella materiales'!A103,#REF!)</f>
        <v>#REF!</v>
      </c>
      <c r="M103" s="1013" t="e">
        <f t="shared" si="257"/>
        <v>#REF!</v>
      </c>
      <c r="N103" s="146" t="e">
        <f>SUMIF(#REF!,'Huella materiales'!A103,#REF!)</f>
        <v>#REF!</v>
      </c>
      <c r="O103" s="1013" t="e">
        <f t="shared" si="258"/>
        <v>#REF!</v>
      </c>
      <c r="P103" s="146" t="e">
        <f>SUMIF(#REF!,'Huella materiales'!A103,#REF!)</f>
        <v>#REF!</v>
      </c>
      <c r="Q103" s="1013" t="e">
        <f t="shared" si="261"/>
        <v>#REF!</v>
      </c>
      <c r="R103" s="146" t="e">
        <f>SUMIF(#REF!,'Huella materiales'!A103,#REF!)</f>
        <v>#REF!</v>
      </c>
      <c r="S103" s="1013" t="e">
        <f t="shared" si="262"/>
        <v>#REF!</v>
      </c>
      <c r="T103" s="146" t="e">
        <f>SUMIF(#REF!,'Huella materiales'!A103,#REF!)</f>
        <v>#REF!</v>
      </c>
      <c r="U103" s="1013" t="e">
        <f t="shared" si="263"/>
        <v>#REF!</v>
      </c>
      <c r="V103" s="146" t="e">
        <f>SUMIF(#REF!,'Huella materiales'!A103,#REF!)</f>
        <v>#REF!</v>
      </c>
      <c r="W103" s="1013" t="e">
        <f t="shared" si="264"/>
        <v>#REF!</v>
      </c>
      <c r="X103" s="146" t="e">
        <f>SUMIF(#REF!,'Huella materiales'!A103,#REF!)</f>
        <v>#REF!</v>
      </c>
      <c r="Y103" s="1013" t="e">
        <f t="shared" si="265"/>
        <v>#REF!</v>
      </c>
      <c r="Z103" s="146" t="e">
        <f>SUMIF(#REF!,'Huella materiales'!A103,#REF!)</f>
        <v>#REF!</v>
      </c>
      <c r="AA103" s="1013" t="e">
        <f t="shared" si="266"/>
        <v>#REF!</v>
      </c>
      <c r="AB103" s="1030"/>
      <c r="AC103" s="1017" t="e">
        <f t="shared" si="267"/>
        <v>#REF!</v>
      </c>
      <c r="AD103" s="1022">
        <f t="shared" si="259"/>
        <v>0</v>
      </c>
      <c r="AE103" s="1077"/>
      <c r="AF103" s="170">
        <f t="shared" si="268"/>
        <v>0</v>
      </c>
      <c r="AG103" s="170" t="e">
        <f t="shared" si="269"/>
        <v>#REF!</v>
      </c>
      <c r="AH103" s="170" t="e">
        <f t="shared" si="270"/>
        <v>#REF!</v>
      </c>
      <c r="AI103" s="170" t="e">
        <f t="shared" si="271"/>
        <v>#REF!</v>
      </c>
      <c r="AJ103" s="170" t="e">
        <f t="shared" si="272"/>
        <v>#REF!</v>
      </c>
      <c r="AK103" s="170" t="e">
        <f t="shared" si="273"/>
        <v>#REF!</v>
      </c>
      <c r="AL103" s="170" t="e">
        <f t="shared" si="274"/>
        <v>#REF!</v>
      </c>
      <c r="AM103" s="170" t="e">
        <f t="shared" si="275"/>
        <v>#REF!</v>
      </c>
      <c r="AN103" s="170" t="e">
        <f t="shared" si="276"/>
        <v>#REF!</v>
      </c>
      <c r="AO103" s="170" t="e">
        <f t="shared" si="277"/>
        <v>#REF!</v>
      </c>
      <c r="AP103" s="170" t="e">
        <f t="shared" si="278"/>
        <v>#REF!</v>
      </c>
      <c r="AQ103" s="170" t="e">
        <f t="shared" si="279"/>
        <v>#REF!</v>
      </c>
      <c r="AR103" s="170" t="e">
        <f t="shared" si="280"/>
        <v>#REF!</v>
      </c>
      <c r="AS103" s="1082" t="e">
        <f t="shared" si="260"/>
        <v>#REF!</v>
      </c>
      <c r="AT103" s="170"/>
      <c r="AU103" s="171"/>
      <c r="AV103" s="160"/>
      <c r="AW103" s="160"/>
      <c r="AX103" s="160"/>
      <c r="AY103"/>
      <c r="AZ103" t="s">
        <v>285</v>
      </c>
      <c r="BA103"/>
      <c r="BF103" s="34"/>
      <c r="BL103" s="16"/>
      <c r="BM103" s="16"/>
      <c r="BN103" s="16"/>
      <c r="BO103" s="16"/>
      <c r="BP103" s="10"/>
    </row>
    <row r="104" spans="1:68">
      <c r="A104" s="10" t="s">
        <v>1202</v>
      </c>
      <c r="B104" s="175" t="s">
        <v>1241</v>
      </c>
      <c r="C104" s="169">
        <f>SUMIFS(BCRR_REHAB!L:L,BCRR_REHAB!D:D,'Huella materiales'!A104)</f>
        <v>0</v>
      </c>
      <c r="D104" s="146" t="e">
        <f>SUMIF(#REF!,'Huella materiales'!A104,#REF!)</f>
        <v>#REF!</v>
      </c>
      <c r="E104" s="1013" t="e">
        <f t="shared" si="253"/>
        <v>#REF!</v>
      </c>
      <c r="F104" s="146" t="e">
        <f>SUMIF(#REF!,'Huella materiales'!A104,#REF!)</f>
        <v>#REF!</v>
      </c>
      <c r="G104" s="1013" t="e">
        <f t="shared" si="254"/>
        <v>#REF!</v>
      </c>
      <c r="H104" s="146" t="e">
        <f>SUMIF(#REF!,'Huella materiales'!A104,#REF!)</f>
        <v>#REF!</v>
      </c>
      <c r="I104" s="1013" t="e">
        <f t="shared" si="255"/>
        <v>#REF!</v>
      </c>
      <c r="J104" s="146" t="e">
        <f>SUMIF(#REF!,'Huella materiales'!A104,#REF!)</f>
        <v>#REF!</v>
      </c>
      <c r="K104" s="1013" t="e">
        <f t="shared" si="256"/>
        <v>#REF!</v>
      </c>
      <c r="L104" s="146" t="e">
        <f>SUMIF(#REF!,'Huella materiales'!A104,#REF!)</f>
        <v>#REF!</v>
      </c>
      <c r="M104" s="1013" t="e">
        <f t="shared" si="257"/>
        <v>#REF!</v>
      </c>
      <c r="N104" s="146" t="e">
        <f>SUMIF(#REF!,'Huella materiales'!A104,#REF!)</f>
        <v>#REF!</v>
      </c>
      <c r="O104" s="1013" t="e">
        <f t="shared" si="258"/>
        <v>#REF!</v>
      </c>
      <c r="P104" s="146" t="e">
        <f>SUMIF(#REF!,'Huella materiales'!A104,#REF!)</f>
        <v>#REF!</v>
      </c>
      <c r="Q104" s="1013" t="e">
        <f t="shared" si="261"/>
        <v>#REF!</v>
      </c>
      <c r="R104" s="146" t="e">
        <f>SUMIF(#REF!,'Huella materiales'!A104,#REF!)</f>
        <v>#REF!</v>
      </c>
      <c r="S104" s="1013" t="e">
        <f t="shared" si="262"/>
        <v>#REF!</v>
      </c>
      <c r="T104" s="146" t="e">
        <f>SUMIF(#REF!,'Huella materiales'!A104,#REF!)</f>
        <v>#REF!</v>
      </c>
      <c r="U104" s="1013" t="e">
        <f t="shared" si="263"/>
        <v>#REF!</v>
      </c>
      <c r="V104" s="146" t="e">
        <f>SUMIF(#REF!,'Huella materiales'!A104,#REF!)</f>
        <v>#REF!</v>
      </c>
      <c r="W104" s="1013" t="e">
        <f t="shared" si="264"/>
        <v>#REF!</v>
      </c>
      <c r="X104" s="146" t="e">
        <f>SUMIF(#REF!,'Huella materiales'!A104,#REF!)</f>
        <v>#REF!</v>
      </c>
      <c r="Y104" s="1013" t="e">
        <f t="shared" si="265"/>
        <v>#REF!</v>
      </c>
      <c r="Z104" s="146" t="e">
        <f>SUMIF(#REF!,'Huella materiales'!A104,#REF!)</f>
        <v>#REF!</v>
      </c>
      <c r="AA104" s="1013" t="e">
        <f t="shared" si="266"/>
        <v>#REF!</v>
      </c>
      <c r="AB104" s="1030">
        <f>'Datos auxiliares materiales'!C59</f>
        <v>1.2016666666666667</v>
      </c>
      <c r="AC104" s="1017" t="e">
        <f t="shared" si="267"/>
        <v>#REF!</v>
      </c>
      <c r="AD104" s="1022">
        <f t="shared" si="259"/>
        <v>0</v>
      </c>
      <c r="AE104" s="1077">
        <f>'Datos auxiliares materiales'!D59</f>
        <v>3</v>
      </c>
      <c r="AF104" s="170">
        <f t="shared" si="268"/>
        <v>0</v>
      </c>
      <c r="AG104" s="170" t="e">
        <f t="shared" si="269"/>
        <v>#REF!</v>
      </c>
      <c r="AH104" s="170" t="e">
        <f t="shared" si="270"/>
        <v>#REF!</v>
      </c>
      <c r="AI104" s="170" t="e">
        <f t="shared" si="271"/>
        <v>#REF!</v>
      </c>
      <c r="AJ104" s="170" t="e">
        <f t="shared" si="272"/>
        <v>#REF!</v>
      </c>
      <c r="AK104" s="170" t="e">
        <f t="shared" si="273"/>
        <v>#REF!</v>
      </c>
      <c r="AL104" s="170" t="e">
        <f t="shared" si="274"/>
        <v>#REF!</v>
      </c>
      <c r="AM104" s="170" t="e">
        <f t="shared" si="275"/>
        <v>#REF!</v>
      </c>
      <c r="AN104" s="170" t="e">
        <f t="shared" si="276"/>
        <v>#REF!</v>
      </c>
      <c r="AO104" s="170" t="e">
        <f t="shared" si="277"/>
        <v>#REF!</v>
      </c>
      <c r="AP104" s="170" t="e">
        <f t="shared" si="278"/>
        <v>#REF!</v>
      </c>
      <c r="AQ104" s="170" t="e">
        <f t="shared" si="279"/>
        <v>#REF!</v>
      </c>
      <c r="AR104" s="170" t="e">
        <f t="shared" si="280"/>
        <v>#REF!</v>
      </c>
      <c r="AS104" s="1082" t="e">
        <f t="shared" si="260"/>
        <v>#REF!</v>
      </c>
      <c r="AT104" s="170"/>
      <c r="AU104" s="171"/>
      <c r="AV104" s="160"/>
      <c r="AW104" s="160"/>
      <c r="AX104" s="160"/>
      <c r="AY104"/>
      <c r="AZ104" t="s">
        <v>285</v>
      </c>
      <c r="BA104"/>
      <c r="BF104" s="34"/>
      <c r="BL104" s="16"/>
      <c r="BM104" s="16"/>
      <c r="BN104" s="16"/>
      <c r="BO104" s="16"/>
      <c r="BP104" s="10"/>
    </row>
    <row r="105" spans="1:68" ht="15.5">
      <c r="B105" s="163" t="s">
        <v>277</v>
      </c>
      <c r="C105" s="169">
        <f>SUMIFS(BCRR_REHAB!L:L,BCRR_REHAB!D:D,'Huella materiales'!A105)</f>
        <v>0</v>
      </c>
      <c r="D105" s="987"/>
      <c r="E105" s="1014" t="e">
        <f t="shared" ref="E105:AF105" si="281">SUM(E106:E113)</f>
        <v>#REF!</v>
      </c>
      <c r="F105" s="987"/>
      <c r="G105" s="987" t="e">
        <f t="shared" si="281"/>
        <v>#REF!</v>
      </c>
      <c r="H105" s="987"/>
      <c r="I105" s="987" t="e">
        <f t="shared" si="281"/>
        <v>#REF!</v>
      </c>
      <c r="J105" s="987"/>
      <c r="K105" s="987" t="e">
        <f t="shared" si="281"/>
        <v>#REF!</v>
      </c>
      <c r="L105" s="987"/>
      <c r="M105" s="987" t="e">
        <f t="shared" si="281"/>
        <v>#REF!</v>
      </c>
      <c r="N105" s="987"/>
      <c r="O105" s="987" t="e">
        <f t="shared" si="281"/>
        <v>#REF!</v>
      </c>
      <c r="P105" s="987"/>
      <c r="Q105" s="987" t="e">
        <f t="shared" si="281"/>
        <v>#REF!</v>
      </c>
      <c r="R105" s="987"/>
      <c r="S105" s="987" t="e">
        <f t="shared" si="281"/>
        <v>#REF!</v>
      </c>
      <c r="T105" s="987"/>
      <c r="U105" s="987" t="e">
        <f t="shared" si="281"/>
        <v>#REF!</v>
      </c>
      <c r="V105" s="987"/>
      <c r="W105" s="987" t="e">
        <f t="shared" si="281"/>
        <v>#REF!</v>
      </c>
      <c r="X105" s="987"/>
      <c r="Y105" s="987" t="e">
        <f t="shared" si="281"/>
        <v>#REF!</v>
      </c>
      <c r="Z105" s="987"/>
      <c r="AA105" s="987" t="e">
        <f t="shared" si="281"/>
        <v>#REF!</v>
      </c>
      <c r="AB105" s="987"/>
      <c r="AC105" s="1028" t="e">
        <f t="shared" si="281"/>
        <v>#REF!</v>
      </c>
      <c r="AD105" s="1026">
        <f t="shared" si="281"/>
        <v>0</v>
      </c>
      <c r="AE105" s="1019"/>
      <c r="AF105" s="1080">
        <f t="shared" si="281"/>
        <v>0</v>
      </c>
      <c r="AG105" s="1080" t="e">
        <f t="shared" ref="AG105:AR105" si="282">SUM(AG106:AG113)</f>
        <v>#REF!</v>
      </c>
      <c r="AH105" s="1080" t="e">
        <f t="shared" si="282"/>
        <v>#REF!</v>
      </c>
      <c r="AI105" s="1080" t="e">
        <f>SUM(AI106:AI113)</f>
        <v>#REF!</v>
      </c>
      <c r="AJ105" s="1080" t="e">
        <f t="shared" si="282"/>
        <v>#REF!</v>
      </c>
      <c r="AK105" s="1080" t="e">
        <f>SUM(AK106:AK113)</f>
        <v>#REF!</v>
      </c>
      <c r="AL105" s="1080" t="e">
        <f t="shared" si="282"/>
        <v>#REF!</v>
      </c>
      <c r="AM105" s="1080" t="e">
        <f t="shared" si="282"/>
        <v>#REF!</v>
      </c>
      <c r="AN105" s="1080" t="e">
        <f t="shared" si="282"/>
        <v>#REF!</v>
      </c>
      <c r="AO105" s="1080" t="e">
        <f t="shared" si="282"/>
        <v>#REF!</v>
      </c>
      <c r="AP105" s="1080" t="e">
        <f t="shared" si="282"/>
        <v>#REF!</v>
      </c>
      <c r="AQ105" s="1080" t="e">
        <f t="shared" si="282"/>
        <v>#REF!</v>
      </c>
      <c r="AR105" s="1080" t="e">
        <f t="shared" si="282"/>
        <v>#REF!</v>
      </c>
      <c r="AS105" s="1083" t="e">
        <f>AG105+AH105+AI105+AJ105+AK105+AM105+AN105+AO105+AP105+AQ105+AR105</f>
        <v>#REF!</v>
      </c>
      <c r="AT105" s="165">
        <f>SUM(AF106:AF111)/$AX$5*$AX$7</f>
        <v>0</v>
      </c>
      <c r="AU105" s="166">
        <f>AT105/$AX$8</f>
        <v>0</v>
      </c>
      <c r="AV105" s="160"/>
      <c r="AW105" s="160"/>
      <c r="AX105" s="160"/>
      <c r="AY105"/>
      <c r="AZ105"/>
      <c r="BA105"/>
      <c r="BF105" s="34"/>
      <c r="BL105" s="16"/>
      <c r="BM105" s="16"/>
      <c r="BN105" s="16"/>
      <c r="BO105" s="16"/>
      <c r="BP105" s="10" t="s">
        <v>577</v>
      </c>
    </row>
    <row r="106" spans="1:68">
      <c r="A106" s="10" t="s">
        <v>1184</v>
      </c>
      <c r="B106" s="175" t="s">
        <v>135</v>
      </c>
      <c r="C106" s="169">
        <f>SUMIFS(BCRR_REHAB!L:L,BCRR_REHAB!D:D,'Huella materiales'!A106)</f>
        <v>0</v>
      </c>
      <c r="D106" s="146" t="e">
        <f>SUMIF(#REF!,'Huella materiales'!A106,#REF!)</f>
        <v>#REF!</v>
      </c>
      <c r="E106" s="1013" t="e">
        <f t="shared" ref="E106:E113" si="283">D106*AB106</f>
        <v>#REF!</v>
      </c>
      <c r="F106" s="146" t="e">
        <f>SUMIF(#REF!,'Huella materiales'!A106,#REF!)</f>
        <v>#REF!</v>
      </c>
      <c r="G106" s="1013" t="e">
        <f t="shared" ref="G106:G113" si="284">F106*AB106</f>
        <v>#REF!</v>
      </c>
      <c r="H106" s="146" t="e">
        <f>SUMIF(#REF!,'Huella materiales'!A106,#REF!)</f>
        <v>#REF!</v>
      </c>
      <c r="I106" s="1013" t="e">
        <f t="shared" ref="I106:I113" si="285">H106*AB106</f>
        <v>#REF!</v>
      </c>
      <c r="J106" s="146" t="e">
        <f>SUMIF(#REF!,'Huella materiales'!A106,#REF!)</f>
        <v>#REF!</v>
      </c>
      <c r="K106" s="1013" t="e">
        <f t="shared" ref="K106:K113" si="286">J106*AB106</f>
        <v>#REF!</v>
      </c>
      <c r="L106" s="146" t="e">
        <f>SUMIF(#REF!,'Huella materiales'!A106,#REF!)</f>
        <v>#REF!</v>
      </c>
      <c r="M106" s="1013" t="e">
        <f t="shared" ref="M106:M113" si="287">L106*AB106</f>
        <v>#REF!</v>
      </c>
      <c r="N106" s="146" t="e">
        <f>SUMIF(#REF!,'Huella materiales'!A106,#REF!)</f>
        <v>#REF!</v>
      </c>
      <c r="O106" s="1013" t="e">
        <f t="shared" ref="O106:O113" si="288">N106*AB106</f>
        <v>#REF!</v>
      </c>
      <c r="P106" s="146" t="e">
        <f>SUMIF(#REF!,'Huella materiales'!A106,#REF!)</f>
        <v>#REF!</v>
      </c>
      <c r="Q106" s="1013" t="e">
        <f>P106*AB106</f>
        <v>#REF!</v>
      </c>
      <c r="R106" s="146" t="e">
        <f>SUMIF(#REF!,'Huella materiales'!A106,#REF!)</f>
        <v>#REF!</v>
      </c>
      <c r="S106" s="1013" t="e">
        <f>R106*AB106</f>
        <v>#REF!</v>
      </c>
      <c r="T106" s="146" t="e">
        <f>SUMIF(#REF!,'Huella materiales'!A106,#REF!)</f>
        <v>#REF!</v>
      </c>
      <c r="U106" s="1013" t="e">
        <f>T106*AB106</f>
        <v>#REF!</v>
      </c>
      <c r="V106" s="146" t="e">
        <f>SUMIF(#REF!,'Huella materiales'!A106,#REF!)</f>
        <v>#REF!</v>
      </c>
      <c r="W106" s="1013" t="e">
        <f>V106*AB106</f>
        <v>#REF!</v>
      </c>
      <c r="X106" s="146" t="e">
        <f>SUMIF(#REF!,'Huella materiales'!A106,#REF!)</f>
        <v>#REF!</v>
      </c>
      <c r="Y106" s="1013" t="e">
        <f>X106*AB106</f>
        <v>#REF!</v>
      </c>
      <c r="Z106" s="146" t="e">
        <f>SUMIF(#REF!,'Huella materiales'!A106,#REF!)</f>
        <v>#REF!</v>
      </c>
      <c r="AA106" s="1013" t="e">
        <f>Z106*AB106</f>
        <v>#REF!</v>
      </c>
      <c r="AB106" s="1030">
        <f>'Datos auxiliares materiales'!C61</f>
        <v>0.11</v>
      </c>
      <c r="AC106" s="1017" t="e">
        <f>E106+G106+I106+K106+M106+O106+Q106+S106+U106+W106+Y106+AA106</f>
        <v>#REF!</v>
      </c>
      <c r="AD106" s="1022">
        <f t="shared" ref="AD106:AD113" si="289">C106*AB106</f>
        <v>0</v>
      </c>
      <c r="AE106" s="1077">
        <f>'Datos auxiliares materiales'!D61</f>
        <v>100</v>
      </c>
      <c r="AF106" s="170">
        <f>C106*AB106*AE106</f>
        <v>0</v>
      </c>
      <c r="AG106" s="170" t="e">
        <f>D106*AB106*AE106</f>
        <v>#REF!</v>
      </c>
      <c r="AH106" s="170" t="e">
        <f>F106*AB106*AE106</f>
        <v>#REF!</v>
      </c>
      <c r="AI106" s="170" t="e">
        <f>H106*AB106*AE106</f>
        <v>#REF!</v>
      </c>
      <c r="AJ106" s="170" t="e">
        <f>J106*AB106*AE106</f>
        <v>#REF!</v>
      </c>
      <c r="AK106" s="170" t="e">
        <f>L106*AB106*AE106</f>
        <v>#REF!</v>
      </c>
      <c r="AL106" s="170" t="e">
        <f>N106*$AB$49*$AE$49</f>
        <v>#REF!</v>
      </c>
      <c r="AM106" s="170" t="e">
        <f>P106*AB106*AE106</f>
        <v>#REF!</v>
      </c>
      <c r="AN106" s="170" t="e">
        <f>R106*AB106*AE106</f>
        <v>#REF!</v>
      </c>
      <c r="AO106" s="170" t="e">
        <f>T106*AB106*AE106</f>
        <v>#REF!</v>
      </c>
      <c r="AP106" s="170" t="e">
        <f>V106*AB106*AE106</f>
        <v>#REF!</v>
      </c>
      <c r="AQ106" s="170" t="e">
        <f>X106*AB106*AE106</f>
        <v>#REF!</v>
      </c>
      <c r="AR106" s="170" t="e">
        <f>Z106*AB106*AE106</f>
        <v>#REF!</v>
      </c>
      <c r="AS106" s="1082" t="e">
        <f t="shared" ref="AS106:AS112" si="290">AG106+AH106+AI106+AJ106+AK106+AM106+AN106+AO106+AP106+AQ106+AR106</f>
        <v>#REF!</v>
      </c>
      <c r="AT106" s="170"/>
      <c r="AU106" s="171"/>
      <c r="AV106" s="160"/>
      <c r="AW106" s="160"/>
      <c r="AX106" s="160"/>
      <c r="AY106"/>
      <c r="AZ106"/>
      <c r="BA106"/>
      <c r="BF106" s="34"/>
      <c r="BL106" s="16"/>
      <c r="BM106" s="16"/>
      <c r="BN106" s="16"/>
      <c r="BO106" s="16"/>
      <c r="BP106" s="10" t="s">
        <v>578</v>
      </c>
    </row>
    <row r="107" spans="1:68">
      <c r="A107" s="10" t="s">
        <v>1185</v>
      </c>
      <c r="B107" s="175" t="s">
        <v>136</v>
      </c>
      <c r="C107" s="169">
        <f>SUMIFS(BCRR_REHAB!L:L,BCRR_REHAB!D:D,'Huella materiales'!A107)</f>
        <v>0</v>
      </c>
      <c r="D107" s="146" t="e">
        <f>SUMIF(#REF!,'Huella materiales'!A107,#REF!)</f>
        <v>#REF!</v>
      </c>
      <c r="E107" s="1013" t="e">
        <f t="shared" si="283"/>
        <v>#REF!</v>
      </c>
      <c r="F107" s="146" t="e">
        <f>SUMIF(#REF!,'Huella materiales'!A107,#REF!)</f>
        <v>#REF!</v>
      </c>
      <c r="G107" s="1013" t="e">
        <f t="shared" si="284"/>
        <v>#REF!</v>
      </c>
      <c r="H107" s="146" t="e">
        <f>SUMIF(#REF!,'Huella materiales'!A107,#REF!)</f>
        <v>#REF!</v>
      </c>
      <c r="I107" s="1013" t="e">
        <f t="shared" si="285"/>
        <v>#REF!</v>
      </c>
      <c r="J107" s="146" t="e">
        <f>SUMIF(#REF!,'Huella materiales'!A107,#REF!)</f>
        <v>#REF!</v>
      </c>
      <c r="K107" s="1013" t="e">
        <f t="shared" si="286"/>
        <v>#REF!</v>
      </c>
      <c r="L107" s="146" t="e">
        <f>SUMIF(#REF!,'Huella materiales'!A107,#REF!)</f>
        <v>#REF!</v>
      </c>
      <c r="M107" s="1013" t="e">
        <f t="shared" si="287"/>
        <v>#REF!</v>
      </c>
      <c r="N107" s="146" t="e">
        <f>SUMIF(#REF!,'Huella materiales'!A107,#REF!)</f>
        <v>#REF!</v>
      </c>
      <c r="O107" s="1013" t="e">
        <f t="shared" si="288"/>
        <v>#REF!</v>
      </c>
      <c r="P107" s="146" t="e">
        <f>SUMIF(#REF!,'Huella materiales'!A107,#REF!)</f>
        <v>#REF!</v>
      </c>
      <c r="Q107" s="1013" t="e">
        <f t="shared" ref="Q107:Q113" si="291">P107*AB107</f>
        <v>#REF!</v>
      </c>
      <c r="R107" s="146" t="e">
        <f>SUMIF(#REF!,'Huella materiales'!A107,#REF!)</f>
        <v>#REF!</v>
      </c>
      <c r="S107" s="1013" t="e">
        <f t="shared" ref="S107:S113" si="292">R107*AB107</f>
        <v>#REF!</v>
      </c>
      <c r="T107" s="146" t="e">
        <f>SUMIF(#REF!,'Huella materiales'!A107,#REF!)</f>
        <v>#REF!</v>
      </c>
      <c r="U107" s="1013" t="e">
        <f t="shared" ref="U107:U113" si="293">T107*AB107</f>
        <v>#REF!</v>
      </c>
      <c r="V107" s="146" t="e">
        <f>SUMIF(#REF!,'Huella materiales'!A107,#REF!)</f>
        <v>#REF!</v>
      </c>
      <c r="W107" s="1013" t="e">
        <f t="shared" ref="W107:W113" si="294">V107*AB107</f>
        <v>#REF!</v>
      </c>
      <c r="X107" s="146" t="e">
        <f>SUMIF(#REF!,'Huella materiales'!A107,#REF!)</f>
        <v>#REF!</v>
      </c>
      <c r="Y107" s="1013" t="e">
        <f t="shared" ref="Y107:Y113" si="295">X107*AB107</f>
        <v>#REF!</v>
      </c>
      <c r="Z107" s="146" t="e">
        <f>SUMIF(#REF!,'Huella materiales'!A107,#REF!)</f>
        <v>#REF!</v>
      </c>
      <c r="AA107" s="1013" t="e">
        <f t="shared" ref="AA107:AA113" si="296">Z107*AB107</f>
        <v>#REF!</v>
      </c>
      <c r="AB107" s="1030">
        <f>'Datos auxiliares materiales'!C62</f>
        <v>0.25600000000000001</v>
      </c>
      <c r="AC107" s="1017" t="e">
        <f t="shared" ref="AC107:AC113" si="297">E107+G107+I107+K107+M107+O107+Q107+S107+U107+W107+Y107+AA107</f>
        <v>#REF!</v>
      </c>
      <c r="AD107" s="1022">
        <f t="shared" si="289"/>
        <v>0</v>
      </c>
      <c r="AE107" s="1077">
        <f>'Datos auxiliares materiales'!D62</f>
        <v>100</v>
      </c>
      <c r="AF107" s="170">
        <f t="shared" ref="AF107:AF113" si="298">C107*AB107*AE107</f>
        <v>0</v>
      </c>
      <c r="AG107" s="170" t="e">
        <f t="shared" ref="AG107:AG113" si="299">D107*AB107*AE107</f>
        <v>#REF!</v>
      </c>
      <c r="AH107" s="170" t="e">
        <f t="shared" ref="AH107:AH113" si="300">F107*AB107*AE107</f>
        <v>#REF!</v>
      </c>
      <c r="AI107" s="170" t="e">
        <f t="shared" ref="AI107:AI113" si="301">H107*AB107*AE107</f>
        <v>#REF!</v>
      </c>
      <c r="AJ107" s="170" t="e">
        <f t="shared" ref="AJ107:AJ113" si="302">J107*AB107*AE107</f>
        <v>#REF!</v>
      </c>
      <c r="AK107" s="170" t="e">
        <f t="shared" ref="AK107:AK113" si="303">L107*AB107*AE107</f>
        <v>#REF!</v>
      </c>
      <c r="AL107" s="170" t="e">
        <f t="shared" ref="AL107:AL113" si="304">N107*$AB$49*$AE$49</f>
        <v>#REF!</v>
      </c>
      <c r="AM107" s="170" t="e">
        <f t="shared" ref="AM107:AM113" si="305">P107*AB107*AE107</f>
        <v>#REF!</v>
      </c>
      <c r="AN107" s="170" t="e">
        <f t="shared" ref="AN107:AN113" si="306">R107*AB107*AE107</f>
        <v>#REF!</v>
      </c>
      <c r="AO107" s="170" t="e">
        <f t="shared" ref="AO107:AO113" si="307">T107*AB107*AE107</f>
        <v>#REF!</v>
      </c>
      <c r="AP107" s="170" t="e">
        <f t="shared" ref="AP107:AP113" si="308">V107*AB107*AE107</f>
        <v>#REF!</v>
      </c>
      <c r="AQ107" s="170" t="e">
        <f t="shared" ref="AQ107:AQ113" si="309">X107*AB107*AE107</f>
        <v>#REF!</v>
      </c>
      <c r="AR107" s="170" t="e">
        <f t="shared" ref="AR107:AR113" si="310">Z107*AB107*AE107</f>
        <v>#REF!</v>
      </c>
      <c r="AS107" s="1082" t="e">
        <f t="shared" si="290"/>
        <v>#REF!</v>
      </c>
      <c r="AT107" s="170"/>
      <c r="AU107" s="171"/>
      <c r="AV107" s="160"/>
      <c r="AW107" s="160"/>
      <c r="AX107" s="160"/>
      <c r="AY107"/>
      <c r="AZ107"/>
      <c r="BA107"/>
      <c r="BF107" s="16"/>
      <c r="BL107" s="16"/>
      <c r="BM107" s="16"/>
      <c r="BN107" s="16"/>
      <c r="BO107" s="16"/>
      <c r="BP107" s="10" t="s">
        <v>579</v>
      </c>
    </row>
    <row r="108" spans="1:68">
      <c r="A108" s="10" t="s">
        <v>1187</v>
      </c>
      <c r="B108" s="175" t="s">
        <v>140</v>
      </c>
      <c r="C108" s="169">
        <f>SUMIFS(BCRR_REHAB!L:L,BCRR_REHAB!D:D,'Huella materiales'!A108)</f>
        <v>0</v>
      </c>
      <c r="D108" s="146" t="e">
        <f>SUMIF(#REF!,'Huella materiales'!A108,#REF!)</f>
        <v>#REF!</v>
      </c>
      <c r="E108" s="1013" t="e">
        <f t="shared" si="283"/>
        <v>#REF!</v>
      </c>
      <c r="F108" s="146" t="e">
        <f>SUMIF(#REF!,'Huella materiales'!A108,#REF!)</f>
        <v>#REF!</v>
      </c>
      <c r="G108" s="1013" t="e">
        <f t="shared" si="284"/>
        <v>#REF!</v>
      </c>
      <c r="H108" s="146" t="e">
        <f>SUMIF(#REF!,'Huella materiales'!A108,#REF!)</f>
        <v>#REF!</v>
      </c>
      <c r="I108" s="1013" t="e">
        <f t="shared" si="285"/>
        <v>#REF!</v>
      </c>
      <c r="J108" s="146" t="e">
        <f>SUMIF(#REF!,'Huella materiales'!A108,#REF!)</f>
        <v>#REF!</v>
      </c>
      <c r="K108" s="1013" t="e">
        <f t="shared" si="286"/>
        <v>#REF!</v>
      </c>
      <c r="L108" s="146" t="e">
        <f>SUMIF(#REF!,'Huella materiales'!A108,#REF!)</f>
        <v>#REF!</v>
      </c>
      <c r="M108" s="1013" t="e">
        <f t="shared" si="287"/>
        <v>#REF!</v>
      </c>
      <c r="N108" s="146" t="e">
        <f>SUMIF(#REF!,'Huella materiales'!A108,#REF!)</f>
        <v>#REF!</v>
      </c>
      <c r="O108" s="1013" t="e">
        <f t="shared" si="288"/>
        <v>#REF!</v>
      </c>
      <c r="P108" s="146" t="e">
        <f>SUMIF(#REF!,'Huella materiales'!A108,#REF!)</f>
        <v>#REF!</v>
      </c>
      <c r="Q108" s="1013" t="e">
        <f t="shared" si="291"/>
        <v>#REF!</v>
      </c>
      <c r="R108" s="146" t="e">
        <f>SUMIF(#REF!,'Huella materiales'!A108,#REF!)</f>
        <v>#REF!</v>
      </c>
      <c r="S108" s="1013" t="e">
        <f t="shared" si="292"/>
        <v>#REF!</v>
      </c>
      <c r="T108" s="146" t="e">
        <f>SUMIF(#REF!,'Huella materiales'!A108,#REF!)</f>
        <v>#REF!</v>
      </c>
      <c r="U108" s="1013" t="e">
        <f t="shared" si="293"/>
        <v>#REF!</v>
      </c>
      <c r="V108" s="146" t="e">
        <f>SUMIF(#REF!,'Huella materiales'!A108,#REF!)</f>
        <v>#REF!</v>
      </c>
      <c r="W108" s="1013" t="e">
        <f t="shared" si="294"/>
        <v>#REF!</v>
      </c>
      <c r="X108" s="146" t="e">
        <f>SUMIF(#REF!,'Huella materiales'!A108,#REF!)</f>
        <v>#REF!</v>
      </c>
      <c r="Y108" s="1013" t="e">
        <f t="shared" si="295"/>
        <v>#REF!</v>
      </c>
      <c r="Z108" s="146" t="e">
        <f>SUMIF(#REF!,'Huella materiales'!A108,#REF!)</f>
        <v>#REF!</v>
      </c>
      <c r="AA108" s="1013" t="e">
        <f t="shared" si="296"/>
        <v>#REF!</v>
      </c>
      <c r="AB108" s="1030">
        <f>'Datos auxiliares materiales'!C63</f>
        <v>0.22</v>
      </c>
      <c r="AC108" s="1017" t="e">
        <f t="shared" si="297"/>
        <v>#REF!</v>
      </c>
      <c r="AD108" s="1022">
        <f t="shared" si="289"/>
        <v>0</v>
      </c>
      <c r="AE108" s="1077">
        <f>'Datos auxiliares materiales'!D63</f>
        <v>100</v>
      </c>
      <c r="AF108" s="170">
        <f t="shared" si="298"/>
        <v>0</v>
      </c>
      <c r="AG108" s="170" t="e">
        <f t="shared" si="299"/>
        <v>#REF!</v>
      </c>
      <c r="AH108" s="170" t="e">
        <f t="shared" si="300"/>
        <v>#REF!</v>
      </c>
      <c r="AI108" s="170" t="e">
        <f t="shared" si="301"/>
        <v>#REF!</v>
      </c>
      <c r="AJ108" s="170" t="e">
        <f t="shared" si="302"/>
        <v>#REF!</v>
      </c>
      <c r="AK108" s="170" t="e">
        <f t="shared" si="303"/>
        <v>#REF!</v>
      </c>
      <c r="AL108" s="170" t="e">
        <f t="shared" si="304"/>
        <v>#REF!</v>
      </c>
      <c r="AM108" s="170" t="e">
        <f t="shared" si="305"/>
        <v>#REF!</v>
      </c>
      <c r="AN108" s="170" t="e">
        <f t="shared" si="306"/>
        <v>#REF!</v>
      </c>
      <c r="AO108" s="170" t="e">
        <f t="shared" si="307"/>
        <v>#REF!</v>
      </c>
      <c r="AP108" s="170" t="e">
        <f t="shared" si="308"/>
        <v>#REF!</v>
      </c>
      <c r="AQ108" s="170" t="e">
        <f t="shared" si="309"/>
        <v>#REF!</v>
      </c>
      <c r="AR108" s="170" t="e">
        <f t="shared" si="310"/>
        <v>#REF!</v>
      </c>
      <c r="AS108" s="1082" t="e">
        <f t="shared" si="290"/>
        <v>#REF!</v>
      </c>
      <c r="AT108" s="170"/>
      <c r="AU108" s="171"/>
      <c r="AV108" s="160"/>
      <c r="AW108" s="160"/>
      <c r="AX108" s="160"/>
      <c r="AY108"/>
      <c r="AZ108"/>
      <c r="BA108"/>
      <c r="BF108" s="16"/>
      <c r="BL108" s="16"/>
      <c r="BM108" s="16"/>
      <c r="BN108" s="16"/>
      <c r="BO108" s="16"/>
      <c r="BP108" s="10" t="s">
        <v>580</v>
      </c>
    </row>
    <row r="109" spans="1:68">
      <c r="A109" s="10" t="s">
        <v>1239</v>
      </c>
      <c r="B109" s="175" t="s">
        <v>95</v>
      </c>
      <c r="C109" s="169">
        <f>SUMIFS(BCRR_REHAB!L:L,BCRR_REHAB!D:D,'Huella materiales'!A109)</f>
        <v>0</v>
      </c>
      <c r="D109" s="146" t="e">
        <f>SUMIF(#REF!,'Huella materiales'!A109,#REF!)</f>
        <v>#REF!</v>
      </c>
      <c r="E109" s="1013" t="e">
        <f t="shared" si="283"/>
        <v>#REF!</v>
      </c>
      <c r="F109" s="146" t="e">
        <f>SUMIF(#REF!,'Huella materiales'!A109,#REF!)</f>
        <v>#REF!</v>
      </c>
      <c r="G109" s="1013" t="e">
        <f t="shared" si="284"/>
        <v>#REF!</v>
      </c>
      <c r="H109" s="146" t="e">
        <f>SUMIF(#REF!,'Huella materiales'!A109,#REF!)</f>
        <v>#REF!</v>
      </c>
      <c r="I109" s="1013" t="e">
        <f t="shared" si="285"/>
        <v>#REF!</v>
      </c>
      <c r="J109" s="146" t="e">
        <f>SUMIF(#REF!,'Huella materiales'!A109,#REF!)</f>
        <v>#REF!</v>
      </c>
      <c r="K109" s="1013" t="e">
        <f t="shared" si="286"/>
        <v>#REF!</v>
      </c>
      <c r="L109" s="146" t="e">
        <f>SUMIF(#REF!,'Huella materiales'!A109,#REF!)</f>
        <v>#REF!</v>
      </c>
      <c r="M109" s="1013" t="e">
        <f t="shared" si="287"/>
        <v>#REF!</v>
      </c>
      <c r="N109" s="146" t="e">
        <f>SUMIF(#REF!,'Huella materiales'!A109,#REF!)</f>
        <v>#REF!</v>
      </c>
      <c r="O109" s="1013" t="e">
        <f t="shared" si="288"/>
        <v>#REF!</v>
      </c>
      <c r="P109" s="146" t="e">
        <f>SUMIF(#REF!,'Huella materiales'!A109,#REF!)</f>
        <v>#REF!</v>
      </c>
      <c r="Q109" s="1013" t="e">
        <f t="shared" si="291"/>
        <v>#REF!</v>
      </c>
      <c r="R109" s="146" t="e">
        <f>SUMIF(#REF!,'Huella materiales'!A109,#REF!)</f>
        <v>#REF!</v>
      </c>
      <c r="S109" s="1013" t="e">
        <f t="shared" si="292"/>
        <v>#REF!</v>
      </c>
      <c r="T109" s="146" t="e">
        <f>SUMIF(#REF!,'Huella materiales'!A109,#REF!)</f>
        <v>#REF!</v>
      </c>
      <c r="U109" s="1013" t="e">
        <f t="shared" si="293"/>
        <v>#REF!</v>
      </c>
      <c r="V109" s="146" t="e">
        <f>SUMIF(#REF!,'Huella materiales'!A109,#REF!)</f>
        <v>#REF!</v>
      </c>
      <c r="W109" s="1013" t="e">
        <f t="shared" si="294"/>
        <v>#REF!</v>
      </c>
      <c r="X109" s="146" t="e">
        <f>SUMIF(#REF!,'Huella materiales'!A109,#REF!)</f>
        <v>#REF!</v>
      </c>
      <c r="Y109" s="1013" t="e">
        <f t="shared" si="295"/>
        <v>#REF!</v>
      </c>
      <c r="Z109" s="146" t="e">
        <f>SUMIF(#REF!,'Huella materiales'!A109,#REF!)</f>
        <v>#REF!</v>
      </c>
      <c r="AA109" s="1013" t="e">
        <f t="shared" si="296"/>
        <v>#REF!</v>
      </c>
      <c r="AB109" s="1030">
        <f>'Datos auxiliares materiales'!C64</f>
        <v>0.35</v>
      </c>
      <c r="AC109" s="1017" t="e">
        <f t="shared" si="297"/>
        <v>#REF!</v>
      </c>
      <c r="AD109" s="1022">
        <f t="shared" si="289"/>
        <v>0</v>
      </c>
      <c r="AE109" s="1077">
        <f>'Datos auxiliares materiales'!D64</f>
        <v>100</v>
      </c>
      <c r="AF109" s="170">
        <f t="shared" si="298"/>
        <v>0</v>
      </c>
      <c r="AG109" s="170" t="e">
        <f t="shared" si="299"/>
        <v>#REF!</v>
      </c>
      <c r="AH109" s="170" t="e">
        <f t="shared" si="300"/>
        <v>#REF!</v>
      </c>
      <c r="AI109" s="170" t="e">
        <f t="shared" si="301"/>
        <v>#REF!</v>
      </c>
      <c r="AJ109" s="170" t="e">
        <f t="shared" si="302"/>
        <v>#REF!</v>
      </c>
      <c r="AK109" s="170" t="e">
        <f t="shared" si="303"/>
        <v>#REF!</v>
      </c>
      <c r="AL109" s="170" t="e">
        <f t="shared" si="304"/>
        <v>#REF!</v>
      </c>
      <c r="AM109" s="170" t="e">
        <f t="shared" si="305"/>
        <v>#REF!</v>
      </c>
      <c r="AN109" s="170" t="e">
        <f t="shared" si="306"/>
        <v>#REF!</v>
      </c>
      <c r="AO109" s="170" t="e">
        <f t="shared" si="307"/>
        <v>#REF!</v>
      </c>
      <c r="AP109" s="170" t="e">
        <f t="shared" si="308"/>
        <v>#REF!</v>
      </c>
      <c r="AQ109" s="170" t="e">
        <f t="shared" si="309"/>
        <v>#REF!</v>
      </c>
      <c r="AR109" s="170" t="e">
        <f t="shared" si="310"/>
        <v>#REF!</v>
      </c>
      <c r="AS109" s="1082" t="e">
        <f t="shared" si="290"/>
        <v>#REF!</v>
      </c>
      <c r="AT109" s="170"/>
      <c r="AU109" s="171"/>
      <c r="AV109" s="160"/>
      <c r="AW109" s="160"/>
      <c r="AX109" s="160"/>
      <c r="AY109"/>
      <c r="AZ109"/>
      <c r="BA109"/>
      <c r="BF109" s="16"/>
      <c r="BL109" s="16"/>
      <c r="BM109" s="16"/>
      <c r="BN109" s="16"/>
      <c r="BO109" s="16"/>
      <c r="BP109" s="10" t="s">
        <v>581</v>
      </c>
    </row>
    <row r="110" spans="1:68">
      <c r="A110" s="10" t="s">
        <v>1186</v>
      </c>
      <c r="B110" s="175" t="s">
        <v>139</v>
      </c>
      <c r="C110" s="169">
        <f>SUMIFS(BCRR_REHAB!L:L,BCRR_REHAB!D:D,'Huella materiales'!A110)</f>
        <v>0</v>
      </c>
      <c r="D110" s="146" t="e">
        <f>SUMIF(#REF!,'Huella materiales'!A110,#REF!)</f>
        <v>#REF!</v>
      </c>
      <c r="E110" s="1013" t="e">
        <f t="shared" si="283"/>
        <v>#REF!</v>
      </c>
      <c r="F110" s="146" t="e">
        <f>SUMIF(#REF!,'Huella materiales'!A110,#REF!)</f>
        <v>#REF!</v>
      </c>
      <c r="G110" s="1013" t="e">
        <f t="shared" si="284"/>
        <v>#REF!</v>
      </c>
      <c r="H110" s="146" t="e">
        <f>SUMIF(#REF!,'Huella materiales'!A110,#REF!)</f>
        <v>#REF!</v>
      </c>
      <c r="I110" s="1013" t="e">
        <f t="shared" si="285"/>
        <v>#REF!</v>
      </c>
      <c r="J110" s="146" t="e">
        <f>SUMIF(#REF!,'Huella materiales'!A110,#REF!)</f>
        <v>#REF!</v>
      </c>
      <c r="K110" s="1013" t="e">
        <f t="shared" si="286"/>
        <v>#REF!</v>
      </c>
      <c r="L110" s="146" t="e">
        <f>SUMIF(#REF!,'Huella materiales'!A110,#REF!)</f>
        <v>#REF!</v>
      </c>
      <c r="M110" s="1013" t="e">
        <f t="shared" si="287"/>
        <v>#REF!</v>
      </c>
      <c r="N110" s="146" t="e">
        <f>SUMIF(#REF!,'Huella materiales'!A110,#REF!)</f>
        <v>#REF!</v>
      </c>
      <c r="O110" s="1013" t="e">
        <f t="shared" si="288"/>
        <v>#REF!</v>
      </c>
      <c r="P110" s="146" t="e">
        <f>SUMIF(#REF!,'Huella materiales'!A110,#REF!)</f>
        <v>#REF!</v>
      </c>
      <c r="Q110" s="1013" t="e">
        <f t="shared" si="291"/>
        <v>#REF!</v>
      </c>
      <c r="R110" s="146" t="e">
        <f>SUMIF(#REF!,'Huella materiales'!A110,#REF!)</f>
        <v>#REF!</v>
      </c>
      <c r="S110" s="1013" t="e">
        <f t="shared" si="292"/>
        <v>#REF!</v>
      </c>
      <c r="T110" s="146" t="e">
        <f>SUMIF(#REF!,'Huella materiales'!A110,#REF!)</f>
        <v>#REF!</v>
      </c>
      <c r="U110" s="1013" t="e">
        <f t="shared" si="293"/>
        <v>#REF!</v>
      </c>
      <c r="V110" s="146" t="e">
        <f>SUMIF(#REF!,'Huella materiales'!A110,#REF!)</f>
        <v>#REF!</v>
      </c>
      <c r="W110" s="1013" t="e">
        <f t="shared" si="294"/>
        <v>#REF!</v>
      </c>
      <c r="X110" s="146" t="e">
        <f>SUMIF(#REF!,'Huella materiales'!A110,#REF!)</f>
        <v>#REF!</v>
      </c>
      <c r="Y110" s="1013" t="e">
        <f t="shared" si="295"/>
        <v>#REF!</v>
      </c>
      <c r="Z110" s="146" t="e">
        <f>SUMIF(#REF!,'Huella materiales'!A110,#REF!)</f>
        <v>#REF!</v>
      </c>
      <c r="AA110" s="1013" t="e">
        <f t="shared" si="296"/>
        <v>#REF!</v>
      </c>
      <c r="AB110" s="1030">
        <f>'Datos auxiliares materiales'!C65</f>
        <v>0.01</v>
      </c>
      <c r="AC110" s="1017" t="e">
        <f t="shared" si="297"/>
        <v>#REF!</v>
      </c>
      <c r="AD110" s="1022">
        <f t="shared" si="289"/>
        <v>0</v>
      </c>
      <c r="AE110" s="1077">
        <f>'Datos auxiliares materiales'!D65</f>
        <v>100</v>
      </c>
      <c r="AF110" s="170">
        <f t="shared" si="298"/>
        <v>0</v>
      </c>
      <c r="AG110" s="170" t="e">
        <f t="shared" si="299"/>
        <v>#REF!</v>
      </c>
      <c r="AH110" s="170" t="e">
        <f t="shared" si="300"/>
        <v>#REF!</v>
      </c>
      <c r="AI110" s="170" t="e">
        <f t="shared" si="301"/>
        <v>#REF!</v>
      </c>
      <c r="AJ110" s="170" t="e">
        <f t="shared" si="302"/>
        <v>#REF!</v>
      </c>
      <c r="AK110" s="170" t="e">
        <f t="shared" si="303"/>
        <v>#REF!</v>
      </c>
      <c r="AL110" s="170" t="e">
        <f t="shared" si="304"/>
        <v>#REF!</v>
      </c>
      <c r="AM110" s="170" t="e">
        <f t="shared" si="305"/>
        <v>#REF!</v>
      </c>
      <c r="AN110" s="170" t="e">
        <f t="shared" si="306"/>
        <v>#REF!</v>
      </c>
      <c r="AO110" s="170" t="e">
        <f t="shared" si="307"/>
        <v>#REF!</v>
      </c>
      <c r="AP110" s="170" t="e">
        <f t="shared" si="308"/>
        <v>#REF!</v>
      </c>
      <c r="AQ110" s="170" t="e">
        <f t="shared" si="309"/>
        <v>#REF!</v>
      </c>
      <c r="AR110" s="170" t="e">
        <f t="shared" si="310"/>
        <v>#REF!</v>
      </c>
      <c r="AS110" s="1082" t="e">
        <f t="shared" si="290"/>
        <v>#REF!</v>
      </c>
      <c r="AT110" s="170"/>
      <c r="AU110" s="171"/>
      <c r="AV110" s="160"/>
      <c r="AW110" s="160"/>
      <c r="AX110" s="160"/>
      <c r="AY110"/>
      <c r="AZ110"/>
      <c r="BA110"/>
      <c r="BF110" s="16"/>
      <c r="BL110" s="16"/>
      <c r="BM110" s="16"/>
      <c r="BN110" s="16"/>
      <c r="BO110" s="16"/>
      <c r="BP110" s="10" t="s">
        <v>582</v>
      </c>
    </row>
    <row r="111" spans="1:68">
      <c r="A111" s="10" t="s">
        <v>1183</v>
      </c>
      <c r="B111" s="175" t="s">
        <v>134</v>
      </c>
      <c r="C111" s="169">
        <f>SUMIFS(BCRR_REHAB!L:L,BCRR_REHAB!D:D,'Huella materiales'!A111)</f>
        <v>0</v>
      </c>
      <c r="D111" s="146" t="e">
        <f>SUMIF(#REF!,'Huella materiales'!A111,#REF!)</f>
        <v>#REF!</v>
      </c>
      <c r="E111" s="1013" t="e">
        <f t="shared" si="283"/>
        <v>#REF!</v>
      </c>
      <c r="F111" s="146" t="e">
        <f>SUMIF(#REF!,'Huella materiales'!A111,#REF!)</f>
        <v>#REF!</v>
      </c>
      <c r="G111" s="1013" t="e">
        <f t="shared" si="284"/>
        <v>#REF!</v>
      </c>
      <c r="H111" s="146" t="e">
        <f>SUMIF(#REF!,'Huella materiales'!A111,#REF!)</f>
        <v>#REF!</v>
      </c>
      <c r="I111" s="1013" t="e">
        <f t="shared" si="285"/>
        <v>#REF!</v>
      </c>
      <c r="J111" s="146" t="e">
        <f>SUMIF(#REF!,'Huella materiales'!A111,#REF!)</f>
        <v>#REF!</v>
      </c>
      <c r="K111" s="1013" t="e">
        <f t="shared" si="286"/>
        <v>#REF!</v>
      </c>
      <c r="L111" s="146" t="e">
        <f>SUMIF(#REF!,'Huella materiales'!A111,#REF!)</f>
        <v>#REF!</v>
      </c>
      <c r="M111" s="1013" t="e">
        <f t="shared" si="287"/>
        <v>#REF!</v>
      </c>
      <c r="N111" s="146" t="e">
        <f>SUMIF(#REF!,'Huella materiales'!A111,#REF!)</f>
        <v>#REF!</v>
      </c>
      <c r="O111" s="1013" t="e">
        <f t="shared" si="288"/>
        <v>#REF!</v>
      </c>
      <c r="P111" s="146" t="e">
        <f>SUMIF(#REF!,'Huella materiales'!A111,#REF!)</f>
        <v>#REF!</v>
      </c>
      <c r="Q111" s="1013" t="e">
        <f t="shared" si="291"/>
        <v>#REF!</v>
      </c>
      <c r="R111" s="146" t="e">
        <f>SUMIF(#REF!,'Huella materiales'!A111,#REF!)</f>
        <v>#REF!</v>
      </c>
      <c r="S111" s="1013" t="e">
        <f t="shared" si="292"/>
        <v>#REF!</v>
      </c>
      <c r="T111" s="146" t="e">
        <f>SUMIF(#REF!,'Huella materiales'!A111,#REF!)</f>
        <v>#REF!</v>
      </c>
      <c r="U111" s="1013" t="e">
        <f t="shared" si="293"/>
        <v>#REF!</v>
      </c>
      <c r="V111" s="146" t="e">
        <f>SUMIF(#REF!,'Huella materiales'!A111,#REF!)</f>
        <v>#REF!</v>
      </c>
      <c r="W111" s="1013" t="e">
        <f t="shared" si="294"/>
        <v>#REF!</v>
      </c>
      <c r="X111" s="146" t="e">
        <f>SUMIF(#REF!,'Huella materiales'!A111,#REF!)</f>
        <v>#REF!</v>
      </c>
      <c r="Y111" s="1013" t="e">
        <f t="shared" si="295"/>
        <v>#REF!</v>
      </c>
      <c r="Z111" s="146" t="e">
        <f>SUMIF(#REF!,'Huella materiales'!A111,#REF!)</f>
        <v>#REF!</v>
      </c>
      <c r="AA111" s="1013" t="e">
        <f t="shared" si="296"/>
        <v>#REF!</v>
      </c>
      <c r="AB111" s="1030">
        <f>'Datos auxiliares materiales'!C66</f>
        <v>0.35</v>
      </c>
      <c r="AC111" s="1017" t="e">
        <f t="shared" si="297"/>
        <v>#REF!</v>
      </c>
      <c r="AD111" s="1022">
        <f t="shared" si="289"/>
        <v>0</v>
      </c>
      <c r="AE111" s="1077">
        <f>'Datos auxiliares materiales'!D66</f>
        <v>100</v>
      </c>
      <c r="AF111" s="170">
        <f t="shared" si="298"/>
        <v>0</v>
      </c>
      <c r="AG111" s="170" t="e">
        <f t="shared" si="299"/>
        <v>#REF!</v>
      </c>
      <c r="AH111" s="170" t="e">
        <f t="shared" si="300"/>
        <v>#REF!</v>
      </c>
      <c r="AI111" s="170" t="e">
        <f t="shared" si="301"/>
        <v>#REF!</v>
      </c>
      <c r="AJ111" s="170" t="e">
        <f t="shared" si="302"/>
        <v>#REF!</v>
      </c>
      <c r="AK111" s="170" t="e">
        <f t="shared" si="303"/>
        <v>#REF!</v>
      </c>
      <c r="AL111" s="170" t="e">
        <f t="shared" si="304"/>
        <v>#REF!</v>
      </c>
      <c r="AM111" s="170" t="e">
        <f t="shared" si="305"/>
        <v>#REF!</v>
      </c>
      <c r="AN111" s="170" t="e">
        <f t="shared" si="306"/>
        <v>#REF!</v>
      </c>
      <c r="AO111" s="170" t="e">
        <f t="shared" si="307"/>
        <v>#REF!</v>
      </c>
      <c r="AP111" s="170" t="e">
        <f t="shared" si="308"/>
        <v>#REF!</v>
      </c>
      <c r="AQ111" s="170" t="e">
        <f t="shared" si="309"/>
        <v>#REF!</v>
      </c>
      <c r="AR111" s="170" t="e">
        <f t="shared" si="310"/>
        <v>#REF!</v>
      </c>
      <c r="AS111" s="1082" t="e">
        <f t="shared" si="290"/>
        <v>#REF!</v>
      </c>
      <c r="AT111" s="170"/>
      <c r="AU111" s="171"/>
      <c r="AV111" s="160"/>
      <c r="AW111" s="160"/>
      <c r="AX111" s="160"/>
      <c r="AY111"/>
      <c r="AZ111"/>
      <c r="BA111"/>
      <c r="BF111" s="16"/>
      <c r="BL111" s="16"/>
      <c r="BM111" s="16"/>
      <c r="BN111" s="16"/>
      <c r="BO111" s="16"/>
      <c r="BP111" s="10" t="s">
        <v>583</v>
      </c>
    </row>
    <row r="112" spans="1:68">
      <c r="A112" s="10" t="s">
        <v>1188</v>
      </c>
      <c r="B112" s="175" t="s">
        <v>1238</v>
      </c>
      <c r="C112" s="169">
        <f>SUMIFS(BCRR_REHAB!L:L,BCRR_REHAB!D:D,'Huella materiales'!A112)</f>
        <v>0</v>
      </c>
      <c r="D112" s="146" t="e">
        <f>SUMIF(#REF!,'Huella materiales'!A112,#REF!)</f>
        <v>#REF!</v>
      </c>
      <c r="E112" s="1013" t="e">
        <f t="shared" si="283"/>
        <v>#REF!</v>
      </c>
      <c r="F112" s="146" t="e">
        <f>SUMIF(#REF!,'Huella materiales'!A112,#REF!)</f>
        <v>#REF!</v>
      </c>
      <c r="G112" s="1013" t="e">
        <f t="shared" si="284"/>
        <v>#REF!</v>
      </c>
      <c r="H112" s="146" t="e">
        <f>SUMIF(#REF!,'Huella materiales'!A112,#REF!)</f>
        <v>#REF!</v>
      </c>
      <c r="I112" s="1013" t="e">
        <f t="shared" si="285"/>
        <v>#REF!</v>
      </c>
      <c r="J112" s="146" t="e">
        <f>SUMIF(#REF!,'Huella materiales'!A112,#REF!)</f>
        <v>#REF!</v>
      </c>
      <c r="K112" s="1013" t="e">
        <f t="shared" si="286"/>
        <v>#REF!</v>
      </c>
      <c r="L112" s="146" t="e">
        <f>SUMIF(#REF!,'Huella materiales'!A112,#REF!)</f>
        <v>#REF!</v>
      </c>
      <c r="M112" s="1013" t="e">
        <f t="shared" si="287"/>
        <v>#REF!</v>
      </c>
      <c r="N112" s="146" t="e">
        <f>SUMIF(#REF!,'Huella materiales'!A112,#REF!)</f>
        <v>#REF!</v>
      </c>
      <c r="O112" s="1013" t="e">
        <f t="shared" si="288"/>
        <v>#REF!</v>
      </c>
      <c r="P112" s="146" t="e">
        <f>SUMIF(#REF!,'Huella materiales'!A112,#REF!)</f>
        <v>#REF!</v>
      </c>
      <c r="Q112" s="1013" t="e">
        <f t="shared" si="291"/>
        <v>#REF!</v>
      </c>
      <c r="R112" s="146" t="e">
        <f>SUMIF(#REF!,'Huella materiales'!A112,#REF!)</f>
        <v>#REF!</v>
      </c>
      <c r="S112" s="1013" t="e">
        <f t="shared" si="292"/>
        <v>#REF!</v>
      </c>
      <c r="T112" s="146" t="e">
        <f>SUMIF(#REF!,'Huella materiales'!A112,#REF!)</f>
        <v>#REF!</v>
      </c>
      <c r="U112" s="1013" t="e">
        <f t="shared" si="293"/>
        <v>#REF!</v>
      </c>
      <c r="V112" s="146" t="e">
        <f>SUMIF(#REF!,'Huella materiales'!A112,#REF!)</f>
        <v>#REF!</v>
      </c>
      <c r="W112" s="1013" t="e">
        <f t="shared" si="294"/>
        <v>#REF!</v>
      </c>
      <c r="X112" s="146" t="e">
        <f>SUMIF(#REF!,'Huella materiales'!A112,#REF!)</f>
        <v>#REF!</v>
      </c>
      <c r="Y112" s="1013" t="e">
        <f t="shared" si="295"/>
        <v>#REF!</v>
      </c>
      <c r="Z112" s="146" t="e">
        <f>SUMIF(#REF!,'Huella materiales'!A112,#REF!)</f>
        <v>#REF!</v>
      </c>
      <c r="AA112" s="1013" t="e">
        <f t="shared" si="296"/>
        <v>#REF!</v>
      </c>
      <c r="AB112" s="1030">
        <f>'Datos auxiliares materiales'!C67</f>
        <v>0</v>
      </c>
      <c r="AC112" s="1017" t="e">
        <f t="shared" si="297"/>
        <v>#REF!</v>
      </c>
      <c r="AD112" s="1022">
        <f t="shared" si="289"/>
        <v>0</v>
      </c>
      <c r="AE112" s="1077"/>
      <c r="AF112" s="170">
        <f t="shared" si="298"/>
        <v>0</v>
      </c>
      <c r="AG112" s="170" t="e">
        <f t="shared" si="299"/>
        <v>#REF!</v>
      </c>
      <c r="AH112" s="170" t="e">
        <f t="shared" si="300"/>
        <v>#REF!</v>
      </c>
      <c r="AI112" s="170" t="e">
        <f t="shared" si="301"/>
        <v>#REF!</v>
      </c>
      <c r="AJ112" s="170" t="e">
        <f t="shared" si="302"/>
        <v>#REF!</v>
      </c>
      <c r="AK112" s="170" t="e">
        <f t="shared" si="303"/>
        <v>#REF!</v>
      </c>
      <c r="AL112" s="170" t="e">
        <f t="shared" si="304"/>
        <v>#REF!</v>
      </c>
      <c r="AM112" s="170" t="e">
        <f t="shared" si="305"/>
        <v>#REF!</v>
      </c>
      <c r="AN112" s="170" t="e">
        <f t="shared" si="306"/>
        <v>#REF!</v>
      </c>
      <c r="AO112" s="170" t="e">
        <f t="shared" si="307"/>
        <v>#REF!</v>
      </c>
      <c r="AP112" s="170" t="e">
        <f t="shared" si="308"/>
        <v>#REF!</v>
      </c>
      <c r="AQ112" s="170" t="e">
        <f t="shared" si="309"/>
        <v>#REF!</v>
      </c>
      <c r="AR112" s="170" t="e">
        <f t="shared" si="310"/>
        <v>#REF!</v>
      </c>
      <c r="AS112" s="1082" t="e">
        <f t="shared" si="290"/>
        <v>#REF!</v>
      </c>
      <c r="AT112" s="170"/>
      <c r="AU112" s="171"/>
      <c r="AV112" s="160"/>
      <c r="AW112" s="160"/>
      <c r="AX112" s="160"/>
      <c r="AY112"/>
      <c r="AZ112"/>
      <c r="BA112"/>
      <c r="BF112" s="34"/>
      <c r="BL112" s="16"/>
      <c r="BM112" s="16"/>
      <c r="BN112" s="16"/>
      <c r="BO112" s="16"/>
      <c r="BP112" s="10" t="s">
        <v>583</v>
      </c>
    </row>
    <row r="113" spans="1:68">
      <c r="A113" s="10" t="s">
        <v>1192</v>
      </c>
      <c r="B113" s="175" t="s">
        <v>1238</v>
      </c>
      <c r="C113" s="169">
        <f>SUMIFS(BCRR_REHAB!L:L,BCRR_REHAB!D:D,'Huella materiales'!A113)</f>
        <v>0</v>
      </c>
      <c r="D113" s="146" t="e">
        <f>SUMIF(#REF!,'Huella materiales'!A113,#REF!)</f>
        <v>#REF!</v>
      </c>
      <c r="E113" s="1013" t="e">
        <f t="shared" si="283"/>
        <v>#REF!</v>
      </c>
      <c r="F113" s="146" t="e">
        <f>SUMIF(#REF!,'Huella materiales'!A113,#REF!)</f>
        <v>#REF!</v>
      </c>
      <c r="G113" s="1013" t="e">
        <f t="shared" si="284"/>
        <v>#REF!</v>
      </c>
      <c r="H113" s="146" t="e">
        <f>SUMIF(#REF!,'Huella materiales'!A113,#REF!)</f>
        <v>#REF!</v>
      </c>
      <c r="I113" s="1013" t="e">
        <f t="shared" si="285"/>
        <v>#REF!</v>
      </c>
      <c r="J113" s="146" t="e">
        <f>SUMIF(#REF!,'Huella materiales'!A113,#REF!)</f>
        <v>#REF!</v>
      </c>
      <c r="K113" s="1013" t="e">
        <f t="shared" si="286"/>
        <v>#REF!</v>
      </c>
      <c r="L113" s="146" t="e">
        <f>SUMIF(#REF!,'Huella materiales'!A113,#REF!)</f>
        <v>#REF!</v>
      </c>
      <c r="M113" s="1013" t="e">
        <f t="shared" si="287"/>
        <v>#REF!</v>
      </c>
      <c r="N113" s="146" t="e">
        <f>SUMIF(#REF!,'Huella materiales'!A113,#REF!)</f>
        <v>#REF!</v>
      </c>
      <c r="O113" s="1013" t="e">
        <f t="shared" si="288"/>
        <v>#REF!</v>
      </c>
      <c r="P113" s="146" t="e">
        <f>SUMIF(#REF!,'Huella materiales'!A113,#REF!)</f>
        <v>#REF!</v>
      </c>
      <c r="Q113" s="1013" t="e">
        <f t="shared" si="291"/>
        <v>#REF!</v>
      </c>
      <c r="R113" s="146" t="e">
        <f>SUMIF(#REF!,'Huella materiales'!A113,#REF!)</f>
        <v>#REF!</v>
      </c>
      <c r="S113" s="1013" t="e">
        <f t="shared" si="292"/>
        <v>#REF!</v>
      </c>
      <c r="T113" s="146" t="e">
        <f>SUMIF(#REF!,'Huella materiales'!A113,#REF!)</f>
        <v>#REF!</v>
      </c>
      <c r="U113" s="1013" t="e">
        <f t="shared" si="293"/>
        <v>#REF!</v>
      </c>
      <c r="V113" s="146" t="e">
        <f>SUMIF(#REF!,'Huella materiales'!A113,#REF!)</f>
        <v>#REF!</v>
      </c>
      <c r="W113" s="1013" t="e">
        <f t="shared" si="294"/>
        <v>#REF!</v>
      </c>
      <c r="X113" s="146" t="e">
        <f>SUMIF(#REF!,'Huella materiales'!A113,#REF!)</f>
        <v>#REF!</v>
      </c>
      <c r="Y113" s="1013" t="e">
        <f t="shared" si="295"/>
        <v>#REF!</v>
      </c>
      <c r="Z113" s="146" t="e">
        <f>SUMIF(#REF!,'Huella materiales'!A113,#REF!)</f>
        <v>#REF!</v>
      </c>
      <c r="AA113" s="1013" t="e">
        <f t="shared" si="296"/>
        <v>#REF!</v>
      </c>
      <c r="AB113" s="1030">
        <f>'Datos auxiliares materiales'!C68</f>
        <v>89</v>
      </c>
      <c r="AC113" s="1017" t="e">
        <f t="shared" si="297"/>
        <v>#REF!</v>
      </c>
      <c r="AD113" s="1022">
        <f t="shared" si="289"/>
        <v>0</v>
      </c>
      <c r="AE113" s="1077"/>
      <c r="AF113" s="170">
        <f t="shared" si="298"/>
        <v>0</v>
      </c>
      <c r="AG113" s="170" t="e">
        <f t="shared" si="299"/>
        <v>#REF!</v>
      </c>
      <c r="AH113" s="170" t="e">
        <f t="shared" si="300"/>
        <v>#REF!</v>
      </c>
      <c r="AI113" s="170" t="e">
        <f t="shared" si="301"/>
        <v>#REF!</v>
      </c>
      <c r="AJ113" s="170" t="e">
        <f t="shared" si="302"/>
        <v>#REF!</v>
      </c>
      <c r="AK113" s="170" t="e">
        <f t="shared" si="303"/>
        <v>#REF!</v>
      </c>
      <c r="AL113" s="170" t="e">
        <f t="shared" si="304"/>
        <v>#REF!</v>
      </c>
      <c r="AM113" s="170" t="e">
        <f t="shared" si="305"/>
        <v>#REF!</v>
      </c>
      <c r="AN113" s="170" t="e">
        <f t="shared" si="306"/>
        <v>#REF!</v>
      </c>
      <c r="AO113" s="170" t="e">
        <f t="shared" si="307"/>
        <v>#REF!</v>
      </c>
      <c r="AP113" s="170" t="e">
        <f t="shared" si="308"/>
        <v>#REF!</v>
      </c>
      <c r="AQ113" s="170" t="e">
        <f t="shared" si="309"/>
        <v>#REF!</v>
      </c>
      <c r="AR113" s="170" t="e">
        <f t="shared" si="310"/>
        <v>#REF!</v>
      </c>
      <c r="AS113" s="1082" t="e">
        <f>AG113+AH113+AI113+AJ113+AK113+AL113+AM113+AN113+AO113+AP113+AQ113+AR113</f>
        <v>#REF!</v>
      </c>
      <c r="AT113" s="170"/>
      <c r="AU113" s="171"/>
      <c r="AV113" s="160"/>
      <c r="AW113" s="160"/>
      <c r="AX113" s="160"/>
      <c r="AY113"/>
      <c r="AZ113"/>
      <c r="BA113"/>
      <c r="BF113" s="34"/>
      <c r="BL113" s="16"/>
      <c r="BM113" s="16"/>
      <c r="BN113" s="16"/>
      <c r="BO113" s="16"/>
      <c r="BP113" s="10" t="s">
        <v>583</v>
      </c>
    </row>
    <row r="114" spans="1:68" ht="15.5">
      <c r="B114" s="163" t="s">
        <v>278</v>
      </c>
      <c r="C114" s="169">
        <f>SUMIFS(BCRR_REHAB!L:L,BCRR_REHAB!D:D,'Huella materiales'!A114)</f>
        <v>0</v>
      </c>
      <c r="D114" s="987"/>
      <c r="E114" s="1014" t="e">
        <f t="shared" ref="E114:AF114" si="311">SUM(E115:E124)</f>
        <v>#REF!</v>
      </c>
      <c r="F114" s="987"/>
      <c r="G114" s="987" t="e">
        <f t="shared" si="311"/>
        <v>#REF!</v>
      </c>
      <c r="H114" s="987"/>
      <c r="I114" s="987" t="e">
        <f t="shared" si="311"/>
        <v>#REF!</v>
      </c>
      <c r="J114" s="987"/>
      <c r="K114" s="987" t="e">
        <f t="shared" si="311"/>
        <v>#REF!</v>
      </c>
      <c r="L114" s="987"/>
      <c r="M114" s="987" t="e">
        <f t="shared" si="311"/>
        <v>#REF!</v>
      </c>
      <c r="N114" s="987"/>
      <c r="O114" s="987" t="e">
        <f t="shared" si="311"/>
        <v>#REF!</v>
      </c>
      <c r="P114" s="987"/>
      <c r="Q114" s="987" t="e">
        <f t="shared" si="311"/>
        <v>#REF!</v>
      </c>
      <c r="R114" s="987"/>
      <c r="S114" s="987" t="e">
        <f t="shared" si="311"/>
        <v>#REF!</v>
      </c>
      <c r="T114" s="987"/>
      <c r="U114" s="987" t="e">
        <f t="shared" si="311"/>
        <v>#REF!</v>
      </c>
      <c r="V114" s="987"/>
      <c r="W114" s="987" t="e">
        <f t="shared" si="311"/>
        <v>#REF!</v>
      </c>
      <c r="X114" s="987"/>
      <c r="Y114" s="987" t="e">
        <f t="shared" si="311"/>
        <v>#REF!</v>
      </c>
      <c r="Z114" s="987" t="e">
        <f t="shared" si="311"/>
        <v>#REF!</v>
      </c>
      <c r="AA114" s="987" t="e">
        <f t="shared" si="311"/>
        <v>#REF!</v>
      </c>
      <c r="AB114" s="987"/>
      <c r="AC114" s="1028" t="e">
        <f t="shared" si="311"/>
        <v>#REF!</v>
      </c>
      <c r="AD114" s="1026">
        <f t="shared" si="311"/>
        <v>0</v>
      </c>
      <c r="AE114" s="1019"/>
      <c r="AF114" s="1080">
        <f t="shared" si="311"/>
        <v>0</v>
      </c>
      <c r="AG114" s="1080" t="e">
        <f t="shared" ref="AG114:AR114" si="312">SUM(AG115:AG124)</f>
        <v>#REF!</v>
      </c>
      <c r="AH114" s="1080" t="e">
        <f t="shared" si="312"/>
        <v>#REF!</v>
      </c>
      <c r="AI114" s="1080" t="e">
        <f>SUM(AI115:AI124)</f>
        <v>#REF!</v>
      </c>
      <c r="AJ114" s="1080" t="e">
        <f t="shared" si="312"/>
        <v>#REF!</v>
      </c>
      <c r="AK114" s="1080" t="e">
        <f>SUM(AK115:AK124)</f>
        <v>#REF!</v>
      </c>
      <c r="AL114" s="1080" t="e">
        <f t="shared" si="312"/>
        <v>#REF!</v>
      </c>
      <c r="AM114" s="1080" t="e">
        <f t="shared" si="312"/>
        <v>#REF!</v>
      </c>
      <c r="AN114" s="1080" t="e">
        <f t="shared" si="312"/>
        <v>#REF!</v>
      </c>
      <c r="AO114" s="1080" t="e">
        <f t="shared" si="312"/>
        <v>#REF!</v>
      </c>
      <c r="AP114" s="1080" t="e">
        <f t="shared" si="312"/>
        <v>#REF!</v>
      </c>
      <c r="AQ114" s="1080" t="e">
        <f t="shared" si="312"/>
        <v>#REF!</v>
      </c>
      <c r="AR114" s="1080" t="e">
        <f t="shared" si="312"/>
        <v>#REF!</v>
      </c>
      <c r="AS114" s="1080" t="e">
        <f>AG114+AH114+AI114+AJ114+AK114+AM114+AN114+AO114+AP114+AQ114+AR114</f>
        <v>#REF!</v>
      </c>
      <c r="AT114" s="165">
        <f>SUM(AF115:AF116)/$AX$5*$AX$7</f>
        <v>0</v>
      </c>
      <c r="AU114" s="166">
        <f>AT114/$AX$8</f>
        <v>0</v>
      </c>
      <c r="AV114" s="160"/>
      <c r="AW114" s="160"/>
      <c r="AX114" s="160"/>
      <c r="AY114"/>
      <c r="AZ114"/>
      <c r="BA114"/>
      <c r="BF114" s="34"/>
      <c r="BL114" s="16"/>
      <c r="BM114" s="16"/>
      <c r="BN114" s="16"/>
      <c r="BO114" s="16"/>
      <c r="BP114" s="10" t="s">
        <v>584</v>
      </c>
    </row>
    <row r="115" spans="1:68">
      <c r="A115" s="10" t="s">
        <v>1172</v>
      </c>
      <c r="B115" s="175" t="s">
        <v>119</v>
      </c>
      <c r="C115" s="169">
        <f>SUMIFS(BCRR_REHAB!L:L,BCRR_REHAB!D:D,'Huella materiales'!A115)</f>
        <v>0</v>
      </c>
      <c r="D115" s="146" t="e">
        <f>SUMIF(#REF!,'Huella materiales'!A115,#REF!)</f>
        <v>#REF!</v>
      </c>
      <c r="E115" s="1013" t="e">
        <f t="shared" ref="E115:E124" si="313">D115*AB115</f>
        <v>#REF!</v>
      </c>
      <c r="F115" s="146" t="e">
        <f>SUMIF(#REF!,'Huella materiales'!A115,#REF!)</f>
        <v>#REF!</v>
      </c>
      <c r="G115" s="1013" t="e">
        <f t="shared" ref="G115:G124" si="314">F115*AB115</f>
        <v>#REF!</v>
      </c>
      <c r="H115" s="146" t="e">
        <f>SUMIF(#REF!,'Huella materiales'!A115,#REF!)</f>
        <v>#REF!</v>
      </c>
      <c r="I115" s="1013" t="e">
        <f t="shared" ref="I115:I124" si="315">H115*AB115</f>
        <v>#REF!</v>
      </c>
      <c r="J115" s="146" t="e">
        <f>SUMIF(#REF!,'Huella materiales'!A115,#REF!)</f>
        <v>#REF!</v>
      </c>
      <c r="K115" s="1013" t="e">
        <f t="shared" ref="K115:K124" si="316">J115*AB115</f>
        <v>#REF!</v>
      </c>
      <c r="L115" s="146" t="e">
        <f>SUMIF(#REF!,'Huella materiales'!A115,#REF!)</f>
        <v>#REF!</v>
      </c>
      <c r="M115" s="1013" t="e">
        <f t="shared" ref="M115:M124" si="317">L115*AB115</f>
        <v>#REF!</v>
      </c>
      <c r="N115" s="146" t="e">
        <f>SUMIF(#REF!,'Huella materiales'!A115,#REF!)</f>
        <v>#REF!</v>
      </c>
      <c r="O115" s="1013" t="e">
        <f t="shared" ref="O115:O124" si="318">N115*AB115</f>
        <v>#REF!</v>
      </c>
      <c r="P115" s="146" t="e">
        <f>SUMIF(#REF!,'Huella materiales'!A115,#REF!)</f>
        <v>#REF!</v>
      </c>
      <c r="Q115" s="1013" t="e">
        <f>P115*AB115</f>
        <v>#REF!</v>
      </c>
      <c r="R115" s="146" t="e">
        <f>SUMIF(#REF!,'Huella materiales'!A115,#REF!)</f>
        <v>#REF!</v>
      </c>
      <c r="S115" s="1013" t="e">
        <f>R115*AB115</f>
        <v>#REF!</v>
      </c>
      <c r="T115" s="146" t="e">
        <f>SUMIF(#REF!,'Huella materiales'!A115,#REF!)</f>
        <v>#REF!</v>
      </c>
      <c r="U115" s="1013" t="e">
        <f>T115*AB115</f>
        <v>#REF!</v>
      </c>
      <c r="V115" s="146" t="e">
        <f>SUMIF(#REF!,'Huella materiales'!A115,#REF!)</f>
        <v>#REF!</v>
      </c>
      <c r="W115" s="1013" t="e">
        <f>V115*AB115</f>
        <v>#REF!</v>
      </c>
      <c r="X115" s="146" t="e">
        <f>SUMIF(#REF!,'Huella materiales'!A115,#REF!)</f>
        <v>#REF!</v>
      </c>
      <c r="Y115" s="1013" t="e">
        <f>X115*AB115</f>
        <v>#REF!</v>
      </c>
      <c r="Z115" s="146" t="e">
        <f>SUMIF(#REF!,'Huella materiales'!A115,#REF!)</f>
        <v>#REF!</v>
      </c>
      <c r="AA115" s="1013" t="e">
        <f>Z115*AB115</f>
        <v>#REF!</v>
      </c>
      <c r="AB115" s="1030">
        <f>'Datos auxiliares materiales'!C68</f>
        <v>89</v>
      </c>
      <c r="AC115" s="1017" t="e">
        <f>E115+G115+I115+K115+M115+O115+Q115+S115+U115+W115+Y115+AA115</f>
        <v>#REF!</v>
      </c>
      <c r="AD115" s="1022">
        <f t="shared" ref="AD115:AD124" si="319">C115*AB115</f>
        <v>0</v>
      </c>
      <c r="AE115" s="1077">
        <f>'Datos auxiliares materiales'!D68</f>
        <v>2</v>
      </c>
      <c r="AF115" s="170">
        <f>C115*$AB$115*$AE$115</f>
        <v>0</v>
      </c>
      <c r="AG115" s="170" t="e">
        <f>D115*AB115*AE115</f>
        <v>#REF!</v>
      </c>
      <c r="AH115" s="170" t="e">
        <f>F115*AB115*AE115</f>
        <v>#REF!</v>
      </c>
      <c r="AI115" s="170" t="e">
        <f>H115*AB115*AE115</f>
        <v>#REF!</v>
      </c>
      <c r="AJ115" s="170" t="e">
        <f>J115*AB115*AE115</f>
        <v>#REF!</v>
      </c>
      <c r="AK115" s="170" t="e">
        <f>L115*AB115*AE115</f>
        <v>#REF!</v>
      </c>
      <c r="AL115" s="170" t="e">
        <f>N115*$AB$49*$AE$49</f>
        <v>#REF!</v>
      </c>
      <c r="AM115" s="170" t="e">
        <f>P115*AB115*AE115</f>
        <v>#REF!</v>
      </c>
      <c r="AN115" s="170" t="e">
        <f>R115*AB115*AE115</f>
        <v>#REF!</v>
      </c>
      <c r="AO115" s="170" t="e">
        <f>T115*AB115*AE115</f>
        <v>#REF!</v>
      </c>
      <c r="AP115" s="170" t="e">
        <f>V115*AB115*AE115</f>
        <v>#REF!</v>
      </c>
      <c r="AQ115" s="170" t="e">
        <f>X115*AB115*AE115</f>
        <v>#REF!</v>
      </c>
      <c r="AR115" s="170" t="e">
        <f>Z115*AB115*AE115</f>
        <v>#REF!</v>
      </c>
      <c r="AS115" s="170"/>
      <c r="AT115" s="170"/>
      <c r="AU115" s="171"/>
      <c r="AV115" s="160"/>
      <c r="AW115" s="160"/>
      <c r="AX115" s="160"/>
      <c r="AY115"/>
      <c r="AZ115"/>
      <c r="BA115"/>
      <c r="BF115" s="34"/>
      <c r="BL115" s="16"/>
      <c r="BM115" s="16"/>
      <c r="BN115" s="16"/>
      <c r="BO115" s="16"/>
      <c r="BP115" s="10" t="s">
        <v>585</v>
      </c>
    </row>
    <row r="116" spans="1:68">
      <c r="A116" s="10" t="s">
        <v>1166</v>
      </c>
      <c r="B116" s="977" t="s">
        <v>269</v>
      </c>
      <c r="C116" s="169">
        <f>SUMIFS(BCRR_REHAB!L:L,BCRR_REHAB!D:D,'Huella materiales'!A116)</f>
        <v>0</v>
      </c>
      <c r="D116" s="146" t="e">
        <f>SUMIF(#REF!,'Huella materiales'!A116,#REF!)</f>
        <v>#REF!</v>
      </c>
      <c r="E116" s="1013" t="e">
        <f t="shared" si="313"/>
        <v>#REF!</v>
      </c>
      <c r="F116" s="146" t="e">
        <f>SUMIF(#REF!,'Huella materiales'!A116,#REF!)</f>
        <v>#REF!</v>
      </c>
      <c r="G116" s="1013" t="e">
        <f t="shared" si="314"/>
        <v>#REF!</v>
      </c>
      <c r="H116" s="146" t="e">
        <f>SUMIF(#REF!,'Huella materiales'!A116,#REF!)</f>
        <v>#REF!</v>
      </c>
      <c r="I116" s="1013" t="e">
        <f t="shared" si="315"/>
        <v>#REF!</v>
      </c>
      <c r="J116" s="146" t="e">
        <f>SUMIF(#REF!,'Huella materiales'!A116,#REF!)</f>
        <v>#REF!</v>
      </c>
      <c r="K116" s="1013" t="e">
        <f t="shared" si="316"/>
        <v>#REF!</v>
      </c>
      <c r="L116" s="146" t="e">
        <f>SUMIF(#REF!,'Huella materiales'!A116,#REF!)</f>
        <v>#REF!</v>
      </c>
      <c r="M116" s="1013" t="e">
        <f t="shared" si="317"/>
        <v>#REF!</v>
      </c>
      <c r="N116" s="146" t="e">
        <f>SUMIF(#REF!,'Huella materiales'!A116,#REF!)</f>
        <v>#REF!</v>
      </c>
      <c r="O116" s="1013" t="e">
        <f t="shared" si="318"/>
        <v>#REF!</v>
      </c>
      <c r="P116" s="146" t="e">
        <f>SUMIF(#REF!,'Huella materiales'!A116,#REF!)</f>
        <v>#REF!</v>
      </c>
      <c r="Q116" s="1013" t="e">
        <f t="shared" ref="Q116:Q124" si="320">P116*AB116</f>
        <v>#REF!</v>
      </c>
      <c r="R116" s="146" t="e">
        <f>SUMIF(#REF!,'Huella materiales'!A116,#REF!)</f>
        <v>#REF!</v>
      </c>
      <c r="S116" s="1013" t="e">
        <f t="shared" ref="S116:S124" si="321">R116*AB116</f>
        <v>#REF!</v>
      </c>
      <c r="T116" s="146" t="e">
        <f>SUMIF(#REF!,'Huella materiales'!A116,#REF!)</f>
        <v>#REF!</v>
      </c>
      <c r="U116" s="1013" t="e">
        <f t="shared" ref="U116:U124" si="322">T116*AB116</f>
        <v>#REF!</v>
      </c>
      <c r="V116" s="146" t="e">
        <f>SUMIF(#REF!,'Huella materiales'!A116,#REF!)</f>
        <v>#REF!</v>
      </c>
      <c r="W116" s="1013" t="e">
        <f t="shared" ref="W116:W124" si="323">V116*AB116</f>
        <v>#REF!</v>
      </c>
      <c r="X116" s="146" t="e">
        <f>SUMIF(#REF!,'Huella materiales'!A116,#REF!)</f>
        <v>#REF!</v>
      </c>
      <c r="Y116" s="1013" t="e">
        <f t="shared" ref="Y116:Y124" si="324">X116*AB116</f>
        <v>#REF!</v>
      </c>
      <c r="Z116" s="146" t="e">
        <f>SUMIF(#REF!,'Huella materiales'!A116,#REF!)</f>
        <v>#REF!</v>
      </c>
      <c r="AA116" s="1013" t="e">
        <f t="shared" ref="AA116:AA124" si="325">Z116*AB116</f>
        <v>#REF!</v>
      </c>
      <c r="AB116" s="1030">
        <f>'Datos auxiliares materiales'!C69</f>
        <v>89</v>
      </c>
      <c r="AC116" s="1017" t="e">
        <f t="shared" ref="AC116:AC124" si="326">E116+G116+I116+K116+M116+O116+Q116+S116+U116+W116+Y116+AA116</f>
        <v>#REF!</v>
      </c>
      <c r="AD116" s="1022">
        <f t="shared" si="319"/>
        <v>0</v>
      </c>
      <c r="AE116" s="1077">
        <f>'Datos auxiliares materiales'!D69</f>
        <v>2</v>
      </c>
      <c r="AF116" s="170">
        <f>C116*$AB$116*$AE$116</f>
        <v>0</v>
      </c>
      <c r="AG116" s="170" t="e">
        <f t="shared" ref="AG116:AG124" si="327">D116*AB116*AE116</f>
        <v>#REF!</v>
      </c>
      <c r="AH116" s="170" t="e">
        <f t="shared" ref="AH116:AH124" si="328">F116*AB116*AE116</f>
        <v>#REF!</v>
      </c>
      <c r="AI116" s="170" t="e">
        <f t="shared" ref="AI116:AI124" si="329">H116*AB116*AE116</f>
        <v>#REF!</v>
      </c>
      <c r="AJ116" s="170" t="e">
        <f t="shared" ref="AJ116:AJ124" si="330">J116*AB116*AE116</f>
        <v>#REF!</v>
      </c>
      <c r="AK116" s="170" t="e">
        <f t="shared" ref="AK116:AK124" si="331">L116*AB116*AE116</f>
        <v>#REF!</v>
      </c>
      <c r="AL116" s="170" t="e">
        <f t="shared" ref="AL116:AL124" si="332">N116*$AB$49*$AE$49</f>
        <v>#REF!</v>
      </c>
      <c r="AM116" s="170" t="e">
        <f t="shared" ref="AM116:AM124" si="333">P116*AB116*AE116</f>
        <v>#REF!</v>
      </c>
      <c r="AN116" s="170" t="e">
        <f t="shared" ref="AN116:AN124" si="334">R116*AB116*AE116</f>
        <v>#REF!</v>
      </c>
      <c r="AO116" s="170" t="e">
        <f t="shared" ref="AO116:AO124" si="335">T116*AB116*AE116</f>
        <v>#REF!</v>
      </c>
      <c r="AP116" s="170" t="e">
        <f t="shared" ref="AP116:AP124" si="336">V116*AB116*AE116</f>
        <v>#REF!</v>
      </c>
      <c r="AQ116" s="170" t="e">
        <f t="shared" ref="AQ116:AQ124" si="337">X116*AB116*AE116</f>
        <v>#REF!</v>
      </c>
      <c r="AR116" s="170" t="e">
        <f t="shared" ref="AR116:AR124" si="338">Z116*AB116*AE116</f>
        <v>#REF!</v>
      </c>
      <c r="AS116" s="170"/>
      <c r="AT116" s="170"/>
      <c r="AU116" s="171"/>
      <c r="AV116" s="160"/>
      <c r="AW116" s="160"/>
      <c r="AX116" s="160"/>
      <c r="AY116"/>
      <c r="AZ116"/>
      <c r="BA116"/>
      <c r="BF116" s="16"/>
      <c r="BL116" s="16"/>
      <c r="BM116" s="16"/>
      <c r="BN116" s="16"/>
      <c r="BO116" s="16"/>
      <c r="BP116" s="10" t="s">
        <v>586</v>
      </c>
    </row>
    <row r="117" spans="1:68">
      <c r="A117" s="10" t="s">
        <v>1161</v>
      </c>
      <c r="B117" s="175" t="s">
        <v>111</v>
      </c>
      <c r="C117" s="169">
        <f>SUMIFS(BCRR_REHAB!L:L,BCRR_REHAB!D:D,'Huella materiales'!A117)</f>
        <v>0</v>
      </c>
      <c r="D117" s="146" t="e">
        <f>SUMIF(#REF!,'Huella materiales'!A117,#REF!)</f>
        <v>#REF!</v>
      </c>
      <c r="E117" s="1013" t="e">
        <f t="shared" si="313"/>
        <v>#REF!</v>
      </c>
      <c r="F117" s="146" t="e">
        <f>SUMIF(#REF!,'Huella materiales'!A117,#REF!)</f>
        <v>#REF!</v>
      </c>
      <c r="G117" s="1013" t="e">
        <f t="shared" si="314"/>
        <v>#REF!</v>
      </c>
      <c r="H117" s="146" t="e">
        <f>SUMIF(#REF!,'Huella materiales'!A117,#REF!)</f>
        <v>#REF!</v>
      </c>
      <c r="I117" s="1013" t="e">
        <f t="shared" si="315"/>
        <v>#REF!</v>
      </c>
      <c r="J117" s="146" t="e">
        <f>SUMIF(#REF!,'Huella materiales'!A117,#REF!)</f>
        <v>#REF!</v>
      </c>
      <c r="K117" s="1013" t="e">
        <f t="shared" si="316"/>
        <v>#REF!</v>
      </c>
      <c r="L117" s="146" t="e">
        <f>SUMIF(#REF!,'Huella materiales'!A117,#REF!)</f>
        <v>#REF!</v>
      </c>
      <c r="M117" s="1013" t="e">
        <f t="shared" si="317"/>
        <v>#REF!</v>
      </c>
      <c r="N117" s="146" t="e">
        <f>SUMIF(#REF!,'Huella materiales'!A117,#REF!)</f>
        <v>#REF!</v>
      </c>
      <c r="O117" s="1013" t="e">
        <f t="shared" si="318"/>
        <v>#REF!</v>
      </c>
      <c r="P117" s="146" t="e">
        <f>SUMIF(#REF!,'Huella materiales'!A117,#REF!)</f>
        <v>#REF!</v>
      </c>
      <c r="Q117" s="1013" t="e">
        <f t="shared" si="320"/>
        <v>#REF!</v>
      </c>
      <c r="R117" s="146" t="e">
        <f>SUMIF(#REF!,'Huella materiales'!A117,#REF!)</f>
        <v>#REF!</v>
      </c>
      <c r="S117" s="1013" t="e">
        <f t="shared" si="321"/>
        <v>#REF!</v>
      </c>
      <c r="T117" s="146" t="e">
        <f>SUMIF(#REF!,'Huella materiales'!A117,#REF!)</f>
        <v>#REF!</v>
      </c>
      <c r="U117" s="1013" t="e">
        <f t="shared" si="322"/>
        <v>#REF!</v>
      </c>
      <c r="V117" s="146" t="e">
        <f>SUMIF(#REF!,'Huella materiales'!A117,#REF!)</f>
        <v>#REF!</v>
      </c>
      <c r="W117" s="1013" t="e">
        <f t="shared" si="323"/>
        <v>#REF!</v>
      </c>
      <c r="X117" s="146" t="e">
        <f>SUMIF(#REF!,'Huella materiales'!A117,#REF!)</f>
        <v>#REF!</v>
      </c>
      <c r="Y117" s="1013" t="e">
        <f t="shared" si="324"/>
        <v>#REF!</v>
      </c>
      <c r="Z117" s="146" t="e">
        <f>SUMIF(#REF!,'Huella materiales'!A117,#REF!)</f>
        <v>#REF!</v>
      </c>
      <c r="AA117" s="1013" t="e">
        <f t="shared" si="325"/>
        <v>#REF!</v>
      </c>
      <c r="AB117" s="1030">
        <f>'Datos auxiliares materiales'!C70</f>
        <v>0</v>
      </c>
      <c r="AC117" s="1017" t="e">
        <f t="shared" si="326"/>
        <v>#REF!</v>
      </c>
      <c r="AD117" s="1022">
        <f t="shared" si="319"/>
        <v>0</v>
      </c>
      <c r="AE117" s="1077">
        <f>'Datos auxiliares materiales'!D70</f>
        <v>0</v>
      </c>
      <c r="AF117" s="170">
        <f>C117*$AB$116*$AE$116</f>
        <v>0</v>
      </c>
      <c r="AG117" s="170" t="e">
        <f t="shared" si="327"/>
        <v>#REF!</v>
      </c>
      <c r="AH117" s="170" t="e">
        <f t="shared" si="328"/>
        <v>#REF!</v>
      </c>
      <c r="AI117" s="170" t="e">
        <f t="shared" si="329"/>
        <v>#REF!</v>
      </c>
      <c r="AJ117" s="170" t="e">
        <f t="shared" si="330"/>
        <v>#REF!</v>
      </c>
      <c r="AK117" s="170" t="e">
        <f t="shared" si="331"/>
        <v>#REF!</v>
      </c>
      <c r="AL117" s="170" t="e">
        <f t="shared" si="332"/>
        <v>#REF!</v>
      </c>
      <c r="AM117" s="170" t="e">
        <f t="shared" si="333"/>
        <v>#REF!</v>
      </c>
      <c r="AN117" s="170" t="e">
        <f t="shared" si="334"/>
        <v>#REF!</v>
      </c>
      <c r="AO117" s="170" t="e">
        <f t="shared" si="335"/>
        <v>#REF!</v>
      </c>
      <c r="AP117" s="170" t="e">
        <f t="shared" si="336"/>
        <v>#REF!</v>
      </c>
      <c r="AQ117" s="170" t="e">
        <f t="shared" si="337"/>
        <v>#REF!</v>
      </c>
      <c r="AR117" s="170" t="e">
        <f t="shared" si="338"/>
        <v>#REF!</v>
      </c>
      <c r="AS117" s="170"/>
      <c r="AT117" s="170"/>
      <c r="AU117" s="171"/>
      <c r="AV117" s="160"/>
      <c r="AW117" s="160"/>
      <c r="AX117" s="160"/>
      <c r="AY117"/>
      <c r="AZ117"/>
      <c r="BA117"/>
      <c r="BF117" s="16"/>
      <c r="BL117" s="16"/>
      <c r="BM117" s="16"/>
      <c r="BN117" s="16"/>
      <c r="BO117" s="16"/>
      <c r="BP117" s="10" t="s">
        <v>586</v>
      </c>
    </row>
    <row r="118" spans="1:68">
      <c r="A118" s="10" t="s">
        <v>1162</v>
      </c>
      <c r="B118" s="175" t="s">
        <v>1234</v>
      </c>
      <c r="C118" s="169">
        <f>SUMIFS(BCRR_REHAB!L:L,BCRR_REHAB!D:D,'Huella materiales'!A118)</f>
        <v>0</v>
      </c>
      <c r="D118" s="146" t="e">
        <f>SUMIF(#REF!,'Huella materiales'!A118,#REF!)</f>
        <v>#REF!</v>
      </c>
      <c r="E118" s="1013" t="e">
        <f t="shared" si="313"/>
        <v>#REF!</v>
      </c>
      <c r="F118" s="146" t="e">
        <f>SUMIF(#REF!,'Huella materiales'!A118,#REF!)</f>
        <v>#REF!</v>
      </c>
      <c r="G118" s="1013" t="e">
        <f t="shared" si="314"/>
        <v>#REF!</v>
      </c>
      <c r="H118" s="146" t="e">
        <f>SUMIF(#REF!,'Huella materiales'!A118,#REF!)</f>
        <v>#REF!</v>
      </c>
      <c r="I118" s="1013" t="e">
        <f t="shared" si="315"/>
        <v>#REF!</v>
      </c>
      <c r="J118" s="146" t="e">
        <f>SUMIF(#REF!,'Huella materiales'!A118,#REF!)</f>
        <v>#REF!</v>
      </c>
      <c r="K118" s="1013" t="e">
        <f t="shared" si="316"/>
        <v>#REF!</v>
      </c>
      <c r="L118" s="146" t="e">
        <f>SUMIF(#REF!,'Huella materiales'!A118,#REF!)</f>
        <v>#REF!</v>
      </c>
      <c r="M118" s="1013" t="e">
        <f t="shared" si="317"/>
        <v>#REF!</v>
      </c>
      <c r="N118" s="146" t="e">
        <f>SUMIF(#REF!,'Huella materiales'!A118,#REF!)</f>
        <v>#REF!</v>
      </c>
      <c r="O118" s="1013" t="e">
        <f t="shared" si="318"/>
        <v>#REF!</v>
      </c>
      <c r="P118" s="146" t="e">
        <f>SUMIF(#REF!,'Huella materiales'!A118,#REF!)</f>
        <v>#REF!</v>
      </c>
      <c r="Q118" s="1013" t="e">
        <f t="shared" si="320"/>
        <v>#REF!</v>
      </c>
      <c r="R118" s="146" t="e">
        <f>SUMIF(#REF!,'Huella materiales'!A118,#REF!)</f>
        <v>#REF!</v>
      </c>
      <c r="S118" s="1013" t="e">
        <f t="shared" si="321"/>
        <v>#REF!</v>
      </c>
      <c r="T118" s="146" t="e">
        <f>SUMIF(#REF!,'Huella materiales'!A118,#REF!)</f>
        <v>#REF!</v>
      </c>
      <c r="U118" s="1013" t="e">
        <f t="shared" si="322"/>
        <v>#REF!</v>
      </c>
      <c r="V118" s="146" t="e">
        <f>SUMIF(#REF!,'Huella materiales'!A118,#REF!)</f>
        <v>#REF!</v>
      </c>
      <c r="W118" s="1013" t="e">
        <f t="shared" si="323"/>
        <v>#REF!</v>
      </c>
      <c r="X118" s="146" t="e">
        <f>SUMIF(#REF!,'Huella materiales'!A118,#REF!)</f>
        <v>#REF!</v>
      </c>
      <c r="Y118" s="1013" t="e">
        <f t="shared" si="324"/>
        <v>#REF!</v>
      </c>
      <c r="Z118" s="146" t="e">
        <f>SUMIF(#REF!,'Huella materiales'!A118,#REF!)</f>
        <v>#REF!</v>
      </c>
      <c r="AA118" s="1013" t="e">
        <f t="shared" si="325"/>
        <v>#REF!</v>
      </c>
      <c r="AB118" s="1030">
        <f>'Datos auxiliares materiales'!C71</f>
        <v>2.7</v>
      </c>
      <c r="AC118" s="1017" t="e">
        <f t="shared" si="326"/>
        <v>#REF!</v>
      </c>
      <c r="AD118" s="1022">
        <f t="shared" si="319"/>
        <v>0</v>
      </c>
      <c r="AE118" s="1077">
        <f>'Datos auxiliares materiales'!D71</f>
        <v>160</v>
      </c>
      <c r="AF118" s="170">
        <f>C118*$AB$116*$AE$116</f>
        <v>0</v>
      </c>
      <c r="AG118" s="170" t="e">
        <f t="shared" si="327"/>
        <v>#REF!</v>
      </c>
      <c r="AH118" s="170" t="e">
        <f t="shared" si="328"/>
        <v>#REF!</v>
      </c>
      <c r="AI118" s="170" t="e">
        <f t="shared" si="329"/>
        <v>#REF!</v>
      </c>
      <c r="AJ118" s="170" t="e">
        <f t="shared" si="330"/>
        <v>#REF!</v>
      </c>
      <c r="AK118" s="170" t="e">
        <f t="shared" si="331"/>
        <v>#REF!</v>
      </c>
      <c r="AL118" s="170" t="e">
        <f t="shared" si="332"/>
        <v>#REF!</v>
      </c>
      <c r="AM118" s="170" t="e">
        <f t="shared" si="333"/>
        <v>#REF!</v>
      </c>
      <c r="AN118" s="170" t="e">
        <f t="shared" si="334"/>
        <v>#REF!</v>
      </c>
      <c r="AO118" s="170" t="e">
        <f t="shared" si="335"/>
        <v>#REF!</v>
      </c>
      <c r="AP118" s="170" t="e">
        <f t="shared" si="336"/>
        <v>#REF!</v>
      </c>
      <c r="AQ118" s="170" t="e">
        <f t="shared" si="337"/>
        <v>#REF!</v>
      </c>
      <c r="AR118" s="170" t="e">
        <f t="shared" si="338"/>
        <v>#REF!</v>
      </c>
      <c r="AS118" s="170"/>
      <c r="AT118" s="170"/>
      <c r="AU118" s="171"/>
      <c r="AV118" s="160"/>
      <c r="AW118" s="160"/>
      <c r="AX118" s="160"/>
      <c r="AY118"/>
      <c r="AZ118"/>
      <c r="BA118"/>
      <c r="BF118" s="16"/>
      <c r="BL118" s="16"/>
      <c r="BM118" s="16"/>
      <c r="BN118" s="16"/>
      <c r="BO118" s="16"/>
      <c r="BP118" s="10" t="s">
        <v>586</v>
      </c>
    </row>
    <row r="119" spans="1:68">
      <c r="A119" s="10" t="s">
        <v>1163</v>
      </c>
      <c r="B119" s="175" t="s">
        <v>272</v>
      </c>
      <c r="C119" s="169">
        <f>SUMIFS(BCRR_REHAB!L:L,BCRR_REHAB!D:D,'Huella materiales'!A119)</f>
        <v>0</v>
      </c>
      <c r="D119" s="146" t="e">
        <f>SUMIF(#REF!,'Huella materiales'!A119,#REF!)</f>
        <v>#REF!</v>
      </c>
      <c r="E119" s="1013" t="e">
        <f t="shared" si="313"/>
        <v>#REF!</v>
      </c>
      <c r="F119" s="146" t="e">
        <f>SUMIF(#REF!,'Huella materiales'!A119,#REF!)</f>
        <v>#REF!</v>
      </c>
      <c r="G119" s="1013" t="e">
        <f t="shared" si="314"/>
        <v>#REF!</v>
      </c>
      <c r="H119" s="146" t="e">
        <f>SUMIF(#REF!,'Huella materiales'!A119,#REF!)</f>
        <v>#REF!</v>
      </c>
      <c r="I119" s="1013" t="e">
        <f t="shared" si="315"/>
        <v>#REF!</v>
      </c>
      <c r="J119" s="146" t="e">
        <f>SUMIF(#REF!,'Huella materiales'!A119,#REF!)</f>
        <v>#REF!</v>
      </c>
      <c r="K119" s="1013" t="e">
        <f t="shared" si="316"/>
        <v>#REF!</v>
      </c>
      <c r="L119" s="146" t="e">
        <f>SUMIF(#REF!,'Huella materiales'!A119,#REF!)</f>
        <v>#REF!</v>
      </c>
      <c r="M119" s="1013" t="e">
        <f t="shared" si="317"/>
        <v>#REF!</v>
      </c>
      <c r="N119" s="146" t="e">
        <f>SUMIF(#REF!,'Huella materiales'!A119,#REF!)</f>
        <v>#REF!</v>
      </c>
      <c r="O119" s="1013" t="e">
        <f t="shared" si="318"/>
        <v>#REF!</v>
      </c>
      <c r="P119" s="146" t="e">
        <f>SUMIF(#REF!,'Huella materiales'!A119,#REF!)</f>
        <v>#REF!</v>
      </c>
      <c r="Q119" s="1013" t="e">
        <f t="shared" si="320"/>
        <v>#REF!</v>
      </c>
      <c r="R119" s="146" t="e">
        <f>SUMIF(#REF!,'Huella materiales'!A119,#REF!)</f>
        <v>#REF!</v>
      </c>
      <c r="S119" s="1013" t="e">
        <f t="shared" si="321"/>
        <v>#REF!</v>
      </c>
      <c r="T119" s="146" t="e">
        <f>SUMIF(#REF!,'Huella materiales'!A119,#REF!)</f>
        <v>#REF!</v>
      </c>
      <c r="U119" s="1013" t="e">
        <f t="shared" si="322"/>
        <v>#REF!</v>
      </c>
      <c r="V119" s="146" t="e">
        <f>SUMIF(#REF!,'Huella materiales'!A119,#REF!)</f>
        <v>#REF!</v>
      </c>
      <c r="W119" s="1013" t="e">
        <f t="shared" si="323"/>
        <v>#REF!</v>
      </c>
      <c r="X119" s="146" t="e">
        <f>SUMIF(#REF!,'Huella materiales'!A119,#REF!)</f>
        <v>#REF!</v>
      </c>
      <c r="Y119" s="1013" t="e">
        <f t="shared" si="324"/>
        <v>#REF!</v>
      </c>
      <c r="Z119" s="146" t="e">
        <f>SUMIF(#REF!,'Huella materiales'!A119,#REF!)</f>
        <v>#REF!</v>
      </c>
      <c r="AA119" s="1013" t="e">
        <f t="shared" si="325"/>
        <v>#REF!</v>
      </c>
      <c r="AB119" s="1030">
        <f>'Datos auxiliares materiales'!C72</f>
        <v>2.7</v>
      </c>
      <c r="AC119" s="1017" t="e">
        <f t="shared" si="326"/>
        <v>#REF!</v>
      </c>
      <c r="AD119" s="1022">
        <f t="shared" si="319"/>
        <v>0</v>
      </c>
      <c r="AE119" s="1077">
        <f>'Datos auxiliares materiales'!D72</f>
        <v>160</v>
      </c>
      <c r="AF119" s="170">
        <f>C119*$AB$116*$AE$116</f>
        <v>0</v>
      </c>
      <c r="AG119" s="170" t="e">
        <f t="shared" si="327"/>
        <v>#REF!</v>
      </c>
      <c r="AH119" s="170" t="e">
        <f t="shared" si="328"/>
        <v>#REF!</v>
      </c>
      <c r="AI119" s="170" t="e">
        <f t="shared" si="329"/>
        <v>#REF!</v>
      </c>
      <c r="AJ119" s="170" t="e">
        <f t="shared" si="330"/>
        <v>#REF!</v>
      </c>
      <c r="AK119" s="170" t="e">
        <f t="shared" si="331"/>
        <v>#REF!</v>
      </c>
      <c r="AL119" s="170" t="e">
        <f t="shared" si="332"/>
        <v>#REF!</v>
      </c>
      <c r="AM119" s="170" t="e">
        <f t="shared" si="333"/>
        <v>#REF!</v>
      </c>
      <c r="AN119" s="170" t="e">
        <f t="shared" si="334"/>
        <v>#REF!</v>
      </c>
      <c r="AO119" s="170" t="e">
        <f t="shared" si="335"/>
        <v>#REF!</v>
      </c>
      <c r="AP119" s="170" t="e">
        <f t="shared" si="336"/>
        <v>#REF!</v>
      </c>
      <c r="AQ119" s="170" t="e">
        <f t="shared" si="337"/>
        <v>#REF!</v>
      </c>
      <c r="AR119" s="170" t="e">
        <f t="shared" si="338"/>
        <v>#REF!</v>
      </c>
      <c r="AS119" s="170"/>
      <c r="AT119" s="170"/>
      <c r="AU119" s="171"/>
      <c r="AV119" s="160"/>
      <c r="AW119" s="160"/>
      <c r="AX119" s="160"/>
      <c r="AY119"/>
      <c r="AZ119"/>
      <c r="BA119"/>
      <c r="BF119" s="16"/>
      <c r="BL119" s="16"/>
      <c r="BM119" s="16"/>
      <c r="BN119" s="16"/>
      <c r="BO119" s="16"/>
      <c r="BP119" s="10" t="s">
        <v>586</v>
      </c>
    </row>
    <row r="120" spans="1:68">
      <c r="A120" s="10" t="s">
        <v>1148</v>
      </c>
      <c r="B120" s="175" t="s">
        <v>1227</v>
      </c>
      <c r="C120" s="169">
        <f>SUMIFS(BCRR_REHAB!L:L,BCRR_REHAB!D:D,'Huella materiales'!A120)</f>
        <v>0</v>
      </c>
      <c r="D120" s="146" t="e">
        <f>SUMIF(#REF!,'Huella materiales'!A120,#REF!)</f>
        <v>#REF!</v>
      </c>
      <c r="E120" s="1013" t="e">
        <f t="shared" si="313"/>
        <v>#REF!</v>
      </c>
      <c r="F120" s="146" t="e">
        <f>SUMIF(#REF!,'Huella materiales'!A120,#REF!)</f>
        <v>#REF!</v>
      </c>
      <c r="G120" s="1013" t="e">
        <f t="shared" si="314"/>
        <v>#REF!</v>
      </c>
      <c r="H120" s="146" t="e">
        <f>SUMIF(#REF!,'Huella materiales'!A120,#REF!)</f>
        <v>#REF!</v>
      </c>
      <c r="I120" s="1013" t="e">
        <f t="shared" si="315"/>
        <v>#REF!</v>
      </c>
      <c r="J120" s="146" t="e">
        <f>SUMIF(#REF!,'Huella materiales'!A120,#REF!)</f>
        <v>#REF!</v>
      </c>
      <c r="K120" s="1013" t="e">
        <f t="shared" si="316"/>
        <v>#REF!</v>
      </c>
      <c r="L120" s="146" t="e">
        <f>SUMIF(#REF!,'Huella materiales'!A120,#REF!)</f>
        <v>#REF!</v>
      </c>
      <c r="M120" s="1013" t="e">
        <f t="shared" si="317"/>
        <v>#REF!</v>
      </c>
      <c r="N120" s="146" t="e">
        <f>SUMIF(#REF!,'Huella materiales'!A120,#REF!)</f>
        <v>#REF!</v>
      </c>
      <c r="O120" s="1013" t="e">
        <f t="shared" si="318"/>
        <v>#REF!</v>
      </c>
      <c r="P120" s="146" t="e">
        <f>SUMIF(#REF!,'Huella materiales'!A120,#REF!)</f>
        <v>#REF!</v>
      </c>
      <c r="Q120" s="1013" t="e">
        <f t="shared" si="320"/>
        <v>#REF!</v>
      </c>
      <c r="R120" s="146" t="e">
        <f>SUMIF(#REF!,'Huella materiales'!A120,#REF!)</f>
        <v>#REF!</v>
      </c>
      <c r="S120" s="1013" t="e">
        <f t="shared" si="321"/>
        <v>#REF!</v>
      </c>
      <c r="T120" s="146" t="e">
        <f>SUMIF(#REF!,'Huella materiales'!A120,#REF!)</f>
        <v>#REF!</v>
      </c>
      <c r="U120" s="1013" t="e">
        <f t="shared" si="322"/>
        <v>#REF!</v>
      </c>
      <c r="V120" s="146" t="e">
        <f>SUMIF(#REF!,'Huella materiales'!A120,#REF!)</f>
        <v>#REF!</v>
      </c>
      <c r="W120" s="1013" t="e">
        <f t="shared" si="323"/>
        <v>#REF!</v>
      </c>
      <c r="X120" s="146" t="e">
        <f>SUMIF(#REF!,'Huella materiales'!A120,#REF!)</f>
        <v>#REF!</v>
      </c>
      <c r="Y120" s="1013" t="e">
        <f t="shared" si="324"/>
        <v>#REF!</v>
      </c>
      <c r="Z120" s="146" t="e">
        <f>SUMIF(#REF!,'Huella materiales'!A120,#REF!)</f>
        <v>#REF!</v>
      </c>
      <c r="AA120" s="1013" t="e">
        <f t="shared" si="325"/>
        <v>#REF!</v>
      </c>
      <c r="AB120" s="1030">
        <f>'Datos auxiliares materiales'!C72</f>
        <v>2.7</v>
      </c>
      <c r="AC120" s="1017" t="e">
        <f t="shared" si="326"/>
        <v>#REF!</v>
      </c>
      <c r="AD120" s="1022">
        <f t="shared" si="319"/>
        <v>0</v>
      </c>
      <c r="AE120" s="1077"/>
      <c r="AF120" s="170"/>
      <c r="AG120" s="170" t="e">
        <f t="shared" si="327"/>
        <v>#REF!</v>
      </c>
      <c r="AH120" s="170" t="e">
        <f t="shared" si="328"/>
        <v>#REF!</v>
      </c>
      <c r="AI120" s="170" t="e">
        <f t="shared" si="329"/>
        <v>#REF!</v>
      </c>
      <c r="AJ120" s="170" t="e">
        <f t="shared" si="330"/>
        <v>#REF!</v>
      </c>
      <c r="AK120" s="170" t="e">
        <f t="shared" si="331"/>
        <v>#REF!</v>
      </c>
      <c r="AL120" s="170" t="e">
        <f t="shared" si="332"/>
        <v>#REF!</v>
      </c>
      <c r="AM120" s="170" t="e">
        <f t="shared" si="333"/>
        <v>#REF!</v>
      </c>
      <c r="AN120" s="170" t="e">
        <f t="shared" si="334"/>
        <v>#REF!</v>
      </c>
      <c r="AO120" s="170" t="e">
        <f t="shared" si="335"/>
        <v>#REF!</v>
      </c>
      <c r="AP120" s="170" t="e">
        <f t="shared" si="336"/>
        <v>#REF!</v>
      </c>
      <c r="AQ120" s="170" t="e">
        <f t="shared" si="337"/>
        <v>#REF!</v>
      </c>
      <c r="AR120" s="170" t="e">
        <f t="shared" si="338"/>
        <v>#REF!</v>
      </c>
      <c r="AS120" s="170"/>
      <c r="AT120" s="170"/>
      <c r="AU120" s="171"/>
      <c r="AV120" s="160"/>
      <c r="AW120" s="160"/>
      <c r="AX120" s="160"/>
      <c r="AY120"/>
      <c r="AZ120"/>
      <c r="BA120"/>
      <c r="BF120" s="16"/>
      <c r="BL120" s="16"/>
      <c r="BM120" s="16"/>
      <c r="BN120" s="16"/>
      <c r="BO120" s="16"/>
      <c r="BP120" s="10"/>
    </row>
    <row r="121" spans="1:68">
      <c r="A121" s="10" t="s">
        <v>1149</v>
      </c>
      <c r="B121" s="175" t="s">
        <v>1229</v>
      </c>
      <c r="C121" s="169">
        <f>SUMIFS(BCRR_REHAB!L:L,BCRR_REHAB!D:D,'Huella materiales'!A121)</f>
        <v>0</v>
      </c>
      <c r="D121" s="146" t="e">
        <f>SUMIF(#REF!,'Huella materiales'!A121,#REF!)</f>
        <v>#REF!</v>
      </c>
      <c r="E121" s="1013" t="e">
        <f t="shared" si="313"/>
        <v>#REF!</v>
      </c>
      <c r="F121" s="146" t="e">
        <f>SUMIF(#REF!,'Huella materiales'!A121,#REF!)</f>
        <v>#REF!</v>
      </c>
      <c r="G121" s="1013" t="e">
        <f t="shared" si="314"/>
        <v>#REF!</v>
      </c>
      <c r="H121" s="146" t="e">
        <f>SUMIF(#REF!,'Huella materiales'!A121,#REF!)</f>
        <v>#REF!</v>
      </c>
      <c r="I121" s="1013" t="e">
        <f t="shared" si="315"/>
        <v>#REF!</v>
      </c>
      <c r="J121" s="146" t="e">
        <f>SUMIF(#REF!,'Huella materiales'!A121,#REF!)</f>
        <v>#REF!</v>
      </c>
      <c r="K121" s="1013" t="e">
        <f t="shared" si="316"/>
        <v>#REF!</v>
      </c>
      <c r="L121" s="146" t="e">
        <f>SUMIF(#REF!,'Huella materiales'!A121,#REF!)</f>
        <v>#REF!</v>
      </c>
      <c r="M121" s="1013" t="e">
        <f t="shared" si="317"/>
        <v>#REF!</v>
      </c>
      <c r="N121" s="146" t="e">
        <f>SUMIF(#REF!,'Huella materiales'!A121,#REF!)</f>
        <v>#REF!</v>
      </c>
      <c r="O121" s="1013" t="e">
        <f t="shared" si="318"/>
        <v>#REF!</v>
      </c>
      <c r="P121" s="146" t="e">
        <f>SUMIF(#REF!,'Huella materiales'!A121,#REF!)</f>
        <v>#REF!</v>
      </c>
      <c r="Q121" s="1013" t="e">
        <f t="shared" si="320"/>
        <v>#REF!</v>
      </c>
      <c r="R121" s="146" t="e">
        <f>SUMIF(#REF!,'Huella materiales'!A121,#REF!)</f>
        <v>#REF!</v>
      </c>
      <c r="S121" s="1013" t="e">
        <f t="shared" si="321"/>
        <v>#REF!</v>
      </c>
      <c r="T121" s="146" t="e">
        <f>SUMIF(#REF!,'Huella materiales'!A121,#REF!)</f>
        <v>#REF!</v>
      </c>
      <c r="U121" s="1013" t="e">
        <f t="shared" si="322"/>
        <v>#REF!</v>
      </c>
      <c r="V121" s="146" t="e">
        <f>SUMIF(#REF!,'Huella materiales'!A121,#REF!)</f>
        <v>#REF!</v>
      </c>
      <c r="W121" s="1013" t="e">
        <f t="shared" si="323"/>
        <v>#REF!</v>
      </c>
      <c r="X121" s="146" t="e">
        <f>SUMIF(#REF!,'Huella materiales'!A121,#REF!)</f>
        <v>#REF!</v>
      </c>
      <c r="Y121" s="1013" t="e">
        <f t="shared" si="324"/>
        <v>#REF!</v>
      </c>
      <c r="Z121" s="146" t="e">
        <f>SUMIF(#REF!,'Huella materiales'!A121,#REF!)</f>
        <v>#REF!</v>
      </c>
      <c r="AA121" s="1013" t="e">
        <f t="shared" si="325"/>
        <v>#REF!</v>
      </c>
      <c r="AB121" s="1030">
        <f>'Datos auxiliares materiales'!C72</f>
        <v>2.7</v>
      </c>
      <c r="AC121" s="1017" t="e">
        <f t="shared" si="326"/>
        <v>#REF!</v>
      </c>
      <c r="AD121" s="1022">
        <f t="shared" si="319"/>
        <v>0</v>
      </c>
      <c r="AE121" s="1077">
        <f>'Datos auxiliares materiales'!D72</f>
        <v>160</v>
      </c>
      <c r="AF121" s="170">
        <f>C121*$AB$115*$AE$115</f>
        <v>0</v>
      </c>
      <c r="AG121" s="170" t="e">
        <f t="shared" si="327"/>
        <v>#REF!</v>
      </c>
      <c r="AH121" s="170" t="e">
        <f t="shared" si="328"/>
        <v>#REF!</v>
      </c>
      <c r="AI121" s="170" t="e">
        <f t="shared" si="329"/>
        <v>#REF!</v>
      </c>
      <c r="AJ121" s="170" t="e">
        <f t="shared" si="330"/>
        <v>#REF!</v>
      </c>
      <c r="AK121" s="170" t="e">
        <f t="shared" si="331"/>
        <v>#REF!</v>
      </c>
      <c r="AL121" s="170" t="e">
        <f t="shared" si="332"/>
        <v>#REF!</v>
      </c>
      <c r="AM121" s="170" t="e">
        <f t="shared" si="333"/>
        <v>#REF!</v>
      </c>
      <c r="AN121" s="170" t="e">
        <f t="shared" si="334"/>
        <v>#REF!</v>
      </c>
      <c r="AO121" s="170" t="e">
        <f t="shared" si="335"/>
        <v>#REF!</v>
      </c>
      <c r="AP121" s="170" t="e">
        <f t="shared" si="336"/>
        <v>#REF!</v>
      </c>
      <c r="AQ121" s="170" t="e">
        <f t="shared" si="337"/>
        <v>#REF!</v>
      </c>
      <c r="AR121" s="170" t="e">
        <f t="shared" si="338"/>
        <v>#REF!</v>
      </c>
      <c r="AS121" s="170"/>
      <c r="AT121" s="170"/>
      <c r="AU121" s="171"/>
      <c r="AV121" s="160"/>
      <c r="AW121" s="160"/>
      <c r="AX121" s="160"/>
      <c r="AY121"/>
      <c r="AZ121"/>
      <c r="BA121"/>
      <c r="BF121" s="16"/>
      <c r="BL121" s="16"/>
      <c r="BM121" s="16"/>
      <c r="BN121" s="16"/>
      <c r="BO121" s="16"/>
      <c r="BP121" s="10" t="s">
        <v>585</v>
      </c>
    </row>
    <row r="122" spans="1:68">
      <c r="A122" s="10" t="s">
        <v>1150</v>
      </c>
      <c r="B122" s="175" t="s">
        <v>1228</v>
      </c>
      <c r="C122" s="169">
        <f>SUMIFS(BCRR_REHAB!L:L,BCRR_REHAB!D:D,'Huella materiales'!A122)</f>
        <v>0</v>
      </c>
      <c r="D122" s="146" t="e">
        <f>SUMIF(#REF!,'Huella materiales'!A122,#REF!)</f>
        <v>#REF!</v>
      </c>
      <c r="E122" s="1013" t="e">
        <f t="shared" si="313"/>
        <v>#REF!</v>
      </c>
      <c r="F122" s="146" t="e">
        <f>SUMIF(#REF!,'Huella materiales'!A122,#REF!)</f>
        <v>#REF!</v>
      </c>
      <c r="G122" s="1013" t="e">
        <f t="shared" si="314"/>
        <v>#REF!</v>
      </c>
      <c r="H122" s="146" t="e">
        <f>SUMIF(#REF!,'Huella materiales'!A122,#REF!)</f>
        <v>#REF!</v>
      </c>
      <c r="I122" s="1013" t="e">
        <f t="shared" si="315"/>
        <v>#REF!</v>
      </c>
      <c r="J122" s="146" t="e">
        <f>SUMIF(#REF!,'Huella materiales'!A122,#REF!)</f>
        <v>#REF!</v>
      </c>
      <c r="K122" s="1013" t="e">
        <f t="shared" si="316"/>
        <v>#REF!</v>
      </c>
      <c r="L122" s="146" t="e">
        <f>SUMIF(#REF!,'Huella materiales'!A122,#REF!)</f>
        <v>#REF!</v>
      </c>
      <c r="M122" s="1013" t="e">
        <f t="shared" si="317"/>
        <v>#REF!</v>
      </c>
      <c r="N122" s="146" t="e">
        <f>SUMIF(#REF!,'Huella materiales'!A122,#REF!)</f>
        <v>#REF!</v>
      </c>
      <c r="O122" s="1013" t="e">
        <f t="shared" si="318"/>
        <v>#REF!</v>
      </c>
      <c r="P122" s="146" t="e">
        <f>SUMIF(#REF!,'Huella materiales'!A122,#REF!)</f>
        <v>#REF!</v>
      </c>
      <c r="Q122" s="1013" t="e">
        <f t="shared" si="320"/>
        <v>#REF!</v>
      </c>
      <c r="R122" s="146" t="e">
        <f>SUMIF(#REF!,'Huella materiales'!A122,#REF!)</f>
        <v>#REF!</v>
      </c>
      <c r="S122" s="1013" t="e">
        <f t="shared" si="321"/>
        <v>#REF!</v>
      </c>
      <c r="T122" s="146" t="e">
        <f>SUMIF(#REF!,'Huella materiales'!A122,#REF!)</f>
        <v>#REF!</v>
      </c>
      <c r="U122" s="1013" t="e">
        <f t="shared" si="322"/>
        <v>#REF!</v>
      </c>
      <c r="V122" s="146" t="e">
        <f>SUMIF(#REF!,'Huella materiales'!A122,#REF!)</f>
        <v>#REF!</v>
      </c>
      <c r="W122" s="1013" t="e">
        <f t="shared" si="323"/>
        <v>#REF!</v>
      </c>
      <c r="X122" s="146" t="e">
        <f>SUMIF(#REF!,'Huella materiales'!A122,#REF!)</f>
        <v>#REF!</v>
      </c>
      <c r="Y122" s="1013" t="e">
        <f t="shared" si="324"/>
        <v>#REF!</v>
      </c>
      <c r="Z122" s="146" t="e">
        <f>SUMIF(#REF!,'Huella materiales'!A122,#REF!)</f>
        <v>#REF!</v>
      </c>
      <c r="AA122" s="1013" t="e">
        <f t="shared" si="325"/>
        <v>#REF!</v>
      </c>
      <c r="AB122" s="1030">
        <f>'Datos auxiliares materiales'!C73</f>
        <v>0</v>
      </c>
      <c r="AC122" s="1017" t="e">
        <f t="shared" si="326"/>
        <v>#REF!</v>
      </c>
      <c r="AD122" s="1022">
        <f t="shared" si="319"/>
        <v>0</v>
      </c>
      <c r="AE122" s="1077">
        <f>'Datos auxiliares materiales'!D73</f>
        <v>0</v>
      </c>
      <c r="AF122" s="170">
        <f>C122*$AB$115*$AE$115</f>
        <v>0</v>
      </c>
      <c r="AG122" s="170" t="e">
        <f t="shared" si="327"/>
        <v>#REF!</v>
      </c>
      <c r="AH122" s="170" t="e">
        <f t="shared" si="328"/>
        <v>#REF!</v>
      </c>
      <c r="AI122" s="170" t="e">
        <f t="shared" si="329"/>
        <v>#REF!</v>
      </c>
      <c r="AJ122" s="170" t="e">
        <f t="shared" si="330"/>
        <v>#REF!</v>
      </c>
      <c r="AK122" s="170" t="e">
        <f t="shared" si="331"/>
        <v>#REF!</v>
      </c>
      <c r="AL122" s="170" t="e">
        <f t="shared" si="332"/>
        <v>#REF!</v>
      </c>
      <c r="AM122" s="170" t="e">
        <f t="shared" si="333"/>
        <v>#REF!</v>
      </c>
      <c r="AN122" s="170" t="e">
        <f t="shared" si="334"/>
        <v>#REF!</v>
      </c>
      <c r="AO122" s="170" t="e">
        <f t="shared" si="335"/>
        <v>#REF!</v>
      </c>
      <c r="AP122" s="170" t="e">
        <f t="shared" si="336"/>
        <v>#REF!</v>
      </c>
      <c r="AQ122" s="170" t="e">
        <f t="shared" si="337"/>
        <v>#REF!</v>
      </c>
      <c r="AR122" s="170" t="e">
        <f t="shared" si="338"/>
        <v>#REF!</v>
      </c>
      <c r="AS122" s="170"/>
      <c r="AT122" s="170"/>
      <c r="AU122" s="171"/>
      <c r="AV122" s="160"/>
      <c r="AW122" s="160"/>
      <c r="AX122" s="160"/>
      <c r="AY122"/>
      <c r="AZ122"/>
      <c r="BA122"/>
      <c r="BF122" s="34"/>
      <c r="BL122" s="16"/>
      <c r="BM122" s="16"/>
      <c r="BN122" s="16"/>
      <c r="BO122" s="16"/>
      <c r="BP122" s="10" t="s">
        <v>585</v>
      </c>
    </row>
    <row r="123" spans="1:68">
      <c r="A123" s="10" t="s">
        <v>1151</v>
      </c>
      <c r="B123" s="175" t="s">
        <v>1230</v>
      </c>
      <c r="C123" s="169">
        <f>SUMIFS(BCRR_REHAB!L:L,BCRR_REHAB!D:D,'Huella materiales'!A123)</f>
        <v>0</v>
      </c>
      <c r="D123" s="146" t="e">
        <f>SUMIF(#REF!,'Huella materiales'!A123,#REF!)</f>
        <v>#REF!</v>
      </c>
      <c r="E123" s="1013" t="e">
        <f t="shared" si="313"/>
        <v>#REF!</v>
      </c>
      <c r="F123" s="146" t="e">
        <f>SUMIF(#REF!,'Huella materiales'!A123,#REF!)</f>
        <v>#REF!</v>
      </c>
      <c r="G123" s="1013" t="e">
        <f t="shared" si="314"/>
        <v>#REF!</v>
      </c>
      <c r="H123" s="146" t="e">
        <f>SUMIF(#REF!,'Huella materiales'!A123,#REF!)</f>
        <v>#REF!</v>
      </c>
      <c r="I123" s="1013" t="e">
        <f t="shared" si="315"/>
        <v>#REF!</v>
      </c>
      <c r="J123" s="146" t="e">
        <f>SUMIF(#REF!,'Huella materiales'!A123,#REF!)</f>
        <v>#REF!</v>
      </c>
      <c r="K123" s="1013" t="e">
        <f t="shared" si="316"/>
        <v>#REF!</v>
      </c>
      <c r="L123" s="146" t="e">
        <f>SUMIF(#REF!,'Huella materiales'!A123,#REF!)</f>
        <v>#REF!</v>
      </c>
      <c r="M123" s="1013" t="e">
        <f t="shared" si="317"/>
        <v>#REF!</v>
      </c>
      <c r="N123" s="146" t="e">
        <f>SUMIF(#REF!,'Huella materiales'!A123,#REF!)</f>
        <v>#REF!</v>
      </c>
      <c r="O123" s="1013" t="e">
        <f t="shared" si="318"/>
        <v>#REF!</v>
      </c>
      <c r="P123" s="146" t="e">
        <f>SUMIF(#REF!,'Huella materiales'!A123,#REF!)</f>
        <v>#REF!</v>
      </c>
      <c r="Q123" s="1013" t="e">
        <f t="shared" si="320"/>
        <v>#REF!</v>
      </c>
      <c r="R123" s="146" t="e">
        <f>SUMIF(#REF!,'Huella materiales'!A123,#REF!)</f>
        <v>#REF!</v>
      </c>
      <c r="S123" s="1013" t="e">
        <f t="shared" si="321"/>
        <v>#REF!</v>
      </c>
      <c r="T123" s="146" t="e">
        <f>SUMIF(#REF!,'Huella materiales'!A123,#REF!)</f>
        <v>#REF!</v>
      </c>
      <c r="U123" s="1013" t="e">
        <f t="shared" si="322"/>
        <v>#REF!</v>
      </c>
      <c r="V123" s="146" t="e">
        <f>SUMIF(#REF!,'Huella materiales'!A123,#REF!)</f>
        <v>#REF!</v>
      </c>
      <c r="W123" s="1013" t="e">
        <f t="shared" si="323"/>
        <v>#REF!</v>
      </c>
      <c r="X123" s="146" t="e">
        <f>SUMIF(#REF!,'Huella materiales'!A123,#REF!)</f>
        <v>#REF!</v>
      </c>
      <c r="Y123" s="1013" t="e">
        <f t="shared" si="324"/>
        <v>#REF!</v>
      </c>
      <c r="Z123" s="146" t="e">
        <f>SUMIF(#REF!,'Huella materiales'!A123,#REF!)</f>
        <v>#REF!</v>
      </c>
      <c r="AA123" s="1013" t="e">
        <f t="shared" si="325"/>
        <v>#REF!</v>
      </c>
      <c r="AB123" s="1030">
        <f>'Datos auxiliares materiales'!C74</f>
        <v>0.74690000000000001</v>
      </c>
      <c r="AC123" s="1017" t="e">
        <f t="shared" si="326"/>
        <v>#REF!</v>
      </c>
      <c r="AD123" s="1022">
        <f t="shared" si="319"/>
        <v>0</v>
      </c>
      <c r="AE123" s="1077">
        <f>'Datos auxiliares materiales'!D74</f>
        <v>85</v>
      </c>
      <c r="AF123" s="170">
        <f>C123*$AB$115*$AE$115</f>
        <v>0</v>
      </c>
      <c r="AG123" s="170" t="e">
        <f t="shared" si="327"/>
        <v>#REF!</v>
      </c>
      <c r="AH123" s="170" t="e">
        <f t="shared" si="328"/>
        <v>#REF!</v>
      </c>
      <c r="AI123" s="170" t="e">
        <f t="shared" si="329"/>
        <v>#REF!</v>
      </c>
      <c r="AJ123" s="170" t="e">
        <f t="shared" si="330"/>
        <v>#REF!</v>
      </c>
      <c r="AK123" s="170" t="e">
        <f t="shared" si="331"/>
        <v>#REF!</v>
      </c>
      <c r="AL123" s="170" t="e">
        <f t="shared" si="332"/>
        <v>#REF!</v>
      </c>
      <c r="AM123" s="170" t="e">
        <f t="shared" si="333"/>
        <v>#REF!</v>
      </c>
      <c r="AN123" s="170" t="e">
        <f t="shared" si="334"/>
        <v>#REF!</v>
      </c>
      <c r="AO123" s="170" t="e">
        <f t="shared" si="335"/>
        <v>#REF!</v>
      </c>
      <c r="AP123" s="170" t="e">
        <f t="shared" si="336"/>
        <v>#REF!</v>
      </c>
      <c r="AQ123" s="170" t="e">
        <f t="shared" si="337"/>
        <v>#REF!</v>
      </c>
      <c r="AR123" s="170" t="e">
        <f t="shared" si="338"/>
        <v>#REF!</v>
      </c>
      <c r="AS123" s="170"/>
      <c r="AT123" s="170"/>
      <c r="AU123" s="171"/>
      <c r="AV123" s="160"/>
      <c r="AW123" s="160"/>
      <c r="AX123" s="160"/>
      <c r="AY123"/>
      <c r="AZ123"/>
      <c r="BA123"/>
      <c r="BF123" s="34"/>
      <c r="BL123" s="16"/>
      <c r="BM123" s="16"/>
      <c r="BN123" s="16"/>
      <c r="BO123" s="16"/>
      <c r="BP123" s="10" t="s">
        <v>585</v>
      </c>
    </row>
    <row r="124" spans="1:68">
      <c r="A124" s="10" t="s">
        <v>1171</v>
      </c>
      <c r="B124" s="175" t="s">
        <v>1235</v>
      </c>
      <c r="C124" s="169">
        <f>SUMIFS(BCRR_REHAB!L:L,BCRR_REHAB!D:D,'Huella materiales'!A124)</f>
        <v>0</v>
      </c>
      <c r="D124" s="146" t="e">
        <f>SUMIF(#REF!,'Huella materiales'!A124,#REF!)</f>
        <v>#REF!</v>
      </c>
      <c r="E124" s="1013" t="e">
        <f t="shared" si="313"/>
        <v>#REF!</v>
      </c>
      <c r="F124" s="146" t="e">
        <f>SUMIF(#REF!,'Huella materiales'!A124,#REF!)</f>
        <v>#REF!</v>
      </c>
      <c r="G124" s="1013" t="e">
        <f t="shared" si="314"/>
        <v>#REF!</v>
      </c>
      <c r="H124" s="146" t="e">
        <f>SUMIF(#REF!,'Huella materiales'!A124,#REF!)</f>
        <v>#REF!</v>
      </c>
      <c r="I124" s="1013" t="e">
        <f t="shared" si="315"/>
        <v>#REF!</v>
      </c>
      <c r="J124" s="146" t="e">
        <f>SUMIF(#REF!,'Huella materiales'!A124,#REF!)</f>
        <v>#REF!</v>
      </c>
      <c r="K124" s="1013" t="e">
        <f t="shared" si="316"/>
        <v>#REF!</v>
      </c>
      <c r="L124" s="146" t="e">
        <f>SUMIF(#REF!,'Huella materiales'!A124,#REF!)</f>
        <v>#REF!</v>
      </c>
      <c r="M124" s="1013" t="e">
        <f t="shared" si="317"/>
        <v>#REF!</v>
      </c>
      <c r="N124" s="146" t="e">
        <f>SUMIF(#REF!,'Huella materiales'!A124,#REF!)</f>
        <v>#REF!</v>
      </c>
      <c r="O124" s="1013" t="e">
        <f t="shared" si="318"/>
        <v>#REF!</v>
      </c>
      <c r="P124" s="146" t="e">
        <f>SUMIF(#REF!,'Huella materiales'!A124,#REF!)</f>
        <v>#REF!</v>
      </c>
      <c r="Q124" s="1013" t="e">
        <f t="shared" si="320"/>
        <v>#REF!</v>
      </c>
      <c r="R124" s="146" t="e">
        <f>SUMIF(#REF!,'Huella materiales'!A124,#REF!)</f>
        <v>#REF!</v>
      </c>
      <c r="S124" s="1013" t="e">
        <f t="shared" si="321"/>
        <v>#REF!</v>
      </c>
      <c r="T124" s="146" t="e">
        <f>SUMIF(#REF!,'Huella materiales'!A124,#REF!)</f>
        <v>#REF!</v>
      </c>
      <c r="U124" s="1013" t="e">
        <f t="shared" si="322"/>
        <v>#REF!</v>
      </c>
      <c r="V124" s="146" t="e">
        <f>SUMIF(#REF!,'Huella materiales'!A124,#REF!)</f>
        <v>#REF!</v>
      </c>
      <c r="W124" s="1013" t="e">
        <f t="shared" si="323"/>
        <v>#REF!</v>
      </c>
      <c r="X124" s="146" t="e">
        <f>SUMIF(#REF!,'Huella materiales'!A124,#REF!)</f>
        <v>#REF!</v>
      </c>
      <c r="Y124" s="1013" t="e">
        <f t="shared" si="324"/>
        <v>#REF!</v>
      </c>
      <c r="Z124" s="146" t="e">
        <f>SUMIF(#REF!,'Huella materiales'!A124,#REF!)</f>
        <v>#REF!</v>
      </c>
      <c r="AA124" s="1013" t="e">
        <f t="shared" si="325"/>
        <v>#REF!</v>
      </c>
      <c r="AB124" s="1030">
        <f>'Datos auxiliares materiales'!C75</f>
        <v>0.185</v>
      </c>
      <c r="AC124" s="1017" t="e">
        <f t="shared" si="326"/>
        <v>#REF!</v>
      </c>
      <c r="AD124" s="1022">
        <f t="shared" si="319"/>
        <v>0</v>
      </c>
      <c r="AE124" s="1077">
        <f>'Datos auxiliares materiales'!D75</f>
        <v>85</v>
      </c>
      <c r="AF124" s="170">
        <f>C124*$AB$115*$AE$115</f>
        <v>0</v>
      </c>
      <c r="AG124" s="170" t="e">
        <f t="shared" si="327"/>
        <v>#REF!</v>
      </c>
      <c r="AH124" s="170" t="e">
        <f t="shared" si="328"/>
        <v>#REF!</v>
      </c>
      <c r="AI124" s="170" t="e">
        <f t="shared" si="329"/>
        <v>#REF!</v>
      </c>
      <c r="AJ124" s="170" t="e">
        <f t="shared" si="330"/>
        <v>#REF!</v>
      </c>
      <c r="AK124" s="170" t="e">
        <f t="shared" si="331"/>
        <v>#REF!</v>
      </c>
      <c r="AL124" s="170" t="e">
        <f t="shared" si="332"/>
        <v>#REF!</v>
      </c>
      <c r="AM124" s="170" t="e">
        <f t="shared" si="333"/>
        <v>#REF!</v>
      </c>
      <c r="AN124" s="170" t="e">
        <f t="shared" si="334"/>
        <v>#REF!</v>
      </c>
      <c r="AO124" s="170" t="e">
        <f t="shared" si="335"/>
        <v>#REF!</v>
      </c>
      <c r="AP124" s="170" t="e">
        <f t="shared" si="336"/>
        <v>#REF!</v>
      </c>
      <c r="AQ124" s="170" t="e">
        <f t="shared" si="337"/>
        <v>#REF!</v>
      </c>
      <c r="AR124" s="170" t="e">
        <f t="shared" si="338"/>
        <v>#REF!</v>
      </c>
      <c r="AS124" s="170"/>
      <c r="AT124" s="170"/>
      <c r="AU124" s="171"/>
      <c r="AV124" s="160"/>
      <c r="AW124" s="160"/>
      <c r="AX124" s="160"/>
      <c r="AY124"/>
      <c r="AZ124"/>
      <c r="BA124"/>
      <c r="BF124" s="34"/>
      <c r="BL124" s="16"/>
      <c r="BM124" s="16"/>
      <c r="BN124" s="16"/>
      <c r="BO124" s="16"/>
      <c r="BP124" s="10" t="s">
        <v>585</v>
      </c>
    </row>
    <row r="125" spans="1:68" ht="15.5">
      <c r="B125" s="163" t="s">
        <v>279</v>
      </c>
      <c r="C125" s="169">
        <f>SUMIFS(BCRR_REHAB!L:L,BCRR_REHAB!D:D,'Huella materiales'!A125)</f>
        <v>0</v>
      </c>
      <c r="D125" s="987"/>
      <c r="E125" s="1014" t="e">
        <f t="shared" ref="E125:AF125" si="339">SUM(E126:E129)</f>
        <v>#REF!</v>
      </c>
      <c r="F125" s="987"/>
      <c r="G125" s="987" t="e">
        <f t="shared" si="339"/>
        <v>#REF!</v>
      </c>
      <c r="H125" s="987"/>
      <c r="I125" s="987" t="e">
        <f t="shared" si="339"/>
        <v>#REF!</v>
      </c>
      <c r="J125" s="987"/>
      <c r="K125" s="987" t="e">
        <f t="shared" si="339"/>
        <v>#REF!</v>
      </c>
      <c r="L125" s="987"/>
      <c r="M125" s="987" t="e">
        <f t="shared" si="339"/>
        <v>#REF!</v>
      </c>
      <c r="N125" s="987"/>
      <c r="O125" s="987" t="e">
        <f t="shared" si="339"/>
        <v>#REF!</v>
      </c>
      <c r="P125" s="987"/>
      <c r="Q125" s="987" t="e">
        <f t="shared" si="339"/>
        <v>#REF!</v>
      </c>
      <c r="R125" s="987"/>
      <c r="S125" s="987" t="e">
        <f t="shared" si="339"/>
        <v>#REF!</v>
      </c>
      <c r="T125" s="987"/>
      <c r="U125" s="987" t="e">
        <f t="shared" si="339"/>
        <v>#REF!</v>
      </c>
      <c r="V125" s="987"/>
      <c r="W125" s="987" t="e">
        <f t="shared" si="339"/>
        <v>#REF!</v>
      </c>
      <c r="X125" s="987"/>
      <c r="Y125" s="987" t="e">
        <f t="shared" si="339"/>
        <v>#REF!</v>
      </c>
      <c r="Z125" s="987"/>
      <c r="AA125" s="987" t="e">
        <f t="shared" si="339"/>
        <v>#REF!</v>
      </c>
      <c r="AB125" s="987"/>
      <c r="AC125" s="1028" t="e">
        <f t="shared" si="339"/>
        <v>#REF!</v>
      </c>
      <c r="AD125" s="1026">
        <f t="shared" si="339"/>
        <v>0</v>
      </c>
      <c r="AE125" s="1019"/>
      <c r="AF125" s="1080">
        <f t="shared" si="339"/>
        <v>0</v>
      </c>
      <c r="AG125" s="1080" t="e">
        <f t="shared" ref="AG125:AR125" si="340">SUM(AG126:AG129)</f>
        <v>#REF!</v>
      </c>
      <c r="AH125" s="1080" t="e">
        <f t="shared" si="340"/>
        <v>#REF!</v>
      </c>
      <c r="AI125" s="1080" t="e">
        <f>SUM(AI126:AI131)</f>
        <v>#REF!</v>
      </c>
      <c r="AJ125" s="1080" t="e">
        <f t="shared" si="340"/>
        <v>#REF!</v>
      </c>
      <c r="AK125" s="1080" t="e">
        <f>SUM(AK126:AK131)</f>
        <v>#REF!</v>
      </c>
      <c r="AL125" s="1080" t="e">
        <f t="shared" si="340"/>
        <v>#REF!</v>
      </c>
      <c r="AM125" s="1080" t="e">
        <f t="shared" si="340"/>
        <v>#REF!</v>
      </c>
      <c r="AN125" s="1080" t="e">
        <f t="shared" si="340"/>
        <v>#REF!</v>
      </c>
      <c r="AO125" s="1080" t="e">
        <f t="shared" si="340"/>
        <v>#REF!</v>
      </c>
      <c r="AP125" s="1080" t="e">
        <f t="shared" si="340"/>
        <v>#REF!</v>
      </c>
      <c r="AQ125" s="1080" t="e">
        <f t="shared" si="340"/>
        <v>#REF!</v>
      </c>
      <c r="AR125" s="1080" t="e">
        <f t="shared" si="340"/>
        <v>#REF!</v>
      </c>
      <c r="AS125" s="1083" t="e">
        <f>AG125+AH125+AI125+AJ125+AK125+AM125+AN125+AO125+AP125+AQ125+AR125</f>
        <v>#REF!</v>
      </c>
      <c r="AT125" s="165">
        <f>SUM(AF126)/$AX$5*$AX$7</f>
        <v>0</v>
      </c>
      <c r="AU125" s="166">
        <f>AT125/$AX$8</f>
        <v>0</v>
      </c>
      <c r="AV125" s="160"/>
      <c r="AW125" s="160"/>
      <c r="AX125" s="160"/>
      <c r="AY125"/>
      <c r="AZ125"/>
      <c r="BA125"/>
      <c r="BF125" s="34"/>
      <c r="BL125" s="16"/>
      <c r="BM125" s="16"/>
      <c r="BN125" s="16"/>
      <c r="BO125" s="16"/>
      <c r="BP125" s="10" t="s">
        <v>587</v>
      </c>
    </row>
    <row r="126" spans="1:68">
      <c r="B126" s="978" t="s">
        <v>118</v>
      </c>
      <c r="C126" s="169">
        <f>SUMIFS(BCRR_REHAB!L:L,BCRR_REHAB!D:D,'Huella materiales'!A126)</f>
        <v>0</v>
      </c>
      <c r="D126" s="146" t="e">
        <f>SUMIF(#REF!,'Huella materiales'!A126,#REF!)</f>
        <v>#REF!</v>
      </c>
      <c r="E126" s="1013" t="e">
        <f>D126*AB126</f>
        <v>#REF!</v>
      </c>
      <c r="F126" s="146" t="e">
        <f>SUMIF(#REF!,'Huella materiales'!A126,#REF!)</f>
        <v>#REF!</v>
      </c>
      <c r="G126" s="1013" t="e">
        <f>F126*AB126</f>
        <v>#REF!</v>
      </c>
      <c r="H126" s="146" t="e">
        <f>SUMIF(#REF!,'Huella materiales'!A126,#REF!)</f>
        <v>#REF!</v>
      </c>
      <c r="I126" s="1013" t="e">
        <f>H126*AB126</f>
        <v>#REF!</v>
      </c>
      <c r="J126" s="146" t="e">
        <f>SUMIF(#REF!,'Huella materiales'!A126,#REF!)</f>
        <v>#REF!</v>
      </c>
      <c r="K126" s="1013" t="e">
        <f>J126*AB126</f>
        <v>#REF!</v>
      </c>
      <c r="L126" s="146" t="e">
        <f>SUMIF(#REF!,'Huella materiales'!A126,#REF!)</f>
        <v>#REF!</v>
      </c>
      <c r="M126" s="1013" t="e">
        <f>L126*AB126</f>
        <v>#REF!</v>
      </c>
      <c r="N126" s="146" t="e">
        <f>SUMIF(#REF!,'Huella materiales'!A126,#REF!)</f>
        <v>#REF!</v>
      </c>
      <c r="O126" s="1013" t="e">
        <f>N126*AB126</f>
        <v>#REF!</v>
      </c>
      <c r="P126" s="146" t="e">
        <f>SUMIF(#REF!,'Huella materiales'!A126,#REF!)</f>
        <v>#REF!</v>
      </c>
      <c r="Q126" s="1013" t="e">
        <f>P126*AB126</f>
        <v>#REF!</v>
      </c>
      <c r="R126" s="146" t="e">
        <f>SUMIF(#REF!,'Huella materiales'!A126,#REF!)</f>
        <v>#REF!</v>
      </c>
      <c r="S126" s="1013" t="e">
        <f>R126*AB126</f>
        <v>#REF!</v>
      </c>
      <c r="T126" s="146" t="e">
        <f>SUMIF(#REF!,'Huella materiales'!A126,#REF!)</f>
        <v>#REF!</v>
      </c>
      <c r="U126" s="1013" t="e">
        <f>T126*AB126</f>
        <v>#REF!</v>
      </c>
      <c r="V126" s="146" t="e">
        <f>SUMIF(#REF!,'Huella materiales'!A126,#REF!)</f>
        <v>#REF!</v>
      </c>
      <c r="W126" s="1013" t="e">
        <f>V126*AB126</f>
        <v>#REF!</v>
      </c>
      <c r="X126" s="146" t="e">
        <f>SUMIF(#REF!,'Huella materiales'!A126,#REF!)</f>
        <v>#REF!</v>
      </c>
      <c r="Y126" s="1013" t="e">
        <f>X126*AB126</f>
        <v>#REF!</v>
      </c>
      <c r="Z126" s="146" t="e">
        <f>SUMIF(#REF!,'Huella materiales'!A126,#REF!)</f>
        <v>#REF!</v>
      </c>
      <c r="AA126" s="1013" t="e">
        <f>Z126*AB126</f>
        <v>#REF!</v>
      </c>
      <c r="AB126" s="1030">
        <f>'Datos auxiliares materiales'!C71</f>
        <v>2.7</v>
      </c>
      <c r="AC126" s="1017" t="e">
        <f>E126+G126+I126+K126+M126+O126+Q126+S126+U126+W126+Y126+AA126</f>
        <v>#REF!</v>
      </c>
      <c r="AD126" s="1022">
        <f>C126*AB126</f>
        <v>0</v>
      </c>
      <c r="AE126" s="1077">
        <f>'Datos auxiliares materiales'!D71</f>
        <v>160</v>
      </c>
      <c r="AF126" s="170">
        <f>C126*$AB$126*$AE$126</f>
        <v>0</v>
      </c>
      <c r="AG126" s="170" t="e">
        <f>D126*AB126*AE126</f>
        <v>#REF!</v>
      </c>
      <c r="AH126" s="170" t="e">
        <f>F126*AB126*AE126</f>
        <v>#REF!</v>
      </c>
      <c r="AI126" s="170" t="e">
        <f>H126*AB126*AE126</f>
        <v>#REF!</v>
      </c>
      <c r="AJ126" s="170" t="e">
        <f>J126*AB126*AE126</f>
        <v>#REF!</v>
      </c>
      <c r="AK126" s="170" t="e">
        <f>L126*AB126*AE126</f>
        <v>#REF!</v>
      </c>
      <c r="AL126" s="170" t="e">
        <f>N126*$AB$49*$AE$49</f>
        <v>#REF!</v>
      </c>
      <c r="AM126" s="170" t="e">
        <f>P126*AB126*AE126</f>
        <v>#REF!</v>
      </c>
      <c r="AN126" s="170" t="e">
        <f>R126*AB126*AE126</f>
        <v>#REF!</v>
      </c>
      <c r="AO126" s="170" t="e">
        <f>T126*AB126*AE126</f>
        <v>#REF!</v>
      </c>
      <c r="AP126" s="170" t="e">
        <f>V126*AB126*AE126</f>
        <v>#REF!</v>
      </c>
      <c r="AQ126" s="170" t="e">
        <f>X126*AB126*AE126</f>
        <v>#REF!</v>
      </c>
      <c r="AR126" s="170" t="e">
        <f>Z126*AB126*AE126</f>
        <v>#REF!</v>
      </c>
      <c r="AS126" s="170"/>
      <c r="AT126" s="170"/>
      <c r="AU126" s="171"/>
      <c r="AV126" s="160"/>
      <c r="AW126" s="160"/>
      <c r="AX126" s="160"/>
      <c r="AY126"/>
      <c r="AZ126"/>
      <c r="BA126"/>
      <c r="BF126" s="34"/>
      <c r="BL126" s="16"/>
      <c r="BM126" s="16"/>
      <c r="BN126" s="16"/>
      <c r="BO126" s="16"/>
      <c r="BP126" s="10" t="s">
        <v>526</v>
      </c>
    </row>
    <row r="127" spans="1:68">
      <c r="A127" s="10" t="s">
        <v>1176</v>
      </c>
      <c r="B127" s="175" t="s">
        <v>839</v>
      </c>
      <c r="C127" s="169">
        <f>SUMIFS(BCRR_REHAB!L:L,BCRR_REHAB!D:D,'Huella materiales'!A127)</f>
        <v>0</v>
      </c>
      <c r="D127" s="146" t="e">
        <f>SUMIF(#REF!,'Huella materiales'!A127,#REF!)</f>
        <v>#REF!</v>
      </c>
      <c r="E127" s="1013" t="e">
        <f>D127*AB127</f>
        <v>#REF!</v>
      </c>
      <c r="F127" s="146" t="e">
        <f>SUMIF(#REF!,'Huella materiales'!A127,#REF!)</f>
        <v>#REF!</v>
      </c>
      <c r="G127" s="1013" t="e">
        <f>F127*AB127</f>
        <v>#REF!</v>
      </c>
      <c r="H127" s="146" t="e">
        <f>SUMIF(#REF!,'Huella materiales'!A127,#REF!)</f>
        <v>#REF!</v>
      </c>
      <c r="I127" s="1013" t="e">
        <f>H127*AB127</f>
        <v>#REF!</v>
      </c>
      <c r="J127" s="146" t="e">
        <f>SUMIF(#REF!,'Huella materiales'!A127,#REF!)</f>
        <v>#REF!</v>
      </c>
      <c r="K127" s="1013" t="e">
        <f>J127*AB127</f>
        <v>#REF!</v>
      </c>
      <c r="L127" s="146" t="e">
        <f>SUMIF(#REF!,'Huella materiales'!A127,#REF!)</f>
        <v>#REF!</v>
      </c>
      <c r="M127" s="1013" t="e">
        <f>L127*AB127</f>
        <v>#REF!</v>
      </c>
      <c r="N127" s="146" t="e">
        <f>SUMIF(#REF!,'Huella materiales'!A127,#REF!)</f>
        <v>#REF!</v>
      </c>
      <c r="O127" s="1013" t="e">
        <f>N127*AB127</f>
        <v>#REF!</v>
      </c>
      <c r="P127" s="146" t="e">
        <f>SUMIF(#REF!,'Huella materiales'!A127,#REF!)</f>
        <v>#REF!</v>
      </c>
      <c r="Q127" s="1013" t="e">
        <f>P127*AB127</f>
        <v>#REF!</v>
      </c>
      <c r="R127" s="146" t="e">
        <f>SUMIF(#REF!,'Huella materiales'!A127,#REF!)</f>
        <v>#REF!</v>
      </c>
      <c r="S127" s="1013" t="e">
        <f>R127*AB127</f>
        <v>#REF!</v>
      </c>
      <c r="T127" s="146" t="e">
        <f>SUMIF(#REF!,'Huella materiales'!A127,#REF!)</f>
        <v>#REF!</v>
      </c>
      <c r="U127" s="1013" t="e">
        <f>T127*AB127</f>
        <v>#REF!</v>
      </c>
      <c r="V127" s="146" t="e">
        <f>SUMIF(#REF!,'Huella materiales'!A127,#REF!)</f>
        <v>#REF!</v>
      </c>
      <c r="W127" s="1013" t="e">
        <f>V127*AB127</f>
        <v>#REF!</v>
      </c>
      <c r="X127" s="146" t="e">
        <f>SUMIF(#REF!,'Huella materiales'!A127,#REF!)</f>
        <v>#REF!</v>
      </c>
      <c r="Y127" s="1013" t="e">
        <f>X127*AB127</f>
        <v>#REF!</v>
      </c>
      <c r="Z127" s="146" t="e">
        <f>SUMIF(#REF!,'Huella materiales'!A127,#REF!)</f>
        <v>#REF!</v>
      </c>
      <c r="AA127" s="1013" t="e">
        <f>Z127*AB127</f>
        <v>#REF!</v>
      </c>
      <c r="AB127" s="1030">
        <f>'Datos auxiliares materiales'!C72</f>
        <v>2.7</v>
      </c>
      <c r="AC127" s="1017" t="e">
        <f>E127+G127+I127+K127+M127+O127+Q127+S127+U127+W127+Y127+AA127</f>
        <v>#REF!</v>
      </c>
      <c r="AD127" s="1022">
        <f>C127*AB127</f>
        <v>0</v>
      </c>
      <c r="AE127" s="1077">
        <f>'Datos auxiliares materiales'!D72</f>
        <v>160</v>
      </c>
      <c r="AF127" s="170">
        <f>C127*$AB$127*$AE$127</f>
        <v>0</v>
      </c>
      <c r="AG127" s="170" t="e">
        <f>D127*AB127*AE127</f>
        <v>#REF!</v>
      </c>
      <c r="AH127" s="170" t="e">
        <f>F127*AB127*AE127</f>
        <v>#REF!</v>
      </c>
      <c r="AI127" s="170" t="e">
        <f>H127*AB127*AE127</f>
        <v>#REF!</v>
      </c>
      <c r="AJ127" s="170" t="e">
        <f>J127*AB127*AE127</f>
        <v>#REF!</v>
      </c>
      <c r="AK127" s="170" t="e">
        <f>L127*AB127*AE127</f>
        <v>#REF!</v>
      </c>
      <c r="AL127" s="170" t="e">
        <f>N127*$AB$49*$AE$49</f>
        <v>#REF!</v>
      </c>
      <c r="AM127" s="170" t="e">
        <f>P127*AB127*AE127</f>
        <v>#REF!</v>
      </c>
      <c r="AN127" s="170" t="e">
        <f>R127*AB127*AE127</f>
        <v>#REF!</v>
      </c>
      <c r="AO127" s="170" t="e">
        <f>T127*AB127*AE127</f>
        <v>#REF!</v>
      </c>
      <c r="AP127" s="170" t="e">
        <f>V127*AB127*AE127</f>
        <v>#REF!</v>
      </c>
      <c r="AQ127" s="170" t="e">
        <f>X127*AB127*AE127</f>
        <v>#REF!</v>
      </c>
      <c r="AR127" s="170" t="e">
        <f>Z127*AB127*AE127</f>
        <v>#REF!</v>
      </c>
      <c r="AS127" s="170"/>
      <c r="AT127" s="170"/>
      <c r="AU127" s="171"/>
      <c r="AV127" s="160"/>
      <c r="AW127" s="160"/>
      <c r="AX127" s="160"/>
      <c r="AY127"/>
      <c r="AZ127"/>
      <c r="BA127"/>
      <c r="BF127" s="34"/>
      <c r="BL127" s="16"/>
      <c r="BM127" s="16"/>
      <c r="BN127" s="16"/>
      <c r="BO127" s="16"/>
      <c r="BP127" s="10" t="s">
        <v>588</v>
      </c>
    </row>
    <row r="128" spans="1:68">
      <c r="A128" s="10" t="s">
        <v>1197</v>
      </c>
      <c r="B128" s="175" t="s">
        <v>1240</v>
      </c>
      <c r="C128" s="169">
        <f>SUMIFS(BCRR_REHAB!L:L,BCRR_REHAB!D:D,'Huella materiales'!A128)</f>
        <v>0</v>
      </c>
      <c r="D128" s="146" t="e">
        <f>SUMIF(#REF!,'Huella materiales'!A128,#REF!)</f>
        <v>#REF!</v>
      </c>
      <c r="E128" s="1013" t="e">
        <f>D128*AB128</f>
        <v>#REF!</v>
      </c>
      <c r="F128" s="146" t="e">
        <f>SUMIF(#REF!,'Huella materiales'!A128,#REF!)</f>
        <v>#REF!</v>
      </c>
      <c r="G128" s="1013" t="e">
        <f>F128*AB128</f>
        <v>#REF!</v>
      </c>
      <c r="H128" s="146" t="e">
        <f>SUMIF(#REF!,'Huella materiales'!A128,#REF!)</f>
        <v>#REF!</v>
      </c>
      <c r="I128" s="1013" t="e">
        <f>H128*AB128</f>
        <v>#REF!</v>
      </c>
      <c r="J128" s="146" t="e">
        <f>SUMIF(#REF!,'Huella materiales'!A128,#REF!)</f>
        <v>#REF!</v>
      </c>
      <c r="K128" s="1013" t="e">
        <f>J128*AB128</f>
        <v>#REF!</v>
      </c>
      <c r="L128" s="146" t="e">
        <f>SUMIF(#REF!,'Huella materiales'!A128,#REF!)</f>
        <v>#REF!</v>
      </c>
      <c r="M128" s="1013" t="e">
        <f>L128*AB128</f>
        <v>#REF!</v>
      </c>
      <c r="N128" s="146" t="e">
        <f>SUMIF(#REF!,'Huella materiales'!A128,#REF!)</f>
        <v>#REF!</v>
      </c>
      <c r="O128" s="1013" t="e">
        <f>N128*AB128</f>
        <v>#REF!</v>
      </c>
      <c r="P128" s="146" t="e">
        <f>SUMIF(#REF!,'Huella materiales'!A128,#REF!)</f>
        <v>#REF!</v>
      </c>
      <c r="Q128" s="1013" t="e">
        <f>P128*AB128</f>
        <v>#REF!</v>
      </c>
      <c r="R128" s="146" t="e">
        <f>SUMIF(#REF!,'Huella materiales'!A128,#REF!)</f>
        <v>#REF!</v>
      </c>
      <c r="S128" s="1013" t="e">
        <f>R128*AB128</f>
        <v>#REF!</v>
      </c>
      <c r="T128" s="146" t="e">
        <f>SUMIF(#REF!,'Huella materiales'!A128,#REF!)</f>
        <v>#REF!</v>
      </c>
      <c r="U128" s="1013" t="e">
        <f>T128*AB128</f>
        <v>#REF!</v>
      </c>
      <c r="V128" s="146" t="e">
        <f>SUMIF(#REF!,'Huella materiales'!A128,#REF!)</f>
        <v>#REF!</v>
      </c>
      <c r="W128" s="1013" t="e">
        <f>V128*AB128</f>
        <v>#REF!</v>
      </c>
      <c r="X128" s="146" t="e">
        <f>SUMIF(#REF!,'Huella materiales'!A128,#REF!)</f>
        <v>#REF!</v>
      </c>
      <c r="Y128" s="1013" t="e">
        <f>X128*AB128</f>
        <v>#REF!</v>
      </c>
      <c r="Z128" s="146" t="e">
        <f>SUMIF(#REF!,'Huella materiales'!A128,#REF!)</f>
        <v>#REF!</v>
      </c>
      <c r="AA128" s="1013" t="e">
        <f>Z128*AB128</f>
        <v>#REF!</v>
      </c>
      <c r="AB128" s="1030">
        <f>'Datos auxiliares materiales'!C73</f>
        <v>0</v>
      </c>
      <c r="AC128" s="1017" t="e">
        <f>E128+G128+I128+K128+M128+O128+Q128+S128+U128+W128+Y128+AA128</f>
        <v>#REF!</v>
      </c>
      <c r="AD128" s="1022">
        <f>C128*AB128</f>
        <v>0</v>
      </c>
      <c r="AE128" s="1077">
        <f>'Datos auxiliares materiales'!D73</f>
        <v>0</v>
      </c>
      <c r="AF128" s="170">
        <f>C128*$AB$127*$AE$127</f>
        <v>0</v>
      </c>
      <c r="AG128" s="170" t="e">
        <f>D128*AB128*AE128</f>
        <v>#REF!</v>
      </c>
      <c r="AH128" s="170" t="e">
        <f>F128*AB128*AE128</f>
        <v>#REF!</v>
      </c>
      <c r="AI128" s="170" t="e">
        <f>H128*AB128*AE128</f>
        <v>#REF!</v>
      </c>
      <c r="AJ128" s="170" t="e">
        <f>J128*AB128*AE128</f>
        <v>#REF!</v>
      </c>
      <c r="AK128" s="170" t="e">
        <f>L128*AB128*AE128</f>
        <v>#REF!</v>
      </c>
      <c r="AL128" s="170" t="e">
        <f>N128*$AB$49*$AE$49</f>
        <v>#REF!</v>
      </c>
      <c r="AM128" s="170" t="e">
        <f>P128*AB128*AE128</f>
        <v>#REF!</v>
      </c>
      <c r="AN128" s="170" t="e">
        <f>R128*AB128*AE128</f>
        <v>#REF!</v>
      </c>
      <c r="AO128" s="170" t="e">
        <f>T128*AB128*AE128</f>
        <v>#REF!</v>
      </c>
      <c r="AP128" s="170" t="e">
        <f>V128*AB128*AE128</f>
        <v>#REF!</v>
      </c>
      <c r="AQ128" s="170" t="e">
        <f>X128*AB128*AE128</f>
        <v>#REF!</v>
      </c>
      <c r="AR128" s="170" t="e">
        <f>Z128*AB128*AE128</f>
        <v>#REF!</v>
      </c>
      <c r="AS128" s="170"/>
      <c r="AT128" s="170"/>
      <c r="AU128" s="171"/>
      <c r="AV128" s="160"/>
      <c r="AW128" s="167"/>
      <c r="AX128" s="167"/>
      <c r="AY128"/>
      <c r="AZ128"/>
      <c r="BA128"/>
      <c r="BF128" s="34"/>
      <c r="BL128" s="16"/>
      <c r="BM128" s="16"/>
      <c r="BN128" s="16"/>
      <c r="BO128" s="16"/>
      <c r="BP128" s="10" t="s">
        <v>588</v>
      </c>
    </row>
    <row r="129" spans="1:68">
      <c r="A129" s="10" t="s">
        <v>1198</v>
      </c>
      <c r="B129" s="175" t="s">
        <v>1240</v>
      </c>
      <c r="C129" s="169">
        <f>SUMIFS(BCRR_REHAB!L:L,BCRR_REHAB!D:D,'Huella materiales'!A129)</f>
        <v>0</v>
      </c>
      <c r="D129" s="146" t="e">
        <f>SUMIF(#REF!,'Huella materiales'!A129,#REF!)</f>
        <v>#REF!</v>
      </c>
      <c r="E129" s="1013" t="e">
        <f>D129*AB129</f>
        <v>#REF!</v>
      </c>
      <c r="F129" s="146" t="e">
        <f>SUMIF(#REF!,'Huella materiales'!A129,#REF!)</f>
        <v>#REF!</v>
      </c>
      <c r="G129" s="1013" t="e">
        <f>F129*AB129</f>
        <v>#REF!</v>
      </c>
      <c r="H129" s="146" t="e">
        <f>SUMIF(#REF!,'Huella materiales'!A129,#REF!)</f>
        <v>#REF!</v>
      </c>
      <c r="I129" s="1013" t="e">
        <f>H129*AB129</f>
        <v>#REF!</v>
      </c>
      <c r="J129" s="146" t="e">
        <f>SUMIF(#REF!,'Huella materiales'!A129,#REF!)</f>
        <v>#REF!</v>
      </c>
      <c r="K129" s="1013" t="e">
        <f>J129*AB129</f>
        <v>#REF!</v>
      </c>
      <c r="L129" s="146" t="e">
        <f>SUMIF(#REF!,'Huella materiales'!A129,#REF!)</f>
        <v>#REF!</v>
      </c>
      <c r="M129" s="1013" t="e">
        <f>L129*AB129</f>
        <v>#REF!</v>
      </c>
      <c r="N129" s="146" t="e">
        <f>SUMIF(#REF!,'Huella materiales'!A129,#REF!)</f>
        <v>#REF!</v>
      </c>
      <c r="O129" s="1013" t="e">
        <f>N129*AB129</f>
        <v>#REF!</v>
      </c>
      <c r="P129" s="146" t="e">
        <f>SUMIF(#REF!,'Huella materiales'!A129,#REF!)</f>
        <v>#REF!</v>
      </c>
      <c r="Q129" s="1013" t="e">
        <f>P129*AB129</f>
        <v>#REF!</v>
      </c>
      <c r="R129" s="146" t="e">
        <f>SUMIF(#REF!,'Huella materiales'!A129,#REF!)</f>
        <v>#REF!</v>
      </c>
      <c r="S129" s="1013" t="e">
        <f>R129*AB129</f>
        <v>#REF!</v>
      </c>
      <c r="T129" s="146" t="e">
        <f>SUMIF(#REF!,'Huella materiales'!A129,#REF!)</f>
        <v>#REF!</v>
      </c>
      <c r="U129" s="1013" t="e">
        <f>T129*AB129</f>
        <v>#REF!</v>
      </c>
      <c r="V129" s="146" t="e">
        <f>SUMIF(#REF!,'Huella materiales'!A129,#REF!)</f>
        <v>#REF!</v>
      </c>
      <c r="W129" s="1013" t="e">
        <f>V129*AB129</f>
        <v>#REF!</v>
      </c>
      <c r="X129" s="146" t="e">
        <f>SUMIF(#REF!,'Huella materiales'!A129,#REF!)</f>
        <v>#REF!</v>
      </c>
      <c r="Y129" s="1013" t="e">
        <f>X129*AB129</f>
        <v>#REF!</v>
      </c>
      <c r="Z129" s="146" t="e">
        <f>SUMIF(#REF!,'Huella materiales'!A129,#REF!)</f>
        <v>#REF!</v>
      </c>
      <c r="AA129" s="1013" t="e">
        <f>Z129*AB129</f>
        <v>#REF!</v>
      </c>
      <c r="AB129" s="1030">
        <f>'Datos auxiliares materiales'!C74</f>
        <v>0.74690000000000001</v>
      </c>
      <c r="AC129" s="1017" t="e">
        <f>E129+G129+I129+K129+M129+O129+Q129+S129+U129+W129+Y129+AA129</f>
        <v>#REF!</v>
      </c>
      <c r="AD129" s="1022">
        <f>C129*AB129</f>
        <v>0</v>
      </c>
      <c r="AE129" s="1077">
        <f>'Datos auxiliares materiales'!D74</f>
        <v>85</v>
      </c>
      <c r="AF129" s="170">
        <f>C129*$AB$127*$AE$127</f>
        <v>0</v>
      </c>
      <c r="AG129" s="170" t="e">
        <f>D129*AB129*AE129</f>
        <v>#REF!</v>
      </c>
      <c r="AH129" s="170" t="e">
        <f>F129*AB129*AE129</f>
        <v>#REF!</v>
      </c>
      <c r="AI129" s="170" t="e">
        <f>H129*AB129*AE129</f>
        <v>#REF!</v>
      </c>
      <c r="AJ129" s="170" t="e">
        <f>J129*AB129*AE129</f>
        <v>#REF!</v>
      </c>
      <c r="AK129" s="170" t="e">
        <f>L129*AB129*AE129</f>
        <v>#REF!</v>
      </c>
      <c r="AL129" s="170" t="e">
        <f>N129*$AB$49*$AE$49</f>
        <v>#REF!</v>
      </c>
      <c r="AM129" s="170" t="e">
        <f>P129*AB129*AE129</f>
        <v>#REF!</v>
      </c>
      <c r="AN129" s="170" t="e">
        <f>R129*AB129*AE129</f>
        <v>#REF!</v>
      </c>
      <c r="AO129" s="170" t="e">
        <f>T129*AB129*AE129</f>
        <v>#REF!</v>
      </c>
      <c r="AP129" s="170" t="e">
        <f>V129*AB129*AE129</f>
        <v>#REF!</v>
      </c>
      <c r="AQ129" s="170" t="e">
        <f>X129*AB129*AE129</f>
        <v>#REF!</v>
      </c>
      <c r="AR129" s="170" t="e">
        <f>Z129*AB129*AE129</f>
        <v>#REF!</v>
      </c>
      <c r="AS129" s="170"/>
      <c r="AT129" s="170"/>
      <c r="AU129" s="171"/>
      <c r="AV129" s="160"/>
      <c r="AW129" s="1520"/>
      <c r="AX129" s="1520"/>
      <c r="AY129" s="1521"/>
      <c r="AZ129" s="1521"/>
      <c r="BA129" s="1521"/>
      <c r="BB129" s="1521"/>
      <c r="BC129" s="1521"/>
      <c r="BD129" s="1521"/>
      <c r="BE129" s="1521"/>
      <c r="BF129" s="1526"/>
      <c r="BG129" s="1521"/>
      <c r="BH129" s="1521"/>
      <c r="BI129" s="1521"/>
      <c r="BJ129" s="1521"/>
      <c r="BL129" s="16"/>
      <c r="BM129" s="16"/>
      <c r="BN129" s="16"/>
      <c r="BO129" s="16"/>
      <c r="BP129" s="10" t="s">
        <v>588</v>
      </c>
    </row>
    <row r="130" spans="1:68" s="1521" customFormat="1" ht="15.5">
      <c r="B130" s="1531" t="s">
        <v>1588</v>
      </c>
      <c r="C130" s="169">
        <f>SUMIFS(BCRR_REHAB!L:L,BCRR_REHAB!D:D,'Huella materiales'!A130)</f>
        <v>0</v>
      </c>
      <c r="D130" s="1535"/>
      <c r="E130" s="1536">
        <f>E131</f>
        <v>0</v>
      </c>
      <c r="F130" s="146" t="e">
        <f>SUMIF(#REF!,'Huella materiales'!A130,#REF!)</f>
        <v>#REF!</v>
      </c>
      <c r="G130" s="1535">
        <f>SUM(G131)</f>
        <v>0</v>
      </c>
      <c r="H130" s="146" t="e">
        <f>SUMIF(#REF!,'Huella materiales'!A130,#REF!)</f>
        <v>#REF!</v>
      </c>
      <c r="I130" s="1535">
        <f>SUM(I131)</f>
        <v>0</v>
      </c>
      <c r="J130" s="1535"/>
      <c r="K130" s="1535">
        <f>SUM(K131)</f>
        <v>0</v>
      </c>
      <c r="L130" s="146" t="e">
        <f>SUMIF(#REF!,'Huella materiales'!A130,#REF!)</f>
        <v>#REF!</v>
      </c>
      <c r="M130" s="1535">
        <f>SUM(M131)</f>
        <v>0</v>
      </c>
      <c r="N130" s="1535"/>
      <c r="O130" s="1535">
        <f>SUM(O131)</f>
        <v>0</v>
      </c>
      <c r="P130" s="1535"/>
      <c r="Q130" s="1535">
        <f>SUM(Q131)</f>
        <v>0</v>
      </c>
      <c r="R130" s="1535"/>
      <c r="S130" s="1535">
        <f>SUM(S131)</f>
        <v>0</v>
      </c>
      <c r="T130" s="146" t="e">
        <f>SUMIF(#REF!,'Huella materiales'!A130,#REF!)</f>
        <v>#REF!</v>
      </c>
      <c r="U130" s="1535">
        <f>SUM(U131)</f>
        <v>0</v>
      </c>
      <c r="V130" s="1535"/>
      <c r="W130" s="1535" t="e">
        <f>SUM(W131:W133)</f>
        <v>#REF!</v>
      </c>
      <c r="X130" s="1535"/>
      <c r="Y130" s="1535">
        <f>SUM(Y131)</f>
        <v>0</v>
      </c>
      <c r="Z130" s="1535"/>
      <c r="AA130" s="1535">
        <f>SUM(AA131)</f>
        <v>0</v>
      </c>
      <c r="AB130" s="1535"/>
      <c r="AC130" s="1532">
        <f>SUM(AC131)</f>
        <v>0</v>
      </c>
      <c r="AD130" s="1533">
        <f>SUM(AD131:AD133)</f>
        <v>0</v>
      </c>
      <c r="AE130" s="1534"/>
      <c r="AF130" s="1523">
        <f>SUM(AF131)</f>
        <v>0</v>
      </c>
      <c r="AG130" s="1523" t="e">
        <f t="shared" ref="AG130:AR132" si="341">SUM(AG131:AG133)</f>
        <v>#REF!</v>
      </c>
      <c r="AH130" s="1523" t="e">
        <f t="shared" si="341"/>
        <v>#REF!</v>
      </c>
      <c r="AI130" s="1523" t="e">
        <f t="shared" si="341"/>
        <v>#REF!</v>
      </c>
      <c r="AJ130" s="1523" t="e">
        <f t="shared" si="341"/>
        <v>#REF!</v>
      </c>
      <c r="AK130" s="1523" t="e">
        <f t="shared" si="341"/>
        <v>#REF!</v>
      </c>
      <c r="AL130" s="1523" t="e">
        <f t="shared" si="341"/>
        <v>#REF!</v>
      </c>
      <c r="AM130" s="1523" t="e">
        <f t="shared" si="341"/>
        <v>#REF!</v>
      </c>
      <c r="AN130" s="1523" t="e">
        <f t="shared" si="341"/>
        <v>#REF!</v>
      </c>
      <c r="AO130" s="1523" t="e">
        <f t="shared" si="341"/>
        <v>#REF!</v>
      </c>
      <c r="AP130" s="1523" t="e">
        <f t="shared" si="341"/>
        <v>#REF!</v>
      </c>
      <c r="AQ130" s="1523" t="e">
        <f t="shared" si="341"/>
        <v>#REF!</v>
      </c>
      <c r="AR130" s="1523" t="e">
        <f t="shared" si="341"/>
        <v>#REF!</v>
      </c>
      <c r="AS130" s="1524" t="e">
        <f>AG130+AH130+AI130+AJ130+AK130+AM130+AN130+AO130+AP130+AQ130+AR130</f>
        <v>#REF!</v>
      </c>
      <c r="AT130" s="1515">
        <f>SUM(AF131:AF132)/$AX$5*$AX$7</f>
        <v>0</v>
      </c>
      <c r="AU130" s="1519">
        <f>AT130/$AX$8</f>
        <v>0</v>
      </c>
      <c r="AV130" s="1520"/>
      <c r="AW130" s="1520"/>
      <c r="AX130" s="1520"/>
      <c r="BF130" s="1526"/>
      <c r="BL130" s="1522"/>
      <c r="BM130" s="1522"/>
      <c r="BN130" s="1522"/>
      <c r="BO130" s="1522"/>
      <c r="BP130" s="1373" t="s">
        <v>589</v>
      </c>
    </row>
    <row r="131" spans="1:68" s="1521" customFormat="1">
      <c r="A131" s="1522" t="s">
        <v>1526</v>
      </c>
      <c r="B131" s="1513" t="s">
        <v>1591</v>
      </c>
      <c r="C131" s="169">
        <f>SUMIFS(BCRR_REHAB!L:L,BCRR_REHAB!D:D,'Huella materiales'!A131)</f>
        <v>0</v>
      </c>
      <c r="D131" s="1515" t="e">
        <f>SUMIF(#REF!,'Huella materiales'!A131,#REF!)</f>
        <v>#REF!</v>
      </c>
      <c r="E131" s="1515"/>
      <c r="F131" s="146" t="e">
        <f>SUMIF(#REF!,'Huella materiales'!A131,#REF!)</f>
        <v>#REF!</v>
      </c>
      <c r="G131" s="1515"/>
      <c r="H131" s="146" t="e">
        <f>SUMIF(#REF!,'Huella materiales'!A131,#REF!)</f>
        <v>#REF!</v>
      </c>
      <c r="I131" s="1515"/>
      <c r="J131" s="1515"/>
      <c r="K131" s="1515"/>
      <c r="L131" s="146" t="e">
        <f>SUMIF(#REF!,'Huella materiales'!A131,#REF!)</f>
        <v>#REF!</v>
      </c>
      <c r="M131" s="1515"/>
      <c r="N131" s="1515"/>
      <c r="O131" s="1515"/>
      <c r="P131" s="1515"/>
      <c r="Q131" s="1515"/>
      <c r="R131" s="1515"/>
      <c r="S131" s="1515"/>
      <c r="T131" s="146" t="e">
        <f>SUMIF(#REF!,'Huella materiales'!A131,#REF!)</f>
        <v>#REF!</v>
      </c>
      <c r="U131" s="1515"/>
      <c r="V131" s="1515"/>
      <c r="W131" s="1515"/>
      <c r="X131" s="1515"/>
      <c r="Y131" s="1515"/>
      <c r="Z131" s="1515"/>
      <c r="AA131" s="1515"/>
      <c r="AB131" s="1515"/>
      <c r="AC131" s="1516"/>
      <c r="AD131" s="1517"/>
      <c r="AE131" s="1518"/>
      <c r="AF131" s="1515"/>
      <c r="AG131" s="1515"/>
      <c r="AH131" s="1515"/>
      <c r="AI131" s="1515"/>
      <c r="AJ131" s="1515"/>
      <c r="AK131" s="1515"/>
      <c r="AL131" s="1515"/>
      <c r="AM131" s="1515"/>
      <c r="AN131" s="1515"/>
      <c r="AO131" s="1515"/>
      <c r="AP131" s="1515"/>
      <c r="AQ131" s="1515"/>
      <c r="AR131" s="1515"/>
      <c r="AS131" s="1515"/>
      <c r="AT131" s="1515"/>
      <c r="AU131" s="1519"/>
      <c r="AV131" s="1520"/>
      <c r="AW131" s="160"/>
      <c r="AX131" s="160"/>
      <c r="AY131"/>
      <c r="AZ131"/>
      <c r="BA131"/>
      <c r="BB131"/>
      <c r="BC131"/>
      <c r="BD131"/>
      <c r="BE131"/>
      <c r="BF131" s="34"/>
      <c r="BG131"/>
      <c r="BH131"/>
      <c r="BI131"/>
      <c r="BJ131"/>
      <c r="BL131" s="1522"/>
      <c r="BM131" s="1522"/>
      <c r="BN131" s="1522"/>
      <c r="BO131" s="1522"/>
      <c r="BP131" s="1373"/>
    </row>
    <row r="132" spans="1:68" ht="15.5">
      <c r="B132" s="163" t="s">
        <v>1587</v>
      </c>
      <c r="C132" s="169">
        <f>SUMIFS(BCRR_REHAB!L:L,BCRR_REHAB!D:D,'Huella materiales'!A132)</f>
        <v>0</v>
      </c>
      <c r="D132" s="987"/>
      <c r="E132" s="1014" t="e">
        <f>SUM(E133:E135)</f>
        <v>#REF!</v>
      </c>
      <c r="F132" s="987"/>
      <c r="G132" s="987" t="e">
        <f>SUM(G133:G135)</f>
        <v>#REF!</v>
      </c>
      <c r="H132" s="987"/>
      <c r="I132" s="987" t="e">
        <f>SUM(I133:I135)</f>
        <v>#REF!</v>
      </c>
      <c r="J132" s="987"/>
      <c r="K132" s="987" t="e">
        <f>SUM(K133:K135)</f>
        <v>#REF!</v>
      </c>
      <c r="L132" s="987"/>
      <c r="M132" s="987" t="e">
        <f>SUM(M133:M135)</f>
        <v>#REF!</v>
      </c>
      <c r="N132" s="987"/>
      <c r="O132" s="987" t="e">
        <f>SUM(O133:O135)</f>
        <v>#REF!</v>
      </c>
      <c r="P132" s="987"/>
      <c r="Q132" s="987" t="e">
        <f>SUM(Q133:Q135)</f>
        <v>#REF!</v>
      </c>
      <c r="R132" s="987"/>
      <c r="S132" s="987" t="e">
        <f>SUM(S133:S135)</f>
        <v>#REF!</v>
      </c>
      <c r="T132" s="987"/>
      <c r="U132" s="987" t="e">
        <f>SUM(U133:U135)</f>
        <v>#REF!</v>
      </c>
      <c r="V132" s="987"/>
      <c r="W132" s="987" t="e">
        <f>SUM(W133:W135)</f>
        <v>#REF!</v>
      </c>
      <c r="X132" s="987"/>
      <c r="Y132" s="987" t="e">
        <f>SUM(Y133:Y135)</f>
        <v>#REF!</v>
      </c>
      <c r="Z132" s="987"/>
      <c r="AA132" s="987" t="e">
        <f>SUM(AA133:AA135)</f>
        <v>#REF!</v>
      </c>
      <c r="AB132" s="987"/>
      <c r="AC132" s="1028" t="e">
        <f>SUM(AC133:AC135)</f>
        <v>#REF!</v>
      </c>
      <c r="AD132" s="1026">
        <f>SUM(AD133:AD135)</f>
        <v>0</v>
      </c>
      <c r="AE132" s="1019"/>
      <c r="AF132" s="1080">
        <f>SUM(AF133:AF135)</f>
        <v>0</v>
      </c>
      <c r="AG132" s="1080" t="e">
        <f t="shared" si="341"/>
        <v>#REF!</v>
      </c>
      <c r="AH132" s="1080" t="e">
        <f t="shared" si="341"/>
        <v>#REF!</v>
      </c>
      <c r="AI132" s="1080" t="e">
        <f>SUM(AI133:AI135)</f>
        <v>#REF!</v>
      </c>
      <c r="AJ132" s="1080" t="e">
        <f t="shared" si="341"/>
        <v>#REF!</v>
      </c>
      <c r="AK132" s="1080" t="e">
        <f>SUM(AK133:AK135)</f>
        <v>#REF!</v>
      </c>
      <c r="AL132" s="1080" t="e">
        <f t="shared" si="341"/>
        <v>#REF!</v>
      </c>
      <c r="AM132" s="1080" t="e">
        <f t="shared" si="341"/>
        <v>#REF!</v>
      </c>
      <c r="AN132" s="1080" t="e">
        <f t="shared" si="341"/>
        <v>#REF!</v>
      </c>
      <c r="AO132" s="1080" t="e">
        <f t="shared" si="341"/>
        <v>#REF!</v>
      </c>
      <c r="AP132" s="1080" t="e">
        <f t="shared" si="341"/>
        <v>#REF!</v>
      </c>
      <c r="AQ132" s="1080" t="e">
        <f t="shared" si="341"/>
        <v>#REF!</v>
      </c>
      <c r="AR132" s="1080" t="e">
        <f t="shared" si="341"/>
        <v>#REF!</v>
      </c>
      <c r="AS132" s="1083" t="e">
        <f>AG132+AH132+AI132+AJ132+AK132+AM132+AN132+AO132+AP132+AQ132+AR132</f>
        <v>#REF!</v>
      </c>
      <c r="AT132" s="165">
        <f>SUM(AF133:AF134)/$AX$5*$AX$7</f>
        <v>0</v>
      </c>
      <c r="AU132" s="166">
        <f>AT132/$AX$8</f>
        <v>0</v>
      </c>
      <c r="AV132" s="160"/>
      <c r="AW132" s="160"/>
      <c r="AX132" s="160"/>
      <c r="AY132"/>
      <c r="AZ132"/>
      <c r="BA132"/>
      <c r="BF132" s="34"/>
      <c r="BL132" s="16"/>
      <c r="BM132" s="16"/>
      <c r="BN132" s="16"/>
      <c r="BO132" s="16"/>
      <c r="BP132" s="10" t="s">
        <v>589</v>
      </c>
    </row>
    <row r="133" spans="1:68">
      <c r="B133" s="175" t="s">
        <v>90</v>
      </c>
      <c r="C133" s="169">
        <f>SUMIFS(BCRR_REHAB!L:L,BCRR_REHAB!D:D,'Huella materiales'!A133)</f>
        <v>0</v>
      </c>
      <c r="D133" s="146" t="e">
        <f>SUMIF(#REF!,'Huella materiales'!A133,#REF!)</f>
        <v>#REF!</v>
      </c>
      <c r="E133" s="1013" t="e">
        <f>D133*AB133</f>
        <v>#REF!</v>
      </c>
      <c r="F133" s="146" t="e">
        <f>SUMIF(#REF!,'Huella materiales'!A133,#REF!)</f>
        <v>#REF!</v>
      </c>
      <c r="G133" s="1013" t="e">
        <f>F133*AB133</f>
        <v>#REF!</v>
      </c>
      <c r="H133" s="146" t="e">
        <f>SUMIF(#REF!,'Huella materiales'!A133,#REF!)</f>
        <v>#REF!</v>
      </c>
      <c r="I133" s="1013" t="e">
        <f>H133*AB133</f>
        <v>#REF!</v>
      </c>
      <c r="J133" s="146" t="e">
        <f>SUMIF(#REF!,'Huella materiales'!A133,#REF!)</f>
        <v>#REF!</v>
      </c>
      <c r="K133" s="1013" t="e">
        <f>J133*AB133</f>
        <v>#REF!</v>
      </c>
      <c r="L133" s="146" t="e">
        <f>SUMIF(#REF!,'Huella materiales'!A133,#REF!)</f>
        <v>#REF!</v>
      </c>
      <c r="M133" s="1013" t="e">
        <f>L133*AB133</f>
        <v>#REF!</v>
      </c>
      <c r="N133" s="146" t="e">
        <f>SUMIF(#REF!,'Huella materiales'!A133,#REF!)</f>
        <v>#REF!</v>
      </c>
      <c r="O133" s="1013" t="e">
        <f>N133*AB133</f>
        <v>#REF!</v>
      </c>
      <c r="P133" s="146" t="e">
        <f>SUMIF(#REF!,'Huella materiales'!A133,#REF!)</f>
        <v>#REF!</v>
      </c>
      <c r="Q133" s="1013" t="e">
        <f>P133*AB133</f>
        <v>#REF!</v>
      </c>
      <c r="R133" s="146" t="e">
        <f>SUMIF(#REF!,'Huella materiales'!A133,#REF!)</f>
        <v>#REF!</v>
      </c>
      <c r="S133" s="1013" t="e">
        <f>R133*AB133</f>
        <v>#REF!</v>
      </c>
      <c r="T133" s="146" t="e">
        <f>SUMIF(#REF!,'Huella materiales'!A133,#REF!)</f>
        <v>#REF!</v>
      </c>
      <c r="U133" s="1013" t="e">
        <f>T133*AB133</f>
        <v>#REF!</v>
      </c>
      <c r="V133" s="146" t="e">
        <f>SUMIF(#REF!,'Huella materiales'!A133,#REF!)</f>
        <v>#REF!</v>
      </c>
      <c r="W133" s="1013" t="e">
        <f>V133*AB133</f>
        <v>#REF!</v>
      </c>
      <c r="X133" s="146" t="e">
        <f>SUMIF(#REF!,'Huella materiales'!A133,#REF!)</f>
        <v>#REF!</v>
      </c>
      <c r="Y133" s="1013" t="e">
        <f>X133*AB133</f>
        <v>#REF!</v>
      </c>
      <c r="Z133" s="146" t="e">
        <f>SUMIF(#REF!,'Huella materiales'!A133,#REF!)</f>
        <v>#REF!</v>
      </c>
      <c r="AA133" s="1013" t="e">
        <f>Z133*AB133</f>
        <v>#REF!</v>
      </c>
      <c r="AB133" s="1030">
        <f>'Datos auxiliares materiales'!C74</f>
        <v>0.74690000000000001</v>
      </c>
      <c r="AC133" s="1017" t="e">
        <f>E133+G133+I133+K133+M133+O133+Q133+S133+U133+W133+Y133+AA133</f>
        <v>#REF!</v>
      </c>
      <c r="AD133" s="1022">
        <f>C133*AB133</f>
        <v>0</v>
      </c>
      <c r="AE133" s="1077">
        <f>'Datos auxiliares materiales'!D74</f>
        <v>85</v>
      </c>
      <c r="AF133" s="170">
        <f>C133*AB133*AE133</f>
        <v>0</v>
      </c>
      <c r="AG133" s="170" t="e">
        <f>D133*AB133*AE133</f>
        <v>#REF!</v>
      </c>
      <c r="AH133" s="170" t="e">
        <f>F133*AB133*AE133</f>
        <v>#REF!</v>
      </c>
      <c r="AI133" s="170" t="e">
        <f>H133*AB133*AE133</f>
        <v>#REF!</v>
      </c>
      <c r="AJ133" s="170" t="e">
        <f>J133*AB133*AE133</f>
        <v>#REF!</v>
      </c>
      <c r="AK133" s="170" t="e">
        <f>L133*AB133*AE133</f>
        <v>#REF!</v>
      </c>
      <c r="AL133" s="170" t="e">
        <f>N133*$AB$49*$AE$49</f>
        <v>#REF!</v>
      </c>
      <c r="AM133" s="170" t="e">
        <f>P133*AB133*AE133</f>
        <v>#REF!</v>
      </c>
      <c r="AN133" s="170" t="e">
        <f>R133*AB133*AE133</f>
        <v>#REF!</v>
      </c>
      <c r="AO133" s="170" t="e">
        <f>T133*AB133*AE133</f>
        <v>#REF!</v>
      </c>
      <c r="AP133" s="170" t="e">
        <f>V133*AB133*AE133</f>
        <v>#REF!</v>
      </c>
      <c r="AQ133" s="170" t="e">
        <f>X133*AB133*AE133</f>
        <v>#REF!</v>
      </c>
      <c r="AR133" s="170" t="e">
        <f>Z133*AB133*AE133</f>
        <v>#REF!</v>
      </c>
      <c r="AS133" s="1082" t="e">
        <f>AG133+AH133+AI133+AJ133+AK133+AM133+AN133+AO133+AP133+AQ133+AR133</f>
        <v>#REF!</v>
      </c>
      <c r="AT133" s="170"/>
      <c r="AU133" s="171"/>
      <c r="AV133" s="160"/>
      <c r="AW133" s="160"/>
      <c r="AX133" s="160"/>
      <c r="AY133"/>
      <c r="AZ133"/>
      <c r="BA133"/>
      <c r="BF133" s="34"/>
      <c r="BL133" s="16"/>
      <c r="BM133" s="16"/>
      <c r="BN133" s="16"/>
      <c r="BO133" s="16"/>
      <c r="BP133" s="10" t="s">
        <v>590</v>
      </c>
    </row>
    <row r="134" spans="1:68">
      <c r="A134" s="10" t="s">
        <v>1142</v>
      </c>
      <c r="B134" s="175" t="s">
        <v>268</v>
      </c>
      <c r="C134" s="169">
        <f>SUMIFS(BCRR_REHAB!L:L,BCRR_REHAB!D:D,'Huella materiales'!A134)</f>
        <v>0</v>
      </c>
      <c r="D134" s="146" t="e">
        <f>SUMIF(#REF!,'Huella materiales'!A134,#REF!)</f>
        <v>#REF!</v>
      </c>
      <c r="E134" s="1013" t="e">
        <f>D134*AB134</f>
        <v>#REF!</v>
      </c>
      <c r="F134" s="146" t="e">
        <f>SUMIF(#REF!,'Huella materiales'!A134,#REF!)</f>
        <v>#REF!</v>
      </c>
      <c r="G134" s="1013" t="e">
        <f>F134*AB134</f>
        <v>#REF!</v>
      </c>
      <c r="H134" s="146" t="e">
        <f>SUMIF(#REF!,'Huella materiales'!A134,#REF!)</f>
        <v>#REF!</v>
      </c>
      <c r="I134" s="1013" t="e">
        <f>H134*AB134</f>
        <v>#REF!</v>
      </c>
      <c r="J134" s="146" t="e">
        <f>SUMIF(#REF!,'Huella materiales'!A134,#REF!)</f>
        <v>#REF!</v>
      </c>
      <c r="K134" s="1013" t="e">
        <f>J134*AB134</f>
        <v>#REF!</v>
      </c>
      <c r="L134" s="146" t="e">
        <f>SUMIF(#REF!,'Huella materiales'!A134,#REF!)</f>
        <v>#REF!</v>
      </c>
      <c r="M134" s="1013" t="e">
        <f>L134*AB134</f>
        <v>#REF!</v>
      </c>
      <c r="N134" s="146" t="e">
        <f>SUMIF(#REF!,'Huella materiales'!A134,#REF!)</f>
        <v>#REF!</v>
      </c>
      <c r="O134" s="1013" t="e">
        <f>N134*AB134</f>
        <v>#REF!</v>
      </c>
      <c r="P134" s="146" t="e">
        <f>SUMIF(#REF!,'Huella materiales'!A134,#REF!)</f>
        <v>#REF!</v>
      </c>
      <c r="Q134" s="1013" t="e">
        <f>P134*AB134</f>
        <v>#REF!</v>
      </c>
      <c r="R134" s="146" t="e">
        <f>SUMIF(#REF!,'Huella materiales'!A134,#REF!)</f>
        <v>#REF!</v>
      </c>
      <c r="S134" s="1013" t="e">
        <f>R134*AB134</f>
        <v>#REF!</v>
      </c>
      <c r="T134" s="146" t="e">
        <f>SUMIF(#REF!,'Huella materiales'!A134,#REF!)</f>
        <v>#REF!</v>
      </c>
      <c r="U134" s="1013" t="e">
        <f>T134*AB134</f>
        <v>#REF!</v>
      </c>
      <c r="V134" s="146" t="e">
        <f>SUMIF(#REF!,'Huella materiales'!A134,#REF!)</f>
        <v>#REF!</v>
      </c>
      <c r="W134" s="1013" t="e">
        <f>V134*AB134</f>
        <v>#REF!</v>
      </c>
      <c r="X134" s="146" t="e">
        <f>SUMIF(#REF!,'Huella materiales'!A134,#REF!)</f>
        <v>#REF!</v>
      </c>
      <c r="Y134" s="1013" t="e">
        <f>X134*AB134</f>
        <v>#REF!</v>
      </c>
      <c r="Z134" s="146" t="e">
        <f>SUMIF(#REF!,'Huella materiales'!A134,#REF!)</f>
        <v>#REF!</v>
      </c>
      <c r="AA134" s="1013" t="e">
        <f>Z134*AB134</f>
        <v>#REF!</v>
      </c>
      <c r="AB134" s="1030">
        <f>'Datos auxiliares materiales'!C75</f>
        <v>0.185</v>
      </c>
      <c r="AC134" s="1017" t="e">
        <f>E134+G134+I134+K134+M134+O134+Q134+S134+U134+W134+Y134+AA134</f>
        <v>#REF!</v>
      </c>
      <c r="AD134" s="1022">
        <f>C134*AB134</f>
        <v>0</v>
      </c>
      <c r="AE134" s="1077">
        <f>'Datos auxiliares materiales'!D75</f>
        <v>85</v>
      </c>
      <c r="AF134" s="170">
        <f>C134*AB134*AE134</f>
        <v>0</v>
      </c>
      <c r="AG134" s="170" t="e">
        <f>D134*AB134*AE134</f>
        <v>#REF!</v>
      </c>
      <c r="AH134" s="170" t="e">
        <f>F134*AB134*AE134</f>
        <v>#REF!</v>
      </c>
      <c r="AI134" s="170" t="e">
        <f>H134*AB134*AE134</f>
        <v>#REF!</v>
      </c>
      <c r="AJ134" s="170" t="e">
        <f>J134*AB134*AE134</f>
        <v>#REF!</v>
      </c>
      <c r="AK134" s="170" t="e">
        <f>L134*AB134*AE134</f>
        <v>#REF!</v>
      </c>
      <c r="AL134" s="170" t="e">
        <f>N134*$AB$49*$AE$49</f>
        <v>#REF!</v>
      </c>
      <c r="AM134" s="170" t="e">
        <f>P134*AB134*AE134</f>
        <v>#REF!</v>
      </c>
      <c r="AN134" s="170" t="e">
        <f>R134*AB134*AE134</f>
        <v>#REF!</v>
      </c>
      <c r="AO134" s="170" t="e">
        <f>T134*AB134*AE134</f>
        <v>#REF!</v>
      </c>
      <c r="AP134" s="170" t="e">
        <f>V134*AB134*AE134</f>
        <v>#REF!</v>
      </c>
      <c r="AQ134" s="170" t="e">
        <f>X134*AB134*AE134</f>
        <v>#REF!</v>
      </c>
      <c r="AR134" s="170" t="e">
        <f>Z134*AB134*AE134</f>
        <v>#REF!</v>
      </c>
      <c r="AS134" s="1082" t="e">
        <f>AG134+AH134+AI134+AJ134+AK134+AM134+AN134+AO134+AP134+AQ134+AR134</f>
        <v>#REF!</v>
      </c>
      <c r="AT134" s="170"/>
      <c r="AU134" s="171"/>
      <c r="AV134" s="160"/>
      <c r="AW134" s="160"/>
      <c r="AX134" s="160"/>
      <c r="AY134"/>
      <c r="AZ134"/>
      <c r="BA134"/>
      <c r="BF134" s="34"/>
      <c r="BL134" s="16"/>
      <c r="BM134" s="16"/>
      <c r="BN134" s="16"/>
      <c r="BO134" s="16"/>
      <c r="BP134" s="10" t="s">
        <v>591</v>
      </c>
    </row>
    <row r="135" spans="1:68">
      <c r="A135" s="10" t="s">
        <v>1159</v>
      </c>
      <c r="B135" s="175" t="s">
        <v>268</v>
      </c>
      <c r="C135" s="169">
        <f>SUMIFS(BCRR_REHAB!L:L,BCRR_REHAB!D:D,'Huella materiales'!A135)</f>
        <v>0</v>
      </c>
      <c r="D135" s="146" t="e">
        <f>SUMIF(#REF!,'Huella materiales'!A135,#REF!)</f>
        <v>#REF!</v>
      </c>
      <c r="E135" s="1013" t="e">
        <f>D135*AB135</f>
        <v>#REF!</v>
      </c>
      <c r="F135" s="146" t="e">
        <f>SUMIF(#REF!,'Huella materiales'!A135,#REF!)</f>
        <v>#REF!</v>
      </c>
      <c r="G135" s="1013" t="e">
        <f>F135*AB135</f>
        <v>#REF!</v>
      </c>
      <c r="H135" s="146" t="e">
        <f>SUMIF(#REF!,'Huella materiales'!A135,#REF!)</f>
        <v>#REF!</v>
      </c>
      <c r="I135" s="1013" t="e">
        <f>H135*AB135</f>
        <v>#REF!</v>
      </c>
      <c r="J135" s="146" t="e">
        <f>SUMIF(#REF!,'Huella materiales'!A135,#REF!)</f>
        <v>#REF!</v>
      </c>
      <c r="K135" s="1013" t="e">
        <f>J135*AB135</f>
        <v>#REF!</v>
      </c>
      <c r="L135" s="146" t="e">
        <f>SUMIF(#REF!,'Huella materiales'!A135,#REF!)</f>
        <v>#REF!</v>
      </c>
      <c r="M135" s="1013" t="e">
        <f>L135*AB135</f>
        <v>#REF!</v>
      </c>
      <c r="N135" s="146" t="e">
        <f>SUMIF(#REF!,'Huella materiales'!A135,#REF!)</f>
        <v>#REF!</v>
      </c>
      <c r="O135" s="1013" t="e">
        <f>N135*AB135</f>
        <v>#REF!</v>
      </c>
      <c r="P135" s="146" t="e">
        <f>SUMIF(#REF!,'Huella materiales'!A135,#REF!)</f>
        <v>#REF!</v>
      </c>
      <c r="Q135" s="1013" t="e">
        <f>P135*AB135</f>
        <v>#REF!</v>
      </c>
      <c r="R135" s="146" t="e">
        <f>SUMIF(#REF!,'Huella materiales'!A135,#REF!)</f>
        <v>#REF!</v>
      </c>
      <c r="S135" s="1013" t="e">
        <f>R135*AB135</f>
        <v>#REF!</v>
      </c>
      <c r="T135" s="146" t="e">
        <f>SUMIF(#REF!,'Huella materiales'!A135,#REF!)</f>
        <v>#REF!</v>
      </c>
      <c r="U135" s="1013" t="e">
        <f>T135*AB135</f>
        <v>#REF!</v>
      </c>
      <c r="V135" s="146" t="e">
        <f>SUMIF(#REF!,'Huella materiales'!A135,#REF!)</f>
        <v>#REF!</v>
      </c>
      <c r="W135" s="1013" t="e">
        <f>V135*AB135</f>
        <v>#REF!</v>
      </c>
      <c r="X135" s="146" t="e">
        <f>SUMIF(#REF!,'Huella materiales'!A135,#REF!)</f>
        <v>#REF!</v>
      </c>
      <c r="Y135" s="1013" t="e">
        <f>X135*AB135</f>
        <v>#REF!</v>
      </c>
      <c r="Z135" s="146" t="e">
        <f>SUMIF(#REF!,'Huella materiales'!A135,#REF!)</f>
        <v>#REF!</v>
      </c>
      <c r="AA135" s="1013" t="e">
        <f>Z135*AB135</f>
        <v>#REF!</v>
      </c>
      <c r="AB135" s="1030">
        <f>'Datos auxiliares materiales'!C75</f>
        <v>0.185</v>
      </c>
      <c r="AC135" s="1017" t="e">
        <f>E135+G135+I135+K135+M135+O135+Q135+S135+U135+W135+Y135+AA135</f>
        <v>#REF!</v>
      </c>
      <c r="AD135" s="1022">
        <f>C135*AB135</f>
        <v>0</v>
      </c>
      <c r="AE135" s="1077">
        <f>'Datos auxiliares materiales'!D75</f>
        <v>85</v>
      </c>
      <c r="AF135" s="170">
        <f>C135*AB135*AE135</f>
        <v>0</v>
      </c>
      <c r="AG135" s="170" t="e">
        <f>D135*AB135*AE135</f>
        <v>#REF!</v>
      </c>
      <c r="AH135" s="170" t="e">
        <f>F135*AB135*AE135</f>
        <v>#REF!</v>
      </c>
      <c r="AI135" s="170" t="e">
        <f>H135*AB135*AE135</f>
        <v>#REF!</v>
      </c>
      <c r="AJ135" s="170" t="e">
        <f>J135*AB135*AE135</f>
        <v>#REF!</v>
      </c>
      <c r="AK135" s="170" t="e">
        <f>L135*AB135*AE135</f>
        <v>#REF!</v>
      </c>
      <c r="AL135" s="170" t="e">
        <f>N135*$AB$49*$AE$49</f>
        <v>#REF!</v>
      </c>
      <c r="AM135" s="170" t="e">
        <f>P135*AB135*AE135</f>
        <v>#REF!</v>
      </c>
      <c r="AN135" s="170" t="e">
        <f>R135*AB135*AE135</f>
        <v>#REF!</v>
      </c>
      <c r="AO135" s="170" t="e">
        <f>T135*AB135*AE135</f>
        <v>#REF!</v>
      </c>
      <c r="AP135" s="170" t="e">
        <f>V135*AB135*AE135</f>
        <v>#REF!</v>
      </c>
      <c r="AQ135" s="170" t="e">
        <f>X135*AB135*AE135</f>
        <v>#REF!</v>
      </c>
      <c r="AR135" s="170" t="e">
        <f>Z135*AB135*AE135</f>
        <v>#REF!</v>
      </c>
      <c r="AS135" s="1082" t="e">
        <f>AG135+AH135+AI135+AJ135+AK135+AM135+AN135+AO135+AP135+AQ135+AR135</f>
        <v>#REF!</v>
      </c>
      <c r="AT135" s="170"/>
      <c r="AU135" s="171"/>
      <c r="AV135" s="160"/>
      <c r="AW135" s="160"/>
      <c r="AX135" s="160"/>
      <c r="AY135" s="22"/>
      <c r="AZ135" s="22"/>
      <c r="BA135" s="22"/>
      <c r="BB135" s="22"/>
      <c r="BC135" s="22"/>
      <c r="BD135" s="22"/>
      <c r="BE135" s="22"/>
      <c r="BF135" s="34"/>
      <c r="BG135" s="22"/>
      <c r="BH135" s="22"/>
      <c r="BI135" s="22"/>
      <c r="BJ135" s="22"/>
      <c r="BL135" s="16"/>
      <c r="BM135" s="16"/>
      <c r="BN135" s="16"/>
      <c r="BO135" s="16"/>
      <c r="BP135" s="10" t="s">
        <v>591</v>
      </c>
    </row>
    <row r="136" spans="1:68" ht="15.5">
      <c r="B136" s="163" t="s">
        <v>1586</v>
      </c>
      <c r="C136" s="169">
        <f>SUMIFS(BCRR_REHAB!L:L,BCRR_REHAB!D:D,'Huella materiales'!A136)</f>
        <v>0</v>
      </c>
      <c r="D136" s="987"/>
      <c r="E136" s="1014" t="e">
        <f t="shared" ref="E136:AF136" si="342">SUM(E137:E142)</f>
        <v>#REF!</v>
      </c>
      <c r="F136" s="987"/>
      <c r="G136" s="987" t="e">
        <f t="shared" si="342"/>
        <v>#REF!</v>
      </c>
      <c r="H136" s="987"/>
      <c r="I136" s="987" t="e">
        <f t="shared" si="342"/>
        <v>#REF!</v>
      </c>
      <c r="J136" s="987"/>
      <c r="K136" s="987" t="e">
        <f t="shared" si="342"/>
        <v>#REF!</v>
      </c>
      <c r="L136" s="987"/>
      <c r="M136" s="987" t="e">
        <f t="shared" si="342"/>
        <v>#REF!</v>
      </c>
      <c r="N136" s="987"/>
      <c r="O136" s="987" t="e">
        <f t="shared" si="342"/>
        <v>#REF!</v>
      </c>
      <c r="P136" s="987"/>
      <c r="Q136" s="987" t="e">
        <f t="shared" si="342"/>
        <v>#REF!</v>
      </c>
      <c r="R136" s="987"/>
      <c r="S136" s="987" t="e">
        <f t="shared" si="342"/>
        <v>#REF!</v>
      </c>
      <c r="T136" s="987"/>
      <c r="U136" s="987" t="e">
        <f t="shared" si="342"/>
        <v>#REF!</v>
      </c>
      <c r="V136" s="987"/>
      <c r="W136" s="987" t="e">
        <f t="shared" si="342"/>
        <v>#REF!</v>
      </c>
      <c r="X136" s="987"/>
      <c r="Y136" s="987" t="e">
        <f t="shared" si="342"/>
        <v>#REF!</v>
      </c>
      <c r="Z136" s="987"/>
      <c r="AA136" s="987" t="e">
        <f t="shared" si="342"/>
        <v>#REF!</v>
      </c>
      <c r="AB136" s="987"/>
      <c r="AC136" s="1028" t="e">
        <f t="shared" si="342"/>
        <v>#REF!</v>
      </c>
      <c r="AD136" s="1026">
        <f t="shared" si="342"/>
        <v>0</v>
      </c>
      <c r="AE136" s="1019"/>
      <c r="AF136" s="1080">
        <f t="shared" si="342"/>
        <v>0</v>
      </c>
      <c r="AG136" s="1080" t="e">
        <f t="shared" ref="AG136:AR136" si="343">SUM(AG137:AG142)</f>
        <v>#REF!</v>
      </c>
      <c r="AH136" s="1080" t="e">
        <f t="shared" si="343"/>
        <v>#REF!</v>
      </c>
      <c r="AI136" s="1080" t="e">
        <f>SUM(AI137:AI142)</f>
        <v>#REF!</v>
      </c>
      <c r="AJ136" s="1080" t="e">
        <f t="shared" si="343"/>
        <v>#REF!</v>
      </c>
      <c r="AK136" s="1080" t="e">
        <f>SUM(AK137:AK142)</f>
        <v>#REF!</v>
      </c>
      <c r="AL136" s="1080" t="e">
        <f t="shared" si="343"/>
        <v>#REF!</v>
      </c>
      <c r="AM136" s="1080" t="e">
        <f t="shared" si="343"/>
        <v>#REF!</v>
      </c>
      <c r="AN136" s="1080" t="e">
        <f t="shared" si="343"/>
        <v>#REF!</v>
      </c>
      <c r="AO136" s="1080" t="e">
        <f t="shared" si="343"/>
        <v>#REF!</v>
      </c>
      <c r="AP136" s="1080" t="e">
        <f t="shared" si="343"/>
        <v>#REF!</v>
      </c>
      <c r="AQ136" s="1080" t="e">
        <f t="shared" si="343"/>
        <v>#REF!</v>
      </c>
      <c r="AR136" s="1080" t="e">
        <f t="shared" si="343"/>
        <v>#REF!</v>
      </c>
      <c r="AS136" s="1083" t="e">
        <f>AG136+AH136+AI136+AJ136+AK136+AL136+AM136+AN136+AO136+AP136+AQ136+AR136</f>
        <v>#REF!</v>
      </c>
      <c r="AT136" s="165">
        <f>SUM(AF137:AF142)/$AX$5*$AX$7</f>
        <v>0</v>
      </c>
      <c r="AU136" s="166">
        <f>AT136/$AX$8</f>
        <v>0</v>
      </c>
      <c r="AV136" s="160"/>
      <c r="AW136" s="160"/>
      <c r="AX136" s="160"/>
      <c r="AY136"/>
      <c r="AZ136"/>
      <c r="BA136"/>
      <c r="BF136" s="34"/>
      <c r="BK136" s="22"/>
      <c r="BL136" s="16"/>
      <c r="BM136" s="16"/>
      <c r="BN136" s="16"/>
      <c r="BO136" s="16"/>
      <c r="BP136" s="10" t="s">
        <v>592</v>
      </c>
    </row>
    <row r="137" spans="1:68">
      <c r="A137" s="10" t="s">
        <v>1141</v>
      </c>
      <c r="B137" s="175" t="s">
        <v>99</v>
      </c>
      <c r="C137" s="169">
        <f>SUMIFS(BCRR_REHAB!L:L,BCRR_REHAB!D:D,'Huella materiales'!A137)</f>
        <v>0</v>
      </c>
      <c r="D137" s="146" t="e">
        <f>SUMIF(#REF!,'Huella materiales'!A137,#REF!)</f>
        <v>#REF!</v>
      </c>
      <c r="E137" s="1013" t="e">
        <f t="shared" ref="E137:E142" si="344">D137*AB137</f>
        <v>#REF!</v>
      </c>
      <c r="F137" s="146" t="e">
        <f>SUMIF(#REF!,'Huella materiales'!A137,#REF!)</f>
        <v>#REF!</v>
      </c>
      <c r="G137" s="1013" t="e">
        <f t="shared" ref="G137:G142" si="345">F137*AB137</f>
        <v>#REF!</v>
      </c>
      <c r="H137" s="146" t="e">
        <f>SUMIF(#REF!,'Huella materiales'!A137,#REF!)</f>
        <v>#REF!</v>
      </c>
      <c r="I137" s="1013" t="e">
        <f t="shared" ref="I137:I142" si="346">H137*AB137</f>
        <v>#REF!</v>
      </c>
      <c r="J137" s="146" t="e">
        <f>SUMIF(#REF!,'Huella materiales'!A137,#REF!)</f>
        <v>#REF!</v>
      </c>
      <c r="K137" s="1013" t="e">
        <f t="shared" ref="K137:K142" si="347">J137*AB137</f>
        <v>#REF!</v>
      </c>
      <c r="L137" s="146" t="e">
        <f>SUMIF(#REF!,'Huella materiales'!A137,#REF!)</f>
        <v>#REF!</v>
      </c>
      <c r="M137" s="1013" t="e">
        <f t="shared" ref="M137:M142" si="348">L137*AB137</f>
        <v>#REF!</v>
      </c>
      <c r="N137" s="146" t="e">
        <f>SUMIF(#REF!,'Huella materiales'!A137,#REF!)</f>
        <v>#REF!</v>
      </c>
      <c r="O137" s="1013" t="e">
        <f t="shared" ref="O137:O142" si="349">N137*AB137</f>
        <v>#REF!</v>
      </c>
      <c r="P137" s="146" t="e">
        <f>SUMIF(#REF!,'Huella materiales'!A137,#REF!)</f>
        <v>#REF!</v>
      </c>
      <c r="Q137" s="1013" t="e">
        <f t="shared" ref="Q137:Q142" si="350">P137*AB137</f>
        <v>#REF!</v>
      </c>
      <c r="R137" s="146" t="e">
        <f>SUMIF(#REF!,'Huella materiales'!A137,#REF!)</f>
        <v>#REF!</v>
      </c>
      <c r="S137" s="1013" t="e">
        <f t="shared" ref="S137:S142" si="351">R137*AB137</f>
        <v>#REF!</v>
      </c>
      <c r="T137" s="146" t="e">
        <f>SUMIF(#REF!,'Huella materiales'!A137,#REF!)</f>
        <v>#REF!</v>
      </c>
      <c r="U137" s="1013" t="e">
        <f t="shared" ref="U137:U142" si="352">T137*AB137</f>
        <v>#REF!</v>
      </c>
      <c r="V137" s="146" t="e">
        <f>SUMIF(#REF!,'Huella materiales'!A137,#REF!)</f>
        <v>#REF!</v>
      </c>
      <c r="W137" s="1013" t="e">
        <f t="shared" ref="W137:W142" si="353">V137*AB137</f>
        <v>#REF!</v>
      </c>
      <c r="X137" s="146" t="e">
        <f>SUMIF(#REF!,'Huella materiales'!A137,#REF!)</f>
        <v>#REF!</v>
      </c>
      <c r="Y137" s="1013" t="e">
        <f t="shared" ref="Y137:Y142" si="354">X137*AB137</f>
        <v>#REF!</v>
      </c>
      <c r="Z137" s="146" t="e">
        <f>SUMIF(#REF!,'Huella materiales'!A137,#REF!)</f>
        <v>#REF!</v>
      </c>
      <c r="AA137" s="1013" t="e">
        <f t="shared" ref="AA137:AA142" si="355">Z137*AB137</f>
        <v>#REF!</v>
      </c>
      <c r="AB137" s="1030">
        <f>'Datos auxiliares materiales'!C77</f>
        <v>12</v>
      </c>
      <c r="AC137" s="1017" t="e">
        <f t="shared" ref="AC137:AC142" si="356">E137+G137+I137+K137+M137+O137+Q137+S137+U137+W137+Y137+AA137</f>
        <v>#REF!</v>
      </c>
      <c r="AD137" s="1022">
        <f t="shared" ref="AD137:AD142" si="357">C137*AB137</f>
        <v>0</v>
      </c>
      <c r="AE137" s="1077">
        <f>'Datos auxiliares materiales'!D77</f>
        <v>110</v>
      </c>
      <c r="AF137" s="170">
        <f>C137*$AB$137*$AE$137</f>
        <v>0</v>
      </c>
      <c r="AG137" s="170" t="e">
        <f t="shared" ref="AG137:AG142" si="358">D137*AB137*AE137</f>
        <v>#REF!</v>
      </c>
      <c r="AH137" s="170" t="e">
        <f t="shared" ref="AH137:AH142" si="359">F137*AB137*AE137</f>
        <v>#REF!</v>
      </c>
      <c r="AI137" s="170" t="e">
        <f t="shared" ref="AI137:AI142" si="360">H137*AB137*AE137</f>
        <v>#REF!</v>
      </c>
      <c r="AJ137" s="170" t="e">
        <f t="shared" ref="AJ137:AJ142" si="361">J137*AB137*AE137</f>
        <v>#REF!</v>
      </c>
      <c r="AK137" s="170" t="e">
        <f t="shared" ref="AK137:AK142" si="362">L137*AB137*AE137</f>
        <v>#REF!</v>
      </c>
      <c r="AL137" s="170" t="e">
        <f t="shared" ref="AL137:AL142" si="363">N137*AB137*AE137</f>
        <v>#REF!</v>
      </c>
      <c r="AM137" s="170" t="e">
        <f t="shared" ref="AM137:AM142" si="364">P137*AB137*AE137</f>
        <v>#REF!</v>
      </c>
      <c r="AN137" s="170" t="e">
        <f t="shared" ref="AN137:AN142" si="365">R137*AB137*AE137</f>
        <v>#REF!</v>
      </c>
      <c r="AO137" s="170" t="e">
        <f t="shared" ref="AO137:AO142" si="366">T137*AB137*AE137</f>
        <v>#REF!</v>
      </c>
      <c r="AP137" s="170" t="e">
        <f t="shared" ref="AP137:AP142" si="367">V137*AB137*AE137</f>
        <v>#REF!</v>
      </c>
      <c r="AQ137" s="170" t="e">
        <f t="shared" ref="AQ137:AQ142" si="368">X137*AB137*AE137</f>
        <v>#REF!</v>
      </c>
      <c r="AR137" s="170" t="e">
        <f t="shared" ref="AR137:AR142" si="369">Z137*AB137*AE137</f>
        <v>#REF!</v>
      </c>
      <c r="AS137" s="1082" t="e">
        <f t="shared" ref="AS137:AS142" si="370">AG137+AH137+AI137+AJ137+AK137+AM137+AN137+AO137+AP137+AQ137+AR137</f>
        <v>#REF!</v>
      </c>
      <c r="AT137" s="170"/>
      <c r="AU137" s="171"/>
      <c r="AV137" s="160"/>
      <c r="AW137" s="160"/>
      <c r="AX137" s="160"/>
      <c r="AY137"/>
      <c r="AZ137"/>
      <c r="BA137"/>
      <c r="BF137" s="34"/>
      <c r="BL137" s="16"/>
      <c r="BM137" s="16"/>
      <c r="BN137" s="16"/>
      <c r="BO137" s="16"/>
      <c r="BP137" s="10" t="s">
        <v>593</v>
      </c>
    </row>
    <row r="138" spans="1:68">
      <c r="A138" s="10" t="s">
        <v>1132</v>
      </c>
      <c r="B138" s="175" t="s">
        <v>67</v>
      </c>
      <c r="C138" s="169">
        <f>SUMIFS(BCRR_REHAB!L:L,BCRR_REHAB!D:D,'Huella materiales'!A138)</f>
        <v>0</v>
      </c>
      <c r="D138" s="146" t="e">
        <f>SUMIF(#REF!,'Huella materiales'!A138,#REF!)</f>
        <v>#REF!</v>
      </c>
      <c r="E138" s="1013" t="e">
        <f t="shared" si="344"/>
        <v>#REF!</v>
      </c>
      <c r="F138" s="146" t="e">
        <f>SUMIF(#REF!,'Huella materiales'!A138,#REF!)</f>
        <v>#REF!</v>
      </c>
      <c r="G138" s="1013" t="e">
        <f t="shared" si="345"/>
        <v>#REF!</v>
      </c>
      <c r="H138" s="146" t="e">
        <f>SUMIF(#REF!,'Huella materiales'!A138,#REF!)</f>
        <v>#REF!</v>
      </c>
      <c r="I138" s="1013" t="e">
        <f t="shared" si="346"/>
        <v>#REF!</v>
      </c>
      <c r="J138" s="146" t="e">
        <f>SUMIF(#REF!,'Huella materiales'!A138,#REF!)</f>
        <v>#REF!</v>
      </c>
      <c r="K138" s="1013" t="e">
        <f t="shared" si="347"/>
        <v>#REF!</v>
      </c>
      <c r="L138" s="146" t="e">
        <f>SUMIF(#REF!,'Huella materiales'!A138,#REF!)</f>
        <v>#REF!</v>
      </c>
      <c r="M138" s="1013" t="e">
        <f t="shared" si="348"/>
        <v>#REF!</v>
      </c>
      <c r="N138" s="146" t="e">
        <f>SUMIF(#REF!,'Huella materiales'!A138,#REF!)</f>
        <v>#REF!</v>
      </c>
      <c r="O138" s="1013" t="e">
        <f t="shared" si="349"/>
        <v>#REF!</v>
      </c>
      <c r="P138" s="146" t="e">
        <f>SUMIF(#REF!,'Huella materiales'!A138,#REF!)</f>
        <v>#REF!</v>
      </c>
      <c r="Q138" s="1013" t="e">
        <f t="shared" si="350"/>
        <v>#REF!</v>
      </c>
      <c r="R138" s="146" t="e">
        <f>SUMIF(#REF!,'Huella materiales'!A138,#REF!)</f>
        <v>#REF!</v>
      </c>
      <c r="S138" s="1013" t="e">
        <f t="shared" si="351"/>
        <v>#REF!</v>
      </c>
      <c r="T138" s="146" t="e">
        <f>SUMIF(#REF!,'Huella materiales'!A138,#REF!)</f>
        <v>#REF!</v>
      </c>
      <c r="U138" s="1013" t="e">
        <f t="shared" si="352"/>
        <v>#REF!</v>
      </c>
      <c r="V138" s="146" t="e">
        <f>SUMIF(#REF!,'Huella materiales'!A138,#REF!)</f>
        <v>#REF!</v>
      </c>
      <c r="W138" s="1013" t="e">
        <f t="shared" si="353"/>
        <v>#REF!</v>
      </c>
      <c r="X138" s="146" t="e">
        <f>SUMIF(#REF!,'Huella materiales'!A138,#REF!)</f>
        <v>#REF!</v>
      </c>
      <c r="Y138" s="1013" t="e">
        <f t="shared" si="354"/>
        <v>#REF!</v>
      </c>
      <c r="Z138" s="146" t="e">
        <f>SUMIF(#REF!,'Huella materiales'!A138,#REF!)</f>
        <v>#REF!</v>
      </c>
      <c r="AA138" s="1013" t="e">
        <f t="shared" si="355"/>
        <v>#REF!</v>
      </c>
      <c r="AB138" s="1030">
        <f>'Datos auxiliares materiales'!C78</f>
        <v>12</v>
      </c>
      <c r="AC138" s="1017" t="e">
        <f t="shared" si="356"/>
        <v>#REF!</v>
      </c>
      <c r="AD138" s="1022">
        <f t="shared" si="357"/>
        <v>0</v>
      </c>
      <c r="AE138" s="1077">
        <f>'Datos auxiliares materiales'!D78</f>
        <v>110</v>
      </c>
      <c r="AF138" s="170">
        <f>C138*$AB$138*$AE$138</f>
        <v>0</v>
      </c>
      <c r="AG138" s="170" t="e">
        <f t="shared" si="358"/>
        <v>#REF!</v>
      </c>
      <c r="AH138" s="170" t="e">
        <f t="shared" si="359"/>
        <v>#REF!</v>
      </c>
      <c r="AI138" s="170" t="e">
        <f t="shared" si="360"/>
        <v>#REF!</v>
      </c>
      <c r="AJ138" s="170" t="e">
        <f t="shared" si="361"/>
        <v>#REF!</v>
      </c>
      <c r="AK138" s="170" t="e">
        <f t="shared" si="362"/>
        <v>#REF!</v>
      </c>
      <c r="AL138" s="170" t="e">
        <f t="shared" si="363"/>
        <v>#REF!</v>
      </c>
      <c r="AM138" s="170" t="e">
        <f t="shared" si="364"/>
        <v>#REF!</v>
      </c>
      <c r="AN138" s="170" t="e">
        <f t="shared" si="365"/>
        <v>#REF!</v>
      </c>
      <c r="AO138" s="170" t="e">
        <f t="shared" si="366"/>
        <v>#REF!</v>
      </c>
      <c r="AP138" s="170" t="e">
        <f t="shared" si="367"/>
        <v>#REF!</v>
      </c>
      <c r="AQ138" s="170" t="e">
        <f t="shared" si="368"/>
        <v>#REF!</v>
      </c>
      <c r="AR138" s="170" t="e">
        <f t="shared" si="369"/>
        <v>#REF!</v>
      </c>
      <c r="AS138" s="1082" t="e">
        <f>AG138+AH138+AI138+AJ138+AK138+AL138+AM138+AN138+AO138+AP138+AQ138+AR138</f>
        <v>#REF!</v>
      </c>
      <c r="AT138" s="170"/>
      <c r="AU138" s="171"/>
      <c r="AV138" s="160"/>
      <c r="AW138" s="160"/>
      <c r="AX138" s="160"/>
      <c r="AY138"/>
      <c r="AZ138"/>
      <c r="BA138"/>
      <c r="BF138" s="34"/>
      <c r="BL138" s="16"/>
      <c r="BM138" s="16"/>
      <c r="BN138" s="16"/>
      <c r="BO138" s="16"/>
      <c r="BP138" s="10" t="s">
        <v>594</v>
      </c>
    </row>
    <row r="139" spans="1:68">
      <c r="A139" s="10" t="s">
        <v>1143</v>
      </c>
      <c r="B139" s="175" t="s">
        <v>1226</v>
      </c>
      <c r="C139" s="169">
        <f>SUMIFS(BCRR_REHAB!L:L,BCRR_REHAB!D:D,'Huella materiales'!A139)</f>
        <v>0</v>
      </c>
      <c r="D139" s="146" t="e">
        <f>SUMIF(#REF!,'Huella materiales'!A139,#REF!)</f>
        <v>#REF!</v>
      </c>
      <c r="E139" s="1013" t="e">
        <f t="shared" si="344"/>
        <v>#REF!</v>
      </c>
      <c r="F139" s="146" t="e">
        <f>SUMIF(#REF!,'Huella materiales'!A139,#REF!)</f>
        <v>#REF!</v>
      </c>
      <c r="G139" s="1013" t="e">
        <f t="shared" si="345"/>
        <v>#REF!</v>
      </c>
      <c r="H139" s="146" t="e">
        <f>SUMIF(#REF!,'Huella materiales'!A139,#REF!)</f>
        <v>#REF!</v>
      </c>
      <c r="I139" s="1013" t="e">
        <f t="shared" si="346"/>
        <v>#REF!</v>
      </c>
      <c r="J139" s="146" t="e">
        <f>SUMIF(#REF!,'Huella materiales'!A139,#REF!)</f>
        <v>#REF!</v>
      </c>
      <c r="K139" s="1013" t="e">
        <f t="shared" si="347"/>
        <v>#REF!</v>
      </c>
      <c r="L139" s="146" t="e">
        <f>SUMIF(#REF!,'Huella materiales'!A139,#REF!)</f>
        <v>#REF!</v>
      </c>
      <c r="M139" s="1013" t="e">
        <f t="shared" si="348"/>
        <v>#REF!</v>
      </c>
      <c r="N139" s="146" t="e">
        <f>SUMIF(#REF!,'Huella materiales'!A139,#REF!)</f>
        <v>#REF!</v>
      </c>
      <c r="O139" s="1013" t="e">
        <f t="shared" si="349"/>
        <v>#REF!</v>
      </c>
      <c r="P139" s="146" t="e">
        <f>SUMIF(#REF!,'Huella materiales'!A139,#REF!)</f>
        <v>#REF!</v>
      </c>
      <c r="Q139" s="1013" t="e">
        <f t="shared" si="350"/>
        <v>#REF!</v>
      </c>
      <c r="R139" s="146" t="e">
        <f>SUMIF(#REF!,'Huella materiales'!A139,#REF!)</f>
        <v>#REF!</v>
      </c>
      <c r="S139" s="1013" t="e">
        <f t="shared" si="351"/>
        <v>#REF!</v>
      </c>
      <c r="T139" s="146" t="e">
        <f>SUMIF(#REF!,'Huella materiales'!A139,#REF!)</f>
        <v>#REF!</v>
      </c>
      <c r="U139" s="1013" t="e">
        <f t="shared" si="352"/>
        <v>#REF!</v>
      </c>
      <c r="V139" s="146" t="e">
        <f>SUMIF(#REF!,'Huella materiales'!A139,#REF!)</f>
        <v>#REF!</v>
      </c>
      <c r="W139" s="1013" t="e">
        <f t="shared" si="353"/>
        <v>#REF!</v>
      </c>
      <c r="X139" s="146" t="e">
        <f>SUMIF(#REF!,'Huella materiales'!A139,#REF!)</f>
        <v>#REF!</v>
      </c>
      <c r="Y139" s="1013" t="e">
        <f t="shared" si="354"/>
        <v>#REF!</v>
      </c>
      <c r="Z139" s="146" t="e">
        <f>SUMIF(#REF!,'Huella materiales'!A139,#REF!)</f>
        <v>#REF!</v>
      </c>
      <c r="AA139" s="1013" t="e">
        <f t="shared" si="355"/>
        <v>#REF!</v>
      </c>
      <c r="AB139" s="1030">
        <f>'Datos auxiliares materiales'!C78</f>
        <v>12</v>
      </c>
      <c r="AC139" s="1017" t="e">
        <f t="shared" si="356"/>
        <v>#REF!</v>
      </c>
      <c r="AD139" s="1022">
        <f t="shared" si="357"/>
        <v>0</v>
      </c>
      <c r="AE139" s="1077">
        <f>'Datos auxiliares materiales'!D79</f>
        <v>110</v>
      </c>
      <c r="AF139" s="170">
        <f>C139*$AB$138*$AE$138</f>
        <v>0</v>
      </c>
      <c r="AG139" s="170" t="e">
        <f t="shared" si="358"/>
        <v>#REF!</v>
      </c>
      <c r="AH139" s="170" t="e">
        <f t="shared" si="359"/>
        <v>#REF!</v>
      </c>
      <c r="AI139" s="170" t="e">
        <f t="shared" si="360"/>
        <v>#REF!</v>
      </c>
      <c r="AJ139" s="170" t="e">
        <f t="shared" si="361"/>
        <v>#REF!</v>
      </c>
      <c r="AK139" s="170" t="e">
        <f t="shared" si="362"/>
        <v>#REF!</v>
      </c>
      <c r="AL139" s="170" t="e">
        <f t="shared" si="363"/>
        <v>#REF!</v>
      </c>
      <c r="AM139" s="170" t="e">
        <f t="shared" si="364"/>
        <v>#REF!</v>
      </c>
      <c r="AN139" s="170" t="e">
        <f t="shared" si="365"/>
        <v>#REF!</v>
      </c>
      <c r="AO139" s="170" t="e">
        <f t="shared" si="366"/>
        <v>#REF!</v>
      </c>
      <c r="AP139" s="170" t="e">
        <f t="shared" si="367"/>
        <v>#REF!</v>
      </c>
      <c r="AQ139" s="170" t="e">
        <f t="shared" si="368"/>
        <v>#REF!</v>
      </c>
      <c r="AR139" s="170" t="e">
        <f t="shared" si="369"/>
        <v>#REF!</v>
      </c>
      <c r="AS139" s="1082" t="e">
        <f t="shared" si="370"/>
        <v>#REF!</v>
      </c>
      <c r="AT139" s="170"/>
      <c r="AU139" s="171"/>
      <c r="AV139" s="160"/>
      <c r="AW139" s="160"/>
      <c r="AX139" s="160"/>
      <c r="AY139"/>
      <c r="AZ139"/>
      <c r="BA139"/>
      <c r="BF139" s="16"/>
      <c r="BL139" s="16"/>
      <c r="BM139" s="16"/>
      <c r="BN139" s="16"/>
      <c r="BO139" s="16"/>
      <c r="BP139" s="10" t="s">
        <v>594</v>
      </c>
    </row>
    <row r="140" spans="1:68">
      <c r="A140" s="985" t="s">
        <v>1255</v>
      </c>
      <c r="B140" s="175" t="s">
        <v>84</v>
      </c>
      <c r="C140" s="169">
        <f>SUMIFS(BCRR_REHAB!L:L,BCRR_REHAB!D:D,'Huella materiales'!A140)</f>
        <v>0</v>
      </c>
      <c r="D140" s="146" t="e">
        <f>SUMIF(#REF!,'Huella materiales'!A140,#REF!)</f>
        <v>#REF!</v>
      </c>
      <c r="E140" s="1013" t="e">
        <f t="shared" si="344"/>
        <v>#REF!</v>
      </c>
      <c r="F140" s="146" t="e">
        <f>SUMIF(#REF!,'Huella materiales'!A140,#REF!)</f>
        <v>#REF!</v>
      </c>
      <c r="G140" s="1013" t="e">
        <f t="shared" si="345"/>
        <v>#REF!</v>
      </c>
      <c r="H140" s="146" t="e">
        <f>SUMIF(#REF!,'Huella materiales'!A140,#REF!)</f>
        <v>#REF!</v>
      </c>
      <c r="I140" s="1013" t="e">
        <f t="shared" si="346"/>
        <v>#REF!</v>
      </c>
      <c r="J140" s="146" t="e">
        <f>SUMIF(#REF!,'Huella materiales'!A140,#REF!)</f>
        <v>#REF!</v>
      </c>
      <c r="K140" s="1013" t="e">
        <f t="shared" si="347"/>
        <v>#REF!</v>
      </c>
      <c r="L140" s="146" t="e">
        <f>SUMIF(#REF!,'Huella materiales'!A140,#REF!)</f>
        <v>#REF!</v>
      </c>
      <c r="M140" s="1013" t="e">
        <f t="shared" si="348"/>
        <v>#REF!</v>
      </c>
      <c r="N140" s="146" t="e">
        <f>SUMIF(#REF!,'Huella materiales'!A140,#REF!)</f>
        <v>#REF!</v>
      </c>
      <c r="O140" s="1013" t="e">
        <f t="shared" si="349"/>
        <v>#REF!</v>
      </c>
      <c r="P140" s="146" t="e">
        <f>SUMIF(#REF!,'Huella materiales'!A140,#REF!)</f>
        <v>#REF!</v>
      </c>
      <c r="Q140" s="1013" t="e">
        <f t="shared" si="350"/>
        <v>#REF!</v>
      </c>
      <c r="R140" s="146" t="e">
        <f>SUMIF(#REF!,'Huella materiales'!A140,#REF!)</f>
        <v>#REF!</v>
      </c>
      <c r="S140" s="1013" t="e">
        <f t="shared" si="351"/>
        <v>#REF!</v>
      </c>
      <c r="T140" s="146" t="e">
        <f>SUMIF(#REF!,'Huella materiales'!A140,#REF!)</f>
        <v>#REF!</v>
      </c>
      <c r="U140" s="1013" t="e">
        <f t="shared" si="352"/>
        <v>#REF!</v>
      </c>
      <c r="V140" s="146" t="e">
        <f>SUMIF(#REF!,'Huella materiales'!A140,#REF!)</f>
        <v>#REF!</v>
      </c>
      <c r="W140" s="1013" t="e">
        <f t="shared" si="353"/>
        <v>#REF!</v>
      </c>
      <c r="X140" s="146" t="e">
        <f>SUMIF(#REF!,'Huella materiales'!A140,#REF!)</f>
        <v>#REF!</v>
      </c>
      <c r="Y140" s="1013" t="e">
        <f t="shared" si="354"/>
        <v>#REF!</v>
      </c>
      <c r="Z140" s="146" t="e">
        <f>SUMIF(#REF!,'Huella materiales'!A140,#REF!)</f>
        <v>#REF!</v>
      </c>
      <c r="AA140" s="1013" t="e">
        <f t="shared" si="355"/>
        <v>#REF!</v>
      </c>
      <c r="AB140" s="1030">
        <f>'Datos auxiliares materiales'!C79</f>
        <v>0.09</v>
      </c>
      <c r="AC140" s="1017" t="e">
        <f t="shared" si="356"/>
        <v>#REF!</v>
      </c>
      <c r="AD140" s="1022">
        <f t="shared" si="357"/>
        <v>0</v>
      </c>
      <c r="AE140" s="1077">
        <f>'Datos auxiliares materiales'!D79</f>
        <v>110</v>
      </c>
      <c r="AF140" s="170">
        <f>C140*$AB$140*$AE$140</f>
        <v>0</v>
      </c>
      <c r="AG140" s="170" t="e">
        <f t="shared" si="358"/>
        <v>#REF!</v>
      </c>
      <c r="AH140" s="170" t="e">
        <f t="shared" si="359"/>
        <v>#REF!</v>
      </c>
      <c r="AI140" s="170" t="e">
        <f t="shared" si="360"/>
        <v>#REF!</v>
      </c>
      <c r="AJ140" s="170" t="e">
        <f t="shared" si="361"/>
        <v>#REF!</v>
      </c>
      <c r="AK140" s="170" t="e">
        <f t="shared" si="362"/>
        <v>#REF!</v>
      </c>
      <c r="AL140" s="170" t="e">
        <f t="shared" si="363"/>
        <v>#REF!</v>
      </c>
      <c r="AM140" s="170" t="e">
        <f t="shared" si="364"/>
        <v>#REF!</v>
      </c>
      <c r="AN140" s="170" t="e">
        <f t="shared" si="365"/>
        <v>#REF!</v>
      </c>
      <c r="AO140" s="170" t="e">
        <f t="shared" si="366"/>
        <v>#REF!</v>
      </c>
      <c r="AP140" s="170" t="e">
        <f t="shared" si="367"/>
        <v>#REF!</v>
      </c>
      <c r="AQ140" s="170" t="e">
        <f t="shared" si="368"/>
        <v>#REF!</v>
      </c>
      <c r="AR140" s="170" t="e">
        <f t="shared" si="369"/>
        <v>#REF!</v>
      </c>
      <c r="AS140" s="1082" t="e">
        <f t="shared" si="370"/>
        <v>#REF!</v>
      </c>
      <c r="AT140" s="170"/>
      <c r="AU140" s="171"/>
      <c r="AV140" s="160"/>
      <c r="AW140" s="160"/>
      <c r="AX140" s="160"/>
      <c r="AY140"/>
      <c r="AZ140"/>
      <c r="BA140"/>
      <c r="BF140" s="16"/>
      <c r="BL140" s="16"/>
      <c r="BM140" s="16"/>
      <c r="BN140" s="16"/>
      <c r="BO140" s="16"/>
      <c r="BP140" s="10" t="s">
        <v>595</v>
      </c>
    </row>
    <row r="141" spans="1:68">
      <c r="A141" s="985" t="s">
        <v>1256</v>
      </c>
      <c r="B141" s="175" t="s">
        <v>80</v>
      </c>
      <c r="C141" s="169">
        <f>SUMIFS(BCRR_REHAB!L:L,BCRR_REHAB!D:D,'Huella materiales'!A141)</f>
        <v>0</v>
      </c>
      <c r="D141" s="146" t="e">
        <f>SUMIF(#REF!,'Huella materiales'!A141,#REF!)</f>
        <v>#REF!</v>
      </c>
      <c r="E141" s="1013" t="e">
        <f t="shared" si="344"/>
        <v>#REF!</v>
      </c>
      <c r="F141" s="146" t="e">
        <f>SUMIF(#REF!,'Huella materiales'!A141,#REF!)</f>
        <v>#REF!</v>
      </c>
      <c r="G141" s="1013" t="e">
        <f t="shared" si="345"/>
        <v>#REF!</v>
      </c>
      <c r="H141" s="146" t="e">
        <f>SUMIF(#REF!,'Huella materiales'!A141,#REF!)</f>
        <v>#REF!</v>
      </c>
      <c r="I141" s="1013" t="e">
        <f t="shared" si="346"/>
        <v>#REF!</v>
      </c>
      <c r="J141" s="146" t="e">
        <f>SUMIF(#REF!,'Huella materiales'!A141,#REF!)</f>
        <v>#REF!</v>
      </c>
      <c r="K141" s="1013" t="e">
        <f t="shared" si="347"/>
        <v>#REF!</v>
      </c>
      <c r="L141" s="146" t="e">
        <f>SUMIF(#REF!,'Huella materiales'!A141,#REF!)</f>
        <v>#REF!</v>
      </c>
      <c r="M141" s="1013" t="e">
        <f t="shared" si="348"/>
        <v>#REF!</v>
      </c>
      <c r="N141" s="146" t="e">
        <f>SUMIF(#REF!,'Huella materiales'!A141,#REF!)</f>
        <v>#REF!</v>
      </c>
      <c r="O141" s="1013" t="e">
        <f t="shared" si="349"/>
        <v>#REF!</v>
      </c>
      <c r="P141" s="146" t="e">
        <f>SUMIF(#REF!,'Huella materiales'!A141,#REF!)</f>
        <v>#REF!</v>
      </c>
      <c r="Q141" s="1013" t="e">
        <f t="shared" si="350"/>
        <v>#REF!</v>
      </c>
      <c r="R141" s="146" t="e">
        <f>SUMIF(#REF!,'Huella materiales'!A141,#REF!)</f>
        <v>#REF!</v>
      </c>
      <c r="S141" s="1013" t="e">
        <f t="shared" si="351"/>
        <v>#REF!</v>
      </c>
      <c r="T141" s="146" t="e">
        <f>SUMIF(#REF!,'Huella materiales'!A141,#REF!)</f>
        <v>#REF!</v>
      </c>
      <c r="U141" s="1013" t="e">
        <f t="shared" si="352"/>
        <v>#REF!</v>
      </c>
      <c r="V141" s="146" t="e">
        <f>SUMIF(#REF!,'Huella materiales'!A141,#REF!)</f>
        <v>#REF!</v>
      </c>
      <c r="W141" s="1013" t="e">
        <f t="shared" si="353"/>
        <v>#REF!</v>
      </c>
      <c r="X141" s="146" t="e">
        <f>SUMIF(#REF!,'Huella materiales'!A141,#REF!)</f>
        <v>#REF!</v>
      </c>
      <c r="Y141" s="1013" t="e">
        <f t="shared" si="354"/>
        <v>#REF!</v>
      </c>
      <c r="Z141" s="146" t="e">
        <f>SUMIF(#REF!,'Huella materiales'!A141,#REF!)</f>
        <v>#REF!</v>
      </c>
      <c r="AA141" s="1013" t="e">
        <f t="shared" si="355"/>
        <v>#REF!</v>
      </c>
      <c r="AB141" s="1030">
        <f>'Datos auxiliares materiales'!C80</f>
        <v>0.03</v>
      </c>
      <c r="AC141" s="1017" t="e">
        <f t="shared" si="356"/>
        <v>#REF!</v>
      </c>
      <c r="AD141" s="1022">
        <f t="shared" si="357"/>
        <v>0</v>
      </c>
      <c r="AE141" s="1077">
        <f>'Datos auxiliares materiales'!D80</f>
        <v>110</v>
      </c>
      <c r="AF141" s="170">
        <f>C141*$AB$141*$AE$141</f>
        <v>0</v>
      </c>
      <c r="AG141" s="170" t="e">
        <f t="shared" si="358"/>
        <v>#REF!</v>
      </c>
      <c r="AH141" s="170" t="e">
        <f t="shared" si="359"/>
        <v>#REF!</v>
      </c>
      <c r="AI141" s="170" t="e">
        <f t="shared" si="360"/>
        <v>#REF!</v>
      </c>
      <c r="AJ141" s="170" t="e">
        <f t="shared" si="361"/>
        <v>#REF!</v>
      </c>
      <c r="AK141" s="170" t="e">
        <f t="shared" si="362"/>
        <v>#REF!</v>
      </c>
      <c r="AL141" s="170" t="e">
        <f t="shared" si="363"/>
        <v>#REF!</v>
      </c>
      <c r="AM141" s="170" t="e">
        <f t="shared" si="364"/>
        <v>#REF!</v>
      </c>
      <c r="AN141" s="170" t="e">
        <f t="shared" si="365"/>
        <v>#REF!</v>
      </c>
      <c r="AO141" s="170" t="e">
        <f t="shared" si="366"/>
        <v>#REF!</v>
      </c>
      <c r="AP141" s="170" t="e">
        <f t="shared" si="367"/>
        <v>#REF!</v>
      </c>
      <c r="AQ141" s="170" t="e">
        <f t="shared" si="368"/>
        <v>#REF!</v>
      </c>
      <c r="AR141" s="170" t="e">
        <f t="shared" si="369"/>
        <v>#REF!</v>
      </c>
      <c r="AS141" s="1082" t="e">
        <f t="shared" si="370"/>
        <v>#REF!</v>
      </c>
      <c r="AT141" s="170"/>
      <c r="AU141" s="171"/>
      <c r="AV141" s="160"/>
      <c r="AW141" s="160"/>
      <c r="AX141" s="160"/>
      <c r="AY141"/>
      <c r="AZ141"/>
      <c r="BA141"/>
      <c r="BF141" s="34"/>
      <c r="BL141" s="16"/>
      <c r="BM141" s="16"/>
      <c r="BN141" s="16"/>
      <c r="BO141" s="16"/>
      <c r="BP141" s="10" t="s">
        <v>596</v>
      </c>
    </row>
    <row r="142" spans="1:68">
      <c r="A142" s="985" t="s">
        <v>1257</v>
      </c>
      <c r="B142" s="175" t="s">
        <v>81</v>
      </c>
      <c r="C142" s="169">
        <f>SUMIFS(BCRR_REHAB!L:L,BCRR_REHAB!D:D,'Huella materiales'!A142)</f>
        <v>0</v>
      </c>
      <c r="D142" s="146" t="e">
        <f>SUMIF(#REF!,'Huella materiales'!A142,#REF!)</f>
        <v>#REF!</v>
      </c>
      <c r="E142" s="1013" t="e">
        <f t="shared" si="344"/>
        <v>#REF!</v>
      </c>
      <c r="F142" s="146" t="e">
        <f>SUMIF(#REF!,'Huella materiales'!A142,#REF!)</f>
        <v>#REF!</v>
      </c>
      <c r="G142" s="1013" t="e">
        <f t="shared" si="345"/>
        <v>#REF!</v>
      </c>
      <c r="H142" s="146" t="e">
        <f>SUMIF(#REF!,'Huella materiales'!A142,#REF!)</f>
        <v>#REF!</v>
      </c>
      <c r="I142" s="1013" t="e">
        <f t="shared" si="346"/>
        <v>#REF!</v>
      </c>
      <c r="J142" s="146" t="e">
        <f>SUMIF(#REF!,'Huella materiales'!A142,#REF!)</f>
        <v>#REF!</v>
      </c>
      <c r="K142" s="1013" t="e">
        <f t="shared" si="347"/>
        <v>#REF!</v>
      </c>
      <c r="L142" s="146" t="e">
        <f>SUMIF(#REF!,'Huella materiales'!A142,#REF!)</f>
        <v>#REF!</v>
      </c>
      <c r="M142" s="1013" t="e">
        <f t="shared" si="348"/>
        <v>#REF!</v>
      </c>
      <c r="N142" s="146" t="e">
        <f>SUMIF(#REF!,'Huella materiales'!A142,#REF!)</f>
        <v>#REF!</v>
      </c>
      <c r="O142" s="1013" t="e">
        <f t="shared" si="349"/>
        <v>#REF!</v>
      </c>
      <c r="P142" s="146" t="e">
        <f>SUMIF(#REF!,'Huella materiales'!A142,#REF!)</f>
        <v>#REF!</v>
      </c>
      <c r="Q142" s="1013" t="e">
        <f t="shared" si="350"/>
        <v>#REF!</v>
      </c>
      <c r="R142" s="146" t="e">
        <f>SUMIF(#REF!,'Huella materiales'!A142,#REF!)</f>
        <v>#REF!</v>
      </c>
      <c r="S142" s="1013" t="e">
        <f t="shared" si="351"/>
        <v>#REF!</v>
      </c>
      <c r="T142" s="146" t="e">
        <f>SUMIF(#REF!,'Huella materiales'!A142,#REF!)</f>
        <v>#REF!</v>
      </c>
      <c r="U142" s="1013" t="e">
        <f t="shared" si="352"/>
        <v>#REF!</v>
      </c>
      <c r="V142" s="146" t="e">
        <f>SUMIF(#REF!,'Huella materiales'!A142,#REF!)</f>
        <v>#REF!</v>
      </c>
      <c r="W142" s="1013" t="e">
        <f t="shared" si="353"/>
        <v>#REF!</v>
      </c>
      <c r="X142" s="146" t="e">
        <f>SUMIF(#REF!,'Huella materiales'!A142,#REF!)</f>
        <v>#REF!</v>
      </c>
      <c r="Y142" s="1013" t="e">
        <f t="shared" si="354"/>
        <v>#REF!</v>
      </c>
      <c r="Z142" s="146" t="e">
        <f>SUMIF(#REF!,'Huella materiales'!A142,#REF!)</f>
        <v>#REF!</v>
      </c>
      <c r="AA142" s="1013" t="e">
        <f t="shared" si="355"/>
        <v>#REF!</v>
      </c>
      <c r="AB142" s="1030">
        <f>'Datos auxiliares materiales'!C81</f>
        <v>7.0000000000000007E-2</v>
      </c>
      <c r="AC142" s="1017" t="e">
        <f t="shared" si="356"/>
        <v>#REF!</v>
      </c>
      <c r="AD142" s="1022">
        <f t="shared" si="357"/>
        <v>0</v>
      </c>
      <c r="AE142" s="1077">
        <f>'Datos auxiliares materiales'!D81</f>
        <v>110</v>
      </c>
      <c r="AF142" s="170">
        <f>C142*$AB$142*$AE$142</f>
        <v>0</v>
      </c>
      <c r="AG142" s="170" t="e">
        <f t="shared" si="358"/>
        <v>#REF!</v>
      </c>
      <c r="AH142" s="170" t="e">
        <f t="shared" si="359"/>
        <v>#REF!</v>
      </c>
      <c r="AI142" s="170" t="e">
        <f t="shared" si="360"/>
        <v>#REF!</v>
      </c>
      <c r="AJ142" s="170" t="e">
        <f t="shared" si="361"/>
        <v>#REF!</v>
      </c>
      <c r="AK142" s="170" t="e">
        <f t="shared" si="362"/>
        <v>#REF!</v>
      </c>
      <c r="AL142" s="170" t="e">
        <f t="shared" si="363"/>
        <v>#REF!</v>
      </c>
      <c r="AM142" s="170" t="e">
        <f t="shared" si="364"/>
        <v>#REF!</v>
      </c>
      <c r="AN142" s="170" t="e">
        <f t="shared" si="365"/>
        <v>#REF!</v>
      </c>
      <c r="AO142" s="170" t="e">
        <f t="shared" si="366"/>
        <v>#REF!</v>
      </c>
      <c r="AP142" s="170" t="e">
        <f t="shared" si="367"/>
        <v>#REF!</v>
      </c>
      <c r="AQ142" s="170" t="e">
        <f t="shared" si="368"/>
        <v>#REF!</v>
      </c>
      <c r="AR142" s="170" t="e">
        <f t="shared" si="369"/>
        <v>#REF!</v>
      </c>
      <c r="AS142" s="1082" t="e">
        <f t="shared" si="370"/>
        <v>#REF!</v>
      </c>
      <c r="AT142" s="170"/>
      <c r="AU142" s="171"/>
      <c r="AV142" s="160"/>
      <c r="AW142" s="160"/>
      <c r="AX142" s="160"/>
      <c r="AY142"/>
      <c r="AZ142"/>
      <c r="BA142"/>
      <c r="BF142" s="34"/>
      <c r="BL142" s="16"/>
      <c r="BM142" s="16"/>
      <c r="BN142" s="16"/>
      <c r="BO142" s="16"/>
      <c r="BP142" s="10" t="s">
        <v>597</v>
      </c>
    </row>
    <row r="143" spans="1:68" ht="15.5">
      <c r="B143" s="163" t="s">
        <v>1218</v>
      </c>
      <c r="C143" s="169">
        <f>SUMIFS(BCRR_REHAB!L:L,BCRR_REHAB!D:D,'Huella materiales'!A143)</f>
        <v>0</v>
      </c>
      <c r="D143" s="165"/>
      <c r="E143" s="165"/>
      <c r="F143" s="165"/>
      <c r="G143" s="165"/>
      <c r="H143" s="165"/>
      <c r="I143" s="165"/>
      <c r="J143" s="165"/>
      <c r="K143" s="165"/>
      <c r="L143" s="165"/>
      <c r="M143" s="165"/>
      <c r="N143" s="165"/>
      <c r="O143" s="165"/>
      <c r="P143" s="165"/>
      <c r="Q143" s="165"/>
      <c r="R143" s="165"/>
      <c r="S143" s="165"/>
      <c r="T143" s="165"/>
      <c r="U143" s="165"/>
      <c r="V143" s="165"/>
      <c r="W143" s="165"/>
      <c r="X143" s="165"/>
      <c r="Y143" s="165"/>
      <c r="Z143" s="165"/>
      <c r="AA143" s="165"/>
      <c r="AB143" s="164"/>
      <c r="AC143" s="1028" t="e">
        <f>AC144</f>
        <v>#REF!</v>
      </c>
      <c r="AD143" s="1026">
        <f>AD144</f>
        <v>0</v>
      </c>
      <c r="AE143" s="1019"/>
      <c r="AF143" s="1080">
        <f>AF144</f>
        <v>0</v>
      </c>
      <c r="AG143" s="1080">
        <f t="shared" ref="AG143:AR143" si="371">AG144</f>
        <v>0</v>
      </c>
      <c r="AH143" s="1080">
        <f t="shared" si="371"/>
        <v>0</v>
      </c>
      <c r="AI143" s="1080">
        <f>AI144</f>
        <v>0</v>
      </c>
      <c r="AJ143" s="1080">
        <f t="shared" si="371"/>
        <v>0</v>
      </c>
      <c r="AK143" s="1080">
        <f>AK144</f>
        <v>0</v>
      </c>
      <c r="AL143" s="1080">
        <f>AL144</f>
        <v>0</v>
      </c>
      <c r="AM143" s="1080">
        <f t="shared" si="371"/>
        <v>0</v>
      </c>
      <c r="AN143" s="1080">
        <f t="shared" si="371"/>
        <v>0</v>
      </c>
      <c r="AO143" s="1080">
        <f t="shared" si="371"/>
        <v>0</v>
      </c>
      <c r="AP143" s="1080">
        <f t="shared" si="371"/>
        <v>0</v>
      </c>
      <c r="AQ143" s="1080">
        <f t="shared" si="371"/>
        <v>0</v>
      </c>
      <c r="AR143" s="1080">
        <f t="shared" si="371"/>
        <v>0</v>
      </c>
      <c r="AS143" s="1080">
        <f>AG143+AH143+AI143+AJ143+AK143+AM143+AN143+AO143+AP143+AQ143+AR143</f>
        <v>0</v>
      </c>
      <c r="AT143" s="165">
        <f>SUM(AF145:AF149)/$AX$5*$AX$7</f>
        <v>0.15787865007126758</v>
      </c>
      <c r="AU143" s="166">
        <f>AT143/$AX$8</f>
        <v>4.4138259186050938E-2</v>
      </c>
      <c r="AV143" s="160"/>
      <c r="AW143" s="160"/>
      <c r="AX143" s="160"/>
      <c r="AY143"/>
      <c r="AZ143"/>
      <c r="BA143"/>
      <c r="BF143" s="34"/>
      <c r="BL143" s="16"/>
      <c r="BM143" s="16"/>
      <c r="BN143" s="16"/>
      <c r="BO143" s="16"/>
      <c r="BP143" s="10" t="s">
        <v>592</v>
      </c>
    </row>
    <row r="144" spans="1:68" s="22" customFormat="1">
      <c r="A144" s="12" t="s">
        <v>1096</v>
      </c>
      <c r="B144" s="175" t="s">
        <v>1219</v>
      </c>
      <c r="C144" s="169">
        <f>SUMIFS(BCRR_REHAB!L:L,BCRR_REHAB!D:D,'Huella materiales'!A144)</f>
        <v>0</v>
      </c>
      <c r="D144" s="146" t="e">
        <f>SUMIF(#REF!,'Huella materiales'!A144,#REF!)</f>
        <v>#REF!</v>
      </c>
      <c r="E144" s="1013" t="e">
        <f>D144*AB144</f>
        <v>#REF!</v>
      </c>
      <c r="F144" s="146" t="e">
        <f>SUMIF(#REF!,'Huella materiales'!A144,#REF!)</f>
        <v>#REF!</v>
      </c>
      <c r="G144" s="1013" t="e">
        <f>F144*AB144</f>
        <v>#REF!</v>
      </c>
      <c r="H144" s="146" t="e">
        <f>SUMIF(#REF!,'Huella materiales'!A144,#REF!)</f>
        <v>#REF!</v>
      </c>
      <c r="I144" s="1013" t="e">
        <f>H144*AB144</f>
        <v>#REF!</v>
      </c>
      <c r="J144" s="146" t="e">
        <f>SUMIF(#REF!,'Huella materiales'!A144,#REF!)</f>
        <v>#REF!</v>
      </c>
      <c r="K144" s="1013" t="e">
        <f>J144*AB144</f>
        <v>#REF!</v>
      </c>
      <c r="L144" s="146" t="e">
        <f>SUMIF(#REF!,'Huella materiales'!A144,#REF!)</f>
        <v>#REF!</v>
      </c>
      <c r="M144" s="1013" t="e">
        <f>L144*AB144</f>
        <v>#REF!</v>
      </c>
      <c r="N144" s="146" t="e">
        <f>SUMIF(#REF!,'Huella materiales'!A144,#REF!)</f>
        <v>#REF!</v>
      </c>
      <c r="O144" s="1013" t="e">
        <f>N144*AB144</f>
        <v>#REF!</v>
      </c>
      <c r="P144" s="146" t="e">
        <f>SUMIF(#REF!,'Huella materiales'!A144,#REF!)</f>
        <v>#REF!</v>
      </c>
      <c r="Q144" s="1013" t="e">
        <f>P144*AB144</f>
        <v>#REF!</v>
      </c>
      <c r="R144" s="146" t="e">
        <f>SUMIF(#REF!,'Huella materiales'!A144,#REF!)</f>
        <v>#REF!</v>
      </c>
      <c r="S144" s="1013" t="e">
        <f>R144*AB144</f>
        <v>#REF!</v>
      </c>
      <c r="T144" s="146" t="e">
        <f>SUMIF(#REF!,'Huella materiales'!A144,#REF!)</f>
        <v>#REF!</v>
      </c>
      <c r="U144" s="1013" t="e">
        <f>T144*AB144</f>
        <v>#REF!</v>
      </c>
      <c r="V144" s="146" t="e">
        <f>SUMIF(#REF!,'Huella materiales'!A144,#REF!)</f>
        <v>#REF!</v>
      </c>
      <c r="W144" s="1013" t="e">
        <f>V144*AB144</f>
        <v>#REF!</v>
      </c>
      <c r="X144" s="146" t="e">
        <f>SUMIF(#REF!,'Huella materiales'!A144,#REF!)</f>
        <v>#REF!</v>
      </c>
      <c r="Y144" s="1013" t="e">
        <f>X144*AB144</f>
        <v>#REF!</v>
      </c>
      <c r="Z144" s="146" t="e">
        <f>SUMIF(#REF!,'Huella materiales'!A144,#REF!)</f>
        <v>#REF!</v>
      </c>
      <c r="AA144" s="1013" t="e">
        <f>Z144*AB144</f>
        <v>#REF!</v>
      </c>
      <c r="AB144" s="1031"/>
      <c r="AC144" s="1017" t="e">
        <f>E144+G144+I144+K144+M144+O144+Q144+S144+U144+W144+Y144+AA144</f>
        <v>#REF!</v>
      </c>
      <c r="AD144" s="1022">
        <f>C144*AB144</f>
        <v>0</v>
      </c>
      <c r="AE144" s="1078"/>
      <c r="AF144" s="976"/>
      <c r="AG144" s="976"/>
      <c r="AH144" s="976"/>
      <c r="AI144" s="976"/>
      <c r="AJ144" s="976"/>
      <c r="AK144" s="976"/>
      <c r="AL144" s="976"/>
      <c r="AM144" s="976"/>
      <c r="AN144" s="976"/>
      <c r="AO144" s="976"/>
      <c r="AP144" s="976"/>
      <c r="AQ144" s="976"/>
      <c r="AR144" s="976"/>
      <c r="AS144" s="976"/>
      <c r="AT144" s="170"/>
      <c r="AU144" s="171"/>
      <c r="AV144" s="167"/>
      <c r="AW144" s="160"/>
      <c r="AX144" s="160"/>
      <c r="AY144"/>
      <c r="AZ144"/>
      <c r="BA144"/>
      <c r="BB144"/>
      <c r="BC144"/>
      <c r="BD144"/>
      <c r="BE144"/>
      <c r="BF144" s="34"/>
      <c r="BG144"/>
      <c r="BH144"/>
      <c r="BI144"/>
      <c r="BJ144"/>
      <c r="BK144"/>
      <c r="BL144" s="16"/>
      <c r="BM144" s="16"/>
      <c r="BN144" s="16"/>
      <c r="BO144" s="16"/>
      <c r="BP144" s="12"/>
    </row>
    <row r="145" spans="1:68" ht="15.5">
      <c r="B145" s="163" t="s">
        <v>281</v>
      </c>
      <c r="C145" s="169">
        <f>SUMIFS(BCRR_REHAB!L:L,BCRR_REHAB!D:D,'Huella materiales'!A145)</f>
        <v>0</v>
      </c>
      <c r="D145" s="987"/>
      <c r="E145" s="1014" t="e">
        <f t="shared" ref="E145:AF145" si="372">SUM(E146:E159)</f>
        <v>#REF!</v>
      </c>
      <c r="F145" s="987"/>
      <c r="G145" s="987" t="e">
        <f t="shared" si="372"/>
        <v>#REF!</v>
      </c>
      <c r="H145" s="987"/>
      <c r="I145" s="987" t="e">
        <f t="shared" si="372"/>
        <v>#REF!</v>
      </c>
      <c r="J145" s="987"/>
      <c r="K145" s="987" t="e">
        <f t="shared" si="372"/>
        <v>#REF!</v>
      </c>
      <c r="L145" s="987"/>
      <c r="M145" s="987" t="e">
        <f t="shared" si="372"/>
        <v>#REF!</v>
      </c>
      <c r="N145" s="987"/>
      <c r="O145" s="987" t="e">
        <f t="shared" si="372"/>
        <v>#REF!</v>
      </c>
      <c r="P145" s="987"/>
      <c r="Q145" s="987" t="e">
        <f t="shared" si="372"/>
        <v>#REF!</v>
      </c>
      <c r="R145" s="987"/>
      <c r="S145" s="987" t="e">
        <f t="shared" si="372"/>
        <v>#REF!</v>
      </c>
      <c r="T145" s="987"/>
      <c r="U145" s="987" t="e">
        <f t="shared" si="372"/>
        <v>#REF!</v>
      </c>
      <c r="V145" s="987"/>
      <c r="W145" s="987" t="e">
        <f t="shared" si="372"/>
        <v>#REF!</v>
      </c>
      <c r="X145" s="987"/>
      <c r="Y145" s="987" t="e">
        <f t="shared" si="372"/>
        <v>#REF!</v>
      </c>
      <c r="Z145" s="987"/>
      <c r="AA145" s="987" t="e">
        <f t="shared" si="372"/>
        <v>#REF!</v>
      </c>
      <c r="AB145" s="987"/>
      <c r="AC145" s="1028" t="e">
        <f t="shared" si="372"/>
        <v>#REF!</v>
      </c>
      <c r="AD145" s="1026">
        <f t="shared" si="372"/>
        <v>444.81683154999996</v>
      </c>
      <c r="AE145" s="1019"/>
      <c r="AF145" s="1080">
        <f t="shared" si="372"/>
        <v>8896.3366309999983</v>
      </c>
      <c r="AG145" s="1080" t="e">
        <f t="shared" ref="AG145:AR145" si="373">SUM(AG146:AG159)</f>
        <v>#REF!</v>
      </c>
      <c r="AH145" s="1080" t="e">
        <f t="shared" si="373"/>
        <v>#REF!</v>
      </c>
      <c r="AI145" s="1080" t="e">
        <f>SUM(AI146:AI159)</f>
        <v>#REF!</v>
      </c>
      <c r="AJ145" s="1080" t="e">
        <f t="shared" si="373"/>
        <v>#REF!</v>
      </c>
      <c r="AK145" s="1080" t="e">
        <f>SUM(AK146:AK159)</f>
        <v>#REF!</v>
      </c>
      <c r="AL145" s="1080" t="e">
        <f t="shared" si="373"/>
        <v>#REF!</v>
      </c>
      <c r="AM145" s="1080" t="e">
        <f t="shared" si="373"/>
        <v>#REF!</v>
      </c>
      <c r="AN145" s="1080" t="e">
        <f t="shared" si="373"/>
        <v>#REF!</v>
      </c>
      <c r="AO145" s="1080" t="e">
        <f t="shared" si="373"/>
        <v>#REF!</v>
      </c>
      <c r="AP145" s="1080" t="e">
        <f t="shared" si="373"/>
        <v>#REF!</v>
      </c>
      <c r="AQ145" s="1080" t="e">
        <f t="shared" si="373"/>
        <v>#REF!</v>
      </c>
      <c r="AR145" s="1080" t="e">
        <f t="shared" si="373"/>
        <v>#REF!</v>
      </c>
      <c r="AS145" s="1083" t="e">
        <f>AG145+AH145+AI145+AJ145+AK145+AL145+AM145+AN145+AO145+AP145+AQ145+AR145</f>
        <v>#REF!</v>
      </c>
      <c r="AT145" s="165">
        <f>SUM(AF146:AF159)/$AX$5*$AX$7</f>
        <v>0.15787865007126758</v>
      </c>
      <c r="AU145" s="166">
        <f>AT145/$AX$8</f>
        <v>4.4138259186050938E-2</v>
      </c>
      <c r="AV145" s="160"/>
      <c r="AW145" s="160"/>
      <c r="AX145" s="160"/>
      <c r="AY145"/>
      <c r="AZ145"/>
      <c r="BA145"/>
      <c r="BF145" s="34"/>
      <c r="BL145" s="16"/>
      <c r="BM145" s="16"/>
      <c r="BN145" s="16"/>
      <c r="BO145" s="16"/>
      <c r="BP145" s="10" t="s">
        <v>598</v>
      </c>
    </row>
    <row r="146" spans="1:68">
      <c r="A146" s="10" t="s">
        <v>1206</v>
      </c>
      <c r="B146" s="175" t="s">
        <v>152</v>
      </c>
      <c r="C146" s="169">
        <f>SUMIFS(BCRR_REHAB!L:L,BCRR_REHAB!D:D,'Huella materiales'!A146)</f>
        <v>0</v>
      </c>
      <c r="D146" s="146" t="e">
        <f>SUMIF(#REF!,'Huella materiales'!A146,#REF!)</f>
        <v>#REF!</v>
      </c>
      <c r="E146" s="1013" t="e">
        <f t="shared" ref="E146:E159" si="374">D146*AB146</f>
        <v>#REF!</v>
      </c>
      <c r="F146" s="146" t="e">
        <f>SUMIF(#REF!,'Huella materiales'!A146,#REF!)</f>
        <v>#REF!</v>
      </c>
      <c r="G146" s="1013" t="e">
        <f t="shared" ref="G146:G159" si="375">F146*AB146</f>
        <v>#REF!</v>
      </c>
      <c r="H146" s="146" t="e">
        <f>SUMIF(#REF!,'Huella materiales'!A146,#REF!)</f>
        <v>#REF!</v>
      </c>
      <c r="I146" s="1013" t="e">
        <f t="shared" ref="I146:I159" si="376">H146*AB146</f>
        <v>#REF!</v>
      </c>
      <c r="J146" s="146" t="e">
        <f>SUMIF(#REF!,'Huella materiales'!A146,#REF!)</f>
        <v>#REF!</v>
      </c>
      <c r="K146" s="1013" t="e">
        <f t="shared" ref="K146:K159" si="377">J146*AB146</f>
        <v>#REF!</v>
      </c>
      <c r="L146" s="146" t="e">
        <f>SUMIF(#REF!,'Huella materiales'!A146,#REF!)</f>
        <v>#REF!</v>
      </c>
      <c r="M146" s="1013" t="e">
        <f t="shared" ref="M146:M159" si="378">L146*AB146</f>
        <v>#REF!</v>
      </c>
      <c r="N146" s="146" t="e">
        <f>SUMIF(#REF!,'Huella materiales'!A146,#REF!)</f>
        <v>#REF!</v>
      </c>
      <c r="O146" s="1013" t="e">
        <f t="shared" ref="O146:O159" si="379">N146*AB146</f>
        <v>#REF!</v>
      </c>
      <c r="P146" s="146" t="e">
        <f>SUMIF(#REF!,'Huella materiales'!A146,#REF!)</f>
        <v>#REF!</v>
      </c>
      <c r="Q146" s="1013" t="e">
        <f>P146*AB146</f>
        <v>#REF!</v>
      </c>
      <c r="R146" s="146" t="e">
        <f>SUMIF(#REF!,'Huella materiales'!A146,#REF!)</f>
        <v>#REF!</v>
      </c>
      <c r="S146" s="1013" t="e">
        <f>R146*AB146</f>
        <v>#REF!</v>
      </c>
      <c r="T146" s="146" t="e">
        <f>SUMIF(#REF!,'Huella materiales'!A146,#REF!)</f>
        <v>#REF!</v>
      </c>
      <c r="U146" s="1013" t="e">
        <f>T146*AB146</f>
        <v>#REF!</v>
      </c>
      <c r="V146" s="146" t="e">
        <f>SUMIF(#REF!,'Huella materiales'!A146,#REF!)</f>
        <v>#REF!</v>
      </c>
      <c r="W146" s="1013" t="e">
        <f>V146*AB146</f>
        <v>#REF!</v>
      </c>
      <c r="X146" s="146" t="e">
        <f>SUMIF(#REF!,'Huella materiales'!A146,#REF!)</f>
        <v>#REF!</v>
      </c>
      <c r="Y146" s="1013" t="e">
        <f>X146*AB146</f>
        <v>#REF!</v>
      </c>
      <c r="Z146" s="146" t="e">
        <f>SUMIF(#REF!,'Huella materiales'!A146,#REF!)</f>
        <v>#REF!</v>
      </c>
      <c r="AA146" s="1013" t="e">
        <f>Z146*AB146</f>
        <v>#REF!</v>
      </c>
      <c r="AB146" s="1030">
        <f>'Datos auxiliares materiales'!C83</f>
        <v>1</v>
      </c>
      <c r="AC146" s="1017" t="e">
        <f>E146+G146+I146+K146+M146+O146+Q146+S146+U146+W146+Y146+AA146</f>
        <v>#REF!</v>
      </c>
      <c r="AD146" s="1022">
        <f t="shared" ref="AD146:AD159" si="380">C146*AB146</f>
        <v>0</v>
      </c>
      <c r="AE146" s="1077">
        <f>'Datos auxiliares materiales'!D83</f>
        <v>100</v>
      </c>
      <c r="AF146" s="170">
        <f>C146*$AB$146*$AE$146</f>
        <v>0</v>
      </c>
      <c r="AG146" s="170" t="e">
        <f>D146*AB146*AE146</f>
        <v>#REF!</v>
      </c>
      <c r="AH146" s="170" t="e">
        <f>F146*AB146*AE146</f>
        <v>#REF!</v>
      </c>
      <c r="AI146" s="170" t="e">
        <f>H146*AB146*AE146</f>
        <v>#REF!</v>
      </c>
      <c r="AJ146" s="170" t="e">
        <f>J146*AB146*AE146</f>
        <v>#REF!</v>
      </c>
      <c r="AK146" s="170" t="e">
        <f>L146*AB146*AE146</f>
        <v>#REF!</v>
      </c>
      <c r="AL146" s="170" t="e">
        <f>N146*AB146*AE146</f>
        <v>#REF!</v>
      </c>
      <c r="AM146" s="170" t="e">
        <f>P146*AB146*AE146</f>
        <v>#REF!</v>
      </c>
      <c r="AN146" s="170" t="e">
        <f>R146*AB146*AE146</f>
        <v>#REF!</v>
      </c>
      <c r="AO146" s="170" t="e">
        <f>T146*AB146*AE146</f>
        <v>#REF!</v>
      </c>
      <c r="AP146" s="170" t="e">
        <f>V146*AB146*AE146</f>
        <v>#REF!</v>
      </c>
      <c r="AQ146" s="170" t="e">
        <f>X146*AB146*AE146</f>
        <v>#REF!</v>
      </c>
      <c r="AR146" s="170" t="e">
        <f>Z146*AB146*AE146</f>
        <v>#REF!</v>
      </c>
      <c r="AS146" s="1082" t="e">
        <f t="shared" ref="AS146:AS159" si="381">AG146+AH146+AI146+AJ146+AK146+AM146+AN146+AO146+AP146+AQ146+AR146</f>
        <v>#REF!</v>
      </c>
      <c r="AT146" s="170"/>
      <c r="AU146" s="171"/>
      <c r="AV146" s="160"/>
      <c r="AW146" s="160"/>
      <c r="AX146" s="160"/>
      <c r="AY146"/>
      <c r="AZ146"/>
      <c r="BA146"/>
      <c r="BF146" s="16"/>
      <c r="BL146" s="16"/>
      <c r="BM146" s="16"/>
      <c r="BN146" s="16"/>
      <c r="BO146" s="16"/>
      <c r="BP146" s="10" t="s">
        <v>599</v>
      </c>
    </row>
    <row r="147" spans="1:68">
      <c r="A147" s="10" t="s">
        <v>1207</v>
      </c>
      <c r="B147" s="175" t="s">
        <v>153</v>
      </c>
      <c r="C147" s="169">
        <f>SUMIFS(BCRR_REHAB!L:L,BCRR_REHAB!D:D,'Huella materiales'!A147)</f>
        <v>0</v>
      </c>
      <c r="D147" s="146" t="e">
        <f>SUMIF(#REF!,'Huella materiales'!A147,#REF!)</f>
        <v>#REF!</v>
      </c>
      <c r="E147" s="1013" t="e">
        <f t="shared" si="374"/>
        <v>#REF!</v>
      </c>
      <c r="F147" s="146" t="e">
        <f>SUMIF(#REF!,'Huella materiales'!A147,#REF!)</f>
        <v>#REF!</v>
      </c>
      <c r="G147" s="1013" t="e">
        <f t="shared" si="375"/>
        <v>#REF!</v>
      </c>
      <c r="H147" s="146" t="e">
        <f>SUMIF(#REF!,'Huella materiales'!A147,#REF!)</f>
        <v>#REF!</v>
      </c>
      <c r="I147" s="1013" t="e">
        <f t="shared" si="376"/>
        <v>#REF!</v>
      </c>
      <c r="J147" s="146" t="e">
        <f>SUMIF(#REF!,'Huella materiales'!A147,#REF!)</f>
        <v>#REF!</v>
      </c>
      <c r="K147" s="1013" t="e">
        <f t="shared" si="377"/>
        <v>#REF!</v>
      </c>
      <c r="L147" s="146" t="e">
        <f>SUMIF(#REF!,'Huella materiales'!A147,#REF!)</f>
        <v>#REF!</v>
      </c>
      <c r="M147" s="1013" t="e">
        <f t="shared" si="378"/>
        <v>#REF!</v>
      </c>
      <c r="N147" s="146" t="e">
        <f>SUMIF(#REF!,'Huella materiales'!A147,#REF!)</f>
        <v>#REF!</v>
      </c>
      <c r="O147" s="1013" t="e">
        <f t="shared" si="379"/>
        <v>#REF!</v>
      </c>
      <c r="P147" s="146" t="e">
        <f>SUMIF(#REF!,'Huella materiales'!A147,#REF!)</f>
        <v>#REF!</v>
      </c>
      <c r="Q147" s="1013" t="e">
        <f t="shared" ref="Q147:Q159" si="382">P147*AB147</f>
        <v>#REF!</v>
      </c>
      <c r="R147" s="146" t="e">
        <f>SUMIF(#REF!,'Huella materiales'!A147,#REF!)</f>
        <v>#REF!</v>
      </c>
      <c r="S147" s="1013" t="e">
        <f t="shared" ref="S147:S159" si="383">R147*AB147</f>
        <v>#REF!</v>
      </c>
      <c r="T147" s="146" t="e">
        <f>SUMIF(#REF!,'Huella materiales'!A147,#REF!)</f>
        <v>#REF!</v>
      </c>
      <c r="U147" s="1013" t="e">
        <f t="shared" ref="U147:U159" si="384">T147*AB147</f>
        <v>#REF!</v>
      </c>
      <c r="V147" s="146" t="e">
        <f>SUMIF(#REF!,'Huella materiales'!A147,#REF!)</f>
        <v>#REF!</v>
      </c>
      <c r="W147" s="1013" t="e">
        <f t="shared" ref="W147:W159" si="385">V147*AB147</f>
        <v>#REF!</v>
      </c>
      <c r="X147" s="146" t="e">
        <f>SUMIF(#REF!,'Huella materiales'!A147,#REF!)</f>
        <v>#REF!</v>
      </c>
      <c r="Y147" s="1013" t="e">
        <f t="shared" ref="Y147:Y159" si="386">X147*AB147</f>
        <v>#REF!</v>
      </c>
      <c r="Z147" s="146" t="e">
        <f>SUMIF(#REF!,'Huella materiales'!A147,#REF!)</f>
        <v>#REF!</v>
      </c>
      <c r="AA147" s="1013" t="e">
        <f t="shared" ref="AA147:AA159" si="387">Z147*AB147</f>
        <v>#REF!</v>
      </c>
      <c r="AB147" s="1030">
        <f>'Datos auxiliares materiales'!C84</f>
        <v>1</v>
      </c>
      <c r="AC147" s="1017" t="e">
        <f t="shared" ref="AC147:AC159" si="388">E147+G147+I147+K147+M147+O147+Q147+S147+U147+W147+Y147+AA147</f>
        <v>#REF!</v>
      </c>
      <c r="AD147" s="1022">
        <f t="shared" si="380"/>
        <v>0</v>
      </c>
      <c r="AE147" s="1077">
        <f>'Datos auxiliares materiales'!D84</f>
        <v>100</v>
      </c>
      <c r="AF147" s="170">
        <f>C147*$AB$147*$AE$147</f>
        <v>0</v>
      </c>
      <c r="AG147" s="170" t="e">
        <f t="shared" ref="AG147:AG159" si="389">D147*AB147*AE147</f>
        <v>#REF!</v>
      </c>
      <c r="AH147" s="170" t="e">
        <f t="shared" ref="AH147:AH159" si="390">F147*AB147*AE147</f>
        <v>#REF!</v>
      </c>
      <c r="AI147" s="170" t="e">
        <f t="shared" ref="AI147:AI159" si="391">H147*AB147*AE147</f>
        <v>#REF!</v>
      </c>
      <c r="AJ147" s="170" t="e">
        <f t="shared" ref="AJ147:AJ159" si="392">J147*AB147*AE147</f>
        <v>#REF!</v>
      </c>
      <c r="AK147" s="170" t="e">
        <f t="shared" ref="AK147:AK159" si="393">L147*AB147*AE147</f>
        <v>#REF!</v>
      </c>
      <c r="AL147" s="170" t="e">
        <f t="shared" ref="AL147:AL159" si="394">N147*AB147*AE147</f>
        <v>#REF!</v>
      </c>
      <c r="AM147" s="170" t="e">
        <f t="shared" ref="AM147:AM159" si="395">P147*AB147*AE147</f>
        <v>#REF!</v>
      </c>
      <c r="AN147" s="170" t="e">
        <f t="shared" ref="AN147:AN159" si="396">R147*AB147*AE147</f>
        <v>#REF!</v>
      </c>
      <c r="AO147" s="170" t="e">
        <f t="shared" ref="AO147:AO159" si="397">T147*AB147*AE147</f>
        <v>#REF!</v>
      </c>
      <c r="AP147" s="170" t="e">
        <f t="shared" ref="AP147:AP159" si="398">V147*AB147*AE147</f>
        <v>#REF!</v>
      </c>
      <c r="AQ147" s="170" t="e">
        <f t="shared" ref="AQ147:AQ159" si="399">X147*AB147*AE147</f>
        <v>#REF!</v>
      </c>
      <c r="AR147" s="170" t="e">
        <f t="shared" ref="AR147:AR159" si="400">Z147*AB147*AE147</f>
        <v>#REF!</v>
      </c>
      <c r="AS147" s="1082" t="e">
        <f t="shared" si="381"/>
        <v>#REF!</v>
      </c>
      <c r="AT147" s="170"/>
      <c r="AU147" s="171"/>
      <c r="AV147" s="160"/>
      <c r="AW147" s="160"/>
      <c r="AX147" s="160"/>
      <c r="AY147"/>
      <c r="AZ147"/>
      <c r="BA147"/>
      <c r="BF147" s="16"/>
      <c r="BL147" s="16"/>
      <c r="BM147" s="16"/>
      <c r="BN147" s="16"/>
      <c r="BO147" s="16"/>
      <c r="BP147" s="10" t="s">
        <v>600</v>
      </c>
    </row>
    <row r="148" spans="1:68">
      <c r="A148" s="10" t="s">
        <v>1209</v>
      </c>
      <c r="B148" s="175" t="s">
        <v>155</v>
      </c>
      <c r="C148" s="169">
        <f>SUMIFS(BCRR_REHAB!L:L,BCRR_REHAB!D:D,'Huella materiales'!A148)</f>
        <v>0</v>
      </c>
      <c r="D148" s="146" t="e">
        <f>SUMIF(#REF!,'Huella materiales'!A148,#REF!)</f>
        <v>#REF!</v>
      </c>
      <c r="E148" s="1013" t="e">
        <f t="shared" si="374"/>
        <v>#REF!</v>
      </c>
      <c r="F148" s="146" t="e">
        <f>SUMIF(#REF!,'Huella materiales'!A148,#REF!)</f>
        <v>#REF!</v>
      </c>
      <c r="G148" s="1013" t="e">
        <f t="shared" si="375"/>
        <v>#REF!</v>
      </c>
      <c r="H148" s="146" t="e">
        <f>SUMIF(#REF!,'Huella materiales'!A148,#REF!)</f>
        <v>#REF!</v>
      </c>
      <c r="I148" s="1013" t="e">
        <f t="shared" si="376"/>
        <v>#REF!</v>
      </c>
      <c r="J148" s="146" t="e">
        <f>SUMIF(#REF!,'Huella materiales'!A148,#REF!)</f>
        <v>#REF!</v>
      </c>
      <c r="K148" s="1013" t="e">
        <f t="shared" si="377"/>
        <v>#REF!</v>
      </c>
      <c r="L148" s="146" t="e">
        <f>SUMIF(#REF!,'Huella materiales'!A148,#REF!)</f>
        <v>#REF!</v>
      </c>
      <c r="M148" s="1013" t="e">
        <f t="shared" si="378"/>
        <v>#REF!</v>
      </c>
      <c r="N148" s="146" t="e">
        <f>SUMIF(#REF!,'Huella materiales'!A148,#REF!)</f>
        <v>#REF!</v>
      </c>
      <c r="O148" s="1013" t="e">
        <f t="shared" si="379"/>
        <v>#REF!</v>
      </c>
      <c r="P148" s="146" t="e">
        <f>SUMIF(#REF!,'Huella materiales'!A148,#REF!)</f>
        <v>#REF!</v>
      </c>
      <c r="Q148" s="1013" t="e">
        <f t="shared" si="382"/>
        <v>#REF!</v>
      </c>
      <c r="R148" s="146" t="e">
        <f>SUMIF(#REF!,'Huella materiales'!A148,#REF!)</f>
        <v>#REF!</v>
      </c>
      <c r="S148" s="1013" t="e">
        <f t="shared" si="383"/>
        <v>#REF!</v>
      </c>
      <c r="T148" s="146" t="e">
        <f>SUMIF(#REF!,'Huella materiales'!A148,#REF!)</f>
        <v>#REF!</v>
      </c>
      <c r="U148" s="1013" t="e">
        <f t="shared" si="384"/>
        <v>#REF!</v>
      </c>
      <c r="V148" s="146" t="e">
        <f>SUMIF(#REF!,'Huella materiales'!A148,#REF!)</f>
        <v>#REF!</v>
      </c>
      <c r="W148" s="1013" t="e">
        <f t="shared" si="385"/>
        <v>#REF!</v>
      </c>
      <c r="X148" s="146" t="e">
        <f>SUMIF(#REF!,'Huella materiales'!A148,#REF!)</f>
        <v>#REF!</v>
      </c>
      <c r="Y148" s="1013" t="e">
        <f t="shared" si="386"/>
        <v>#REF!</v>
      </c>
      <c r="Z148" s="146" t="e">
        <f>SUMIF(#REF!,'Huella materiales'!A148,#REF!)</f>
        <v>#REF!</v>
      </c>
      <c r="AA148" s="1013" t="e">
        <f t="shared" si="387"/>
        <v>#REF!</v>
      </c>
      <c r="AB148" s="1030">
        <f>'Datos auxiliares materiales'!C85</f>
        <v>1</v>
      </c>
      <c r="AC148" s="1017" t="e">
        <f t="shared" si="388"/>
        <v>#REF!</v>
      </c>
      <c r="AD148" s="1022">
        <f t="shared" si="380"/>
        <v>0</v>
      </c>
      <c r="AE148" s="1077">
        <f>'Datos auxiliares materiales'!D85</f>
        <v>100</v>
      </c>
      <c r="AF148" s="170">
        <f>C148*$AB$148*$AE$148</f>
        <v>0</v>
      </c>
      <c r="AG148" s="170" t="e">
        <f t="shared" si="389"/>
        <v>#REF!</v>
      </c>
      <c r="AH148" s="170" t="e">
        <f t="shared" si="390"/>
        <v>#REF!</v>
      </c>
      <c r="AI148" s="170" t="e">
        <f t="shared" si="391"/>
        <v>#REF!</v>
      </c>
      <c r="AJ148" s="170" t="e">
        <f t="shared" si="392"/>
        <v>#REF!</v>
      </c>
      <c r="AK148" s="170" t="e">
        <f t="shared" si="393"/>
        <v>#REF!</v>
      </c>
      <c r="AL148" s="170" t="e">
        <f t="shared" si="394"/>
        <v>#REF!</v>
      </c>
      <c r="AM148" s="170" t="e">
        <f t="shared" si="395"/>
        <v>#REF!</v>
      </c>
      <c r="AN148" s="170" t="e">
        <f t="shared" si="396"/>
        <v>#REF!</v>
      </c>
      <c r="AO148" s="170" t="e">
        <f t="shared" si="397"/>
        <v>#REF!</v>
      </c>
      <c r="AP148" s="170" t="e">
        <f t="shared" si="398"/>
        <v>#REF!</v>
      </c>
      <c r="AQ148" s="170" t="e">
        <f t="shared" si="399"/>
        <v>#REF!</v>
      </c>
      <c r="AR148" s="170" t="e">
        <f t="shared" si="400"/>
        <v>#REF!</v>
      </c>
      <c r="AS148" s="1082" t="e">
        <f t="shared" si="381"/>
        <v>#REF!</v>
      </c>
      <c r="AT148" s="170"/>
      <c r="AU148" s="171"/>
      <c r="AV148" s="160"/>
      <c r="AW148" s="160"/>
      <c r="AX148" s="160"/>
      <c r="AY148"/>
      <c r="AZ148"/>
      <c r="BA148"/>
      <c r="BF148" s="34"/>
      <c r="BL148" s="16"/>
      <c r="BM148" s="16"/>
      <c r="BN148" s="16"/>
      <c r="BO148" s="16"/>
      <c r="BP148" s="10" t="s">
        <v>601</v>
      </c>
    </row>
    <row r="149" spans="1:68">
      <c r="A149" s="10" t="s">
        <v>1131</v>
      </c>
      <c r="B149" s="175" t="s">
        <v>64</v>
      </c>
      <c r="C149" s="169">
        <f>SUMIFS(BCRR_REHAB!L:L,BCRR_REHAB!D:D,'Huella materiales'!A149)</f>
        <v>0</v>
      </c>
      <c r="D149" s="146" t="e">
        <f>SUMIF(#REF!,'Huella materiales'!A149,#REF!)</f>
        <v>#REF!</v>
      </c>
      <c r="E149" s="1013" t="e">
        <f t="shared" si="374"/>
        <v>#REF!</v>
      </c>
      <c r="F149" s="146" t="e">
        <f>SUMIF(#REF!,'Huella materiales'!A149,#REF!)</f>
        <v>#REF!</v>
      </c>
      <c r="G149" s="1013" t="e">
        <f t="shared" si="375"/>
        <v>#REF!</v>
      </c>
      <c r="H149" s="146" t="e">
        <f>SUMIF(#REF!,'Huella materiales'!A149,#REF!)</f>
        <v>#REF!</v>
      </c>
      <c r="I149" s="1013" t="e">
        <f t="shared" si="376"/>
        <v>#REF!</v>
      </c>
      <c r="J149" s="146" t="e">
        <f>SUMIF(#REF!,'Huella materiales'!A149,#REF!)</f>
        <v>#REF!</v>
      </c>
      <c r="K149" s="1013" t="e">
        <f t="shared" si="377"/>
        <v>#REF!</v>
      </c>
      <c r="L149" s="146" t="e">
        <f>SUMIF(#REF!,'Huella materiales'!A149,#REF!)</f>
        <v>#REF!</v>
      </c>
      <c r="M149" s="1013" t="e">
        <f t="shared" si="378"/>
        <v>#REF!</v>
      </c>
      <c r="N149" s="146" t="e">
        <f>SUMIF(#REF!,'Huella materiales'!A149,#REF!)</f>
        <v>#REF!</v>
      </c>
      <c r="O149" s="1013" t="e">
        <f t="shared" si="379"/>
        <v>#REF!</v>
      </c>
      <c r="P149" s="146" t="e">
        <f>SUMIF(#REF!,'Huella materiales'!A149,#REF!)</f>
        <v>#REF!</v>
      </c>
      <c r="Q149" s="1013" t="e">
        <f t="shared" si="382"/>
        <v>#REF!</v>
      </c>
      <c r="R149" s="146" t="e">
        <f>SUMIF(#REF!,'Huella materiales'!A149,#REF!)</f>
        <v>#REF!</v>
      </c>
      <c r="S149" s="1013" t="e">
        <f t="shared" si="383"/>
        <v>#REF!</v>
      </c>
      <c r="T149" s="146" t="e">
        <f>SUMIF(#REF!,'Huella materiales'!A149,#REF!)</f>
        <v>#REF!</v>
      </c>
      <c r="U149" s="1013" t="e">
        <f t="shared" si="384"/>
        <v>#REF!</v>
      </c>
      <c r="V149" s="146" t="e">
        <f>SUMIF(#REF!,'Huella materiales'!A149,#REF!)</f>
        <v>#REF!</v>
      </c>
      <c r="W149" s="1013" t="e">
        <f t="shared" si="385"/>
        <v>#REF!</v>
      </c>
      <c r="X149" s="146" t="e">
        <f>SUMIF(#REF!,'Huella materiales'!A149,#REF!)</f>
        <v>#REF!</v>
      </c>
      <c r="Y149" s="1013" t="e">
        <f t="shared" si="386"/>
        <v>#REF!</v>
      </c>
      <c r="Z149" s="146" t="e">
        <f>SUMIF(#REF!,'Huella materiales'!A149,#REF!)</f>
        <v>#REF!</v>
      </c>
      <c r="AA149" s="1013" t="e">
        <f t="shared" si="387"/>
        <v>#REF!</v>
      </c>
      <c r="AB149" s="1030">
        <f>'Datos auxiliares materiales'!C86</f>
        <v>1</v>
      </c>
      <c r="AC149" s="1017" t="e">
        <f t="shared" si="388"/>
        <v>#REF!</v>
      </c>
      <c r="AD149" s="1022">
        <f t="shared" si="380"/>
        <v>0</v>
      </c>
      <c r="AE149" s="1077">
        <f>'Datos auxiliares materiales'!D86</f>
        <v>20</v>
      </c>
      <c r="AF149" s="170">
        <f>C149*$AB$149*$AE$149</f>
        <v>0</v>
      </c>
      <c r="AG149" s="170" t="e">
        <f t="shared" si="389"/>
        <v>#REF!</v>
      </c>
      <c r="AH149" s="170" t="e">
        <f t="shared" si="390"/>
        <v>#REF!</v>
      </c>
      <c r="AI149" s="170" t="e">
        <f t="shared" si="391"/>
        <v>#REF!</v>
      </c>
      <c r="AJ149" s="170" t="e">
        <f t="shared" si="392"/>
        <v>#REF!</v>
      </c>
      <c r="AK149" s="170" t="e">
        <f t="shared" si="393"/>
        <v>#REF!</v>
      </c>
      <c r="AL149" s="170" t="e">
        <f t="shared" si="394"/>
        <v>#REF!</v>
      </c>
      <c r="AM149" s="170" t="e">
        <f t="shared" si="395"/>
        <v>#REF!</v>
      </c>
      <c r="AN149" s="170" t="e">
        <f t="shared" si="396"/>
        <v>#REF!</v>
      </c>
      <c r="AO149" s="170" t="e">
        <f t="shared" si="397"/>
        <v>#REF!</v>
      </c>
      <c r="AP149" s="170" t="e">
        <f t="shared" si="398"/>
        <v>#REF!</v>
      </c>
      <c r="AQ149" s="170" t="e">
        <f t="shared" si="399"/>
        <v>#REF!</v>
      </c>
      <c r="AR149" s="170" t="e">
        <f t="shared" si="400"/>
        <v>#REF!</v>
      </c>
      <c r="AS149" s="1082" t="e">
        <f>AG149+AH149+AI149+AJ149+AK149+AL149+AM149+AN149+AO149+AP149+AQ149+AR149</f>
        <v>#REF!</v>
      </c>
      <c r="AT149" s="170"/>
      <c r="AU149" s="171"/>
      <c r="AV149" s="160"/>
      <c r="AW149" s="160"/>
      <c r="AX149" s="160"/>
      <c r="AY149"/>
      <c r="AZ149"/>
      <c r="BA149"/>
      <c r="BF149" s="34"/>
      <c r="BL149" s="16"/>
      <c r="BM149" s="16"/>
      <c r="BN149" s="16"/>
      <c r="BO149" s="16"/>
      <c r="BP149" s="10" t="s">
        <v>602</v>
      </c>
    </row>
    <row r="150" spans="1:68">
      <c r="A150" s="10" t="s">
        <v>1215</v>
      </c>
      <c r="B150" s="175" t="s">
        <v>160</v>
      </c>
      <c r="C150" s="169">
        <f>SUMIFS(BCRR_REHAB!L:L,BCRR_REHAB!D:D,'Huella materiales'!A150)</f>
        <v>0</v>
      </c>
      <c r="D150" s="146" t="e">
        <f>SUMIF(#REF!,'Huella materiales'!A150,#REF!)</f>
        <v>#REF!</v>
      </c>
      <c r="E150" s="1013" t="e">
        <f t="shared" si="374"/>
        <v>#REF!</v>
      </c>
      <c r="F150" s="146" t="e">
        <f>SUMIF(#REF!,'Huella materiales'!A150,#REF!)</f>
        <v>#REF!</v>
      </c>
      <c r="G150" s="1013" t="e">
        <f t="shared" si="375"/>
        <v>#REF!</v>
      </c>
      <c r="H150" s="146" t="e">
        <f>SUMIF(#REF!,'Huella materiales'!A150,#REF!)</f>
        <v>#REF!</v>
      </c>
      <c r="I150" s="1013" t="e">
        <f t="shared" si="376"/>
        <v>#REF!</v>
      </c>
      <c r="J150" s="146" t="e">
        <f>SUMIF(#REF!,'Huella materiales'!A150,#REF!)</f>
        <v>#REF!</v>
      </c>
      <c r="K150" s="1013" t="e">
        <f t="shared" si="377"/>
        <v>#REF!</v>
      </c>
      <c r="L150" s="146" t="e">
        <f>SUMIF(#REF!,'Huella materiales'!A150,#REF!)</f>
        <v>#REF!</v>
      </c>
      <c r="M150" s="1013" t="e">
        <f t="shared" si="378"/>
        <v>#REF!</v>
      </c>
      <c r="N150" s="146" t="e">
        <f>SUMIF(#REF!,'Huella materiales'!A150,#REF!)</f>
        <v>#REF!</v>
      </c>
      <c r="O150" s="1013" t="e">
        <f t="shared" si="379"/>
        <v>#REF!</v>
      </c>
      <c r="P150" s="146" t="e">
        <f>SUMIF(#REF!,'Huella materiales'!A150,#REF!)</f>
        <v>#REF!</v>
      </c>
      <c r="Q150" s="1013" t="e">
        <f t="shared" si="382"/>
        <v>#REF!</v>
      </c>
      <c r="R150" s="146" t="e">
        <f>SUMIF(#REF!,'Huella materiales'!A150,#REF!)</f>
        <v>#REF!</v>
      </c>
      <c r="S150" s="1013" t="e">
        <f t="shared" si="383"/>
        <v>#REF!</v>
      </c>
      <c r="T150" s="146" t="e">
        <f>SUMIF(#REF!,'Huella materiales'!A150,#REF!)</f>
        <v>#REF!</v>
      </c>
      <c r="U150" s="1013" t="e">
        <f t="shared" si="384"/>
        <v>#REF!</v>
      </c>
      <c r="V150" s="146" t="e">
        <f>SUMIF(#REF!,'Huella materiales'!A150,#REF!)</f>
        <v>#REF!</v>
      </c>
      <c r="W150" s="1013" t="e">
        <f t="shared" si="385"/>
        <v>#REF!</v>
      </c>
      <c r="X150" s="146" t="e">
        <f>SUMIF(#REF!,'Huella materiales'!A150,#REF!)</f>
        <v>#REF!</v>
      </c>
      <c r="Y150" s="1013" t="e">
        <f t="shared" si="386"/>
        <v>#REF!</v>
      </c>
      <c r="Z150" s="146" t="e">
        <f>SUMIF(#REF!,'Huella materiales'!A150,#REF!)</f>
        <v>#REF!</v>
      </c>
      <c r="AA150" s="1013" t="e">
        <f t="shared" si="387"/>
        <v>#REF!</v>
      </c>
      <c r="AB150" s="1030">
        <f>'Datos auxiliares materiales'!C87</f>
        <v>1</v>
      </c>
      <c r="AC150" s="1017" t="e">
        <f t="shared" si="388"/>
        <v>#REF!</v>
      </c>
      <c r="AD150" s="1022">
        <f t="shared" si="380"/>
        <v>0</v>
      </c>
      <c r="AE150" s="1077">
        <f>'Datos auxiliares materiales'!D87</f>
        <v>20</v>
      </c>
      <c r="AF150" s="170">
        <f>C150*$AB$150*$AE$150</f>
        <v>0</v>
      </c>
      <c r="AG150" s="170" t="e">
        <f t="shared" si="389"/>
        <v>#REF!</v>
      </c>
      <c r="AH150" s="170" t="e">
        <f t="shared" si="390"/>
        <v>#REF!</v>
      </c>
      <c r="AI150" s="170" t="e">
        <f t="shared" si="391"/>
        <v>#REF!</v>
      </c>
      <c r="AJ150" s="170" t="e">
        <f t="shared" si="392"/>
        <v>#REF!</v>
      </c>
      <c r="AK150" s="170" t="e">
        <f t="shared" si="393"/>
        <v>#REF!</v>
      </c>
      <c r="AL150" s="170" t="e">
        <f t="shared" si="394"/>
        <v>#REF!</v>
      </c>
      <c r="AM150" s="170" t="e">
        <f t="shared" si="395"/>
        <v>#REF!</v>
      </c>
      <c r="AN150" s="170" t="e">
        <f t="shared" si="396"/>
        <v>#REF!</v>
      </c>
      <c r="AO150" s="170" t="e">
        <f t="shared" si="397"/>
        <v>#REF!</v>
      </c>
      <c r="AP150" s="170" t="e">
        <f t="shared" si="398"/>
        <v>#REF!</v>
      </c>
      <c r="AQ150" s="170" t="e">
        <f t="shared" si="399"/>
        <v>#REF!</v>
      </c>
      <c r="AR150" s="170" t="e">
        <f t="shared" si="400"/>
        <v>#REF!</v>
      </c>
      <c r="AS150" s="1082" t="e">
        <f t="shared" si="381"/>
        <v>#REF!</v>
      </c>
      <c r="AT150" s="170"/>
      <c r="AU150" s="171"/>
      <c r="AV150" s="160"/>
      <c r="AW150" s="160"/>
      <c r="AX150" s="160"/>
      <c r="AY150"/>
      <c r="AZ150"/>
      <c r="BA150"/>
      <c r="BF150" s="16"/>
      <c r="BL150" s="16"/>
      <c r="BM150" s="16"/>
      <c r="BN150" s="16"/>
      <c r="BO150" s="16"/>
      <c r="BP150" s="10" t="s">
        <v>603</v>
      </c>
    </row>
    <row r="151" spans="1:68">
      <c r="A151" s="10" t="s">
        <v>1216</v>
      </c>
      <c r="B151" s="175" t="s">
        <v>161</v>
      </c>
      <c r="C151" s="169">
        <f>SUMIFS(BCRR_REHAB!L:L,BCRR_REHAB!D:D,'Huella materiales'!A151)</f>
        <v>0</v>
      </c>
      <c r="D151" s="146" t="e">
        <f>SUMIF(#REF!,'Huella materiales'!A151,#REF!)</f>
        <v>#REF!</v>
      </c>
      <c r="E151" s="1013" t="e">
        <f t="shared" si="374"/>
        <v>#REF!</v>
      </c>
      <c r="F151" s="146" t="e">
        <f>SUMIF(#REF!,'Huella materiales'!A151,#REF!)</f>
        <v>#REF!</v>
      </c>
      <c r="G151" s="1013" t="e">
        <f t="shared" si="375"/>
        <v>#REF!</v>
      </c>
      <c r="H151" s="146" t="e">
        <f>SUMIF(#REF!,'Huella materiales'!A151,#REF!)</f>
        <v>#REF!</v>
      </c>
      <c r="I151" s="1013" t="e">
        <f t="shared" si="376"/>
        <v>#REF!</v>
      </c>
      <c r="J151" s="146" t="e">
        <f>SUMIF(#REF!,'Huella materiales'!A151,#REF!)</f>
        <v>#REF!</v>
      </c>
      <c r="K151" s="1013" t="e">
        <f t="shared" si="377"/>
        <v>#REF!</v>
      </c>
      <c r="L151" s="146" t="e">
        <f>SUMIF(#REF!,'Huella materiales'!A151,#REF!)</f>
        <v>#REF!</v>
      </c>
      <c r="M151" s="1013" t="e">
        <f t="shared" si="378"/>
        <v>#REF!</v>
      </c>
      <c r="N151" s="146" t="e">
        <f>SUMIF(#REF!,'Huella materiales'!A151,#REF!)</f>
        <v>#REF!</v>
      </c>
      <c r="O151" s="1013" t="e">
        <f t="shared" si="379"/>
        <v>#REF!</v>
      </c>
      <c r="P151" s="146" t="e">
        <f>SUMIF(#REF!,'Huella materiales'!A151,#REF!)</f>
        <v>#REF!</v>
      </c>
      <c r="Q151" s="1013" t="e">
        <f t="shared" si="382"/>
        <v>#REF!</v>
      </c>
      <c r="R151" s="146" t="e">
        <f>SUMIF(#REF!,'Huella materiales'!A151,#REF!)</f>
        <v>#REF!</v>
      </c>
      <c r="S151" s="1013" t="e">
        <f t="shared" si="383"/>
        <v>#REF!</v>
      </c>
      <c r="T151" s="146" t="e">
        <f>SUMIF(#REF!,'Huella materiales'!A151,#REF!)</f>
        <v>#REF!</v>
      </c>
      <c r="U151" s="1013" t="e">
        <f t="shared" si="384"/>
        <v>#REF!</v>
      </c>
      <c r="V151" s="146" t="e">
        <f>SUMIF(#REF!,'Huella materiales'!A151,#REF!)</f>
        <v>#REF!</v>
      </c>
      <c r="W151" s="1013" t="e">
        <f t="shared" si="385"/>
        <v>#REF!</v>
      </c>
      <c r="X151" s="146" t="e">
        <f>SUMIF(#REF!,'Huella materiales'!A151,#REF!)</f>
        <v>#REF!</v>
      </c>
      <c r="Y151" s="1013" t="e">
        <f t="shared" si="386"/>
        <v>#REF!</v>
      </c>
      <c r="Z151" s="146" t="e">
        <f>SUMIF(#REF!,'Huella materiales'!A151,#REF!)</f>
        <v>#REF!</v>
      </c>
      <c r="AA151" s="1013" t="e">
        <f t="shared" si="387"/>
        <v>#REF!</v>
      </c>
      <c r="AB151" s="1030">
        <f>'Datos auxiliares materiales'!C88</f>
        <v>1</v>
      </c>
      <c r="AC151" s="1017" t="e">
        <f t="shared" si="388"/>
        <v>#REF!</v>
      </c>
      <c r="AD151" s="1022">
        <f t="shared" si="380"/>
        <v>0</v>
      </c>
      <c r="AE151" s="1077">
        <f>'Datos auxiliares materiales'!D88</f>
        <v>100</v>
      </c>
      <c r="AF151" s="170">
        <f>C151*$AB$151*$AE$151</f>
        <v>0</v>
      </c>
      <c r="AG151" s="170" t="e">
        <f t="shared" si="389"/>
        <v>#REF!</v>
      </c>
      <c r="AH151" s="170" t="e">
        <f t="shared" si="390"/>
        <v>#REF!</v>
      </c>
      <c r="AI151" s="170" t="e">
        <f t="shared" si="391"/>
        <v>#REF!</v>
      </c>
      <c r="AJ151" s="170" t="e">
        <f t="shared" si="392"/>
        <v>#REF!</v>
      </c>
      <c r="AK151" s="170" t="e">
        <f t="shared" si="393"/>
        <v>#REF!</v>
      </c>
      <c r="AL151" s="170" t="e">
        <f t="shared" si="394"/>
        <v>#REF!</v>
      </c>
      <c r="AM151" s="170" t="e">
        <f t="shared" si="395"/>
        <v>#REF!</v>
      </c>
      <c r="AN151" s="170" t="e">
        <f t="shared" si="396"/>
        <v>#REF!</v>
      </c>
      <c r="AO151" s="170" t="e">
        <f t="shared" si="397"/>
        <v>#REF!</v>
      </c>
      <c r="AP151" s="170" t="e">
        <f t="shared" si="398"/>
        <v>#REF!</v>
      </c>
      <c r="AQ151" s="170" t="e">
        <f t="shared" si="399"/>
        <v>#REF!</v>
      </c>
      <c r="AR151" s="170" t="e">
        <f t="shared" si="400"/>
        <v>#REF!</v>
      </c>
      <c r="AS151" s="1082" t="e">
        <f t="shared" si="381"/>
        <v>#REF!</v>
      </c>
      <c r="AT151" s="170"/>
      <c r="AU151" s="171"/>
      <c r="AV151" s="160"/>
      <c r="AW151" s="160"/>
      <c r="AX151" s="160"/>
      <c r="AY151"/>
      <c r="AZ151"/>
      <c r="BA151"/>
      <c r="BF151" s="16"/>
      <c r="BL151" s="16"/>
      <c r="BM151" s="16"/>
      <c r="BN151" s="16"/>
      <c r="BO151" s="16"/>
      <c r="BP151" s="10" t="s">
        <v>604</v>
      </c>
    </row>
    <row r="152" spans="1:68">
      <c r="A152" s="10" t="s">
        <v>1212</v>
      </c>
      <c r="B152" s="175" t="s">
        <v>1242</v>
      </c>
      <c r="C152" s="169">
        <f>SUMIFS(BCRR_REHAB!L:L,BCRR_REHAB!D:D,'Huella materiales'!A152)</f>
        <v>0</v>
      </c>
      <c r="D152" s="146" t="e">
        <f>SUMIF(#REF!,'Huella materiales'!A152,#REF!)</f>
        <v>#REF!</v>
      </c>
      <c r="E152" s="1013" t="e">
        <f t="shared" si="374"/>
        <v>#REF!</v>
      </c>
      <c r="F152" s="146" t="e">
        <f>SUMIF(#REF!,'Huella materiales'!A152,#REF!)</f>
        <v>#REF!</v>
      </c>
      <c r="G152" s="1013" t="e">
        <f t="shared" si="375"/>
        <v>#REF!</v>
      </c>
      <c r="H152" s="146" t="e">
        <f>SUMIF(#REF!,'Huella materiales'!A152,#REF!)</f>
        <v>#REF!</v>
      </c>
      <c r="I152" s="1013" t="e">
        <f t="shared" si="376"/>
        <v>#REF!</v>
      </c>
      <c r="J152" s="146" t="e">
        <f>SUMIF(#REF!,'Huella materiales'!A152,#REF!)</f>
        <v>#REF!</v>
      </c>
      <c r="K152" s="1013" t="e">
        <f t="shared" si="377"/>
        <v>#REF!</v>
      </c>
      <c r="L152" s="146" t="e">
        <f>SUMIF(#REF!,'Huella materiales'!A152,#REF!)</f>
        <v>#REF!</v>
      </c>
      <c r="M152" s="1013" t="e">
        <f t="shared" si="378"/>
        <v>#REF!</v>
      </c>
      <c r="N152" s="146" t="e">
        <f>SUMIF(#REF!,'Huella materiales'!A152,#REF!)</f>
        <v>#REF!</v>
      </c>
      <c r="O152" s="1013" t="e">
        <f t="shared" si="379"/>
        <v>#REF!</v>
      </c>
      <c r="P152" s="146" t="e">
        <f>SUMIF(#REF!,'Huella materiales'!A152,#REF!)</f>
        <v>#REF!</v>
      </c>
      <c r="Q152" s="1013" t="e">
        <f t="shared" si="382"/>
        <v>#REF!</v>
      </c>
      <c r="R152" s="146" t="e">
        <f>SUMIF(#REF!,'Huella materiales'!A152,#REF!)</f>
        <v>#REF!</v>
      </c>
      <c r="S152" s="1013" t="e">
        <f t="shared" si="383"/>
        <v>#REF!</v>
      </c>
      <c r="T152" s="146" t="e">
        <f>SUMIF(#REF!,'Huella materiales'!A152,#REF!)</f>
        <v>#REF!</v>
      </c>
      <c r="U152" s="1013" t="e">
        <f t="shared" si="384"/>
        <v>#REF!</v>
      </c>
      <c r="V152" s="146" t="e">
        <f>SUMIF(#REF!,'Huella materiales'!A152,#REF!)</f>
        <v>#REF!</v>
      </c>
      <c r="W152" s="1013" t="e">
        <f t="shared" si="385"/>
        <v>#REF!</v>
      </c>
      <c r="X152" s="146" t="e">
        <f>SUMIF(#REF!,'Huella materiales'!A152,#REF!)</f>
        <v>#REF!</v>
      </c>
      <c r="Y152" s="1013" t="e">
        <f t="shared" si="386"/>
        <v>#REF!</v>
      </c>
      <c r="Z152" s="146" t="e">
        <f>SUMIF(#REF!,'Huella materiales'!A152,#REF!)</f>
        <v>#REF!</v>
      </c>
      <c r="AA152" s="1013" t="e">
        <f t="shared" si="387"/>
        <v>#REF!</v>
      </c>
      <c r="AB152" s="1030"/>
      <c r="AC152" s="1017" t="e">
        <f t="shared" si="388"/>
        <v>#REF!</v>
      </c>
      <c r="AD152" s="1022">
        <f t="shared" si="380"/>
        <v>0</v>
      </c>
      <c r="AE152" s="1077"/>
      <c r="AF152" s="170"/>
      <c r="AG152" s="170" t="e">
        <f t="shared" si="389"/>
        <v>#REF!</v>
      </c>
      <c r="AH152" s="170" t="e">
        <f t="shared" si="390"/>
        <v>#REF!</v>
      </c>
      <c r="AI152" s="170" t="e">
        <f t="shared" si="391"/>
        <v>#REF!</v>
      </c>
      <c r="AJ152" s="170" t="e">
        <f t="shared" si="392"/>
        <v>#REF!</v>
      </c>
      <c r="AK152" s="170" t="e">
        <f t="shared" si="393"/>
        <v>#REF!</v>
      </c>
      <c r="AL152" s="170" t="e">
        <f t="shared" si="394"/>
        <v>#REF!</v>
      </c>
      <c r="AM152" s="170" t="e">
        <f t="shared" si="395"/>
        <v>#REF!</v>
      </c>
      <c r="AN152" s="170" t="e">
        <f t="shared" si="396"/>
        <v>#REF!</v>
      </c>
      <c r="AO152" s="170" t="e">
        <f t="shared" si="397"/>
        <v>#REF!</v>
      </c>
      <c r="AP152" s="170" t="e">
        <f t="shared" si="398"/>
        <v>#REF!</v>
      </c>
      <c r="AQ152" s="170" t="e">
        <f t="shared" si="399"/>
        <v>#REF!</v>
      </c>
      <c r="AR152" s="170" t="e">
        <f t="shared" si="400"/>
        <v>#REF!</v>
      </c>
      <c r="AS152" s="1082" t="e">
        <f t="shared" si="381"/>
        <v>#REF!</v>
      </c>
      <c r="AT152" s="170"/>
      <c r="AU152" s="171"/>
      <c r="AV152" s="160"/>
      <c r="AW152" s="160"/>
      <c r="AX152" s="160"/>
      <c r="AY152"/>
      <c r="AZ152"/>
      <c r="BA152"/>
      <c r="BF152" s="34"/>
      <c r="BL152" s="16"/>
      <c r="BM152" s="16"/>
      <c r="BN152" s="16"/>
      <c r="BO152" s="16"/>
      <c r="BP152" s="10"/>
    </row>
    <row r="153" spans="1:68">
      <c r="A153" s="10" t="s">
        <v>1213</v>
      </c>
      <c r="B153" s="175" t="s">
        <v>1243</v>
      </c>
      <c r="C153" s="169">
        <f>SUMIFS(BCRR_REHAB!L:L,BCRR_REHAB!D:D,'Huella materiales'!A153)</f>
        <v>0</v>
      </c>
      <c r="D153" s="146" t="e">
        <f>SUMIF(#REF!,'Huella materiales'!A153,#REF!)</f>
        <v>#REF!</v>
      </c>
      <c r="E153" s="1013" t="e">
        <f t="shared" si="374"/>
        <v>#REF!</v>
      </c>
      <c r="F153" s="146" t="e">
        <f>SUMIF(#REF!,'Huella materiales'!A153,#REF!)</f>
        <v>#REF!</v>
      </c>
      <c r="G153" s="1013" t="e">
        <f t="shared" si="375"/>
        <v>#REF!</v>
      </c>
      <c r="H153" s="146" t="e">
        <f>SUMIF(#REF!,'Huella materiales'!A153,#REF!)</f>
        <v>#REF!</v>
      </c>
      <c r="I153" s="1013" t="e">
        <f t="shared" si="376"/>
        <v>#REF!</v>
      </c>
      <c r="J153" s="146" t="e">
        <f>SUMIF(#REF!,'Huella materiales'!A153,#REF!)</f>
        <v>#REF!</v>
      </c>
      <c r="K153" s="1013" t="e">
        <f t="shared" si="377"/>
        <v>#REF!</v>
      </c>
      <c r="L153" s="146" t="e">
        <f>SUMIF(#REF!,'Huella materiales'!A153,#REF!)</f>
        <v>#REF!</v>
      </c>
      <c r="M153" s="1013" t="e">
        <f t="shared" si="378"/>
        <v>#REF!</v>
      </c>
      <c r="N153" s="146" t="e">
        <f>SUMIF(#REF!,'Huella materiales'!A153,#REF!)</f>
        <v>#REF!</v>
      </c>
      <c r="O153" s="1013" t="e">
        <f t="shared" si="379"/>
        <v>#REF!</v>
      </c>
      <c r="P153" s="146" t="e">
        <f>SUMIF(#REF!,'Huella materiales'!A153,#REF!)</f>
        <v>#REF!</v>
      </c>
      <c r="Q153" s="1013" t="e">
        <f t="shared" si="382"/>
        <v>#REF!</v>
      </c>
      <c r="R153" s="146" t="e">
        <f>SUMIF(#REF!,'Huella materiales'!A153,#REF!)</f>
        <v>#REF!</v>
      </c>
      <c r="S153" s="1013" t="e">
        <f t="shared" si="383"/>
        <v>#REF!</v>
      </c>
      <c r="T153" s="146" t="e">
        <f>SUMIF(#REF!,'Huella materiales'!A153,#REF!)</f>
        <v>#REF!</v>
      </c>
      <c r="U153" s="1013" t="e">
        <f t="shared" si="384"/>
        <v>#REF!</v>
      </c>
      <c r="V153" s="146" t="e">
        <f>SUMIF(#REF!,'Huella materiales'!A153,#REF!)</f>
        <v>#REF!</v>
      </c>
      <c r="W153" s="1013" t="e">
        <f t="shared" si="385"/>
        <v>#REF!</v>
      </c>
      <c r="X153" s="146" t="e">
        <f>SUMIF(#REF!,'Huella materiales'!A153,#REF!)</f>
        <v>#REF!</v>
      </c>
      <c r="Y153" s="1013" t="e">
        <f t="shared" si="386"/>
        <v>#REF!</v>
      </c>
      <c r="Z153" s="146" t="e">
        <f>SUMIF(#REF!,'Huella materiales'!A153,#REF!)</f>
        <v>#REF!</v>
      </c>
      <c r="AA153" s="1013" t="e">
        <f t="shared" si="387"/>
        <v>#REF!</v>
      </c>
      <c r="AB153" s="1030"/>
      <c r="AC153" s="1017" t="e">
        <f t="shared" si="388"/>
        <v>#REF!</v>
      </c>
      <c r="AD153" s="1022">
        <f t="shared" si="380"/>
        <v>0</v>
      </c>
      <c r="AE153" s="1077"/>
      <c r="AF153" s="170"/>
      <c r="AG153" s="170" t="e">
        <f t="shared" si="389"/>
        <v>#REF!</v>
      </c>
      <c r="AH153" s="170" t="e">
        <f t="shared" si="390"/>
        <v>#REF!</v>
      </c>
      <c r="AI153" s="170" t="e">
        <f t="shared" si="391"/>
        <v>#REF!</v>
      </c>
      <c r="AJ153" s="170" t="e">
        <f t="shared" si="392"/>
        <v>#REF!</v>
      </c>
      <c r="AK153" s="170" t="e">
        <f t="shared" si="393"/>
        <v>#REF!</v>
      </c>
      <c r="AL153" s="170" t="e">
        <f t="shared" si="394"/>
        <v>#REF!</v>
      </c>
      <c r="AM153" s="170" t="e">
        <f t="shared" si="395"/>
        <v>#REF!</v>
      </c>
      <c r="AN153" s="170" t="e">
        <f t="shared" si="396"/>
        <v>#REF!</v>
      </c>
      <c r="AO153" s="170" t="e">
        <f t="shared" si="397"/>
        <v>#REF!</v>
      </c>
      <c r="AP153" s="170" t="e">
        <f t="shared" si="398"/>
        <v>#REF!</v>
      </c>
      <c r="AQ153" s="170" t="e">
        <f t="shared" si="399"/>
        <v>#REF!</v>
      </c>
      <c r="AR153" s="170" t="e">
        <f t="shared" si="400"/>
        <v>#REF!</v>
      </c>
      <c r="AS153" s="1082" t="e">
        <f t="shared" si="381"/>
        <v>#REF!</v>
      </c>
      <c r="AT153" s="170"/>
      <c r="AU153" s="171"/>
      <c r="AV153" s="160"/>
      <c r="AW153" s="160"/>
      <c r="AX153" s="160"/>
      <c r="AY153"/>
      <c r="AZ153"/>
      <c r="BA153"/>
      <c r="BF153" s="34"/>
      <c r="BL153" s="16"/>
      <c r="BM153" s="16"/>
      <c r="BN153" s="16"/>
      <c r="BO153" s="16"/>
      <c r="BP153" s="10"/>
    </row>
    <row r="154" spans="1:68">
      <c r="A154" s="10" t="s">
        <v>1211</v>
      </c>
      <c r="B154" s="175" t="s">
        <v>158</v>
      </c>
      <c r="C154" s="169">
        <f>SUMIFS(BCRR_REHAB!L:L,BCRR_REHAB!D:D,'Huella materiales'!A154)</f>
        <v>0</v>
      </c>
      <c r="D154" s="146" t="e">
        <f>SUMIF(#REF!,'Huella materiales'!A154,#REF!)</f>
        <v>#REF!</v>
      </c>
      <c r="E154" s="1013" t="e">
        <f t="shared" si="374"/>
        <v>#REF!</v>
      </c>
      <c r="F154" s="146" t="e">
        <f>SUMIF(#REF!,'Huella materiales'!A154,#REF!)</f>
        <v>#REF!</v>
      </c>
      <c r="G154" s="1013" t="e">
        <f t="shared" si="375"/>
        <v>#REF!</v>
      </c>
      <c r="H154" s="146" t="e">
        <f>SUMIF(#REF!,'Huella materiales'!A154,#REF!)</f>
        <v>#REF!</v>
      </c>
      <c r="I154" s="1013" t="e">
        <f t="shared" si="376"/>
        <v>#REF!</v>
      </c>
      <c r="J154" s="146" t="e">
        <f>SUMIF(#REF!,'Huella materiales'!A154,#REF!)</f>
        <v>#REF!</v>
      </c>
      <c r="K154" s="1013" t="e">
        <f t="shared" si="377"/>
        <v>#REF!</v>
      </c>
      <c r="L154" s="146" t="e">
        <f>SUMIF(#REF!,'Huella materiales'!A154,#REF!)</f>
        <v>#REF!</v>
      </c>
      <c r="M154" s="1013" t="e">
        <f t="shared" si="378"/>
        <v>#REF!</v>
      </c>
      <c r="N154" s="146" t="e">
        <f>SUMIF(#REF!,'Huella materiales'!A154,#REF!)</f>
        <v>#REF!</v>
      </c>
      <c r="O154" s="1013" t="e">
        <f t="shared" si="379"/>
        <v>#REF!</v>
      </c>
      <c r="P154" s="146" t="e">
        <f>SUMIF(#REF!,'Huella materiales'!A154,#REF!)</f>
        <v>#REF!</v>
      </c>
      <c r="Q154" s="1013" t="e">
        <f t="shared" si="382"/>
        <v>#REF!</v>
      </c>
      <c r="R154" s="146" t="e">
        <f>SUMIF(#REF!,'Huella materiales'!A154,#REF!)</f>
        <v>#REF!</v>
      </c>
      <c r="S154" s="1013" t="e">
        <f t="shared" si="383"/>
        <v>#REF!</v>
      </c>
      <c r="T154" s="146" t="e">
        <f>SUMIF(#REF!,'Huella materiales'!A154,#REF!)</f>
        <v>#REF!</v>
      </c>
      <c r="U154" s="1013" t="e">
        <f t="shared" si="384"/>
        <v>#REF!</v>
      </c>
      <c r="V154" s="146" t="e">
        <f>SUMIF(#REF!,'Huella materiales'!A154,#REF!)</f>
        <v>#REF!</v>
      </c>
      <c r="W154" s="1013" t="e">
        <f t="shared" si="385"/>
        <v>#REF!</v>
      </c>
      <c r="X154" s="146" t="e">
        <f>SUMIF(#REF!,'Huella materiales'!A154,#REF!)</f>
        <v>#REF!</v>
      </c>
      <c r="Y154" s="1013" t="e">
        <f t="shared" si="386"/>
        <v>#REF!</v>
      </c>
      <c r="Z154" s="146" t="e">
        <f>SUMIF(#REF!,'Huella materiales'!A154,#REF!)</f>
        <v>#REF!</v>
      </c>
      <c r="AA154" s="1013" t="e">
        <f t="shared" si="387"/>
        <v>#REF!</v>
      </c>
      <c r="AB154" s="1030">
        <f>'Datos auxiliares materiales'!C89</f>
        <v>1</v>
      </c>
      <c r="AC154" s="1017" t="e">
        <f t="shared" si="388"/>
        <v>#REF!</v>
      </c>
      <c r="AD154" s="1022">
        <f t="shared" si="380"/>
        <v>0</v>
      </c>
      <c r="AE154" s="1077">
        <f>'Datos auxiliares materiales'!D89</f>
        <v>100</v>
      </c>
      <c r="AF154" s="170">
        <f>C154*$AB$154*$AE$154</f>
        <v>0</v>
      </c>
      <c r="AG154" s="170" t="e">
        <f t="shared" si="389"/>
        <v>#REF!</v>
      </c>
      <c r="AH154" s="170" t="e">
        <f t="shared" si="390"/>
        <v>#REF!</v>
      </c>
      <c r="AI154" s="170" t="e">
        <f t="shared" si="391"/>
        <v>#REF!</v>
      </c>
      <c r="AJ154" s="170" t="e">
        <f t="shared" si="392"/>
        <v>#REF!</v>
      </c>
      <c r="AK154" s="170" t="e">
        <f t="shared" si="393"/>
        <v>#REF!</v>
      </c>
      <c r="AL154" s="170" t="e">
        <f t="shared" si="394"/>
        <v>#REF!</v>
      </c>
      <c r="AM154" s="170" t="e">
        <f t="shared" si="395"/>
        <v>#REF!</v>
      </c>
      <c r="AN154" s="170" t="e">
        <f t="shared" si="396"/>
        <v>#REF!</v>
      </c>
      <c r="AO154" s="170" t="e">
        <f t="shared" si="397"/>
        <v>#REF!</v>
      </c>
      <c r="AP154" s="170" t="e">
        <f t="shared" si="398"/>
        <v>#REF!</v>
      </c>
      <c r="AQ154" s="170" t="e">
        <f t="shared" si="399"/>
        <v>#REF!</v>
      </c>
      <c r="AR154" s="170" t="e">
        <f t="shared" si="400"/>
        <v>#REF!</v>
      </c>
      <c r="AS154" s="1082" t="e">
        <f t="shared" si="381"/>
        <v>#REF!</v>
      </c>
      <c r="AT154" s="170"/>
      <c r="AU154" s="171"/>
      <c r="AV154" s="160"/>
      <c r="AW154" s="160"/>
      <c r="AX154" s="160"/>
      <c r="AY154"/>
      <c r="AZ154"/>
      <c r="BA154"/>
      <c r="BF154" s="34"/>
      <c r="BL154" s="16"/>
      <c r="BM154" s="16"/>
      <c r="BN154" s="16"/>
      <c r="BO154" s="16"/>
      <c r="BP154" s="10" t="s">
        <v>605</v>
      </c>
    </row>
    <row r="155" spans="1:68">
      <c r="A155" s="10" t="s">
        <v>1083</v>
      </c>
      <c r="B155" s="175" t="s">
        <v>20</v>
      </c>
      <c r="C155" s="169">
        <f>SUMIFS(BCRR_REHAB!L:L,BCRR_REHAB!D:D,'Huella materiales'!A155)</f>
        <v>0</v>
      </c>
      <c r="D155" s="146" t="e">
        <f>SUMIF(#REF!,'Huella materiales'!A155,#REF!)</f>
        <v>#REF!</v>
      </c>
      <c r="E155" s="1013" t="e">
        <f t="shared" si="374"/>
        <v>#REF!</v>
      </c>
      <c r="F155" s="146" t="e">
        <f>SUMIF(#REF!,'Huella materiales'!A155,#REF!)</f>
        <v>#REF!</v>
      </c>
      <c r="G155" s="1013" t="e">
        <f t="shared" si="375"/>
        <v>#REF!</v>
      </c>
      <c r="H155" s="146" t="e">
        <f>SUMIF(#REF!,'Huella materiales'!A155,#REF!)</f>
        <v>#REF!</v>
      </c>
      <c r="I155" s="1013" t="e">
        <f t="shared" si="376"/>
        <v>#REF!</v>
      </c>
      <c r="J155" s="146" t="e">
        <f>SUMIF(#REF!,'Huella materiales'!A155,#REF!)</f>
        <v>#REF!</v>
      </c>
      <c r="K155" s="1013" t="e">
        <f t="shared" si="377"/>
        <v>#REF!</v>
      </c>
      <c r="L155" s="146" t="e">
        <f>SUMIF(#REF!,'Huella materiales'!A155,#REF!)</f>
        <v>#REF!</v>
      </c>
      <c r="M155" s="1013" t="e">
        <f t="shared" si="378"/>
        <v>#REF!</v>
      </c>
      <c r="N155" s="146" t="e">
        <f>SUMIF(#REF!,'Huella materiales'!A155,#REF!)</f>
        <v>#REF!</v>
      </c>
      <c r="O155" s="1013" t="e">
        <f t="shared" si="379"/>
        <v>#REF!</v>
      </c>
      <c r="P155" s="146" t="e">
        <f>SUMIF(#REF!,'Huella materiales'!A155,#REF!)</f>
        <v>#REF!</v>
      </c>
      <c r="Q155" s="1013" t="e">
        <f t="shared" si="382"/>
        <v>#REF!</v>
      </c>
      <c r="R155" s="146" t="e">
        <f>SUMIF(#REF!,'Huella materiales'!A155,#REF!)</f>
        <v>#REF!</v>
      </c>
      <c r="S155" s="1013" t="e">
        <f t="shared" si="383"/>
        <v>#REF!</v>
      </c>
      <c r="T155" s="146" t="e">
        <f>SUMIF(#REF!,'Huella materiales'!A155,#REF!)</f>
        <v>#REF!</v>
      </c>
      <c r="U155" s="1013" t="e">
        <f t="shared" si="384"/>
        <v>#REF!</v>
      </c>
      <c r="V155" s="146" t="e">
        <f>SUMIF(#REF!,'Huella materiales'!A155,#REF!)</f>
        <v>#REF!</v>
      </c>
      <c r="W155" s="1013" t="e">
        <f t="shared" si="385"/>
        <v>#REF!</v>
      </c>
      <c r="X155" s="146" t="e">
        <f>SUMIF(#REF!,'Huella materiales'!A155,#REF!)</f>
        <v>#REF!</v>
      </c>
      <c r="Y155" s="1013" t="e">
        <f t="shared" si="386"/>
        <v>#REF!</v>
      </c>
      <c r="Z155" s="146" t="e">
        <f>SUMIF(#REF!,'Huella materiales'!A155,#REF!)</f>
        <v>#REF!</v>
      </c>
      <c r="AA155" s="1013" t="e">
        <f t="shared" si="387"/>
        <v>#REF!</v>
      </c>
      <c r="AB155" s="1030">
        <f>'Datos auxiliares materiales'!C90</f>
        <v>0.9</v>
      </c>
      <c r="AC155" s="1017" t="e">
        <f t="shared" si="388"/>
        <v>#REF!</v>
      </c>
      <c r="AD155" s="1022">
        <f t="shared" si="380"/>
        <v>0</v>
      </c>
      <c r="AE155" s="1077">
        <f>'Datos auxiliares materiales'!D90</f>
        <v>100</v>
      </c>
      <c r="AF155" s="170">
        <f>C155*$AB$155*$AE$155</f>
        <v>0</v>
      </c>
      <c r="AG155" s="170" t="e">
        <f t="shared" si="389"/>
        <v>#REF!</v>
      </c>
      <c r="AH155" s="170" t="e">
        <f t="shared" si="390"/>
        <v>#REF!</v>
      </c>
      <c r="AI155" s="170" t="e">
        <f t="shared" si="391"/>
        <v>#REF!</v>
      </c>
      <c r="AJ155" s="170" t="e">
        <f t="shared" si="392"/>
        <v>#REF!</v>
      </c>
      <c r="AK155" s="170" t="e">
        <f t="shared" si="393"/>
        <v>#REF!</v>
      </c>
      <c r="AL155" s="170" t="e">
        <f t="shared" si="394"/>
        <v>#REF!</v>
      </c>
      <c r="AM155" s="170" t="e">
        <f t="shared" si="395"/>
        <v>#REF!</v>
      </c>
      <c r="AN155" s="170" t="e">
        <f t="shared" si="396"/>
        <v>#REF!</v>
      </c>
      <c r="AO155" s="170" t="e">
        <f t="shared" si="397"/>
        <v>#REF!</v>
      </c>
      <c r="AP155" s="170" t="e">
        <f t="shared" si="398"/>
        <v>#REF!</v>
      </c>
      <c r="AQ155" s="170" t="e">
        <f t="shared" si="399"/>
        <v>#REF!</v>
      </c>
      <c r="AR155" s="170" t="e">
        <f t="shared" si="400"/>
        <v>#REF!</v>
      </c>
      <c r="AS155" s="1082" t="e">
        <f t="shared" si="381"/>
        <v>#REF!</v>
      </c>
      <c r="AT155" s="170"/>
      <c r="AU155" s="171"/>
      <c r="AV155" s="160"/>
      <c r="AW155" s="160"/>
      <c r="AX155" s="160"/>
      <c r="AY155"/>
      <c r="AZ155"/>
      <c r="BA155"/>
      <c r="BF155" s="16"/>
      <c r="BL155" s="16"/>
      <c r="BM155" s="16"/>
      <c r="BN155" s="16"/>
      <c r="BO155" s="16"/>
      <c r="BP155" s="10" t="s">
        <v>606</v>
      </c>
    </row>
    <row r="156" spans="1:68">
      <c r="A156" s="10" t="s">
        <v>1208</v>
      </c>
      <c r="B156" s="175" t="s">
        <v>154</v>
      </c>
      <c r="C156" s="169">
        <f>SUMIFS(BCRR_REHAB!L:L,BCRR_REHAB!D:D,'Huella materiales'!A156)</f>
        <v>0</v>
      </c>
      <c r="D156" s="146" t="e">
        <f>SUMIF(#REF!,'Huella materiales'!A156,#REF!)</f>
        <v>#REF!</v>
      </c>
      <c r="E156" s="1013" t="e">
        <f t="shared" si="374"/>
        <v>#REF!</v>
      </c>
      <c r="F156" s="146" t="e">
        <f>SUMIF(#REF!,'Huella materiales'!A156,#REF!)</f>
        <v>#REF!</v>
      </c>
      <c r="G156" s="1013" t="e">
        <f t="shared" si="375"/>
        <v>#REF!</v>
      </c>
      <c r="H156" s="146" t="e">
        <f>SUMIF(#REF!,'Huella materiales'!A156,#REF!)</f>
        <v>#REF!</v>
      </c>
      <c r="I156" s="1013" t="e">
        <f t="shared" si="376"/>
        <v>#REF!</v>
      </c>
      <c r="J156" s="146" t="e">
        <f>SUMIF(#REF!,'Huella materiales'!A156,#REF!)</f>
        <v>#REF!</v>
      </c>
      <c r="K156" s="1013" t="e">
        <f t="shared" si="377"/>
        <v>#REF!</v>
      </c>
      <c r="L156" s="146" t="e">
        <f>SUMIF(#REF!,'Huella materiales'!A156,#REF!)</f>
        <v>#REF!</v>
      </c>
      <c r="M156" s="1013" t="e">
        <f t="shared" si="378"/>
        <v>#REF!</v>
      </c>
      <c r="N156" s="146" t="e">
        <f>SUMIF(#REF!,'Huella materiales'!A156,#REF!)</f>
        <v>#REF!</v>
      </c>
      <c r="O156" s="1013" t="e">
        <f t="shared" si="379"/>
        <v>#REF!</v>
      </c>
      <c r="P156" s="146" t="e">
        <f>SUMIF(#REF!,'Huella materiales'!A156,#REF!)</f>
        <v>#REF!</v>
      </c>
      <c r="Q156" s="1013" t="e">
        <f t="shared" si="382"/>
        <v>#REF!</v>
      </c>
      <c r="R156" s="146" t="e">
        <f>SUMIF(#REF!,'Huella materiales'!A156,#REF!)</f>
        <v>#REF!</v>
      </c>
      <c r="S156" s="1013" t="e">
        <f t="shared" si="383"/>
        <v>#REF!</v>
      </c>
      <c r="T156" s="146" t="e">
        <f>SUMIF(#REF!,'Huella materiales'!A156,#REF!)</f>
        <v>#REF!</v>
      </c>
      <c r="U156" s="1013" t="e">
        <f t="shared" si="384"/>
        <v>#REF!</v>
      </c>
      <c r="V156" s="146" t="e">
        <f>SUMIF(#REF!,'Huella materiales'!A156,#REF!)</f>
        <v>#REF!</v>
      </c>
      <c r="W156" s="1013" t="e">
        <f t="shared" si="385"/>
        <v>#REF!</v>
      </c>
      <c r="X156" s="146" t="e">
        <f>SUMIF(#REF!,'Huella materiales'!A156,#REF!)</f>
        <v>#REF!</v>
      </c>
      <c r="Y156" s="1013" t="e">
        <f t="shared" si="386"/>
        <v>#REF!</v>
      </c>
      <c r="Z156" s="146" t="e">
        <f>SUMIF(#REF!,'Huella materiales'!A156,#REF!)</f>
        <v>#REF!</v>
      </c>
      <c r="AA156" s="1013" t="e">
        <f t="shared" si="387"/>
        <v>#REF!</v>
      </c>
      <c r="AB156" s="1030">
        <f>'Datos auxiliares materiales'!C91</f>
        <v>0.86</v>
      </c>
      <c r="AC156" s="1017" t="e">
        <f t="shared" si="388"/>
        <v>#REF!</v>
      </c>
      <c r="AD156" s="1022">
        <f t="shared" si="380"/>
        <v>0</v>
      </c>
      <c r="AE156" s="1077">
        <f>'Datos auxiliares materiales'!D91</f>
        <v>100</v>
      </c>
      <c r="AF156" s="170">
        <f>C156*$AB$156*$AE$156</f>
        <v>0</v>
      </c>
      <c r="AG156" s="170" t="e">
        <f t="shared" si="389"/>
        <v>#REF!</v>
      </c>
      <c r="AH156" s="170" t="e">
        <f t="shared" si="390"/>
        <v>#REF!</v>
      </c>
      <c r="AI156" s="170" t="e">
        <f t="shared" si="391"/>
        <v>#REF!</v>
      </c>
      <c r="AJ156" s="170" t="e">
        <f t="shared" si="392"/>
        <v>#REF!</v>
      </c>
      <c r="AK156" s="170" t="e">
        <f t="shared" si="393"/>
        <v>#REF!</v>
      </c>
      <c r="AL156" s="170" t="e">
        <f t="shared" si="394"/>
        <v>#REF!</v>
      </c>
      <c r="AM156" s="170" t="e">
        <f t="shared" si="395"/>
        <v>#REF!</v>
      </c>
      <c r="AN156" s="170" t="e">
        <f t="shared" si="396"/>
        <v>#REF!</v>
      </c>
      <c r="AO156" s="170" t="e">
        <f t="shared" si="397"/>
        <v>#REF!</v>
      </c>
      <c r="AP156" s="170" t="e">
        <f t="shared" si="398"/>
        <v>#REF!</v>
      </c>
      <c r="AQ156" s="170" t="e">
        <f t="shared" si="399"/>
        <v>#REF!</v>
      </c>
      <c r="AR156" s="170" t="e">
        <f t="shared" si="400"/>
        <v>#REF!</v>
      </c>
      <c r="AS156" s="1082" t="e">
        <f t="shared" si="381"/>
        <v>#REF!</v>
      </c>
      <c r="AT156" s="170"/>
      <c r="AU156" s="171"/>
      <c r="AV156" s="160"/>
      <c r="AW156" s="160"/>
      <c r="AX156" s="160"/>
      <c r="AY156"/>
      <c r="AZ156"/>
      <c r="BA156"/>
      <c r="BF156" s="16"/>
      <c r="BL156" s="16"/>
      <c r="BM156" s="16"/>
      <c r="BN156" s="16"/>
      <c r="BO156" s="16"/>
      <c r="BP156" s="10" t="s">
        <v>607</v>
      </c>
    </row>
    <row r="157" spans="1:68">
      <c r="A157" s="10" t="s">
        <v>1204</v>
      </c>
      <c r="B157" s="175" t="s">
        <v>150</v>
      </c>
      <c r="C157" s="169">
        <f>SUMIFS(BCRR_REHAB!L:L,BCRR_REHAB!D:D,'Huella materiales'!A157)</f>
        <v>0</v>
      </c>
      <c r="D157" s="146" t="e">
        <f>SUMIF(#REF!,'Huella materiales'!A157,#REF!)</f>
        <v>#REF!</v>
      </c>
      <c r="E157" s="1013" t="e">
        <f t="shared" si="374"/>
        <v>#REF!</v>
      </c>
      <c r="F157" s="146" t="e">
        <f>SUMIF(#REF!,'Huella materiales'!A157,#REF!)</f>
        <v>#REF!</v>
      </c>
      <c r="G157" s="1013" t="e">
        <f t="shared" si="375"/>
        <v>#REF!</v>
      </c>
      <c r="H157" s="146" t="e">
        <f>SUMIF(#REF!,'Huella materiales'!A157,#REF!)</f>
        <v>#REF!</v>
      </c>
      <c r="I157" s="1013" t="e">
        <f t="shared" si="376"/>
        <v>#REF!</v>
      </c>
      <c r="J157" s="146" t="e">
        <f>SUMIF(#REF!,'Huella materiales'!A157,#REF!)</f>
        <v>#REF!</v>
      </c>
      <c r="K157" s="1013" t="e">
        <f t="shared" si="377"/>
        <v>#REF!</v>
      </c>
      <c r="L157" s="146" t="e">
        <f>SUMIF(#REF!,'Huella materiales'!A157,#REF!)</f>
        <v>#REF!</v>
      </c>
      <c r="M157" s="1013" t="e">
        <f t="shared" si="378"/>
        <v>#REF!</v>
      </c>
      <c r="N157" s="146" t="e">
        <f>SUMIF(#REF!,'Huella materiales'!A157,#REF!)</f>
        <v>#REF!</v>
      </c>
      <c r="O157" s="1013" t="e">
        <f t="shared" si="379"/>
        <v>#REF!</v>
      </c>
      <c r="P157" s="146" t="e">
        <f>SUMIF(#REF!,'Huella materiales'!A157,#REF!)</f>
        <v>#REF!</v>
      </c>
      <c r="Q157" s="1013" t="e">
        <f t="shared" si="382"/>
        <v>#REF!</v>
      </c>
      <c r="R157" s="146" t="e">
        <f>SUMIF(#REF!,'Huella materiales'!A157,#REF!)</f>
        <v>#REF!</v>
      </c>
      <c r="S157" s="1013" t="e">
        <f t="shared" si="383"/>
        <v>#REF!</v>
      </c>
      <c r="T157" s="146" t="e">
        <f>SUMIF(#REF!,'Huella materiales'!A157,#REF!)</f>
        <v>#REF!</v>
      </c>
      <c r="U157" s="1013" t="e">
        <f t="shared" si="384"/>
        <v>#REF!</v>
      </c>
      <c r="V157" s="146" t="e">
        <f>SUMIF(#REF!,'Huella materiales'!A157,#REF!)</f>
        <v>#REF!</v>
      </c>
      <c r="W157" s="1013" t="e">
        <f t="shared" si="385"/>
        <v>#REF!</v>
      </c>
      <c r="X157" s="146" t="e">
        <f>SUMIF(#REF!,'Huella materiales'!A157,#REF!)</f>
        <v>#REF!</v>
      </c>
      <c r="Y157" s="1013" t="e">
        <f t="shared" si="386"/>
        <v>#REF!</v>
      </c>
      <c r="Z157" s="146" t="e">
        <f>SUMIF(#REF!,'Huella materiales'!A157,#REF!)</f>
        <v>#REF!</v>
      </c>
      <c r="AA157" s="1013" t="e">
        <f t="shared" si="387"/>
        <v>#REF!</v>
      </c>
      <c r="AB157" s="1030">
        <f>'Datos auxiliares materiales'!C92</f>
        <v>1</v>
      </c>
      <c r="AC157" s="1017" t="e">
        <f t="shared" si="388"/>
        <v>#REF!</v>
      </c>
      <c r="AD157" s="1022">
        <f t="shared" si="380"/>
        <v>0</v>
      </c>
      <c r="AE157" s="1077">
        <f>'Datos auxiliares materiales'!D92</f>
        <v>100</v>
      </c>
      <c r="AF157" s="170">
        <f>C157*$AB$157*$AE$157</f>
        <v>0</v>
      </c>
      <c r="AG157" s="170" t="e">
        <f t="shared" si="389"/>
        <v>#REF!</v>
      </c>
      <c r="AH157" s="170" t="e">
        <f t="shared" si="390"/>
        <v>#REF!</v>
      </c>
      <c r="AI157" s="170" t="e">
        <f t="shared" si="391"/>
        <v>#REF!</v>
      </c>
      <c r="AJ157" s="170" t="e">
        <f t="shared" si="392"/>
        <v>#REF!</v>
      </c>
      <c r="AK157" s="170" t="e">
        <f t="shared" si="393"/>
        <v>#REF!</v>
      </c>
      <c r="AL157" s="170" t="e">
        <f t="shared" si="394"/>
        <v>#REF!</v>
      </c>
      <c r="AM157" s="170" t="e">
        <f t="shared" si="395"/>
        <v>#REF!</v>
      </c>
      <c r="AN157" s="170" t="e">
        <f t="shared" si="396"/>
        <v>#REF!</v>
      </c>
      <c r="AO157" s="170" t="e">
        <f t="shared" si="397"/>
        <v>#REF!</v>
      </c>
      <c r="AP157" s="170" t="e">
        <f t="shared" si="398"/>
        <v>#REF!</v>
      </c>
      <c r="AQ157" s="170" t="e">
        <f t="shared" si="399"/>
        <v>#REF!</v>
      </c>
      <c r="AR157" s="170" t="e">
        <f t="shared" si="400"/>
        <v>#REF!</v>
      </c>
      <c r="AS157" s="1082" t="e">
        <f t="shared" si="381"/>
        <v>#REF!</v>
      </c>
      <c r="AT157" s="170"/>
      <c r="AU157" s="171"/>
      <c r="AV157" s="160"/>
      <c r="AW157" s="160"/>
      <c r="AX157" s="160"/>
      <c r="AY157"/>
      <c r="AZ157"/>
      <c r="BA157"/>
      <c r="BF157" s="34"/>
      <c r="BL157" s="16"/>
      <c r="BM157" s="16"/>
      <c r="BN157" s="16"/>
      <c r="BO157" s="16"/>
      <c r="BP157" s="10" t="s">
        <v>608</v>
      </c>
    </row>
    <row r="158" spans="1:68">
      <c r="A158" s="10" t="s">
        <v>1214</v>
      </c>
      <c r="B158" s="175" t="s">
        <v>159</v>
      </c>
      <c r="C158" s="169">
        <f>SUMIFS(BCRR_REHAB!L:L,BCRR_REHAB!D:D,'Huella materiales'!A158)</f>
        <v>444.81683154999996</v>
      </c>
      <c r="D158" s="146" t="e">
        <f>SUMIF(#REF!,'Huella materiales'!A158,#REF!)</f>
        <v>#REF!</v>
      </c>
      <c r="E158" s="1013" t="e">
        <f t="shared" si="374"/>
        <v>#REF!</v>
      </c>
      <c r="F158" s="146" t="e">
        <f>SUMIF(#REF!,'Huella materiales'!A158,#REF!)</f>
        <v>#REF!</v>
      </c>
      <c r="G158" s="1013" t="e">
        <f t="shared" si="375"/>
        <v>#REF!</v>
      </c>
      <c r="H158" s="146" t="e">
        <f>SUMIF(#REF!,'Huella materiales'!A158,#REF!)</f>
        <v>#REF!</v>
      </c>
      <c r="I158" s="1013" t="e">
        <f t="shared" si="376"/>
        <v>#REF!</v>
      </c>
      <c r="J158" s="146" t="e">
        <f>SUMIF(#REF!,'Huella materiales'!A158,#REF!)</f>
        <v>#REF!</v>
      </c>
      <c r="K158" s="1013" t="e">
        <f t="shared" si="377"/>
        <v>#REF!</v>
      </c>
      <c r="L158" s="146" t="e">
        <f>SUMIF(#REF!,'Huella materiales'!A158,#REF!)</f>
        <v>#REF!</v>
      </c>
      <c r="M158" s="1013" t="e">
        <f t="shared" si="378"/>
        <v>#REF!</v>
      </c>
      <c r="N158" s="146" t="e">
        <f>SUMIF(#REF!,'Huella materiales'!A158,#REF!)</f>
        <v>#REF!</v>
      </c>
      <c r="O158" s="1013" t="e">
        <f t="shared" si="379"/>
        <v>#REF!</v>
      </c>
      <c r="P158" s="146" t="e">
        <f>SUMIF(#REF!,'Huella materiales'!A158,#REF!)</f>
        <v>#REF!</v>
      </c>
      <c r="Q158" s="1013" t="e">
        <f t="shared" si="382"/>
        <v>#REF!</v>
      </c>
      <c r="R158" s="146" t="e">
        <f>SUMIF(#REF!,'Huella materiales'!A158,#REF!)</f>
        <v>#REF!</v>
      </c>
      <c r="S158" s="1013" t="e">
        <f t="shared" si="383"/>
        <v>#REF!</v>
      </c>
      <c r="T158" s="146" t="e">
        <f>SUMIF(#REF!,'Huella materiales'!A158,#REF!)</f>
        <v>#REF!</v>
      </c>
      <c r="U158" s="1013" t="e">
        <f t="shared" si="384"/>
        <v>#REF!</v>
      </c>
      <c r="V158" s="146" t="e">
        <f>SUMIF(#REF!,'Huella materiales'!A158,#REF!)</f>
        <v>#REF!</v>
      </c>
      <c r="W158" s="1013" t="e">
        <f t="shared" si="385"/>
        <v>#REF!</v>
      </c>
      <c r="X158" s="146" t="e">
        <f>SUMIF(#REF!,'Huella materiales'!A158,#REF!)</f>
        <v>#REF!</v>
      </c>
      <c r="Y158" s="1013" t="e">
        <f t="shared" si="386"/>
        <v>#REF!</v>
      </c>
      <c r="Z158" s="146" t="e">
        <f>SUMIF(#REF!,'Huella materiales'!A158,#REF!)</f>
        <v>#REF!</v>
      </c>
      <c r="AA158" s="1013" t="e">
        <f t="shared" si="387"/>
        <v>#REF!</v>
      </c>
      <c r="AB158" s="1030">
        <f>'Datos auxiliares materiales'!C93</f>
        <v>1</v>
      </c>
      <c r="AC158" s="1017" t="e">
        <f t="shared" si="388"/>
        <v>#REF!</v>
      </c>
      <c r="AD158" s="1022">
        <f t="shared" si="380"/>
        <v>444.81683154999996</v>
      </c>
      <c r="AE158" s="1077">
        <f>'Datos auxiliares materiales'!D93</f>
        <v>20</v>
      </c>
      <c r="AF158" s="170">
        <f>C158*$AB$158*$AE$158</f>
        <v>8896.3366309999983</v>
      </c>
      <c r="AG158" s="170" t="e">
        <f t="shared" si="389"/>
        <v>#REF!</v>
      </c>
      <c r="AH158" s="170" t="e">
        <f t="shared" si="390"/>
        <v>#REF!</v>
      </c>
      <c r="AI158" s="170" t="e">
        <f t="shared" si="391"/>
        <v>#REF!</v>
      </c>
      <c r="AJ158" s="170" t="e">
        <f t="shared" si="392"/>
        <v>#REF!</v>
      </c>
      <c r="AK158" s="170" t="e">
        <f t="shared" si="393"/>
        <v>#REF!</v>
      </c>
      <c r="AL158" s="170" t="e">
        <f t="shared" si="394"/>
        <v>#REF!</v>
      </c>
      <c r="AM158" s="170" t="e">
        <f t="shared" si="395"/>
        <v>#REF!</v>
      </c>
      <c r="AN158" s="170" t="e">
        <f t="shared" si="396"/>
        <v>#REF!</v>
      </c>
      <c r="AO158" s="170" t="e">
        <f t="shared" si="397"/>
        <v>#REF!</v>
      </c>
      <c r="AP158" s="170" t="e">
        <f t="shared" si="398"/>
        <v>#REF!</v>
      </c>
      <c r="AQ158" s="170" t="e">
        <f t="shared" si="399"/>
        <v>#REF!</v>
      </c>
      <c r="AR158" s="170" t="e">
        <f t="shared" si="400"/>
        <v>#REF!</v>
      </c>
      <c r="AS158" s="1082" t="e">
        <f t="shared" si="381"/>
        <v>#REF!</v>
      </c>
      <c r="AT158" s="170"/>
      <c r="AU158" s="171"/>
      <c r="AV158" s="160"/>
      <c r="AW158" s="160"/>
      <c r="AX158" s="160"/>
      <c r="AY158"/>
      <c r="AZ158"/>
      <c r="BA158"/>
      <c r="BF158" s="34"/>
      <c r="BL158" s="16"/>
      <c r="BM158" s="16"/>
      <c r="BN158" s="16"/>
      <c r="BO158" s="16"/>
      <c r="BP158" s="10" t="s">
        <v>609</v>
      </c>
    </row>
    <row r="159" spans="1:68">
      <c r="A159" s="10" t="s">
        <v>1175</v>
      </c>
      <c r="B159" s="175" t="s">
        <v>124</v>
      </c>
      <c r="C159" s="169">
        <f>SUMIFS(BCRR_REHAB!L:L,BCRR_REHAB!D:D,'Huella materiales'!A159)</f>
        <v>0</v>
      </c>
      <c r="D159" s="146" t="e">
        <f>SUMIF(#REF!,'Huella materiales'!A159,#REF!)</f>
        <v>#REF!</v>
      </c>
      <c r="E159" s="1013" t="e">
        <f t="shared" si="374"/>
        <v>#REF!</v>
      </c>
      <c r="F159" s="146" t="e">
        <f>SUMIF(#REF!,'Huella materiales'!A159,#REF!)</f>
        <v>#REF!</v>
      </c>
      <c r="G159" s="1013" t="e">
        <f t="shared" si="375"/>
        <v>#REF!</v>
      </c>
      <c r="H159" s="146" t="e">
        <f>SUMIF(#REF!,'Huella materiales'!A159,#REF!)</f>
        <v>#REF!</v>
      </c>
      <c r="I159" s="1013" t="e">
        <f t="shared" si="376"/>
        <v>#REF!</v>
      </c>
      <c r="J159" s="146" t="e">
        <f>SUMIF(#REF!,'Huella materiales'!A159,#REF!)</f>
        <v>#REF!</v>
      </c>
      <c r="K159" s="1013" t="e">
        <f t="shared" si="377"/>
        <v>#REF!</v>
      </c>
      <c r="L159" s="146" t="e">
        <f>SUMIF(#REF!,'Huella materiales'!A159,#REF!)</f>
        <v>#REF!</v>
      </c>
      <c r="M159" s="1013" t="e">
        <f t="shared" si="378"/>
        <v>#REF!</v>
      </c>
      <c r="N159" s="146" t="e">
        <f>SUMIF(#REF!,'Huella materiales'!A159,#REF!)</f>
        <v>#REF!</v>
      </c>
      <c r="O159" s="1013" t="e">
        <f t="shared" si="379"/>
        <v>#REF!</v>
      </c>
      <c r="P159" s="146" t="e">
        <f>SUMIF(#REF!,'Huella materiales'!A159,#REF!)</f>
        <v>#REF!</v>
      </c>
      <c r="Q159" s="1013" t="e">
        <f t="shared" si="382"/>
        <v>#REF!</v>
      </c>
      <c r="R159" s="146" t="e">
        <f>SUMIF(#REF!,'Huella materiales'!A159,#REF!)</f>
        <v>#REF!</v>
      </c>
      <c r="S159" s="1013" t="e">
        <f t="shared" si="383"/>
        <v>#REF!</v>
      </c>
      <c r="T159" s="146" t="e">
        <f>SUMIF(#REF!,'Huella materiales'!A159,#REF!)</f>
        <v>#REF!</v>
      </c>
      <c r="U159" s="1013" t="e">
        <f t="shared" si="384"/>
        <v>#REF!</v>
      </c>
      <c r="V159" s="146" t="e">
        <f>SUMIF(#REF!,'Huella materiales'!A159,#REF!)</f>
        <v>#REF!</v>
      </c>
      <c r="W159" s="1013" t="e">
        <f t="shared" si="385"/>
        <v>#REF!</v>
      </c>
      <c r="X159" s="146" t="e">
        <f>SUMIF(#REF!,'Huella materiales'!A159,#REF!)</f>
        <v>#REF!</v>
      </c>
      <c r="Y159" s="1013" t="e">
        <f t="shared" si="386"/>
        <v>#REF!</v>
      </c>
      <c r="Z159" s="146" t="e">
        <f>SUMIF(#REF!,'Huella materiales'!A159,#REF!)</f>
        <v>#REF!</v>
      </c>
      <c r="AA159" s="1013" t="e">
        <f t="shared" si="387"/>
        <v>#REF!</v>
      </c>
      <c r="AB159" s="1030">
        <f>'Datos auxiliares materiales'!C94</f>
        <v>0.12</v>
      </c>
      <c r="AC159" s="1017" t="e">
        <f t="shared" si="388"/>
        <v>#REF!</v>
      </c>
      <c r="AD159" s="1022">
        <f t="shared" si="380"/>
        <v>0</v>
      </c>
      <c r="AE159" s="1077">
        <f>'Datos auxiliares materiales'!D94</f>
        <v>100</v>
      </c>
      <c r="AF159" s="170">
        <f>C159*$AB$159*$AE$159</f>
        <v>0</v>
      </c>
      <c r="AG159" s="170" t="e">
        <f t="shared" si="389"/>
        <v>#REF!</v>
      </c>
      <c r="AH159" s="170" t="e">
        <f t="shared" si="390"/>
        <v>#REF!</v>
      </c>
      <c r="AI159" s="170" t="e">
        <f t="shared" si="391"/>
        <v>#REF!</v>
      </c>
      <c r="AJ159" s="170" t="e">
        <f t="shared" si="392"/>
        <v>#REF!</v>
      </c>
      <c r="AK159" s="170" t="e">
        <f t="shared" si="393"/>
        <v>#REF!</v>
      </c>
      <c r="AL159" s="170" t="e">
        <f t="shared" si="394"/>
        <v>#REF!</v>
      </c>
      <c r="AM159" s="170" t="e">
        <f t="shared" si="395"/>
        <v>#REF!</v>
      </c>
      <c r="AN159" s="170" t="e">
        <f t="shared" si="396"/>
        <v>#REF!</v>
      </c>
      <c r="AO159" s="170" t="e">
        <f t="shared" si="397"/>
        <v>#REF!</v>
      </c>
      <c r="AP159" s="170" t="e">
        <f t="shared" si="398"/>
        <v>#REF!</v>
      </c>
      <c r="AQ159" s="170" t="e">
        <f t="shared" si="399"/>
        <v>#REF!</v>
      </c>
      <c r="AR159" s="170" t="e">
        <f t="shared" si="400"/>
        <v>#REF!</v>
      </c>
      <c r="AS159" s="1082" t="e">
        <f t="shared" si="381"/>
        <v>#REF!</v>
      </c>
      <c r="AT159" s="170"/>
      <c r="AU159" s="171"/>
      <c r="AV159" s="160"/>
      <c r="AW159" s="160"/>
      <c r="AX159" s="160"/>
      <c r="AY159"/>
      <c r="AZ159"/>
      <c r="BA159"/>
      <c r="BF159" s="34"/>
      <c r="BL159" s="16"/>
      <c r="BM159" s="16"/>
      <c r="BN159" s="16"/>
      <c r="BO159" s="16"/>
      <c r="BP159" s="10" t="s">
        <v>610</v>
      </c>
    </row>
    <row r="160" spans="1:68" ht="15.5">
      <c r="B160" s="163" t="s">
        <v>282</v>
      </c>
      <c r="C160" s="169">
        <f>SUMIFS(BCRR_REHAB!L:L,BCRR_REHAB!D:D,'Huella materiales'!A160)</f>
        <v>0</v>
      </c>
      <c r="D160" s="987"/>
      <c r="E160" s="1014" t="e">
        <f t="shared" ref="E160:AF160" si="401">E161</f>
        <v>#REF!</v>
      </c>
      <c r="F160" s="987"/>
      <c r="G160" s="987" t="e">
        <f t="shared" si="401"/>
        <v>#REF!</v>
      </c>
      <c r="H160" s="987"/>
      <c r="I160" s="987" t="e">
        <f t="shared" si="401"/>
        <v>#REF!</v>
      </c>
      <c r="J160" s="987"/>
      <c r="K160" s="987" t="e">
        <f t="shared" si="401"/>
        <v>#REF!</v>
      </c>
      <c r="L160" s="987"/>
      <c r="M160" s="987" t="e">
        <f t="shared" si="401"/>
        <v>#REF!</v>
      </c>
      <c r="N160" s="987"/>
      <c r="O160" s="987" t="e">
        <f t="shared" si="401"/>
        <v>#REF!</v>
      </c>
      <c r="P160" s="987"/>
      <c r="Q160" s="987" t="e">
        <f t="shared" si="401"/>
        <v>#REF!</v>
      </c>
      <c r="R160" s="987"/>
      <c r="S160" s="987" t="e">
        <f t="shared" si="401"/>
        <v>#REF!</v>
      </c>
      <c r="T160" s="987"/>
      <c r="U160" s="987" t="e">
        <f t="shared" si="401"/>
        <v>#REF!</v>
      </c>
      <c r="V160" s="987"/>
      <c r="W160" s="987" t="e">
        <f t="shared" si="401"/>
        <v>#REF!</v>
      </c>
      <c r="X160" s="987"/>
      <c r="Y160" s="987" t="e">
        <f t="shared" si="401"/>
        <v>#REF!</v>
      </c>
      <c r="Z160" s="987"/>
      <c r="AA160" s="987" t="e">
        <f t="shared" si="401"/>
        <v>#REF!</v>
      </c>
      <c r="AB160" s="987"/>
      <c r="AC160" s="1028" t="e">
        <f t="shared" si="401"/>
        <v>#REF!</v>
      </c>
      <c r="AD160" s="1026">
        <f t="shared" si="401"/>
        <v>0</v>
      </c>
      <c r="AE160" s="1019"/>
      <c r="AF160" s="1080">
        <f t="shared" si="401"/>
        <v>0</v>
      </c>
      <c r="AG160" s="1080" t="e">
        <f t="shared" ref="AG160:AR160" si="402">AG161</f>
        <v>#REF!</v>
      </c>
      <c r="AH160" s="1080" t="e">
        <f t="shared" si="402"/>
        <v>#REF!</v>
      </c>
      <c r="AI160" s="1080" t="e">
        <f>AI161</f>
        <v>#REF!</v>
      </c>
      <c r="AJ160" s="1080" t="e">
        <f t="shared" si="402"/>
        <v>#REF!</v>
      </c>
      <c r="AK160" s="1080" t="e">
        <f>AK161</f>
        <v>#REF!</v>
      </c>
      <c r="AL160" s="1080" t="e">
        <f t="shared" si="402"/>
        <v>#REF!</v>
      </c>
      <c r="AM160" s="1080" t="e">
        <f t="shared" si="402"/>
        <v>#REF!</v>
      </c>
      <c r="AN160" s="1080" t="e">
        <f t="shared" si="402"/>
        <v>#REF!</v>
      </c>
      <c r="AO160" s="1080" t="e">
        <f t="shared" si="402"/>
        <v>#REF!</v>
      </c>
      <c r="AP160" s="1080" t="e">
        <f t="shared" si="402"/>
        <v>#REF!</v>
      </c>
      <c r="AQ160" s="1080" t="e">
        <f t="shared" si="402"/>
        <v>#REF!</v>
      </c>
      <c r="AR160" s="1080" t="e">
        <f t="shared" si="402"/>
        <v>#REF!</v>
      </c>
      <c r="AS160" s="1080" t="e">
        <f>AG160+AH160+AI160+AJ160+AK160+AM160+AN160+AO160+AP160+AQ160+AR160</f>
        <v>#REF!</v>
      </c>
      <c r="AT160" s="165">
        <f>SUM(AF161)/$AX$5*$AX$7</f>
        <v>0</v>
      </c>
      <c r="AU160" s="166">
        <f>AT160/$AX$8</f>
        <v>0</v>
      </c>
      <c r="AV160" s="160"/>
      <c r="AW160" s="98"/>
      <c r="AX160"/>
      <c r="AY160"/>
      <c r="AZ160"/>
      <c r="BA160"/>
      <c r="BF160" s="34"/>
      <c r="BL160" s="16"/>
      <c r="BM160" s="16"/>
      <c r="BN160" s="16"/>
      <c r="BO160" s="16"/>
      <c r="BP160" s="10" t="s">
        <v>611</v>
      </c>
    </row>
    <row r="161" spans="1:68">
      <c r="A161" s="10" t="s">
        <v>1203</v>
      </c>
      <c r="B161" s="175" t="s">
        <v>149</v>
      </c>
      <c r="C161" s="169">
        <f>SUMIFS(BCRR_REHAB!L:L,BCRR_REHAB!D:D,'Huella materiales'!A161)</f>
        <v>0</v>
      </c>
      <c r="D161" s="146" t="e">
        <f>SUMIF(#REF!,'Huella materiales'!A161,#REF!)</f>
        <v>#REF!</v>
      </c>
      <c r="E161" s="1013" t="e">
        <f>D161*AB161</f>
        <v>#REF!</v>
      </c>
      <c r="F161" s="146" t="e">
        <f>SUMIF(#REF!,'Huella materiales'!A161,#REF!)</f>
        <v>#REF!</v>
      </c>
      <c r="G161" s="1013" t="e">
        <f>F161*AB161</f>
        <v>#REF!</v>
      </c>
      <c r="H161" s="146" t="e">
        <f>SUMIF(#REF!,'Huella materiales'!A161,#REF!)</f>
        <v>#REF!</v>
      </c>
      <c r="I161" s="1013" t="e">
        <f>H161*AB161</f>
        <v>#REF!</v>
      </c>
      <c r="J161" s="146" t="e">
        <f>SUMIF(#REF!,'Huella materiales'!A161,#REF!)</f>
        <v>#REF!</v>
      </c>
      <c r="K161" s="1013" t="e">
        <f>J161*AB161</f>
        <v>#REF!</v>
      </c>
      <c r="L161" s="146" t="e">
        <f>SUMIF(#REF!,'Huella materiales'!A161,#REF!)</f>
        <v>#REF!</v>
      </c>
      <c r="M161" s="1013" t="e">
        <f>L161*AB161</f>
        <v>#REF!</v>
      </c>
      <c r="N161" s="146" t="e">
        <f>SUMIF(#REF!,'Huella materiales'!A161,#REF!)</f>
        <v>#REF!</v>
      </c>
      <c r="O161" s="1013" t="e">
        <f>N161*AB161</f>
        <v>#REF!</v>
      </c>
      <c r="P161" s="146" t="e">
        <f>SUMIF(#REF!,'Huella materiales'!A161,#REF!)</f>
        <v>#REF!</v>
      </c>
      <c r="Q161" s="1013" t="e">
        <f>P161*AB161</f>
        <v>#REF!</v>
      </c>
      <c r="R161" s="146" t="e">
        <f>SUMIF(#REF!,'Huella materiales'!A161,#REF!)</f>
        <v>#REF!</v>
      </c>
      <c r="S161" s="1013" t="e">
        <f>R161*AB161</f>
        <v>#REF!</v>
      </c>
      <c r="T161" s="146" t="e">
        <f>SUMIF(#REF!,'Huella materiales'!A161,#REF!)</f>
        <v>#REF!</v>
      </c>
      <c r="U161" s="1013" t="e">
        <f>T161*AB161</f>
        <v>#REF!</v>
      </c>
      <c r="V161" s="146" t="e">
        <f>SUMIF(#REF!,'Huella materiales'!A161,#REF!)</f>
        <v>#REF!</v>
      </c>
      <c r="W161" s="1013" t="e">
        <f>V161*AB161</f>
        <v>#REF!</v>
      </c>
      <c r="X161" s="146" t="e">
        <f>SUMIF(#REF!,'Huella materiales'!A161,#REF!)</f>
        <v>#REF!</v>
      </c>
      <c r="Y161" s="1013" t="e">
        <f>X161*AB161</f>
        <v>#REF!</v>
      </c>
      <c r="Z161" s="146" t="e">
        <f>SUMIF(#REF!,'Huella materiales'!A161,#REF!)</f>
        <v>#REF!</v>
      </c>
      <c r="AA161" s="1013" t="e">
        <f>Z161*AB161</f>
        <v>#REF!</v>
      </c>
      <c r="AB161" s="1030">
        <f>'Datos auxiliares materiales'!C96</f>
        <v>10</v>
      </c>
      <c r="AC161" s="1017" t="e">
        <f>E161+G161+I161+K161+M161+O161+Q161+S161+U161+W161+Y161+AA161</f>
        <v>#REF!</v>
      </c>
      <c r="AD161" s="1022">
        <f>C161*AB161</f>
        <v>0</v>
      </c>
      <c r="AE161" s="1077">
        <f>'Datos auxiliares materiales'!D96</f>
        <v>18</v>
      </c>
      <c r="AF161" s="170">
        <f>C161*$AB$161*$AE$161</f>
        <v>0</v>
      </c>
      <c r="AG161" s="170" t="e">
        <f>D161*AB161*AE161</f>
        <v>#REF!</v>
      </c>
      <c r="AH161" s="170" t="e">
        <f>F161*AB161*AE161</f>
        <v>#REF!</v>
      </c>
      <c r="AI161" s="170" t="e">
        <f>H161*AB161*AE161</f>
        <v>#REF!</v>
      </c>
      <c r="AJ161" s="170" t="e">
        <f>J161*AB161*AE161</f>
        <v>#REF!</v>
      </c>
      <c r="AK161" s="170" t="e">
        <f>L161*AB161*AE161</f>
        <v>#REF!</v>
      </c>
      <c r="AL161" s="170" t="e">
        <f>N161*$AB$49*$AE$49</f>
        <v>#REF!</v>
      </c>
      <c r="AM161" s="170" t="e">
        <f>P161*AB161*AE161</f>
        <v>#REF!</v>
      </c>
      <c r="AN161" s="170" t="e">
        <f>R161*AB161*AE161</f>
        <v>#REF!</v>
      </c>
      <c r="AO161" s="170" t="e">
        <f>T161*AB161*AE161</f>
        <v>#REF!</v>
      </c>
      <c r="AP161" s="170" t="e">
        <f>V161*AB161*AE161</f>
        <v>#REF!</v>
      </c>
      <c r="AQ161" s="170" t="e">
        <f>X161*AB161*AE161</f>
        <v>#REF!</v>
      </c>
      <c r="AR161" s="170" t="e">
        <f>Z161*AB161*AE161</f>
        <v>#REF!</v>
      </c>
      <c r="AS161" s="170"/>
      <c r="AT161" s="170"/>
      <c r="AU161" s="171"/>
      <c r="AV161" s="160"/>
      <c r="AX161"/>
      <c r="AY161"/>
      <c r="AZ161"/>
      <c r="BA161"/>
      <c r="BF161" s="34"/>
      <c r="BL161" s="16"/>
      <c r="BM161" s="16"/>
      <c r="BN161" s="16"/>
      <c r="BO161" s="16"/>
      <c r="BP161" s="10" t="s">
        <v>612</v>
      </c>
    </row>
    <row r="162" spans="1:68" ht="15.5">
      <c r="B162" s="163" t="s">
        <v>283</v>
      </c>
      <c r="C162" s="169">
        <f>SUMIFS(BCRR_REHAB!L:L,BCRR_REHAB!D:D,'Huella materiales'!A162)</f>
        <v>0</v>
      </c>
      <c r="D162" s="987"/>
      <c r="E162" s="1014" t="e">
        <f t="shared" ref="E162:AF162" si="403">SUM(E163:E171)</f>
        <v>#REF!</v>
      </c>
      <c r="F162" s="987"/>
      <c r="G162" s="987" t="e">
        <f t="shared" si="403"/>
        <v>#REF!</v>
      </c>
      <c r="H162" s="987"/>
      <c r="I162" s="987" t="e">
        <f t="shared" si="403"/>
        <v>#REF!</v>
      </c>
      <c r="J162" s="987"/>
      <c r="K162" s="987" t="e">
        <f t="shared" si="403"/>
        <v>#REF!</v>
      </c>
      <c r="L162" s="987"/>
      <c r="M162" s="987" t="e">
        <f t="shared" si="403"/>
        <v>#REF!</v>
      </c>
      <c r="N162" s="987"/>
      <c r="O162" s="987" t="e">
        <f t="shared" si="403"/>
        <v>#REF!</v>
      </c>
      <c r="P162" s="987"/>
      <c r="Q162" s="987" t="e">
        <f t="shared" si="403"/>
        <v>#REF!</v>
      </c>
      <c r="R162" s="987"/>
      <c r="S162" s="987" t="e">
        <f t="shared" si="403"/>
        <v>#REF!</v>
      </c>
      <c r="T162" s="987"/>
      <c r="U162" s="987" t="e">
        <f t="shared" si="403"/>
        <v>#REF!</v>
      </c>
      <c r="V162" s="987"/>
      <c r="W162" s="987" t="e">
        <f t="shared" si="403"/>
        <v>#REF!</v>
      </c>
      <c r="X162" s="987"/>
      <c r="Y162" s="987" t="e">
        <f t="shared" si="403"/>
        <v>#REF!</v>
      </c>
      <c r="Z162" s="987"/>
      <c r="AA162" s="987" t="e">
        <f t="shared" si="403"/>
        <v>#REF!</v>
      </c>
      <c r="AB162" s="987"/>
      <c r="AC162" s="1028" t="e">
        <f t="shared" si="403"/>
        <v>#REF!</v>
      </c>
      <c r="AD162" s="1026">
        <f t="shared" si="403"/>
        <v>0</v>
      </c>
      <c r="AE162" s="1019"/>
      <c r="AF162" s="1080">
        <f t="shared" si="403"/>
        <v>0</v>
      </c>
      <c r="AG162" s="1080" t="e">
        <f t="shared" ref="AG162:AR162" si="404">SUM(AG163:AG171)</f>
        <v>#REF!</v>
      </c>
      <c r="AH162" s="1080" t="e">
        <f t="shared" si="404"/>
        <v>#REF!</v>
      </c>
      <c r="AI162" s="1080" t="e">
        <f>SUM(AI163:AI171)</f>
        <v>#REF!</v>
      </c>
      <c r="AJ162" s="1080" t="e">
        <f t="shared" si="404"/>
        <v>#REF!</v>
      </c>
      <c r="AK162" s="1080" t="e">
        <f>SUM(AK163:AK171)</f>
        <v>#REF!</v>
      </c>
      <c r="AL162" s="1080" t="e">
        <f t="shared" si="404"/>
        <v>#REF!</v>
      </c>
      <c r="AM162" s="1080" t="e">
        <f t="shared" si="404"/>
        <v>#REF!</v>
      </c>
      <c r="AN162" s="1080" t="e">
        <f t="shared" si="404"/>
        <v>#REF!</v>
      </c>
      <c r="AO162" s="1080" t="e">
        <f t="shared" si="404"/>
        <v>#REF!</v>
      </c>
      <c r="AP162" s="1080" t="e">
        <f t="shared" si="404"/>
        <v>#REF!</v>
      </c>
      <c r="AQ162" s="1080" t="e">
        <f t="shared" si="404"/>
        <v>#REF!</v>
      </c>
      <c r="AR162" s="1080" t="e">
        <f t="shared" si="404"/>
        <v>#REF!</v>
      </c>
      <c r="AS162" s="1083" t="e">
        <f>AG162+AH162+AI162+AJ162+AK162+AL162+AM162+AN162+AO162+AP162+AQ162+AR162</f>
        <v>#REF!</v>
      </c>
      <c r="AT162" s="165">
        <f>SUM(AF163:AF171)/$AX$5*$AX$7</f>
        <v>0</v>
      </c>
      <c r="AU162" s="166">
        <f>AT162/$AX$8</f>
        <v>0</v>
      </c>
      <c r="AV162" s="160"/>
      <c r="AX162"/>
      <c r="AY162"/>
      <c r="AZ162"/>
      <c r="BA162"/>
      <c r="BF162" s="16"/>
      <c r="BL162" s="16"/>
      <c r="BM162" s="16"/>
      <c r="BN162" s="16"/>
      <c r="BO162" s="16"/>
      <c r="BP162" s="10" t="s">
        <v>613</v>
      </c>
    </row>
    <row r="163" spans="1:68">
      <c r="A163" s="10" t="s">
        <v>1103</v>
      </c>
      <c r="B163" s="175" t="s">
        <v>39</v>
      </c>
      <c r="C163" s="169">
        <f>SUMIFS(BCRR_REHAB!L:L,BCRR_REHAB!D:D,'Huella materiales'!A163)</f>
        <v>0</v>
      </c>
      <c r="D163" s="146" t="e">
        <f>SUMIF(#REF!,'Huella materiales'!A163,#REF!)</f>
        <v>#REF!</v>
      </c>
      <c r="E163" s="1013" t="e">
        <f t="shared" ref="E163:E171" si="405">D163*AB163</f>
        <v>#REF!</v>
      </c>
      <c r="F163" s="146" t="e">
        <f>SUMIF(#REF!,'Huella materiales'!A163,#REF!)</f>
        <v>#REF!</v>
      </c>
      <c r="G163" s="1013" t="e">
        <f t="shared" ref="G163:G171" si="406">F163*AB163</f>
        <v>#REF!</v>
      </c>
      <c r="H163" s="146" t="e">
        <f>SUMIF(#REF!,'Huella materiales'!A163,#REF!)</f>
        <v>#REF!</v>
      </c>
      <c r="I163" s="1013" t="e">
        <f t="shared" ref="I163:I171" si="407">H163*AB163</f>
        <v>#REF!</v>
      </c>
      <c r="J163" s="146" t="e">
        <f>SUMIF(#REF!,'Huella materiales'!A163,#REF!)</f>
        <v>#REF!</v>
      </c>
      <c r="K163" s="1013" t="e">
        <f t="shared" ref="K163:K171" si="408">J163*AB163</f>
        <v>#REF!</v>
      </c>
      <c r="L163" s="146" t="e">
        <f>SUMIF(#REF!,'Huella materiales'!A163,#REF!)</f>
        <v>#REF!</v>
      </c>
      <c r="M163" s="1013" t="e">
        <f t="shared" ref="M163:M171" si="409">L163*AB163</f>
        <v>#REF!</v>
      </c>
      <c r="N163" s="146" t="e">
        <f>SUMIF(#REF!,'Huella materiales'!A163,#REF!)</f>
        <v>#REF!</v>
      </c>
      <c r="O163" s="1013" t="e">
        <f t="shared" ref="O163:O171" si="410">N163*AB163</f>
        <v>#REF!</v>
      </c>
      <c r="P163" s="146" t="e">
        <f>SUMIF(#REF!,'Huella materiales'!A163,#REF!)</f>
        <v>#REF!</v>
      </c>
      <c r="Q163" s="1013" t="e">
        <f>P163*AB163</f>
        <v>#REF!</v>
      </c>
      <c r="R163" s="146" t="e">
        <f>SUMIF(#REF!,'Huella materiales'!A163,#REF!)</f>
        <v>#REF!</v>
      </c>
      <c r="S163" s="1013" t="e">
        <f>R163*AB163</f>
        <v>#REF!</v>
      </c>
      <c r="T163" s="146" t="e">
        <f>SUMIF(#REF!,'Huella materiales'!A163,#REF!)</f>
        <v>#REF!</v>
      </c>
      <c r="U163" s="1013" t="e">
        <f>T163*AB163</f>
        <v>#REF!</v>
      </c>
      <c r="V163" s="146" t="e">
        <f>SUMIF(#REF!,'Huella materiales'!A163,#REF!)</f>
        <v>#REF!</v>
      </c>
      <c r="W163" s="1013" t="e">
        <f>V163*AB163</f>
        <v>#REF!</v>
      </c>
      <c r="X163" s="146" t="e">
        <f>SUMIF(#REF!,'Huella materiales'!A163,#REF!)</f>
        <v>#REF!</v>
      </c>
      <c r="Y163" s="1013" t="e">
        <f>X163*AB163</f>
        <v>#REF!</v>
      </c>
      <c r="Z163" s="146" t="e">
        <f>SUMIF(#REF!,'Huella materiales'!A163,#REF!)</f>
        <v>#REF!</v>
      </c>
      <c r="AA163" s="1013" t="e">
        <f>Z163*AB163</f>
        <v>#REF!</v>
      </c>
      <c r="AB163" s="1030">
        <f>'Datos auxiliares materiales'!C98</f>
        <v>5.9800000000000001E-3</v>
      </c>
      <c r="AC163" s="1017" t="e">
        <f>E163+G163+I163+K163+M163+O163+Q163+S163+U163+W163+Y163+AA163</f>
        <v>#REF!</v>
      </c>
      <c r="AD163" s="1022">
        <f t="shared" ref="AD163:AD171" si="411">C163*AB163</f>
        <v>0</v>
      </c>
      <c r="AE163" s="1077">
        <f>'Datos auxiliares materiales'!D98</f>
        <v>80</v>
      </c>
      <c r="AF163" s="170">
        <f>C163*AB163*AE163</f>
        <v>0</v>
      </c>
      <c r="AG163" s="170" t="e">
        <f>D163*AB163*AE163</f>
        <v>#REF!</v>
      </c>
      <c r="AH163" s="170" t="e">
        <f>F163*AB163*AE163</f>
        <v>#REF!</v>
      </c>
      <c r="AI163" s="170" t="e">
        <f>H163*AB163*AE163</f>
        <v>#REF!</v>
      </c>
      <c r="AJ163" s="170" t="e">
        <f>J163*AB163*AE163</f>
        <v>#REF!</v>
      </c>
      <c r="AK163" s="170" t="e">
        <f>L163*AB163*AE163</f>
        <v>#REF!</v>
      </c>
      <c r="AL163" s="170" t="e">
        <f t="shared" ref="AL163:AL171" si="412">N163*AB163*AE163</f>
        <v>#REF!</v>
      </c>
      <c r="AM163" s="170" t="e">
        <f>P163*AB163*AE163</f>
        <v>#REF!</v>
      </c>
      <c r="AN163" s="170" t="e">
        <f>R163*AB163*AE163</f>
        <v>#REF!</v>
      </c>
      <c r="AO163" s="170" t="e">
        <f>T163*AB163*AE163</f>
        <v>#REF!</v>
      </c>
      <c r="AP163" s="170" t="e">
        <f>V163*AB163*AE163</f>
        <v>#REF!</v>
      </c>
      <c r="AQ163" s="170" t="e">
        <f>X163*AB163*AE163</f>
        <v>#REF!</v>
      </c>
      <c r="AR163" s="170" t="e">
        <f>Z163*AB163*AE163</f>
        <v>#REF!</v>
      </c>
      <c r="AS163" s="1082" t="e">
        <f t="shared" ref="AS163:AS171" si="413">AG163+AH163+AI163+AJ163+AK163+AL163+AM163+AN163+AO163+AP163+AQ163+AR163</f>
        <v>#REF!</v>
      </c>
      <c r="AT163" s="170"/>
      <c r="AU163" s="171"/>
      <c r="AV163" s="160"/>
      <c r="AW163" s="1521"/>
      <c r="AX163" s="1521"/>
      <c r="AY163" s="1521"/>
      <c r="AZ163" s="1521"/>
      <c r="BA163" s="1521"/>
      <c r="BB163" s="1521"/>
      <c r="BC163" s="1521"/>
      <c r="BD163" s="1521"/>
      <c r="BE163" s="1521"/>
      <c r="BF163" s="1526"/>
      <c r="BG163" s="1521"/>
      <c r="BH163" s="1521"/>
      <c r="BI163" s="1521"/>
      <c r="BJ163" s="1521"/>
      <c r="BL163" s="16"/>
      <c r="BM163" s="16"/>
      <c r="BN163" s="16"/>
      <c r="BO163" s="16"/>
      <c r="BP163" s="10" t="s">
        <v>614</v>
      </c>
    </row>
    <row r="164" spans="1:68" s="1521" customFormat="1">
      <c r="A164" s="1373" t="s">
        <v>1115</v>
      </c>
      <c r="B164" s="1513" t="s">
        <v>45</v>
      </c>
      <c r="C164" s="169">
        <f>SUMIFS(BCRR_REHAB!L:L,BCRR_REHAB!D:D,'Huella materiales'!A164)</f>
        <v>0</v>
      </c>
      <c r="D164" s="1515" t="e">
        <f>SUMIF(#REF!,'Huella materiales'!A164,#REF!)</f>
        <v>#REF!</v>
      </c>
      <c r="E164" s="1515" t="e">
        <f t="shared" si="405"/>
        <v>#REF!</v>
      </c>
      <c r="F164" s="146" t="e">
        <f>SUMIF(#REF!,'Huella materiales'!A164,#REF!)</f>
        <v>#REF!</v>
      </c>
      <c r="G164" s="1515" t="e">
        <f t="shared" si="406"/>
        <v>#REF!</v>
      </c>
      <c r="H164" s="146" t="e">
        <f>SUMIF(#REF!,'Huella materiales'!A164,#REF!)</f>
        <v>#REF!</v>
      </c>
      <c r="I164" s="1515" t="e">
        <f t="shared" si="407"/>
        <v>#REF!</v>
      </c>
      <c r="J164" s="146" t="e">
        <f>SUMIF(#REF!,'Huella materiales'!A164,#REF!)</f>
        <v>#REF!</v>
      </c>
      <c r="K164" s="1515" t="e">
        <f t="shared" si="408"/>
        <v>#REF!</v>
      </c>
      <c r="L164" s="146" t="e">
        <f>SUMIF(#REF!,'Huella materiales'!A164,#REF!)</f>
        <v>#REF!</v>
      </c>
      <c r="M164" s="1515" t="e">
        <f t="shared" si="409"/>
        <v>#REF!</v>
      </c>
      <c r="N164" s="1515" t="e">
        <f>SUMIF(#REF!,'Huella materiales'!A164,#REF!)</f>
        <v>#REF!</v>
      </c>
      <c r="O164" s="1515" t="e">
        <f t="shared" si="410"/>
        <v>#REF!</v>
      </c>
      <c r="P164" s="1515" t="e">
        <f>SUMIF(#REF!,'Huella materiales'!A164,#REF!)</f>
        <v>#REF!</v>
      </c>
      <c r="Q164" s="1515" t="e">
        <f t="shared" ref="Q164:Q171" si="414">P164*AB164</f>
        <v>#REF!</v>
      </c>
      <c r="R164" s="1515" t="e">
        <f>SUMIF(#REF!,'Huella materiales'!A164,#REF!)</f>
        <v>#REF!</v>
      </c>
      <c r="S164" s="1515" t="e">
        <f t="shared" ref="S164:S171" si="415">R164*AB164</f>
        <v>#REF!</v>
      </c>
      <c r="T164" s="146" t="e">
        <f>SUMIF(#REF!,'Huella materiales'!A164,#REF!)</f>
        <v>#REF!</v>
      </c>
      <c r="U164" s="1515" t="e">
        <f t="shared" ref="U164:U171" si="416">T164*AB164</f>
        <v>#REF!</v>
      </c>
      <c r="V164" s="1515" t="e">
        <f>SUMIF(#REF!,'Huella materiales'!A164,#REF!)</f>
        <v>#REF!</v>
      </c>
      <c r="W164" s="1515" t="e">
        <f t="shared" ref="W164:W171" si="417">V164*AB164</f>
        <v>#REF!</v>
      </c>
      <c r="X164" s="1515" t="e">
        <f>SUMIF(#REF!,'Huella materiales'!A164,#REF!)</f>
        <v>#REF!</v>
      </c>
      <c r="Y164" s="1515" t="e">
        <f t="shared" ref="Y164:Y171" si="418">X164*AB164</f>
        <v>#REF!</v>
      </c>
      <c r="Z164" s="1515" t="e">
        <f>SUMIF(#REF!,'Huella materiales'!A164,#REF!)</f>
        <v>#REF!</v>
      </c>
      <c r="AA164" s="1515" t="e">
        <f t="shared" ref="AA164:AA171" si="419">Z164*AB164</f>
        <v>#REF!</v>
      </c>
      <c r="AB164" s="1515">
        <f>'Datos auxiliares materiales'!C99</f>
        <v>29</v>
      </c>
      <c r="AC164" s="1516" t="e">
        <f t="shared" ref="AC164:AC171" si="420">E164+G164+I164+K164+M164+O164+Q164+S164+U164+W164+Y164+AA164</f>
        <v>#REF!</v>
      </c>
      <c r="AD164" s="1517">
        <f t="shared" si="411"/>
        <v>0</v>
      </c>
      <c r="AE164" s="1518">
        <f>'Datos auxiliares materiales'!D99</f>
        <v>13.6</v>
      </c>
      <c r="AF164" s="1515">
        <f t="shared" ref="AF164:AF171" si="421">C164*AB164*AE164</f>
        <v>0</v>
      </c>
      <c r="AG164" s="1515" t="e">
        <f t="shared" ref="AG164:AG171" si="422">D164*AB164*AE164</f>
        <v>#REF!</v>
      </c>
      <c r="AH164" s="1515" t="e">
        <f t="shared" ref="AH164:AH171" si="423">F164*AB164*AE164</f>
        <v>#REF!</v>
      </c>
      <c r="AI164" s="1515" t="e">
        <f t="shared" ref="AI164:AI171" si="424">H164*AB164*AE164</f>
        <v>#REF!</v>
      </c>
      <c r="AJ164" s="1515" t="e">
        <f t="shared" ref="AJ164:AJ171" si="425">J164*AB164*AE164</f>
        <v>#REF!</v>
      </c>
      <c r="AK164" s="1515" t="e">
        <f t="shared" ref="AK164:AK171" si="426">L164*AB164*AE164</f>
        <v>#REF!</v>
      </c>
      <c r="AL164" s="1515" t="e">
        <f t="shared" si="412"/>
        <v>#REF!</v>
      </c>
      <c r="AM164" s="1515" t="e">
        <f t="shared" ref="AM164:AM171" si="427">P164*AB164*AE164</f>
        <v>#REF!</v>
      </c>
      <c r="AN164" s="1515" t="e">
        <f t="shared" ref="AN164:AN171" si="428">R164*AB164*AE164</f>
        <v>#REF!</v>
      </c>
      <c r="AO164" s="1515" t="e">
        <f t="shared" ref="AO164:AO171" si="429">T164*AB164*AE164</f>
        <v>#REF!</v>
      </c>
      <c r="AP164" s="1515" t="e">
        <f t="shared" ref="AP164:AP171" si="430">V164*AB164*AE164</f>
        <v>#REF!</v>
      </c>
      <c r="AQ164" s="1515" t="e">
        <f t="shared" ref="AQ164:AQ171" si="431">X164*AB164*AE164</f>
        <v>#REF!</v>
      </c>
      <c r="AR164" s="1515" t="e">
        <f t="shared" ref="AR164:AR171" si="432">Z164*AB164*AE164</f>
        <v>#REF!</v>
      </c>
      <c r="AS164" s="1524" t="e">
        <f t="shared" si="413"/>
        <v>#REF!</v>
      </c>
      <c r="AT164" s="1515"/>
      <c r="AU164" s="1519"/>
      <c r="AV164" s="1520"/>
      <c r="AW164"/>
      <c r="AX164"/>
      <c r="AY164"/>
      <c r="AZ164"/>
      <c r="BA164"/>
      <c r="BB164"/>
      <c r="BC164"/>
      <c r="BD164"/>
      <c r="BE164"/>
      <c r="BF164" s="16"/>
      <c r="BG164"/>
      <c r="BH164"/>
      <c r="BI164"/>
      <c r="BJ164"/>
      <c r="BL164" s="1522"/>
      <c r="BM164" s="1522"/>
      <c r="BN164" s="1522"/>
      <c r="BO164" s="1522"/>
      <c r="BP164" s="1373" t="s">
        <v>615</v>
      </c>
    </row>
    <row r="165" spans="1:68">
      <c r="A165" s="10" t="s">
        <v>1117</v>
      </c>
      <c r="B165" s="175" t="s">
        <v>45</v>
      </c>
      <c r="C165" s="169">
        <f>SUMIFS(BCRR_REHAB!L:L,BCRR_REHAB!D:D,'Huella materiales'!A165)</f>
        <v>0</v>
      </c>
      <c r="D165" s="146" t="e">
        <f>SUMIF(#REF!,'Huella materiales'!A165,#REF!)</f>
        <v>#REF!</v>
      </c>
      <c r="E165" s="1013" t="e">
        <f t="shared" si="405"/>
        <v>#REF!</v>
      </c>
      <c r="F165" s="146" t="e">
        <f>SUMIF(#REF!,'Huella materiales'!A165,#REF!)</f>
        <v>#REF!</v>
      </c>
      <c r="G165" s="1013" t="e">
        <f t="shared" si="406"/>
        <v>#REF!</v>
      </c>
      <c r="H165" s="146" t="e">
        <f>SUMIF(#REF!,'Huella materiales'!A165,#REF!)</f>
        <v>#REF!</v>
      </c>
      <c r="I165" s="1013" t="e">
        <f t="shared" si="407"/>
        <v>#REF!</v>
      </c>
      <c r="J165" s="146" t="e">
        <f>SUMIF(#REF!,'Huella materiales'!A165,#REF!)</f>
        <v>#REF!</v>
      </c>
      <c r="K165" s="1013" t="e">
        <f t="shared" si="408"/>
        <v>#REF!</v>
      </c>
      <c r="L165" s="146" t="e">
        <f>SUMIF(#REF!,'Huella materiales'!A165,#REF!)</f>
        <v>#REF!</v>
      </c>
      <c r="M165" s="1013" t="e">
        <f t="shared" si="409"/>
        <v>#REF!</v>
      </c>
      <c r="N165" s="146" t="e">
        <f>SUMIF(#REF!,'Huella materiales'!A165,#REF!)</f>
        <v>#REF!</v>
      </c>
      <c r="O165" s="1013" t="e">
        <f t="shared" si="410"/>
        <v>#REF!</v>
      </c>
      <c r="P165" s="146" t="e">
        <f>SUMIF(#REF!,'Huella materiales'!A165,#REF!)</f>
        <v>#REF!</v>
      </c>
      <c r="Q165" s="1013" t="e">
        <f t="shared" si="414"/>
        <v>#REF!</v>
      </c>
      <c r="R165" s="146" t="e">
        <f>SUMIF(#REF!,'Huella materiales'!A165,#REF!)</f>
        <v>#REF!</v>
      </c>
      <c r="S165" s="1013" t="e">
        <f t="shared" si="415"/>
        <v>#REF!</v>
      </c>
      <c r="T165" s="146" t="e">
        <f>SUMIF(#REF!,'Huella materiales'!A165,#REF!)</f>
        <v>#REF!</v>
      </c>
      <c r="U165" s="1013" t="e">
        <f t="shared" si="416"/>
        <v>#REF!</v>
      </c>
      <c r="V165" s="146" t="e">
        <f>SUMIF(#REF!,'Huella materiales'!A165,#REF!)</f>
        <v>#REF!</v>
      </c>
      <c r="W165" s="1013" t="e">
        <f t="shared" si="417"/>
        <v>#REF!</v>
      </c>
      <c r="X165" s="146" t="e">
        <f>SUMIF(#REF!,'Huella materiales'!A165,#REF!)</f>
        <v>#REF!</v>
      </c>
      <c r="Y165" s="1013" t="e">
        <f t="shared" si="418"/>
        <v>#REF!</v>
      </c>
      <c r="Z165" s="146" t="e">
        <f>SUMIF(#REF!,'Huella materiales'!A165,#REF!)</f>
        <v>#REF!</v>
      </c>
      <c r="AA165" s="1013" t="e">
        <f t="shared" si="419"/>
        <v>#REF!</v>
      </c>
      <c r="AB165" s="1030">
        <f>'Datos auxiliares materiales'!C99</f>
        <v>29</v>
      </c>
      <c r="AC165" s="1017" t="e">
        <f t="shared" si="420"/>
        <v>#REF!</v>
      </c>
      <c r="AD165" s="1022">
        <f t="shared" si="411"/>
        <v>0</v>
      </c>
      <c r="AE165" s="1077">
        <f>'Datos auxiliares materiales'!D99</f>
        <v>13.6</v>
      </c>
      <c r="AF165" s="170">
        <f t="shared" si="421"/>
        <v>0</v>
      </c>
      <c r="AG165" s="170" t="e">
        <f t="shared" si="422"/>
        <v>#REF!</v>
      </c>
      <c r="AH165" s="170" t="e">
        <f t="shared" si="423"/>
        <v>#REF!</v>
      </c>
      <c r="AI165" s="170" t="e">
        <f t="shared" si="424"/>
        <v>#REF!</v>
      </c>
      <c r="AJ165" s="170" t="e">
        <f t="shared" si="425"/>
        <v>#REF!</v>
      </c>
      <c r="AK165" s="170" t="e">
        <f t="shared" si="426"/>
        <v>#REF!</v>
      </c>
      <c r="AL165" s="170" t="e">
        <f t="shared" si="412"/>
        <v>#REF!</v>
      </c>
      <c r="AM165" s="170" t="e">
        <f t="shared" si="427"/>
        <v>#REF!</v>
      </c>
      <c r="AN165" s="170" t="e">
        <f t="shared" si="428"/>
        <v>#REF!</v>
      </c>
      <c r="AO165" s="170" t="e">
        <f t="shared" si="429"/>
        <v>#REF!</v>
      </c>
      <c r="AP165" s="170" t="e">
        <f t="shared" si="430"/>
        <v>#REF!</v>
      </c>
      <c r="AQ165" s="170" t="e">
        <f t="shared" si="431"/>
        <v>#REF!</v>
      </c>
      <c r="AR165" s="170" t="e">
        <f t="shared" si="432"/>
        <v>#REF!</v>
      </c>
      <c r="AS165" s="1082" t="e">
        <f t="shared" si="413"/>
        <v>#REF!</v>
      </c>
      <c r="AT165" s="170"/>
      <c r="AU165" s="171"/>
      <c r="AV165" s="160"/>
      <c r="AW165" s="1521"/>
      <c r="AX165" s="1521"/>
      <c r="AY165" s="1521"/>
      <c r="AZ165" s="1521"/>
      <c r="BA165" s="1521"/>
      <c r="BB165" s="1521"/>
      <c r="BC165" s="1521"/>
      <c r="BD165" s="1521"/>
      <c r="BE165" s="1521"/>
      <c r="BF165" s="1522"/>
      <c r="BG165" s="1521"/>
      <c r="BH165" s="1521"/>
      <c r="BI165" s="1521"/>
      <c r="BJ165" s="1521"/>
      <c r="BL165" s="16"/>
      <c r="BM165" s="16"/>
      <c r="BN165" s="16"/>
      <c r="BO165" s="16"/>
      <c r="BP165" s="10" t="s">
        <v>615</v>
      </c>
    </row>
    <row r="166" spans="1:68" s="1521" customFormat="1">
      <c r="A166" s="1373" t="s">
        <v>1130</v>
      </c>
      <c r="B166" s="1513" t="s">
        <v>673</v>
      </c>
      <c r="C166" s="169">
        <f>SUMIFS(BCRR_REHAB!L:L,BCRR_REHAB!D:D,'Huella materiales'!A166)</f>
        <v>0</v>
      </c>
      <c r="D166" s="1515" t="e">
        <f>SUMIF(#REF!,'Huella materiales'!A166,#REF!)</f>
        <v>#REF!</v>
      </c>
      <c r="E166" s="1515" t="e">
        <f t="shared" si="405"/>
        <v>#REF!</v>
      </c>
      <c r="F166" s="146" t="e">
        <f>SUMIF(#REF!,'Huella materiales'!A166,#REF!)</f>
        <v>#REF!</v>
      </c>
      <c r="G166" s="1515" t="e">
        <f t="shared" si="406"/>
        <v>#REF!</v>
      </c>
      <c r="H166" s="146" t="e">
        <f>SUMIF(#REF!,'Huella materiales'!A166,#REF!)</f>
        <v>#REF!</v>
      </c>
      <c r="I166" s="1515" t="e">
        <f t="shared" si="407"/>
        <v>#REF!</v>
      </c>
      <c r="J166" s="146" t="e">
        <f>SUMIF(#REF!,'Huella materiales'!A166,#REF!)</f>
        <v>#REF!</v>
      </c>
      <c r="K166" s="1515" t="e">
        <f t="shared" si="408"/>
        <v>#REF!</v>
      </c>
      <c r="L166" s="146" t="e">
        <f>SUMIF(#REF!,'Huella materiales'!A166,#REF!)</f>
        <v>#REF!</v>
      </c>
      <c r="M166" s="1515" t="e">
        <f t="shared" si="409"/>
        <v>#REF!</v>
      </c>
      <c r="N166" s="1515" t="e">
        <f>SUMIF(#REF!,'Huella materiales'!A166,#REF!)</f>
        <v>#REF!</v>
      </c>
      <c r="O166" s="1515" t="e">
        <f t="shared" si="410"/>
        <v>#REF!</v>
      </c>
      <c r="P166" s="1515" t="e">
        <f>SUMIF(#REF!,'Huella materiales'!A166,#REF!)</f>
        <v>#REF!</v>
      </c>
      <c r="Q166" s="1515" t="e">
        <f t="shared" si="414"/>
        <v>#REF!</v>
      </c>
      <c r="R166" s="1515" t="e">
        <f>SUMIF(#REF!,'Huella materiales'!A166,#REF!)</f>
        <v>#REF!</v>
      </c>
      <c r="S166" s="1515" t="e">
        <f t="shared" si="415"/>
        <v>#REF!</v>
      </c>
      <c r="T166" s="146" t="e">
        <f>SUMIF(#REF!,'Huella materiales'!A166,#REF!)</f>
        <v>#REF!</v>
      </c>
      <c r="U166" s="1515" t="e">
        <f t="shared" si="416"/>
        <v>#REF!</v>
      </c>
      <c r="V166" s="1515" t="e">
        <f>SUMIF(#REF!,'Huella materiales'!A166,#REF!)</f>
        <v>#REF!</v>
      </c>
      <c r="W166" s="1515" t="e">
        <f t="shared" si="417"/>
        <v>#REF!</v>
      </c>
      <c r="X166" s="1515" t="e">
        <f>SUMIF(#REF!,'Huella materiales'!A166,#REF!)</f>
        <v>#REF!</v>
      </c>
      <c r="Y166" s="1515" t="e">
        <f t="shared" si="418"/>
        <v>#REF!</v>
      </c>
      <c r="Z166" s="1515" t="e">
        <f>SUMIF(#REF!,'Huella materiales'!A166,#REF!)</f>
        <v>#REF!</v>
      </c>
      <c r="AA166" s="1515" t="e">
        <f t="shared" si="419"/>
        <v>#REF!</v>
      </c>
      <c r="AB166" s="1515">
        <f>'Datos auxiliares materiales'!C100</f>
        <v>4</v>
      </c>
      <c r="AC166" s="1516" t="e">
        <f t="shared" si="420"/>
        <v>#REF!</v>
      </c>
      <c r="AD166" s="1517">
        <f t="shared" si="411"/>
        <v>0</v>
      </c>
      <c r="AE166" s="1518">
        <f>'Datos auxiliares materiales'!D100</f>
        <v>10</v>
      </c>
      <c r="AF166" s="1515">
        <f t="shared" si="421"/>
        <v>0</v>
      </c>
      <c r="AG166" s="1515" t="e">
        <f t="shared" si="422"/>
        <v>#REF!</v>
      </c>
      <c r="AH166" s="1515" t="e">
        <f t="shared" si="423"/>
        <v>#REF!</v>
      </c>
      <c r="AI166" s="1515" t="e">
        <f t="shared" si="424"/>
        <v>#REF!</v>
      </c>
      <c r="AJ166" s="1515" t="e">
        <f t="shared" si="425"/>
        <v>#REF!</v>
      </c>
      <c r="AK166" s="1515" t="e">
        <f t="shared" si="426"/>
        <v>#REF!</v>
      </c>
      <c r="AL166" s="1515" t="e">
        <f t="shared" si="412"/>
        <v>#REF!</v>
      </c>
      <c r="AM166" s="1515" t="e">
        <f t="shared" si="427"/>
        <v>#REF!</v>
      </c>
      <c r="AN166" s="1515" t="e">
        <f t="shared" si="428"/>
        <v>#REF!</v>
      </c>
      <c r="AO166" s="1515" t="e">
        <f t="shared" si="429"/>
        <v>#REF!</v>
      </c>
      <c r="AP166" s="1515" t="e">
        <f t="shared" si="430"/>
        <v>#REF!</v>
      </c>
      <c r="AQ166" s="1515" t="e">
        <f t="shared" si="431"/>
        <v>#REF!</v>
      </c>
      <c r="AR166" s="1515" t="e">
        <f t="shared" si="432"/>
        <v>#REF!</v>
      </c>
      <c r="AS166" s="1524" t="e">
        <f t="shared" si="413"/>
        <v>#REF!</v>
      </c>
      <c r="AT166" s="1515"/>
      <c r="AU166" s="1519"/>
      <c r="AV166" s="1520"/>
      <c r="AZ166" s="1522"/>
      <c r="BA166" s="1522"/>
      <c r="BB166" s="1522"/>
      <c r="BC166" s="1522"/>
      <c r="BD166" s="1373" t="s">
        <v>623</v>
      </c>
      <c r="BL166" s="1522"/>
      <c r="BM166" s="1522"/>
      <c r="BN166" s="1522"/>
      <c r="BO166" s="1522"/>
      <c r="BP166" s="1373" t="s">
        <v>616</v>
      </c>
    </row>
    <row r="167" spans="1:68" s="1521" customFormat="1">
      <c r="A167" s="1373" t="s">
        <v>1069</v>
      </c>
      <c r="B167" s="1513" t="s">
        <v>7</v>
      </c>
      <c r="C167" s="169">
        <f>SUMIFS(BCRR_REHAB!L:L,BCRR_REHAB!D:D,'Huella materiales'!A167)</f>
        <v>5.4174606029999977</v>
      </c>
      <c r="D167" s="1515" t="e">
        <f>SUMIF(#REF!,'Huella materiales'!A167,#REF!)</f>
        <v>#REF!</v>
      </c>
      <c r="E167" s="1515" t="e">
        <f t="shared" si="405"/>
        <v>#REF!</v>
      </c>
      <c r="F167" s="146" t="e">
        <f>SUMIF(#REF!,'Huella materiales'!A167,#REF!)</f>
        <v>#REF!</v>
      </c>
      <c r="G167" s="1515" t="e">
        <f t="shared" si="406"/>
        <v>#REF!</v>
      </c>
      <c r="H167" s="146" t="e">
        <f>SUMIF(#REF!,'Huella materiales'!A167,#REF!)</f>
        <v>#REF!</v>
      </c>
      <c r="I167" s="1515" t="e">
        <f t="shared" si="407"/>
        <v>#REF!</v>
      </c>
      <c r="J167" s="146" t="e">
        <f>SUMIF(#REF!,'Huella materiales'!A167,#REF!)</f>
        <v>#REF!</v>
      </c>
      <c r="K167" s="1515" t="e">
        <f t="shared" si="408"/>
        <v>#REF!</v>
      </c>
      <c r="L167" s="146" t="e">
        <f>SUMIF(#REF!,'Huella materiales'!A167,#REF!)</f>
        <v>#REF!</v>
      </c>
      <c r="M167" s="1515" t="e">
        <f t="shared" si="409"/>
        <v>#REF!</v>
      </c>
      <c r="N167" s="1515" t="e">
        <f>SUMIF(#REF!,'Huella materiales'!A167,#REF!)</f>
        <v>#REF!</v>
      </c>
      <c r="O167" s="1515" t="e">
        <f t="shared" si="410"/>
        <v>#REF!</v>
      </c>
      <c r="P167" s="1515" t="e">
        <f>SUMIF(#REF!,'Huella materiales'!A167,#REF!)</f>
        <v>#REF!</v>
      </c>
      <c r="Q167" s="1515" t="e">
        <f t="shared" si="414"/>
        <v>#REF!</v>
      </c>
      <c r="R167" s="1515" t="e">
        <f>SUMIF(#REF!,'Huella materiales'!A167,#REF!)</f>
        <v>#REF!</v>
      </c>
      <c r="S167" s="1515" t="e">
        <f t="shared" si="415"/>
        <v>#REF!</v>
      </c>
      <c r="T167" s="146" t="e">
        <f>SUMIF(#REF!,'Huella materiales'!A167,#REF!)</f>
        <v>#REF!</v>
      </c>
      <c r="U167" s="1515" t="e">
        <f t="shared" si="416"/>
        <v>#REF!</v>
      </c>
      <c r="V167" s="1515" t="e">
        <f>SUMIF(#REF!,'Huella materiales'!A167,#REF!)</f>
        <v>#REF!</v>
      </c>
      <c r="W167" s="1515" t="e">
        <f t="shared" si="417"/>
        <v>#REF!</v>
      </c>
      <c r="X167" s="1515" t="e">
        <f>SUMIF(#REF!,'Huella materiales'!A167,#REF!)</f>
        <v>#REF!</v>
      </c>
      <c r="Y167" s="1515" t="e">
        <f t="shared" si="418"/>
        <v>#REF!</v>
      </c>
      <c r="Z167" s="1515" t="e">
        <f>SUMIF(#REF!,'Huella materiales'!A167,#REF!)</f>
        <v>#REF!</v>
      </c>
      <c r="AA167" s="1515" t="e">
        <f t="shared" si="419"/>
        <v>#REF!</v>
      </c>
      <c r="AB167" s="1515">
        <f>'Datos auxiliares materiales'!C101</f>
        <v>0</v>
      </c>
      <c r="AC167" s="1516" t="e">
        <f t="shared" si="420"/>
        <v>#REF!</v>
      </c>
      <c r="AD167" s="1517">
        <f t="shared" si="411"/>
        <v>0</v>
      </c>
      <c r="AE167" s="1518">
        <f>'Datos auxiliares materiales'!D101</f>
        <v>0</v>
      </c>
      <c r="AF167" s="1515">
        <f t="shared" si="421"/>
        <v>0</v>
      </c>
      <c r="AG167" s="1515" t="e">
        <f t="shared" si="422"/>
        <v>#REF!</v>
      </c>
      <c r="AH167" s="1515" t="e">
        <f t="shared" si="423"/>
        <v>#REF!</v>
      </c>
      <c r="AI167" s="1515" t="e">
        <f t="shared" si="424"/>
        <v>#REF!</v>
      </c>
      <c r="AJ167" s="1515" t="e">
        <f t="shared" si="425"/>
        <v>#REF!</v>
      </c>
      <c r="AK167" s="1515" t="e">
        <f t="shared" si="426"/>
        <v>#REF!</v>
      </c>
      <c r="AL167" s="1515" t="e">
        <f t="shared" si="412"/>
        <v>#REF!</v>
      </c>
      <c r="AM167" s="1515" t="e">
        <f t="shared" si="427"/>
        <v>#REF!</v>
      </c>
      <c r="AN167" s="1515" t="e">
        <f t="shared" si="428"/>
        <v>#REF!</v>
      </c>
      <c r="AO167" s="1515" t="e">
        <f t="shared" si="429"/>
        <v>#REF!</v>
      </c>
      <c r="AP167" s="1515" t="e">
        <f t="shared" si="430"/>
        <v>#REF!</v>
      </c>
      <c r="AQ167" s="1515" t="e">
        <f t="shared" si="431"/>
        <v>#REF!</v>
      </c>
      <c r="AR167" s="1515" t="e">
        <f t="shared" si="432"/>
        <v>#REF!</v>
      </c>
      <c r="AS167" s="1524" t="e">
        <f t="shared" si="413"/>
        <v>#REF!</v>
      </c>
      <c r="AT167" s="1515"/>
      <c r="AU167" s="1519"/>
      <c r="AV167" s="1520"/>
      <c r="AW167"/>
      <c r="AX167"/>
      <c r="AY167"/>
      <c r="AZ167" s="16"/>
      <c r="BA167" s="16"/>
      <c r="BB167" s="16"/>
      <c r="BC167" s="16"/>
      <c r="BD167" s="10" t="s">
        <v>624</v>
      </c>
      <c r="BE167"/>
      <c r="BF167"/>
      <c r="BG167"/>
      <c r="BH167"/>
      <c r="BI167"/>
      <c r="BJ167"/>
      <c r="BL167" s="1522"/>
      <c r="BM167" s="1522"/>
      <c r="BN167" s="1522"/>
      <c r="BO167" s="1522"/>
      <c r="BP167" s="1373" t="s">
        <v>617</v>
      </c>
    </row>
    <row r="168" spans="1:68">
      <c r="B168" s="175" t="s">
        <v>265</v>
      </c>
      <c r="C168" s="169">
        <f>SUMIFS(BCRR_REHAB!L:L,BCRR_REHAB!D:D,'Huella materiales'!A168)</f>
        <v>0</v>
      </c>
      <c r="D168" s="146" t="e">
        <f>SUMIF(#REF!,'Huella materiales'!A168,#REF!)</f>
        <v>#REF!</v>
      </c>
      <c r="E168" s="1013" t="e">
        <f t="shared" si="405"/>
        <v>#REF!</v>
      </c>
      <c r="F168" s="146" t="e">
        <f>SUMIF(#REF!,'Huella materiales'!A168,#REF!)</f>
        <v>#REF!</v>
      </c>
      <c r="G168" s="1013" t="e">
        <f t="shared" si="406"/>
        <v>#REF!</v>
      </c>
      <c r="H168" s="146" t="e">
        <f>SUMIF(#REF!,'Huella materiales'!A168,#REF!)</f>
        <v>#REF!</v>
      </c>
      <c r="I168" s="1013" t="e">
        <f t="shared" si="407"/>
        <v>#REF!</v>
      </c>
      <c r="J168" s="146" t="e">
        <f>SUMIF(#REF!,'Huella materiales'!A168,#REF!)</f>
        <v>#REF!</v>
      </c>
      <c r="K168" s="1013" t="e">
        <f t="shared" si="408"/>
        <v>#REF!</v>
      </c>
      <c r="L168" s="146" t="e">
        <f>SUMIF(#REF!,'Huella materiales'!A168,#REF!)</f>
        <v>#REF!</v>
      </c>
      <c r="M168" s="1013" t="e">
        <f t="shared" si="409"/>
        <v>#REF!</v>
      </c>
      <c r="N168" s="146" t="e">
        <f>SUMIF(#REF!,'Huella materiales'!A168,#REF!)</f>
        <v>#REF!</v>
      </c>
      <c r="O168" s="1013" t="e">
        <f t="shared" si="410"/>
        <v>#REF!</v>
      </c>
      <c r="P168" s="146" t="e">
        <f>SUMIF(#REF!,'Huella materiales'!A168,#REF!)</f>
        <v>#REF!</v>
      </c>
      <c r="Q168" s="1013" t="e">
        <f t="shared" si="414"/>
        <v>#REF!</v>
      </c>
      <c r="R168" s="146" t="e">
        <f>SUMIF(#REF!,'Huella materiales'!A168,#REF!)</f>
        <v>#REF!</v>
      </c>
      <c r="S168" s="1013" t="e">
        <f t="shared" si="415"/>
        <v>#REF!</v>
      </c>
      <c r="T168" s="146" t="e">
        <f>SUMIF(#REF!,'Huella materiales'!A168,#REF!)</f>
        <v>#REF!</v>
      </c>
      <c r="U168" s="1013" t="e">
        <f t="shared" si="416"/>
        <v>#REF!</v>
      </c>
      <c r="V168" s="146" t="e">
        <f>SUMIF(#REF!,'Huella materiales'!A168,#REF!)</f>
        <v>#REF!</v>
      </c>
      <c r="W168" s="1013" t="e">
        <f t="shared" si="417"/>
        <v>#REF!</v>
      </c>
      <c r="X168" s="146" t="e">
        <f>SUMIF(#REF!,'Huella materiales'!A168,#REF!)</f>
        <v>#REF!</v>
      </c>
      <c r="Y168" s="1013" t="e">
        <f t="shared" si="418"/>
        <v>#REF!</v>
      </c>
      <c r="Z168" s="146" t="e">
        <f>SUMIF(#REF!,'Huella materiales'!A168,#REF!)</f>
        <v>#REF!</v>
      </c>
      <c r="AA168" s="1013" t="e">
        <f t="shared" si="419"/>
        <v>#REF!</v>
      </c>
      <c r="AB168" s="1030">
        <f>'Datos auxiliares materiales'!C102</f>
        <v>10</v>
      </c>
      <c r="AC168" s="1017" t="e">
        <f t="shared" si="420"/>
        <v>#REF!</v>
      </c>
      <c r="AD168" s="1022">
        <f t="shared" si="411"/>
        <v>0</v>
      </c>
      <c r="AE168" s="1077">
        <f>'Datos auxiliares materiales'!D102</f>
        <v>0</v>
      </c>
      <c r="AF168" s="170">
        <f t="shared" si="421"/>
        <v>0</v>
      </c>
      <c r="AG168" s="170" t="e">
        <f t="shared" si="422"/>
        <v>#REF!</v>
      </c>
      <c r="AH168" s="170" t="e">
        <f t="shared" si="423"/>
        <v>#REF!</v>
      </c>
      <c r="AI168" s="170" t="e">
        <f t="shared" si="424"/>
        <v>#REF!</v>
      </c>
      <c r="AJ168" s="170" t="e">
        <f t="shared" si="425"/>
        <v>#REF!</v>
      </c>
      <c r="AK168" s="170" t="e">
        <f t="shared" si="426"/>
        <v>#REF!</v>
      </c>
      <c r="AL168" s="170" t="e">
        <f t="shared" si="412"/>
        <v>#REF!</v>
      </c>
      <c r="AM168" s="170" t="e">
        <f t="shared" si="427"/>
        <v>#REF!</v>
      </c>
      <c r="AN168" s="170" t="e">
        <f t="shared" si="428"/>
        <v>#REF!</v>
      </c>
      <c r="AO168" s="170" t="e">
        <f t="shared" si="429"/>
        <v>#REF!</v>
      </c>
      <c r="AP168" s="170" t="e">
        <f t="shared" si="430"/>
        <v>#REF!</v>
      </c>
      <c r="AQ168" s="170" t="e">
        <f t="shared" si="431"/>
        <v>#REF!</v>
      </c>
      <c r="AR168" s="170" t="e">
        <f t="shared" si="432"/>
        <v>#REF!</v>
      </c>
      <c r="AS168" s="1082" t="e">
        <f t="shared" si="413"/>
        <v>#REF!</v>
      </c>
      <c r="AT168" s="170"/>
      <c r="AU168" s="171"/>
      <c r="AV168" s="160"/>
      <c r="AX168"/>
      <c r="AY168"/>
      <c r="BB168" s="16"/>
      <c r="BC168" s="16"/>
      <c r="BD168" s="10" t="s">
        <v>625</v>
      </c>
      <c r="BL168" s="16"/>
      <c r="BM168" s="16"/>
      <c r="BN168" s="16"/>
      <c r="BO168" s="16"/>
      <c r="BP168" s="10" t="s">
        <v>618</v>
      </c>
    </row>
    <row r="169" spans="1:68">
      <c r="A169" s="10" t="s">
        <v>1097</v>
      </c>
      <c r="B169" s="175" t="s">
        <v>35</v>
      </c>
      <c r="C169" s="169">
        <f>SUMIFS(BCRR_REHAB!L:L,BCRR_REHAB!D:D,'Huella materiales'!A169)</f>
        <v>54981.543797999992</v>
      </c>
      <c r="D169" s="146" t="e">
        <f>SUMIF(#REF!,'Huella materiales'!A169,#REF!)</f>
        <v>#REF!</v>
      </c>
      <c r="E169" s="1013" t="e">
        <f t="shared" si="405"/>
        <v>#REF!</v>
      </c>
      <c r="F169" s="146" t="e">
        <f>SUMIF(#REF!,'Huella materiales'!A169,#REF!)</f>
        <v>#REF!</v>
      </c>
      <c r="G169" s="1013" t="e">
        <f t="shared" si="406"/>
        <v>#REF!</v>
      </c>
      <c r="H169" s="146" t="e">
        <f>SUMIF(#REF!,'Huella materiales'!A169,#REF!)</f>
        <v>#REF!</v>
      </c>
      <c r="I169" s="1013" t="e">
        <f t="shared" si="407"/>
        <v>#REF!</v>
      </c>
      <c r="J169" s="146" t="e">
        <f>SUMIF(#REF!,'Huella materiales'!A169,#REF!)</f>
        <v>#REF!</v>
      </c>
      <c r="K169" s="1013" t="e">
        <f t="shared" si="408"/>
        <v>#REF!</v>
      </c>
      <c r="L169" s="146" t="e">
        <f>SUMIF(#REF!,'Huella materiales'!A169,#REF!)</f>
        <v>#REF!</v>
      </c>
      <c r="M169" s="1013" t="e">
        <f t="shared" si="409"/>
        <v>#REF!</v>
      </c>
      <c r="N169" s="146" t="e">
        <f>SUMIF(#REF!,'Huella materiales'!A169,#REF!)</f>
        <v>#REF!</v>
      </c>
      <c r="O169" s="1013" t="e">
        <f t="shared" si="410"/>
        <v>#REF!</v>
      </c>
      <c r="P169" s="146" t="e">
        <f>SUMIF(#REF!,'Huella materiales'!A169,#REF!)</f>
        <v>#REF!</v>
      </c>
      <c r="Q169" s="1013" t="e">
        <f t="shared" si="414"/>
        <v>#REF!</v>
      </c>
      <c r="R169" s="146" t="e">
        <f>SUMIF(#REF!,'Huella materiales'!A169,#REF!)</f>
        <v>#REF!</v>
      </c>
      <c r="S169" s="1013" t="e">
        <f t="shared" si="415"/>
        <v>#REF!</v>
      </c>
      <c r="T169" s="146" t="e">
        <f>SUMIF(#REF!,'Huella materiales'!A169,#REF!)</f>
        <v>#REF!</v>
      </c>
      <c r="U169" s="1013" t="e">
        <f t="shared" si="416"/>
        <v>#REF!</v>
      </c>
      <c r="V169" s="146" t="e">
        <f>SUMIF(#REF!,'Huella materiales'!A169,#REF!)</f>
        <v>#REF!</v>
      </c>
      <c r="W169" s="1013" t="e">
        <f t="shared" si="417"/>
        <v>#REF!</v>
      </c>
      <c r="X169" s="146" t="e">
        <f>SUMIF(#REF!,'Huella materiales'!A169,#REF!)</f>
        <v>#REF!</v>
      </c>
      <c r="Y169" s="1013" t="e">
        <f t="shared" si="418"/>
        <v>#REF!</v>
      </c>
      <c r="Z169" s="146" t="e">
        <f>SUMIF(#REF!,'Huella materiales'!A169,#REF!)</f>
        <v>#REF!</v>
      </c>
      <c r="AA169" s="1013" t="e">
        <f t="shared" si="419"/>
        <v>#REF!</v>
      </c>
      <c r="AB169" s="1030">
        <f>'Datos auxiliares materiales'!C103</f>
        <v>0</v>
      </c>
      <c r="AC169" s="1017" t="e">
        <f t="shared" si="420"/>
        <v>#REF!</v>
      </c>
      <c r="AD169" s="1022">
        <f t="shared" si="411"/>
        <v>0</v>
      </c>
      <c r="AE169" s="1077">
        <f>'Datos auxiliares materiales'!D103</f>
        <v>0</v>
      </c>
      <c r="AF169" s="170">
        <f t="shared" si="421"/>
        <v>0</v>
      </c>
      <c r="AG169" s="170" t="e">
        <f t="shared" si="422"/>
        <v>#REF!</v>
      </c>
      <c r="AH169" s="170" t="e">
        <f t="shared" si="423"/>
        <v>#REF!</v>
      </c>
      <c r="AI169" s="170" t="e">
        <f t="shared" si="424"/>
        <v>#REF!</v>
      </c>
      <c r="AJ169" s="170" t="e">
        <f t="shared" si="425"/>
        <v>#REF!</v>
      </c>
      <c r="AK169" s="170" t="e">
        <f t="shared" si="426"/>
        <v>#REF!</v>
      </c>
      <c r="AL169" s="170" t="e">
        <f t="shared" si="412"/>
        <v>#REF!</v>
      </c>
      <c r="AM169" s="170" t="e">
        <f t="shared" si="427"/>
        <v>#REF!</v>
      </c>
      <c r="AN169" s="170" t="e">
        <f t="shared" si="428"/>
        <v>#REF!</v>
      </c>
      <c r="AO169" s="170" t="e">
        <f t="shared" si="429"/>
        <v>#REF!</v>
      </c>
      <c r="AP169" s="170" t="e">
        <f t="shared" si="430"/>
        <v>#REF!</v>
      </c>
      <c r="AQ169" s="170" t="e">
        <f t="shared" si="431"/>
        <v>#REF!</v>
      </c>
      <c r="AR169" s="170" t="e">
        <f t="shared" si="432"/>
        <v>#REF!</v>
      </c>
      <c r="AS169" s="1082" t="e">
        <f t="shared" si="413"/>
        <v>#REF!</v>
      </c>
      <c r="AT169" s="170"/>
      <c r="AU169" s="171"/>
      <c r="AV169" s="160"/>
      <c r="AW169" s="1521"/>
      <c r="AX169" s="1521"/>
      <c r="AY169" s="1521"/>
      <c r="AZ169" s="1522"/>
      <c r="BA169" s="1522"/>
      <c r="BB169" s="1522"/>
      <c r="BC169" s="1522"/>
      <c r="BD169" s="1373" t="s">
        <v>626</v>
      </c>
      <c r="BE169" s="1521"/>
      <c r="BF169" s="1521"/>
      <c r="BG169" s="1521"/>
      <c r="BH169" s="1521"/>
      <c r="BI169" s="1521"/>
      <c r="BJ169" s="1521"/>
      <c r="BL169" s="16"/>
      <c r="BM169" s="16"/>
      <c r="BN169" s="16"/>
      <c r="BO169" s="16"/>
      <c r="BP169" s="10" t="s">
        <v>619</v>
      </c>
    </row>
    <row r="170" spans="1:68" s="1521" customFormat="1">
      <c r="A170" s="1373" t="s">
        <v>1082</v>
      </c>
      <c r="B170" s="1513" t="s">
        <v>19</v>
      </c>
      <c r="C170" s="169">
        <f>SUMIFS(BCRR_REHAB!L:L,BCRR_REHAB!D:D,'Huella materiales'!A170)</f>
        <v>20745.989762499994</v>
      </c>
      <c r="D170" s="1515" t="e">
        <f>SUMIF(#REF!,'Huella materiales'!A170,#REF!)</f>
        <v>#REF!</v>
      </c>
      <c r="E170" s="1515" t="e">
        <f t="shared" si="405"/>
        <v>#REF!</v>
      </c>
      <c r="F170" s="146" t="e">
        <f>SUMIF(#REF!,'Huella materiales'!A170,#REF!)</f>
        <v>#REF!</v>
      </c>
      <c r="G170" s="1515" t="e">
        <f t="shared" si="406"/>
        <v>#REF!</v>
      </c>
      <c r="H170" s="146" t="e">
        <f>SUMIF(#REF!,'Huella materiales'!A170,#REF!)</f>
        <v>#REF!</v>
      </c>
      <c r="I170" s="1515" t="e">
        <f t="shared" si="407"/>
        <v>#REF!</v>
      </c>
      <c r="J170" s="146" t="e">
        <f>SUMIF(#REF!,'Huella materiales'!A170,#REF!)</f>
        <v>#REF!</v>
      </c>
      <c r="K170" s="1515" t="e">
        <f t="shared" si="408"/>
        <v>#REF!</v>
      </c>
      <c r="L170" s="146" t="e">
        <f>SUMIF(#REF!,'Huella materiales'!A170,#REF!)</f>
        <v>#REF!</v>
      </c>
      <c r="M170" s="1515" t="e">
        <f t="shared" si="409"/>
        <v>#REF!</v>
      </c>
      <c r="N170" s="1515" t="e">
        <f>SUMIF(#REF!,'Huella materiales'!A170,#REF!)</f>
        <v>#REF!</v>
      </c>
      <c r="O170" s="1515" t="e">
        <f t="shared" si="410"/>
        <v>#REF!</v>
      </c>
      <c r="P170" s="1515" t="e">
        <f>SUMIF(#REF!,'Huella materiales'!A170,#REF!)</f>
        <v>#REF!</v>
      </c>
      <c r="Q170" s="1515" t="e">
        <f t="shared" si="414"/>
        <v>#REF!</v>
      </c>
      <c r="R170" s="1515" t="e">
        <f>SUMIF(#REF!,'Huella materiales'!A170,#REF!)</f>
        <v>#REF!</v>
      </c>
      <c r="S170" s="1515" t="e">
        <f t="shared" si="415"/>
        <v>#REF!</v>
      </c>
      <c r="T170" s="146" t="e">
        <f>SUMIF(#REF!,'Huella materiales'!A170,#REF!)</f>
        <v>#REF!</v>
      </c>
      <c r="U170" s="1515" t="e">
        <f t="shared" si="416"/>
        <v>#REF!</v>
      </c>
      <c r="V170" s="1515" t="e">
        <f>SUMIF(#REF!,'Huella materiales'!A170,#REF!)</f>
        <v>#REF!</v>
      </c>
      <c r="W170" s="1515" t="e">
        <f t="shared" si="417"/>
        <v>#REF!</v>
      </c>
      <c r="X170" s="1515" t="e">
        <f>SUMIF(#REF!,'Huella materiales'!A170,#REF!)</f>
        <v>#REF!</v>
      </c>
      <c r="Y170" s="1515" t="e">
        <f t="shared" si="418"/>
        <v>#REF!</v>
      </c>
      <c r="Z170" s="1515" t="e">
        <f>SUMIF(#REF!,'Huella materiales'!A170,#REF!)</f>
        <v>#REF!</v>
      </c>
      <c r="AA170" s="1515" t="e">
        <f t="shared" si="419"/>
        <v>#REF!</v>
      </c>
      <c r="AB170" s="1515">
        <f>'Datos auxiliares materiales'!C104</f>
        <v>0</v>
      </c>
      <c r="AC170" s="1516" t="e">
        <f t="shared" si="420"/>
        <v>#REF!</v>
      </c>
      <c r="AD170" s="1517">
        <f t="shared" si="411"/>
        <v>0</v>
      </c>
      <c r="AE170" s="1518">
        <f>'Datos auxiliares materiales'!D104</f>
        <v>0</v>
      </c>
      <c r="AF170" s="1515">
        <f t="shared" si="421"/>
        <v>0</v>
      </c>
      <c r="AG170" s="1515" t="e">
        <f t="shared" si="422"/>
        <v>#REF!</v>
      </c>
      <c r="AH170" s="1515" t="e">
        <f t="shared" si="423"/>
        <v>#REF!</v>
      </c>
      <c r="AI170" s="1515" t="e">
        <f t="shared" si="424"/>
        <v>#REF!</v>
      </c>
      <c r="AJ170" s="1515" t="e">
        <f t="shared" si="425"/>
        <v>#REF!</v>
      </c>
      <c r="AK170" s="1515" t="e">
        <f t="shared" si="426"/>
        <v>#REF!</v>
      </c>
      <c r="AL170" s="1515" t="e">
        <f t="shared" si="412"/>
        <v>#REF!</v>
      </c>
      <c r="AM170" s="1515" t="e">
        <f t="shared" si="427"/>
        <v>#REF!</v>
      </c>
      <c r="AN170" s="1515" t="e">
        <f t="shared" si="428"/>
        <v>#REF!</v>
      </c>
      <c r="AO170" s="1515" t="e">
        <f t="shared" si="429"/>
        <v>#REF!</v>
      </c>
      <c r="AP170" s="1515" t="e">
        <f t="shared" si="430"/>
        <v>#REF!</v>
      </c>
      <c r="AQ170" s="1515" t="e">
        <f t="shared" si="431"/>
        <v>#REF!</v>
      </c>
      <c r="AR170" s="1515" t="e">
        <f t="shared" si="432"/>
        <v>#REF!</v>
      </c>
      <c r="AS170" s="1524" t="e">
        <f t="shared" si="413"/>
        <v>#REF!</v>
      </c>
      <c r="AT170" s="1515"/>
      <c r="AU170" s="1519"/>
      <c r="AV170" s="1520"/>
      <c r="AW170"/>
      <c r="AX170"/>
      <c r="AY170" s="16"/>
      <c r="AZ170" s="16"/>
      <c r="BA170" s="16"/>
      <c r="BB170" s="16"/>
      <c r="BC170" s="10" t="s">
        <v>627</v>
      </c>
      <c r="BD170"/>
      <c r="BE170"/>
      <c r="BF170"/>
      <c r="BG170"/>
      <c r="BH170"/>
      <c r="BI170"/>
      <c r="BJ170"/>
      <c r="BL170" s="1522"/>
      <c r="BM170" s="1522"/>
      <c r="BN170" s="1522"/>
      <c r="BO170" s="1522"/>
      <c r="BP170" s="1373" t="s">
        <v>620</v>
      </c>
    </row>
    <row r="171" spans="1:68">
      <c r="A171" s="10" t="s">
        <v>1201</v>
      </c>
      <c r="B171" s="175" t="s">
        <v>144</v>
      </c>
      <c r="C171" s="169">
        <f>SUMIFS(BCRR_REHAB!L:L,BCRR_REHAB!D:D,'Huella materiales'!A171)</f>
        <v>0</v>
      </c>
      <c r="D171" s="146" t="e">
        <f>SUMIF(#REF!,'Huella materiales'!A171,#REF!)</f>
        <v>#REF!</v>
      </c>
      <c r="E171" s="1013" t="e">
        <f t="shared" si="405"/>
        <v>#REF!</v>
      </c>
      <c r="F171" s="146" t="e">
        <f>SUMIF(#REF!,'Huella materiales'!A171,#REF!)</f>
        <v>#REF!</v>
      </c>
      <c r="G171" s="1013" t="e">
        <f t="shared" si="406"/>
        <v>#REF!</v>
      </c>
      <c r="H171" s="146" t="e">
        <f>SUMIF(#REF!,'Huella materiales'!A171,#REF!)</f>
        <v>#REF!</v>
      </c>
      <c r="I171" s="1013" t="e">
        <f t="shared" si="407"/>
        <v>#REF!</v>
      </c>
      <c r="J171" s="146" t="e">
        <f>SUMIF(#REF!,'Huella materiales'!A171,#REF!)</f>
        <v>#REF!</v>
      </c>
      <c r="K171" s="1013" t="e">
        <f t="shared" si="408"/>
        <v>#REF!</v>
      </c>
      <c r="L171" s="146" t="e">
        <f>SUMIF(#REF!,'Huella materiales'!A171,#REF!)</f>
        <v>#REF!</v>
      </c>
      <c r="M171" s="1013" t="e">
        <f t="shared" si="409"/>
        <v>#REF!</v>
      </c>
      <c r="N171" s="146" t="e">
        <f>SUMIF(#REF!,'Huella materiales'!A171,#REF!)</f>
        <v>#REF!</v>
      </c>
      <c r="O171" s="1013" t="e">
        <f t="shared" si="410"/>
        <v>#REF!</v>
      </c>
      <c r="P171" s="146" t="e">
        <f>SUMIF(#REF!,'Huella materiales'!A171,#REF!)</f>
        <v>#REF!</v>
      </c>
      <c r="Q171" s="1013" t="e">
        <f t="shared" si="414"/>
        <v>#REF!</v>
      </c>
      <c r="R171" s="146" t="e">
        <f>SUMIF(#REF!,'Huella materiales'!A171,#REF!)</f>
        <v>#REF!</v>
      </c>
      <c r="S171" s="1013" t="e">
        <f t="shared" si="415"/>
        <v>#REF!</v>
      </c>
      <c r="T171" s="146" t="e">
        <f>SUMIF(#REF!,'Huella materiales'!A171,#REF!)</f>
        <v>#REF!</v>
      </c>
      <c r="U171" s="1013" t="e">
        <f t="shared" si="416"/>
        <v>#REF!</v>
      </c>
      <c r="V171" s="146" t="e">
        <f>SUMIF(#REF!,'Huella materiales'!A171,#REF!)</f>
        <v>#REF!</v>
      </c>
      <c r="W171" s="1013" t="e">
        <f t="shared" si="417"/>
        <v>#REF!</v>
      </c>
      <c r="X171" s="146" t="e">
        <f>SUMIF(#REF!,'Huella materiales'!A171,#REF!)</f>
        <v>#REF!</v>
      </c>
      <c r="Y171" s="1013" t="e">
        <f t="shared" si="418"/>
        <v>#REF!</v>
      </c>
      <c r="Z171" s="146" t="e">
        <f>SUMIF(#REF!,'Huella materiales'!A171,#REF!)</f>
        <v>#REF!</v>
      </c>
      <c r="AA171" s="1013" t="e">
        <f t="shared" si="419"/>
        <v>#REF!</v>
      </c>
      <c r="AB171" s="1030">
        <f>'Datos auxiliares materiales'!C105</f>
        <v>7</v>
      </c>
      <c r="AC171" s="1017" t="e">
        <f t="shared" si="420"/>
        <v>#REF!</v>
      </c>
      <c r="AD171" s="1022">
        <f t="shared" si="411"/>
        <v>0</v>
      </c>
      <c r="AE171" s="1077">
        <f>'Datos auxiliares materiales'!D105</f>
        <v>80</v>
      </c>
      <c r="AF171" s="170">
        <f t="shared" si="421"/>
        <v>0</v>
      </c>
      <c r="AG171" s="170" t="e">
        <f t="shared" si="422"/>
        <v>#REF!</v>
      </c>
      <c r="AH171" s="170" t="e">
        <f t="shared" si="423"/>
        <v>#REF!</v>
      </c>
      <c r="AI171" s="170" t="e">
        <f t="shared" si="424"/>
        <v>#REF!</v>
      </c>
      <c r="AJ171" s="170" t="e">
        <f t="shared" si="425"/>
        <v>#REF!</v>
      </c>
      <c r="AK171" s="170" t="e">
        <f t="shared" si="426"/>
        <v>#REF!</v>
      </c>
      <c r="AL171" s="170" t="e">
        <f t="shared" si="412"/>
        <v>#REF!</v>
      </c>
      <c r="AM171" s="170" t="e">
        <f t="shared" si="427"/>
        <v>#REF!</v>
      </c>
      <c r="AN171" s="170" t="e">
        <f t="shared" si="428"/>
        <v>#REF!</v>
      </c>
      <c r="AO171" s="170" t="e">
        <f t="shared" si="429"/>
        <v>#REF!</v>
      </c>
      <c r="AP171" s="170" t="e">
        <f t="shared" si="430"/>
        <v>#REF!</v>
      </c>
      <c r="AQ171" s="170" t="e">
        <f t="shared" si="431"/>
        <v>#REF!</v>
      </c>
      <c r="AR171" s="170" t="e">
        <f t="shared" si="432"/>
        <v>#REF!</v>
      </c>
      <c r="AS171" s="1082" t="e">
        <f t="shared" si="413"/>
        <v>#REF!</v>
      </c>
      <c r="AT171" s="170"/>
      <c r="AU171" s="171"/>
      <c r="AV171" s="160"/>
      <c r="AX171"/>
      <c r="BB171" s="16"/>
      <c r="BC171" s="10" t="s">
        <v>628</v>
      </c>
      <c r="BL171" s="16"/>
      <c r="BM171" s="16"/>
      <c r="BN171" s="16"/>
      <c r="BO171" s="16"/>
      <c r="BP171" s="10" t="s">
        <v>621</v>
      </c>
    </row>
    <row r="172" spans="1:68" ht="15.5">
      <c r="B172" s="163" t="s">
        <v>1220</v>
      </c>
      <c r="C172" s="169">
        <f>SUMIFS(BCRR_REHAB!L:L,BCRR_REHAB!D:D,'Huella materiales'!A172)</f>
        <v>0</v>
      </c>
      <c r="D172" s="1014"/>
      <c r="E172" s="1014" t="e">
        <f t="shared" ref="E172:AF172" si="433">E173</f>
        <v>#REF!</v>
      </c>
      <c r="F172" s="1014"/>
      <c r="G172" s="1014" t="e">
        <f t="shared" si="433"/>
        <v>#REF!</v>
      </c>
      <c r="H172" s="1014"/>
      <c r="I172" s="1014" t="e">
        <f t="shared" si="433"/>
        <v>#REF!</v>
      </c>
      <c r="J172" s="164"/>
      <c r="K172" s="1014" t="e">
        <f t="shared" si="433"/>
        <v>#REF!</v>
      </c>
      <c r="L172" s="164"/>
      <c r="M172" s="1014" t="e">
        <f t="shared" si="433"/>
        <v>#REF!</v>
      </c>
      <c r="N172" s="164"/>
      <c r="O172" s="1014" t="e">
        <f t="shared" si="433"/>
        <v>#REF!</v>
      </c>
      <c r="P172" s="164"/>
      <c r="Q172" s="1014" t="e">
        <f t="shared" si="433"/>
        <v>#REF!</v>
      </c>
      <c r="R172" s="164"/>
      <c r="S172" s="1014" t="e">
        <f t="shared" si="433"/>
        <v>#REF!</v>
      </c>
      <c r="T172" s="164"/>
      <c r="U172" s="1014" t="e">
        <f t="shared" si="433"/>
        <v>#REF!</v>
      </c>
      <c r="V172" s="164"/>
      <c r="W172" s="1014" t="e">
        <f t="shared" si="433"/>
        <v>#REF!</v>
      </c>
      <c r="X172" s="1014"/>
      <c r="Y172" s="1014" t="e">
        <f t="shared" si="433"/>
        <v>#REF!</v>
      </c>
      <c r="Z172" s="164"/>
      <c r="AA172" s="1014" t="e">
        <f t="shared" si="433"/>
        <v>#REF!</v>
      </c>
      <c r="AB172" s="164"/>
      <c r="AC172" s="1028" t="e">
        <f t="shared" si="433"/>
        <v>#REF!</v>
      </c>
      <c r="AD172" s="1026">
        <f t="shared" si="433"/>
        <v>0</v>
      </c>
      <c r="AE172" s="1019"/>
      <c r="AF172" s="1080">
        <f t="shared" si="433"/>
        <v>0</v>
      </c>
      <c r="AG172" s="1080" t="e">
        <f t="shared" ref="AG172:AR172" si="434">AG173</f>
        <v>#REF!</v>
      </c>
      <c r="AH172" s="1080" t="e">
        <f t="shared" si="434"/>
        <v>#REF!</v>
      </c>
      <c r="AI172" s="1080" t="e">
        <f t="shared" si="434"/>
        <v>#REF!</v>
      </c>
      <c r="AJ172" s="1080" t="e">
        <f t="shared" si="434"/>
        <v>#REF!</v>
      </c>
      <c r="AK172" s="1080" t="e">
        <f>AK173</f>
        <v>#REF!</v>
      </c>
      <c r="AL172" s="1080" t="e">
        <f t="shared" si="434"/>
        <v>#REF!</v>
      </c>
      <c r="AM172" s="1080" t="e">
        <f t="shared" si="434"/>
        <v>#REF!</v>
      </c>
      <c r="AN172" s="1080" t="e">
        <f t="shared" si="434"/>
        <v>#REF!</v>
      </c>
      <c r="AO172" s="1080" t="e">
        <f t="shared" si="434"/>
        <v>#REF!</v>
      </c>
      <c r="AP172" s="1080" t="e">
        <f t="shared" si="434"/>
        <v>#REF!</v>
      </c>
      <c r="AQ172" s="1080" t="e">
        <f t="shared" si="434"/>
        <v>#REF!</v>
      </c>
      <c r="AR172" s="1080" t="e">
        <f t="shared" si="434"/>
        <v>#REF!</v>
      </c>
      <c r="AS172" s="1080" t="e">
        <f>AG172+AH172+AI172+AJ172+AK172+AM172+AN172+AO172+AP172+AQ172+AR172</f>
        <v>#REF!</v>
      </c>
      <c r="AT172" s="165" t="e">
        <f>SUM(S174:S181)/$AX$5*$AX$7</f>
        <v>#REF!</v>
      </c>
      <c r="AU172" s="166" t="e">
        <f>AT172/$AX$8</f>
        <v>#REF!</v>
      </c>
      <c r="AV172" s="160"/>
      <c r="AX172"/>
      <c r="BB172" s="16"/>
      <c r="BC172" s="10" t="s">
        <v>629</v>
      </c>
      <c r="BL172" s="16"/>
      <c r="BM172" s="16"/>
      <c r="BN172" s="16"/>
      <c r="BO172" s="16"/>
      <c r="BP172" s="10" t="s">
        <v>613</v>
      </c>
    </row>
    <row r="173" spans="1:68" ht="15" thickBot="1">
      <c r="A173" s="10" t="s">
        <v>1106</v>
      </c>
      <c r="B173" s="175" t="s">
        <v>1221</v>
      </c>
      <c r="C173" s="169">
        <f>SUMIFS(BCRR_REHAB!L:L,BCRR_REHAB!D:D,'Huella materiales'!A173)</f>
        <v>0</v>
      </c>
      <c r="D173" s="146" t="e">
        <f>SUMIF(#REF!,'Huella materiales'!A173,#REF!)</f>
        <v>#REF!</v>
      </c>
      <c r="E173" s="1013" t="e">
        <f>D173*AB173</f>
        <v>#REF!</v>
      </c>
      <c r="F173" s="146" t="e">
        <f>SUMIF(#REF!,'Huella materiales'!A173,#REF!)</f>
        <v>#REF!</v>
      </c>
      <c r="G173" s="1013" t="e">
        <f>F173*AB173</f>
        <v>#REF!</v>
      </c>
      <c r="H173" s="146" t="e">
        <f>SUMIF(#REF!,'Huella materiales'!A173,#REF!)</f>
        <v>#REF!</v>
      </c>
      <c r="I173" s="1013" t="e">
        <f>H173*AB173</f>
        <v>#REF!</v>
      </c>
      <c r="J173" s="146" t="e">
        <f>SUMIF(#REF!,'Huella materiales'!A173,#REF!)</f>
        <v>#REF!</v>
      </c>
      <c r="K173" s="1013" t="e">
        <f>J173*AB173</f>
        <v>#REF!</v>
      </c>
      <c r="L173" s="146" t="e">
        <f>SUMIF(#REF!,'Huella materiales'!A173,#REF!)</f>
        <v>#REF!</v>
      </c>
      <c r="M173" s="1013" t="e">
        <f>L173*AB173</f>
        <v>#REF!</v>
      </c>
      <c r="N173" s="146" t="e">
        <f>SUMIF(#REF!,'Huella materiales'!A173,#REF!)</f>
        <v>#REF!</v>
      </c>
      <c r="O173" s="1013" t="e">
        <f>N173*AB173</f>
        <v>#REF!</v>
      </c>
      <c r="P173" s="146" t="e">
        <f>SUMIF(#REF!,'Huella materiales'!A173,#REF!)</f>
        <v>#REF!</v>
      </c>
      <c r="Q173" s="1013" t="e">
        <f>P173*AB173</f>
        <v>#REF!</v>
      </c>
      <c r="R173" s="146" t="e">
        <f>SUMIF(#REF!,'Huella materiales'!A173,#REF!)</f>
        <v>#REF!</v>
      </c>
      <c r="S173" s="1013" t="e">
        <f>R173*AB173</f>
        <v>#REF!</v>
      </c>
      <c r="T173" s="146" t="e">
        <f>SUMIF(#REF!,'Huella materiales'!A173,#REF!)</f>
        <v>#REF!</v>
      </c>
      <c r="U173" s="1013" t="e">
        <f>T173*AB173</f>
        <v>#REF!</v>
      </c>
      <c r="V173" s="146" t="e">
        <f>SUMIF(#REF!,'Huella materiales'!A173,#REF!)</f>
        <v>#REF!</v>
      </c>
      <c r="W173" s="1013" t="e">
        <f>V173*AB173</f>
        <v>#REF!</v>
      </c>
      <c r="X173" s="146" t="e">
        <f>SUMIF(#REF!,'Huella materiales'!A173,#REF!)</f>
        <v>#REF!</v>
      </c>
      <c r="Y173" s="1013" t="e">
        <f>X173*AB173</f>
        <v>#REF!</v>
      </c>
      <c r="Z173" s="146" t="e">
        <f>SUMIF(#REF!,'Huella materiales'!A173,#REF!)</f>
        <v>#REF!</v>
      </c>
      <c r="AA173" s="1013" t="e">
        <f>Z173*$AB$5</f>
        <v>#REF!</v>
      </c>
      <c r="AB173" s="1030">
        <f>'Datos auxiliares materiales'!C107</f>
        <v>0</v>
      </c>
      <c r="AC173" s="1017" t="e">
        <f>E173+G173+I173+K173+M173+O173+Q173+S173+U173+W173+Y173+AA173</f>
        <v>#REF!</v>
      </c>
      <c r="AD173" s="1023">
        <f>C173*AB173</f>
        <v>0</v>
      </c>
      <c r="AE173" s="1077">
        <f>'Datos auxiliares materiales'!D107</f>
        <v>0</v>
      </c>
      <c r="AF173" s="170">
        <f>C173*$AB$164*$AE$164</f>
        <v>0</v>
      </c>
      <c r="AG173" s="170" t="e">
        <f>D173*AB173*AE173</f>
        <v>#REF!</v>
      </c>
      <c r="AH173" s="170" t="e">
        <f>F173*AB173*AE173</f>
        <v>#REF!</v>
      </c>
      <c r="AI173" s="170" t="e">
        <f>H173*AB173*AE173</f>
        <v>#REF!</v>
      </c>
      <c r="AJ173" s="170" t="e">
        <f>J173*AB173*AE173</f>
        <v>#REF!</v>
      </c>
      <c r="AK173" s="170" t="e">
        <f>L173*AB173*AE173</f>
        <v>#REF!</v>
      </c>
      <c r="AL173" s="170" t="e">
        <f>N173*$AB$49*$AE$49</f>
        <v>#REF!</v>
      </c>
      <c r="AM173" s="170" t="e">
        <f>P173*AB173*AE173</f>
        <v>#REF!</v>
      </c>
      <c r="AN173" s="170" t="e">
        <f>R173*AB173*AE173</f>
        <v>#REF!</v>
      </c>
      <c r="AO173" s="170" t="e">
        <f>T173*AB173*AE173</f>
        <v>#REF!</v>
      </c>
      <c r="AP173" s="170" t="e">
        <f>V173*AB173*AE173</f>
        <v>#REF!</v>
      </c>
      <c r="AQ173" s="170" t="e">
        <f>X173*AB173*AE173</f>
        <v>#REF!</v>
      </c>
      <c r="AR173" s="170" t="e">
        <f>Z173*AB173*AE173</f>
        <v>#REF!</v>
      </c>
      <c r="AS173" s="170"/>
      <c r="AT173" s="170"/>
      <c r="AU173" s="171"/>
      <c r="AV173" s="160"/>
      <c r="AX173"/>
      <c r="BB173" s="16"/>
      <c r="BC173" s="10" t="s">
        <v>630</v>
      </c>
      <c r="BL173" s="16"/>
      <c r="BM173" s="16"/>
      <c r="BN173" s="16"/>
      <c r="BO173" s="16"/>
      <c r="BP173" s="10" t="s">
        <v>615</v>
      </c>
    </row>
    <row r="174" spans="1:68" ht="15" thickBot="1">
      <c r="A174" s="595" t="s">
        <v>1283</v>
      </c>
      <c r="B174" s="160"/>
      <c r="C174" s="1012"/>
      <c r="D174" s="1012">
        <f>D4+D23+D28+D41+D55+D63+D66+D71+D73+D85+D93+D105+D114+D125+D132+D136+D143+D145+D160+D162+D172</f>
        <v>0</v>
      </c>
      <c r="E174" s="1012" t="e">
        <f>E4+E23+E28+E41+E55+E63+E66+E71+E73+E85+E93+E105+E114+E125+E132+E136+E143+E145+E160+E162+E172</f>
        <v>#REF!</v>
      </c>
      <c r="F174" s="172"/>
      <c r="G174" s="1012" t="e">
        <f>G4+G23+G28+G41+G55+G63+G66+G71+G73+G85+G93+G105+G114+G125+G132+G136+G143+G145+G160+G162+G172</f>
        <v>#REF!</v>
      </c>
      <c r="H174" s="172"/>
      <c r="I174" s="1012" t="e">
        <f>I4+I23+I28+I41+I55+I63+I66+I71+I73+I85+I93+I105+I114+I125+I132+I136+I143+I145+I160+I162+I172</f>
        <v>#REF!</v>
      </c>
      <c r="J174" s="172"/>
      <c r="K174" s="1012" t="e">
        <f>K4+K23+K28+K41+K55+K63+K66+K71+K73+K85+K93+K105+K114+K125+K132+K136+K143+K145+K160+K162+K172</f>
        <v>#REF!</v>
      </c>
      <c r="L174" s="172"/>
      <c r="M174" s="1012" t="e">
        <f>M4+M23+M28+M41+M55+M63+M66+M71+M73+M85+M93+M105+M114+M125+M132+M136+M143+M145+M160+M162+M172</f>
        <v>#REF!</v>
      </c>
      <c r="N174" s="172"/>
      <c r="O174" s="1012" t="e">
        <f>O4+O23+O28+O41+O55+O63+O66+O71+O73+O85+O93+O105+O114+O125+O132+O136+O143+O145+O160+O162+O172</f>
        <v>#REF!</v>
      </c>
      <c r="P174" s="172"/>
      <c r="Q174" s="1012" t="e">
        <f>Q4+Q23+Q28+Q41+Q55+Q63+Q66+Q71+Q73+Q85+Q93+Q105+Q114+Q125+Q132+Q136+Q143+Q145+Q160+Q162+Q172</f>
        <v>#REF!</v>
      </c>
      <c r="R174" s="172"/>
      <c r="S174" s="1012" t="e">
        <f>S4+S23+S28+S41+S55+S63+S66+S71+S73+S85+S93+S105+S114+S125+S132+S136+S143+S145+S160+S162+S172</f>
        <v>#REF!</v>
      </c>
      <c r="T174" s="173"/>
      <c r="U174" s="1012" t="e">
        <f>U4+U23+U28+U41+U55+U63+U66+U71+U73+U85+U93+U105+U114+U125+U132+U136+U143+U145+U160+U162+U172</f>
        <v>#REF!</v>
      </c>
      <c r="V174" s="173"/>
      <c r="W174" s="1012" t="e">
        <f>W4+W23+W28+W41+W55+W63+W66+W71+W73+W85+W93+W105+W114+W125+W132+W136+W143+W145+W160+W162+W172</f>
        <v>#REF!</v>
      </c>
      <c r="X174" s="173"/>
      <c r="Y174" s="1012" t="e">
        <f>Y4+Y23+Y28+Y41+Y55+Y63+Y66+Y71+Y73+Y85+Y93+Y105+Y114+Y125+Y132+Y136+Y143+Y145+Y160+Y162+Y172</f>
        <v>#REF!</v>
      </c>
      <c r="Z174" s="173"/>
      <c r="AA174" s="1012" t="e">
        <f>AA4+AA23+AA28+AA41+AA55+AA63+AA66+AA71+AA73+AA85+AA93+AA105+AA114+AA125+AA132+AA136+AA143+AA145+AA160+AA162+AA172</f>
        <v>#REF!</v>
      </c>
      <c r="AB174" s="1012"/>
      <c r="AC174" s="1012"/>
      <c r="AD174" s="1024">
        <f>AD4+AD23+AD28+AD41+AD55+AD63+AD66+AD71+AD73+AD85+AD93+AD105+AD114+AD125+AD132+AD136+AD143+AD145+AD160+AD162+AD172</f>
        <v>27146.904673847195</v>
      </c>
      <c r="AE174" s="1020" t="s">
        <v>290</v>
      </c>
      <c r="AF174" s="678">
        <f>AF4+AF23+AF28+AF41+AF55+AF63+AF66+AF71+AF73+AF85+AF93+AF105+AF114+AF125+AF132+AF130+AF136+AF143+AF145+AF160+AF162+AF172</f>
        <v>201556.12828997837</v>
      </c>
      <c r="AG174" s="678" t="e">
        <f>AG4+AG23+AG28+AG41+AG55+AG63+AG66+AG71+AG73+AG85+AG93+AG105+AG114+AG125+AG132+AG136+AG143+AG145+AG160+AG162+AG172</f>
        <v>#REF!</v>
      </c>
      <c r="AH174" s="678" t="e">
        <f>AH4+AH23+AH28+AH41+AH55+AH63+AH66+AH71+AH73+AH85+AH93+AH105+AH114+AH125+AH132+AH136+AH143+AH145+AH160+AH162+AH172</f>
        <v>#REF!</v>
      </c>
      <c r="AI174" s="678" t="e">
        <f>AI4+AI23+AI28+AI41+AI55+AI63+AI66+AI71+AI73+AI85+AI93+AI105+AI114+AI125+AI130+AI132+AI136+AI143+AI145+AI160+AI162+AI172</f>
        <v>#REF!</v>
      </c>
      <c r="AJ174" s="678" t="e">
        <f t="shared" ref="AJ174:AS174" si="435">AJ4+AJ23+AJ28+AJ41+AJ55+AJ63+AJ66+AJ71+AJ73+AJ85+AJ93+AJ105+AJ114+AJ125+AJ132+AJ136+AJ143+AJ145+AJ160+AJ162+AJ172</f>
        <v>#REF!</v>
      </c>
      <c r="AK174" s="678" t="e">
        <f t="shared" si="435"/>
        <v>#REF!</v>
      </c>
      <c r="AL174" s="678" t="e">
        <f t="shared" si="435"/>
        <v>#REF!</v>
      </c>
      <c r="AM174" s="678" t="e">
        <f t="shared" si="435"/>
        <v>#REF!</v>
      </c>
      <c r="AN174" s="678" t="e">
        <f t="shared" si="435"/>
        <v>#REF!</v>
      </c>
      <c r="AO174" s="678" t="e">
        <f t="shared" si="435"/>
        <v>#REF!</v>
      </c>
      <c r="AP174" s="678" t="e">
        <f t="shared" si="435"/>
        <v>#REF!</v>
      </c>
      <c r="AQ174" s="678" t="e">
        <f t="shared" si="435"/>
        <v>#REF!</v>
      </c>
      <c r="AR174" s="678" t="e">
        <f t="shared" si="435"/>
        <v>#REF!</v>
      </c>
      <c r="AS174" s="1084" t="e">
        <f t="shared" si="435"/>
        <v>#REF!</v>
      </c>
      <c r="AT174" s="174"/>
      <c r="AU174" s="416">
        <f>AU162+AU41+AU28+AU4+AU85</f>
        <v>0.28047782045757252</v>
      </c>
      <c r="AW174" s="16"/>
      <c r="BA174" s="10" t="s">
        <v>631</v>
      </c>
      <c r="BO174" s="16"/>
      <c r="BP174" s="10" t="s">
        <v>622</v>
      </c>
    </row>
    <row r="175" spans="1:68" ht="15" thickBot="1">
      <c r="A175" s="595" t="s">
        <v>1284</v>
      </c>
      <c r="B175" s="31"/>
      <c r="C175" s="41"/>
      <c r="D175" s="41"/>
      <c r="E175" s="1032" t="e">
        <f>E174/1000</f>
        <v>#REF!</v>
      </c>
      <c r="F175" s="41"/>
      <c r="G175" s="1032" t="e">
        <f>G174/1000</f>
        <v>#REF!</v>
      </c>
      <c r="H175" s="41"/>
      <c r="I175" s="1032" t="e">
        <f>I174/1000</f>
        <v>#REF!</v>
      </c>
      <c r="J175" s="41"/>
      <c r="K175" s="1032" t="e">
        <f>K174/1000</f>
        <v>#REF!</v>
      </c>
      <c r="L175" s="41"/>
      <c r="M175" s="1032" t="e">
        <f>M174/1000</f>
        <v>#REF!</v>
      </c>
      <c r="N175" s="41"/>
      <c r="O175" s="1032" t="e">
        <f>O174/1000</f>
        <v>#REF!</v>
      </c>
      <c r="P175" s="32"/>
      <c r="Q175" s="1032" t="e">
        <f>Q174/1000</f>
        <v>#REF!</v>
      </c>
      <c r="R175" s="33"/>
      <c r="S175" s="1032" t="e">
        <f>S174/1000</f>
        <v>#REF!</v>
      </c>
      <c r="T175" s="34"/>
      <c r="U175" s="1032" t="e">
        <f>U174/1000</f>
        <v>#REF!</v>
      </c>
      <c r="V175" s="34"/>
      <c r="W175" s="1032" t="e">
        <f>W174/1000</f>
        <v>#REF!</v>
      </c>
      <c r="X175" s="34"/>
      <c r="Y175" s="1011" t="e">
        <f>Y174/1000</f>
        <v>#REF!</v>
      </c>
      <c r="Z175" s="34"/>
      <c r="AA175" s="1011" t="e">
        <f>AA174/1000</f>
        <v>#REF!</v>
      </c>
      <c r="AB175" s="34"/>
      <c r="AC175" s="34"/>
      <c r="AD175" s="1033">
        <f>AD174/1000</f>
        <v>27.146904673847196</v>
      </c>
      <c r="AE175" s="34"/>
      <c r="AF175" s="34"/>
      <c r="AG175" s="34"/>
      <c r="AH175" s="119"/>
      <c r="AR175" s="16"/>
      <c r="BB175" s="10" t="s">
        <v>632</v>
      </c>
    </row>
    <row r="176" spans="1:68">
      <c r="B176" s="31"/>
      <c r="C176" s="41"/>
      <c r="D176" s="41"/>
      <c r="E176" s="41"/>
      <c r="F176" s="41"/>
      <c r="G176" s="41"/>
      <c r="H176" s="41"/>
      <c r="I176" s="41"/>
      <c r="J176" s="41"/>
      <c r="K176" s="41"/>
      <c r="L176" s="41"/>
      <c r="M176" s="41"/>
      <c r="N176" s="41"/>
      <c r="O176" s="41"/>
      <c r="P176" s="32"/>
      <c r="Q176" s="32"/>
      <c r="R176" s="33"/>
      <c r="S176" s="34"/>
      <c r="T176" s="34"/>
      <c r="U176" s="34"/>
      <c r="V176" s="34"/>
      <c r="W176" s="34"/>
      <c r="X176" s="34"/>
      <c r="Y176" s="34"/>
      <c r="Z176" s="34"/>
      <c r="AA176" s="34"/>
      <c r="AB176" s="34"/>
      <c r="AC176" s="34"/>
      <c r="AD176" s="34"/>
      <c r="AE176" s="34"/>
      <c r="AF176" s="34"/>
      <c r="AG176" s="34"/>
      <c r="AH176" s="118"/>
      <c r="AS176" s="16"/>
      <c r="AW176" s="16"/>
      <c r="BB176" s="10" t="s">
        <v>633</v>
      </c>
    </row>
    <row r="177" spans="2:54">
      <c r="B177" s="31"/>
      <c r="C177" s="41"/>
      <c r="D177" s="41"/>
      <c r="E177" s="41"/>
      <c r="F177" s="41"/>
      <c r="G177" s="41"/>
      <c r="H177" s="41"/>
      <c r="I177" s="41"/>
      <c r="J177" s="41"/>
      <c r="K177" s="41"/>
      <c r="L177" s="41"/>
      <c r="M177" s="41"/>
      <c r="N177" s="41"/>
      <c r="O177" s="41"/>
      <c r="P177" s="32"/>
      <c r="Q177" s="32"/>
      <c r="R177" s="33"/>
      <c r="S177" s="34"/>
      <c r="T177" s="34"/>
      <c r="U177" s="34"/>
      <c r="V177" s="34"/>
      <c r="W177" s="34"/>
      <c r="X177" s="34"/>
      <c r="Y177" s="34"/>
      <c r="Z177" s="34"/>
      <c r="AA177" s="34"/>
      <c r="AB177" s="34"/>
      <c r="AC177" s="34"/>
      <c r="AD177" s="34"/>
      <c r="AE177" s="34"/>
      <c r="AF177" s="34"/>
      <c r="AG177" s="34"/>
      <c r="AH177" s="118"/>
      <c r="AS177" s="16"/>
      <c r="AW177" s="16"/>
      <c r="BB177" s="10" t="s">
        <v>634</v>
      </c>
    </row>
    <row r="178" spans="2:54">
      <c r="B178" s="31"/>
      <c r="C178" s="41"/>
      <c r="D178" s="41"/>
      <c r="E178" s="41"/>
      <c r="F178" s="41"/>
      <c r="G178" s="41"/>
      <c r="H178" s="41"/>
      <c r="I178" s="41"/>
      <c r="J178" s="41"/>
      <c r="K178" s="41"/>
      <c r="L178" s="41"/>
      <c r="M178" s="41"/>
      <c r="N178" s="41"/>
      <c r="O178" s="41"/>
      <c r="P178" s="32"/>
      <c r="Q178" s="32"/>
      <c r="R178" s="33"/>
      <c r="S178" s="34"/>
      <c r="T178" s="34"/>
      <c r="U178" s="34"/>
      <c r="V178" s="34"/>
      <c r="W178" s="34"/>
      <c r="X178" s="34"/>
      <c r="Y178" s="34"/>
      <c r="Z178" s="34"/>
      <c r="AA178" s="34"/>
      <c r="AB178" s="34"/>
      <c r="AC178" s="34"/>
      <c r="AD178" s="34"/>
      <c r="AE178" s="34"/>
      <c r="AF178" s="34"/>
      <c r="AG178" s="34"/>
      <c r="AH178" s="118"/>
      <c r="AS178" s="16"/>
      <c r="AW178" s="16"/>
      <c r="BB178" s="10" t="s">
        <v>635</v>
      </c>
    </row>
    <row r="179" spans="2:54">
      <c r="B179" s="31"/>
      <c r="C179" s="41"/>
      <c r="D179" s="41"/>
      <c r="E179" s="41"/>
      <c r="F179" s="41"/>
      <c r="G179" s="41"/>
      <c r="H179" s="41"/>
      <c r="I179" s="41"/>
      <c r="J179" s="41"/>
      <c r="K179" s="41"/>
      <c r="L179" s="41"/>
      <c r="M179" s="41"/>
      <c r="N179" s="41"/>
      <c r="O179" s="41"/>
      <c r="P179" s="32"/>
      <c r="Q179" s="32"/>
      <c r="R179" s="33"/>
      <c r="S179" s="34"/>
      <c r="T179" s="34"/>
      <c r="U179" s="34"/>
      <c r="V179" s="34"/>
      <c r="W179" s="34"/>
      <c r="X179" s="34"/>
      <c r="Y179" s="34"/>
      <c r="Z179" s="34"/>
      <c r="AA179" s="34"/>
      <c r="AB179" s="34"/>
      <c r="AC179" s="34"/>
      <c r="AD179" s="34"/>
      <c r="AE179" s="34"/>
      <c r="AF179" s="34"/>
      <c r="AR179" s="16"/>
      <c r="AW179" s="16"/>
      <c r="BB179" s="10" t="s">
        <v>636</v>
      </c>
    </row>
    <row r="180" spans="2:54" ht="15" thickBot="1">
      <c r="B180" s="31"/>
      <c r="C180" s="41"/>
      <c r="D180" s="41"/>
      <c r="E180" s="41"/>
      <c r="F180" s="41"/>
      <c r="G180" s="41"/>
      <c r="H180" s="41"/>
      <c r="I180" s="41"/>
      <c r="J180" s="41"/>
      <c r="K180" s="41"/>
      <c r="L180" s="41"/>
      <c r="M180" s="41"/>
      <c r="N180" s="41"/>
      <c r="O180" s="41"/>
      <c r="P180" s="32"/>
      <c r="Q180" s="32"/>
      <c r="R180" s="33"/>
      <c r="S180" s="34"/>
      <c r="T180" s="34"/>
      <c r="U180" s="34"/>
      <c r="V180" s="34"/>
      <c r="W180" s="34"/>
      <c r="X180" s="34"/>
      <c r="Y180" s="34"/>
      <c r="Z180" s="34"/>
      <c r="AA180" s="34"/>
      <c r="AB180" s="34"/>
      <c r="AC180" s="34"/>
      <c r="AD180" s="34"/>
      <c r="AE180" s="34"/>
      <c r="AF180" s="34"/>
      <c r="AR180" s="16"/>
      <c r="AW180" s="16"/>
    </row>
    <row r="181" spans="2:54">
      <c r="B181" s="4920" t="s">
        <v>1261</v>
      </c>
      <c r="C181" s="4921"/>
      <c r="D181" s="41"/>
      <c r="E181" s="41"/>
      <c r="F181" s="41"/>
      <c r="G181" s="41"/>
      <c r="H181" s="41"/>
      <c r="I181" s="41"/>
      <c r="J181" s="41"/>
      <c r="K181" s="41"/>
      <c r="L181" s="41"/>
      <c r="M181" s="41"/>
      <c r="N181" s="41"/>
      <c r="O181" s="41"/>
      <c r="P181" s="32"/>
      <c r="Q181" s="32"/>
      <c r="T181" s="34"/>
      <c r="U181" s="34"/>
      <c r="V181" s="34"/>
      <c r="W181" s="34"/>
      <c r="X181" s="34"/>
      <c r="Y181" s="34"/>
      <c r="Z181" s="34"/>
      <c r="AA181" s="34"/>
      <c r="AB181" s="34"/>
      <c r="AC181" s="34"/>
      <c r="AD181" s="34"/>
      <c r="AE181" s="34"/>
      <c r="AF181" s="34"/>
      <c r="AR181" s="16"/>
      <c r="AW181" s="16"/>
      <c r="BA181"/>
    </row>
    <row r="182" spans="2:54">
      <c r="B182" s="990" t="s">
        <v>675</v>
      </c>
      <c r="C182" s="991">
        <v>10</v>
      </c>
      <c r="D182" s="41"/>
      <c r="E182" s="41"/>
      <c r="F182" s="41"/>
      <c r="G182" s="41"/>
      <c r="H182" s="41"/>
      <c r="I182" s="41"/>
      <c r="J182" s="41"/>
      <c r="K182" s="41"/>
      <c r="L182" s="41"/>
      <c r="M182" s="41"/>
      <c r="N182" s="41"/>
      <c r="O182" s="41"/>
      <c r="P182" s="32"/>
      <c r="Q182" s="32"/>
      <c r="T182" s="34"/>
      <c r="U182" s="34"/>
      <c r="V182" s="34"/>
      <c r="W182" s="34"/>
      <c r="X182" s="34"/>
      <c r="Y182" s="34"/>
      <c r="Z182" s="34"/>
      <c r="AA182" s="34"/>
      <c r="AB182" s="34"/>
      <c r="AC182" s="34"/>
      <c r="AD182" s="34"/>
      <c r="AE182" s="34"/>
      <c r="AF182" s="34"/>
      <c r="AR182" s="16"/>
      <c r="AW182" s="16"/>
      <c r="BA182"/>
    </row>
    <row r="183" spans="2:54">
      <c r="B183" s="992" t="s">
        <v>677</v>
      </c>
      <c r="C183" s="993">
        <v>10</v>
      </c>
      <c r="AR183" s="16"/>
      <c r="AW183" s="16"/>
      <c r="BA183"/>
    </row>
    <row r="184" spans="2:54">
      <c r="B184" s="994" t="s">
        <v>1262</v>
      </c>
      <c r="C184" s="991">
        <v>0</v>
      </c>
      <c r="AR184" s="16"/>
      <c r="AW184" s="16"/>
      <c r="BA184"/>
    </row>
    <row r="185" spans="2:54">
      <c r="B185" s="992" t="s">
        <v>1263</v>
      </c>
      <c r="C185" s="993">
        <v>0</v>
      </c>
      <c r="AR185" s="16"/>
      <c r="AW185" s="16"/>
      <c r="BA185"/>
    </row>
    <row r="186" spans="2:54">
      <c r="B186" s="990" t="s">
        <v>1264</v>
      </c>
      <c r="C186" s="995">
        <v>1</v>
      </c>
      <c r="D186"/>
      <c r="E186"/>
      <c r="F186"/>
      <c r="G186"/>
      <c r="H186"/>
      <c r="I186"/>
      <c r="J186"/>
      <c r="K186"/>
      <c r="L186"/>
      <c r="M186"/>
      <c r="N186"/>
      <c r="O186"/>
      <c r="P186"/>
      <c r="Q186"/>
      <c r="T186"/>
      <c r="U186"/>
      <c r="V186"/>
      <c r="W186"/>
      <c r="X186"/>
      <c r="Y186"/>
      <c r="Z186"/>
      <c r="AA186"/>
      <c r="AB186"/>
      <c r="AC186"/>
      <c r="AD186"/>
      <c r="AE186"/>
      <c r="AF186"/>
      <c r="AG186"/>
      <c r="AR186" s="16"/>
      <c r="AW186" s="16"/>
      <c r="BA186"/>
    </row>
    <row r="187" spans="2:54">
      <c r="B187" s="996" t="s">
        <v>1265</v>
      </c>
      <c r="C187" s="997">
        <v>1</v>
      </c>
      <c r="D187"/>
      <c r="E187"/>
      <c r="F187"/>
      <c r="G187"/>
      <c r="H187"/>
      <c r="I187"/>
      <c r="J187"/>
      <c r="K187"/>
      <c r="L187"/>
      <c r="M187"/>
      <c r="N187"/>
      <c r="O187"/>
      <c r="P187"/>
      <c r="Q187"/>
      <c r="T187"/>
      <c r="U187"/>
      <c r="V187"/>
      <c r="W187"/>
      <c r="X187"/>
      <c r="Y187"/>
      <c r="Z187"/>
      <c r="AA187"/>
      <c r="AB187"/>
      <c r="AC187"/>
      <c r="AD187"/>
      <c r="AE187"/>
      <c r="AF187"/>
      <c r="AG187"/>
      <c r="AR187" s="16"/>
      <c r="BA187"/>
    </row>
    <row r="188" spans="2:54">
      <c r="B188" s="998" t="s">
        <v>1266</v>
      </c>
      <c r="C188" s="999">
        <v>0</v>
      </c>
      <c r="D188"/>
      <c r="E188"/>
      <c r="F188"/>
      <c r="G188"/>
      <c r="H188"/>
      <c r="I188"/>
      <c r="J188"/>
      <c r="K188"/>
      <c r="L188"/>
      <c r="M188"/>
      <c r="N188"/>
      <c r="O188"/>
      <c r="P188"/>
      <c r="Q188"/>
      <c r="T188"/>
      <c r="U188"/>
      <c r="V188"/>
      <c r="W188"/>
      <c r="X188"/>
      <c r="Y188"/>
      <c r="Z188"/>
      <c r="AA188"/>
      <c r="AB188"/>
      <c r="AC188"/>
      <c r="AD188"/>
      <c r="AE188"/>
      <c r="AF188"/>
      <c r="AG188"/>
      <c r="AR188" s="34"/>
      <c r="BA188"/>
    </row>
    <row r="189" spans="2:54">
      <c r="B189" s="998" t="s">
        <v>361</v>
      </c>
      <c r="C189" s="999">
        <v>0</v>
      </c>
      <c r="D189"/>
      <c r="E189"/>
      <c r="F189"/>
      <c r="G189"/>
      <c r="H189"/>
      <c r="I189"/>
      <c r="J189"/>
      <c r="K189"/>
      <c r="L189"/>
      <c r="M189"/>
      <c r="N189"/>
      <c r="O189"/>
      <c r="P189"/>
      <c r="Q189"/>
      <c r="T189"/>
      <c r="U189"/>
      <c r="V189"/>
      <c r="W189"/>
      <c r="X189"/>
      <c r="Y189"/>
      <c r="Z189"/>
      <c r="AA189"/>
      <c r="AB189"/>
      <c r="AC189"/>
      <c r="AD189"/>
      <c r="AE189"/>
      <c r="AF189"/>
      <c r="AG189"/>
      <c r="AR189" s="34"/>
      <c r="BA189"/>
    </row>
    <row r="190" spans="2:54">
      <c r="B190" s="1000" t="s">
        <v>676</v>
      </c>
      <c r="C190" s="991">
        <v>0</v>
      </c>
      <c r="D190"/>
      <c r="E190" s="4927" t="s">
        <v>327</v>
      </c>
      <c r="F190" s="4928"/>
      <c r="G190" s="4925" t="s">
        <v>1279</v>
      </c>
      <c r="H190" s="4926"/>
      <c r="I190" s="4923" t="s">
        <v>1286</v>
      </c>
      <c r="J190" s="4924"/>
      <c r="K190" s="4925" t="s">
        <v>1288</v>
      </c>
      <c r="L190" s="4926"/>
      <c r="M190" s="4923" t="s">
        <v>1290</v>
      </c>
      <c r="N190" s="4924"/>
      <c r="O190" s="4925" t="s">
        <v>1292</v>
      </c>
      <c r="P190" s="4926"/>
      <c r="Q190" s="4923" t="s">
        <v>1294</v>
      </c>
      <c r="R190" s="4924"/>
      <c r="S190" s="4925" t="s">
        <v>1295</v>
      </c>
      <c r="T190" s="4926"/>
      <c r="U190" s="4923" t="s">
        <v>1296</v>
      </c>
      <c r="V190" s="4924"/>
      <c r="W190" s="4925" t="s">
        <v>1297</v>
      </c>
      <c r="X190" s="4926"/>
      <c r="Y190" s="4923" t="s">
        <v>1298</v>
      </c>
      <c r="Z190" s="4924"/>
      <c r="AA190" s="4925" t="s">
        <v>1299</v>
      </c>
      <c r="AB190" s="4926"/>
      <c r="AC190" s="4923" t="s">
        <v>1300</v>
      </c>
      <c r="AD190" s="4924"/>
      <c r="AE190"/>
      <c r="AF190"/>
      <c r="AG190"/>
      <c r="AQ190" s="34"/>
      <c r="BA190"/>
    </row>
    <row r="191" spans="2:54">
      <c r="B191" s="1001" t="s">
        <v>1267</v>
      </c>
      <c r="C191" s="1002">
        <v>0</v>
      </c>
      <c r="D191"/>
      <c r="E191" s="27" t="s">
        <v>1280</v>
      </c>
      <c r="F191" s="10" t="s">
        <v>1281</v>
      </c>
      <c r="G191" s="27" t="s">
        <v>1280</v>
      </c>
      <c r="H191" s="10" t="s">
        <v>1281</v>
      </c>
      <c r="I191" s="27" t="s">
        <v>1280</v>
      </c>
      <c r="J191" s="10" t="s">
        <v>1281</v>
      </c>
      <c r="K191" s="27" t="s">
        <v>1280</v>
      </c>
      <c r="L191" s="10" t="s">
        <v>1281</v>
      </c>
      <c r="M191" s="27" t="s">
        <v>1280</v>
      </c>
      <c r="N191" s="10" t="s">
        <v>1281</v>
      </c>
      <c r="O191" s="27" t="s">
        <v>1280</v>
      </c>
      <c r="P191" s="10" t="s">
        <v>1281</v>
      </c>
      <c r="Q191" s="27" t="s">
        <v>1280</v>
      </c>
      <c r="R191" s="10" t="s">
        <v>1281</v>
      </c>
      <c r="S191" s="27" t="s">
        <v>1280</v>
      </c>
      <c r="T191" s="10" t="s">
        <v>1281</v>
      </c>
      <c r="U191" s="27" t="s">
        <v>1280</v>
      </c>
      <c r="V191" s="10" t="s">
        <v>1281</v>
      </c>
      <c r="W191" s="27" t="s">
        <v>1280</v>
      </c>
      <c r="X191" s="10" t="s">
        <v>1281</v>
      </c>
      <c r="Y191" s="27" t="s">
        <v>1280</v>
      </c>
      <c r="Z191" s="10" t="s">
        <v>1281</v>
      </c>
      <c r="AA191" s="27" t="s">
        <v>1280</v>
      </c>
      <c r="AB191" s="10" t="s">
        <v>1281</v>
      </c>
      <c r="AC191" s="27" t="s">
        <v>1280</v>
      </c>
      <c r="AD191" s="10" t="s">
        <v>1281</v>
      </c>
      <c r="AE191"/>
      <c r="AF191"/>
      <c r="AG191"/>
      <c r="AQ191" s="34"/>
      <c r="BA191"/>
    </row>
    <row r="192" spans="2:54">
      <c r="B192" s="994" t="s">
        <v>1268</v>
      </c>
      <c r="C192" s="1034">
        <f>C190*C187</f>
        <v>0</v>
      </c>
      <c r="D192" s="1039" t="s">
        <v>1324</v>
      </c>
      <c r="E192" s="1051">
        <f>AD175</f>
        <v>27.146904673847196</v>
      </c>
      <c r="F192" s="1051">
        <f>E192</f>
        <v>27.146904673847196</v>
      </c>
      <c r="G192" s="1051" t="e">
        <f>E175</f>
        <v>#REF!</v>
      </c>
      <c r="H192" s="1051" t="e">
        <f>E175</f>
        <v>#REF!</v>
      </c>
      <c r="I192" s="1051" t="e">
        <f>G175</f>
        <v>#REF!</v>
      </c>
      <c r="J192" s="1051" t="e">
        <f>G175</f>
        <v>#REF!</v>
      </c>
      <c r="K192" s="1051" t="e">
        <f>I175</f>
        <v>#REF!</v>
      </c>
      <c r="L192" s="1051" t="e">
        <f>I175</f>
        <v>#REF!</v>
      </c>
      <c r="M192" s="1051" t="e">
        <f>K175</f>
        <v>#REF!</v>
      </c>
      <c r="N192" s="1051" t="e">
        <f>K175</f>
        <v>#REF!</v>
      </c>
      <c r="O192" s="1051" t="e">
        <f>M175</f>
        <v>#REF!</v>
      </c>
      <c r="P192" s="1051" t="e">
        <f>M175</f>
        <v>#REF!</v>
      </c>
      <c r="Q192" s="1051" t="e">
        <f>O175</f>
        <v>#REF!</v>
      </c>
      <c r="R192" s="1051" t="e">
        <f>O175</f>
        <v>#REF!</v>
      </c>
      <c r="S192" s="1051" t="e">
        <f>Q175</f>
        <v>#REF!</v>
      </c>
      <c r="T192" s="1051" t="e">
        <f>Q175</f>
        <v>#REF!</v>
      </c>
      <c r="U192" s="1051" t="e">
        <f>S175</f>
        <v>#REF!</v>
      </c>
      <c r="V192" s="1051" t="e">
        <f>S175</f>
        <v>#REF!</v>
      </c>
      <c r="W192" s="1051" t="e">
        <f>U175</f>
        <v>#REF!</v>
      </c>
      <c r="X192" s="1051" t="e">
        <f>U175</f>
        <v>#REF!</v>
      </c>
      <c r="Y192" s="1051" t="e">
        <f>W175</f>
        <v>#REF!</v>
      </c>
      <c r="Z192" s="1051" t="e">
        <f>W175</f>
        <v>#REF!</v>
      </c>
      <c r="AA192" s="1051" t="e">
        <f>Y175</f>
        <v>#REF!</v>
      </c>
      <c r="AB192" s="1051" t="e">
        <f>Y175</f>
        <v>#REF!</v>
      </c>
      <c r="AC192" s="1051" t="e">
        <f>AA175</f>
        <v>#REF!</v>
      </c>
      <c r="AD192" s="1051" t="e">
        <f>AA175</f>
        <v>#REF!</v>
      </c>
      <c r="AE192"/>
      <c r="AF192"/>
      <c r="AG192"/>
      <c r="AQ192" s="34"/>
      <c r="AX192"/>
      <c r="AY192"/>
      <c r="AZ192"/>
      <c r="BA192"/>
    </row>
    <row r="193" spans="2:53">
      <c r="B193" s="1003" t="s">
        <v>1269</v>
      </c>
      <c r="C193" s="1002">
        <v>24</v>
      </c>
      <c r="D193" s="1039" t="s">
        <v>1318</v>
      </c>
      <c r="E193" s="1042">
        <v>24</v>
      </c>
      <c r="F193" s="88">
        <v>24</v>
      </c>
      <c r="G193" s="1042">
        <v>24</v>
      </c>
      <c r="H193" s="88">
        <v>24</v>
      </c>
      <c r="I193" s="1042">
        <v>24</v>
      </c>
      <c r="J193" s="88">
        <v>24</v>
      </c>
      <c r="K193" s="1042">
        <v>24</v>
      </c>
      <c r="L193" s="88">
        <v>24</v>
      </c>
      <c r="M193" s="1042">
        <v>24</v>
      </c>
      <c r="N193" s="88">
        <v>24</v>
      </c>
      <c r="O193" s="1042">
        <v>24</v>
      </c>
      <c r="P193" s="88">
        <v>24</v>
      </c>
      <c r="Q193" s="1042">
        <v>24</v>
      </c>
      <c r="R193" s="88">
        <v>24</v>
      </c>
      <c r="S193" s="1042">
        <v>24</v>
      </c>
      <c r="T193" s="88">
        <v>24</v>
      </c>
      <c r="U193" s="1042">
        <v>24</v>
      </c>
      <c r="V193" s="88">
        <v>24</v>
      </c>
      <c r="W193" s="1042">
        <v>24</v>
      </c>
      <c r="X193" s="88">
        <v>24</v>
      </c>
      <c r="Y193" s="1042">
        <v>24</v>
      </c>
      <c r="Z193" s="88">
        <v>24</v>
      </c>
      <c r="AA193" s="1042">
        <v>24</v>
      </c>
      <c r="AB193" s="88">
        <v>24</v>
      </c>
      <c r="AC193" s="1042">
        <v>24</v>
      </c>
      <c r="AD193" s="88">
        <v>24</v>
      </c>
      <c r="AE193"/>
      <c r="AF193"/>
      <c r="AG193"/>
      <c r="AQ193" s="16"/>
      <c r="AX193"/>
      <c r="AY193"/>
      <c r="AZ193"/>
      <c r="BA193"/>
    </row>
    <row r="194" spans="2:53">
      <c r="B194" s="1003" t="s">
        <v>1270</v>
      </c>
      <c r="C194" s="1002">
        <v>20</v>
      </c>
      <c r="D194" s="1039" t="s">
        <v>1319</v>
      </c>
      <c r="E194" s="1042">
        <v>20</v>
      </c>
      <c r="F194" s="88">
        <v>20</v>
      </c>
      <c r="G194" s="1042">
        <v>20</v>
      </c>
      <c r="H194" s="88">
        <v>20</v>
      </c>
      <c r="I194" s="1042">
        <v>20</v>
      </c>
      <c r="J194" s="88">
        <v>20</v>
      </c>
      <c r="K194" s="1042">
        <v>20</v>
      </c>
      <c r="L194" s="88">
        <v>20</v>
      </c>
      <c r="M194" s="1042">
        <v>20</v>
      </c>
      <c r="N194" s="88">
        <v>20</v>
      </c>
      <c r="O194" s="1042">
        <v>20</v>
      </c>
      <c r="P194" s="88">
        <v>20</v>
      </c>
      <c r="Q194" s="1042">
        <v>20</v>
      </c>
      <c r="R194" s="88">
        <v>20</v>
      </c>
      <c r="S194" s="1042">
        <v>20</v>
      </c>
      <c r="T194" s="88">
        <v>20</v>
      </c>
      <c r="U194" s="1042">
        <v>20</v>
      </c>
      <c r="V194" s="88">
        <v>20</v>
      </c>
      <c r="W194" s="1042">
        <v>20</v>
      </c>
      <c r="X194" s="88">
        <v>20</v>
      </c>
      <c r="Y194" s="1042">
        <v>20</v>
      </c>
      <c r="Z194" s="88">
        <v>20</v>
      </c>
      <c r="AA194" s="1042">
        <v>20</v>
      </c>
      <c r="AB194" s="88">
        <v>20</v>
      </c>
      <c r="AC194" s="1042">
        <v>20</v>
      </c>
      <c r="AD194" s="88">
        <v>20</v>
      </c>
      <c r="AE194"/>
      <c r="AF194"/>
      <c r="AG194"/>
      <c r="AQ194" s="16"/>
      <c r="AX194"/>
      <c r="AY194"/>
      <c r="AZ194"/>
      <c r="BA194"/>
    </row>
    <row r="195" spans="2:53">
      <c r="B195" s="1003" t="s">
        <v>1271</v>
      </c>
      <c r="C195" s="1002">
        <v>26</v>
      </c>
      <c r="D195" s="1039" t="s">
        <v>1320</v>
      </c>
      <c r="E195" s="1042">
        <v>26</v>
      </c>
      <c r="F195" s="88">
        <v>26</v>
      </c>
      <c r="G195" s="1042">
        <v>26</v>
      </c>
      <c r="H195" s="88">
        <v>26</v>
      </c>
      <c r="I195" s="1042">
        <v>26</v>
      </c>
      <c r="J195" s="88">
        <v>26</v>
      </c>
      <c r="K195" s="1042">
        <v>26</v>
      </c>
      <c r="L195" s="88">
        <v>26</v>
      </c>
      <c r="M195" s="1042">
        <v>26</v>
      </c>
      <c r="N195" s="88">
        <v>26</v>
      </c>
      <c r="O195" s="1042">
        <v>26</v>
      </c>
      <c r="P195" s="88">
        <v>26</v>
      </c>
      <c r="Q195" s="1042">
        <v>26</v>
      </c>
      <c r="R195" s="88">
        <v>26</v>
      </c>
      <c r="S195" s="1042">
        <v>26</v>
      </c>
      <c r="T195" s="88">
        <v>26</v>
      </c>
      <c r="U195" s="1042">
        <v>26</v>
      </c>
      <c r="V195" s="88">
        <v>26</v>
      </c>
      <c r="W195" s="1042">
        <v>26</v>
      </c>
      <c r="X195" s="88">
        <v>26</v>
      </c>
      <c r="Y195" s="1042">
        <v>26</v>
      </c>
      <c r="Z195" s="88">
        <v>26</v>
      </c>
      <c r="AA195" s="1042">
        <v>26</v>
      </c>
      <c r="AB195" s="88">
        <v>26</v>
      </c>
      <c r="AC195" s="1042">
        <v>26</v>
      </c>
      <c r="AD195" s="88">
        <v>26</v>
      </c>
      <c r="AE195"/>
      <c r="AF195"/>
      <c r="AG195"/>
      <c r="AQ195" s="16"/>
      <c r="AX195"/>
      <c r="AY195"/>
      <c r="AZ195"/>
      <c r="BA195"/>
    </row>
    <row r="196" spans="2:53">
      <c r="B196" s="1003" t="s">
        <v>1272</v>
      </c>
      <c r="C196" s="1002">
        <v>2.64</v>
      </c>
      <c r="D196" s="1039" t="s">
        <v>1321</v>
      </c>
      <c r="E196" s="1042">
        <v>3.09</v>
      </c>
      <c r="F196" s="88">
        <v>3.09</v>
      </c>
      <c r="G196" s="1042">
        <v>3.09</v>
      </c>
      <c r="H196" s="88">
        <v>3.09</v>
      </c>
      <c r="I196" s="1042">
        <v>3.09</v>
      </c>
      <c r="J196" s="88">
        <v>3.09</v>
      </c>
      <c r="K196" s="1042">
        <v>3.09</v>
      </c>
      <c r="L196" s="88">
        <v>3.09</v>
      </c>
      <c r="M196" s="1042">
        <v>3.09</v>
      </c>
      <c r="N196" s="88">
        <v>3.09</v>
      </c>
      <c r="O196" s="1042">
        <v>3.09</v>
      </c>
      <c r="P196" s="88">
        <v>3.09</v>
      </c>
      <c r="Q196" s="1042">
        <v>3.09</v>
      </c>
      <c r="R196" s="88">
        <v>3.09</v>
      </c>
      <c r="S196" s="1042">
        <v>3.09</v>
      </c>
      <c r="T196" s="88">
        <v>3.09</v>
      </c>
      <c r="U196" s="1042">
        <v>3.09</v>
      </c>
      <c r="V196" s="88">
        <v>3.09</v>
      </c>
      <c r="W196" s="1042">
        <v>3.09</v>
      </c>
      <c r="X196" s="88">
        <v>3.09</v>
      </c>
      <c r="Y196" s="1042">
        <v>3.09</v>
      </c>
      <c r="Z196" s="88">
        <v>3.09</v>
      </c>
      <c r="AA196" s="1042">
        <v>3.09</v>
      </c>
      <c r="AB196" s="88">
        <v>3.09</v>
      </c>
      <c r="AC196" s="1042">
        <v>3.09</v>
      </c>
      <c r="AD196" s="88">
        <v>3.09</v>
      </c>
      <c r="AE196"/>
      <c r="AF196"/>
      <c r="AG196"/>
      <c r="AQ196" s="16"/>
      <c r="AX196"/>
      <c r="AY196"/>
      <c r="AZ196"/>
      <c r="BA196"/>
    </row>
    <row r="197" spans="2:53">
      <c r="B197" s="1001" t="s">
        <v>1273</v>
      </c>
      <c r="C197" s="1036">
        <v>0</v>
      </c>
      <c r="D197" s="1040" t="s">
        <v>1278</v>
      </c>
      <c r="E197" s="1045">
        <f t="shared" ref="E197:AD197" si="436">ROUNDUP(E192/E193,0)</f>
        <v>2</v>
      </c>
      <c r="F197" s="1045">
        <f t="shared" si="436"/>
        <v>2</v>
      </c>
      <c r="G197" s="1045" t="e">
        <f t="shared" si="436"/>
        <v>#REF!</v>
      </c>
      <c r="H197" s="1046" t="e">
        <f t="shared" si="436"/>
        <v>#REF!</v>
      </c>
      <c r="I197" s="1045" t="e">
        <f t="shared" si="436"/>
        <v>#REF!</v>
      </c>
      <c r="J197" s="1046" t="e">
        <f t="shared" si="436"/>
        <v>#REF!</v>
      </c>
      <c r="K197" s="1045" t="e">
        <f t="shared" si="436"/>
        <v>#REF!</v>
      </c>
      <c r="L197" s="1046" t="e">
        <f t="shared" si="436"/>
        <v>#REF!</v>
      </c>
      <c r="M197" s="1045" t="e">
        <f t="shared" si="436"/>
        <v>#REF!</v>
      </c>
      <c r="N197" s="1046" t="e">
        <f t="shared" si="436"/>
        <v>#REF!</v>
      </c>
      <c r="O197" s="1045" t="e">
        <f t="shared" si="436"/>
        <v>#REF!</v>
      </c>
      <c r="P197" s="1046" t="e">
        <f t="shared" si="436"/>
        <v>#REF!</v>
      </c>
      <c r="Q197" s="1045" t="e">
        <f t="shared" si="436"/>
        <v>#REF!</v>
      </c>
      <c r="R197" s="1046" t="e">
        <f t="shared" si="436"/>
        <v>#REF!</v>
      </c>
      <c r="S197" s="1045" t="e">
        <f t="shared" si="436"/>
        <v>#REF!</v>
      </c>
      <c r="T197" s="1046" t="e">
        <f t="shared" si="436"/>
        <v>#REF!</v>
      </c>
      <c r="U197" s="1045" t="e">
        <f t="shared" si="436"/>
        <v>#REF!</v>
      </c>
      <c r="V197" s="1046" t="e">
        <f t="shared" si="436"/>
        <v>#REF!</v>
      </c>
      <c r="W197" s="1045" t="e">
        <f t="shared" si="436"/>
        <v>#REF!</v>
      </c>
      <c r="X197" s="1046" t="e">
        <f t="shared" si="436"/>
        <v>#REF!</v>
      </c>
      <c r="Y197" s="1045" t="e">
        <f t="shared" si="436"/>
        <v>#REF!</v>
      </c>
      <c r="Z197" s="1046" t="e">
        <f t="shared" si="436"/>
        <v>#REF!</v>
      </c>
      <c r="AA197" s="1045" t="e">
        <f t="shared" si="436"/>
        <v>#REF!</v>
      </c>
      <c r="AB197" s="1046" t="e">
        <f t="shared" si="436"/>
        <v>#REF!</v>
      </c>
      <c r="AC197" s="1045" t="e">
        <f t="shared" si="436"/>
        <v>#REF!</v>
      </c>
      <c r="AD197" s="1046" t="e">
        <f t="shared" si="436"/>
        <v>#REF!</v>
      </c>
      <c r="AE197"/>
      <c r="AF197"/>
      <c r="AG197"/>
      <c r="AQ197" s="16"/>
      <c r="AX197"/>
      <c r="AY197"/>
      <c r="AZ197"/>
      <c r="BA197"/>
    </row>
    <row r="198" spans="2:53">
      <c r="B198" s="123" t="s">
        <v>301</v>
      </c>
      <c r="C198" s="1004">
        <v>71000</v>
      </c>
      <c r="D198" s="1041" t="s">
        <v>301</v>
      </c>
      <c r="E198" s="1043">
        <v>71000</v>
      </c>
      <c r="F198" s="108"/>
      <c r="G198" s="1043">
        <v>71000</v>
      </c>
      <c r="H198" s="108"/>
      <c r="I198" s="1043">
        <v>71000</v>
      </c>
      <c r="J198" s="108"/>
      <c r="K198" s="1043">
        <v>71000</v>
      </c>
      <c r="L198" s="108"/>
      <c r="M198" s="1043">
        <v>71000</v>
      </c>
      <c r="N198" s="108"/>
      <c r="O198" s="1043">
        <v>71000</v>
      </c>
      <c r="P198" s="108"/>
      <c r="Q198" s="1043">
        <v>71000</v>
      </c>
      <c r="R198" s="108"/>
      <c r="S198" s="1043">
        <v>71000</v>
      </c>
      <c r="T198" s="108"/>
      <c r="U198" s="1043">
        <v>71000</v>
      </c>
      <c r="V198" s="108"/>
      <c r="W198" s="1043">
        <v>71000</v>
      </c>
      <c r="X198" s="108"/>
      <c r="Y198" s="1043">
        <v>71000</v>
      </c>
      <c r="Z198" s="108"/>
      <c r="AA198" s="1043">
        <v>71000</v>
      </c>
      <c r="AB198" s="108"/>
      <c r="AC198" s="1043">
        <v>71000</v>
      </c>
      <c r="AD198" s="108"/>
      <c r="AE198"/>
      <c r="AF198"/>
      <c r="AG198"/>
      <c r="AQ198" s="16"/>
      <c r="AX198"/>
      <c r="AY198"/>
      <c r="AZ198"/>
      <c r="BA198"/>
    </row>
    <row r="199" spans="2:53">
      <c r="B199" s="123" t="s">
        <v>515</v>
      </c>
      <c r="C199" s="1005">
        <v>35</v>
      </c>
      <c r="D199" s="1041" t="s">
        <v>515</v>
      </c>
      <c r="E199" s="1042">
        <v>35</v>
      </c>
      <c r="F199" s="88">
        <v>3.59</v>
      </c>
      <c r="G199" s="1042">
        <v>35</v>
      </c>
      <c r="H199" s="88">
        <v>3.59</v>
      </c>
      <c r="I199" s="1042">
        <v>35</v>
      </c>
      <c r="J199" s="88">
        <v>3.59</v>
      </c>
      <c r="K199" s="1042">
        <v>35</v>
      </c>
      <c r="L199" s="88">
        <v>3.59</v>
      </c>
      <c r="M199" s="1042">
        <v>35</v>
      </c>
      <c r="N199" s="88">
        <v>3.59</v>
      </c>
      <c r="O199" s="1042">
        <v>35</v>
      </c>
      <c r="P199" s="88">
        <v>3.59</v>
      </c>
      <c r="Q199" s="1042">
        <v>35</v>
      </c>
      <c r="R199" s="88">
        <v>3.59</v>
      </c>
      <c r="S199" s="1042">
        <v>35</v>
      </c>
      <c r="T199" s="88">
        <v>3.59</v>
      </c>
      <c r="U199" s="1042">
        <v>35</v>
      </c>
      <c r="V199" s="88">
        <v>3.59</v>
      </c>
      <c r="W199" s="1042">
        <v>35</v>
      </c>
      <c r="X199" s="88">
        <v>3.59</v>
      </c>
      <c r="Y199" s="1042">
        <v>35</v>
      </c>
      <c r="Z199" s="88">
        <v>3.59</v>
      </c>
      <c r="AA199" s="1042">
        <v>35</v>
      </c>
      <c r="AB199" s="88">
        <v>3.59</v>
      </c>
      <c r="AC199" s="1042">
        <v>35</v>
      </c>
      <c r="AD199" s="88">
        <v>3.59</v>
      </c>
      <c r="AE199"/>
      <c r="AF199"/>
      <c r="AG199"/>
      <c r="AQ199" s="16"/>
      <c r="AX199"/>
      <c r="AY199"/>
      <c r="AZ199"/>
      <c r="BA199"/>
    </row>
    <row r="200" spans="2:53" ht="15" thickBot="1">
      <c r="B200" s="1006" t="s">
        <v>1275</v>
      </c>
      <c r="C200" s="27">
        <v>1.26</v>
      </c>
      <c r="D200" s="1049" t="s">
        <v>1275</v>
      </c>
      <c r="E200" s="1042">
        <v>1.26</v>
      </c>
      <c r="F200" s="88">
        <v>1.26</v>
      </c>
      <c r="G200" s="1042">
        <v>1.26</v>
      </c>
      <c r="H200" s="88">
        <v>1.26</v>
      </c>
      <c r="I200" s="1042">
        <v>1.26</v>
      </c>
      <c r="J200" s="88">
        <v>1.26</v>
      </c>
      <c r="K200" s="1042">
        <v>1.26</v>
      </c>
      <c r="L200" s="88">
        <v>1.26</v>
      </c>
      <c r="M200" s="1042">
        <v>1.26</v>
      </c>
      <c r="N200" s="88">
        <v>1.26</v>
      </c>
      <c r="O200" s="1042">
        <v>1.26</v>
      </c>
      <c r="P200" s="88">
        <v>1.26</v>
      </c>
      <c r="Q200" s="1042">
        <v>1.26</v>
      </c>
      <c r="R200" s="88">
        <v>1.26</v>
      </c>
      <c r="S200" s="1042">
        <v>1.26</v>
      </c>
      <c r="T200" s="88">
        <v>1.26</v>
      </c>
      <c r="U200" s="1042">
        <v>1.26</v>
      </c>
      <c r="V200" s="88">
        <v>1.26</v>
      </c>
      <c r="W200" s="1042">
        <v>1.26</v>
      </c>
      <c r="X200" s="88">
        <v>1.26</v>
      </c>
      <c r="Y200" s="1042">
        <v>1.26</v>
      </c>
      <c r="Z200" s="88">
        <v>1.26</v>
      </c>
      <c r="AA200" s="1042">
        <v>1.26</v>
      </c>
      <c r="AB200" s="88">
        <v>1.26</v>
      </c>
      <c r="AC200" s="1042">
        <v>1.26</v>
      </c>
      <c r="AD200" s="88">
        <v>1.26</v>
      </c>
      <c r="AE200"/>
      <c r="AF200"/>
      <c r="AG200"/>
      <c r="AQ200" s="16"/>
      <c r="AX200"/>
      <c r="AY200"/>
      <c r="AZ200"/>
      <c r="BA200"/>
    </row>
    <row r="201" spans="2:53" ht="19" thickBot="1">
      <c r="B201" s="1007" t="s">
        <v>1276</v>
      </c>
      <c r="C201" s="1008" t="e">
        <f>(1-(C189/100))*(C187/#REF!)*C193*C195*(C199/C198)*C200</f>
        <v>#REF!</v>
      </c>
      <c r="D201" s="1050" t="s">
        <v>1322</v>
      </c>
      <c r="E201" s="1054">
        <f>E197*E194*(E195/100)*(E199/E198)*E200</f>
        <v>6.4597183098591554E-3</v>
      </c>
      <c r="F201" s="1055">
        <f>F197*F194*(F195/100)*(F196/1000)/F199*F200</f>
        <v>1.1278930362116992E-2</v>
      </c>
      <c r="G201" s="1047" t="e">
        <f>G197*G194*(G195/100)*(G199/G198)*G200</f>
        <v>#REF!</v>
      </c>
      <c r="H201" s="1044" t="e">
        <f>H197*H194*(H195/100)*(H196/1000)/H199*H200</f>
        <v>#REF!</v>
      </c>
      <c r="I201" s="1038" t="e">
        <f>I197*I194*(I195/100)*(I199/I198)*I200</f>
        <v>#REF!</v>
      </c>
      <c r="J201" s="1044" t="e">
        <f>J197*J194*(J195/100)*(J196/1000)/J199*J200</f>
        <v>#REF!</v>
      </c>
      <c r="K201" s="1038" t="e">
        <f>K197*K194*(K195/100)*(K199/K198)*K200</f>
        <v>#REF!</v>
      </c>
      <c r="L201" s="1044" t="e">
        <f>L197*L194*(L195/100)*(L196/1000)/L199*L200</f>
        <v>#REF!</v>
      </c>
      <c r="M201" s="1038" t="e">
        <f>M197*M194*(M195/100)*(M199/M198)*M200</f>
        <v>#REF!</v>
      </c>
      <c r="N201" s="1044" t="e">
        <f>N197*N194*(N195/100)*(N196/1000)/N199*N200</f>
        <v>#REF!</v>
      </c>
      <c r="O201" s="1038" t="e">
        <f>O197*O194*(O195/100)*(O199/O198)*O200</f>
        <v>#REF!</v>
      </c>
      <c r="P201" s="1044" t="e">
        <f>P197*P194*(P195/100)*(P196/1000)/P199*P200</f>
        <v>#REF!</v>
      </c>
      <c r="Q201" s="1038" t="e">
        <f>Q197*Q194*(Q195/100)*(Q199/Q198)*Q200</f>
        <v>#REF!</v>
      </c>
      <c r="R201" s="1044" t="e">
        <f>R197*R194*(R195/100)*(R196/1000)/R199*R200</f>
        <v>#REF!</v>
      </c>
      <c r="S201" s="1038" t="e">
        <f>S197*S194*(S195/100)*(S199/S198)*S200</f>
        <v>#REF!</v>
      </c>
      <c r="T201" s="1044" t="e">
        <f>T197*T194*(T195/100)*(T196/1000)/T199*T200</f>
        <v>#REF!</v>
      </c>
      <c r="U201" s="1038" t="e">
        <f>U197*U194*(U195/100)*(U199/U198)*U200</f>
        <v>#REF!</v>
      </c>
      <c r="V201" s="1044" t="e">
        <f>V197*V194*(V195/100)*(V196/1000)/V199*V200</f>
        <v>#REF!</v>
      </c>
      <c r="W201" s="1038" t="e">
        <f>W197*W194*(W195/100)*(W199/W198)*W200</f>
        <v>#REF!</v>
      </c>
      <c r="X201" s="1044" t="e">
        <f>X197*X194*(X195/100)*(X196/1000)/X199*X200</f>
        <v>#REF!</v>
      </c>
      <c r="Y201" s="1038" t="e">
        <f>Y197*Y194*(Y195/100)*(Y199/Y198)*Y200</f>
        <v>#REF!</v>
      </c>
      <c r="Z201" s="1044" t="e">
        <f>Z197*Z194*(Z195/100)*(Z196/1000)/Z199*Z200</f>
        <v>#REF!</v>
      </c>
      <c r="AA201" s="1038" t="e">
        <f>AA197*AA194*(AA195/100)*(AA199/AA198)*AA200</f>
        <v>#REF!</v>
      </c>
      <c r="AB201" s="1044" t="e">
        <f>AB197*AB194*(AB195/100)*(AB196/1000)/AB199*AB200</f>
        <v>#REF!</v>
      </c>
      <c r="AC201" s="1038" t="e">
        <f>AC197*AC194*(AC195/100)*(AC199/AC198)*AC200</f>
        <v>#REF!</v>
      </c>
      <c r="AD201" s="1044" t="e">
        <f>AD197*AD194*(AD195/100)*(AD196/1000)/AD199*AD200</f>
        <v>#REF!</v>
      </c>
      <c r="AE201"/>
      <c r="AF201"/>
      <c r="AG201"/>
      <c r="AQ201" s="16"/>
      <c r="AX201"/>
      <c r="AY201"/>
      <c r="AZ201"/>
      <c r="BA201"/>
    </row>
    <row r="202" spans="2:53" ht="48.75" customHeight="1" thickBot="1">
      <c r="B202" s="1007" t="s">
        <v>1277</v>
      </c>
      <c r="C202" s="1009" t="e">
        <f>(1-(C184/100))*(C187/#REF!)*C193*C195*(C199/C198)*C200</f>
        <v>#REF!</v>
      </c>
      <c r="D202" s="1048" t="s">
        <v>1323</v>
      </c>
      <c r="E202" s="1054" t="e">
        <f>G201+I201+K201+M201+O201+Q201+S201+U201+W201+Y201+AA201+AC201</f>
        <v>#REF!</v>
      </c>
      <c r="F202" s="1053" t="e">
        <f>H201+J201+L201+N201+P201+R201+T201+V201+X201+Z201+AB201+AD201</f>
        <v>#REF!</v>
      </c>
      <c r="G202"/>
      <c r="H202"/>
      <c r="I202"/>
      <c r="J202"/>
      <c r="K202"/>
      <c r="L202"/>
      <c r="M202"/>
      <c r="N202"/>
      <c r="O202"/>
      <c r="P202"/>
      <c r="Q202"/>
      <c r="R202"/>
      <c r="S202"/>
      <c r="T202"/>
      <c r="U202"/>
      <c r="V202"/>
      <c r="W202"/>
      <c r="X202"/>
      <c r="Y202"/>
      <c r="Z202"/>
      <c r="AA202"/>
      <c r="AB202"/>
      <c r="AC202"/>
      <c r="AD202"/>
      <c r="AE202"/>
      <c r="AF202"/>
      <c r="AG202"/>
      <c r="AR202" s="16"/>
      <c r="AX202"/>
      <c r="AY202"/>
      <c r="AZ202"/>
      <c r="BA202"/>
    </row>
    <row r="203" spans="2:53" ht="18.75" customHeight="1">
      <c r="C203"/>
      <c r="D203" s="1040" t="s">
        <v>1325</v>
      </c>
      <c r="E203" s="1052" t="e">
        <f>G197+I197+K197+M197+O197+Q197+S197+U197+W197+Y197+AA197+AC197</f>
        <v>#REF!</v>
      </c>
      <c r="F203" s="1052" t="e">
        <f>H197+J197+L197+N197+P197+R197+T197+V197+X197+Z197+AB197+AD197</f>
        <v>#REF!</v>
      </c>
      <c r="G203"/>
      <c r="J203"/>
      <c r="K203"/>
      <c r="L203"/>
      <c r="M203"/>
      <c r="N203"/>
      <c r="O203"/>
      <c r="P203"/>
      <c r="Q203"/>
      <c r="R203"/>
      <c r="S203"/>
      <c r="T203"/>
      <c r="U203"/>
      <c r="V203"/>
      <c r="W203"/>
      <c r="X203"/>
      <c r="Y203"/>
      <c r="Z203"/>
      <c r="AA203"/>
      <c r="AB203"/>
      <c r="AC203"/>
      <c r="AD203"/>
      <c r="AE203"/>
      <c r="AF203"/>
      <c r="AG203"/>
      <c r="AR203" s="16"/>
      <c r="AX203"/>
      <c r="AY203"/>
      <c r="AZ203"/>
      <c r="BA203"/>
    </row>
    <row r="204" spans="2:53">
      <c r="C204"/>
      <c r="D204"/>
      <c r="E204"/>
      <c r="F204"/>
      <c r="G204"/>
      <c r="J204"/>
      <c r="K204"/>
      <c r="L204"/>
      <c r="M204"/>
      <c r="N204"/>
      <c r="O204"/>
      <c r="P204"/>
      <c r="Q204"/>
      <c r="R204"/>
      <c r="S204"/>
      <c r="T204"/>
      <c r="U204"/>
      <c r="V204"/>
      <c r="W204"/>
      <c r="X204"/>
      <c r="Y204"/>
      <c r="Z204"/>
      <c r="AA204"/>
      <c r="AB204"/>
      <c r="AC204"/>
      <c r="AD204"/>
      <c r="AE204"/>
      <c r="AF204"/>
      <c r="AG204"/>
      <c r="AR204" s="16"/>
      <c r="AX204"/>
      <c r="AY204"/>
      <c r="AZ204"/>
      <c r="BA204"/>
    </row>
    <row r="205" spans="2:53">
      <c r="C205"/>
      <c r="D205" s="160"/>
      <c r="E205" s="1056" t="s">
        <v>327</v>
      </c>
      <c r="F205" s="1057" t="s">
        <v>1279</v>
      </c>
      <c r="G205" s="1058" t="s">
        <v>1286</v>
      </c>
      <c r="H205" s="1057" t="s">
        <v>1288</v>
      </c>
      <c r="I205" s="1058" t="s">
        <v>1290</v>
      </c>
      <c r="J205" s="1057" t="s">
        <v>1292</v>
      </c>
      <c r="K205" s="1058" t="s">
        <v>1294</v>
      </c>
      <c r="L205" s="1057" t="s">
        <v>1295</v>
      </c>
      <c r="M205" s="1058" t="s">
        <v>1296</v>
      </c>
      <c r="N205" s="1057" t="s">
        <v>1297</v>
      </c>
      <c r="O205" s="1058" t="s">
        <v>1298</v>
      </c>
      <c r="P205" s="1057" t="s">
        <v>1299</v>
      </c>
      <c r="Q205" s="1059" t="s">
        <v>1300</v>
      </c>
      <c r="R205" s="989"/>
      <c r="S205"/>
      <c r="T205"/>
      <c r="U205"/>
      <c r="V205"/>
      <c r="W205"/>
      <c r="X205"/>
      <c r="Y205"/>
      <c r="Z205"/>
      <c r="AA205"/>
      <c r="AB205"/>
      <c r="AC205"/>
      <c r="AD205"/>
      <c r="AE205"/>
      <c r="AF205" s="16"/>
      <c r="AG205"/>
      <c r="AX205"/>
      <c r="AY205"/>
      <c r="AZ205"/>
      <c r="BA205"/>
    </row>
    <row r="206" spans="2:53">
      <c r="C206"/>
      <c r="D206" s="160"/>
      <c r="E206" s="146" t="s">
        <v>1280</v>
      </c>
      <c r="F206" s="146" t="s">
        <v>1308</v>
      </c>
      <c r="G206" s="146" t="s">
        <v>1307</v>
      </c>
      <c r="H206" s="146" t="s">
        <v>1309</v>
      </c>
      <c r="I206" s="146" t="s">
        <v>1310</v>
      </c>
      <c r="J206" s="146" t="s">
        <v>1311</v>
      </c>
      <c r="K206" s="146" t="s">
        <v>1312</v>
      </c>
      <c r="L206" s="146" t="s">
        <v>1313</v>
      </c>
      <c r="M206" s="146" t="s">
        <v>1314</v>
      </c>
      <c r="N206" s="146" t="s">
        <v>1315</v>
      </c>
      <c r="O206" s="146" t="s">
        <v>1316</v>
      </c>
      <c r="P206" s="146" t="s">
        <v>282</v>
      </c>
      <c r="Q206" s="146" t="s">
        <v>1317</v>
      </c>
      <c r="R206"/>
      <c r="S206"/>
      <c r="T206"/>
      <c r="U206"/>
      <c r="V206"/>
      <c r="W206"/>
      <c r="X206"/>
      <c r="Y206"/>
      <c r="Z206"/>
      <c r="AA206"/>
      <c r="AB206"/>
      <c r="AC206"/>
      <c r="AD206" s="16"/>
      <c r="AE206"/>
      <c r="AF206"/>
      <c r="AG206"/>
      <c r="AX206"/>
      <c r="AY206"/>
      <c r="AZ206"/>
      <c r="BA206"/>
    </row>
    <row r="207" spans="2:53">
      <c r="C207"/>
      <c r="D207" s="1035" t="s">
        <v>1324</v>
      </c>
      <c r="E207" s="1067">
        <f>E192</f>
        <v>27.146904673847196</v>
      </c>
      <c r="F207" s="1060" t="e">
        <f>G192</f>
        <v>#REF!</v>
      </c>
      <c r="G207" s="1060" t="e">
        <f>I192</f>
        <v>#REF!</v>
      </c>
      <c r="H207" s="1060" t="e">
        <f>K192</f>
        <v>#REF!</v>
      </c>
      <c r="I207" s="1060" t="e">
        <f>M192</f>
        <v>#REF!</v>
      </c>
      <c r="J207" s="1060" t="e">
        <f>O192</f>
        <v>#REF!</v>
      </c>
      <c r="K207" s="1060" t="e">
        <f>Q192</f>
        <v>#REF!</v>
      </c>
      <c r="L207" s="1060" t="e">
        <f>S192</f>
        <v>#REF!</v>
      </c>
      <c r="M207" s="1060" t="e">
        <f>U192</f>
        <v>#REF!</v>
      </c>
      <c r="N207" s="1060" t="e">
        <f>W192</f>
        <v>#REF!</v>
      </c>
      <c r="O207" s="1060" t="e">
        <f>Y192</f>
        <v>#REF!</v>
      </c>
      <c r="P207" s="1060" t="e">
        <f>AA192</f>
        <v>#REF!</v>
      </c>
      <c r="Q207" s="1060" t="e">
        <f>AC192</f>
        <v>#REF!</v>
      </c>
      <c r="R207"/>
      <c r="S207"/>
      <c r="T207"/>
      <c r="U207"/>
      <c r="V207"/>
      <c r="W207"/>
      <c r="X207"/>
      <c r="Y207"/>
      <c r="Z207"/>
      <c r="AA207"/>
      <c r="AB207"/>
      <c r="AC207"/>
      <c r="AD207" s="16"/>
      <c r="AE207"/>
      <c r="AF207"/>
      <c r="AG207"/>
      <c r="AX207"/>
      <c r="AY207"/>
      <c r="AZ207"/>
      <c r="BA207"/>
    </row>
    <row r="208" spans="2:53">
      <c r="C208"/>
      <c r="D208" s="1035" t="s">
        <v>1318</v>
      </c>
      <c r="E208" s="1068">
        <v>24</v>
      </c>
      <c r="F208" s="1061">
        <v>24</v>
      </c>
      <c r="G208" s="1061">
        <v>24</v>
      </c>
      <c r="H208" s="1061">
        <v>24</v>
      </c>
      <c r="I208" s="1061">
        <v>24</v>
      </c>
      <c r="J208" s="1061">
        <v>24</v>
      </c>
      <c r="K208" s="1061">
        <v>24</v>
      </c>
      <c r="L208" s="1061">
        <v>24</v>
      </c>
      <c r="M208" s="1061">
        <v>24</v>
      </c>
      <c r="N208" s="1061">
        <v>24</v>
      </c>
      <c r="O208" s="1061">
        <v>24</v>
      </c>
      <c r="P208" s="1061">
        <v>24</v>
      </c>
      <c r="Q208" s="1061">
        <v>24</v>
      </c>
      <c r="R208"/>
      <c r="S208"/>
      <c r="T208"/>
      <c r="U208"/>
      <c r="V208"/>
      <c r="W208"/>
      <c r="X208"/>
      <c r="Y208"/>
      <c r="Z208"/>
      <c r="AA208"/>
      <c r="AB208"/>
      <c r="AC208"/>
      <c r="AD208" s="16"/>
      <c r="AE208"/>
      <c r="AF208"/>
      <c r="AG208"/>
      <c r="AX208"/>
      <c r="AY208"/>
      <c r="AZ208"/>
      <c r="BA208"/>
    </row>
    <row r="209" spans="3:53">
      <c r="C209"/>
      <c r="D209" s="1035" t="s">
        <v>1319</v>
      </c>
      <c r="E209" s="1068">
        <v>20</v>
      </c>
      <c r="F209" s="1061">
        <v>20</v>
      </c>
      <c r="G209" s="1061">
        <v>20</v>
      </c>
      <c r="H209" s="1061">
        <v>20</v>
      </c>
      <c r="I209" s="1061">
        <v>20</v>
      </c>
      <c r="J209" s="1061">
        <v>20</v>
      </c>
      <c r="K209" s="1061">
        <v>20</v>
      </c>
      <c r="L209" s="1061">
        <v>20</v>
      </c>
      <c r="M209" s="1061">
        <v>20</v>
      </c>
      <c r="N209" s="1061">
        <v>20</v>
      </c>
      <c r="O209" s="1061">
        <v>20</v>
      </c>
      <c r="P209" s="1061">
        <v>20</v>
      </c>
      <c r="Q209" s="1061">
        <v>20</v>
      </c>
      <c r="R209"/>
      <c r="S209"/>
      <c r="T209"/>
      <c r="U209"/>
      <c r="V209"/>
      <c r="W209"/>
      <c r="X209"/>
      <c r="Y209"/>
      <c r="Z209"/>
      <c r="AA209"/>
      <c r="AB209"/>
      <c r="AC209"/>
      <c r="AD209" s="16"/>
      <c r="AE209"/>
      <c r="AF209"/>
      <c r="AG209"/>
      <c r="AX209"/>
      <c r="AY209"/>
      <c r="AZ209"/>
      <c r="BA209"/>
    </row>
    <row r="210" spans="3:53">
      <c r="C210"/>
      <c r="D210" s="1035" t="s">
        <v>1320</v>
      </c>
      <c r="E210" s="1068">
        <v>26</v>
      </c>
      <c r="F210" s="1061">
        <v>26</v>
      </c>
      <c r="G210" s="1061">
        <v>26</v>
      </c>
      <c r="H210" s="1061">
        <v>26</v>
      </c>
      <c r="I210" s="1061">
        <v>26</v>
      </c>
      <c r="J210" s="1061">
        <v>26</v>
      </c>
      <c r="K210" s="1061">
        <v>26</v>
      </c>
      <c r="L210" s="1061">
        <v>26</v>
      </c>
      <c r="M210" s="1061">
        <v>26</v>
      </c>
      <c r="N210" s="1061">
        <v>26</v>
      </c>
      <c r="O210" s="1061">
        <v>26</v>
      </c>
      <c r="P210" s="1061">
        <v>26</v>
      </c>
      <c r="Q210" s="1061">
        <v>26</v>
      </c>
      <c r="R210"/>
      <c r="S210"/>
      <c r="T210"/>
      <c r="U210"/>
      <c r="V210"/>
      <c r="W210"/>
      <c r="X210"/>
      <c r="Y210"/>
      <c r="Z210"/>
      <c r="AA210"/>
      <c r="AB210"/>
      <c r="AC210"/>
      <c r="AD210" s="16"/>
      <c r="AE210"/>
      <c r="AF210"/>
      <c r="AG210"/>
      <c r="AX210"/>
      <c r="AY210"/>
      <c r="AZ210"/>
      <c r="BA210"/>
    </row>
    <row r="211" spans="3:53">
      <c r="C211"/>
      <c r="D211" s="1035" t="s">
        <v>1321</v>
      </c>
      <c r="E211" s="1068">
        <v>3.09</v>
      </c>
      <c r="F211" s="1061">
        <v>3.09</v>
      </c>
      <c r="G211" s="1061">
        <v>3.09</v>
      </c>
      <c r="H211" s="1061">
        <v>3.09</v>
      </c>
      <c r="I211" s="1061">
        <v>3.09</v>
      </c>
      <c r="J211" s="1061">
        <v>3.09</v>
      </c>
      <c r="K211" s="1061">
        <v>3.09</v>
      </c>
      <c r="L211" s="1061">
        <v>3.09</v>
      </c>
      <c r="M211" s="1061">
        <v>3.09</v>
      </c>
      <c r="N211" s="1061">
        <v>3.09</v>
      </c>
      <c r="O211" s="1061">
        <v>3.09</v>
      </c>
      <c r="P211" s="1061">
        <v>3.09</v>
      </c>
      <c r="Q211" s="1061">
        <v>3.09</v>
      </c>
      <c r="R211"/>
      <c r="S211"/>
      <c r="T211"/>
      <c r="U211"/>
      <c r="V211"/>
      <c r="W211"/>
      <c r="X211"/>
      <c r="Y211"/>
      <c r="Z211"/>
      <c r="AA211"/>
      <c r="AB211"/>
      <c r="AC211"/>
      <c r="AD211" s="16"/>
      <c r="AE211"/>
      <c r="AF211"/>
      <c r="AG211"/>
      <c r="AX211"/>
      <c r="AY211"/>
      <c r="AZ211"/>
      <c r="BA211"/>
    </row>
    <row r="212" spans="3:53">
      <c r="C212"/>
      <c r="D212" s="1037" t="s">
        <v>1278</v>
      </c>
      <c r="E212" s="1069">
        <f t="shared" ref="E212:Q212" si="437">ROUNDUP(E207/E208,0)</f>
        <v>2</v>
      </c>
      <c r="F212" s="1062" t="e">
        <f t="shared" si="437"/>
        <v>#REF!</v>
      </c>
      <c r="G212" s="1062" t="e">
        <f t="shared" si="437"/>
        <v>#REF!</v>
      </c>
      <c r="H212" s="1062" t="e">
        <f t="shared" si="437"/>
        <v>#REF!</v>
      </c>
      <c r="I212" s="1062" t="e">
        <f t="shared" si="437"/>
        <v>#REF!</v>
      </c>
      <c r="J212" s="1062" t="e">
        <f t="shared" si="437"/>
        <v>#REF!</v>
      </c>
      <c r="K212" s="1062" t="e">
        <f t="shared" si="437"/>
        <v>#REF!</v>
      </c>
      <c r="L212" s="1062" t="e">
        <f t="shared" si="437"/>
        <v>#REF!</v>
      </c>
      <c r="M212" s="1062" t="e">
        <f t="shared" si="437"/>
        <v>#REF!</v>
      </c>
      <c r="N212" s="1062" t="e">
        <f t="shared" si="437"/>
        <v>#REF!</v>
      </c>
      <c r="O212" s="1062" t="e">
        <f t="shared" si="437"/>
        <v>#REF!</v>
      </c>
      <c r="P212" s="1062" t="e">
        <f t="shared" si="437"/>
        <v>#REF!</v>
      </c>
      <c r="Q212" s="1062" t="e">
        <f t="shared" si="437"/>
        <v>#REF!</v>
      </c>
      <c r="R212"/>
      <c r="S212"/>
      <c r="T212"/>
      <c r="U212"/>
      <c r="V212"/>
      <c r="W212"/>
      <c r="X212"/>
      <c r="Y212"/>
      <c r="Z212"/>
      <c r="AA212"/>
      <c r="AB212"/>
      <c r="AC212"/>
      <c r="AD212" s="16"/>
      <c r="AE212"/>
      <c r="AF212"/>
      <c r="AG212"/>
      <c r="AX212"/>
      <c r="AY212"/>
      <c r="AZ212"/>
      <c r="BA212"/>
    </row>
    <row r="213" spans="3:53">
      <c r="C213"/>
      <c r="D213" s="123" t="s">
        <v>301</v>
      </c>
      <c r="E213" s="1070">
        <v>71000</v>
      </c>
      <c r="F213" s="1063">
        <v>71000</v>
      </c>
      <c r="G213" s="1063">
        <v>71000</v>
      </c>
      <c r="H213" s="1063">
        <v>71000</v>
      </c>
      <c r="I213" s="1063">
        <v>71000</v>
      </c>
      <c r="J213" s="1063">
        <v>71000</v>
      </c>
      <c r="K213" s="1063">
        <v>71000</v>
      </c>
      <c r="L213" s="1063">
        <v>71000</v>
      </c>
      <c r="M213" s="1063">
        <v>71000</v>
      </c>
      <c r="N213" s="1063">
        <v>71000</v>
      </c>
      <c r="O213" s="1063">
        <v>71000</v>
      </c>
      <c r="P213" s="1063">
        <v>71000</v>
      </c>
      <c r="Q213" s="1063">
        <v>71000</v>
      </c>
      <c r="R213"/>
      <c r="S213"/>
      <c r="T213"/>
      <c r="U213"/>
      <c r="V213"/>
      <c r="W213"/>
      <c r="X213"/>
      <c r="Y213"/>
      <c r="Z213"/>
      <c r="AA213"/>
      <c r="AB213"/>
      <c r="AC213"/>
      <c r="AD213" s="16"/>
      <c r="AE213"/>
      <c r="AF213"/>
      <c r="AG213"/>
      <c r="AX213"/>
      <c r="AY213"/>
      <c r="AZ213"/>
      <c r="BA213"/>
    </row>
    <row r="214" spans="3:53">
      <c r="C214"/>
      <c r="D214" s="123" t="s">
        <v>515</v>
      </c>
      <c r="E214" s="1068">
        <v>35</v>
      </c>
      <c r="F214" s="1061">
        <v>35</v>
      </c>
      <c r="G214" s="1061">
        <v>35</v>
      </c>
      <c r="H214" s="1061">
        <v>35</v>
      </c>
      <c r="I214" s="1061">
        <v>35</v>
      </c>
      <c r="J214" s="1061">
        <v>35</v>
      </c>
      <c r="K214" s="1061">
        <v>35</v>
      </c>
      <c r="L214" s="1061">
        <v>35</v>
      </c>
      <c r="M214" s="1061">
        <v>35</v>
      </c>
      <c r="N214" s="1061">
        <v>35</v>
      </c>
      <c r="O214" s="1061">
        <v>35</v>
      </c>
      <c r="P214" s="1061">
        <v>35</v>
      </c>
      <c r="Q214" s="1061">
        <v>35</v>
      </c>
      <c r="R214"/>
      <c r="S214" s="16"/>
      <c r="T214"/>
      <c r="U214"/>
      <c r="V214"/>
      <c r="W214"/>
      <c r="X214"/>
      <c r="Y214"/>
      <c r="Z214"/>
      <c r="AA214"/>
      <c r="AB214"/>
      <c r="AC214"/>
      <c r="AD214"/>
      <c r="AE214"/>
      <c r="AF214"/>
      <c r="AG214"/>
      <c r="AX214"/>
      <c r="AY214"/>
      <c r="AZ214"/>
      <c r="BA214"/>
    </row>
    <row r="215" spans="3:53">
      <c r="C215"/>
      <c r="D215" s="1006" t="s">
        <v>1275</v>
      </c>
      <c r="E215" s="1068">
        <v>1.26</v>
      </c>
      <c r="F215" s="1061">
        <v>1.26</v>
      </c>
      <c r="G215" s="1061">
        <v>1.26</v>
      </c>
      <c r="H215" s="1061">
        <v>1.26</v>
      </c>
      <c r="I215" s="1061">
        <v>1.26</v>
      </c>
      <c r="J215" s="1061">
        <v>1.26</v>
      </c>
      <c r="K215" s="1061">
        <v>1.26</v>
      </c>
      <c r="L215" s="1061">
        <v>1.26</v>
      </c>
      <c r="M215" s="1061">
        <v>1.26</v>
      </c>
      <c r="N215" s="1061">
        <v>1.26</v>
      </c>
      <c r="O215" s="1061">
        <v>1.26</v>
      </c>
      <c r="P215" s="1061">
        <v>1.26</v>
      </c>
      <c r="Q215" s="1061">
        <v>1.26</v>
      </c>
      <c r="R215"/>
      <c r="S215"/>
      <c r="T215"/>
      <c r="U215"/>
      <c r="V215"/>
      <c r="W215"/>
      <c r="X215"/>
      <c r="Y215"/>
      <c r="Z215"/>
      <c r="AA215"/>
      <c r="AB215"/>
      <c r="AC215"/>
      <c r="AD215" s="16"/>
      <c r="AE215"/>
      <c r="AF215"/>
      <c r="AG215"/>
      <c r="AX215"/>
      <c r="AY215"/>
      <c r="AZ215"/>
      <c r="BA215"/>
    </row>
    <row r="216" spans="3:53" ht="42.75" customHeight="1">
      <c r="C216"/>
      <c r="D216" s="1064" t="s">
        <v>1322</v>
      </c>
      <c r="E216" s="1066">
        <f t="shared" ref="E216:Q216" si="438">E212*E209*(E210/100)*(E214/E213)*E215</f>
        <v>6.4597183098591554E-3</v>
      </c>
      <c r="F216" s="1066" t="e">
        <f t="shared" si="438"/>
        <v>#REF!</v>
      </c>
      <c r="G216" s="1065" t="e">
        <f t="shared" si="438"/>
        <v>#REF!</v>
      </c>
      <c r="H216" s="1065" t="e">
        <f t="shared" si="438"/>
        <v>#REF!</v>
      </c>
      <c r="I216" s="1065" t="e">
        <f t="shared" si="438"/>
        <v>#REF!</v>
      </c>
      <c r="J216" s="1065" t="e">
        <f t="shared" si="438"/>
        <v>#REF!</v>
      </c>
      <c r="K216" s="1065" t="e">
        <f t="shared" si="438"/>
        <v>#REF!</v>
      </c>
      <c r="L216" s="1065" t="e">
        <f t="shared" si="438"/>
        <v>#REF!</v>
      </c>
      <c r="M216" s="1065" t="e">
        <f t="shared" si="438"/>
        <v>#REF!</v>
      </c>
      <c r="N216" s="1065" t="e">
        <f t="shared" si="438"/>
        <v>#REF!</v>
      </c>
      <c r="O216" s="1065" t="e">
        <f t="shared" si="438"/>
        <v>#REF!</v>
      </c>
      <c r="P216" s="1065" t="e">
        <f t="shared" si="438"/>
        <v>#REF!</v>
      </c>
      <c r="Q216" s="1065" t="e">
        <f t="shared" si="438"/>
        <v>#REF!</v>
      </c>
      <c r="R216"/>
      <c r="S216"/>
      <c r="T216"/>
      <c r="U216"/>
      <c r="V216"/>
      <c r="W216"/>
      <c r="X216"/>
      <c r="Y216"/>
      <c r="Z216"/>
      <c r="AA216"/>
      <c r="AB216"/>
      <c r="AC216"/>
      <c r="AD216" s="16"/>
      <c r="AE216"/>
      <c r="AF216"/>
      <c r="AG216"/>
      <c r="AX216"/>
      <c r="AY216"/>
      <c r="AZ216"/>
      <c r="BA216"/>
    </row>
    <row r="217" spans="3:53" ht="31">
      <c r="C217"/>
      <c r="D217" s="1064" t="s">
        <v>1323</v>
      </c>
      <c r="E217" s="1066" t="e">
        <f>F216+G216+H216+I216+J216+K216+L216+M216+N216+O216+P216+Q216</f>
        <v>#REF!</v>
      </c>
      <c r="F217" s="160"/>
      <c r="G217" s="160"/>
      <c r="H217" s="160"/>
      <c r="I217" s="160"/>
      <c r="J217" s="160"/>
      <c r="K217" s="160"/>
      <c r="L217" s="160"/>
      <c r="M217" s="160"/>
      <c r="N217" s="160"/>
      <c r="O217" s="160"/>
      <c r="P217" s="160"/>
      <c r="Q217" s="160"/>
      <c r="R217"/>
      <c r="S217"/>
      <c r="T217"/>
      <c r="U217"/>
      <c r="V217"/>
      <c r="W217"/>
      <c r="X217"/>
      <c r="Y217"/>
      <c r="Z217"/>
      <c r="AA217"/>
      <c r="AB217"/>
      <c r="AC217"/>
      <c r="AD217"/>
      <c r="AE217"/>
      <c r="AF217"/>
      <c r="AG217"/>
      <c r="AQ217" s="16"/>
      <c r="AX217"/>
      <c r="AY217"/>
      <c r="AZ217"/>
      <c r="BA217"/>
    </row>
    <row r="218" spans="3:53">
      <c r="C218"/>
      <c r="D218" s="1037" t="s">
        <v>1325</v>
      </c>
      <c r="E218" s="1071" t="e">
        <f>F212+G212+H212+I212+J212+K212+L212+M212+N212+O212+P212+Q212</f>
        <v>#REF!</v>
      </c>
      <c r="F218" s="160"/>
      <c r="G218" s="160"/>
      <c r="H218" s="160"/>
      <c r="I218" s="160"/>
      <c r="J218" s="160"/>
      <c r="K218" s="160"/>
      <c r="L218" s="160"/>
      <c r="M218" s="160"/>
      <c r="N218" s="160"/>
      <c r="O218" s="160"/>
      <c r="P218" s="160"/>
      <c r="Q218" s="160"/>
      <c r="R218"/>
      <c r="S218"/>
      <c r="T218"/>
      <c r="U218"/>
      <c r="V218"/>
      <c r="W218"/>
      <c r="X218"/>
      <c r="Y218"/>
      <c r="Z218"/>
      <c r="AA218"/>
      <c r="AB218"/>
      <c r="AC218"/>
      <c r="AD218"/>
      <c r="AE218"/>
      <c r="AF218"/>
      <c r="AG218"/>
      <c r="AR218" s="16"/>
      <c r="AX218"/>
      <c r="AY218"/>
      <c r="AZ218"/>
      <c r="BA218"/>
    </row>
    <row r="219" spans="3:53">
      <c r="C219"/>
      <c r="D219"/>
      <c r="E219"/>
      <c r="F219"/>
      <c r="G219"/>
      <c r="H219"/>
      <c r="I219"/>
      <c r="J219"/>
      <c r="K219"/>
      <c r="L219"/>
      <c r="M219"/>
      <c r="N219"/>
      <c r="O219"/>
      <c r="P219"/>
      <c r="Q219"/>
      <c r="R219"/>
      <c r="S219"/>
      <c r="T219"/>
      <c r="U219"/>
      <c r="V219"/>
      <c r="W219"/>
      <c r="X219"/>
      <c r="Y219"/>
      <c r="Z219"/>
      <c r="AA219"/>
      <c r="AB219"/>
      <c r="AC219"/>
      <c r="AD219"/>
      <c r="AE219"/>
      <c r="AF219"/>
      <c r="AG219"/>
      <c r="AR219" s="16"/>
      <c r="AX219"/>
      <c r="AY219"/>
      <c r="AZ219"/>
      <c r="BA219"/>
    </row>
    <row r="220" spans="3:53">
      <c r="C220"/>
      <c r="D220"/>
      <c r="E220"/>
      <c r="F220"/>
      <c r="G220"/>
      <c r="H220"/>
      <c r="I220"/>
      <c r="J220"/>
      <c r="K220"/>
      <c r="L220"/>
      <c r="M220"/>
      <c r="N220"/>
      <c r="O220"/>
      <c r="P220"/>
      <c r="Q220"/>
      <c r="R220"/>
      <c r="S220"/>
      <c r="T220"/>
      <c r="U220"/>
      <c r="V220"/>
      <c r="W220"/>
      <c r="X220"/>
      <c r="Y220"/>
      <c r="Z220"/>
      <c r="AA220"/>
      <c r="AB220"/>
      <c r="AC220"/>
      <c r="AD220"/>
      <c r="AE220"/>
      <c r="AF220"/>
      <c r="AG220"/>
      <c r="AR220" s="31"/>
      <c r="AX220"/>
      <c r="AY220"/>
      <c r="AZ220"/>
      <c r="BA220"/>
    </row>
    <row r="221" spans="3:53">
      <c r="C221"/>
      <c r="D221"/>
      <c r="E221"/>
      <c r="F221"/>
      <c r="G221"/>
      <c r="H221"/>
      <c r="I221"/>
      <c r="J221"/>
      <c r="K221"/>
      <c r="L221"/>
      <c r="M221"/>
      <c r="N221"/>
      <c r="O221"/>
      <c r="P221"/>
      <c r="Q221"/>
      <c r="R221"/>
      <c r="S221"/>
      <c r="T221"/>
      <c r="U221"/>
      <c r="V221"/>
      <c r="W221"/>
      <c r="X221"/>
      <c r="Y221"/>
      <c r="Z221"/>
      <c r="AA221"/>
      <c r="AB221"/>
      <c r="AC221"/>
      <c r="AD221"/>
      <c r="AE221"/>
      <c r="AF221"/>
      <c r="AG221"/>
      <c r="AR221" s="31"/>
      <c r="AX221"/>
      <c r="AY221"/>
      <c r="AZ221"/>
      <c r="BA221"/>
    </row>
    <row r="222" spans="3:53">
      <c r="C222"/>
      <c r="D222"/>
      <c r="E222"/>
      <c r="F222"/>
      <c r="G222"/>
      <c r="H222"/>
      <c r="I222"/>
      <c r="J222"/>
      <c r="K222"/>
      <c r="L222"/>
      <c r="M222"/>
      <c r="N222"/>
      <c r="O222"/>
      <c r="P222"/>
      <c r="Q222"/>
      <c r="R222"/>
      <c r="S222"/>
      <c r="T222"/>
      <c r="U222"/>
      <c r="V222"/>
      <c r="W222"/>
      <c r="X222"/>
      <c r="Y222"/>
      <c r="Z222"/>
      <c r="AA222"/>
      <c r="AB222"/>
      <c r="AC222"/>
      <c r="AD222"/>
      <c r="AE222"/>
      <c r="AF222"/>
      <c r="AG222"/>
      <c r="AR222" s="31"/>
      <c r="AX222"/>
      <c r="AY222"/>
      <c r="AZ222"/>
      <c r="BA222"/>
    </row>
    <row r="223" spans="3:53">
      <c r="C223"/>
      <c r="D223"/>
      <c r="E223"/>
      <c r="F223"/>
      <c r="G223"/>
      <c r="H223"/>
      <c r="I223"/>
      <c r="J223"/>
      <c r="K223"/>
      <c r="L223"/>
      <c r="M223"/>
      <c r="N223"/>
      <c r="O223"/>
      <c r="P223"/>
      <c r="Q223"/>
      <c r="R223"/>
      <c r="S223"/>
      <c r="T223"/>
      <c r="U223"/>
      <c r="V223"/>
      <c r="W223"/>
      <c r="X223"/>
      <c r="Y223"/>
      <c r="Z223"/>
      <c r="AA223"/>
      <c r="AB223"/>
      <c r="AC223"/>
      <c r="AD223"/>
      <c r="AE223"/>
      <c r="AF223"/>
      <c r="AG223"/>
      <c r="AR223" s="31"/>
      <c r="AX223"/>
      <c r="AY223"/>
      <c r="AZ223"/>
      <c r="BA223"/>
    </row>
    <row r="224" spans="3:53">
      <c r="C224"/>
      <c r="D224"/>
      <c r="E224"/>
      <c r="F224"/>
      <c r="G224"/>
      <c r="H224"/>
      <c r="I224"/>
      <c r="J224"/>
      <c r="K224"/>
      <c r="L224"/>
      <c r="M224"/>
      <c r="N224"/>
      <c r="O224"/>
      <c r="P224"/>
      <c r="Q224"/>
      <c r="R224"/>
      <c r="S224"/>
      <c r="T224"/>
      <c r="U224"/>
      <c r="V224"/>
      <c r="W224"/>
      <c r="X224"/>
      <c r="Y224"/>
      <c r="Z224"/>
      <c r="AA224"/>
      <c r="AB224"/>
      <c r="AC224"/>
      <c r="AD224"/>
      <c r="AE224"/>
      <c r="AF224"/>
      <c r="AG224"/>
      <c r="AR224" s="31"/>
      <c r="AX224"/>
      <c r="AY224"/>
      <c r="AZ224"/>
      <c r="BA224"/>
    </row>
    <row r="225" spans="3:53">
      <c r="C225"/>
      <c r="D225"/>
      <c r="E225"/>
      <c r="F225"/>
      <c r="G225"/>
      <c r="H225"/>
      <c r="I225"/>
      <c r="J225"/>
      <c r="K225"/>
      <c r="L225"/>
      <c r="M225"/>
      <c r="N225"/>
      <c r="O225"/>
      <c r="P225"/>
      <c r="Q225"/>
      <c r="R225"/>
      <c r="S225"/>
      <c r="T225"/>
      <c r="U225"/>
      <c r="V225"/>
      <c r="W225"/>
      <c r="X225"/>
      <c r="Y225"/>
      <c r="Z225"/>
      <c r="AA225"/>
      <c r="AB225"/>
      <c r="AC225"/>
      <c r="AD225"/>
      <c r="AE225"/>
      <c r="AF225"/>
      <c r="AG225"/>
      <c r="AR225" s="31"/>
      <c r="AX225"/>
      <c r="AY225"/>
      <c r="AZ225"/>
      <c r="BA225"/>
    </row>
    <row r="226" spans="3:53">
      <c r="C226"/>
      <c r="D226"/>
      <c r="E226"/>
      <c r="F226"/>
      <c r="G226"/>
      <c r="H226"/>
      <c r="I226"/>
      <c r="J226"/>
      <c r="K226"/>
      <c r="L226"/>
      <c r="M226"/>
      <c r="N226"/>
      <c r="O226"/>
      <c r="P226"/>
      <c r="Q226"/>
      <c r="R226"/>
      <c r="S226"/>
      <c r="T226"/>
      <c r="U226"/>
      <c r="V226"/>
      <c r="W226"/>
      <c r="X226"/>
      <c r="Y226"/>
      <c r="Z226"/>
      <c r="AA226"/>
      <c r="AB226"/>
      <c r="AC226"/>
      <c r="AD226"/>
      <c r="AE226"/>
      <c r="AF226"/>
      <c r="AG226"/>
      <c r="AR226" s="31"/>
      <c r="AX226"/>
      <c r="AY226"/>
      <c r="AZ226"/>
      <c r="BA226"/>
    </row>
    <row r="227" spans="3:53">
      <c r="C227"/>
      <c r="D227"/>
      <c r="E227"/>
      <c r="F227"/>
      <c r="G227"/>
      <c r="H227"/>
      <c r="I227"/>
      <c r="J227"/>
      <c r="K227"/>
      <c r="L227"/>
      <c r="M227"/>
      <c r="N227"/>
      <c r="O227"/>
      <c r="P227"/>
      <c r="Q227"/>
      <c r="R227"/>
      <c r="S227"/>
      <c r="T227"/>
      <c r="U227"/>
      <c r="V227"/>
      <c r="W227"/>
      <c r="X227"/>
      <c r="Y227"/>
      <c r="Z227"/>
      <c r="AA227"/>
      <c r="AB227"/>
      <c r="AC227"/>
      <c r="AD227"/>
      <c r="AE227"/>
      <c r="AF227"/>
      <c r="AG227"/>
      <c r="AR227" s="31"/>
      <c r="AX227"/>
      <c r="AY227"/>
      <c r="AZ227"/>
      <c r="BA227"/>
    </row>
    <row r="228" spans="3:53">
      <c r="C228"/>
      <c r="D228"/>
      <c r="E228"/>
      <c r="F228"/>
      <c r="G228"/>
      <c r="H228"/>
      <c r="I228"/>
      <c r="J228"/>
      <c r="K228"/>
      <c r="L228"/>
      <c r="M228"/>
      <c r="N228"/>
      <c r="O228"/>
      <c r="P228"/>
      <c r="Q228"/>
      <c r="R228"/>
      <c r="S228"/>
      <c r="T228"/>
      <c r="U228"/>
      <c r="V228"/>
      <c r="W228"/>
      <c r="X228"/>
      <c r="Y228"/>
      <c r="Z228"/>
      <c r="AA228"/>
      <c r="AB228"/>
      <c r="AC228"/>
      <c r="AD228"/>
      <c r="AE228"/>
      <c r="AF228"/>
      <c r="AG228"/>
      <c r="AR228" s="31"/>
      <c r="AX228"/>
      <c r="AY228"/>
      <c r="AZ228"/>
      <c r="BA228"/>
    </row>
    <row r="229" spans="3:53">
      <c r="C229"/>
      <c r="D229"/>
      <c r="E229"/>
      <c r="F229"/>
      <c r="G229"/>
      <c r="H229"/>
      <c r="I229"/>
      <c r="J229"/>
      <c r="K229"/>
      <c r="L229"/>
      <c r="M229"/>
      <c r="N229"/>
      <c r="O229"/>
      <c r="P229"/>
      <c r="Q229"/>
      <c r="R229"/>
      <c r="S229"/>
      <c r="T229"/>
      <c r="U229"/>
      <c r="V229"/>
      <c r="W229"/>
      <c r="X229"/>
      <c r="Y229"/>
      <c r="Z229"/>
      <c r="AA229"/>
      <c r="AB229"/>
      <c r="AC229"/>
      <c r="AD229"/>
      <c r="AE229"/>
      <c r="AF229"/>
      <c r="AG229"/>
      <c r="AR229" s="31"/>
      <c r="AX229"/>
      <c r="AY229"/>
      <c r="AZ229"/>
      <c r="BA229"/>
    </row>
    <row r="230" spans="3:53">
      <c r="C230"/>
      <c r="D230"/>
      <c r="E230"/>
      <c r="F230"/>
      <c r="G230"/>
      <c r="H230"/>
      <c r="I230"/>
      <c r="J230"/>
      <c r="K230"/>
      <c r="L230"/>
      <c r="M230"/>
      <c r="N230"/>
      <c r="O230"/>
      <c r="P230"/>
      <c r="Q230"/>
      <c r="R230"/>
      <c r="S230"/>
      <c r="T230"/>
      <c r="U230"/>
      <c r="V230"/>
      <c r="W230"/>
      <c r="X230"/>
      <c r="Y230"/>
      <c r="Z230"/>
      <c r="AA230"/>
      <c r="AB230"/>
      <c r="AC230"/>
      <c r="AD230"/>
      <c r="AE230"/>
      <c r="AF230"/>
      <c r="AG230"/>
      <c r="AR230" s="31"/>
      <c r="AX230"/>
      <c r="AY230"/>
      <c r="AZ230"/>
      <c r="BA230"/>
    </row>
    <row r="231" spans="3:53">
      <c r="C231"/>
      <c r="D231"/>
      <c r="E231"/>
      <c r="F231"/>
      <c r="G231"/>
      <c r="H231"/>
      <c r="I231"/>
      <c r="J231"/>
      <c r="K231"/>
      <c r="L231"/>
      <c r="M231"/>
      <c r="N231"/>
      <c r="O231"/>
      <c r="P231"/>
      <c r="Q231"/>
      <c r="R231"/>
      <c r="S231"/>
      <c r="T231"/>
      <c r="U231"/>
      <c r="V231"/>
      <c r="W231"/>
      <c r="X231"/>
      <c r="Y231"/>
      <c r="Z231"/>
      <c r="AA231"/>
      <c r="AB231"/>
      <c r="AC231"/>
      <c r="AD231"/>
      <c r="AE231"/>
      <c r="AF231"/>
      <c r="AG231"/>
      <c r="AR231" s="31"/>
      <c r="AX231"/>
      <c r="AY231"/>
      <c r="AZ231"/>
      <c r="BA231"/>
    </row>
    <row r="232" spans="3:53">
      <c r="C232"/>
      <c r="D232"/>
      <c r="E232"/>
      <c r="F232"/>
      <c r="G232"/>
      <c r="H232"/>
      <c r="I232"/>
      <c r="J232"/>
      <c r="K232"/>
      <c r="L232"/>
      <c r="M232"/>
      <c r="N232"/>
      <c r="O232"/>
      <c r="P232"/>
      <c r="Q232"/>
      <c r="R232"/>
      <c r="S232"/>
      <c r="T232"/>
      <c r="U232"/>
      <c r="V232"/>
      <c r="W232"/>
      <c r="X232"/>
      <c r="Y232"/>
      <c r="Z232"/>
      <c r="AA232"/>
      <c r="AB232"/>
      <c r="AC232"/>
      <c r="AD232"/>
      <c r="AE232"/>
      <c r="AF232"/>
      <c r="AG232"/>
      <c r="AR232" s="31"/>
      <c r="AX232"/>
      <c r="AY232"/>
      <c r="AZ232"/>
      <c r="BA232"/>
    </row>
    <row r="233" spans="3:53">
      <c r="C233"/>
      <c r="D233"/>
      <c r="E233"/>
      <c r="F233"/>
      <c r="G233"/>
      <c r="H233"/>
      <c r="I233"/>
      <c r="J233"/>
      <c r="K233"/>
      <c r="L233"/>
      <c r="M233"/>
      <c r="N233"/>
      <c r="O233"/>
      <c r="P233"/>
      <c r="Q233"/>
      <c r="R233"/>
      <c r="S233"/>
      <c r="T233"/>
      <c r="U233"/>
      <c r="V233"/>
      <c r="W233"/>
      <c r="X233"/>
      <c r="Y233"/>
      <c r="Z233"/>
      <c r="AA233"/>
      <c r="AB233"/>
      <c r="AC233"/>
      <c r="AD233"/>
      <c r="AE233"/>
      <c r="AF233"/>
      <c r="AG233"/>
      <c r="AR233" s="31"/>
      <c r="AX233"/>
      <c r="AY233"/>
      <c r="AZ233"/>
      <c r="BA233"/>
    </row>
    <row r="234" spans="3:53">
      <c r="C234"/>
      <c r="D234"/>
      <c r="E234"/>
      <c r="F234"/>
      <c r="G234"/>
      <c r="H234"/>
      <c r="I234"/>
      <c r="J234"/>
      <c r="K234"/>
      <c r="L234"/>
      <c r="M234"/>
      <c r="N234"/>
      <c r="O234"/>
      <c r="P234"/>
      <c r="Q234"/>
      <c r="R234"/>
      <c r="S234"/>
      <c r="T234"/>
      <c r="U234"/>
      <c r="V234"/>
      <c r="W234"/>
      <c r="X234"/>
      <c r="Y234"/>
      <c r="Z234"/>
      <c r="AA234"/>
      <c r="AB234"/>
      <c r="AC234"/>
      <c r="AD234"/>
      <c r="AE234"/>
      <c r="AF234"/>
      <c r="AG234"/>
      <c r="AR234" s="31"/>
      <c r="AX234"/>
      <c r="AY234"/>
      <c r="AZ234"/>
      <c r="BA234"/>
    </row>
    <row r="235" spans="3:53">
      <c r="C235"/>
      <c r="D235"/>
      <c r="E235"/>
      <c r="F235"/>
      <c r="G235"/>
      <c r="H235"/>
      <c r="I235"/>
      <c r="J235"/>
      <c r="K235"/>
      <c r="L235"/>
      <c r="M235"/>
      <c r="N235"/>
      <c r="O235"/>
      <c r="P235"/>
      <c r="Q235"/>
      <c r="R235"/>
      <c r="S235"/>
      <c r="T235"/>
      <c r="U235"/>
      <c r="V235"/>
      <c r="W235"/>
      <c r="X235"/>
      <c r="Y235"/>
      <c r="Z235"/>
      <c r="AA235"/>
      <c r="AB235"/>
      <c r="AC235"/>
      <c r="AD235"/>
      <c r="AE235"/>
      <c r="AF235"/>
      <c r="AG235"/>
      <c r="AR235" s="31"/>
      <c r="AX235"/>
      <c r="AY235"/>
      <c r="AZ235"/>
      <c r="BA235"/>
    </row>
    <row r="236" spans="3:53">
      <c r="C236"/>
      <c r="D236"/>
      <c r="E236"/>
      <c r="F236"/>
      <c r="G236"/>
      <c r="H236"/>
      <c r="I236"/>
      <c r="J236"/>
      <c r="K236"/>
      <c r="L236"/>
      <c r="M236"/>
      <c r="N236"/>
      <c r="O236"/>
      <c r="P236"/>
      <c r="Q236"/>
      <c r="R236"/>
      <c r="S236"/>
      <c r="T236"/>
      <c r="U236"/>
      <c r="V236"/>
      <c r="W236"/>
      <c r="X236"/>
      <c r="Y236"/>
      <c r="Z236"/>
      <c r="AA236"/>
      <c r="AB236"/>
      <c r="AC236"/>
      <c r="AD236"/>
      <c r="AE236"/>
      <c r="AF236"/>
      <c r="AG236"/>
      <c r="AR236" s="31"/>
      <c r="AX236"/>
      <c r="AY236"/>
      <c r="AZ236"/>
      <c r="BA236"/>
    </row>
    <row r="237" spans="3:53">
      <c r="C237"/>
      <c r="D237"/>
      <c r="E237"/>
      <c r="F237"/>
      <c r="G237"/>
      <c r="H237"/>
      <c r="I237"/>
      <c r="J237"/>
      <c r="K237"/>
      <c r="L237"/>
      <c r="M237"/>
      <c r="N237"/>
      <c r="O237"/>
      <c r="P237"/>
      <c r="Q237"/>
      <c r="R237"/>
      <c r="S237"/>
      <c r="T237"/>
      <c r="U237"/>
      <c r="V237"/>
      <c r="W237"/>
      <c r="X237"/>
      <c r="Y237"/>
      <c r="Z237"/>
      <c r="AA237"/>
      <c r="AB237"/>
      <c r="AC237"/>
      <c r="AD237"/>
      <c r="AE237"/>
      <c r="AF237"/>
      <c r="AG237"/>
      <c r="AR237" s="31"/>
      <c r="AX237"/>
      <c r="AY237"/>
      <c r="AZ237"/>
      <c r="BA237"/>
    </row>
    <row r="238" spans="3:53">
      <c r="C238"/>
      <c r="D238"/>
      <c r="E238"/>
      <c r="F238"/>
      <c r="G238"/>
      <c r="H238"/>
      <c r="I238"/>
      <c r="J238"/>
      <c r="K238"/>
      <c r="L238"/>
      <c r="M238"/>
      <c r="N238"/>
      <c r="O238"/>
      <c r="P238"/>
      <c r="Q238"/>
      <c r="R238"/>
      <c r="S238"/>
      <c r="T238"/>
      <c r="U238"/>
      <c r="V238"/>
      <c r="W238"/>
      <c r="X238"/>
      <c r="Y238"/>
      <c r="Z238"/>
      <c r="AA238"/>
      <c r="AB238"/>
      <c r="AC238"/>
      <c r="AD238"/>
      <c r="AE238"/>
      <c r="AF238"/>
      <c r="AR238" s="31"/>
      <c r="AX238"/>
      <c r="AY238"/>
      <c r="AZ238"/>
      <c r="BA238"/>
    </row>
    <row r="239" spans="3:53">
      <c r="C239"/>
      <c r="D239"/>
      <c r="E239"/>
      <c r="F239"/>
      <c r="G239"/>
      <c r="H239"/>
      <c r="I239"/>
      <c r="J239"/>
      <c r="K239"/>
      <c r="L239"/>
      <c r="M239"/>
      <c r="N239"/>
      <c r="O239"/>
      <c r="P239"/>
      <c r="Q239"/>
      <c r="R239"/>
      <c r="S239"/>
      <c r="T239"/>
      <c r="U239"/>
      <c r="V239"/>
      <c r="W239"/>
      <c r="X239"/>
      <c r="Y239"/>
      <c r="Z239"/>
      <c r="AA239"/>
      <c r="AB239"/>
      <c r="AC239"/>
      <c r="AD239"/>
      <c r="AE239"/>
      <c r="AF239"/>
      <c r="AR239" s="31"/>
      <c r="AX239"/>
      <c r="AY239"/>
      <c r="AZ239"/>
      <c r="BA239"/>
    </row>
    <row r="240" spans="3:53">
      <c r="C240"/>
      <c r="D240"/>
      <c r="E240"/>
      <c r="F240"/>
      <c r="G240"/>
      <c r="H240"/>
      <c r="I240"/>
      <c r="J240"/>
      <c r="K240"/>
      <c r="L240"/>
      <c r="M240"/>
      <c r="N240"/>
      <c r="O240"/>
      <c r="P240"/>
      <c r="Q240"/>
      <c r="R240"/>
      <c r="S240"/>
      <c r="T240"/>
      <c r="U240"/>
      <c r="V240"/>
      <c r="W240"/>
      <c r="X240"/>
      <c r="Y240"/>
      <c r="Z240"/>
      <c r="AA240"/>
      <c r="AB240"/>
      <c r="AC240"/>
      <c r="AD240"/>
      <c r="AE240"/>
      <c r="AF240"/>
      <c r="AR240" s="31"/>
      <c r="AX240"/>
      <c r="AY240"/>
      <c r="AZ240"/>
      <c r="BA240"/>
    </row>
    <row r="241" spans="3:53">
      <c r="C241"/>
      <c r="D241"/>
      <c r="E241"/>
      <c r="F241"/>
      <c r="G241"/>
      <c r="H241"/>
      <c r="I241"/>
      <c r="J241"/>
      <c r="K241"/>
      <c r="L241"/>
      <c r="M241"/>
      <c r="N241"/>
      <c r="O241"/>
      <c r="P241"/>
      <c r="Q241"/>
      <c r="R241"/>
      <c r="S241"/>
      <c r="T241"/>
      <c r="U241"/>
      <c r="V241"/>
      <c r="W241"/>
      <c r="X241"/>
      <c r="Y241"/>
      <c r="Z241"/>
      <c r="AA241"/>
      <c r="AB241"/>
      <c r="AC241"/>
      <c r="AD241"/>
      <c r="AE241"/>
      <c r="AF241"/>
      <c r="AR241" s="31"/>
      <c r="AX241"/>
      <c r="AY241"/>
      <c r="AZ241"/>
      <c r="BA241"/>
    </row>
    <row r="242" spans="3:53">
      <c r="C242"/>
      <c r="D242"/>
      <c r="E242"/>
      <c r="F242"/>
      <c r="G242"/>
      <c r="H242"/>
      <c r="I242"/>
      <c r="J242"/>
      <c r="K242"/>
      <c r="L242"/>
      <c r="M242"/>
      <c r="N242"/>
      <c r="O242"/>
      <c r="P242"/>
      <c r="Q242"/>
      <c r="R242"/>
      <c r="S242"/>
      <c r="T242"/>
      <c r="U242"/>
      <c r="V242"/>
      <c r="W242"/>
      <c r="X242"/>
      <c r="Y242"/>
      <c r="Z242"/>
      <c r="AA242"/>
      <c r="AB242"/>
      <c r="AC242"/>
      <c r="AD242"/>
      <c r="AE242"/>
      <c r="AF242"/>
      <c r="AR242" s="31"/>
      <c r="AX242"/>
      <c r="AY242"/>
      <c r="AZ242"/>
      <c r="BA242"/>
    </row>
    <row r="243" spans="3:53">
      <c r="C243"/>
      <c r="D243"/>
      <c r="E243"/>
      <c r="F243"/>
      <c r="G243"/>
      <c r="H243"/>
      <c r="I243"/>
      <c r="J243"/>
      <c r="K243"/>
      <c r="L243"/>
      <c r="M243"/>
      <c r="N243"/>
      <c r="O243"/>
      <c r="P243"/>
      <c r="Q243"/>
      <c r="R243"/>
      <c r="S243"/>
      <c r="T243"/>
      <c r="U243"/>
      <c r="V243"/>
      <c r="W243"/>
      <c r="X243"/>
      <c r="Y243"/>
      <c r="Z243"/>
      <c r="AA243"/>
      <c r="AB243"/>
      <c r="AC243"/>
      <c r="AD243"/>
      <c r="AE243"/>
      <c r="AF243"/>
      <c r="AR243" s="31"/>
      <c r="AX243"/>
      <c r="AY243"/>
      <c r="AZ243"/>
      <c r="BA243"/>
    </row>
    <row r="244" spans="3:53">
      <c r="C244"/>
      <c r="D244"/>
      <c r="E244"/>
      <c r="F244"/>
      <c r="G244"/>
      <c r="H244"/>
      <c r="I244"/>
      <c r="J244"/>
      <c r="K244"/>
      <c r="L244"/>
      <c r="M244"/>
      <c r="N244"/>
      <c r="O244"/>
      <c r="P244"/>
      <c r="Q244"/>
      <c r="R244"/>
      <c r="S244"/>
      <c r="T244"/>
      <c r="U244"/>
      <c r="V244"/>
      <c r="W244"/>
      <c r="X244"/>
      <c r="Y244"/>
      <c r="Z244"/>
      <c r="AA244"/>
      <c r="AB244"/>
      <c r="AC244"/>
      <c r="AD244"/>
      <c r="AE244"/>
      <c r="AF244"/>
      <c r="AR244" s="31"/>
      <c r="AX244"/>
      <c r="AY244"/>
      <c r="AZ244"/>
      <c r="BA244"/>
    </row>
    <row r="245" spans="3:53">
      <c r="C245"/>
      <c r="D245"/>
      <c r="E245"/>
      <c r="F245"/>
      <c r="G245"/>
      <c r="H245"/>
      <c r="I245"/>
      <c r="J245"/>
      <c r="K245"/>
      <c r="L245"/>
      <c r="M245"/>
      <c r="N245"/>
      <c r="O245"/>
      <c r="P245"/>
      <c r="Q245"/>
      <c r="R245"/>
      <c r="S245"/>
      <c r="T245"/>
      <c r="U245"/>
      <c r="V245"/>
      <c r="W245"/>
      <c r="X245"/>
      <c r="Y245"/>
      <c r="Z245"/>
      <c r="AA245"/>
      <c r="AB245"/>
      <c r="AC245"/>
      <c r="AD245"/>
      <c r="AE245"/>
      <c r="AF245"/>
      <c r="AR245" s="31"/>
      <c r="AX245"/>
      <c r="AY245"/>
      <c r="AZ245"/>
      <c r="BA245"/>
    </row>
    <row r="246" spans="3:53">
      <c r="C246"/>
      <c r="D246"/>
      <c r="E246"/>
      <c r="F246"/>
      <c r="G246"/>
      <c r="H246"/>
      <c r="I246"/>
      <c r="J246"/>
      <c r="K246"/>
      <c r="L246"/>
      <c r="M246"/>
      <c r="N246"/>
      <c r="O246"/>
      <c r="P246"/>
      <c r="Q246"/>
      <c r="R246"/>
      <c r="S246"/>
      <c r="T246"/>
      <c r="U246"/>
      <c r="V246"/>
      <c r="W246"/>
      <c r="X246"/>
      <c r="Y246"/>
      <c r="Z246"/>
      <c r="AA246"/>
      <c r="AB246"/>
      <c r="AC246"/>
      <c r="AD246"/>
      <c r="AE246"/>
      <c r="AF246"/>
      <c r="AR246" s="31"/>
      <c r="AX246"/>
      <c r="AY246"/>
      <c r="AZ246"/>
      <c r="BA246"/>
    </row>
    <row r="247" spans="3:53">
      <c r="C247"/>
      <c r="D247"/>
      <c r="E247"/>
      <c r="F247"/>
      <c r="G247"/>
      <c r="H247"/>
      <c r="I247"/>
      <c r="J247"/>
      <c r="K247"/>
      <c r="L247"/>
      <c r="M247"/>
      <c r="N247"/>
      <c r="O247"/>
      <c r="P247"/>
      <c r="Q247"/>
      <c r="R247"/>
      <c r="S247"/>
      <c r="T247"/>
      <c r="U247"/>
      <c r="V247"/>
      <c r="W247"/>
      <c r="X247"/>
      <c r="Y247"/>
      <c r="Z247"/>
      <c r="AA247"/>
      <c r="AB247"/>
      <c r="AC247"/>
      <c r="AD247"/>
      <c r="AE247"/>
      <c r="AF247"/>
      <c r="AR247" s="31"/>
      <c r="AX247"/>
      <c r="AY247"/>
      <c r="AZ247"/>
      <c r="BA247"/>
    </row>
    <row r="248" spans="3:53">
      <c r="C248"/>
      <c r="D248"/>
      <c r="E248"/>
      <c r="F248"/>
      <c r="G248"/>
      <c r="H248"/>
      <c r="I248"/>
      <c r="J248"/>
      <c r="K248"/>
      <c r="L248"/>
      <c r="M248"/>
      <c r="N248"/>
      <c r="O248"/>
      <c r="P248"/>
      <c r="Q248"/>
      <c r="R248"/>
      <c r="S248"/>
      <c r="T248"/>
      <c r="U248"/>
      <c r="V248"/>
      <c r="W248"/>
      <c r="X248"/>
      <c r="Y248"/>
      <c r="Z248"/>
      <c r="AA248"/>
      <c r="AB248"/>
      <c r="AC248"/>
      <c r="AD248"/>
      <c r="AE248"/>
      <c r="AF248"/>
      <c r="AR248" s="31"/>
      <c r="AX248"/>
      <c r="AY248"/>
      <c r="AZ248"/>
      <c r="BA248"/>
    </row>
    <row r="249" spans="3:53">
      <c r="C249"/>
      <c r="D249"/>
      <c r="E249"/>
      <c r="F249"/>
      <c r="G249"/>
      <c r="H249"/>
      <c r="I249"/>
      <c r="J249"/>
      <c r="K249"/>
      <c r="L249"/>
      <c r="M249"/>
      <c r="N249"/>
      <c r="O249"/>
      <c r="P249"/>
      <c r="Q249"/>
      <c r="R249"/>
      <c r="S249"/>
      <c r="T249"/>
      <c r="U249"/>
      <c r="V249"/>
      <c r="W249"/>
      <c r="X249"/>
      <c r="Y249"/>
      <c r="Z249"/>
      <c r="AA249"/>
      <c r="AB249"/>
      <c r="AC249"/>
      <c r="AD249"/>
      <c r="AE249"/>
      <c r="AF249"/>
      <c r="AH249" s="35"/>
      <c r="AR249" s="31"/>
      <c r="AX249"/>
      <c r="AY249"/>
      <c r="AZ249"/>
      <c r="BA249"/>
    </row>
    <row r="250" spans="3:53">
      <c r="C250"/>
      <c r="D250"/>
      <c r="E250"/>
      <c r="F250"/>
      <c r="G250"/>
      <c r="H250"/>
      <c r="I250"/>
      <c r="J250"/>
      <c r="K250"/>
      <c r="L250"/>
      <c r="M250"/>
      <c r="N250"/>
      <c r="O250"/>
      <c r="P250"/>
      <c r="Q250"/>
      <c r="R250"/>
      <c r="S250"/>
      <c r="T250"/>
      <c r="U250"/>
      <c r="V250"/>
      <c r="W250"/>
      <c r="X250"/>
      <c r="Y250"/>
      <c r="Z250"/>
      <c r="AA250"/>
      <c r="AB250"/>
      <c r="AC250"/>
      <c r="AD250"/>
      <c r="AE250"/>
      <c r="AF250"/>
      <c r="AG250" s="44"/>
      <c r="AH250" s="35"/>
      <c r="AR250" s="31"/>
      <c r="AX250"/>
      <c r="AY250"/>
      <c r="AZ250"/>
      <c r="BA250"/>
    </row>
    <row r="251" spans="3:53">
      <c r="C251"/>
      <c r="D251"/>
      <c r="E251"/>
      <c r="F251"/>
      <c r="G251"/>
      <c r="H251"/>
      <c r="I251"/>
      <c r="J251"/>
      <c r="K251"/>
      <c r="L251"/>
      <c r="M251"/>
      <c r="N251"/>
      <c r="O251"/>
      <c r="P251"/>
      <c r="Q251"/>
      <c r="R251"/>
      <c r="S251"/>
      <c r="T251"/>
      <c r="U251"/>
      <c r="V251"/>
      <c r="W251"/>
      <c r="X251"/>
      <c r="Y251"/>
      <c r="Z251"/>
      <c r="AA251"/>
      <c r="AB251"/>
      <c r="AC251"/>
      <c r="AD251"/>
      <c r="AE251"/>
      <c r="AF251"/>
      <c r="AG251" s="44"/>
      <c r="AH251" s="35"/>
      <c r="AR251" s="31"/>
      <c r="AX251"/>
      <c r="AY251"/>
      <c r="AZ251"/>
      <c r="BA251"/>
    </row>
    <row r="252" spans="3:53">
      <c r="C252"/>
      <c r="D252"/>
      <c r="E252"/>
      <c r="F252"/>
      <c r="G252"/>
      <c r="H252"/>
      <c r="I252"/>
      <c r="J252"/>
      <c r="K252"/>
      <c r="L252"/>
      <c r="M252"/>
      <c r="N252"/>
      <c r="O252"/>
      <c r="P252"/>
      <c r="Q252"/>
      <c r="R252"/>
      <c r="S252"/>
      <c r="T252"/>
      <c r="U252"/>
      <c r="V252"/>
      <c r="W252"/>
      <c r="X252"/>
      <c r="Y252"/>
      <c r="Z252"/>
      <c r="AA252"/>
      <c r="AB252"/>
      <c r="AC252"/>
      <c r="AD252"/>
      <c r="AE252"/>
      <c r="AF252"/>
      <c r="AG252" s="44"/>
      <c r="AH252" s="35"/>
      <c r="AR252" s="31"/>
      <c r="AX252"/>
      <c r="AY252"/>
      <c r="AZ252"/>
      <c r="BA252"/>
    </row>
    <row r="253" spans="3:53">
      <c r="C253"/>
      <c r="D253"/>
      <c r="E253"/>
      <c r="F253"/>
      <c r="G253"/>
      <c r="H253"/>
      <c r="I253"/>
      <c r="J253"/>
      <c r="K253"/>
      <c r="L253"/>
      <c r="M253"/>
      <c r="N253"/>
      <c r="O253"/>
      <c r="P253"/>
      <c r="Q253"/>
      <c r="R253"/>
      <c r="S253"/>
      <c r="T253"/>
      <c r="U253"/>
      <c r="V253"/>
      <c r="W253"/>
      <c r="X253"/>
      <c r="Y253"/>
      <c r="Z253"/>
      <c r="AA253"/>
      <c r="AB253"/>
      <c r="AC253"/>
      <c r="AD253"/>
      <c r="AE253"/>
      <c r="AF253"/>
      <c r="AG253" s="44"/>
      <c r="AH253" s="35"/>
      <c r="AR253" s="31"/>
      <c r="AX253"/>
      <c r="AY253"/>
      <c r="AZ253"/>
      <c r="BA253"/>
    </row>
    <row r="254" spans="3:53">
      <c r="C254"/>
      <c r="D254"/>
      <c r="E254"/>
      <c r="F254"/>
      <c r="G254"/>
      <c r="H254"/>
      <c r="I254"/>
      <c r="J254"/>
      <c r="K254"/>
      <c r="L254"/>
      <c r="M254"/>
      <c r="N254"/>
      <c r="O254"/>
      <c r="P254"/>
      <c r="Q254"/>
      <c r="R254"/>
      <c r="S254"/>
      <c r="T254"/>
      <c r="U254"/>
      <c r="V254"/>
      <c r="W254"/>
      <c r="X254"/>
      <c r="Y254"/>
      <c r="Z254"/>
      <c r="AA254"/>
      <c r="AB254"/>
      <c r="AC254"/>
      <c r="AD254"/>
      <c r="AE254"/>
      <c r="AF254"/>
      <c r="AG254" s="44"/>
      <c r="AH254" s="35"/>
      <c r="AR254" s="31"/>
    </row>
    <row r="255" spans="3:53">
      <c r="C255"/>
      <c r="D255"/>
      <c r="E255"/>
      <c r="F255"/>
      <c r="G255"/>
      <c r="H255"/>
      <c r="I255"/>
      <c r="J255"/>
      <c r="K255"/>
      <c r="L255"/>
      <c r="M255"/>
      <c r="N255"/>
      <c r="O255"/>
      <c r="P255"/>
      <c r="Q255"/>
      <c r="R255"/>
      <c r="S255"/>
      <c r="T255"/>
      <c r="U255"/>
      <c r="V255"/>
      <c r="W255"/>
      <c r="X255"/>
      <c r="Y255"/>
      <c r="Z255"/>
      <c r="AA255"/>
      <c r="AB255"/>
      <c r="AC255"/>
      <c r="AD255"/>
      <c r="AE255"/>
      <c r="AF255"/>
      <c r="AG255" s="44"/>
      <c r="AH255" s="35"/>
      <c r="AR255" s="31"/>
    </row>
    <row r="256" spans="3:53">
      <c r="C256"/>
      <c r="D256"/>
      <c r="E256"/>
      <c r="F256"/>
      <c r="G256"/>
      <c r="H256"/>
      <c r="I256"/>
      <c r="J256"/>
      <c r="K256"/>
      <c r="L256"/>
      <c r="M256"/>
      <c r="N256"/>
      <c r="O256"/>
      <c r="P256"/>
      <c r="Q256"/>
      <c r="R256"/>
      <c r="S256"/>
      <c r="T256"/>
      <c r="U256"/>
      <c r="V256"/>
      <c r="W256"/>
      <c r="X256"/>
      <c r="Y256"/>
      <c r="Z256"/>
      <c r="AA256"/>
      <c r="AB256"/>
      <c r="AC256"/>
      <c r="AD256"/>
      <c r="AE256"/>
      <c r="AF256"/>
      <c r="AG256" s="44"/>
      <c r="AH256" s="35"/>
      <c r="AR256" s="31"/>
    </row>
    <row r="257" spans="3:44">
      <c r="C257"/>
      <c r="D257"/>
      <c r="E257"/>
      <c r="F257"/>
      <c r="G257"/>
      <c r="H257"/>
      <c r="I257"/>
      <c r="J257"/>
      <c r="K257"/>
      <c r="L257"/>
      <c r="M257"/>
      <c r="N257"/>
      <c r="O257"/>
      <c r="P257"/>
      <c r="Q257"/>
      <c r="R257"/>
      <c r="S257"/>
      <c r="T257"/>
      <c r="U257"/>
      <c r="V257"/>
      <c r="W257"/>
      <c r="X257"/>
      <c r="Y257"/>
      <c r="Z257"/>
      <c r="AA257"/>
      <c r="AB257"/>
      <c r="AC257"/>
      <c r="AD257"/>
      <c r="AE257"/>
      <c r="AF257"/>
      <c r="AG257" s="44"/>
      <c r="AR257" s="31"/>
    </row>
    <row r="258" spans="3:44">
      <c r="C258"/>
      <c r="D258"/>
      <c r="E258"/>
      <c r="F258"/>
      <c r="G258"/>
      <c r="H258"/>
      <c r="I258"/>
      <c r="J258"/>
      <c r="K258"/>
      <c r="L258"/>
      <c r="M258"/>
      <c r="N258"/>
      <c r="O258"/>
      <c r="P258"/>
      <c r="Q258"/>
      <c r="R258"/>
      <c r="S258"/>
      <c r="T258"/>
      <c r="U258"/>
      <c r="V258"/>
      <c r="W258"/>
      <c r="X258"/>
      <c r="Y258"/>
      <c r="Z258"/>
      <c r="AA258"/>
      <c r="AB258"/>
      <c r="AC258"/>
      <c r="AD258"/>
      <c r="AE258"/>
      <c r="AF258"/>
      <c r="AR258" s="31"/>
    </row>
    <row r="259" spans="3:44">
      <c r="C259"/>
      <c r="D259"/>
      <c r="E259"/>
      <c r="F259"/>
      <c r="G259"/>
      <c r="H259"/>
      <c r="I259"/>
      <c r="J259"/>
      <c r="K259"/>
      <c r="L259"/>
      <c r="M259"/>
      <c r="N259"/>
      <c r="O259"/>
      <c r="P259"/>
      <c r="Q259"/>
      <c r="R259"/>
      <c r="S259"/>
      <c r="T259"/>
      <c r="U259"/>
      <c r="V259"/>
      <c r="W259"/>
      <c r="X259"/>
      <c r="Y259"/>
      <c r="Z259"/>
      <c r="AA259"/>
      <c r="AB259"/>
      <c r="AC259"/>
      <c r="AD259"/>
      <c r="AE259"/>
      <c r="AF259"/>
      <c r="AR259" s="31"/>
    </row>
    <row r="260" spans="3:44">
      <c r="C260"/>
      <c r="D260"/>
      <c r="E260"/>
      <c r="F260"/>
      <c r="G260"/>
      <c r="H260"/>
      <c r="I260"/>
      <c r="J260"/>
      <c r="K260"/>
      <c r="L260"/>
      <c r="M260"/>
      <c r="N260"/>
      <c r="O260"/>
      <c r="P260"/>
      <c r="Q260"/>
      <c r="R260"/>
      <c r="S260"/>
      <c r="T260"/>
      <c r="U260"/>
      <c r="V260"/>
      <c r="W260"/>
      <c r="X260"/>
      <c r="Y260"/>
      <c r="Z260"/>
      <c r="AA260"/>
      <c r="AB260"/>
      <c r="AC260"/>
      <c r="AD260"/>
      <c r="AE260"/>
      <c r="AF260"/>
      <c r="AR260" s="31"/>
    </row>
    <row r="261" spans="3:44">
      <c r="C261"/>
      <c r="D261"/>
      <c r="E261"/>
      <c r="F261"/>
      <c r="G261"/>
      <c r="H261"/>
      <c r="I261"/>
      <c r="J261"/>
      <c r="K261"/>
      <c r="L261"/>
      <c r="M261"/>
      <c r="N261"/>
      <c r="O261"/>
      <c r="P261"/>
      <c r="Q261"/>
      <c r="R261"/>
      <c r="S261"/>
      <c r="T261"/>
      <c r="U261"/>
      <c r="V261"/>
      <c r="W261"/>
      <c r="X261"/>
      <c r="Y261"/>
      <c r="Z261"/>
      <c r="AA261"/>
      <c r="AB261"/>
      <c r="AC261"/>
      <c r="AD261"/>
      <c r="AE261"/>
      <c r="AF261"/>
      <c r="AR261" s="31"/>
    </row>
    <row r="262" spans="3:44">
      <c r="C262"/>
      <c r="D262"/>
      <c r="E262"/>
      <c r="F262"/>
      <c r="G262"/>
      <c r="H262"/>
      <c r="I262"/>
      <c r="J262"/>
      <c r="K262"/>
      <c r="L262"/>
      <c r="M262"/>
      <c r="N262"/>
      <c r="O262"/>
      <c r="P262"/>
      <c r="Q262"/>
      <c r="R262"/>
      <c r="S262"/>
      <c r="T262"/>
      <c r="U262"/>
      <c r="V262"/>
      <c r="W262"/>
      <c r="X262"/>
      <c r="Y262"/>
      <c r="Z262"/>
      <c r="AA262"/>
      <c r="AB262"/>
      <c r="AC262"/>
      <c r="AD262"/>
      <c r="AE262"/>
      <c r="AF262"/>
      <c r="AR262" s="31"/>
    </row>
    <row r="263" spans="3:44">
      <c r="C263"/>
    </row>
    <row r="264" spans="3:44">
      <c r="C264"/>
    </row>
  </sheetData>
  <mergeCells count="15">
    <mergeCell ref="C1:AJ1"/>
    <mergeCell ref="B181:C181"/>
    <mergeCell ref="G190:H190"/>
    <mergeCell ref="I190:J190"/>
    <mergeCell ref="K190:L190"/>
    <mergeCell ref="M190:N190"/>
    <mergeCell ref="O190:P190"/>
    <mergeCell ref="Q190:R190"/>
    <mergeCell ref="S190:T190"/>
    <mergeCell ref="U190:V190"/>
    <mergeCell ref="W190:X190"/>
    <mergeCell ref="Y190:Z190"/>
    <mergeCell ref="AA190:AB190"/>
    <mergeCell ref="AC190:AD190"/>
    <mergeCell ref="E190:F190"/>
  </mergeCells>
  <printOptions horizontalCentered="1" verticalCentered="1"/>
  <pageMargins left="0.11811023622047245" right="0.11811023622047245" top="0.15748031496062992" bottom="0.15748031496062992" header="0.31496062992125984" footer="0.31496062992125984"/>
  <pageSetup paperSize="9" scale="80" orientation="portrait" r:id="rId1"/>
  <colBreaks count="1" manualBreakCount="1">
    <brk id="36" min="1" max="183" man="1"/>
  </colBreaks>
  <ignoredErrors>
    <ignoredError sqref="E23 G23 G28 E28 I28 K28 I23 K23 Y28 AA28 E41 H192:J192 AC63:AD63 AC66 E71 E66 E63 S73 Q73 O73 U73 AC85:AD85 AA85 Y85 W85 E93 G93 Q93 S93 U93 W93 Y93 AA93 AC93:AD93 E105 G105 I105 K105 M105 O105 Q105 S105 U105 W105 Y105 AA105 AC105:AD105 W160 W162 Y172 AC114:AD114 AC125:AD125 AC132:AD132 AA132 Y132 Y125 AA125 AA114 Y114 W114 W125 W132 W136 AA136 Y136 AC136:AD136 AC143:AD143 E136 G136 E132:I132 I136 E145 K145 M145 W145 U145 S145 Q145 AC145:AD145 Q160 O160 S160 S162 U162 U160 AA160 Y160 Y162 AA162 AC160:AD160 AC162:AD162 AC172:AD172 W172 U172 G162 G160 I160 I162 K162 K160 E160 E162 O162 M162 M160 Q162 E125 G125 I125 K125 M125 O125 Q125 S125 U125 U132 U136 S136 S132 Q132 Q136 O136 M136 M132 O132 K132 K136 O145 I145 G145 E172 G172 I172 K172 M172 O172 Q172 S172 Y145 AA145 AA73 AA71 AA66 AA63 Y71 Y73 Y66 Y63 W73 W71 W66 W63 Y55 AA55 W55 U55 AA41 AC41:AD41 Y41 W41 U41 AC28:AD28 AC23:AD23 AA23 Y23 W23 U23 S23 S28 S41 W28 M23 O23 M28 O28 Q23 Q28 Q41 O41 M41 K41 I41 G41 E55 G55 I55 K55 M55 O55 Q55 S55 S63 U63 S66 U66 U71 S71 Q71 Q66 Q63 O63 O71 O66 O85 Q85 M85 M73 M71 M66 M63 K63 K71 K73 K66 I73 I71 I66 I63 S85 U85 O93 K85 K93 M93 I93 I85 G85 E85 E73 G73 G71 E114 G114 I114 K114 M114 O114 Q114 S114 G63 G66 U28 U114 K192:L192 M192:O192 P192:Q192 R192:S192 T192:U192 V192:W192 X192:Y192 Z192:AA192 AB192:AC192 AC55:AD55 AC71 AC73 F201 I207 AF41 AS149" formula="1"/>
    <ignoredError sqref="W175 U175 S175 O175 Q175 M175 K175 I175 G175 E175 AD175 AA175 Y175" unlocked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309"/>
  <sheetViews>
    <sheetView topLeftCell="A91" zoomScale="64" zoomScaleNormal="64" workbookViewId="0">
      <selection activeCell="L101" sqref="L101"/>
    </sheetView>
  </sheetViews>
  <sheetFormatPr defaultColWidth="11.453125" defaultRowHeight="14.5"/>
  <cols>
    <col min="1" max="1" width="9.7265625" style="2500" bestFit="1" customWidth="1"/>
    <col min="2" max="2" width="6.1796875" style="485" customWidth="1"/>
    <col min="3" max="3" width="78.54296875" style="485" customWidth="1"/>
    <col min="4" max="4" width="15.7265625" style="2500" customWidth="1"/>
    <col min="5" max="5" width="8.54296875" style="485" customWidth="1"/>
    <col min="6" max="6" width="7.54296875" style="485" bestFit="1" customWidth="1"/>
    <col min="7" max="7" width="12.453125" style="485" customWidth="1"/>
    <col min="8" max="8" width="12.54296875" style="485" customWidth="1"/>
    <col min="9" max="9" width="9.453125" style="485" customWidth="1"/>
    <col min="10" max="10" width="20.1796875" style="485" customWidth="1"/>
    <col min="11" max="11" width="20.54296875" style="485" customWidth="1"/>
    <col min="12" max="12" width="15" style="485" customWidth="1"/>
    <col min="13" max="13" width="20.1796875" style="485" customWidth="1"/>
    <col min="14" max="14" width="13.7265625" style="485" customWidth="1"/>
    <col min="15" max="15" width="17.7265625" style="485" customWidth="1"/>
    <col min="16" max="16" width="36.54296875" style="485" customWidth="1"/>
    <col min="17" max="17" width="11.54296875" style="485" customWidth="1"/>
    <col min="18" max="18" width="12.81640625" style="485" customWidth="1"/>
    <col min="19" max="19" width="12.453125" style="485" customWidth="1"/>
    <col min="20" max="20" width="17.453125" style="485" bestFit="1" customWidth="1"/>
    <col min="21" max="21" width="7.1796875" style="485" bestFit="1" customWidth="1"/>
    <col min="22" max="22" width="9.26953125" style="485" bestFit="1" customWidth="1"/>
    <col min="23" max="24" width="14" style="485" customWidth="1"/>
    <col min="25" max="26" width="14.7265625" style="485" customWidth="1"/>
    <col min="27" max="16384" width="11.453125" style="485"/>
  </cols>
  <sheetData>
    <row r="1" spans="1:54">
      <c r="A1" s="4944" t="s">
        <v>3086</v>
      </c>
      <c r="B1" s="4944"/>
      <c r="C1" s="4944"/>
      <c r="D1" s="4944"/>
      <c r="E1" s="4944"/>
      <c r="F1" s="4944"/>
      <c r="G1" s="4944"/>
      <c r="H1" s="4944"/>
      <c r="I1" s="4944"/>
      <c r="J1" s="4944"/>
      <c r="K1" s="4944"/>
      <c r="L1" s="4944"/>
      <c r="M1" s="4944"/>
      <c r="N1" s="4944"/>
      <c r="O1" s="4944"/>
      <c r="P1" s="4944"/>
      <c r="Q1" s="4944"/>
      <c r="R1" s="4944"/>
      <c r="S1" s="4944"/>
      <c r="T1" s="4944"/>
      <c r="U1" s="4944"/>
      <c r="V1" s="4944"/>
      <c r="W1" s="4944"/>
      <c r="X1" s="4944"/>
      <c r="Y1" s="4944"/>
      <c r="Z1" s="4944"/>
    </row>
    <row r="2" spans="1:54" s="2570" customFormat="1">
      <c r="A2" s="4945" t="s">
        <v>1328</v>
      </c>
      <c r="B2" s="4946" t="s">
        <v>3085</v>
      </c>
      <c r="C2" s="4947" t="s">
        <v>3084</v>
      </c>
      <c r="D2" s="4940" t="s">
        <v>3083</v>
      </c>
      <c r="E2" s="4939" t="s">
        <v>3082</v>
      </c>
      <c r="F2" s="4939"/>
      <c r="G2" s="4939"/>
      <c r="H2" s="4948" t="s">
        <v>3081</v>
      </c>
      <c r="I2" s="4949"/>
      <c r="J2" s="4950"/>
      <c r="K2" s="4939" t="s">
        <v>3090</v>
      </c>
      <c r="L2" s="4942" t="s">
        <v>3135</v>
      </c>
      <c r="M2" s="2652" t="s">
        <v>3088</v>
      </c>
      <c r="N2" s="2652"/>
      <c r="O2" s="4941" t="s">
        <v>3080</v>
      </c>
      <c r="P2" s="4939" t="s">
        <v>3079</v>
      </c>
      <c r="Q2" s="4939" t="s">
        <v>3078</v>
      </c>
      <c r="R2" s="4939" t="s">
        <v>3093</v>
      </c>
      <c r="S2" s="4939" t="s">
        <v>3094</v>
      </c>
      <c r="T2" s="4939" t="s">
        <v>3077</v>
      </c>
      <c r="U2" s="4939" t="s">
        <v>3076</v>
      </c>
      <c r="V2" s="4939"/>
      <c r="W2" s="4939" t="s">
        <v>3075</v>
      </c>
      <c r="X2" s="4939" t="s">
        <v>3074</v>
      </c>
      <c r="Y2" s="4939" t="s">
        <v>3073</v>
      </c>
      <c r="Z2" s="4939" t="s">
        <v>3072</v>
      </c>
    </row>
    <row r="3" spans="1:54" s="2570" customFormat="1">
      <c r="A3" s="4945"/>
      <c r="B3" s="4946"/>
      <c r="C3" s="4947"/>
      <c r="D3" s="4940"/>
      <c r="E3" s="2647" t="s">
        <v>3071</v>
      </c>
      <c r="F3" s="2647" t="s">
        <v>3070</v>
      </c>
      <c r="G3" s="2649" t="s">
        <v>3069</v>
      </c>
      <c r="H3" s="2662" t="s">
        <v>3087</v>
      </c>
      <c r="I3" s="2647" t="s">
        <v>1549</v>
      </c>
      <c r="J3" s="2647" t="s">
        <v>3089</v>
      </c>
      <c r="K3" s="4939"/>
      <c r="L3" s="4943"/>
      <c r="M3" s="2648" t="s">
        <v>3026</v>
      </c>
      <c r="N3" s="2651" t="s">
        <v>3068</v>
      </c>
      <c r="O3" s="4941"/>
      <c r="P3" s="4939"/>
      <c r="Q3" s="4939"/>
      <c r="R3" s="4939"/>
      <c r="S3" s="4939"/>
      <c r="T3" s="4939"/>
      <c r="U3" s="2650" t="s">
        <v>3067</v>
      </c>
      <c r="V3" s="2650" t="s">
        <v>3066</v>
      </c>
      <c r="W3" s="4939"/>
      <c r="X3" s="4939"/>
      <c r="Y3" s="4939"/>
      <c r="Z3" s="4939"/>
    </row>
    <row r="4" spans="1:54" s="2570" customFormat="1">
      <c r="A4" s="2708"/>
      <c r="B4" s="2709"/>
      <c r="C4" s="2716" t="s">
        <v>3065</v>
      </c>
      <c r="D4" s="2710"/>
      <c r="E4" s="2711"/>
      <c r="F4" s="2711"/>
      <c r="G4" s="2712"/>
      <c r="H4" s="2711"/>
      <c r="I4" s="2711"/>
      <c r="J4" s="2711"/>
      <c r="K4" s="2713"/>
      <c r="L4" s="2713"/>
      <c r="M4" s="2714"/>
      <c r="N4" s="2715"/>
      <c r="O4" s="2711"/>
      <c r="P4" s="2713"/>
      <c r="Q4" s="2713"/>
      <c r="R4" s="2713"/>
      <c r="S4" s="2713"/>
      <c r="T4" s="2513"/>
      <c r="U4" s="2713"/>
      <c r="V4" s="2713"/>
      <c r="W4" s="2713"/>
      <c r="X4" s="2513"/>
      <c r="Y4" s="2713"/>
      <c r="Z4" s="2713"/>
    </row>
    <row r="5" spans="1:54" s="98" customFormat="1">
      <c r="A5" s="2523" t="s">
        <v>1074</v>
      </c>
      <c r="B5" s="2522" t="s">
        <v>1357</v>
      </c>
      <c r="C5" s="2747" t="s">
        <v>3064</v>
      </c>
      <c r="D5" s="2607"/>
      <c r="E5" s="2663">
        <v>1</v>
      </c>
      <c r="F5" s="2669"/>
      <c r="G5" s="2663"/>
      <c r="H5" s="2677"/>
      <c r="I5" s="2688" t="s">
        <v>3091</v>
      </c>
      <c r="J5" s="2519"/>
      <c r="K5" s="2585"/>
      <c r="L5" s="2585"/>
      <c r="M5" s="2726">
        <f t="shared" ref="M5:M11" si="0">E5</f>
        <v>1</v>
      </c>
      <c r="N5" s="2517">
        <f t="shared" ref="N5:N67" si="1">D5*M5</f>
        <v>0</v>
      </c>
      <c r="O5" s="2519"/>
      <c r="P5" s="2564" t="s">
        <v>3058</v>
      </c>
      <c r="Q5" s="2564" t="s">
        <v>3057</v>
      </c>
      <c r="R5" s="2659">
        <v>23.3</v>
      </c>
      <c r="S5" s="2744">
        <v>40</v>
      </c>
      <c r="T5" s="2513">
        <f t="shared" ref="T5:T67" si="2">M5*R5*D5</f>
        <v>0</v>
      </c>
      <c r="U5" s="2512">
        <v>0.873</v>
      </c>
      <c r="V5" s="2512">
        <v>0.104</v>
      </c>
      <c r="W5" s="2553">
        <v>1.3440000000000001</v>
      </c>
      <c r="X5" s="2510">
        <f t="shared" ref="X5:X67" si="3">M5*W5*D5</f>
        <v>0</v>
      </c>
      <c r="Y5" s="2553">
        <v>1.45</v>
      </c>
      <c r="Z5" s="2553">
        <v>2.8069999999999999</v>
      </c>
    </row>
    <row r="6" spans="1:54" s="98" customFormat="1">
      <c r="A6" s="2523" t="s">
        <v>1075</v>
      </c>
      <c r="B6" s="2522" t="s">
        <v>1357</v>
      </c>
      <c r="C6" s="2747" t="s">
        <v>1822</v>
      </c>
      <c r="D6" s="2607">
        <f>'[7]Precios Recuperación (PUSD)'!$I$1026</f>
        <v>36.963300000000004</v>
      </c>
      <c r="E6" s="2663">
        <v>1</v>
      </c>
      <c r="F6" s="2669"/>
      <c r="G6" s="2663"/>
      <c r="H6" s="2677"/>
      <c r="I6" s="2688" t="s">
        <v>3091</v>
      </c>
      <c r="J6" s="2519"/>
      <c r="K6" s="2587"/>
      <c r="L6" s="2587"/>
      <c r="M6" s="2726">
        <f t="shared" si="0"/>
        <v>1</v>
      </c>
      <c r="N6" s="2517">
        <f t="shared" si="1"/>
        <v>36.963300000000004</v>
      </c>
      <c r="O6" s="2519"/>
      <c r="P6" s="2564" t="s">
        <v>3058</v>
      </c>
      <c r="Q6" s="2564" t="s">
        <v>3057</v>
      </c>
      <c r="R6" s="2659">
        <v>23.3</v>
      </c>
      <c r="S6" s="2744">
        <v>40</v>
      </c>
      <c r="T6" s="2513">
        <f t="shared" si="2"/>
        <v>861.24489000000017</v>
      </c>
      <c r="U6" s="2512">
        <v>0.873</v>
      </c>
      <c r="V6" s="2512">
        <v>0.104</v>
      </c>
      <c r="W6" s="2553">
        <v>1.3440000000000001</v>
      </c>
      <c r="X6" s="2510">
        <f t="shared" si="3"/>
        <v>49.678675200000008</v>
      </c>
      <c r="Y6" s="2553">
        <v>1.45</v>
      </c>
      <c r="Z6" s="2553">
        <v>2.8069999999999999</v>
      </c>
    </row>
    <row r="7" spans="1:54" ht="15" customHeight="1">
      <c r="A7" s="2523" t="s">
        <v>1533</v>
      </c>
      <c r="B7" s="2543" t="s">
        <v>1357</v>
      </c>
      <c r="C7" s="2748" t="s">
        <v>1725</v>
      </c>
      <c r="D7" s="2607">
        <f>'[7]Precios Recuperación (PUSD)'!$H$851</f>
        <v>1.2075</v>
      </c>
      <c r="E7" s="2663">
        <v>1</v>
      </c>
      <c r="F7" s="2669"/>
      <c r="G7" s="2663"/>
      <c r="H7" s="2677"/>
      <c r="I7" s="2688" t="s">
        <v>3091</v>
      </c>
      <c r="J7" s="2519"/>
      <c r="K7" s="2587"/>
      <c r="L7" s="2587"/>
      <c r="M7" s="2726">
        <f t="shared" si="0"/>
        <v>1</v>
      </c>
      <c r="N7" s="2517">
        <f t="shared" si="1"/>
        <v>1.2075</v>
      </c>
      <c r="O7" s="2519"/>
      <c r="P7" s="2564" t="s">
        <v>3058</v>
      </c>
      <c r="Q7" s="2564" t="s">
        <v>3057</v>
      </c>
      <c r="R7" s="2659">
        <v>23.3</v>
      </c>
      <c r="S7" s="2744">
        <v>40</v>
      </c>
      <c r="T7" s="2513">
        <f t="shared" si="2"/>
        <v>28.13475</v>
      </c>
      <c r="U7" s="2512">
        <v>0.873</v>
      </c>
      <c r="V7" s="2512">
        <v>0.104</v>
      </c>
      <c r="W7" s="2553">
        <v>1.3440000000000001</v>
      </c>
      <c r="X7" s="2510">
        <f t="shared" si="3"/>
        <v>1.6228800000000001</v>
      </c>
      <c r="Y7" s="2553">
        <v>1.45</v>
      </c>
      <c r="Z7" s="2553">
        <v>2.8069999999999999</v>
      </c>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row>
    <row r="8" spans="1:54" ht="15" customHeight="1">
      <c r="A8" s="2523" t="s">
        <v>1724</v>
      </c>
      <c r="B8" s="2543" t="s">
        <v>1357</v>
      </c>
      <c r="C8" s="2748" t="s">
        <v>1725</v>
      </c>
      <c r="D8" s="2607">
        <f>'[7]Precios Recuperación (PUSD)'!$H$851</f>
        <v>1.2075</v>
      </c>
      <c r="E8" s="2663">
        <v>1</v>
      </c>
      <c r="F8" s="2669"/>
      <c r="G8" s="2663"/>
      <c r="H8" s="2677"/>
      <c r="I8" s="2688" t="s">
        <v>3091</v>
      </c>
      <c r="J8" s="2519"/>
      <c r="K8" s="2587"/>
      <c r="L8" s="2587"/>
      <c r="M8" s="2726">
        <f t="shared" si="0"/>
        <v>1</v>
      </c>
      <c r="N8" s="2517">
        <f t="shared" si="1"/>
        <v>1.2075</v>
      </c>
      <c r="O8" s="2519"/>
      <c r="P8" s="2564" t="s">
        <v>3058</v>
      </c>
      <c r="Q8" s="2564" t="s">
        <v>3057</v>
      </c>
      <c r="R8" s="2659">
        <v>23.3</v>
      </c>
      <c r="S8" s="2744">
        <v>40</v>
      </c>
      <c r="T8" s="2513">
        <f t="shared" si="2"/>
        <v>28.13475</v>
      </c>
      <c r="U8" s="2512">
        <v>0.873</v>
      </c>
      <c r="V8" s="2512">
        <v>0.104</v>
      </c>
      <c r="W8" s="2553">
        <v>1.3440000000000001</v>
      </c>
      <c r="X8" s="2510">
        <f t="shared" si="3"/>
        <v>1.6228800000000001</v>
      </c>
      <c r="Y8" s="2553">
        <v>1.45</v>
      </c>
      <c r="Z8" s="2553">
        <v>2.8069999999999999</v>
      </c>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row>
    <row r="9" spans="1:54" ht="15" customHeight="1">
      <c r="A9" s="2523" t="s">
        <v>2643</v>
      </c>
      <c r="B9" s="2522" t="s">
        <v>1357</v>
      </c>
      <c r="C9" s="2747" t="s">
        <v>2644</v>
      </c>
      <c r="D9" s="2607"/>
      <c r="E9" s="2663">
        <v>1</v>
      </c>
      <c r="F9" s="2669"/>
      <c r="G9" s="2663"/>
      <c r="H9" s="2677"/>
      <c r="I9" s="2688" t="s">
        <v>3091</v>
      </c>
      <c r="J9" s="2519"/>
      <c r="K9" s="2585"/>
      <c r="L9" s="2585"/>
      <c r="M9" s="2726">
        <f t="shared" si="0"/>
        <v>1</v>
      </c>
      <c r="N9" s="2517">
        <f t="shared" si="1"/>
        <v>0</v>
      </c>
      <c r="O9" s="2519"/>
      <c r="P9" s="2564" t="s">
        <v>3058</v>
      </c>
      <c r="Q9" s="2564" t="s">
        <v>3057</v>
      </c>
      <c r="R9" s="2659">
        <v>23.3</v>
      </c>
      <c r="S9" s="2744">
        <v>40</v>
      </c>
      <c r="T9" s="2513">
        <f t="shared" si="2"/>
        <v>0</v>
      </c>
      <c r="U9" s="2512">
        <v>0.873</v>
      </c>
      <c r="V9" s="2512">
        <v>0.104</v>
      </c>
      <c r="W9" s="2553">
        <v>1.3440000000000001</v>
      </c>
      <c r="X9" s="2510">
        <f t="shared" si="3"/>
        <v>0</v>
      </c>
      <c r="Y9" s="2553"/>
      <c r="Z9" s="2553"/>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row>
    <row r="10" spans="1:54" ht="15" customHeight="1">
      <c r="A10" s="2523" t="s">
        <v>2697</v>
      </c>
      <c r="B10" s="2522" t="s">
        <v>1357</v>
      </c>
      <c r="C10" s="2747" t="s">
        <v>2698</v>
      </c>
      <c r="D10" s="2607"/>
      <c r="E10" s="2663">
        <v>1</v>
      </c>
      <c r="F10" s="2669"/>
      <c r="G10" s="2663"/>
      <c r="H10" s="2677"/>
      <c r="I10" s="2688" t="s">
        <v>3091</v>
      </c>
      <c r="J10" s="2519"/>
      <c r="K10" s="2585"/>
      <c r="L10" s="2585"/>
      <c r="M10" s="2726">
        <f t="shared" si="0"/>
        <v>1</v>
      </c>
      <c r="N10" s="2517">
        <f t="shared" si="1"/>
        <v>0</v>
      </c>
      <c r="O10" s="2519"/>
      <c r="P10" s="2564" t="s">
        <v>3058</v>
      </c>
      <c r="Q10" s="2564" t="s">
        <v>3057</v>
      </c>
      <c r="R10" s="2659">
        <v>23.3</v>
      </c>
      <c r="S10" s="2744">
        <v>40</v>
      </c>
      <c r="T10" s="2513">
        <f t="shared" si="2"/>
        <v>0</v>
      </c>
      <c r="U10" s="2512">
        <v>0.873</v>
      </c>
      <c r="V10" s="2512">
        <v>0.104</v>
      </c>
      <c r="W10" s="2553">
        <v>1.3440000000000001</v>
      </c>
      <c r="X10" s="2510">
        <f t="shared" si="3"/>
        <v>0</v>
      </c>
      <c r="Y10" s="2553"/>
      <c r="Z10" s="2553"/>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row>
    <row r="11" spans="1:54" ht="15" customHeight="1">
      <c r="A11" s="2523" t="s">
        <v>1090</v>
      </c>
      <c r="B11" s="2543" t="s">
        <v>1357</v>
      </c>
      <c r="C11" s="2748" t="s">
        <v>1723</v>
      </c>
      <c r="D11" s="2646">
        <f>'[7]Precios Recuperación (PUSD)'!$H$850</f>
        <v>1.0500000000000002E-3</v>
      </c>
      <c r="E11" s="2663">
        <v>1</v>
      </c>
      <c r="F11" s="2669"/>
      <c r="G11" s="2663"/>
      <c r="H11" s="2677"/>
      <c r="I11" s="2688" t="s">
        <v>3091</v>
      </c>
      <c r="J11" s="2519"/>
      <c r="K11" s="2585"/>
      <c r="L11" s="2585"/>
      <c r="M11" s="2726">
        <f t="shared" si="0"/>
        <v>1</v>
      </c>
      <c r="N11" s="2517">
        <f t="shared" si="1"/>
        <v>1.0500000000000002E-3</v>
      </c>
      <c r="O11" s="2519"/>
      <c r="P11" s="2564" t="s">
        <v>3058</v>
      </c>
      <c r="Q11" s="2564" t="s">
        <v>3057</v>
      </c>
      <c r="R11" s="2659">
        <v>23.3</v>
      </c>
      <c r="S11" s="2744">
        <v>40</v>
      </c>
      <c r="T11" s="2513">
        <f t="shared" si="2"/>
        <v>2.4465000000000004E-2</v>
      </c>
      <c r="U11" s="2512">
        <v>0.873</v>
      </c>
      <c r="V11" s="2512">
        <v>0.104</v>
      </c>
      <c r="W11" s="2553">
        <v>1.3440000000000001</v>
      </c>
      <c r="X11" s="2510">
        <f t="shared" si="3"/>
        <v>1.4112000000000003E-3</v>
      </c>
      <c r="Y11" s="2553">
        <v>1.45</v>
      </c>
      <c r="Z11" s="2553">
        <v>2.8069999999999999</v>
      </c>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row>
    <row r="12" spans="1:54" ht="15" customHeight="1">
      <c r="A12" s="2523" t="s">
        <v>1395</v>
      </c>
      <c r="B12" s="2522" t="s">
        <v>1527</v>
      </c>
      <c r="C12" s="2747" t="s">
        <v>3063</v>
      </c>
      <c r="D12" s="2607">
        <f>'[7]Precios Recuperación (PUSD)'!$I$587</f>
        <v>5679.2</v>
      </c>
      <c r="E12" s="2664">
        <v>3.1415000000000002</v>
      </c>
      <c r="F12" s="2669">
        <v>0.06</v>
      </c>
      <c r="G12" s="2664">
        <v>5.4999999999999997E-3</v>
      </c>
      <c r="H12" s="2677">
        <v>78.5</v>
      </c>
      <c r="I12" s="2688" t="s">
        <v>2900</v>
      </c>
      <c r="J12" s="2509">
        <f>E12*F12*G12*H12</f>
        <v>8.1380557499999978E-2</v>
      </c>
      <c r="K12" s="2519">
        <v>101.97</v>
      </c>
      <c r="L12" s="2519"/>
      <c r="M12" s="2726">
        <f>J12*K12</f>
        <v>8.2983754482749976</v>
      </c>
      <c r="N12" s="2517">
        <f t="shared" si="1"/>
        <v>47128.133845843367</v>
      </c>
      <c r="O12" s="2519" t="s">
        <v>2899</v>
      </c>
      <c r="P12" s="2564" t="s">
        <v>3058</v>
      </c>
      <c r="Q12" s="2564" t="s">
        <v>3057</v>
      </c>
      <c r="R12" s="2659">
        <v>23.3</v>
      </c>
      <c r="S12" s="2744">
        <v>40</v>
      </c>
      <c r="T12" s="2513">
        <f t="shared" si="2"/>
        <v>1098085.5186081505</v>
      </c>
      <c r="U12" s="2512">
        <v>0.873</v>
      </c>
      <c r="V12" s="2512">
        <v>0.104</v>
      </c>
      <c r="W12" s="2553">
        <v>1.3440000000000001</v>
      </c>
      <c r="X12" s="2510">
        <f t="shared" si="3"/>
        <v>63340.211888813486</v>
      </c>
      <c r="Y12" s="2553">
        <v>1.45</v>
      </c>
      <c r="Z12" s="2553">
        <v>2.8069999999999999</v>
      </c>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row>
    <row r="13" spans="1:54" ht="15" customHeight="1">
      <c r="A13" s="2523" t="s">
        <v>2701</v>
      </c>
      <c r="B13" s="2522" t="s">
        <v>1357</v>
      </c>
      <c r="C13" s="2747" t="s">
        <v>2702</v>
      </c>
      <c r="D13" s="2607"/>
      <c r="E13" s="2663">
        <v>1</v>
      </c>
      <c r="F13" s="2669"/>
      <c r="G13" s="2663"/>
      <c r="H13" s="2677"/>
      <c r="I13" s="2688" t="s">
        <v>3091</v>
      </c>
      <c r="J13" s="2519"/>
      <c r="K13" s="2519"/>
      <c r="L13" s="2519"/>
      <c r="M13" s="2726">
        <f>E13</f>
        <v>1</v>
      </c>
      <c r="N13" s="2517">
        <f t="shared" si="1"/>
        <v>0</v>
      </c>
      <c r="O13" s="2519"/>
      <c r="P13" s="2564" t="s">
        <v>3058</v>
      </c>
      <c r="Q13" s="2564" t="s">
        <v>3057</v>
      </c>
      <c r="R13" s="2659">
        <v>23.3</v>
      </c>
      <c r="S13" s="2744">
        <v>40</v>
      </c>
      <c r="T13" s="2513">
        <f t="shared" si="2"/>
        <v>0</v>
      </c>
      <c r="U13" s="2512">
        <v>0.873</v>
      </c>
      <c r="V13" s="2512">
        <v>0.104</v>
      </c>
      <c r="W13" s="2553">
        <v>1.3440000000000001</v>
      </c>
      <c r="X13" s="2510">
        <f t="shared" si="3"/>
        <v>0</v>
      </c>
      <c r="Y13" s="2553"/>
      <c r="Z13" s="2553"/>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row>
    <row r="14" spans="1:54" ht="15" customHeight="1">
      <c r="A14" s="2523" t="s">
        <v>2794</v>
      </c>
      <c r="B14" s="2522" t="s">
        <v>1504</v>
      </c>
      <c r="C14" s="2747" t="s">
        <v>2795</v>
      </c>
      <c r="D14" s="2607"/>
      <c r="E14" s="2664">
        <v>3</v>
      </c>
      <c r="F14" s="2669">
        <v>8.0000000000000002E-3</v>
      </c>
      <c r="G14" s="2664">
        <v>0.05</v>
      </c>
      <c r="H14" s="2677">
        <v>78.5</v>
      </c>
      <c r="I14" s="2688" t="s">
        <v>2900</v>
      </c>
      <c r="J14" s="2509">
        <f>E14*F14*G14*H14</f>
        <v>9.4200000000000006E-2</v>
      </c>
      <c r="K14" s="2519">
        <v>101.97</v>
      </c>
      <c r="L14" s="2519"/>
      <c r="M14" s="2726">
        <f>J14*K14</f>
        <v>9.6055740000000007</v>
      </c>
      <c r="N14" s="2517">
        <f t="shared" si="1"/>
        <v>0</v>
      </c>
      <c r="O14" s="2519" t="s">
        <v>2899</v>
      </c>
      <c r="P14" s="2564" t="s">
        <v>3058</v>
      </c>
      <c r="Q14" s="2564" t="s">
        <v>3057</v>
      </c>
      <c r="R14" s="2659">
        <v>23.3</v>
      </c>
      <c r="S14" s="2744">
        <v>40</v>
      </c>
      <c r="T14" s="2513">
        <f t="shared" si="2"/>
        <v>0</v>
      </c>
      <c r="U14" s="2512">
        <v>0.873</v>
      </c>
      <c r="V14" s="2512">
        <v>0.104</v>
      </c>
      <c r="W14" s="2553">
        <v>1.3440000000000001</v>
      </c>
      <c r="X14" s="2510">
        <f t="shared" si="3"/>
        <v>0</v>
      </c>
      <c r="Y14" s="2553">
        <v>1.45</v>
      </c>
      <c r="Z14" s="2553">
        <v>2.8069999999999999</v>
      </c>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row>
    <row r="15" spans="1:54" ht="15" customHeight="1">
      <c r="A15" s="2539" t="s">
        <v>2761</v>
      </c>
      <c r="B15" s="2533" t="s">
        <v>1504</v>
      </c>
      <c r="C15" s="2522" t="s">
        <v>2762</v>
      </c>
      <c r="D15" s="2531"/>
      <c r="E15" s="2665"/>
      <c r="F15" s="2670"/>
      <c r="G15" s="2665"/>
      <c r="H15" s="2678"/>
      <c r="I15" s="2687"/>
      <c r="J15" s="2509"/>
      <c r="K15" s="2538"/>
      <c r="L15" s="2538"/>
      <c r="M15" s="2727"/>
      <c r="N15" s="2517">
        <f t="shared" si="1"/>
        <v>0</v>
      </c>
      <c r="O15" s="2527"/>
      <c r="P15" s="2526"/>
      <c r="Q15" s="2526"/>
      <c r="R15" s="2520"/>
      <c r="S15" s="2520"/>
      <c r="T15" s="2513">
        <f t="shared" si="2"/>
        <v>0</v>
      </c>
      <c r="U15" s="2512"/>
      <c r="V15" s="2512"/>
      <c r="W15" s="2524"/>
      <c r="X15" s="2510">
        <f t="shared" si="3"/>
        <v>0</v>
      </c>
      <c r="Y15" s="2524"/>
      <c r="Z15" s="2524"/>
    </row>
    <row r="16" spans="1:54" ht="15" customHeight="1">
      <c r="A16" s="2539" t="s">
        <v>2731</v>
      </c>
      <c r="B16" s="2533" t="s">
        <v>1504</v>
      </c>
      <c r="C16" s="2522" t="s">
        <v>2732</v>
      </c>
      <c r="D16" s="2531"/>
      <c r="E16" s="2665"/>
      <c r="F16" s="2670"/>
      <c r="G16" s="2665"/>
      <c r="H16" s="2678"/>
      <c r="I16" s="2687"/>
      <c r="J16" s="2509"/>
      <c r="K16" s="2538"/>
      <c r="L16" s="2538"/>
      <c r="M16" s="2727"/>
      <c r="N16" s="2517">
        <f t="shared" si="1"/>
        <v>0</v>
      </c>
      <c r="O16" s="2527"/>
      <c r="P16" s="2526"/>
      <c r="Q16" s="2526"/>
      <c r="R16" s="2693"/>
      <c r="S16" s="2693"/>
      <c r="T16" s="2513">
        <f t="shared" si="2"/>
        <v>0</v>
      </c>
      <c r="U16" s="2512"/>
      <c r="V16" s="2512"/>
      <c r="W16" s="2553"/>
      <c r="X16" s="2510">
        <f t="shared" si="3"/>
        <v>0</v>
      </c>
      <c r="Y16" s="2553"/>
      <c r="Z16" s="2553"/>
    </row>
    <row r="17" spans="1:54" ht="15" customHeight="1">
      <c r="A17" s="2535" t="s">
        <v>2655</v>
      </c>
      <c r="B17" s="2533" t="s">
        <v>1504</v>
      </c>
      <c r="C17" s="2522" t="s">
        <v>2656</v>
      </c>
      <c r="D17" s="2531"/>
      <c r="E17" s="2663">
        <v>0.05</v>
      </c>
      <c r="F17" s="2669">
        <v>0.05</v>
      </c>
      <c r="G17" s="2663">
        <v>0.01</v>
      </c>
      <c r="H17" s="2679">
        <v>78.5</v>
      </c>
      <c r="I17" s="2688" t="s">
        <v>2900</v>
      </c>
      <c r="J17" s="2509">
        <f t="shared" ref="J17:J152" si="4">E17*F17*G17*H17</f>
        <v>1.9625000000000003E-3</v>
      </c>
      <c r="K17" s="2519">
        <v>101.97</v>
      </c>
      <c r="L17" s="2519"/>
      <c r="M17" s="2726">
        <f t="shared" ref="M17:M46" si="5">J17*K17</f>
        <v>0.20011612500000003</v>
      </c>
      <c r="N17" s="2517">
        <f t="shared" si="1"/>
        <v>0</v>
      </c>
      <c r="O17" s="2519" t="s">
        <v>2899</v>
      </c>
      <c r="P17" s="2564" t="s">
        <v>2898</v>
      </c>
      <c r="Q17" s="2526"/>
      <c r="R17" s="2693">
        <v>68.3</v>
      </c>
      <c r="S17" s="2693"/>
      <c r="T17" s="2513">
        <f t="shared" si="2"/>
        <v>0</v>
      </c>
      <c r="U17" s="2512">
        <v>0.77549999999999997</v>
      </c>
      <c r="V17" s="2512">
        <v>0.17710000000000001</v>
      </c>
      <c r="W17" s="2553">
        <v>3.8839999999999999</v>
      </c>
      <c r="X17" s="2510">
        <f t="shared" si="3"/>
        <v>0</v>
      </c>
      <c r="Y17" s="2553">
        <v>4.13</v>
      </c>
      <c r="Z17" s="2553">
        <v>22.475000000000001</v>
      </c>
    </row>
    <row r="18" spans="1:54" s="98" customFormat="1">
      <c r="A18" s="2535" t="s">
        <v>2662</v>
      </c>
      <c r="B18" s="2533" t="s">
        <v>1504</v>
      </c>
      <c r="C18" s="2522" t="s">
        <v>2663</v>
      </c>
      <c r="D18" s="2531"/>
      <c r="E18" s="2663">
        <v>0.05</v>
      </c>
      <c r="F18" s="2669">
        <v>0.05</v>
      </c>
      <c r="G18" s="2663">
        <v>1.2E-2</v>
      </c>
      <c r="H18" s="2679">
        <v>78.5</v>
      </c>
      <c r="I18" s="2688" t="s">
        <v>2900</v>
      </c>
      <c r="J18" s="2509">
        <f t="shared" si="4"/>
        <v>2.3550000000000008E-3</v>
      </c>
      <c r="K18" s="2519">
        <v>101.97</v>
      </c>
      <c r="L18" s="2519"/>
      <c r="M18" s="2726">
        <f t="shared" si="5"/>
        <v>0.24013935000000008</v>
      </c>
      <c r="N18" s="2517">
        <f t="shared" si="1"/>
        <v>0</v>
      </c>
      <c r="O18" s="2519" t="s">
        <v>2899</v>
      </c>
      <c r="P18" s="2564" t="s">
        <v>2898</v>
      </c>
      <c r="Q18" s="2526"/>
      <c r="R18" s="2693">
        <v>68.3</v>
      </c>
      <c r="S18" s="2693"/>
      <c r="T18" s="2513">
        <f t="shared" si="2"/>
        <v>0</v>
      </c>
      <c r="U18" s="2512">
        <v>0.77549999999999997</v>
      </c>
      <c r="V18" s="2512">
        <v>0.17710000000000001</v>
      </c>
      <c r="W18" s="2553">
        <v>3.8839999999999999</v>
      </c>
      <c r="X18" s="2510">
        <f t="shared" si="3"/>
        <v>0</v>
      </c>
      <c r="Y18" s="2553">
        <v>4.13</v>
      </c>
      <c r="Z18" s="2553">
        <v>22.475000000000001</v>
      </c>
      <c r="AA18" s="485"/>
      <c r="AB18" s="485"/>
      <c r="AC18" s="485"/>
      <c r="AD18" s="485"/>
      <c r="AE18" s="485"/>
      <c r="AF18" s="485"/>
      <c r="AG18" s="485"/>
      <c r="AH18" s="485"/>
      <c r="AI18" s="485"/>
      <c r="AJ18" s="485"/>
      <c r="AK18" s="485"/>
      <c r="AL18" s="485"/>
      <c r="AM18" s="485"/>
      <c r="AN18" s="485"/>
      <c r="AO18" s="485"/>
      <c r="AP18" s="485"/>
      <c r="AQ18" s="485"/>
      <c r="AR18" s="485"/>
      <c r="AS18" s="485"/>
      <c r="AT18" s="485"/>
      <c r="AU18" s="485"/>
      <c r="AV18" s="485"/>
      <c r="AW18" s="485"/>
      <c r="AX18" s="485"/>
      <c r="AY18" s="485"/>
      <c r="AZ18" s="485"/>
      <c r="BA18" s="485"/>
      <c r="BB18" s="485"/>
    </row>
    <row r="19" spans="1:54" s="98" customFormat="1">
      <c r="A19" s="2535" t="s">
        <v>2688</v>
      </c>
      <c r="B19" s="2533" t="s">
        <v>1504</v>
      </c>
      <c r="C19" s="2522" t="s">
        <v>2689</v>
      </c>
      <c r="D19" s="2531"/>
      <c r="E19" s="2663">
        <v>0.05</v>
      </c>
      <c r="F19" s="2669">
        <v>0.05</v>
      </c>
      <c r="G19" s="2663">
        <v>0.05</v>
      </c>
      <c r="H19" s="2679">
        <v>78.5</v>
      </c>
      <c r="I19" s="2688" t="s">
        <v>2900</v>
      </c>
      <c r="J19" s="2509">
        <f t="shared" si="4"/>
        <v>9.8125000000000018E-3</v>
      </c>
      <c r="K19" s="2519">
        <v>101.97</v>
      </c>
      <c r="L19" s="2519"/>
      <c r="M19" s="2726">
        <f t="shared" si="5"/>
        <v>1.0005806250000002</v>
      </c>
      <c r="N19" s="2517">
        <f t="shared" si="1"/>
        <v>0</v>
      </c>
      <c r="O19" s="2519" t="s">
        <v>2899</v>
      </c>
      <c r="P19" s="2564" t="s">
        <v>2898</v>
      </c>
      <c r="Q19" s="2526"/>
      <c r="R19" s="2693">
        <v>68.3</v>
      </c>
      <c r="S19" s="2693"/>
      <c r="T19" s="2513">
        <f t="shared" si="2"/>
        <v>0</v>
      </c>
      <c r="U19" s="2512">
        <v>0.77549999999999997</v>
      </c>
      <c r="V19" s="2512">
        <v>0.17710000000000001</v>
      </c>
      <c r="W19" s="2553">
        <v>3.8839999999999999</v>
      </c>
      <c r="X19" s="2510">
        <f t="shared" si="3"/>
        <v>0</v>
      </c>
      <c r="Y19" s="2553">
        <v>4.13</v>
      </c>
      <c r="Z19" s="2553">
        <v>22.475000000000001</v>
      </c>
      <c r="AA19" s="485"/>
      <c r="AB19" s="485"/>
      <c r="AC19" s="485"/>
      <c r="AD19" s="485"/>
      <c r="AE19" s="485"/>
      <c r="AF19" s="485"/>
      <c r="AG19" s="485"/>
      <c r="AH19" s="485"/>
      <c r="AI19" s="485"/>
      <c r="AJ19" s="485"/>
      <c r="AK19" s="485"/>
      <c r="AL19" s="485"/>
      <c r="AM19" s="485"/>
      <c r="AN19" s="485"/>
      <c r="AO19" s="485"/>
      <c r="AP19" s="485"/>
      <c r="AQ19" s="485"/>
      <c r="AR19" s="485"/>
      <c r="AS19" s="485"/>
      <c r="AT19" s="485"/>
      <c r="AU19" s="485"/>
      <c r="AV19" s="485"/>
      <c r="AW19" s="485"/>
      <c r="AX19" s="485"/>
      <c r="AY19" s="485"/>
      <c r="AZ19" s="485"/>
      <c r="BA19" s="485"/>
      <c r="BB19" s="485"/>
    </row>
    <row r="20" spans="1:54" s="98" customFormat="1">
      <c r="A20" s="2535" t="s">
        <v>2653</v>
      </c>
      <c r="B20" s="2533" t="s">
        <v>1504</v>
      </c>
      <c r="C20" s="2522" t="s">
        <v>2654</v>
      </c>
      <c r="D20" s="2531"/>
      <c r="E20" s="2663">
        <v>0.05</v>
      </c>
      <c r="F20" s="2669">
        <v>0.05</v>
      </c>
      <c r="G20" s="2663">
        <v>0.05</v>
      </c>
      <c r="H20" s="2679">
        <v>78.5</v>
      </c>
      <c r="I20" s="2688" t="s">
        <v>2900</v>
      </c>
      <c r="J20" s="2509">
        <f t="shared" si="4"/>
        <v>9.8125000000000018E-3</v>
      </c>
      <c r="K20" s="2519">
        <v>101.97</v>
      </c>
      <c r="L20" s="2519"/>
      <c r="M20" s="2726">
        <f t="shared" si="5"/>
        <v>1.0005806250000002</v>
      </c>
      <c r="N20" s="2517">
        <f t="shared" si="1"/>
        <v>0</v>
      </c>
      <c r="O20" s="2519" t="s">
        <v>2899</v>
      </c>
      <c r="P20" s="2564" t="s">
        <v>2898</v>
      </c>
      <c r="Q20" s="2526"/>
      <c r="R20" s="2693">
        <v>68.3</v>
      </c>
      <c r="S20" s="2693"/>
      <c r="T20" s="2513">
        <f t="shared" si="2"/>
        <v>0</v>
      </c>
      <c r="U20" s="2512">
        <v>0.77549999999999997</v>
      </c>
      <c r="V20" s="2512">
        <v>0.17710000000000001</v>
      </c>
      <c r="W20" s="2553">
        <v>3.8839999999999999</v>
      </c>
      <c r="X20" s="2510">
        <f t="shared" si="3"/>
        <v>0</v>
      </c>
      <c r="Y20" s="2553">
        <v>4.13</v>
      </c>
      <c r="Z20" s="2553">
        <v>22.475000000000001</v>
      </c>
      <c r="AA20" s="485"/>
      <c r="AB20" s="485"/>
      <c r="AC20" s="485"/>
      <c r="AD20" s="485"/>
      <c r="AE20" s="485"/>
      <c r="AF20" s="485"/>
      <c r="AG20" s="485"/>
      <c r="AH20" s="485"/>
      <c r="AI20" s="485"/>
      <c r="AJ20" s="485"/>
      <c r="AK20" s="485"/>
      <c r="AL20" s="485"/>
      <c r="AM20" s="485"/>
      <c r="AN20" s="485"/>
      <c r="AO20" s="485"/>
      <c r="AP20" s="485"/>
      <c r="AQ20" s="485"/>
      <c r="AR20" s="485"/>
      <c r="AS20" s="485"/>
      <c r="AT20" s="485"/>
      <c r="AU20" s="485"/>
      <c r="AV20" s="485"/>
      <c r="AW20" s="485"/>
      <c r="AX20" s="485"/>
      <c r="AY20" s="485"/>
      <c r="AZ20" s="485"/>
      <c r="BA20" s="485"/>
      <c r="BB20" s="485"/>
    </row>
    <row r="21" spans="1:54" s="98" customFormat="1">
      <c r="A21" s="2523" t="s">
        <v>2676</v>
      </c>
      <c r="B21" s="2522" t="s">
        <v>1527</v>
      </c>
      <c r="C21" s="2522" t="s">
        <v>2677</v>
      </c>
      <c r="D21" s="2607"/>
      <c r="E21" s="2663">
        <v>3.1415000000000002</v>
      </c>
      <c r="F21" s="2669">
        <v>1.72E-2</v>
      </c>
      <c r="G21" s="2663">
        <v>2.3500000000000001E-3</v>
      </c>
      <c r="H21" s="2679">
        <v>78.5</v>
      </c>
      <c r="I21" s="2688" t="s">
        <v>2900</v>
      </c>
      <c r="J21" s="2509">
        <f t="shared" si="4"/>
        <v>9.9678852550000013E-3</v>
      </c>
      <c r="K21" s="2519">
        <v>101.97</v>
      </c>
      <c r="L21" s="2519"/>
      <c r="M21" s="2726">
        <f t="shared" si="5"/>
        <v>1.0164252594523502</v>
      </c>
      <c r="N21" s="2517">
        <f t="shared" si="1"/>
        <v>0</v>
      </c>
      <c r="O21" s="2519" t="s">
        <v>2899</v>
      </c>
      <c r="P21" s="2564" t="s">
        <v>3062</v>
      </c>
      <c r="Q21" s="2564"/>
      <c r="R21" s="2693">
        <v>33.159999999999997</v>
      </c>
      <c r="S21" s="2693"/>
      <c r="T21" s="2513">
        <f t="shared" si="2"/>
        <v>0</v>
      </c>
      <c r="U21" s="2512">
        <v>0.8286</v>
      </c>
      <c r="V21" s="2512">
        <v>0.12959999999999999</v>
      </c>
      <c r="W21" s="2553">
        <v>1.972</v>
      </c>
      <c r="X21" s="2510">
        <f t="shared" si="3"/>
        <v>0</v>
      </c>
      <c r="Y21" s="2553">
        <v>2.1240000000000001</v>
      </c>
      <c r="Z21" s="2553">
        <v>8.9480000000000004</v>
      </c>
    </row>
    <row r="22" spans="1:54" s="98" customFormat="1">
      <c r="A22" s="2523" t="s">
        <v>2680</v>
      </c>
      <c r="B22" s="2522" t="s">
        <v>1527</v>
      </c>
      <c r="C22" s="2522" t="s">
        <v>2681</v>
      </c>
      <c r="D22" s="2607"/>
      <c r="E22" s="2663">
        <v>3.1415000000000002</v>
      </c>
      <c r="F22" s="2669">
        <v>2.1299999999999999E-2</v>
      </c>
      <c r="G22" s="2663">
        <v>2.6499999999999999E-2</v>
      </c>
      <c r="H22" s="2679">
        <v>78.5</v>
      </c>
      <c r="I22" s="2688" t="s">
        <v>2900</v>
      </c>
      <c r="J22" s="2509">
        <f t="shared" si="4"/>
        <v>0.1391977444875</v>
      </c>
      <c r="K22" s="2519">
        <v>101.97</v>
      </c>
      <c r="L22" s="2519"/>
      <c r="M22" s="2726">
        <f t="shared" si="5"/>
        <v>14.193994005390374</v>
      </c>
      <c r="N22" s="2517">
        <f t="shared" si="1"/>
        <v>0</v>
      </c>
      <c r="O22" s="2519" t="s">
        <v>2899</v>
      </c>
      <c r="P22" s="2564" t="s">
        <v>3062</v>
      </c>
      <c r="Q22" s="2564"/>
      <c r="R22" s="2693">
        <v>33.159999999999997</v>
      </c>
      <c r="S22" s="2693"/>
      <c r="T22" s="2513">
        <f t="shared" si="2"/>
        <v>0</v>
      </c>
      <c r="U22" s="2512">
        <v>0.8286</v>
      </c>
      <c r="V22" s="2512">
        <v>0.12959999999999999</v>
      </c>
      <c r="W22" s="2553">
        <v>1.972</v>
      </c>
      <c r="X22" s="2510">
        <f t="shared" si="3"/>
        <v>0</v>
      </c>
      <c r="Y22" s="2553">
        <v>2.1240000000000001</v>
      </c>
      <c r="Z22" s="2553">
        <v>8.9480000000000004</v>
      </c>
    </row>
    <row r="23" spans="1:54" s="98" customFormat="1">
      <c r="A23" s="2523" t="s">
        <v>2684</v>
      </c>
      <c r="B23" s="2522" t="s">
        <v>1527</v>
      </c>
      <c r="C23" s="2522" t="s">
        <v>2685</v>
      </c>
      <c r="D23" s="2607"/>
      <c r="E23" s="2663">
        <v>3.1415000000000002</v>
      </c>
      <c r="F23" s="2669">
        <v>2.69E-2</v>
      </c>
      <c r="G23" s="2663">
        <v>2.6499999999999999E-2</v>
      </c>
      <c r="H23" s="2679">
        <v>78.5</v>
      </c>
      <c r="I23" s="2688" t="s">
        <v>2900</v>
      </c>
      <c r="J23" s="2509">
        <f t="shared" si="4"/>
        <v>0.17579433458750002</v>
      </c>
      <c r="K23" s="2519">
        <v>101.97</v>
      </c>
      <c r="L23" s="2519"/>
      <c r="M23" s="2726">
        <f t="shared" si="5"/>
        <v>17.925748297887377</v>
      </c>
      <c r="N23" s="2517">
        <f t="shared" si="1"/>
        <v>0</v>
      </c>
      <c r="O23" s="2519" t="s">
        <v>2899</v>
      </c>
      <c r="P23" s="2564" t="s">
        <v>3062</v>
      </c>
      <c r="Q23" s="2564"/>
      <c r="R23" s="2693">
        <v>33.159999999999997</v>
      </c>
      <c r="S23" s="2693"/>
      <c r="T23" s="2513">
        <f t="shared" si="2"/>
        <v>0</v>
      </c>
      <c r="U23" s="2512">
        <v>0.8286</v>
      </c>
      <c r="V23" s="2512">
        <v>0.12959999999999999</v>
      </c>
      <c r="W23" s="2553">
        <v>1.972</v>
      </c>
      <c r="X23" s="2510">
        <f t="shared" si="3"/>
        <v>0</v>
      </c>
      <c r="Y23" s="2553">
        <v>2.1240000000000001</v>
      </c>
      <c r="Z23" s="2553">
        <v>8.9480000000000004</v>
      </c>
    </row>
    <row r="24" spans="1:54" s="98" customFormat="1">
      <c r="A24" s="2535" t="s">
        <v>2670</v>
      </c>
      <c r="B24" s="2533" t="s">
        <v>1504</v>
      </c>
      <c r="C24" s="2522" t="s">
        <v>2671</v>
      </c>
      <c r="D24" s="2531"/>
      <c r="E24" s="2663">
        <v>0.1</v>
      </c>
      <c r="F24" s="2669">
        <v>0.05</v>
      </c>
      <c r="G24" s="2663">
        <v>2.5000000000000001E-2</v>
      </c>
      <c r="H24" s="2679">
        <v>78.5</v>
      </c>
      <c r="I24" s="2688" t="s">
        <v>2900</v>
      </c>
      <c r="J24" s="2509">
        <f t="shared" si="4"/>
        <v>9.8125000000000018E-3</v>
      </c>
      <c r="K24" s="2519">
        <v>101.97</v>
      </c>
      <c r="L24" s="2519"/>
      <c r="M24" s="2726">
        <f t="shared" si="5"/>
        <v>1.0005806250000002</v>
      </c>
      <c r="N24" s="2517">
        <f t="shared" si="1"/>
        <v>0</v>
      </c>
      <c r="O24" s="2519" t="s">
        <v>2899</v>
      </c>
      <c r="P24" s="2564" t="s">
        <v>2898</v>
      </c>
      <c r="Q24" s="2526"/>
      <c r="R24" s="2693">
        <v>68.3</v>
      </c>
      <c r="S24" s="2693"/>
      <c r="T24" s="2513">
        <f t="shared" si="2"/>
        <v>0</v>
      </c>
      <c r="U24" s="2512">
        <v>0.77549999999999997</v>
      </c>
      <c r="V24" s="2512">
        <v>0.17710000000000001</v>
      </c>
      <c r="W24" s="2553">
        <v>3.8839999999999999</v>
      </c>
      <c r="X24" s="2510">
        <f t="shared" si="3"/>
        <v>0</v>
      </c>
      <c r="Y24" s="2553">
        <v>4.13</v>
      </c>
      <c r="Z24" s="2553">
        <v>22.475000000000001</v>
      </c>
      <c r="AA24" s="485"/>
      <c r="AB24" s="485"/>
      <c r="AC24" s="485"/>
      <c r="AD24" s="485"/>
      <c r="AE24" s="485"/>
      <c r="AF24" s="485"/>
      <c r="AG24" s="485"/>
      <c r="AH24" s="485"/>
      <c r="AI24" s="485"/>
      <c r="AJ24" s="485"/>
      <c r="AK24" s="485"/>
      <c r="AL24" s="485"/>
      <c r="AM24" s="485"/>
      <c r="AN24" s="485"/>
      <c r="AO24" s="485"/>
      <c r="AP24" s="485"/>
      <c r="AQ24" s="485"/>
      <c r="AR24" s="485"/>
      <c r="AS24" s="485"/>
      <c r="AT24" s="485"/>
      <c r="AU24" s="485"/>
      <c r="AV24" s="485"/>
      <c r="AW24" s="485"/>
      <c r="AX24" s="485"/>
      <c r="AY24" s="485"/>
      <c r="AZ24" s="485"/>
      <c r="BA24" s="485"/>
      <c r="BB24" s="485"/>
    </row>
    <row r="25" spans="1:54" s="98" customFormat="1">
      <c r="A25" s="2523" t="s">
        <v>2770</v>
      </c>
      <c r="B25" s="2522" t="s">
        <v>1504</v>
      </c>
      <c r="C25" s="2522" t="s">
        <v>2771</v>
      </c>
      <c r="D25" s="2607"/>
      <c r="E25" s="2663">
        <v>0.1</v>
      </c>
      <c r="F25" s="2669">
        <v>0.05</v>
      </c>
      <c r="G25" s="2663">
        <v>0.02</v>
      </c>
      <c r="H25" s="2679">
        <v>78.5</v>
      </c>
      <c r="I25" s="2688" t="s">
        <v>2900</v>
      </c>
      <c r="J25" s="2509">
        <f t="shared" si="4"/>
        <v>7.8500000000000011E-3</v>
      </c>
      <c r="K25" s="2519">
        <v>101.97</v>
      </c>
      <c r="L25" s="2519"/>
      <c r="M25" s="2726">
        <f t="shared" si="5"/>
        <v>0.80046450000000013</v>
      </c>
      <c r="N25" s="2517">
        <f t="shared" si="1"/>
        <v>0</v>
      </c>
      <c r="O25" s="2519" t="s">
        <v>2899</v>
      </c>
      <c r="P25" s="2564" t="s">
        <v>2898</v>
      </c>
      <c r="Q25" s="2526"/>
      <c r="R25" s="2693">
        <v>68.3</v>
      </c>
      <c r="S25" s="2693"/>
      <c r="T25" s="2513">
        <f t="shared" si="2"/>
        <v>0</v>
      </c>
      <c r="U25" s="2512">
        <v>0.77549999999999997</v>
      </c>
      <c r="V25" s="2512">
        <v>0.17710000000000001</v>
      </c>
      <c r="W25" s="2553">
        <v>3.8839999999999999</v>
      </c>
      <c r="X25" s="2510">
        <f t="shared" si="3"/>
        <v>0</v>
      </c>
      <c r="Y25" s="2553">
        <v>4.13</v>
      </c>
      <c r="Z25" s="2553">
        <v>22.475000000000001</v>
      </c>
    </row>
    <row r="26" spans="1:54" s="98" customFormat="1">
      <c r="A26" s="2523" t="s">
        <v>2647</v>
      </c>
      <c r="B26" s="2522" t="s">
        <v>1504</v>
      </c>
      <c r="C26" s="2522" t="s">
        <v>2648</v>
      </c>
      <c r="D26" s="2607"/>
      <c r="E26" s="2664">
        <v>1.7999999999999999E-2</v>
      </c>
      <c r="F26" s="2669">
        <v>0.01</v>
      </c>
      <c r="G26" s="2664"/>
      <c r="H26" s="2679">
        <v>78.5</v>
      </c>
      <c r="I26" s="2688" t="s">
        <v>2900</v>
      </c>
      <c r="J26" s="2509">
        <f>E26*F26*H26</f>
        <v>1.4129999999999998E-2</v>
      </c>
      <c r="K26" s="2519">
        <v>101.97</v>
      </c>
      <c r="L26" s="2519"/>
      <c r="M26" s="2726">
        <f t="shared" si="5"/>
        <v>1.4408360999999998</v>
      </c>
      <c r="N26" s="2517">
        <f t="shared" si="1"/>
        <v>0</v>
      </c>
      <c r="O26" s="2519" t="s">
        <v>2899</v>
      </c>
      <c r="P26" s="2564" t="s">
        <v>2898</v>
      </c>
      <c r="Q26" s="2526"/>
      <c r="R26" s="2693">
        <v>68.3</v>
      </c>
      <c r="S26" s="2693"/>
      <c r="T26" s="2513">
        <f t="shared" si="2"/>
        <v>0</v>
      </c>
      <c r="U26" s="2512">
        <v>0.77549999999999997</v>
      </c>
      <c r="V26" s="2512">
        <v>0.17710000000000001</v>
      </c>
      <c r="W26" s="2553">
        <v>3.8839999999999999</v>
      </c>
      <c r="X26" s="2510">
        <f t="shared" si="3"/>
        <v>0</v>
      </c>
      <c r="Y26" s="2553">
        <v>4.13</v>
      </c>
      <c r="Z26" s="2553">
        <v>22.475000000000001</v>
      </c>
    </row>
    <row r="27" spans="1:54" s="98" customFormat="1">
      <c r="A27" s="2523" t="s">
        <v>2613</v>
      </c>
      <c r="B27" s="2522" t="s">
        <v>1504</v>
      </c>
      <c r="C27" s="2522" t="s">
        <v>2614</v>
      </c>
      <c r="D27" s="2607"/>
      <c r="E27" s="2664">
        <v>2.5000000000000001E-2</v>
      </c>
      <c r="F27" s="2669">
        <v>0.01</v>
      </c>
      <c r="G27" s="2664"/>
      <c r="H27" s="2679">
        <v>78.5</v>
      </c>
      <c r="I27" s="2688" t="s">
        <v>2900</v>
      </c>
      <c r="J27" s="2509">
        <f>E27*F27*H27</f>
        <v>1.9625E-2</v>
      </c>
      <c r="K27" s="2519">
        <v>101.97</v>
      </c>
      <c r="L27" s="2519"/>
      <c r="M27" s="2726">
        <f t="shared" si="5"/>
        <v>2.00116125</v>
      </c>
      <c r="N27" s="2517">
        <f t="shared" si="1"/>
        <v>0</v>
      </c>
      <c r="O27" s="2519" t="s">
        <v>2899</v>
      </c>
      <c r="P27" s="2564" t="s">
        <v>2898</v>
      </c>
      <c r="Q27" s="2526"/>
      <c r="R27" s="2693">
        <v>68.3</v>
      </c>
      <c r="S27" s="2693"/>
      <c r="T27" s="2513">
        <f t="shared" si="2"/>
        <v>0</v>
      </c>
      <c r="U27" s="2512">
        <v>0.77549999999999997</v>
      </c>
      <c r="V27" s="2512">
        <v>0.17710000000000001</v>
      </c>
      <c r="W27" s="2553">
        <v>3.8839999999999999</v>
      </c>
      <c r="X27" s="2510">
        <f t="shared" si="3"/>
        <v>0</v>
      </c>
      <c r="Y27" s="2553">
        <v>4.13</v>
      </c>
      <c r="Z27" s="2553">
        <v>22.475000000000001</v>
      </c>
    </row>
    <row r="28" spans="1:54" s="98" customFormat="1" ht="21" customHeight="1">
      <c r="A28" s="2615" t="s">
        <v>1931</v>
      </c>
      <c r="B28" s="2614" t="s">
        <v>1504</v>
      </c>
      <c r="C28" s="2613" t="s">
        <v>1932</v>
      </c>
      <c r="D28" s="2521">
        <f>'[7]Precios Recuperación (PUSD)'!$H$1436</f>
        <v>30</v>
      </c>
      <c r="E28" s="2666">
        <v>2</v>
      </c>
      <c r="F28" s="2671">
        <v>3.1419999999999997E-2</v>
      </c>
      <c r="G28" s="2666">
        <v>0.01</v>
      </c>
      <c r="H28" s="2680">
        <v>78.5</v>
      </c>
      <c r="I28" s="2689" t="s">
        <v>2900</v>
      </c>
      <c r="J28" s="2509">
        <f t="shared" si="4"/>
        <v>4.9329400000000002E-2</v>
      </c>
      <c r="K28" s="2569">
        <v>101.97</v>
      </c>
      <c r="L28" s="2569"/>
      <c r="M28" s="2726">
        <f t="shared" si="5"/>
        <v>5.0301189180000003</v>
      </c>
      <c r="N28" s="2517">
        <f t="shared" si="1"/>
        <v>150.90356754000001</v>
      </c>
      <c r="O28" s="2568" t="s">
        <v>2899</v>
      </c>
      <c r="P28" s="2586" t="s">
        <v>2898</v>
      </c>
      <c r="Q28" s="2575"/>
      <c r="R28" s="2694">
        <v>68.3</v>
      </c>
      <c r="S28" s="2694"/>
      <c r="T28" s="2513">
        <f t="shared" si="2"/>
        <v>10306.713662982002</v>
      </c>
      <c r="U28" s="2571">
        <v>0.77549999999999997</v>
      </c>
      <c r="V28" s="2571">
        <v>0.17710000000000001</v>
      </c>
      <c r="W28" s="2585">
        <v>3.8839999999999999</v>
      </c>
      <c r="X28" s="2510">
        <f t="shared" si="3"/>
        <v>586.10945632536004</v>
      </c>
      <c r="Y28" s="2585">
        <v>4.13</v>
      </c>
      <c r="Z28" s="2585">
        <v>22.475000000000001</v>
      </c>
    </row>
    <row r="29" spans="1:54" s="98" customFormat="1" ht="20.25" customHeight="1">
      <c r="A29" s="2615" t="s">
        <v>2483</v>
      </c>
      <c r="B29" s="2614" t="s">
        <v>1504</v>
      </c>
      <c r="C29" s="2613" t="s">
        <v>2484</v>
      </c>
      <c r="D29" s="2521"/>
      <c r="E29" s="2666">
        <v>1.4</v>
      </c>
      <c r="F29" s="2671">
        <v>0.7</v>
      </c>
      <c r="G29" s="2666">
        <v>5.0000000000000001E-3</v>
      </c>
      <c r="H29" s="2680">
        <v>78.5</v>
      </c>
      <c r="I29" s="2689" t="s">
        <v>2900</v>
      </c>
      <c r="J29" s="2509">
        <f t="shared" si="4"/>
        <v>0.38464999999999999</v>
      </c>
      <c r="K29" s="2569">
        <v>101.97</v>
      </c>
      <c r="L29" s="2569"/>
      <c r="M29" s="2726">
        <f t="shared" si="5"/>
        <v>39.2227605</v>
      </c>
      <c r="N29" s="2517">
        <f t="shared" si="1"/>
        <v>0</v>
      </c>
      <c r="O29" s="2568" t="s">
        <v>2899</v>
      </c>
      <c r="P29" s="2586" t="s">
        <v>2898</v>
      </c>
      <c r="Q29" s="2575"/>
      <c r="R29" s="2694">
        <v>69.3</v>
      </c>
      <c r="S29" s="2694"/>
      <c r="T29" s="2513">
        <f t="shared" si="2"/>
        <v>0</v>
      </c>
      <c r="U29" s="2571">
        <v>0.77549999999999997</v>
      </c>
      <c r="V29" s="2571">
        <v>0.17710000000000001</v>
      </c>
      <c r="W29" s="2585">
        <v>3.8839999999999999</v>
      </c>
      <c r="X29" s="2510">
        <f t="shared" si="3"/>
        <v>0</v>
      </c>
      <c r="Y29" s="2585">
        <v>4.13</v>
      </c>
      <c r="Z29" s="2585">
        <v>22.475000000000001</v>
      </c>
    </row>
    <row r="30" spans="1:54" s="98" customFormat="1">
      <c r="A30" s="2544" t="s">
        <v>2440</v>
      </c>
      <c r="B30" s="2543" t="s">
        <v>1504</v>
      </c>
      <c r="C30" s="2542" t="s">
        <v>2441</v>
      </c>
      <c r="D30" s="2521">
        <f>'[7]Precios Recuperación (PUSD)'!$H$1662</f>
        <v>800</v>
      </c>
      <c r="E30" s="2664">
        <v>0.3</v>
      </c>
      <c r="F30" s="2669">
        <v>0.1</v>
      </c>
      <c r="G30" s="2664">
        <v>1.4999999999999999E-2</v>
      </c>
      <c r="H30" s="2680">
        <v>78.5</v>
      </c>
      <c r="I30" s="2689" t="s">
        <v>2900</v>
      </c>
      <c r="J30" s="2509">
        <f t="shared" si="4"/>
        <v>3.5325000000000002E-2</v>
      </c>
      <c r="K30" s="2569">
        <v>101.97</v>
      </c>
      <c r="L30" s="2569"/>
      <c r="M30" s="2726">
        <f t="shared" si="5"/>
        <v>3.6020902500000003</v>
      </c>
      <c r="N30" s="2517">
        <f t="shared" si="1"/>
        <v>2881.6722000000004</v>
      </c>
      <c r="O30" s="2568" t="s">
        <v>2899</v>
      </c>
      <c r="P30" s="2568" t="s">
        <v>2898</v>
      </c>
      <c r="Q30" s="2586"/>
      <c r="R30" s="2695">
        <v>68.3</v>
      </c>
      <c r="S30" s="2695"/>
      <c r="T30" s="2513">
        <f t="shared" si="2"/>
        <v>196818.21126000001</v>
      </c>
      <c r="U30" s="2571">
        <v>0.77549999999999997</v>
      </c>
      <c r="V30" s="2571">
        <v>0.17710000000000001</v>
      </c>
      <c r="W30" s="2612">
        <v>3.8839999999999999</v>
      </c>
      <c r="X30" s="2510">
        <f t="shared" si="3"/>
        <v>11192.4148248</v>
      </c>
      <c r="Y30" s="2612">
        <v>4.13</v>
      </c>
      <c r="Z30" s="2612">
        <v>22.475000000000001</v>
      </c>
      <c r="AN30" s="2508"/>
      <c r="AO30" s="2508"/>
      <c r="AP30" s="2508"/>
      <c r="AQ30" s="2508"/>
      <c r="AR30" s="2508"/>
      <c r="AS30" s="2508"/>
      <c r="AT30" s="2508"/>
      <c r="AU30" s="2508"/>
      <c r="AV30" s="2508"/>
      <c r="AW30" s="2508"/>
      <c r="AX30" s="2508"/>
      <c r="AY30" s="2508"/>
      <c r="AZ30" s="2508"/>
      <c r="BA30" s="2508"/>
      <c r="BB30" s="2508"/>
    </row>
    <row r="31" spans="1:54" s="98" customFormat="1">
      <c r="A31" s="2544" t="s">
        <v>2438</v>
      </c>
      <c r="B31" s="2543" t="s">
        <v>1504</v>
      </c>
      <c r="C31" s="2542" t="s">
        <v>2439</v>
      </c>
      <c r="D31" s="2521">
        <f>'[7]Precios Recuperación (PUSD)'!$H$1661</f>
        <v>800</v>
      </c>
      <c r="E31" s="2664">
        <v>0.3</v>
      </c>
      <c r="F31" s="2669">
        <v>0.1</v>
      </c>
      <c r="G31" s="2664">
        <v>1.4999999999999999E-2</v>
      </c>
      <c r="H31" s="2680">
        <v>78.5</v>
      </c>
      <c r="I31" s="2689" t="s">
        <v>2900</v>
      </c>
      <c r="J31" s="2509">
        <f t="shared" si="4"/>
        <v>3.5325000000000002E-2</v>
      </c>
      <c r="K31" s="2569">
        <v>101.97</v>
      </c>
      <c r="L31" s="2569"/>
      <c r="M31" s="2726">
        <f t="shared" si="5"/>
        <v>3.6020902500000003</v>
      </c>
      <c r="N31" s="2517">
        <f t="shared" si="1"/>
        <v>2881.6722000000004</v>
      </c>
      <c r="O31" s="2568" t="s">
        <v>2899</v>
      </c>
      <c r="P31" s="2568" t="s">
        <v>2898</v>
      </c>
      <c r="Q31" s="2586"/>
      <c r="R31" s="2695">
        <v>68.3</v>
      </c>
      <c r="S31" s="2695"/>
      <c r="T31" s="2513">
        <f t="shared" si="2"/>
        <v>196818.21126000001</v>
      </c>
      <c r="U31" s="2571">
        <v>0.77549999999999997</v>
      </c>
      <c r="V31" s="2571">
        <v>0.17710000000000001</v>
      </c>
      <c r="W31" s="2612">
        <v>3.8839999999999999</v>
      </c>
      <c r="X31" s="2510">
        <f t="shared" si="3"/>
        <v>11192.4148248</v>
      </c>
      <c r="Y31" s="2612">
        <v>4.13</v>
      </c>
      <c r="Z31" s="2612">
        <v>22.475000000000001</v>
      </c>
      <c r="AN31" s="2508"/>
      <c r="AO31" s="2508"/>
      <c r="AP31" s="2508"/>
      <c r="AQ31" s="2508"/>
      <c r="AR31" s="2508"/>
      <c r="AS31" s="2508"/>
      <c r="AT31" s="2508"/>
      <c r="AU31" s="2508"/>
      <c r="AV31" s="2508"/>
      <c r="AW31" s="2508"/>
      <c r="AX31" s="2508"/>
      <c r="AY31" s="2508"/>
      <c r="AZ31" s="2508"/>
      <c r="BA31" s="2508"/>
      <c r="BB31" s="2508"/>
    </row>
    <row r="32" spans="1:54" s="98" customFormat="1" ht="15" customHeight="1">
      <c r="A32" s="2523" t="s">
        <v>2444</v>
      </c>
      <c r="B32" s="2595" t="s">
        <v>1504</v>
      </c>
      <c r="C32" s="2522" t="s">
        <v>2445</v>
      </c>
      <c r="D32" s="2521">
        <f>'[7]Precios Recuperación (PUSD)'!$H$1659</f>
        <v>80</v>
      </c>
      <c r="E32" s="2666">
        <v>0.2</v>
      </c>
      <c r="F32" s="2671">
        <v>0.1</v>
      </c>
      <c r="G32" s="2666">
        <v>0.01</v>
      </c>
      <c r="H32" s="2680">
        <v>78.5</v>
      </c>
      <c r="I32" s="2689" t="s">
        <v>2900</v>
      </c>
      <c r="J32" s="2509">
        <f t="shared" si="4"/>
        <v>1.5700000000000002E-2</v>
      </c>
      <c r="K32" s="2569">
        <v>101.97</v>
      </c>
      <c r="L32" s="2569"/>
      <c r="M32" s="2726">
        <f t="shared" si="5"/>
        <v>1.6009290000000003</v>
      </c>
      <c r="N32" s="2517">
        <f t="shared" si="1"/>
        <v>128.07432000000003</v>
      </c>
      <c r="O32" s="2568" t="s">
        <v>2899</v>
      </c>
      <c r="P32" s="2586" t="s">
        <v>2898</v>
      </c>
      <c r="Q32" s="2575"/>
      <c r="R32" s="2694">
        <v>68.3</v>
      </c>
      <c r="S32" s="2694"/>
      <c r="T32" s="2513">
        <f t="shared" si="2"/>
        <v>8747.4760560000013</v>
      </c>
      <c r="U32" s="2571">
        <v>0.77549999999999997</v>
      </c>
      <c r="V32" s="2571">
        <v>0.17710000000000001</v>
      </c>
      <c r="W32" s="2585">
        <v>3.8839999999999999</v>
      </c>
      <c r="X32" s="2510">
        <f t="shared" si="3"/>
        <v>497.44065888000011</v>
      </c>
      <c r="Y32" s="2585">
        <v>4.13</v>
      </c>
      <c r="Z32" s="2585">
        <v>22.475000000000001</v>
      </c>
      <c r="AA32" s="2598"/>
      <c r="AB32" s="2598"/>
      <c r="AC32" s="2598"/>
      <c r="AD32" s="2598"/>
      <c r="AE32" s="2598"/>
      <c r="AF32" s="2598"/>
      <c r="AG32" s="2598"/>
      <c r="AH32" s="2598"/>
      <c r="AI32" s="2598"/>
      <c r="AJ32" s="2598"/>
      <c r="AK32" s="2598"/>
      <c r="AL32" s="2598"/>
      <c r="AM32" s="2598"/>
      <c r="AN32" s="2584"/>
      <c r="AO32" s="2584"/>
      <c r="AP32" s="2584"/>
      <c r="AQ32" s="2584"/>
      <c r="AR32" s="2584"/>
      <c r="AS32" s="2584"/>
      <c r="AT32" s="2584"/>
      <c r="AU32" s="2584"/>
      <c r="AV32" s="2584"/>
      <c r="AW32" s="2584"/>
      <c r="AX32" s="2584"/>
      <c r="AY32" s="2584"/>
      <c r="AZ32" s="2584"/>
      <c r="BA32" s="2584"/>
      <c r="BB32" s="2584"/>
    </row>
    <row r="33" spans="1:54" s="98" customFormat="1" ht="15" customHeight="1">
      <c r="A33" s="2615" t="s">
        <v>2464</v>
      </c>
      <c r="B33" s="2614" t="s">
        <v>1504</v>
      </c>
      <c r="C33" s="2613" t="s">
        <v>2465</v>
      </c>
      <c r="D33" s="2521"/>
      <c r="E33" s="2666">
        <v>1</v>
      </c>
      <c r="F33" s="2671">
        <v>0.3</v>
      </c>
      <c r="G33" s="2666">
        <v>0.01</v>
      </c>
      <c r="H33" s="2680">
        <v>78.5</v>
      </c>
      <c r="I33" s="2689" t="s">
        <v>2900</v>
      </c>
      <c r="J33" s="2509">
        <f t="shared" si="4"/>
        <v>0.23550000000000001</v>
      </c>
      <c r="K33" s="2569">
        <v>101.97</v>
      </c>
      <c r="L33" s="2569"/>
      <c r="M33" s="2726">
        <f t="shared" si="5"/>
        <v>24.013935</v>
      </c>
      <c r="N33" s="2517">
        <f t="shared" si="1"/>
        <v>0</v>
      </c>
      <c r="O33" s="2568" t="s">
        <v>2899</v>
      </c>
      <c r="P33" s="2586" t="s">
        <v>2898</v>
      </c>
      <c r="Q33" s="2575"/>
      <c r="R33" s="2694">
        <v>69.3</v>
      </c>
      <c r="S33" s="2694"/>
      <c r="T33" s="2513">
        <f t="shared" si="2"/>
        <v>0</v>
      </c>
      <c r="U33" s="2571">
        <v>0.77549999999999997</v>
      </c>
      <c r="V33" s="2571">
        <v>0.17710000000000001</v>
      </c>
      <c r="W33" s="2585">
        <v>3.8839999999999999</v>
      </c>
      <c r="X33" s="2510">
        <f t="shared" si="3"/>
        <v>0</v>
      </c>
      <c r="Y33" s="2585">
        <v>4.13</v>
      </c>
      <c r="Z33" s="2585">
        <v>22.475000000000001</v>
      </c>
    </row>
    <row r="34" spans="1:54" s="98" customFormat="1" ht="15" customHeight="1">
      <c r="A34" s="2535" t="s">
        <v>2487</v>
      </c>
      <c r="B34" s="2533" t="s">
        <v>1504</v>
      </c>
      <c r="C34" s="2522" t="s">
        <v>2488</v>
      </c>
      <c r="D34" s="2531"/>
      <c r="E34" s="2667">
        <v>1</v>
      </c>
      <c r="F34" s="2660">
        <v>1.2999999999999999E-2</v>
      </c>
      <c r="G34" s="2667">
        <v>5.0000000000000001E-3</v>
      </c>
      <c r="H34" s="2681">
        <v>78.5</v>
      </c>
      <c r="I34" s="2690" t="s">
        <v>2900</v>
      </c>
      <c r="J34" s="2509">
        <f t="shared" si="4"/>
        <v>5.1024999999999994E-3</v>
      </c>
      <c r="K34" s="2536">
        <v>101.97</v>
      </c>
      <c r="L34" s="2536"/>
      <c r="M34" s="2726">
        <f t="shared" si="5"/>
        <v>0.52030192499999994</v>
      </c>
      <c r="N34" s="2517">
        <f t="shared" si="1"/>
        <v>0</v>
      </c>
      <c r="O34" s="2541" t="s">
        <v>2899</v>
      </c>
      <c r="P34" s="2575" t="s">
        <v>3062</v>
      </c>
      <c r="Q34" s="2575"/>
      <c r="R34" s="2696">
        <v>33.160000000000004</v>
      </c>
      <c r="S34" s="2696"/>
      <c r="T34" s="2513">
        <f t="shared" si="2"/>
        <v>0</v>
      </c>
      <c r="U34" s="2571">
        <v>0.82856091676718935</v>
      </c>
      <c r="V34" s="2571">
        <v>0.12958866103739444</v>
      </c>
      <c r="W34" s="2546">
        <v>1.972</v>
      </c>
      <c r="X34" s="2510">
        <f t="shared" si="3"/>
        <v>0</v>
      </c>
      <c r="Y34" s="2546">
        <v>2.1240000000000001</v>
      </c>
      <c r="Z34" s="2546">
        <v>8.9480000000000004</v>
      </c>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row>
    <row r="35" spans="1:54" s="98" customFormat="1" ht="15" customHeight="1">
      <c r="A35" s="2523" t="s">
        <v>2479</v>
      </c>
      <c r="B35" s="2595" t="s">
        <v>1504</v>
      </c>
      <c r="C35" s="2522" t="s">
        <v>2480</v>
      </c>
      <c r="D35" s="2521"/>
      <c r="E35" s="2667">
        <v>0.6</v>
      </c>
      <c r="F35" s="2660">
        <v>0.05</v>
      </c>
      <c r="G35" s="2667">
        <v>0.01</v>
      </c>
      <c r="H35" s="2681">
        <v>78.5</v>
      </c>
      <c r="I35" s="2690" t="s">
        <v>2900</v>
      </c>
      <c r="J35" s="2509">
        <f t="shared" si="4"/>
        <v>2.3549999999999998E-2</v>
      </c>
      <c r="K35" s="2536">
        <v>101.97</v>
      </c>
      <c r="L35" s="2536"/>
      <c r="M35" s="2726">
        <f t="shared" si="5"/>
        <v>2.4013934999999997</v>
      </c>
      <c r="N35" s="2517">
        <f t="shared" si="1"/>
        <v>0</v>
      </c>
      <c r="O35" s="2541" t="s">
        <v>2899</v>
      </c>
      <c r="P35" s="2575" t="s">
        <v>3062</v>
      </c>
      <c r="Q35" s="2575"/>
      <c r="R35" s="2696">
        <v>34.159999999999997</v>
      </c>
      <c r="S35" s="2696"/>
      <c r="T35" s="2513">
        <f t="shared" si="2"/>
        <v>0</v>
      </c>
      <c r="U35" s="2571">
        <v>0.82856091676718935</v>
      </c>
      <c r="V35" s="2571">
        <v>0.12958866103739444</v>
      </c>
      <c r="W35" s="2546">
        <v>2.972</v>
      </c>
      <c r="X35" s="2510">
        <f t="shared" si="3"/>
        <v>0</v>
      </c>
      <c r="Y35" s="2546">
        <v>2.1240000000000001</v>
      </c>
      <c r="Z35" s="2546">
        <v>8.9480000000000004</v>
      </c>
      <c r="AA35" s="2598"/>
      <c r="AB35" s="2598"/>
      <c r="AC35" s="2598"/>
      <c r="AD35" s="2598"/>
      <c r="AE35" s="2598"/>
      <c r="AF35" s="2598"/>
      <c r="AG35" s="2598"/>
      <c r="AH35" s="2598"/>
      <c r="AI35" s="2598"/>
      <c r="AJ35" s="2598"/>
      <c r="AK35" s="2598"/>
      <c r="AL35" s="2598"/>
      <c r="AM35" s="2598"/>
      <c r="AN35" s="2584"/>
      <c r="AO35" s="2584"/>
      <c r="AP35" s="2584"/>
      <c r="AQ35" s="2584"/>
      <c r="AR35" s="2584"/>
      <c r="AS35" s="2584"/>
      <c r="AT35" s="2584"/>
      <c r="AU35" s="2584"/>
      <c r="AV35" s="2584"/>
      <c r="AW35" s="2584"/>
      <c r="AX35" s="2584"/>
      <c r="AY35" s="2584"/>
      <c r="AZ35" s="2584"/>
      <c r="BA35" s="2584"/>
      <c r="BB35" s="2584"/>
    </row>
    <row r="36" spans="1:54" s="98" customFormat="1" ht="15" customHeight="1">
      <c r="A36" s="2544" t="s">
        <v>2458</v>
      </c>
      <c r="B36" s="2543" t="s">
        <v>1504</v>
      </c>
      <c r="C36" s="2542" t="s">
        <v>2459</v>
      </c>
      <c r="D36" s="2521"/>
      <c r="E36" s="2667">
        <v>0.1</v>
      </c>
      <c r="F36" s="2660">
        <v>0.1</v>
      </c>
      <c r="G36" s="2667">
        <v>0.01</v>
      </c>
      <c r="H36" s="2681">
        <v>78.5</v>
      </c>
      <c r="I36" s="2690" t="s">
        <v>2900</v>
      </c>
      <c r="J36" s="2509">
        <f t="shared" si="4"/>
        <v>7.8500000000000011E-3</v>
      </c>
      <c r="K36" s="2536">
        <v>101.97</v>
      </c>
      <c r="L36" s="2536"/>
      <c r="M36" s="2726">
        <f t="shared" si="5"/>
        <v>0.80046450000000013</v>
      </c>
      <c r="N36" s="2517">
        <f t="shared" si="1"/>
        <v>0</v>
      </c>
      <c r="O36" s="2541" t="s">
        <v>2899</v>
      </c>
      <c r="P36" s="2575" t="s">
        <v>3062</v>
      </c>
      <c r="Q36" s="2575"/>
      <c r="R36" s="2696">
        <v>35.159999999999997</v>
      </c>
      <c r="S36" s="2696"/>
      <c r="T36" s="2513">
        <f t="shared" si="2"/>
        <v>0</v>
      </c>
      <c r="U36" s="2571">
        <v>0.82856091676718935</v>
      </c>
      <c r="V36" s="2571">
        <v>0.12958866103739444</v>
      </c>
      <c r="W36" s="2546">
        <v>3.972</v>
      </c>
      <c r="X36" s="2510">
        <f t="shared" si="3"/>
        <v>0</v>
      </c>
      <c r="Y36" s="2546">
        <v>2.1240000000000001</v>
      </c>
      <c r="Z36" s="2546">
        <v>8.9480000000000004</v>
      </c>
      <c r="AN36" s="2508"/>
      <c r="AO36" s="2508"/>
      <c r="AP36" s="2508"/>
      <c r="AQ36" s="2508"/>
      <c r="AR36" s="2508"/>
      <c r="AS36" s="2508"/>
      <c r="AT36" s="2508"/>
      <c r="AU36" s="2508"/>
      <c r="AV36" s="2508"/>
      <c r="AW36" s="2508"/>
      <c r="AX36" s="2508"/>
      <c r="AY36" s="2508"/>
      <c r="AZ36" s="2508"/>
      <c r="BA36" s="2508"/>
      <c r="BB36" s="2508"/>
    </row>
    <row r="37" spans="1:54" s="2598" customFormat="1" ht="15" customHeight="1">
      <c r="A37" s="2544" t="s">
        <v>2318</v>
      </c>
      <c r="B37" s="2543" t="s">
        <v>1504</v>
      </c>
      <c r="C37" s="2542" t="s">
        <v>2317</v>
      </c>
      <c r="D37" s="2521">
        <f>'[7]Precios Recuperación (PUSD)'!$H$2030</f>
        <v>200</v>
      </c>
      <c r="E37" s="2664">
        <v>0.3</v>
      </c>
      <c r="F37" s="2669">
        <v>0.1</v>
      </c>
      <c r="G37" s="2664">
        <v>1.4999999999999999E-2</v>
      </c>
      <c r="H37" s="2680">
        <v>78.5</v>
      </c>
      <c r="I37" s="2689" t="s">
        <v>2900</v>
      </c>
      <c r="J37" s="2509">
        <f t="shared" si="4"/>
        <v>3.5325000000000002E-2</v>
      </c>
      <c r="K37" s="2569">
        <v>101.97</v>
      </c>
      <c r="L37" s="2569"/>
      <c r="M37" s="2726">
        <f t="shared" si="5"/>
        <v>3.6020902500000003</v>
      </c>
      <c r="N37" s="2517">
        <f t="shared" si="1"/>
        <v>720.41805000000011</v>
      </c>
      <c r="O37" s="2568" t="s">
        <v>2899</v>
      </c>
      <c r="P37" s="2568" t="s">
        <v>2898</v>
      </c>
      <c r="Q37" s="2586"/>
      <c r="R37" s="2695">
        <v>68.3</v>
      </c>
      <c r="S37" s="2695"/>
      <c r="T37" s="2513">
        <f t="shared" si="2"/>
        <v>49204.552815000003</v>
      </c>
      <c r="U37" s="2571">
        <v>0.77549999999999997</v>
      </c>
      <c r="V37" s="2571">
        <v>0.17710000000000001</v>
      </c>
      <c r="W37" s="2612">
        <v>3.8839999999999999</v>
      </c>
      <c r="X37" s="2510">
        <f t="shared" si="3"/>
        <v>2798.1037062</v>
      </c>
      <c r="Y37" s="2612">
        <v>4.13</v>
      </c>
      <c r="Z37" s="2612">
        <v>22.475000000000001</v>
      </c>
      <c r="AA37" s="98"/>
      <c r="AB37" s="98"/>
      <c r="AC37" s="98"/>
      <c r="AD37" s="98"/>
      <c r="AE37" s="98"/>
      <c r="AF37" s="98"/>
      <c r="AG37" s="98"/>
      <c r="AH37" s="98"/>
      <c r="AI37" s="98"/>
      <c r="AJ37" s="98"/>
      <c r="AK37" s="98"/>
      <c r="AL37" s="98"/>
      <c r="AM37" s="98"/>
      <c r="AN37" s="2508"/>
      <c r="AO37" s="2508"/>
      <c r="AP37" s="2508"/>
      <c r="AQ37" s="2508"/>
      <c r="AR37" s="2508"/>
      <c r="AS37" s="2508"/>
      <c r="AT37" s="2508"/>
      <c r="AU37" s="2508"/>
      <c r="AV37" s="2508"/>
      <c r="AW37" s="2508"/>
      <c r="AX37" s="2508"/>
      <c r="AY37" s="2508"/>
      <c r="AZ37" s="2508"/>
      <c r="BA37" s="2508"/>
      <c r="BB37" s="2508"/>
    </row>
    <row r="38" spans="1:54" s="2598" customFormat="1" ht="15" customHeight="1">
      <c r="A38" s="2544" t="s">
        <v>2321</v>
      </c>
      <c r="B38" s="2543" t="s">
        <v>1504</v>
      </c>
      <c r="C38" s="2542" t="s">
        <v>2320</v>
      </c>
      <c r="D38" s="2521">
        <f>'[7]Precios Recuperación (PUSD)'!$H$2042</f>
        <v>200</v>
      </c>
      <c r="E38" s="2664">
        <v>0.3</v>
      </c>
      <c r="F38" s="2669">
        <v>0.1</v>
      </c>
      <c r="G38" s="2664">
        <v>0.02</v>
      </c>
      <c r="H38" s="2680">
        <v>78.5</v>
      </c>
      <c r="I38" s="2689" t="s">
        <v>2900</v>
      </c>
      <c r="J38" s="2509">
        <f t="shared" si="4"/>
        <v>4.7099999999999996E-2</v>
      </c>
      <c r="K38" s="2569">
        <v>101.97</v>
      </c>
      <c r="L38" s="2569"/>
      <c r="M38" s="2726">
        <f t="shared" si="5"/>
        <v>4.8027869999999995</v>
      </c>
      <c r="N38" s="2517">
        <f t="shared" si="1"/>
        <v>960.55739999999992</v>
      </c>
      <c r="O38" s="2568" t="s">
        <v>2899</v>
      </c>
      <c r="P38" s="2568" t="s">
        <v>2898</v>
      </c>
      <c r="Q38" s="2586"/>
      <c r="R38" s="2695">
        <v>68.3</v>
      </c>
      <c r="S38" s="2695"/>
      <c r="T38" s="2513">
        <f t="shared" si="2"/>
        <v>65606.070419999989</v>
      </c>
      <c r="U38" s="2571">
        <v>0.77549999999999997</v>
      </c>
      <c r="V38" s="2571">
        <v>0.17710000000000001</v>
      </c>
      <c r="W38" s="2612">
        <v>3.8839999999999999</v>
      </c>
      <c r="X38" s="2510">
        <f t="shared" si="3"/>
        <v>3730.8049415999994</v>
      </c>
      <c r="Y38" s="2612">
        <v>4.13</v>
      </c>
      <c r="Z38" s="2612">
        <v>22.475000000000001</v>
      </c>
      <c r="AA38" s="98"/>
      <c r="AB38" s="98"/>
      <c r="AC38" s="98"/>
      <c r="AD38" s="98"/>
      <c r="AE38" s="98"/>
      <c r="AF38" s="98"/>
      <c r="AG38" s="98"/>
      <c r="AH38" s="98"/>
      <c r="AI38" s="98"/>
      <c r="AJ38" s="98"/>
      <c r="AK38" s="98"/>
      <c r="AL38" s="98"/>
      <c r="AM38" s="98"/>
      <c r="AN38" s="2508"/>
      <c r="AO38" s="2508"/>
      <c r="AP38" s="2508"/>
      <c r="AQ38" s="2508"/>
      <c r="AR38" s="2508"/>
      <c r="AS38" s="2508"/>
      <c r="AT38" s="2508"/>
      <c r="AU38" s="2508"/>
      <c r="AV38" s="2508"/>
      <c r="AW38" s="2508"/>
      <c r="AX38" s="2508"/>
      <c r="AY38" s="2508"/>
      <c r="AZ38" s="2508"/>
      <c r="BA38" s="2508"/>
      <c r="BB38" s="2508"/>
    </row>
    <row r="39" spans="1:54" s="2598" customFormat="1" ht="15" customHeight="1">
      <c r="A39" s="2544" t="s">
        <v>2324</v>
      </c>
      <c r="B39" s="2543" t="s">
        <v>1504</v>
      </c>
      <c r="C39" s="2542" t="s">
        <v>2323</v>
      </c>
      <c r="D39" s="2521">
        <f>'[7]Precios Recuperación (PUSD)'!$H$2054</f>
        <v>90</v>
      </c>
      <c r="E39" s="2664">
        <v>0.3</v>
      </c>
      <c r="F39" s="2669">
        <v>0.1</v>
      </c>
      <c r="G39" s="2664">
        <v>2.5000000000000001E-2</v>
      </c>
      <c r="H39" s="2680">
        <v>78.5</v>
      </c>
      <c r="I39" s="2689" t="s">
        <v>2900</v>
      </c>
      <c r="J39" s="2509">
        <f t="shared" si="4"/>
        <v>5.8875000000000004E-2</v>
      </c>
      <c r="K39" s="2569">
        <v>101.97</v>
      </c>
      <c r="L39" s="2569"/>
      <c r="M39" s="2726">
        <f t="shared" si="5"/>
        <v>6.00348375</v>
      </c>
      <c r="N39" s="2517">
        <f t="shared" si="1"/>
        <v>540.31353750000005</v>
      </c>
      <c r="O39" s="2568" t="s">
        <v>2899</v>
      </c>
      <c r="P39" s="2568" t="s">
        <v>2898</v>
      </c>
      <c r="Q39" s="2586"/>
      <c r="R39" s="2695">
        <v>68.3</v>
      </c>
      <c r="S39" s="2695"/>
      <c r="T39" s="2513">
        <f t="shared" si="2"/>
        <v>36903.414611249995</v>
      </c>
      <c r="U39" s="2571">
        <v>0.77549999999999997</v>
      </c>
      <c r="V39" s="2571">
        <v>0.17710000000000001</v>
      </c>
      <c r="W39" s="2612">
        <v>3.8839999999999999</v>
      </c>
      <c r="X39" s="2510">
        <f t="shared" si="3"/>
        <v>2098.5777796500001</v>
      </c>
      <c r="Y39" s="2612">
        <v>4.13</v>
      </c>
      <c r="Z39" s="2612">
        <v>22.475000000000001</v>
      </c>
      <c r="AA39" s="98"/>
      <c r="AB39" s="98"/>
      <c r="AC39" s="98"/>
      <c r="AD39" s="98"/>
      <c r="AE39" s="98"/>
      <c r="AF39" s="98"/>
      <c r="AG39" s="98"/>
      <c r="AH39" s="98"/>
      <c r="AI39" s="98"/>
      <c r="AJ39" s="98"/>
      <c r="AK39" s="98"/>
      <c r="AL39" s="98"/>
      <c r="AM39" s="98"/>
      <c r="AN39" s="2508"/>
      <c r="AO39" s="2508"/>
      <c r="AP39" s="2508"/>
      <c r="AQ39" s="2508"/>
      <c r="AR39" s="2508"/>
      <c r="AS39" s="2508"/>
      <c r="AT39" s="2508"/>
      <c r="AU39" s="2508"/>
      <c r="AV39" s="2508"/>
      <c r="AW39" s="2508"/>
      <c r="AX39" s="2508"/>
      <c r="AY39" s="2508"/>
      <c r="AZ39" s="2508"/>
      <c r="BA39" s="2508"/>
      <c r="BB39" s="2508"/>
    </row>
    <row r="40" spans="1:54" s="98" customFormat="1">
      <c r="A40" s="2544" t="s">
        <v>2425</v>
      </c>
      <c r="B40" s="2543" t="s">
        <v>1504</v>
      </c>
      <c r="C40" s="2542" t="s">
        <v>2426</v>
      </c>
      <c r="D40" s="2521">
        <f>'[7]Precios Recuperación (PUSD)'!$H$2077</f>
        <v>20</v>
      </c>
      <c r="E40" s="2664">
        <v>0.3</v>
      </c>
      <c r="F40" s="2669">
        <v>0.1</v>
      </c>
      <c r="G40" s="2664">
        <v>3.7999999999999999E-2</v>
      </c>
      <c r="H40" s="2680">
        <v>78.5</v>
      </c>
      <c r="I40" s="2689" t="s">
        <v>2900</v>
      </c>
      <c r="J40" s="2509">
        <f t="shared" si="4"/>
        <v>8.949E-2</v>
      </c>
      <c r="K40" s="2569">
        <v>101.97</v>
      </c>
      <c r="L40" s="2569"/>
      <c r="M40" s="2726">
        <f t="shared" si="5"/>
        <v>9.1252952999999994</v>
      </c>
      <c r="N40" s="2517">
        <f t="shared" si="1"/>
        <v>182.50590599999998</v>
      </c>
      <c r="O40" s="2568" t="s">
        <v>2899</v>
      </c>
      <c r="P40" s="2568" t="s">
        <v>2898</v>
      </c>
      <c r="Q40" s="2586"/>
      <c r="R40" s="2695">
        <v>68.3</v>
      </c>
      <c r="S40" s="2695"/>
      <c r="T40" s="2513">
        <f t="shared" si="2"/>
        <v>12465.153379799998</v>
      </c>
      <c r="U40" s="2571">
        <v>0.77549999999999997</v>
      </c>
      <c r="V40" s="2571">
        <v>0.17710000000000001</v>
      </c>
      <c r="W40" s="2612">
        <v>3.8839999999999999</v>
      </c>
      <c r="X40" s="2510">
        <f t="shared" si="3"/>
        <v>708.85293890399998</v>
      </c>
      <c r="Y40" s="2612">
        <v>4.13</v>
      </c>
      <c r="Z40" s="2612">
        <v>22.475000000000001</v>
      </c>
      <c r="AN40" s="2508"/>
      <c r="AO40" s="2508"/>
      <c r="AP40" s="2508"/>
      <c r="AQ40" s="2508"/>
      <c r="AR40" s="2508"/>
      <c r="AS40" s="2508"/>
      <c r="AT40" s="2508"/>
      <c r="AU40" s="2508"/>
      <c r="AV40" s="2508"/>
      <c r="AW40" s="2508"/>
      <c r="AX40" s="2508"/>
      <c r="AY40" s="2508"/>
      <c r="AZ40" s="2508"/>
      <c r="BA40" s="2508"/>
      <c r="BB40" s="2508"/>
    </row>
    <row r="41" spans="1:54" s="98" customFormat="1">
      <c r="A41" s="2544" t="s">
        <v>2421</v>
      </c>
      <c r="B41" s="2543" t="s">
        <v>1504</v>
      </c>
      <c r="C41" s="2542" t="s">
        <v>2422</v>
      </c>
      <c r="D41" s="2521">
        <f>'[7]Precios Recuperación (PUSD)'!$H$2065</f>
        <v>20</v>
      </c>
      <c r="E41" s="2664">
        <v>0.3</v>
      </c>
      <c r="F41" s="2669">
        <v>0.1</v>
      </c>
      <c r="G41" s="2664">
        <v>3.1E-2</v>
      </c>
      <c r="H41" s="2680">
        <v>78.5</v>
      </c>
      <c r="I41" s="2689" t="s">
        <v>2900</v>
      </c>
      <c r="J41" s="2509">
        <f t="shared" si="4"/>
        <v>7.3005E-2</v>
      </c>
      <c r="K41" s="2569">
        <v>101.97</v>
      </c>
      <c r="L41" s="2569"/>
      <c r="M41" s="2726">
        <f t="shared" si="5"/>
        <v>7.4443198500000003</v>
      </c>
      <c r="N41" s="2517">
        <f t="shared" si="1"/>
        <v>148.88639700000002</v>
      </c>
      <c r="O41" s="2568" t="s">
        <v>2899</v>
      </c>
      <c r="P41" s="2568" t="s">
        <v>2898</v>
      </c>
      <c r="Q41" s="2586"/>
      <c r="R41" s="2695">
        <v>68.3</v>
      </c>
      <c r="S41" s="2695"/>
      <c r="T41" s="2513">
        <f t="shared" si="2"/>
        <v>10168.9409151</v>
      </c>
      <c r="U41" s="2571">
        <v>0.77549999999999997</v>
      </c>
      <c r="V41" s="2571">
        <v>0.17710000000000001</v>
      </c>
      <c r="W41" s="2612">
        <v>3.8839999999999999</v>
      </c>
      <c r="X41" s="2510">
        <f t="shared" si="3"/>
        <v>578.27476594800009</v>
      </c>
      <c r="Y41" s="2612">
        <v>4.13</v>
      </c>
      <c r="Z41" s="2612">
        <v>22.475000000000001</v>
      </c>
      <c r="AN41" s="2508"/>
      <c r="AO41" s="2508"/>
      <c r="AP41" s="2508"/>
      <c r="AQ41" s="2508"/>
      <c r="AR41" s="2508"/>
      <c r="AS41" s="2508"/>
      <c r="AT41" s="2508"/>
      <c r="AU41" s="2508"/>
      <c r="AV41" s="2508"/>
      <c r="AW41" s="2508"/>
      <c r="AX41" s="2508"/>
      <c r="AY41" s="2508"/>
      <c r="AZ41" s="2508"/>
      <c r="BA41" s="2508"/>
      <c r="BB41" s="2508"/>
    </row>
    <row r="42" spans="1:54" s="98" customFormat="1">
      <c r="A42" s="2544" t="s">
        <v>2472</v>
      </c>
      <c r="B42" s="2543" t="s">
        <v>1504</v>
      </c>
      <c r="C42" s="2542" t="s">
        <v>2473</v>
      </c>
      <c r="D42" s="2521"/>
      <c r="E42" s="2664">
        <v>0.3</v>
      </c>
      <c r="F42" s="2669">
        <v>0.1</v>
      </c>
      <c r="G42" s="2664">
        <v>1.4999999999999999E-2</v>
      </c>
      <c r="H42" s="2680">
        <v>78.5</v>
      </c>
      <c r="I42" s="2689" t="s">
        <v>2900</v>
      </c>
      <c r="J42" s="2509">
        <f t="shared" si="4"/>
        <v>3.5325000000000002E-2</v>
      </c>
      <c r="K42" s="2569">
        <v>101.97</v>
      </c>
      <c r="L42" s="2569"/>
      <c r="M42" s="2726">
        <f t="shared" si="5"/>
        <v>3.6020902500000003</v>
      </c>
      <c r="N42" s="2517">
        <f t="shared" si="1"/>
        <v>0</v>
      </c>
      <c r="O42" s="2568" t="s">
        <v>2899</v>
      </c>
      <c r="P42" s="2568" t="s">
        <v>2898</v>
      </c>
      <c r="Q42" s="2586"/>
      <c r="R42" s="2695">
        <v>68.3</v>
      </c>
      <c r="S42" s="2695"/>
      <c r="T42" s="2513">
        <f t="shared" si="2"/>
        <v>0</v>
      </c>
      <c r="U42" s="2571">
        <v>0.77549999999999997</v>
      </c>
      <c r="V42" s="2571">
        <v>0.17710000000000001</v>
      </c>
      <c r="W42" s="2612">
        <v>3.8839999999999999</v>
      </c>
      <c r="X42" s="2510">
        <f t="shared" si="3"/>
        <v>0</v>
      </c>
      <c r="Y42" s="2612">
        <v>4.13</v>
      </c>
      <c r="Z42" s="2612">
        <v>22.475000000000001</v>
      </c>
      <c r="AN42" s="2508"/>
      <c r="AO42" s="2508"/>
      <c r="AP42" s="2508"/>
      <c r="AQ42" s="2508"/>
      <c r="AR42" s="2508"/>
      <c r="AS42" s="2508"/>
      <c r="AT42" s="2508"/>
      <c r="AU42" s="2508"/>
      <c r="AV42" s="2508"/>
      <c r="AW42" s="2508"/>
      <c r="AX42" s="2508"/>
      <c r="AY42" s="2508"/>
      <c r="AZ42" s="2508"/>
      <c r="BA42" s="2508"/>
      <c r="BB42" s="2508"/>
    </row>
    <row r="43" spans="1:54" s="98" customFormat="1">
      <c r="A43" s="2590" t="s">
        <v>2286</v>
      </c>
      <c r="B43" s="2589" t="s">
        <v>1527</v>
      </c>
      <c r="C43" s="2588" t="s">
        <v>2287</v>
      </c>
      <c r="D43" s="2521">
        <f>'[7]Precios Recuperación (PUSD)'!$H$1451</f>
        <v>10</v>
      </c>
      <c r="E43" s="2664">
        <v>1</v>
      </c>
      <c r="F43" s="2669">
        <v>5.7000000000000002E-2</v>
      </c>
      <c r="G43" s="2664">
        <v>5.0000000000000001E-3</v>
      </c>
      <c r="H43" s="2680">
        <v>78.5</v>
      </c>
      <c r="I43" s="2689" t="s">
        <v>2900</v>
      </c>
      <c r="J43" s="2509">
        <f t="shared" si="4"/>
        <v>2.2372500000000003E-2</v>
      </c>
      <c r="K43" s="2569">
        <v>101.97</v>
      </c>
      <c r="L43" s="2569"/>
      <c r="M43" s="2726">
        <f t="shared" si="5"/>
        <v>2.2813238250000003</v>
      </c>
      <c r="N43" s="2517">
        <f t="shared" si="1"/>
        <v>22.813238250000005</v>
      </c>
      <c r="O43" s="2568" t="s">
        <v>2899</v>
      </c>
      <c r="P43" s="2568" t="s">
        <v>2898</v>
      </c>
      <c r="Q43" s="2586"/>
      <c r="R43" s="2695">
        <v>68.3</v>
      </c>
      <c r="S43" s="2695"/>
      <c r="T43" s="2513">
        <f t="shared" si="2"/>
        <v>1558.1441724750002</v>
      </c>
      <c r="U43" s="2571">
        <v>0.77549999999999997</v>
      </c>
      <c r="V43" s="2571">
        <v>0.17710000000000001</v>
      </c>
      <c r="W43" s="2612">
        <v>3.8839999999999999</v>
      </c>
      <c r="X43" s="2510">
        <f t="shared" si="3"/>
        <v>88.606617363000012</v>
      </c>
      <c r="Y43" s="2612">
        <v>4.13</v>
      </c>
      <c r="Z43" s="2612">
        <v>22.475000000000001</v>
      </c>
      <c r="AN43" s="2508"/>
      <c r="AO43" s="2508"/>
      <c r="AP43" s="2508"/>
      <c r="AQ43" s="2508"/>
      <c r="AR43" s="2508"/>
      <c r="AS43" s="2508"/>
      <c r="AT43" s="2508"/>
      <c r="AU43" s="2508"/>
      <c r="AV43" s="2508"/>
      <c r="AW43" s="2508"/>
      <c r="AX43" s="2508"/>
      <c r="AY43" s="2508"/>
      <c r="AZ43" s="2508"/>
      <c r="BA43" s="2508"/>
      <c r="BB43" s="2508"/>
    </row>
    <row r="44" spans="1:54" s="98" customFormat="1">
      <c r="A44" s="2544" t="s">
        <v>2429</v>
      </c>
      <c r="B44" s="2543" t="s">
        <v>1504</v>
      </c>
      <c r="C44" s="2542" t="s">
        <v>2430</v>
      </c>
      <c r="D44" s="2521">
        <f>'[7]Precios Recuperación (PUSD)'!$H$2088</f>
        <v>20</v>
      </c>
      <c r="E44" s="2664">
        <v>0.3</v>
      </c>
      <c r="F44" s="2669">
        <v>0.1</v>
      </c>
      <c r="G44" s="2664">
        <v>3.2000000000000001E-2</v>
      </c>
      <c r="H44" s="2680">
        <v>78.5</v>
      </c>
      <c r="I44" s="2689" t="s">
        <v>2900</v>
      </c>
      <c r="J44" s="2509">
        <f t="shared" si="4"/>
        <v>7.5359999999999996E-2</v>
      </c>
      <c r="K44" s="2569">
        <v>101.97</v>
      </c>
      <c r="L44" s="2569"/>
      <c r="M44" s="2726">
        <f t="shared" si="5"/>
        <v>7.6844591999999992</v>
      </c>
      <c r="N44" s="2517">
        <f t="shared" si="1"/>
        <v>153.68918399999998</v>
      </c>
      <c r="O44" s="2568" t="s">
        <v>2899</v>
      </c>
      <c r="P44" s="2568" t="s">
        <v>2898</v>
      </c>
      <c r="Q44" s="2586"/>
      <c r="R44" s="2695">
        <v>68.3</v>
      </c>
      <c r="S44" s="2695"/>
      <c r="T44" s="2513">
        <f t="shared" si="2"/>
        <v>10496.971267199999</v>
      </c>
      <c r="U44" s="2571">
        <v>0.77549999999999997</v>
      </c>
      <c r="V44" s="2571">
        <v>0.17710000000000001</v>
      </c>
      <c r="W44" s="2612">
        <v>3.8839999999999999</v>
      </c>
      <c r="X44" s="2510">
        <f t="shared" si="3"/>
        <v>596.92879065599993</v>
      </c>
      <c r="Y44" s="2612">
        <v>4.13</v>
      </c>
      <c r="Z44" s="2612">
        <v>22.475000000000001</v>
      </c>
      <c r="AN44" s="2508"/>
      <c r="AO44" s="2508"/>
      <c r="AP44" s="2508"/>
      <c r="AQ44" s="2508"/>
      <c r="AR44" s="2508"/>
      <c r="AS44" s="2508"/>
      <c r="AT44" s="2508"/>
      <c r="AU44" s="2508"/>
      <c r="AV44" s="2508"/>
      <c r="AW44" s="2508"/>
      <c r="AX44" s="2508"/>
      <c r="AY44" s="2508"/>
      <c r="AZ44" s="2508"/>
      <c r="BA44" s="2508"/>
      <c r="BB44" s="2508"/>
    </row>
    <row r="45" spans="1:54" s="98" customFormat="1">
      <c r="A45" s="2544" t="s">
        <v>2432</v>
      </c>
      <c r="B45" s="2543" t="s">
        <v>1504</v>
      </c>
      <c r="C45" s="2542" t="s">
        <v>2433</v>
      </c>
      <c r="D45" s="2521">
        <f>'[7]Precios Recuperación (PUSD)'!$H$2099</f>
        <v>20</v>
      </c>
      <c r="E45" s="2664">
        <v>0.3</v>
      </c>
      <c r="F45" s="2669">
        <v>0.1</v>
      </c>
      <c r="G45" s="2664">
        <v>0.04</v>
      </c>
      <c r="H45" s="2680">
        <v>78.5</v>
      </c>
      <c r="I45" s="2689" t="s">
        <v>2900</v>
      </c>
      <c r="J45" s="2509">
        <f t="shared" si="4"/>
        <v>9.4199999999999992E-2</v>
      </c>
      <c r="K45" s="2569">
        <v>101.97</v>
      </c>
      <c r="L45" s="2569"/>
      <c r="M45" s="2726">
        <f t="shared" si="5"/>
        <v>9.6055739999999989</v>
      </c>
      <c r="N45" s="2517">
        <f t="shared" si="1"/>
        <v>192.11147999999997</v>
      </c>
      <c r="O45" s="2568" t="s">
        <v>2899</v>
      </c>
      <c r="P45" s="2568" t="s">
        <v>2898</v>
      </c>
      <c r="Q45" s="2586"/>
      <c r="R45" s="2695">
        <v>68.3</v>
      </c>
      <c r="S45" s="2695"/>
      <c r="T45" s="2513">
        <f t="shared" si="2"/>
        <v>13121.214083999999</v>
      </c>
      <c r="U45" s="2571">
        <v>0.77549999999999997</v>
      </c>
      <c r="V45" s="2571">
        <v>0.17710000000000001</v>
      </c>
      <c r="W45" s="2612">
        <v>3.8839999999999999</v>
      </c>
      <c r="X45" s="2510">
        <f t="shared" si="3"/>
        <v>746.16098831999989</v>
      </c>
      <c r="Y45" s="2612">
        <v>4.13</v>
      </c>
      <c r="Z45" s="2612">
        <v>22.475000000000001</v>
      </c>
      <c r="AN45" s="2508"/>
      <c r="AO45" s="2508"/>
      <c r="AP45" s="2508"/>
      <c r="AQ45" s="2508"/>
      <c r="AR45" s="2508"/>
      <c r="AS45" s="2508"/>
      <c r="AT45" s="2508"/>
      <c r="AU45" s="2508"/>
      <c r="AV45" s="2508"/>
      <c r="AW45" s="2508"/>
      <c r="AX45" s="2508"/>
      <c r="AY45" s="2508"/>
      <c r="AZ45" s="2508"/>
      <c r="BA45" s="2508"/>
      <c r="BB45" s="2508"/>
    </row>
    <row r="46" spans="1:54" s="98" customFormat="1">
      <c r="A46" s="2642" t="s">
        <v>2410</v>
      </c>
      <c r="B46" s="2645" t="s">
        <v>1504</v>
      </c>
      <c r="C46" s="2644" t="s">
        <v>2411</v>
      </c>
      <c r="D46" s="2521">
        <f>'[7]Precios Recuperación (PUSD)'!$H$1633</f>
        <v>40</v>
      </c>
      <c r="E46" s="2664">
        <v>0.5</v>
      </c>
      <c r="F46" s="2669">
        <v>0.157</v>
      </c>
      <c r="G46" s="2664">
        <v>0.01</v>
      </c>
      <c r="H46" s="2680">
        <v>78.5</v>
      </c>
      <c r="I46" s="2689" t="s">
        <v>2900</v>
      </c>
      <c r="J46" s="2509">
        <f t="shared" si="4"/>
        <v>6.1622499999999997E-2</v>
      </c>
      <c r="K46" s="2569">
        <v>101.97</v>
      </c>
      <c r="L46" s="2569"/>
      <c r="M46" s="2726">
        <f t="shared" si="5"/>
        <v>6.2836463249999994</v>
      </c>
      <c r="N46" s="2517">
        <f t="shared" si="1"/>
        <v>251.34585299999998</v>
      </c>
      <c r="O46" s="2568" t="s">
        <v>2899</v>
      </c>
      <c r="P46" s="2568" t="s">
        <v>3062</v>
      </c>
      <c r="Q46" s="2586"/>
      <c r="R46" s="2697">
        <v>33.159999999999997</v>
      </c>
      <c r="S46" s="2697"/>
      <c r="T46" s="2513">
        <f t="shared" si="2"/>
        <v>8334.6284854799978</v>
      </c>
      <c r="U46" s="2571">
        <v>0.8286</v>
      </c>
      <c r="V46" s="2571">
        <v>0.12959999999999999</v>
      </c>
      <c r="W46" s="2596">
        <v>1.972</v>
      </c>
      <c r="X46" s="2510">
        <f t="shared" si="3"/>
        <v>495.65402211599996</v>
      </c>
      <c r="Y46" s="2596">
        <v>2.1240000000000001</v>
      </c>
      <c r="Z46" s="2596">
        <v>8.9480000000000004</v>
      </c>
      <c r="AA46" s="2598"/>
      <c r="AB46" s="2598">
        <v>950</v>
      </c>
      <c r="AC46" s="2598"/>
      <c r="AD46" s="2598"/>
      <c r="AE46" s="2598"/>
      <c r="AF46" s="2598"/>
      <c r="AG46" s="2598"/>
      <c r="AH46" s="2598"/>
      <c r="AI46" s="2598"/>
      <c r="AJ46" s="2598"/>
      <c r="AK46" s="2598"/>
      <c r="AL46" s="2598"/>
      <c r="AM46" s="2598"/>
      <c r="AN46" s="2584"/>
      <c r="AO46" s="2584"/>
      <c r="AP46" s="2584"/>
      <c r="AQ46" s="2581"/>
      <c r="AR46" s="2581"/>
      <c r="AS46" s="2583"/>
      <c r="AT46" s="2582"/>
      <c r="AU46" s="2581"/>
      <c r="AV46" s="2581"/>
      <c r="AW46" s="2581"/>
      <c r="AX46" s="2581"/>
      <c r="AY46" s="2508"/>
      <c r="AZ46" s="2508"/>
      <c r="BA46" s="2508"/>
      <c r="BB46" s="2508"/>
    </row>
    <row r="47" spans="1:54" s="98" customFormat="1">
      <c r="A47" s="2643" t="s">
        <v>2710</v>
      </c>
      <c r="B47" s="2645" t="s">
        <v>1527</v>
      </c>
      <c r="C47" s="2644" t="s">
        <v>2711</v>
      </c>
      <c r="D47" s="2531"/>
      <c r="E47" s="2664"/>
      <c r="F47" s="2669"/>
      <c r="G47" s="2664"/>
      <c r="H47" s="2680">
        <v>1</v>
      </c>
      <c r="I47" s="2689"/>
      <c r="J47" s="3028"/>
      <c r="K47" s="2569" t="s">
        <v>3140</v>
      </c>
      <c r="L47" s="2569"/>
      <c r="M47" s="3029">
        <f>Ascensor!E28</f>
        <v>378</v>
      </c>
      <c r="N47" s="2517">
        <f t="shared" si="1"/>
        <v>0</v>
      </c>
      <c r="O47" s="2568"/>
      <c r="P47" s="2568"/>
      <c r="Q47" s="2586"/>
      <c r="R47" s="3025">
        <v>1E-3</v>
      </c>
      <c r="S47" s="2697"/>
      <c r="T47" s="2513">
        <f t="shared" si="2"/>
        <v>0</v>
      </c>
      <c r="U47" s="2571"/>
      <c r="V47" s="2571"/>
      <c r="W47" s="2596"/>
      <c r="X47" s="2510">
        <f t="shared" si="3"/>
        <v>0</v>
      </c>
      <c r="Y47" s="2596"/>
      <c r="Z47" s="2596"/>
      <c r="AA47" s="2598"/>
      <c r="AB47" s="2598">
        <v>3450</v>
      </c>
      <c r="AC47" s="2598"/>
      <c r="AD47" s="2598"/>
      <c r="AE47" s="2598"/>
      <c r="AF47" s="2598"/>
      <c r="AG47" s="2598"/>
      <c r="AH47" s="2598"/>
      <c r="AI47" s="2598"/>
      <c r="AJ47" s="2598"/>
      <c r="AK47" s="2598"/>
      <c r="AL47" s="2598"/>
      <c r="AM47" s="2598"/>
      <c r="AN47" s="2584"/>
      <c r="AO47" s="2584"/>
      <c r="AP47" s="2584"/>
      <c r="AQ47" s="2581"/>
      <c r="AR47" s="2581"/>
      <c r="AS47" s="2583"/>
      <c r="AT47" s="2582"/>
      <c r="AU47" s="2581"/>
      <c r="AV47" s="2581"/>
      <c r="AW47" s="2581"/>
      <c r="AX47" s="2581"/>
      <c r="AY47" s="2508"/>
      <c r="AZ47" s="2508"/>
      <c r="BA47" s="2508"/>
      <c r="BB47" s="2508"/>
    </row>
    <row r="48" spans="1:54" s="98" customFormat="1">
      <c r="A48" s="2643" t="s">
        <v>2708</v>
      </c>
      <c r="B48" s="2645" t="s">
        <v>1504</v>
      </c>
      <c r="C48" s="2644" t="s">
        <v>2709</v>
      </c>
      <c r="D48" s="2531"/>
      <c r="E48" s="2664"/>
      <c r="F48" s="2669"/>
      <c r="G48" s="2664"/>
      <c r="H48" s="2680">
        <v>1</v>
      </c>
      <c r="I48" s="2689"/>
      <c r="J48" s="3028"/>
      <c r="K48" s="2569" t="s">
        <v>3138</v>
      </c>
      <c r="L48" s="2569"/>
      <c r="M48" s="3029">
        <f>Ascensor!E26</f>
        <v>126</v>
      </c>
      <c r="N48" s="2517">
        <f t="shared" si="1"/>
        <v>0</v>
      </c>
      <c r="O48" s="2568"/>
      <c r="P48" s="2568"/>
      <c r="Q48" s="2586"/>
      <c r="R48" s="3025">
        <v>125.6</v>
      </c>
      <c r="S48" s="2697"/>
      <c r="T48" s="2513">
        <f t="shared" si="2"/>
        <v>0</v>
      </c>
      <c r="U48" s="2571"/>
      <c r="V48" s="2571"/>
      <c r="W48" s="2596"/>
      <c r="X48" s="2510">
        <f t="shared" si="3"/>
        <v>0</v>
      </c>
      <c r="Y48" s="2596"/>
      <c r="Z48" s="2596"/>
      <c r="AA48" s="2598"/>
      <c r="AB48" s="2598">
        <v>2750</v>
      </c>
      <c r="AC48" s="2598"/>
      <c r="AD48" s="2598"/>
      <c r="AE48" s="2598"/>
      <c r="AF48" s="2598"/>
      <c r="AG48" s="2598"/>
      <c r="AH48" s="2598"/>
      <c r="AI48" s="2598"/>
      <c r="AJ48" s="2598"/>
      <c r="AK48" s="2598"/>
      <c r="AL48" s="2598"/>
      <c r="AM48" s="2598"/>
      <c r="AN48" s="2584"/>
      <c r="AO48" s="2584"/>
      <c r="AP48" s="2584"/>
      <c r="AQ48" s="2581"/>
      <c r="AR48" s="2581"/>
      <c r="AS48" s="2583"/>
      <c r="AT48" s="2582"/>
      <c r="AU48" s="2581"/>
      <c r="AV48" s="2581"/>
      <c r="AW48" s="2581"/>
      <c r="AX48" s="2581"/>
      <c r="AY48" s="2508"/>
      <c r="AZ48" s="2508"/>
      <c r="BA48" s="2508"/>
      <c r="BB48" s="2508"/>
    </row>
    <row r="49" spans="1:57" s="98" customFormat="1">
      <c r="A49" s="2643" t="s">
        <v>3061</v>
      </c>
      <c r="B49" s="2645" t="s">
        <v>1504</v>
      </c>
      <c r="C49" s="2644" t="s">
        <v>2707</v>
      </c>
      <c r="D49" s="2531"/>
      <c r="E49" s="2664"/>
      <c r="F49" s="2669"/>
      <c r="G49" s="2664"/>
      <c r="H49" s="2680">
        <v>1</v>
      </c>
      <c r="I49" s="2689"/>
      <c r="J49" s="3028"/>
      <c r="K49" s="2569" t="s">
        <v>3137</v>
      </c>
      <c r="L49" s="2569"/>
      <c r="M49" s="3029">
        <f>Ascensor!E25+Ascensor!E27</f>
        <v>598.5</v>
      </c>
      <c r="N49" s="2517">
        <f t="shared" si="1"/>
        <v>0</v>
      </c>
      <c r="O49" s="2568"/>
      <c r="P49" s="2568"/>
      <c r="Q49" s="2586"/>
      <c r="R49" s="3025">
        <v>68.3</v>
      </c>
      <c r="S49" s="2697"/>
      <c r="T49" s="2513">
        <f t="shared" si="2"/>
        <v>0</v>
      </c>
      <c r="U49" s="2571"/>
      <c r="V49" s="2571"/>
      <c r="W49" s="2596"/>
      <c r="X49" s="2510">
        <f t="shared" si="3"/>
        <v>0</v>
      </c>
      <c r="Y49" s="2596"/>
      <c r="Z49" s="2596"/>
      <c r="AA49" s="2598"/>
      <c r="AB49" s="2598">
        <v>700</v>
      </c>
      <c r="AC49" s="2598"/>
      <c r="AD49" s="2598"/>
      <c r="AE49" s="2598"/>
      <c r="AF49" s="2598"/>
      <c r="AG49" s="2598"/>
      <c r="AH49" s="2598"/>
      <c r="AI49" s="2598"/>
      <c r="AJ49" s="2598"/>
      <c r="AK49" s="2598"/>
      <c r="AL49" s="2598"/>
      <c r="AM49" s="2598"/>
      <c r="AN49" s="2584"/>
      <c r="AO49" s="2584"/>
      <c r="AP49" s="2584"/>
      <c r="AQ49" s="2581"/>
      <c r="AR49" s="2581"/>
      <c r="AS49" s="2583"/>
      <c r="AT49" s="2582"/>
      <c r="AU49" s="2581"/>
      <c r="AV49" s="2581"/>
      <c r="AW49" s="2581"/>
      <c r="AX49" s="2581"/>
      <c r="AY49" s="2508"/>
      <c r="AZ49" s="2508"/>
      <c r="BA49" s="2508"/>
      <c r="BB49" s="2508"/>
    </row>
    <row r="50" spans="1:57" s="98" customFormat="1" ht="18.75" customHeight="1">
      <c r="A50" s="2642" t="s">
        <v>2511</v>
      </c>
      <c r="B50" s="2641" t="s">
        <v>1504</v>
      </c>
      <c r="C50" s="2640" t="s">
        <v>2510</v>
      </c>
      <c r="D50" s="2531"/>
      <c r="E50" s="2664">
        <v>0.15</v>
      </c>
      <c r="F50" s="2669">
        <v>0.01</v>
      </c>
      <c r="G50" s="2664"/>
      <c r="H50" s="2680">
        <v>78.5</v>
      </c>
      <c r="I50" s="2689" t="s">
        <v>2900</v>
      </c>
      <c r="J50" s="2509"/>
      <c r="K50" s="2569">
        <v>101.97</v>
      </c>
      <c r="L50" s="2569"/>
      <c r="M50" s="2726">
        <f t="shared" ref="M50:M57" si="6">J50*K50</f>
        <v>0</v>
      </c>
      <c r="N50" s="2517">
        <f t="shared" si="1"/>
        <v>0</v>
      </c>
      <c r="O50" s="2568" t="s">
        <v>2899</v>
      </c>
      <c r="P50" s="2586" t="s">
        <v>2898</v>
      </c>
      <c r="Q50" s="2575"/>
      <c r="R50" s="2694">
        <v>68.3</v>
      </c>
      <c r="S50" s="2694"/>
      <c r="T50" s="2513">
        <f t="shared" si="2"/>
        <v>0</v>
      </c>
      <c r="U50" s="2571">
        <v>0.77549999999999997</v>
      </c>
      <c r="V50" s="2571">
        <v>0.17710000000000001</v>
      </c>
      <c r="W50" s="2585">
        <v>3.8839999999999999</v>
      </c>
      <c r="X50" s="2510">
        <f t="shared" si="3"/>
        <v>0</v>
      </c>
      <c r="Y50" s="2585">
        <v>4.13</v>
      </c>
      <c r="Z50" s="2585">
        <v>22.475000000000001</v>
      </c>
      <c r="AA50" s="2598"/>
      <c r="AB50" s="2598">
        <f>SUM(AB46:AB49)</f>
        <v>7850</v>
      </c>
      <c r="AC50" s="2598"/>
      <c r="AD50" s="2598"/>
      <c r="AE50" s="2598"/>
      <c r="AF50" s="2598"/>
      <c r="AG50" s="2598"/>
      <c r="AH50" s="2598"/>
      <c r="AI50" s="2598"/>
      <c r="AJ50" s="2598"/>
      <c r="AK50" s="2598"/>
      <c r="AL50" s="2598"/>
      <c r="AM50" s="2598"/>
      <c r="AN50" s="2584"/>
      <c r="AO50" s="2584"/>
      <c r="AP50" s="2584"/>
      <c r="AQ50" s="2581"/>
      <c r="AR50" s="2581"/>
      <c r="AS50" s="2583"/>
      <c r="AT50" s="2582"/>
      <c r="AU50" s="2581"/>
      <c r="AV50" s="2581"/>
      <c r="AW50" s="2581"/>
      <c r="AX50" s="2581"/>
      <c r="AY50" s="2508"/>
      <c r="AZ50" s="2508"/>
      <c r="BA50" s="2508"/>
      <c r="BB50" s="2508"/>
    </row>
    <row r="51" spans="1:57" s="98" customFormat="1">
      <c r="A51" s="2643" t="s">
        <v>2529</v>
      </c>
      <c r="B51" s="2641" t="s">
        <v>1504</v>
      </c>
      <c r="C51" s="2640" t="s">
        <v>2530</v>
      </c>
      <c r="D51" s="2531"/>
      <c r="E51" s="2664"/>
      <c r="F51" s="2669"/>
      <c r="G51" s="2664"/>
      <c r="H51" s="2680"/>
      <c r="I51" s="2689"/>
      <c r="J51" s="2509"/>
      <c r="K51" s="2569"/>
      <c r="L51" s="2569"/>
      <c r="M51" s="2726">
        <f t="shared" si="6"/>
        <v>0</v>
      </c>
      <c r="N51" s="2517">
        <f t="shared" si="1"/>
        <v>0</v>
      </c>
      <c r="O51" s="2568"/>
      <c r="P51" s="2568"/>
      <c r="Q51" s="2586"/>
      <c r="R51" s="2697"/>
      <c r="S51" s="2697"/>
      <c r="T51" s="2513">
        <f t="shared" si="2"/>
        <v>0</v>
      </c>
      <c r="U51" s="2571"/>
      <c r="V51" s="2571"/>
      <c r="W51" s="2596"/>
      <c r="X51" s="2510">
        <f t="shared" si="3"/>
        <v>0</v>
      </c>
      <c r="Y51" s="2596"/>
      <c r="Z51" s="2596"/>
      <c r="AA51" s="2598"/>
      <c r="AB51" s="2598">
        <v>320</v>
      </c>
      <c r="AC51" s="2598"/>
      <c r="AD51" s="2598"/>
      <c r="AE51" s="2598"/>
      <c r="AF51" s="2598"/>
      <c r="AG51" s="2598"/>
      <c r="AH51" s="2598"/>
      <c r="AI51" s="2598"/>
      <c r="AJ51" s="2598"/>
      <c r="AK51" s="2598"/>
      <c r="AL51" s="2598"/>
      <c r="AM51" s="2598"/>
      <c r="AN51" s="2584"/>
      <c r="AO51" s="2584"/>
      <c r="AP51" s="2584"/>
      <c r="AQ51" s="2581"/>
      <c r="AR51" s="2581"/>
      <c r="AS51" s="2583"/>
      <c r="AT51" s="2582"/>
      <c r="AU51" s="2581"/>
      <c r="AV51" s="2581"/>
      <c r="AW51" s="2581"/>
      <c r="AX51" s="2581"/>
      <c r="AY51" s="2508"/>
      <c r="AZ51" s="2508"/>
      <c r="BA51" s="2508"/>
      <c r="BB51" s="2508"/>
    </row>
    <row r="52" spans="1:57" s="98" customFormat="1">
      <c r="A52" s="2642" t="s">
        <v>2539</v>
      </c>
      <c r="B52" s="2641" t="s">
        <v>1504</v>
      </c>
      <c r="C52" s="2640" t="s">
        <v>2540</v>
      </c>
      <c r="D52" s="2580"/>
      <c r="E52" s="2667">
        <v>0.2</v>
      </c>
      <c r="F52" s="2660">
        <v>0.1</v>
      </c>
      <c r="G52" s="2667">
        <v>1.2E-2</v>
      </c>
      <c r="H52" s="2681">
        <v>84</v>
      </c>
      <c r="I52" s="2690" t="s">
        <v>2900</v>
      </c>
      <c r="J52" s="2509">
        <f t="shared" si="4"/>
        <v>2.0160000000000004E-2</v>
      </c>
      <c r="K52" s="2536">
        <v>101.97</v>
      </c>
      <c r="L52" s="2536"/>
      <c r="M52" s="2726">
        <f t="shared" si="6"/>
        <v>2.0557152000000003</v>
      </c>
      <c r="N52" s="2517">
        <f t="shared" si="1"/>
        <v>0</v>
      </c>
      <c r="O52" s="2541" t="s">
        <v>2899</v>
      </c>
      <c r="P52" s="2541" t="s">
        <v>2979</v>
      </c>
      <c r="Q52" s="2514"/>
      <c r="R52" s="2698">
        <v>70.599999999999994</v>
      </c>
      <c r="S52" s="2698"/>
      <c r="T52" s="2513">
        <f t="shared" si="2"/>
        <v>0</v>
      </c>
      <c r="U52" s="2540">
        <v>0.67979999999999996</v>
      </c>
      <c r="V52" s="2540">
        <v>0.21540000000000001</v>
      </c>
      <c r="W52" s="2529">
        <v>3.552</v>
      </c>
      <c r="X52" s="2510">
        <f t="shared" si="3"/>
        <v>0</v>
      </c>
      <c r="Y52" s="2529">
        <v>3.81</v>
      </c>
      <c r="Z52" s="2529">
        <v>65.378</v>
      </c>
      <c r="AA52" s="2598"/>
      <c r="AB52" s="2598">
        <f>AB50-AB51</f>
        <v>7530</v>
      </c>
      <c r="AC52" s="2598"/>
      <c r="AD52" s="2598"/>
      <c r="AE52" s="2598"/>
      <c r="AF52" s="2598"/>
      <c r="AG52" s="2598"/>
      <c r="AH52" s="2598"/>
      <c r="AI52" s="2598"/>
      <c r="AJ52" s="2598"/>
      <c r="AK52" s="2598"/>
      <c r="AL52" s="2598"/>
      <c r="AM52" s="2598"/>
      <c r="AN52" s="2584"/>
      <c r="AO52" s="2584"/>
      <c r="AP52" s="2584"/>
      <c r="AQ52" s="2581"/>
      <c r="AR52" s="2581"/>
      <c r="AS52" s="2583"/>
      <c r="AT52" s="2582"/>
      <c r="AU52" s="2581"/>
      <c r="AV52" s="2581"/>
      <c r="AW52" s="2581"/>
      <c r="AX52" s="2581"/>
      <c r="AY52" s="2508"/>
      <c r="AZ52" s="2508"/>
      <c r="BA52" s="2508"/>
      <c r="BB52" s="2508"/>
    </row>
    <row r="53" spans="1:57" s="98" customFormat="1">
      <c r="A53" s="2642" t="s">
        <v>2537</v>
      </c>
      <c r="B53" s="2641" t="s">
        <v>1504</v>
      </c>
      <c r="C53" s="2640" t="s">
        <v>2538</v>
      </c>
      <c r="D53" s="2580"/>
      <c r="E53" s="2667">
        <v>0.2</v>
      </c>
      <c r="F53" s="2660">
        <v>0.1</v>
      </c>
      <c r="G53" s="2667">
        <v>1.2E-2</v>
      </c>
      <c r="H53" s="2681">
        <v>84</v>
      </c>
      <c r="I53" s="2690" t="s">
        <v>2900</v>
      </c>
      <c r="J53" s="2509">
        <f t="shared" si="4"/>
        <v>2.0160000000000004E-2</v>
      </c>
      <c r="K53" s="2536">
        <v>101.97</v>
      </c>
      <c r="L53" s="2536"/>
      <c r="M53" s="2726">
        <f t="shared" si="6"/>
        <v>2.0557152000000003</v>
      </c>
      <c r="N53" s="2517">
        <f t="shared" si="1"/>
        <v>0</v>
      </c>
      <c r="O53" s="2541" t="s">
        <v>2899</v>
      </c>
      <c r="P53" s="2541" t="s">
        <v>2979</v>
      </c>
      <c r="Q53" s="2514"/>
      <c r="R53" s="2698">
        <v>70.599999999999994</v>
      </c>
      <c r="S53" s="2698"/>
      <c r="T53" s="2513">
        <f t="shared" si="2"/>
        <v>0</v>
      </c>
      <c r="U53" s="2540">
        <v>0.67979999999999996</v>
      </c>
      <c r="V53" s="2540">
        <v>0.21540000000000001</v>
      </c>
      <c r="W53" s="2529">
        <v>3.552</v>
      </c>
      <c r="X53" s="2510">
        <f t="shared" si="3"/>
        <v>0</v>
      </c>
      <c r="Y53" s="2529">
        <v>3.81</v>
      </c>
      <c r="Z53" s="2529">
        <v>65.378</v>
      </c>
      <c r="AA53" s="2598"/>
      <c r="AB53" s="2598"/>
      <c r="AC53" s="2598"/>
      <c r="AD53" s="2598"/>
      <c r="AE53" s="2598"/>
      <c r="AF53" s="2598"/>
      <c r="AG53" s="2598"/>
      <c r="AH53" s="2598"/>
      <c r="AI53" s="2598"/>
      <c r="AJ53" s="2598"/>
      <c r="AK53" s="2598"/>
      <c r="AL53" s="2598"/>
      <c r="AM53" s="2598"/>
      <c r="AN53" s="2584"/>
      <c r="AO53" s="2584"/>
      <c r="AP53" s="2584"/>
      <c r="AQ53" s="2581"/>
      <c r="AR53" s="2581"/>
      <c r="AS53" s="2583"/>
      <c r="AT53" s="2582"/>
      <c r="AU53" s="2581"/>
      <c r="AV53" s="2581"/>
      <c r="AW53" s="2581"/>
      <c r="AX53" s="2581"/>
      <c r="AY53" s="2508"/>
      <c r="AZ53" s="2508"/>
      <c r="BA53" s="2508"/>
      <c r="BB53" s="2508"/>
    </row>
    <row r="54" spans="1:57" s="98" customFormat="1">
      <c r="A54" s="2535" t="s">
        <v>2542</v>
      </c>
      <c r="B54" s="2533" t="s">
        <v>1504</v>
      </c>
      <c r="C54" s="2522" t="s">
        <v>3060</v>
      </c>
      <c r="D54" s="2531"/>
      <c r="E54" s="2667">
        <v>0.2</v>
      </c>
      <c r="F54" s="2660">
        <v>0.1</v>
      </c>
      <c r="G54" s="2667">
        <v>1.9E-2</v>
      </c>
      <c r="H54" s="2681">
        <v>84</v>
      </c>
      <c r="I54" s="2690" t="s">
        <v>2900</v>
      </c>
      <c r="J54" s="2509">
        <f t="shared" si="4"/>
        <v>3.1920000000000004E-2</v>
      </c>
      <c r="K54" s="2536">
        <v>101.97</v>
      </c>
      <c r="L54" s="2536"/>
      <c r="M54" s="2726">
        <f t="shared" si="6"/>
        <v>3.2548824000000005</v>
      </c>
      <c r="N54" s="2517">
        <f t="shared" si="1"/>
        <v>0</v>
      </c>
      <c r="O54" s="2541" t="s">
        <v>2899</v>
      </c>
      <c r="P54" s="2541" t="s">
        <v>2979</v>
      </c>
      <c r="Q54" s="2514"/>
      <c r="R54" s="2698">
        <v>70.599999999999994</v>
      </c>
      <c r="S54" s="2698"/>
      <c r="T54" s="2513">
        <f t="shared" si="2"/>
        <v>0</v>
      </c>
      <c r="U54" s="2540">
        <v>0.67979999999999996</v>
      </c>
      <c r="V54" s="2540">
        <v>0.21540000000000001</v>
      </c>
      <c r="W54" s="2529">
        <v>3.552</v>
      </c>
      <c r="X54" s="2510">
        <f t="shared" si="3"/>
        <v>0</v>
      </c>
      <c r="Y54" s="2529">
        <v>3.81</v>
      </c>
      <c r="Z54" s="2529">
        <v>65.378</v>
      </c>
      <c r="AA54" s="2598"/>
      <c r="AB54" s="2598"/>
      <c r="AC54" s="2598"/>
      <c r="AD54" s="485"/>
      <c r="AE54" s="485"/>
      <c r="AF54" s="485"/>
      <c r="AG54" s="485"/>
      <c r="AH54" s="485"/>
      <c r="AI54" s="485"/>
      <c r="AJ54" s="485"/>
      <c r="AK54" s="485"/>
      <c r="AL54" s="485"/>
      <c r="AM54" s="485"/>
      <c r="AN54" s="485"/>
      <c r="AO54" s="485"/>
      <c r="AP54" s="485"/>
      <c r="AQ54" s="485"/>
      <c r="AR54" s="485"/>
      <c r="AS54" s="485"/>
      <c r="AT54" s="485"/>
      <c r="AU54" s="485"/>
      <c r="AV54" s="485"/>
      <c r="AW54" s="485"/>
      <c r="AX54" s="485"/>
      <c r="AY54" s="485"/>
      <c r="AZ54" s="485"/>
      <c r="BA54" s="485"/>
      <c r="BB54" s="485"/>
      <c r="BC54" s="485"/>
      <c r="BD54" s="485"/>
      <c r="BE54" s="485"/>
    </row>
    <row r="55" spans="1:57" s="98" customFormat="1">
      <c r="A55" s="2535" t="s">
        <v>2547</v>
      </c>
      <c r="B55" s="2533" t="s">
        <v>1504</v>
      </c>
      <c r="C55" s="2522" t="s">
        <v>3059</v>
      </c>
      <c r="D55" s="2531"/>
      <c r="E55" s="2667">
        <v>0.2</v>
      </c>
      <c r="F55" s="2660">
        <v>0.1</v>
      </c>
      <c r="G55" s="2667">
        <v>2.5399999999999999E-2</v>
      </c>
      <c r="H55" s="2681">
        <v>84</v>
      </c>
      <c r="I55" s="2690" t="s">
        <v>2900</v>
      </c>
      <c r="J55" s="2509">
        <f t="shared" si="4"/>
        <v>4.2672000000000009E-2</v>
      </c>
      <c r="K55" s="2536">
        <v>101.97</v>
      </c>
      <c r="L55" s="2536"/>
      <c r="M55" s="2726">
        <f t="shared" si="6"/>
        <v>4.3512638400000005</v>
      </c>
      <c r="N55" s="2517">
        <f t="shared" si="1"/>
        <v>0</v>
      </c>
      <c r="O55" s="2541" t="s">
        <v>2899</v>
      </c>
      <c r="P55" s="2541" t="s">
        <v>2979</v>
      </c>
      <c r="Q55" s="2514"/>
      <c r="R55" s="2698">
        <v>70.599999999999994</v>
      </c>
      <c r="S55" s="2698"/>
      <c r="T55" s="2513">
        <f t="shared" si="2"/>
        <v>0</v>
      </c>
      <c r="U55" s="2540">
        <v>0.67979999999999996</v>
      </c>
      <c r="V55" s="2540">
        <v>0.21540000000000001</v>
      </c>
      <c r="W55" s="2529">
        <v>3.552</v>
      </c>
      <c r="X55" s="2510">
        <f t="shared" si="3"/>
        <v>0</v>
      </c>
      <c r="Y55" s="2529">
        <v>3.81</v>
      </c>
      <c r="Z55" s="2529">
        <v>65.378</v>
      </c>
      <c r="AA55" s="2598"/>
      <c r="AB55" s="2598"/>
      <c r="AC55" s="2598"/>
      <c r="AD55" s="485"/>
      <c r="AE55" s="485"/>
      <c r="AF55" s="485"/>
      <c r="AG55" s="485"/>
      <c r="AH55" s="485"/>
      <c r="AI55" s="485"/>
      <c r="AJ55" s="485"/>
      <c r="AK55" s="485"/>
      <c r="AL55" s="485"/>
      <c r="AM55" s="485"/>
      <c r="AN55" s="485"/>
      <c r="AO55" s="485"/>
      <c r="AP55" s="485"/>
      <c r="AQ55" s="485"/>
      <c r="AR55" s="485"/>
      <c r="AS55" s="485"/>
      <c r="AT55" s="485"/>
      <c r="AU55" s="485"/>
      <c r="AV55" s="485"/>
      <c r="AW55" s="485"/>
      <c r="AX55" s="485"/>
      <c r="AY55" s="485"/>
      <c r="AZ55" s="485"/>
      <c r="BA55" s="485"/>
      <c r="BB55" s="485"/>
      <c r="BC55" s="485"/>
      <c r="BD55" s="485"/>
      <c r="BE55" s="485"/>
    </row>
    <row r="56" spans="1:57" s="98" customFormat="1" ht="21.75" customHeight="1">
      <c r="A56" s="2535" t="s">
        <v>2597</v>
      </c>
      <c r="B56" s="2533" t="s">
        <v>1504</v>
      </c>
      <c r="C56" s="2532" t="s">
        <v>2598</v>
      </c>
      <c r="D56" s="2531"/>
      <c r="E56" s="2665">
        <v>3.0000000000000001E-3</v>
      </c>
      <c r="F56" s="2670">
        <v>0.01</v>
      </c>
      <c r="G56" s="2665"/>
      <c r="H56" s="2680">
        <v>78.5</v>
      </c>
      <c r="I56" s="2689" t="s">
        <v>2900</v>
      </c>
      <c r="J56" s="2509">
        <f>E56*F56*H56</f>
        <v>2.3549999999999999E-3</v>
      </c>
      <c r="K56" s="2569">
        <v>101.97</v>
      </c>
      <c r="L56" s="2569"/>
      <c r="M56" s="2726">
        <f t="shared" si="6"/>
        <v>0.24013934999999997</v>
      </c>
      <c r="N56" s="2517">
        <f t="shared" si="1"/>
        <v>0</v>
      </c>
      <c r="O56" s="2568" t="s">
        <v>2899</v>
      </c>
      <c r="P56" s="2586" t="s">
        <v>2898</v>
      </c>
      <c r="Q56" s="2575"/>
      <c r="R56" s="2694">
        <v>68.3</v>
      </c>
      <c r="S56" s="2694"/>
      <c r="T56" s="2513">
        <f t="shared" si="2"/>
        <v>0</v>
      </c>
      <c r="U56" s="2571">
        <v>0.77549999999999997</v>
      </c>
      <c r="V56" s="2571">
        <v>0.17710000000000001</v>
      </c>
      <c r="W56" s="2585">
        <v>3.8839999999999999</v>
      </c>
      <c r="X56" s="2510">
        <f t="shared" si="3"/>
        <v>0</v>
      </c>
      <c r="Y56" s="2585">
        <v>4.13</v>
      </c>
      <c r="Z56" s="2585">
        <v>22.475000000000001</v>
      </c>
      <c r="AA56" s="2598"/>
      <c r="AB56" s="2598"/>
      <c r="AC56" s="2598"/>
      <c r="AD56" s="485"/>
      <c r="AE56" s="485"/>
      <c r="AF56" s="485"/>
      <c r="AG56" s="485"/>
      <c r="AH56" s="485"/>
      <c r="AI56" s="485"/>
      <c r="AJ56" s="485"/>
      <c r="AK56" s="485"/>
      <c r="AL56" s="485"/>
      <c r="AM56" s="485"/>
      <c r="AN56" s="485"/>
      <c r="AO56" s="485"/>
      <c r="AP56" s="485"/>
      <c r="AQ56" s="485"/>
      <c r="AR56" s="485"/>
      <c r="AS56" s="485"/>
      <c r="AT56" s="485"/>
      <c r="AU56" s="485"/>
      <c r="AV56" s="485"/>
      <c r="AW56" s="485"/>
      <c r="AX56" s="485"/>
      <c r="AY56" s="485"/>
      <c r="AZ56" s="485"/>
      <c r="BA56" s="485"/>
      <c r="BB56" s="485"/>
    </row>
    <row r="57" spans="1:57" s="98" customFormat="1" ht="25.5" customHeight="1">
      <c r="A57" s="2535" t="s">
        <v>2589</v>
      </c>
      <c r="B57" s="2533" t="s">
        <v>1504</v>
      </c>
      <c r="C57" s="2532" t="s">
        <v>2590</v>
      </c>
      <c r="D57" s="2531"/>
      <c r="E57" s="2665">
        <v>2.5000000000000001E-2</v>
      </c>
      <c r="F57" s="2670">
        <v>0.01</v>
      </c>
      <c r="G57" s="2665"/>
      <c r="H57" s="2680">
        <v>78.5</v>
      </c>
      <c r="I57" s="2689" t="s">
        <v>2900</v>
      </c>
      <c r="J57" s="2509">
        <f>E57*F57*H57</f>
        <v>1.9625E-2</v>
      </c>
      <c r="K57" s="2569">
        <v>101.97</v>
      </c>
      <c r="L57" s="2569"/>
      <c r="M57" s="2726">
        <f t="shared" si="6"/>
        <v>2.00116125</v>
      </c>
      <c r="N57" s="2517">
        <f t="shared" si="1"/>
        <v>0</v>
      </c>
      <c r="O57" s="2568" t="s">
        <v>2899</v>
      </c>
      <c r="P57" s="2586" t="s">
        <v>2898</v>
      </c>
      <c r="Q57" s="2575"/>
      <c r="R57" s="2694">
        <v>68.3</v>
      </c>
      <c r="S57" s="2694"/>
      <c r="T57" s="2513">
        <f t="shared" si="2"/>
        <v>0</v>
      </c>
      <c r="U57" s="2571">
        <v>0.77549999999999997</v>
      </c>
      <c r="V57" s="2571">
        <v>0.17710000000000001</v>
      </c>
      <c r="W57" s="2585">
        <v>3.8839999999999999</v>
      </c>
      <c r="X57" s="2510">
        <f t="shared" si="3"/>
        <v>0</v>
      </c>
      <c r="Y57" s="2585">
        <v>4.13</v>
      </c>
      <c r="Z57" s="2585">
        <v>22.475000000000001</v>
      </c>
      <c r="AA57" s="485"/>
      <c r="AB57" s="2598"/>
      <c r="AC57" s="2598"/>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row>
    <row r="58" spans="1:57" s="2555" customFormat="1">
      <c r="A58" s="2523" t="s">
        <v>1193</v>
      </c>
      <c r="B58" s="2522" t="s">
        <v>1357</v>
      </c>
      <c r="C58" s="2522" t="s">
        <v>2121</v>
      </c>
      <c r="D58" s="2607"/>
      <c r="E58" s="2663">
        <v>1</v>
      </c>
      <c r="F58" s="2669"/>
      <c r="G58" s="2663"/>
      <c r="H58" s="2677"/>
      <c r="I58" s="2688" t="s">
        <v>3091</v>
      </c>
      <c r="J58" s="2509"/>
      <c r="K58" s="2585"/>
      <c r="L58" s="2585"/>
      <c r="M58" s="2726">
        <f>E58</f>
        <v>1</v>
      </c>
      <c r="N58" s="2517">
        <f t="shared" si="1"/>
        <v>0</v>
      </c>
      <c r="O58" s="2519"/>
      <c r="P58" s="2564" t="s">
        <v>3058</v>
      </c>
      <c r="Q58" s="2564" t="s">
        <v>3057</v>
      </c>
      <c r="R58" s="2693">
        <v>23.3</v>
      </c>
      <c r="S58" s="2693"/>
      <c r="T58" s="2513">
        <f t="shared" si="2"/>
        <v>0</v>
      </c>
      <c r="U58" s="2512">
        <v>0.873</v>
      </c>
      <c r="V58" s="2512">
        <v>0.104</v>
      </c>
      <c r="W58" s="2553">
        <v>1.3440000000000001</v>
      </c>
      <c r="X58" s="2510">
        <f t="shared" si="3"/>
        <v>0</v>
      </c>
      <c r="Y58" s="2553">
        <v>1.45</v>
      </c>
      <c r="Z58" s="2553">
        <v>2.8069999999999999</v>
      </c>
      <c r="AA58" s="98"/>
      <c r="AB58" s="2598"/>
      <c r="AC58" s="25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row>
    <row r="59" spans="1:57" s="98" customFormat="1">
      <c r="A59" s="2642" t="s">
        <v>1194</v>
      </c>
      <c r="B59" s="2641" t="s">
        <v>1357</v>
      </c>
      <c r="C59" s="2640" t="s">
        <v>2122</v>
      </c>
      <c r="D59" s="2607"/>
      <c r="E59" s="2663">
        <v>1</v>
      </c>
      <c r="F59" s="2669"/>
      <c r="G59" s="2663"/>
      <c r="H59" s="2677"/>
      <c r="I59" s="2688" t="s">
        <v>3091</v>
      </c>
      <c r="J59" s="2509"/>
      <c r="K59" s="2585"/>
      <c r="L59" s="2585"/>
      <c r="M59" s="2726">
        <f>E59</f>
        <v>1</v>
      </c>
      <c r="N59" s="2517">
        <f t="shared" si="1"/>
        <v>0</v>
      </c>
      <c r="O59" s="2519"/>
      <c r="P59" s="2564" t="s">
        <v>3058</v>
      </c>
      <c r="Q59" s="2564" t="s">
        <v>3057</v>
      </c>
      <c r="R59" s="2693">
        <v>23.3</v>
      </c>
      <c r="S59" s="2693"/>
      <c r="T59" s="2513">
        <f t="shared" si="2"/>
        <v>0</v>
      </c>
      <c r="U59" s="2512">
        <v>0.873</v>
      </c>
      <c r="V59" s="2512">
        <v>0.104</v>
      </c>
      <c r="W59" s="2553">
        <v>1.3440000000000001</v>
      </c>
      <c r="X59" s="2510">
        <f t="shared" si="3"/>
        <v>0</v>
      </c>
      <c r="Y59" s="2553">
        <v>1.45</v>
      </c>
      <c r="Z59" s="2553">
        <v>2.8069999999999999</v>
      </c>
      <c r="AA59" s="2598"/>
      <c r="AB59" s="2598"/>
      <c r="AC59" s="2598"/>
      <c r="AD59" s="2598"/>
      <c r="AE59" s="2598"/>
      <c r="AF59" s="2598"/>
      <c r="AG59" s="2598"/>
      <c r="AH59" s="2598"/>
      <c r="AI59" s="2598"/>
      <c r="AJ59" s="2598"/>
      <c r="AK59" s="2598"/>
      <c r="AL59" s="2598"/>
      <c r="AM59" s="2598"/>
      <c r="AN59" s="2584"/>
      <c r="AO59" s="2584"/>
      <c r="AP59" s="2584"/>
      <c r="AQ59" s="2581"/>
      <c r="AR59" s="2581"/>
      <c r="AS59" s="2583"/>
      <c r="AT59" s="2582"/>
      <c r="AU59" s="2581"/>
      <c r="AV59" s="2581"/>
      <c r="AW59" s="2581"/>
      <c r="AX59" s="2581"/>
      <c r="AY59" s="2508"/>
      <c r="AZ59" s="2508"/>
      <c r="BA59" s="2508"/>
      <c r="BB59" s="2508"/>
    </row>
    <row r="60" spans="1:57" s="98" customFormat="1">
      <c r="A60" s="2544" t="s">
        <v>1196</v>
      </c>
      <c r="B60" s="2543" t="s">
        <v>1357</v>
      </c>
      <c r="C60" s="2542" t="s">
        <v>2714</v>
      </c>
      <c r="D60" s="2607"/>
      <c r="E60" s="2663">
        <v>1</v>
      </c>
      <c r="F60" s="2669"/>
      <c r="G60" s="2663"/>
      <c r="H60" s="2677"/>
      <c r="I60" s="2688" t="s">
        <v>3091</v>
      </c>
      <c r="J60" s="2509"/>
      <c r="K60" s="2585"/>
      <c r="L60" s="2585"/>
      <c r="M60" s="2726">
        <f>E60</f>
        <v>1</v>
      </c>
      <c r="N60" s="2517">
        <f t="shared" si="1"/>
        <v>0</v>
      </c>
      <c r="O60" s="2519"/>
      <c r="P60" s="2564" t="s">
        <v>3058</v>
      </c>
      <c r="Q60" s="2564" t="s">
        <v>3057</v>
      </c>
      <c r="R60" s="2693">
        <v>23.3</v>
      </c>
      <c r="S60" s="2693"/>
      <c r="T60" s="2513">
        <f t="shared" si="2"/>
        <v>0</v>
      </c>
      <c r="U60" s="2512">
        <v>0.873</v>
      </c>
      <c r="V60" s="2512">
        <v>0.104</v>
      </c>
      <c r="W60" s="2553">
        <v>1.3440000000000001</v>
      </c>
      <c r="X60" s="2510">
        <f t="shared" si="3"/>
        <v>0</v>
      </c>
      <c r="Y60" s="2553">
        <v>1.45</v>
      </c>
      <c r="Z60" s="2553">
        <v>2.8069999999999999</v>
      </c>
      <c r="AN60" s="2508"/>
      <c r="AO60" s="2508"/>
      <c r="AP60" s="2508"/>
      <c r="AQ60" s="2508"/>
      <c r="AR60" s="2584"/>
      <c r="AS60" s="2581"/>
      <c r="AT60" s="2581"/>
      <c r="AU60" s="2583"/>
      <c r="AV60" s="2582"/>
      <c r="AW60" s="2581"/>
      <c r="AX60" s="2581"/>
      <c r="AY60" s="2581"/>
      <c r="AZ60" s="2581"/>
      <c r="BA60" s="2508"/>
      <c r="BB60" s="2508"/>
    </row>
    <row r="61" spans="1:57" s="98" customFormat="1">
      <c r="A61" s="2544" t="s">
        <v>1177</v>
      </c>
      <c r="B61" s="2543" t="s">
        <v>1527</v>
      </c>
      <c r="C61" s="2542" t="s">
        <v>2068</v>
      </c>
      <c r="D61" s="2521">
        <f>'[7]Precios Recuperación (PUSD)'!$H$2443</f>
        <v>3</v>
      </c>
      <c r="E61" s="2666">
        <v>1</v>
      </c>
      <c r="F61" s="2671">
        <v>0.05</v>
      </c>
      <c r="G61" s="2666">
        <v>1.5E-3</v>
      </c>
      <c r="H61" s="2680">
        <v>78.5</v>
      </c>
      <c r="I61" s="2689" t="s">
        <v>2900</v>
      </c>
      <c r="J61" s="2509">
        <f t="shared" si="4"/>
        <v>5.8875000000000004E-3</v>
      </c>
      <c r="K61" s="2569">
        <v>101.97</v>
      </c>
      <c r="L61" s="2569"/>
      <c r="M61" s="2726">
        <f t="shared" ref="M61:M162" si="7">J61*K61</f>
        <v>0.60034837500000005</v>
      </c>
      <c r="N61" s="2517">
        <f t="shared" si="1"/>
        <v>1.8010451250000001</v>
      </c>
      <c r="O61" s="2568" t="s">
        <v>2899</v>
      </c>
      <c r="P61" s="2568" t="s">
        <v>3054</v>
      </c>
      <c r="Q61" s="2575"/>
      <c r="R61" s="2694">
        <v>25.37</v>
      </c>
      <c r="S61" s="2694"/>
      <c r="T61" s="2513">
        <f t="shared" si="2"/>
        <v>45.692514821250008</v>
      </c>
      <c r="U61" s="2571">
        <v>0.86199999999999999</v>
      </c>
      <c r="V61" s="2571">
        <v>0.1115</v>
      </c>
      <c r="W61" s="2585">
        <v>1.502</v>
      </c>
      <c r="X61" s="2510">
        <f t="shared" si="3"/>
        <v>2.7051697777500001</v>
      </c>
      <c r="Y61" s="2585">
        <v>1.6160000000000001</v>
      </c>
      <c r="Z61" s="2585">
        <v>3.23</v>
      </c>
      <c r="AN61" s="2508"/>
      <c r="AO61" s="2508"/>
      <c r="AP61" s="2508"/>
      <c r="AQ61" s="2508"/>
      <c r="AR61" s="2584"/>
      <c r="AS61" s="2581"/>
      <c r="AT61" s="2581"/>
      <c r="AU61" s="2583"/>
      <c r="AV61" s="2582"/>
      <c r="AW61" s="2581"/>
      <c r="AX61" s="2581"/>
      <c r="AY61" s="2581"/>
      <c r="AZ61" s="2581"/>
      <c r="BA61" s="2508"/>
      <c r="BB61" s="2508"/>
    </row>
    <row r="62" spans="1:57" ht="15" customHeight="1">
      <c r="A62" s="2562" t="s">
        <v>3056</v>
      </c>
      <c r="B62" s="2561" t="s">
        <v>1527</v>
      </c>
      <c r="C62" s="2561" t="s">
        <v>3055</v>
      </c>
      <c r="D62" s="2560">
        <v>0</v>
      </c>
      <c r="E62" s="2668">
        <v>1</v>
      </c>
      <c r="F62" s="2672">
        <v>0.05</v>
      </c>
      <c r="G62" s="2668">
        <v>1.5E-3</v>
      </c>
      <c r="H62" s="2682">
        <v>78.5</v>
      </c>
      <c r="I62" s="2691" t="s">
        <v>2900</v>
      </c>
      <c r="J62" s="2509">
        <f t="shared" si="4"/>
        <v>5.8875000000000004E-3</v>
      </c>
      <c r="K62" s="2600">
        <v>101.97</v>
      </c>
      <c r="L62" s="2600"/>
      <c r="M62" s="2726">
        <f t="shared" si="7"/>
        <v>0.60034837500000005</v>
      </c>
      <c r="N62" s="2517">
        <f t="shared" si="1"/>
        <v>0</v>
      </c>
      <c r="O62" s="2558" t="s">
        <v>2899</v>
      </c>
      <c r="P62" s="2639" t="s">
        <v>3054</v>
      </c>
      <c r="Q62" s="2638"/>
      <c r="R62" s="2699">
        <v>25.37</v>
      </c>
      <c r="S62" s="2699"/>
      <c r="T62" s="2637">
        <f t="shared" si="2"/>
        <v>0</v>
      </c>
      <c r="U62" s="2636">
        <v>0.86199999999999999</v>
      </c>
      <c r="V62" s="2636">
        <v>0.1115</v>
      </c>
      <c r="W62" s="2634">
        <v>1.502</v>
      </c>
      <c r="X62" s="2635">
        <f t="shared" si="3"/>
        <v>0</v>
      </c>
      <c r="Y62" s="2634">
        <v>1.6160000000000001</v>
      </c>
      <c r="Z62" s="2634">
        <v>3.23</v>
      </c>
      <c r="AA62" s="2555"/>
      <c r="AB62" s="2555"/>
      <c r="AC62" s="2555"/>
      <c r="AD62" s="2555"/>
      <c r="AE62" s="2555"/>
      <c r="AF62" s="2555"/>
      <c r="AG62" s="2555"/>
      <c r="AH62" s="2555"/>
      <c r="AI62" s="2555"/>
      <c r="AJ62" s="2555"/>
      <c r="AK62" s="2555"/>
      <c r="AL62" s="2555"/>
      <c r="AM62" s="2555"/>
      <c r="AN62" s="2555"/>
      <c r="AO62" s="2555"/>
      <c r="AP62" s="2555"/>
      <c r="AQ62" s="2555"/>
      <c r="AR62" s="2555"/>
      <c r="AS62" s="2555"/>
      <c r="AT62" s="2555"/>
      <c r="AU62" s="2555"/>
      <c r="AV62" s="2555"/>
      <c r="AW62" s="2555"/>
      <c r="AX62" s="2555"/>
      <c r="AY62" s="2555"/>
      <c r="AZ62" s="2555"/>
      <c r="BA62" s="2555"/>
      <c r="BB62" s="2555"/>
    </row>
    <row r="63" spans="1:57" s="98" customFormat="1" ht="15" customHeight="1">
      <c r="A63" s="2523" t="s">
        <v>2076</v>
      </c>
      <c r="B63" s="2595" t="s">
        <v>1504</v>
      </c>
      <c r="C63" s="2522" t="s">
        <v>2077</v>
      </c>
      <c r="D63" s="2521">
        <f>'[7]Precios Recuperación (PUSD)'!$H$2482</f>
        <v>0.56000000000000005</v>
      </c>
      <c r="E63" s="2666">
        <v>1</v>
      </c>
      <c r="F63" s="2671">
        <v>0.05</v>
      </c>
      <c r="G63" s="2666">
        <v>2.5000000000000001E-2</v>
      </c>
      <c r="H63" s="2680">
        <v>78.5</v>
      </c>
      <c r="I63" s="2689" t="s">
        <v>2900</v>
      </c>
      <c r="J63" s="2509">
        <f t="shared" si="4"/>
        <v>9.8125000000000018E-2</v>
      </c>
      <c r="K63" s="2569">
        <v>101.97</v>
      </c>
      <c r="L63" s="2569"/>
      <c r="M63" s="2726">
        <f t="shared" si="7"/>
        <v>10.005806250000001</v>
      </c>
      <c r="N63" s="2517">
        <f t="shared" si="1"/>
        <v>5.6032515000000007</v>
      </c>
      <c r="O63" s="2568" t="s">
        <v>2899</v>
      </c>
      <c r="P63" s="2586" t="s">
        <v>2898</v>
      </c>
      <c r="Q63" s="2575"/>
      <c r="R63" s="2694">
        <v>68.3</v>
      </c>
      <c r="S63" s="2694"/>
      <c r="T63" s="2513">
        <f t="shared" si="2"/>
        <v>382.7020774500001</v>
      </c>
      <c r="U63" s="2571">
        <v>0.77549999999999997</v>
      </c>
      <c r="V63" s="2571">
        <v>0.17710000000000001</v>
      </c>
      <c r="W63" s="2585">
        <v>3.8839999999999999</v>
      </c>
      <c r="X63" s="2510">
        <f t="shared" si="3"/>
        <v>21.763028826000003</v>
      </c>
      <c r="Y63" s="2585">
        <v>4.13</v>
      </c>
      <c r="Z63" s="2585">
        <v>22.475000000000001</v>
      </c>
      <c r="AB63" s="2579"/>
      <c r="AN63" s="2508"/>
      <c r="AO63" s="2508"/>
      <c r="AP63" s="2508"/>
      <c r="AQ63" s="2508"/>
      <c r="AR63" s="2508"/>
      <c r="AS63" s="2508"/>
      <c r="AT63" s="2508"/>
      <c r="AU63" s="2508"/>
      <c r="AV63" s="2508"/>
      <c r="AW63" s="2508"/>
      <c r="AX63" s="2508"/>
      <c r="AY63" s="2508"/>
      <c r="AZ63" s="2508"/>
      <c r="BA63" s="2508"/>
      <c r="BB63" s="2508"/>
    </row>
    <row r="64" spans="1:57" s="98" customFormat="1" ht="15" customHeight="1">
      <c r="A64" s="2615" t="s">
        <v>1185</v>
      </c>
      <c r="B64" s="2614" t="s">
        <v>1504</v>
      </c>
      <c r="C64" s="2613" t="s">
        <v>1760</v>
      </c>
      <c r="D64" s="2521">
        <f>'[7]Precios Recuperación (PUSD)'!$H$2532</f>
        <v>112.89600000000003</v>
      </c>
      <c r="E64" s="2666">
        <v>0.1</v>
      </c>
      <c r="F64" s="2671">
        <v>0.05</v>
      </c>
      <c r="G64" s="2666">
        <v>2.5000000000000001E-2</v>
      </c>
      <c r="H64" s="2680">
        <v>78.5</v>
      </c>
      <c r="I64" s="2689" t="s">
        <v>2900</v>
      </c>
      <c r="J64" s="2509">
        <f t="shared" si="4"/>
        <v>9.8125000000000018E-3</v>
      </c>
      <c r="K64" s="2569">
        <v>101.97</v>
      </c>
      <c r="L64" s="2569"/>
      <c r="M64" s="2726">
        <f t="shared" si="7"/>
        <v>1.0005806250000002</v>
      </c>
      <c r="N64" s="2517">
        <f t="shared" si="1"/>
        <v>112.96155024000005</v>
      </c>
      <c r="O64" s="2568" t="s">
        <v>2899</v>
      </c>
      <c r="P64" s="2586" t="s">
        <v>2898</v>
      </c>
      <c r="Q64" s="2575"/>
      <c r="R64" s="2694">
        <v>68.3</v>
      </c>
      <c r="S64" s="2694"/>
      <c r="T64" s="2513">
        <f t="shared" si="2"/>
        <v>7715.2738813920032</v>
      </c>
      <c r="U64" s="2571">
        <v>0.77549999999999997</v>
      </c>
      <c r="V64" s="2571">
        <v>0.17710000000000001</v>
      </c>
      <c r="W64" s="2585">
        <v>3.8839999999999999</v>
      </c>
      <c r="X64" s="2510">
        <f t="shared" si="3"/>
        <v>438.74266113216021</v>
      </c>
      <c r="Y64" s="2585">
        <v>4.13</v>
      </c>
      <c r="Z64" s="2585">
        <v>22.475000000000001</v>
      </c>
      <c r="AN64" s="2508"/>
      <c r="AO64" s="2508"/>
      <c r="AP64" s="2508"/>
      <c r="AQ64" s="2508"/>
      <c r="AR64" s="2508"/>
      <c r="AS64" s="2508"/>
      <c r="AT64" s="2508"/>
      <c r="AU64" s="2508"/>
      <c r="AV64" s="2508"/>
      <c r="AW64" s="2508"/>
      <c r="AX64" s="2508"/>
      <c r="AY64" s="2508"/>
      <c r="AZ64" s="2508"/>
      <c r="BA64" s="2508"/>
      <c r="BB64" s="2508"/>
    </row>
    <row r="65" spans="1:54" s="98" customFormat="1" ht="15" customHeight="1">
      <c r="A65" s="2615" t="s">
        <v>2523</v>
      </c>
      <c r="B65" s="2614" t="s">
        <v>1504</v>
      </c>
      <c r="C65" s="2633" t="s">
        <v>2524</v>
      </c>
      <c r="D65" s="2521"/>
      <c r="E65" s="2667">
        <v>4</v>
      </c>
      <c r="F65" s="2660">
        <v>0.01</v>
      </c>
      <c r="G65" s="2667">
        <v>0.01</v>
      </c>
      <c r="H65" s="2681">
        <v>78.5</v>
      </c>
      <c r="I65" s="2690" t="s">
        <v>2900</v>
      </c>
      <c r="J65" s="2509">
        <f t="shared" si="4"/>
        <v>3.1400000000000004E-2</v>
      </c>
      <c r="K65" s="2536">
        <v>101.97</v>
      </c>
      <c r="L65" s="2536"/>
      <c r="M65" s="2726">
        <f t="shared" si="7"/>
        <v>3.2018580000000005</v>
      </c>
      <c r="N65" s="2517">
        <f t="shared" si="1"/>
        <v>0</v>
      </c>
      <c r="O65" s="2568" t="s">
        <v>2899</v>
      </c>
      <c r="P65" s="2586" t="s">
        <v>2898</v>
      </c>
      <c r="Q65" s="2575"/>
      <c r="R65" s="2694">
        <v>68.3</v>
      </c>
      <c r="S65" s="2694"/>
      <c r="T65" s="2513">
        <f t="shared" si="2"/>
        <v>0</v>
      </c>
      <c r="U65" s="2571">
        <v>0.77549999999999997</v>
      </c>
      <c r="V65" s="2571">
        <v>0.17710000000000001</v>
      </c>
      <c r="W65" s="2585">
        <v>3.8839999999999999</v>
      </c>
      <c r="X65" s="2510">
        <f t="shared" si="3"/>
        <v>0</v>
      </c>
      <c r="Y65" s="2585">
        <v>4.13</v>
      </c>
      <c r="Z65" s="2585">
        <v>22.475000000000001</v>
      </c>
      <c r="AN65" s="2508"/>
      <c r="AO65" s="2508"/>
      <c r="AP65" s="2508"/>
      <c r="AQ65" s="2508"/>
      <c r="AR65" s="2508"/>
      <c r="AS65" s="2508"/>
      <c r="AT65" s="2508"/>
      <c r="AU65" s="2508"/>
      <c r="AV65" s="2508"/>
      <c r="AW65" s="2508"/>
      <c r="AX65" s="2508"/>
      <c r="AY65" s="2508"/>
      <c r="AZ65" s="2508"/>
      <c r="BA65" s="2508"/>
      <c r="BB65" s="2508"/>
    </row>
    <row r="66" spans="1:54" s="98" customFormat="1" ht="15" customHeight="1">
      <c r="A66" s="2615" t="s">
        <v>2804</v>
      </c>
      <c r="B66" s="2614" t="s">
        <v>1504</v>
      </c>
      <c r="C66" s="2613" t="s">
        <v>2805</v>
      </c>
      <c r="D66" s="2521"/>
      <c r="E66" s="2667">
        <v>3.1415000000000002</v>
      </c>
      <c r="F66" s="2660">
        <v>0.03</v>
      </c>
      <c r="G66" s="2667">
        <v>0.01</v>
      </c>
      <c r="H66" s="2681">
        <v>78.5</v>
      </c>
      <c r="I66" s="2690" t="s">
        <v>2900</v>
      </c>
      <c r="J66" s="2509">
        <f t="shared" si="4"/>
        <v>7.3982325000000002E-2</v>
      </c>
      <c r="K66" s="2536">
        <v>101.97</v>
      </c>
      <c r="L66" s="2536"/>
      <c r="M66" s="2726">
        <f t="shared" si="7"/>
        <v>7.5439776802500003</v>
      </c>
      <c r="N66" s="2517">
        <f t="shared" si="1"/>
        <v>0</v>
      </c>
      <c r="O66" s="2568" t="s">
        <v>2899</v>
      </c>
      <c r="P66" s="2586" t="s">
        <v>2898</v>
      </c>
      <c r="Q66" s="2575"/>
      <c r="R66" s="2694">
        <v>68.3</v>
      </c>
      <c r="S66" s="2694"/>
      <c r="T66" s="2513">
        <f t="shared" si="2"/>
        <v>0</v>
      </c>
      <c r="U66" s="2571">
        <v>0.77549999999999997</v>
      </c>
      <c r="V66" s="2571">
        <v>0.17710000000000001</v>
      </c>
      <c r="W66" s="2585">
        <v>3.8839999999999999</v>
      </c>
      <c r="X66" s="2510">
        <f t="shared" si="3"/>
        <v>0</v>
      </c>
      <c r="Y66" s="2585">
        <v>4.13</v>
      </c>
      <c r="Z66" s="2585">
        <v>22.475000000000001</v>
      </c>
      <c r="AN66" s="2508"/>
      <c r="AO66" s="2508"/>
      <c r="AP66" s="2508"/>
      <c r="AQ66" s="2508"/>
      <c r="AR66" s="2508"/>
      <c r="AS66" s="2508"/>
      <c r="AT66" s="2508"/>
      <c r="AU66" s="2508"/>
      <c r="AV66" s="2508"/>
      <c r="AW66" s="2508"/>
      <c r="AX66" s="2508"/>
      <c r="AY66" s="2508"/>
      <c r="AZ66" s="2508"/>
      <c r="BA66" s="2508"/>
      <c r="BB66" s="2508"/>
    </row>
    <row r="67" spans="1:54" s="98" customFormat="1" ht="15" customHeight="1">
      <c r="A67" s="2615" t="s">
        <v>2725</v>
      </c>
      <c r="B67" s="2614" t="s">
        <v>1504</v>
      </c>
      <c r="C67" s="2613" t="s">
        <v>2726</v>
      </c>
      <c r="D67" s="2521"/>
      <c r="E67" s="2667">
        <v>0.1</v>
      </c>
      <c r="F67" s="2660">
        <v>0.05</v>
      </c>
      <c r="G67" s="2667">
        <v>0.01</v>
      </c>
      <c r="H67" s="2681">
        <v>78.5</v>
      </c>
      <c r="I67" s="2690" t="s">
        <v>2900</v>
      </c>
      <c r="J67" s="2509">
        <f t="shared" si="4"/>
        <v>3.9250000000000005E-3</v>
      </c>
      <c r="K67" s="2536">
        <v>101.97</v>
      </c>
      <c r="L67" s="2536"/>
      <c r="M67" s="2726">
        <f t="shared" si="7"/>
        <v>0.40023225000000007</v>
      </c>
      <c r="N67" s="2517">
        <f t="shared" si="1"/>
        <v>0</v>
      </c>
      <c r="O67" s="2541" t="s">
        <v>2899</v>
      </c>
      <c r="P67" s="2586" t="s">
        <v>2898</v>
      </c>
      <c r="Q67" s="2575"/>
      <c r="R67" s="2694">
        <v>69.3</v>
      </c>
      <c r="S67" s="2694"/>
      <c r="T67" s="2513">
        <f t="shared" si="2"/>
        <v>0</v>
      </c>
      <c r="U67" s="2571">
        <v>0.77549999999999997</v>
      </c>
      <c r="V67" s="2571">
        <v>0.17710000000000001</v>
      </c>
      <c r="W67" s="2585">
        <v>3.8839999999999999</v>
      </c>
      <c r="X67" s="2510">
        <f t="shared" si="3"/>
        <v>0</v>
      </c>
      <c r="Y67" s="2585">
        <v>4.13</v>
      </c>
      <c r="Z67" s="2585">
        <v>22.475000000000001</v>
      </c>
      <c r="AN67" s="2508"/>
      <c r="AO67" s="2508"/>
      <c r="AP67" s="2508"/>
      <c r="AQ67" s="2508"/>
      <c r="AR67" s="2508"/>
      <c r="AS67" s="2508"/>
      <c r="AT67" s="2508"/>
      <c r="AU67" s="2508"/>
      <c r="AV67" s="2508"/>
      <c r="AW67" s="2508"/>
      <c r="AX67" s="2508"/>
      <c r="AY67" s="2508"/>
      <c r="AZ67" s="2508"/>
      <c r="BA67" s="2508"/>
      <c r="BB67" s="2508"/>
    </row>
    <row r="68" spans="1:54" s="98" customFormat="1" ht="15" customHeight="1">
      <c r="A68" s="2523" t="s">
        <v>1728</v>
      </c>
      <c r="B68" s="2595" t="s">
        <v>1504</v>
      </c>
      <c r="C68" s="2522" t="s">
        <v>1729</v>
      </c>
      <c r="D68" s="2521">
        <f>'[7]Precios Recuperación (PUSD)'!$K$2693</f>
        <v>71</v>
      </c>
      <c r="E68" s="2664">
        <v>0.1</v>
      </c>
      <c r="F68" s="2669">
        <v>0.1</v>
      </c>
      <c r="G68" s="2664">
        <v>0.01</v>
      </c>
      <c r="H68" s="2680">
        <v>78.5</v>
      </c>
      <c r="I68" s="2690" t="s">
        <v>2900</v>
      </c>
      <c r="J68" s="2509">
        <f t="shared" si="4"/>
        <v>7.8500000000000011E-3</v>
      </c>
      <c r="K68" s="2518">
        <v>101.97</v>
      </c>
      <c r="L68" s="2518"/>
      <c r="M68" s="2726">
        <f t="shared" si="7"/>
        <v>0.80046450000000013</v>
      </c>
      <c r="N68" s="2517">
        <f t="shared" ref="N68:N162" si="8">D68*M68</f>
        <v>56.832979500000008</v>
      </c>
      <c r="O68" s="2516" t="s">
        <v>2899</v>
      </c>
      <c r="P68" s="2586" t="s">
        <v>2898</v>
      </c>
      <c r="Q68" s="2575"/>
      <c r="R68" s="2694">
        <v>68.3</v>
      </c>
      <c r="S68" s="2694"/>
      <c r="T68" s="2513">
        <f t="shared" ref="T68:T162" si="9">M68*R68*D68</f>
        <v>3881.6924998500008</v>
      </c>
      <c r="U68" s="2571">
        <v>0.77549999999999997</v>
      </c>
      <c r="V68" s="2571">
        <v>0.17710000000000001</v>
      </c>
      <c r="W68" s="2585">
        <v>3.8839999999999999</v>
      </c>
      <c r="X68" s="2510">
        <f t="shared" ref="X68:X162" si="10">M68*W68*D68</f>
        <v>220.73929237800004</v>
      </c>
      <c r="Y68" s="2585">
        <v>4.13</v>
      </c>
      <c r="Z68" s="2585">
        <v>22.475000000000001</v>
      </c>
    </row>
    <row r="69" spans="1:54" s="2508" customFormat="1" ht="15" customHeight="1">
      <c r="A69" s="2523" t="s">
        <v>2060</v>
      </c>
      <c r="B69" s="2522" t="s">
        <v>1357</v>
      </c>
      <c r="C69" s="2522" t="s">
        <v>3053</v>
      </c>
      <c r="D69" s="2521">
        <f>'[7]Precios Recuperación (PUSD)'!$H$1082</f>
        <v>0.09</v>
      </c>
      <c r="E69" s="2664">
        <v>1</v>
      </c>
      <c r="F69" s="2673"/>
      <c r="G69" s="2664"/>
      <c r="H69" s="2683"/>
      <c r="I69" s="2688" t="s">
        <v>3091</v>
      </c>
      <c r="J69" s="2509"/>
      <c r="K69" s="2516"/>
      <c r="L69" s="2516"/>
      <c r="M69" s="2726">
        <f>E69</f>
        <v>1</v>
      </c>
      <c r="N69" s="2517">
        <f t="shared" si="8"/>
        <v>0.09</v>
      </c>
      <c r="O69" s="2516"/>
      <c r="P69" s="2586" t="s">
        <v>2898</v>
      </c>
      <c r="Q69" s="2575"/>
      <c r="R69" s="2694">
        <v>69.3</v>
      </c>
      <c r="S69" s="2694"/>
      <c r="T69" s="2513">
        <f t="shared" si="9"/>
        <v>6.2369999999999992</v>
      </c>
      <c r="U69" s="2571">
        <v>0.77549999999999997</v>
      </c>
      <c r="V69" s="2571">
        <v>0.17710000000000001</v>
      </c>
      <c r="W69" s="2585">
        <v>3.8839999999999999</v>
      </c>
      <c r="X69" s="2510">
        <f t="shared" si="10"/>
        <v>0.34955999999999998</v>
      </c>
      <c r="Y69" s="2585">
        <v>4.13</v>
      </c>
      <c r="Z69" s="2585">
        <v>22.475000000000001</v>
      </c>
      <c r="AA69" s="98"/>
    </row>
    <row r="70" spans="1:54" s="2508" customFormat="1" ht="15" customHeight="1">
      <c r="A70" s="2523" t="s">
        <v>1961</v>
      </c>
      <c r="B70" s="2522" t="s">
        <v>1527</v>
      </c>
      <c r="C70" s="2522" t="s">
        <v>1962</v>
      </c>
      <c r="D70" s="2521"/>
      <c r="E70" s="2667">
        <v>1</v>
      </c>
      <c r="F70" s="2660">
        <v>0.16</v>
      </c>
      <c r="G70" s="2667">
        <v>3.0000000000000001E-3</v>
      </c>
      <c r="H70" s="2681">
        <v>27</v>
      </c>
      <c r="I70" s="2690" t="s">
        <v>2900</v>
      </c>
      <c r="J70" s="2509">
        <f t="shared" si="4"/>
        <v>1.2960000000000001E-2</v>
      </c>
      <c r="K70" s="2536">
        <v>101.97</v>
      </c>
      <c r="L70" s="2536"/>
      <c r="M70" s="2726">
        <f t="shared" si="7"/>
        <v>1.3215312000000001</v>
      </c>
      <c r="N70" s="2517">
        <f t="shared" si="8"/>
        <v>0</v>
      </c>
      <c r="O70" s="2516"/>
      <c r="P70" s="2541" t="s">
        <v>3052</v>
      </c>
      <c r="Q70" s="2514"/>
      <c r="R70" s="2700">
        <v>148.6</v>
      </c>
      <c r="S70" s="2700"/>
      <c r="T70" s="2513">
        <f t="shared" si="9"/>
        <v>0</v>
      </c>
      <c r="U70" s="2512">
        <v>0.66234185733512796</v>
      </c>
      <c r="V70" s="2512">
        <v>0.17269851951547779</v>
      </c>
      <c r="W70" s="2509">
        <v>7.2465229999999998</v>
      </c>
      <c r="X70" s="2510">
        <f t="shared" si="10"/>
        <v>0</v>
      </c>
      <c r="Y70" s="2509">
        <v>9.1560000000000006</v>
      </c>
      <c r="Z70" s="2509">
        <v>227.30215600000002</v>
      </c>
      <c r="AA70" s="98"/>
    </row>
    <row r="71" spans="1:54" s="2508" customFormat="1" ht="15" customHeight="1">
      <c r="A71" s="2523" t="s">
        <v>1959</v>
      </c>
      <c r="B71" s="2522" t="s">
        <v>1527</v>
      </c>
      <c r="C71" s="2522" t="s">
        <v>1960</v>
      </c>
      <c r="D71" s="2521"/>
      <c r="E71" s="2667">
        <v>1</v>
      </c>
      <c r="F71" s="2660">
        <v>0.16</v>
      </c>
      <c r="G71" s="2667">
        <v>3.0000000000000001E-3</v>
      </c>
      <c r="H71" s="2681">
        <v>27</v>
      </c>
      <c r="I71" s="2690" t="s">
        <v>2900</v>
      </c>
      <c r="J71" s="2509">
        <f t="shared" si="4"/>
        <v>1.2960000000000001E-2</v>
      </c>
      <c r="K71" s="2536">
        <v>101.97</v>
      </c>
      <c r="L71" s="2536"/>
      <c r="M71" s="2726">
        <f t="shared" si="7"/>
        <v>1.3215312000000001</v>
      </c>
      <c r="N71" s="2517">
        <f t="shared" si="8"/>
        <v>0</v>
      </c>
      <c r="O71" s="2516"/>
      <c r="P71" s="2541" t="s">
        <v>3052</v>
      </c>
      <c r="Q71" s="2514"/>
      <c r="R71" s="2700">
        <v>148.6</v>
      </c>
      <c r="S71" s="2700"/>
      <c r="T71" s="2513">
        <f t="shared" si="9"/>
        <v>0</v>
      </c>
      <c r="U71" s="2512">
        <v>0.66234185733512796</v>
      </c>
      <c r="V71" s="2512">
        <v>0.17269851951547779</v>
      </c>
      <c r="W71" s="2509">
        <v>7.2465229999999998</v>
      </c>
      <c r="X71" s="2510">
        <f t="shared" si="10"/>
        <v>0</v>
      </c>
      <c r="Y71" s="2509">
        <v>9.1560000000000006</v>
      </c>
      <c r="Z71" s="2509">
        <v>227.30215600000002</v>
      </c>
      <c r="AA71" s="98"/>
    </row>
    <row r="72" spans="1:54" s="98" customFormat="1" ht="15" customHeight="1">
      <c r="A72" s="2523" t="s">
        <v>1957</v>
      </c>
      <c r="B72" s="2595" t="s">
        <v>1504</v>
      </c>
      <c r="C72" s="2522" t="s">
        <v>1958</v>
      </c>
      <c r="D72" s="2521"/>
      <c r="E72" s="2667">
        <v>0.1</v>
      </c>
      <c r="F72" s="2660">
        <v>0.1</v>
      </c>
      <c r="G72" s="2667">
        <v>4.0000000000000001E-3</v>
      </c>
      <c r="H72" s="2681">
        <v>78.5</v>
      </c>
      <c r="I72" s="2690" t="s">
        <v>2900</v>
      </c>
      <c r="J72" s="2509">
        <f t="shared" si="4"/>
        <v>3.1400000000000009E-3</v>
      </c>
      <c r="K72" s="2536">
        <v>101.97</v>
      </c>
      <c r="L72" s="2536"/>
      <c r="M72" s="2726">
        <f t="shared" si="7"/>
        <v>0.32018580000000008</v>
      </c>
      <c r="N72" s="2517">
        <f t="shared" si="8"/>
        <v>0</v>
      </c>
      <c r="O72" s="2516"/>
      <c r="P72" s="2586" t="s">
        <v>2898</v>
      </c>
      <c r="Q72" s="2575"/>
      <c r="R72" s="2694">
        <v>72.3</v>
      </c>
      <c r="S72" s="2694"/>
      <c r="T72" s="2513">
        <f t="shared" si="9"/>
        <v>0</v>
      </c>
      <c r="U72" s="2571">
        <v>0.77549999999999997</v>
      </c>
      <c r="V72" s="2571">
        <v>0.17710000000000001</v>
      </c>
      <c r="W72" s="2585">
        <v>3.8839999999999999</v>
      </c>
      <c r="X72" s="2510">
        <f t="shared" si="10"/>
        <v>0</v>
      </c>
      <c r="Y72" s="2585">
        <v>4.13</v>
      </c>
      <c r="Z72" s="2585">
        <v>22.475000000000001</v>
      </c>
    </row>
    <row r="73" spans="1:54" s="2725" customFormat="1">
      <c r="A73" s="2717"/>
      <c r="B73" s="2718" t="s">
        <v>2975</v>
      </c>
      <c r="C73" s="2716"/>
      <c r="D73" s="2719"/>
      <c r="E73" s="2720"/>
      <c r="F73" s="2720"/>
      <c r="G73" s="2721"/>
      <c r="H73" s="2720"/>
      <c r="I73" s="2720"/>
      <c r="J73" s="2720"/>
      <c r="K73" s="2722"/>
      <c r="L73" s="2722"/>
      <c r="M73" s="2723"/>
      <c r="N73" s="2715">
        <f t="shared" ref="N73:N90" si="11">D73*M73</f>
        <v>0</v>
      </c>
      <c r="O73" s="2720"/>
      <c r="P73" s="2722"/>
      <c r="Q73" s="2722"/>
      <c r="R73" s="2722"/>
      <c r="S73" s="2722"/>
      <c r="T73" s="2724">
        <f t="shared" ref="T73:T104" si="12">M73*R73*D73</f>
        <v>0</v>
      </c>
      <c r="U73" s="2722"/>
      <c r="V73" s="2722"/>
      <c r="W73" s="2722"/>
      <c r="X73" s="2724">
        <f t="shared" ref="X73:X104" si="13">M73*W73*D73</f>
        <v>0</v>
      </c>
      <c r="Y73" s="2722"/>
      <c r="Z73" s="2722"/>
    </row>
    <row r="74" spans="1:54" s="98" customFormat="1" ht="15" customHeight="1">
      <c r="A74" s="2594" t="s">
        <v>2657</v>
      </c>
      <c r="B74" s="2593" t="s">
        <v>1504</v>
      </c>
      <c r="C74" s="2592" t="s">
        <v>2658</v>
      </c>
      <c r="D74" s="2521"/>
      <c r="E74" s="2667">
        <v>0.43</v>
      </c>
      <c r="F74" s="2660">
        <v>0.08</v>
      </c>
      <c r="G74" s="2667">
        <v>0.01</v>
      </c>
      <c r="H74" s="2681">
        <v>27</v>
      </c>
      <c r="I74" s="2690" t="s">
        <v>2900</v>
      </c>
      <c r="J74" s="2509">
        <f t="shared" ref="J74:J83" si="14">E74*F74*G74*H74</f>
        <v>9.2880000000000011E-3</v>
      </c>
      <c r="K74" s="2536">
        <v>101.97</v>
      </c>
      <c r="L74" s="2536"/>
      <c r="M74" s="2729">
        <f t="shared" ref="M74:M79" si="15">J74*K74</f>
        <v>0.94709736000000011</v>
      </c>
      <c r="N74" s="2517">
        <f t="shared" si="11"/>
        <v>0</v>
      </c>
      <c r="O74" s="2568" t="s">
        <v>2899</v>
      </c>
      <c r="P74" s="2541" t="s">
        <v>2965</v>
      </c>
      <c r="Q74" s="2515"/>
      <c r="R74" s="2703">
        <v>193.2</v>
      </c>
      <c r="S74" s="2703"/>
      <c r="T74" s="2513">
        <f t="shared" si="12"/>
        <v>0</v>
      </c>
      <c r="U74" s="2540">
        <v>0.66610000000000003</v>
      </c>
      <c r="V74" s="2540">
        <v>0.17749999999999999</v>
      </c>
      <c r="W74" s="2605">
        <v>9.6479999999999997</v>
      </c>
      <c r="X74" s="2510">
        <f t="shared" si="13"/>
        <v>0</v>
      </c>
      <c r="Y74" s="2605">
        <v>11.99</v>
      </c>
      <c r="Z74" s="2605">
        <v>277.40499999999997</v>
      </c>
    </row>
    <row r="75" spans="1:54" s="98" customFormat="1">
      <c r="A75" s="2604" t="s">
        <v>2212</v>
      </c>
      <c r="B75" s="2603" t="s">
        <v>1504</v>
      </c>
      <c r="C75" s="2602" t="s">
        <v>2213</v>
      </c>
      <c r="D75" s="2521">
        <f>'[7]Precios Recuperación (PUSD)'!$H$1194</f>
        <v>40</v>
      </c>
      <c r="E75" s="2666">
        <v>4</v>
      </c>
      <c r="F75" s="2671">
        <v>120</v>
      </c>
      <c r="G75" s="2666">
        <v>9.9999999999999995E-7</v>
      </c>
      <c r="H75" s="2680">
        <v>27</v>
      </c>
      <c r="I75" s="2689" t="s">
        <v>2900</v>
      </c>
      <c r="J75" s="2509">
        <f t="shared" si="14"/>
        <v>1.2959999999999999E-2</v>
      </c>
      <c r="K75" s="2569">
        <v>101.97</v>
      </c>
      <c r="L75" s="2569"/>
      <c r="M75" s="2729">
        <f t="shared" si="15"/>
        <v>1.3215311999999999</v>
      </c>
      <c r="N75" s="2517">
        <f t="shared" si="11"/>
        <v>52.861247999999996</v>
      </c>
      <c r="O75" s="2568" t="s">
        <v>2899</v>
      </c>
      <c r="P75" s="2568" t="s">
        <v>2974</v>
      </c>
      <c r="Q75" s="2575"/>
      <c r="R75" s="2706">
        <v>182.5</v>
      </c>
      <c r="S75" s="2706"/>
      <c r="T75" s="2513">
        <f t="shared" si="12"/>
        <v>9647.1777599999987</v>
      </c>
      <c r="U75" s="2571">
        <v>0.64379452054794528</v>
      </c>
      <c r="V75" s="2571">
        <v>0.21112876712328765</v>
      </c>
      <c r="W75" s="2546">
        <v>8.7598415000000003</v>
      </c>
      <c r="X75" s="2510">
        <f t="shared" si="13"/>
        <v>463.05615397219196</v>
      </c>
      <c r="Y75" s="2585">
        <v>10.72</v>
      </c>
      <c r="Z75" s="2511">
        <v>237.30097587600002</v>
      </c>
      <c r="AN75" s="2508"/>
      <c r="AO75" s="2508"/>
      <c r="AP75" s="2508"/>
      <c r="AQ75" s="2508"/>
      <c r="AR75" s="2508"/>
      <c r="AS75" s="2508"/>
      <c r="AT75" s="2508"/>
      <c r="AU75" s="2508"/>
      <c r="AV75" s="2508"/>
      <c r="AW75" s="2508"/>
      <c r="AX75" s="2508"/>
      <c r="AY75" s="2508"/>
      <c r="AZ75" s="2508"/>
      <c r="BA75" s="2508"/>
      <c r="BB75" s="2508"/>
    </row>
    <row r="76" spans="1:54" s="2555" customFormat="1">
      <c r="A76" s="2562" t="s">
        <v>2973</v>
      </c>
      <c r="B76" s="2561" t="s">
        <v>1507</v>
      </c>
      <c r="C76" s="2561" t="s">
        <v>2972</v>
      </c>
      <c r="D76" s="2560">
        <v>0</v>
      </c>
      <c r="E76" s="2668">
        <v>1</v>
      </c>
      <c r="F76" s="2672">
        <v>1</v>
      </c>
      <c r="G76" s="2668">
        <v>1.5E-3</v>
      </c>
      <c r="H76" s="2682">
        <v>27</v>
      </c>
      <c r="I76" s="2691" t="s">
        <v>2900</v>
      </c>
      <c r="J76" s="2509">
        <f t="shared" si="14"/>
        <v>4.0500000000000001E-2</v>
      </c>
      <c r="K76" s="2600">
        <v>101.97</v>
      </c>
      <c r="L76" s="2600"/>
      <c r="M76" s="2733">
        <f t="shared" si="15"/>
        <v>4.129785</v>
      </c>
      <c r="N76" s="2517">
        <f t="shared" si="11"/>
        <v>0</v>
      </c>
      <c r="O76" s="2558" t="s">
        <v>2899</v>
      </c>
      <c r="P76" s="2558" t="s">
        <v>2966</v>
      </c>
      <c r="Q76" s="2558"/>
      <c r="R76" s="2704">
        <v>219.47</v>
      </c>
      <c r="S76" s="2704"/>
      <c r="T76" s="2513">
        <f t="shared" si="12"/>
        <v>0</v>
      </c>
      <c r="U76" s="2557">
        <v>0.65710000000000002</v>
      </c>
      <c r="V76" s="2557">
        <v>0.21199999999999999</v>
      </c>
      <c r="W76" s="2556">
        <v>10.695</v>
      </c>
      <c r="X76" s="2510">
        <f t="shared" si="13"/>
        <v>0</v>
      </c>
      <c r="Y76" s="2556">
        <v>12.826000000000001</v>
      </c>
      <c r="Z76" s="2556">
        <v>245.05699999999999</v>
      </c>
      <c r="AA76" s="2601"/>
      <c r="AB76" s="2601"/>
    </row>
    <row r="77" spans="1:54" s="2555" customFormat="1">
      <c r="A77" s="2562" t="s">
        <v>2971</v>
      </c>
      <c r="B77" s="2561" t="s">
        <v>1507</v>
      </c>
      <c r="C77" s="2561" t="s">
        <v>2970</v>
      </c>
      <c r="D77" s="2560">
        <v>0</v>
      </c>
      <c r="E77" s="2668">
        <v>4</v>
      </c>
      <c r="F77" s="2672">
        <v>1.4999999999999999E-2</v>
      </c>
      <c r="G77" s="2668">
        <v>1.5E-3</v>
      </c>
      <c r="H77" s="2682">
        <v>27</v>
      </c>
      <c r="I77" s="2691" t="s">
        <v>2900</v>
      </c>
      <c r="J77" s="2509">
        <f t="shared" si="14"/>
        <v>2.4299999999999999E-3</v>
      </c>
      <c r="K77" s="2600">
        <v>101.97</v>
      </c>
      <c r="L77" s="2600"/>
      <c r="M77" s="2733">
        <f t="shared" si="15"/>
        <v>0.24778709999999998</v>
      </c>
      <c r="N77" s="2517">
        <f t="shared" si="11"/>
        <v>0</v>
      </c>
      <c r="O77" s="2558" t="s">
        <v>2899</v>
      </c>
      <c r="P77" s="2558" t="s">
        <v>2966</v>
      </c>
      <c r="Q77" s="2558"/>
      <c r="R77" s="2704">
        <v>219.47</v>
      </c>
      <c r="S77" s="2704"/>
      <c r="T77" s="2513">
        <f t="shared" si="12"/>
        <v>0</v>
      </c>
      <c r="U77" s="2557">
        <v>0.65710000000000002</v>
      </c>
      <c r="V77" s="2557">
        <v>0.21199999999999999</v>
      </c>
      <c r="W77" s="2556">
        <v>10.695</v>
      </c>
      <c r="X77" s="2510">
        <f t="shared" si="13"/>
        <v>0</v>
      </c>
      <c r="Y77" s="2556">
        <v>12.826000000000001</v>
      </c>
      <c r="Z77" s="2556">
        <v>245.05699999999999</v>
      </c>
    </row>
    <row r="78" spans="1:54" s="2555" customFormat="1" ht="17.25" customHeight="1">
      <c r="A78" s="2544" t="s">
        <v>2066</v>
      </c>
      <c r="B78" s="2543" t="s">
        <v>1507</v>
      </c>
      <c r="C78" s="2542" t="s">
        <v>2067</v>
      </c>
      <c r="D78" s="2521">
        <f>'[7]Precios Recuperación (PUSD)'!$H$2442</f>
        <v>1</v>
      </c>
      <c r="E78" s="2666">
        <v>4</v>
      </c>
      <c r="F78" s="2671">
        <v>1.4999999999999999E-2</v>
      </c>
      <c r="G78" s="2666">
        <v>1.4999999999999999E-2</v>
      </c>
      <c r="H78" s="2680">
        <v>27</v>
      </c>
      <c r="I78" s="2689" t="s">
        <v>2900</v>
      </c>
      <c r="J78" s="2509">
        <f t="shared" si="14"/>
        <v>2.4299999999999999E-2</v>
      </c>
      <c r="K78" s="2569">
        <v>101.97</v>
      </c>
      <c r="L78" s="2569"/>
      <c r="M78" s="2729">
        <f t="shared" si="15"/>
        <v>2.4778709999999999</v>
      </c>
      <c r="N78" s="2517">
        <f t="shared" si="11"/>
        <v>2.4778709999999999</v>
      </c>
      <c r="O78" s="2568" t="s">
        <v>2899</v>
      </c>
      <c r="P78" s="2586" t="s">
        <v>2969</v>
      </c>
      <c r="Q78" s="2575"/>
      <c r="R78" s="2707">
        <v>8483.44</v>
      </c>
      <c r="S78" s="2707"/>
      <c r="T78" s="2513">
        <f t="shared" si="12"/>
        <v>21020.86995624</v>
      </c>
      <c r="U78" s="2571">
        <v>0.70550000000000002</v>
      </c>
      <c r="V78" s="2571">
        <v>0.16800000000000001</v>
      </c>
      <c r="W78" s="2585">
        <v>405.24700000000001</v>
      </c>
      <c r="X78" s="2510">
        <f t="shared" si="13"/>
        <v>1004.149789137</v>
      </c>
      <c r="Y78" s="2585">
        <v>493.68</v>
      </c>
      <c r="Z78" s="2585">
        <v>9383.7250000000004</v>
      </c>
      <c r="AA78" s="98"/>
      <c r="AB78" s="98"/>
      <c r="AC78" s="98"/>
      <c r="AD78" s="98"/>
      <c r="AE78" s="98"/>
      <c r="AF78" s="98"/>
      <c r="AG78" s="98"/>
      <c r="AH78" s="98"/>
      <c r="AI78" s="98"/>
      <c r="AJ78" s="98"/>
      <c r="AK78" s="98"/>
      <c r="AL78" s="98"/>
      <c r="AM78" s="98"/>
      <c r="AN78" s="2508"/>
      <c r="AO78" s="2508"/>
      <c r="AP78" s="2584"/>
      <c r="AQ78" s="2581"/>
      <c r="AR78" s="2581"/>
      <c r="AS78" s="2583"/>
      <c r="AT78" s="2582"/>
      <c r="AU78" s="2581"/>
      <c r="AV78" s="2581"/>
      <c r="AW78" s="2581"/>
      <c r="AX78" s="2581"/>
      <c r="AY78" s="2508"/>
      <c r="AZ78" s="2508"/>
      <c r="BA78" s="2508"/>
      <c r="BB78" s="2508"/>
    </row>
    <row r="79" spans="1:54" s="98" customFormat="1" ht="15" customHeight="1">
      <c r="A79" s="2562" t="s">
        <v>2968</v>
      </c>
      <c r="B79" s="2561" t="s">
        <v>1527</v>
      </c>
      <c r="C79" s="2561" t="s">
        <v>2967</v>
      </c>
      <c r="D79" s="2560">
        <v>0</v>
      </c>
      <c r="E79" s="2668">
        <v>1</v>
      </c>
      <c r="F79" s="2672">
        <v>1</v>
      </c>
      <c r="G79" s="2668">
        <v>1.5E-3</v>
      </c>
      <c r="H79" s="2682">
        <v>27</v>
      </c>
      <c r="I79" s="2691" t="s">
        <v>2900</v>
      </c>
      <c r="J79" s="2509">
        <f t="shared" si="14"/>
        <v>4.0500000000000001E-2</v>
      </c>
      <c r="K79" s="2600">
        <v>101.97</v>
      </c>
      <c r="L79" s="2600"/>
      <c r="M79" s="2733">
        <f t="shared" si="15"/>
        <v>4.129785</v>
      </c>
      <c r="N79" s="2517">
        <f t="shared" si="11"/>
        <v>0</v>
      </c>
      <c r="O79" s="2558" t="s">
        <v>2899</v>
      </c>
      <c r="P79" s="2558" t="s">
        <v>2966</v>
      </c>
      <c r="Q79" s="2558"/>
      <c r="R79" s="2704">
        <v>219.47</v>
      </c>
      <c r="S79" s="2704"/>
      <c r="T79" s="2513">
        <f t="shared" si="12"/>
        <v>0</v>
      </c>
      <c r="U79" s="2557">
        <v>0.65710000000000002</v>
      </c>
      <c r="V79" s="2557">
        <v>0.21199999999999999</v>
      </c>
      <c r="W79" s="2556">
        <v>10.695</v>
      </c>
      <c r="X79" s="2510">
        <f t="shared" si="13"/>
        <v>0</v>
      </c>
      <c r="Y79" s="2556">
        <v>12.826000000000001</v>
      </c>
      <c r="Z79" s="2556">
        <v>245.05699999999999</v>
      </c>
      <c r="AA79" s="2555"/>
      <c r="AB79" s="2555"/>
      <c r="AC79" s="2555"/>
      <c r="AD79" s="2555"/>
      <c r="AE79" s="2555"/>
      <c r="AF79" s="2555"/>
      <c r="AG79" s="2555"/>
      <c r="AH79" s="2555"/>
      <c r="AI79" s="2555"/>
      <c r="AJ79" s="2555"/>
      <c r="AK79" s="2555"/>
      <c r="AL79" s="2555"/>
      <c r="AM79" s="2555"/>
      <c r="AN79" s="2555"/>
      <c r="AO79" s="2555"/>
      <c r="AP79" s="2555"/>
      <c r="AQ79" s="2555"/>
      <c r="AR79" s="2555"/>
      <c r="AS79" s="2555"/>
      <c r="AT79" s="2555"/>
      <c r="AU79" s="2555"/>
      <c r="AV79" s="2555"/>
      <c r="AW79" s="2555"/>
      <c r="AX79" s="2555"/>
      <c r="AY79" s="2555"/>
      <c r="AZ79" s="2555"/>
      <c r="BA79" s="2555"/>
      <c r="BB79" s="2555"/>
    </row>
    <row r="80" spans="1:54" s="98" customFormat="1" ht="15" customHeight="1">
      <c r="A80" s="2544" t="s">
        <v>2072</v>
      </c>
      <c r="B80" s="2543" t="s">
        <v>1527</v>
      </c>
      <c r="C80" s="2542" t="s">
        <v>2073</v>
      </c>
      <c r="D80" s="2521">
        <f>'[7]Precios Recuperación (PUSD)'!$H$2484</f>
        <v>1.35</v>
      </c>
      <c r="E80" s="2666">
        <v>1</v>
      </c>
      <c r="F80" s="2671">
        <v>0.04</v>
      </c>
      <c r="G80" s="2666">
        <v>1.4999999999999999E-2</v>
      </c>
      <c r="H80" s="2680">
        <v>27</v>
      </c>
      <c r="I80" s="2689" t="s">
        <v>2900</v>
      </c>
      <c r="J80" s="2509">
        <f t="shared" si="14"/>
        <v>1.6199999999999999E-2</v>
      </c>
      <c r="K80" s="2569">
        <v>101.97</v>
      </c>
      <c r="L80" s="2569"/>
      <c r="M80" s="2729">
        <f>J80*K80</f>
        <v>1.6519139999999999</v>
      </c>
      <c r="N80" s="2517">
        <f t="shared" si="11"/>
        <v>2.2300838999999999</v>
      </c>
      <c r="O80" s="2568" t="s">
        <v>2899</v>
      </c>
      <c r="P80" s="2568" t="s">
        <v>2965</v>
      </c>
      <c r="Q80" s="2575"/>
      <c r="R80" s="2694">
        <v>193.2</v>
      </c>
      <c r="S80" s="2694"/>
      <c r="T80" s="2513">
        <f t="shared" si="12"/>
        <v>430.85220948</v>
      </c>
      <c r="U80" s="2571">
        <v>0.66610000000000003</v>
      </c>
      <c r="V80" s="2571">
        <v>0.17749999999999999</v>
      </c>
      <c r="W80" s="2585">
        <v>9.6479999999999997</v>
      </c>
      <c r="X80" s="2510">
        <f t="shared" si="13"/>
        <v>21.515849467199999</v>
      </c>
      <c r="Y80" s="2585">
        <v>11.99</v>
      </c>
      <c r="Z80" s="2585">
        <v>277.40499999999997</v>
      </c>
      <c r="AN80" s="2508"/>
      <c r="AO80" s="2508"/>
      <c r="AP80" s="2508"/>
      <c r="AQ80" s="2508"/>
      <c r="AR80" s="2584"/>
      <c r="AS80" s="2581"/>
      <c r="AT80" s="2581"/>
      <c r="AU80" s="2583"/>
      <c r="AV80" s="2582"/>
      <c r="AW80" s="2581"/>
      <c r="AX80" s="2581"/>
      <c r="AY80" s="2581"/>
      <c r="AZ80" s="2581"/>
      <c r="BA80" s="2508"/>
      <c r="BB80" s="2508"/>
    </row>
    <row r="81" spans="1:54" s="98" customFormat="1" ht="15" customHeight="1">
      <c r="A81" s="2544" t="s">
        <v>2074</v>
      </c>
      <c r="B81" s="2543" t="s">
        <v>1507</v>
      </c>
      <c r="C81" s="2542" t="s">
        <v>2075</v>
      </c>
      <c r="D81" s="2521">
        <f>'[7]Precios Recuperación (PUSD)'!$H$2483</f>
        <v>1.1599999999999999</v>
      </c>
      <c r="E81" s="2666">
        <v>1</v>
      </c>
      <c r="F81" s="2671">
        <v>1</v>
      </c>
      <c r="G81" s="2666">
        <v>8.0000000000000002E-3</v>
      </c>
      <c r="H81" s="2680">
        <v>27</v>
      </c>
      <c r="I81" s="2689" t="s">
        <v>2900</v>
      </c>
      <c r="J81" s="2509">
        <f t="shared" si="14"/>
        <v>0.216</v>
      </c>
      <c r="K81" s="2569">
        <v>101.97</v>
      </c>
      <c r="L81" s="2569"/>
      <c r="M81" s="2729">
        <f>J81*K81</f>
        <v>22.02552</v>
      </c>
      <c r="N81" s="2517">
        <f t="shared" si="11"/>
        <v>25.5496032</v>
      </c>
      <c r="O81" s="2568" t="s">
        <v>2899</v>
      </c>
      <c r="P81" s="2568" t="s">
        <v>2965</v>
      </c>
      <c r="Q81" s="2575"/>
      <c r="R81" s="2694">
        <v>193.2</v>
      </c>
      <c r="S81" s="2694"/>
      <c r="T81" s="2513">
        <f t="shared" si="12"/>
        <v>4936.1833382399991</v>
      </c>
      <c r="U81" s="2571">
        <v>0.66610000000000003</v>
      </c>
      <c r="V81" s="2571">
        <v>0.17749999999999999</v>
      </c>
      <c r="W81" s="2585">
        <v>9.6479999999999997</v>
      </c>
      <c r="X81" s="2510">
        <f t="shared" si="13"/>
        <v>246.50257167359999</v>
      </c>
      <c r="Y81" s="2585">
        <v>11.99</v>
      </c>
      <c r="Z81" s="2585">
        <v>277.40499999999997</v>
      </c>
      <c r="AB81" s="2579"/>
      <c r="AN81" s="2508"/>
      <c r="AO81" s="2508"/>
      <c r="AP81" s="2508"/>
      <c r="AQ81" s="2508"/>
      <c r="AR81" s="2508"/>
      <c r="AS81" s="2508"/>
      <c r="AT81" s="2508"/>
      <c r="AU81" s="2508"/>
      <c r="AV81" s="2508"/>
      <c r="AW81" s="2508"/>
      <c r="AX81" s="2508"/>
      <c r="AY81" s="2508"/>
      <c r="AZ81" s="2508"/>
      <c r="BA81" s="2508"/>
      <c r="BB81" s="2508"/>
    </row>
    <row r="82" spans="1:54" s="98" customFormat="1" ht="15" customHeight="1">
      <c r="A82" s="2544" t="s">
        <v>2721</v>
      </c>
      <c r="B82" s="2543" t="s">
        <v>1527</v>
      </c>
      <c r="C82" s="2542" t="s">
        <v>2722</v>
      </c>
      <c r="D82" s="2521"/>
      <c r="E82" s="2667">
        <v>1</v>
      </c>
      <c r="F82" s="2660">
        <v>2.5000000000000001E-2</v>
      </c>
      <c r="G82" s="2667">
        <v>2.5000000000000001E-2</v>
      </c>
      <c r="H82" s="2681">
        <v>27</v>
      </c>
      <c r="I82" s="2690" t="s">
        <v>2900</v>
      </c>
      <c r="J82" s="2509">
        <f t="shared" si="14"/>
        <v>1.6875000000000005E-2</v>
      </c>
      <c r="K82" s="2536">
        <v>101.97</v>
      </c>
      <c r="L82" s="2536"/>
      <c r="M82" s="2729">
        <f>J82*K82</f>
        <v>1.7207437500000005</v>
      </c>
      <c r="N82" s="2517">
        <f t="shared" si="11"/>
        <v>0</v>
      </c>
      <c r="O82" s="2568" t="s">
        <v>2899</v>
      </c>
      <c r="P82" s="2568" t="s">
        <v>2965</v>
      </c>
      <c r="Q82" s="2575"/>
      <c r="R82" s="2694">
        <v>193.2</v>
      </c>
      <c r="S82" s="2694"/>
      <c r="T82" s="2513">
        <f t="shared" si="12"/>
        <v>0</v>
      </c>
      <c r="U82" s="2571">
        <v>0.66610000000000003</v>
      </c>
      <c r="V82" s="2571">
        <v>0.17749999999999999</v>
      </c>
      <c r="W82" s="2585">
        <v>9.6479999999999997</v>
      </c>
      <c r="X82" s="2510">
        <f t="shared" si="13"/>
        <v>0</v>
      </c>
      <c r="Y82" s="2585">
        <v>11.99</v>
      </c>
      <c r="Z82" s="2585">
        <v>277.40499999999997</v>
      </c>
      <c r="AB82" s="2579"/>
      <c r="AN82" s="2508"/>
      <c r="AO82" s="2508"/>
      <c r="AP82" s="2508"/>
      <c r="AQ82" s="2508"/>
      <c r="AR82" s="2508"/>
      <c r="AS82" s="2508"/>
      <c r="AT82" s="2508"/>
      <c r="AU82" s="2508"/>
      <c r="AV82" s="2508"/>
      <c r="AW82" s="2508"/>
      <c r="AX82" s="2508"/>
      <c r="AY82" s="2508"/>
      <c r="AZ82" s="2508"/>
      <c r="BA82" s="2508"/>
      <c r="BB82" s="2508"/>
    </row>
    <row r="83" spans="1:54" s="98" customFormat="1" ht="15" customHeight="1">
      <c r="A83" s="2544" t="s">
        <v>2723</v>
      </c>
      <c r="B83" s="2543" t="s">
        <v>1527</v>
      </c>
      <c r="C83" s="2542" t="s">
        <v>2724</v>
      </c>
      <c r="D83" s="2521"/>
      <c r="E83" s="2667">
        <v>1</v>
      </c>
      <c r="F83" s="2660">
        <v>1.6E-2</v>
      </c>
      <c r="G83" s="2667">
        <v>1.6E-2</v>
      </c>
      <c r="H83" s="2681">
        <v>27</v>
      </c>
      <c r="I83" s="2690" t="s">
        <v>2900</v>
      </c>
      <c r="J83" s="2509">
        <f t="shared" si="14"/>
        <v>6.9119999999999997E-3</v>
      </c>
      <c r="K83" s="2536">
        <v>101.97</v>
      </c>
      <c r="L83" s="2536"/>
      <c r="M83" s="2729">
        <f>J83*K83</f>
        <v>0.70481663999999999</v>
      </c>
      <c r="N83" s="2517">
        <f t="shared" si="11"/>
        <v>0</v>
      </c>
      <c r="O83" s="2568" t="s">
        <v>2899</v>
      </c>
      <c r="P83" s="2568" t="s">
        <v>2965</v>
      </c>
      <c r="Q83" s="2575"/>
      <c r="R83" s="2694">
        <v>193.2</v>
      </c>
      <c r="S83" s="2694"/>
      <c r="T83" s="2513">
        <f t="shared" si="12"/>
        <v>0</v>
      </c>
      <c r="U83" s="2571">
        <v>0.66610000000000003</v>
      </c>
      <c r="V83" s="2571">
        <v>0.17749999999999999</v>
      </c>
      <c r="W83" s="2585">
        <v>9.6479999999999997</v>
      </c>
      <c r="X83" s="2510">
        <f t="shared" si="13"/>
        <v>0</v>
      </c>
      <c r="Y83" s="2585">
        <v>11.99</v>
      </c>
      <c r="Z83" s="2585">
        <v>277.40499999999997</v>
      </c>
      <c r="AB83" s="2579"/>
      <c r="AN83" s="2508"/>
      <c r="AO83" s="2508"/>
      <c r="AP83" s="2508"/>
      <c r="AQ83" s="2508"/>
      <c r="AR83" s="2508"/>
      <c r="AS83" s="2508"/>
      <c r="AT83" s="2508"/>
      <c r="AU83" s="2508"/>
      <c r="AV83" s="2508"/>
      <c r="AW83" s="2508"/>
      <c r="AX83" s="2508"/>
      <c r="AY83" s="2508"/>
      <c r="AZ83" s="2508"/>
      <c r="BA83" s="2508"/>
      <c r="BB83" s="2508"/>
    </row>
    <row r="84" spans="1:54" s="2725" customFormat="1">
      <c r="A84" s="2717"/>
      <c r="B84" s="2718" t="s">
        <v>3048</v>
      </c>
      <c r="C84" s="2716"/>
      <c r="D84" s="2719"/>
      <c r="E84" s="2720"/>
      <c r="F84" s="2720"/>
      <c r="G84" s="2721"/>
      <c r="H84" s="2720"/>
      <c r="I84" s="2720"/>
      <c r="J84" s="2720"/>
      <c r="K84" s="2722"/>
      <c r="L84" s="2722"/>
      <c r="M84" s="2723"/>
      <c r="N84" s="2715">
        <f t="shared" si="11"/>
        <v>0</v>
      </c>
      <c r="O84" s="2720"/>
      <c r="P84" s="2722"/>
      <c r="Q84" s="2722"/>
      <c r="R84" s="2722"/>
      <c r="S84" s="2722"/>
      <c r="T84" s="2724">
        <f t="shared" si="12"/>
        <v>0</v>
      </c>
      <c r="U84" s="2722"/>
      <c r="V84" s="2722"/>
      <c r="W84" s="2722"/>
      <c r="X84" s="2724">
        <f t="shared" si="13"/>
        <v>0</v>
      </c>
      <c r="Y84" s="2722"/>
      <c r="Z84" s="2722"/>
    </row>
    <row r="85" spans="1:54" s="2570" customFormat="1">
      <c r="A85" s="2535" t="s">
        <v>1094</v>
      </c>
      <c r="B85" s="2625" t="s">
        <v>1517</v>
      </c>
      <c r="C85" s="2625" t="s">
        <v>1543</v>
      </c>
      <c r="D85" s="2607">
        <f>'[7]Precios Recuperación (PUSD)'!$M$2385</f>
        <v>23.610999999999997</v>
      </c>
      <c r="E85" s="2663">
        <v>1</v>
      </c>
      <c r="F85" s="2670">
        <v>1</v>
      </c>
      <c r="G85" s="2663">
        <v>1</v>
      </c>
      <c r="H85" s="2661">
        <v>16.5</v>
      </c>
      <c r="I85" s="2687" t="s">
        <v>2900</v>
      </c>
      <c r="J85" s="2509">
        <f>E85*F85*G85*H85</f>
        <v>16.5</v>
      </c>
      <c r="K85" s="2606">
        <v>101.97</v>
      </c>
      <c r="L85" s="2606"/>
      <c r="M85" s="2726">
        <f>J85*K85</f>
        <v>1682.5049999999999</v>
      </c>
      <c r="N85" s="2517">
        <f t="shared" si="11"/>
        <v>39725.625554999991</v>
      </c>
      <c r="O85" s="2527" t="s">
        <v>2899</v>
      </c>
      <c r="P85" s="2526" t="s">
        <v>273</v>
      </c>
      <c r="Q85" s="2526" t="s">
        <v>3047</v>
      </c>
      <c r="R85" s="2702">
        <v>0.08</v>
      </c>
      <c r="S85" s="2702"/>
      <c r="T85" s="2513">
        <f t="shared" si="12"/>
        <v>3178.050044399999</v>
      </c>
      <c r="U85" s="2525"/>
      <c r="V85" s="2525"/>
      <c r="W85" s="2524"/>
      <c r="X85" s="2510">
        <f t="shared" si="13"/>
        <v>0</v>
      </c>
      <c r="Y85" s="2524"/>
      <c r="Z85" s="2524"/>
    </row>
    <row r="86" spans="1:54">
      <c r="A86" s="2523" t="s">
        <v>1576</v>
      </c>
      <c r="B86" s="2625" t="s">
        <v>1517</v>
      </c>
      <c r="C86" s="2625" t="s">
        <v>1580</v>
      </c>
      <c r="D86" s="2607">
        <f>'[7]Precios Recuperación (PUSD)'!$H$666+'[7]Desglose Precios Auxiliares'!$R$110</f>
        <v>176.07038202000001</v>
      </c>
      <c r="E86" s="2663">
        <v>1</v>
      </c>
      <c r="F86" s="2670">
        <v>1</v>
      </c>
      <c r="G86" s="2663">
        <v>1</v>
      </c>
      <c r="H86" s="2661">
        <v>16.5</v>
      </c>
      <c r="I86" s="2687" t="s">
        <v>2900</v>
      </c>
      <c r="J86" s="2509">
        <f>E86*F86*G86*H86</f>
        <v>16.5</v>
      </c>
      <c r="K86" s="2606">
        <v>101.97</v>
      </c>
      <c r="L86" s="2606"/>
      <c r="M86" s="2726">
        <f>J86*K86</f>
        <v>1682.5049999999999</v>
      </c>
      <c r="N86" s="2517">
        <f t="shared" si="11"/>
        <v>296239.29810056009</v>
      </c>
      <c r="O86" s="2527" t="s">
        <v>2899</v>
      </c>
      <c r="P86" s="2526" t="s">
        <v>273</v>
      </c>
      <c r="Q86" s="2526" t="s">
        <v>3047</v>
      </c>
      <c r="R86" s="2702">
        <v>5.8999999999999997E-2</v>
      </c>
      <c r="S86" s="2702">
        <v>0.1</v>
      </c>
      <c r="T86" s="2513">
        <f t="shared" si="12"/>
        <v>17478.118587933044</v>
      </c>
      <c r="U86" s="2525">
        <v>0.58599999999999997</v>
      </c>
      <c r="V86" s="2525">
        <v>0.33700000000000002</v>
      </c>
      <c r="W86" s="2524">
        <v>2E-3</v>
      </c>
      <c r="X86" s="2510">
        <f t="shared" si="13"/>
        <v>592.47859620112024</v>
      </c>
      <c r="Y86" s="2524">
        <v>2E-3</v>
      </c>
      <c r="Z86" s="2524">
        <v>2.7E-2</v>
      </c>
    </row>
    <row r="87" spans="1:54" s="2725" customFormat="1">
      <c r="A87" s="2717"/>
      <c r="B87" s="2718" t="s">
        <v>2916</v>
      </c>
      <c r="C87" s="2716"/>
      <c r="D87" s="2719"/>
      <c r="E87" s="2720"/>
      <c r="F87" s="2720"/>
      <c r="G87" s="2721"/>
      <c r="H87" s="2720"/>
      <c r="I87" s="2720"/>
      <c r="J87" s="2720"/>
      <c r="K87" s="2722"/>
      <c r="L87" s="2722"/>
      <c r="M87" s="2723"/>
      <c r="N87" s="2715">
        <f t="shared" si="11"/>
        <v>0</v>
      </c>
      <c r="O87" s="2720"/>
      <c r="P87" s="2722"/>
      <c r="Q87" s="2722"/>
      <c r="R87" s="2722"/>
      <c r="S87" s="2722"/>
      <c r="T87" s="2724">
        <f t="shared" si="12"/>
        <v>0</v>
      </c>
      <c r="U87" s="2722"/>
      <c r="V87" s="2722"/>
      <c r="W87" s="2722"/>
      <c r="X87" s="2724">
        <f t="shared" si="13"/>
        <v>0</v>
      </c>
      <c r="Y87" s="2722"/>
      <c r="Z87" s="2722"/>
    </row>
    <row r="88" spans="1:54" ht="15" customHeight="1">
      <c r="A88" s="2535" t="s">
        <v>2915</v>
      </c>
      <c r="B88" s="2533" t="s">
        <v>1527</v>
      </c>
      <c r="C88" s="2522" t="s">
        <v>2914</v>
      </c>
      <c r="D88" s="2521">
        <f>'[7]Precios Recuperación (PUSD)'!$I$2412</f>
        <v>44.120000000000005</v>
      </c>
      <c r="E88" s="2667">
        <v>1</v>
      </c>
      <c r="F88" s="2660">
        <v>0.01</v>
      </c>
      <c r="G88" s="2667">
        <v>0.01</v>
      </c>
      <c r="H88" s="2681">
        <v>1200</v>
      </c>
      <c r="I88" s="2690" t="s">
        <v>2911</v>
      </c>
      <c r="J88" s="2509"/>
      <c r="K88" s="2536"/>
      <c r="L88" s="2536"/>
      <c r="M88" s="2729">
        <f>E88*F88*H88*G88</f>
        <v>0.12</v>
      </c>
      <c r="N88" s="2517">
        <f t="shared" si="11"/>
        <v>5.2944000000000004</v>
      </c>
      <c r="O88" s="2541" t="s">
        <v>2910</v>
      </c>
      <c r="P88" s="2538" t="s">
        <v>2913</v>
      </c>
      <c r="Q88" s="2538" t="s">
        <v>2912</v>
      </c>
      <c r="R88" s="2702">
        <v>51</v>
      </c>
      <c r="S88" s="2702"/>
      <c r="T88" s="2513">
        <f t="shared" si="12"/>
        <v>270.01440000000002</v>
      </c>
      <c r="U88" s="2525">
        <v>0.94699999999999995</v>
      </c>
      <c r="V88" s="2525">
        <v>3.2899999999999999E-2</v>
      </c>
      <c r="W88" s="2524">
        <v>0.96899999999999997</v>
      </c>
      <c r="X88" s="2510">
        <f t="shared" si="13"/>
        <v>5.1302736000000007</v>
      </c>
      <c r="Y88" s="2524">
        <v>1.1000000000000001</v>
      </c>
      <c r="Z88" s="2524">
        <v>1.871</v>
      </c>
      <c r="AA88" s="2563"/>
    </row>
    <row r="89" spans="1:54" ht="15" customHeight="1">
      <c r="A89" s="2544" t="s">
        <v>1130</v>
      </c>
      <c r="B89" s="2543" t="s">
        <v>1507</v>
      </c>
      <c r="C89" s="2542" t="s">
        <v>1557</v>
      </c>
      <c r="D89" s="2521">
        <f>'[7]Precios Recuperación (PUSD)'!$H$755</f>
        <v>2.3997600000000001</v>
      </c>
      <c r="E89" s="2666">
        <v>1</v>
      </c>
      <c r="F89" s="2660">
        <v>1</v>
      </c>
      <c r="G89" s="2666">
        <v>4.0000000000000001E-3</v>
      </c>
      <c r="H89" s="2681">
        <v>1200</v>
      </c>
      <c r="I89" s="2690" t="s">
        <v>2911</v>
      </c>
      <c r="J89" s="2509"/>
      <c r="K89" s="2536"/>
      <c r="L89" s="2536"/>
      <c r="M89" s="2729">
        <f>E89*H89*G89*F89</f>
        <v>4.8</v>
      </c>
      <c r="N89" s="2517">
        <f t="shared" si="11"/>
        <v>11.518848</v>
      </c>
      <c r="O89" s="2541" t="s">
        <v>2910</v>
      </c>
      <c r="P89" s="2548" t="s">
        <v>2907</v>
      </c>
      <c r="Q89" s="2548" t="s">
        <v>2906</v>
      </c>
      <c r="R89" s="2696">
        <v>54.6</v>
      </c>
      <c r="S89" s="2696"/>
      <c r="T89" s="2513">
        <f t="shared" si="12"/>
        <v>628.92910080000001</v>
      </c>
      <c r="U89" s="2547">
        <v>0.98399999999999999</v>
      </c>
      <c r="V89" s="2547">
        <v>1.3599999999999999E-2</v>
      </c>
      <c r="W89" s="2546">
        <v>0.48599999999999999</v>
      </c>
      <c r="X89" s="2510">
        <f t="shared" si="13"/>
        <v>5.598160128</v>
      </c>
      <c r="Y89" s="2545">
        <v>0.57099999999999995</v>
      </c>
      <c r="Z89" s="2545">
        <v>0.73599999999999999</v>
      </c>
      <c r="AA89" s="2503"/>
      <c r="AB89" s="2503"/>
      <c r="AC89" s="2503"/>
      <c r="AD89" s="2503"/>
      <c r="AE89" s="2503"/>
      <c r="AF89" s="2503"/>
      <c r="AG89" s="2503"/>
      <c r="AH89" s="2503"/>
      <c r="AI89" s="2503"/>
      <c r="AJ89" s="2503"/>
      <c r="AK89" s="2503"/>
      <c r="AL89" s="2503"/>
      <c r="AM89" s="2503"/>
      <c r="AN89" s="2503"/>
      <c r="AO89" s="2503"/>
      <c r="AP89" s="2503"/>
      <c r="AQ89" s="2503"/>
      <c r="AR89" s="2503"/>
      <c r="AS89" s="2503"/>
      <c r="AT89" s="2503"/>
      <c r="AU89" s="2503"/>
      <c r="AV89" s="2503"/>
      <c r="AW89" s="2503"/>
      <c r="AX89" s="2503"/>
      <c r="AY89" s="2503"/>
      <c r="AZ89" s="2503"/>
      <c r="BA89" s="2503"/>
      <c r="BB89" s="2503"/>
    </row>
    <row r="90" spans="1:54" s="2554" customFormat="1" ht="15" customHeight="1">
      <c r="A90" s="2562" t="s">
        <v>2909</v>
      </c>
      <c r="B90" s="2561" t="s">
        <v>1357</v>
      </c>
      <c r="C90" s="2561" t="s">
        <v>2908</v>
      </c>
      <c r="D90" s="2560">
        <v>0</v>
      </c>
      <c r="E90" s="2668">
        <v>1</v>
      </c>
      <c r="F90" s="2675"/>
      <c r="G90" s="2668"/>
      <c r="H90" s="2686"/>
      <c r="I90" s="2686"/>
      <c r="J90" s="2509"/>
      <c r="K90" s="2558"/>
      <c r="L90" s="2558"/>
      <c r="M90" s="2732">
        <f>E90</f>
        <v>1</v>
      </c>
      <c r="N90" s="2517">
        <f t="shared" si="11"/>
        <v>0</v>
      </c>
      <c r="O90" s="2558"/>
      <c r="P90" s="2558" t="s">
        <v>2907</v>
      </c>
      <c r="Q90" s="2558" t="s">
        <v>2906</v>
      </c>
      <c r="R90" s="2704">
        <v>54.6</v>
      </c>
      <c r="S90" s="2704"/>
      <c r="T90" s="2513">
        <f t="shared" si="12"/>
        <v>0</v>
      </c>
      <c r="U90" s="2557">
        <v>0.98399999999999999</v>
      </c>
      <c r="V90" s="2557">
        <v>1.3599999999999999E-2</v>
      </c>
      <c r="W90" s="2556">
        <v>0.48599999999999999</v>
      </c>
      <c r="X90" s="2510">
        <f t="shared" si="13"/>
        <v>0</v>
      </c>
      <c r="Y90" s="2556">
        <v>0.57099999999999995</v>
      </c>
      <c r="Z90" s="2556">
        <v>0.73599999999999999</v>
      </c>
      <c r="AA90" s="2555"/>
      <c r="AB90" s="2555"/>
      <c r="AC90" s="2555"/>
      <c r="AD90" s="2555"/>
      <c r="AE90" s="2555"/>
      <c r="AF90" s="2555"/>
      <c r="AG90" s="2555"/>
      <c r="AH90" s="2555"/>
      <c r="AI90" s="2555"/>
      <c r="AJ90" s="2555"/>
      <c r="AK90" s="2555"/>
      <c r="AL90" s="2555"/>
      <c r="AM90" s="2555"/>
      <c r="AN90" s="2555"/>
      <c r="AO90" s="2555"/>
      <c r="AP90" s="2555"/>
      <c r="AQ90" s="2555"/>
      <c r="AR90" s="2555"/>
      <c r="AS90" s="2555"/>
      <c r="AT90" s="2555"/>
      <c r="AU90" s="2555"/>
      <c r="AV90" s="2555"/>
      <c r="AW90" s="2555"/>
      <c r="AX90" s="2555"/>
      <c r="AY90" s="2555"/>
      <c r="AZ90" s="2555"/>
      <c r="BA90" s="2555"/>
      <c r="BB90" s="2555"/>
    </row>
    <row r="91" spans="1:54" s="2725" customFormat="1">
      <c r="A91" s="2717"/>
      <c r="B91" s="2718" t="s">
        <v>3021</v>
      </c>
      <c r="C91" s="2716"/>
      <c r="D91" s="2719"/>
      <c r="E91" s="2720"/>
      <c r="F91" s="2720"/>
      <c r="G91" s="2721"/>
      <c r="H91" s="2720"/>
      <c r="I91" s="2720"/>
      <c r="J91" s="2720"/>
      <c r="K91" s="2722"/>
      <c r="L91" s="2722"/>
      <c r="M91" s="2723"/>
      <c r="N91" s="2715"/>
      <c r="O91" s="2720"/>
      <c r="P91" s="2722"/>
      <c r="Q91" s="2722"/>
      <c r="R91" s="2722"/>
      <c r="S91" s="2722"/>
      <c r="T91" s="2724">
        <f t="shared" si="12"/>
        <v>0</v>
      </c>
      <c r="U91" s="2722"/>
      <c r="V91" s="2722"/>
      <c r="W91" s="2722"/>
      <c r="X91" s="2724">
        <f t="shared" si="13"/>
        <v>0</v>
      </c>
      <c r="Y91" s="2722"/>
      <c r="Z91" s="2722"/>
    </row>
    <row r="92" spans="1:54">
      <c r="A92" s="2535" t="s">
        <v>1792</v>
      </c>
      <c r="B92" s="2625" t="s">
        <v>1577</v>
      </c>
      <c r="C92" s="2625" t="s">
        <v>1793</v>
      </c>
      <c r="D92" s="2624">
        <f>'[7]Desglose Precios Auxiliares'!$G$97+'[7]Desglose Precios Auxiliares'!$G$108</f>
        <v>7.0653764999999993</v>
      </c>
      <c r="E92" s="2665">
        <v>1</v>
      </c>
      <c r="F92" s="2670">
        <v>1</v>
      </c>
      <c r="G92" s="2665">
        <v>1</v>
      </c>
      <c r="H92" s="2678">
        <v>1000</v>
      </c>
      <c r="I92" s="2687" t="s">
        <v>3007</v>
      </c>
      <c r="J92" s="2509"/>
      <c r="K92" s="2538"/>
      <c r="L92" s="2538"/>
      <c r="M92" s="2727">
        <f>E92*F92*G92*H92</f>
        <v>1000</v>
      </c>
      <c r="N92" s="2517">
        <f t="shared" ref="N92:N99" si="16">D92*M92</f>
        <v>7065.3764999999994</v>
      </c>
      <c r="O92" s="2538"/>
      <c r="P92" s="2538" t="s">
        <v>3020</v>
      </c>
      <c r="Q92" s="2538" t="s">
        <v>3019</v>
      </c>
      <c r="R92" s="2702">
        <v>4.79</v>
      </c>
      <c r="S92" s="2702"/>
      <c r="T92" s="2513">
        <f t="shared" si="12"/>
        <v>33843.153435</v>
      </c>
      <c r="U92" s="2525">
        <v>0.82</v>
      </c>
      <c r="V92" s="2525">
        <v>7.6100000000000001E-2</v>
      </c>
      <c r="W92" s="2524">
        <v>0.749</v>
      </c>
      <c r="X92" s="2510">
        <f t="shared" si="13"/>
        <v>5291.9669984999991</v>
      </c>
      <c r="Y92" s="2524">
        <v>0.76100000000000001</v>
      </c>
      <c r="Z92" s="2524">
        <v>2.472</v>
      </c>
    </row>
    <row r="93" spans="1:54" s="2555" customFormat="1">
      <c r="A93" s="2562" t="s">
        <v>3018</v>
      </c>
      <c r="B93" s="2561" t="s">
        <v>1577</v>
      </c>
      <c r="C93" s="2561" t="s">
        <v>3017</v>
      </c>
      <c r="D93" s="2560">
        <v>0</v>
      </c>
      <c r="E93" s="2668">
        <v>1</v>
      </c>
      <c r="F93" s="2672">
        <v>1</v>
      </c>
      <c r="G93" s="2668">
        <v>1</v>
      </c>
      <c r="H93" s="2682">
        <v>1000</v>
      </c>
      <c r="I93" s="2691" t="s">
        <v>3007</v>
      </c>
      <c r="J93" s="2509"/>
      <c r="K93" s="2558"/>
      <c r="L93" s="2558"/>
      <c r="M93" s="2730">
        <f>E93*F93*G93*H93</f>
        <v>1000</v>
      </c>
      <c r="N93" s="2517">
        <f t="shared" si="16"/>
        <v>0</v>
      </c>
      <c r="O93" s="2558"/>
      <c r="P93" s="2558" t="s">
        <v>3016</v>
      </c>
      <c r="Q93" s="2558" t="s">
        <v>3015</v>
      </c>
      <c r="R93" s="2704">
        <v>6.18</v>
      </c>
      <c r="S93" s="2704"/>
      <c r="T93" s="2513">
        <f t="shared" si="12"/>
        <v>0</v>
      </c>
      <c r="U93" s="2557">
        <v>8.0799999999999997E-2</v>
      </c>
      <c r="V93" s="2557">
        <v>0.97099999999999997</v>
      </c>
      <c r="W93" s="2556">
        <v>0.98799999999999999</v>
      </c>
      <c r="X93" s="2510">
        <f t="shared" si="13"/>
        <v>0</v>
      </c>
      <c r="Y93" s="2556">
        <v>3.452</v>
      </c>
      <c r="Z93" s="2556">
        <v>2.472</v>
      </c>
    </row>
    <row r="94" spans="1:54" s="2725" customFormat="1">
      <c r="A94" s="2717"/>
      <c r="B94" s="2718" t="s">
        <v>2922</v>
      </c>
      <c r="C94" s="2716"/>
      <c r="D94" s="2719"/>
      <c r="E94" s="2720"/>
      <c r="F94" s="2720"/>
      <c r="G94" s="2721"/>
      <c r="H94" s="2720"/>
      <c r="I94" s="2720"/>
      <c r="J94" s="2720"/>
      <c r="K94" s="2722"/>
      <c r="L94" s="2722"/>
      <c r="M94" s="2723"/>
      <c r="N94" s="2715">
        <f t="shared" si="16"/>
        <v>0</v>
      </c>
      <c r="O94" s="2720"/>
      <c r="P94" s="2722"/>
      <c r="Q94" s="2722"/>
      <c r="R94" s="2722"/>
      <c r="S94" s="2722"/>
      <c r="T94" s="2724">
        <f t="shared" si="12"/>
        <v>0</v>
      </c>
      <c r="U94" s="2722"/>
      <c r="V94" s="2722"/>
      <c r="W94" s="2722"/>
      <c r="X94" s="2724">
        <f t="shared" si="13"/>
        <v>0</v>
      </c>
      <c r="Y94" s="2722"/>
      <c r="Z94" s="2722"/>
    </row>
    <row r="95" spans="1:54" ht="15" customHeight="1">
      <c r="A95" s="2544" t="s">
        <v>2717</v>
      </c>
      <c r="B95" s="2543" t="s">
        <v>1527</v>
      </c>
      <c r="C95" s="2542" t="s">
        <v>2718</v>
      </c>
      <c r="D95" s="2521"/>
      <c r="E95" s="2667">
        <v>1</v>
      </c>
      <c r="F95" s="2660">
        <v>0.122</v>
      </c>
      <c r="G95" s="2667">
        <v>0.01</v>
      </c>
      <c r="H95" s="2687">
        <v>1240</v>
      </c>
      <c r="I95" s="2690" t="s">
        <v>2911</v>
      </c>
      <c r="J95" s="2509"/>
      <c r="K95" s="2536"/>
      <c r="L95" s="2536"/>
      <c r="M95" s="2729">
        <f>E95*H95*G95*F95</f>
        <v>1.5127999999999999</v>
      </c>
      <c r="N95" s="2517">
        <f t="shared" si="16"/>
        <v>0</v>
      </c>
      <c r="O95" s="2538" t="s">
        <v>2910</v>
      </c>
      <c r="P95" s="2538" t="s">
        <v>2919</v>
      </c>
      <c r="Q95" s="2538" t="s">
        <v>2918</v>
      </c>
      <c r="R95" s="2702">
        <v>91.8</v>
      </c>
      <c r="S95" s="2702"/>
      <c r="T95" s="2513">
        <f t="shared" si="12"/>
        <v>0</v>
      </c>
      <c r="U95" s="2525">
        <v>0.89100000000000001</v>
      </c>
      <c r="V95" s="2525">
        <v>8.6800000000000002E-2</v>
      </c>
      <c r="W95" s="2524">
        <v>2.3929999999999998</v>
      </c>
      <c r="X95" s="2510">
        <f t="shared" si="13"/>
        <v>0</v>
      </c>
      <c r="Y95" s="2524">
        <v>2.63</v>
      </c>
      <c r="Z95" s="2524">
        <v>6.5179999999999998</v>
      </c>
    </row>
    <row r="96" spans="1:54" ht="15" customHeight="1">
      <c r="A96" s="2535" t="s">
        <v>2921</v>
      </c>
      <c r="B96" s="2533" t="s">
        <v>1527</v>
      </c>
      <c r="C96" s="2522" t="s">
        <v>2920</v>
      </c>
      <c r="D96" s="2521">
        <f>'[7]Precios Recuperación (PUSD)'!$H$2551</f>
        <v>1.9890000000000001</v>
      </c>
      <c r="E96" s="2665">
        <v>1</v>
      </c>
      <c r="F96" s="2676">
        <v>1.4999999999999999E-2</v>
      </c>
      <c r="G96" s="2665">
        <v>0.05</v>
      </c>
      <c r="H96" s="2687">
        <v>1240</v>
      </c>
      <c r="I96" s="2687" t="s">
        <v>2911</v>
      </c>
      <c r="J96" s="2509"/>
      <c r="K96" s="2538"/>
      <c r="L96" s="2538"/>
      <c r="M96" s="2727">
        <f>H96*G96*F96*E96</f>
        <v>0.92999999999999994</v>
      </c>
      <c r="N96" s="2517">
        <f t="shared" si="16"/>
        <v>1.8497699999999999</v>
      </c>
      <c r="O96" s="2538" t="s">
        <v>2910</v>
      </c>
      <c r="P96" s="2538" t="s">
        <v>2919</v>
      </c>
      <c r="Q96" s="2538" t="s">
        <v>2918</v>
      </c>
      <c r="R96" s="2702">
        <v>91.8</v>
      </c>
      <c r="S96" s="2702"/>
      <c r="T96" s="2513">
        <f t="shared" si="12"/>
        <v>169.808886</v>
      </c>
      <c r="U96" s="2525">
        <v>0.89100000000000001</v>
      </c>
      <c r="V96" s="2525">
        <v>8.6800000000000002E-2</v>
      </c>
      <c r="W96" s="2524">
        <v>2.3929999999999998</v>
      </c>
      <c r="X96" s="2510">
        <f t="shared" si="13"/>
        <v>4.4264996099999996</v>
      </c>
      <c r="Y96" s="2524">
        <v>2.63</v>
      </c>
      <c r="Z96" s="2524">
        <v>6.5179999999999998</v>
      </c>
      <c r="AA96" s="2563"/>
    </row>
    <row r="97" spans="1:54" ht="15" customHeight="1">
      <c r="A97" s="2544" t="s">
        <v>2004</v>
      </c>
      <c r="B97" s="2543" t="s">
        <v>1527</v>
      </c>
      <c r="C97" s="2542" t="s">
        <v>2005</v>
      </c>
      <c r="D97" s="2521">
        <f>'[7]Precios Recuperación (PUSD)'!$K$2124</f>
        <v>81.325199999999995</v>
      </c>
      <c r="E97" s="2667">
        <v>1</v>
      </c>
      <c r="F97" s="2660">
        <v>1</v>
      </c>
      <c r="G97" s="2667">
        <v>2E-3</v>
      </c>
      <c r="H97" s="2681">
        <v>17</v>
      </c>
      <c r="I97" s="2690" t="s">
        <v>2900</v>
      </c>
      <c r="J97" s="2509">
        <f>E97*F97*G97*H97</f>
        <v>3.4000000000000002E-2</v>
      </c>
      <c r="K97" s="2536">
        <v>101.97</v>
      </c>
      <c r="L97" s="2536"/>
      <c r="M97" s="2729">
        <f t="shared" ref="M97:M99" si="17">J97*K97</f>
        <v>3.4669800000000004</v>
      </c>
      <c r="N97" s="2517">
        <f t="shared" si="16"/>
        <v>281.952841896</v>
      </c>
      <c r="O97" s="2541" t="s">
        <v>2899</v>
      </c>
      <c r="P97" s="2564" t="s">
        <v>2919</v>
      </c>
      <c r="Q97" s="2564" t="s">
        <v>2918</v>
      </c>
      <c r="R97" s="2700">
        <v>91.8</v>
      </c>
      <c r="S97" s="2700"/>
      <c r="T97" s="2513">
        <f t="shared" si="12"/>
        <v>25883.2708860528</v>
      </c>
      <c r="U97" s="2512">
        <v>0.89100000000000001</v>
      </c>
      <c r="V97" s="2512">
        <v>8.6800000000000002E-2</v>
      </c>
      <c r="W97" s="2511">
        <v>2.3939632</v>
      </c>
      <c r="X97" s="2510">
        <f t="shared" si="13"/>
        <v>674.98472763444215</v>
      </c>
      <c r="Y97" s="2509">
        <v>2.63</v>
      </c>
      <c r="Z97" s="2509">
        <v>6.5179999999999998</v>
      </c>
    </row>
    <row r="98" spans="1:54" ht="15" customHeight="1">
      <c r="A98" s="2544" t="s">
        <v>2002</v>
      </c>
      <c r="B98" s="2543" t="s">
        <v>1507</v>
      </c>
      <c r="C98" s="2542" t="s">
        <v>2003</v>
      </c>
      <c r="D98" s="2521">
        <f>'[7]Precios Recuperación (PUSD)'!$K$2123</f>
        <v>81.325199999999995</v>
      </c>
      <c r="E98" s="2667">
        <v>1</v>
      </c>
      <c r="F98" s="2660">
        <v>1</v>
      </c>
      <c r="G98" s="2667">
        <v>1.1999999999999999E-3</v>
      </c>
      <c r="H98" s="2681">
        <v>17</v>
      </c>
      <c r="I98" s="2690" t="s">
        <v>2900</v>
      </c>
      <c r="J98" s="2509">
        <f>E98*F98*G98*H98</f>
        <v>2.0399999999999998E-2</v>
      </c>
      <c r="K98" s="2536">
        <v>101.97</v>
      </c>
      <c r="L98" s="2536"/>
      <c r="M98" s="2729">
        <f t="shared" si="17"/>
        <v>2.0801879999999997</v>
      </c>
      <c r="N98" s="2517">
        <f t="shared" si="16"/>
        <v>169.17170513759996</v>
      </c>
      <c r="O98" s="2541" t="s">
        <v>2899</v>
      </c>
      <c r="P98" s="2564" t="s">
        <v>2919</v>
      </c>
      <c r="Q98" s="2564" t="s">
        <v>2918</v>
      </c>
      <c r="R98" s="2700">
        <v>91.8</v>
      </c>
      <c r="S98" s="2700"/>
      <c r="T98" s="2513">
        <f t="shared" si="12"/>
        <v>15529.962531631676</v>
      </c>
      <c r="U98" s="2512">
        <v>0.89100000000000001</v>
      </c>
      <c r="V98" s="2512">
        <v>8.6800000000000002E-2</v>
      </c>
      <c r="W98" s="2511">
        <v>2.3939632</v>
      </c>
      <c r="X98" s="2510">
        <f t="shared" si="13"/>
        <v>404.99083658066525</v>
      </c>
      <c r="Y98" s="2509">
        <v>2.63</v>
      </c>
      <c r="Z98" s="2509">
        <v>6.5179999999999998</v>
      </c>
    </row>
    <row r="99" spans="1:54" ht="15" customHeight="1">
      <c r="A99" s="2544" t="s">
        <v>2749</v>
      </c>
      <c r="B99" s="2543" t="s">
        <v>1527</v>
      </c>
      <c r="C99" s="2542" t="s">
        <v>2750</v>
      </c>
      <c r="D99" s="2521"/>
      <c r="E99" s="2667">
        <v>3.1415000000000002</v>
      </c>
      <c r="F99" s="2660">
        <v>1.2E-2</v>
      </c>
      <c r="G99" s="2667">
        <v>1.2999999999999999E-2</v>
      </c>
      <c r="H99" s="2681">
        <v>17</v>
      </c>
      <c r="I99" s="2690" t="s">
        <v>2900</v>
      </c>
      <c r="J99" s="2509">
        <f>E99*F99*G99*H99</f>
        <v>8.3312579999999994E-3</v>
      </c>
      <c r="K99" s="2536">
        <v>101.97</v>
      </c>
      <c r="L99" s="2536"/>
      <c r="M99" s="2729">
        <f t="shared" si="17"/>
        <v>0.84953837825999989</v>
      </c>
      <c r="N99" s="2517">
        <f t="shared" si="16"/>
        <v>0</v>
      </c>
      <c r="O99" s="2541" t="s">
        <v>2899</v>
      </c>
      <c r="P99" s="2541" t="s">
        <v>2917</v>
      </c>
      <c r="Q99" s="2514"/>
      <c r="R99" s="2700">
        <v>87.47</v>
      </c>
      <c r="S99" s="2700"/>
      <c r="T99" s="2513">
        <f t="shared" si="12"/>
        <v>0</v>
      </c>
      <c r="U99" s="2512">
        <v>0.90010769406653723</v>
      </c>
      <c r="V99" s="2512">
        <v>7.8841888647536301E-2</v>
      </c>
      <c r="W99" s="2511">
        <v>2.1269816000000001</v>
      </c>
      <c r="X99" s="2510">
        <f t="shared" si="13"/>
        <v>0</v>
      </c>
      <c r="Y99" s="2511">
        <v>2.46</v>
      </c>
      <c r="Z99" s="2511">
        <v>5.5701746076000003</v>
      </c>
    </row>
    <row r="100" spans="1:54" s="2725" customFormat="1">
      <c r="A100" s="2717"/>
      <c r="B100" s="2718" t="s">
        <v>3011</v>
      </c>
      <c r="C100" s="2716"/>
      <c r="D100" s="2719"/>
      <c r="E100" s="2720"/>
      <c r="F100" s="2720"/>
      <c r="G100" s="2721"/>
      <c r="H100" s="2720"/>
      <c r="I100" s="2720"/>
      <c r="J100" s="2720"/>
      <c r="K100" s="2722"/>
      <c r="L100" s="2722"/>
      <c r="M100" s="2723"/>
      <c r="N100" s="2715"/>
      <c r="O100" s="2720"/>
      <c r="P100" s="2722"/>
      <c r="Q100" s="2722"/>
      <c r="R100" s="2722"/>
      <c r="S100" s="2722"/>
      <c r="T100" s="2724">
        <f t="shared" si="12"/>
        <v>0</v>
      </c>
      <c r="U100" s="2722"/>
      <c r="V100" s="2722"/>
      <c r="W100" s="2722"/>
      <c r="X100" s="2724">
        <f t="shared" si="13"/>
        <v>0</v>
      </c>
      <c r="Y100" s="2722"/>
      <c r="Z100" s="2722"/>
    </row>
    <row r="101" spans="1:54" s="2570" customFormat="1" ht="21" customHeight="1">
      <c r="A101" s="2523" t="s">
        <v>1116</v>
      </c>
      <c r="B101" s="2522" t="s">
        <v>1504</v>
      </c>
      <c r="C101" s="2522" t="s">
        <v>1535</v>
      </c>
      <c r="D101" s="2521"/>
      <c r="E101" s="2667">
        <v>0.6</v>
      </c>
      <c r="F101" s="2660">
        <v>0.2</v>
      </c>
      <c r="G101" s="2667">
        <v>0.2</v>
      </c>
      <c r="H101" s="2681">
        <v>15</v>
      </c>
      <c r="I101" s="2690" t="s">
        <v>2900</v>
      </c>
      <c r="J101" s="2509">
        <f>E101*F101*G101*H101</f>
        <v>0.36</v>
      </c>
      <c r="K101" s="2536">
        <v>101.97</v>
      </c>
      <c r="L101" s="2738">
        <v>0.2</v>
      </c>
      <c r="M101" s="2729">
        <f>J101*K101*L101</f>
        <v>7.3418399999999995</v>
      </c>
      <c r="N101" s="2517">
        <f t="shared" ref="N101:N132" si="18">D101*M101</f>
        <v>0</v>
      </c>
      <c r="O101" s="2541" t="s">
        <v>2899</v>
      </c>
      <c r="P101" s="2541" t="s">
        <v>3010</v>
      </c>
      <c r="Q101" s="2514" t="s">
        <v>3009</v>
      </c>
      <c r="R101" s="2705">
        <v>1.52</v>
      </c>
      <c r="S101" s="2705"/>
      <c r="T101" s="2513">
        <f t="shared" si="12"/>
        <v>0</v>
      </c>
      <c r="U101" s="2540">
        <v>0.627</v>
      </c>
      <c r="V101" s="2540">
        <v>0.23400000000000001</v>
      </c>
      <c r="W101" s="2529">
        <v>0.191</v>
      </c>
      <c r="X101" s="2510">
        <f t="shared" si="13"/>
        <v>0</v>
      </c>
      <c r="Y101" s="2529">
        <v>0.19500000000000001</v>
      </c>
      <c r="Z101" s="2529">
        <v>0.59499999999999997</v>
      </c>
    </row>
    <row r="102" spans="1:54" ht="19.5" customHeight="1">
      <c r="A102" s="2523" t="s">
        <v>1145</v>
      </c>
      <c r="B102" s="2522" t="s">
        <v>1577</v>
      </c>
      <c r="C102" s="2522" t="s">
        <v>1690</v>
      </c>
      <c r="D102" s="2521">
        <f>'[7]Precios Recuperación (PUSD)'!$H$2186+'[7]Precios Recuperación (PUSD)'!$J$2186+'[7]Precios Recuperación (PUSD)'!$L$2186+'[7]Desglose Precios Auxiliares'!$H$48</f>
        <v>3.000502</v>
      </c>
      <c r="E102" s="2665">
        <v>1</v>
      </c>
      <c r="F102" s="2670">
        <v>1</v>
      </c>
      <c r="G102" s="2665">
        <v>1</v>
      </c>
      <c r="H102" s="2678">
        <v>1000</v>
      </c>
      <c r="I102" s="2687" t="s">
        <v>3007</v>
      </c>
      <c r="J102" s="2509"/>
      <c r="K102" s="2538"/>
      <c r="L102" s="2538"/>
      <c r="M102" s="2728">
        <f>E102*F102*G102*H102</f>
        <v>1000</v>
      </c>
      <c r="N102" s="2517">
        <f t="shared" si="18"/>
        <v>3000.502</v>
      </c>
      <c r="O102" s="2538"/>
      <c r="P102" s="2515" t="s">
        <v>3006</v>
      </c>
      <c r="Q102" s="2526"/>
      <c r="R102" s="2753">
        <v>3.7530000000000001</v>
      </c>
      <c r="S102" s="2753">
        <v>7</v>
      </c>
      <c r="T102" s="2513">
        <f t="shared" si="12"/>
        <v>11260.884006</v>
      </c>
      <c r="U102" s="2540">
        <v>0.73650000000000004</v>
      </c>
      <c r="V102" s="2540">
        <v>0.17810000000000001</v>
      </c>
      <c r="W102" s="2617">
        <v>0.76300000000000001</v>
      </c>
      <c r="X102" s="2510">
        <f t="shared" si="13"/>
        <v>2289.383026</v>
      </c>
      <c r="Y102" s="2529">
        <v>0.77900000000000003</v>
      </c>
      <c r="Z102" s="2529">
        <v>1.4139999999999999</v>
      </c>
      <c r="AA102" s="2507"/>
      <c r="AB102" s="2507"/>
      <c r="AC102" s="2507"/>
    </row>
    <row r="103" spans="1:54" s="98" customFormat="1" ht="18.75" customHeight="1">
      <c r="A103" s="2523" t="s">
        <v>1394</v>
      </c>
      <c r="B103" s="2522" t="s">
        <v>1577</v>
      </c>
      <c r="C103" s="2522" t="s">
        <v>3008</v>
      </c>
      <c r="D103" s="2607">
        <f>'[7]Precios Recuperación (PUSD)'!$I$586</f>
        <v>707.62832000000003</v>
      </c>
      <c r="E103" s="2664">
        <v>1</v>
      </c>
      <c r="F103" s="2669">
        <v>1</v>
      </c>
      <c r="G103" s="2664">
        <v>1</v>
      </c>
      <c r="H103" s="2679">
        <v>1000</v>
      </c>
      <c r="I103" s="2688" t="s">
        <v>3007</v>
      </c>
      <c r="J103" s="2509"/>
      <c r="K103" s="2516"/>
      <c r="L103" s="2516"/>
      <c r="M103" s="2726">
        <f>H103*F103*E103*G103</f>
        <v>1000</v>
      </c>
      <c r="N103" s="2517">
        <f t="shared" si="18"/>
        <v>707628.32000000007</v>
      </c>
      <c r="O103" s="2516"/>
      <c r="P103" s="2515" t="s">
        <v>3006</v>
      </c>
      <c r="Q103" s="2564"/>
      <c r="R103" s="2753">
        <v>3.7530000000000001</v>
      </c>
      <c r="S103" s="2753">
        <v>7</v>
      </c>
      <c r="T103" s="2513">
        <f t="shared" si="12"/>
        <v>2655729.0849600001</v>
      </c>
      <c r="U103" s="2540">
        <v>0.73650000000000004</v>
      </c>
      <c r="V103" s="2540">
        <v>0.17810000000000001</v>
      </c>
      <c r="W103" s="2529">
        <v>0.76300000000000001</v>
      </c>
      <c r="X103" s="2510">
        <f t="shared" si="13"/>
        <v>539920.40815999999</v>
      </c>
      <c r="Y103" s="2529">
        <v>0.77900000000000003</v>
      </c>
      <c r="Z103" s="2529">
        <v>1.4139999999999999</v>
      </c>
      <c r="AA103" s="2599"/>
    </row>
    <row r="104" spans="1:54" s="98" customFormat="1" ht="15" customHeight="1">
      <c r="A104" s="2523" t="s">
        <v>1940</v>
      </c>
      <c r="B104" s="2522" t="s">
        <v>1357</v>
      </c>
      <c r="C104" s="2747" t="s">
        <v>1941</v>
      </c>
      <c r="D104" s="2607"/>
      <c r="E104" s="2664">
        <v>1</v>
      </c>
      <c r="F104" s="2669"/>
      <c r="G104" s="2664"/>
      <c r="H104" s="2679"/>
      <c r="I104" s="2688"/>
      <c r="J104" s="2509"/>
      <c r="K104" s="2516"/>
      <c r="L104" s="2516"/>
      <c r="M104" s="2726">
        <f>E104</f>
        <v>1</v>
      </c>
      <c r="N104" s="2517">
        <f t="shared" si="18"/>
        <v>0</v>
      </c>
      <c r="O104" s="2516"/>
      <c r="P104" s="2541" t="s">
        <v>3005</v>
      </c>
      <c r="Q104" s="2514" t="s">
        <v>3004</v>
      </c>
      <c r="R104" s="2698">
        <v>3.59</v>
      </c>
      <c r="S104" s="2698"/>
      <c r="T104" s="2513">
        <f t="shared" si="12"/>
        <v>0</v>
      </c>
      <c r="U104" s="2540">
        <v>0.72099999999999997</v>
      </c>
      <c r="V104" s="2540">
        <v>0.187</v>
      </c>
      <c r="W104" s="2529">
        <v>0.59599999999999997</v>
      </c>
      <c r="X104" s="2510">
        <f t="shared" si="13"/>
        <v>0</v>
      </c>
      <c r="Y104" s="2529">
        <v>0.61</v>
      </c>
      <c r="Z104" s="2529">
        <v>1.4570000000000001</v>
      </c>
      <c r="AA104" s="2599"/>
    </row>
    <row r="105" spans="1:54" s="98" customFormat="1" ht="15" customHeight="1">
      <c r="A105" s="2523" t="s">
        <v>1935</v>
      </c>
      <c r="B105" s="2522" t="s">
        <v>1357</v>
      </c>
      <c r="C105" s="2747" t="s">
        <v>1936</v>
      </c>
      <c r="D105" s="2619"/>
      <c r="E105" s="2664">
        <v>1</v>
      </c>
      <c r="F105" s="2669"/>
      <c r="G105" s="2664"/>
      <c r="H105" s="2679"/>
      <c r="I105" s="2688"/>
      <c r="J105" s="2509"/>
      <c r="K105" s="2516"/>
      <c r="L105" s="2516"/>
      <c r="M105" s="2726">
        <f>E105</f>
        <v>1</v>
      </c>
      <c r="N105" s="2517">
        <f t="shared" si="18"/>
        <v>0</v>
      </c>
      <c r="O105" s="2516"/>
      <c r="P105" s="2541" t="s">
        <v>3005</v>
      </c>
      <c r="Q105" s="2514" t="s">
        <v>3004</v>
      </c>
      <c r="R105" s="2698">
        <v>3.59</v>
      </c>
      <c r="S105" s="2698"/>
      <c r="T105" s="2513">
        <f t="shared" ref="T105:T136" si="19">M105*R105*D105</f>
        <v>0</v>
      </c>
      <c r="U105" s="2540">
        <v>0.72099999999999997</v>
      </c>
      <c r="V105" s="2540">
        <v>0.187</v>
      </c>
      <c r="W105" s="2529">
        <v>0.59599999999999997</v>
      </c>
      <c r="X105" s="2510">
        <f t="shared" ref="X105:X136" si="20">M105*W105*D105</f>
        <v>0</v>
      </c>
      <c r="Y105" s="2529">
        <v>0.61</v>
      </c>
      <c r="Z105" s="2529">
        <v>1.4570000000000001</v>
      </c>
      <c r="AA105" s="2599"/>
    </row>
    <row r="106" spans="1:54" s="98" customFormat="1">
      <c r="A106" s="2523" t="s">
        <v>2032</v>
      </c>
      <c r="B106" s="2522" t="s">
        <v>1527</v>
      </c>
      <c r="C106" s="2522" t="s">
        <v>2033</v>
      </c>
      <c r="D106" s="2619"/>
      <c r="E106" s="2667">
        <v>3.1415000000000002</v>
      </c>
      <c r="F106" s="2660">
        <v>7.4999999999999997E-2</v>
      </c>
      <c r="G106" s="2667">
        <v>5.0000000000000001E-3</v>
      </c>
      <c r="H106" s="2681">
        <v>30</v>
      </c>
      <c r="I106" s="2690" t="s">
        <v>2900</v>
      </c>
      <c r="J106" s="2509">
        <f>E106*F106*G106*H106</f>
        <v>3.5341875000000002E-2</v>
      </c>
      <c r="K106" s="2536">
        <v>101.97</v>
      </c>
      <c r="L106" s="2536"/>
      <c r="M106" s="2729">
        <f>J106*K106</f>
        <v>3.6038109937500002</v>
      </c>
      <c r="N106" s="2517">
        <f t="shared" si="18"/>
        <v>0</v>
      </c>
      <c r="O106" s="2541" t="s">
        <v>2899</v>
      </c>
      <c r="P106" s="2564" t="s">
        <v>3003</v>
      </c>
      <c r="Q106" s="2564" t="s">
        <v>3002</v>
      </c>
      <c r="R106" s="2700">
        <v>12.4</v>
      </c>
      <c r="S106" s="2700"/>
      <c r="T106" s="2513">
        <f t="shared" si="19"/>
        <v>0</v>
      </c>
      <c r="U106" s="2512">
        <v>0.58699999999999997</v>
      </c>
      <c r="V106" s="2512">
        <v>0.27700000000000002</v>
      </c>
      <c r="W106" s="2511">
        <v>0.78300000000000003</v>
      </c>
      <c r="X106" s="2510">
        <f t="shared" si="20"/>
        <v>0</v>
      </c>
      <c r="Y106" s="2509">
        <v>0.81899999999999995</v>
      </c>
      <c r="Z106" s="2509">
        <v>4.9889999999999999</v>
      </c>
      <c r="AA106" s="2599"/>
    </row>
    <row r="107" spans="1:54" s="98" customFormat="1">
      <c r="A107" s="2523" t="s">
        <v>1708</v>
      </c>
      <c r="B107" s="2522" t="s">
        <v>1527</v>
      </c>
      <c r="C107" s="2522" t="s">
        <v>1709</v>
      </c>
      <c r="D107" s="2607"/>
      <c r="E107" s="2667">
        <v>3.1415000000000002</v>
      </c>
      <c r="F107" s="2660">
        <v>0.15</v>
      </c>
      <c r="G107" s="2667">
        <v>0.02</v>
      </c>
      <c r="H107" s="2681">
        <v>30</v>
      </c>
      <c r="I107" s="2690" t="s">
        <v>2900</v>
      </c>
      <c r="J107" s="2509">
        <f>E107*F107*G107*H107</f>
        <v>0.28273500000000001</v>
      </c>
      <c r="K107" s="2536">
        <v>101.97</v>
      </c>
      <c r="L107" s="2536"/>
      <c r="M107" s="2729">
        <f>J107*K107</f>
        <v>28.830487950000002</v>
      </c>
      <c r="N107" s="2517">
        <f t="shared" si="18"/>
        <v>0</v>
      </c>
      <c r="O107" s="2541" t="s">
        <v>2899</v>
      </c>
      <c r="P107" s="2564" t="s">
        <v>3003</v>
      </c>
      <c r="Q107" s="2564" t="s">
        <v>3002</v>
      </c>
      <c r="R107" s="2700">
        <v>12.4</v>
      </c>
      <c r="S107" s="2700"/>
      <c r="T107" s="2513">
        <f t="shared" si="19"/>
        <v>0</v>
      </c>
      <c r="U107" s="2512">
        <v>0.58699999999999997</v>
      </c>
      <c r="V107" s="2512">
        <v>0.27700000000000002</v>
      </c>
      <c r="W107" s="2511">
        <v>0.78300000000000003</v>
      </c>
      <c r="X107" s="2510">
        <f t="shared" si="20"/>
        <v>0</v>
      </c>
      <c r="Y107" s="2509">
        <v>0.81899999999999995</v>
      </c>
      <c r="Z107" s="2509">
        <v>4.9889999999999999</v>
      </c>
      <c r="AA107" s="2599"/>
    </row>
    <row r="108" spans="1:54" s="98" customFormat="1" ht="15" customHeight="1">
      <c r="A108" s="2544" t="s">
        <v>1646</v>
      </c>
      <c r="B108" s="2543" t="s">
        <v>1527</v>
      </c>
      <c r="C108" s="2542" t="s">
        <v>1647</v>
      </c>
      <c r="D108" s="2565"/>
      <c r="E108" s="2667">
        <v>3.1415000000000002</v>
      </c>
      <c r="F108" s="2660">
        <v>0.2</v>
      </c>
      <c r="G108" s="2667">
        <v>0.02</v>
      </c>
      <c r="H108" s="2681">
        <v>30</v>
      </c>
      <c r="I108" s="2690" t="s">
        <v>2900</v>
      </c>
      <c r="J108" s="2509">
        <f>E108*F108*G108*H108</f>
        <v>0.37698000000000009</v>
      </c>
      <c r="K108" s="2536">
        <v>101.97</v>
      </c>
      <c r="L108" s="2536"/>
      <c r="M108" s="2729">
        <f>J108*K108</f>
        <v>38.440650600000012</v>
      </c>
      <c r="N108" s="2517">
        <f t="shared" si="18"/>
        <v>0</v>
      </c>
      <c r="O108" s="2541" t="s">
        <v>2899</v>
      </c>
      <c r="P108" s="2564" t="s">
        <v>3003</v>
      </c>
      <c r="Q108" s="2564" t="s">
        <v>3002</v>
      </c>
      <c r="R108" s="2700">
        <v>12.4</v>
      </c>
      <c r="S108" s="2700"/>
      <c r="T108" s="2513">
        <f t="shared" si="19"/>
        <v>0</v>
      </c>
      <c r="U108" s="2512">
        <v>0.58699999999999997</v>
      </c>
      <c r="V108" s="2512">
        <v>0.27700000000000002</v>
      </c>
      <c r="W108" s="2511">
        <v>0.78300000000000003</v>
      </c>
      <c r="X108" s="2510">
        <f t="shared" si="20"/>
        <v>0</v>
      </c>
      <c r="Y108" s="2509">
        <v>0.81899999999999995</v>
      </c>
      <c r="Z108" s="2509">
        <v>4.9889999999999999</v>
      </c>
      <c r="AN108" s="2508"/>
      <c r="AO108" s="2508"/>
      <c r="AP108" s="2508"/>
      <c r="AQ108" s="2508"/>
      <c r="AR108" s="2508"/>
      <c r="AS108" s="2508"/>
      <c r="AT108" s="2508"/>
      <c r="AU108" s="2508"/>
      <c r="AV108" s="2508"/>
      <c r="AW108" s="2508"/>
      <c r="AX108" s="2508"/>
      <c r="AY108" s="2508"/>
      <c r="AZ108" s="2508"/>
      <c r="BA108" s="2508"/>
      <c r="BB108" s="2508"/>
    </row>
    <row r="109" spans="1:54" s="2725" customFormat="1">
      <c r="A109" s="2717"/>
      <c r="B109" s="2718" t="s">
        <v>3039</v>
      </c>
      <c r="C109" s="2716"/>
      <c r="D109" s="2719"/>
      <c r="E109" s="2720"/>
      <c r="F109" s="2720"/>
      <c r="G109" s="2721"/>
      <c r="H109" s="2720"/>
      <c r="I109" s="2720"/>
      <c r="J109" s="2720"/>
      <c r="K109" s="2722"/>
      <c r="L109" s="2722"/>
      <c r="M109" s="2723"/>
      <c r="N109" s="2715">
        <f t="shared" si="18"/>
        <v>0</v>
      </c>
      <c r="O109" s="2720"/>
      <c r="P109" s="2722"/>
      <c r="Q109" s="2722"/>
      <c r="R109" s="2722"/>
      <c r="S109" s="2722"/>
      <c r="T109" s="2724">
        <f t="shared" si="19"/>
        <v>0</v>
      </c>
      <c r="U109" s="2722"/>
      <c r="V109" s="2722"/>
      <c r="W109" s="2722"/>
      <c r="X109" s="2724">
        <f t="shared" si="20"/>
        <v>0</v>
      </c>
      <c r="Y109" s="2722"/>
      <c r="Z109" s="2722"/>
    </row>
    <row r="110" spans="1:54" s="98" customFormat="1">
      <c r="A110" s="2523" t="s">
        <v>1752</v>
      </c>
      <c r="B110" s="2543" t="s">
        <v>1521</v>
      </c>
      <c r="C110" s="2542" t="s">
        <v>1753</v>
      </c>
      <c r="D110" s="2521">
        <f>'[7]Precios Recuperación (PUSD)'!$I$1043</f>
        <v>0</v>
      </c>
      <c r="E110" s="2664">
        <v>0.24</v>
      </c>
      <c r="F110" s="2669">
        <v>0.115</v>
      </c>
      <c r="G110" s="2664">
        <v>7.0000000000000007E-2</v>
      </c>
      <c r="H110" s="2679">
        <v>12</v>
      </c>
      <c r="I110" s="2692" t="s">
        <v>2900</v>
      </c>
      <c r="J110" s="2509">
        <f>E110*F110*G110*H110</f>
        <v>2.3184000000000003E-2</v>
      </c>
      <c r="K110" s="2536">
        <v>101.97</v>
      </c>
      <c r="L110" s="2628">
        <v>1000</v>
      </c>
      <c r="M110" s="2726">
        <f>J110*K110*L110</f>
        <v>2364.0724800000003</v>
      </c>
      <c r="N110" s="2517">
        <f t="shared" si="18"/>
        <v>0</v>
      </c>
      <c r="O110" s="2519" t="s">
        <v>2899</v>
      </c>
      <c r="P110" s="2564" t="s">
        <v>3036</v>
      </c>
      <c r="Q110" s="2564" t="s">
        <v>3035</v>
      </c>
      <c r="R110" s="2693">
        <v>2.84</v>
      </c>
      <c r="S110" s="2693"/>
      <c r="T110" s="2513">
        <f t="shared" si="19"/>
        <v>0</v>
      </c>
      <c r="U110" s="2512">
        <v>0.83799999999999997</v>
      </c>
      <c r="V110" s="2512">
        <v>7.1999999999999995E-2</v>
      </c>
      <c r="W110" s="2553">
        <v>0.21199999999999999</v>
      </c>
      <c r="X110" s="2510">
        <f t="shared" si="20"/>
        <v>0</v>
      </c>
      <c r="Y110" s="2553">
        <v>0.22</v>
      </c>
      <c r="Z110" s="2553">
        <v>0.219</v>
      </c>
    </row>
    <row r="111" spans="1:54" s="98" customFormat="1">
      <c r="A111" s="2523" t="s">
        <v>3038</v>
      </c>
      <c r="B111" s="2522" t="s">
        <v>1521</v>
      </c>
      <c r="C111" s="2522" t="s">
        <v>3037</v>
      </c>
      <c r="D111" s="2521">
        <f>'[7]Precios Recuperación (PUSD)'!$H$889+'[7]Precios Recuperación (PUSD)'!$J$889</f>
        <v>16.502000000000002</v>
      </c>
      <c r="E111" s="2664">
        <v>0.24</v>
      </c>
      <c r="F111" s="2669">
        <v>0.115</v>
      </c>
      <c r="G111" s="2664">
        <v>0.04</v>
      </c>
      <c r="H111" s="2679">
        <v>12</v>
      </c>
      <c r="I111" s="2692" t="s">
        <v>2900</v>
      </c>
      <c r="J111" s="2509">
        <f>E111*F111*G111*H111</f>
        <v>1.3247999999999999E-2</v>
      </c>
      <c r="K111" s="2536">
        <v>101.97</v>
      </c>
      <c r="L111" s="2628">
        <v>1000</v>
      </c>
      <c r="M111" s="2726">
        <f t="shared" ref="M111:M113" si="21">J111*K111*L111</f>
        <v>1350.8985599999999</v>
      </c>
      <c r="N111" s="2517">
        <f t="shared" si="18"/>
        <v>22292.528037120002</v>
      </c>
      <c r="O111" s="2519" t="s">
        <v>2899</v>
      </c>
      <c r="P111" s="2564" t="s">
        <v>3036</v>
      </c>
      <c r="Q111" s="2564" t="s">
        <v>3035</v>
      </c>
      <c r="R111" s="2693">
        <v>2.84</v>
      </c>
      <c r="S111" s="2693"/>
      <c r="T111" s="2513">
        <f t="shared" si="19"/>
        <v>63310.779625420801</v>
      </c>
      <c r="U111" s="2512">
        <v>0.83799999999999997</v>
      </c>
      <c r="V111" s="2512">
        <v>7.1999999999999995E-2</v>
      </c>
      <c r="W111" s="2553">
        <v>0.21199999999999999</v>
      </c>
      <c r="X111" s="2510">
        <f t="shared" si="20"/>
        <v>4726.01594386944</v>
      </c>
      <c r="Y111" s="2553">
        <v>0.22</v>
      </c>
      <c r="Z111" s="2553">
        <v>0.219</v>
      </c>
    </row>
    <row r="112" spans="1:54" s="98" customFormat="1">
      <c r="A112" s="2523" t="s">
        <v>1817</v>
      </c>
      <c r="B112" s="2522" t="s">
        <v>1521</v>
      </c>
      <c r="C112" s="2522" t="s">
        <v>1785</v>
      </c>
      <c r="D112" s="2521">
        <f>'[7]Precios Recuperación (PUSD)'!$I$1060</f>
        <v>4.7936799999999993</v>
      </c>
      <c r="E112" s="2664">
        <v>0.24</v>
      </c>
      <c r="F112" s="2669">
        <v>0.115</v>
      </c>
      <c r="G112" s="2664">
        <v>3.5000000000000003E-2</v>
      </c>
      <c r="H112" s="2679">
        <v>12</v>
      </c>
      <c r="I112" s="2688" t="s">
        <v>2900</v>
      </c>
      <c r="J112" s="2509">
        <f>E112*F112*G112*H112</f>
        <v>1.1592000000000002E-2</v>
      </c>
      <c r="K112" s="2536">
        <v>101.97</v>
      </c>
      <c r="L112" s="2628">
        <v>1000</v>
      </c>
      <c r="M112" s="2726">
        <f t="shared" si="21"/>
        <v>1182.0362400000001</v>
      </c>
      <c r="N112" s="2517">
        <f t="shared" si="18"/>
        <v>5666.3034829631997</v>
      </c>
      <c r="O112" s="2519" t="s">
        <v>2899</v>
      </c>
      <c r="P112" s="2564" t="s">
        <v>3036</v>
      </c>
      <c r="Q112" s="2564" t="s">
        <v>3035</v>
      </c>
      <c r="R112" s="2693">
        <v>2.84</v>
      </c>
      <c r="S112" s="2693"/>
      <c r="T112" s="2513">
        <f t="shared" si="19"/>
        <v>16092.301891615487</v>
      </c>
      <c r="U112" s="2512">
        <v>0.83799999999999997</v>
      </c>
      <c r="V112" s="2512">
        <v>7.1999999999999995E-2</v>
      </c>
      <c r="W112" s="2553">
        <v>0.21199999999999999</v>
      </c>
      <c r="X112" s="2510">
        <f t="shared" si="20"/>
        <v>1201.2563383881982</v>
      </c>
      <c r="Y112" s="2553">
        <v>0.22</v>
      </c>
      <c r="Z112" s="2553">
        <v>0.219</v>
      </c>
    </row>
    <row r="113" spans="1:54" s="98" customFormat="1">
      <c r="A113" s="2627" t="s">
        <v>1101</v>
      </c>
      <c r="B113" s="2522" t="s">
        <v>1521</v>
      </c>
      <c r="C113" s="2522" t="s">
        <v>1522</v>
      </c>
      <c r="D113" s="2521"/>
      <c r="E113" s="2664">
        <v>0.24</v>
      </c>
      <c r="F113" s="2669">
        <v>0.115</v>
      </c>
      <c r="G113" s="2664">
        <v>0.05</v>
      </c>
      <c r="H113" s="2679">
        <v>12</v>
      </c>
      <c r="I113" s="2692" t="s">
        <v>2900</v>
      </c>
      <c r="J113" s="2509">
        <f>E113*F113*G113*H113</f>
        <v>1.6560000000000002E-2</v>
      </c>
      <c r="K113" s="2536">
        <v>101.97</v>
      </c>
      <c r="L113" s="2628">
        <v>1000</v>
      </c>
      <c r="M113" s="2726">
        <f t="shared" si="21"/>
        <v>1688.6232</v>
      </c>
      <c r="N113" s="2517">
        <f t="shared" si="18"/>
        <v>0</v>
      </c>
      <c r="O113" s="2519" t="s">
        <v>2899</v>
      </c>
      <c r="P113" s="2564" t="s">
        <v>3036</v>
      </c>
      <c r="Q113" s="2564" t="s">
        <v>3035</v>
      </c>
      <c r="R113" s="2693">
        <v>2.84</v>
      </c>
      <c r="S113" s="2693"/>
      <c r="T113" s="2513">
        <f t="shared" si="19"/>
        <v>0</v>
      </c>
      <c r="U113" s="2512">
        <v>0.83799999999999997</v>
      </c>
      <c r="V113" s="2512">
        <v>7.1999999999999995E-2</v>
      </c>
      <c r="W113" s="2553">
        <v>0.21199999999999999</v>
      </c>
      <c r="X113" s="2510">
        <f t="shared" si="20"/>
        <v>0</v>
      </c>
      <c r="Y113" s="2553">
        <v>0.22</v>
      </c>
      <c r="Z113" s="2553">
        <v>0.219</v>
      </c>
    </row>
    <row r="114" spans="1:54" s="98" customFormat="1">
      <c r="A114" s="2627" t="s">
        <v>1138</v>
      </c>
      <c r="B114" s="2522" t="s">
        <v>1504</v>
      </c>
      <c r="C114" s="2522" t="s">
        <v>3092</v>
      </c>
      <c r="D114" s="2521"/>
      <c r="E114" s="2658"/>
      <c r="F114" s="2658"/>
      <c r="G114" s="2658"/>
      <c r="H114" s="2681">
        <v>2</v>
      </c>
      <c r="I114" s="2690" t="s">
        <v>3026</v>
      </c>
      <c r="J114" s="2509"/>
      <c r="K114" s="2536"/>
      <c r="L114" s="2536"/>
      <c r="M114" s="2726">
        <f>H114</f>
        <v>2</v>
      </c>
      <c r="N114" s="2517">
        <f t="shared" si="18"/>
        <v>0</v>
      </c>
      <c r="O114" s="2516"/>
      <c r="P114" s="2516" t="s">
        <v>254</v>
      </c>
      <c r="Q114" s="2516" t="s">
        <v>3033</v>
      </c>
      <c r="R114" s="2693">
        <v>15.3</v>
      </c>
      <c r="S114" s="2693"/>
      <c r="T114" s="2513">
        <f t="shared" si="19"/>
        <v>0</v>
      </c>
      <c r="U114" s="2512">
        <v>0.82199999999999995</v>
      </c>
      <c r="V114" s="2512">
        <v>0.129</v>
      </c>
      <c r="W114" s="2553">
        <v>0.76600000000000001</v>
      </c>
      <c r="X114" s="2510">
        <f t="shared" si="20"/>
        <v>0</v>
      </c>
      <c r="Y114" s="2553">
        <v>0.81799999999999995</v>
      </c>
      <c r="Z114" s="2553">
        <v>3.3450000000000002</v>
      </c>
    </row>
    <row r="115" spans="1:54" s="98" customFormat="1" ht="15" customHeight="1">
      <c r="A115" s="2523" t="s">
        <v>3034</v>
      </c>
      <c r="B115" s="2522" t="s">
        <v>1504</v>
      </c>
      <c r="C115" s="2522" t="s">
        <v>1693</v>
      </c>
      <c r="D115" s="2521">
        <f>'[7]Precios Recuperación (PUSD)'!$H$2188+'[7]Precios Recuperación (PUSD)'!$J$2188+'[7]Precios Recuperación (PUSD)'!$L$2188</f>
        <v>139036.40520000001</v>
      </c>
      <c r="E115" s="2664">
        <v>0.15</v>
      </c>
      <c r="F115" s="2669">
        <v>0.15</v>
      </c>
      <c r="G115" s="2664">
        <v>0.01</v>
      </c>
      <c r="H115" s="2677">
        <v>2300</v>
      </c>
      <c r="I115" s="2688" t="s">
        <v>2911</v>
      </c>
      <c r="J115" s="2509"/>
      <c r="K115" s="2516"/>
      <c r="L115" s="2516"/>
      <c r="M115" s="2726">
        <f>E115*F115*G115*H115</f>
        <v>0.51749999999999996</v>
      </c>
      <c r="N115" s="2517">
        <f t="shared" si="18"/>
        <v>71951.339691000001</v>
      </c>
      <c r="O115" s="2516" t="s">
        <v>2910</v>
      </c>
      <c r="P115" s="2746" t="s">
        <v>254</v>
      </c>
      <c r="Q115" s="2516" t="s">
        <v>3033</v>
      </c>
      <c r="R115" s="2693">
        <v>15.3</v>
      </c>
      <c r="S115" s="2693">
        <v>8</v>
      </c>
      <c r="T115" s="2513">
        <f t="shared" si="19"/>
        <v>1100855.4972723001</v>
      </c>
      <c r="U115" s="2512">
        <v>0.82199999999999995</v>
      </c>
      <c r="V115" s="2512">
        <v>0.129</v>
      </c>
      <c r="W115" s="2553">
        <v>0.76600000000000001</v>
      </c>
      <c r="X115" s="2510">
        <f t="shared" si="20"/>
        <v>55114.726203305996</v>
      </c>
      <c r="Y115" s="2553">
        <v>0.81799999999999995</v>
      </c>
      <c r="Z115" s="2553">
        <v>3.3450000000000002</v>
      </c>
    </row>
    <row r="116" spans="1:54" s="98" customFormat="1" ht="15" customHeight="1">
      <c r="A116" s="2544" t="s">
        <v>1963</v>
      </c>
      <c r="B116" s="2543" t="s">
        <v>1504</v>
      </c>
      <c r="C116" s="2542" t="s">
        <v>1964</v>
      </c>
      <c r="D116" s="2521"/>
      <c r="E116" s="2667">
        <v>0.5</v>
      </c>
      <c r="F116" s="2660">
        <v>0.25</v>
      </c>
      <c r="G116" s="2667">
        <v>0.01</v>
      </c>
      <c r="H116" s="2681">
        <v>18</v>
      </c>
      <c r="I116" s="2690" t="s">
        <v>2900</v>
      </c>
      <c r="J116" s="2509">
        <f>E116*F116*G116*H116</f>
        <v>2.2499999999999999E-2</v>
      </c>
      <c r="K116" s="2536">
        <v>101.97</v>
      </c>
      <c r="L116" s="2536"/>
      <c r="M116" s="2726">
        <f>J116*K116</f>
        <v>2.2943249999999997</v>
      </c>
      <c r="N116" s="2517">
        <f t="shared" si="18"/>
        <v>0</v>
      </c>
      <c r="O116" s="2516" t="s">
        <v>2910</v>
      </c>
      <c r="P116" s="2516" t="s">
        <v>254</v>
      </c>
      <c r="Q116" s="2516" t="s">
        <v>3033</v>
      </c>
      <c r="R116" s="2693">
        <v>15.3</v>
      </c>
      <c r="S116" s="2693"/>
      <c r="T116" s="2513">
        <f t="shared" si="19"/>
        <v>0</v>
      </c>
      <c r="U116" s="2512">
        <v>0.82199999999999995</v>
      </c>
      <c r="V116" s="2512">
        <v>0.129</v>
      </c>
      <c r="W116" s="2553">
        <v>0.76600000000000001</v>
      </c>
      <c r="X116" s="2510">
        <f t="shared" si="20"/>
        <v>0</v>
      </c>
      <c r="Y116" s="2553">
        <v>0.81799999999999995</v>
      </c>
      <c r="Z116" s="2553">
        <v>3.3450000000000002</v>
      </c>
      <c r="AN116" s="2508"/>
      <c r="AO116" s="2508"/>
      <c r="AP116" s="2508"/>
      <c r="AQ116" s="2508"/>
      <c r="AR116" s="2508"/>
      <c r="AS116" s="2508"/>
      <c r="AT116" s="2508"/>
      <c r="AU116" s="2508"/>
      <c r="AV116" s="2508"/>
      <c r="AW116" s="2508"/>
      <c r="AX116" s="2508"/>
      <c r="AY116" s="2508"/>
      <c r="AZ116" s="2508"/>
      <c r="BA116" s="2508"/>
      <c r="BB116" s="2508"/>
    </row>
    <row r="117" spans="1:54" s="98" customFormat="1" ht="15" customHeight="1">
      <c r="A117" s="2544" t="s">
        <v>1757</v>
      </c>
      <c r="B117" s="2543" t="s">
        <v>1504</v>
      </c>
      <c r="C117" s="2542" t="s">
        <v>1758</v>
      </c>
      <c r="D117" s="2521">
        <f>'[7]Precios Recuperación (PUSD)'!$H$2358</f>
        <v>2622.44</v>
      </c>
      <c r="E117" s="2666">
        <v>0.1</v>
      </c>
      <c r="F117" s="2671">
        <v>0.2</v>
      </c>
      <c r="G117" s="2666">
        <v>2E-3</v>
      </c>
      <c r="H117" s="2680">
        <v>18</v>
      </c>
      <c r="I117" s="2689" t="s">
        <v>2900</v>
      </c>
      <c r="J117" s="2509">
        <f>E117*F117*G117*H117</f>
        <v>7.2000000000000015E-4</v>
      </c>
      <c r="K117" s="2569">
        <v>101.97</v>
      </c>
      <c r="L117" s="2569"/>
      <c r="M117" s="2726">
        <f>J117*K117</f>
        <v>7.3418400000000009E-2</v>
      </c>
      <c r="N117" s="2517">
        <f t="shared" si="18"/>
        <v>192.53534889600002</v>
      </c>
      <c r="O117" s="2568" t="s">
        <v>2899</v>
      </c>
      <c r="P117" s="2568" t="s">
        <v>254</v>
      </c>
      <c r="Q117" s="2575" t="s">
        <v>3033</v>
      </c>
      <c r="R117" s="2694">
        <v>15.3</v>
      </c>
      <c r="S117" s="2694"/>
      <c r="T117" s="2513">
        <f t="shared" si="19"/>
        <v>2945.7908381088009</v>
      </c>
      <c r="U117" s="2571">
        <v>0.82199999999999995</v>
      </c>
      <c r="V117" s="2571">
        <v>0.129</v>
      </c>
      <c r="W117" s="2585">
        <v>0.76600000000000001</v>
      </c>
      <c r="X117" s="2510">
        <f t="shared" si="20"/>
        <v>147.48207725433602</v>
      </c>
      <c r="Y117" s="2585">
        <v>0.81799999999999995</v>
      </c>
      <c r="Z117" s="2585">
        <v>3.3450000000000002</v>
      </c>
      <c r="AN117" s="2508"/>
      <c r="AO117" s="2508"/>
      <c r="AP117" s="2508"/>
      <c r="AQ117" s="2508"/>
      <c r="AR117" s="2508"/>
      <c r="AS117" s="2508"/>
      <c r="AT117" s="2508"/>
      <c r="AU117" s="2508"/>
      <c r="AV117" s="2508"/>
      <c r="AW117" s="2508"/>
      <c r="AX117" s="2508"/>
      <c r="AY117" s="2508"/>
      <c r="AZ117" s="2508"/>
      <c r="BA117" s="2508"/>
      <c r="BB117" s="2508"/>
    </row>
    <row r="118" spans="1:54" s="98" customFormat="1" ht="15" customHeight="1">
      <c r="A118" s="2523" t="s">
        <v>1129</v>
      </c>
      <c r="B118" s="2522" t="s">
        <v>1504</v>
      </c>
      <c r="C118" s="2747" t="s">
        <v>1988</v>
      </c>
      <c r="D118" s="2521">
        <f>'[7]Precios Recuperación (PUSD)'!$K$2371</f>
        <v>2008.19</v>
      </c>
      <c r="E118" s="2664">
        <v>0.14000000000000001</v>
      </c>
      <c r="F118" s="2669">
        <v>0.28000000000000003</v>
      </c>
      <c r="G118" s="2664">
        <v>2E-3</v>
      </c>
      <c r="H118" s="2677">
        <v>2300</v>
      </c>
      <c r="I118" s="2688" t="s">
        <v>2911</v>
      </c>
      <c r="J118" s="2509"/>
      <c r="K118" s="2516"/>
      <c r="L118" s="2516"/>
      <c r="M118" s="2726">
        <f>E118*F118*G118*H118</f>
        <v>0.18032000000000001</v>
      </c>
      <c r="N118" s="2517">
        <f t="shared" si="18"/>
        <v>362.11682080000003</v>
      </c>
      <c r="O118" s="2516" t="s">
        <v>2910</v>
      </c>
      <c r="P118" s="2745" t="s">
        <v>254</v>
      </c>
      <c r="Q118" s="2516" t="s">
        <v>3033</v>
      </c>
      <c r="R118" s="2693">
        <v>15.3</v>
      </c>
      <c r="S118" s="2693">
        <v>2.9</v>
      </c>
      <c r="T118" s="2513">
        <f t="shared" si="19"/>
        <v>5540.387358240001</v>
      </c>
      <c r="U118" s="2512">
        <v>0.82199999999999995</v>
      </c>
      <c r="V118" s="2512">
        <v>0.129</v>
      </c>
      <c r="W118" s="2553">
        <v>0.76600000000000001</v>
      </c>
      <c r="X118" s="2510">
        <f t="shared" si="20"/>
        <v>277.38148473280006</v>
      </c>
      <c r="Y118" s="2553">
        <v>0.81799999999999995</v>
      </c>
      <c r="Z118" s="2553">
        <v>3.3450000000000002</v>
      </c>
    </row>
    <row r="119" spans="1:54" s="98" customFormat="1" ht="15" customHeight="1">
      <c r="A119" s="2594" t="s">
        <v>1545</v>
      </c>
      <c r="B119" s="2593" t="s">
        <v>1504</v>
      </c>
      <c r="C119" s="2750" t="s">
        <v>1546</v>
      </c>
      <c r="D119" s="2521">
        <f>'[7]Precios Recuperación (PUSD)'!$K$2371</f>
        <v>2008.19</v>
      </c>
      <c r="E119" s="2666">
        <v>0.1</v>
      </c>
      <c r="F119" s="2671">
        <v>0.2</v>
      </c>
      <c r="G119" s="2666">
        <v>2E-3</v>
      </c>
      <c r="H119" s="2680">
        <v>19</v>
      </c>
      <c r="I119" s="2689" t="s">
        <v>2900</v>
      </c>
      <c r="J119" s="2509">
        <f>E119*F119*G119*H119</f>
        <v>7.6000000000000015E-4</v>
      </c>
      <c r="K119" s="2569">
        <v>101.97</v>
      </c>
      <c r="L119" s="2569"/>
      <c r="M119" s="2726">
        <f>J119*K119</f>
        <v>7.7497200000000016E-2</v>
      </c>
      <c r="N119" s="2517">
        <f t="shared" si="18"/>
        <v>155.62910206800004</v>
      </c>
      <c r="O119" s="2568" t="s">
        <v>2899</v>
      </c>
      <c r="P119" s="2568" t="s">
        <v>254</v>
      </c>
      <c r="Q119" s="2575" t="s">
        <v>3033</v>
      </c>
      <c r="R119" s="2749">
        <v>15.3</v>
      </c>
      <c r="S119" s="2749">
        <v>7.2</v>
      </c>
      <c r="T119" s="2513">
        <f t="shared" si="19"/>
        <v>2381.1252616404004</v>
      </c>
      <c r="U119" s="2571">
        <v>0.82199999999999995</v>
      </c>
      <c r="V119" s="2571">
        <v>0.129</v>
      </c>
      <c r="W119" s="2585">
        <v>0.76600000000000001</v>
      </c>
      <c r="X119" s="2510">
        <f t="shared" si="20"/>
        <v>119.21189218408803</v>
      </c>
      <c r="Y119" s="2585">
        <v>0.81799999999999995</v>
      </c>
      <c r="Z119" s="2585">
        <v>3.3450000000000002</v>
      </c>
      <c r="AN119" s="2508"/>
      <c r="AO119" s="2508"/>
      <c r="AP119" s="2508"/>
      <c r="AQ119" s="2508"/>
      <c r="AR119" s="2508"/>
      <c r="AS119" s="2508"/>
      <c r="AT119" s="2508"/>
      <c r="AU119" s="2508"/>
      <c r="AV119" s="2508"/>
      <c r="AW119" s="2508"/>
      <c r="AX119" s="2508"/>
      <c r="AY119" s="2508"/>
      <c r="AZ119" s="2508"/>
      <c r="BA119" s="2508"/>
      <c r="BB119" s="2508"/>
    </row>
    <row r="120" spans="1:54" s="98" customFormat="1" ht="15" customHeight="1">
      <c r="A120" s="2544" t="s">
        <v>1986</v>
      </c>
      <c r="B120" s="2543" t="s">
        <v>1521</v>
      </c>
      <c r="C120" s="2542" t="s">
        <v>1987</v>
      </c>
      <c r="D120" s="2565">
        <f>'[7]Precios Recuperación (PUSD)'!$H$1106</f>
        <v>3.5000000000000003E-2</v>
      </c>
      <c r="E120" s="2666">
        <v>0.3</v>
      </c>
      <c r="F120" s="2671">
        <v>0.3</v>
      </c>
      <c r="G120" s="2666">
        <v>2</v>
      </c>
      <c r="H120" s="2680">
        <v>18</v>
      </c>
      <c r="I120" s="2689" t="s">
        <v>2900</v>
      </c>
      <c r="J120" s="2509">
        <f>E120*F120*G120*H120</f>
        <v>3.2399999999999998</v>
      </c>
      <c r="K120" s="2569">
        <v>101970</v>
      </c>
      <c r="L120" s="2569"/>
      <c r="M120" s="2726">
        <f>J120*K120</f>
        <v>330382.8</v>
      </c>
      <c r="N120" s="2517">
        <f t="shared" si="18"/>
        <v>11563.398000000001</v>
      </c>
      <c r="O120" s="2568" t="s">
        <v>2899</v>
      </c>
      <c r="P120" s="2568" t="s">
        <v>254</v>
      </c>
      <c r="Q120" s="2575" t="s">
        <v>3033</v>
      </c>
      <c r="R120" s="2694">
        <v>15.3</v>
      </c>
      <c r="S120" s="2694"/>
      <c r="T120" s="2513">
        <f t="shared" si="19"/>
        <v>176919.98940000002</v>
      </c>
      <c r="U120" s="2571">
        <v>0.82199999999999995</v>
      </c>
      <c r="V120" s="2571">
        <v>0.129</v>
      </c>
      <c r="W120" s="2585">
        <v>0.76600000000000001</v>
      </c>
      <c r="X120" s="2510">
        <f t="shared" si="20"/>
        <v>8857.5628680000009</v>
      </c>
      <c r="Y120" s="2585">
        <v>0.81799999999999995</v>
      </c>
      <c r="Z120" s="2585">
        <v>3.3450000000000002</v>
      </c>
      <c r="AN120" s="2508"/>
      <c r="AO120" s="2508"/>
      <c r="AP120" s="2508"/>
      <c r="AQ120" s="2508"/>
      <c r="AR120" s="2508"/>
      <c r="AS120" s="2508"/>
      <c r="AT120" s="2508"/>
      <c r="AU120" s="2508"/>
      <c r="AV120" s="2508"/>
      <c r="AW120" s="2508"/>
      <c r="AX120" s="2508"/>
      <c r="AY120" s="2508"/>
      <c r="AZ120" s="2508"/>
      <c r="BA120" s="2508"/>
      <c r="BB120" s="2508"/>
    </row>
    <row r="121" spans="1:54" s="2725" customFormat="1">
      <c r="A121" s="2717"/>
      <c r="B121" s="2718" t="s">
        <v>3027</v>
      </c>
      <c r="C121" s="2716"/>
      <c r="D121" s="2719"/>
      <c r="E121" s="2720"/>
      <c r="F121" s="2720"/>
      <c r="G121" s="2721"/>
      <c r="H121" s="2720"/>
      <c r="I121" s="2720"/>
      <c r="J121" s="2720"/>
      <c r="K121" s="2722"/>
      <c r="L121" s="2722"/>
      <c r="M121" s="2723"/>
      <c r="N121" s="2715">
        <f t="shared" si="18"/>
        <v>0</v>
      </c>
      <c r="O121" s="2720"/>
      <c r="P121" s="2722"/>
      <c r="Q121" s="2722"/>
      <c r="R121" s="2722"/>
      <c r="S121" s="2722"/>
      <c r="T121" s="2724">
        <f t="shared" si="19"/>
        <v>0</v>
      </c>
      <c r="U121" s="2722"/>
      <c r="V121" s="2722"/>
      <c r="W121" s="2722"/>
      <c r="X121" s="2724">
        <f t="shared" si="20"/>
        <v>0</v>
      </c>
      <c r="Y121" s="2722"/>
      <c r="Z121" s="2722"/>
    </row>
    <row r="122" spans="1:54" s="98" customFormat="1">
      <c r="A122" s="2539" t="s">
        <v>2737</v>
      </c>
      <c r="B122" s="2533" t="s">
        <v>1504</v>
      </c>
      <c r="C122" s="2532" t="s">
        <v>2738</v>
      </c>
      <c r="D122" s="2531"/>
      <c r="E122" s="2665"/>
      <c r="F122" s="2670"/>
      <c r="G122" s="2665"/>
      <c r="H122" s="2678"/>
      <c r="I122" s="2687"/>
      <c r="J122" s="2509"/>
      <c r="K122" s="2538"/>
      <c r="L122" s="2538"/>
      <c r="M122" s="2727"/>
      <c r="N122" s="2517">
        <f t="shared" si="18"/>
        <v>0</v>
      </c>
      <c r="O122" s="2527"/>
      <c r="P122" s="2526"/>
      <c r="Q122" s="2526"/>
      <c r="R122" s="2702"/>
      <c r="S122" s="2702"/>
      <c r="T122" s="2513">
        <f t="shared" si="19"/>
        <v>0</v>
      </c>
      <c r="U122" s="2525"/>
      <c r="V122" s="2525"/>
      <c r="W122" s="2524"/>
      <c r="X122" s="2510">
        <f t="shared" si="20"/>
        <v>0</v>
      </c>
      <c r="Y122" s="2524"/>
      <c r="Z122" s="2524"/>
      <c r="AA122" s="485"/>
      <c r="AB122" s="485"/>
      <c r="AC122" s="485"/>
      <c r="AD122" s="485"/>
      <c r="AE122" s="485"/>
      <c r="AF122" s="485"/>
      <c r="AG122" s="485"/>
      <c r="AH122" s="485"/>
      <c r="AI122" s="485"/>
      <c r="AJ122" s="485"/>
      <c r="AK122" s="485"/>
      <c r="AL122" s="485"/>
      <c r="AM122" s="485"/>
      <c r="AN122" s="485"/>
      <c r="AO122" s="485"/>
      <c r="AP122" s="485"/>
      <c r="AQ122" s="485"/>
      <c r="AR122" s="485"/>
      <c r="AS122" s="485"/>
      <c r="AT122" s="485"/>
      <c r="AU122" s="485"/>
      <c r="AV122" s="485"/>
      <c r="AW122" s="485"/>
      <c r="AX122" s="485"/>
      <c r="AY122" s="485"/>
      <c r="AZ122" s="485"/>
      <c r="BA122" s="485"/>
      <c r="BB122" s="485"/>
    </row>
    <row r="123" spans="1:54" s="98" customFormat="1">
      <c r="A123" s="2539" t="s">
        <v>2741</v>
      </c>
      <c r="B123" s="2533" t="s">
        <v>1504</v>
      </c>
      <c r="C123" s="2532" t="s">
        <v>2742</v>
      </c>
      <c r="D123" s="2531"/>
      <c r="E123" s="2665"/>
      <c r="F123" s="2670"/>
      <c r="G123" s="2665"/>
      <c r="H123" s="2678"/>
      <c r="I123" s="2687"/>
      <c r="J123" s="2509"/>
      <c r="K123" s="2538"/>
      <c r="L123" s="2538"/>
      <c r="M123" s="2727"/>
      <c r="N123" s="2517">
        <f t="shared" si="18"/>
        <v>0</v>
      </c>
      <c r="O123" s="2527"/>
      <c r="P123" s="2526"/>
      <c r="Q123" s="2526"/>
      <c r="R123" s="2702"/>
      <c r="S123" s="2702"/>
      <c r="T123" s="2513">
        <f t="shared" si="19"/>
        <v>0</v>
      </c>
      <c r="U123" s="2525"/>
      <c r="V123" s="2525"/>
      <c r="W123" s="2524"/>
      <c r="X123" s="2510">
        <f t="shared" si="20"/>
        <v>0</v>
      </c>
      <c r="Y123" s="2524"/>
      <c r="Z123" s="2524"/>
      <c r="AA123" s="485"/>
      <c r="AB123" s="485"/>
      <c r="AC123" s="485"/>
      <c r="AD123" s="485"/>
      <c r="AE123" s="485"/>
      <c r="AF123" s="485"/>
      <c r="AG123" s="485"/>
      <c r="AH123" s="485"/>
      <c r="AI123" s="485"/>
      <c r="AJ123" s="485"/>
      <c r="AK123" s="485"/>
      <c r="AL123" s="485"/>
      <c r="AM123" s="485"/>
      <c r="AN123" s="485"/>
      <c r="AO123" s="485"/>
      <c r="AP123" s="485"/>
      <c r="AQ123" s="485"/>
      <c r="AR123" s="485"/>
      <c r="AS123" s="485"/>
      <c r="AT123" s="485"/>
      <c r="AU123" s="485"/>
      <c r="AV123" s="485"/>
      <c r="AW123" s="485"/>
      <c r="AX123" s="485"/>
      <c r="AY123" s="485"/>
      <c r="AZ123" s="485"/>
      <c r="BA123" s="485"/>
      <c r="BB123" s="485"/>
    </row>
    <row r="124" spans="1:54" s="98" customFormat="1">
      <c r="A124" s="2615" t="s">
        <v>2745</v>
      </c>
      <c r="B124" s="2614" t="s">
        <v>1527</v>
      </c>
      <c r="C124" s="2588" t="s">
        <v>2746</v>
      </c>
      <c r="D124" s="2531"/>
      <c r="E124" s="2667">
        <v>3.1415000000000002</v>
      </c>
      <c r="F124" s="2660">
        <v>9.5200000000000007E-3</v>
      </c>
      <c r="G124" s="2667">
        <v>8.0000000000000004E-4</v>
      </c>
      <c r="H124" s="2681">
        <v>88</v>
      </c>
      <c r="I124" s="2690" t="s">
        <v>2900</v>
      </c>
      <c r="J124" s="2509">
        <f>E124*F124*G124*H124</f>
        <v>2.1054584320000002E-3</v>
      </c>
      <c r="K124" s="2536">
        <v>101.97</v>
      </c>
      <c r="L124" s="2536"/>
      <c r="M124" s="2726">
        <f t="shared" ref="M124:M125" si="22">J124*K124</f>
        <v>0.21469359631104001</v>
      </c>
      <c r="N124" s="2517">
        <f t="shared" si="18"/>
        <v>0</v>
      </c>
      <c r="O124" s="2541" t="s">
        <v>2899</v>
      </c>
      <c r="P124" s="2541" t="s">
        <v>3022</v>
      </c>
      <c r="Q124" s="2514"/>
      <c r="R124" s="2698">
        <v>40.76</v>
      </c>
      <c r="S124" s="2698"/>
      <c r="T124" s="2513">
        <f t="shared" si="19"/>
        <v>0</v>
      </c>
      <c r="U124" s="2540">
        <v>0.70430000000000004</v>
      </c>
      <c r="V124" s="2540">
        <v>0.1658</v>
      </c>
      <c r="W124" s="2529">
        <v>2.202</v>
      </c>
      <c r="X124" s="2510">
        <f t="shared" si="20"/>
        <v>0</v>
      </c>
      <c r="Y124" s="2529">
        <v>2.3740000000000001</v>
      </c>
      <c r="Z124" s="2529">
        <v>49.314</v>
      </c>
    </row>
    <row r="125" spans="1:54" ht="15" customHeight="1">
      <c r="A125" s="2615" t="s">
        <v>2747</v>
      </c>
      <c r="B125" s="2614" t="s">
        <v>1527</v>
      </c>
      <c r="C125" s="2588" t="s">
        <v>2748</v>
      </c>
      <c r="D125" s="2531"/>
      <c r="E125" s="2667">
        <v>3.1415000000000002</v>
      </c>
      <c r="F125" s="2660">
        <v>1.2699999999999999E-2</v>
      </c>
      <c r="G125" s="2667">
        <v>8.0000000000000004E-4</v>
      </c>
      <c r="H125" s="2681">
        <v>88</v>
      </c>
      <c r="I125" s="2690" t="s">
        <v>2900</v>
      </c>
      <c r="J125" s="2509">
        <f>E125*F125*G125*H125</f>
        <v>2.8087523200000003E-3</v>
      </c>
      <c r="K125" s="2536">
        <v>101.97</v>
      </c>
      <c r="L125" s="2536"/>
      <c r="M125" s="2726">
        <f t="shared" si="22"/>
        <v>0.28640847407040004</v>
      </c>
      <c r="N125" s="2517">
        <f t="shared" si="18"/>
        <v>0</v>
      </c>
      <c r="O125" s="2541" t="s">
        <v>2899</v>
      </c>
      <c r="P125" s="2541" t="s">
        <v>3022</v>
      </c>
      <c r="Q125" s="2514"/>
      <c r="R125" s="2698">
        <v>40.76</v>
      </c>
      <c r="S125" s="2698"/>
      <c r="T125" s="2513">
        <f t="shared" si="19"/>
        <v>0</v>
      </c>
      <c r="U125" s="2540">
        <v>0.70430000000000004</v>
      </c>
      <c r="V125" s="2540">
        <v>0.1658</v>
      </c>
      <c r="W125" s="2529">
        <v>2.202</v>
      </c>
      <c r="X125" s="2510">
        <f t="shared" si="20"/>
        <v>0</v>
      </c>
      <c r="Y125" s="2529">
        <v>2.3740000000000001</v>
      </c>
      <c r="Z125" s="2529">
        <v>49.314</v>
      </c>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row>
    <row r="126" spans="1:54" ht="15" customHeight="1">
      <c r="A126" s="2615" t="s">
        <v>1245</v>
      </c>
      <c r="B126" s="2614" t="s">
        <v>1527</v>
      </c>
      <c r="C126" s="2588" t="s">
        <v>2169</v>
      </c>
      <c r="D126" s="2531"/>
      <c r="E126" s="2666">
        <v>1</v>
      </c>
      <c r="F126" s="2671">
        <v>1.5</v>
      </c>
      <c r="G126" s="2736">
        <v>9.9999999999999995E-7</v>
      </c>
      <c r="H126" s="2680">
        <v>88</v>
      </c>
      <c r="I126" s="2689" t="s">
        <v>2900</v>
      </c>
      <c r="J126" s="2737">
        <f>E126*F126*G126*H126</f>
        <v>1.3200000000000001E-4</v>
      </c>
      <c r="K126" s="2569">
        <v>101.97</v>
      </c>
      <c r="L126" s="2569"/>
      <c r="M126" s="2726">
        <f>J126*K126</f>
        <v>1.3460040000000001E-2</v>
      </c>
      <c r="N126" s="2517">
        <f t="shared" si="18"/>
        <v>0</v>
      </c>
      <c r="O126" s="2568" t="s">
        <v>2899</v>
      </c>
      <c r="P126" s="2568" t="s">
        <v>3025</v>
      </c>
      <c r="Q126" s="2575"/>
      <c r="R126" s="2694">
        <v>81.7</v>
      </c>
      <c r="S126" s="2694"/>
      <c r="T126" s="2513">
        <f t="shared" si="19"/>
        <v>0</v>
      </c>
      <c r="U126" s="2571">
        <v>0.64149999999999996</v>
      </c>
      <c r="V126" s="2571">
        <v>0.26340000000000002</v>
      </c>
      <c r="W126" s="2597">
        <v>3.915</v>
      </c>
      <c r="X126" s="2510">
        <f t="shared" si="20"/>
        <v>0</v>
      </c>
      <c r="Y126" s="2585">
        <v>4.18</v>
      </c>
      <c r="Z126" s="2585">
        <v>64.471000000000004</v>
      </c>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row>
    <row r="127" spans="1:54" s="98" customFormat="1">
      <c r="A127" s="2615" t="s">
        <v>2172</v>
      </c>
      <c r="B127" s="2614" t="s">
        <v>1527</v>
      </c>
      <c r="C127" s="2588" t="s">
        <v>2173</v>
      </c>
      <c r="D127" s="2531"/>
      <c r="E127" s="2666">
        <v>1</v>
      </c>
      <c r="F127" s="2671">
        <v>2.5</v>
      </c>
      <c r="G127" s="2736">
        <v>9.9999999999999995E-7</v>
      </c>
      <c r="H127" s="2680">
        <v>88</v>
      </c>
      <c r="I127" s="2689" t="s">
        <v>2900</v>
      </c>
      <c r="J127" s="2737">
        <f>E127*F127*G127*H127</f>
        <v>2.1999999999999998E-4</v>
      </c>
      <c r="K127" s="2569">
        <v>101.97</v>
      </c>
      <c r="L127" s="2569"/>
      <c r="M127" s="2726">
        <f>J127*K127</f>
        <v>2.2433399999999999E-2</v>
      </c>
      <c r="N127" s="2517">
        <f t="shared" si="18"/>
        <v>0</v>
      </c>
      <c r="O127" s="2568" t="s">
        <v>2899</v>
      </c>
      <c r="P127" s="2568" t="s">
        <v>3025</v>
      </c>
      <c r="Q127" s="2575"/>
      <c r="R127" s="2694">
        <v>81.7</v>
      </c>
      <c r="S127" s="2694"/>
      <c r="T127" s="2513">
        <f t="shared" si="19"/>
        <v>0</v>
      </c>
      <c r="U127" s="2571">
        <v>0.64149999999999996</v>
      </c>
      <c r="V127" s="2571">
        <v>0.26340000000000002</v>
      </c>
      <c r="W127" s="2597">
        <v>3.915</v>
      </c>
      <c r="X127" s="2510">
        <f t="shared" si="20"/>
        <v>0</v>
      </c>
      <c r="Y127" s="2585">
        <v>4.18</v>
      </c>
      <c r="Z127" s="2585">
        <v>64.471000000000004</v>
      </c>
    </row>
    <row r="128" spans="1:54" s="98" customFormat="1">
      <c r="A128" s="2615" t="s">
        <v>2178</v>
      </c>
      <c r="B128" s="2614" t="s">
        <v>1527</v>
      </c>
      <c r="C128" s="2588" t="s">
        <v>2179</v>
      </c>
      <c r="D128" s="2531"/>
      <c r="E128" s="2666">
        <v>1</v>
      </c>
      <c r="F128" s="2671">
        <v>4</v>
      </c>
      <c r="G128" s="2736">
        <v>9.9999999999999995E-7</v>
      </c>
      <c r="H128" s="2680">
        <v>88</v>
      </c>
      <c r="I128" s="2689" t="s">
        <v>2900</v>
      </c>
      <c r="J128" s="2737">
        <f>E128*F128*G128*H128</f>
        <v>3.5199999999999999E-4</v>
      </c>
      <c r="K128" s="2569">
        <v>101.97</v>
      </c>
      <c r="L128" s="2569"/>
      <c r="M128" s="2728">
        <f>E128*F128*G128*H128*K128</f>
        <v>3.5893439999999999E-2</v>
      </c>
      <c r="N128" s="2517">
        <f t="shared" si="18"/>
        <v>0</v>
      </c>
      <c r="O128" s="2568" t="s">
        <v>2899</v>
      </c>
      <c r="P128" s="2568" t="s">
        <v>3025</v>
      </c>
      <c r="Q128" s="2575"/>
      <c r="R128" s="2694">
        <v>81.7</v>
      </c>
      <c r="S128" s="2694"/>
      <c r="T128" s="2513">
        <f t="shared" si="19"/>
        <v>0</v>
      </c>
      <c r="U128" s="2571">
        <v>0.64149999999999996</v>
      </c>
      <c r="V128" s="2571">
        <v>0.26340000000000002</v>
      </c>
      <c r="W128" s="2597">
        <v>3.915</v>
      </c>
      <c r="X128" s="2510">
        <f t="shared" si="20"/>
        <v>0</v>
      </c>
      <c r="Y128" s="2585">
        <v>4.18</v>
      </c>
      <c r="Z128" s="2585">
        <v>64.471000000000004</v>
      </c>
    </row>
    <row r="129" spans="1:26" s="98" customFormat="1">
      <c r="A129" s="2523" t="s">
        <v>2184</v>
      </c>
      <c r="B129" s="2543" t="s">
        <v>1527</v>
      </c>
      <c r="C129" s="2542" t="s">
        <v>2185</v>
      </c>
      <c r="D129" s="2521">
        <f>'[7]Precios Recuperación (PUSD)'!$H$1278</f>
        <v>1151.3999999999999</v>
      </c>
      <c r="E129" s="2666">
        <v>1</v>
      </c>
      <c r="F129" s="2671">
        <v>6</v>
      </c>
      <c r="G129" s="2736">
        <v>9.9999999999999995E-7</v>
      </c>
      <c r="H129" s="2680">
        <v>88</v>
      </c>
      <c r="I129" s="2689" t="s">
        <v>2900</v>
      </c>
      <c r="J129" s="2737">
        <f t="shared" ref="J129:J132" si="23">E129*F129*G129*H129</f>
        <v>5.2800000000000004E-4</v>
      </c>
      <c r="K129" s="2569">
        <v>101.97</v>
      </c>
      <c r="L129" s="2569"/>
      <c r="M129" s="2726">
        <f t="shared" ref="M129:M131" si="24">J129*K129</f>
        <v>5.3840160000000005E-2</v>
      </c>
      <c r="N129" s="2517">
        <f t="shared" si="18"/>
        <v>61.991560223999997</v>
      </c>
      <c r="O129" s="2568" t="s">
        <v>2899</v>
      </c>
      <c r="P129" s="2568" t="s">
        <v>3025</v>
      </c>
      <c r="Q129" s="2575"/>
      <c r="R129" s="2694">
        <v>81.7</v>
      </c>
      <c r="S129" s="2694"/>
      <c r="T129" s="2513">
        <f t="shared" si="19"/>
        <v>5064.7104703008008</v>
      </c>
      <c r="U129" s="2571">
        <v>0.64149999999999996</v>
      </c>
      <c r="V129" s="2571">
        <v>0.26340000000000002</v>
      </c>
      <c r="W129" s="2597">
        <v>3.915</v>
      </c>
      <c r="X129" s="2510">
        <f t="shared" si="20"/>
        <v>242.69695827696</v>
      </c>
      <c r="Y129" s="2585">
        <v>4.18</v>
      </c>
      <c r="Z129" s="2585">
        <v>64.471000000000004</v>
      </c>
    </row>
    <row r="130" spans="1:26" s="98" customFormat="1">
      <c r="A130" s="2523" t="s">
        <v>2703</v>
      </c>
      <c r="B130" s="2543" t="s">
        <v>1527</v>
      </c>
      <c r="C130" s="2542" t="s">
        <v>2704</v>
      </c>
      <c r="D130" s="2521"/>
      <c r="E130" s="2666">
        <v>1</v>
      </c>
      <c r="F130" s="2671">
        <v>1</v>
      </c>
      <c r="G130" s="2736">
        <v>9.9999999999999995E-7</v>
      </c>
      <c r="H130" s="2680">
        <v>88</v>
      </c>
      <c r="I130" s="2689" t="s">
        <v>2900</v>
      </c>
      <c r="J130" s="2737">
        <f t="shared" si="23"/>
        <v>8.7999999999999998E-5</v>
      </c>
      <c r="K130" s="2569">
        <v>101.97</v>
      </c>
      <c r="L130" s="2569"/>
      <c r="M130" s="2726">
        <f>J130*K130</f>
        <v>8.9733599999999997E-3</v>
      </c>
      <c r="N130" s="2517">
        <f t="shared" si="18"/>
        <v>0</v>
      </c>
      <c r="O130" s="2568" t="s">
        <v>2899</v>
      </c>
      <c r="P130" s="2568" t="s">
        <v>3025</v>
      </c>
      <c r="Q130" s="2575"/>
      <c r="R130" s="2694">
        <v>81.7</v>
      </c>
      <c r="S130" s="2694"/>
      <c r="T130" s="2513">
        <f t="shared" si="19"/>
        <v>0</v>
      </c>
      <c r="U130" s="2571">
        <v>0.64149999999999996</v>
      </c>
      <c r="V130" s="2571">
        <v>0.26340000000000002</v>
      </c>
      <c r="W130" s="2597">
        <v>3.915</v>
      </c>
      <c r="X130" s="2510">
        <f t="shared" si="20"/>
        <v>0</v>
      </c>
      <c r="Y130" s="2585">
        <v>4.18</v>
      </c>
      <c r="Z130" s="2585">
        <v>64.471000000000004</v>
      </c>
    </row>
    <row r="131" spans="1:26" s="98" customFormat="1">
      <c r="A131" s="2523" t="s">
        <v>2229</v>
      </c>
      <c r="B131" s="2543" t="s">
        <v>1527</v>
      </c>
      <c r="C131" s="2542" t="s">
        <v>2230</v>
      </c>
      <c r="D131" s="2521">
        <f>'[7]Precios Recuperación (PUSD)'!$H$1493</f>
        <v>60.6</v>
      </c>
      <c r="E131" s="2666">
        <v>1</v>
      </c>
      <c r="F131" s="2671">
        <v>16</v>
      </c>
      <c r="G131" s="2736">
        <v>9.9999999999999995E-7</v>
      </c>
      <c r="H131" s="2680">
        <v>88</v>
      </c>
      <c r="I131" s="2689" t="s">
        <v>2900</v>
      </c>
      <c r="J131" s="2737">
        <f t="shared" si="23"/>
        <v>1.408E-3</v>
      </c>
      <c r="K131" s="2569">
        <v>101.97</v>
      </c>
      <c r="L131" s="2569"/>
      <c r="M131" s="2726">
        <f t="shared" si="24"/>
        <v>0.14357375999999999</v>
      </c>
      <c r="N131" s="2517">
        <f t="shared" si="18"/>
        <v>8.7005698559999995</v>
      </c>
      <c r="O131" s="2568" t="s">
        <v>2899</v>
      </c>
      <c r="P131" s="2568" t="s">
        <v>3025</v>
      </c>
      <c r="Q131" s="2575"/>
      <c r="R131" s="2694">
        <v>81.7</v>
      </c>
      <c r="S131" s="2694"/>
      <c r="T131" s="2513">
        <f t="shared" si="19"/>
        <v>710.83655723520008</v>
      </c>
      <c r="U131" s="2571">
        <v>0.64149999999999996</v>
      </c>
      <c r="V131" s="2571">
        <v>0.26340000000000002</v>
      </c>
      <c r="W131" s="2597">
        <v>3.915</v>
      </c>
      <c r="X131" s="2510">
        <f t="shared" si="20"/>
        <v>34.062730986239998</v>
      </c>
      <c r="Y131" s="2585">
        <v>4.18</v>
      </c>
      <c r="Z131" s="2585">
        <v>64.471000000000004</v>
      </c>
    </row>
    <row r="132" spans="1:26" s="98" customFormat="1">
      <c r="A132" s="2523" t="s">
        <v>2227</v>
      </c>
      <c r="B132" s="2543" t="s">
        <v>1527</v>
      </c>
      <c r="C132" s="2542" t="s">
        <v>2228</v>
      </c>
      <c r="D132" s="2521">
        <f>'[7]Precios Recuperación (PUSD)'!$H$1492</f>
        <v>242.4</v>
      </c>
      <c r="E132" s="2666">
        <v>1</v>
      </c>
      <c r="F132" s="2671">
        <v>16</v>
      </c>
      <c r="G132" s="2736">
        <v>9.9999999999999995E-7</v>
      </c>
      <c r="H132" s="2680">
        <v>88</v>
      </c>
      <c r="I132" s="2689" t="s">
        <v>2900</v>
      </c>
      <c r="J132" s="2737">
        <f t="shared" si="23"/>
        <v>1.408E-3</v>
      </c>
      <c r="K132" s="2569">
        <v>101.97</v>
      </c>
      <c r="L132" s="2569"/>
      <c r="M132" s="2726">
        <f>J132*K132</f>
        <v>0.14357375999999999</v>
      </c>
      <c r="N132" s="2517">
        <f t="shared" si="18"/>
        <v>34.802279423999998</v>
      </c>
      <c r="O132" s="2568" t="s">
        <v>2899</v>
      </c>
      <c r="P132" s="2568" t="s">
        <v>3025</v>
      </c>
      <c r="Q132" s="2575"/>
      <c r="R132" s="2694">
        <v>81.7</v>
      </c>
      <c r="S132" s="2694"/>
      <c r="T132" s="2513">
        <f t="shared" si="19"/>
        <v>2843.3462289408003</v>
      </c>
      <c r="U132" s="2571">
        <v>0.64149999999999996</v>
      </c>
      <c r="V132" s="2571">
        <v>0.26340000000000002</v>
      </c>
      <c r="W132" s="2597">
        <v>3.915</v>
      </c>
      <c r="X132" s="2510">
        <f t="shared" si="20"/>
        <v>136.25092394495999</v>
      </c>
      <c r="Y132" s="2585">
        <v>4.18</v>
      </c>
      <c r="Z132" s="2585">
        <v>64.471000000000004</v>
      </c>
    </row>
    <row r="133" spans="1:26" s="98" customFormat="1">
      <c r="A133" s="2523" t="s">
        <v>2292</v>
      </c>
      <c r="B133" s="2543" t="s">
        <v>1357</v>
      </c>
      <c r="C133" s="2542" t="s">
        <v>2293</v>
      </c>
      <c r="D133" s="2521">
        <f>'[7]Precios Recuperación (PUSD)'!$I$1478</f>
        <v>178.9</v>
      </c>
      <c r="E133" s="2666">
        <v>1</v>
      </c>
      <c r="F133" s="2671"/>
      <c r="G133" s="2666"/>
      <c r="H133" s="2680"/>
      <c r="I133" s="2689"/>
      <c r="J133" s="2509"/>
      <c r="K133" s="2569"/>
      <c r="L133" s="2569"/>
      <c r="M133" s="2726">
        <f>E133</f>
        <v>1</v>
      </c>
      <c r="N133" s="2517">
        <f t="shared" ref="N133:N150" si="25">D133*M133</f>
        <v>178.9</v>
      </c>
      <c r="O133" s="2568"/>
      <c r="P133" s="2568" t="s">
        <v>3025</v>
      </c>
      <c r="Q133" s="2575"/>
      <c r="R133" s="2694">
        <v>81.7</v>
      </c>
      <c r="S133" s="2694"/>
      <c r="T133" s="2513">
        <f t="shared" si="19"/>
        <v>14616.130000000001</v>
      </c>
      <c r="U133" s="2571">
        <v>0.64149999999999996</v>
      </c>
      <c r="V133" s="2571">
        <v>0.26340000000000002</v>
      </c>
      <c r="W133" s="2597">
        <v>3.915</v>
      </c>
      <c r="X133" s="2510">
        <f t="shared" si="20"/>
        <v>700.39350000000002</v>
      </c>
      <c r="Y133" s="2585">
        <v>4.18</v>
      </c>
      <c r="Z133" s="2585">
        <v>64.471000000000004</v>
      </c>
    </row>
    <row r="134" spans="1:26" s="98" customFormat="1">
      <c r="A134" s="2523" t="s">
        <v>2219</v>
      </c>
      <c r="B134" s="2595" t="s">
        <v>1504</v>
      </c>
      <c r="C134" s="2522" t="s">
        <v>2220</v>
      </c>
      <c r="D134" s="2521">
        <f>'[7]Precios Recuperación (PUSD)'!$H$1621</f>
        <v>120</v>
      </c>
      <c r="E134" s="2664">
        <v>1</v>
      </c>
      <c r="F134" s="2669"/>
      <c r="G134" s="2664"/>
      <c r="H134" s="2680">
        <v>0.23</v>
      </c>
      <c r="I134" s="2689" t="s">
        <v>3026</v>
      </c>
      <c r="J134" s="2509"/>
      <c r="K134" s="2569"/>
      <c r="L134" s="2569"/>
      <c r="M134" s="2726">
        <f>J134</f>
        <v>0</v>
      </c>
      <c r="N134" s="2517">
        <f t="shared" si="25"/>
        <v>0</v>
      </c>
      <c r="O134" s="2568"/>
      <c r="P134" s="2568" t="s">
        <v>3025</v>
      </c>
      <c r="Q134" s="2575"/>
      <c r="R134" s="2694">
        <v>81.7</v>
      </c>
      <c r="S134" s="2694"/>
      <c r="T134" s="2513">
        <f t="shared" si="19"/>
        <v>0</v>
      </c>
      <c r="U134" s="2571">
        <v>0.64149999999999996</v>
      </c>
      <c r="V134" s="2571">
        <v>0.26340000000000002</v>
      </c>
      <c r="W134" s="2597">
        <v>3.915</v>
      </c>
      <c r="X134" s="2510">
        <f t="shared" si="20"/>
        <v>0</v>
      </c>
      <c r="Y134" s="2585">
        <v>4.18</v>
      </c>
      <c r="Z134" s="2585">
        <v>64.471000000000004</v>
      </c>
    </row>
    <row r="135" spans="1:26" s="98" customFormat="1">
      <c r="A135" s="2523" t="s">
        <v>2235</v>
      </c>
      <c r="B135" s="2595" t="s">
        <v>1504</v>
      </c>
      <c r="C135" s="2542" t="s">
        <v>2236</v>
      </c>
      <c r="D135" s="2521">
        <f>'[7]Precios Recuperación (PUSD)'!$H$1357</f>
        <v>40</v>
      </c>
      <c r="E135" s="2664">
        <v>1</v>
      </c>
      <c r="F135" s="2669"/>
      <c r="G135" s="2664"/>
      <c r="H135" s="2680">
        <v>0.08</v>
      </c>
      <c r="I135" s="2689" t="s">
        <v>3026</v>
      </c>
      <c r="J135" s="2509"/>
      <c r="K135" s="2569"/>
      <c r="L135" s="2569"/>
      <c r="M135" s="2726">
        <f>J135</f>
        <v>0</v>
      </c>
      <c r="N135" s="2517">
        <f t="shared" si="25"/>
        <v>0</v>
      </c>
      <c r="O135" s="2568"/>
      <c r="P135" s="2568" t="s">
        <v>3025</v>
      </c>
      <c r="Q135" s="2575"/>
      <c r="R135" s="2694">
        <v>81.7</v>
      </c>
      <c r="S135" s="2694"/>
      <c r="T135" s="2513">
        <f t="shared" si="19"/>
        <v>0</v>
      </c>
      <c r="U135" s="2571">
        <v>0.64149999999999996</v>
      </c>
      <c r="V135" s="2571">
        <v>0.26340000000000002</v>
      </c>
      <c r="W135" s="2597">
        <v>3.915</v>
      </c>
      <c r="X135" s="2510">
        <f t="shared" si="20"/>
        <v>0</v>
      </c>
      <c r="Y135" s="2585">
        <v>4.18</v>
      </c>
      <c r="Z135" s="2585">
        <v>64.471000000000004</v>
      </c>
    </row>
    <row r="136" spans="1:26" s="98" customFormat="1" ht="14.25" customHeight="1">
      <c r="A136" s="2615" t="s">
        <v>2288</v>
      </c>
      <c r="B136" s="2614" t="s">
        <v>1504</v>
      </c>
      <c r="C136" s="2588" t="s">
        <v>2289</v>
      </c>
      <c r="D136" s="2521">
        <f>'[7]Precios Recuperación (PUSD)'!$H$1452</f>
        <v>10</v>
      </c>
      <c r="E136" s="2666">
        <v>0.6</v>
      </c>
      <c r="F136" s="2671">
        <v>0.6</v>
      </c>
      <c r="G136" s="2666">
        <v>0.01</v>
      </c>
      <c r="H136" s="2680">
        <v>88</v>
      </c>
      <c r="I136" s="2689" t="s">
        <v>2900</v>
      </c>
      <c r="J136" s="2509">
        <f t="shared" ref="J136:J144" si="26">E136*F136*G136*H136</f>
        <v>0.31679999999999997</v>
      </c>
      <c r="K136" s="2569">
        <v>101.97</v>
      </c>
      <c r="L136" s="2569"/>
      <c r="M136" s="2728">
        <f>J136*K136</f>
        <v>32.304095999999994</v>
      </c>
      <c r="N136" s="2517">
        <f t="shared" si="25"/>
        <v>323.04095999999993</v>
      </c>
      <c r="O136" s="2568" t="s">
        <v>2899</v>
      </c>
      <c r="P136" s="2586" t="s">
        <v>3024</v>
      </c>
      <c r="Q136" s="2575" t="s">
        <v>3023</v>
      </c>
      <c r="R136" s="2694">
        <v>36.200000000000003</v>
      </c>
      <c r="S136" s="2694"/>
      <c r="T136" s="2513">
        <f t="shared" si="19"/>
        <v>11694.082751999998</v>
      </c>
      <c r="U136" s="2571">
        <v>0.7</v>
      </c>
      <c r="V136" s="2571">
        <v>0.16200000000000001</v>
      </c>
      <c r="W136" s="2585">
        <v>1.853</v>
      </c>
      <c r="X136" s="2510">
        <f t="shared" si="20"/>
        <v>598.59489887999996</v>
      </c>
      <c r="Y136" s="2585">
        <v>2.0099999999999998</v>
      </c>
      <c r="Z136" s="2585">
        <v>48.381</v>
      </c>
    </row>
    <row r="137" spans="1:26" s="98" customFormat="1">
      <c r="A137" s="2615" t="s">
        <v>2338</v>
      </c>
      <c r="B137" s="2614" t="s">
        <v>1504</v>
      </c>
      <c r="C137" s="2588" t="s">
        <v>2339</v>
      </c>
      <c r="D137" s="2521"/>
      <c r="E137" s="2667">
        <v>3.1415000000000002</v>
      </c>
      <c r="F137" s="2660">
        <v>1.7999999999999999E-2</v>
      </c>
      <c r="G137" s="2667">
        <v>2E-3</v>
      </c>
      <c r="H137" s="2681">
        <v>88</v>
      </c>
      <c r="I137" s="2690" t="s">
        <v>2900</v>
      </c>
      <c r="J137" s="2509">
        <f t="shared" si="26"/>
        <v>9.9522719999999999E-3</v>
      </c>
      <c r="K137" s="2536">
        <v>101.97</v>
      </c>
      <c r="L137" s="2536"/>
      <c r="M137" s="2729">
        <f>J137*K137</f>
        <v>1.01483317584</v>
      </c>
      <c r="N137" s="2517">
        <f t="shared" si="25"/>
        <v>0</v>
      </c>
      <c r="O137" s="2568" t="s">
        <v>2899</v>
      </c>
      <c r="P137" s="2541" t="s">
        <v>3022</v>
      </c>
      <c r="Q137" s="2515"/>
      <c r="R137" s="2752">
        <v>40.76</v>
      </c>
      <c r="S137" s="2752">
        <v>100</v>
      </c>
      <c r="T137" s="2513">
        <f t="shared" ref="T137:T150" si="27">M137*R137*D137</f>
        <v>0</v>
      </c>
      <c r="U137" s="2540">
        <v>0.70430000000000004</v>
      </c>
      <c r="V137" s="2540">
        <v>0.1658</v>
      </c>
      <c r="W137" s="2605">
        <v>2.202</v>
      </c>
      <c r="X137" s="2510">
        <f t="shared" ref="X137:X150" si="28">M137*W137*D137</f>
        <v>0</v>
      </c>
      <c r="Y137" s="2605">
        <v>2.3740000000000001</v>
      </c>
      <c r="Z137" s="2605">
        <v>49.314</v>
      </c>
    </row>
    <row r="138" spans="1:26" s="98" customFormat="1">
      <c r="A138" s="2615" t="s">
        <v>2342</v>
      </c>
      <c r="B138" s="2614" t="s">
        <v>1504</v>
      </c>
      <c r="C138" s="2588" t="s">
        <v>2343</v>
      </c>
      <c r="D138" s="2521"/>
      <c r="E138" s="2667">
        <v>3.1415000000000002</v>
      </c>
      <c r="F138" s="2660">
        <v>2.1999999999999999E-2</v>
      </c>
      <c r="G138" s="2667">
        <v>2E-3</v>
      </c>
      <c r="H138" s="2681">
        <v>88</v>
      </c>
      <c r="I138" s="2690" t="s">
        <v>2900</v>
      </c>
      <c r="J138" s="2509">
        <f t="shared" si="26"/>
        <v>1.2163887999999999E-2</v>
      </c>
      <c r="K138" s="2536">
        <v>101.97</v>
      </c>
      <c r="L138" s="2536"/>
      <c r="M138" s="2729">
        <f t="shared" ref="M138:M143" si="29">J138*K138</f>
        <v>1.2403516593599999</v>
      </c>
      <c r="N138" s="2517">
        <f t="shared" si="25"/>
        <v>0</v>
      </c>
      <c r="O138" s="2568" t="s">
        <v>2899</v>
      </c>
      <c r="P138" s="2541" t="s">
        <v>3022</v>
      </c>
      <c r="Q138" s="2515"/>
      <c r="R138" s="2752">
        <v>40.76</v>
      </c>
      <c r="S138" s="2752">
        <v>100</v>
      </c>
      <c r="T138" s="2513">
        <f t="shared" si="27"/>
        <v>0</v>
      </c>
      <c r="U138" s="2540">
        <v>0.70430000000000004</v>
      </c>
      <c r="V138" s="2540">
        <v>0.1658</v>
      </c>
      <c r="W138" s="2605">
        <v>2.202</v>
      </c>
      <c r="X138" s="2510">
        <f t="shared" si="28"/>
        <v>0</v>
      </c>
      <c r="Y138" s="2605">
        <v>2.3740000000000001</v>
      </c>
      <c r="Z138" s="2605">
        <v>49.314</v>
      </c>
    </row>
    <row r="139" spans="1:26" s="98" customFormat="1">
      <c r="A139" s="2615" t="s">
        <v>2346</v>
      </c>
      <c r="B139" s="2614" t="s">
        <v>1504</v>
      </c>
      <c r="C139" s="2588" t="s">
        <v>2347</v>
      </c>
      <c r="D139" s="2521"/>
      <c r="E139" s="2667">
        <v>3.1415000000000002</v>
      </c>
      <c r="F139" s="2660">
        <v>2.8000000000000001E-2</v>
      </c>
      <c r="G139" s="2667">
        <v>2E-3</v>
      </c>
      <c r="H139" s="2681">
        <v>88</v>
      </c>
      <c r="I139" s="2690" t="s">
        <v>2900</v>
      </c>
      <c r="J139" s="2509">
        <f t="shared" si="26"/>
        <v>1.5481312000000002E-2</v>
      </c>
      <c r="K139" s="2536">
        <v>101.97</v>
      </c>
      <c r="L139" s="2536"/>
      <c r="M139" s="2729">
        <f t="shared" si="29"/>
        <v>1.5786293846400001</v>
      </c>
      <c r="N139" s="2517">
        <f t="shared" si="25"/>
        <v>0</v>
      </c>
      <c r="O139" s="2568" t="s">
        <v>2899</v>
      </c>
      <c r="P139" s="2541" t="s">
        <v>3022</v>
      </c>
      <c r="Q139" s="2515"/>
      <c r="R139" s="2752">
        <v>40.76</v>
      </c>
      <c r="S139" s="2752">
        <v>100</v>
      </c>
      <c r="T139" s="2513">
        <f t="shared" si="27"/>
        <v>0</v>
      </c>
      <c r="U139" s="2540">
        <v>0.70430000000000004</v>
      </c>
      <c r="V139" s="2540">
        <v>0.1658</v>
      </c>
      <c r="W139" s="2605">
        <v>2.202</v>
      </c>
      <c r="X139" s="2510">
        <f t="shared" si="28"/>
        <v>0</v>
      </c>
      <c r="Y139" s="2605">
        <v>2.3740000000000001</v>
      </c>
      <c r="Z139" s="2605">
        <v>49.314</v>
      </c>
    </row>
    <row r="140" spans="1:26" s="98" customFormat="1">
      <c r="A140" s="2615" t="s">
        <v>2559</v>
      </c>
      <c r="B140" s="2614" t="s">
        <v>1504</v>
      </c>
      <c r="C140" s="2588" t="s">
        <v>2560</v>
      </c>
      <c r="D140" s="2521"/>
      <c r="E140" s="2667">
        <v>3.1415000000000002</v>
      </c>
      <c r="F140" s="2660">
        <v>1.6E-2</v>
      </c>
      <c r="G140" s="2667">
        <v>1E-3</v>
      </c>
      <c r="H140" s="2681">
        <v>88</v>
      </c>
      <c r="I140" s="2690" t="s">
        <v>2900</v>
      </c>
      <c r="J140" s="2509">
        <f t="shared" si="26"/>
        <v>4.4232320000000009E-3</v>
      </c>
      <c r="K140" s="2536">
        <v>101.97</v>
      </c>
      <c r="L140" s="2536"/>
      <c r="M140" s="2729">
        <f t="shared" si="29"/>
        <v>0.45103696704000007</v>
      </c>
      <c r="N140" s="2517">
        <f t="shared" si="25"/>
        <v>0</v>
      </c>
      <c r="O140" s="2541" t="s">
        <v>2899</v>
      </c>
      <c r="P140" s="2541" t="s">
        <v>3022</v>
      </c>
      <c r="Q140" s="2514"/>
      <c r="R140" s="2751">
        <v>40.76</v>
      </c>
      <c r="S140" s="2752">
        <v>100</v>
      </c>
      <c r="T140" s="2513">
        <f t="shared" si="27"/>
        <v>0</v>
      </c>
      <c r="U140" s="2540">
        <v>0.70430000000000004</v>
      </c>
      <c r="V140" s="2540">
        <v>0.1658</v>
      </c>
      <c r="W140" s="2529">
        <v>2.202</v>
      </c>
      <c r="X140" s="2510">
        <f t="shared" si="28"/>
        <v>0</v>
      </c>
      <c r="Y140" s="2529">
        <v>2.3740000000000001</v>
      </c>
      <c r="Z140" s="2529">
        <v>49.314</v>
      </c>
    </row>
    <row r="141" spans="1:26" s="98" customFormat="1">
      <c r="A141" s="2615" t="s">
        <v>2563</v>
      </c>
      <c r="B141" s="2614" t="s">
        <v>1504</v>
      </c>
      <c r="C141" s="2588" t="s">
        <v>2564</v>
      </c>
      <c r="D141" s="2521"/>
      <c r="E141" s="2667">
        <v>3.1415000000000002</v>
      </c>
      <c r="F141" s="2660">
        <v>1.7999999999999999E-2</v>
      </c>
      <c r="G141" s="2667">
        <v>1E-3</v>
      </c>
      <c r="H141" s="2681">
        <v>88</v>
      </c>
      <c r="I141" s="2690" t="s">
        <v>2900</v>
      </c>
      <c r="J141" s="2509">
        <f t="shared" si="26"/>
        <v>4.9761359999999999E-3</v>
      </c>
      <c r="K141" s="2536">
        <v>101.97</v>
      </c>
      <c r="L141" s="2536"/>
      <c r="M141" s="2729">
        <f t="shared" si="29"/>
        <v>0.50741658792</v>
      </c>
      <c r="N141" s="2517">
        <f t="shared" si="25"/>
        <v>0</v>
      </c>
      <c r="O141" s="2541" t="s">
        <v>2899</v>
      </c>
      <c r="P141" s="2541" t="s">
        <v>3022</v>
      </c>
      <c r="Q141" s="2514"/>
      <c r="R141" s="2751">
        <v>40.76</v>
      </c>
      <c r="S141" s="2752">
        <v>100</v>
      </c>
      <c r="T141" s="2513">
        <f t="shared" si="27"/>
        <v>0</v>
      </c>
      <c r="U141" s="2540">
        <v>0.70430000000000004</v>
      </c>
      <c r="V141" s="2540">
        <v>0.1658</v>
      </c>
      <c r="W141" s="2529">
        <v>2.202</v>
      </c>
      <c r="X141" s="2510">
        <f t="shared" si="28"/>
        <v>0</v>
      </c>
      <c r="Y141" s="2529">
        <v>2.3740000000000001</v>
      </c>
      <c r="Z141" s="2529">
        <v>49.314</v>
      </c>
    </row>
    <row r="142" spans="1:26" s="98" customFormat="1">
      <c r="A142" s="2615" t="s">
        <v>2567</v>
      </c>
      <c r="B142" s="2614" t="s">
        <v>1504</v>
      </c>
      <c r="C142" s="2588" t="s">
        <v>2568</v>
      </c>
      <c r="D142" s="2521"/>
      <c r="E142" s="2667">
        <v>3.1415000000000002</v>
      </c>
      <c r="F142" s="2660">
        <v>0.02</v>
      </c>
      <c r="G142" s="2667">
        <v>1E-3</v>
      </c>
      <c r="H142" s="2681">
        <v>88</v>
      </c>
      <c r="I142" s="2690" t="s">
        <v>2900</v>
      </c>
      <c r="J142" s="2509">
        <f t="shared" si="26"/>
        <v>5.5290400000000007E-3</v>
      </c>
      <c r="K142" s="2536">
        <v>101.97</v>
      </c>
      <c r="L142" s="2536"/>
      <c r="M142" s="2729">
        <f t="shared" si="29"/>
        <v>0.56379620880000003</v>
      </c>
      <c r="N142" s="2517">
        <f t="shared" si="25"/>
        <v>0</v>
      </c>
      <c r="O142" s="2541" t="s">
        <v>2899</v>
      </c>
      <c r="P142" s="2541" t="s">
        <v>3022</v>
      </c>
      <c r="Q142" s="2514"/>
      <c r="R142" s="2751">
        <v>40.76</v>
      </c>
      <c r="S142" s="2752">
        <v>100</v>
      </c>
      <c r="T142" s="2513">
        <f t="shared" si="27"/>
        <v>0</v>
      </c>
      <c r="U142" s="2540">
        <v>0.70430000000000004</v>
      </c>
      <c r="V142" s="2540">
        <v>0.1658</v>
      </c>
      <c r="W142" s="2529">
        <v>2.202</v>
      </c>
      <c r="X142" s="2510">
        <f t="shared" si="28"/>
        <v>0</v>
      </c>
      <c r="Y142" s="2529">
        <v>2.3740000000000001</v>
      </c>
      <c r="Z142" s="2529">
        <v>49.314</v>
      </c>
    </row>
    <row r="143" spans="1:26" s="98" customFormat="1">
      <c r="A143" s="2615" t="s">
        <v>2573</v>
      </c>
      <c r="B143" s="2614" t="s">
        <v>1504</v>
      </c>
      <c r="C143" s="2588" t="s">
        <v>2574</v>
      </c>
      <c r="D143" s="2521"/>
      <c r="E143" s="2667">
        <v>3.1415000000000002</v>
      </c>
      <c r="F143" s="2660">
        <v>2.1999999999999999E-2</v>
      </c>
      <c r="G143" s="2667">
        <v>1E-3</v>
      </c>
      <c r="H143" s="2681">
        <v>88</v>
      </c>
      <c r="I143" s="2690" t="s">
        <v>2900</v>
      </c>
      <c r="J143" s="2509">
        <f t="shared" si="26"/>
        <v>6.0819439999999997E-3</v>
      </c>
      <c r="K143" s="2536">
        <v>101.97</v>
      </c>
      <c r="L143" s="2536"/>
      <c r="M143" s="2729">
        <f t="shared" si="29"/>
        <v>0.62017582967999996</v>
      </c>
      <c r="N143" s="2517">
        <f t="shared" si="25"/>
        <v>0</v>
      </c>
      <c r="O143" s="2541" t="s">
        <v>2899</v>
      </c>
      <c r="P143" s="2541" t="s">
        <v>3022</v>
      </c>
      <c r="Q143" s="2514"/>
      <c r="R143" s="2751">
        <v>40.76</v>
      </c>
      <c r="S143" s="2752">
        <v>100</v>
      </c>
      <c r="T143" s="2513">
        <f t="shared" si="27"/>
        <v>0</v>
      </c>
      <c r="U143" s="2540">
        <v>0.70430000000000004</v>
      </c>
      <c r="V143" s="2540">
        <v>0.1658</v>
      </c>
      <c r="W143" s="2529">
        <v>2.202</v>
      </c>
      <c r="X143" s="2510">
        <f t="shared" si="28"/>
        <v>0</v>
      </c>
      <c r="Y143" s="2529">
        <v>2.3740000000000001</v>
      </c>
      <c r="Z143" s="2529">
        <v>49.314</v>
      </c>
    </row>
    <row r="144" spans="1:26" s="98" customFormat="1">
      <c r="A144" s="2615" t="s">
        <v>2577</v>
      </c>
      <c r="B144" s="2614" t="s">
        <v>1504</v>
      </c>
      <c r="C144" s="2588" t="s">
        <v>2578</v>
      </c>
      <c r="D144" s="2521"/>
      <c r="E144" s="2667">
        <v>3.1415000000000002</v>
      </c>
      <c r="F144" s="2660">
        <v>2.8000000000000001E-2</v>
      </c>
      <c r="G144" s="2667">
        <v>1E-3</v>
      </c>
      <c r="H144" s="2681">
        <v>88</v>
      </c>
      <c r="I144" s="2690" t="s">
        <v>2900</v>
      </c>
      <c r="J144" s="2509">
        <f t="shared" si="26"/>
        <v>7.7406560000000011E-3</v>
      </c>
      <c r="K144" s="2536">
        <v>101.97</v>
      </c>
      <c r="L144" s="2536"/>
      <c r="M144" s="2729">
        <f>J144*K144</f>
        <v>0.78931469232000007</v>
      </c>
      <c r="N144" s="2517">
        <f t="shared" si="25"/>
        <v>0</v>
      </c>
      <c r="O144" s="2541" t="s">
        <v>2899</v>
      </c>
      <c r="P144" s="2541" t="s">
        <v>3022</v>
      </c>
      <c r="Q144" s="2514"/>
      <c r="R144" s="2751">
        <v>40.76</v>
      </c>
      <c r="S144" s="2752">
        <v>100</v>
      </c>
      <c r="T144" s="2513">
        <f t="shared" si="27"/>
        <v>0</v>
      </c>
      <c r="U144" s="2540">
        <v>0.70430000000000004</v>
      </c>
      <c r="V144" s="2540">
        <v>0.1658</v>
      </c>
      <c r="W144" s="2529">
        <v>2.202</v>
      </c>
      <c r="X144" s="2510">
        <f t="shared" si="28"/>
        <v>0</v>
      </c>
      <c r="Y144" s="2529">
        <v>2.3740000000000001</v>
      </c>
      <c r="Z144" s="2529">
        <v>49.314</v>
      </c>
    </row>
    <row r="145" spans="1:56" s="98" customFormat="1">
      <c r="A145" s="2626" t="s">
        <v>2551</v>
      </c>
      <c r="B145" s="2614" t="s">
        <v>1504</v>
      </c>
      <c r="C145" s="2588" t="s">
        <v>2552</v>
      </c>
      <c r="D145" s="2521"/>
      <c r="E145" s="2666"/>
      <c r="F145" s="2671"/>
      <c r="G145" s="2666"/>
      <c r="H145" s="2680"/>
      <c r="I145" s="2689"/>
      <c r="J145" s="2509"/>
      <c r="K145" s="2569"/>
      <c r="L145" s="2569"/>
      <c r="M145" s="2728"/>
      <c r="N145" s="2517">
        <f t="shared" si="25"/>
        <v>0</v>
      </c>
      <c r="O145" s="2568"/>
      <c r="P145" s="2586"/>
      <c r="Q145" s="2575"/>
      <c r="R145" s="2694"/>
      <c r="S145" s="2694"/>
      <c r="T145" s="2513">
        <f t="shared" si="27"/>
        <v>0</v>
      </c>
      <c r="U145" s="2571"/>
      <c r="V145" s="2571"/>
      <c r="W145" s="2585"/>
      <c r="X145" s="2510">
        <f t="shared" si="28"/>
        <v>0</v>
      </c>
      <c r="Y145" s="2585"/>
      <c r="Z145" s="2585"/>
    </row>
    <row r="146" spans="1:56" s="98" customFormat="1">
      <c r="A146" s="2626" t="s">
        <v>1929</v>
      </c>
      <c r="B146" s="2614" t="s">
        <v>1504</v>
      </c>
      <c r="C146" s="2588" t="s">
        <v>1930</v>
      </c>
      <c r="D146" s="2531"/>
      <c r="E146" s="2666"/>
      <c r="F146" s="2671"/>
      <c r="G146" s="2666"/>
      <c r="H146" s="2680"/>
      <c r="I146" s="2689"/>
      <c r="J146" s="2509"/>
      <c r="K146" s="2569"/>
      <c r="L146" s="2569"/>
      <c r="M146" s="2728"/>
      <c r="N146" s="2517">
        <f t="shared" si="25"/>
        <v>0</v>
      </c>
      <c r="O146" s="2568"/>
      <c r="P146" s="2586"/>
      <c r="Q146" s="2575"/>
      <c r="R146" s="2694"/>
      <c r="S146" s="2694"/>
      <c r="T146" s="2513">
        <f t="shared" si="27"/>
        <v>0</v>
      </c>
      <c r="U146" s="2571"/>
      <c r="V146" s="2571"/>
      <c r="W146" s="2585"/>
      <c r="X146" s="2510">
        <f t="shared" si="28"/>
        <v>0</v>
      </c>
      <c r="Y146" s="2585"/>
      <c r="Z146" s="2585"/>
    </row>
    <row r="147" spans="1:56" s="2725" customFormat="1">
      <c r="A147" s="2717"/>
      <c r="B147" s="2718" t="s">
        <v>3032</v>
      </c>
      <c r="C147" s="2716"/>
      <c r="D147" s="2719"/>
      <c r="E147" s="2720"/>
      <c r="F147" s="2720"/>
      <c r="G147" s="2721"/>
      <c r="H147" s="2720"/>
      <c r="I147" s="2720"/>
      <c r="J147" s="2720"/>
      <c r="K147" s="2722"/>
      <c r="L147" s="2722"/>
      <c r="M147" s="2723"/>
      <c r="N147" s="2715">
        <f t="shared" si="25"/>
        <v>0</v>
      </c>
      <c r="O147" s="2720"/>
      <c r="P147" s="2722"/>
      <c r="Q147" s="2722"/>
      <c r="R147" s="2722"/>
      <c r="S147" s="2722"/>
      <c r="T147" s="2724">
        <f t="shared" si="27"/>
        <v>0</v>
      </c>
      <c r="U147" s="2722"/>
      <c r="V147" s="2722"/>
      <c r="W147" s="2722"/>
      <c r="X147" s="2724">
        <f t="shared" si="28"/>
        <v>0</v>
      </c>
      <c r="Y147" s="2722"/>
      <c r="Z147" s="2722"/>
    </row>
    <row r="148" spans="1:56">
      <c r="A148" s="2535" t="s">
        <v>1781</v>
      </c>
      <c r="B148" s="2533" t="s">
        <v>1577</v>
      </c>
      <c r="C148" s="2747" t="s">
        <v>1782</v>
      </c>
      <c r="D148" s="2521">
        <f>'[7]Desglose Precios Auxiliares'!$G$127</f>
        <v>20.0505888</v>
      </c>
      <c r="E148" s="2665">
        <v>1</v>
      </c>
      <c r="F148" s="2670">
        <v>1</v>
      </c>
      <c r="G148" s="2665">
        <v>1</v>
      </c>
      <c r="H148" s="2678">
        <v>1000</v>
      </c>
      <c r="I148" s="2687" t="s">
        <v>3007</v>
      </c>
      <c r="J148" s="2509"/>
      <c r="K148" s="2566"/>
      <c r="L148" s="2566"/>
      <c r="M148" s="2726">
        <f>E148*F148*G148*H148</f>
        <v>1000</v>
      </c>
      <c r="N148" s="2517">
        <f t="shared" si="25"/>
        <v>20050.588800000001</v>
      </c>
      <c r="O148" s="2538"/>
      <c r="P148" s="2538" t="s">
        <v>3031</v>
      </c>
      <c r="Q148" s="2538" t="s">
        <v>3030</v>
      </c>
      <c r="R148" s="2658">
        <v>3.6999999999999998E-2</v>
      </c>
      <c r="S148" s="2658">
        <v>2.5</v>
      </c>
      <c r="T148" s="2513">
        <f t="shared" si="27"/>
        <v>741.87178559999995</v>
      </c>
      <c r="U148" s="2525">
        <v>0.76300000000000001</v>
      </c>
      <c r="V148" s="2525">
        <v>0.189</v>
      </c>
      <c r="W148" s="2524">
        <v>2E-3</v>
      </c>
      <c r="X148" s="2510">
        <f t="shared" si="28"/>
        <v>40.1011776</v>
      </c>
      <c r="Y148" s="2524">
        <v>2E-3</v>
      </c>
      <c r="Z148" s="2524">
        <v>0.01</v>
      </c>
    </row>
    <row r="149" spans="1:56">
      <c r="A149" s="2535" t="s">
        <v>1779</v>
      </c>
      <c r="B149" s="2533" t="s">
        <v>1577</v>
      </c>
      <c r="C149" s="2747" t="s">
        <v>1780</v>
      </c>
      <c r="D149" s="2521">
        <f>'[7]Desglose Precios Auxiliares'!$G$118</f>
        <v>55.493455944000011</v>
      </c>
      <c r="E149" s="2665">
        <v>1</v>
      </c>
      <c r="F149" s="2670">
        <v>1</v>
      </c>
      <c r="G149" s="2665">
        <v>1</v>
      </c>
      <c r="H149" s="2678">
        <v>1000</v>
      </c>
      <c r="I149" s="2687" t="s">
        <v>3007</v>
      </c>
      <c r="J149" s="2509"/>
      <c r="K149" s="2566"/>
      <c r="L149" s="2566"/>
      <c r="M149" s="2726">
        <f>E149*F149*G149*H149</f>
        <v>1000</v>
      </c>
      <c r="N149" s="2517">
        <f t="shared" si="25"/>
        <v>55493.455944000008</v>
      </c>
      <c r="O149" s="2538"/>
      <c r="P149" s="2538" t="s">
        <v>3031</v>
      </c>
      <c r="Q149" s="2538" t="s">
        <v>3030</v>
      </c>
      <c r="R149" s="2658">
        <v>3.6999999999999998E-2</v>
      </c>
      <c r="S149" s="2658">
        <v>2.5</v>
      </c>
      <c r="T149" s="2513">
        <f t="shared" si="27"/>
        <v>2053.2578699280002</v>
      </c>
      <c r="U149" s="2525">
        <v>0.76300000000000001</v>
      </c>
      <c r="V149" s="2525">
        <v>0.189</v>
      </c>
      <c r="W149" s="2524">
        <v>2E-3</v>
      </c>
      <c r="X149" s="2510">
        <f t="shared" si="28"/>
        <v>110.98691188800002</v>
      </c>
      <c r="Y149" s="2524">
        <v>2E-3</v>
      </c>
      <c r="Z149" s="2524">
        <v>0.01</v>
      </c>
    </row>
    <row r="150" spans="1:56" ht="15" customHeight="1">
      <c r="A150" s="2544" t="s">
        <v>1168</v>
      </c>
      <c r="B150" s="2543" t="s">
        <v>1507</v>
      </c>
      <c r="C150" s="2542" t="s">
        <v>2397</v>
      </c>
      <c r="D150" s="2521">
        <f>'[7]Precios Recuperación (PUSD)'!$H$2400</f>
        <v>1216.0574999999999</v>
      </c>
      <c r="E150" s="2667">
        <v>1</v>
      </c>
      <c r="F150" s="2660">
        <v>1</v>
      </c>
      <c r="G150" s="2667">
        <v>0.01</v>
      </c>
      <c r="H150" s="2681">
        <v>15</v>
      </c>
      <c r="I150" s="2690" t="s">
        <v>2900</v>
      </c>
      <c r="J150" s="2509">
        <f>E150*F150*G150*H150</f>
        <v>0.15</v>
      </c>
      <c r="K150" s="2536">
        <v>101.97</v>
      </c>
      <c r="L150" s="2536"/>
      <c r="M150" s="2726">
        <f t="shared" ref="M150" si="30">J150*K150</f>
        <v>15.295499999999999</v>
      </c>
      <c r="N150" s="2517">
        <f t="shared" si="25"/>
        <v>18600.207491249996</v>
      </c>
      <c r="O150" s="2541" t="s">
        <v>2899</v>
      </c>
      <c r="P150" s="2541" t="s">
        <v>3029</v>
      </c>
      <c r="Q150" s="2514" t="s">
        <v>3028</v>
      </c>
      <c r="R150" s="2751">
        <v>6.05</v>
      </c>
      <c r="S150" s="2751">
        <v>2.5</v>
      </c>
      <c r="T150" s="2513">
        <f t="shared" si="27"/>
        <v>112531.25532206248</v>
      </c>
      <c r="U150" s="2540">
        <v>0.82499999999999996</v>
      </c>
      <c r="V150" s="2540">
        <v>0.122</v>
      </c>
      <c r="W150" s="2529">
        <v>0.33500000000000002</v>
      </c>
      <c r="X150" s="2510">
        <f t="shared" si="28"/>
        <v>6231.0695095687497</v>
      </c>
      <c r="Y150" s="2529">
        <v>0.35099999999999998</v>
      </c>
      <c r="Z150" s="2529">
        <v>0.74199999999999999</v>
      </c>
      <c r="AN150" s="2570"/>
      <c r="AO150" s="2570"/>
      <c r="AP150" s="2570"/>
      <c r="AQ150" s="2570"/>
      <c r="AR150" s="2570"/>
      <c r="AS150" s="2570"/>
      <c r="AT150" s="2570"/>
      <c r="AU150" s="2570"/>
      <c r="AV150" s="2570"/>
      <c r="AW150" s="2570"/>
      <c r="AX150" s="2570"/>
      <c r="AY150" s="2570"/>
      <c r="AZ150" s="2570"/>
      <c r="BA150" s="2570"/>
      <c r="BB150" s="2570"/>
    </row>
    <row r="151" spans="1:56" s="2725" customFormat="1">
      <c r="A151" s="2717"/>
      <c r="B151" s="2718" t="s">
        <v>3051</v>
      </c>
      <c r="C151" s="2716"/>
      <c r="D151" s="2719"/>
      <c r="E151" s="2720"/>
      <c r="F151" s="2720"/>
      <c r="G151" s="2721"/>
      <c r="H151" s="2720"/>
      <c r="I151" s="2720"/>
      <c r="J151" s="2720"/>
      <c r="K151" s="2722"/>
      <c r="L151" s="2722"/>
      <c r="M151" s="2723"/>
      <c r="N151" s="2715">
        <f t="shared" si="8"/>
        <v>0</v>
      </c>
      <c r="O151" s="2720"/>
      <c r="P151" s="2722"/>
      <c r="Q151" s="2722"/>
      <c r="R151" s="2722"/>
      <c r="S151" s="2722"/>
      <c r="T151" s="2724">
        <f t="shared" si="9"/>
        <v>0</v>
      </c>
      <c r="U151" s="2722"/>
      <c r="V151" s="2722"/>
      <c r="W151" s="2722"/>
      <c r="X151" s="2724">
        <f t="shared" si="10"/>
        <v>0</v>
      </c>
      <c r="Y151" s="2722"/>
      <c r="Z151" s="2722"/>
    </row>
    <row r="152" spans="1:56" s="98" customFormat="1" ht="15" customHeight="1">
      <c r="A152" s="2544" t="s">
        <v>2442</v>
      </c>
      <c r="B152" s="2543" t="s">
        <v>1504</v>
      </c>
      <c r="C152" s="2542" t="s">
        <v>2443</v>
      </c>
      <c r="D152" s="2521">
        <f>'[7]Precios Recuperación (PUSD)'!$H$1663</f>
        <v>40</v>
      </c>
      <c r="E152" s="2665">
        <v>1.5</v>
      </c>
      <c r="F152" s="2670">
        <v>0.628</v>
      </c>
      <c r="G152" s="2665">
        <v>0.01</v>
      </c>
      <c r="H152" s="2678">
        <v>76</v>
      </c>
      <c r="I152" s="2687" t="s">
        <v>2900</v>
      </c>
      <c r="J152" s="2509">
        <f t="shared" si="4"/>
        <v>0.71592</v>
      </c>
      <c r="K152" s="2529">
        <v>101.97</v>
      </c>
      <c r="L152" s="2529"/>
      <c r="M152" s="2726">
        <f t="shared" si="7"/>
        <v>73.002362399999996</v>
      </c>
      <c r="N152" s="2517">
        <f t="shared" si="8"/>
        <v>2920.0944959999997</v>
      </c>
      <c r="O152" s="2527" t="s">
        <v>2899</v>
      </c>
      <c r="P152" s="2541" t="s">
        <v>3050</v>
      </c>
      <c r="Q152" s="2514" t="s">
        <v>3049</v>
      </c>
      <c r="R152" s="2701">
        <v>25</v>
      </c>
      <c r="S152" s="2701"/>
      <c r="T152" s="2513">
        <f t="shared" si="9"/>
        <v>73002.362399999998</v>
      </c>
      <c r="U152" s="2540">
        <v>0.86799999999999999</v>
      </c>
      <c r="V152" s="2540">
        <v>0.109</v>
      </c>
      <c r="W152" s="2529">
        <v>1.343</v>
      </c>
      <c r="X152" s="2510">
        <f t="shared" si="10"/>
        <v>3921.6869081279997</v>
      </c>
      <c r="Y152" s="2529">
        <v>1.47</v>
      </c>
      <c r="Z152" s="2530">
        <v>2.823</v>
      </c>
      <c r="AA152" s="485"/>
      <c r="AB152" s="485"/>
      <c r="AC152" s="485"/>
      <c r="AD152" s="485"/>
      <c r="AE152" s="485"/>
      <c r="AF152" s="485"/>
      <c r="AG152" s="485"/>
      <c r="AH152" s="485"/>
      <c r="AI152" s="485"/>
      <c r="AJ152" s="485"/>
      <c r="AK152" s="485"/>
      <c r="AL152" s="485"/>
      <c r="AM152" s="485"/>
      <c r="AN152" s="2570"/>
      <c r="AO152" s="2570"/>
      <c r="AP152" s="2570"/>
      <c r="AQ152" s="2570"/>
      <c r="AR152" s="2570"/>
      <c r="AS152" s="2570"/>
      <c r="AT152" s="2570"/>
      <c r="AU152" s="2570"/>
      <c r="AV152" s="2570"/>
      <c r="AW152" s="2570"/>
      <c r="AX152" s="2570"/>
      <c r="AY152" s="2570"/>
      <c r="AZ152" s="2570"/>
      <c r="BA152" s="2570"/>
      <c r="BB152" s="2570"/>
    </row>
    <row r="153" spans="1:56" s="2725" customFormat="1">
      <c r="A153" s="2717"/>
      <c r="B153" s="2718" t="s">
        <v>3046</v>
      </c>
      <c r="C153" s="2716"/>
      <c r="D153" s="2719"/>
      <c r="E153" s="2720"/>
      <c r="F153" s="2720"/>
      <c r="G153" s="2721"/>
      <c r="H153" s="2720"/>
      <c r="I153" s="2720"/>
      <c r="J153" s="2720"/>
      <c r="K153" s="2722"/>
      <c r="L153" s="2722"/>
      <c r="M153" s="2723"/>
      <c r="N153" s="2715">
        <f t="shared" si="8"/>
        <v>0</v>
      </c>
      <c r="O153" s="2720"/>
      <c r="P153" s="2722"/>
      <c r="Q153" s="2722"/>
      <c r="R153" s="2722"/>
      <c r="S153" s="2722"/>
      <c r="T153" s="2724">
        <f t="shared" si="9"/>
        <v>0</v>
      </c>
      <c r="U153" s="2722"/>
      <c r="V153" s="2722"/>
      <c r="W153" s="2722"/>
      <c r="X153" s="2724">
        <f t="shared" si="10"/>
        <v>0</v>
      </c>
      <c r="Y153" s="2722"/>
      <c r="Z153" s="2722"/>
    </row>
    <row r="154" spans="1:56" s="2503" customFormat="1" ht="15" customHeight="1">
      <c r="A154" s="2535" t="s">
        <v>1113</v>
      </c>
      <c r="B154" s="2533" t="s">
        <v>1517</v>
      </c>
      <c r="C154" s="2522" t="s">
        <v>1537</v>
      </c>
      <c r="D154" s="2607">
        <f>'[7]Precios Recuperación (PUSD)'!$H$864</f>
        <v>6.1800000000000001E-2</v>
      </c>
      <c r="E154" s="2665">
        <v>1</v>
      </c>
      <c r="F154" s="2670">
        <v>1</v>
      </c>
      <c r="G154" s="2665">
        <v>1</v>
      </c>
      <c r="H154" s="2661">
        <v>25</v>
      </c>
      <c r="I154" s="2687" t="s">
        <v>2900</v>
      </c>
      <c r="J154" s="2509">
        <f t="shared" ref="J154:J207" si="31">E154*F154*G154*H154</f>
        <v>25</v>
      </c>
      <c r="K154" s="2550">
        <v>101.97</v>
      </c>
      <c r="L154" s="2550"/>
      <c r="M154" s="2726">
        <f t="shared" si="7"/>
        <v>2549.25</v>
      </c>
      <c r="N154" s="2517">
        <f t="shared" si="8"/>
        <v>157.54365000000001</v>
      </c>
      <c r="O154" s="2527" t="s">
        <v>2899</v>
      </c>
      <c r="P154" s="2541" t="s">
        <v>3043</v>
      </c>
      <c r="Q154" s="2514" t="s">
        <v>3042</v>
      </c>
      <c r="R154" s="2698">
        <v>1E-3</v>
      </c>
      <c r="S154" s="2698"/>
      <c r="T154" s="2513">
        <f t="shared" si="9"/>
        <v>0.15754365000000001</v>
      </c>
      <c r="U154" s="2540">
        <v>0.78800000000000003</v>
      </c>
      <c r="V154" s="2540">
        <v>0.154</v>
      </c>
      <c r="W154" s="2530">
        <v>0.11</v>
      </c>
      <c r="X154" s="2510">
        <f t="shared" si="10"/>
        <v>17.329801500000002</v>
      </c>
      <c r="Y154" s="2529">
        <v>0.112</v>
      </c>
      <c r="Z154" s="2529">
        <v>0.23499999999999999</v>
      </c>
      <c r="AA154" s="485"/>
      <c r="AB154" s="485"/>
      <c r="AC154" s="2570"/>
      <c r="AD154" s="2570"/>
      <c r="AE154" s="2570"/>
      <c r="AF154" s="2570"/>
      <c r="AG154" s="2570"/>
      <c r="AH154" s="2570"/>
      <c r="AI154" s="2570"/>
      <c r="AJ154" s="2570"/>
      <c r="AK154" s="2570"/>
      <c r="AL154" s="2570"/>
      <c r="AM154" s="2570"/>
      <c r="AN154" s="2570"/>
      <c r="AO154" s="2570"/>
      <c r="AP154" s="2570"/>
      <c r="AQ154" s="2570"/>
      <c r="AR154" s="2570"/>
      <c r="AS154" s="2570"/>
      <c r="AT154" s="2570"/>
      <c r="AU154" s="2570"/>
      <c r="AV154" s="2570"/>
      <c r="AW154" s="2570"/>
      <c r="AX154" s="2570"/>
      <c r="AY154" s="2570"/>
      <c r="AZ154" s="2570"/>
      <c r="BA154" s="2570"/>
      <c r="BB154" s="2570"/>
      <c r="BC154" s="2570"/>
      <c r="BD154" s="2570"/>
    </row>
    <row r="155" spans="1:56" s="2570" customFormat="1" ht="18" customHeight="1">
      <c r="A155" s="2535" t="s">
        <v>1095</v>
      </c>
      <c r="B155" s="2533" t="s">
        <v>1517</v>
      </c>
      <c r="C155" s="2522" t="s">
        <v>3045</v>
      </c>
      <c r="D155" s="2607">
        <f>'[7]Precios Recuperación (PUSD)'!$H$864</f>
        <v>6.1800000000000001E-2</v>
      </c>
      <c r="E155" s="2665">
        <v>1</v>
      </c>
      <c r="F155" s="2670">
        <v>1</v>
      </c>
      <c r="G155" s="2665">
        <v>1</v>
      </c>
      <c r="H155" s="2661">
        <v>20</v>
      </c>
      <c r="I155" s="2687" t="s">
        <v>2900</v>
      </c>
      <c r="J155" s="2509">
        <f t="shared" si="31"/>
        <v>20</v>
      </c>
      <c r="K155" s="2550">
        <v>101.97</v>
      </c>
      <c r="L155" s="2550"/>
      <c r="M155" s="2726">
        <f t="shared" si="7"/>
        <v>2039.4</v>
      </c>
      <c r="N155" s="2517">
        <f t="shared" si="8"/>
        <v>126.03492000000001</v>
      </c>
      <c r="O155" s="2527" t="s">
        <v>2899</v>
      </c>
      <c r="P155" s="2541" t="s">
        <v>3043</v>
      </c>
      <c r="Q155" s="2514" t="s">
        <v>3042</v>
      </c>
      <c r="R155" s="2698">
        <v>1E-3</v>
      </c>
      <c r="S155" s="2698"/>
      <c r="T155" s="2513">
        <f t="shared" si="9"/>
        <v>0.12603491999999999</v>
      </c>
      <c r="U155" s="2540">
        <v>0.78800000000000003</v>
      </c>
      <c r="V155" s="2540">
        <v>0.154</v>
      </c>
      <c r="W155" s="2530">
        <v>0.11</v>
      </c>
      <c r="X155" s="2510">
        <f t="shared" si="10"/>
        <v>13.8638412</v>
      </c>
      <c r="Y155" s="2529">
        <v>0.112</v>
      </c>
      <c r="Z155" s="2529">
        <v>0.23499999999999999</v>
      </c>
    </row>
    <row r="156" spans="1:56" s="2570" customFormat="1" ht="17.25" customHeight="1">
      <c r="A156" s="2562" t="s">
        <v>1092</v>
      </c>
      <c r="B156" s="2561" t="s">
        <v>1517</v>
      </c>
      <c r="C156" s="2561" t="s">
        <v>3044</v>
      </c>
      <c r="D156" s="2632">
        <f>'[7]Precios Recuperación (PUSD)'!$H$548</f>
        <v>4.3739999999999997</v>
      </c>
      <c r="E156" s="2665">
        <v>1</v>
      </c>
      <c r="F156" s="2670">
        <v>1</v>
      </c>
      <c r="G156" s="2665">
        <v>1</v>
      </c>
      <c r="H156" s="2661">
        <v>20</v>
      </c>
      <c r="I156" s="2687" t="s">
        <v>2900</v>
      </c>
      <c r="J156" s="2509">
        <f t="shared" si="31"/>
        <v>20</v>
      </c>
      <c r="K156" s="2550">
        <v>101.97</v>
      </c>
      <c r="L156" s="2550"/>
      <c r="M156" s="2726">
        <f t="shared" si="7"/>
        <v>2039.4</v>
      </c>
      <c r="N156" s="2517">
        <f t="shared" si="8"/>
        <v>8920.3356000000003</v>
      </c>
      <c r="O156" s="2527" t="s">
        <v>2899</v>
      </c>
      <c r="P156" s="2541" t="s">
        <v>3043</v>
      </c>
      <c r="Q156" s="2514" t="s">
        <v>3042</v>
      </c>
      <c r="R156" s="2698">
        <v>1E-3</v>
      </c>
      <c r="S156" s="2698"/>
      <c r="T156" s="2513">
        <f t="shared" si="9"/>
        <v>8.9203355999999996</v>
      </c>
      <c r="U156" s="2540">
        <v>0.78800000000000003</v>
      </c>
      <c r="V156" s="2540">
        <v>0.154</v>
      </c>
      <c r="W156" s="2530">
        <v>0.11</v>
      </c>
      <c r="X156" s="2510">
        <f t="shared" si="10"/>
        <v>981.23691599999995</v>
      </c>
      <c r="Y156" s="2529">
        <v>0.112</v>
      </c>
      <c r="Z156" s="2529">
        <v>0.23499999999999999</v>
      </c>
      <c r="AA156" s="2631"/>
      <c r="AB156" s="2631"/>
      <c r="AC156" s="2631"/>
      <c r="AD156" s="2631"/>
      <c r="AE156" s="2631"/>
      <c r="AF156" s="2631"/>
      <c r="AG156" s="2631"/>
      <c r="AH156" s="2631"/>
      <c r="AI156" s="2631"/>
      <c r="AJ156" s="2631"/>
      <c r="AK156" s="2631"/>
      <c r="AL156" s="2631"/>
      <c r="AM156" s="2631"/>
      <c r="AN156" s="2631"/>
      <c r="AO156" s="2631"/>
      <c r="AP156" s="2631"/>
      <c r="AQ156" s="2631"/>
      <c r="AR156" s="2631"/>
      <c r="AS156" s="2631"/>
      <c r="AT156" s="2631"/>
      <c r="AU156" s="2631"/>
      <c r="AV156" s="2631"/>
      <c r="AW156" s="2631"/>
      <c r="AX156" s="2631"/>
      <c r="AY156" s="2631"/>
      <c r="AZ156" s="2631"/>
      <c r="BA156" s="2631"/>
      <c r="BB156" s="2631"/>
    </row>
    <row r="157" spans="1:56" s="2631" customFormat="1" ht="15.75" customHeight="1">
      <c r="A157" s="2535" t="s">
        <v>1093</v>
      </c>
      <c r="B157" s="2533" t="s">
        <v>1517</v>
      </c>
      <c r="C157" s="2522" t="s">
        <v>2727</v>
      </c>
      <c r="D157" s="2607"/>
      <c r="E157" s="2665">
        <v>1</v>
      </c>
      <c r="F157" s="2670">
        <v>1</v>
      </c>
      <c r="G157" s="2665">
        <v>1</v>
      </c>
      <c r="H157" s="2661">
        <v>30</v>
      </c>
      <c r="I157" s="2687" t="s">
        <v>2900</v>
      </c>
      <c r="J157" s="2509">
        <f t="shared" si="31"/>
        <v>30</v>
      </c>
      <c r="K157" s="2550">
        <v>101.97</v>
      </c>
      <c r="L157" s="2550"/>
      <c r="M157" s="2726">
        <f t="shared" si="7"/>
        <v>3059.1</v>
      </c>
      <c r="N157" s="2517">
        <f t="shared" si="8"/>
        <v>0</v>
      </c>
      <c r="O157" s="2527" t="s">
        <v>2899</v>
      </c>
      <c r="P157" s="2541" t="s">
        <v>3043</v>
      </c>
      <c r="Q157" s="2514" t="s">
        <v>3042</v>
      </c>
      <c r="R157" s="2698">
        <v>1E-3</v>
      </c>
      <c r="S157" s="2698"/>
      <c r="T157" s="2513">
        <f t="shared" si="9"/>
        <v>0</v>
      </c>
      <c r="U157" s="2540">
        <v>0.78800000000000003</v>
      </c>
      <c r="V157" s="2540">
        <v>0.154</v>
      </c>
      <c r="W157" s="2530">
        <v>0.11</v>
      </c>
      <c r="X157" s="2510">
        <f t="shared" si="10"/>
        <v>0</v>
      </c>
      <c r="Y157" s="2529">
        <v>0.112</v>
      </c>
      <c r="Z157" s="2529">
        <v>0.23499999999999999</v>
      </c>
      <c r="AA157" s="2570"/>
      <c r="AB157" s="2570"/>
      <c r="AC157" s="2570"/>
      <c r="AD157" s="2570"/>
      <c r="AE157" s="2570"/>
      <c r="AF157" s="2570"/>
      <c r="AG157" s="2570"/>
      <c r="AH157" s="2570"/>
      <c r="AI157" s="2570"/>
      <c r="AJ157" s="2570"/>
      <c r="AK157" s="2570"/>
      <c r="AL157" s="2570"/>
      <c r="AM157" s="2570"/>
      <c r="AN157" s="2570"/>
      <c r="AO157" s="2570"/>
      <c r="AP157" s="2570"/>
      <c r="AQ157" s="2570"/>
      <c r="AR157" s="2570"/>
      <c r="AS157" s="2570"/>
      <c r="AT157" s="2570"/>
      <c r="AU157" s="2570"/>
      <c r="AV157" s="2570"/>
      <c r="AW157" s="2570"/>
      <c r="AX157" s="2570"/>
      <c r="AY157" s="2570"/>
      <c r="AZ157" s="2570"/>
      <c r="BA157" s="2570"/>
      <c r="BB157" s="2570"/>
    </row>
    <row r="158" spans="1:56" s="2570" customFormat="1" ht="15" customHeight="1">
      <c r="A158" s="2544" t="s">
        <v>1115</v>
      </c>
      <c r="B158" s="2543" t="s">
        <v>1527</v>
      </c>
      <c r="C158" s="2542" t="s">
        <v>1536</v>
      </c>
      <c r="D158" s="2521"/>
      <c r="E158" s="2667">
        <v>1</v>
      </c>
      <c r="F158" s="2660">
        <v>7.4999999999999997E-2</v>
      </c>
      <c r="G158" s="2667">
        <v>0.22</v>
      </c>
      <c r="H158" s="2681">
        <v>25</v>
      </c>
      <c r="I158" s="2690" t="s">
        <v>2900</v>
      </c>
      <c r="J158" s="2509">
        <f t="shared" si="31"/>
        <v>0.41250000000000003</v>
      </c>
      <c r="K158" s="2536">
        <v>101.97</v>
      </c>
      <c r="L158" s="2536"/>
      <c r="M158" s="2726">
        <f t="shared" si="7"/>
        <v>42.062625000000004</v>
      </c>
      <c r="N158" s="2517">
        <f t="shared" si="8"/>
        <v>0</v>
      </c>
      <c r="O158" s="2527" t="s">
        <v>2899</v>
      </c>
      <c r="P158" s="2541" t="s">
        <v>3043</v>
      </c>
      <c r="Q158" s="2514" t="s">
        <v>3042</v>
      </c>
      <c r="R158" s="2698">
        <v>1.0009999999999999</v>
      </c>
      <c r="S158" s="2698"/>
      <c r="T158" s="2513">
        <f t="shared" si="9"/>
        <v>0</v>
      </c>
      <c r="U158" s="2540">
        <v>0.78800000000000003</v>
      </c>
      <c r="V158" s="2540">
        <v>0.154</v>
      </c>
      <c r="W158" s="2530">
        <v>1.1100000000000001</v>
      </c>
      <c r="X158" s="2510">
        <f t="shared" si="10"/>
        <v>0</v>
      </c>
      <c r="Y158" s="2529">
        <v>0.112</v>
      </c>
      <c r="Z158" s="2529">
        <v>0.23499999999999999</v>
      </c>
      <c r="AA158" s="2503"/>
      <c r="AB158" s="2503"/>
      <c r="AC158" s="2503"/>
      <c r="AD158" s="2503"/>
      <c r="AE158" s="2503"/>
      <c r="AF158" s="2503"/>
      <c r="AG158" s="2503"/>
      <c r="AH158" s="2503"/>
      <c r="AI158" s="2503"/>
      <c r="AJ158" s="2503"/>
      <c r="AK158" s="2503"/>
      <c r="AL158" s="2503"/>
      <c r="AM158" s="2503"/>
      <c r="AN158" s="2503"/>
      <c r="AO158" s="2503"/>
      <c r="AP158" s="2503"/>
      <c r="AQ158" s="2503"/>
      <c r="AR158" s="2503"/>
      <c r="AS158" s="2503"/>
      <c r="AT158" s="2503"/>
      <c r="AU158" s="2503"/>
      <c r="AV158" s="2503"/>
      <c r="AW158" s="2503"/>
      <c r="AX158" s="2503"/>
      <c r="AY158" s="2503"/>
      <c r="AZ158" s="2503"/>
      <c r="BA158" s="2503"/>
      <c r="BB158" s="2503"/>
    </row>
    <row r="159" spans="1:56" s="2570" customFormat="1" ht="15" customHeight="1">
      <c r="A159" s="2544" t="s">
        <v>1915</v>
      </c>
      <c r="B159" s="2543" t="s">
        <v>1527</v>
      </c>
      <c r="C159" s="2542" t="s">
        <v>1916</v>
      </c>
      <c r="D159" s="2521">
        <f>'[7]Precios Recuperación (PUSD)'!$H$2413</f>
        <v>108.968</v>
      </c>
      <c r="E159" s="2667">
        <v>1</v>
      </c>
      <c r="F159" s="2660">
        <v>0.3</v>
      </c>
      <c r="G159" s="2667">
        <v>0.03</v>
      </c>
      <c r="H159" s="2681">
        <v>26</v>
      </c>
      <c r="I159" s="2690" t="s">
        <v>2900</v>
      </c>
      <c r="J159" s="2509">
        <f t="shared" si="31"/>
        <v>0.23399999999999999</v>
      </c>
      <c r="K159" s="2536">
        <v>101.97</v>
      </c>
      <c r="L159" s="2536"/>
      <c r="M159" s="2726">
        <f t="shared" si="7"/>
        <v>23.860979999999998</v>
      </c>
      <c r="N159" s="2517">
        <f t="shared" si="8"/>
        <v>2600.0832686399999</v>
      </c>
      <c r="O159" s="2537" t="s">
        <v>2899</v>
      </c>
      <c r="P159" s="2541" t="s">
        <v>3041</v>
      </c>
      <c r="Q159" s="2514" t="s">
        <v>3040</v>
      </c>
      <c r="R159" s="2698">
        <v>1.37</v>
      </c>
      <c r="S159" s="2698"/>
      <c r="T159" s="2513">
        <f t="shared" si="9"/>
        <v>3562.1140780368005</v>
      </c>
      <c r="U159" s="2540">
        <v>0.747</v>
      </c>
      <c r="V159" s="2540">
        <v>0.17799999999999999</v>
      </c>
      <c r="W159" s="2529">
        <v>0.22500000000000001</v>
      </c>
      <c r="X159" s="2510">
        <f t="shared" si="10"/>
        <v>585.01873544399996</v>
      </c>
      <c r="Y159" s="2529">
        <v>0.23100000000000001</v>
      </c>
      <c r="Z159" s="2527">
        <v>0.47899999999999998</v>
      </c>
      <c r="AA159" s="485"/>
      <c r="AB159" s="485"/>
      <c r="AC159" s="485"/>
      <c r="AD159" s="485"/>
      <c r="AE159" s="485"/>
      <c r="AF159" s="485"/>
      <c r="AG159" s="485"/>
      <c r="AH159" s="485"/>
      <c r="AI159" s="485"/>
      <c r="AJ159" s="485"/>
      <c r="AK159" s="485"/>
      <c r="AL159" s="485"/>
      <c r="AM159" s="485"/>
    </row>
    <row r="160" spans="1:56" ht="15" customHeight="1">
      <c r="A160" s="2544" t="s">
        <v>1922</v>
      </c>
      <c r="B160" s="2543" t="s">
        <v>1527</v>
      </c>
      <c r="C160" s="2542" t="s">
        <v>1923</v>
      </c>
      <c r="D160" s="2521">
        <f>'[7]Precios Recuperación (PUSD)'!$H$2426</f>
        <v>36.366</v>
      </c>
      <c r="E160" s="2667">
        <v>1</v>
      </c>
      <c r="F160" s="2660">
        <v>0.3</v>
      </c>
      <c r="G160" s="2667">
        <v>0.05</v>
      </c>
      <c r="H160" s="2681">
        <v>26</v>
      </c>
      <c r="I160" s="2690" t="s">
        <v>2900</v>
      </c>
      <c r="J160" s="2509">
        <f t="shared" si="31"/>
        <v>0.39</v>
      </c>
      <c r="K160" s="2536">
        <v>101.97</v>
      </c>
      <c r="L160" s="2536"/>
      <c r="M160" s="2726">
        <f t="shared" si="7"/>
        <v>39.768300000000004</v>
      </c>
      <c r="N160" s="2517">
        <f t="shared" si="8"/>
        <v>1446.2139978</v>
      </c>
      <c r="O160" s="2537" t="s">
        <v>2899</v>
      </c>
      <c r="P160" s="2541" t="s">
        <v>3041</v>
      </c>
      <c r="Q160" s="2514" t="s">
        <v>3040</v>
      </c>
      <c r="R160" s="2698">
        <v>1.37</v>
      </c>
      <c r="S160" s="2698"/>
      <c r="T160" s="2513">
        <f t="shared" si="9"/>
        <v>1981.3131769860001</v>
      </c>
      <c r="U160" s="2540">
        <v>0.747</v>
      </c>
      <c r="V160" s="2540">
        <v>0.17799999999999999</v>
      </c>
      <c r="W160" s="2529">
        <v>0.22500000000000001</v>
      </c>
      <c r="X160" s="2510">
        <f t="shared" si="10"/>
        <v>325.39814950500005</v>
      </c>
      <c r="Y160" s="2529">
        <v>0.23100000000000001</v>
      </c>
      <c r="Z160" s="2529">
        <v>0.47899999999999998</v>
      </c>
      <c r="AN160" s="2570"/>
      <c r="AO160" s="2570"/>
      <c r="AP160" s="2570"/>
      <c r="AQ160" s="2570"/>
      <c r="AR160" s="2570"/>
      <c r="AS160" s="2570"/>
      <c r="AT160" s="2570"/>
      <c r="AU160" s="2570"/>
      <c r="AV160" s="2570"/>
      <c r="AW160" s="2570"/>
      <c r="AX160" s="2570"/>
      <c r="AY160" s="2570"/>
      <c r="AZ160" s="2570"/>
      <c r="BA160" s="2570"/>
      <c r="BB160" s="2570"/>
    </row>
    <row r="161" spans="1:54" ht="15" customHeight="1">
      <c r="A161" s="2630" t="s">
        <v>1098</v>
      </c>
      <c r="B161" s="2533" t="s">
        <v>1507</v>
      </c>
      <c r="C161" s="2551" t="s">
        <v>1525</v>
      </c>
      <c r="D161" s="2629"/>
      <c r="E161" s="2667">
        <v>1</v>
      </c>
      <c r="F161" s="2660">
        <v>1</v>
      </c>
      <c r="G161" s="2667">
        <v>0.05</v>
      </c>
      <c r="H161" s="2681">
        <v>25</v>
      </c>
      <c r="I161" s="2690" t="s">
        <v>2900</v>
      </c>
      <c r="J161" s="2509">
        <f t="shared" si="31"/>
        <v>1.25</v>
      </c>
      <c r="K161" s="2536">
        <v>101.97</v>
      </c>
      <c r="L161" s="2536"/>
      <c r="M161" s="2726">
        <f t="shared" si="7"/>
        <v>127.46250000000001</v>
      </c>
      <c r="N161" s="2517">
        <f t="shared" si="8"/>
        <v>0</v>
      </c>
      <c r="O161" s="2527" t="s">
        <v>2899</v>
      </c>
      <c r="P161" s="2541" t="s">
        <v>3043</v>
      </c>
      <c r="Q161" s="2514" t="s">
        <v>3042</v>
      </c>
      <c r="R161" s="2698">
        <v>1.0009999999999999</v>
      </c>
      <c r="S161" s="2701">
        <v>2</v>
      </c>
      <c r="T161" s="2513">
        <f t="shared" si="9"/>
        <v>0</v>
      </c>
      <c r="U161" s="2540">
        <v>0.78800000000000003</v>
      </c>
      <c r="V161" s="2540">
        <v>0.154</v>
      </c>
      <c r="W161" s="2530">
        <v>1.1100000000000001</v>
      </c>
      <c r="X161" s="2510">
        <f t="shared" si="10"/>
        <v>0</v>
      </c>
      <c r="Y161" s="2529">
        <v>0.112</v>
      </c>
      <c r="Z161" s="2529">
        <v>0.23499999999999999</v>
      </c>
    </row>
    <row r="162" spans="1:54" ht="19.5" customHeight="1">
      <c r="A162" s="2535" t="s">
        <v>1649</v>
      </c>
      <c r="B162" s="2533" t="s">
        <v>1527</v>
      </c>
      <c r="C162" s="2522" t="s">
        <v>1650</v>
      </c>
      <c r="D162" s="2607"/>
      <c r="E162" s="2667">
        <v>3.1415000000000002</v>
      </c>
      <c r="F162" s="2660">
        <v>0.2</v>
      </c>
      <c r="G162" s="2667">
        <v>0.03</v>
      </c>
      <c r="H162" s="2681">
        <v>25</v>
      </c>
      <c r="I162" s="2690" t="s">
        <v>2900</v>
      </c>
      <c r="J162" s="2509">
        <f t="shared" si="31"/>
        <v>0.471225</v>
      </c>
      <c r="K162" s="2536">
        <v>101.97</v>
      </c>
      <c r="L162" s="2536"/>
      <c r="M162" s="2726">
        <f t="shared" si="7"/>
        <v>48.050813249999997</v>
      </c>
      <c r="N162" s="2517">
        <f t="shared" si="8"/>
        <v>0</v>
      </c>
      <c r="O162" s="2527" t="s">
        <v>2899</v>
      </c>
      <c r="P162" s="2541" t="s">
        <v>3041</v>
      </c>
      <c r="Q162" s="2514" t="s">
        <v>3040</v>
      </c>
      <c r="R162" s="2698">
        <v>1.37</v>
      </c>
      <c r="S162" s="2698"/>
      <c r="T162" s="2513">
        <f t="shared" si="9"/>
        <v>0</v>
      </c>
      <c r="U162" s="2540">
        <v>0.747</v>
      </c>
      <c r="V162" s="2540">
        <v>0.17799999999999999</v>
      </c>
      <c r="W162" s="2529">
        <v>0.22500000000000001</v>
      </c>
      <c r="X162" s="2510">
        <f t="shared" si="10"/>
        <v>0</v>
      </c>
      <c r="Y162" s="2529">
        <v>0.23100000000000001</v>
      </c>
      <c r="Z162" s="2529">
        <v>0.47899999999999998</v>
      </c>
      <c r="AA162" s="2570"/>
      <c r="AB162" s="2570"/>
      <c r="AC162" s="2570"/>
      <c r="AD162" s="2570"/>
      <c r="AE162" s="2570"/>
      <c r="AF162" s="2570"/>
      <c r="AG162" s="2570"/>
      <c r="AH162" s="2570"/>
      <c r="AI162" s="2570"/>
      <c r="AJ162" s="2570"/>
      <c r="AK162" s="2570"/>
      <c r="AL162" s="2570"/>
      <c r="AM162" s="2570"/>
      <c r="AN162" s="2570"/>
      <c r="AO162" s="2570"/>
      <c r="AP162" s="2570"/>
      <c r="AQ162" s="2570"/>
      <c r="AR162" s="2570"/>
      <c r="AS162" s="2570"/>
      <c r="AT162" s="2570"/>
      <c r="AU162" s="2570"/>
      <c r="AV162" s="2570"/>
      <c r="AW162" s="2570"/>
      <c r="AX162" s="2570"/>
      <c r="AY162" s="2570"/>
      <c r="AZ162" s="2570"/>
      <c r="BA162" s="2570"/>
      <c r="BB162" s="2570"/>
    </row>
    <row r="163" spans="1:54" s="2725" customFormat="1">
      <c r="A163" s="2717"/>
      <c r="B163" s="2718" t="s">
        <v>2980</v>
      </c>
      <c r="C163" s="2716"/>
      <c r="D163" s="2719"/>
      <c r="E163" s="2720"/>
      <c r="F163" s="2720"/>
      <c r="G163" s="2721"/>
      <c r="H163" s="2720"/>
      <c r="I163" s="2720"/>
      <c r="J163" s="2720"/>
      <c r="K163" s="2722"/>
      <c r="L163" s="2722"/>
      <c r="M163" s="2723"/>
      <c r="N163" s="2715">
        <f t="shared" ref="N163:N202" si="32">D163*M163</f>
        <v>0</v>
      </c>
      <c r="O163" s="2720"/>
      <c r="P163" s="2722"/>
      <c r="Q163" s="2722"/>
      <c r="R163" s="2722"/>
      <c r="S163" s="2722"/>
      <c r="T163" s="2724">
        <f t="shared" ref="T163:T202" si="33">M163*R163*D163</f>
        <v>0</v>
      </c>
      <c r="U163" s="2722"/>
      <c r="V163" s="2722"/>
      <c r="W163" s="2722"/>
      <c r="X163" s="2724">
        <f t="shared" ref="X163:X202" si="34">M163*W163*D163</f>
        <v>0</v>
      </c>
      <c r="Y163" s="2722"/>
      <c r="Z163" s="2722"/>
    </row>
    <row r="164" spans="1:54" s="2503" customFormat="1" ht="15" customHeight="1">
      <c r="A164" s="2615" t="s">
        <v>2499</v>
      </c>
      <c r="B164" s="2614" t="s">
        <v>1504</v>
      </c>
      <c r="C164" s="2613" t="s">
        <v>2500</v>
      </c>
      <c r="D164" s="2521"/>
      <c r="E164" s="2667">
        <v>0.35</v>
      </c>
      <c r="F164" s="2660">
        <v>0.1</v>
      </c>
      <c r="G164" s="2667">
        <v>0.05</v>
      </c>
      <c r="H164" s="2681">
        <v>84</v>
      </c>
      <c r="I164" s="2690" t="s">
        <v>2900</v>
      </c>
      <c r="J164" s="2509">
        <f t="shared" ref="J164:J174" si="35">E164*F164*G164*H164</f>
        <v>0.14699999999999999</v>
      </c>
      <c r="K164" s="2536">
        <v>101.97</v>
      </c>
      <c r="L164" s="2536"/>
      <c r="M164" s="2729">
        <f t="shared" ref="M164:M174" si="36">J164*K164</f>
        <v>14.98959</v>
      </c>
      <c r="N164" s="2517">
        <f t="shared" si="32"/>
        <v>0</v>
      </c>
      <c r="O164" s="2568" t="s">
        <v>2899</v>
      </c>
      <c r="P164" s="2568" t="s">
        <v>2979</v>
      </c>
      <c r="Q164" s="2586"/>
      <c r="R164" s="2759">
        <v>68.3</v>
      </c>
      <c r="S164" s="2759">
        <v>100</v>
      </c>
      <c r="T164" s="2513">
        <f t="shared" si="33"/>
        <v>0</v>
      </c>
      <c r="U164" s="2571">
        <v>0.77549999999999997</v>
      </c>
      <c r="V164" s="2571">
        <v>0.17710000000000001</v>
      </c>
      <c r="W164" s="2612">
        <v>3.8839999999999999</v>
      </c>
      <c r="X164" s="2510">
        <f t="shared" si="34"/>
        <v>0</v>
      </c>
      <c r="Y164" s="2612">
        <v>4.13</v>
      </c>
      <c r="Z164" s="2612">
        <v>22.475000000000001</v>
      </c>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row>
    <row r="165" spans="1:54" ht="15" customHeight="1">
      <c r="A165" s="2523" t="s">
        <v>2489</v>
      </c>
      <c r="B165" s="2595" t="s">
        <v>1504</v>
      </c>
      <c r="C165" s="2522" t="s">
        <v>2490</v>
      </c>
      <c r="D165" s="2521"/>
      <c r="E165" s="2667">
        <v>0.35</v>
      </c>
      <c r="F165" s="2660">
        <v>0.1</v>
      </c>
      <c r="G165" s="2667">
        <v>0.05</v>
      </c>
      <c r="H165" s="2681">
        <v>84</v>
      </c>
      <c r="I165" s="2690" t="s">
        <v>2900</v>
      </c>
      <c r="J165" s="2509">
        <f t="shared" si="35"/>
        <v>0.14699999999999999</v>
      </c>
      <c r="K165" s="2536">
        <v>101.97</v>
      </c>
      <c r="L165" s="2536"/>
      <c r="M165" s="2729">
        <f t="shared" si="36"/>
        <v>14.98959</v>
      </c>
      <c r="N165" s="2517">
        <f t="shared" si="32"/>
        <v>0</v>
      </c>
      <c r="O165" s="2568" t="s">
        <v>2899</v>
      </c>
      <c r="P165" s="2568" t="s">
        <v>2979</v>
      </c>
      <c r="Q165" s="2586"/>
      <c r="R165" s="2759">
        <v>68.3</v>
      </c>
      <c r="S165" s="2759">
        <v>100</v>
      </c>
      <c r="T165" s="2513">
        <f t="shared" si="33"/>
        <v>0</v>
      </c>
      <c r="U165" s="2571">
        <v>0.77549999999999997</v>
      </c>
      <c r="V165" s="2571">
        <v>0.17710000000000001</v>
      </c>
      <c r="W165" s="2612">
        <v>3.8839999999999999</v>
      </c>
      <c r="X165" s="2510">
        <f t="shared" si="34"/>
        <v>0</v>
      </c>
      <c r="Y165" s="2612">
        <v>4.13</v>
      </c>
      <c r="Z165" s="2612">
        <v>22.475000000000001</v>
      </c>
      <c r="AA165" s="2598"/>
      <c r="AB165" s="2598"/>
      <c r="AC165" s="2598"/>
      <c r="AD165" s="2598"/>
      <c r="AE165" s="2598"/>
      <c r="AF165" s="2598"/>
      <c r="AG165" s="2598"/>
      <c r="AH165" s="2598"/>
      <c r="AI165" s="2598"/>
      <c r="AJ165" s="2598"/>
      <c r="AK165" s="2598"/>
      <c r="AL165" s="2598"/>
      <c r="AM165" s="2598"/>
      <c r="AN165" s="2584"/>
      <c r="AO165" s="2584"/>
      <c r="AP165" s="2584"/>
      <c r="AQ165" s="2584"/>
      <c r="AR165" s="2584"/>
      <c r="AS165" s="2584"/>
      <c r="AT165" s="2584"/>
      <c r="AU165" s="2584"/>
      <c r="AV165" s="2584"/>
      <c r="AW165" s="2584"/>
      <c r="AX165" s="2584"/>
      <c r="AY165" s="2584"/>
      <c r="AZ165" s="2584"/>
      <c r="BA165" s="2584"/>
      <c r="BB165" s="2584"/>
    </row>
    <row r="166" spans="1:54" s="98" customFormat="1">
      <c r="A166" s="2615" t="s">
        <v>2503</v>
      </c>
      <c r="B166" s="2614" t="s">
        <v>1504</v>
      </c>
      <c r="C166" s="2613" t="s">
        <v>2504</v>
      </c>
      <c r="D166" s="2521"/>
      <c r="E166" s="2667">
        <v>0.35</v>
      </c>
      <c r="F166" s="2660">
        <v>0.1</v>
      </c>
      <c r="G166" s="2667">
        <v>0.05</v>
      </c>
      <c r="H166" s="2681">
        <v>84</v>
      </c>
      <c r="I166" s="2690" t="s">
        <v>2900</v>
      </c>
      <c r="J166" s="2509">
        <f t="shared" si="35"/>
        <v>0.14699999999999999</v>
      </c>
      <c r="K166" s="2536">
        <v>101.97</v>
      </c>
      <c r="L166" s="2536"/>
      <c r="M166" s="2729">
        <f t="shared" si="36"/>
        <v>14.98959</v>
      </c>
      <c r="N166" s="2517">
        <f t="shared" si="32"/>
        <v>0</v>
      </c>
      <c r="O166" s="2568" t="s">
        <v>2899</v>
      </c>
      <c r="P166" s="2568" t="s">
        <v>2979</v>
      </c>
      <c r="Q166" s="2586"/>
      <c r="R166" s="2759">
        <v>68.3</v>
      </c>
      <c r="S166" s="2759">
        <v>100</v>
      </c>
      <c r="T166" s="2513">
        <f t="shared" si="33"/>
        <v>0</v>
      </c>
      <c r="U166" s="2571">
        <v>0.77549999999999997</v>
      </c>
      <c r="V166" s="2571">
        <v>0.17710000000000001</v>
      </c>
      <c r="W166" s="2612">
        <v>3.8839999999999999</v>
      </c>
      <c r="X166" s="2510">
        <f t="shared" si="34"/>
        <v>0</v>
      </c>
      <c r="Y166" s="2612">
        <v>4.13</v>
      </c>
      <c r="Z166" s="2612">
        <v>22.475000000000001</v>
      </c>
    </row>
    <row r="167" spans="1:54" s="98" customFormat="1" ht="15" customHeight="1">
      <c r="A167" s="2615" t="s">
        <v>2495</v>
      </c>
      <c r="B167" s="2614" t="s">
        <v>1504</v>
      </c>
      <c r="C167" s="2613" t="s">
        <v>2496</v>
      </c>
      <c r="D167" s="2521"/>
      <c r="E167" s="2667">
        <v>0.35</v>
      </c>
      <c r="F167" s="2660">
        <v>0.1</v>
      </c>
      <c r="G167" s="2667">
        <v>0.05</v>
      </c>
      <c r="H167" s="2681">
        <v>84</v>
      </c>
      <c r="I167" s="2690" t="s">
        <v>2900</v>
      </c>
      <c r="J167" s="2509">
        <f t="shared" si="35"/>
        <v>0.14699999999999999</v>
      </c>
      <c r="K167" s="2536">
        <v>101.97</v>
      </c>
      <c r="L167" s="2536"/>
      <c r="M167" s="2729">
        <f t="shared" si="36"/>
        <v>14.98959</v>
      </c>
      <c r="N167" s="2517">
        <f t="shared" si="32"/>
        <v>0</v>
      </c>
      <c r="O167" s="2568" t="s">
        <v>2899</v>
      </c>
      <c r="P167" s="2568" t="s">
        <v>2979</v>
      </c>
      <c r="Q167" s="2586"/>
      <c r="R167" s="2759">
        <v>68.3</v>
      </c>
      <c r="S167" s="2759">
        <v>100</v>
      </c>
      <c r="T167" s="2513">
        <f t="shared" si="33"/>
        <v>0</v>
      </c>
      <c r="U167" s="2571">
        <v>0.77549999999999997</v>
      </c>
      <c r="V167" s="2571">
        <v>0.17710000000000001</v>
      </c>
      <c r="W167" s="2612">
        <v>3.8839999999999999</v>
      </c>
      <c r="X167" s="2510">
        <f t="shared" si="34"/>
        <v>0</v>
      </c>
      <c r="Y167" s="2612">
        <v>4.13</v>
      </c>
      <c r="Z167" s="2612">
        <v>22.475000000000001</v>
      </c>
    </row>
    <row r="168" spans="1:54">
      <c r="A168" s="2590" t="s">
        <v>2373</v>
      </c>
      <c r="B168" s="2589" t="s">
        <v>1504</v>
      </c>
      <c r="C168" s="2588" t="s">
        <v>2374</v>
      </c>
      <c r="D168" s="2521">
        <f>'[7]Precios Recuperación (PUSD)'!$H$1734</f>
        <v>40</v>
      </c>
      <c r="E168" s="2664">
        <v>0.35</v>
      </c>
      <c r="F168" s="2669">
        <v>0.1</v>
      </c>
      <c r="G168" s="2664">
        <v>0.03</v>
      </c>
      <c r="H168" s="2680">
        <v>78</v>
      </c>
      <c r="I168" s="2689" t="s">
        <v>2900</v>
      </c>
      <c r="J168" s="2509">
        <f t="shared" si="35"/>
        <v>8.1900000000000001E-2</v>
      </c>
      <c r="K168" s="2569">
        <v>101.97</v>
      </c>
      <c r="L168" s="2569"/>
      <c r="M168" s="2729">
        <f t="shared" si="36"/>
        <v>8.351343</v>
      </c>
      <c r="N168" s="2517">
        <f t="shared" si="32"/>
        <v>334.05372</v>
      </c>
      <c r="O168" s="2568" t="s">
        <v>2899</v>
      </c>
      <c r="P168" s="2568" t="s">
        <v>2979</v>
      </c>
      <c r="Q168" s="2586"/>
      <c r="R168" s="2759">
        <v>68.3</v>
      </c>
      <c r="S168" s="2759">
        <v>100</v>
      </c>
      <c r="T168" s="2513">
        <f t="shared" si="33"/>
        <v>22815.869075999999</v>
      </c>
      <c r="U168" s="2571">
        <v>0.77549999999999997</v>
      </c>
      <c r="V168" s="2571">
        <v>0.17710000000000001</v>
      </c>
      <c r="W168" s="2612">
        <v>3.8839999999999999</v>
      </c>
      <c r="X168" s="2510">
        <f t="shared" si="34"/>
        <v>1297.4646484799998</v>
      </c>
      <c r="Y168" s="2612">
        <v>4.13</v>
      </c>
      <c r="Z168" s="2612">
        <v>22.475000000000001</v>
      </c>
      <c r="AA168" s="98"/>
      <c r="AB168" s="98"/>
      <c r="AC168" s="98"/>
      <c r="AD168" s="98"/>
      <c r="AE168" s="98"/>
      <c r="AF168" s="98"/>
      <c r="AG168" s="98"/>
      <c r="AH168" s="98"/>
      <c r="AI168" s="98"/>
      <c r="AJ168" s="98"/>
      <c r="AK168" s="98"/>
      <c r="AL168" s="98"/>
      <c r="AM168" s="98"/>
      <c r="AN168" s="2508"/>
      <c r="AO168" s="2508"/>
      <c r="AP168" s="2508"/>
      <c r="AQ168" s="2508"/>
      <c r="AR168" s="2508"/>
      <c r="AS168" s="2508"/>
      <c r="AT168" s="2508"/>
      <c r="AU168" s="2508"/>
      <c r="AV168" s="2508"/>
      <c r="AW168" s="2508"/>
      <c r="AX168" s="2508"/>
      <c r="AY168" s="2508"/>
      <c r="AZ168" s="2508"/>
      <c r="BA168" s="2508"/>
      <c r="BB168" s="2508"/>
    </row>
    <row r="169" spans="1:54" ht="15" customHeight="1">
      <c r="A169" s="2535" t="s">
        <v>2601</v>
      </c>
      <c r="B169" s="2589" t="s">
        <v>1504</v>
      </c>
      <c r="C169" s="2522" t="s">
        <v>2602</v>
      </c>
      <c r="D169" s="2531"/>
      <c r="E169" s="2667">
        <v>0.2</v>
      </c>
      <c r="F169" s="2660">
        <v>0.1</v>
      </c>
      <c r="G169" s="2667">
        <v>1.9E-2</v>
      </c>
      <c r="H169" s="2681">
        <v>84</v>
      </c>
      <c r="I169" s="2690" t="s">
        <v>2900</v>
      </c>
      <c r="J169" s="2509">
        <f t="shared" si="35"/>
        <v>3.1920000000000004E-2</v>
      </c>
      <c r="K169" s="2536">
        <v>101.97</v>
      </c>
      <c r="L169" s="2536"/>
      <c r="M169" s="2729">
        <f t="shared" si="36"/>
        <v>3.2548824000000005</v>
      </c>
      <c r="N169" s="2517">
        <f t="shared" si="32"/>
        <v>0</v>
      </c>
      <c r="O169" s="2568" t="s">
        <v>2899</v>
      </c>
      <c r="P169" s="2568" t="s">
        <v>2979</v>
      </c>
      <c r="Q169" s="2586"/>
      <c r="R169" s="2759">
        <v>69.3</v>
      </c>
      <c r="S169" s="2759">
        <v>100</v>
      </c>
      <c r="T169" s="2513">
        <f t="shared" si="33"/>
        <v>0</v>
      </c>
      <c r="U169" s="2571">
        <v>0.77549999999999997</v>
      </c>
      <c r="V169" s="2571">
        <v>0.17710000000000001</v>
      </c>
      <c r="W169" s="2612">
        <v>3.8839999999999999</v>
      </c>
      <c r="X169" s="2510">
        <f t="shared" si="34"/>
        <v>0</v>
      </c>
      <c r="Y169" s="2612">
        <v>4.13</v>
      </c>
      <c r="Z169" s="2612">
        <v>22.475000000000001</v>
      </c>
    </row>
    <row r="170" spans="1:54" s="98" customFormat="1" ht="15" customHeight="1">
      <c r="A170" s="2615" t="s">
        <v>2609</v>
      </c>
      <c r="B170" s="2614" t="s">
        <v>1504</v>
      </c>
      <c r="C170" s="2613" t="s">
        <v>2610</v>
      </c>
      <c r="D170" s="2521"/>
      <c r="E170" s="2667">
        <v>0.2</v>
      </c>
      <c r="F170" s="2660">
        <v>0.1</v>
      </c>
      <c r="G170" s="2667">
        <v>1.2699999999999999E-2</v>
      </c>
      <c r="H170" s="2681">
        <v>84</v>
      </c>
      <c r="I170" s="2690" t="s">
        <v>2900</v>
      </c>
      <c r="J170" s="2509">
        <f t="shared" si="35"/>
        <v>2.1336000000000004E-2</v>
      </c>
      <c r="K170" s="2536">
        <v>101.97</v>
      </c>
      <c r="L170" s="2536"/>
      <c r="M170" s="2729">
        <f t="shared" si="36"/>
        <v>2.1756319200000003</v>
      </c>
      <c r="N170" s="2517">
        <f t="shared" si="32"/>
        <v>0</v>
      </c>
      <c r="O170" s="2568" t="s">
        <v>2899</v>
      </c>
      <c r="P170" s="2568" t="s">
        <v>2979</v>
      </c>
      <c r="Q170" s="2586"/>
      <c r="R170" s="2759">
        <v>69.3</v>
      </c>
      <c r="S170" s="2759">
        <v>100</v>
      </c>
      <c r="T170" s="2513">
        <f t="shared" si="33"/>
        <v>0</v>
      </c>
      <c r="U170" s="2571">
        <v>0.77549999999999997</v>
      </c>
      <c r="V170" s="2571">
        <v>0.17710000000000001</v>
      </c>
      <c r="W170" s="2612">
        <v>3.8839999999999999</v>
      </c>
      <c r="X170" s="2510">
        <f t="shared" si="34"/>
        <v>0</v>
      </c>
      <c r="Y170" s="2612">
        <v>4.13</v>
      </c>
      <c r="Z170" s="2612">
        <v>22.475000000000001</v>
      </c>
      <c r="AA170" s="2503"/>
      <c r="AB170" s="2503"/>
      <c r="AC170" s="2503"/>
      <c r="AD170" s="2503"/>
      <c r="AE170" s="2503"/>
      <c r="AF170" s="2503"/>
      <c r="AG170" s="2503"/>
      <c r="AH170" s="2503"/>
      <c r="AI170" s="2503"/>
      <c r="AJ170" s="2503"/>
      <c r="AK170" s="2503"/>
      <c r="AL170" s="2503"/>
      <c r="AM170" s="2503"/>
      <c r="AN170" s="2608"/>
      <c r="AO170" s="2608"/>
      <c r="AP170" s="2608"/>
      <c r="AQ170" s="2608"/>
      <c r="AR170" s="2608"/>
      <c r="AS170" s="2609"/>
      <c r="AT170" s="2609"/>
      <c r="AU170" s="2611"/>
      <c r="AV170" s="2610"/>
      <c r="AW170" s="2609"/>
      <c r="AX170" s="2609"/>
      <c r="AY170" s="2609"/>
      <c r="AZ170" s="2609"/>
      <c r="BA170" s="2608"/>
      <c r="BB170" s="2608"/>
    </row>
    <row r="171" spans="1:54" s="98" customFormat="1">
      <c r="A171" s="2544" t="s">
        <v>1676</v>
      </c>
      <c r="B171" s="2543" t="s">
        <v>1504</v>
      </c>
      <c r="C171" s="2592" t="s">
        <v>1677</v>
      </c>
      <c r="D171" s="2521">
        <f>'[7]Precios Recuperación (PUSD)'!$H$791</f>
        <v>67</v>
      </c>
      <c r="E171" s="2666">
        <v>0.1</v>
      </c>
      <c r="F171" s="2669">
        <v>0.1</v>
      </c>
      <c r="G171" s="2666">
        <v>0.01</v>
      </c>
      <c r="H171" s="2680">
        <v>84</v>
      </c>
      <c r="I171" s="2689" t="s">
        <v>2900</v>
      </c>
      <c r="J171" s="2509">
        <f t="shared" si="35"/>
        <v>8.4000000000000012E-3</v>
      </c>
      <c r="K171" s="2569">
        <v>101.97</v>
      </c>
      <c r="L171" s="2569"/>
      <c r="M171" s="2729">
        <f t="shared" si="36"/>
        <v>0.85654800000000009</v>
      </c>
      <c r="N171" s="2517">
        <f t="shared" si="32"/>
        <v>57.388716000000002</v>
      </c>
      <c r="O171" s="2568" t="s">
        <v>2899</v>
      </c>
      <c r="P171" s="2568" t="s">
        <v>2979</v>
      </c>
      <c r="Q171" s="2597"/>
      <c r="R171" s="2749">
        <v>70.599999999999994</v>
      </c>
      <c r="S171" s="2759">
        <v>100</v>
      </c>
      <c r="T171" s="2513">
        <f t="shared" si="33"/>
        <v>4051.6433496</v>
      </c>
      <c r="U171" s="2571">
        <v>0.67979999999999996</v>
      </c>
      <c r="V171" s="2571">
        <v>0.21540000000000001</v>
      </c>
      <c r="W171" s="2585">
        <v>3.552</v>
      </c>
      <c r="X171" s="2510">
        <f t="shared" si="34"/>
        <v>203.84471923200005</v>
      </c>
      <c r="Y171" s="2585">
        <v>3.81</v>
      </c>
      <c r="Z171" s="2585">
        <v>65.378</v>
      </c>
      <c r="AN171" s="2508"/>
      <c r="AO171" s="2508"/>
      <c r="AP171" s="2508"/>
      <c r="AQ171" s="2508"/>
      <c r="AR171" s="2584"/>
      <c r="AS171" s="2581"/>
      <c r="AT171" s="2581"/>
      <c r="AU171" s="2583"/>
      <c r="AV171" s="2582"/>
      <c r="AW171" s="2581"/>
      <c r="AX171" s="2581"/>
      <c r="AY171" s="2581"/>
      <c r="AZ171" s="2581"/>
      <c r="BA171" s="2508"/>
      <c r="BB171" s="2508"/>
    </row>
    <row r="172" spans="1:54" s="98" customFormat="1" ht="15" customHeight="1">
      <c r="A172" s="2590" t="s">
        <v>1183</v>
      </c>
      <c r="B172" s="2589" t="s">
        <v>1504</v>
      </c>
      <c r="C172" s="2588" t="s">
        <v>1762</v>
      </c>
      <c r="D172" s="2521">
        <f>'[7]Precios Recuperación (PUSD)'!$H$2534</f>
        <v>112.89600000000003</v>
      </c>
      <c r="E172" s="2666">
        <v>0.1</v>
      </c>
      <c r="F172" s="2671">
        <v>0.05</v>
      </c>
      <c r="G172" s="2666">
        <v>2.5000000000000001E-2</v>
      </c>
      <c r="H172" s="2680">
        <v>84</v>
      </c>
      <c r="I172" s="2689" t="s">
        <v>2900</v>
      </c>
      <c r="J172" s="2509">
        <f t="shared" si="35"/>
        <v>1.0500000000000002E-2</v>
      </c>
      <c r="K172" s="2569">
        <v>101.97</v>
      </c>
      <c r="L172" s="2569"/>
      <c r="M172" s="2729">
        <f t="shared" si="36"/>
        <v>1.0706850000000003</v>
      </c>
      <c r="N172" s="2517">
        <f t="shared" si="32"/>
        <v>120.87605376000006</v>
      </c>
      <c r="O172" s="2568" t="s">
        <v>2899</v>
      </c>
      <c r="P172" s="2568" t="s">
        <v>2979</v>
      </c>
      <c r="Q172" s="2575"/>
      <c r="R172" s="2749">
        <v>70.599999999999994</v>
      </c>
      <c r="S172" s="2759">
        <v>100</v>
      </c>
      <c r="T172" s="2513">
        <f t="shared" si="33"/>
        <v>8533.8493954560035</v>
      </c>
      <c r="U172" s="2571">
        <v>0.67979999999999996</v>
      </c>
      <c r="V172" s="2571">
        <v>0.21540000000000001</v>
      </c>
      <c r="W172" s="2585">
        <v>3.552</v>
      </c>
      <c r="X172" s="2510">
        <f t="shared" si="34"/>
        <v>429.35174295552025</v>
      </c>
      <c r="Y172" s="2585">
        <v>3.81</v>
      </c>
      <c r="Z172" s="2585">
        <v>65.378</v>
      </c>
      <c r="AB172" s="2598"/>
      <c r="AN172" s="2508"/>
      <c r="AO172" s="2508"/>
      <c r="AP172" s="2508"/>
      <c r="AQ172" s="2508"/>
      <c r="AR172" s="2508"/>
      <c r="AS172" s="2508"/>
      <c r="AT172" s="2508"/>
      <c r="AU172" s="2508"/>
      <c r="AV172" s="2508"/>
      <c r="AW172" s="2508"/>
      <c r="AX172" s="2508"/>
      <c r="AY172" s="2508"/>
      <c r="AZ172" s="2508"/>
      <c r="BA172" s="2508"/>
      <c r="BB172" s="2508"/>
    </row>
    <row r="173" spans="1:54" s="2598" customFormat="1" ht="15" customHeight="1">
      <c r="A173" s="2590" t="s">
        <v>1184</v>
      </c>
      <c r="B173" s="2589" t="s">
        <v>1504</v>
      </c>
      <c r="C173" s="2588" t="s">
        <v>1761</v>
      </c>
      <c r="D173" s="2521">
        <f>'[7]Precios Recuperación (PUSD)'!$H$2533</f>
        <v>342.72</v>
      </c>
      <c r="E173" s="2666">
        <v>0.11</v>
      </c>
      <c r="F173" s="2671">
        <v>0.05</v>
      </c>
      <c r="G173" s="2666">
        <v>2.5000000000000001E-2</v>
      </c>
      <c r="H173" s="2680">
        <v>84</v>
      </c>
      <c r="I173" s="2689" t="s">
        <v>2900</v>
      </c>
      <c r="J173" s="2509">
        <f t="shared" si="35"/>
        <v>1.1550000000000001E-2</v>
      </c>
      <c r="K173" s="2569">
        <v>101.97</v>
      </c>
      <c r="L173" s="2569"/>
      <c r="M173" s="2729">
        <f t="shared" si="36"/>
        <v>1.1777535000000001</v>
      </c>
      <c r="N173" s="2517">
        <f t="shared" si="32"/>
        <v>403.63967952000007</v>
      </c>
      <c r="O173" s="2568" t="s">
        <v>2899</v>
      </c>
      <c r="P173" s="2568" t="s">
        <v>2979</v>
      </c>
      <c r="Q173" s="2575"/>
      <c r="R173" s="2749">
        <v>70.599999999999994</v>
      </c>
      <c r="S173" s="2759">
        <v>100</v>
      </c>
      <c r="T173" s="2513">
        <f t="shared" si="33"/>
        <v>28496.961374112001</v>
      </c>
      <c r="U173" s="2571">
        <v>0.67979999999999996</v>
      </c>
      <c r="V173" s="2571">
        <v>0.21540000000000001</v>
      </c>
      <c r="W173" s="2585">
        <v>3.552</v>
      </c>
      <c r="X173" s="2510">
        <f t="shared" si="34"/>
        <v>1433.7281416550404</v>
      </c>
      <c r="Y173" s="2585">
        <v>3.81</v>
      </c>
      <c r="Z173" s="2585">
        <v>65.378</v>
      </c>
      <c r="AA173" s="98"/>
      <c r="AC173" s="98"/>
      <c r="AD173" s="98"/>
      <c r="AE173" s="98"/>
      <c r="AF173" s="98"/>
      <c r="AG173" s="98"/>
      <c r="AH173" s="98"/>
      <c r="AI173" s="98"/>
      <c r="AJ173" s="98"/>
      <c r="AK173" s="98"/>
      <c r="AL173" s="98"/>
      <c r="AM173" s="98"/>
      <c r="AN173" s="2508"/>
      <c r="AO173" s="2508"/>
      <c r="AP173" s="2508"/>
      <c r="AQ173" s="2508"/>
      <c r="AR173" s="2508"/>
      <c r="AS173" s="2508"/>
      <c r="AT173" s="2508"/>
      <c r="AU173" s="2508"/>
      <c r="AV173" s="2508"/>
      <c r="AW173" s="2508"/>
      <c r="AX173" s="2508"/>
      <c r="AY173" s="2508"/>
      <c r="AZ173" s="2508"/>
      <c r="BA173" s="2508"/>
      <c r="BB173" s="2508"/>
    </row>
    <row r="174" spans="1:54" s="98" customFormat="1" ht="15" customHeight="1">
      <c r="A174" s="2535" t="s">
        <v>1529</v>
      </c>
      <c r="B174" s="2533" t="s">
        <v>1504</v>
      </c>
      <c r="C174" s="2522" t="s">
        <v>1530</v>
      </c>
      <c r="D174" s="2531"/>
      <c r="E174" s="2667">
        <v>0.1</v>
      </c>
      <c r="F174" s="2660">
        <v>0.1</v>
      </c>
      <c r="G174" s="2667">
        <v>0.01</v>
      </c>
      <c r="H174" s="2681">
        <v>78.5</v>
      </c>
      <c r="I174" s="2690" t="s">
        <v>2900</v>
      </c>
      <c r="J174" s="2509">
        <f t="shared" si="35"/>
        <v>7.8500000000000011E-3</v>
      </c>
      <c r="K174" s="2536">
        <v>101.97</v>
      </c>
      <c r="L174" s="2536"/>
      <c r="M174" s="2729">
        <f t="shared" si="36"/>
        <v>0.80046450000000013</v>
      </c>
      <c r="N174" s="2517">
        <f t="shared" si="32"/>
        <v>0</v>
      </c>
      <c r="O174" s="2568" t="s">
        <v>2899</v>
      </c>
      <c r="P174" s="2541" t="s">
        <v>2898</v>
      </c>
      <c r="Q174" s="2514"/>
      <c r="R174" s="2760">
        <v>68.3</v>
      </c>
      <c r="S174" s="2759">
        <v>100</v>
      </c>
      <c r="T174" s="2513">
        <f t="shared" si="33"/>
        <v>0</v>
      </c>
      <c r="U174" s="2512">
        <v>0.77548901903367506</v>
      </c>
      <c r="V174" s="2512">
        <v>0.17713323572474382</v>
      </c>
      <c r="W174" s="2511">
        <v>3.8837888999999999</v>
      </c>
      <c r="X174" s="2510">
        <f t="shared" si="34"/>
        <v>0</v>
      </c>
      <c r="Y174" s="2509">
        <v>4.13</v>
      </c>
      <c r="Z174" s="2509">
        <v>22.475079999999998</v>
      </c>
      <c r="AA174" s="485"/>
      <c r="AB174" s="485"/>
      <c r="AC174" s="485"/>
      <c r="AD174" s="485"/>
      <c r="AE174" s="485"/>
      <c r="AF174" s="485"/>
      <c r="AG174" s="485"/>
      <c r="AH174" s="485"/>
      <c r="AI174" s="485"/>
      <c r="AJ174" s="485"/>
      <c r="AK174" s="485"/>
      <c r="AL174" s="485"/>
      <c r="AM174" s="485"/>
      <c r="AN174" s="485"/>
      <c r="AO174" s="485"/>
      <c r="AP174" s="485"/>
      <c r="AQ174" s="485"/>
      <c r="AR174" s="485"/>
      <c r="AS174" s="485"/>
      <c r="AT174" s="485"/>
      <c r="AU174" s="485"/>
      <c r="AV174" s="485"/>
      <c r="AW174" s="485"/>
      <c r="AX174" s="485"/>
      <c r="AY174" s="485"/>
      <c r="AZ174" s="485"/>
      <c r="BA174" s="485"/>
      <c r="BB174" s="485"/>
    </row>
    <row r="175" spans="1:54" s="2725" customFormat="1">
      <c r="A175" s="2717"/>
      <c r="B175" s="2718" t="s">
        <v>2988</v>
      </c>
      <c r="C175" s="2716"/>
      <c r="D175" s="2719"/>
      <c r="E175" s="2720"/>
      <c r="F175" s="2720"/>
      <c r="G175" s="2721"/>
      <c r="H175" s="2720"/>
      <c r="I175" s="2720"/>
      <c r="J175" s="2720"/>
      <c r="K175" s="2722"/>
      <c r="L175" s="2722"/>
      <c r="M175" s="2723"/>
      <c r="N175" s="2715">
        <f t="shared" si="32"/>
        <v>0</v>
      </c>
      <c r="O175" s="2720"/>
      <c r="P175" s="2722"/>
      <c r="Q175" s="2722"/>
      <c r="R175" s="2722"/>
      <c r="S175" s="2722"/>
      <c r="T175" s="2724">
        <f t="shared" si="33"/>
        <v>0</v>
      </c>
      <c r="U175" s="2722"/>
      <c r="V175" s="2722"/>
      <c r="W175" s="2722"/>
      <c r="X175" s="2724">
        <f t="shared" si="34"/>
        <v>0</v>
      </c>
      <c r="Y175" s="2722"/>
      <c r="Z175" s="2722"/>
    </row>
    <row r="176" spans="1:54" s="2503" customFormat="1" ht="15" customHeight="1">
      <c r="A176" s="2615" t="s">
        <v>1081</v>
      </c>
      <c r="B176" s="2614" t="s">
        <v>1517</v>
      </c>
      <c r="C176" s="2613" t="s">
        <v>2045</v>
      </c>
      <c r="D176" s="2521"/>
      <c r="E176" s="2658">
        <v>1</v>
      </c>
      <c r="F176" s="2658">
        <v>1</v>
      </c>
      <c r="G176" s="2658">
        <v>1</v>
      </c>
      <c r="H176" s="2681">
        <v>5</v>
      </c>
      <c r="I176" s="2690" t="s">
        <v>2900</v>
      </c>
      <c r="J176" s="2509">
        <f t="shared" ref="J176:J184" si="37">E176*F176*G176*H176</f>
        <v>5</v>
      </c>
      <c r="K176" s="2536">
        <v>101.97</v>
      </c>
      <c r="L176" s="2536"/>
      <c r="M176" s="2729">
        <f t="shared" ref="M176:M184" si="38">J176*K176</f>
        <v>509.85</v>
      </c>
      <c r="N176" s="2517">
        <f t="shared" si="32"/>
        <v>0</v>
      </c>
      <c r="O176" s="2541"/>
      <c r="P176" s="2514" t="s">
        <v>2987</v>
      </c>
      <c r="Q176" s="2618"/>
      <c r="R176" s="2754">
        <v>14.137</v>
      </c>
      <c r="S176" s="2754">
        <v>3</v>
      </c>
      <c r="T176" s="2513">
        <f t="shared" si="33"/>
        <v>0</v>
      </c>
      <c r="U176" s="2540">
        <v>8.8200000000000001E-2</v>
      </c>
      <c r="V176" s="2616">
        <v>3.2199999999999999E-2</v>
      </c>
      <c r="W176" s="2530">
        <v>-0.99199999999999999</v>
      </c>
      <c r="X176" s="2510">
        <f t="shared" si="34"/>
        <v>0</v>
      </c>
      <c r="Y176" s="2529">
        <v>-0.98399999999999999</v>
      </c>
      <c r="Z176" s="2529">
        <v>0.47</v>
      </c>
      <c r="AN176" s="2608"/>
      <c r="AO176" s="2608"/>
      <c r="AP176" s="2608"/>
      <c r="AQ176" s="2608"/>
      <c r="AR176" s="2608"/>
      <c r="AS176" s="2609"/>
      <c r="AT176" s="2609"/>
      <c r="AU176" s="2611"/>
      <c r="AV176" s="2610"/>
      <c r="AW176" s="2609"/>
      <c r="AX176" s="2609"/>
      <c r="AY176" s="2609"/>
      <c r="AZ176" s="2609"/>
      <c r="BA176" s="2608"/>
      <c r="BB176" s="2608"/>
    </row>
    <row r="177" spans="1:54" s="2503" customFormat="1" ht="15" customHeight="1">
      <c r="A177" s="2615" t="s">
        <v>1114</v>
      </c>
      <c r="B177" s="2614" t="s">
        <v>1517</v>
      </c>
      <c r="C177" s="2613" t="s">
        <v>1538</v>
      </c>
      <c r="D177" s="2521"/>
      <c r="E177" s="2658">
        <v>1</v>
      </c>
      <c r="F177" s="2658">
        <v>1</v>
      </c>
      <c r="G177" s="2658">
        <v>1</v>
      </c>
      <c r="H177" s="2681">
        <v>5</v>
      </c>
      <c r="I177" s="2690" t="s">
        <v>2900</v>
      </c>
      <c r="J177" s="2509">
        <f t="shared" si="37"/>
        <v>5</v>
      </c>
      <c r="K177" s="2536">
        <v>101.97</v>
      </c>
      <c r="L177" s="2536"/>
      <c r="M177" s="2729">
        <f t="shared" si="38"/>
        <v>509.85</v>
      </c>
      <c r="N177" s="2517">
        <f t="shared" si="32"/>
        <v>0</v>
      </c>
      <c r="O177" s="2541"/>
      <c r="P177" s="2514" t="s">
        <v>2987</v>
      </c>
      <c r="Q177" s="2618"/>
      <c r="R177" s="2754">
        <v>14.137</v>
      </c>
      <c r="S177" s="2754">
        <v>3</v>
      </c>
      <c r="T177" s="2513">
        <f t="shared" si="33"/>
        <v>0</v>
      </c>
      <c r="U177" s="2540">
        <v>8.8200000000000001E-2</v>
      </c>
      <c r="V177" s="2616">
        <v>3.2199999999999999E-2</v>
      </c>
      <c r="W177" s="2530">
        <v>-0.99199999999999999</v>
      </c>
      <c r="X177" s="2510">
        <f t="shared" si="34"/>
        <v>0</v>
      </c>
      <c r="Y177" s="2529">
        <v>-0.98399999999999999</v>
      </c>
      <c r="Z177" s="2529">
        <v>0.47</v>
      </c>
      <c r="AN177" s="2608"/>
      <c r="AO177" s="2608"/>
      <c r="AP177" s="2608"/>
      <c r="AQ177" s="2608"/>
      <c r="AR177" s="2608"/>
      <c r="AS177" s="2609"/>
      <c r="AT177" s="2609"/>
      <c r="AU177" s="2611"/>
      <c r="AV177" s="2610"/>
      <c r="AW177" s="2609"/>
      <c r="AX177" s="2609"/>
      <c r="AY177" s="2609"/>
      <c r="AZ177" s="2609"/>
      <c r="BA177" s="2608"/>
      <c r="BB177" s="2608"/>
    </row>
    <row r="178" spans="1:54" s="2503" customFormat="1" ht="15" customHeight="1">
      <c r="A178" s="2615" t="s">
        <v>1178</v>
      </c>
      <c r="B178" s="2614" t="s">
        <v>1527</v>
      </c>
      <c r="C178" s="2613" t="s">
        <v>1767</v>
      </c>
      <c r="D178" s="2521">
        <f>'[7]Precios Recuperación (PUSD)'!$H$2539</f>
        <v>564.48</v>
      </c>
      <c r="E178" s="2667">
        <v>1</v>
      </c>
      <c r="F178" s="2660">
        <v>7.0000000000000007E-2</v>
      </c>
      <c r="G178" s="2667">
        <v>0.04</v>
      </c>
      <c r="H178" s="2681">
        <v>5</v>
      </c>
      <c r="I178" s="2690" t="s">
        <v>2900</v>
      </c>
      <c r="J178" s="2509">
        <f t="shared" si="37"/>
        <v>1.4000000000000002E-2</v>
      </c>
      <c r="K178" s="2536">
        <v>101.97</v>
      </c>
      <c r="L178" s="2536"/>
      <c r="M178" s="2729">
        <f t="shared" si="38"/>
        <v>1.4275800000000003</v>
      </c>
      <c r="N178" s="2517">
        <f t="shared" si="32"/>
        <v>805.84035840000024</v>
      </c>
      <c r="O178" s="2541" t="s">
        <v>2899</v>
      </c>
      <c r="P178" s="2515" t="s">
        <v>2984</v>
      </c>
      <c r="Q178" s="2514" t="s">
        <v>2983</v>
      </c>
      <c r="R178" s="2751">
        <v>18.02</v>
      </c>
      <c r="S178" s="2754">
        <v>3</v>
      </c>
      <c r="T178" s="2513">
        <f t="shared" si="33"/>
        <v>14521.243258368004</v>
      </c>
      <c r="U178" s="2540">
        <v>0.11</v>
      </c>
      <c r="V178" s="2540">
        <v>3.2000000000000001E-2</v>
      </c>
      <c r="W178" s="2529">
        <v>-1.2270000000000001</v>
      </c>
      <c r="X178" s="2510">
        <f t="shared" si="34"/>
        <v>-988.76611975680032</v>
      </c>
      <c r="Y178" s="2529">
        <v>-1.22</v>
      </c>
      <c r="Z178" s="2529">
        <v>350.108</v>
      </c>
      <c r="AN178" s="2608"/>
      <c r="AO178" s="2608"/>
      <c r="AP178" s="2608"/>
      <c r="AQ178" s="2608"/>
      <c r="AR178" s="2608"/>
      <c r="AS178" s="2609"/>
      <c r="AT178" s="2609"/>
      <c r="AU178" s="2611"/>
      <c r="AV178" s="2610"/>
      <c r="AW178" s="2609"/>
      <c r="AX178" s="2609"/>
      <c r="AY178" s="2609"/>
      <c r="AZ178" s="2609"/>
      <c r="BA178" s="2608"/>
      <c r="BB178" s="2608"/>
    </row>
    <row r="179" spans="1:54" s="2503" customFormat="1" ht="15" customHeight="1">
      <c r="A179" s="2615" t="s">
        <v>2096</v>
      </c>
      <c r="B179" s="2757" t="s">
        <v>1507</v>
      </c>
      <c r="C179" s="2755" t="s">
        <v>2097</v>
      </c>
      <c r="D179" s="2521"/>
      <c r="E179" s="2667">
        <v>1</v>
      </c>
      <c r="F179" s="2660">
        <v>1</v>
      </c>
      <c r="G179" s="2667">
        <v>1.2E-2</v>
      </c>
      <c r="H179" s="2681">
        <v>5</v>
      </c>
      <c r="I179" s="2690" t="s">
        <v>2900</v>
      </c>
      <c r="J179" s="2509">
        <f>E179*F179*G179*H179</f>
        <v>0.06</v>
      </c>
      <c r="K179" s="2536">
        <v>101.97</v>
      </c>
      <c r="L179" s="2536"/>
      <c r="M179" s="2729">
        <f>J179*K179</f>
        <v>6.1181999999999999</v>
      </c>
      <c r="N179" s="2517">
        <f t="shared" si="32"/>
        <v>0</v>
      </c>
      <c r="O179" s="2541" t="s">
        <v>2899</v>
      </c>
      <c r="P179" s="2515" t="s">
        <v>2982</v>
      </c>
      <c r="Q179" s="2514" t="s">
        <v>2981</v>
      </c>
      <c r="R179" s="2751">
        <v>4745.57</v>
      </c>
      <c r="S179" s="3023">
        <v>1.82</v>
      </c>
      <c r="T179" s="2513">
        <f t="shared" si="33"/>
        <v>0</v>
      </c>
      <c r="U179" s="2540">
        <v>0.375</v>
      </c>
      <c r="V179" s="2540">
        <v>0.11600000000000001</v>
      </c>
      <c r="W179" s="2529">
        <v>-52.29</v>
      </c>
      <c r="X179" s="2510">
        <f t="shared" si="34"/>
        <v>0</v>
      </c>
      <c r="Y179" s="2529">
        <v>-39.4</v>
      </c>
      <c r="Z179" s="2529">
        <v>1234.701</v>
      </c>
      <c r="AN179" s="2608"/>
      <c r="AO179" s="2608"/>
      <c r="AP179" s="2608"/>
      <c r="AQ179" s="2608"/>
      <c r="AR179" s="2608"/>
      <c r="AS179" s="2609"/>
      <c r="AT179" s="2609"/>
      <c r="AU179" s="2611"/>
      <c r="AV179" s="2610"/>
      <c r="AW179" s="2609"/>
      <c r="AX179" s="2609"/>
      <c r="AY179" s="2609"/>
      <c r="AZ179" s="2609"/>
      <c r="BA179" s="2608"/>
      <c r="BB179" s="2608"/>
    </row>
    <row r="180" spans="1:54" ht="15" customHeight="1">
      <c r="A180" s="2590" t="s">
        <v>1179</v>
      </c>
      <c r="B180" s="2758" t="s">
        <v>1504</v>
      </c>
      <c r="C180" s="2756" t="s">
        <v>1766</v>
      </c>
      <c r="D180" s="2521">
        <f>'[7]Precios Recuperación (PUSD)'!$H$2538</f>
        <v>112.89600000000003</v>
      </c>
      <c r="E180" s="2667">
        <v>0.8</v>
      </c>
      <c r="F180" s="2660">
        <v>2.1</v>
      </c>
      <c r="G180" s="2667">
        <v>3.5000000000000003E-2</v>
      </c>
      <c r="H180" s="2681">
        <v>5</v>
      </c>
      <c r="I180" s="2690" t="s">
        <v>2900</v>
      </c>
      <c r="J180" s="2509">
        <f t="shared" si="37"/>
        <v>0.29400000000000004</v>
      </c>
      <c r="K180" s="2738">
        <f>1/0.098</f>
        <v>10.204081632653061</v>
      </c>
      <c r="L180" s="2738"/>
      <c r="M180" s="2729">
        <f t="shared" si="38"/>
        <v>3.0000000000000004</v>
      </c>
      <c r="N180" s="2517">
        <f t="shared" si="32"/>
        <v>338.68800000000016</v>
      </c>
      <c r="O180" s="2541" t="s">
        <v>2899</v>
      </c>
      <c r="P180" s="2515" t="s">
        <v>2986</v>
      </c>
      <c r="Q180" s="2514" t="s">
        <v>2985</v>
      </c>
      <c r="R180" s="2751">
        <v>1803.6</v>
      </c>
      <c r="S180" s="3023">
        <v>1.82</v>
      </c>
      <c r="T180" s="2513">
        <f t="shared" si="33"/>
        <v>610857.67680000013</v>
      </c>
      <c r="U180" s="2540">
        <v>0.316</v>
      </c>
      <c r="V180" s="2540">
        <v>8.1199999999999994E-2</v>
      </c>
      <c r="W180" s="2529">
        <v>-40.899000000000001</v>
      </c>
      <c r="X180" s="2510">
        <f t="shared" si="34"/>
        <v>-13852.000512000006</v>
      </c>
      <c r="Y180" s="2550">
        <v>-38</v>
      </c>
      <c r="Z180" s="2529">
        <v>176.96600000000001</v>
      </c>
      <c r="AN180" s="2570"/>
      <c r="AO180" s="2570"/>
      <c r="AP180" s="2570"/>
      <c r="AQ180" s="2570"/>
      <c r="AR180" s="2608"/>
      <c r="AS180" s="2609"/>
      <c r="AT180" s="2609"/>
      <c r="AU180" s="2611"/>
      <c r="AV180" s="2610"/>
      <c r="AW180" s="2609"/>
      <c r="AX180" s="2609"/>
      <c r="AY180" s="2609"/>
      <c r="AZ180" s="2609"/>
      <c r="BA180" s="2570"/>
      <c r="BB180" s="2570"/>
    </row>
    <row r="181" spans="1:54" ht="15" customHeight="1">
      <c r="A181" s="2615" t="s">
        <v>1180</v>
      </c>
      <c r="B181" s="2614" t="s">
        <v>1527</v>
      </c>
      <c r="C181" s="2613" t="s">
        <v>1765</v>
      </c>
      <c r="D181" s="2521">
        <f>'[7]Precios Recuperación (PUSD)'!$H$2537</f>
        <v>574.56000000000006</v>
      </c>
      <c r="E181" s="2667">
        <v>1</v>
      </c>
      <c r="F181" s="2660">
        <v>7.0000000000000007E-2</v>
      </c>
      <c r="G181" s="2667">
        <v>0.03</v>
      </c>
      <c r="H181" s="2681">
        <v>5</v>
      </c>
      <c r="I181" s="2690" t="s">
        <v>2900</v>
      </c>
      <c r="J181" s="2509">
        <f t="shared" si="37"/>
        <v>1.0500000000000002E-2</v>
      </c>
      <c r="K181" s="2536">
        <v>101.97</v>
      </c>
      <c r="L181" s="2536"/>
      <c r="M181" s="2729">
        <f t="shared" si="38"/>
        <v>1.0706850000000003</v>
      </c>
      <c r="N181" s="2517">
        <f t="shared" si="32"/>
        <v>615.17277360000026</v>
      </c>
      <c r="O181" s="2541" t="s">
        <v>2899</v>
      </c>
      <c r="P181" s="2515" t="s">
        <v>2984</v>
      </c>
      <c r="Q181" s="2514" t="s">
        <v>2983</v>
      </c>
      <c r="R181" s="2698">
        <v>18.02</v>
      </c>
      <c r="S181" s="2698"/>
      <c r="T181" s="2513">
        <f t="shared" si="33"/>
        <v>11085.413380272003</v>
      </c>
      <c r="U181" s="2540">
        <v>0.11</v>
      </c>
      <c r="V181" s="2540">
        <v>3.2000000000000001E-2</v>
      </c>
      <c r="W181" s="2529">
        <v>-1.2270000000000001</v>
      </c>
      <c r="X181" s="2510">
        <f t="shared" si="34"/>
        <v>-754.81699320720043</v>
      </c>
      <c r="Y181" s="2529">
        <v>-1.22</v>
      </c>
      <c r="Z181" s="2529">
        <v>350.108</v>
      </c>
      <c r="AN181" s="2570"/>
      <c r="AO181" s="2570"/>
      <c r="AP181" s="2570"/>
      <c r="AQ181" s="2570"/>
      <c r="AR181" s="2608"/>
      <c r="AS181" s="2609"/>
      <c r="AT181" s="2609"/>
      <c r="AU181" s="2611"/>
      <c r="AV181" s="2610"/>
      <c r="AW181" s="2609"/>
      <c r="AX181" s="2609"/>
      <c r="AY181" s="2609"/>
      <c r="AZ181" s="2609"/>
      <c r="BA181" s="2570"/>
      <c r="BB181" s="2570"/>
    </row>
    <row r="182" spans="1:54" ht="15" customHeight="1">
      <c r="A182" s="2615" t="s">
        <v>1181</v>
      </c>
      <c r="B182" s="2614" t="s">
        <v>1517</v>
      </c>
      <c r="C182" s="2613" t="s">
        <v>1764</v>
      </c>
      <c r="D182" s="2521">
        <f>'[7]Precios Recuperación (PUSD)'!$H$2536</f>
        <v>0.20160000000000003</v>
      </c>
      <c r="E182" s="2667">
        <v>1</v>
      </c>
      <c r="F182" s="2660">
        <v>1</v>
      </c>
      <c r="G182" s="2667">
        <v>1</v>
      </c>
      <c r="H182" s="2681">
        <v>5</v>
      </c>
      <c r="I182" s="2690" t="s">
        <v>2900</v>
      </c>
      <c r="J182" s="2509">
        <f t="shared" si="37"/>
        <v>5</v>
      </c>
      <c r="K182" s="2536">
        <v>101.97</v>
      </c>
      <c r="L182" s="2536"/>
      <c r="M182" s="2729">
        <f t="shared" si="38"/>
        <v>509.85</v>
      </c>
      <c r="N182" s="2517">
        <f t="shared" si="32"/>
        <v>102.78576000000002</v>
      </c>
      <c r="O182" s="2541" t="s">
        <v>2899</v>
      </c>
      <c r="P182" s="2515" t="s">
        <v>2984</v>
      </c>
      <c r="Q182" s="2514" t="s">
        <v>2983</v>
      </c>
      <c r="R182" s="2698">
        <v>18.02</v>
      </c>
      <c r="S182" s="2698"/>
      <c r="T182" s="2513">
        <f t="shared" si="33"/>
        <v>1852.1993952000003</v>
      </c>
      <c r="U182" s="2540">
        <v>0.11</v>
      </c>
      <c r="V182" s="2540">
        <v>3.2000000000000001E-2</v>
      </c>
      <c r="W182" s="2529">
        <v>-1.2270000000000001</v>
      </c>
      <c r="X182" s="2510">
        <f t="shared" si="34"/>
        <v>-126.11812752000003</v>
      </c>
      <c r="Y182" s="2529">
        <v>-1.22</v>
      </c>
      <c r="Z182" s="2529">
        <v>350.108</v>
      </c>
      <c r="AN182" s="2570"/>
      <c r="AO182" s="2570"/>
      <c r="AP182" s="2608"/>
      <c r="AQ182" s="2609"/>
      <c r="AR182" s="2609"/>
      <c r="AS182" s="2611"/>
      <c r="AT182" s="2610"/>
      <c r="AU182" s="2609"/>
      <c r="AV182" s="2609"/>
      <c r="AW182" s="2609"/>
      <c r="AX182" s="2609"/>
      <c r="AY182" s="2570"/>
      <c r="AZ182" s="2570"/>
      <c r="BA182" s="2570"/>
      <c r="BB182" s="2570"/>
    </row>
    <row r="183" spans="1:54" ht="15" customHeight="1">
      <c r="A183" s="2615" t="s">
        <v>1191</v>
      </c>
      <c r="B183" s="2614" t="s">
        <v>1527</v>
      </c>
      <c r="C183" s="2613" t="s">
        <v>2093</v>
      </c>
      <c r="D183" s="2521"/>
      <c r="E183" s="2667">
        <v>1</v>
      </c>
      <c r="F183" s="2660">
        <v>0.06</v>
      </c>
      <c r="G183" s="2667">
        <v>1.4999999999999999E-2</v>
      </c>
      <c r="H183" s="2681">
        <v>5</v>
      </c>
      <c r="I183" s="2690" t="s">
        <v>2900</v>
      </c>
      <c r="J183" s="2509">
        <f t="shared" si="37"/>
        <v>4.4999999999999997E-3</v>
      </c>
      <c r="K183" s="2536">
        <v>101.97</v>
      </c>
      <c r="L183" s="2536"/>
      <c r="M183" s="2729">
        <f t="shared" si="38"/>
        <v>0.45886499999999997</v>
      </c>
      <c r="N183" s="2517">
        <f t="shared" si="32"/>
        <v>0</v>
      </c>
      <c r="O183" s="2541" t="s">
        <v>2899</v>
      </c>
      <c r="P183" s="2515" t="s">
        <v>2984</v>
      </c>
      <c r="Q183" s="2514" t="s">
        <v>2983</v>
      </c>
      <c r="R183" s="2698">
        <v>19.02</v>
      </c>
      <c r="S183" s="2698"/>
      <c r="T183" s="2513">
        <f t="shared" si="33"/>
        <v>0</v>
      </c>
      <c r="U183" s="2540">
        <v>0.11</v>
      </c>
      <c r="V183" s="2540">
        <v>3.2000000000000001E-2</v>
      </c>
      <c r="W183" s="2529">
        <v>-1.2270000000000001</v>
      </c>
      <c r="X183" s="2510">
        <f t="shared" si="34"/>
        <v>0</v>
      </c>
      <c r="Y183" s="2529">
        <v>-1.22</v>
      </c>
      <c r="Z183" s="2529">
        <v>350.108</v>
      </c>
      <c r="AN183" s="2570"/>
      <c r="AO183" s="2570"/>
      <c r="AP183" s="2608"/>
      <c r="AQ183" s="2609"/>
      <c r="AR183" s="2609"/>
      <c r="AS183" s="2611"/>
      <c r="AT183" s="2610"/>
      <c r="AU183" s="2609"/>
      <c r="AV183" s="2609"/>
      <c r="AW183" s="2609"/>
      <c r="AX183" s="2609"/>
      <c r="AY183" s="2570"/>
      <c r="AZ183" s="2570"/>
      <c r="BA183" s="2570"/>
      <c r="BB183" s="2570"/>
    </row>
    <row r="184" spans="1:54" ht="15" customHeight="1">
      <c r="A184" s="2615" t="s">
        <v>1182</v>
      </c>
      <c r="B184" s="2614" t="s">
        <v>1527</v>
      </c>
      <c r="C184" s="2613" t="s">
        <v>1763</v>
      </c>
      <c r="D184" s="2521">
        <f>'[7]Precios Recuperación (PUSD)'!$H$2535</f>
        <v>1149.1200000000001</v>
      </c>
      <c r="E184" s="2667">
        <v>1</v>
      </c>
      <c r="F184" s="2660">
        <v>0.06</v>
      </c>
      <c r="G184" s="2667">
        <v>1.4999999999999999E-2</v>
      </c>
      <c r="H184" s="2681">
        <v>5</v>
      </c>
      <c r="I184" s="2690" t="s">
        <v>2900</v>
      </c>
      <c r="J184" s="2509">
        <f t="shared" si="37"/>
        <v>4.4999999999999997E-3</v>
      </c>
      <c r="K184" s="2536">
        <v>101.97</v>
      </c>
      <c r="L184" s="2536"/>
      <c r="M184" s="2729">
        <f t="shared" si="38"/>
        <v>0.45886499999999997</v>
      </c>
      <c r="N184" s="2517">
        <f t="shared" si="32"/>
        <v>527.29094880000002</v>
      </c>
      <c r="O184" s="2541" t="s">
        <v>2899</v>
      </c>
      <c r="P184" s="2515" t="s">
        <v>2984</v>
      </c>
      <c r="Q184" s="2514" t="s">
        <v>2983</v>
      </c>
      <c r="R184" s="2698">
        <v>18.02</v>
      </c>
      <c r="S184" s="2698"/>
      <c r="T184" s="2513">
        <f t="shared" si="33"/>
        <v>9501.7828973760006</v>
      </c>
      <c r="U184" s="2540">
        <v>0.11</v>
      </c>
      <c r="V184" s="2540">
        <v>3.2000000000000001E-2</v>
      </c>
      <c r="W184" s="2529">
        <v>-1.2270000000000001</v>
      </c>
      <c r="X184" s="2510">
        <f t="shared" si="34"/>
        <v>-646.98599417760011</v>
      </c>
      <c r="Y184" s="2529">
        <v>-1.22</v>
      </c>
      <c r="Z184" s="2529">
        <v>350.108</v>
      </c>
      <c r="AN184" s="2570"/>
      <c r="AO184" s="2570"/>
      <c r="AP184" s="2608"/>
      <c r="AQ184" s="2609"/>
      <c r="AR184" s="2609"/>
      <c r="AS184" s="2611"/>
      <c r="AT184" s="2610"/>
      <c r="AU184" s="2609"/>
      <c r="AV184" s="2609"/>
      <c r="AW184" s="2609"/>
      <c r="AX184" s="2609"/>
      <c r="AY184" s="2570"/>
      <c r="AZ184" s="2570"/>
      <c r="BA184" s="2570"/>
      <c r="BB184" s="2570"/>
    </row>
    <row r="185" spans="1:54" ht="15" customHeight="1">
      <c r="A185" s="2615" t="s">
        <v>2091</v>
      </c>
      <c r="B185" s="2757" t="s">
        <v>1507</v>
      </c>
      <c r="C185" s="2755" t="s">
        <v>2092</v>
      </c>
      <c r="D185" s="2521"/>
      <c r="E185" s="2667">
        <v>1</v>
      </c>
      <c r="F185" s="2660">
        <v>1</v>
      </c>
      <c r="G185" s="2667">
        <v>4.4999999999999998E-2</v>
      </c>
      <c r="H185" s="2681">
        <v>5</v>
      </c>
      <c r="I185" s="2690" t="s">
        <v>2900</v>
      </c>
      <c r="J185" s="2509">
        <f>E185*F185*G185*H185</f>
        <v>0.22499999999999998</v>
      </c>
      <c r="K185" s="2536">
        <v>101.97</v>
      </c>
      <c r="L185" s="2536"/>
      <c r="M185" s="2729">
        <v>38.440650600000012</v>
      </c>
      <c r="N185" s="2517">
        <f t="shared" si="32"/>
        <v>0</v>
      </c>
      <c r="O185" s="2541" t="s">
        <v>2899</v>
      </c>
      <c r="P185" s="2515" t="s">
        <v>2982</v>
      </c>
      <c r="Q185" s="2514" t="s">
        <v>2981</v>
      </c>
      <c r="R185" s="2751">
        <v>4745.57</v>
      </c>
      <c r="S185" s="3023">
        <v>1.82</v>
      </c>
      <c r="T185" s="2513">
        <f t="shared" si="33"/>
        <v>0</v>
      </c>
      <c r="U185" s="2540">
        <v>0.375</v>
      </c>
      <c r="V185" s="2540">
        <v>0.11600000000000001</v>
      </c>
      <c r="W185" s="2529">
        <v>-52.29</v>
      </c>
      <c r="X185" s="2510">
        <f t="shared" si="34"/>
        <v>0</v>
      </c>
      <c r="Y185" s="2529">
        <v>-39.4</v>
      </c>
      <c r="Z185" s="2529">
        <v>1234.701</v>
      </c>
      <c r="AN185" s="2570"/>
      <c r="AO185" s="2570"/>
      <c r="AP185" s="2608"/>
      <c r="AQ185" s="2609"/>
      <c r="AR185" s="2609"/>
      <c r="AS185" s="2611"/>
      <c r="AT185" s="2610"/>
      <c r="AU185" s="2609"/>
      <c r="AV185" s="2609"/>
      <c r="AW185" s="2609"/>
      <c r="AX185" s="2609"/>
      <c r="AY185" s="2570"/>
      <c r="AZ185" s="2570"/>
      <c r="BA185" s="2570"/>
      <c r="BB185" s="2570"/>
    </row>
    <row r="186" spans="1:54" s="2725" customFormat="1">
      <c r="A186" s="2717"/>
      <c r="B186" s="2718" t="s">
        <v>2978</v>
      </c>
      <c r="C186" s="2716"/>
      <c r="D186" s="2719"/>
      <c r="E186" s="2720"/>
      <c r="F186" s="2720"/>
      <c r="G186" s="2721"/>
      <c r="H186" s="2720"/>
      <c r="I186" s="2720"/>
      <c r="J186" s="2720"/>
      <c r="K186" s="2722"/>
      <c r="L186" s="2722"/>
      <c r="M186" s="2723"/>
      <c r="N186" s="2715">
        <f t="shared" si="32"/>
        <v>0</v>
      </c>
      <c r="O186" s="2720"/>
      <c r="P186" s="2722"/>
      <c r="Q186" s="2722"/>
      <c r="R186" s="2722"/>
      <c r="S186" s="2722"/>
      <c r="T186" s="2724">
        <f t="shared" si="33"/>
        <v>0</v>
      </c>
      <c r="U186" s="2722"/>
      <c r="V186" s="2722"/>
      <c r="W186" s="2722"/>
      <c r="X186" s="2724">
        <f t="shared" si="34"/>
        <v>0</v>
      </c>
      <c r="Y186" s="2722"/>
      <c r="Z186" s="2722"/>
    </row>
    <row r="187" spans="1:54" ht="18" customHeight="1">
      <c r="A187" s="2523" t="s">
        <v>1909</v>
      </c>
      <c r="B187" s="2543" t="s">
        <v>1357</v>
      </c>
      <c r="C187" s="2542" t="s">
        <v>1910</v>
      </c>
      <c r="D187" s="2607">
        <f>'[7]Precios Recuperación (PUSD)'!$H$2297</f>
        <v>4864.2</v>
      </c>
      <c r="E187" s="2663">
        <v>1</v>
      </c>
      <c r="F187" s="2670"/>
      <c r="G187" s="2663"/>
      <c r="H187" s="2661"/>
      <c r="I187" s="2687"/>
      <c r="J187" s="2509"/>
      <c r="K187" s="2606"/>
      <c r="L187" s="2606"/>
      <c r="M187" s="2727">
        <f>E187</f>
        <v>1</v>
      </c>
      <c r="N187" s="2517">
        <f t="shared" si="32"/>
        <v>4864.2</v>
      </c>
      <c r="O187" s="2527"/>
      <c r="P187" s="2541" t="s">
        <v>2977</v>
      </c>
      <c r="Q187" s="2514" t="s">
        <v>2976</v>
      </c>
      <c r="R187" s="2702">
        <v>2.8000000000000001E-2</v>
      </c>
      <c r="S187" s="2702"/>
      <c r="T187" s="2513">
        <f t="shared" si="33"/>
        <v>136.19759999999999</v>
      </c>
      <c r="U187" s="2525">
        <v>0.95640000000000003</v>
      </c>
      <c r="V187" s="2525">
        <v>2.93E-2</v>
      </c>
      <c r="W187" s="2524">
        <v>2E-3</v>
      </c>
      <c r="X187" s="2510">
        <f t="shared" si="34"/>
        <v>9.7284000000000006</v>
      </c>
      <c r="Y187" s="2524">
        <v>2E-3</v>
      </c>
      <c r="Z187" s="2524">
        <v>2.21</v>
      </c>
    </row>
    <row r="188" spans="1:54" s="2725" customFormat="1">
      <c r="A188" s="2717"/>
      <c r="B188" s="2718" t="s">
        <v>2950</v>
      </c>
      <c r="C188" s="2716"/>
      <c r="D188" s="2719"/>
      <c r="E188" s="2720"/>
      <c r="F188" s="2720"/>
      <c r="G188" s="2721"/>
      <c r="H188" s="2720"/>
      <c r="I188" s="2720"/>
      <c r="J188" s="2720"/>
      <c r="K188" s="2722"/>
      <c r="L188" s="2722"/>
      <c r="M188" s="2723"/>
      <c r="N188" s="2715">
        <f t="shared" si="32"/>
        <v>0</v>
      </c>
      <c r="O188" s="2720"/>
      <c r="P188" s="2722"/>
      <c r="Q188" s="2722"/>
      <c r="R188" s="2722"/>
      <c r="S188" s="2722"/>
      <c r="T188" s="2724">
        <f t="shared" si="33"/>
        <v>0</v>
      </c>
      <c r="U188" s="2722"/>
      <c r="V188" s="2722"/>
      <c r="W188" s="2722"/>
      <c r="X188" s="2724">
        <f t="shared" si="34"/>
        <v>0</v>
      </c>
      <c r="Y188" s="2722"/>
      <c r="Z188" s="2722"/>
    </row>
    <row r="189" spans="1:54" s="98" customFormat="1" ht="15" customHeight="1">
      <c r="A189" s="2544" t="s">
        <v>1083</v>
      </c>
      <c r="B189" s="2543" t="s">
        <v>1683</v>
      </c>
      <c r="C189" s="2748" t="s">
        <v>2633</v>
      </c>
      <c r="D189" s="2521"/>
      <c r="E189" s="2666">
        <v>1</v>
      </c>
      <c r="F189" s="2671">
        <v>1</v>
      </c>
      <c r="G189" s="2666">
        <v>1</v>
      </c>
      <c r="H189" s="2680">
        <v>0.9</v>
      </c>
      <c r="I189" s="2687" t="s">
        <v>2933</v>
      </c>
      <c r="J189" s="2509"/>
      <c r="K189" s="2569"/>
      <c r="L189" s="2569"/>
      <c r="M189" s="2727">
        <f>H189*F189*E189*G189</f>
        <v>0.9</v>
      </c>
      <c r="N189" s="2517">
        <f t="shared" si="32"/>
        <v>0</v>
      </c>
      <c r="O189" s="2568"/>
      <c r="P189" s="2761" t="s">
        <v>2949</v>
      </c>
      <c r="Q189" s="2514" t="s">
        <v>2948</v>
      </c>
      <c r="R189" s="2751">
        <v>47.4</v>
      </c>
      <c r="S189" s="2751">
        <v>100</v>
      </c>
      <c r="T189" s="2513">
        <f t="shared" si="33"/>
        <v>0</v>
      </c>
      <c r="U189" s="2540">
        <v>0.82399999999999995</v>
      </c>
      <c r="V189" s="2540">
        <v>0.14699999999999999</v>
      </c>
      <c r="W189" s="2529">
        <v>1.738</v>
      </c>
      <c r="X189" s="2510">
        <f t="shared" si="34"/>
        <v>0</v>
      </c>
      <c r="Y189" s="2529">
        <v>1.89</v>
      </c>
      <c r="Z189" s="2529">
        <v>6.9640000000000004</v>
      </c>
    </row>
    <row r="190" spans="1:54">
      <c r="A190" s="2535" t="s">
        <v>1682</v>
      </c>
      <c r="B190" s="2533" t="s">
        <v>1683</v>
      </c>
      <c r="C190" s="2522" t="s">
        <v>1684</v>
      </c>
      <c r="D190" s="2521">
        <f>'[7]Desglose Precios Auxiliares'!$G$78</f>
        <v>12.743987199999999</v>
      </c>
      <c r="E190" s="2665">
        <v>1</v>
      </c>
      <c r="F190" s="2670">
        <v>1</v>
      </c>
      <c r="G190" s="2665">
        <v>1</v>
      </c>
      <c r="H190" s="2678">
        <v>1.1000000000000001</v>
      </c>
      <c r="I190" s="2687" t="s">
        <v>2933</v>
      </c>
      <c r="J190" s="2509"/>
      <c r="K190" s="2538"/>
      <c r="L190" s="2538"/>
      <c r="M190" s="2727">
        <f>H190*F190*E190*G190</f>
        <v>1.1000000000000001</v>
      </c>
      <c r="N190" s="2517">
        <f t="shared" si="32"/>
        <v>14.01838592</v>
      </c>
      <c r="O190" s="2527"/>
      <c r="P190" s="2526" t="s">
        <v>2947</v>
      </c>
      <c r="Q190" s="2526" t="s">
        <v>2946</v>
      </c>
      <c r="R190" s="2702">
        <v>99.7</v>
      </c>
      <c r="S190" s="2702"/>
      <c r="T190" s="2513">
        <f t="shared" si="33"/>
        <v>1397.6330762240002</v>
      </c>
      <c r="U190" s="2525">
        <v>0.92500000000000004</v>
      </c>
      <c r="V190" s="2525">
        <v>0.06</v>
      </c>
      <c r="W190" s="2524">
        <v>4.4119999999999999</v>
      </c>
      <c r="X190" s="2510">
        <f t="shared" si="34"/>
        <v>61.849118679039996</v>
      </c>
      <c r="Y190" s="2524">
        <v>4.7300000000000004</v>
      </c>
      <c r="Z190" s="2524">
        <v>7.2750000000000004</v>
      </c>
    </row>
    <row r="191" spans="1:54">
      <c r="A191" s="2535" t="s">
        <v>2945</v>
      </c>
      <c r="B191" s="2533" t="s">
        <v>1357</v>
      </c>
      <c r="C191" s="2522" t="s">
        <v>1691</v>
      </c>
      <c r="D191" s="2521">
        <f>'[7]Precios Recuperación (PUSD)'!$I$2401</f>
        <v>2948.6624999999999</v>
      </c>
      <c r="E191" s="2665">
        <v>1</v>
      </c>
      <c r="F191" s="2670"/>
      <c r="G191" s="2665"/>
      <c r="H191" s="2685"/>
      <c r="I191" s="2685"/>
      <c r="J191" s="2509"/>
      <c r="K191" s="2538"/>
      <c r="L191" s="2538"/>
      <c r="M191" s="2727">
        <f>E191</f>
        <v>1</v>
      </c>
      <c r="N191" s="2517">
        <f t="shared" si="32"/>
        <v>2948.6624999999999</v>
      </c>
      <c r="O191" s="2538"/>
      <c r="P191" s="2538" t="s">
        <v>2944</v>
      </c>
      <c r="Q191" s="2538" t="s">
        <v>2943</v>
      </c>
      <c r="R191" s="2702">
        <v>24.8</v>
      </c>
      <c r="S191" s="2702"/>
      <c r="T191" s="2513">
        <f t="shared" si="33"/>
        <v>73126.83</v>
      </c>
      <c r="U191" s="2525">
        <v>0.83</v>
      </c>
      <c r="V191" s="2525">
        <v>0.13700000000000001</v>
      </c>
      <c r="W191" s="2524">
        <v>0.99099999999999999</v>
      </c>
      <c r="X191" s="2510">
        <f t="shared" si="34"/>
        <v>2922.1245374999999</v>
      </c>
      <c r="Y191" s="2524">
        <v>1.1000000000000001</v>
      </c>
      <c r="Z191" s="2524">
        <v>3.8929999999999998</v>
      </c>
    </row>
    <row r="192" spans="1:54" ht="18" customHeight="1">
      <c r="A192" s="2523" t="s">
        <v>1907</v>
      </c>
      <c r="B192" s="2543" t="s">
        <v>1357</v>
      </c>
      <c r="C192" s="2542" t="s">
        <v>1908</v>
      </c>
      <c r="D192" s="2521">
        <f>'[7]Precios Recuperación (PUSD)'!$H$2296</f>
        <v>7075.2</v>
      </c>
      <c r="E192" s="2665">
        <v>1</v>
      </c>
      <c r="F192" s="2670"/>
      <c r="G192" s="2665"/>
      <c r="H192" s="2678"/>
      <c r="I192" s="2687"/>
      <c r="J192" s="2509"/>
      <c r="K192" s="2567"/>
      <c r="L192" s="2567"/>
      <c r="M192" s="2727">
        <f>E192</f>
        <v>1</v>
      </c>
      <c r="N192" s="2517">
        <f t="shared" si="32"/>
        <v>7075.2</v>
      </c>
      <c r="O192" s="2527"/>
      <c r="P192" s="2541" t="s">
        <v>2939</v>
      </c>
      <c r="Q192" s="2514" t="s">
        <v>2938</v>
      </c>
      <c r="R192" s="2698">
        <v>41.3</v>
      </c>
      <c r="S192" s="2698"/>
      <c r="T192" s="2513">
        <f t="shared" si="33"/>
        <v>292205.75999999995</v>
      </c>
      <c r="U192" s="2540">
        <v>0.89</v>
      </c>
      <c r="V192" s="2540">
        <v>9.1800000000000007E-2</v>
      </c>
      <c r="W192" s="2529">
        <v>1.2789999999999999</v>
      </c>
      <c r="X192" s="2510">
        <f t="shared" si="34"/>
        <v>9049.1807999999983</v>
      </c>
      <c r="Y192" s="2529">
        <v>1.44</v>
      </c>
      <c r="Z192" s="2529">
        <v>3.665</v>
      </c>
    </row>
    <row r="193" spans="1:26" ht="15" customHeight="1">
      <c r="A193" s="2535" t="s">
        <v>1933</v>
      </c>
      <c r="B193" s="2533" t="s">
        <v>1683</v>
      </c>
      <c r="C193" s="2522" t="s">
        <v>1934</v>
      </c>
      <c r="D193" s="2531"/>
      <c r="E193" s="2665">
        <v>1</v>
      </c>
      <c r="F193" s="2670">
        <v>1</v>
      </c>
      <c r="G193" s="2665">
        <v>1</v>
      </c>
      <c r="H193" s="2678">
        <v>1.1499999999999999</v>
      </c>
      <c r="I193" s="2687" t="s">
        <v>2933</v>
      </c>
      <c r="J193" s="2509"/>
      <c r="K193" s="2538"/>
      <c r="L193" s="2538"/>
      <c r="M193" s="2727">
        <f>H193*F193*E193*G193</f>
        <v>1.1499999999999999</v>
      </c>
      <c r="N193" s="2517">
        <f t="shared" si="32"/>
        <v>0</v>
      </c>
      <c r="O193" s="2527"/>
      <c r="P193" s="2541" t="s">
        <v>2939</v>
      </c>
      <c r="Q193" s="2514" t="s">
        <v>2938</v>
      </c>
      <c r="R193" s="2698">
        <v>41.3</v>
      </c>
      <c r="S193" s="2698"/>
      <c r="T193" s="2513">
        <f t="shared" si="33"/>
        <v>0</v>
      </c>
      <c r="U193" s="2540">
        <v>0.89</v>
      </c>
      <c r="V193" s="2540">
        <v>9.1800000000000007E-2</v>
      </c>
      <c r="W193" s="2529">
        <v>1.2789999999999999</v>
      </c>
      <c r="X193" s="2510">
        <f t="shared" si="34"/>
        <v>0</v>
      </c>
      <c r="Y193" s="2529">
        <v>1.44</v>
      </c>
      <c r="Z193" s="2529">
        <v>3.665</v>
      </c>
    </row>
    <row r="194" spans="1:26" ht="15" customHeight="1">
      <c r="A194" s="2535" t="s">
        <v>1812</v>
      </c>
      <c r="B194" s="2533" t="s">
        <v>1357</v>
      </c>
      <c r="C194" s="2522" t="s">
        <v>1813</v>
      </c>
      <c r="D194" s="2521">
        <f>'[7]Precios Recuperación (PUSD)'!$H$2623</f>
        <v>397.98</v>
      </c>
      <c r="E194" s="2665">
        <v>1</v>
      </c>
      <c r="F194" s="2674"/>
      <c r="G194" s="2665"/>
      <c r="H194" s="2678"/>
      <c r="I194" s="2685"/>
      <c r="J194" s="2509"/>
      <c r="K194" s="2538"/>
      <c r="L194" s="2538"/>
      <c r="M194" s="2727">
        <f>E194</f>
        <v>1</v>
      </c>
      <c r="N194" s="2517">
        <f t="shared" si="32"/>
        <v>397.98</v>
      </c>
      <c r="O194" s="2538"/>
      <c r="P194" s="2538" t="s">
        <v>2942</v>
      </c>
      <c r="Q194" s="2538" t="s">
        <v>2941</v>
      </c>
      <c r="R194" s="2702">
        <v>0.51400000000000001</v>
      </c>
      <c r="S194" s="2702"/>
      <c r="T194" s="2513">
        <f t="shared" si="33"/>
        <v>204.56172000000001</v>
      </c>
      <c r="U194" s="2525">
        <v>0.51600000000000001</v>
      </c>
      <c r="V194" s="2525">
        <v>0.39700000000000002</v>
      </c>
      <c r="W194" s="2524">
        <v>1.7999999999999999E-2</v>
      </c>
      <c r="X194" s="2510">
        <f t="shared" si="34"/>
        <v>7.16364</v>
      </c>
      <c r="Y194" s="2524">
        <v>1.9E-2</v>
      </c>
      <c r="Z194" s="2524">
        <v>0.26</v>
      </c>
    </row>
    <row r="195" spans="1:26" ht="15" customHeight="1">
      <c r="A195" s="2535" t="s">
        <v>2105</v>
      </c>
      <c r="B195" s="2533" t="s">
        <v>1357</v>
      </c>
      <c r="C195" s="2522" t="s">
        <v>2106</v>
      </c>
      <c r="D195" s="2521"/>
      <c r="E195" s="2665">
        <v>1</v>
      </c>
      <c r="F195" s="2670"/>
      <c r="G195" s="2665"/>
      <c r="H195" s="2678"/>
      <c r="I195" s="2687"/>
      <c r="J195" s="2509"/>
      <c r="K195" s="2567"/>
      <c r="L195" s="2567"/>
      <c r="M195" s="2727">
        <f>E195</f>
        <v>1</v>
      </c>
      <c r="N195" s="2517">
        <f t="shared" si="32"/>
        <v>0</v>
      </c>
      <c r="O195" s="2538"/>
      <c r="P195" s="2541" t="s">
        <v>2940</v>
      </c>
      <c r="Q195" s="2514" t="s">
        <v>2912</v>
      </c>
      <c r="R195" s="2698">
        <v>51</v>
      </c>
      <c r="S195" s="2698"/>
      <c r="T195" s="2513">
        <f t="shared" si="33"/>
        <v>0</v>
      </c>
      <c r="U195" s="2540">
        <v>0.94699999999999995</v>
      </c>
      <c r="V195" s="2540">
        <v>3.2899999999999999E-2</v>
      </c>
      <c r="W195" s="2529">
        <v>0.97</v>
      </c>
      <c r="X195" s="2510">
        <f t="shared" si="34"/>
        <v>0</v>
      </c>
      <c r="Y195" s="2529">
        <v>1.1000000000000001</v>
      </c>
      <c r="Z195" s="2529">
        <v>1.871</v>
      </c>
    </row>
    <row r="196" spans="1:26" ht="15" customHeight="1">
      <c r="A196" s="2535" t="s">
        <v>2110</v>
      </c>
      <c r="B196" s="2533" t="s">
        <v>1357</v>
      </c>
      <c r="C196" s="2522" t="s">
        <v>2111</v>
      </c>
      <c r="D196" s="2521"/>
      <c r="E196" s="2665">
        <v>1</v>
      </c>
      <c r="F196" s="2670"/>
      <c r="G196" s="2665"/>
      <c r="H196" s="2678"/>
      <c r="I196" s="2687"/>
      <c r="J196" s="2509"/>
      <c r="K196" s="2567"/>
      <c r="L196" s="2567"/>
      <c r="M196" s="2727">
        <f>E196</f>
        <v>1</v>
      </c>
      <c r="N196" s="2517">
        <f t="shared" si="32"/>
        <v>0</v>
      </c>
      <c r="O196" s="2538"/>
      <c r="P196" s="2541" t="s">
        <v>2940</v>
      </c>
      <c r="Q196" s="2514" t="s">
        <v>2912</v>
      </c>
      <c r="R196" s="2698">
        <v>51</v>
      </c>
      <c r="S196" s="2698"/>
      <c r="T196" s="2513">
        <f t="shared" si="33"/>
        <v>0</v>
      </c>
      <c r="U196" s="2540">
        <v>0.94699999999999995</v>
      </c>
      <c r="V196" s="2540">
        <v>3.2899999999999999E-2</v>
      </c>
      <c r="W196" s="2529">
        <v>0.97</v>
      </c>
      <c r="X196" s="2510">
        <f t="shared" si="34"/>
        <v>0</v>
      </c>
      <c r="Y196" s="2529">
        <v>1.1000000000000001</v>
      </c>
      <c r="Z196" s="2529">
        <v>1.871</v>
      </c>
    </row>
    <row r="197" spans="1:26" ht="15" customHeight="1">
      <c r="A197" s="2535" t="s">
        <v>1207</v>
      </c>
      <c r="B197" s="2533" t="s">
        <v>1357</v>
      </c>
      <c r="C197" s="2747" t="s">
        <v>2104</v>
      </c>
      <c r="D197" s="2521"/>
      <c r="E197" s="2665">
        <v>1</v>
      </c>
      <c r="F197" s="2670"/>
      <c r="G197" s="2665"/>
      <c r="H197" s="2678"/>
      <c r="I197" s="2687"/>
      <c r="J197" s="2509"/>
      <c r="K197" s="2567"/>
      <c r="L197" s="2567"/>
      <c r="M197" s="2727">
        <f>E197</f>
        <v>1</v>
      </c>
      <c r="N197" s="2517">
        <f t="shared" si="32"/>
        <v>0</v>
      </c>
      <c r="O197" s="2538"/>
      <c r="P197" s="2541" t="s">
        <v>2939</v>
      </c>
      <c r="Q197" s="2514" t="s">
        <v>2938</v>
      </c>
      <c r="R197" s="2751">
        <v>41.3</v>
      </c>
      <c r="S197" s="2751">
        <v>100</v>
      </c>
      <c r="T197" s="2513">
        <f t="shared" si="33"/>
        <v>0</v>
      </c>
      <c r="U197" s="2540">
        <v>0.89</v>
      </c>
      <c r="V197" s="2540">
        <v>9.1800000000000007E-2</v>
      </c>
      <c r="W197" s="2529">
        <v>1.2789999999999999</v>
      </c>
      <c r="X197" s="2510">
        <f t="shared" si="34"/>
        <v>0</v>
      </c>
      <c r="Y197" s="2529">
        <v>1.44</v>
      </c>
      <c r="Z197" s="2529">
        <v>3.665</v>
      </c>
    </row>
    <row r="198" spans="1:26" ht="15" customHeight="1">
      <c r="A198" s="2535" t="s">
        <v>1698</v>
      </c>
      <c r="B198" s="2533" t="s">
        <v>1357</v>
      </c>
      <c r="C198" s="2522" t="s">
        <v>1699</v>
      </c>
      <c r="D198" s="2521">
        <f>'[7]Precios Recuperación (PUSD)'!$M$2655</f>
        <v>1716.5250000000001</v>
      </c>
      <c r="E198" s="2665">
        <v>1</v>
      </c>
      <c r="F198" s="2674"/>
      <c r="G198" s="2665"/>
      <c r="H198" s="2678"/>
      <c r="I198" s="2685"/>
      <c r="J198" s="2509"/>
      <c r="K198" s="2538"/>
      <c r="L198" s="2538"/>
      <c r="M198" s="2727">
        <f>E198</f>
        <v>1</v>
      </c>
      <c r="N198" s="2517">
        <f t="shared" si="32"/>
        <v>1716.5250000000001</v>
      </c>
      <c r="O198" s="2538"/>
      <c r="P198" s="2538" t="s">
        <v>2928</v>
      </c>
      <c r="Q198" s="2538" t="s">
        <v>2927</v>
      </c>
      <c r="R198" s="2702">
        <v>58.3</v>
      </c>
      <c r="S198" s="2702"/>
      <c r="T198" s="2513">
        <f t="shared" si="33"/>
        <v>100073.4075</v>
      </c>
      <c r="U198" s="2525">
        <v>0.83099999999999996</v>
      </c>
      <c r="V198" s="2525">
        <v>0.1</v>
      </c>
      <c r="W198" s="2524">
        <v>2.41</v>
      </c>
      <c r="X198" s="2510">
        <f t="shared" si="34"/>
        <v>4136.8252500000008</v>
      </c>
      <c r="Y198" s="2524">
        <v>2.6</v>
      </c>
      <c r="Z198" s="2524">
        <v>6.2750000000000004</v>
      </c>
    </row>
    <row r="199" spans="1:26" ht="15" customHeight="1">
      <c r="A199" s="2523" t="s">
        <v>2937</v>
      </c>
      <c r="B199" s="2522" t="s">
        <v>1683</v>
      </c>
      <c r="C199" s="2522" t="s">
        <v>2936</v>
      </c>
      <c r="D199" s="2521">
        <v>0</v>
      </c>
      <c r="E199" s="2665">
        <v>1</v>
      </c>
      <c r="F199" s="2670">
        <v>1</v>
      </c>
      <c r="G199" s="2665">
        <v>1</v>
      </c>
      <c r="H199" s="2678">
        <v>0.82</v>
      </c>
      <c r="I199" s="2687" t="s">
        <v>2933</v>
      </c>
      <c r="J199" s="2509"/>
      <c r="K199" s="2538"/>
      <c r="L199" s="2538"/>
      <c r="M199" s="2727">
        <f>E199*F199*G199*H199</f>
        <v>0.82</v>
      </c>
      <c r="N199" s="2517">
        <f t="shared" si="32"/>
        <v>0</v>
      </c>
      <c r="O199" s="2538"/>
      <c r="P199" s="2538" t="s">
        <v>2932</v>
      </c>
      <c r="Q199" s="2538" t="s">
        <v>2931</v>
      </c>
      <c r="R199" s="2702">
        <v>65.099999999999994</v>
      </c>
      <c r="S199" s="2702"/>
      <c r="T199" s="2513">
        <f t="shared" si="33"/>
        <v>0</v>
      </c>
      <c r="U199" s="2525">
        <v>0.93799999999999994</v>
      </c>
      <c r="V199" s="2525">
        <v>5.45E-2</v>
      </c>
      <c r="W199" s="2524">
        <v>1.7410000000000001</v>
      </c>
      <c r="X199" s="2510">
        <f t="shared" si="34"/>
        <v>0</v>
      </c>
      <c r="Y199" s="2524">
        <v>2.31</v>
      </c>
      <c r="Z199" s="2524">
        <v>1.5129999999999999</v>
      </c>
    </row>
    <row r="200" spans="1:26" ht="15" customHeight="1">
      <c r="A200" s="2523" t="s">
        <v>1214</v>
      </c>
      <c r="B200" s="2522" t="s">
        <v>1357</v>
      </c>
      <c r="C200" s="2747" t="s">
        <v>1700</v>
      </c>
      <c r="D200" s="2521">
        <f>'[7]Precios Recuperación (PUSD)'!$M$2656</f>
        <v>1335.075</v>
      </c>
      <c r="E200" s="2665">
        <v>1</v>
      </c>
      <c r="F200" s="2674"/>
      <c r="G200" s="2665"/>
      <c r="H200" s="2678"/>
      <c r="I200" s="2685"/>
      <c r="J200" s="2509"/>
      <c r="K200" s="2538"/>
      <c r="L200" s="2538"/>
      <c r="M200" s="2727">
        <f>E200</f>
        <v>1</v>
      </c>
      <c r="N200" s="2517">
        <f t="shared" si="32"/>
        <v>1335.075</v>
      </c>
      <c r="O200" s="2538"/>
      <c r="P200" s="2538" t="s">
        <v>2935</v>
      </c>
      <c r="Q200" s="2538" t="s">
        <v>2934</v>
      </c>
      <c r="R200" s="2658">
        <v>135</v>
      </c>
      <c r="S200" s="2751">
        <v>100</v>
      </c>
      <c r="T200" s="2513">
        <f t="shared" si="33"/>
        <v>180235.125</v>
      </c>
      <c r="U200" s="2525">
        <v>0.89600000000000002</v>
      </c>
      <c r="V200" s="2525">
        <v>9.2299999999999993E-2</v>
      </c>
      <c r="W200" s="2524">
        <v>5.94</v>
      </c>
      <c r="X200" s="2510">
        <f t="shared" si="34"/>
        <v>7930.3455000000004</v>
      </c>
      <c r="Y200" s="2524">
        <v>6.74</v>
      </c>
      <c r="Z200" s="2524">
        <v>0.44900000000000001</v>
      </c>
    </row>
    <row r="201" spans="1:26" ht="15" customHeight="1">
      <c r="A201" s="2523" t="s">
        <v>2118</v>
      </c>
      <c r="B201" s="2522" t="s">
        <v>1683</v>
      </c>
      <c r="C201" s="2522" t="s">
        <v>2119</v>
      </c>
      <c r="D201" s="2521"/>
      <c r="E201" s="2665">
        <v>1</v>
      </c>
      <c r="F201" s="2670">
        <v>1</v>
      </c>
      <c r="G201" s="2665">
        <v>1</v>
      </c>
      <c r="H201" s="2678">
        <v>1.4</v>
      </c>
      <c r="I201" s="2687" t="s">
        <v>2933</v>
      </c>
      <c r="J201" s="2509"/>
      <c r="K201" s="2538"/>
      <c r="L201" s="2538"/>
      <c r="M201" s="2727">
        <f>E201*F201*G201*H201</f>
        <v>1.4</v>
      </c>
      <c r="N201" s="2517">
        <f t="shared" si="32"/>
        <v>0</v>
      </c>
      <c r="O201" s="2538"/>
      <c r="P201" s="2538" t="s">
        <v>2932</v>
      </c>
      <c r="Q201" s="2538" t="s">
        <v>2931</v>
      </c>
      <c r="R201" s="2702">
        <v>65.099999999999994</v>
      </c>
      <c r="S201" s="2702"/>
      <c r="T201" s="2513">
        <f t="shared" si="33"/>
        <v>0</v>
      </c>
      <c r="U201" s="2525">
        <v>0.93799999999999994</v>
      </c>
      <c r="V201" s="2525">
        <v>5.45E-2</v>
      </c>
      <c r="W201" s="2524">
        <v>1.7410000000000001</v>
      </c>
      <c r="X201" s="2510">
        <f t="shared" si="34"/>
        <v>0</v>
      </c>
      <c r="Y201" s="2524">
        <v>2.31</v>
      </c>
      <c r="Z201" s="2524">
        <v>1.5129999999999999</v>
      </c>
    </row>
    <row r="202" spans="1:26" s="2555" customFormat="1" ht="15" customHeight="1">
      <c r="A202" s="2562" t="s">
        <v>2930</v>
      </c>
      <c r="B202" s="2561" t="s">
        <v>1357</v>
      </c>
      <c r="C202" s="2561" t="s">
        <v>2929</v>
      </c>
      <c r="D202" s="2560">
        <v>0</v>
      </c>
      <c r="E202" s="2668">
        <v>1</v>
      </c>
      <c r="F202" s="2675"/>
      <c r="G202" s="2668"/>
      <c r="H202" s="2686"/>
      <c r="I202" s="2686"/>
      <c r="J202" s="2509"/>
      <c r="K202" s="2558"/>
      <c r="L202" s="2558"/>
      <c r="M202" s="2732">
        <f>E202</f>
        <v>1</v>
      </c>
      <c r="N202" s="2517">
        <f t="shared" si="32"/>
        <v>0</v>
      </c>
      <c r="O202" s="2558"/>
      <c r="P202" s="2558" t="s">
        <v>2928</v>
      </c>
      <c r="Q202" s="2558" t="s">
        <v>2927</v>
      </c>
      <c r="R202" s="2704">
        <v>58.3</v>
      </c>
      <c r="S202" s="2704"/>
      <c r="T202" s="2513">
        <f t="shared" si="33"/>
        <v>0</v>
      </c>
      <c r="U202" s="2557">
        <v>0.83099999999999996</v>
      </c>
      <c r="V202" s="2557">
        <v>0.1</v>
      </c>
      <c r="W202" s="2556">
        <v>2.2120000000000002</v>
      </c>
      <c r="X202" s="2510">
        <f t="shared" si="34"/>
        <v>0</v>
      </c>
      <c r="Y202" s="2556">
        <v>2.6</v>
      </c>
      <c r="Z202" s="2556">
        <v>6.2750000000000004</v>
      </c>
    </row>
    <row r="203" spans="1:26" s="2725" customFormat="1">
      <c r="A203" s="2717"/>
      <c r="B203" s="2718" t="s">
        <v>3014</v>
      </c>
      <c r="C203" s="2716"/>
      <c r="D203" s="2719"/>
      <c r="E203" s="2720"/>
      <c r="F203" s="2720"/>
      <c r="G203" s="2721"/>
      <c r="H203" s="2720"/>
      <c r="I203" s="2720"/>
      <c r="J203" s="2720"/>
      <c r="K203" s="2722"/>
      <c r="L203" s="2722"/>
      <c r="M203" s="2723"/>
      <c r="N203" s="2715"/>
      <c r="O203" s="2720"/>
      <c r="P203" s="2722"/>
      <c r="Q203" s="2722"/>
      <c r="R203" s="2722"/>
      <c r="S203" s="2722"/>
      <c r="T203" s="2724">
        <f t="shared" ref="T203:T207" si="39">M203*R203*D203</f>
        <v>0</v>
      </c>
      <c r="U203" s="2722"/>
      <c r="V203" s="2722"/>
      <c r="W203" s="2722"/>
      <c r="X203" s="2724">
        <f t="shared" ref="X203:X207" si="40">M203*W203*D203</f>
        <v>0</v>
      </c>
      <c r="Y203" s="2722"/>
      <c r="Z203" s="2722"/>
    </row>
    <row r="204" spans="1:26" s="2570" customFormat="1" ht="24.75" customHeight="1">
      <c r="A204" s="2523" t="s">
        <v>2460</v>
      </c>
      <c r="B204" s="2522" t="s">
        <v>1504</v>
      </c>
      <c r="C204" s="2522" t="s">
        <v>2461</v>
      </c>
      <c r="D204" s="2521"/>
      <c r="E204" s="2667">
        <v>0.6</v>
      </c>
      <c r="F204" s="2660">
        <v>0.3</v>
      </c>
      <c r="G204" s="2667">
        <v>0.05</v>
      </c>
      <c r="H204" s="2681">
        <v>18</v>
      </c>
      <c r="I204" s="2690" t="s">
        <v>2900</v>
      </c>
      <c r="J204" s="2509">
        <f>E204*F204*G204*H204</f>
        <v>0.16199999999999998</v>
      </c>
      <c r="K204" s="2536">
        <v>101.97</v>
      </c>
      <c r="L204" s="2536"/>
      <c r="M204" s="2729">
        <f t="shared" ref="M204:M206" si="41">J204*K204</f>
        <v>16.519139999999997</v>
      </c>
      <c r="N204" s="2517">
        <f t="shared" ref="N204:N207" si="42">D204*M204</f>
        <v>0</v>
      </c>
      <c r="O204" s="2541" t="s">
        <v>2899</v>
      </c>
      <c r="P204" s="2515" t="s">
        <v>3013</v>
      </c>
      <c r="Q204" s="2515" t="s">
        <v>3012</v>
      </c>
      <c r="R204" s="2752">
        <v>43.5</v>
      </c>
      <c r="S204" s="2752">
        <v>27.5</v>
      </c>
      <c r="T204" s="2513">
        <f t="shared" si="39"/>
        <v>0</v>
      </c>
      <c r="U204" s="2540">
        <v>0.86799999999999999</v>
      </c>
      <c r="V204" s="2540">
        <v>0.106</v>
      </c>
      <c r="W204" s="2605">
        <v>2.258</v>
      </c>
      <c r="X204" s="2510">
        <f t="shared" si="40"/>
        <v>0</v>
      </c>
      <c r="Y204" s="2605">
        <v>2.4</v>
      </c>
      <c r="Z204" s="2605">
        <v>5.35</v>
      </c>
    </row>
    <row r="205" spans="1:26" s="2570" customFormat="1" ht="16.5" customHeight="1">
      <c r="A205" s="2523" t="s">
        <v>2468</v>
      </c>
      <c r="B205" s="2522" t="s">
        <v>1504</v>
      </c>
      <c r="C205" s="2522" t="s">
        <v>2469</v>
      </c>
      <c r="D205" s="2521"/>
      <c r="E205" s="2667">
        <v>0.8</v>
      </c>
      <c r="F205" s="2660">
        <v>0.5</v>
      </c>
      <c r="G205" s="2667">
        <v>0.05</v>
      </c>
      <c r="H205" s="2681">
        <v>18</v>
      </c>
      <c r="I205" s="2690" t="s">
        <v>2900</v>
      </c>
      <c r="J205" s="2509">
        <f t="shared" si="31"/>
        <v>0.3600000000000001</v>
      </c>
      <c r="K205" s="2536">
        <v>101.97</v>
      </c>
      <c r="L205" s="2536"/>
      <c r="M205" s="2729">
        <f t="shared" si="41"/>
        <v>36.70920000000001</v>
      </c>
      <c r="N205" s="2517">
        <f t="shared" si="42"/>
        <v>0</v>
      </c>
      <c r="O205" s="2541" t="s">
        <v>2899</v>
      </c>
      <c r="P205" s="2515" t="s">
        <v>3013</v>
      </c>
      <c r="Q205" s="2515" t="s">
        <v>3012</v>
      </c>
      <c r="R205" s="2752">
        <v>43.5</v>
      </c>
      <c r="S205" s="2752">
        <v>27.5</v>
      </c>
      <c r="T205" s="2513">
        <f t="shared" si="39"/>
        <v>0</v>
      </c>
      <c r="U205" s="2540">
        <v>0.86799999999999999</v>
      </c>
      <c r="V205" s="2540">
        <v>0.106</v>
      </c>
      <c r="W205" s="2605">
        <v>2.258</v>
      </c>
      <c r="X205" s="2510">
        <f t="shared" si="40"/>
        <v>0</v>
      </c>
      <c r="Y205" s="2605">
        <v>2.4</v>
      </c>
      <c r="Z205" s="2605">
        <v>5.35</v>
      </c>
    </row>
    <row r="206" spans="1:26" s="2570" customFormat="1" ht="15" customHeight="1">
      <c r="A206" s="2523" t="s">
        <v>1253</v>
      </c>
      <c r="B206" s="2522" t="s">
        <v>1504</v>
      </c>
      <c r="C206" s="2522" t="s">
        <v>2478</v>
      </c>
      <c r="D206" s="2521"/>
      <c r="E206" s="2667">
        <v>0.6</v>
      </c>
      <c r="F206" s="2660">
        <v>0.4</v>
      </c>
      <c r="G206" s="2667">
        <v>0.05</v>
      </c>
      <c r="H206" s="2681">
        <v>18</v>
      </c>
      <c r="I206" s="2690" t="s">
        <v>2900</v>
      </c>
      <c r="J206" s="2509">
        <f t="shared" si="31"/>
        <v>0.216</v>
      </c>
      <c r="K206" s="2536">
        <v>101.97</v>
      </c>
      <c r="L206" s="2536"/>
      <c r="M206" s="2729">
        <f t="shared" si="41"/>
        <v>22.02552</v>
      </c>
      <c r="N206" s="2517">
        <f t="shared" si="42"/>
        <v>0</v>
      </c>
      <c r="O206" s="2541" t="s">
        <v>2899</v>
      </c>
      <c r="P206" s="2515" t="s">
        <v>3013</v>
      </c>
      <c r="Q206" s="2515" t="s">
        <v>3012</v>
      </c>
      <c r="R206" s="2752">
        <v>43.5</v>
      </c>
      <c r="S206" s="2752">
        <v>27.5</v>
      </c>
      <c r="T206" s="2513">
        <f t="shared" si="39"/>
        <v>0</v>
      </c>
      <c r="U206" s="2540">
        <v>0.86799999999999999</v>
      </c>
      <c r="V206" s="2540">
        <v>0.106</v>
      </c>
      <c r="W206" s="2605">
        <v>2.258</v>
      </c>
      <c r="X206" s="2510">
        <f t="shared" si="40"/>
        <v>0</v>
      </c>
      <c r="Y206" s="2605">
        <v>2.4</v>
      </c>
      <c r="Z206" s="2605">
        <v>5.35</v>
      </c>
    </row>
    <row r="207" spans="1:26" s="2570" customFormat="1" ht="15" customHeight="1">
      <c r="A207" s="2523" t="s">
        <v>2476</v>
      </c>
      <c r="B207" s="2522" t="s">
        <v>1504</v>
      </c>
      <c r="C207" s="2522" t="s">
        <v>2477</v>
      </c>
      <c r="D207" s="2521"/>
      <c r="E207" s="2667">
        <v>1</v>
      </c>
      <c r="F207" s="2660">
        <v>0.4</v>
      </c>
      <c r="G207" s="2667">
        <v>0.01</v>
      </c>
      <c r="H207" s="2681">
        <v>18</v>
      </c>
      <c r="I207" s="2690" t="s">
        <v>2900</v>
      </c>
      <c r="J207" s="2509">
        <f t="shared" si="31"/>
        <v>7.2000000000000008E-2</v>
      </c>
      <c r="K207" s="2536">
        <v>101.97</v>
      </c>
      <c r="L207" s="2536"/>
      <c r="M207" s="2729">
        <f>J207*K207</f>
        <v>7.3418400000000004</v>
      </c>
      <c r="N207" s="2517">
        <f t="shared" si="42"/>
        <v>0</v>
      </c>
      <c r="O207" s="2541" t="s">
        <v>2899</v>
      </c>
      <c r="P207" s="2515" t="s">
        <v>3013</v>
      </c>
      <c r="Q207" s="2515" t="s">
        <v>3012</v>
      </c>
      <c r="R207" s="2752">
        <v>43.5</v>
      </c>
      <c r="S207" s="2752">
        <v>27.5</v>
      </c>
      <c r="T207" s="2513">
        <f t="shared" si="39"/>
        <v>0</v>
      </c>
      <c r="U207" s="2540">
        <v>0.86799999999999999</v>
      </c>
      <c r="V207" s="2540">
        <v>0.106</v>
      </c>
      <c r="W207" s="2605">
        <v>2.258</v>
      </c>
      <c r="X207" s="2510">
        <f t="shared" si="40"/>
        <v>0</v>
      </c>
      <c r="Y207" s="2605">
        <v>2.4</v>
      </c>
      <c r="Z207" s="2605">
        <v>5.35</v>
      </c>
    </row>
    <row r="208" spans="1:26" s="2725" customFormat="1">
      <c r="A208" s="2717"/>
      <c r="B208" s="2718" t="s">
        <v>2964</v>
      </c>
      <c r="C208" s="2716"/>
      <c r="D208" s="2719"/>
      <c r="E208" s="2720"/>
      <c r="F208" s="2720"/>
      <c r="G208" s="2721"/>
      <c r="H208" s="2720"/>
      <c r="I208" s="2720"/>
      <c r="J208" s="2720"/>
      <c r="K208" s="2722"/>
      <c r="L208" s="2722"/>
      <c r="M208" s="2723"/>
      <c r="N208" s="2715">
        <f t="shared" ref="N208:N264" si="43">D208*M208</f>
        <v>0</v>
      </c>
      <c r="O208" s="2720"/>
      <c r="P208" s="2722"/>
      <c r="Q208" s="2722"/>
      <c r="R208" s="2722"/>
      <c r="S208" s="2722"/>
      <c r="T208" s="2724">
        <f t="shared" ref="T208:T264" si="44">M208*R208*D208</f>
        <v>0</v>
      </c>
      <c r="U208" s="2722"/>
      <c r="V208" s="2722"/>
      <c r="W208" s="2722"/>
      <c r="X208" s="2724">
        <f t="shared" ref="X208:X264" si="45">M208*W208*D208</f>
        <v>0</v>
      </c>
      <c r="Y208" s="2722"/>
      <c r="Z208" s="2722"/>
    </row>
    <row r="209" spans="1:54" s="98" customFormat="1">
      <c r="A209" s="2590" t="s">
        <v>2379</v>
      </c>
      <c r="B209" s="2589" t="s">
        <v>1527</v>
      </c>
      <c r="C209" s="2588" t="s">
        <v>2380</v>
      </c>
      <c r="D209" s="2521">
        <f>'[7]Precios Recuperación (PUSD)'!$I$1802</f>
        <v>149.47999999999999</v>
      </c>
      <c r="E209" s="2664">
        <v>1</v>
      </c>
      <c r="F209" s="2669">
        <v>3.2000000000000001E-2</v>
      </c>
      <c r="G209" s="2664">
        <v>2.8999999999999998E-3</v>
      </c>
      <c r="H209" s="2677">
        <v>1390</v>
      </c>
      <c r="I209" s="2689" t="s">
        <v>2911</v>
      </c>
      <c r="J209" s="2509"/>
      <c r="K209" s="2569"/>
      <c r="L209" s="2569"/>
      <c r="M209" s="2728">
        <f>E209*F209*G209*H209</f>
        <v>0.128992</v>
      </c>
      <c r="N209" s="2517">
        <f t="shared" si="43"/>
        <v>19.28172416</v>
      </c>
      <c r="O209" s="2568" t="s">
        <v>2910</v>
      </c>
      <c r="P209" s="2568" t="s">
        <v>2963</v>
      </c>
      <c r="Q209" s="2586"/>
      <c r="R209" s="2697">
        <v>68.37</v>
      </c>
      <c r="S209" s="2697"/>
      <c r="T209" s="2513">
        <f t="shared" si="44"/>
        <v>1318.2914808191999</v>
      </c>
      <c r="U209" s="2571">
        <v>0.75770000000000004</v>
      </c>
      <c r="V209" s="2571">
        <v>0.21540000000000001</v>
      </c>
      <c r="W209" s="2596">
        <v>2.1469999999999998</v>
      </c>
      <c r="X209" s="2510">
        <f t="shared" si="45"/>
        <v>41.397861771519992</v>
      </c>
      <c r="Y209" s="2596">
        <v>2.2999999999999998</v>
      </c>
      <c r="Z209" s="2596">
        <v>2.6459999999999999</v>
      </c>
      <c r="AN209" s="2508"/>
      <c r="AO209" s="2508"/>
      <c r="AP209" s="2508"/>
      <c r="AQ209" s="2508"/>
      <c r="AR209" s="2508"/>
      <c r="AS209" s="2508"/>
      <c r="AT209" s="2508"/>
      <c r="AU209" s="2508"/>
      <c r="AV209" s="2508"/>
      <c r="AW209" s="2508"/>
      <c r="AX209" s="2508"/>
      <c r="AY209" s="2508"/>
      <c r="AZ209" s="2508"/>
      <c r="BA209" s="2508"/>
      <c r="BB209" s="2508"/>
    </row>
    <row r="210" spans="1:54" s="2555" customFormat="1" ht="15" customHeight="1">
      <c r="A210" s="2590" t="s">
        <v>2385</v>
      </c>
      <c r="B210" s="2589" t="s">
        <v>1504</v>
      </c>
      <c r="C210" s="2588" t="s">
        <v>2386</v>
      </c>
      <c r="D210" s="2521">
        <f>'[7]Precios Recuperación (PUSD)'!$I$1816</f>
        <v>80</v>
      </c>
      <c r="E210" s="2664">
        <v>0.5</v>
      </c>
      <c r="F210" s="2669">
        <v>0.13500000000000001</v>
      </c>
      <c r="G210" s="2664">
        <v>5.0000000000000001E-3</v>
      </c>
      <c r="H210" s="2677">
        <v>1390</v>
      </c>
      <c r="I210" s="2689" t="s">
        <v>2911</v>
      </c>
      <c r="J210" s="2509"/>
      <c r="K210" s="2569"/>
      <c r="L210" s="2569"/>
      <c r="M210" s="2728">
        <f>E210*F210*G210*H210</f>
        <v>0.46912500000000001</v>
      </c>
      <c r="N210" s="2517">
        <f t="shared" si="43"/>
        <v>37.53</v>
      </c>
      <c r="O210" s="2568" t="s">
        <v>2910</v>
      </c>
      <c r="P210" s="2568" t="s">
        <v>2962</v>
      </c>
      <c r="Q210" s="2597"/>
      <c r="R210" s="2697">
        <v>104</v>
      </c>
      <c r="S210" s="2697"/>
      <c r="T210" s="2513">
        <f t="shared" si="44"/>
        <v>3903.12</v>
      </c>
      <c r="U210" s="2571">
        <v>0.87250000000000005</v>
      </c>
      <c r="V210" s="2571">
        <v>0.1051</v>
      </c>
      <c r="W210" s="2585">
        <v>2.8580000000000001</v>
      </c>
      <c r="X210" s="2510">
        <f t="shared" si="45"/>
        <v>107.26074</v>
      </c>
      <c r="Y210" s="2585">
        <v>3.25</v>
      </c>
      <c r="Z210" s="2585">
        <v>6.1680000000000001</v>
      </c>
      <c r="AA210" s="2599"/>
      <c r="AB210" s="2599"/>
      <c r="AC210" s="2598"/>
      <c r="AD210" s="2598"/>
      <c r="AE210" s="2598"/>
      <c r="AF210" s="2598"/>
      <c r="AG210" s="2598"/>
      <c r="AH210" s="2598"/>
      <c r="AI210" s="2598"/>
      <c r="AJ210" s="2598"/>
      <c r="AK210" s="2598"/>
      <c r="AL210" s="2598"/>
      <c r="AM210" s="2598"/>
      <c r="AN210" s="2584"/>
      <c r="AO210" s="2584"/>
      <c r="AP210" s="2584"/>
      <c r="AQ210" s="2584"/>
      <c r="AR210" s="2584"/>
      <c r="AS210" s="2581"/>
      <c r="AT210" s="2581"/>
      <c r="AU210" s="2583"/>
      <c r="AV210" s="2582"/>
      <c r="AW210" s="2581"/>
      <c r="AX210" s="2581"/>
      <c r="AY210" s="2581"/>
      <c r="AZ210" s="2581"/>
      <c r="BA210" s="2508"/>
      <c r="BB210" s="2508"/>
    </row>
    <row r="211" spans="1:54" s="98" customFormat="1" ht="15" customHeight="1">
      <c r="A211" s="2590" t="s">
        <v>2375</v>
      </c>
      <c r="B211" s="2589" t="s">
        <v>1504</v>
      </c>
      <c r="C211" s="2588" t="s">
        <v>2376</v>
      </c>
      <c r="D211" s="2521">
        <f>'[7]Precios Recuperación (PUSD)'!$H$1735</f>
        <v>40</v>
      </c>
      <c r="E211" s="2664">
        <v>0.3</v>
      </c>
      <c r="F211" s="2669">
        <v>0.125</v>
      </c>
      <c r="G211" s="2664">
        <v>0.125</v>
      </c>
      <c r="H211" s="2677">
        <v>1390</v>
      </c>
      <c r="I211" s="2689" t="s">
        <v>2911</v>
      </c>
      <c r="J211" s="2509"/>
      <c r="K211" s="2569"/>
      <c r="L211" s="2569"/>
      <c r="M211" s="2728">
        <f>E211*F211*G211*H211</f>
        <v>6.515625</v>
      </c>
      <c r="N211" s="2517">
        <f t="shared" si="43"/>
        <v>260.625</v>
      </c>
      <c r="O211" s="2568" t="s">
        <v>2910</v>
      </c>
      <c r="P211" s="2568" t="s">
        <v>2962</v>
      </c>
      <c r="Q211" s="2597"/>
      <c r="R211" s="2697">
        <v>104</v>
      </c>
      <c r="S211" s="2697"/>
      <c r="T211" s="2513">
        <f t="shared" si="44"/>
        <v>27105</v>
      </c>
      <c r="U211" s="2571">
        <v>0.87250000000000005</v>
      </c>
      <c r="V211" s="2571">
        <v>0.1051</v>
      </c>
      <c r="W211" s="2585">
        <v>2.8580000000000001</v>
      </c>
      <c r="X211" s="2510">
        <f t="shared" si="45"/>
        <v>744.86625000000004</v>
      </c>
      <c r="Y211" s="2585">
        <v>3.25</v>
      </c>
      <c r="Z211" s="2585">
        <v>6.1680000000000001</v>
      </c>
      <c r="AN211" s="2508"/>
      <c r="AO211" s="2508"/>
      <c r="AP211" s="2584"/>
      <c r="AQ211" s="2581"/>
      <c r="AR211" s="2581"/>
      <c r="AS211" s="2583"/>
      <c r="AT211" s="2582"/>
      <c r="AU211" s="2581"/>
      <c r="AV211" s="2581"/>
      <c r="AW211" s="2581"/>
      <c r="AX211" s="2581"/>
      <c r="AY211" s="2508"/>
      <c r="AZ211" s="2508"/>
      <c r="BA211" s="2508"/>
      <c r="BB211" s="2508"/>
    </row>
    <row r="212" spans="1:54" s="98" customFormat="1">
      <c r="A212" s="2544" t="s">
        <v>1674</v>
      </c>
      <c r="B212" s="2543" t="s">
        <v>1527</v>
      </c>
      <c r="C212" s="2592" t="s">
        <v>1675</v>
      </c>
      <c r="D212" s="2521">
        <f>'[7]Precios Recuperación (PUSD)'!$H$790</f>
        <v>67.67</v>
      </c>
      <c r="E212" s="2664">
        <v>3.14</v>
      </c>
      <c r="F212" s="2669">
        <v>0.125</v>
      </c>
      <c r="G212" s="2664">
        <v>3.0000000000000001E-3</v>
      </c>
      <c r="H212" s="2680">
        <v>1390</v>
      </c>
      <c r="I212" s="2688" t="s">
        <v>2911</v>
      </c>
      <c r="J212" s="2509"/>
      <c r="K212" s="2516"/>
      <c r="L212" s="2516"/>
      <c r="M212" s="2726">
        <f>H212*G212*F212*E212</f>
        <v>1.636725</v>
      </c>
      <c r="N212" s="2517">
        <f t="shared" si="43"/>
        <v>110.75718075</v>
      </c>
      <c r="O212" s="2516" t="s">
        <v>2910</v>
      </c>
      <c r="P212" s="2568" t="s">
        <v>2963</v>
      </c>
      <c r="Q212" s="2516"/>
      <c r="R212" s="2693">
        <v>64.86</v>
      </c>
      <c r="S212" s="2693"/>
      <c r="T212" s="2513">
        <f t="shared" si="44"/>
        <v>7183.7107434449999</v>
      </c>
      <c r="U212" s="2512">
        <v>0.77939999999999998</v>
      </c>
      <c r="V212" s="2512">
        <v>0.20619999999999999</v>
      </c>
      <c r="W212" s="2553">
        <v>2.0790000000000002</v>
      </c>
      <c r="X212" s="2510">
        <f t="shared" si="45"/>
        <v>230.26417877925005</v>
      </c>
      <c r="Y212" s="2553">
        <v>2.3340000000000001</v>
      </c>
      <c r="Z212" s="2553">
        <v>1.458</v>
      </c>
      <c r="AN212" s="2508"/>
      <c r="AO212" s="2508"/>
      <c r="AP212" s="2508"/>
      <c r="AQ212" s="2508"/>
      <c r="AR212" s="2508"/>
      <c r="AS212" s="2508"/>
      <c r="AT212" s="2508"/>
      <c r="AU212" s="2508"/>
      <c r="AV212" s="2508"/>
      <c r="AW212" s="2508"/>
      <c r="AX212" s="2508"/>
      <c r="AY212" s="2508"/>
      <c r="AZ212" s="2508"/>
      <c r="BA212" s="2508"/>
      <c r="BB212" s="2508"/>
    </row>
    <row r="213" spans="1:54" s="98" customFormat="1" ht="15" customHeight="1">
      <c r="A213" s="2594" t="s">
        <v>1669</v>
      </c>
      <c r="B213" s="2593" t="s">
        <v>1504</v>
      </c>
      <c r="C213" s="2592" t="s">
        <v>1670</v>
      </c>
      <c r="D213" s="2521">
        <f>'[7]Precios Recuperación (PUSD)'!$H$817</f>
        <v>5</v>
      </c>
      <c r="E213" s="2666">
        <v>0.1</v>
      </c>
      <c r="F213" s="2671">
        <v>0.1</v>
      </c>
      <c r="G213" s="2666">
        <v>0.1</v>
      </c>
      <c r="H213" s="2680">
        <v>1390</v>
      </c>
      <c r="I213" s="2689" t="s">
        <v>2911</v>
      </c>
      <c r="J213" s="2509"/>
      <c r="K213" s="2569"/>
      <c r="L213" s="2569"/>
      <c r="M213" s="2728">
        <f>E213*F213*G213*H213</f>
        <v>1.3900000000000003</v>
      </c>
      <c r="N213" s="2517">
        <f t="shared" si="43"/>
        <v>6.950000000000002</v>
      </c>
      <c r="O213" s="2568" t="s">
        <v>2910</v>
      </c>
      <c r="P213" s="2568" t="s">
        <v>2962</v>
      </c>
      <c r="Q213" s="2597"/>
      <c r="R213" s="2697">
        <v>104</v>
      </c>
      <c r="S213" s="2697"/>
      <c r="T213" s="2513">
        <f t="shared" si="44"/>
        <v>722.80000000000018</v>
      </c>
      <c r="U213" s="2571">
        <v>0.87250000000000005</v>
      </c>
      <c r="V213" s="2571">
        <v>0.1051</v>
      </c>
      <c r="W213" s="2585">
        <v>2.8580000000000001</v>
      </c>
      <c r="X213" s="2510">
        <f t="shared" si="45"/>
        <v>19.863100000000003</v>
      </c>
      <c r="Y213" s="2585">
        <v>3.25</v>
      </c>
      <c r="Z213" s="2585">
        <v>6.1680000000000001</v>
      </c>
      <c r="AN213" s="2508"/>
      <c r="AO213" s="2508"/>
      <c r="AP213" s="2508"/>
      <c r="AQ213" s="2508"/>
      <c r="AR213" s="2508"/>
      <c r="AS213" s="2508"/>
      <c r="AT213" s="2508"/>
      <c r="AU213" s="2508"/>
      <c r="AV213" s="2508"/>
      <c r="AW213" s="2508"/>
      <c r="AX213" s="2508"/>
      <c r="AY213" s="2508"/>
      <c r="AZ213" s="2508"/>
      <c r="BA213" s="2508"/>
      <c r="BB213" s="2508"/>
    </row>
    <row r="214" spans="1:54" s="98" customFormat="1" ht="15" customHeight="1">
      <c r="A214" s="2594" t="s">
        <v>1671</v>
      </c>
      <c r="B214" s="2593" t="s">
        <v>1504</v>
      </c>
      <c r="C214" s="2592" t="s">
        <v>1672</v>
      </c>
      <c r="D214" s="2521">
        <f>'[7]Precios Recuperación (PUSD)'!$H$818</f>
        <v>5</v>
      </c>
      <c r="E214" s="2666">
        <v>0.2</v>
      </c>
      <c r="F214" s="2671">
        <v>0.1</v>
      </c>
      <c r="G214" s="2666">
        <v>0.1</v>
      </c>
      <c r="H214" s="2680">
        <v>1390</v>
      </c>
      <c r="I214" s="2689" t="s">
        <v>2911</v>
      </c>
      <c r="J214" s="2509"/>
      <c r="K214" s="2569"/>
      <c r="L214" s="2569"/>
      <c r="M214" s="2728">
        <f>E214*F214*G214*H214</f>
        <v>2.7800000000000007</v>
      </c>
      <c r="N214" s="2517">
        <f t="shared" si="43"/>
        <v>13.900000000000004</v>
      </c>
      <c r="O214" s="2568" t="s">
        <v>2910</v>
      </c>
      <c r="P214" s="2568" t="s">
        <v>2962</v>
      </c>
      <c r="Q214" s="2597"/>
      <c r="R214" s="2697">
        <v>104</v>
      </c>
      <c r="S214" s="2697"/>
      <c r="T214" s="2513">
        <f t="shared" si="44"/>
        <v>1445.6000000000004</v>
      </c>
      <c r="U214" s="2571">
        <v>0.87250000000000005</v>
      </c>
      <c r="V214" s="2571">
        <v>0.1051</v>
      </c>
      <c r="W214" s="2585">
        <v>2.8580000000000001</v>
      </c>
      <c r="X214" s="2510">
        <f t="shared" si="45"/>
        <v>39.726200000000006</v>
      </c>
      <c r="Y214" s="2585">
        <v>3.25</v>
      </c>
      <c r="Z214" s="2585">
        <v>6.1680000000000001</v>
      </c>
    </row>
    <row r="215" spans="1:54" s="98" customFormat="1" ht="15" customHeight="1">
      <c r="A215" s="2766" t="s">
        <v>1526</v>
      </c>
      <c r="B215" s="2767" t="s">
        <v>1527</v>
      </c>
      <c r="C215" s="2768" t="s">
        <v>1528</v>
      </c>
      <c r="D215" s="2769"/>
      <c r="E215" s="2770">
        <v>0.125</v>
      </c>
      <c r="F215" s="2771">
        <v>0.125</v>
      </c>
      <c r="G215" s="2770">
        <v>0.02</v>
      </c>
      <c r="H215" s="2772">
        <v>1390</v>
      </c>
      <c r="I215" s="2773" t="s">
        <v>2911</v>
      </c>
      <c r="J215" s="2774"/>
      <c r="K215" s="2775"/>
      <c r="L215" s="2775"/>
      <c r="M215" s="2776">
        <f>E215*F215*G215*H215</f>
        <v>0.43437500000000001</v>
      </c>
      <c r="N215" s="2777">
        <f t="shared" si="43"/>
        <v>0</v>
      </c>
      <c r="O215" s="2778" t="s">
        <v>2910</v>
      </c>
      <c r="P215" s="2778" t="s">
        <v>2962</v>
      </c>
      <c r="Q215" s="2779"/>
      <c r="R215" s="2780">
        <v>104</v>
      </c>
      <c r="S215" s="2780"/>
      <c r="T215" s="2781">
        <f t="shared" si="44"/>
        <v>0</v>
      </c>
      <c r="U215" s="2782">
        <v>0.87250000000000005</v>
      </c>
      <c r="V215" s="2782">
        <v>0.1051</v>
      </c>
      <c r="W215" s="2783">
        <v>2.8580000000000001</v>
      </c>
      <c r="X215" s="2784">
        <f t="shared" si="45"/>
        <v>0</v>
      </c>
      <c r="Y215" s="2783">
        <v>3.25</v>
      </c>
      <c r="Z215" s="2783">
        <v>6.1680000000000001</v>
      </c>
    </row>
    <row r="216" spans="1:54" s="2725" customFormat="1">
      <c r="A216" s="2785"/>
      <c r="B216" s="2786" t="s">
        <v>2961</v>
      </c>
      <c r="C216" s="2787"/>
      <c r="D216" s="2788"/>
      <c r="E216" s="2789"/>
      <c r="F216" s="2789"/>
      <c r="G216" s="2790"/>
      <c r="H216" s="2789"/>
      <c r="I216" s="2789"/>
      <c r="J216" s="2789"/>
      <c r="K216" s="2791"/>
      <c r="L216" s="2791"/>
      <c r="M216" s="2739"/>
      <c r="N216" s="2792">
        <f t="shared" si="43"/>
        <v>0</v>
      </c>
      <c r="O216" s="2789"/>
      <c r="P216" s="2791"/>
      <c r="Q216" s="2791"/>
      <c r="R216" s="2791"/>
      <c r="S216" s="2791"/>
      <c r="T216" s="2793">
        <f t="shared" si="44"/>
        <v>0</v>
      </c>
      <c r="U216" s="2791"/>
      <c r="V216" s="2791"/>
      <c r="W216" s="2791"/>
      <c r="X216" s="2793">
        <f t="shared" si="45"/>
        <v>0</v>
      </c>
      <c r="Y216" s="2791"/>
      <c r="Z216" s="2791"/>
    </row>
    <row r="217" spans="1:54" s="98" customFormat="1" ht="15" customHeight="1">
      <c r="A217" s="2535" t="s">
        <v>2666</v>
      </c>
      <c r="B217" s="2533" t="s">
        <v>1504</v>
      </c>
      <c r="C217" s="2522" t="s">
        <v>2667</v>
      </c>
      <c r="D217" s="2531"/>
      <c r="E217" s="2667">
        <v>0.3</v>
      </c>
      <c r="F217" s="2660">
        <v>0.3</v>
      </c>
      <c r="G217" s="2667">
        <v>0.01</v>
      </c>
      <c r="H217" s="2681">
        <v>980</v>
      </c>
      <c r="I217" s="2690" t="s">
        <v>2911</v>
      </c>
      <c r="J217" s="2509"/>
      <c r="K217" s="2536"/>
      <c r="L217" s="2536"/>
      <c r="M217" s="2729">
        <f>E217*F217*G217*H217</f>
        <v>0.88200000000000001</v>
      </c>
      <c r="N217" s="2517">
        <f t="shared" si="43"/>
        <v>0</v>
      </c>
      <c r="O217" s="2541" t="s">
        <v>2910</v>
      </c>
      <c r="P217" s="2586" t="s">
        <v>2960</v>
      </c>
      <c r="Q217" s="2575"/>
      <c r="R217" s="2694">
        <v>108.4</v>
      </c>
      <c r="S217" s="2694"/>
      <c r="T217" s="2513">
        <f t="shared" si="44"/>
        <v>0</v>
      </c>
      <c r="U217" s="2571">
        <v>0.83989999999999998</v>
      </c>
      <c r="V217" s="2571">
        <v>0.13150000000000001</v>
      </c>
      <c r="W217" s="2585">
        <v>2.8730000000000002</v>
      </c>
      <c r="X217" s="2510">
        <f t="shared" si="45"/>
        <v>0</v>
      </c>
      <c r="Y217" s="2585">
        <v>3.38</v>
      </c>
      <c r="Z217" s="2585">
        <v>6.1760000000000002</v>
      </c>
      <c r="AA217" s="485"/>
      <c r="AB217" s="485"/>
      <c r="AC217" s="485"/>
      <c r="AD217" s="485"/>
      <c r="AE217" s="485"/>
      <c r="AF217" s="485"/>
      <c r="AG217" s="485"/>
      <c r="AH217" s="485"/>
      <c r="AI217" s="485"/>
      <c r="AJ217" s="485"/>
      <c r="AK217" s="485"/>
      <c r="AL217" s="485"/>
      <c r="AM217" s="485"/>
      <c r="AN217" s="485"/>
      <c r="AO217" s="485"/>
      <c r="AP217" s="485"/>
      <c r="AQ217" s="485"/>
      <c r="AR217" s="485"/>
      <c r="AS217" s="485"/>
      <c r="AT217" s="485"/>
      <c r="AU217" s="485"/>
      <c r="AV217" s="485"/>
      <c r="AW217" s="485"/>
      <c r="AX217" s="485"/>
      <c r="AY217" s="485"/>
      <c r="AZ217" s="485"/>
      <c r="BA217" s="485"/>
      <c r="BB217" s="485"/>
    </row>
    <row r="218" spans="1:54" s="98" customFormat="1" ht="15" customHeight="1">
      <c r="A218" s="2594" t="s">
        <v>1255</v>
      </c>
      <c r="B218" s="2593" t="s">
        <v>1504</v>
      </c>
      <c r="C218" s="2592" t="s">
        <v>2262</v>
      </c>
      <c r="D218" s="2531"/>
      <c r="E218" s="2667">
        <v>0.1</v>
      </c>
      <c r="F218" s="2660">
        <v>0.1</v>
      </c>
      <c r="G218" s="2667">
        <v>0.02</v>
      </c>
      <c r="H218" s="2681">
        <v>980</v>
      </c>
      <c r="I218" s="2690" t="s">
        <v>2911</v>
      </c>
      <c r="J218" s="2509"/>
      <c r="K218" s="2536"/>
      <c r="L218" s="2536"/>
      <c r="M218" s="2734">
        <f t="shared" ref="M218:M237" si="46">E218*G218*F218*H218</f>
        <v>0.19600000000000001</v>
      </c>
      <c r="N218" s="2517">
        <f t="shared" si="43"/>
        <v>0</v>
      </c>
      <c r="O218" s="2541" t="s">
        <v>2910</v>
      </c>
      <c r="P218" s="2586" t="s">
        <v>2960</v>
      </c>
      <c r="Q218" s="2575"/>
      <c r="R218" s="2694">
        <v>108.4</v>
      </c>
      <c r="S218" s="2694"/>
      <c r="T218" s="2513">
        <f t="shared" si="44"/>
        <v>0</v>
      </c>
      <c r="U218" s="2571">
        <v>0.83989999999999998</v>
      </c>
      <c r="V218" s="2571">
        <v>0.13150000000000001</v>
      </c>
      <c r="W218" s="2585">
        <v>2.8730000000000002</v>
      </c>
      <c r="X218" s="2510">
        <f t="shared" si="45"/>
        <v>0</v>
      </c>
      <c r="Y218" s="2585">
        <v>3.38</v>
      </c>
      <c r="Z218" s="2585">
        <v>6.1760000000000002</v>
      </c>
    </row>
    <row r="219" spans="1:54" s="98" customFormat="1" ht="17.25" customHeight="1">
      <c r="A219" s="2594" t="s">
        <v>2265</v>
      </c>
      <c r="B219" s="2593" t="s">
        <v>1504</v>
      </c>
      <c r="C219" s="2592" t="s">
        <v>2266</v>
      </c>
      <c r="D219" s="2531"/>
      <c r="E219" s="2667">
        <v>0.1</v>
      </c>
      <c r="F219" s="2660">
        <v>0.1</v>
      </c>
      <c r="G219" s="2667">
        <v>0.02</v>
      </c>
      <c r="H219" s="2681">
        <v>980</v>
      </c>
      <c r="I219" s="2690" t="s">
        <v>2911</v>
      </c>
      <c r="J219" s="2509"/>
      <c r="K219" s="2536"/>
      <c r="L219" s="2536"/>
      <c r="M219" s="2734">
        <f t="shared" si="46"/>
        <v>0.19600000000000001</v>
      </c>
      <c r="N219" s="2517">
        <f t="shared" si="43"/>
        <v>0</v>
      </c>
      <c r="O219" s="2541" t="s">
        <v>2910</v>
      </c>
      <c r="P219" s="2586" t="s">
        <v>2960</v>
      </c>
      <c r="Q219" s="2575"/>
      <c r="R219" s="2694">
        <v>108.4</v>
      </c>
      <c r="S219" s="2694"/>
      <c r="T219" s="2513">
        <f t="shared" si="44"/>
        <v>0</v>
      </c>
      <c r="U219" s="2571">
        <v>0.83989999999999998</v>
      </c>
      <c r="V219" s="2571">
        <v>0.13150000000000001</v>
      </c>
      <c r="W219" s="2585">
        <v>2.8730000000000002</v>
      </c>
      <c r="X219" s="2510">
        <f t="shared" si="45"/>
        <v>0</v>
      </c>
      <c r="Y219" s="2585">
        <v>3.38</v>
      </c>
      <c r="Z219" s="2585">
        <v>6.1760000000000002</v>
      </c>
    </row>
    <row r="220" spans="1:54" s="98" customFormat="1" ht="15.75" customHeight="1">
      <c r="A220" s="2594" t="s">
        <v>2269</v>
      </c>
      <c r="B220" s="2593" t="s">
        <v>1504</v>
      </c>
      <c r="C220" s="2592" t="s">
        <v>2270</v>
      </c>
      <c r="D220" s="2531"/>
      <c r="E220" s="2667">
        <v>0.15</v>
      </c>
      <c r="F220" s="2660">
        <v>0.15</v>
      </c>
      <c r="G220" s="2667">
        <v>0.03</v>
      </c>
      <c r="H220" s="2681">
        <v>980</v>
      </c>
      <c r="I220" s="2690" t="s">
        <v>2911</v>
      </c>
      <c r="J220" s="2509"/>
      <c r="K220" s="2536"/>
      <c r="L220" s="2536"/>
      <c r="M220" s="2734">
        <f t="shared" si="46"/>
        <v>0.66149999999999998</v>
      </c>
      <c r="N220" s="2517">
        <f t="shared" si="43"/>
        <v>0</v>
      </c>
      <c r="O220" s="2541" t="s">
        <v>2910</v>
      </c>
      <c r="P220" s="2586" t="s">
        <v>2960</v>
      </c>
      <c r="Q220" s="2575"/>
      <c r="R220" s="2694">
        <v>108.4</v>
      </c>
      <c r="S220" s="2694"/>
      <c r="T220" s="2513">
        <f t="shared" si="44"/>
        <v>0</v>
      </c>
      <c r="U220" s="2571">
        <v>0.83989999999999998</v>
      </c>
      <c r="V220" s="2571">
        <v>0.13150000000000001</v>
      </c>
      <c r="W220" s="2585">
        <v>2.8730000000000002</v>
      </c>
      <c r="X220" s="2510">
        <f t="shared" si="45"/>
        <v>0</v>
      </c>
      <c r="Y220" s="2585">
        <v>3.38</v>
      </c>
      <c r="Z220" s="2585">
        <v>6.1760000000000002</v>
      </c>
    </row>
    <row r="221" spans="1:54" ht="15" customHeight="1">
      <c r="A221" s="2594" t="s">
        <v>2275</v>
      </c>
      <c r="B221" s="2593" t="s">
        <v>1504</v>
      </c>
      <c r="C221" s="2592" t="s">
        <v>2276</v>
      </c>
      <c r="D221" s="2531"/>
      <c r="E221" s="2667">
        <v>0.15</v>
      </c>
      <c r="F221" s="2660">
        <v>0.15</v>
      </c>
      <c r="G221" s="2667">
        <v>0.03</v>
      </c>
      <c r="H221" s="2681">
        <v>980</v>
      </c>
      <c r="I221" s="2690" t="s">
        <v>2911</v>
      </c>
      <c r="J221" s="2509"/>
      <c r="K221" s="2536"/>
      <c r="L221" s="2536"/>
      <c r="M221" s="2734">
        <f t="shared" si="46"/>
        <v>0.66149999999999998</v>
      </c>
      <c r="N221" s="2517">
        <f t="shared" si="43"/>
        <v>0</v>
      </c>
      <c r="O221" s="2541" t="s">
        <v>2910</v>
      </c>
      <c r="P221" s="2586" t="s">
        <v>2960</v>
      </c>
      <c r="Q221" s="2575"/>
      <c r="R221" s="2694">
        <v>108.4</v>
      </c>
      <c r="S221" s="2694"/>
      <c r="T221" s="2513">
        <f t="shared" si="44"/>
        <v>0</v>
      </c>
      <c r="U221" s="2571">
        <v>0.83989999999999998</v>
      </c>
      <c r="V221" s="2571">
        <v>0.13150000000000001</v>
      </c>
      <c r="W221" s="2585">
        <v>2.8730000000000002</v>
      </c>
      <c r="X221" s="2510">
        <f t="shared" si="45"/>
        <v>0</v>
      </c>
      <c r="Y221" s="2585">
        <v>3.38</v>
      </c>
      <c r="Z221" s="2585">
        <v>6.1760000000000002</v>
      </c>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row>
    <row r="222" spans="1:54" s="98" customFormat="1" ht="15" customHeight="1">
      <c r="A222" s="2544" t="s">
        <v>2200</v>
      </c>
      <c r="B222" s="2543" t="s">
        <v>1504</v>
      </c>
      <c r="C222" s="2542" t="s">
        <v>2201</v>
      </c>
      <c r="D222" s="2521"/>
      <c r="E222" s="2667">
        <v>0.25</v>
      </c>
      <c r="F222" s="2660">
        <v>0.2</v>
      </c>
      <c r="G222" s="2667">
        <v>7.4999999999999997E-2</v>
      </c>
      <c r="H222" s="2681">
        <v>980</v>
      </c>
      <c r="I222" s="2690" t="s">
        <v>2911</v>
      </c>
      <c r="J222" s="2509"/>
      <c r="K222" s="2536"/>
      <c r="L222" s="2536"/>
      <c r="M222" s="2734">
        <f t="shared" si="46"/>
        <v>3.6749999999999998</v>
      </c>
      <c r="N222" s="2517">
        <f t="shared" si="43"/>
        <v>0</v>
      </c>
      <c r="O222" s="2541" t="s">
        <v>2910</v>
      </c>
      <c r="P222" s="2586" t="s">
        <v>2960</v>
      </c>
      <c r="Q222" s="2575"/>
      <c r="R222" s="2694">
        <v>109.4</v>
      </c>
      <c r="S222" s="2694"/>
      <c r="T222" s="2513">
        <f t="shared" si="44"/>
        <v>0</v>
      </c>
      <c r="U222" s="2571">
        <v>0.83989999999999998</v>
      </c>
      <c r="V222" s="2571">
        <v>0.13150000000000001</v>
      </c>
      <c r="W222" s="2585">
        <v>2.8730000000000002</v>
      </c>
      <c r="X222" s="2510">
        <f t="shared" si="45"/>
        <v>0</v>
      </c>
      <c r="Y222" s="2585">
        <v>3.38</v>
      </c>
      <c r="Z222" s="2585">
        <v>6.1760000000000002</v>
      </c>
    </row>
    <row r="223" spans="1:54" s="98" customFormat="1" ht="15" customHeight="1">
      <c r="A223" s="2523" t="s">
        <v>2221</v>
      </c>
      <c r="B223" s="2595" t="s">
        <v>1504</v>
      </c>
      <c r="C223" s="2522" t="s">
        <v>2222</v>
      </c>
      <c r="D223" s="2521">
        <f>'[7]Precios Recuperación (PUSD)'!$H$1622</f>
        <v>40</v>
      </c>
      <c r="E223" s="2667">
        <v>0.2</v>
      </c>
      <c r="F223" s="2660">
        <v>0.15</v>
      </c>
      <c r="G223" s="2667">
        <v>0.05</v>
      </c>
      <c r="H223" s="2681">
        <v>980</v>
      </c>
      <c r="I223" s="2690" t="s">
        <v>2911</v>
      </c>
      <c r="J223" s="2509"/>
      <c r="K223" s="2580"/>
      <c r="L223" s="2580"/>
      <c r="M223" s="2734">
        <f t="shared" si="46"/>
        <v>1.4700000000000002</v>
      </c>
      <c r="N223" s="2517">
        <f t="shared" si="43"/>
        <v>58.800000000000011</v>
      </c>
      <c r="O223" s="2541" t="s">
        <v>2910</v>
      </c>
      <c r="P223" s="2586" t="s">
        <v>2960</v>
      </c>
      <c r="Q223" s="2575"/>
      <c r="R223" s="2694">
        <v>108.4</v>
      </c>
      <c r="S223" s="2694"/>
      <c r="T223" s="2513">
        <f t="shared" si="44"/>
        <v>6373.9200000000019</v>
      </c>
      <c r="U223" s="2571">
        <v>0.83989999999999998</v>
      </c>
      <c r="V223" s="2571">
        <v>0.13150000000000001</v>
      </c>
      <c r="W223" s="2585">
        <v>2.8730000000000002</v>
      </c>
      <c r="X223" s="2510">
        <f t="shared" si="45"/>
        <v>168.93240000000003</v>
      </c>
      <c r="Y223" s="2585">
        <v>3.38</v>
      </c>
      <c r="Z223" s="2585">
        <v>6.1760000000000002</v>
      </c>
    </row>
    <row r="224" spans="1:54" s="98" customFormat="1" ht="15" customHeight="1">
      <c r="A224" s="2523" t="s">
        <v>1256</v>
      </c>
      <c r="B224" s="2595" t="s">
        <v>1504</v>
      </c>
      <c r="C224" s="2522" t="s">
        <v>2247</v>
      </c>
      <c r="D224" s="2521"/>
      <c r="E224" s="2667">
        <v>0.1</v>
      </c>
      <c r="F224" s="2660">
        <v>0.05</v>
      </c>
      <c r="G224" s="2667">
        <v>0.05</v>
      </c>
      <c r="H224" s="2681">
        <v>980</v>
      </c>
      <c r="I224" s="2690" t="s">
        <v>2911</v>
      </c>
      <c r="J224" s="2509"/>
      <c r="K224" s="2580"/>
      <c r="L224" s="2580"/>
      <c r="M224" s="2734">
        <f t="shared" si="46"/>
        <v>0.24500000000000005</v>
      </c>
      <c r="N224" s="2517">
        <f t="shared" si="43"/>
        <v>0</v>
      </c>
      <c r="O224" s="2541" t="s">
        <v>2910</v>
      </c>
      <c r="P224" s="2586" t="s">
        <v>2960</v>
      </c>
      <c r="Q224" s="2575"/>
      <c r="R224" s="2694">
        <v>108.4</v>
      </c>
      <c r="S224" s="2694"/>
      <c r="T224" s="2513">
        <f t="shared" si="44"/>
        <v>0</v>
      </c>
      <c r="U224" s="2571">
        <v>0.83989999999999998</v>
      </c>
      <c r="V224" s="2571">
        <v>0.13150000000000001</v>
      </c>
      <c r="W224" s="2585">
        <v>2.8730000000000002</v>
      </c>
      <c r="X224" s="2510">
        <f t="shared" si="45"/>
        <v>0</v>
      </c>
      <c r="Y224" s="2585">
        <v>3.38</v>
      </c>
      <c r="Z224" s="2585">
        <v>6.1760000000000002</v>
      </c>
    </row>
    <row r="225" spans="1:54" s="98" customFormat="1" ht="15" customHeight="1">
      <c r="A225" s="2544" t="s">
        <v>2196</v>
      </c>
      <c r="B225" s="2543" t="s">
        <v>1504</v>
      </c>
      <c r="C225" s="2542" t="s">
        <v>2197</v>
      </c>
      <c r="D225" s="2521"/>
      <c r="E225" s="2667">
        <v>0.2</v>
      </c>
      <c r="F225" s="2660">
        <v>0.05</v>
      </c>
      <c r="G225" s="2667">
        <v>0.05</v>
      </c>
      <c r="H225" s="2681">
        <v>980</v>
      </c>
      <c r="I225" s="2690" t="s">
        <v>2911</v>
      </c>
      <c r="J225" s="2509"/>
      <c r="K225" s="2580"/>
      <c r="L225" s="2580"/>
      <c r="M225" s="2734">
        <f t="shared" si="46"/>
        <v>0.4900000000000001</v>
      </c>
      <c r="N225" s="2517">
        <f t="shared" si="43"/>
        <v>0</v>
      </c>
      <c r="O225" s="2541" t="s">
        <v>2910</v>
      </c>
      <c r="P225" s="2586" t="s">
        <v>2960</v>
      </c>
      <c r="Q225" s="2575"/>
      <c r="R225" s="2694">
        <v>108.4</v>
      </c>
      <c r="S225" s="2694"/>
      <c r="T225" s="2513">
        <f t="shared" si="44"/>
        <v>0</v>
      </c>
      <c r="U225" s="2571">
        <v>0.83989999999999998</v>
      </c>
      <c r="V225" s="2571">
        <v>0.13150000000000001</v>
      </c>
      <c r="W225" s="2585">
        <v>2.8730000000000002</v>
      </c>
      <c r="X225" s="2510">
        <f t="shared" si="45"/>
        <v>0</v>
      </c>
      <c r="Y225" s="2585">
        <v>3.38</v>
      </c>
      <c r="Z225" s="2585">
        <v>6.1760000000000002</v>
      </c>
    </row>
    <row r="226" spans="1:54" s="98" customFormat="1" ht="15" customHeight="1">
      <c r="A226" s="2523" t="s">
        <v>2705</v>
      </c>
      <c r="B226" s="2595" t="s">
        <v>1504</v>
      </c>
      <c r="C226" s="2542" t="s">
        <v>2706</v>
      </c>
      <c r="D226" s="2531"/>
      <c r="E226" s="2667">
        <v>0.15</v>
      </c>
      <c r="F226" s="2660">
        <v>0.05</v>
      </c>
      <c r="G226" s="2667">
        <v>0.05</v>
      </c>
      <c r="H226" s="2681">
        <v>980</v>
      </c>
      <c r="I226" s="2690" t="s">
        <v>2911</v>
      </c>
      <c r="J226" s="2509"/>
      <c r="K226" s="2580"/>
      <c r="L226" s="2580"/>
      <c r="M226" s="2734">
        <f t="shared" si="46"/>
        <v>0.36749999999999999</v>
      </c>
      <c r="N226" s="2517">
        <f t="shared" si="43"/>
        <v>0</v>
      </c>
      <c r="O226" s="2541" t="s">
        <v>2910</v>
      </c>
      <c r="P226" s="2586" t="s">
        <v>2960</v>
      </c>
      <c r="Q226" s="2575"/>
      <c r="R226" s="2694">
        <v>108.4</v>
      </c>
      <c r="S226" s="2694"/>
      <c r="T226" s="2513">
        <f t="shared" si="44"/>
        <v>0</v>
      </c>
      <c r="U226" s="2571">
        <v>0.83989999999999998</v>
      </c>
      <c r="V226" s="2571">
        <v>0.13150000000000001</v>
      </c>
      <c r="W226" s="2585">
        <v>2.8730000000000002</v>
      </c>
      <c r="X226" s="2510">
        <f t="shared" si="45"/>
        <v>0</v>
      </c>
      <c r="Y226" s="2585">
        <v>3.38</v>
      </c>
      <c r="Z226" s="2585">
        <v>6.1760000000000002</v>
      </c>
    </row>
    <row r="227" spans="1:54" s="98" customFormat="1" ht="15" customHeight="1">
      <c r="A227" s="2544" t="s">
        <v>2251</v>
      </c>
      <c r="B227" s="2543" t="s">
        <v>1504</v>
      </c>
      <c r="C227" s="2542" t="s">
        <v>2252</v>
      </c>
      <c r="D227" s="2521"/>
      <c r="E227" s="2667">
        <v>0.125</v>
      </c>
      <c r="F227" s="2660">
        <v>0.05</v>
      </c>
      <c r="G227" s="2667">
        <v>0.05</v>
      </c>
      <c r="H227" s="2681">
        <v>980</v>
      </c>
      <c r="I227" s="2690" t="s">
        <v>2911</v>
      </c>
      <c r="J227" s="2509"/>
      <c r="K227" s="2580"/>
      <c r="L227" s="2580"/>
      <c r="M227" s="2734">
        <f t="shared" si="46"/>
        <v>0.30625000000000008</v>
      </c>
      <c r="N227" s="2517">
        <f t="shared" si="43"/>
        <v>0</v>
      </c>
      <c r="O227" s="2541" t="s">
        <v>2910</v>
      </c>
      <c r="P227" s="2586" t="s">
        <v>2960</v>
      </c>
      <c r="Q227" s="2575"/>
      <c r="R227" s="2694">
        <v>108.4</v>
      </c>
      <c r="S227" s="2694"/>
      <c r="T227" s="2513">
        <f t="shared" si="44"/>
        <v>0</v>
      </c>
      <c r="U227" s="2571">
        <v>0.83989999999999998</v>
      </c>
      <c r="V227" s="2571">
        <v>0.13150000000000001</v>
      </c>
      <c r="W227" s="2585">
        <v>2.8730000000000002</v>
      </c>
      <c r="X227" s="2510">
        <f t="shared" si="45"/>
        <v>0</v>
      </c>
      <c r="Y227" s="2585">
        <v>3.38</v>
      </c>
      <c r="Z227" s="2585">
        <v>6.1760000000000002</v>
      </c>
    </row>
    <row r="228" spans="1:54" s="98" customFormat="1" ht="15" customHeight="1">
      <c r="A228" s="2544" t="s">
        <v>2164</v>
      </c>
      <c r="B228" s="2543" t="s">
        <v>1504</v>
      </c>
      <c r="C228" s="2542" t="s">
        <v>2165</v>
      </c>
      <c r="D228" s="2521"/>
      <c r="E228" s="2667">
        <v>0.1</v>
      </c>
      <c r="F228" s="2660">
        <v>2.5000000000000001E-2</v>
      </c>
      <c r="G228" s="2667">
        <v>2.5000000000000001E-2</v>
      </c>
      <c r="H228" s="2681">
        <v>980</v>
      </c>
      <c r="I228" s="2690" t="s">
        <v>2911</v>
      </c>
      <c r="J228" s="2509"/>
      <c r="K228" s="2580"/>
      <c r="L228" s="2580"/>
      <c r="M228" s="2734">
        <f t="shared" si="46"/>
        <v>6.1250000000000013E-2</v>
      </c>
      <c r="N228" s="2517">
        <f t="shared" si="43"/>
        <v>0</v>
      </c>
      <c r="O228" s="2541" t="s">
        <v>2910</v>
      </c>
      <c r="P228" s="2586" t="s">
        <v>2960</v>
      </c>
      <c r="Q228" s="2575"/>
      <c r="R228" s="2694">
        <v>108.4</v>
      </c>
      <c r="S228" s="2694"/>
      <c r="T228" s="2513">
        <f t="shared" si="44"/>
        <v>0</v>
      </c>
      <c r="U228" s="2571">
        <v>0.83989999999999998</v>
      </c>
      <c r="V228" s="2571">
        <v>0.13150000000000001</v>
      </c>
      <c r="W228" s="2585">
        <v>2.8730000000000002</v>
      </c>
      <c r="X228" s="2510">
        <f t="shared" si="45"/>
        <v>0</v>
      </c>
      <c r="Y228" s="2585">
        <v>3.38</v>
      </c>
      <c r="Z228" s="2585">
        <v>6.1760000000000002</v>
      </c>
    </row>
    <row r="229" spans="1:54" ht="15" customHeight="1">
      <c r="A229" s="2544" t="s">
        <v>2194</v>
      </c>
      <c r="B229" s="2543" t="s">
        <v>1504</v>
      </c>
      <c r="C229" s="2542" t="s">
        <v>2195</v>
      </c>
      <c r="D229" s="2531"/>
      <c r="E229" s="2667">
        <v>0.1</v>
      </c>
      <c r="F229" s="2660">
        <v>0.02</v>
      </c>
      <c r="G229" s="2667">
        <v>0.02</v>
      </c>
      <c r="H229" s="2681">
        <v>980</v>
      </c>
      <c r="I229" s="2690" t="s">
        <v>2911</v>
      </c>
      <c r="J229" s="2509"/>
      <c r="K229" s="2580"/>
      <c r="L229" s="2580"/>
      <c r="M229" s="2734">
        <f t="shared" si="46"/>
        <v>3.9200000000000006E-2</v>
      </c>
      <c r="N229" s="2517">
        <f t="shared" si="43"/>
        <v>0</v>
      </c>
      <c r="O229" s="2541" t="s">
        <v>2910</v>
      </c>
      <c r="P229" s="2586" t="s">
        <v>2960</v>
      </c>
      <c r="Q229" s="2575"/>
      <c r="R229" s="2694">
        <v>108.4</v>
      </c>
      <c r="S229" s="2694"/>
      <c r="T229" s="2513">
        <f t="shared" si="44"/>
        <v>0</v>
      </c>
      <c r="U229" s="2571">
        <v>0.83989999999999998</v>
      </c>
      <c r="V229" s="2571">
        <v>0.13150000000000001</v>
      </c>
      <c r="W229" s="2585">
        <v>2.8730000000000002</v>
      </c>
      <c r="X229" s="2510">
        <f t="shared" si="45"/>
        <v>0</v>
      </c>
      <c r="Y229" s="2585">
        <v>3.38</v>
      </c>
      <c r="Z229" s="2585">
        <v>6.1760000000000002</v>
      </c>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row>
    <row r="230" spans="1:54" s="98" customFormat="1" ht="15" customHeight="1">
      <c r="A230" s="2544" t="s">
        <v>2151</v>
      </c>
      <c r="B230" s="2543" t="s">
        <v>1504</v>
      </c>
      <c r="C230" s="2542" t="s">
        <v>2152</v>
      </c>
      <c r="D230" s="2521"/>
      <c r="E230" s="2667">
        <v>0.1</v>
      </c>
      <c r="F230" s="2660">
        <v>0.02</v>
      </c>
      <c r="G230" s="2667">
        <v>0.02</v>
      </c>
      <c r="H230" s="2681">
        <v>980</v>
      </c>
      <c r="I230" s="2690" t="s">
        <v>2911</v>
      </c>
      <c r="J230" s="2509"/>
      <c r="K230" s="2580"/>
      <c r="L230" s="2580"/>
      <c r="M230" s="2734">
        <f t="shared" si="46"/>
        <v>3.9200000000000006E-2</v>
      </c>
      <c r="N230" s="2517">
        <f t="shared" si="43"/>
        <v>0</v>
      </c>
      <c r="O230" s="2541" t="s">
        <v>2910</v>
      </c>
      <c r="P230" s="2586" t="s">
        <v>2960</v>
      </c>
      <c r="Q230" s="2575"/>
      <c r="R230" s="2694">
        <v>108.4</v>
      </c>
      <c r="S230" s="2694"/>
      <c r="T230" s="2513">
        <f t="shared" si="44"/>
        <v>0</v>
      </c>
      <c r="U230" s="2571">
        <v>0.83989999999999998</v>
      </c>
      <c r="V230" s="2571">
        <v>0.13150000000000001</v>
      </c>
      <c r="W230" s="2585">
        <v>2.8730000000000002</v>
      </c>
      <c r="X230" s="2510">
        <f t="shared" si="45"/>
        <v>0</v>
      </c>
      <c r="Y230" s="2585">
        <v>3.38</v>
      </c>
      <c r="Z230" s="2585">
        <v>6.1760000000000002</v>
      </c>
    </row>
    <row r="231" spans="1:54" s="98" customFormat="1" ht="15" customHeight="1">
      <c r="A231" s="2544" t="s">
        <v>2192</v>
      </c>
      <c r="B231" s="2543" t="s">
        <v>1504</v>
      </c>
      <c r="C231" s="2542" t="s">
        <v>2193</v>
      </c>
      <c r="D231" s="2521"/>
      <c r="E231" s="2667">
        <v>0.1</v>
      </c>
      <c r="F231" s="2660">
        <v>0.02</v>
      </c>
      <c r="G231" s="2667">
        <v>0.02</v>
      </c>
      <c r="H231" s="2681">
        <v>980</v>
      </c>
      <c r="I231" s="2690" t="s">
        <v>2911</v>
      </c>
      <c r="J231" s="2509"/>
      <c r="K231" s="2580"/>
      <c r="L231" s="2580"/>
      <c r="M231" s="2734">
        <f t="shared" si="46"/>
        <v>3.9200000000000006E-2</v>
      </c>
      <c r="N231" s="2517">
        <f t="shared" si="43"/>
        <v>0</v>
      </c>
      <c r="O231" s="2541" t="s">
        <v>2910</v>
      </c>
      <c r="P231" s="2586" t="s">
        <v>2960</v>
      </c>
      <c r="Q231" s="2575"/>
      <c r="R231" s="2694">
        <v>108.4</v>
      </c>
      <c r="S231" s="2694"/>
      <c r="T231" s="2513">
        <f t="shared" si="44"/>
        <v>0</v>
      </c>
      <c r="U231" s="2571">
        <v>0.83989999999999998</v>
      </c>
      <c r="V231" s="2571">
        <v>0.13150000000000001</v>
      </c>
      <c r="W231" s="2585">
        <v>2.8730000000000002</v>
      </c>
      <c r="X231" s="2510">
        <f t="shared" si="45"/>
        <v>0</v>
      </c>
      <c r="Y231" s="2585">
        <v>3.38</v>
      </c>
      <c r="Z231" s="2585">
        <v>6.1760000000000002</v>
      </c>
    </row>
    <row r="232" spans="1:54" s="98" customFormat="1" ht="15" customHeight="1">
      <c r="A232" s="2544" t="s">
        <v>2155</v>
      </c>
      <c r="B232" s="2543" t="s">
        <v>1504</v>
      </c>
      <c r="C232" s="2542" t="s">
        <v>2156</v>
      </c>
      <c r="D232" s="2521"/>
      <c r="E232" s="2667">
        <v>0.1</v>
      </c>
      <c r="F232" s="2660">
        <v>0.05</v>
      </c>
      <c r="G232" s="2667">
        <v>2.5000000000000001E-2</v>
      </c>
      <c r="H232" s="2681">
        <v>980</v>
      </c>
      <c r="I232" s="2690" t="s">
        <v>2911</v>
      </c>
      <c r="J232" s="2509"/>
      <c r="K232" s="2580"/>
      <c r="L232" s="2580"/>
      <c r="M232" s="2734">
        <f t="shared" si="46"/>
        <v>0.12250000000000003</v>
      </c>
      <c r="N232" s="2517">
        <f t="shared" si="43"/>
        <v>0</v>
      </c>
      <c r="O232" s="2541" t="s">
        <v>2910</v>
      </c>
      <c r="P232" s="2586" t="s">
        <v>2960</v>
      </c>
      <c r="Q232" s="2575"/>
      <c r="R232" s="2694">
        <v>108.4</v>
      </c>
      <c r="S232" s="2694"/>
      <c r="T232" s="2513">
        <f t="shared" si="44"/>
        <v>0</v>
      </c>
      <c r="U232" s="2571">
        <v>0.83989999999999998</v>
      </c>
      <c r="V232" s="2571">
        <v>0.13150000000000001</v>
      </c>
      <c r="W232" s="2585">
        <v>2.8730000000000002</v>
      </c>
      <c r="X232" s="2510">
        <f t="shared" si="45"/>
        <v>0</v>
      </c>
      <c r="Y232" s="2585">
        <v>3.38</v>
      </c>
      <c r="Z232" s="2585">
        <v>6.1760000000000002</v>
      </c>
    </row>
    <row r="233" spans="1:54" s="98" customFormat="1" ht="15" customHeight="1">
      <c r="A233" s="2544" t="s">
        <v>2245</v>
      </c>
      <c r="B233" s="2543" t="s">
        <v>1504</v>
      </c>
      <c r="C233" s="2542" t="s">
        <v>2246</v>
      </c>
      <c r="D233" s="2521"/>
      <c r="E233" s="2667">
        <v>0.2</v>
      </c>
      <c r="F233" s="2660">
        <v>0.05</v>
      </c>
      <c r="G233" s="2667">
        <v>2.5000000000000001E-2</v>
      </c>
      <c r="H233" s="2681">
        <v>980</v>
      </c>
      <c r="I233" s="2690" t="s">
        <v>2911</v>
      </c>
      <c r="J233" s="2509"/>
      <c r="K233" s="2580"/>
      <c r="L233" s="2580"/>
      <c r="M233" s="2734">
        <f t="shared" si="46"/>
        <v>0.24500000000000005</v>
      </c>
      <c r="N233" s="2517">
        <f t="shared" si="43"/>
        <v>0</v>
      </c>
      <c r="O233" s="2541" t="s">
        <v>2910</v>
      </c>
      <c r="P233" s="2586" t="s">
        <v>2960</v>
      </c>
      <c r="Q233" s="2575"/>
      <c r="R233" s="2694">
        <v>108.4</v>
      </c>
      <c r="S233" s="2694"/>
      <c r="T233" s="2513">
        <f t="shared" si="44"/>
        <v>0</v>
      </c>
      <c r="U233" s="2571">
        <v>0.83989999999999998</v>
      </c>
      <c r="V233" s="2571">
        <v>0.13150000000000001</v>
      </c>
      <c r="W233" s="2585">
        <v>2.8730000000000002</v>
      </c>
      <c r="X233" s="2510">
        <f t="shared" si="45"/>
        <v>0</v>
      </c>
      <c r="Y233" s="2585">
        <v>3.38</v>
      </c>
      <c r="Z233" s="2585">
        <v>6.1760000000000002</v>
      </c>
    </row>
    <row r="234" spans="1:54" s="98" customFormat="1" ht="15" customHeight="1">
      <c r="A234" s="2523" t="s">
        <v>2233</v>
      </c>
      <c r="B234" s="2595" t="s">
        <v>1504</v>
      </c>
      <c r="C234" s="2522" t="s">
        <v>2234</v>
      </c>
      <c r="D234" s="2521"/>
      <c r="E234" s="2667">
        <v>0.3</v>
      </c>
      <c r="F234" s="2660">
        <v>0.2</v>
      </c>
      <c r="G234" s="2667">
        <v>0.01</v>
      </c>
      <c r="H234" s="2681">
        <v>980</v>
      </c>
      <c r="I234" s="2690" t="s">
        <v>2911</v>
      </c>
      <c r="J234" s="2509"/>
      <c r="K234" s="2580"/>
      <c r="L234" s="2580"/>
      <c r="M234" s="2734">
        <f t="shared" si="46"/>
        <v>0.58800000000000008</v>
      </c>
      <c r="N234" s="2517">
        <f t="shared" si="43"/>
        <v>0</v>
      </c>
      <c r="O234" s="2541" t="s">
        <v>2910</v>
      </c>
      <c r="P234" s="2586" t="s">
        <v>2960</v>
      </c>
      <c r="Q234" s="2575"/>
      <c r="R234" s="2694">
        <v>108.4</v>
      </c>
      <c r="S234" s="2694"/>
      <c r="T234" s="2513">
        <f t="shared" si="44"/>
        <v>0</v>
      </c>
      <c r="U234" s="2571">
        <v>0.83989999999999998</v>
      </c>
      <c r="V234" s="2571">
        <v>0.13150000000000001</v>
      </c>
      <c r="W234" s="2585">
        <v>2.8730000000000002</v>
      </c>
      <c r="X234" s="2510">
        <f t="shared" si="45"/>
        <v>0</v>
      </c>
      <c r="Y234" s="2585">
        <v>3.38</v>
      </c>
      <c r="Z234" s="2585">
        <v>6.1760000000000002</v>
      </c>
    </row>
    <row r="235" spans="1:54" s="98" customFormat="1" ht="15" customHeight="1">
      <c r="A235" s="2544" t="s">
        <v>2255</v>
      </c>
      <c r="B235" s="2543" t="s">
        <v>1504</v>
      </c>
      <c r="C235" s="2542" t="s">
        <v>2256</v>
      </c>
      <c r="D235" s="2521"/>
      <c r="E235" s="2667">
        <v>0.1</v>
      </c>
      <c r="F235" s="2660">
        <v>0.1</v>
      </c>
      <c r="G235" s="2667">
        <v>0.02</v>
      </c>
      <c r="H235" s="2681">
        <v>980</v>
      </c>
      <c r="I235" s="2690" t="s">
        <v>2911</v>
      </c>
      <c r="J235" s="2509"/>
      <c r="K235" s="2580"/>
      <c r="L235" s="2580"/>
      <c r="M235" s="2734">
        <f t="shared" si="46"/>
        <v>0.19600000000000001</v>
      </c>
      <c r="N235" s="2517">
        <f t="shared" si="43"/>
        <v>0</v>
      </c>
      <c r="O235" s="2541" t="s">
        <v>2910</v>
      </c>
      <c r="P235" s="2586" t="s">
        <v>2960</v>
      </c>
      <c r="Q235" s="2575"/>
      <c r="R235" s="2694">
        <v>108.4</v>
      </c>
      <c r="S235" s="2694"/>
      <c r="T235" s="2513">
        <f t="shared" si="44"/>
        <v>0</v>
      </c>
      <c r="U235" s="2571">
        <v>0.83989999999999998</v>
      </c>
      <c r="V235" s="2571">
        <v>0.13150000000000001</v>
      </c>
      <c r="W235" s="2585">
        <v>2.8730000000000002</v>
      </c>
      <c r="X235" s="2510">
        <f t="shared" si="45"/>
        <v>0</v>
      </c>
      <c r="Y235" s="2585">
        <v>3.38</v>
      </c>
      <c r="Z235" s="2585">
        <v>6.1760000000000002</v>
      </c>
    </row>
    <row r="236" spans="1:54" s="98" customFormat="1" ht="15" customHeight="1">
      <c r="A236" s="2523" t="s">
        <v>2217</v>
      </c>
      <c r="B236" s="2595" t="s">
        <v>1504</v>
      </c>
      <c r="C236" s="2522" t="s">
        <v>2218</v>
      </c>
      <c r="D236" s="2521">
        <f>'[7]Precios Recuperación (PUSD)'!$H$1620</f>
        <v>40</v>
      </c>
      <c r="E236" s="2667">
        <v>0.1</v>
      </c>
      <c r="F236" s="2660">
        <v>0.1</v>
      </c>
      <c r="G236" s="2667">
        <v>0.02</v>
      </c>
      <c r="H236" s="2681">
        <v>980</v>
      </c>
      <c r="I236" s="2690" t="s">
        <v>2911</v>
      </c>
      <c r="J236" s="2509"/>
      <c r="K236" s="2569"/>
      <c r="L236" s="2569"/>
      <c r="M236" s="2734">
        <f t="shared" si="46"/>
        <v>0.19600000000000001</v>
      </c>
      <c r="N236" s="2517">
        <f t="shared" si="43"/>
        <v>7.84</v>
      </c>
      <c r="O236" s="2541" t="s">
        <v>2910</v>
      </c>
      <c r="P236" s="2586" t="s">
        <v>2960</v>
      </c>
      <c r="Q236" s="2575"/>
      <c r="R236" s="2694">
        <v>108.4</v>
      </c>
      <c r="S236" s="2694"/>
      <c r="T236" s="2513">
        <f t="shared" si="44"/>
        <v>849.85599999999999</v>
      </c>
      <c r="U236" s="2571">
        <v>0.83989999999999998</v>
      </c>
      <c r="V236" s="2571">
        <v>0.13150000000000001</v>
      </c>
      <c r="W236" s="2585">
        <v>2.8730000000000002</v>
      </c>
      <c r="X236" s="2510">
        <f t="shared" si="45"/>
        <v>22.524320000000003</v>
      </c>
      <c r="Y236" s="2585">
        <v>3.38</v>
      </c>
      <c r="Z236" s="2585">
        <v>6.1760000000000002</v>
      </c>
      <c r="AN236" s="2508"/>
      <c r="AO236" s="2508"/>
      <c r="AP236" s="2508"/>
      <c r="AQ236" s="2508"/>
      <c r="AR236" s="2508"/>
      <c r="AS236" s="2508"/>
      <c r="AT236" s="2508"/>
      <c r="AU236" s="2508"/>
      <c r="AV236" s="2508"/>
      <c r="AW236" s="2508"/>
      <c r="AX236" s="2508"/>
      <c r="AY236" s="2508"/>
      <c r="AZ236" s="2508"/>
      <c r="BA236" s="2508"/>
      <c r="BB236" s="2508"/>
    </row>
    <row r="237" spans="1:54" s="98" customFormat="1" ht="15" customHeight="1">
      <c r="A237" s="2544" t="s">
        <v>2436</v>
      </c>
      <c r="B237" s="2543" t="s">
        <v>1504</v>
      </c>
      <c r="C237" s="2542" t="s">
        <v>2437</v>
      </c>
      <c r="D237" s="2521">
        <f>'[7]Precios Recuperación (PUSD)'!$H$1660</f>
        <v>800</v>
      </c>
      <c r="E237" s="2666">
        <v>0.5</v>
      </c>
      <c r="F237" s="2671">
        <v>0.02</v>
      </c>
      <c r="G237" s="2666">
        <v>0.25</v>
      </c>
      <c r="H237" s="2680">
        <v>980</v>
      </c>
      <c r="I237" s="2689" t="s">
        <v>2911</v>
      </c>
      <c r="J237" s="2509"/>
      <c r="K237" s="2569"/>
      <c r="L237" s="2569"/>
      <c r="M237" s="2729">
        <f t="shared" si="46"/>
        <v>2.4500000000000002</v>
      </c>
      <c r="N237" s="2517">
        <f t="shared" si="43"/>
        <v>1960.0000000000002</v>
      </c>
      <c r="O237" s="2568" t="s">
        <v>2910</v>
      </c>
      <c r="P237" s="2568" t="s">
        <v>2957</v>
      </c>
      <c r="Q237" s="2575"/>
      <c r="R237" s="2694">
        <v>85.37</v>
      </c>
      <c r="S237" s="2694"/>
      <c r="T237" s="2513">
        <f t="shared" si="44"/>
        <v>167325.20000000001</v>
      </c>
      <c r="U237" s="2571">
        <v>0.89580000000000004</v>
      </c>
      <c r="V237" s="2571">
        <v>8.2799999999999999E-2</v>
      </c>
      <c r="W237" s="2585">
        <v>1.885</v>
      </c>
      <c r="X237" s="2510">
        <f t="shared" si="45"/>
        <v>3694.6000000000004</v>
      </c>
      <c r="Y237" s="2585">
        <v>2.2599999999999998</v>
      </c>
      <c r="Z237" s="2585">
        <v>2.161</v>
      </c>
      <c r="AN237" s="2508"/>
      <c r="AO237" s="2508"/>
      <c r="AP237" s="2508"/>
      <c r="AQ237" s="2508"/>
      <c r="AR237" s="2508"/>
      <c r="AS237" s="2508"/>
      <c r="AT237" s="2508"/>
      <c r="AU237" s="2508"/>
      <c r="AV237" s="2508"/>
      <c r="AW237" s="2508"/>
      <c r="AX237" s="2508"/>
      <c r="AY237" s="2508"/>
      <c r="AZ237" s="2508"/>
      <c r="BA237" s="2508"/>
      <c r="BB237" s="2508"/>
    </row>
    <row r="238" spans="1:54" s="98" customFormat="1" ht="15" customHeight="1">
      <c r="A238" s="2594" t="s">
        <v>1630</v>
      </c>
      <c r="B238" s="2593" t="s">
        <v>1527</v>
      </c>
      <c r="C238" s="2592" t="s">
        <v>1631</v>
      </c>
      <c r="D238" s="2521">
        <f>'[7]Precios Recuperación (PUSD)'!$H$668</f>
        <v>15.15</v>
      </c>
      <c r="E238" s="2667">
        <v>3.1415999999999999</v>
      </c>
      <c r="F238" s="2660">
        <v>0.02</v>
      </c>
      <c r="G238" s="2667">
        <v>2E-3</v>
      </c>
      <c r="H238" s="2677">
        <v>980</v>
      </c>
      <c r="I238" s="2689" t="s">
        <v>2911</v>
      </c>
      <c r="J238" s="2509"/>
      <c r="K238" s="2569"/>
      <c r="L238" s="2569"/>
      <c r="M238" s="2728">
        <f t="shared" ref="M238:M249" si="47">E238*F238*G238*H238</f>
        <v>0.12315071999999999</v>
      </c>
      <c r="N238" s="2517">
        <f t="shared" si="43"/>
        <v>1.8657334079999999</v>
      </c>
      <c r="O238" s="2568" t="s">
        <v>2910</v>
      </c>
      <c r="P238" s="2568" t="s">
        <v>2957</v>
      </c>
      <c r="Q238" s="2575"/>
      <c r="R238" s="2694">
        <v>85.37</v>
      </c>
      <c r="S238" s="2694"/>
      <c r="T238" s="2513">
        <f t="shared" si="44"/>
        <v>159.27766104096</v>
      </c>
      <c r="U238" s="2571">
        <v>0.89580000000000004</v>
      </c>
      <c r="V238" s="2571">
        <v>8.2799999999999999E-2</v>
      </c>
      <c r="W238" s="2585">
        <v>1.885</v>
      </c>
      <c r="X238" s="2510">
        <f t="shared" si="45"/>
        <v>3.5169074740799995</v>
      </c>
      <c r="Y238" s="2585">
        <v>2.2599999999999998</v>
      </c>
      <c r="Z238" s="2585">
        <v>2.161</v>
      </c>
      <c r="AA238" s="2591"/>
      <c r="AB238" s="2591"/>
      <c r="AN238" s="2508"/>
      <c r="AO238" s="2508"/>
      <c r="AP238" s="2508"/>
      <c r="AQ238" s="2508"/>
      <c r="AR238" s="2584"/>
      <c r="AS238" s="2581"/>
      <c r="AT238" s="2581"/>
      <c r="AU238" s="2583"/>
      <c r="AV238" s="2582"/>
      <c r="AW238" s="2581"/>
      <c r="AX238" s="2581"/>
      <c r="AY238" s="2581"/>
      <c r="AZ238" s="2581"/>
      <c r="BA238" s="2508"/>
      <c r="BB238" s="2508"/>
    </row>
    <row r="239" spans="1:54" s="98" customFormat="1">
      <c r="A239" s="2544" t="s">
        <v>2304</v>
      </c>
      <c r="B239" s="2543" t="s">
        <v>1527</v>
      </c>
      <c r="C239" s="2542" t="s">
        <v>2305</v>
      </c>
      <c r="D239" s="2521">
        <f>'[7]Precios Recuperación (PUSD)'!$H$1830</f>
        <v>707</v>
      </c>
      <c r="E239" s="2667">
        <v>3.1415999999999999</v>
      </c>
      <c r="F239" s="2660">
        <v>2.5000000000000001E-2</v>
      </c>
      <c r="G239" s="2667">
        <v>5.0000000000000001E-3</v>
      </c>
      <c r="H239" s="2677">
        <v>980</v>
      </c>
      <c r="I239" s="2689" t="s">
        <v>2911</v>
      </c>
      <c r="J239" s="2509"/>
      <c r="K239" s="2569"/>
      <c r="L239" s="2569"/>
      <c r="M239" s="2728">
        <f t="shared" si="47"/>
        <v>0.38484600000000002</v>
      </c>
      <c r="N239" s="2517">
        <f t="shared" si="43"/>
        <v>272.08612199999999</v>
      </c>
      <c r="O239" s="2568" t="s">
        <v>2910</v>
      </c>
      <c r="P239" s="2568" t="s">
        <v>2957</v>
      </c>
      <c r="Q239" s="2580"/>
      <c r="R239" s="2694">
        <v>85.37</v>
      </c>
      <c r="S239" s="2694"/>
      <c r="T239" s="2513">
        <f t="shared" si="44"/>
        <v>23227.992235140002</v>
      </c>
      <c r="U239" s="2571">
        <v>0.89580000000000004</v>
      </c>
      <c r="V239" s="2571">
        <v>8.2799999999999999E-2</v>
      </c>
      <c r="W239" s="2585">
        <v>1.885</v>
      </c>
      <c r="X239" s="2510">
        <f t="shared" si="45"/>
        <v>512.88233996999998</v>
      </c>
      <c r="Y239" s="2585">
        <v>2.2599999999999998</v>
      </c>
      <c r="Z239" s="2585">
        <v>2.161</v>
      </c>
      <c r="AN239" s="2508"/>
      <c r="AO239" s="2508"/>
      <c r="AP239" s="2584"/>
      <c r="AQ239" s="2581"/>
      <c r="AR239" s="2581"/>
      <c r="AS239" s="2583"/>
      <c r="AT239" s="2582"/>
      <c r="AU239" s="2581"/>
      <c r="AV239" s="2581"/>
      <c r="AW239" s="2581"/>
      <c r="AX239" s="2581"/>
      <c r="AY239" s="2508"/>
      <c r="AZ239" s="2508"/>
      <c r="BA239" s="2508"/>
      <c r="BB239" s="2508"/>
    </row>
    <row r="240" spans="1:54" s="98" customFormat="1">
      <c r="A240" s="2544" t="s">
        <v>2310</v>
      </c>
      <c r="B240" s="2543" t="s">
        <v>1527</v>
      </c>
      <c r="C240" s="2542" t="s">
        <v>2311</v>
      </c>
      <c r="D240" s="2521">
        <f>'[7]Precios Recuperación (PUSD)'!$I$1860</f>
        <v>1434.1999999999998</v>
      </c>
      <c r="E240" s="2667">
        <v>3.1415999999999999</v>
      </c>
      <c r="F240" s="2660">
        <v>3.2000000000000001E-2</v>
      </c>
      <c r="G240" s="2667">
        <v>5.0000000000000001E-3</v>
      </c>
      <c r="H240" s="2677">
        <v>980</v>
      </c>
      <c r="I240" s="2689" t="s">
        <v>2911</v>
      </c>
      <c r="J240" s="2509"/>
      <c r="K240" s="2569"/>
      <c r="L240" s="2569"/>
      <c r="M240" s="2728">
        <f t="shared" si="47"/>
        <v>0.49260287999999997</v>
      </c>
      <c r="N240" s="2517">
        <f t="shared" si="43"/>
        <v>706.49105049599984</v>
      </c>
      <c r="O240" s="2568" t="s">
        <v>2910</v>
      </c>
      <c r="P240" s="2568" t="s">
        <v>2957</v>
      </c>
      <c r="Q240" s="2580"/>
      <c r="R240" s="2694">
        <v>85.37</v>
      </c>
      <c r="S240" s="2694"/>
      <c r="T240" s="2513">
        <f t="shared" si="44"/>
        <v>60313.140980843506</v>
      </c>
      <c r="U240" s="2571">
        <v>0.89580000000000004</v>
      </c>
      <c r="V240" s="2571">
        <v>8.2799999999999999E-2</v>
      </c>
      <c r="W240" s="2585">
        <v>1.885</v>
      </c>
      <c r="X240" s="2510">
        <f t="shared" si="45"/>
        <v>1331.7356301849597</v>
      </c>
      <c r="Y240" s="2585">
        <v>2.2599999999999998</v>
      </c>
      <c r="Z240" s="2585">
        <v>2.161</v>
      </c>
      <c r="AN240" s="2508"/>
      <c r="AO240" s="2508"/>
      <c r="AP240" s="2584"/>
      <c r="AQ240" s="2581"/>
      <c r="AR240" s="2581"/>
      <c r="AS240" s="2583"/>
      <c r="AT240" s="2582"/>
      <c r="AU240" s="2581"/>
      <c r="AV240" s="2581"/>
      <c r="AW240" s="2581"/>
      <c r="AX240" s="2581"/>
      <c r="AY240" s="2508"/>
      <c r="AZ240" s="2508"/>
      <c r="BA240" s="2508"/>
      <c r="BB240" s="2508"/>
    </row>
    <row r="241" spans="1:54" s="98" customFormat="1">
      <c r="A241" s="2590" t="s">
        <v>2367</v>
      </c>
      <c r="B241" s="2589" t="s">
        <v>1527</v>
      </c>
      <c r="C241" s="2588" t="s">
        <v>2368</v>
      </c>
      <c r="D241" s="2521"/>
      <c r="E241" s="2667">
        <v>3.1415999999999999</v>
      </c>
      <c r="F241" s="2660">
        <v>0.05</v>
      </c>
      <c r="G241" s="2667">
        <v>5.0000000000000001E-3</v>
      </c>
      <c r="H241" s="2677">
        <v>980</v>
      </c>
      <c r="I241" s="2689" t="s">
        <v>2911</v>
      </c>
      <c r="J241" s="2509"/>
      <c r="K241" s="2569"/>
      <c r="L241" s="2569"/>
      <c r="M241" s="2728">
        <f t="shared" si="47"/>
        <v>0.76969200000000004</v>
      </c>
      <c r="N241" s="2517">
        <f t="shared" si="43"/>
        <v>0</v>
      </c>
      <c r="O241" s="2568" t="s">
        <v>2910</v>
      </c>
      <c r="P241" s="2568" t="s">
        <v>2957</v>
      </c>
      <c r="Q241" s="2580"/>
      <c r="R241" s="2694">
        <v>86.37</v>
      </c>
      <c r="S241" s="2694"/>
      <c r="T241" s="2513">
        <f t="shared" si="44"/>
        <v>0</v>
      </c>
      <c r="U241" s="2571">
        <v>0.89580000000000004</v>
      </c>
      <c r="V241" s="2571">
        <v>8.2799999999999999E-2</v>
      </c>
      <c r="W241" s="2585">
        <v>1.885</v>
      </c>
      <c r="X241" s="2510">
        <f t="shared" si="45"/>
        <v>0</v>
      </c>
      <c r="Y241" s="2585">
        <v>2.2599999999999998</v>
      </c>
      <c r="Z241" s="2585">
        <v>2.161</v>
      </c>
      <c r="AN241" s="2508"/>
      <c r="AO241" s="2508"/>
      <c r="AP241" s="2508"/>
      <c r="AQ241" s="2508"/>
      <c r="AR241" s="2508"/>
      <c r="AS241" s="2508"/>
      <c r="AT241" s="2508"/>
      <c r="AU241" s="2508"/>
      <c r="AV241" s="2508"/>
      <c r="AW241" s="2508"/>
      <c r="AX241" s="2508"/>
      <c r="AY241" s="2508"/>
      <c r="AZ241" s="2508"/>
      <c r="BA241" s="2508"/>
      <c r="BB241" s="2508"/>
    </row>
    <row r="242" spans="1:54" s="98" customFormat="1">
      <c r="A242" s="2590" t="s">
        <v>2371</v>
      </c>
      <c r="B242" s="2589" t="s">
        <v>1527</v>
      </c>
      <c r="C242" s="2588" t="s">
        <v>2372</v>
      </c>
      <c r="D242" s="2521">
        <f>'[7]Precios Recuperación (PUSD)'!$I$1815</f>
        <v>221.79999999999998</v>
      </c>
      <c r="E242" s="2667">
        <v>3.1415999999999999</v>
      </c>
      <c r="F242" s="2660">
        <v>0.04</v>
      </c>
      <c r="G242" s="2667">
        <v>3.6999999999999998E-2</v>
      </c>
      <c r="H242" s="2677">
        <v>980</v>
      </c>
      <c r="I242" s="2689" t="s">
        <v>2911</v>
      </c>
      <c r="J242" s="2509"/>
      <c r="K242" s="2569"/>
      <c r="L242" s="2569"/>
      <c r="M242" s="2728">
        <f t="shared" si="47"/>
        <v>4.5565766399999994</v>
      </c>
      <c r="N242" s="2517">
        <f t="shared" si="43"/>
        <v>1010.6486987519997</v>
      </c>
      <c r="O242" s="2568" t="s">
        <v>2910</v>
      </c>
      <c r="P242" s="2568" t="s">
        <v>2957</v>
      </c>
      <c r="Q242" s="2580"/>
      <c r="R242" s="2694">
        <v>85.37</v>
      </c>
      <c r="S242" s="2694"/>
      <c r="T242" s="2513">
        <f t="shared" si="44"/>
        <v>86279.079412458217</v>
      </c>
      <c r="U242" s="2571">
        <v>0.89580000000000004</v>
      </c>
      <c r="V242" s="2571">
        <v>8.2799999999999999E-2</v>
      </c>
      <c r="W242" s="2585">
        <v>1.885</v>
      </c>
      <c r="X242" s="2510">
        <f t="shared" si="45"/>
        <v>1905.0727971475199</v>
      </c>
      <c r="Y242" s="2585">
        <v>2.2599999999999998</v>
      </c>
      <c r="Z242" s="2585">
        <v>2.161</v>
      </c>
      <c r="AN242" s="2508"/>
      <c r="AO242" s="2508"/>
      <c r="AP242" s="2584"/>
      <c r="AQ242" s="2581"/>
      <c r="AR242" s="2581"/>
      <c r="AS242" s="2583"/>
      <c r="AT242" s="2582"/>
      <c r="AU242" s="2581"/>
      <c r="AV242" s="2581"/>
      <c r="AW242" s="2581"/>
      <c r="AX242" s="2581"/>
      <c r="AY242" s="2508"/>
      <c r="AZ242" s="2508"/>
      <c r="BA242" s="2508"/>
      <c r="BB242" s="2508"/>
    </row>
    <row r="243" spans="1:54" s="98" customFormat="1">
      <c r="A243" s="2590" t="s">
        <v>2389</v>
      </c>
      <c r="B243" s="2589" t="s">
        <v>1527</v>
      </c>
      <c r="C243" s="2588" t="s">
        <v>2390</v>
      </c>
      <c r="D243" s="2521">
        <f>'[7]Precios Recuperación (PUSD)'!$H$1789</f>
        <v>40</v>
      </c>
      <c r="E243" s="2667">
        <v>3.1415999999999999</v>
      </c>
      <c r="F243" s="2660">
        <v>0.09</v>
      </c>
      <c r="G243" s="2667">
        <v>8.2000000000000003E-2</v>
      </c>
      <c r="H243" s="2677">
        <v>980</v>
      </c>
      <c r="I243" s="2689" t="s">
        <v>2911</v>
      </c>
      <c r="J243" s="2509"/>
      <c r="K243" s="2569"/>
      <c r="L243" s="2569"/>
      <c r="M243" s="2728">
        <f t="shared" si="47"/>
        <v>22.721307840000001</v>
      </c>
      <c r="N243" s="2517">
        <f t="shared" si="43"/>
        <v>908.85231360000012</v>
      </c>
      <c r="O243" s="2568" t="s">
        <v>2910</v>
      </c>
      <c r="P243" s="2568" t="s">
        <v>2957</v>
      </c>
      <c r="Q243" s="2580"/>
      <c r="R243" s="2694">
        <v>85.37</v>
      </c>
      <c r="S243" s="2694"/>
      <c r="T243" s="2513">
        <f t="shared" si="44"/>
        <v>77588.722012032013</v>
      </c>
      <c r="U243" s="2571">
        <v>0.89580000000000004</v>
      </c>
      <c r="V243" s="2571">
        <v>8.2799999999999999E-2</v>
      </c>
      <c r="W243" s="2585">
        <v>1.885</v>
      </c>
      <c r="X243" s="2510">
        <f t="shared" si="45"/>
        <v>1713.186611136</v>
      </c>
      <c r="Y243" s="2585">
        <v>2.2599999999999998</v>
      </c>
      <c r="Z243" s="2585">
        <v>2.161</v>
      </c>
      <c r="AN243" s="2508"/>
      <c r="AO243" s="2508"/>
      <c r="AP243" s="2584"/>
      <c r="AQ243" s="2581"/>
      <c r="AR243" s="2581"/>
      <c r="AS243" s="2583"/>
      <c r="AT243" s="2582"/>
      <c r="AU243" s="2581"/>
      <c r="AV243" s="2581"/>
      <c r="AW243" s="2581"/>
      <c r="AX243" s="2581"/>
      <c r="AY243" s="2508"/>
      <c r="AZ243" s="2508"/>
      <c r="BA243" s="2508"/>
      <c r="BB243" s="2508"/>
    </row>
    <row r="244" spans="1:54" s="98" customFormat="1">
      <c r="A244" s="2544" t="s">
        <v>2302</v>
      </c>
      <c r="B244" s="2543" t="s">
        <v>1527</v>
      </c>
      <c r="C244" s="2542" t="s">
        <v>2303</v>
      </c>
      <c r="D244" s="2521">
        <f>'[7]Precios Recuperación (PUSD)'!$H$1829</f>
        <v>707</v>
      </c>
      <c r="E244" s="2667">
        <v>3.1415999999999999</v>
      </c>
      <c r="F244" s="2660">
        <v>1.6E-2</v>
      </c>
      <c r="G244" s="2667">
        <v>2E-3</v>
      </c>
      <c r="H244" s="2677">
        <v>980</v>
      </c>
      <c r="I244" s="2689" t="s">
        <v>2911</v>
      </c>
      <c r="J244" s="2509"/>
      <c r="K244" s="2569"/>
      <c r="L244" s="2569"/>
      <c r="M244" s="2728">
        <f t="shared" si="47"/>
        <v>9.8520575999999999E-2</v>
      </c>
      <c r="N244" s="2517">
        <f t="shared" si="43"/>
        <v>69.654047231999996</v>
      </c>
      <c r="O244" s="2568" t="s">
        <v>2910</v>
      </c>
      <c r="P244" s="2568" t="s">
        <v>2957</v>
      </c>
      <c r="Q244" s="2580"/>
      <c r="R244" s="2694">
        <v>85.37</v>
      </c>
      <c r="S244" s="2694"/>
      <c r="T244" s="2513">
        <f t="shared" si="44"/>
        <v>5946.366012195841</v>
      </c>
      <c r="U244" s="2571">
        <v>0.89580000000000004</v>
      </c>
      <c r="V244" s="2571">
        <v>8.2799999999999999E-2</v>
      </c>
      <c r="W244" s="2585">
        <v>1.885</v>
      </c>
      <c r="X244" s="2510">
        <f t="shared" si="45"/>
        <v>131.29787903232</v>
      </c>
      <c r="Y244" s="2585">
        <v>2.2599999999999998</v>
      </c>
      <c r="Z244" s="2585">
        <v>2.161</v>
      </c>
      <c r="AN244" s="2508"/>
      <c r="AO244" s="2508"/>
      <c r="AP244" s="2584"/>
      <c r="AQ244" s="2581"/>
      <c r="AR244" s="2581"/>
      <c r="AS244" s="2583"/>
      <c r="AT244" s="2582"/>
      <c r="AU244" s="2581"/>
      <c r="AV244" s="2581"/>
      <c r="AW244" s="2581"/>
      <c r="AX244" s="2581"/>
      <c r="AY244" s="2508"/>
      <c r="AZ244" s="2508"/>
      <c r="BA244" s="2508"/>
      <c r="BB244" s="2508"/>
    </row>
    <row r="245" spans="1:54" s="98" customFormat="1">
      <c r="A245" s="2544" t="s">
        <v>2308</v>
      </c>
      <c r="B245" s="2543" t="s">
        <v>1527</v>
      </c>
      <c r="C245" s="2542" t="s">
        <v>2309</v>
      </c>
      <c r="D245" s="2521">
        <f>'[7]Precios Recuperación (PUSD)'!$H$1844</f>
        <v>787.8</v>
      </c>
      <c r="E245" s="2667">
        <v>3.1415999999999999</v>
      </c>
      <c r="F245" s="2660">
        <v>0.02</v>
      </c>
      <c r="G245" s="2667">
        <v>2E-3</v>
      </c>
      <c r="H245" s="2677">
        <v>980</v>
      </c>
      <c r="I245" s="2689" t="s">
        <v>2911</v>
      </c>
      <c r="J245" s="2509"/>
      <c r="K245" s="2569"/>
      <c r="L245" s="2569"/>
      <c r="M245" s="2728">
        <f t="shared" si="47"/>
        <v>0.12315071999999999</v>
      </c>
      <c r="N245" s="2517">
        <f t="shared" si="43"/>
        <v>97.018137215999985</v>
      </c>
      <c r="O245" s="2568" t="s">
        <v>2910</v>
      </c>
      <c r="P245" s="2568" t="s">
        <v>2957</v>
      </c>
      <c r="Q245" s="2580"/>
      <c r="R245" s="2694">
        <v>85.37</v>
      </c>
      <c r="S245" s="2694"/>
      <c r="T245" s="2513">
        <f t="shared" si="44"/>
        <v>8282.4383741299189</v>
      </c>
      <c r="U245" s="2571">
        <v>0.89580000000000004</v>
      </c>
      <c r="V245" s="2571">
        <v>8.2799999999999999E-2</v>
      </c>
      <c r="W245" s="2585">
        <v>1.885</v>
      </c>
      <c r="X245" s="2510">
        <f t="shared" si="45"/>
        <v>182.87918865215997</v>
      </c>
      <c r="Y245" s="2585">
        <v>2.2599999999999998</v>
      </c>
      <c r="Z245" s="2585">
        <v>2.161</v>
      </c>
      <c r="AN245" s="2508"/>
      <c r="AO245" s="2508"/>
      <c r="AP245" s="2584"/>
      <c r="AQ245" s="2581"/>
      <c r="AR245" s="2581"/>
      <c r="AS245" s="2583"/>
      <c r="AT245" s="2582"/>
      <c r="AU245" s="2581"/>
      <c r="AV245" s="2581"/>
      <c r="AW245" s="2581"/>
      <c r="AX245" s="2581"/>
      <c r="AY245" s="2508"/>
      <c r="AZ245" s="2508"/>
      <c r="BA245" s="2508"/>
      <c r="BB245" s="2508"/>
    </row>
    <row r="246" spans="1:54" s="98" customFormat="1">
      <c r="A246" s="2544" t="s">
        <v>2314</v>
      </c>
      <c r="B246" s="2543" t="s">
        <v>1527</v>
      </c>
      <c r="C246" s="2542" t="s">
        <v>2315</v>
      </c>
      <c r="D246" s="2521">
        <f>'[7]Precios Recuperación (PUSD)'!$H$1859</f>
        <v>646.4</v>
      </c>
      <c r="E246" s="2667">
        <v>3.1415999999999999</v>
      </c>
      <c r="F246" s="2660">
        <v>2.5000000000000001E-2</v>
      </c>
      <c r="G246" s="2667">
        <v>2.5000000000000001E-3</v>
      </c>
      <c r="H246" s="2677">
        <v>980</v>
      </c>
      <c r="I246" s="2689" t="s">
        <v>2911</v>
      </c>
      <c r="J246" s="2509"/>
      <c r="K246" s="2569"/>
      <c r="L246" s="2569"/>
      <c r="M246" s="2728">
        <f t="shared" si="47"/>
        <v>0.19242300000000001</v>
      </c>
      <c r="N246" s="2517">
        <f t="shared" si="43"/>
        <v>124.3822272</v>
      </c>
      <c r="O246" s="2568" t="s">
        <v>2910</v>
      </c>
      <c r="P246" s="2568" t="s">
        <v>2957</v>
      </c>
      <c r="Q246" s="2580"/>
      <c r="R246" s="2694">
        <v>85.37</v>
      </c>
      <c r="S246" s="2694"/>
      <c r="T246" s="2513">
        <f t="shared" si="44"/>
        <v>10618.510736064001</v>
      </c>
      <c r="U246" s="2571">
        <v>0.89580000000000004</v>
      </c>
      <c r="V246" s="2571">
        <v>8.2799999999999999E-2</v>
      </c>
      <c r="W246" s="2585">
        <v>1.885</v>
      </c>
      <c r="X246" s="2510">
        <f t="shared" si="45"/>
        <v>234.460498272</v>
      </c>
      <c r="Y246" s="2585">
        <v>2.2599999999999998</v>
      </c>
      <c r="Z246" s="2585">
        <v>2.161</v>
      </c>
      <c r="AN246" s="2508"/>
      <c r="AO246" s="2508"/>
      <c r="AP246" s="2584"/>
      <c r="AQ246" s="2581"/>
      <c r="AR246" s="2581"/>
      <c r="AS246" s="2583"/>
      <c r="AT246" s="2582"/>
      <c r="AU246" s="2581"/>
      <c r="AV246" s="2581"/>
      <c r="AW246" s="2581"/>
      <c r="AX246" s="2581"/>
      <c r="AY246" s="2508"/>
      <c r="AZ246" s="2508"/>
      <c r="BA246" s="2508"/>
      <c r="BB246" s="2508"/>
    </row>
    <row r="247" spans="1:54" s="98" customFormat="1">
      <c r="A247" s="2544" t="s">
        <v>2416</v>
      </c>
      <c r="B247" s="2543" t="s">
        <v>1527</v>
      </c>
      <c r="C247" s="2542" t="s">
        <v>2417</v>
      </c>
      <c r="D247" s="2521">
        <f>'[7]Precios Recuperación (PUSD)'!$H$1874</f>
        <v>333.3</v>
      </c>
      <c r="E247" s="2667">
        <v>3.1415999999999999</v>
      </c>
      <c r="F247" s="2660">
        <v>3.2000000000000001E-2</v>
      </c>
      <c r="G247" s="2667">
        <v>3.0000000000000001E-3</v>
      </c>
      <c r="H247" s="2677">
        <v>980</v>
      </c>
      <c r="I247" s="2689" t="s">
        <v>2911</v>
      </c>
      <c r="J247" s="2509"/>
      <c r="K247" s="2569"/>
      <c r="L247" s="2569"/>
      <c r="M247" s="2728">
        <f t="shared" si="47"/>
        <v>0.29556172800000002</v>
      </c>
      <c r="N247" s="2517">
        <f t="shared" si="43"/>
        <v>98.510723942400006</v>
      </c>
      <c r="O247" s="2568" t="s">
        <v>2910</v>
      </c>
      <c r="P247" s="2568" t="s">
        <v>2957</v>
      </c>
      <c r="Q247" s="2580"/>
      <c r="R247" s="2694">
        <v>85.37</v>
      </c>
      <c r="S247" s="2694"/>
      <c r="T247" s="2513">
        <f t="shared" si="44"/>
        <v>8409.8605029626888</v>
      </c>
      <c r="U247" s="2571">
        <v>0.89580000000000004</v>
      </c>
      <c r="V247" s="2571">
        <v>8.2799999999999999E-2</v>
      </c>
      <c r="W247" s="2585">
        <v>1.885</v>
      </c>
      <c r="X247" s="2510">
        <f t="shared" si="45"/>
        <v>185.69271463142402</v>
      </c>
      <c r="Y247" s="2585">
        <v>2.2599999999999998</v>
      </c>
      <c r="Z247" s="2585">
        <v>2.161</v>
      </c>
      <c r="AN247" s="2508"/>
      <c r="AO247" s="2508"/>
      <c r="AP247" s="2584"/>
      <c r="AQ247" s="2581"/>
      <c r="AR247" s="2581"/>
      <c r="AS247" s="2583"/>
      <c r="AT247" s="2582"/>
      <c r="AU247" s="2581"/>
      <c r="AV247" s="2581"/>
      <c r="AW247" s="2581"/>
      <c r="AX247" s="2581"/>
      <c r="AY247" s="2508"/>
      <c r="AZ247" s="2508"/>
      <c r="BA247" s="2508"/>
      <c r="BB247" s="2508"/>
    </row>
    <row r="248" spans="1:54" s="98" customFormat="1">
      <c r="A248" s="2544" t="s">
        <v>2365</v>
      </c>
      <c r="B248" s="2543" t="s">
        <v>1527</v>
      </c>
      <c r="C248" s="2542" t="s">
        <v>2366</v>
      </c>
      <c r="D248" s="2521">
        <f>'[7]Precios Recuperación (PUSD)'!$H$1889</f>
        <v>454.5</v>
      </c>
      <c r="E248" s="2667">
        <v>3.1415999999999999</v>
      </c>
      <c r="F248" s="2660">
        <v>0.04</v>
      </c>
      <c r="G248" s="2667">
        <v>3.5000000000000001E-3</v>
      </c>
      <c r="H248" s="2677">
        <v>980</v>
      </c>
      <c r="I248" s="2689" t="s">
        <v>2911</v>
      </c>
      <c r="J248" s="2509"/>
      <c r="K248" s="2569"/>
      <c r="L248" s="2569"/>
      <c r="M248" s="2728">
        <f t="shared" si="47"/>
        <v>0.43102752</v>
      </c>
      <c r="N248" s="2517">
        <f t="shared" si="43"/>
        <v>195.90200784000001</v>
      </c>
      <c r="O248" s="2568" t="s">
        <v>2910</v>
      </c>
      <c r="P248" s="2568" t="s">
        <v>2957</v>
      </c>
      <c r="Q248" s="2580"/>
      <c r="R248" s="2694">
        <v>85.37</v>
      </c>
      <c r="S248" s="2694"/>
      <c r="T248" s="2513">
        <f t="shared" si="44"/>
        <v>16724.154409300801</v>
      </c>
      <c r="U248" s="2571">
        <v>0.89580000000000004</v>
      </c>
      <c r="V248" s="2571">
        <v>8.2799999999999999E-2</v>
      </c>
      <c r="W248" s="2585">
        <v>1.885</v>
      </c>
      <c r="X248" s="2510">
        <f t="shared" si="45"/>
        <v>369.27528477839996</v>
      </c>
      <c r="Y248" s="2585">
        <v>2.2599999999999998</v>
      </c>
      <c r="Z248" s="2585">
        <v>2.161</v>
      </c>
      <c r="AN248" s="2508"/>
      <c r="AO248" s="2508"/>
      <c r="AP248" s="2584"/>
      <c r="AQ248" s="2581"/>
      <c r="AR248" s="2581"/>
      <c r="AS248" s="2583"/>
      <c r="AT248" s="2582"/>
      <c r="AU248" s="2581"/>
      <c r="AV248" s="2581"/>
      <c r="AW248" s="2581"/>
      <c r="AX248" s="2581"/>
      <c r="AY248" s="2508"/>
      <c r="AZ248" s="2508"/>
      <c r="BA248" s="2508"/>
      <c r="BB248" s="2508"/>
    </row>
    <row r="249" spans="1:54" s="98" customFormat="1" ht="14.25" customHeight="1">
      <c r="A249" s="2535" t="s">
        <v>2585</v>
      </c>
      <c r="B249" s="2533" t="s">
        <v>1504</v>
      </c>
      <c r="C249" s="2522" t="s">
        <v>2586</v>
      </c>
      <c r="D249" s="2531"/>
      <c r="E249" s="2667">
        <v>0.1</v>
      </c>
      <c r="F249" s="2660">
        <v>0.1</v>
      </c>
      <c r="G249" s="2667">
        <v>0.02</v>
      </c>
      <c r="H249" s="2681">
        <v>980</v>
      </c>
      <c r="I249" s="2690" t="s">
        <v>2911</v>
      </c>
      <c r="J249" s="2509"/>
      <c r="K249" s="2569"/>
      <c r="L249" s="2569"/>
      <c r="M249" s="2728">
        <f t="shared" si="47"/>
        <v>0.19600000000000004</v>
      </c>
      <c r="N249" s="2517">
        <f t="shared" si="43"/>
        <v>0</v>
      </c>
      <c r="O249" s="2541" t="s">
        <v>2910</v>
      </c>
      <c r="P249" s="2586" t="s">
        <v>2960</v>
      </c>
      <c r="Q249" s="2575"/>
      <c r="R249" s="2694">
        <v>108.4</v>
      </c>
      <c r="S249" s="2694"/>
      <c r="T249" s="2513">
        <f t="shared" si="44"/>
        <v>0</v>
      </c>
      <c r="U249" s="2571">
        <v>0.83989999999999998</v>
      </c>
      <c r="V249" s="2571">
        <v>0.13150000000000001</v>
      </c>
      <c r="W249" s="2585">
        <v>2.8730000000000002</v>
      </c>
      <c r="X249" s="2510">
        <f t="shared" si="45"/>
        <v>0</v>
      </c>
      <c r="Y249" s="2585">
        <v>3.38</v>
      </c>
      <c r="Z249" s="2585">
        <v>6.1760000000000002</v>
      </c>
      <c r="AA249" s="485"/>
      <c r="AB249" s="485"/>
      <c r="AC249" s="485"/>
      <c r="AD249" s="485"/>
      <c r="AE249" s="485"/>
      <c r="AF249" s="485"/>
      <c r="AG249" s="485"/>
      <c r="AH249" s="485"/>
      <c r="AI249" s="485"/>
      <c r="AJ249" s="485"/>
      <c r="AK249" s="485"/>
      <c r="AL249" s="485"/>
      <c r="AM249" s="485"/>
      <c r="AN249" s="485"/>
      <c r="AO249" s="485"/>
      <c r="AP249" s="485"/>
      <c r="AQ249" s="485"/>
      <c r="AR249" s="485"/>
      <c r="AS249" s="485"/>
      <c r="AT249" s="485"/>
      <c r="AU249" s="485"/>
      <c r="AV249" s="485"/>
      <c r="AW249" s="485"/>
      <c r="AX249" s="485"/>
      <c r="AY249" s="485"/>
      <c r="AZ249" s="485"/>
      <c r="BA249" s="485"/>
      <c r="BB249" s="485"/>
    </row>
    <row r="250" spans="1:54" s="98" customFormat="1" ht="12.75" customHeight="1">
      <c r="A250" s="2544" t="s">
        <v>2593</v>
      </c>
      <c r="B250" s="2543" t="s">
        <v>1504</v>
      </c>
      <c r="C250" s="2542" t="s">
        <v>2594</v>
      </c>
      <c r="D250" s="2521"/>
      <c r="E250" s="2667">
        <v>2E-3</v>
      </c>
      <c r="F250" s="2660"/>
      <c r="G250" s="2667"/>
      <c r="H250" s="2681">
        <v>980</v>
      </c>
      <c r="I250" s="2690" t="s">
        <v>2911</v>
      </c>
      <c r="J250" s="2509"/>
      <c r="K250" s="2569"/>
      <c r="L250" s="2569"/>
      <c r="M250" s="2728">
        <f>E250*H250</f>
        <v>1.96</v>
      </c>
      <c r="N250" s="2517">
        <f t="shared" si="43"/>
        <v>0</v>
      </c>
      <c r="O250" s="2541" t="s">
        <v>2910</v>
      </c>
      <c r="P250" s="2586" t="s">
        <v>2960</v>
      </c>
      <c r="Q250" s="2575"/>
      <c r="R250" s="2694">
        <v>108.4</v>
      </c>
      <c r="S250" s="2694"/>
      <c r="T250" s="2513">
        <f t="shared" si="44"/>
        <v>0</v>
      </c>
      <c r="U250" s="2571">
        <v>0.83989999999999998</v>
      </c>
      <c r="V250" s="2571">
        <v>0.13150000000000001</v>
      </c>
      <c r="W250" s="2585">
        <v>2.8730000000000002</v>
      </c>
      <c r="X250" s="2510">
        <f t="shared" si="45"/>
        <v>0</v>
      </c>
      <c r="Y250" s="2585">
        <v>3.38</v>
      </c>
      <c r="Z250" s="2585">
        <v>6.1760000000000002</v>
      </c>
      <c r="AN250" s="2508"/>
      <c r="AO250" s="2508"/>
      <c r="AP250" s="2584"/>
      <c r="AQ250" s="2581"/>
      <c r="AR250" s="2581"/>
      <c r="AS250" s="2583"/>
      <c r="AT250" s="2582"/>
      <c r="AU250" s="2581"/>
      <c r="AV250" s="2581"/>
      <c r="AW250" s="2581"/>
      <c r="AX250" s="2581"/>
      <c r="AY250" s="2508"/>
      <c r="AZ250" s="2508"/>
      <c r="BA250" s="2508"/>
      <c r="BB250" s="2508"/>
    </row>
    <row r="251" spans="1:54" s="2508" customFormat="1" ht="15" customHeight="1">
      <c r="A251" s="2523" t="s">
        <v>2006</v>
      </c>
      <c r="B251" s="2522" t="s">
        <v>1507</v>
      </c>
      <c r="C251" s="2522" t="s">
        <v>2007</v>
      </c>
      <c r="D251" s="2521">
        <f>'[7]Precios Recuperación (PUSD)'!$H$2125+'[7]Precios Recuperación (PUSD)'!$J$2125</f>
        <v>161.04</v>
      </c>
      <c r="E251" s="2664">
        <v>1</v>
      </c>
      <c r="F251" s="2669">
        <v>1</v>
      </c>
      <c r="G251" s="2664"/>
      <c r="H251" s="2679">
        <v>7.0000000000000007E-2</v>
      </c>
      <c r="I251" s="2688" t="s">
        <v>2959</v>
      </c>
      <c r="J251" s="2509"/>
      <c r="K251" s="2516"/>
      <c r="L251" s="2516"/>
      <c r="M251" s="2726">
        <f>E251*F251*H251</f>
        <v>7.0000000000000007E-2</v>
      </c>
      <c r="N251" s="2517">
        <f t="shared" si="43"/>
        <v>11.2728</v>
      </c>
      <c r="O251" s="2541"/>
      <c r="P251" s="2568" t="s">
        <v>2958</v>
      </c>
      <c r="Q251" s="2575"/>
      <c r="R251" s="2700">
        <v>90.4</v>
      </c>
      <c r="S251" s="2700"/>
      <c r="T251" s="2513">
        <f t="shared" si="44"/>
        <v>1019.0611200000002</v>
      </c>
      <c r="U251" s="2512">
        <v>0.85138053097345123</v>
      </c>
      <c r="V251" s="2512">
        <v>0.11577157079646017</v>
      </c>
      <c r="W251" s="2511">
        <v>2.0964521</v>
      </c>
      <c r="X251" s="2510">
        <f t="shared" si="45"/>
        <v>23.63288523288</v>
      </c>
      <c r="Y251" s="2511">
        <v>2.5289999999999999</v>
      </c>
      <c r="Z251" s="2511">
        <v>2.8560283846000001</v>
      </c>
      <c r="AA251" s="2579"/>
    </row>
    <row r="252" spans="1:54" s="98" customFormat="1" ht="15" customHeight="1">
      <c r="A252" s="2544" t="s">
        <v>1159</v>
      </c>
      <c r="B252" s="2543" t="s">
        <v>1507</v>
      </c>
      <c r="C252" s="2542" t="s">
        <v>1991</v>
      </c>
      <c r="D252" s="2521">
        <f>'[7]Precios Recuperación (PUSD)'!$K$2111</f>
        <v>81.325199999999995</v>
      </c>
      <c r="E252" s="2666">
        <v>1</v>
      </c>
      <c r="F252" s="2671">
        <v>1</v>
      </c>
      <c r="G252" s="2666">
        <v>2.0000000000000001E-4</v>
      </c>
      <c r="H252" s="2680">
        <v>980</v>
      </c>
      <c r="I252" s="2689" t="s">
        <v>2911</v>
      </c>
      <c r="J252" s="2509"/>
      <c r="K252" s="2569"/>
      <c r="L252" s="2569"/>
      <c r="M252" s="2728">
        <f>E252*H252*G252*F252</f>
        <v>0.19600000000000001</v>
      </c>
      <c r="N252" s="2517">
        <f t="shared" si="43"/>
        <v>15.9397392</v>
      </c>
      <c r="O252" s="2568" t="s">
        <v>2910</v>
      </c>
      <c r="P252" s="2568" t="s">
        <v>2958</v>
      </c>
      <c r="Q252" s="2575"/>
      <c r="R252" s="2700">
        <v>90.4</v>
      </c>
      <c r="S252" s="2700"/>
      <c r="T252" s="2513">
        <f t="shared" si="44"/>
        <v>1440.95242368</v>
      </c>
      <c r="U252" s="2512">
        <v>0.85138053097345123</v>
      </c>
      <c r="V252" s="2512">
        <v>0.11577157079646017</v>
      </c>
      <c r="W252" s="2511">
        <v>2.0964521</v>
      </c>
      <c r="X252" s="2510">
        <f t="shared" si="45"/>
        <v>33.416899719292317</v>
      </c>
      <c r="Y252" s="2511">
        <v>2.5289999999999999</v>
      </c>
      <c r="Z252" s="2511">
        <v>2.8560283846000001</v>
      </c>
    </row>
    <row r="253" spans="1:54" s="98" customFormat="1" ht="15" customHeight="1">
      <c r="A253" s="2544" t="s">
        <v>2336</v>
      </c>
      <c r="B253" s="2543" t="s">
        <v>1527</v>
      </c>
      <c r="C253" s="2542" t="s">
        <v>2337</v>
      </c>
      <c r="D253" s="2521"/>
      <c r="E253" s="2667">
        <v>3.1415000000000002</v>
      </c>
      <c r="F253" s="2660">
        <v>2.8000000000000001E-2</v>
      </c>
      <c r="G253" s="2667">
        <v>0.01</v>
      </c>
      <c r="H253" s="2681">
        <v>980</v>
      </c>
      <c r="I253" s="2690" t="s">
        <v>2911</v>
      </c>
      <c r="J253" s="2509"/>
      <c r="K253" s="2569"/>
      <c r="L253" s="2569"/>
      <c r="M253" s="2728"/>
      <c r="N253" s="2517">
        <f t="shared" si="43"/>
        <v>0</v>
      </c>
      <c r="O253" s="2568" t="s">
        <v>2910</v>
      </c>
      <c r="P253" s="2580" t="s">
        <v>2957</v>
      </c>
      <c r="Q253" s="2580"/>
      <c r="R253" s="2696">
        <v>85.37</v>
      </c>
      <c r="S253" s="2696"/>
      <c r="T253" s="2513">
        <f t="shared" si="44"/>
        <v>0</v>
      </c>
      <c r="U253" s="2547">
        <v>0.89575049783296234</v>
      </c>
      <c r="V253" s="2547">
        <v>8.278060208504158E-2</v>
      </c>
      <c r="W253" s="2546">
        <v>1.8845502000000001</v>
      </c>
      <c r="X253" s="2510">
        <f t="shared" si="45"/>
        <v>0</v>
      </c>
      <c r="Y253" s="2545">
        <v>2.2599999999999998</v>
      </c>
      <c r="Z253" s="2545">
        <v>2.1611746076</v>
      </c>
    </row>
    <row r="254" spans="1:54" s="98" customFormat="1" ht="15" customHeight="1">
      <c r="A254" s="2544" t="s">
        <v>2327</v>
      </c>
      <c r="B254" s="2543" t="s">
        <v>1527</v>
      </c>
      <c r="C254" s="2542" t="s">
        <v>2326</v>
      </c>
      <c r="D254" s="2521">
        <f>'[7]Precios Recuperación (PUSD)'!$H$2138</f>
        <v>626.20000000000005</v>
      </c>
      <c r="E254" s="2666">
        <v>3.1415000000000002</v>
      </c>
      <c r="F254" s="2671">
        <v>1.9E-2</v>
      </c>
      <c r="G254" s="2666">
        <v>1.7999999999999999E-2</v>
      </c>
      <c r="H254" s="2680">
        <v>980</v>
      </c>
      <c r="I254" s="2689" t="s">
        <v>2911</v>
      </c>
      <c r="J254" s="2509"/>
      <c r="K254" s="2580"/>
      <c r="L254" s="2580"/>
      <c r="M254" s="2728">
        <f>E254*H254*G254*F254</f>
        <v>1.0529051399999998</v>
      </c>
      <c r="N254" s="2517">
        <f t="shared" si="43"/>
        <v>659.32919866799989</v>
      </c>
      <c r="O254" s="2568" t="s">
        <v>2910</v>
      </c>
      <c r="P254" s="2564" t="s">
        <v>2956</v>
      </c>
      <c r="Q254" s="2564" t="s">
        <v>2955</v>
      </c>
      <c r="R254" s="2700">
        <v>22.6</v>
      </c>
      <c r="S254" s="2700"/>
      <c r="T254" s="2513">
        <f t="shared" si="44"/>
        <v>14900.839889896799</v>
      </c>
      <c r="U254" s="2512">
        <v>0.80100000000000005</v>
      </c>
      <c r="V254" s="2512">
        <v>0.156</v>
      </c>
      <c r="W254" s="2511">
        <v>1.3680000000000001</v>
      </c>
      <c r="X254" s="2510">
        <f t="shared" si="45"/>
        <v>901.962343777824</v>
      </c>
      <c r="Y254" s="2509">
        <v>1.46</v>
      </c>
      <c r="Z254" s="2509">
        <v>4.9180000000000001</v>
      </c>
    </row>
    <row r="255" spans="1:54" s="98" customFormat="1" ht="15" customHeight="1">
      <c r="A255" s="2544" t="s">
        <v>2330</v>
      </c>
      <c r="B255" s="2543" t="s">
        <v>1527</v>
      </c>
      <c r="C255" s="2542" t="s">
        <v>2329</v>
      </c>
      <c r="D255" s="2521">
        <f>'[7]Precios Recuperación (PUSD)'!$H$2150</f>
        <v>353.5</v>
      </c>
      <c r="E255" s="2666">
        <v>3.1415000000000002</v>
      </c>
      <c r="F255" s="2671">
        <v>1.9E-2</v>
      </c>
      <c r="G255" s="2666">
        <v>3.5000000000000003E-2</v>
      </c>
      <c r="H255" s="2680">
        <v>980</v>
      </c>
      <c r="I255" s="2689" t="s">
        <v>2911</v>
      </c>
      <c r="J255" s="2509"/>
      <c r="K255" s="2580"/>
      <c r="L255" s="2580"/>
      <c r="M255" s="2728">
        <f>E255*H255*G255*F255</f>
        <v>2.0473155500000004</v>
      </c>
      <c r="N255" s="2517">
        <f t="shared" si="43"/>
        <v>723.72604692500011</v>
      </c>
      <c r="O255" s="2568" t="s">
        <v>2910</v>
      </c>
      <c r="P255" s="2564" t="s">
        <v>2956</v>
      </c>
      <c r="Q255" s="2564" t="s">
        <v>2955</v>
      </c>
      <c r="R255" s="2700">
        <v>22.6</v>
      </c>
      <c r="S255" s="2700"/>
      <c r="T255" s="2513">
        <f t="shared" si="44"/>
        <v>16356.208660505006</v>
      </c>
      <c r="U255" s="2512">
        <v>0.80100000000000005</v>
      </c>
      <c r="V255" s="2512">
        <v>0.156</v>
      </c>
      <c r="W255" s="2511">
        <v>1.3680000000000001</v>
      </c>
      <c r="X255" s="2510">
        <f t="shared" si="45"/>
        <v>990.0572321934003</v>
      </c>
      <c r="Y255" s="2509">
        <v>1.46</v>
      </c>
      <c r="Z255" s="2509">
        <v>4.9180000000000001</v>
      </c>
      <c r="AA255" s="2579"/>
    </row>
    <row r="256" spans="1:54" s="2725" customFormat="1">
      <c r="A256" s="2717"/>
      <c r="B256" s="2718" t="s">
        <v>2954</v>
      </c>
      <c r="C256" s="2716"/>
      <c r="D256" s="2719"/>
      <c r="E256" s="2720"/>
      <c r="F256" s="2720"/>
      <c r="G256" s="2721"/>
      <c r="H256" s="2720"/>
      <c r="I256" s="2720"/>
      <c r="J256" s="2720"/>
      <c r="K256" s="2722"/>
      <c r="L256" s="2722"/>
      <c r="M256" s="2723"/>
      <c r="N256" s="2715">
        <f t="shared" si="43"/>
        <v>0</v>
      </c>
      <c r="O256" s="2720"/>
      <c r="P256" s="2722"/>
      <c r="Q256" s="2722"/>
      <c r="R256" s="2722"/>
      <c r="S256" s="2722"/>
      <c r="T256" s="2724">
        <f t="shared" si="44"/>
        <v>0</v>
      </c>
      <c r="U256" s="2722"/>
      <c r="V256" s="2722"/>
      <c r="W256" s="2722"/>
      <c r="X256" s="2724">
        <f t="shared" si="45"/>
        <v>0</v>
      </c>
      <c r="Y256" s="2722"/>
      <c r="Z256" s="2722"/>
    </row>
    <row r="257" spans="1:54" s="98" customFormat="1" ht="15" customHeight="1">
      <c r="A257" s="2544" t="s">
        <v>2190</v>
      </c>
      <c r="B257" s="2543" t="s">
        <v>1504</v>
      </c>
      <c r="C257" s="2542" t="s">
        <v>2191</v>
      </c>
      <c r="D257" s="2531"/>
      <c r="E257" s="2667">
        <v>1</v>
      </c>
      <c r="F257" s="2660">
        <v>1</v>
      </c>
      <c r="G257" s="2667">
        <v>0.1</v>
      </c>
      <c r="H257" s="2681">
        <v>0.3</v>
      </c>
      <c r="I257" s="2690" t="s">
        <v>2900</v>
      </c>
      <c r="J257" s="2509">
        <f>E257*F257*G257*H257</f>
        <v>0.03</v>
      </c>
      <c r="K257" s="2536">
        <v>101.97</v>
      </c>
      <c r="L257" s="2536"/>
      <c r="M257" s="2729">
        <f>J257*K257</f>
        <v>3.0590999999999999</v>
      </c>
      <c r="N257" s="2517">
        <f t="shared" si="43"/>
        <v>0</v>
      </c>
      <c r="O257" s="2568" t="s">
        <v>2899</v>
      </c>
      <c r="P257" s="2568" t="s">
        <v>2953</v>
      </c>
      <c r="Q257" s="2575"/>
      <c r="R257" s="2700">
        <v>116.69999999999999</v>
      </c>
      <c r="S257" s="2700"/>
      <c r="T257" s="2513">
        <f t="shared" si="44"/>
        <v>0</v>
      </c>
      <c r="U257" s="2512">
        <v>0.89609854327335048</v>
      </c>
      <c r="V257" s="2512">
        <v>8.5741902313624691E-2</v>
      </c>
      <c r="W257" s="2546">
        <v>3.9325597000000001</v>
      </c>
      <c r="X257" s="2510">
        <f t="shared" si="45"/>
        <v>0</v>
      </c>
      <c r="Y257" s="2511">
        <v>4.79</v>
      </c>
      <c r="Z257" s="2545">
        <v>6.2698646672999994</v>
      </c>
    </row>
    <row r="258" spans="1:54" s="98" customFormat="1" ht="15" customHeight="1">
      <c r="A258" s="2578" t="s">
        <v>2719</v>
      </c>
      <c r="B258" s="2577" t="s">
        <v>1507</v>
      </c>
      <c r="C258" s="2576" t="s">
        <v>2720</v>
      </c>
      <c r="D258" s="2531"/>
      <c r="E258" s="2666">
        <v>1</v>
      </c>
      <c r="F258" s="2671">
        <v>1</v>
      </c>
      <c r="G258" s="2666">
        <v>0.1</v>
      </c>
      <c r="H258" s="2681">
        <v>0.3</v>
      </c>
      <c r="I258" s="2690" t="s">
        <v>2900</v>
      </c>
      <c r="J258" s="2509">
        <f t="shared" ref="J258:J280" si="48">E258*F258*G258*H258</f>
        <v>0.03</v>
      </c>
      <c r="K258" s="2536">
        <v>101.97</v>
      </c>
      <c r="L258" s="2536"/>
      <c r="M258" s="2729">
        <f>J258*K258</f>
        <v>3.0590999999999999</v>
      </c>
      <c r="N258" s="2517">
        <f t="shared" si="43"/>
        <v>0</v>
      </c>
      <c r="O258" s="2568" t="s">
        <v>2899</v>
      </c>
      <c r="P258" s="2568" t="s">
        <v>2953</v>
      </c>
      <c r="Q258" s="2575"/>
      <c r="R258" s="2700">
        <v>116.69999999999999</v>
      </c>
      <c r="S258" s="2700"/>
      <c r="T258" s="2513">
        <f t="shared" si="44"/>
        <v>0</v>
      </c>
      <c r="U258" s="2512">
        <v>0.89609854327335048</v>
      </c>
      <c r="V258" s="2512">
        <v>8.5741902313624691E-2</v>
      </c>
      <c r="W258" s="2546">
        <v>3.9325597000000001</v>
      </c>
      <c r="X258" s="2510">
        <f t="shared" si="45"/>
        <v>0</v>
      </c>
      <c r="Y258" s="2511">
        <v>4.79</v>
      </c>
      <c r="Z258" s="2545">
        <v>6.2698646672999994</v>
      </c>
    </row>
    <row r="259" spans="1:54" ht="15" customHeight="1">
      <c r="A259" s="2544" t="s">
        <v>1998</v>
      </c>
      <c r="B259" s="2543" t="s">
        <v>1517</v>
      </c>
      <c r="C259" s="2542" t="s">
        <v>1999</v>
      </c>
      <c r="D259" s="2521">
        <f>'[7]Precios Recuperación (PUSD)'!$H$2173</f>
        <v>4.2</v>
      </c>
      <c r="E259" s="2667">
        <v>1</v>
      </c>
      <c r="F259" s="2660">
        <v>1</v>
      </c>
      <c r="G259" s="2667">
        <v>1</v>
      </c>
      <c r="H259" s="2681">
        <v>50</v>
      </c>
      <c r="I259" s="2690" t="s">
        <v>2911</v>
      </c>
      <c r="J259" s="2509"/>
      <c r="K259" s="2536"/>
      <c r="L259" s="2536"/>
      <c r="M259" s="2729">
        <f>E259*H259*G259*F259</f>
        <v>50</v>
      </c>
      <c r="N259" s="2517">
        <f t="shared" si="43"/>
        <v>210</v>
      </c>
      <c r="O259" s="2551"/>
      <c r="P259" s="2568" t="s">
        <v>2953</v>
      </c>
      <c r="Q259" s="2551"/>
      <c r="R259" s="2696">
        <v>116.69999999999999</v>
      </c>
      <c r="S259" s="2696"/>
      <c r="T259" s="2513">
        <f t="shared" si="44"/>
        <v>24506.999999999996</v>
      </c>
      <c r="U259" s="2547">
        <v>0.89609854327335048</v>
      </c>
      <c r="V259" s="2547">
        <v>8.5741902313624691E-2</v>
      </c>
      <c r="W259" s="2546">
        <v>3.9325597000000001</v>
      </c>
      <c r="X259" s="2510">
        <f t="shared" si="45"/>
        <v>825.837537</v>
      </c>
      <c r="Y259" s="2545">
        <v>4.79</v>
      </c>
      <c r="Z259" s="2545">
        <v>6.2698646672999994</v>
      </c>
    </row>
    <row r="260" spans="1:54" ht="15" customHeight="1">
      <c r="A260" s="2544" t="s">
        <v>1143</v>
      </c>
      <c r="B260" s="2543" t="s">
        <v>1517</v>
      </c>
      <c r="C260" s="2542" t="s">
        <v>1895</v>
      </c>
      <c r="D260" s="2521">
        <f>'[7]Precios Recuperación (PUSD)'!$H$2161</f>
        <v>26.532</v>
      </c>
      <c r="E260" s="2667">
        <v>1</v>
      </c>
      <c r="F260" s="2660">
        <v>1</v>
      </c>
      <c r="G260" s="2667">
        <v>1</v>
      </c>
      <c r="H260" s="2681">
        <v>15</v>
      </c>
      <c r="I260" s="2690" t="s">
        <v>2911</v>
      </c>
      <c r="J260" s="2509"/>
      <c r="K260" s="2536"/>
      <c r="L260" s="2536"/>
      <c r="M260" s="2729">
        <f>E260*H260*G260*F260</f>
        <v>15</v>
      </c>
      <c r="N260" s="2517">
        <f t="shared" si="43"/>
        <v>397.98</v>
      </c>
      <c r="O260" s="2551"/>
      <c r="P260" s="2568" t="s">
        <v>2953</v>
      </c>
      <c r="Q260" s="2551"/>
      <c r="R260" s="2696">
        <v>116.69999999999999</v>
      </c>
      <c r="S260" s="2696"/>
      <c r="T260" s="2513">
        <f t="shared" si="44"/>
        <v>46444.265999999996</v>
      </c>
      <c r="U260" s="2547">
        <v>0.89609854327335048</v>
      </c>
      <c r="V260" s="2547">
        <v>8.5741902313624691E-2</v>
      </c>
      <c r="W260" s="2546">
        <v>3.9325597000000001</v>
      </c>
      <c r="X260" s="2510">
        <f t="shared" si="45"/>
        <v>1565.080109406</v>
      </c>
      <c r="Y260" s="2545">
        <v>4.79</v>
      </c>
      <c r="Z260" s="2545">
        <v>6.2698646672999994</v>
      </c>
    </row>
    <row r="261" spans="1:54" s="2725" customFormat="1">
      <c r="A261" s="2717"/>
      <c r="B261" s="2718" t="s">
        <v>2952</v>
      </c>
      <c r="C261" s="2716"/>
      <c r="D261" s="2719"/>
      <c r="E261" s="2720"/>
      <c r="F261" s="2720"/>
      <c r="G261" s="2721"/>
      <c r="H261" s="2720"/>
      <c r="I261" s="2720"/>
      <c r="J261" s="2720"/>
      <c r="K261" s="2722"/>
      <c r="L261" s="2722"/>
      <c r="M261" s="2723"/>
      <c r="N261" s="2715">
        <f t="shared" si="43"/>
        <v>0</v>
      </c>
      <c r="O261" s="2720"/>
      <c r="P261" s="2722"/>
      <c r="Q261" s="2722"/>
      <c r="R261" s="2722"/>
      <c r="S261" s="2722"/>
      <c r="T261" s="2724">
        <f t="shared" si="44"/>
        <v>0</v>
      </c>
      <c r="U261" s="2722"/>
      <c r="V261" s="2722"/>
      <c r="W261" s="2722"/>
      <c r="X261" s="2724">
        <f t="shared" si="45"/>
        <v>0</v>
      </c>
      <c r="Y261" s="2722"/>
      <c r="Z261" s="2722"/>
    </row>
    <row r="262" spans="1:54" s="2570" customFormat="1" ht="15" customHeight="1">
      <c r="A262" s="2549"/>
      <c r="B262" s="2574"/>
      <c r="C262" s="2573"/>
      <c r="D262" s="2521"/>
      <c r="E262" s="2667"/>
      <c r="F262" s="2660"/>
      <c r="G262" s="2667"/>
      <c r="H262" s="2681"/>
      <c r="I262" s="2690"/>
      <c r="J262" s="2509"/>
      <c r="K262" s="2536"/>
      <c r="L262" s="2536"/>
      <c r="M262" s="2729"/>
      <c r="N262" s="2517">
        <f t="shared" si="43"/>
        <v>0</v>
      </c>
      <c r="O262" s="2572"/>
      <c r="P262" s="2572"/>
      <c r="Q262" s="2572"/>
      <c r="R262" s="2696"/>
      <c r="S262" s="2696"/>
      <c r="T262" s="2513">
        <f t="shared" si="44"/>
        <v>0</v>
      </c>
      <c r="U262" s="2571"/>
      <c r="V262" s="2571"/>
      <c r="W262" s="2546"/>
      <c r="X262" s="2510">
        <f t="shared" si="45"/>
        <v>0</v>
      </c>
      <c r="Y262" s="2546"/>
      <c r="Z262" s="2546"/>
    </row>
    <row r="263" spans="1:54" s="2725" customFormat="1">
      <c r="A263" s="2717"/>
      <c r="B263" s="2718" t="s">
        <v>2951</v>
      </c>
      <c r="C263" s="2716"/>
      <c r="D263" s="2719"/>
      <c r="E263" s="2720"/>
      <c r="F263" s="2720"/>
      <c r="G263" s="2721"/>
      <c r="H263" s="2720"/>
      <c r="I263" s="2720"/>
      <c r="J263" s="2720"/>
      <c r="K263" s="2722"/>
      <c r="L263" s="2722"/>
      <c r="M263" s="2723"/>
      <c r="N263" s="2715">
        <f t="shared" si="43"/>
        <v>0</v>
      </c>
      <c r="O263" s="2720"/>
      <c r="P263" s="2722"/>
      <c r="Q263" s="2722"/>
      <c r="R263" s="2722"/>
      <c r="S263" s="2722"/>
      <c r="T263" s="2724">
        <f t="shared" si="44"/>
        <v>0</v>
      </c>
      <c r="U263" s="2722"/>
      <c r="V263" s="2722"/>
      <c r="W263" s="2722"/>
      <c r="X263" s="2724">
        <f t="shared" si="45"/>
        <v>0</v>
      </c>
      <c r="Y263" s="2722"/>
      <c r="Z263" s="2722"/>
    </row>
    <row r="264" spans="1:54" s="2570" customFormat="1" ht="15" customHeight="1">
      <c r="A264" s="2549"/>
      <c r="B264" s="2574"/>
      <c r="C264" s="2573"/>
      <c r="D264" s="2521"/>
      <c r="E264" s="2667"/>
      <c r="F264" s="2660"/>
      <c r="G264" s="2667"/>
      <c r="H264" s="2681"/>
      <c r="I264" s="2690"/>
      <c r="J264" s="2509"/>
      <c r="K264" s="2536"/>
      <c r="L264" s="2536"/>
      <c r="M264" s="2729"/>
      <c r="N264" s="2517">
        <f t="shared" si="43"/>
        <v>0</v>
      </c>
      <c r="O264" s="2572"/>
      <c r="P264" s="2572"/>
      <c r="Q264" s="2572"/>
      <c r="R264" s="2696"/>
      <c r="S264" s="2696"/>
      <c r="T264" s="2513">
        <f t="shared" si="44"/>
        <v>0</v>
      </c>
      <c r="U264" s="2571"/>
      <c r="V264" s="2571"/>
      <c r="W264" s="2546"/>
      <c r="X264" s="2510">
        <f t="shared" si="45"/>
        <v>0</v>
      </c>
      <c r="Y264" s="2546"/>
      <c r="Z264" s="2546"/>
    </row>
    <row r="265" spans="1:54" s="2725" customFormat="1">
      <c r="A265" s="2717"/>
      <c r="B265" s="2718" t="s">
        <v>232</v>
      </c>
      <c r="C265" s="2716"/>
      <c r="D265" s="2719"/>
      <c r="E265" s="2720"/>
      <c r="F265" s="2720"/>
      <c r="G265" s="2721"/>
      <c r="H265" s="2720"/>
      <c r="I265" s="2720"/>
      <c r="J265" s="2720"/>
      <c r="K265" s="2722"/>
      <c r="L265" s="2722"/>
      <c r="M265" s="2723"/>
      <c r="N265" s="2715"/>
      <c r="O265" s="2720"/>
      <c r="P265" s="2722"/>
      <c r="Q265" s="2722"/>
      <c r="R265" s="2722"/>
      <c r="S265" s="2722"/>
      <c r="T265" s="2724">
        <f t="shared" ref="T265:T277" si="49">M265*R265*D265</f>
        <v>0</v>
      </c>
      <c r="U265" s="2722"/>
      <c r="V265" s="2722"/>
      <c r="W265" s="2722"/>
      <c r="X265" s="2724">
        <f t="shared" ref="X265:X277" si="50">M265*W265*D265</f>
        <v>0</v>
      </c>
      <c r="Y265" s="2722"/>
      <c r="Z265" s="2722"/>
    </row>
    <row r="266" spans="1:54" s="98" customFormat="1">
      <c r="A266" s="2523" t="s">
        <v>1903</v>
      </c>
      <c r="B266" s="2543" t="s">
        <v>1507</v>
      </c>
      <c r="C266" s="2542" t="s">
        <v>3001</v>
      </c>
      <c r="D266" s="2607">
        <f>'[7]Precios Recuperación (PUSD)'!$H$2310</f>
        <v>486.42</v>
      </c>
      <c r="E266" s="2663">
        <v>1</v>
      </c>
      <c r="F266" s="2669">
        <v>1</v>
      </c>
      <c r="G266" s="2663"/>
      <c r="H266" s="2679">
        <v>0.152</v>
      </c>
      <c r="I266" s="2688" t="s">
        <v>2999</v>
      </c>
      <c r="J266" s="2509"/>
      <c r="K266" s="2516"/>
      <c r="L266" s="2516"/>
      <c r="M266" s="2726">
        <f>H266*F266*E266</f>
        <v>0.152</v>
      </c>
      <c r="N266" s="2517">
        <f t="shared" ref="N266:N277" si="51">D266*M266</f>
        <v>73.935839999999999</v>
      </c>
      <c r="O266" s="2519"/>
      <c r="P266" s="2564" t="s">
        <v>240</v>
      </c>
      <c r="Q266" s="2623" t="s">
        <v>2998</v>
      </c>
      <c r="R266" s="2693">
        <v>46.2</v>
      </c>
      <c r="S266" s="2693"/>
      <c r="T266" s="2513">
        <f t="shared" si="49"/>
        <v>3415.8358080000003</v>
      </c>
      <c r="U266" s="2512">
        <v>0.79300000000000004</v>
      </c>
      <c r="V266" s="2512">
        <v>0.17599999999999999</v>
      </c>
      <c r="W266" s="2553">
        <v>2.4079999999999999</v>
      </c>
      <c r="X266" s="2510">
        <f t="shared" si="50"/>
        <v>178.03750271999999</v>
      </c>
      <c r="Y266" s="2553">
        <v>2.65</v>
      </c>
      <c r="Z266" s="2553">
        <v>7.7910000000000004</v>
      </c>
    </row>
    <row r="267" spans="1:54" s="98" customFormat="1">
      <c r="A267" s="2523" t="s">
        <v>1786</v>
      </c>
      <c r="B267" s="2522" t="s">
        <v>1787</v>
      </c>
      <c r="C267" s="2522" t="s">
        <v>3000</v>
      </c>
      <c r="D267" s="2521">
        <f>'[7]Precios Recuperación (PUSD)'!$I$1063</f>
        <v>2162.3204999999998</v>
      </c>
      <c r="E267" s="2664">
        <v>1</v>
      </c>
      <c r="F267" s="2669">
        <v>1</v>
      </c>
      <c r="G267" s="2664"/>
      <c r="H267" s="2679">
        <v>0.217</v>
      </c>
      <c r="I267" s="2688" t="s">
        <v>2999</v>
      </c>
      <c r="J267" s="2509"/>
      <c r="K267" s="2516"/>
      <c r="L267" s="2516"/>
      <c r="M267" s="2726">
        <f>H267*F267*E267</f>
        <v>0.217</v>
      </c>
      <c r="N267" s="2517">
        <f t="shared" si="51"/>
        <v>469.22354849999994</v>
      </c>
      <c r="O267" s="2519"/>
      <c r="P267" s="2564" t="s">
        <v>240</v>
      </c>
      <c r="Q267" s="2623" t="s">
        <v>2998</v>
      </c>
      <c r="R267" s="2693">
        <v>46.2</v>
      </c>
      <c r="S267" s="2693"/>
      <c r="T267" s="2513">
        <f t="shared" si="49"/>
        <v>21678.1279407</v>
      </c>
      <c r="U267" s="2512">
        <v>0.79300000000000004</v>
      </c>
      <c r="V267" s="2512">
        <v>0.17599999999999999</v>
      </c>
      <c r="W267" s="2553">
        <v>2.4079999999999999</v>
      </c>
      <c r="X267" s="2510">
        <f t="shared" si="50"/>
        <v>1129.8903047879999</v>
      </c>
      <c r="Y267" s="2553">
        <v>2.65</v>
      </c>
      <c r="Z267" s="2553">
        <v>7.7910000000000004</v>
      </c>
    </row>
    <row r="268" spans="1:54" s="98" customFormat="1">
      <c r="A268" s="2523" t="s">
        <v>1777</v>
      </c>
      <c r="B268" s="2603" t="s">
        <v>1507</v>
      </c>
      <c r="C268" s="2602" t="s">
        <v>1778</v>
      </c>
      <c r="D268" s="2619"/>
      <c r="E268" s="2664">
        <v>1</v>
      </c>
      <c r="F268" s="2669">
        <v>1</v>
      </c>
      <c r="G268" s="2664"/>
      <c r="H268" s="2679">
        <v>1.7000000000000001E-2</v>
      </c>
      <c r="I268" s="2688" t="s">
        <v>2999</v>
      </c>
      <c r="J268" s="2509"/>
      <c r="K268" s="2516"/>
      <c r="L268" s="2516"/>
      <c r="M268" s="2726">
        <f>H268*F268*E268</f>
        <v>1.7000000000000001E-2</v>
      </c>
      <c r="N268" s="2517">
        <f t="shared" si="51"/>
        <v>0</v>
      </c>
      <c r="O268" s="2519"/>
      <c r="P268" s="2564" t="s">
        <v>240</v>
      </c>
      <c r="Q268" s="2623" t="s">
        <v>2998</v>
      </c>
      <c r="R268" s="2693">
        <v>46.2</v>
      </c>
      <c r="S268" s="2693"/>
      <c r="T268" s="2513">
        <f t="shared" si="49"/>
        <v>0</v>
      </c>
      <c r="U268" s="2512">
        <v>0.79300000000000004</v>
      </c>
      <c r="V268" s="2512">
        <v>0.17599999999999999</v>
      </c>
      <c r="W268" s="2553">
        <v>2.4079999999999999</v>
      </c>
      <c r="X268" s="2510">
        <f t="shared" si="50"/>
        <v>0</v>
      </c>
      <c r="Y268" s="2553">
        <v>2.65</v>
      </c>
      <c r="Z268" s="2553">
        <v>7.7910000000000004</v>
      </c>
    </row>
    <row r="269" spans="1:54" s="2508" customFormat="1">
      <c r="A269" s="2622" t="s">
        <v>1252</v>
      </c>
      <c r="B269" s="2621" t="s">
        <v>1527</v>
      </c>
      <c r="C269" s="2620" t="s">
        <v>2997</v>
      </c>
      <c r="D269" s="2521"/>
      <c r="E269" s="2664">
        <v>3.14</v>
      </c>
      <c r="F269" s="2669">
        <v>1.2999999999999999E-2</v>
      </c>
      <c r="G269" s="2664">
        <v>6.4999999999999997E-3</v>
      </c>
      <c r="H269" s="2679">
        <v>1390</v>
      </c>
      <c r="I269" s="2688" t="s">
        <v>2911</v>
      </c>
      <c r="J269" s="2509"/>
      <c r="K269" s="2516"/>
      <c r="L269" s="2516"/>
      <c r="M269" s="2731">
        <f>E269*F269*G269*H269</f>
        <v>0.36880869999999999</v>
      </c>
      <c r="N269" s="2517">
        <f t="shared" si="51"/>
        <v>0</v>
      </c>
      <c r="O269" s="2516" t="s">
        <v>2996</v>
      </c>
      <c r="P269" s="2541" t="s">
        <v>2995</v>
      </c>
      <c r="Q269" s="2514"/>
      <c r="R269" s="2698">
        <v>68.37</v>
      </c>
      <c r="S269" s="2698">
        <v>80</v>
      </c>
      <c r="T269" s="2513">
        <f t="shared" si="49"/>
        <v>0</v>
      </c>
      <c r="U269" s="2540">
        <v>0.75770000000000004</v>
      </c>
      <c r="V269" s="2540">
        <v>0.21540000000000001</v>
      </c>
      <c r="W269" s="2617">
        <v>2.1469999999999998</v>
      </c>
      <c r="X269" s="2510">
        <f t="shared" si="50"/>
        <v>0</v>
      </c>
      <c r="Y269" s="2529">
        <v>2.2999999999999998</v>
      </c>
      <c r="Z269" s="2529">
        <v>2.6459999999999999</v>
      </c>
    </row>
    <row r="270" spans="1:54" s="98" customFormat="1">
      <c r="A270" s="2523" t="s">
        <v>2176</v>
      </c>
      <c r="B270" s="2522" t="s">
        <v>1527</v>
      </c>
      <c r="C270" s="2522" t="s">
        <v>2177</v>
      </c>
      <c r="D270" s="2619"/>
      <c r="E270" s="2664">
        <v>3.14</v>
      </c>
      <c r="F270" s="2669">
        <v>1.6E-2</v>
      </c>
      <c r="G270" s="2664">
        <v>6.4999999999999997E-3</v>
      </c>
      <c r="H270" s="2679">
        <v>1390</v>
      </c>
      <c r="I270" s="2688" t="s">
        <v>2911</v>
      </c>
      <c r="J270" s="2509"/>
      <c r="K270" s="2516"/>
      <c r="L270" s="2516"/>
      <c r="M270" s="2731">
        <f t="shared" ref="M270:M272" si="52">E270*F270*G270*H270</f>
        <v>0.4539184</v>
      </c>
      <c r="N270" s="2517">
        <f t="shared" si="51"/>
        <v>0</v>
      </c>
      <c r="O270" s="2516" t="s">
        <v>2996</v>
      </c>
      <c r="P270" s="2541" t="s">
        <v>2995</v>
      </c>
      <c r="Q270" s="2514"/>
      <c r="R270" s="2698">
        <v>68.37</v>
      </c>
      <c r="S270" s="2698"/>
      <c r="T270" s="2513">
        <f t="shared" si="49"/>
        <v>0</v>
      </c>
      <c r="U270" s="2540">
        <v>0.75770000000000004</v>
      </c>
      <c r="V270" s="2540">
        <v>0.21540000000000001</v>
      </c>
      <c r="W270" s="2617">
        <v>2.1469999999999998</v>
      </c>
      <c r="X270" s="2510">
        <f t="shared" si="50"/>
        <v>0</v>
      </c>
      <c r="Y270" s="2529">
        <v>2.2999999999999998</v>
      </c>
      <c r="Z270" s="2529">
        <v>2.6459999999999999</v>
      </c>
      <c r="AA270" s="2599"/>
    </row>
    <row r="271" spans="1:54" s="98" customFormat="1">
      <c r="A271" s="2523" t="s">
        <v>2182</v>
      </c>
      <c r="B271" s="2522" t="s">
        <v>1527</v>
      </c>
      <c r="C271" s="2522" t="s">
        <v>2183</v>
      </c>
      <c r="D271" s="2619"/>
      <c r="E271" s="2664">
        <v>3.14</v>
      </c>
      <c r="F271" s="2669">
        <v>2.3E-2</v>
      </c>
      <c r="G271" s="2664">
        <v>8.0000000000000002E-3</v>
      </c>
      <c r="H271" s="2679">
        <v>1390</v>
      </c>
      <c r="I271" s="2688" t="s">
        <v>2911</v>
      </c>
      <c r="J271" s="2509"/>
      <c r="K271" s="2516"/>
      <c r="L271" s="2516"/>
      <c r="M271" s="2731">
        <f t="shared" si="52"/>
        <v>0.80308640000000009</v>
      </c>
      <c r="N271" s="2517">
        <f t="shared" si="51"/>
        <v>0</v>
      </c>
      <c r="O271" s="2516" t="s">
        <v>2996</v>
      </c>
      <c r="P271" s="2541" t="s">
        <v>2995</v>
      </c>
      <c r="Q271" s="2514"/>
      <c r="R271" s="2698">
        <v>68.37</v>
      </c>
      <c r="S271" s="2698"/>
      <c r="T271" s="2513">
        <f t="shared" si="49"/>
        <v>0</v>
      </c>
      <c r="U271" s="2540">
        <v>0.75770000000000004</v>
      </c>
      <c r="V271" s="2540">
        <v>0.21540000000000001</v>
      </c>
      <c r="W271" s="2617">
        <v>2.1469999999999998</v>
      </c>
      <c r="X271" s="2510">
        <f t="shared" si="50"/>
        <v>0</v>
      </c>
      <c r="Y271" s="2529">
        <v>2.2999999999999998</v>
      </c>
      <c r="Z271" s="2529">
        <v>2.6459999999999999</v>
      </c>
      <c r="AA271" s="2599"/>
    </row>
    <row r="272" spans="1:54" s="98" customFormat="1">
      <c r="A272" s="2544" t="s">
        <v>2239</v>
      </c>
      <c r="B272" s="2595" t="s">
        <v>1527</v>
      </c>
      <c r="C272" s="2542" t="s">
        <v>2240</v>
      </c>
      <c r="D272" s="2521">
        <f>'[7]Precios Recuperación (PUSD)'!$H$1277</f>
        <v>383.8</v>
      </c>
      <c r="E272" s="2666">
        <v>3.14</v>
      </c>
      <c r="F272" s="2671">
        <v>2.9000000000000001E-2</v>
      </c>
      <c r="G272" s="2666">
        <v>8.9999999999999993E-3</v>
      </c>
      <c r="H272" s="2680">
        <v>1390</v>
      </c>
      <c r="I272" s="2689" t="s">
        <v>2911</v>
      </c>
      <c r="J272" s="2509"/>
      <c r="K272" s="2569"/>
      <c r="L272" s="2569"/>
      <c r="M272" s="2731">
        <f t="shared" si="52"/>
        <v>1.1391606000000001</v>
      </c>
      <c r="N272" s="2517">
        <f t="shared" si="51"/>
        <v>437.20983828000004</v>
      </c>
      <c r="O272" s="2568" t="s">
        <v>2910</v>
      </c>
      <c r="P272" s="2568" t="s">
        <v>2995</v>
      </c>
      <c r="Q272" s="2575"/>
      <c r="R272" s="2694">
        <v>68.37</v>
      </c>
      <c r="S272" s="2694"/>
      <c r="T272" s="2513">
        <f t="shared" si="49"/>
        <v>29892.036643203606</v>
      </c>
      <c r="U272" s="2571">
        <v>0.75770000000000004</v>
      </c>
      <c r="V272" s="2571">
        <v>0.21540000000000001</v>
      </c>
      <c r="W272" s="2597">
        <v>2.1469999999999998</v>
      </c>
      <c r="X272" s="2510">
        <f t="shared" si="50"/>
        <v>938.68952278715994</v>
      </c>
      <c r="Y272" s="2585">
        <v>2.2999999999999998</v>
      </c>
      <c r="Z272" s="2585">
        <v>2.6459999999999999</v>
      </c>
      <c r="AN272" s="2508"/>
      <c r="AO272" s="2508"/>
      <c r="AP272" s="2508"/>
      <c r="AQ272" s="2508"/>
      <c r="AR272" s="2508"/>
      <c r="AS272" s="2508"/>
      <c r="AT272" s="2508"/>
      <c r="AU272" s="2508"/>
      <c r="AV272" s="2508"/>
      <c r="AW272" s="2508"/>
      <c r="AX272" s="2508"/>
      <c r="AY272" s="2508"/>
      <c r="AZ272" s="2508"/>
      <c r="BA272" s="2508"/>
      <c r="BB272" s="2508"/>
    </row>
    <row r="273" spans="1:54" s="98" customFormat="1" ht="15" customHeight="1">
      <c r="A273" s="2544" t="s">
        <v>2470</v>
      </c>
      <c r="B273" s="2595" t="s">
        <v>1504</v>
      </c>
      <c r="C273" s="2542" t="s">
        <v>2471</v>
      </c>
      <c r="D273" s="2521"/>
      <c r="E273" s="2667">
        <v>0.45</v>
      </c>
      <c r="F273" s="2660">
        <v>0.35</v>
      </c>
      <c r="G273" s="2667">
        <v>0.05</v>
      </c>
      <c r="H273" s="2681">
        <v>1390</v>
      </c>
      <c r="I273" s="2690" t="s">
        <v>2994</v>
      </c>
      <c r="J273" s="2509"/>
      <c r="L273" s="2536">
        <v>0.5</v>
      </c>
      <c r="M273" s="2731">
        <f>E273*F273*G273*H273*L273</f>
        <v>5.4731250000000005</v>
      </c>
      <c r="N273" s="2517">
        <f t="shared" si="51"/>
        <v>0</v>
      </c>
      <c r="O273" s="2568" t="s">
        <v>2910</v>
      </c>
      <c r="P273" s="2515" t="s">
        <v>2993</v>
      </c>
      <c r="Q273" s="2514"/>
      <c r="R273" s="2698">
        <v>89.2</v>
      </c>
      <c r="S273" s="2698"/>
      <c r="T273" s="2513">
        <f t="shared" si="49"/>
        <v>0</v>
      </c>
      <c r="U273" s="2540">
        <v>0.75429999999999997</v>
      </c>
      <c r="V273" s="2540">
        <v>0.21510000000000001</v>
      </c>
      <c r="W273" s="2529">
        <v>3.0139999999999998</v>
      </c>
      <c r="X273" s="2510">
        <f t="shared" si="50"/>
        <v>0</v>
      </c>
      <c r="Y273" s="2529">
        <v>3.25</v>
      </c>
      <c r="Z273" s="2529">
        <v>6.6440000000000001</v>
      </c>
      <c r="AN273" s="2508"/>
      <c r="AO273" s="2508"/>
      <c r="AP273" s="2508"/>
      <c r="AQ273" s="2508"/>
      <c r="AR273" s="2508"/>
      <c r="AS273" s="2508"/>
      <c r="AT273" s="2508"/>
      <c r="AU273" s="2508"/>
      <c r="AV273" s="2508"/>
      <c r="AW273" s="2508"/>
      <c r="AX273" s="2508"/>
      <c r="AY273" s="2508"/>
      <c r="AZ273" s="2508"/>
      <c r="BA273" s="2508"/>
      <c r="BB273" s="2508"/>
    </row>
    <row r="274" spans="1:54" s="98" customFormat="1">
      <c r="A274" s="2523" t="s">
        <v>2505</v>
      </c>
      <c r="B274" s="2595" t="s">
        <v>1504</v>
      </c>
      <c r="C274" s="2522" t="s">
        <v>2506</v>
      </c>
      <c r="D274" s="2531"/>
      <c r="E274" s="2667">
        <v>3.1415000000000002</v>
      </c>
      <c r="F274" s="2660">
        <v>3.2000000000000001E-2</v>
      </c>
      <c r="G274" s="2667">
        <v>5.0000000000000001E-3</v>
      </c>
      <c r="H274" s="2681">
        <v>1390</v>
      </c>
      <c r="I274" s="2690" t="s">
        <v>2911</v>
      </c>
      <c r="J274" s="2509"/>
      <c r="K274" s="2536"/>
      <c r="L274" s="2536"/>
      <c r="M274" s="2729">
        <f>E274*(F274)*G274*H274</f>
        <v>0.69866960000000011</v>
      </c>
      <c r="N274" s="2517">
        <f t="shared" si="51"/>
        <v>0</v>
      </c>
      <c r="O274" s="2568" t="s">
        <v>2910</v>
      </c>
      <c r="P274" s="2541" t="s">
        <v>2992</v>
      </c>
      <c r="Q274" s="2514"/>
      <c r="R274" s="2698">
        <v>125.6</v>
      </c>
      <c r="S274" s="2698"/>
      <c r="T274" s="2513">
        <f t="shared" si="49"/>
        <v>0</v>
      </c>
      <c r="U274" s="2540">
        <v>0.89749999999999996</v>
      </c>
      <c r="V274" s="2540">
        <v>8.43E-2</v>
      </c>
      <c r="W274" s="2529">
        <v>4.2990000000000004</v>
      </c>
      <c r="X274" s="2510">
        <f t="shared" si="50"/>
        <v>0</v>
      </c>
      <c r="Y274" s="2529">
        <v>5.15</v>
      </c>
      <c r="Z274" s="2529">
        <v>6.3410000000000002</v>
      </c>
      <c r="AA274" s="2598"/>
      <c r="AB274" s="2598"/>
      <c r="AC274" s="2598"/>
      <c r="AD274" s="2598"/>
      <c r="AE274" s="2598"/>
      <c r="AF274" s="2598"/>
      <c r="AG274" s="2598"/>
      <c r="AH274" s="2598"/>
      <c r="AI274" s="2598"/>
      <c r="AJ274" s="2598"/>
      <c r="AK274" s="2598"/>
      <c r="AL274" s="2598"/>
      <c r="AM274" s="2598"/>
      <c r="AN274" s="2584"/>
      <c r="AO274" s="2584"/>
      <c r="AP274" s="2584"/>
      <c r="AQ274" s="2584"/>
      <c r="AR274" s="2584"/>
      <c r="AS274" s="2584"/>
      <c r="AT274" s="2584"/>
      <c r="AU274" s="2584"/>
      <c r="AV274" s="2584"/>
      <c r="AW274" s="2584"/>
      <c r="AX274" s="2584"/>
      <c r="AY274" s="2584"/>
      <c r="AZ274" s="2584"/>
      <c r="BA274" s="2584"/>
      <c r="BB274" s="2584"/>
    </row>
    <row r="275" spans="1:54" s="98" customFormat="1">
      <c r="A275" s="2615" t="s">
        <v>2493</v>
      </c>
      <c r="B275" s="2614" t="s">
        <v>1504</v>
      </c>
      <c r="C275" s="2613" t="s">
        <v>2494</v>
      </c>
      <c r="D275" s="2521"/>
      <c r="E275" s="2667">
        <v>3.1415000000000002</v>
      </c>
      <c r="F275" s="2660">
        <v>0.1</v>
      </c>
      <c r="G275" s="2667">
        <v>0.1</v>
      </c>
      <c r="H275" s="2681">
        <v>1390</v>
      </c>
      <c r="I275" s="2690" t="s">
        <v>2911</v>
      </c>
      <c r="J275" s="2509"/>
      <c r="K275" s="2536"/>
      <c r="L275" s="2536"/>
      <c r="M275" s="2729">
        <f>E275*F275*G275*H275</f>
        <v>43.666850000000011</v>
      </c>
      <c r="N275" s="2517">
        <f t="shared" si="51"/>
        <v>0</v>
      </c>
      <c r="O275" s="2568" t="s">
        <v>2910</v>
      </c>
      <c r="P275" s="2541" t="s">
        <v>2992</v>
      </c>
      <c r="Q275" s="2514"/>
      <c r="R275" s="2698">
        <v>126.6</v>
      </c>
      <c r="S275" s="2698"/>
      <c r="T275" s="2513">
        <f t="shared" si="49"/>
        <v>0</v>
      </c>
      <c r="U275" s="2540">
        <v>0.89749999999999996</v>
      </c>
      <c r="V275" s="2540">
        <v>8.43E-2</v>
      </c>
      <c r="W275" s="2529">
        <v>4.2990000000000004</v>
      </c>
      <c r="X275" s="2510">
        <f t="shared" si="50"/>
        <v>0</v>
      </c>
      <c r="Y275" s="2529">
        <v>5.15</v>
      </c>
      <c r="Z275" s="2529">
        <v>6.3410000000000002</v>
      </c>
    </row>
    <row r="276" spans="1:54" s="98" customFormat="1">
      <c r="A276" s="2562" t="s">
        <v>2991</v>
      </c>
      <c r="B276" s="2561" t="s">
        <v>1971</v>
      </c>
      <c r="C276" s="2561" t="s">
        <v>2990</v>
      </c>
      <c r="D276" s="2560"/>
      <c r="E276" s="2668">
        <v>3.14</v>
      </c>
      <c r="F276" s="2672">
        <v>0.125</v>
      </c>
      <c r="G276" s="2668">
        <v>3.0000000000000001E-3</v>
      </c>
      <c r="H276" s="2684">
        <v>1390</v>
      </c>
      <c r="I276" s="2691" t="s">
        <v>2911</v>
      </c>
      <c r="J276" s="2509"/>
      <c r="K276" s="2558"/>
      <c r="L276" s="2558"/>
      <c r="M276" s="2732">
        <f>E276*F276*G276*H276</f>
        <v>1.6367250000000002</v>
      </c>
      <c r="N276" s="2517">
        <f t="shared" si="51"/>
        <v>0</v>
      </c>
      <c r="O276" s="2558" t="s">
        <v>2910</v>
      </c>
      <c r="P276" s="2558" t="s">
        <v>2989</v>
      </c>
      <c r="Q276" s="2558"/>
      <c r="R276" s="2704">
        <v>64.86</v>
      </c>
      <c r="S276" s="2704"/>
      <c r="T276" s="2513">
        <f t="shared" si="49"/>
        <v>0</v>
      </c>
      <c r="U276" s="2557">
        <v>0.77939999999999998</v>
      </c>
      <c r="V276" s="2557">
        <v>0.20619999999999999</v>
      </c>
      <c r="W276" s="2556">
        <v>2.0790000000000002</v>
      </c>
      <c r="X276" s="2510">
        <f t="shared" si="50"/>
        <v>0</v>
      </c>
      <c r="Y276" s="2556">
        <v>2.3340000000000001</v>
      </c>
      <c r="Z276" s="2556">
        <v>1.458</v>
      </c>
      <c r="AA276" s="2555"/>
      <c r="AB276" s="2555"/>
      <c r="AC276" s="2555"/>
      <c r="AD276" s="2555"/>
      <c r="AE276" s="2555"/>
      <c r="AF276" s="2555"/>
      <c r="AG276" s="2555"/>
      <c r="AH276" s="2555"/>
      <c r="AI276" s="2555"/>
      <c r="AJ276" s="2555"/>
      <c r="AK276" s="2555"/>
      <c r="AL276" s="2555"/>
      <c r="AM276" s="2555"/>
      <c r="AN276" s="2555"/>
      <c r="AO276" s="2555"/>
      <c r="AP276" s="2555"/>
      <c r="AQ276" s="2555"/>
      <c r="AR276" s="2555"/>
      <c r="AS276" s="2555"/>
      <c r="AT276" s="2555"/>
      <c r="AU276" s="2555"/>
      <c r="AV276" s="2555"/>
      <c r="AW276" s="2555"/>
      <c r="AX276" s="2555"/>
      <c r="AY276" s="2555"/>
      <c r="AZ276" s="2555"/>
      <c r="BA276" s="2555"/>
      <c r="BB276" s="2555"/>
    </row>
    <row r="277" spans="1:54" s="98" customFormat="1" ht="15" customHeight="1">
      <c r="A277" s="2544" t="s">
        <v>2225</v>
      </c>
      <c r="B277" s="2543" t="s">
        <v>1527</v>
      </c>
      <c r="C277" s="2542" t="s">
        <v>2226</v>
      </c>
      <c r="D277" s="2521">
        <f>'[7]Precios Recuperación (PUSD)'!$H$1491</f>
        <v>60.6</v>
      </c>
      <c r="E277" s="2664">
        <v>3.14</v>
      </c>
      <c r="F277" s="2669">
        <v>0.06</v>
      </c>
      <c r="G277" s="2664">
        <v>5.0000000000000001E-3</v>
      </c>
      <c r="H277" s="2680">
        <v>1390</v>
      </c>
      <c r="I277" s="2688" t="s">
        <v>2911</v>
      </c>
      <c r="J277" s="2509"/>
      <c r="K277" s="2516"/>
      <c r="L277" s="2516"/>
      <c r="M277" s="2726">
        <f>H277*G277*F277*E277</f>
        <v>1.30938</v>
      </c>
      <c r="N277" s="2517">
        <f t="shared" si="51"/>
        <v>79.348427999999998</v>
      </c>
      <c r="O277" s="2516" t="s">
        <v>2910</v>
      </c>
      <c r="P277" s="2516" t="s">
        <v>2989</v>
      </c>
      <c r="Q277" s="2516"/>
      <c r="R277" s="2693">
        <v>64.86</v>
      </c>
      <c r="S277" s="2693"/>
      <c r="T277" s="2513">
        <f t="shared" si="49"/>
        <v>5146.5390400800006</v>
      </c>
      <c r="U277" s="2512">
        <v>0.77939999999999998</v>
      </c>
      <c r="V277" s="2512">
        <v>0.20619999999999999</v>
      </c>
      <c r="W277" s="2553">
        <v>2.0790000000000002</v>
      </c>
      <c r="X277" s="2510">
        <f t="shared" si="50"/>
        <v>164.96538181200003</v>
      </c>
      <c r="Y277" s="2553">
        <v>2.3340000000000001</v>
      </c>
      <c r="Z277" s="2553">
        <v>1.458</v>
      </c>
    </row>
    <row r="278" spans="1:54" s="2725" customFormat="1">
      <c r="A278" s="2717"/>
      <c r="B278" s="2718" t="s">
        <v>795</v>
      </c>
      <c r="C278" s="2716"/>
      <c r="D278" s="2719"/>
      <c r="E278" s="2720"/>
      <c r="F278" s="2720"/>
      <c r="G278" s="2721"/>
      <c r="H278" s="2720"/>
      <c r="I278" s="2720"/>
      <c r="J278" s="2720"/>
      <c r="K278" s="2722"/>
      <c r="L278" s="2722"/>
      <c r="M278" s="2723"/>
      <c r="N278" s="2715">
        <f t="shared" ref="N278:N299" si="53">D278*M278</f>
        <v>0</v>
      </c>
      <c r="O278" s="2720"/>
      <c r="P278" s="2722"/>
      <c r="Q278" s="2722"/>
      <c r="R278" s="2722"/>
      <c r="S278" s="2722"/>
      <c r="T278" s="2724">
        <f t="shared" ref="T278:T299" si="54">M278*R278*D278</f>
        <v>0</v>
      </c>
      <c r="U278" s="2722"/>
      <c r="V278" s="2722"/>
      <c r="W278" s="2722"/>
      <c r="X278" s="2724">
        <f t="shared" ref="X278:X299" si="55">M278*W278*D278</f>
        <v>0</v>
      </c>
      <c r="Y278" s="2722"/>
      <c r="Z278" s="2722"/>
    </row>
    <row r="279" spans="1:54" s="2555" customFormat="1" ht="15" customHeight="1">
      <c r="A279" s="2562" t="s">
        <v>2926</v>
      </c>
      <c r="B279" s="2561" t="s">
        <v>1507</v>
      </c>
      <c r="C279" s="2561" t="s">
        <v>2925</v>
      </c>
      <c r="D279" s="2560">
        <v>0</v>
      </c>
      <c r="E279" s="2668">
        <v>1</v>
      </c>
      <c r="F279" s="2672">
        <v>1</v>
      </c>
      <c r="G279" s="2668">
        <v>6.0000000000000001E-3</v>
      </c>
      <c r="H279" s="2684">
        <v>2.5</v>
      </c>
      <c r="I279" s="2691" t="s">
        <v>2900</v>
      </c>
      <c r="J279" s="2509">
        <f t="shared" si="48"/>
        <v>1.4999999999999999E-2</v>
      </c>
      <c r="K279" s="2559">
        <v>101.97</v>
      </c>
      <c r="L279" s="2559"/>
      <c r="M279" s="2735">
        <f t="shared" ref="M279" si="56">J279*K279</f>
        <v>1.52955</v>
      </c>
      <c r="N279" s="2517">
        <f t="shared" si="53"/>
        <v>0</v>
      </c>
      <c r="O279" s="2558" t="s">
        <v>2899</v>
      </c>
      <c r="P279" s="2558" t="s">
        <v>2924</v>
      </c>
      <c r="Q279" s="2558" t="s">
        <v>2923</v>
      </c>
      <c r="R279" s="2704">
        <v>12.9</v>
      </c>
      <c r="S279" s="2704"/>
      <c r="T279" s="2513">
        <f t="shared" si="54"/>
        <v>0</v>
      </c>
      <c r="U279" s="2557">
        <v>0.90800000000000003</v>
      </c>
      <c r="V279" s="2557">
        <v>6.5600000000000006E-2</v>
      </c>
      <c r="W279" s="2556">
        <v>0.52</v>
      </c>
      <c r="X279" s="2510">
        <f t="shared" si="55"/>
        <v>0</v>
      </c>
      <c r="Y279" s="2556">
        <v>0.55500000000000005</v>
      </c>
      <c r="Z279" s="2556">
        <v>1.3340000000000001</v>
      </c>
    </row>
    <row r="280" spans="1:54" ht="15" customHeight="1">
      <c r="A280" s="2544" t="s">
        <v>2080</v>
      </c>
      <c r="B280" s="2543" t="s">
        <v>1507</v>
      </c>
      <c r="C280" s="2542" t="s">
        <v>2081</v>
      </c>
      <c r="D280" s="2521">
        <f>'[7]Precios Recuperación (PUSD)'!$H$2552</f>
        <v>0.66300000000000003</v>
      </c>
      <c r="E280" s="2665">
        <v>1</v>
      </c>
      <c r="F280" s="2670">
        <v>1</v>
      </c>
      <c r="G280" s="2665">
        <v>1.2E-2</v>
      </c>
      <c r="H280" s="2661">
        <v>2.5</v>
      </c>
      <c r="I280" s="2687" t="s">
        <v>2900</v>
      </c>
      <c r="J280" s="2509">
        <f t="shared" si="48"/>
        <v>0.03</v>
      </c>
      <c r="K280" s="2528">
        <v>101.97</v>
      </c>
      <c r="L280" s="2528"/>
      <c r="M280" s="2729">
        <f>J280*K280</f>
        <v>3.0590999999999999</v>
      </c>
      <c r="N280" s="2517">
        <f t="shared" si="53"/>
        <v>2.0281833000000002</v>
      </c>
      <c r="O280" s="2538" t="s">
        <v>2899</v>
      </c>
      <c r="P280" s="2538" t="s">
        <v>2924</v>
      </c>
      <c r="Q280" s="2538" t="s">
        <v>2923</v>
      </c>
      <c r="R280" s="2702">
        <v>12.9</v>
      </c>
      <c r="S280" s="2702"/>
      <c r="T280" s="2513">
        <f t="shared" si="54"/>
        <v>26.163564570000002</v>
      </c>
      <c r="U280" s="2525">
        <v>0.90800000000000003</v>
      </c>
      <c r="V280" s="2525">
        <v>6.5600000000000006E-2</v>
      </c>
      <c r="W280" s="2524">
        <v>0.52</v>
      </c>
      <c r="X280" s="2510">
        <f t="shared" si="55"/>
        <v>1.0546553160000001</v>
      </c>
      <c r="Y280" s="2524">
        <v>0.55500000000000005</v>
      </c>
      <c r="Z280" s="2524">
        <v>1.3340000000000001</v>
      </c>
    </row>
    <row r="281" spans="1:54" s="2725" customFormat="1">
      <c r="A281" s="2717"/>
      <c r="B281" s="2718" t="s">
        <v>2905</v>
      </c>
      <c r="C281" s="2716"/>
      <c r="D281" s="2719"/>
      <c r="E281" s="2720"/>
      <c r="F281" s="2720"/>
      <c r="G281" s="2721"/>
      <c r="H281" s="2720"/>
      <c r="I281" s="2720"/>
      <c r="J281" s="2720"/>
      <c r="K281" s="2722"/>
      <c r="L281" s="2722"/>
      <c r="M281" s="2723"/>
      <c r="N281" s="2715">
        <f t="shared" si="53"/>
        <v>0</v>
      </c>
      <c r="O281" s="2720"/>
      <c r="P281" s="2722"/>
      <c r="Q281" s="2722"/>
      <c r="R281" s="2722"/>
      <c r="S281" s="2722"/>
      <c r="T281" s="2724">
        <f t="shared" si="54"/>
        <v>0</v>
      </c>
      <c r="U281" s="2722"/>
      <c r="V281" s="2722"/>
      <c r="W281" s="2722"/>
      <c r="X281" s="2724">
        <f t="shared" si="55"/>
        <v>0</v>
      </c>
      <c r="Y281" s="2722"/>
      <c r="Z281" s="2722"/>
    </row>
    <row r="282" spans="1:54" s="2508" customFormat="1" ht="15" customHeight="1">
      <c r="A282" s="2552" t="s">
        <v>2042</v>
      </c>
      <c r="B282" s="2551" t="s">
        <v>1507</v>
      </c>
      <c r="C282" s="2551" t="s">
        <v>2043</v>
      </c>
      <c r="D282" s="2521"/>
      <c r="E282" s="2667">
        <v>1</v>
      </c>
      <c r="F282" s="2660">
        <v>1</v>
      </c>
      <c r="G282" s="2667">
        <v>5.9999999999999995E-4</v>
      </c>
      <c r="H282" s="2681">
        <v>7.1</v>
      </c>
      <c r="I282" s="2690" t="s">
        <v>2900</v>
      </c>
      <c r="J282" s="2509">
        <f t="shared" ref="J282:J299" si="57">E282*F282*G282*H282</f>
        <v>4.259999999999999E-3</v>
      </c>
      <c r="K282" s="2536">
        <v>101.97</v>
      </c>
      <c r="L282" s="2536"/>
      <c r="M282" s="2729">
        <f>J282*K282</f>
        <v>0.4343921999999999</v>
      </c>
      <c r="N282" s="2517">
        <f t="shared" si="53"/>
        <v>0</v>
      </c>
      <c r="O282" s="2541" t="s">
        <v>2899</v>
      </c>
      <c r="P282" s="2541" t="s">
        <v>1220</v>
      </c>
      <c r="Q282" s="2514" t="s">
        <v>2904</v>
      </c>
      <c r="R282" s="2701">
        <v>56.7</v>
      </c>
      <c r="S282" s="2701"/>
      <c r="T282" s="2513">
        <f t="shared" si="54"/>
        <v>0</v>
      </c>
      <c r="U282" s="2540">
        <v>0.71599999999999997</v>
      </c>
      <c r="V282" s="2540">
        <v>0.151</v>
      </c>
      <c r="W282" s="2529">
        <v>3.165</v>
      </c>
      <c r="X282" s="2510">
        <f t="shared" si="55"/>
        <v>0</v>
      </c>
      <c r="Y282" s="2530">
        <v>3.41</v>
      </c>
      <c r="Z282" s="2529">
        <v>70.533000000000001</v>
      </c>
      <c r="AA282" s="98"/>
    </row>
    <row r="283" spans="1:54" s="2725" customFormat="1">
      <c r="A283" s="2717"/>
      <c r="B283" s="2718" t="s">
        <v>2903</v>
      </c>
      <c r="C283" s="2716"/>
      <c r="D283" s="2719"/>
      <c r="E283" s="2720"/>
      <c r="F283" s="2720"/>
      <c r="G283" s="2721"/>
      <c r="H283" s="2720"/>
      <c r="I283" s="2720"/>
      <c r="J283" s="2720"/>
      <c r="K283" s="2722"/>
      <c r="L283" s="2722"/>
      <c r="M283" s="2723"/>
      <c r="N283" s="2715">
        <f t="shared" si="53"/>
        <v>0</v>
      </c>
      <c r="O283" s="2720"/>
      <c r="P283" s="2722"/>
      <c r="Q283" s="2722"/>
      <c r="R283" s="2722"/>
      <c r="S283" s="2722"/>
      <c r="T283" s="2724">
        <f t="shared" si="54"/>
        <v>0</v>
      </c>
      <c r="U283" s="2722"/>
      <c r="V283" s="2722"/>
      <c r="W283" s="2722"/>
      <c r="X283" s="2724">
        <f t="shared" si="55"/>
        <v>0</v>
      </c>
      <c r="Y283" s="2722"/>
      <c r="Z283" s="2722"/>
    </row>
    <row r="284" spans="1:54" s="2503" customFormat="1" ht="15" customHeight="1">
      <c r="A284" s="2544" t="s">
        <v>1069</v>
      </c>
      <c r="B284" s="2543" t="s">
        <v>1517</v>
      </c>
      <c r="C284" s="2542" t="s">
        <v>1578</v>
      </c>
      <c r="D284" s="2521">
        <f>'[7]Desglose Precios Auxiliares'!$V$128</f>
        <v>91.885435772000008</v>
      </c>
      <c r="E284" s="2667">
        <v>1</v>
      </c>
      <c r="F284" s="2660">
        <v>1</v>
      </c>
      <c r="G284" s="2667">
        <v>1</v>
      </c>
      <c r="H284" s="2681">
        <v>10</v>
      </c>
      <c r="I284" s="2690" t="s">
        <v>2900</v>
      </c>
      <c r="J284" s="2509">
        <f t="shared" si="57"/>
        <v>10</v>
      </c>
      <c r="K284" s="2536">
        <v>101.97</v>
      </c>
      <c r="L284" s="2536"/>
      <c r="M284" s="2729">
        <f>J284*K284</f>
        <v>1019.7</v>
      </c>
      <c r="N284" s="2517">
        <f t="shared" si="53"/>
        <v>93695.578856708409</v>
      </c>
      <c r="O284" s="2541" t="s">
        <v>2899</v>
      </c>
      <c r="P284" s="2541" t="s">
        <v>2902</v>
      </c>
      <c r="Q284" s="2514" t="s">
        <v>2901</v>
      </c>
      <c r="R284" s="2698">
        <v>6.0000000000000001E-3</v>
      </c>
      <c r="S284" s="2698"/>
      <c r="T284" s="2513">
        <f t="shared" si="54"/>
        <v>562.17347314025051</v>
      </c>
      <c r="U284" s="2540">
        <v>0.28000000000000003</v>
      </c>
      <c r="V284" s="2540">
        <v>0.55320000000000003</v>
      </c>
      <c r="W284" s="2530">
        <v>0</v>
      </c>
      <c r="X284" s="2510">
        <f t="shared" si="55"/>
        <v>0</v>
      </c>
      <c r="Y284" s="2530">
        <v>0</v>
      </c>
      <c r="Z284" s="2529">
        <v>5.0000000000000001E-3</v>
      </c>
    </row>
    <row r="285" spans="1:54" s="2508" customFormat="1" ht="15" customHeight="1">
      <c r="A285" s="2539" t="s">
        <v>2672</v>
      </c>
      <c r="B285" s="2533" t="s">
        <v>1504</v>
      </c>
      <c r="C285" s="2522" t="s">
        <v>2673</v>
      </c>
      <c r="D285" s="2531"/>
      <c r="E285" s="2665"/>
      <c r="F285" s="2670"/>
      <c r="G285" s="2665"/>
      <c r="H285" s="2678"/>
      <c r="I285" s="2687"/>
      <c r="J285" s="2509"/>
      <c r="K285" s="2538"/>
      <c r="L285" s="2538"/>
      <c r="M285" s="2727"/>
      <c r="N285" s="2517">
        <f t="shared" si="53"/>
        <v>0</v>
      </c>
      <c r="O285" s="2527"/>
      <c r="P285" s="2526"/>
      <c r="Q285" s="2526"/>
      <c r="R285" s="2702"/>
      <c r="S285" s="2702"/>
      <c r="T285" s="2513">
        <f t="shared" si="54"/>
        <v>0</v>
      </c>
      <c r="U285" s="2525"/>
      <c r="V285" s="2525"/>
      <c r="W285" s="2524"/>
      <c r="X285" s="2510">
        <f t="shared" si="55"/>
        <v>0</v>
      </c>
      <c r="Y285" s="2524"/>
      <c r="Z285" s="2524"/>
      <c r="AA285" s="485"/>
      <c r="AB285" s="485"/>
      <c r="AC285" s="485"/>
      <c r="AD285" s="485"/>
      <c r="AE285" s="485"/>
      <c r="AF285" s="485"/>
      <c r="AG285" s="485"/>
      <c r="AH285" s="485"/>
      <c r="AI285" s="485"/>
      <c r="AJ285" s="485"/>
      <c r="AK285" s="485"/>
      <c r="AL285" s="485"/>
      <c r="AM285" s="485"/>
      <c r="AN285" s="485"/>
      <c r="AO285" s="485"/>
      <c r="AP285" s="485"/>
      <c r="AQ285" s="485"/>
      <c r="AR285" s="485"/>
      <c r="AS285" s="485"/>
      <c r="AT285" s="485"/>
      <c r="AU285" s="485"/>
      <c r="AV285" s="485"/>
      <c r="AW285" s="485"/>
      <c r="AX285" s="485"/>
      <c r="AY285" s="485"/>
      <c r="AZ285" s="485"/>
      <c r="BA285" s="485"/>
      <c r="BB285" s="485"/>
    </row>
    <row r="286" spans="1:54" s="2508" customFormat="1" ht="15" customHeight="1">
      <c r="A286" s="2539" t="s">
        <v>2733</v>
      </c>
      <c r="B286" s="2533" t="s">
        <v>1357</v>
      </c>
      <c r="C286" s="2522" t="s">
        <v>2734</v>
      </c>
      <c r="D286" s="2531"/>
      <c r="E286" s="2665">
        <v>1</v>
      </c>
      <c r="F286" s="2670"/>
      <c r="G286" s="2665"/>
      <c r="H286" s="2678"/>
      <c r="I286" s="2687"/>
      <c r="J286" s="2509"/>
      <c r="K286" s="2538"/>
      <c r="L286" s="2538"/>
      <c r="M286" s="2727">
        <f>E286</f>
        <v>1</v>
      </c>
      <c r="N286" s="2517">
        <f t="shared" si="53"/>
        <v>0</v>
      </c>
      <c r="O286" s="2527"/>
      <c r="P286" s="2526"/>
      <c r="Q286" s="2526"/>
      <c r="R286" s="2702"/>
      <c r="S286" s="2702"/>
      <c r="T286" s="2513">
        <f t="shared" si="54"/>
        <v>0</v>
      </c>
      <c r="U286" s="2525"/>
      <c r="V286" s="2525"/>
      <c r="W286" s="2524"/>
      <c r="X286" s="2510">
        <f t="shared" si="55"/>
        <v>0</v>
      </c>
      <c r="Y286" s="2524"/>
      <c r="Z286" s="2524"/>
      <c r="AA286" s="485"/>
      <c r="AB286" s="485"/>
      <c r="AC286" s="485"/>
      <c r="AD286" s="485"/>
      <c r="AE286" s="485"/>
      <c r="AF286" s="485"/>
      <c r="AG286" s="485"/>
      <c r="AH286" s="485"/>
      <c r="AI286" s="485"/>
      <c r="AJ286" s="485"/>
      <c r="AK286" s="485"/>
      <c r="AL286" s="485"/>
      <c r="AM286" s="485"/>
      <c r="AN286" s="485"/>
      <c r="AO286" s="485"/>
      <c r="AP286" s="485"/>
      <c r="AQ286" s="485"/>
      <c r="AR286" s="485"/>
      <c r="AS286" s="485"/>
      <c r="AT286" s="485"/>
      <c r="AU286" s="485"/>
      <c r="AV286" s="485"/>
      <c r="AW286" s="485"/>
      <c r="AX286" s="485"/>
      <c r="AY286" s="485"/>
      <c r="AZ286" s="485"/>
      <c r="BA286" s="485"/>
      <c r="BB286" s="485"/>
    </row>
    <row r="287" spans="1:54" ht="15" customHeight="1">
      <c r="A287" s="2535" t="s">
        <v>2767</v>
      </c>
      <c r="B287" s="2533" t="s">
        <v>1504</v>
      </c>
      <c r="C287" s="2522" t="s">
        <v>2768</v>
      </c>
      <c r="D287" s="2531"/>
      <c r="E287" s="2667">
        <v>0.15</v>
      </c>
      <c r="F287" s="2660">
        <v>0.1</v>
      </c>
      <c r="G287" s="2667">
        <v>0.01</v>
      </c>
      <c r="H287" s="2681">
        <v>78.5</v>
      </c>
      <c r="I287" s="2690" t="s">
        <v>2900</v>
      </c>
      <c r="J287" s="2509">
        <f t="shared" si="57"/>
        <v>1.1774999999999999E-2</v>
      </c>
      <c r="K287" s="2536">
        <v>101.97</v>
      </c>
      <c r="L287" s="2536"/>
      <c r="M287" s="2729">
        <f t="shared" ref="M287:M289" si="58">J287*K287</f>
        <v>1.2006967499999999</v>
      </c>
      <c r="N287" s="2517">
        <f t="shared" si="53"/>
        <v>0</v>
      </c>
      <c r="O287" s="2516" t="s">
        <v>2899</v>
      </c>
      <c r="P287" s="2515" t="s">
        <v>2898</v>
      </c>
      <c r="Q287" s="2514"/>
      <c r="R287" s="2700">
        <v>68.3</v>
      </c>
      <c r="S287" s="2700"/>
      <c r="T287" s="2513">
        <f t="shared" si="54"/>
        <v>0</v>
      </c>
      <c r="U287" s="2512">
        <v>0.77549999999999997</v>
      </c>
      <c r="V287" s="2512">
        <v>0.17710000000000001</v>
      </c>
      <c r="W287" s="2511">
        <v>3.8839999999999999</v>
      </c>
      <c r="X287" s="2510">
        <f t="shared" si="55"/>
        <v>0</v>
      </c>
      <c r="Y287" s="2509">
        <v>4.13</v>
      </c>
      <c r="Z287" s="2509">
        <v>22.475000000000001</v>
      </c>
    </row>
    <row r="288" spans="1:54" ht="15" customHeight="1">
      <c r="A288" s="2535" t="s">
        <v>2764</v>
      </c>
      <c r="B288" s="2533" t="s">
        <v>1504</v>
      </c>
      <c r="C288" s="2522" t="s">
        <v>2765</v>
      </c>
      <c r="D288" s="2531"/>
      <c r="E288" s="2665">
        <v>0.2</v>
      </c>
      <c r="F288" s="2670">
        <v>0.1</v>
      </c>
      <c r="G288" s="2665">
        <v>0.02</v>
      </c>
      <c r="H288" s="2688">
        <v>78.5</v>
      </c>
      <c r="I288" s="2688" t="s">
        <v>2900</v>
      </c>
      <c r="J288" s="2509">
        <f t="shared" si="57"/>
        <v>3.1400000000000004E-2</v>
      </c>
      <c r="K288" s="2519">
        <v>101.97</v>
      </c>
      <c r="L288" s="2519"/>
      <c r="M288" s="2729">
        <f t="shared" si="58"/>
        <v>3.2018580000000005</v>
      </c>
      <c r="N288" s="2517">
        <f t="shared" si="53"/>
        <v>0</v>
      </c>
      <c r="O288" s="2516" t="s">
        <v>2899</v>
      </c>
      <c r="P288" s="2515" t="s">
        <v>2898</v>
      </c>
      <c r="Q288" s="2514"/>
      <c r="R288" s="2700">
        <v>68.3</v>
      </c>
      <c r="S288" s="2700"/>
      <c r="T288" s="2513">
        <f t="shared" si="54"/>
        <v>0</v>
      </c>
      <c r="U288" s="2512">
        <v>0.77549999999999997</v>
      </c>
      <c r="V288" s="2512">
        <v>0.17710000000000001</v>
      </c>
      <c r="W288" s="2511">
        <v>3.8839999999999999</v>
      </c>
      <c r="X288" s="2510">
        <f t="shared" si="55"/>
        <v>0</v>
      </c>
      <c r="Y288" s="2509">
        <v>4.13</v>
      </c>
      <c r="Z288" s="2509">
        <v>22.475000000000001</v>
      </c>
    </row>
    <row r="289" spans="1:54" ht="15" customHeight="1">
      <c r="A289" s="2535" t="s">
        <v>2773</v>
      </c>
      <c r="B289" s="2533" t="s">
        <v>1504</v>
      </c>
      <c r="C289" s="2522" t="s">
        <v>2774</v>
      </c>
      <c r="D289" s="2531"/>
      <c r="E289" s="2665">
        <v>0.1</v>
      </c>
      <c r="F289" s="2670">
        <v>0.1</v>
      </c>
      <c r="G289" s="2665">
        <v>0.05</v>
      </c>
      <c r="H289" s="2688">
        <v>78.5</v>
      </c>
      <c r="I289" s="2688" t="s">
        <v>2900</v>
      </c>
      <c r="J289" s="2509">
        <f t="shared" si="57"/>
        <v>3.9250000000000007E-2</v>
      </c>
      <c r="K289" s="2519">
        <v>101.97</v>
      </c>
      <c r="L289" s="2519"/>
      <c r="M289" s="2729">
        <f t="shared" si="58"/>
        <v>4.0023225000000009</v>
      </c>
      <c r="N289" s="2517">
        <f t="shared" si="53"/>
        <v>0</v>
      </c>
      <c r="O289" s="2516" t="s">
        <v>2899</v>
      </c>
      <c r="P289" s="2515" t="s">
        <v>2898</v>
      </c>
      <c r="Q289" s="2514"/>
      <c r="R289" s="2700">
        <v>68.3</v>
      </c>
      <c r="S289" s="2700"/>
      <c r="T289" s="2513">
        <f t="shared" si="54"/>
        <v>0</v>
      </c>
      <c r="U289" s="2512">
        <v>0.77549999999999997</v>
      </c>
      <c r="V289" s="2512">
        <v>0.17710000000000001</v>
      </c>
      <c r="W289" s="2511">
        <v>3.8839999999999999</v>
      </c>
      <c r="X289" s="2510">
        <f t="shared" si="55"/>
        <v>0</v>
      </c>
      <c r="Y289" s="2509">
        <v>4.13</v>
      </c>
      <c r="Z289" s="2509">
        <v>22.475000000000001</v>
      </c>
    </row>
    <row r="290" spans="1:54" ht="15" customHeight="1">
      <c r="A290" s="2534" t="s">
        <v>2519</v>
      </c>
      <c r="B290" s="2533" t="s">
        <v>1504</v>
      </c>
      <c r="C290" s="2532" t="s">
        <v>2520</v>
      </c>
      <c r="D290" s="2531"/>
      <c r="E290" s="2665"/>
      <c r="F290" s="2670"/>
      <c r="G290" s="2665"/>
      <c r="H290" s="2678"/>
      <c r="I290" s="2687"/>
      <c r="J290" s="2509"/>
      <c r="K290" s="2527"/>
      <c r="L290" s="2527"/>
      <c r="M290" s="2727"/>
      <c r="N290" s="2517">
        <f t="shared" si="53"/>
        <v>0</v>
      </c>
      <c r="O290" s="2527"/>
      <c r="P290" s="2526"/>
      <c r="Q290" s="2526"/>
      <c r="R290" s="2702"/>
      <c r="S290" s="2702"/>
      <c r="T290" s="2513">
        <f t="shared" si="54"/>
        <v>0</v>
      </c>
      <c r="U290" s="2525"/>
      <c r="V290" s="2525"/>
      <c r="W290" s="2524"/>
      <c r="X290" s="2510">
        <f t="shared" si="55"/>
        <v>0</v>
      </c>
      <c r="Y290" s="2524"/>
      <c r="Z290" s="2524"/>
    </row>
    <row r="291" spans="1:54" ht="15" customHeight="1">
      <c r="A291" s="2534" t="s">
        <v>2581</v>
      </c>
      <c r="B291" s="2533" t="s">
        <v>1504</v>
      </c>
      <c r="C291" s="2532" t="s">
        <v>2582</v>
      </c>
      <c r="D291" s="2531"/>
      <c r="E291" s="2665"/>
      <c r="F291" s="2670"/>
      <c r="G291" s="2665"/>
      <c r="H291" s="2678"/>
      <c r="I291" s="2687"/>
      <c r="J291" s="2509"/>
      <c r="K291" s="2527"/>
      <c r="L291" s="2527"/>
      <c r="M291" s="2727"/>
      <c r="N291" s="2517">
        <f t="shared" si="53"/>
        <v>0</v>
      </c>
      <c r="O291" s="2527"/>
      <c r="P291" s="2526"/>
      <c r="Q291" s="2526"/>
      <c r="R291" s="2702"/>
      <c r="S291" s="2702"/>
      <c r="T291" s="2513">
        <f t="shared" si="54"/>
        <v>0</v>
      </c>
      <c r="U291" s="2525"/>
      <c r="V291" s="2525"/>
      <c r="W291" s="2524"/>
      <c r="X291" s="2510">
        <f t="shared" si="55"/>
        <v>0</v>
      </c>
      <c r="Y291" s="2524"/>
      <c r="Z291" s="2524"/>
    </row>
    <row r="292" spans="1:54" ht="15" customHeight="1">
      <c r="A292" s="2534" t="s">
        <v>2603</v>
      </c>
      <c r="B292" s="2533" t="s">
        <v>1504</v>
      </c>
      <c r="C292" s="2532" t="s">
        <v>2604</v>
      </c>
      <c r="D292" s="2531"/>
      <c r="E292" s="2665"/>
      <c r="F292" s="2670"/>
      <c r="G292" s="2665"/>
      <c r="H292" s="2678"/>
      <c r="I292" s="2687"/>
      <c r="J292" s="2509"/>
      <c r="K292" s="2527"/>
      <c r="L292" s="2527"/>
      <c r="M292" s="2727"/>
      <c r="N292" s="2517">
        <f t="shared" si="53"/>
        <v>0</v>
      </c>
      <c r="O292" s="2527"/>
      <c r="P292" s="2526"/>
      <c r="Q292" s="2526"/>
      <c r="R292" s="2702"/>
      <c r="S292" s="2702"/>
      <c r="T292" s="2513">
        <f t="shared" si="54"/>
        <v>0</v>
      </c>
      <c r="U292" s="2525"/>
      <c r="V292" s="2525"/>
      <c r="W292" s="2524"/>
      <c r="X292" s="2510">
        <f t="shared" si="55"/>
        <v>0</v>
      </c>
      <c r="Y292" s="2524"/>
      <c r="Z292" s="2524"/>
    </row>
    <row r="293" spans="1:54" ht="15" customHeight="1">
      <c r="A293" s="2535" t="s">
        <v>2535</v>
      </c>
      <c r="B293" s="2533" t="s">
        <v>1504</v>
      </c>
      <c r="C293" s="2522" t="s">
        <v>2536</v>
      </c>
      <c r="D293" s="2531"/>
      <c r="E293" s="2665">
        <v>0.1</v>
      </c>
      <c r="F293" s="2670">
        <v>0.1</v>
      </c>
      <c r="G293" s="2665">
        <v>0.05</v>
      </c>
      <c r="H293" s="2688">
        <v>78.5</v>
      </c>
      <c r="I293" s="2688" t="s">
        <v>2900</v>
      </c>
      <c r="J293" s="2509">
        <f t="shared" si="57"/>
        <v>3.9250000000000007E-2</v>
      </c>
      <c r="K293" s="2519">
        <v>101.97</v>
      </c>
      <c r="L293" s="2519"/>
      <c r="M293" s="2729">
        <f t="shared" ref="M293:M294" si="59">J293*K293</f>
        <v>4.0023225000000009</v>
      </c>
      <c r="N293" s="2517">
        <f t="shared" si="53"/>
        <v>0</v>
      </c>
      <c r="O293" s="2516" t="s">
        <v>2899</v>
      </c>
      <c r="P293" s="2515" t="s">
        <v>2898</v>
      </c>
      <c r="Q293" s="2514"/>
      <c r="R293" s="2700">
        <v>68.3</v>
      </c>
      <c r="S293" s="2700"/>
      <c r="T293" s="2513">
        <f t="shared" si="54"/>
        <v>0</v>
      </c>
      <c r="U293" s="2512">
        <v>0.77549999999999997</v>
      </c>
      <c r="V293" s="2512">
        <v>0.17710000000000001</v>
      </c>
      <c r="W293" s="2511">
        <v>3.8839999999999999</v>
      </c>
      <c r="X293" s="2510">
        <f t="shared" si="55"/>
        <v>0</v>
      </c>
      <c r="Y293" s="2509">
        <v>4.13</v>
      </c>
      <c r="Z293" s="2509">
        <v>22.475000000000001</v>
      </c>
    </row>
    <row r="294" spans="1:54" ht="15" customHeight="1">
      <c r="A294" s="2535" t="s">
        <v>2533</v>
      </c>
      <c r="B294" s="2533" t="s">
        <v>1504</v>
      </c>
      <c r="C294" s="2522" t="s">
        <v>2534</v>
      </c>
      <c r="D294" s="2531"/>
      <c r="E294" s="2665">
        <v>0.1</v>
      </c>
      <c r="F294" s="2670">
        <v>0.1</v>
      </c>
      <c r="G294" s="2665">
        <v>0.05</v>
      </c>
      <c r="H294" s="2688">
        <v>78.5</v>
      </c>
      <c r="I294" s="2688" t="s">
        <v>2900</v>
      </c>
      <c r="J294" s="2509">
        <f t="shared" si="57"/>
        <v>3.9250000000000007E-2</v>
      </c>
      <c r="K294" s="2519">
        <v>101.97</v>
      </c>
      <c r="L294" s="2519"/>
      <c r="M294" s="2729">
        <f t="shared" si="59"/>
        <v>4.0023225000000009</v>
      </c>
      <c r="N294" s="2517">
        <f t="shared" si="53"/>
        <v>0</v>
      </c>
      <c r="O294" s="2516" t="s">
        <v>2899</v>
      </c>
      <c r="P294" s="2515" t="s">
        <v>2898</v>
      </c>
      <c r="Q294" s="2514"/>
      <c r="R294" s="2700">
        <v>68.3</v>
      </c>
      <c r="S294" s="2700"/>
      <c r="T294" s="2513">
        <f t="shared" si="54"/>
        <v>0</v>
      </c>
      <c r="U294" s="2512">
        <v>0.77549999999999997</v>
      </c>
      <c r="V294" s="2512">
        <v>0.17710000000000001</v>
      </c>
      <c r="W294" s="2511">
        <v>3.8839999999999999</v>
      </c>
      <c r="X294" s="2510">
        <f t="shared" si="55"/>
        <v>0</v>
      </c>
      <c r="Y294" s="2509">
        <v>4.13</v>
      </c>
      <c r="Z294" s="2509">
        <v>22.475000000000001</v>
      </c>
    </row>
    <row r="295" spans="1:54" ht="15" customHeight="1">
      <c r="A295" s="2534" t="s">
        <v>2515</v>
      </c>
      <c r="B295" s="2533" t="s">
        <v>1504</v>
      </c>
      <c r="C295" s="2532" t="s">
        <v>2516</v>
      </c>
      <c r="D295" s="2531"/>
      <c r="E295" s="2665"/>
      <c r="F295" s="2670"/>
      <c r="G295" s="2665"/>
      <c r="H295" s="2678"/>
      <c r="I295" s="2687"/>
      <c r="J295" s="2509"/>
      <c r="K295" s="2527"/>
      <c r="L295" s="2527"/>
      <c r="M295" s="2727"/>
      <c r="N295" s="2517">
        <f t="shared" si="53"/>
        <v>0</v>
      </c>
      <c r="O295" s="2527"/>
      <c r="P295" s="2526"/>
      <c r="Q295" s="2526"/>
      <c r="R295" s="2702"/>
      <c r="S295" s="2702"/>
      <c r="T295" s="2513">
        <f t="shared" si="54"/>
        <v>0</v>
      </c>
      <c r="U295" s="2525"/>
      <c r="V295" s="2525"/>
      <c r="W295" s="2524"/>
      <c r="X295" s="2510">
        <f t="shared" si="55"/>
        <v>0</v>
      </c>
      <c r="Y295" s="2524"/>
      <c r="Z295" s="2524"/>
    </row>
    <row r="296" spans="1:54" ht="15" customHeight="1">
      <c r="A296" s="2534" t="s">
        <v>2555</v>
      </c>
      <c r="B296" s="2533" t="s">
        <v>1504</v>
      </c>
      <c r="C296" s="2532" t="s">
        <v>2556</v>
      </c>
      <c r="D296" s="2531"/>
      <c r="E296" s="2665"/>
      <c r="F296" s="2670"/>
      <c r="G296" s="2665"/>
      <c r="H296" s="2678"/>
      <c r="I296" s="2687"/>
      <c r="J296" s="2509"/>
      <c r="K296" s="2527"/>
      <c r="L296" s="2527"/>
      <c r="M296" s="2727"/>
      <c r="N296" s="2517">
        <f t="shared" si="53"/>
        <v>0</v>
      </c>
      <c r="O296" s="2527"/>
      <c r="P296" s="2526"/>
      <c r="Q296" s="2526"/>
      <c r="R296" s="2702"/>
      <c r="S296" s="2702"/>
      <c r="T296" s="2513">
        <f t="shared" si="54"/>
        <v>0</v>
      </c>
      <c r="U296" s="2525"/>
      <c r="V296" s="2525"/>
      <c r="W296" s="2524"/>
      <c r="X296" s="2510">
        <f t="shared" si="55"/>
        <v>0</v>
      </c>
      <c r="Y296" s="2524"/>
      <c r="Z296" s="2524"/>
    </row>
    <row r="297" spans="1:54" ht="15" customHeight="1">
      <c r="A297" s="2534" t="s">
        <v>2617</v>
      </c>
      <c r="B297" s="2533" t="s">
        <v>1504</v>
      </c>
      <c r="C297" s="2532" t="s">
        <v>2618</v>
      </c>
      <c r="D297" s="2531"/>
      <c r="E297" s="2665"/>
      <c r="F297" s="2670"/>
      <c r="G297" s="2665"/>
      <c r="H297" s="2678"/>
      <c r="I297" s="2687"/>
      <c r="J297" s="2509"/>
      <c r="K297" s="2527"/>
      <c r="L297" s="2527"/>
      <c r="M297" s="2727"/>
      <c r="N297" s="2517">
        <f t="shared" si="53"/>
        <v>0</v>
      </c>
      <c r="O297" s="2527"/>
      <c r="P297" s="2526"/>
      <c r="Q297" s="2526"/>
      <c r="R297" s="2702"/>
      <c r="S297" s="2702"/>
      <c r="T297" s="2513">
        <f t="shared" si="54"/>
        <v>0</v>
      </c>
      <c r="U297" s="2525"/>
      <c r="V297" s="2525"/>
      <c r="W297" s="2524"/>
      <c r="X297" s="2510">
        <f t="shared" si="55"/>
        <v>0</v>
      </c>
      <c r="Y297" s="2524"/>
      <c r="Z297" s="2524"/>
    </row>
    <row r="298" spans="1:54" ht="15" customHeight="1">
      <c r="A298" s="2523" t="s">
        <v>1097</v>
      </c>
      <c r="B298" s="2522" t="s">
        <v>1504</v>
      </c>
      <c r="C298" s="2522" t="s">
        <v>1632</v>
      </c>
      <c r="D298" s="2521">
        <f>'[7]Precios Recuperación (PUSD)'!$I$2531</f>
        <v>21910.06</v>
      </c>
      <c r="E298" s="2667">
        <v>0.1</v>
      </c>
      <c r="F298" s="2660">
        <v>0.05</v>
      </c>
      <c r="G298" s="2667">
        <v>0.01</v>
      </c>
      <c r="H298" s="2688">
        <v>78.5</v>
      </c>
      <c r="I298" s="2688" t="s">
        <v>2900</v>
      </c>
      <c r="J298" s="2509">
        <f t="shared" si="57"/>
        <v>3.9250000000000005E-3</v>
      </c>
      <c r="K298" s="2519">
        <v>101.97</v>
      </c>
      <c r="L298" s="2519"/>
      <c r="M298" s="2729">
        <f t="shared" ref="M298:M299" si="60">J298*K298</f>
        <v>0.40023225000000007</v>
      </c>
      <c r="N298" s="2517">
        <f t="shared" si="53"/>
        <v>8769.1126114350027</v>
      </c>
      <c r="O298" s="2516" t="s">
        <v>2899</v>
      </c>
      <c r="P298" s="2515" t="s">
        <v>2898</v>
      </c>
      <c r="Q298" s="2514"/>
      <c r="R298" s="2700">
        <v>68.3</v>
      </c>
      <c r="S298" s="2700"/>
      <c r="T298" s="2513">
        <f t="shared" si="54"/>
        <v>598930.39136101061</v>
      </c>
      <c r="U298" s="2512">
        <v>0.77549999999999997</v>
      </c>
      <c r="V298" s="2512">
        <v>0.17710000000000001</v>
      </c>
      <c r="W298" s="2511">
        <v>3.8839999999999999</v>
      </c>
      <c r="X298" s="2510">
        <f t="shared" si="55"/>
        <v>34059.233382813545</v>
      </c>
      <c r="Y298" s="2509">
        <v>4.13</v>
      </c>
      <c r="Z298" s="2509">
        <v>22.475000000000001</v>
      </c>
      <c r="AA298" s="98"/>
      <c r="AB298" s="2508"/>
      <c r="AC298" s="2508"/>
      <c r="AD298" s="2508"/>
      <c r="AE298" s="2508"/>
      <c r="AF298" s="2508"/>
      <c r="AG298" s="2508"/>
      <c r="AH298" s="2508"/>
      <c r="AI298" s="2508"/>
      <c r="AJ298" s="2508"/>
      <c r="AK298" s="2508"/>
      <c r="AL298" s="2508"/>
      <c r="AM298" s="2508"/>
      <c r="AN298" s="2508"/>
      <c r="AO298" s="2508"/>
      <c r="AP298" s="2508"/>
      <c r="AQ298" s="2508"/>
      <c r="AR298" s="2508"/>
      <c r="AS298" s="2508"/>
      <c r="AT298" s="2508"/>
      <c r="AU298" s="2508"/>
      <c r="AV298" s="2508"/>
      <c r="AW298" s="2508"/>
      <c r="AX298" s="2508"/>
      <c r="AY298" s="2508"/>
      <c r="AZ298" s="2508"/>
      <c r="BA298" s="2508"/>
      <c r="BB298" s="2508"/>
    </row>
    <row r="299" spans="1:54" ht="15" customHeight="1">
      <c r="A299" s="2523" t="s">
        <v>1082</v>
      </c>
      <c r="B299" s="2522" t="s">
        <v>1504</v>
      </c>
      <c r="C299" s="2522" t="s">
        <v>1541</v>
      </c>
      <c r="D299" s="2521">
        <f>'[7]Precios Recuperación (PUSD)'!$K$2694</f>
        <v>6958.6900000000005</v>
      </c>
      <c r="E299" s="2667">
        <v>0.1</v>
      </c>
      <c r="F299" s="2660">
        <v>0.05</v>
      </c>
      <c r="G299" s="2667">
        <v>0.01</v>
      </c>
      <c r="H299" s="2688">
        <v>78.5</v>
      </c>
      <c r="I299" s="2688" t="s">
        <v>2900</v>
      </c>
      <c r="J299" s="2509">
        <f t="shared" si="57"/>
        <v>3.9250000000000005E-3</v>
      </c>
      <c r="K299" s="2519">
        <v>101.97</v>
      </c>
      <c r="L299" s="2519"/>
      <c r="M299" s="2729">
        <f t="shared" si="60"/>
        <v>0.40023225000000007</v>
      </c>
      <c r="N299" s="2517">
        <f t="shared" si="53"/>
        <v>2785.0921557525007</v>
      </c>
      <c r="O299" s="2516" t="s">
        <v>2899</v>
      </c>
      <c r="P299" s="2515" t="s">
        <v>2898</v>
      </c>
      <c r="Q299" s="2514"/>
      <c r="R299" s="2509">
        <v>68.3</v>
      </c>
      <c r="S299" s="2509"/>
      <c r="T299" s="2513">
        <f t="shared" si="54"/>
        <v>190221.79423789581</v>
      </c>
      <c r="U299" s="2512">
        <v>0.77549999999999997</v>
      </c>
      <c r="V299" s="2512">
        <v>0.17710000000000001</v>
      </c>
      <c r="W299" s="2511">
        <v>3.8839999999999999</v>
      </c>
      <c r="X299" s="2510">
        <f t="shared" si="55"/>
        <v>10817.297932942713</v>
      </c>
      <c r="Y299" s="2509">
        <v>4.13</v>
      </c>
      <c r="Z299" s="2509">
        <v>22.475000000000001</v>
      </c>
      <c r="AA299" s="98"/>
      <c r="AB299" s="2508"/>
      <c r="AC299" s="2508"/>
      <c r="AD299" s="2508"/>
      <c r="AE299" s="2508"/>
      <c r="AF299" s="2508"/>
      <c r="AG299" s="2508"/>
      <c r="AH299" s="2508"/>
      <c r="AI299" s="2508"/>
      <c r="AJ299" s="2508"/>
      <c r="AK299" s="2508"/>
      <c r="AL299" s="2508"/>
      <c r="AM299" s="2508"/>
      <c r="AN299" s="2508"/>
      <c r="AO299" s="2508"/>
      <c r="AP299" s="2508"/>
      <c r="AQ299" s="2508"/>
      <c r="AR299" s="2508"/>
      <c r="AS299" s="2508"/>
      <c r="AT299" s="2508"/>
      <c r="AU299" s="2508"/>
      <c r="AV299" s="2508"/>
      <c r="AW299" s="2508"/>
      <c r="AX299" s="2508"/>
      <c r="AY299" s="2508"/>
      <c r="AZ299" s="2508"/>
      <c r="BA299" s="2508"/>
      <c r="BB299" s="2508"/>
    </row>
    <row r="300" spans="1:54">
      <c r="D300" s="2507"/>
      <c r="E300" s="2503"/>
      <c r="F300" s="2503"/>
      <c r="G300" s="2503"/>
      <c r="H300" s="2503"/>
      <c r="I300" s="2503"/>
      <c r="J300" s="2503"/>
      <c r="K300" s="2503"/>
      <c r="L300" s="2503"/>
      <c r="M300" s="2503"/>
      <c r="N300" s="2506">
        <f>SUM(N4:N299)</f>
        <v>1469825.9070115983</v>
      </c>
      <c r="O300" s="2503"/>
      <c r="P300" s="2503"/>
      <c r="Q300" s="4938" t="s">
        <v>2897</v>
      </c>
      <c r="R300" s="4938"/>
      <c r="S300" s="2740"/>
      <c r="T300" s="2505">
        <f>SUM(T4:T299)</f>
        <v>8955861.658676032</v>
      </c>
      <c r="U300" s="4938" t="s">
        <v>2896</v>
      </c>
      <c r="V300" s="4938"/>
      <c r="W300" s="4938"/>
      <c r="X300" s="2504">
        <f>SUM(X4:X299)</f>
        <v>809076.21052022919</v>
      </c>
      <c r="Y300" s="2503"/>
      <c r="Z300" s="2503"/>
    </row>
    <row r="302" spans="1:54">
      <c r="O302" s="4929" t="s">
        <v>2895</v>
      </c>
      <c r="P302" s="4930"/>
      <c r="Q302" s="4930"/>
      <c r="R302" s="4930"/>
      <c r="S302" s="4930"/>
      <c r="T302" s="4930"/>
      <c r="U302" s="4930"/>
      <c r="V302" s="4930"/>
      <c r="W302" s="4930"/>
      <c r="X302" s="4930"/>
      <c r="Y302" s="4930"/>
      <c r="Z302" s="4931"/>
    </row>
    <row r="303" spans="1:54">
      <c r="O303" s="4932" t="s">
        <v>2894</v>
      </c>
      <c r="P303" s="4933"/>
      <c r="Q303" s="4932" t="s">
        <v>340</v>
      </c>
      <c r="R303" s="4932"/>
      <c r="S303" s="4932"/>
      <c r="T303" s="4932"/>
      <c r="U303" s="4932"/>
      <c r="V303" s="4932" t="s">
        <v>326</v>
      </c>
      <c r="W303" s="4932"/>
      <c r="X303" s="4932"/>
      <c r="Y303" s="4936" t="s">
        <v>2890</v>
      </c>
      <c r="Z303" s="4936"/>
    </row>
    <row r="304" spans="1:54">
      <c r="O304" s="4934">
        <f>T300</f>
        <v>8955861.658676032</v>
      </c>
      <c r="P304" s="4933"/>
      <c r="Q304" s="4934">
        <v>71500</v>
      </c>
      <c r="R304" s="4934"/>
      <c r="S304" s="4934"/>
      <c r="T304" s="4934"/>
      <c r="U304" s="4934"/>
      <c r="V304" s="4935">
        <v>1.26</v>
      </c>
      <c r="W304" s="4935"/>
      <c r="X304" s="4937"/>
      <c r="Y304" s="2502">
        <f>O304/Q304*V304</f>
        <v>157.82357608296223</v>
      </c>
      <c r="Z304" s="2501"/>
    </row>
    <row r="306" spans="15:26">
      <c r="O306" s="4929" t="s">
        <v>2893</v>
      </c>
      <c r="P306" s="4930"/>
      <c r="Q306" s="4930"/>
      <c r="R306" s="4930"/>
      <c r="S306" s="4930"/>
      <c r="T306" s="4930"/>
      <c r="U306" s="4930"/>
      <c r="V306" s="4930"/>
      <c r="W306" s="4930"/>
      <c r="X306" s="4930"/>
      <c r="Y306" s="4930"/>
      <c r="Z306" s="4931"/>
    </row>
    <row r="307" spans="15:26">
      <c r="O307" s="4932" t="s">
        <v>2892</v>
      </c>
      <c r="P307" s="4933"/>
      <c r="Q307" s="4932" t="s">
        <v>2891</v>
      </c>
      <c r="R307" s="4932"/>
      <c r="S307" s="4932"/>
      <c r="T307" s="4932"/>
      <c r="U307" s="4932"/>
      <c r="V307" s="4932" t="s">
        <v>326</v>
      </c>
      <c r="W307" s="4932"/>
      <c r="X307" s="4932"/>
      <c r="Y307" s="4932" t="s">
        <v>2890</v>
      </c>
      <c r="Z307" s="4932"/>
    </row>
    <row r="308" spans="15:26">
      <c r="O308" s="4934">
        <f>D284</f>
        <v>91.885435772000008</v>
      </c>
      <c r="P308" s="4933"/>
      <c r="Q308" s="4934">
        <v>1500</v>
      </c>
      <c r="R308" s="4934"/>
      <c r="S308" s="4934"/>
      <c r="T308" s="4934"/>
      <c r="U308" s="4934"/>
      <c r="V308" s="4935">
        <v>1.26</v>
      </c>
      <c r="W308" s="4935"/>
      <c r="X308" s="4935"/>
      <c r="Y308" s="2502">
        <f>O308/Q308*V308</f>
        <v>7.7183766048480013E-2</v>
      </c>
      <c r="Z308" s="2501"/>
    </row>
    <row r="309" spans="15:26">
      <c r="P309" s="485">
        <v>9585.49</v>
      </c>
    </row>
  </sheetData>
  <mergeCells count="38">
    <mergeCell ref="A1:Z1"/>
    <mergeCell ref="Y2:Y3"/>
    <mergeCell ref="A2:A3"/>
    <mergeCell ref="B2:B3"/>
    <mergeCell ref="C2:C3"/>
    <mergeCell ref="E2:G2"/>
    <mergeCell ref="H2:J2"/>
    <mergeCell ref="Z2:Z3"/>
    <mergeCell ref="W2:W3"/>
    <mergeCell ref="U2:V2"/>
    <mergeCell ref="Q300:R300"/>
    <mergeCell ref="X2:X3"/>
    <mergeCell ref="U300:W300"/>
    <mergeCell ref="K2:K3"/>
    <mergeCell ref="D2:D3"/>
    <mergeCell ref="T2:T3"/>
    <mergeCell ref="O2:O3"/>
    <mergeCell ref="P2:P3"/>
    <mergeCell ref="Q2:Q3"/>
    <mergeCell ref="R2:R3"/>
    <mergeCell ref="S2:S3"/>
    <mergeCell ref="L2:L3"/>
    <mergeCell ref="O302:Z302"/>
    <mergeCell ref="O303:P303"/>
    <mergeCell ref="O304:P304"/>
    <mergeCell ref="Q308:U308"/>
    <mergeCell ref="V308:X308"/>
    <mergeCell ref="O306:Z306"/>
    <mergeCell ref="O307:P307"/>
    <mergeCell ref="O308:P308"/>
    <mergeCell ref="Q307:U307"/>
    <mergeCell ref="V307:X307"/>
    <mergeCell ref="Y307:Z307"/>
    <mergeCell ref="Q303:U303"/>
    <mergeCell ref="V303:X303"/>
    <mergeCell ref="Y303:Z303"/>
    <mergeCell ref="Q304:U304"/>
    <mergeCell ref="V304:X304"/>
  </mergeCells>
  <pageMargins left="0.7" right="0.7" top="0.75" bottom="0.75" header="0.3" footer="0.3"/>
  <pageSetup paperSize="9" orientation="portrait" r:id="rId1"/>
  <ignoredErrors>
    <ignoredError sqref="M12:M13 M69" formula="1"/>
  </ignoredError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H105"/>
  <sheetViews>
    <sheetView workbookViewId="0">
      <selection activeCell="L30" sqref="L30"/>
    </sheetView>
  </sheetViews>
  <sheetFormatPr defaultColWidth="10.90625" defaultRowHeight="14.5"/>
  <cols>
    <col min="2" max="2" width="44" customWidth="1"/>
    <col min="6" max="6" width="40" customWidth="1"/>
  </cols>
  <sheetData>
    <row r="1" spans="2:8" ht="21.75" customHeight="1">
      <c r="B1" s="4621" t="s">
        <v>668</v>
      </c>
      <c r="C1" s="4844"/>
      <c r="D1" s="4844"/>
    </row>
    <row r="2" spans="2:8" ht="15" thickBot="1"/>
    <row r="3" spans="2:8" ht="28">
      <c r="B3" s="187" t="s">
        <v>286</v>
      </c>
      <c r="C3" s="188" t="s">
        <v>288</v>
      </c>
      <c r="D3" s="188" t="s">
        <v>287</v>
      </c>
      <c r="F3" s="111" t="s">
        <v>286</v>
      </c>
      <c r="G3" s="116" t="s">
        <v>288</v>
      </c>
      <c r="H3" s="116" t="s">
        <v>287</v>
      </c>
    </row>
    <row r="4" spans="2:8" ht="15.5">
      <c r="B4" s="196" t="s">
        <v>234</v>
      </c>
      <c r="C4" s="189"/>
      <c r="D4" s="189"/>
      <c r="F4" s="104" t="s">
        <v>234</v>
      </c>
      <c r="G4" s="112"/>
      <c r="H4" s="113"/>
    </row>
    <row r="5" spans="2:8">
      <c r="B5" s="154" t="s">
        <v>13</v>
      </c>
      <c r="C5" s="190">
        <v>1</v>
      </c>
      <c r="D5" s="190">
        <v>40</v>
      </c>
      <c r="F5" s="102" t="str">
        <f>LOWER(B5)</f>
        <v>kg acero</v>
      </c>
      <c r="G5" s="105">
        <v>1</v>
      </c>
      <c r="H5" s="107">
        <v>40</v>
      </c>
    </row>
    <row r="6" spans="2:8">
      <c r="B6" s="154" t="s">
        <v>143</v>
      </c>
      <c r="C6" s="190">
        <v>0.1</v>
      </c>
      <c r="D6" s="190">
        <v>40</v>
      </c>
      <c r="F6" s="102" t="str">
        <f>LOWER(B6)</f>
        <v>m guia acero enrollable plástico</v>
      </c>
      <c r="G6" s="105">
        <v>0.1</v>
      </c>
      <c r="H6" s="107">
        <v>40</v>
      </c>
    </row>
    <row r="7" spans="2:8">
      <c r="B7" s="154" t="s">
        <v>123</v>
      </c>
      <c r="C7" s="190">
        <v>12.26</v>
      </c>
      <c r="D7" s="190">
        <v>40</v>
      </c>
      <c r="F7" s="102" t="str">
        <f>LOWER(B7)</f>
        <v>m2 acero</v>
      </c>
      <c r="G7" s="105">
        <v>12.26</v>
      </c>
      <c r="H7" s="107">
        <v>40</v>
      </c>
    </row>
    <row r="8" spans="2:8">
      <c r="B8" s="154" t="s">
        <v>94</v>
      </c>
      <c r="C8" s="190">
        <v>1.3574999999999999</v>
      </c>
      <c r="D8" s="190">
        <v>177</v>
      </c>
      <c r="F8" s="102" t="str">
        <f>LOWER(B8)</f>
        <v>u equipo griferia</v>
      </c>
      <c r="G8" s="105">
        <v>1.3574999999999999</v>
      </c>
      <c r="H8" s="107">
        <v>177</v>
      </c>
    </row>
    <row r="9" spans="2:8">
      <c r="B9" s="154" t="s">
        <v>24</v>
      </c>
      <c r="C9" s="190">
        <v>4.63</v>
      </c>
      <c r="D9" s="190">
        <v>40</v>
      </c>
      <c r="F9" s="102" t="str">
        <f>LOWER(B9)</f>
        <v>u panel metálico</v>
      </c>
      <c r="G9" s="105">
        <v>4.63</v>
      </c>
      <c r="H9" s="107">
        <v>40</v>
      </c>
    </row>
    <row r="10" spans="2:8" ht="15.5">
      <c r="B10" s="196" t="s">
        <v>273</v>
      </c>
      <c r="C10" s="191"/>
      <c r="D10" s="191"/>
      <c r="F10" s="104" t="s">
        <v>273</v>
      </c>
      <c r="G10" s="114"/>
      <c r="H10" s="115"/>
    </row>
    <row r="11" spans="2:8">
      <c r="B11" s="154" t="s">
        <v>109</v>
      </c>
      <c r="C11" s="190">
        <v>1500</v>
      </c>
      <c r="D11" s="190">
        <v>0.08</v>
      </c>
      <c r="F11" s="102" t="str">
        <f t="shared" ref="F11:F75" si="0">LOWER(B11)</f>
        <v>m3 arena fina</v>
      </c>
      <c r="G11" s="105">
        <v>1500</v>
      </c>
      <c r="H11" s="107">
        <v>0.08</v>
      </c>
    </row>
    <row r="12" spans="2:8">
      <c r="B12" s="154" t="s">
        <v>267</v>
      </c>
      <c r="C12" s="192">
        <v>1700</v>
      </c>
      <c r="D12" s="192">
        <v>0.1</v>
      </c>
      <c r="F12" s="102" t="str">
        <f t="shared" si="0"/>
        <v xml:space="preserve">m3 grava </v>
      </c>
      <c r="G12" s="106">
        <v>1700</v>
      </c>
      <c r="H12" s="108">
        <v>0.1</v>
      </c>
    </row>
    <row r="13" spans="2:8" ht="15.5">
      <c r="B13" s="196" t="s">
        <v>233</v>
      </c>
      <c r="C13" s="191"/>
      <c r="D13" s="191"/>
      <c r="F13" s="104" t="s">
        <v>233</v>
      </c>
      <c r="G13" s="114"/>
      <c r="H13" s="115"/>
    </row>
    <row r="14" spans="2:8">
      <c r="B14" s="154" t="s">
        <v>255</v>
      </c>
      <c r="C14" s="192">
        <v>100.91</v>
      </c>
      <c r="D14" s="192">
        <v>2</v>
      </c>
      <c r="F14" s="102" t="str">
        <f t="shared" si="0"/>
        <v>m2 tapa de hormigón armado con cerco</v>
      </c>
      <c r="G14" s="106">
        <v>100.91</v>
      </c>
      <c r="H14" s="108">
        <v>2</v>
      </c>
    </row>
    <row r="15" spans="2:8">
      <c r="B15" s="154" t="s">
        <v>260</v>
      </c>
      <c r="C15" s="192">
        <v>2500</v>
      </c>
      <c r="D15" s="192">
        <v>1</v>
      </c>
      <c r="F15" s="102" t="str">
        <f t="shared" si="0"/>
        <v>m3 hormigón</v>
      </c>
      <c r="G15" s="106">
        <v>2500</v>
      </c>
      <c r="H15" s="108">
        <v>1</v>
      </c>
    </row>
    <row r="16" spans="2:8">
      <c r="B16" s="154" t="s">
        <v>33</v>
      </c>
      <c r="C16" s="192">
        <v>2500</v>
      </c>
      <c r="D16" s="192">
        <v>1</v>
      </c>
      <c r="F16" s="102" t="str">
        <f t="shared" si="0"/>
        <v>m3 hormigón hm</v>
      </c>
      <c r="G16" s="106">
        <v>2500</v>
      </c>
      <c r="H16" s="108">
        <v>1</v>
      </c>
    </row>
    <row r="17" spans="2:8">
      <c r="B17" s="154" t="s">
        <v>257</v>
      </c>
      <c r="C17" s="190">
        <v>67</v>
      </c>
      <c r="D17" s="190">
        <v>2</v>
      </c>
      <c r="F17" s="102" t="str">
        <f t="shared" si="0"/>
        <v>m tubo hormigón</v>
      </c>
      <c r="G17" s="105">
        <v>67</v>
      </c>
      <c r="H17" s="107">
        <v>2</v>
      </c>
    </row>
    <row r="18" spans="2:8" ht="15.5">
      <c r="B18" s="196" t="s">
        <v>247</v>
      </c>
      <c r="C18" s="191"/>
      <c r="D18" s="191"/>
      <c r="F18" s="104" t="s">
        <v>247</v>
      </c>
      <c r="G18" s="114"/>
      <c r="H18" s="115"/>
    </row>
    <row r="19" spans="2:8">
      <c r="B19" s="154" t="s">
        <v>256</v>
      </c>
      <c r="C19" s="192">
        <v>1853</v>
      </c>
      <c r="D19" s="192">
        <v>2.9</v>
      </c>
      <c r="F19" s="102" t="str">
        <f t="shared" si="0"/>
        <v>mu ladrillo cerámico</v>
      </c>
      <c r="G19" s="106">
        <v>1853</v>
      </c>
      <c r="H19" s="108">
        <v>2.9</v>
      </c>
    </row>
    <row r="20" spans="2:8">
      <c r="B20" s="154" t="s">
        <v>101</v>
      </c>
      <c r="C20" s="192">
        <v>0.3</v>
      </c>
      <c r="D20" s="192">
        <v>8</v>
      </c>
      <c r="F20" s="102" t="str">
        <f t="shared" si="0"/>
        <v>u azulejo blanco 15x15 cm</v>
      </c>
      <c r="G20" s="106">
        <v>0.3</v>
      </c>
      <c r="H20" s="108">
        <v>8</v>
      </c>
    </row>
    <row r="21" spans="2:8">
      <c r="B21" s="154" t="s">
        <v>264</v>
      </c>
      <c r="C21" s="192">
        <v>0.74</v>
      </c>
      <c r="D21" s="192">
        <v>2.9</v>
      </c>
      <c r="F21" s="102" t="str">
        <f t="shared" si="0"/>
        <v>u baldosa cerámica</v>
      </c>
      <c r="G21" s="106">
        <v>0.74</v>
      </c>
      <c r="H21" s="108">
        <v>2.9</v>
      </c>
    </row>
    <row r="22" spans="2:8" ht="15.5">
      <c r="B22" s="196" t="s">
        <v>274</v>
      </c>
      <c r="C22" s="191"/>
      <c r="D22" s="191"/>
      <c r="F22" s="104" t="s">
        <v>274</v>
      </c>
      <c r="G22" s="114"/>
      <c r="H22" s="115"/>
    </row>
    <row r="23" spans="2:8">
      <c r="B23" s="154" t="s">
        <v>116</v>
      </c>
      <c r="C23" s="192">
        <v>14.273</v>
      </c>
      <c r="D23" s="192">
        <v>2.5</v>
      </c>
      <c r="F23" s="102" t="str">
        <f t="shared" si="0"/>
        <v>m2 placa escayola lisa</v>
      </c>
      <c r="G23" s="106">
        <v>14.273</v>
      </c>
      <c r="H23" s="108">
        <v>2.5</v>
      </c>
    </row>
    <row r="24" spans="2:8">
      <c r="B24" s="154" t="s">
        <v>108</v>
      </c>
      <c r="C24" s="190">
        <v>475</v>
      </c>
      <c r="D24" s="190">
        <v>0.92</v>
      </c>
      <c r="F24" s="102" t="str">
        <f t="shared" si="0"/>
        <v>m3 mortero de perlita y escayola</v>
      </c>
      <c r="G24" s="105">
        <v>475</v>
      </c>
      <c r="H24" s="107">
        <v>0.92</v>
      </c>
    </row>
    <row r="25" spans="2:8">
      <c r="B25" s="154" t="s">
        <v>115</v>
      </c>
      <c r="C25" s="190">
        <v>1250</v>
      </c>
      <c r="D25" s="190">
        <v>2.5</v>
      </c>
      <c r="F25" s="102" t="str">
        <f t="shared" si="0"/>
        <v>m3 pasta de escayola</v>
      </c>
      <c r="G25" s="105">
        <v>1250</v>
      </c>
      <c r="H25" s="107">
        <v>2.5</v>
      </c>
    </row>
    <row r="26" spans="2:8">
      <c r="B26" s="154" t="s">
        <v>61</v>
      </c>
      <c r="C26" s="190">
        <v>1250</v>
      </c>
      <c r="D26" s="190">
        <v>3.3</v>
      </c>
      <c r="F26" s="102" t="str">
        <f t="shared" si="0"/>
        <v>m3 pasta de yeso negro yg</v>
      </c>
      <c r="G26" s="105">
        <v>1250</v>
      </c>
      <c r="H26" s="107">
        <v>3.3</v>
      </c>
    </row>
    <row r="27" spans="2:8">
      <c r="B27" s="154" t="s">
        <v>1871</v>
      </c>
      <c r="C27" s="190">
        <v>1000</v>
      </c>
      <c r="D27" s="190">
        <v>2.5</v>
      </c>
      <c r="F27" s="102" t="str">
        <f t="shared" si="0"/>
        <v>t pasta de yeso negro yg</v>
      </c>
      <c r="G27" s="105"/>
      <c r="H27" s="107"/>
    </row>
    <row r="28" spans="2:8">
      <c r="B28" s="154" t="s">
        <v>1872</v>
      </c>
      <c r="C28" s="190">
        <v>1000</v>
      </c>
      <c r="D28" s="190">
        <v>2.5</v>
      </c>
      <c r="F28" s="102"/>
      <c r="G28" s="105"/>
      <c r="H28" s="107"/>
    </row>
    <row r="29" spans="2:8" ht="15.5">
      <c r="B29" s="196" t="s">
        <v>236</v>
      </c>
      <c r="C29" s="191"/>
      <c r="D29" s="191"/>
      <c r="F29" s="104" t="s">
        <v>236</v>
      </c>
      <c r="G29" s="114"/>
      <c r="H29" s="115"/>
    </row>
    <row r="30" spans="2:8">
      <c r="B30" s="154" t="s">
        <v>89</v>
      </c>
      <c r="C30" s="192">
        <v>0.48</v>
      </c>
      <c r="D30" s="192">
        <v>100</v>
      </c>
      <c r="F30" s="102" t="str">
        <f t="shared" si="0"/>
        <v>m tubo cobre</v>
      </c>
      <c r="G30" s="106">
        <v>0.48</v>
      </c>
      <c r="H30" s="108">
        <v>100</v>
      </c>
    </row>
    <row r="31" spans="2:8">
      <c r="B31" s="154" t="s">
        <v>76</v>
      </c>
      <c r="C31" s="192">
        <v>8.9999999999999993E-3</v>
      </c>
      <c r="D31" s="192">
        <v>100</v>
      </c>
      <c r="F31" s="102" t="str">
        <f t="shared" si="0"/>
        <v>m cable cobre</v>
      </c>
      <c r="G31" s="106">
        <v>8.9999999999999993E-3</v>
      </c>
      <c r="H31" s="108">
        <v>100</v>
      </c>
    </row>
    <row r="32" spans="2:8" ht="15.5">
      <c r="B32" s="196" t="s">
        <v>275</v>
      </c>
      <c r="C32" s="191"/>
      <c r="D32" s="191"/>
      <c r="F32" s="104" t="s">
        <v>275</v>
      </c>
      <c r="G32" s="114"/>
      <c r="H32" s="115"/>
    </row>
    <row r="33" spans="2:8">
      <c r="B33" s="154" t="s">
        <v>157</v>
      </c>
      <c r="C33" s="192">
        <v>1</v>
      </c>
      <c r="D33" s="190">
        <v>2.0099999999999998</v>
      </c>
      <c r="F33" s="102" t="str">
        <f t="shared" si="0"/>
        <v>kg cal lechada</v>
      </c>
      <c r="G33" s="106">
        <v>1</v>
      </c>
      <c r="H33" s="107">
        <v>2.0099999999999998</v>
      </c>
    </row>
    <row r="34" spans="2:8">
      <c r="B34" s="154" t="s">
        <v>66</v>
      </c>
      <c r="C34" s="190">
        <v>988</v>
      </c>
      <c r="D34" s="190">
        <v>2.0139999999999998</v>
      </c>
      <c r="F34" s="102" t="str">
        <f t="shared" si="0"/>
        <v>m3 lechada de cal aérea cl 90</v>
      </c>
      <c r="G34" s="105">
        <v>988</v>
      </c>
      <c r="H34" s="107">
        <v>2.0139999999999998</v>
      </c>
    </row>
    <row r="35" spans="2:8">
      <c r="B35" s="154" t="s">
        <v>1867</v>
      </c>
      <c r="C35" s="190">
        <v>1000</v>
      </c>
      <c r="D35" s="190">
        <v>4</v>
      </c>
      <c r="F35" s="102" t="str">
        <f t="shared" si="0"/>
        <v>t cal aérea apagada en polvo en sacos</v>
      </c>
      <c r="G35" s="105"/>
      <c r="H35" s="107"/>
    </row>
    <row r="36" spans="2:8" ht="15.5">
      <c r="B36" s="196" t="s">
        <v>253</v>
      </c>
      <c r="C36" s="191"/>
      <c r="D36" s="191"/>
      <c r="F36" s="104" t="s">
        <v>253</v>
      </c>
      <c r="G36" s="114"/>
      <c r="H36" s="115"/>
    </row>
    <row r="37" spans="2:8">
      <c r="B37" s="154" t="s">
        <v>96</v>
      </c>
      <c r="C37" s="192">
        <v>17.175000000000001</v>
      </c>
      <c r="D37" s="192">
        <v>27.5</v>
      </c>
      <c r="F37" s="102" t="str">
        <f t="shared" si="0"/>
        <v>u aparato sanitario</v>
      </c>
      <c r="G37" s="106">
        <v>17.175000000000001</v>
      </c>
      <c r="H37" s="108">
        <v>27.5</v>
      </c>
    </row>
    <row r="38" spans="2:8" ht="15.5">
      <c r="B38" s="196" t="s">
        <v>276</v>
      </c>
      <c r="C38" s="191"/>
      <c r="D38" s="191"/>
      <c r="F38" s="104" t="s">
        <v>276</v>
      </c>
      <c r="G38" s="114"/>
      <c r="H38" s="115"/>
    </row>
    <row r="39" spans="2:8">
      <c r="B39" s="154" t="s">
        <v>110</v>
      </c>
      <c r="C39" s="190">
        <v>1.9</v>
      </c>
      <c r="D39" s="190">
        <v>1.34</v>
      </c>
      <c r="F39" s="102" t="str">
        <f t="shared" si="0"/>
        <v>m3 lechada de cemento cem ii/a-l 32,5 n</v>
      </c>
      <c r="G39" s="105">
        <v>1.9</v>
      </c>
      <c r="H39" s="107">
        <v>1.34</v>
      </c>
    </row>
    <row r="40" spans="2:8">
      <c r="B40" s="154" t="s">
        <v>261</v>
      </c>
      <c r="C40" s="190">
        <v>2.1</v>
      </c>
      <c r="D40" s="190">
        <v>1.34</v>
      </c>
      <c r="F40" s="102" t="str">
        <f t="shared" si="0"/>
        <v>m3 mortero de cemento</v>
      </c>
      <c r="G40" s="105">
        <v>2.1</v>
      </c>
      <c r="H40" s="107">
        <v>1.34</v>
      </c>
    </row>
    <row r="41" spans="2:8">
      <c r="B41" s="154" t="s">
        <v>100</v>
      </c>
      <c r="C41" s="192">
        <v>1000</v>
      </c>
      <c r="D41" s="192">
        <v>7</v>
      </c>
      <c r="F41" s="102" t="str">
        <f t="shared" si="0"/>
        <v>t cemento blanco bl ii/a-l 42,5 r en sacos</v>
      </c>
      <c r="G41" s="106">
        <v>1000</v>
      </c>
      <c r="H41" s="108">
        <v>7</v>
      </c>
    </row>
    <row r="42" spans="2:8">
      <c r="B42" s="154" t="s">
        <v>1873</v>
      </c>
      <c r="C42" s="192">
        <v>1000</v>
      </c>
      <c r="D42" s="192">
        <v>7</v>
      </c>
      <c r="F42" s="102"/>
      <c r="G42" s="106"/>
      <c r="H42" s="108"/>
    </row>
    <row r="43" spans="2:8">
      <c r="B43" s="154" t="s">
        <v>47</v>
      </c>
      <c r="C43" s="192">
        <v>18</v>
      </c>
      <c r="D43" s="190">
        <v>1.34</v>
      </c>
      <c r="F43" s="102" t="str">
        <f t="shared" si="0"/>
        <v>u bovedilla mortero de cemento</v>
      </c>
      <c r="G43" s="106">
        <v>18</v>
      </c>
      <c r="H43" s="107">
        <v>1.34</v>
      </c>
    </row>
    <row r="44" spans="2:8">
      <c r="B44" s="154" t="s">
        <v>262</v>
      </c>
      <c r="C44" s="190">
        <v>1.9</v>
      </c>
      <c r="D44" s="190">
        <v>1.34</v>
      </c>
      <c r="F44" s="102" t="str">
        <f t="shared" si="0"/>
        <v>m3 mortero bastardo</v>
      </c>
      <c r="G44" s="105">
        <v>1.9</v>
      </c>
      <c r="H44" s="107">
        <v>1.34</v>
      </c>
    </row>
    <row r="45" spans="2:8" ht="15.5">
      <c r="B45" s="196" t="s">
        <v>232</v>
      </c>
      <c r="C45" s="191"/>
      <c r="D45" s="191"/>
      <c r="F45" s="104" t="s">
        <v>232</v>
      </c>
      <c r="G45" s="114"/>
      <c r="H45" s="115"/>
    </row>
    <row r="46" spans="2:8">
      <c r="B46" s="154" t="s">
        <v>271</v>
      </c>
      <c r="C46" s="192">
        <v>6.07</v>
      </c>
      <c r="D46" s="192">
        <v>80</v>
      </c>
      <c r="F46" s="102" t="str">
        <f t="shared" si="0"/>
        <v>m2 persiana enrollable pvc</v>
      </c>
      <c r="G46" s="106">
        <v>6.07</v>
      </c>
      <c r="H46" s="108">
        <v>80</v>
      </c>
    </row>
    <row r="47" spans="2:8">
      <c r="B47" s="154" t="s">
        <v>88</v>
      </c>
      <c r="C47" s="192">
        <v>0.2</v>
      </c>
      <c r="D47" s="192">
        <v>80</v>
      </c>
      <c r="F47" s="102" t="str">
        <f t="shared" si="0"/>
        <v>u bote sifónico pvc</v>
      </c>
      <c r="G47" s="106">
        <v>0.2</v>
      </c>
      <c r="H47" s="108">
        <v>80</v>
      </c>
    </row>
    <row r="48" spans="2:8" ht="17.25" customHeight="1">
      <c r="B48" s="154" t="s">
        <v>259</v>
      </c>
      <c r="C48" s="192">
        <v>1.39</v>
      </c>
      <c r="D48" s="192">
        <v>80</v>
      </c>
      <c r="F48" s="102" t="str">
        <f t="shared" si="0"/>
        <v>m bajante pvc</v>
      </c>
      <c r="G48" s="106">
        <v>1.39</v>
      </c>
      <c r="H48" s="108">
        <v>80</v>
      </c>
    </row>
    <row r="49" spans="2:8">
      <c r="B49" s="154" t="s">
        <v>1248</v>
      </c>
      <c r="C49" s="192">
        <v>2.1291818181818174</v>
      </c>
      <c r="D49" s="192">
        <v>80</v>
      </c>
      <c r="F49" s="102" t="str">
        <f t="shared" si="0"/>
        <v>m tubo pvc 110 mm</v>
      </c>
      <c r="G49" s="106">
        <v>2.1291818181818174</v>
      </c>
      <c r="H49" s="108">
        <v>80</v>
      </c>
    </row>
    <row r="50" spans="2:8">
      <c r="B50" s="154" t="s">
        <v>1249</v>
      </c>
      <c r="C50" s="192">
        <v>1.0900000000000001</v>
      </c>
      <c r="D50" s="192">
        <v>80</v>
      </c>
      <c r="F50" s="102" t="str">
        <f>LOWER(B50)</f>
        <v>m tubo pvc 40 mm</v>
      </c>
      <c r="G50" s="106">
        <v>2.1291818181818174</v>
      </c>
      <c r="H50" s="108">
        <v>80</v>
      </c>
    </row>
    <row r="51" spans="2:8">
      <c r="B51" s="154" t="s">
        <v>1250</v>
      </c>
      <c r="C51" s="192">
        <v>0.02</v>
      </c>
      <c r="D51" s="192">
        <v>80</v>
      </c>
      <c r="F51" s="102" t="str">
        <f>LOWER(B51)</f>
        <v>m tubo pvc 13 mm</v>
      </c>
      <c r="G51" s="106">
        <v>2.1291818181818174</v>
      </c>
      <c r="H51" s="108">
        <v>80</v>
      </c>
    </row>
    <row r="52" spans="2:8">
      <c r="B52" s="154" t="s">
        <v>93</v>
      </c>
      <c r="C52" s="192">
        <v>0.31</v>
      </c>
      <c r="D52" s="192">
        <v>80</v>
      </c>
      <c r="F52" s="102" t="str">
        <f t="shared" si="0"/>
        <v>u desague</v>
      </c>
      <c r="G52" s="106">
        <v>0.31</v>
      </c>
      <c r="H52" s="108">
        <v>80</v>
      </c>
    </row>
    <row r="53" spans="2:8" ht="15.5">
      <c r="B53" s="196" t="s">
        <v>230</v>
      </c>
      <c r="C53" s="191"/>
      <c r="D53" s="191"/>
      <c r="F53" s="104" t="s">
        <v>230</v>
      </c>
      <c r="G53" s="114"/>
      <c r="H53" s="115"/>
    </row>
    <row r="54" spans="2:8">
      <c r="B54" s="154" t="s">
        <v>18</v>
      </c>
      <c r="C54" s="192">
        <v>425</v>
      </c>
      <c r="D54" s="192">
        <v>3</v>
      </c>
      <c r="F54" s="102" t="str">
        <f t="shared" si="0"/>
        <v>m3 madera</v>
      </c>
      <c r="G54" s="106">
        <v>425</v>
      </c>
      <c r="H54" s="108">
        <v>3</v>
      </c>
    </row>
    <row r="55" spans="2:8">
      <c r="B55" s="154" t="s">
        <v>132</v>
      </c>
      <c r="C55" s="192">
        <v>650</v>
      </c>
      <c r="D55" s="192">
        <v>3</v>
      </c>
      <c r="F55" s="102" t="str">
        <f t="shared" si="0"/>
        <v>m3 madera sapelly</v>
      </c>
      <c r="G55" s="106">
        <v>650</v>
      </c>
      <c r="H55" s="108">
        <v>3</v>
      </c>
    </row>
    <row r="56" spans="2:8">
      <c r="B56" s="154" t="s">
        <v>130</v>
      </c>
      <c r="C56" s="192">
        <v>11.2</v>
      </c>
      <c r="D56" s="192">
        <v>3</v>
      </c>
      <c r="F56" s="102" t="str">
        <f t="shared" si="0"/>
        <v>u hoja normalizada sapelly 35 mm</v>
      </c>
      <c r="G56" s="106">
        <v>11.2</v>
      </c>
      <c r="H56" s="108">
        <v>3</v>
      </c>
    </row>
    <row r="57" spans="2:8">
      <c r="B57" s="154" t="s">
        <v>129</v>
      </c>
      <c r="C57" s="192">
        <v>2.5613333333333337</v>
      </c>
      <c r="D57" s="192">
        <v>3</v>
      </c>
      <c r="F57" s="102" t="str">
        <f t="shared" si="0"/>
        <v>m cerco sapelly 70x40 mm</v>
      </c>
      <c r="G57" s="106">
        <v>2.5613333333333337</v>
      </c>
      <c r="H57" s="108">
        <v>3</v>
      </c>
    </row>
    <row r="58" spans="2:8">
      <c r="B58" s="154" t="s">
        <v>133</v>
      </c>
      <c r="C58" s="192">
        <v>0.42749999999999999</v>
      </c>
      <c r="D58" s="192">
        <v>3</v>
      </c>
      <c r="F58" s="102" t="str">
        <f t="shared" si="0"/>
        <v>m tapajuntas sapelly 60x15 mm</v>
      </c>
      <c r="G58" s="106">
        <v>0.42749999999999999</v>
      </c>
      <c r="H58" s="108">
        <v>3</v>
      </c>
    </row>
    <row r="59" spans="2:8">
      <c r="B59" s="154" t="s">
        <v>131</v>
      </c>
      <c r="C59" s="192">
        <v>1.2016666666666667</v>
      </c>
      <c r="D59" s="192">
        <v>3</v>
      </c>
      <c r="F59" s="102" t="str">
        <f t="shared" si="0"/>
        <v>m listón pino flandes 70x30 mm</v>
      </c>
      <c r="G59" s="106">
        <v>1.2016666666666667</v>
      </c>
      <c r="H59" s="108">
        <v>3</v>
      </c>
    </row>
    <row r="60" spans="2:8" ht="15.5">
      <c r="B60" s="196" t="s">
        <v>277</v>
      </c>
      <c r="C60" s="191"/>
      <c r="D60" s="191"/>
      <c r="F60" s="104" t="s">
        <v>277</v>
      </c>
      <c r="G60" s="114"/>
      <c r="H60" s="115"/>
    </row>
    <row r="61" spans="2:8">
      <c r="B61" s="154" t="s">
        <v>135</v>
      </c>
      <c r="C61" s="192">
        <v>0.11</v>
      </c>
      <c r="D61" s="192">
        <v>100</v>
      </c>
      <c r="F61" s="102" t="str">
        <f t="shared" si="0"/>
        <v>u pernios de latón 11 cm</v>
      </c>
      <c r="G61" s="106">
        <v>0.11</v>
      </c>
      <c r="H61" s="108">
        <v>100</v>
      </c>
    </row>
    <row r="62" spans="2:8">
      <c r="B62" s="154" t="s">
        <v>136</v>
      </c>
      <c r="C62" s="192">
        <v>0.25600000000000001</v>
      </c>
      <c r="D62" s="192">
        <v>100</v>
      </c>
      <c r="F62" s="102" t="str">
        <f t="shared" si="0"/>
        <v>u picaporte de resbalón</v>
      </c>
      <c r="G62" s="106">
        <v>0.25600000000000001</v>
      </c>
      <c r="H62" s="108">
        <v>100</v>
      </c>
    </row>
    <row r="63" spans="2:8">
      <c r="B63" s="154" t="s">
        <v>140</v>
      </c>
      <c r="C63" s="192">
        <v>0.22</v>
      </c>
      <c r="D63" s="192">
        <v>100</v>
      </c>
      <c r="F63" s="102" t="str">
        <f t="shared" si="0"/>
        <v>u cerradura llave plana</v>
      </c>
      <c r="G63" s="106">
        <v>0.22</v>
      </c>
      <c r="H63" s="108">
        <v>100</v>
      </c>
    </row>
    <row r="64" spans="2:8">
      <c r="B64" s="154" t="s">
        <v>95</v>
      </c>
      <c r="C64" s="192">
        <v>0.35</v>
      </c>
      <c r="D64" s="192">
        <v>100</v>
      </c>
      <c r="F64" s="102" t="str">
        <f t="shared" si="0"/>
        <v>u juego ramalillos flexibles</v>
      </c>
      <c r="G64" s="106">
        <v>0.35</v>
      </c>
      <c r="H64" s="108">
        <v>100</v>
      </c>
    </row>
    <row r="65" spans="2:8">
      <c r="B65" s="154" t="s">
        <v>139</v>
      </c>
      <c r="C65" s="192">
        <v>0.01</v>
      </c>
      <c r="D65" s="192">
        <v>100</v>
      </c>
      <c r="F65" s="102" t="str">
        <f t="shared" si="0"/>
        <v>u agarradores de laton 1ª calidad</v>
      </c>
      <c r="G65" s="106">
        <v>0.01</v>
      </c>
      <c r="H65" s="108">
        <v>100</v>
      </c>
    </row>
    <row r="66" spans="2:8">
      <c r="B66" s="154" t="s">
        <v>134</v>
      </c>
      <c r="C66" s="192">
        <v>0.35</v>
      </c>
      <c r="D66" s="192">
        <v>100</v>
      </c>
      <c r="F66" s="102" t="str">
        <f t="shared" si="0"/>
        <v>u juego de pomos o manivelas de laton</v>
      </c>
      <c r="G66" s="106">
        <v>0.35</v>
      </c>
      <c r="H66" s="108">
        <v>100</v>
      </c>
    </row>
    <row r="67" spans="2:8" ht="15.5">
      <c r="B67" s="196" t="s">
        <v>278</v>
      </c>
      <c r="C67" s="191"/>
      <c r="D67" s="191"/>
      <c r="F67" s="104" t="s">
        <v>278</v>
      </c>
      <c r="G67" s="114"/>
      <c r="H67" s="115"/>
    </row>
    <row r="68" spans="2:8">
      <c r="B68" s="154" t="s">
        <v>119</v>
      </c>
      <c r="C68" s="192">
        <v>89</v>
      </c>
      <c r="D68" s="192">
        <v>2</v>
      </c>
      <c r="F68" s="102" t="str">
        <f t="shared" si="0"/>
        <v>m remate piedra caliza de 7x5 cm</v>
      </c>
      <c r="G68" s="106">
        <v>89</v>
      </c>
      <c r="H68" s="108">
        <v>2</v>
      </c>
    </row>
    <row r="69" spans="2:8">
      <c r="B69" s="154" t="s">
        <v>269</v>
      </c>
      <c r="C69" s="192">
        <v>89</v>
      </c>
      <c r="D69" s="192">
        <v>2</v>
      </c>
      <c r="F69" s="102" t="str">
        <f t="shared" si="0"/>
        <v>m2 baldosa terrazo</v>
      </c>
      <c r="G69" s="106">
        <v>89</v>
      </c>
      <c r="H69" s="108">
        <v>2</v>
      </c>
    </row>
    <row r="70" spans="2:8" ht="15.5">
      <c r="B70" s="196" t="s">
        <v>279</v>
      </c>
      <c r="C70" s="191"/>
      <c r="D70" s="191"/>
      <c r="F70" s="104" t="s">
        <v>279</v>
      </c>
      <c r="G70" s="114"/>
      <c r="H70" s="115"/>
    </row>
    <row r="71" spans="2:8">
      <c r="B71" s="154" t="s">
        <v>118</v>
      </c>
      <c r="C71" s="192">
        <v>2.7</v>
      </c>
      <c r="D71" s="192">
        <v>160</v>
      </c>
      <c r="F71" s="544" t="str">
        <f t="shared" si="0"/>
        <v>m2 entramado metálico techo escayola</v>
      </c>
      <c r="G71" s="545">
        <v>2.7</v>
      </c>
      <c r="H71" s="546">
        <v>160</v>
      </c>
    </row>
    <row r="72" spans="2:8">
      <c r="B72" s="154" t="s">
        <v>839</v>
      </c>
      <c r="C72" s="192">
        <v>2.7</v>
      </c>
      <c r="D72" s="192">
        <v>160</v>
      </c>
      <c r="F72" s="547" t="s">
        <v>839</v>
      </c>
      <c r="G72" s="109">
        <v>2.7</v>
      </c>
      <c r="H72" s="548">
        <v>160</v>
      </c>
    </row>
    <row r="73" spans="2:8" ht="15.5">
      <c r="B73" s="196" t="s">
        <v>239</v>
      </c>
      <c r="C73" s="191"/>
      <c r="D73" s="191"/>
      <c r="F73" s="541" t="s">
        <v>239</v>
      </c>
      <c r="G73" s="542"/>
      <c r="H73" s="543"/>
    </row>
    <row r="74" spans="2:8">
      <c r="B74" s="154" t="s">
        <v>90</v>
      </c>
      <c r="C74" s="192">
        <v>0.74690000000000001</v>
      </c>
      <c r="D74" s="192">
        <v>85</v>
      </c>
      <c r="F74" s="102" t="str">
        <f t="shared" si="0"/>
        <v>m tubo corrugado p/polietileno</v>
      </c>
      <c r="G74" s="106">
        <v>0.74690000000000001</v>
      </c>
      <c r="H74" s="108">
        <v>85</v>
      </c>
    </row>
    <row r="75" spans="2:8">
      <c r="B75" s="154" t="s">
        <v>268</v>
      </c>
      <c r="C75" s="192">
        <v>0.185</v>
      </c>
      <c r="D75" s="192">
        <v>85</v>
      </c>
      <c r="F75" s="102" t="str">
        <f t="shared" si="0"/>
        <v>m2 lámina polietileno</v>
      </c>
      <c r="G75" s="106">
        <v>0.185</v>
      </c>
      <c r="H75" s="108">
        <v>85</v>
      </c>
    </row>
    <row r="76" spans="2:8" ht="15.5">
      <c r="B76" s="196" t="s">
        <v>280</v>
      </c>
      <c r="C76" s="191"/>
      <c r="D76" s="191"/>
      <c r="F76" s="104" t="s">
        <v>280</v>
      </c>
      <c r="G76" s="114"/>
      <c r="H76" s="115"/>
    </row>
    <row r="77" spans="2:8">
      <c r="B77" s="154" t="s">
        <v>99</v>
      </c>
      <c r="C77" s="190">
        <v>12</v>
      </c>
      <c r="D77" s="192">
        <v>110</v>
      </c>
      <c r="F77" s="102" t="str">
        <f t="shared" ref="F77:F105" si="1">LOWER(B77)</f>
        <v>m3 poliestireno</v>
      </c>
      <c r="G77" s="105">
        <v>12</v>
      </c>
      <c r="H77" s="108">
        <v>110</v>
      </c>
    </row>
    <row r="78" spans="2:8">
      <c r="B78" s="154" t="s">
        <v>67</v>
      </c>
      <c r="C78" s="192">
        <v>12</v>
      </c>
      <c r="D78" s="192">
        <v>110</v>
      </c>
      <c r="F78" s="102" t="str">
        <f t="shared" si="1"/>
        <v>m3 poliestireno planchas rigidas, dens. 12 kg/m3</v>
      </c>
      <c r="G78" s="106">
        <v>12</v>
      </c>
      <c r="H78" s="108">
        <v>110</v>
      </c>
    </row>
    <row r="79" spans="2:8">
      <c r="B79" s="154" t="s">
        <v>84</v>
      </c>
      <c r="C79" s="192">
        <v>0.09</v>
      </c>
      <c r="D79" s="192">
        <v>110</v>
      </c>
      <c r="F79" s="102" t="str">
        <f t="shared" si="1"/>
        <v>u base enchufe ii+t 10/16 a c/placa</v>
      </c>
      <c r="G79" s="106">
        <v>0.09</v>
      </c>
      <c r="H79" s="108">
        <v>110</v>
      </c>
    </row>
    <row r="80" spans="2:8">
      <c r="B80" s="154" t="s">
        <v>80</v>
      </c>
      <c r="C80" s="192">
        <v>0.03</v>
      </c>
      <c r="D80" s="192">
        <v>110</v>
      </c>
      <c r="F80" s="102" t="str">
        <f t="shared" si="1"/>
        <v>u cajillo universal enlazable</v>
      </c>
      <c r="G80" s="106">
        <v>0.03</v>
      </c>
      <c r="H80" s="108">
        <v>110</v>
      </c>
    </row>
    <row r="81" spans="2:8">
      <c r="B81" s="154" t="s">
        <v>81</v>
      </c>
      <c r="C81" s="192">
        <v>7.0000000000000007E-2</v>
      </c>
      <c r="D81" s="192">
        <v>110</v>
      </c>
      <c r="F81" s="102" t="str">
        <f t="shared" si="1"/>
        <v>u interruptor sencillo</v>
      </c>
      <c r="G81" s="106">
        <v>7.0000000000000007E-2</v>
      </c>
      <c r="H81" s="108">
        <v>110</v>
      </c>
    </row>
    <row r="82" spans="2:8" ht="15.5">
      <c r="B82" s="196" t="s">
        <v>281</v>
      </c>
      <c r="C82" s="191"/>
      <c r="D82" s="191"/>
      <c r="F82" s="104" t="s">
        <v>281</v>
      </c>
      <c r="G82" s="114"/>
      <c r="H82" s="115"/>
    </row>
    <row r="83" spans="2:8">
      <c r="B83" s="154" t="s">
        <v>152</v>
      </c>
      <c r="C83" s="192">
        <v>1</v>
      </c>
      <c r="D83" s="192">
        <v>100</v>
      </c>
      <c r="F83" s="102" t="str">
        <f t="shared" si="1"/>
        <v>kg esmalte graso</v>
      </c>
      <c r="G83" s="106">
        <v>1</v>
      </c>
      <c r="H83" s="108">
        <v>100</v>
      </c>
    </row>
    <row r="84" spans="2:8">
      <c r="B84" s="154" t="s">
        <v>153</v>
      </c>
      <c r="C84" s="192">
        <v>1</v>
      </c>
      <c r="D84" s="192">
        <v>100</v>
      </c>
      <c r="F84" s="102" t="str">
        <f t="shared" si="1"/>
        <v>kg imprimación antioxidante</v>
      </c>
      <c r="G84" s="106">
        <v>1</v>
      </c>
      <c r="H84" s="108">
        <v>100</v>
      </c>
    </row>
    <row r="85" spans="2:8">
      <c r="B85" s="154" t="s">
        <v>155</v>
      </c>
      <c r="C85" s="192">
        <v>1</v>
      </c>
      <c r="D85" s="192">
        <v>100</v>
      </c>
      <c r="F85" s="102" t="str">
        <f t="shared" si="1"/>
        <v>kg pintura elastómera acrílica lisa</v>
      </c>
      <c r="G85" s="106">
        <v>1</v>
      </c>
      <c r="H85" s="108">
        <v>100</v>
      </c>
    </row>
    <row r="86" spans="2:8">
      <c r="B86" s="154" t="s">
        <v>64</v>
      </c>
      <c r="C86" s="192">
        <v>1</v>
      </c>
      <c r="D86" s="192">
        <v>20</v>
      </c>
      <c r="F86" s="102" t="str">
        <f t="shared" si="1"/>
        <v>kg pintura oxiasfalto</v>
      </c>
      <c r="G86" s="106">
        <v>1</v>
      </c>
      <c r="H86" s="108">
        <v>20</v>
      </c>
    </row>
    <row r="87" spans="2:8">
      <c r="B87" s="154" t="s">
        <v>160</v>
      </c>
      <c r="C87" s="192">
        <v>1</v>
      </c>
      <c r="D87" s="192">
        <v>20</v>
      </c>
      <c r="F87" s="102" t="str">
        <f t="shared" si="1"/>
        <v>kg pintura plástica</v>
      </c>
      <c r="G87" s="106">
        <v>1</v>
      </c>
      <c r="H87" s="108">
        <v>20</v>
      </c>
    </row>
    <row r="88" spans="2:8">
      <c r="B88" s="154" t="s">
        <v>161</v>
      </c>
      <c r="C88" s="192">
        <v>1</v>
      </c>
      <c r="D88" s="192">
        <v>100</v>
      </c>
      <c r="F88" s="102" t="str">
        <f t="shared" si="1"/>
        <v>kg temple</v>
      </c>
      <c r="G88" s="106">
        <v>1</v>
      </c>
      <c r="H88" s="108">
        <v>100</v>
      </c>
    </row>
    <row r="89" spans="2:8">
      <c r="B89" s="154" t="s">
        <v>158</v>
      </c>
      <c r="C89" s="192">
        <v>1</v>
      </c>
      <c r="D89" s="192">
        <v>100</v>
      </c>
      <c r="F89" s="102" t="str">
        <f t="shared" si="1"/>
        <v>kg wash primmer</v>
      </c>
      <c r="G89" s="106">
        <v>1</v>
      </c>
      <c r="H89" s="108">
        <v>100</v>
      </c>
    </row>
    <row r="90" spans="2:8">
      <c r="B90" s="154" t="s">
        <v>20</v>
      </c>
      <c r="C90" s="192">
        <v>0.9</v>
      </c>
      <c r="D90" s="192">
        <v>100</v>
      </c>
      <c r="F90" s="102" t="str">
        <f t="shared" si="1"/>
        <v>l  desencofrante</v>
      </c>
      <c r="G90" s="106">
        <v>0.9</v>
      </c>
      <c r="H90" s="108">
        <v>100</v>
      </c>
    </row>
    <row r="91" spans="2:8">
      <c r="B91" s="154" t="s">
        <v>154</v>
      </c>
      <c r="C91" s="192">
        <v>0.86</v>
      </c>
      <c r="D91" s="192">
        <v>100</v>
      </c>
      <c r="F91" s="102" t="str">
        <f t="shared" si="1"/>
        <v>l disolvente</v>
      </c>
      <c r="G91" s="106">
        <v>0.86</v>
      </c>
      <c r="H91" s="108">
        <v>100</v>
      </c>
    </row>
    <row r="92" spans="2:8">
      <c r="B92" s="154" t="s">
        <v>150</v>
      </c>
      <c r="C92" s="192">
        <v>1</v>
      </c>
      <c r="D92" s="192">
        <v>100</v>
      </c>
      <c r="F92" s="102" t="str">
        <f t="shared" si="1"/>
        <v>kg masilla plastica</v>
      </c>
      <c r="G92" s="106">
        <v>1</v>
      </c>
      <c r="H92" s="108">
        <v>100</v>
      </c>
    </row>
    <row r="93" spans="2:8">
      <c r="B93" s="154" t="s">
        <v>159</v>
      </c>
      <c r="C93" s="192">
        <v>1</v>
      </c>
      <c r="D93" s="192">
        <v>20</v>
      </c>
      <c r="F93" s="102" t="str">
        <f t="shared" si="1"/>
        <v>kg selladora</v>
      </c>
      <c r="G93" s="106">
        <v>1</v>
      </c>
      <c r="H93" s="108">
        <v>20</v>
      </c>
    </row>
    <row r="94" spans="2:8">
      <c r="B94" s="154" t="s">
        <v>124</v>
      </c>
      <c r="C94" s="192">
        <v>0.12</v>
      </c>
      <c r="D94" s="192">
        <v>100</v>
      </c>
      <c r="F94" s="102" t="str">
        <f t="shared" si="1"/>
        <v>m junta de sellado</v>
      </c>
      <c r="G94" s="106">
        <v>0.12</v>
      </c>
      <c r="H94" s="108">
        <v>100</v>
      </c>
    </row>
    <row r="95" spans="2:8" ht="15.5">
      <c r="B95" s="196" t="s">
        <v>282</v>
      </c>
      <c r="C95" s="191"/>
      <c r="D95" s="191"/>
      <c r="F95" s="104" t="s">
        <v>282</v>
      </c>
      <c r="G95" s="114"/>
      <c r="H95" s="115"/>
    </row>
    <row r="96" spans="2:8">
      <c r="B96" s="154" t="s">
        <v>149</v>
      </c>
      <c r="C96" s="192">
        <v>10</v>
      </c>
      <c r="D96" s="192">
        <v>18</v>
      </c>
      <c r="F96" s="102" t="str">
        <f t="shared" si="1"/>
        <v>m2 vidrio</v>
      </c>
      <c r="G96" s="106">
        <v>10</v>
      </c>
      <c r="H96" s="108">
        <v>18</v>
      </c>
    </row>
    <row r="97" spans="2:8" ht="15.5">
      <c r="B97" s="196" t="s">
        <v>283</v>
      </c>
      <c r="C97" s="191"/>
      <c r="D97" s="191"/>
      <c r="F97" s="104" t="s">
        <v>283</v>
      </c>
      <c r="G97" s="114"/>
      <c r="H97" s="115"/>
    </row>
    <row r="98" spans="2:8">
      <c r="B98" s="154" t="s">
        <v>39</v>
      </c>
      <c r="C98" s="190">
        <v>5.9800000000000001E-3</v>
      </c>
      <c r="D98" s="190">
        <v>80</v>
      </c>
      <c r="F98" s="102" t="str">
        <f t="shared" si="1"/>
        <v xml:space="preserve">m cinta señalizacion </v>
      </c>
      <c r="G98" s="105">
        <v>5.9800000000000001E-3</v>
      </c>
      <c r="H98" s="107">
        <v>80</v>
      </c>
    </row>
    <row r="99" spans="2:8">
      <c r="B99" s="154" t="s">
        <v>45</v>
      </c>
      <c r="C99" s="192">
        <v>29</v>
      </c>
      <c r="D99" s="190">
        <v>13.6</v>
      </c>
      <c r="F99" s="102" t="str">
        <f t="shared" si="1"/>
        <v>m vigueta autorresistente pretensada</v>
      </c>
      <c r="G99" s="106">
        <v>29</v>
      </c>
      <c r="H99" s="107">
        <v>13.6</v>
      </c>
    </row>
    <row r="100" spans="2:8">
      <c r="B100" s="154" t="s">
        <v>63</v>
      </c>
      <c r="C100" s="192">
        <v>4</v>
      </c>
      <c r="D100" s="192">
        <v>10</v>
      </c>
      <c r="F100" s="102" t="str">
        <f t="shared" si="1"/>
        <v>m2 membrana betún modif. arm. doble polietileno 4 mm</v>
      </c>
      <c r="G100" s="106">
        <v>4</v>
      </c>
      <c r="H100" s="108">
        <v>10</v>
      </c>
    </row>
    <row r="101" spans="2:8">
      <c r="B101" s="154" t="s">
        <v>7</v>
      </c>
      <c r="C101" s="190">
        <v>0</v>
      </c>
      <c r="D101" s="190">
        <v>0</v>
      </c>
      <c r="F101" s="102" t="str">
        <f t="shared" si="1"/>
        <v>m3 agua potable</v>
      </c>
      <c r="G101" s="105">
        <v>0</v>
      </c>
      <c r="H101" s="107">
        <v>0</v>
      </c>
    </row>
    <row r="102" spans="2:8">
      <c r="B102" s="154" t="s">
        <v>265</v>
      </c>
      <c r="C102" s="192">
        <v>10</v>
      </c>
      <c r="D102" s="190">
        <v>0</v>
      </c>
      <c r="F102" s="102" t="str">
        <f t="shared" si="1"/>
        <v>u calentador eléctrico</v>
      </c>
      <c r="G102" s="106">
        <v>10</v>
      </c>
      <c r="H102" s="107">
        <v>0</v>
      </c>
    </row>
    <row r="103" spans="2:8">
      <c r="B103" s="154" t="s">
        <v>35</v>
      </c>
      <c r="C103" s="190">
        <v>0</v>
      </c>
      <c r="D103" s="190">
        <v>0</v>
      </c>
      <c r="F103" s="102" t="str">
        <f t="shared" si="1"/>
        <v>u material complementario o pzas. especiales</v>
      </c>
      <c r="G103" s="105">
        <v>0</v>
      </c>
      <c r="H103" s="107">
        <v>0</v>
      </c>
    </row>
    <row r="104" spans="2:8">
      <c r="B104" s="154" t="s">
        <v>19</v>
      </c>
      <c r="C104" s="190">
        <v>0</v>
      </c>
      <c r="D104" s="190">
        <v>0</v>
      </c>
      <c r="F104" s="102" t="str">
        <f t="shared" si="1"/>
        <v>u pequeño material</v>
      </c>
      <c r="G104" s="105">
        <v>0</v>
      </c>
      <c r="H104" s="107">
        <v>0</v>
      </c>
    </row>
    <row r="105" spans="2:8" ht="15" thickBot="1">
      <c r="B105" s="193" t="s">
        <v>144</v>
      </c>
      <c r="C105" s="194">
        <v>7</v>
      </c>
      <c r="D105" s="195">
        <v>80</v>
      </c>
      <c r="F105" s="103" t="str">
        <f t="shared" si="1"/>
        <v>u rulo y mecanismos persiana</v>
      </c>
      <c r="G105" s="109">
        <v>7</v>
      </c>
      <c r="H105" s="110">
        <v>80</v>
      </c>
    </row>
  </sheetData>
  <mergeCells count="1">
    <mergeCell ref="B1:D1"/>
  </mergeCells>
  <pageMargins left="0.70866141732283472" right="0.70866141732283472" top="0.74803149606299213" bottom="0.74803149606299213" header="0.31496062992125984" footer="0.31496062992125984"/>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E29"/>
  <sheetViews>
    <sheetView workbookViewId="0">
      <selection activeCell="C4" sqref="C4"/>
    </sheetView>
  </sheetViews>
  <sheetFormatPr defaultColWidth="10.90625" defaultRowHeight="14.5"/>
  <cols>
    <col min="2" max="2" width="76" customWidth="1"/>
    <col min="3" max="3" width="13.81640625" customWidth="1"/>
    <col min="4" max="4" width="12.1796875" customWidth="1"/>
  </cols>
  <sheetData>
    <row r="1" spans="2:5" ht="23.25" customHeight="1">
      <c r="B1" s="4621" t="s">
        <v>647</v>
      </c>
      <c r="C1" s="4621"/>
    </row>
    <row r="2" spans="2:5" ht="17.25" customHeight="1" thickBot="1">
      <c r="B2" s="203" t="s">
        <v>674</v>
      </c>
      <c r="C2" s="160" t="str">
        <f>'Seleccion proyecto HEREVEA02'!L6</f>
        <v>c107</v>
      </c>
    </row>
    <row r="3" spans="2:5" ht="23.25" customHeight="1">
      <c r="B3" s="4951" t="s">
        <v>775</v>
      </c>
      <c r="C3" s="4952"/>
    </row>
    <row r="4" spans="2:5" ht="26">
      <c r="B4" s="391" t="s">
        <v>649</v>
      </c>
      <c r="C4" s="124">
        <f>SUMIF('Datos auxilares consumo agua'!E5:E10,'Seleccion proyecto HEREVEA02'!L10,'Datos auxilares consumo agua'!F5:F10)*'Seleccion proyecto HEREVEA02'!L8</f>
        <v>751.53560129999994</v>
      </c>
      <c r="D4" s="463"/>
      <c r="E4" s="461"/>
    </row>
    <row r="5" spans="2:5">
      <c r="B5" s="390" t="s">
        <v>316</v>
      </c>
      <c r="C5" s="142">
        <f>'Datos auxiliares general'!C6/30</f>
        <v>12.166666666666666</v>
      </c>
    </row>
    <row r="6" spans="2:5">
      <c r="B6" s="391" t="s">
        <v>317</v>
      </c>
      <c r="C6" s="143">
        <f>'Datos auxilares consumo agua'!C4</f>
        <v>12.726000000000001</v>
      </c>
    </row>
    <row r="7" spans="2:5">
      <c r="B7" s="391" t="s">
        <v>320</v>
      </c>
      <c r="C7" s="143">
        <f>'Datos auxilares consumo agua'!C5</f>
        <v>5.1479999999999997</v>
      </c>
    </row>
    <row r="8" spans="2:5">
      <c r="B8" s="391" t="s">
        <v>318</v>
      </c>
      <c r="C8" s="143">
        <f>'Datos auxilares consumo agua'!C6</f>
        <v>5.1479999999999997</v>
      </c>
    </row>
    <row r="9" spans="2:5">
      <c r="B9" s="405" t="s">
        <v>319</v>
      </c>
      <c r="C9" s="143">
        <f>'Datos auxilares consumo agua'!C7</f>
        <v>0.65800000000000003</v>
      </c>
    </row>
    <row r="10" spans="2:5">
      <c r="B10" s="405" t="s">
        <v>321</v>
      </c>
      <c r="C10" s="143">
        <f>'Datos auxilares consumo agua'!C8</f>
        <v>0.249</v>
      </c>
    </row>
    <row r="11" spans="2:5">
      <c r="B11" s="405" t="s">
        <v>322</v>
      </c>
      <c r="C11" s="143">
        <f>'Datos auxilares consumo agua'!C9</f>
        <v>0.25600000000000001</v>
      </c>
    </row>
    <row r="12" spans="2:5">
      <c r="B12" s="405" t="s">
        <v>323</v>
      </c>
      <c r="C12" s="143">
        <f>'Datos auxilares consumo agua'!C10</f>
        <v>0.28999999999999998</v>
      </c>
    </row>
    <row r="13" spans="2:5">
      <c r="B13" s="405" t="s">
        <v>324</v>
      </c>
      <c r="C13" s="143">
        <f>'Datos auxilares consumo agua'!C11</f>
        <v>9.1999999999999998E-2</v>
      </c>
    </row>
    <row r="14" spans="2:5">
      <c r="B14" s="141" t="s">
        <v>503</v>
      </c>
      <c r="C14" s="144">
        <f>(C4-C5*(C6+C7+C8))/(C9+C10+C11+C12+C13)</f>
        <v>305.13566427184458</v>
      </c>
    </row>
    <row r="15" spans="2:5">
      <c r="B15" s="401" t="s">
        <v>325</v>
      </c>
      <c r="C15" s="402">
        <v>1500</v>
      </c>
    </row>
    <row r="16" spans="2:5">
      <c r="B16" s="403" t="s">
        <v>326</v>
      </c>
      <c r="C16" s="404">
        <f>'Datos auxiliares general'!C8</f>
        <v>1.26</v>
      </c>
    </row>
    <row r="17" spans="2:3" ht="15" thickBot="1">
      <c r="B17" s="412" t="s">
        <v>732</v>
      </c>
      <c r="C17" s="407">
        <f>C14/C15*C16</f>
        <v>0.25631395798834944</v>
      </c>
    </row>
    <row r="21" spans="2:3">
      <c r="B21" s="38" t="s">
        <v>767</v>
      </c>
      <c r="C21" s="397"/>
    </row>
    <row r="22" spans="2:3">
      <c r="B22" s="38"/>
      <c r="C22" s="38"/>
    </row>
    <row r="23" spans="2:3">
      <c r="B23" s="38" t="s">
        <v>771</v>
      </c>
      <c r="C23" s="398"/>
    </row>
    <row r="24" spans="2:3">
      <c r="B24" s="38"/>
      <c r="C24" s="38"/>
    </row>
    <row r="25" spans="2:3">
      <c r="B25" s="38" t="s">
        <v>772</v>
      </c>
      <c r="C25" s="406"/>
    </row>
    <row r="26" spans="2:3">
      <c r="B26" s="38"/>
      <c r="C26" s="38"/>
    </row>
    <row r="27" spans="2:3">
      <c r="B27" s="38" t="s">
        <v>769</v>
      </c>
      <c r="C27" s="399"/>
    </row>
    <row r="28" spans="2:3">
      <c r="B28" s="38"/>
      <c r="C28" s="38"/>
    </row>
    <row r="29" spans="2:3">
      <c r="B29" s="38" t="s">
        <v>770</v>
      </c>
      <c r="C29" s="400"/>
    </row>
  </sheetData>
  <mergeCells count="2">
    <mergeCell ref="B3:C3"/>
    <mergeCell ref="B1:C1"/>
  </mergeCells>
  <pageMargins left="0.70866141732283472" right="0.70866141732283472" top="0.74803149606299213" bottom="0.74803149606299213" header="0.31496062992125984" footer="0.31496062992125984"/>
  <pageSetup paperSize="9" scale="85"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DN118"/>
  <sheetViews>
    <sheetView topLeftCell="C13" workbookViewId="0">
      <selection activeCell="K22" sqref="K22"/>
    </sheetView>
  </sheetViews>
  <sheetFormatPr defaultColWidth="10.90625" defaultRowHeight="14.5"/>
  <cols>
    <col min="1" max="1" width="4.81640625" customWidth="1"/>
    <col min="3" max="3" width="16.54296875" customWidth="1"/>
    <col min="4" max="4" width="17.26953125" customWidth="1"/>
    <col min="6" max="6" width="59" customWidth="1"/>
    <col min="7" max="7" width="14.7265625" customWidth="1"/>
    <col min="10" max="10" width="47.1796875" customWidth="1"/>
  </cols>
  <sheetData>
    <row r="1" spans="1:11" ht="20.25" customHeight="1">
      <c r="F1" s="4955" t="s">
        <v>659</v>
      </c>
      <c r="G1" s="4955"/>
      <c r="H1" s="1"/>
      <c r="I1" s="1"/>
      <c r="J1" s="1"/>
      <c r="K1" s="1"/>
    </row>
    <row r="2" spans="1:11" ht="21.75" customHeight="1" thickBot="1">
      <c r="B2" t="s">
        <v>525</v>
      </c>
      <c r="F2" s="204" t="s">
        <v>674</v>
      </c>
      <c r="G2" s="202" t="str">
        <f>'Seleccion proyecto HEREVEA02'!L6</f>
        <v>c107</v>
      </c>
      <c r="H2" s="1"/>
      <c r="I2" s="1"/>
      <c r="J2" s="1"/>
      <c r="K2" s="117"/>
    </row>
    <row r="3" spans="1:11" ht="43.5" customHeight="1">
      <c r="B3" s="435" t="s">
        <v>163</v>
      </c>
      <c r="C3" s="436" t="s">
        <v>678</v>
      </c>
      <c r="D3" s="436" t="s">
        <v>679</v>
      </c>
      <c r="F3" s="4953" t="s">
        <v>777</v>
      </c>
      <c r="G3" s="4954"/>
    </row>
    <row r="4" spans="1:11">
      <c r="B4" s="223" t="s">
        <v>375</v>
      </c>
      <c r="C4" s="233">
        <v>0.33</v>
      </c>
      <c r="D4" s="233">
        <v>0.13</v>
      </c>
      <c r="F4" s="140" t="s">
        <v>334</v>
      </c>
      <c r="G4" s="385">
        <f>'Huella mano de obra'!U29</f>
        <v>13</v>
      </c>
    </row>
    <row r="5" spans="1:11">
      <c r="A5" s="4917"/>
      <c r="B5" s="225" t="s">
        <v>293</v>
      </c>
      <c r="C5" s="421">
        <v>0.33</v>
      </c>
      <c r="D5" s="421">
        <v>0.17</v>
      </c>
      <c r="F5" s="390" t="s">
        <v>349</v>
      </c>
      <c r="G5" s="419">
        <f>'Datos auxiliares general'!C6/365</f>
        <v>1</v>
      </c>
    </row>
    <row r="6" spans="1:11">
      <c r="A6" s="4917"/>
      <c r="B6" s="225" t="s">
        <v>376</v>
      </c>
      <c r="C6" s="422"/>
      <c r="D6" s="422"/>
      <c r="F6" s="391" t="s">
        <v>350</v>
      </c>
      <c r="G6" s="143">
        <f>'Datos auxiliares residuos'!C4</f>
        <v>0.57299999999999995</v>
      </c>
    </row>
    <row r="7" spans="1:11">
      <c r="A7" s="4917"/>
      <c r="B7" s="225" t="s">
        <v>377</v>
      </c>
      <c r="C7" s="423">
        <v>0.33</v>
      </c>
      <c r="D7" s="423">
        <v>0.13</v>
      </c>
      <c r="F7" s="140" t="s">
        <v>351</v>
      </c>
      <c r="G7" s="214">
        <f>G4*G5*G6</f>
        <v>7.4489999999999998</v>
      </c>
    </row>
    <row r="8" spans="1:11">
      <c r="A8" s="4543"/>
      <c r="B8" s="225" t="s">
        <v>378</v>
      </c>
      <c r="C8" s="422"/>
      <c r="D8" s="422"/>
      <c r="F8" s="140" t="s">
        <v>639</v>
      </c>
      <c r="G8" s="148">
        <v>44</v>
      </c>
    </row>
    <row r="9" spans="1:11">
      <c r="A9" s="4543"/>
      <c r="B9" s="225" t="s">
        <v>379</v>
      </c>
      <c r="C9" s="421">
        <v>0.33</v>
      </c>
      <c r="D9" s="421">
        <v>0.13</v>
      </c>
      <c r="F9" s="140" t="s">
        <v>640</v>
      </c>
      <c r="G9" s="148">
        <v>21</v>
      </c>
    </row>
    <row r="10" spans="1:11">
      <c r="A10" s="76"/>
      <c r="B10" s="225" t="s">
        <v>380</v>
      </c>
      <c r="C10" s="422"/>
      <c r="D10" s="422"/>
      <c r="F10" s="140" t="s">
        <v>641</v>
      </c>
      <c r="G10" s="148">
        <v>11</v>
      </c>
    </row>
    <row r="11" spans="1:11">
      <c r="A11" s="16"/>
      <c r="B11" s="225" t="s">
        <v>381</v>
      </c>
      <c r="C11" s="421">
        <v>0.33</v>
      </c>
      <c r="D11" s="421">
        <v>0.17</v>
      </c>
      <c r="F11" s="140" t="s">
        <v>642</v>
      </c>
      <c r="G11" s="148">
        <v>7</v>
      </c>
    </row>
    <row r="12" spans="1:11">
      <c r="A12" s="16"/>
      <c r="B12" s="225" t="s">
        <v>382</v>
      </c>
      <c r="C12" s="423">
        <v>0.33</v>
      </c>
      <c r="D12" s="423">
        <v>0.13</v>
      </c>
      <c r="F12" s="213" t="s">
        <v>675</v>
      </c>
      <c r="G12" s="215">
        <f>SUMIF('Datos auxiliares residuos'!$C$15:$DM$15,'Seleccion proyecto HEREVEA02'!$L$6,'Datos auxiliares residuos'!C16:DM16)</f>
        <v>0.2</v>
      </c>
      <c r="H12" s="2009"/>
    </row>
    <row r="13" spans="1:11">
      <c r="A13" s="420"/>
      <c r="B13" s="225" t="s">
        <v>383</v>
      </c>
      <c r="C13" s="423">
        <v>0.33</v>
      </c>
      <c r="D13" s="423">
        <v>0.17</v>
      </c>
      <c r="F13" s="213" t="s">
        <v>677</v>
      </c>
      <c r="G13" s="215">
        <f>SUMIF('Datos auxiliares residuos'!$C$15:$DM$15,'Seleccion proyecto HEREVEA02'!$L$6,'Datos auxiliares residuos'!C17:DM17)</f>
        <v>0.15</v>
      </c>
    </row>
    <row r="14" spans="1:11">
      <c r="A14" s="420"/>
      <c r="B14" s="225" t="s">
        <v>384</v>
      </c>
      <c r="C14" s="423">
        <v>0.33</v>
      </c>
      <c r="D14" s="423">
        <v>0.17</v>
      </c>
      <c r="F14" s="213" t="s">
        <v>676</v>
      </c>
      <c r="G14" s="216">
        <f>G12*'Seleccion proyecto HEREVEA02'!L8</f>
        <v>2220.1938</v>
      </c>
    </row>
    <row r="15" spans="1:11">
      <c r="A15" s="420"/>
      <c r="B15" s="225" t="s">
        <v>385</v>
      </c>
      <c r="C15" s="423">
        <v>0.33</v>
      </c>
      <c r="D15" s="423">
        <v>0.13</v>
      </c>
      <c r="F15" s="140" t="s">
        <v>352</v>
      </c>
      <c r="G15" s="143">
        <f>G8/100*$G$7</f>
        <v>3.2775599999999998</v>
      </c>
    </row>
    <row r="16" spans="1:11">
      <c r="A16" s="420"/>
      <c r="B16" s="225" t="s">
        <v>386</v>
      </c>
      <c r="C16" s="423">
        <v>0.33</v>
      </c>
      <c r="D16" s="423">
        <v>0.13</v>
      </c>
      <c r="F16" s="140" t="s">
        <v>353</v>
      </c>
      <c r="G16" s="143">
        <f>G9/100*$G$7</f>
        <v>1.56429</v>
      </c>
    </row>
    <row r="17" spans="1:13">
      <c r="A17" s="420"/>
      <c r="B17" s="225" t="s">
        <v>387</v>
      </c>
      <c r="C17" s="423">
        <v>0.33</v>
      </c>
      <c r="D17" s="423">
        <v>0.13</v>
      </c>
      <c r="F17" s="140" t="s">
        <v>354</v>
      </c>
      <c r="G17" s="143">
        <f>G10/100*$G$7</f>
        <v>0.81938999999999995</v>
      </c>
      <c r="J17" t="s">
        <v>1065</v>
      </c>
    </row>
    <row r="18" spans="1:13">
      <c r="A18" s="420"/>
      <c r="B18" s="225" t="s">
        <v>388</v>
      </c>
      <c r="C18" s="423">
        <v>0.33</v>
      </c>
      <c r="D18" s="423">
        <v>0.13</v>
      </c>
      <c r="F18" s="140" t="s">
        <v>355</v>
      </c>
      <c r="G18" s="143">
        <f>G11/100*$G$7</f>
        <v>0.52143000000000006</v>
      </c>
    </row>
    <row r="19" spans="1:13">
      <c r="A19" s="420"/>
      <c r="B19" s="225" t="s">
        <v>389</v>
      </c>
      <c r="C19" s="423">
        <v>0.33</v>
      </c>
      <c r="D19" s="423">
        <v>0.15</v>
      </c>
      <c r="F19" s="213" t="s">
        <v>361</v>
      </c>
      <c r="G19" s="216">
        <f>'Seleccion proyecto HEREVEA02'!L8*G13</f>
        <v>1665.1453499999998</v>
      </c>
      <c r="H19" t="s">
        <v>684</v>
      </c>
      <c r="J19" t="s">
        <v>1058</v>
      </c>
      <c r="K19">
        <v>20</v>
      </c>
    </row>
    <row r="20" spans="1:13">
      <c r="A20" s="420"/>
      <c r="B20" s="225" t="s">
        <v>390</v>
      </c>
      <c r="C20" s="423">
        <v>0.33</v>
      </c>
      <c r="D20" s="423">
        <v>0.15</v>
      </c>
      <c r="F20" s="391" t="s">
        <v>356</v>
      </c>
      <c r="G20" s="212">
        <f>'Datos auxiliares residuos'!C5</f>
        <v>0.30880000000000002</v>
      </c>
      <c r="J20" t="s">
        <v>1057</v>
      </c>
      <c r="K20" s="663">
        <f>G19/K19</f>
        <v>83.257267499999983</v>
      </c>
    </row>
    <row r="21" spans="1:13">
      <c r="A21" s="420"/>
      <c r="B21" s="225" t="s">
        <v>391</v>
      </c>
      <c r="C21" s="424"/>
      <c r="D21" s="424"/>
      <c r="F21" s="391" t="s">
        <v>357</v>
      </c>
      <c r="G21" s="212">
        <f>'Datos auxiliares residuos'!C6</f>
        <v>1.1477999999999999</v>
      </c>
      <c r="J21" s="140" t="s">
        <v>336</v>
      </c>
      <c r="K21" s="152">
        <f>K20</f>
        <v>83.257267499999983</v>
      </c>
    </row>
    <row r="22" spans="1:13" ht="16">
      <c r="A22" s="420"/>
      <c r="B22" s="225" t="s">
        <v>392</v>
      </c>
      <c r="C22" s="424"/>
      <c r="D22" s="424"/>
      <c r="F22" s="391" t="s">
        <v>358</v>
      </c>
      <c r="G22" s="212">
        <f>'Datos auxiliares residuos'!C7</f>
        <v>0.55900000000000005</v>
      </c>
      <c r="J22" s="391" t="s">
        <v>653</v>
      </c>
      <c r="K22" s="156">
        <f>'Datos auxiliares mano de obra'!$C$12</f>
        <v>30</v>
      </c>
    </row>
    <row r="23" spans="1:13">
      <c r="A23" s="420"/>
      <c r="B23" s="225" t="s">
        <v>393</v>
      </c>
      <c r="C23" s="423">
        <v>0.33</v>
      </c>
      <c r="D23" s="423">
        <v>0.15</v>
      </c>
      <c r="F23" s="391" t="s">
        <v>359</v>
      </c>
      <c r="G23" s="212">
        <f>'Datos auxiliares residuos'!C8</f>
        <v>0.29809999999999998</v>
      </c>
      <c r="J23" s="140" t="s">
        <v>337</v>
      </c>
      <c r="K23" s="152">
        <f>K22*K21</f>
        <v>2497.7180249999997</v>
      </c>
    </row>
    <row r="24" spans="1:13">
      <c r="A24" s="420"/>
      <c r="B24" s="225" t="s">
        <v>394</v>
      </c>
      <c r="C24" s="423">
        <v>0.33</v>
      </c>
      <c r="D24" s="423">
        <v>0.15</v>
      </c>
      <c r="F24" s="391" t="s">
        <v>360</v>
      </c>
      <c r="G24" s="212">
        <f>'Datos auxiliares residuos'!C9</f>
        <v>3.2800000000000003E-2</v>
      </c>
      <c r="J24" s="401" t="s">
        <v>338</v>
      </c>
      <c r="K24" s="158">
        <f>'Datos auxiliares mano de obra'!$C$14</f>
        <v>6.8</v>
      </c>
    </row>
    <row r="25" spans="1:13" ht="15" thickBot="1">
      <c r="A25" s="420"/>
      <c r="B25" s="225" t="s">
        <v>395</v>
      </c>
      <c r="C25" s="423">
        <v>0.33</v>
      </c>
      <c r="D25" s="423">
        <v>0.15</v>
      </c>
      <c r="F25" s="412" t="s">
        <v>817</v>
      </c>
      <c r="G25" s="433">
        <f>G15*G20+G16*G21+G17*G22+G18*G23</f>
        <v>3.4210798830000004</v>
      </c>
      <c r="J25" s="401" t="s">
        <v>493</v>
      </c>
      <c r="K25" s="974">
        <v>26</v>
      </c>
      <c r="L25">
        <v>26</v>
      </c>
      <c r="M25" s="248" t="s">
        <v>1063</v>
      </c>
    </row>
    <row r="26" spans="1:13" s="22" customFormat="1" ht="16.5" thickBot="1">
      <c r="A26" s="420"/>
      <c r="B26" s="225" t="s">
        <v>396</v>
      </c>
      <c r="C26" s="423">
        <v>0.33</v>
      </c>
      <c r="D26" s="423">
        <v>0.15</v>
      </c>
      <c r="F26" s="412" t="s">
        <v>818</v>
      </c>
      <c r="G26" s="433">
        <f>G19*G24</f>
        <v>54.61676748</v>
      </c>
      <c r="J26" s="401" t="s">
        <v>654</v>
      </c>
      <c r="K26" s="409">
        <f>'Datos auxiliares mano de obra'!$C$16</f>
        <v>2.89</v>
      </c>
      <c r="M26" s="973" t="s">
        <v>1064</v>
      </c>
    </row>
    <row r="27" spans="1:13" ht="16.5" thickBot="1">
      <c r="A27" s="420"/>
      <c r="B27" s="225" t="s">
        <v>397</v>
      </c>
      <c r="C27" s="423">
        <v>0.33</v>
      </c>
      <c r="D27" s="423">
        <v>0.15</v>
      </c>
      <c r="F27" s="539" t="s">
        <v>838</v>
      </c>
      <c r="G27" s="540">
        <f>G25+G26</f>
        <v>58.037847362999997</v>
      </c>
      <c r="J27" s="401" t="s">
        <v>1061</v>
      </c>
      <c r="K27" s="409">
        <f>'Datos auxiliares mano de obra'!$C$17</f>
        <v>3.09</v>
      </c>
    </row>
    <row r="28" spans="1:13">
      <c r="A28" s="420"/>
      <c r="B28" s="225" t="s">
        <v>398</v>
      </c>
      <c r="C28" s="423">
        <v>0.33</v>
      </c>
      <c r="D28" s="423">
        <v>0.15</v>
      </c>
      <c r="F28" s="201"/>
      <c r="G28" s="200"/>
      <c r="J28" s="141" t="s">
        <v>345</v>
      </c>
      <c r="K28" s="410">
        <f>K23*K25/100</f>
        <v>649.40668649999998</v>
      </c>
    </row>
    <row r="29" spans="1:13">
      <c r="A29" s="420"/>
      <c r="B29" s="225" t="s">
        <v>399</v>
      </c>
      <c r="C29" s="423">
        <v>0.79</v>
      </c>
      <c r="D29" s="423">
        <v>0.15</v>
      </c>
      <c r="F29" s="4955" t="s">
        <v>672</v>
      </c>
      <c r="G29" s="4955"/>
      <c r="J29" s="401" t="s">
        <v>339</v>
      </c>
      <c r="K29" s="409">
        <f>1+('Datos auxiliares mano de obra'!$C$13/100)</f>
        <v>1.1000000000000001</v>
      </c>
    </row>
    <row r="30" spans="1:13" ht="16" thickBot="1">
      <c r="A30" s="420"/>
      <c r="B30" s="225" t="s">
        <v>400</v>
      </c>
      <c r="C30" s="423">
        <v>0.99</v>
      </c>
      <c r="D30" s="423">
        <v>0.15</v>
      </c>
      <c r="F30" s="204" t="s">
        <v>674</v>
      </c>
      <c r="G30" s="202" t="e">
        <f>#REF!</f>
        <v>#REF!</v>
      </c>
      <c r="J30" s="401" t="s">
        <v>299</v>
      </c>
      <c r="K30" s="408">
        <f>'Datos auxiliares mano de obra'!$C$18</f>
        <v>35</v>
      </c>
    </row>
    <row r="31" spans="1:13">
      <c r="A31" s="420"/>
      <c r="B31" s="225" t="s">
        <v>401</v>
      </c>
      <c r="C31" s="424"/>
      <c r="D31" s="424"/>
      <c r="F31" s="4619" t="s">
        <v>778</v>
      </c>
      <c r="G31" s="4620"/>
      <c r="J31" s="403" t="s">
        <v>340</v>
      </c>
      <c r="K31" s="408">
        <f>'Datos auxiliares general'!$C$7</f>
        <v>71000</v>
      </c>
    </row>
    <row r="32" spans="1:13">
      <c r="A32" s="420"/>
      <c r="B32" s="225" t="s">
        <v>402</v>
      </c>
      <c r="C32" s="424"/>
      <c r="D32" s="424"/>
      <c r="F32" s="140" t="s">
        <v>362</v>
      </c>
      <c r="G32" s="149">
        <f>'Seleccion proyecto HEREVEA02'!L8/('Seleccion proyecto HEREVEA02'!L10*10000)</f>
        <v>0.11100968999999999</v>
      </c>
      <c r="J32" s="141" t="s">
        <v>341</v>
      </c>
      <c r="K32" s="159">
        <f>K28*K30*K29/K31</f>
        <v>0.35214306239788734</v>
      </c>
    </row>
    <row r="33" spans="1:118">
      <c r="A33" s="420"/>
      <c r="B33" s="225" t="s">
        <v>403</v>
      </c>
      <c r="C33" s="424"/>
      <c r="D33" s="424"/>
      <c r="F33" s="390" t="s">
        <v>313</v>
      </c>
      <c r="G33" s="151">
        <f>'Datos auxiliares general'!C9</f>
        <v>2.5099999999999998</v>
      </c>
      <c r="J33" s="403" t="s">
        <v>326</v>
      </c>
      <c r="K33" s="410">
        <f>'Datos auxiliares general'!$C$8</f>
        <v>1.26</v>
      </c>
    </row>
    <row r="34" spans="1:118" ht="15" thickBot="1">
      <c r="A34" s="420"/>
      <c r="B34" s="225" t="s">
        <v>404</v>
      </c>
      <c r="C34" s="424"/>
      <c r="D34" s="424"/>
      <c r="F34" s="417" t="s">
        <v>779</v>
      </c>
      <c r="G34" s="434">
        <f>G32*G33</f>
        <v>0.27863432189999998</v>
      </c>
      <c r="J34" s="412" t="s">
        <v>731</v>
      </c>
      <c r="K34" s="411">
        <f>K32*K33</f>
        <v>0.44370025862133805</v>
      </c>
      <c r="L34">
        <v>5.4199999999999998E-2</v>
      </c>
    </row>
    <row r="35" spans="1:118">
      <c r="A35" s="420"/>
      <c r="B35" s="225" t="s">
        <v>405</v>
      </c>
      <c r="C35" s="424"/>
      <c r="D35" s="424"/>
    </row>
    <row r="36" spans="1:118">
      <c r="A36" s="420"/>
      <c r="B36" s="225" t="s">
        <v>406</v>
      </c>
      <c r="C36" s="422"/>
      <c r="D36" s="422"/>
    </row>
    <row r="37" spans="1:118">
      <c r="A37" s="16"/>
      <c r="B37" s="225" t="s">
        <v>407</v>
      </c>
      <c r="C37" s="422"/>
      <c r="D37" s="422"/>
      <c r="F37" s="38" t="s">
        <v>767</v>
      </c>
      <c r="G37" s="397"/>
    </row>
    <row r="38" spans="1:118">
      <c r="A38" s="16"/>
      <c r="B38" s="225" t="s">
        <v>408</v>
      </c>
      <c r="C38" s="422"/>
      <c r="D38" s="422"/>
      <c r="F38" s="38"/>
      <c r="G38" s="38"/>
    </row>
    <row r="39" spans="1:118">
      <c r="A39" s="16"/>
      <c r="B39" s="225" t="s">
        <v>409</v>
      </c>
      <c r="C39" s="422"/>
      <c r="D39" s="422"/>
      <c r="F39" s="38" t="s">
        <v>768</v>
      </c>
      <c r="G39" s="398"/>
    </row>
    <row r="40" spans="1:118">
      <c r="A40" s="16"/>
      <c r="B40" s="225" t="s">
        <v>410</v>
      </c>
      <c r="C40" s="422"/>
      <c r="D40" s="422"/>
      <c r="F40" s="38"/>
      <c r="G40" s="38"/>
    </row>
    <row r="41" spans="1:118">
      <c r="A41" s="16"/>
      <c r="B41" s="225" t="s">
        <v>411</v>
      </c>
      <c r="C41" s="423">
        <v>0.99</v>
      </c>
      <c r="D41" s="423">
        <v>0.15</v>
      </c>
      <c r="F41" s="38" t="s">
        <v>769</v>
      </c>
      <c r="G41" s="399"/>
    </row>
    <row r="42" spans="1:118">
      <c r="A42" s="16"/>
      <c r="B42" s="225" t="s">
        <v>412</v>
      </c>
      <c r="C42" s="423">
        <v>0.16</v>
      </c>
      <c r="D42" s="423">
        <v>0.14000000000000001</v>
      </c>
      <c r="F42" s="38"/>
      <c r="G42" s="38"/>
    </row>
    <row r="43" spans="1:118">
      <c r="A43" s="16"/>
      <c r="B43" s="225" t="s">
        <v>413</v>
      </c>
      <c r="C43" s="423">
        <v>0.7</v>
      </c>
      <c r="D43" s="423">
        <v>0.14000000000000001</v>
      </c>
      <c r="F43" s="38" t="s">
        <v>770</v>
      </c>
      <c r="G43" s="400"/>
    </row>
    <row r="44" spans="1:118">
      <c r="A44" s="16"/>
      <c r="B44" s="225" t="s">
        <v>414</v>
      </c>
      <c r="C44" s="423">
        <v>0.79</v>
      </c>
      <c r="D44" s="423">
        <v>0.15</v>
      </c>
      <c r="G44" s="28"/>
    </row>
    <row r="45" spans="1:118">
      <c r="A45" s="16"/>
      <c r="B45" s="225" t="s">
        <v>415</v>
      </c>
      <c r="C45" s="423">
        <v>0.2</v>
      </c>
      <c r="D45" s="423">
        <v>0.15</v>
      </c>
      <c r="H45" s="282"/>
      <c r="I45" s="282"/>
      <c r="J45" s="14"/>
      <c r="K45" s="14"/>
      <c r="L45" s="76"/>
      <c r="M45" s="16"/>
      <c r="N45" s="16"/>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row>
    <row r="46" spans="1:118">
      <c r="A46" s="16"/>
      <c r="B46" s="225" t="s">
        <v>416</v>
      </c>
      <c r="C46" s="423">
        <v>0.7</v>
      </c>
      <c r="D46" s="423">
        <v>0.14000000000000001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row>
    <row r="47" spans="1:118">
      <c r="A47" s="16"/>
      <c r="B47" s="225" t="s">
        <v>417</v>
      </c>
      <c r="C47" s="423">
        <v>0.79</v>
      </c>
      <c r="D47" s="423">
        <v>0.15</v>
      </c>
      <c r="F47" s="16"/>
      <c r="G47" s="282"/>
      <c r="H47" s="428"/>
      <c r="I47" s="429"/>
      <c r="J47" s="430"/>
      <c r="K47" s="429"/>
      <c r="L47" s="428"/>
      <c r="M47" s="429"/>
      <c r="N47" s="428"/>
      <c r="O47" s="430"/>
      <c r="P47" s="430"/>
      <c r="Q47" s="430"/>
      <c r="R47" s="430"/>
      <c r="S47" s="430"/>
      <c r="T47" s="430"/>
      <c r="U47" s="430"/>
      <c r="V47" s="430"/>
      <c r="W47" s="430"/>
      <c r="X47" s="431"/>
      <c r="Y47" s="431"/>
      <c r="Z47" s="430"/>
      <c r="AA47" s="430"/>
      <c r="AB47" s="430"/>
      <c r="AC47" s="430"/>
      <c r="AD47" s="430"/>
      <c r="AE47" s="430"/>
      <c r="AF47" s="430"/>
      <c r="AG47" s="430"/>
      <c r="AH47" s="431"/>
      <c r="AI47" s="431"/>
      <c r="AJ47" s="431"/>
      <c r="AK47" s="431"/>
      <c r="AL47" s="431"/>
      <c r="AM47" s="429"/>
      <c r="AN47" s="429"/>
      <c r="AO47" s="429"/>
      <c r="AP47" s="429"/>
      <c r="AQ47" s="429"/>
      <c r="AR47" s="430"/>
      <c r="AS47" s="430"/>
      <c r="AT47" s="430"/>
      <c r="AU47" s="430"/>
      <c r="AV47" s="430"/>
      <c r="AW47" s="430"/>
      <c r="AX47" s="430"/>
      <c r="AY47" s="430"/>
      <c r="AZ47" s="430"/>
      <c r="BA47" s="430"/>
      <c r="BB47" s="430"/>
      <c r="BC47" s="430"/>
      <c r="BD47" s="430"/>
      <c r="BE47" s="430"/>
      <c r="BF47" s="430"/>
      <c r="BG47" s="430"/>
      <c r="BH47" s="430"/>
      <c r="BI47" s="430"/>
      <c r="BJ47" s="430"/>
      <c r="BK47" s="430"/>
      <c r="BL47" s="430"/>
      <c r="BM47" s="430"/>
      <c r="BN47" s="430"/>
      <c r="BO47" s="430"/>
      <c r="BP47" s="430"/>
      <c r="BQ47" s="430"/>
      <c r="BR47" s="430"/>
      <c r="BS47" s="430"/>
      <c r="BT47" s="430"/>
      <c r="BU47" s="430"/>
      <c r="BV47" s="430"/>
      <c r="BW47" s="430"/>
      <c r="BX47" s="430"/>
      <c r="BY47" s="430"/>
      <c r="BZ47" s="430"/>
      <c r="CA47" s="430"/>
      <c r="CB47" s="430"/>
      <c r="CC47" s="430"/>
      <c r="CD47" s="430"/>
      <c r="CE47" s="430"/>
      <c r="CF47" s="430"/>
      <c r="CG47" s="430"/>
      <c r="CH47" s="430"/>
      <c r="CI47" s="430"/>
      <c r="CJ47" s="430"/>
      <c r="CK47" s="430"/>
      <c r="CL47" s="428"/>
      <c r="CM47" s="430"/>
      <c r="CN47" s="430"/>
      <c r="CO47" s="430"/>
      <c r="CP47" s="430"/>
      <c r="CQ47" s="430"/>
      <c r="CR47" s="430"/>
      <c r="CS47" s="430"/>
      <c r="CT47" s="430"/>
      <c r="CU47" s="430"/>
      <c r="CV47" s="430"/>
      <c r="CW47" s="430"/>
      <c r="CX47" s="430"/>
      <c r="CY47" s="430"/>
      <c r="CZ47" s="430"/>
      <c r="DA47" s="430"/>
      <c r="DB47" s="430"/>
      <c r="DC47" s="430"/>
      <c r="DD47" s="430"/>
      <c r="DE47" s="430"/>
      <c r="DF47" s="430"/>
      <c r="DG47" s="430"/>
      <c r="DH47" s="432"/>
      <c r="DI47" s="430"/>
      <c r="DJ47" s="430"/>
      <c r="DK47" s="430"/>
      <c r="DL47" s="432"/>
      <c r="DM47" s="430"/>
      <c r="DN47" s="16"/>
    </row>
    <row r="48" spans="1:118">
      <c r="A48" s="16"/>
      <c r="B48" s="225" t="s">
        <v>418</v>
      </c>
      <c r="C48" s="423">
        <v>0.99</v>
      </c>
      <c r="D48" s="423">
        <v>0.15</v>
      </c>
      <c r="F48" s="426"/>
      <c r="G48" s="16"/>
      <c r="H48" s="428"/>
      <c r="I48" s="429"/>
      <c r="J48" s="430"/>
      <c r="K48" s="429"/>
      <c r="L48" s="428"/>
      <c r="M48" s="429"/>
      <c r="N48" s="428"/>
      <c r="O48" s="430"/>
      <c r="P48" s="430"/>
      <c r="Q48" s="430"/>
      <c r="R48" s="430"/>
      <c r="S48" s="430"/>
      <c r="T48" s="430"/>
      <c r="U48" s="430"/>
      <c r="V48" s="430"/>
      <c r="W48" s="430"/>
      <c r="X48" s="431"/>
      <c r="Y48" s="431"/>
      <c r="Z48" s="430"/>
      <c r="AA48" s="430"/>
      <c r="AB48" s="430"/>
      <c r="AC48" s="430"/>
      <c r="AD48" s="430"/>
      <c r="AE48" s="430"/>
      <c r="AF48" s="430"/>
      <c r="AG48" s="430"/>
      <c r="AH48" s="431"/>
      <c r="AI48" s="431"/>
      <c r="AJ48" s="431"/>
      <c r="AK48" s="431"/>
      <c r="AL48" s="431"/>
      <c r="AM48" s="429"/>
      <c r="AN48" s="429"/>
      <c r="AO48" s="429"/>
      <c r="AP48" s="429"/>
      <c r="AQ48" s="429"/>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28"/>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2"/>
      <c r="DI48" s="430"/>
      <c r="DJ48" s="430"/>
      <c r="DK48" s="430"/>
      <c r="DL48" s="432"/>
      <c r="DM48" s="430"/>
      <c r="DN48" s="16"/>
    </row>
    <row r="49" spans="1:118">
      <c r="A49" s="16"/>
      <c r="B49" s="225" t="s">
        <v>419</v>
      </c>
      <c r="C49" s="423">
        <v>0.99</v>
      </c>
      <c r="D49" s="423">
        <v>0.15</v>
      </c>
      <c r="F49" s="427"/>
      <c r="G49" s="428"/>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row>
    <row r="50" spans="1:118">
      <c r="A50" s="16"/>
      <c r="B50" s="225" t="s">
        <v>420</v>
      </c>
      <c r="C50" s="423">
        <v>0.2</v>
      </c>
      <c r="D50" s="423">
        <v>0.15</v>
      </c>
      <c r="F50" s="427"/>
      <c r="G50" s="428"/>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row>
    <row r="51" spans="1:118">
      <c r="A51" s="16"/>
      <c r="B51" s="225" t="s">
        <v>421</v>
      </c>
      <c r="C51" s="423">
        <v>0.7</v>
      </c>
      <c r="D51" s="423">
        <v>0.14000000000000001</v>
      </c>
      <c r="F51" s="16"/>
      <c r="G51" s="16"/>
    </row>
    <row r="52" spans="1:118">
      <c r="A52" s="16"/>
      <c r="B52" s="225" t="s">
        <v>422</v>
      </c>
      <c r="C52" s="423">
        <v>0.79</v>
      </c>
      <c r="D52" s="423">
        <v>0.15</v>
      </c>
      <c r="F52" s="16"/>
      <c r="G52" s="16"/>
    </row>
    <row r="53" spans="1:118">
      <c r="A53" s="16"/>
      <c r="B53" s="225" t="s">
        <v>423</v>
      </c>
      <c r="C53" s="423">
        <v>0.2</v>
      </c>
      <c r="D53" s="423">
        <v>0.15</v>
      </c>
    </row>
    <row r="54" spans="1:118">
      <c r="A54" s="16"/>
      <c r="B54" s="225" t="s">
        <v>424</v>
      </c>
      <c r="C54" s="423">
        <v>0.7</v>
      </c>
      <c r="D54" s="423">
        <v>0.14000000000000001</v>
      </c>
    </row>
    <row r="55" spans="1:118">
      <c r="A55" s="16"/>
      <c r="B55" s="225" t="s">
        <v>425</v>
      </c>
      <c r="C55" s="423">
        <v>0.21</v>
      </c>
      <c r="D55" s="423">
        <v>0.16</v>
      </c>
    </row>
    <row r="56" spans="1:118">
      <c r="A56" s="16"/>
      <c r="B56" s="225" t="s">
        <v>426</v>
      </c>
      <c r="C56" s="423">
        <v>0.21</v>
      </c>
      <c r="D56" s="423">
        <v>0.16</v>
      </c>
    </row>
    <row r="57" spans="1:118">
      <c r="A57" s="16"/>
      <c r="B57" s="225" t="s">
        <v>427</v>
      </c>
      <c r="C57" s="423">
        <v>0.2</v>
      </c>
      <c r="D57" s="423">
        <v>0.15</v>
      </c>
    </row>
    <row r="58" spans="1:118">
      <c r="A58" s="16"/>
      <c r="B58" s="225" t="s">
        <v>428</v>
      </c>
      <c r="C58" s="423">
        <v>0.33</v>
      </c>
      <c r="D58" s="423">
        <v>0.15</v>
      </c>
    </row>
    <row r="59" spans="1:118">
      <c r="A59" s="16"/>
      <c r="B59" s="225" t="s">
        <v>429</v>
      </c>
      <c r="C59" s="423">
        <v>0.2</v>
      </c>
      <c r="D59" s="423">
        <v>0.15</v>
      </c>
    </row>
    <row r="60" spans="1:118">
      <c r="A60" s="16"/>
      <c r="B60" s="225" t="s">
        <v>430</v>
      </c>
      <c r="C60" s="423">
        <v>0.2</v>
      </c>
      <c r="D60" s="423">
        <v>0.15</v>
      </c>
    </row>
    <row r="61" spans="1:118">
      <c r="A61" s="16"/>
      <c r="B61" s="225" t="s">
        <v>431</v>
      </c>
      <c r="C61" s="423">
        <v>0.33</v>
      </c>
      <c r="D61" s="423">
        <v>0.13</v>
      </c>
    </row>
    <row r="62" spans="1:118">
      <c r="A62" s="16"/>
      <c r="B62" s="225" t="s">
        <v>432</v>
      </c>
      <c r="C62" s="423">
        <v>0.2</v>
      </c>
      <c r="D62" s="423">
        <v>0.15</v>
      </c>
    </row>
    <row r="63" spans="1:118">
      <c r="A63" s="16"/>
      <c r="B63" s="225" t="s">
        <v>433</v>
      </c>
      <c r="C63" s="423">
        <v>0.21</v>
      </c>
      <c r="D63" s="423">
        <v>0.16</v>
      </c>
    </row>
    <row r="64" spans="1:118">
      <c r="A64" s="16"/>
      <c r="B64" s="225" t="s">
        <v>434</v>
      </c>
      <c r="C64" s="423">
        <v>0.21</v>
      </c>
      <c r="D64" s="423">
        <v>0.16</v>
      </c>
    </row>
    <row r="65" spans="1:4">
      <c r="A65" s="16"/>
      <c r="B65" s="225" t="s">
        <v>435</v>
      </c>
      <c r="C65" s="423">
        <v>0.2</v>
      </c>
      <c r="D65" s="423">
        <v>0.15</v>
      </c>
    </row>
    <row r="66" spans="1:4">
      <c r="A66" s="16"/>
      <c r="B66" s="225" t="s">
        <v>436</v>
      </c>
      <c r="C66" s="423">
        <v>0.33</v>
      </c>
      <c r="D66" s="423">
        <v>0.13</v>
      </c>
    </row>
    <row r="67" spans="1:4">
      <c r="A67" s="16"/>
      <c r="B67" s="225" t="s">
        <v>437</v>
      </c>
      <c r="C67" s="423">
        <v>0.2</v>
      </c>
      <c r="D67" s="423">
        <v>0.15</v>
      </c>
    </row>
    <row r="68" spans="1:4">
      <c r="A68" s="16"/>
      <c r="B68" s="225" t="s">
        <v>438</v>
      </c>
      <c r="C68" s="423">
        <v>0.2</v>
      </c>
      <c r="D68" s="423">
        <v>0.15</v>
      </c>
    </row>
    <row r="69" spans="1:4">
      <c r="A69" s="16"/>
      <c r="B69" s="225" t="s">
        <v>439</v>
      </c>
      <c r="C69" s="423">
        <v>0.2</v>
      </c>
      <c r="D69" s="423">
        <v>0.15</v>
      </c>
    </row>
    <row r="70" spans="1:4">
      <c r="A70" s="16"/>
      <c r="B70" s="225" t="s">
        <v>440</v>
      </c>
      <c r="C70" s="423">
        <v>0.2</v>
      </c>
      <c r="D70" s="423">
        <v>0.15</v>
      </c>
    </row>
    <row r="71" spans="1:4">
      <c r="A71" s="16"/>
      <c r="B71" s="225" t="s">
        <v>441</v>
      </c>
      <c r="C71" s="423">
        <v>0.47</v>
      </c>
      <c r="D71" s="423">
        <v>0.15</v>
      </c>
    </row>
    <row r="72" spans="1:4">
      <c r="A72" s="16"/>
      <c r="B72" s="225" t="s">
        <v>442</v>
      </c>
      <c r="C72" s="423">
        <v>0.47</v>
      </c>
      <c r="D72" s="423">
        <v>0.15</v>
      </c>
    </row>
    <row r="73" spans="1:4">
      <c r="A73" s="16"/>
      <c r="B73" s="225" t="s">
        <v>443</v>
      </c>
      <c r="C73" s="423">
        <v>0.47</v>
      </c>
      <c r="D73" s="423">
        <v>0.15</v>
      </c>
    </row>
    <row r="74" spans="1:4">
      <c r="A74" s="16"/>
      <c r="B74" s="225" t="s">
        <v>444</v>
      </c>
      <c r="C74" s="423">
        <v>0.47</v>
      </c>
      <c r="D74" s="423">
        <v>0.15</v>
      </c>
    </row>
    <row r="75" spans="1:4">
      <c r="A75" s="16"/>
      <c r="B75" s="225" t="s">
        <v>445</v>
      </c>
      <c r="C75" s="423">
        <v>0.8</v>
      </c>
      <c r="D75" s="423">
        <v>0.15</v>
      </c>
    </row>
    <row r="76" spans="1:4">
      <c r="A76" s="16"/>
      <c r="B76" s="225" t="s">
        <v>446</v>
      </c>
      <c r="C76" s="423">
        <v>0.8</v>
      </c>
      <c r="D76" s="423">
        <v>0.15</v>
      </c>
    </row>
    <row r="77" spans="1:4">
      <c r="A77" s="16"/>
      <c r="B77" s="225" t="s">
        <v>447</v>
      </c>
      <c r="C77" s="423">
        <v>0.8</v>
      </c>
      <c r="D77" s="423">
        <v>0.15</v>
      </c>
    </row>
    <row r="78" spans="1:4">
      <c r="A78" s="16"/>
      <c r="B78" s="225" t="s">
        <v>448</v>
      </c>
      <c r="C78" s="423">
        <v>0.8</v>
      </c>
      <c r="D78" s="423">
        <v>0.15</v>
      </c>
    </row>
    <row r="79" spans="1:4">
      <c r="A79" s="16"/>
      <c r="B79" s="225" t="s">
        <v>449</v>
      </c>
      <c r="C79" s="423">
        <v>1</v>
      </c>
      <c r="D79" s="423">
        <v>0.15</v>
      </c>
    </row>
    <row r="80" spans="1:4">
      <c r="A80" s="16"/>
      <c r="B80" s="225" t="s">
        <v>450</v>
      </c>
      <c r="C80" s="423">
        <v>1</v>
      </c>
      <c r="D80" s="423">
        <v>0.15</v>
      </c>
    </row>
    <row r="81" spans="1:4">
      <c r="A81" s="16"/>
      <c r="B81" s="225" t="s">
        <v>451</v>
      </c>
      <c r="C81" s="423">
        <v>1</v>
      </c>
      <c r="D81" s="423">
        <v>0.15</v>
      </c>
    </row>
    <row r="82" spans="1:4">
      <c r="A82" s="16"/>
      <c r="B82" s="225" t="s">
        <v>452</v>
      </c>
      <c r="C82" s="423">
        <v>1</v>
      </c>
      <c r="D82" s="423">
        <v>0.15</v>
      </c>
    </row>
    <row r="83" spans="1:4">
      <c r="A83" s="16"/>
      <c r="B83" s="225" t="s">
        <v>453</v>
      </c>
      <c r="C83" s="423">
        <v>0.7</v>
      </c>
      <c r="D83" s="423">
        <v>0.15</v>
      </c>
    </row>
    <row r="84" spans="1:4">
      <c r="A84" s="16"/>
      <c r="B84" s="225" t="s">
        <v>454</v>
      </c>
      <c r="C84" s="423">
        <v>0.7</v>
      </c>
      <c r="D84" s="423">
        <v>0.15</v>
      </c>
    </row>
    <row r="85" spans="1:4">
      <c r="A85" s="16"/>
      <c r="B85" s="225" t="s">
        <v>455</v>
      </c>
      <c r="C85" s="423">
        <v>0.7</v>
      </c>
      <c r="D85" s="423">
        <v>0.15</v>
      </c>
    </row>
    <row r="86" spans="1:4">
      <c r="A86" s="16"/>
      <c r="B86" s="225" t="s">
        <v>456</v>
      </c>
      <c r="C86" s="423">
        <v>0.7</v>
      </c>
      <c r="D86" s="423">
        <v>0.15</v>
      </c>
    </row>
    <row r="87" spans="1:4">
      <c r="A87" s="16"/>
      <c r="B87" s="225" t="s">
        <v>457</v>
      </c>
      <c r="C87" s="421">
        <v>0.47</v>
      </c>
      <c r="D87" s="421">
        <v>0.19</v>
      </c>
    </row>
    <row r="88" spans="1:4">
      <c r="A88" s="16"/>
      <c r="B88" s="225" t="s">
        <v>458</v>
      </c>
      <c r="C88" s="423">
        <v>0.47</v>
      </c>
      <c r="D88" s="423">
        <v>0.19</v>
      </c>
    </row>
    <row r="89" spans="1:4">
      <c r="A89" s="16"/>
      <c r="B89" s="225" t="s">
        <v>459</v>
      </c>
      <c r="C89" s="423">
        <v>0.56000000000000005</v>
      </c>
      <c r="D89" s="423">
        <v>0.19</v>
      </c>
    </row>
    <row r="90" spans="1:4">
      <c r="A90" s="16"/>
      <c r="B90" s="225" t="s">
        <v>460</v>
      </c>
      <c r="C90" s="423">
        <v>0.56000000000000005</v>
      </c>
      <c r="D90" s="423">
        <v>0.19</v>
      </c>
    </row>
    <row r="91" spans="1:4">
      <c r="A91" s="16"/>
      <c r="B91" s="225" t="s">
        <v>461</v>
      </c>
      <c r="C91" s="423">
        <v>1.1499999999999999</v>
      </c>
      <c r="D91" s="423">
        <v>0.14000000000000001</v>
      </c>
    </row>
    <row r="92" spans="1:4">
      <c r="A92" s="16"/>
      <c r="B92" s="225" t="s">
        <v>462</v>
      </c>
      <c r="C92" s="423">
        <v>0.93</v>
      </c>
      <c r="D92" s="423">
        <v>0.14000000000000001</v>
      </c>
    </row>
    <row r="93" spans="1:4">
      <c r="A93" s="16"/>
      <c r="B93" s="225" t="s">
        <v>463</v>
      </c>
      <c r="C93" s="423">
        <v>0.81</v>
      </c>
      <c r="D93" s="423">
        <v>0.14000000000000001</v>
      </c>
    </row>
    <row r="94" spans="1:4">
      <c r="A94" s="16"/>
      <c r="B94" s="225" t="s">
        <v>464</v>
      </c>
      <c r="C94" s="423">
        <v>0.54</v>
      </c>
      <c r="D94" s="423">
        <v>0.13</v>
      </c>
    </row>
    <row r="95" spans="1:4">
      <c r="A95" s="16"/>
      <c r="B95" s="225" t="s">
        <v>465</v>
      </c>
      <c r="C95" s="423">
        <v>1.1499999999999999</v>
      </c>
      <c r="D95" s="423">
        <v>0.14000000000000001</v>
      </c>
    </row>
    <row r="96" spans="1:4">
      <c r="A96" s="16"/>
      <c r="B96" s="225" t="s">
        <v>466</v>
      </c>
      <c r="C96" s="423">
        <v>0.93</v>
      </c>
      <c r="D96" s="423">
        <v>0.14000000000000001</v>
      </c>
    </row>
    <row r="97" spans="1:4">
      <c r="A97" s="16"/>
      <c r="B97" s="225" t="s">
        <v>467</v>
      </c>
      <c r="C97" s="423">
        <v>0.81</v>
      </c>
      <c r="D97" s="423">
        <v>0.14000000000000001</v>
      </c>
    </row>
    <row r="98" spans="1:4">
      <c r="A98" s="16"/>
      <c r="B98" s="225" t="s">
        <v>468</v>
      </c>
      <c r="C98" s="423">
        <v>0.54</v>
      </c>
      <c r="D98" s="423">
        <v>0.13</v>
      </c>
    </row>
    <row r="99" spans="1:4">
      <c r="A99" s="16"/>
      <c r="B99" s="225" t="s">
        <v>469</v>
      </c>
      <c r="C99" s="423">
        <v>1.1499999999999999</v>
      </c>
      <c r="D99" s="423">
        <v>0.14000000000000001</v>
      </c>
    </row>
    <row r="100" spans="1:4">
      <c r="A100" s="16"/>
      <c r="B100" s="225" t="s">
        <v>470</v>
      </c>
      <c r="C100" s="423">
        <v>0.93</v>
      </c>
      <c r="D100" s="423">
        <v>0.14000000000000001</v>
      </c>
    </row>
    <row r="101" spans="1:4">
      <c r="A101" s="16"/>
      <c r="B101" s="225" t="s">
        <v>471</v>
      </c>
      <c r="C101" s="423">
        <v>0.81</v>
      </c>
      <c r="D101" s="423">
        <v>0.14000000000000001</v>
      </c>
    </row>
    <row r="102" spans="1:4">
      <c r="A102" s="16"/>
      <c r="B102" s="225" t="s">
        <v>472</v>
      </c>
      <c r="C102" s="423">
        <v>0.54</v>
      </c>
      <c r="D102" s="423">
        <v>0.13</v>
      </c>
    </row>
    <row r="103" spans="1:4">
      <c r="A103" s="16"/>
      <c r="B103" s="225" t="s">
        <v>473</v>
      </c>
      <c r="C103" s="423">
        <v>1.1499999999999999</v>
      </c>
      <c r="D103" s="423">
        <v>0.14000000000000001</v>
      </c>
    </row>
    <row r="104" spans="1:4">
      <c r="A104" s="16"/>
      <c r="B104" s="225" t="s">
        <v>474</v>
      </c>
      <c r="C104" s="423">
        <v>0.93</v>
      </c>
      <c r="D104" s="423">
        <v>0.14000000000000001</v>
      </c>
    </row>
    <row r="105" spans="1:4">
      <c r="A105" s="16"/>
      <c r="B105" s="225" t="s">
        <v>475</v>
      </c>
      <c r="C105" s="423">
        <v>0.81</v>
      </c>
      <c r="D105" s="423">
        <v>0.14000000000000001</v>
      </c>
    </row>
    <row r="106" spans="1:4">
      <c r="A106" s="16"/>
      <c r="B106" s="225" t="s">
        <v>476</v>
      </c>
      <c r="C106" s="423">
        <v>0.54</v>
      </c>
      <c r="D106" s="423">
        <v>0.13</v>
      </c>
    </row>
    <row r="107" spans="1:4">
      <c r="A107" s="16"/>
      <c r="B107" s="225" t="s">
        <v>477</v>
      </c>
      <c r="C107" s="423">
        <v>0.28999999999999998</v>
      </c>
      <c r="D107" s="423">
        <v>0.13</v>
      </c>
    </row>
    <row r="108" spans="1:4">
      <c r="A108" s="16"/>
      <c r="B108" s="225" t="s">
        <v>478</v>
      </c>
      <c r="C108" s="423">
        <v>0.22</v>
      </c>
      <c r="D108" s="423">
        <v>0.13</v>
      </c>
    </row>
    <row r="109" spans="1:4">
      <c r="A109" s="16"/>
      <c r="B109" s="225" t="s">
        <v>479</v>
      </c>
      <c r="C109" s="425">
        <v>0.22</v>
      </c>
      <c r="D109" s="425">
        <v>0.13</v>
      </c>
    </row>
    <row r="110" spans="1:4">
      <c r="A110" s="16"/>
      <c r="B110" s="225" t="s">
        <v>480</v>
      </c>
      <c r="C110" s="423">
        <v>0.2</v>
      </c>
      <c r="D110" s="423">
        <v>0.15</v>
      </c>
    </row>
    <row r="111" spans="1:4">
      <c r="A111" s="16"/>
      <c r="B111" s="225" t="s">
        <v>481</v>
      </c>
      <c r="C111" s="423">
        <v>0.28999999999999998</v>
      </c>
      <c r="D111" s="423">
        <v>0.13</v>
      </c>
    </row>
    <row r="112" spans="1:4">
      <c r="A112" s="16"/>
      <c r="B112" s="225" t="s">
        <v>482</v>
      </c>
      <c r="C112" s="423">
        <v>0.22</v>
      </c>
      <c r="D112" s="423">
        <v>0.13</v>
      </c>
    </row>
    <row r="113" spans="1:4">
      <c r="A113" s="16"/>
      <c r="B113" s="225" t="s">
        <v>483</v>
      </c>
      <c r="C113" s="425">
        <v>0.22</v>
      </c>
      <c r="D113" s="425">
        <v>0.13</v>
      </c>
    </row>
    <row r="114" spans="1:4">
      <c r="A114" s="16"/>
      <c r="B114" s="12" t="s">
        <v>484</v>
      </c>
      <c r="C114" s="423">
        <v>0.33</v>
      </c>
      <c r="D114" s="423">
        <v>0.15</v>
      </c>
    </row>
    <row r="115" spans="1:4">
      <c r="A115" s="16"/>
      <c r="B115" s="601" t="s">
        <v>861</v>
      </c>
      <c r="C115" s="624">
        <v>1.31</v>
      </c>
      <c r="D115" s="624">
        <v>0.13</v>
      </c>
    </row>
    <row r="116" spans="1:4">
      <c r="B116" s="601" t="s">
        <v>859</v>
      </c>
      <c r="C116" s="624">
        <v>1.4</v>
      </c>
      <c r="D116" s="624">
        <v>0.1</v>
      </c>
    </row>
    <row r="117" spans="1:4">
      <c r="B117" s="601" t="s">
        <v>860</v>
      </c>
      <c r="C117" s="624">
        <v>1.04</v>
      </c>
      <c r="D117" s="624">
        <v>0.12</v>
      </c>
    </row>
    <row r="118" spans="1:4">
      <c r="B118" s="601" t="s">
        <v>858</v>
      </c>
      <c r="C118" s="624">
        <v>1.19</v>
      </c>
      <c r="D118" s="624">
        <v>0.12</v>
      </c>
    </row>
  </sheetData>
  <mergeCells count="5">
    <mergeCell ref="A5:A9"/>
    <mergeCell ref="F3:G3"/>
    <mergeCell ref="F31:G31"/>
    <mergeCell ref="F1:G1"/>
    <mergeCell ref="F29:G29"/>
  </mergeCells>
  <pageMargins left="0.70866141732283472" right="0.70866141732283472" top="0.74803149606299213" bottom="0.74803149606299213" header="0.31496062992125984" footer="0.31496062992125984"/>
  <pageSetup paperSize="9" scale="90" orientation="landscape" r:id="rId1"/>
  <colBreaks count="1" manualBreakCount="1">
    <brk id="8" max="1048575"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B3:G32"/>
  <sheetViews>
    <sheetView workbookViewId="0">
      <selection activeCell="I30" sqref="I30"/>
    </sheetView>
  </sheetViews>
  <sheetFormatPr defaultColWidth="10.90625" defaultRowHeight="14.5"/>
  <cols>
    <col min="2" max="2" width="42.7265625" customWidth="1"/>
    <col min="3" max="3" width="25.81640625" customWidth="1"/>
    <col min="6" max="6" width="20.81640625" customWidth="1"/>
    <col min="7" max="7" width="11.453125" style="202"/>
  </cols>
  <sheetData>
    <row r="3" spans="2:7" ht="23.25" customHeight="1">
      <c r="B3" s="4621" t="s">
        <v>660</v>
      </c>
      <c r="C3" s="4844"/>
    </row>
    <row r="4" spans="2:7" ht="15" thickBot="1">
      <c r="B4" s="1"/>
    </row>
    <row r="5" spans="2:7" ht="15" thickBot="1">
      <c r="B5" s="120" t="s">
        <v>508</v>
      </c>
      <c r="C5" s="179" t="s">
        <v>661</v>
      </c>
    </row>
    <row r="6" spans="2:7" ht="21.75" customHeight="1">
      <c r="B6" s="123" t="s">
        <v>306</v>
      </c>
      <c r="C6" s="176">
        <v>365</v>
      </c>
    </row>
    <row r="7" spans="2:7" ht="19.5" customHeight="1">
      <c r="B7" s="123" t="s">
        <v>301</v>
      </c>
      <c r="C7" s="176">
        <v>71000</v>
      </c>
    </row>
    <row r="8" spans="2:7" ht="20.25" customHeight="1">
      <c r="B8" s="123" t="s">
        <v>348</v>
      </c>
      <c r="C8" s="177">
        <v>1.26</v>
      </c>
    </row>
    <row r="9" spans="2:7" ht="20.25" customHeight="1">
      <c r="B9" s="123" t="s">
        <v>522</v>
      </c>
      <c r="C9" s="178">
        <v>2.5099999999999998</v>
      </c>
    </row>
    <row r="13" spans="2:7" ht="15" thickBot="1">
      <c r="B13" s="4956" t="s">
        <v>685</v>
      </c>
      <c r="C13" s="4958" t="s">
        <v>728</v>
      </c>
      <c r="D13" s="4959"/>
      <c r="E13" s="443"/>
      <c r="F13" s="444"/>
    </row>
    <row r="14" spans="2:7" ht="15.5">
      <c r="B14" s="4957"/>
      <c r="C14" s="467" t="s">
        <v>725</v>
      </c>
      <c r="D14" s="475" t="s">
        <v>781</v>
      </c>
      <c r="E14" s="471" t="s">
        <v>780</v>
      </c>
      <c r="F14" s="202"/>
      <c r="G14"/>
    </row>
    <row r="15" spans="2:7">
      <c r="B15" s="437" t="s">
        <v>686</v>
      </c>
      <c r="C15" s="468">
        <v>2.21</v>
      </c>
      <c r="D15" s="476">
        <v>2.5099999999999998</v>
      </c>
      <c r="E15" s="472">
        <v>2.21</v>
      </c>
      <c r="F15" s="202"/>
      <c r="G15"/>
    </row>
    <row r="16" spans="2:7">
      <c r="B16" s="438" t="s">
        <v>372</v>
      </c>
      <c r="C16" s="469">
        <v>0.49</v>
      </c>
      <c r="D16" s="477">
        <v>0.46</v>
      </c>
      <c r="E16" s="473">
        <v>0.49</v>
      </c>
      <c r="F16" s="202"/>
      <c r="G16"/>
    </row>
    <row r="17" spans="2:7">
      <c r="B17" s="437" t="s">
        <v>371</v>
      </c>
      <c r="C17" s="468">
        <v>1.34</v>
      </c>
      <c r="D17" s="476">
        <v>1.26</v>
      </c>
      <c r="E17" s="472">
        <v>1.34</v>
      </c>
      <c r="F17" s="202"/>
      <c r="G17"/>
    </row>
    <row r="18" spans="2:7">
      <c r="B18" s="438" t="s">
        <v>687</v>
      </c>
      <c r="C18" s="469">
        <v>0.36</v>
      </c>
      <c r="D18" s="477">
        <v>0.37</v>
      </c>
      <c r="E18" s="473">
        <v>0.36</v>
      </c>
      <c r="F18" s="202"/>
      <c r="G18"/>
    </row>
    <row r="19" spans="2:7">
      <c r="B19" s="437" t="s">
        <v>688</v>
      </c>
      <c r="C19" s="468">
        <v>2.21</v>
      </c>
      <c r="D19" s="476">
        <v>2.5099999999999998</v>
      </c>
      <c r="E19" s="472">
        <v>2.21</v>
      </c>
      <c r="F19" s="202"/>
      <c r="G19"/>
    </row>
    <row r="20" spans="2:7" ht="15" thickBot="1">
      <c r="B20" s="439" t="s">
        <v>689</v>
      </c>
      <c r="C20" s="470"/>
      <c r="D20" s="478"/>
      <c r="E20" s="474"/>
      <c r="F20" s="202"/>
      <c r="G20"/>
    </row>
    <row r="24" spans="2:7" ht="15.5">
      <c r="B24" s="4960" t="s">
        <v>685</v>
      </c>
      <c r="C24" s="446" t="s">
        <v>782</v>
      </c>
      <c r="D24" s="445"/>
    </row>
    <row r="25" spans="2:7" ht="21" customHeight="1">
      <c r="B25" s="4961"/>
      <c r="C25" s="276" t="s">
        <v>783</v>
      </c>
      <c r="D25" s="445"/>
    </row>
    <row r="26" spans="2:7" ht="21" customHeight="1">
      <c r="B26" s="4957"/>
      <c r="C26" s="276" t="s">
        <v>781</v>
      </c>
      <c r="F26" s="202"/>
      <c r="G26"/>
    </row>
    <row r="27" spans="2:7">
      <c r="B27" s="437" t="s">
        <v>686</v>
      </c>
      <c r="C27" s="277">
        <v>2.5099999999999998</v>
      </c>
      <c r="F27" s="202"/>
      <c r="G27"/>
    </row>
    <row r="28" spans="2:7">
      <c r="B28" s="438" t="s">
        <v>372</v>
      </c>
      <c r="C28" s="278">
        <v>0.46</v>
      </c>
      <c r="F28" s="202"/>
      <c r="G28"/>
    </row>
    <row r="29" spans="2:7">
      <c r="B29" s="437" t="s">
        <v>371</v>
      </c>
      <c r="C29" s="277">
        <v>1.26</v>
      </c>
      <c r="F29" s="202"/>
      <c r="G29"/>
    </row>
    <row r="30" spans="2:7">
      <c r="B30" s="438" t="s">
        <v>687</v>
      </c>
      <c r="C30" s="278">
        <v>0.37</v>
      </c>
      <c r="F30" s="202"/>
      <c r="G30"/>
    </row>
    <row r="31" spans="2:7">
      <c r="B31" s="437" t="s">
        <v>688</v>
      </c>
      <c r="C31" s="277">
        <v>2.5099999999999998</v>
      </c>
      <c r="F31" s="202"/>
      <c r="G31"/>
    </row>
    <row r="32" spans="2:7">
      <c r="B32" s="439" t="s">
        <v>689</v>
      </c>
      <c r="C32" s="440"/>
      <c r="F32" s="202"/>
      <c r="G32"/>
    </row>
  </sheetData>
  <mergeCells count="4">
    <mergeCell ref="B3:C3"/>
    <mergeCell ref="B13:B14"/>
    <mergeCell ref="C13:D13"/>
    <mergeCell ref="B24:B26"/>
  </mergeCell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dimension ref="B4:H18"/>
  <sheetViews>
    <sheetView workbookViewId="0"/>
  </sheetViews>
  <sheetFormatPr defaultColWidth="10.90625" defaultRowHeight="14.5"/>
  <cols>
    <col min="2" max="2" width="38.54296875" customWidth="1"/>
    <col min="3" max="3" width="22.7265625" customWidth="1"/>
    <col min="4" max="5" width="15.54296875" customWidth="1"/>
    <col min="6" max="7" width="16.453125" customWidth="1"/>
  </cols>
  <sheetData>
    <row r="4" spans="2:8" ht="26.25" customHeight="1">
      <c r="B4" s="4621" t="s">
        <v>662</v>
      </c>
      <c r="C4" s="4621"/>
    </row>
    <row r="5" spans="2:8" ht="15" thickBot="1">
      <c r="B5" s="1"/>
    </row>
    <row r="6" spans="2:8" ht="21.75" customHeight="1" thickBot="1">
      <c r="B6" s="120" t="s">
        <v>513</v>
      </c>
      <c r="C6" s="179" t="s">
        <v>661</v>
      </c>
    </row>
    <row r="7" spans="2:8" ht="18.75" customHeight="1">
      <c r="B7" s="123" t="s">
        <v>298</v>
      </c>
      <c r="C7" s="180">
        <f>G18/100</f>
        <v>1.365</v>
      </c>
      <c r="D7" s="160"/>
    </row>
    <row r="8" spans="2:8" ht="18.75" customHeight="1">
      <c r="B8" s="123" t="s">
        <v>514</v>
      </c>
      <c r="C8" s="181">
        <v>10</v>
      </c>
    </row>
    <row r="9" spans="2:8" ht="21" customHeight="1">
      <c r="B9" s="123" t="s">
        <v>515</v>
      </c>
      <c r="C9" s="181">
        <v>35</v>
      </c>
    </row>
    <row r="12" spans="2:8">
      <c r="D12" t="s">
        <v>730</v>
      </c>
    </row>
    <row r="15" spans="2:8">
      <c r="B15" s="367" t="s">
        <v>763</v>
      </c>
      <c r="C15" s="368"/>
      <c r="D15" s="368"/>
      <c r="E15" s="368"/>
      <c r="F15" s="368"/>
      <c r="G15" s="368"/>
      <c r="H15" s="371"/>
    </row>
    <row r="16" spans="2:8">
      <c r="B16" s="369" t="s">
        <v>764</v>
      </c>
      <c r="C16" s="365">
        <v>2008</v>
      </c>
      <c r="D16" s="379">
        <v>2009</v>
      </c>
      <c r="E16" s="370">
        <v>2010</v>
      </c>
      <c r="F16" s="370">
        <v>2011</v>
      </c>
      <c r="G16" s="366">
        <v>2012</v>
      </c>
      <c r="H16" s="372">
        <v>2013</v>
      </c>
    </row>
    <row r="17" spans="2:8">
      <c r="B17" s="364" t="s">
        <v>765</v>
      </c>
      <c r="C17" s="442">
        <v>112.33</v>
      </c>
      <c r="D17" s="380">
        <v>100.34</v>
      </c>
      <c r="E17" s="373">
        <v>116.3</v>
      </c>
      <c r="F17" s="373">
        <v>131.82</v>
      </c>
      <c r="G17" s="374">
        <v>142.47</v>
      </c>
      <c r="H17" s="375">
        <v>144.47</v>
      </c>
    </row>
    <row r="18" spans="2:8">
      <c r="B18" s="363" t="s">
        <v>766</v>
      </c>
      <c r="C18" s="381">
        <v>114.14</v>
      </c>
      <c r="D18" s="441">
        <v>91.18</v>
      </c>
      <c r="E18" s="376">
        <v>107.52</v>
      </c>
      <c r="F18" s="376">
        <v>126.71</v>
      </c>
      <c r="G18" s="377">
        <v>136.5</v>
      </c>
      <c r="H18" s="378">
        <v>135.46</v>
      </c>
    </row>
  </sheetData>
  <mergeCells count="1">
    <mergeCell ref="B4:C4"/>
  </mergeCells>
  <pageMargins left="0.70866141732283472" right="0.70866141732283472" top="0.74803149606299213" bottom="0.74803149606299213" header="0.31496062992125984" footer="0.31496062992125984"/>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B1:T68"/>
  <sheetViews>
    <sheetView workbookViewId="0"/>
  </sheetViews>
  <sheetFormatPr defaultColWidth="10.90625" defaultRowHeight="14.5"/>
  <cols>
    <col min="2" max="2" width="46.26953125" customWidth="1"/>
    <col min="3" max="3" width="25.453125" customWidth="1"/>
    <col min="4" max="5" width="30" customWidth="1"/>
    <col min="6" max="6" width="11.54296875" customWidth="1"/>
    <col min="7" max="7" width="14.26953125" customWidth="1"/>
    <col min="8" max="8" width="21.453125" customWidth="1"/>
    <col min="9" max="9" width="20.81640625" customWidth="1"/>
    <col min="10" max="10" width="21.7265625" customWidth="1"/>
    <col min="11" max="11" width="24" customWidth="1"/>
    <col min="12" max="12" width="10.26953125" customWidth="1"/>
    <col min="13" max="13" width="15.26953125" customWidth="1"/>
    <col min="17" max="17" width="12.7265625" customWidth="1"/>
    <col min="19" max="19" width="14" customWidth="1"/>
    <col min="29" max="29" width="32.1796875" customWidth="1"/>
  </cols>
  <sheetData>
    <row r="1" spans="2:19" ht="21" customHeight="1">
      <c r="B1" s="4621" t="s">
        <v>663</v>
      </c>
      <c r="C1" s="4844"/>
      <c r="D1" s="488"/>
      <c r="E1" s="549"/>
    </row>
    <row r="2" spans="2:19" ht="15" thickBot="1">
      <c r="B2" s="1"/>
    </row>
    <row r="3" spans="2:19" ht="19.5" customHeight="1" thickBot="1">
      <c r="B3" s="536" t="s">
        <v>516</v>
      </c>
      <c r="C3" s="538" t="s">
        <v>837</v>
      </c>
    </row>
    <row r="4" spans="2:19" ht="18.75" customHeight="1">
      <c r="B4" s="123" t="s">
        <v>498</v>
      </c>
      <c r="C4" s="531">
        <v>0.14255999999999999</v>
      </c>
      <c r="D4" s="508"/>
      <c r="E4" s="508"/>
      <c r="F4" s="537"/>
      <c r="G4" s="19"/>
      <c r="H4" s="19"/>
    </row>
    <row r="5" spans="2:19" ht="20.25" customHeight="1">
      <c r="B5" s="123" t="s">
        <v>518</v>
      </c>
      <c r="C5" s="531">
        <v>1.9671999999999999E-2</v>
      </c>
      <c r="D5" s="508"/>
      <c r="E5" s="508"/>
      <c r="F5" s="19"/>
      <c r="G5" s="19"/>
      <c r="H5" s="19"/>
    </row>
    <row r="6" spans="2:19" ht="20.25" customHeight="1">
      <c r="B6" s="123" t="s">
        <v>309</v>
      </c>
      <c r="C6" s="532">
        <v>4.5999999999999996</v>
      </c>
      <c r="D6" s="530"/>
      <c r="E6" s="530"/>
      <c r="F6" s="19"/>
      <c r="G6" s="19"/>
      <c r="H6" s="19"/>
    </row>
    <row r="7" spans="2:19" ht="22.5" customHeight="1">
      <c r="B7" s="123" t="s">
        <v>310</v>
      </c>
      <c r="C7" s="533">
        <v>5.9817000000000002E-2</v>
      </c>
      <c r="D7" s="509"/>
      <c r="E7" s="509"/>
      <c r="F7" s="19"/>
      <c r="G7" s="19"/>
      <c r="H7" s="19"/>
    </row>
    <row r="8" spans="2:19" ht="21" customHeight="1">
      <c r="B8" s="123" t="s">
        <v>521</v>
      </c>
      <c r="C8" s="531">
        <v>5.1130000000000002E-2</v>
      </c>
      <c r="D8" s="508"/>
      <c r="E8" s="508"/>
      <c r="F8" s="19"/>
      <c r="G8" s="537"/>
      <c r="H8" s="19"/>
    </row>
    <row r="9" spans="2:19" ht="18" customHeight="1">
      <c r="B9" s="123" t="s">
        <v>499</v>
      </c>
      <c r="C9" s="534">
        <v>3.5999999999999999E-3</v>
      </c>
      <c r="D9" s="510"/>
      <c r="E9" s="510"/>
      <c r="F9" s="19"/>
      <c r="G9" s="19"/>
      <c r="H9" s="19"/>
    </row>
    <row r="10" spans="2:19" ht="21" customHeight="1">
      <c r="B10" s="123" t="s">
        <v>520</v>
      </c>
      <c r="C10" s="535">
        <v>30</v>
      </c>
      <c r="D10" s="511"/>
      <c r="E10" s="511"/>
      <c r="F10" s="19"/>
      <c r="G10" s="19"/>
      <c r="H10" s="19"/>
    </row>
    <row r="11" spans="2:19" ht="19.5" customHeight="1">
      <c r="B11" s="123" t="s">
        <v>664</v>
      </c>
      <c r="C11" s="592">
        <f>K22</f>
        <v>9.4197786130271362E-3</v>
      </c>
      <c r="D11" s="510"/>
      <c r="E11" s="510"/>
      <c r="F11" s="19"/>
      <c r="G11" s="19"/>
      <c r="H11" s="19"/>
    </row>
    <row r="12" spans="2:19">
      <c r="D12" s="19"/>
      <c r="E12" s="19"/>
      <c r="F12" s="19"/>
      <c r="G12" s="19"/>
      <c r="H12" s="19"/>
    </row>
    <row r="14" spans="2:19" ht="15.5">
      <c r="C14" s="513">
        <v>2010</v>
      </c>
      <c r="D14" s="513">
        <v>2012</v>
      </c>
      <c r="E14" s="513">
        <v>2011</v>
      </c>
      <c r="I14" s="513">
        <v>2010</v>
      </c>
      <c r="J14" s="513">
        <v>2012</v>
      </c>
      <c r="K14" s="513">
        <v>2011</v>
      </c>
      <c r="L14" s="550"/>
    </row>
    <row r="15" spans="2:19">
      <c r="B15" s="4962" t="s">
        <v>691</v>
      </c>
      <c r="C15" s="4964" t="s">
        <v>833</v>
      </c>
      <c r="D15" s="4964" t="s">
        <v>834</v>
      </c>
      <c r="E15" s="4964" t="s">
        <v>840</v>
      </c>
      <c r="F15" s="4964" t="s">
        <v>736</v>
      </c>
      <c r="G15" s="4964" t="s">
        <v>735</v>
      </c>
      <c r="H15" s="4964" t="s">
        <v>734</v>
      </c>
      <c r="I15" s="4964" t="s">
        <v>733</v>
      </c>
      <c r="J15" s="4964" t="s">
        <v>852</v>
      </c>
      <c r="K15" s="4964" t="s">
        <v>853</v>
      </c>
      <c r="L15" s="514"/>
    </row>
    <row r="16" spans="2:19" ht="59.25" customHeight="1">
      <c r="B16" s="4963"/>
      <c r="C16" s="4965"/>
      <c r="D16" s="4965"/>
      <c r="E16" s="4972"/>
      <c r="F16" s="4972"/>
      <c r="G16" s="4972"/>
      <c r="H16" s="4987"/>
      <c r="I16" s="4981"/>
      <c r="J16" s="4981"/>
      <c r="K16" s="4981"/>
      <c r="L16" s="515"/>
      <c r="M16" s="551"/>
      <c r="N16" s="4986">
        <v>2010</v>
      </c>
      <c r="O16" s="4986"/>
      <c r="P16" s="4986">
        <v>2011</v>
      </c>
      <c r="Q16" s="4986"/>
      <c r="R16" s="20"/>
      <c r="S16" s="552"/>
    </row>
    <row r="17" spans="2:19">
      <c r="B17" s="311" t="s">
        <v>699</v>
      </c>
      <c r="C17" s="303">
        <f>SUM(C18:C20)</f>
        <v>62.2</v>
      </c>
      <c r="D17" s="517">
        <f>D18+D19+D20</f>
        <v>46.1</v>
      </c>
      <c r="E17" s="555">
        <f>E18+E19+E20</f>
        <v>49.67</v>
      </c>
      <c r="F17" s="289"/>
      <c r="G17" s="311" t="s">
        <v>700</v>
      </c>
      <c r="H17" s="289"/>
      <c r="I17" s="317"/>
      <c r="J17" s="317"/>
      <c r="K17" s="317"/>
      <c r="L17" s="516"/>
      <c r="M17" s="553" t="s">
        <v>701</v>
      </c>
      <c r="N17" s="19">
        <v>7156</v>
      </c>
      <c r="O17" s="573">
        <f t="shared" ref="O17:O24" si="0">N17/$N$25</f>
        <v>5.4989894953624371E-2</v>
      </c>
      <c r="P17" s="19">
        <v>12456</v>
      </c>
      <c r="Q17" s="573">
        <f t="shared" ref="Q17:Q24" si="1">P17/$P$25</f>
        <v>9.63043142106077E-2</v>
      </c>
      <c r="R17" s="19"/>
      <c r="S17" s="88"/>
    </row>
    <row r="18" spans="2:19">
      <c r="B18" s="290" t="s">
        <v>701</v>
      </c>
      <c r="C18" s="304">
        <v>23.9</v>
      </c>
      <c r="D18" s="518">
        <v>19.3</v>
      </c>
      <c r="E18" s="556">
        <v>15.03</v>
      </c>
      <c r="F18" s="524">
        <v>0.3</v>
      </c>
      <c r="G18" s="291" t="s">
        <v>701</v>
      </c>
      <c r="H18" s="524">
        <v>55</v>
      </c>
      <c r="I18" s="315">
        <f>C18/100/H18</f>
        <v>4.3454545454545456E-3</v>
      </c>
      <c r="J18" s="522">
        <f>D18/100/H18</f>
        <v>3.5090909090909092E-3</v>
      </c>
      <c r="K18" s="560">
        <f>E18/100/H18</f>
        <v>2.7327272727272725E-3</v>
      </c>
      <c r="L18" s="562"/>
      <c r="M18" s="553" t="s">
        <v>702</v>
      </c>
      <c r="N18" s="19">
        <v>60993</v>
      </c>
      <c r="O18" s="573">
        <f t="shared" si="0"/>
        <v>0.46869740957328271</v>
      </c>
      <c r="P18" s="19">
        <v>58317</v>
      </c>
      <c r="Q18" s="573">
        <f t="shared" si="1"/>
        <v>0.45088139786608938</v>
      </c>
      <c r="R18" s="19"/>
      <c r="S18" s="88"/>
    </row>
    <row r="19" spans="2:19">
      <c r="B19" s="292" t="s">
        <v>702</v>
      </c>
      <c r="C19" s="305">
        <v>6.8</v>
      </c>
      <c r="D19" s="519">
        <v>12.7</v>
      </c>
      <c r="E19" s="557">
        <v>5.21</v>
      </c>
      <c r="F19" s="525">
        <v>0.3</v>
      </c>
      <c r="G19" s="279" t="s">
        <v>702</v>
      </c>
      <c r="H19" s="525">
        <v>71</v>
      </c>
      <c r="I19" s="315">
        <f>C19/100/H19</f>
        <v>9.5774647887323955E-4</v>
      </c>
      <c r="J19" s="522">
        <f>D19/100/H19</f>
        <v>1.7887323943661972E-3</v>
      </c>
      <c r="K19" s="560">
        <f>E19/100/H19</f>
        <v>7.3380281690140848E-4</v>
      </c>
      <c r="L19" s="562"/>
      <c r="M19" s="553" t="s">
        <v>807</v>
      </c>
      <c r="N19" s="19">
        <v>31182</v>
      </c>
      <c r="O19" s="573">
        <f t="shared" si="0"/>
        <v>0.23961639246002167</v>
      </c>
      <c r="P19" s="19">
        <v>28930</v>
      </c>
      <c r="Q19" s="573">
        <f t="shared" si="1"/>
        <v>0.22367403742075151</v>
      </c>
      <c r="R19" s="19"/>
      <c r="S19" s="88"/>
    </row>
    <row r="20" spans="2:19">
      <c r="B20" s="293" t="s">
        <v>703</v>
      </c>
      <c r="C20" s="306">
        <v>31.5</v>
      </c>
      <c r="D20" s="520">
        <v>14.1</v>
      </c>
      <c r="E20" s="558">
        <v>29.43</v>
      </c>
      <c r="F20" s="526">
        <v>0.3</v>
      </c>
      <c r="G20" s="294" t="s">
        <v>703</v>
      </c>
      <c r="H20" s="526">
        <v>93</v>
      </c>
      <c r="I20" s="315">
        <f>C20/100/H20</f>
        <v>3.3870967741935483E-3</v>
      </c>
      <c r="J20" s="522">
        <f>D20/100/H20</f>
        <v>1.5161290322580644E-3</v>
      </c>
      <c r="K20" s="560">
        <f>E20/100/H20</f>
        <v>3.164516129032258E-3</v>
      </c>
      <c r="L20" s="562"/>
      <c r="M20" s="553" t="s">
        <v>704</v>
      </c>
      <c r="N20" s="19">
        <v>16155</v>
      </c>
      <c r="O20" s="573">
        <f t="shared" si="0"/>
        <v>0.12414222372495831</v>
      </c>
      <c r="P20" s="19">
        <v>15024</v>
      </c>
      <c r="Q20" s="573">
        <f t="shared" si="1"/>
        <v>0.11615896087830524</v>
      </c>
      <c r="R20" s="19"/>
      <c r="S20" s="88"/>
    </row>
    <row r="21" spans="2:19">
      <c r="B21" s="295" t="s">
        <v>704</v>
      </c>
      <c r="C21" s="303">
        <v>17.7</v>
      </c>
      <c r="D21" s="518">
        <v>22.1</v>
      </c>
      <c r="E21" s="556">
        <v>19.8</v>
      </c>
      <c r="F21" s="524">
        <v>0.3</v>
      </c>
      <c r="G21" s="318" t="s">
        <v>704</v>
      </c>
      <c r="H21" s="524">
        <v>71</v>
      </c>
      <c r="I21" s="316">
        <f>C21/100/H21</f>
        <v>2.4929577464788731E-3</v>
      </c>
      <c r="J21" s="522">
        <f>D21/100/H21</f>
        <v>3.1126760563380284E-3</v>
      </c>
      <c r="K21" s="560">
        <f>E21/100/H21</f>
        <v>2.7887323943661972E-3</v>
      </c>
      <c r="L21" s="562"/>
      <c r="M21" s="553" t="s">
        <v>808</v>
      </c>
      <c r="N21" s="19">
        <v>3636</v>
      </c>
      <c r="O21" s="573">
        <f t="shared" si="0"/>
        <v>2.7940645339767776E-2</v>
      </c>
      <c r="P21" s="19">
        <v>2631</v>
      </c>
      <c r="Q21" s="573">
        <f t="shared" si="1"/>
        <v>2.0341734962115356E-2</v>
      </c>
      <c r="R21" s="19"/>
      <c r="S21" s="88"/>
    </row>
    <row r="22" spans="2:19" ht="15.5">
      <c r="B22" s="319" t="s">
        <v>705</v>
      </c>
      <c r="C22" s="303">
        <f>C17+C21</f>
        <v>79.900000000000006</v>
      </c>
      <c r="D22" s="521">
        <f>D17+D21</f>
        <v>68.2</v>
      </c>
      <c r="E22" s="559">
        <f>E17+E21</f>
        <v>69.47</v>
      </c>
      <c r="F22" s="312"/>
      <c r="G22" s="313"/>
      <c r="H22" s="313"/>
      <c r="I22" s="314">
        <f>SUM(I18:I21)</f>
        <v>1.1183255545000208E-2</v>
      </c>
      <c r="J22" s="523">
        <f>SUM(J18:J21)</f>
        <v>9.9266283920531988E-3</v>
      </c>
      <c r="K22" s="561">
        <f>SUM(K18:K21)</f>
        <v>9.4197786130271362E-3</v>
      </c>
      <c r="L22" s="563"/>
      <c r="M22" s="553" t="s">
        <v>809</v>
      </c>
      <c r="N22" s="19">
        <v>4834</v>
      </c>
      <c r="O22" s="573">
        <f t="shared" si="0"/>
        <v>3.7146611543574654E-2</v>
      </c>
      <c r="P22" s="19">
        <v>5226</v>
      </c>
      <c r="Q22" s="573">
        <f t="shared" si="1"/>
        <v>4.0405133755991959E-2</v>
      </c>
      <c r="R22" s="19"/>
      <c r="S22" s="88"/>
    </row>
    <row r="23" spans="2:19">
      <c r="B23" s="308"/>
      <c r="C23" s="309"/>
      <c r="D23" s="512"/>
      <c r="E23" s="512"/>
      <c r="F23" s="296"/>
      <c r="G23" s="296"/>
      <c r="H23" s="167"/>
      <c r="I23" s="307"/>
      <c r="M23" s="553" t="s">
        <v>810</v>
      </c>
      <c r="N23" s="19">
        <v>6894</v>
      </c>
      <c r="O23" s="573">
        <f t="shared" si="0"/>
        <v>5.2976570124411176E-2</v>
      </c>
      <c r="P23" s="19">
        <v>7280</v>
      </c>
      <c r="Q23" s="573">
        <f t="shared" si="1"/>
        <v>5.6285758466058454E-2</v>
      </c>
      <c r="R23" s="19"/>
      <c r="S23" s="88"/>
    </row>
    <row r="24" spans="2:19">
      <c r="B24" s="310" t="s">
        <v>706</v>
      </c>
      <c r="C24" s="297"/>
      <c r="D24" s="297"/>
      <c r="E24" s="297"/>
      <c r="F24" s="297"/>
      <c r="G24" s="297"/>
      <c r="H24" s="298"/>
      <c r="I24" s="160"/>
      <c r="M24" s="553" t="s">
        <v>811</v>
      </c>
      <c r="N24" s="19">
        <v>-717</v>
      </c>
      <c r="O24" s="573">
        <f t="shared" si="0"/>
        <v>-5.5097477196406749E-3</v>
      </c>
      <c r="P24" s="19">
        <v>-524</v>
      </c>
      <c r="Q24" s="573">
        <f t="shared" si="1"/>
        <v>-4.0513375599195919E-3</v>
      </c>
      <c r="R24" s="19"/>
      <c r="S24" s="88"/>
    </row>
    <row r="25" spans="2:19">
      <c r="B25" s="4966" t="s">
        <v>707</v>
      </c>
      <c r="C25" s="4967"/>
      <c r="D25" s="4967"/>
      <c r="E25" s="4967"/>
      <c r="F25" s="4968"/>
      <c r="G25" s="299">
        <v>1</v>
      </c>
      <c r="H25" s="300">
        <v>3.5999999999999999E-3</v>
      </c>
      <c r="I25" s="160"/>
      <c r="M25" s="554" t="s">
        <v>705</v>
      </c>
      <c r="N25" s="382">
        <f>SUM(N17:N24)</f>
        <v>130133</v>
      </c>
      <c r="O25" s="580">
        <f>SUM(O17:O24)</f>
        <v>1</v>
      </c>
      <c r="P25" s="382">
        <f>SUM(P17:P24)</f>
        <v>129340</v>
      </c>
      <c r="Q25" s="580">
        <f>SUM(Q17:Q24)</f>
        <v>1</v>
      </c>
      <c r="R25" s="382"/>
      <c r="S25" s="581"/>
    </row>
    <row r="26" spans="2:19">
      <c r="B26" s="4969" t="s">
        <v>708</v>
      </c>
      <c r="C26" s="4970"/>
      <c r="D26" s="4970"/>
      <c r="E26" s="4970"/>
      <c r="F26" s="4971"/>
      <c r="G26" s="301">
        <v>35</v>
      </c>
      <c r="H26" s="302" t="s">
        <v>709</v>
      </c>
      <c r="I26" s="160"/>
      <c r="M26" t="s">
        <v>812</v>
      </c>
    </row>
    <row r="28" spans="2:19">
      <c r="M28" s="551"/>
      <c r="N28" s="20"/>
      <c r="O28" s="20"/>
      <c r="P28" s="20">
        <v>2010</v>
      </c>
      <c r="Q28" s="20">
        <v>2011</v>
      </c>
      <c r="R28" s="20"/>
      <c r="S28" s="571" t="s">
        <v>815</v>
      </c>
    </row>
    <row r="29" spans="2:19">
      <c r="B29" s="4975" t="s">
        <v>855</v>
      </c>
      <c r="C29" s="4976"/>
      <c r="D29" s="4976"/>
      <c r="E29" s="494"/>
      <c r="F29" s="494"/>
      <c r="G29" s="494"/>
      <c r="H29" s="494"/>
      <c r="I29" s="494"/>
      <c r="J29" s="494"/>
      <c r="K29" s="494"/>
      <c r="L29" s="494"/>
      <c r="M29" s="553" t="s">
        <v>701</v>
      </c>
      <c r="N29" s="19"/>
      <c r="O29" s="19"/>
      <c r="P29" s="572">
        <v>5.5E-2</v>
      </c>
      <c r="Q29" s="573">
        <v>9.8000000000000004E-2</v>
      </c>
      <c r="R29" s="19"/>
      <c r="S29" s="574">
        <v>8.8999999999999996E-2</v>
      </c>
    </row>
    <row r="30" spans="2:19">
      <c r="B30" s="4976"/>
      <c r="C30" s="4976"/>
      <c r="D30" s="4976"/>
      <c r="E30" s="494"/>
      <c r="F30" s="494"/>
      <c r="G30" s="494"/>
      <c r="H30" s="494"/>
      <c r="I30" s="494"/>
      <c r="J30" s="494"/>
      <c r="K30" s="494"/>
      <c r="L30" s="494"/>
      <c r="M30" s="553" t="s">
        <v>702</v>
      </c>
      <c r="N30" s="19"/>
      <c r="O30" s="19"/>
      <c r="P30" s="572">
        <v>0.46899999999999997</v>
      </c>
      <c r="Q30" s="573">
        <v>0.45</v>
      </c>
      <c r="R30" s="19"/>
      <c r="S30" s="574">
        <v>0.43</v>
      </c>
    </row>
    <row r="31" spans="2:19">
      <c r="B31" s="4976"/>
      <c r="C31" s="4976"/>
      <c r="D31" s="4976"/>
      <c r="E31" s="496"/>
      <c r="F31" s="496"/>
      <c r="G31" s="496"/>
      <c r="H31" s="496"/>
      <c r="I31" s="496"/>
      <c r="J31" s="496"/>
      <c r="K31" s="496"/>
      <c r="L31" s="496"/>
      <c r="M31" s="553" t="s">
        <v>807</v>
      </c>
      <c r="N31" s="19"/>
      <c r="O31" s="19"/>
      <c r="P31" s="572">
        <v>0.24</v>
      </c>
      <c r="Q31" s="573">
        <v>0.224</v>
      </c>
      <c r="R31" s="19"/>
      <c r="S31" s="574">
        <v>0.222</v>
      </c>
    </row>
    <row r="32" spans="2:19">
      <c r="B32" s="497"/>
      <c r="C32" s="497"/>
      <c r="D32" s="497"/>
      <c r="E32" s="497"/>
      <c r="F32" s="497"/>
      <c r="G32" s="497"/>
      <c r="H32" s="497"/>
      <c r="I32" s="497"/>
      <c r="J32" s="497"/>
      <c r="K32" s="497"/>
      <c r="L32" s="497"/>
      <c r="M32" s="553" t="s">
        <v>704</v>
      </c>
      <c r="N32" s="19"/>
      <c r="O32" s="495"/>
      <c r="P32" s="501">
        <v>0.124</v>
      </c>
      <c r="Q32" s="573">
        <v>0.11600000000000001</v>
      </c>
      <c r="R32" s="19"/>
      <c r="S32" s="574">
        <v>0.124</v>
      </c>
    </row>
    <row r="33" spans="2:19">
      <c r="B33" s="497"/>
      <c r="C33" s="497"/>
      <c r="D33" s="497"/>
      <c r="E33" s="497"/>
      <c r="F33" s="497"/>
      <c r="G33" s="497"/>
      <c r="H33" s="497"/>
      <c r="I33" s="497"/>
      <c r="J33" s="497"/>
      <c r="K33" s="497"/>
      <c r="L33" s="497"/>
      <c r="M33" s="553" t="s">
        <v>813</v>
      </c>
      <c r="N33" s="19"/>
      <c r="O33" s="494"/>
      <c r="P33" s="501">
        <v>0.115</v>
      </c>
      <c r="Q33" s="573">
        <v>0.113</v>
      </c>
      <c r="R33" s="19"/>
      <c r="S33" s="574">
        <v>0.14000000000000001</v>
      </c>
    </row>
    <row r="34" spans="2:19">
      <c r="B34" s="497"/>
      <c r="C34" s="497"/>
      <c r="D34" s="497"/>
      <c r="E34" s="497"/>
      <c r="F34" s="497"/>
      <c r="G34" s="497"/>
      <c r="H34" s="497"/>
      <c r="I34" s="497"/>
      <c r="J34" s="497"/>
      <c r="K34" s="497"/>
      <c r="L34" s="497"/>
      <c r="M34" s="553"/>
      <c r="N34" s="19"/>
      <c r="O34" s="494"/>
      <c r="P34" s="501">
        <v>-6.0000000000000001E-3</v>
      </c>
      <c r="Q34" s="573">
        <v>-4.0000000000000001E-3</v>
      </c>
      <c r="R34" s="19"/>
      <c r="S34" s="574">
        <v>-6.0000000000000001E-3</v>
      </c>
    </row>
    <row r="35" spans="2:19">
      <c r="B35" s="497"/>
      <c r="C35" s="497"/>
      <c r="D35" s="497"/>
      <c r="E35" s="497"/>
      <c r="F35" s="497"/>
      <c r="G35" s="497"/>
      <c r="H35" s="497"/>
      <c r="I35" s="497"/>
      <c r="J35" s="497"/>
      <c r="K35" s="497"/>
      <c r="L35" s="497"/>
      <c r="M35" s="553"/>
      <c r="N35" s="19"/>
      <c r="O35" s="494"/>
      <c r="P35" s="501">
        <v>2.2000000000000001E-3</v>
      </c>
      <c r="Q35" s="573">
        <v>1E-3</v>
      </c>
      <c r="R35" s="19"/>
      <c r="S35" s="574">
        <v>1E-3</v>
      </c>
    </row>
    <row r="36" spans="2:19">
      <c r="B36" s="497"/>
      <c r="C36" s="497"/>
      <c r="D36" s="497"/>
      <c r="E36" s="497"/>
      <c r="F36" s="497"/>
      <c r="G36" s="497"/>
      <c r="H36" s="497"/>
      <c r="I36" s="497"/>
      <c r="J36" s="497"/>
      <c r="K36" s="497"/>
      <c r="L36" s="497"/>
      <c r="M36" s="553"/>
      <c r="N36" s="19"/>
      <c r="O36" s="494"/>
      <c r="P36" s="500"/>
      <c r="Q36" s="19"/>
      <c r="R36" s="19"/>
      <c r="S36" s="88"/>
    </row>
    <row r="37" spans="2:19">
      <c r="B37" s="497"/>
      <c r="C37" s="497"/>
      <c r="D37" s="497"/>
      <c r="E37" s="497"/>
      <c r="F37" s="497"/>
      <c r="G37" s="497"/>
      <c r="H37" s="497"/>
      <c r="I37" s="497"/>
      <c r="J37" s="497"/>
      <c r="K37" s="497"/>
      <c r="L37" s="497"/>
      <c r="M37" s="554" t="s">
        <v>705</v>
      </c>
      <c r="N37" s="382"/>
      <c r="O37" s="575"/>
      <c r="P37" s="576">
        <f>SUM(P29:P36)</f>
        <v>0.99920000000000009</v>
      </c>
      <c r="Q37" s="577">
        <f>SUM(Q29:Q36)</f>
        <v>0.99800000000000011</v>
      </c>
      <c r="R37" s="382"/>
      <c r="S37" s="578">
        <f>SUM(S29:S36)</f>
        <v>0.99999999999999989</v>
      </c>
    </row>
    <row r="38" spans="2:19">
      <c r="B38" s="497"/>
      <c r="C38" s="497"/>
      <c r="D38" s="497"/>
      <c r="E38" s="497"/>
      <c r="F38" s="497"/>
      <c r="G38" s="497"/>
      <c r="H38" s="497"/>
      <c r="I38" s="497"/>
      <c r="J38" s="497"/>
      <c r="K38" s="497"/>
      <c r="L38" s="497"/>
      <c r="M38" t="s">
        <v>814</v>
      </c>
      <c r="O38" s="494"/>
      <c r="P38" s="494"/>
    </row>
    <row r="39" spans="2:19">
      <c r="B39" s="497"/>
      <c r="C39" s="497"/>
      <c r="D39" s="497"/>
      <c r="E39" s="497"/>
      <c r="F39" s="497"/>
      <c r="G39" s="497"/>
      <c r="H39" s="497"/>
      <c r="I39" s="497"/>
      <c r="J39" s="497"/>
      <c r="K39" s="497"/>
      <c r="L39" s="497"/>
      <c r="M39" s="498"/>
      <c r="N39" s="499"/>
      <c r="O39" s="494"/>
      <c r="P39" s="494"/>
    </row>
    <row r="40" spans="2:19">
      <c r="B40" s="497"/>
      <c r="C40" s="497"/>
      <c r="D40" s="497"/>
      <c r="E40" s="497"/>
      <c r="F40" s="497"/>
      <c r="G40" s="497"/>
      <c r="H40" s="497"/>
      <c r="I40" s="497"/>
      <c r="J40" s="497"/>
      <c r="K40" s="497"/>
      <c r="L40" s="497"/>
      <c r="M40" s="498"/>
      <c r="N40" s="499"/>
      <c r="O40" s="494"/>
      <c r="P40" s="494"/>
    </row>
    <row r="41" spans="2:19">
      <c r="B41" s="497"/>
      <c r="C41" s="497"/>
      <c r="D41" s="497"/>
      <c r="E41" s="497"/>
      <c r="F41" s="497"/>
      <c r="G41" s="497"/>
      <c r="H41" s="497"/>
      <c r="I41" s="497"/>
      <c r="J41" s="497"/>
      <c r="K41" s="497"/>
      <c r="L41" s="497"/>
      <c r="M41" s="551"/>
      <c r="N41" s="20"/>
      <c r="O41" s="20"/>
      <c r="P41" s="20"/>
      <c r="Q41" s="20">
        <v>2011</v>
      </c>
      <c r="R41" s="20">
        <v>2012</v>
      </c>
      <c r="S41" s="579">
        <v>41275</v>
      </c>
    </row>
    <row r="42" spans="2:19">
      <c r="B42" s="497"/>
      <c r="C42" s="497"/>
      <c r="D42" s="497"/>
      <c r="E42" s="497"/>
      <c r="F42" s="497"/>
      <c r="G42" s="497"/>
      <c r="H42" s="497"/>
      <c r="I42" s="497"/>
      <c r="J42" s="497"/>
      <c r="K42" s="497"/>
      <c r="L42" s="497"/>
      <c r="M42" s="553" t="s">
        <v>701</v>
      </c>
      <c r="N42" s="19"/>
      <c r="O42" s="19"/>
      <c r="P42" s="572"/>
      <c r="Q42" s="573">
        <v>0.154</v>
      </c>
      <c r="R42" s="573">
        <v>0.193</v>
      </c>
      <c r="S42" s="574">
        <v>0.126</v>
      </c>
    </row>
    <row r="43" spans="2:19">
      <c r="B43" s="498"/>
      <c r="C43" s="498"/>
      <c r="D43" s="498"/>
      <c r="E43" s="498"/>
      <c r="F43" s="498"/>
      <c r="G43" s="498"/>
      <c r="H43" s="498"/>
      <c r="I43" s="498"/>
      <c r="J43" s="498"/>
      <c r="K43" s="498"/>
      <c r="L43" s="498"/>
      <c r="M43" s="553" t="s">
        <v>827</v>
      </c>
      <c r="N43" s="19"/>
      <c r="O43" s="19"/>
      <c r="P43" s="572"/>
      <c r="Q43" s="573">
        <v>0.123</v>
      </c>
      <c r="R43" s="573">
        <v>0.127</v>
      </c>
      <c r="S43" s="574">
        <v>0</v>
      </c>
    </row>
    <row r="44" spans="2:19">
      <c r="B44" s="494"/>
      <c r="C44" s="494"/>
      <c r="D44" s="494"/>
      <c r="E44" s="494"/>
      <c r="F44" s="494"/>
      <c r="G44" s="494"/>
      <c r="H44" s="494"/>
      <c r="I44" s="494"/>
      <c r="J44" s="494"/>
      <c r="K44" s="494"/>
      <c r="L44" s="494"/>
      <c r="M44" s="553" t="s">
        <v>828</v>
      </c>
      <c r="N44" s="19"/>
      <c r="O44" s="19"/>
      <c r="P44" s="572"/>
      <c r="Q44" s="573">
        <v>0.188</v>
      </c>
      <c r="R44" s="573">
        <v>0.14099999999999999</v>
      </c>
      <c r="S44" s="574">
        <v>0.108</v>
      </c>
    </row>
    <row r="45" spans="2:19">
      <c r="B45" s="494"/>
      <c r="C45" s="494"/>
      <c r="D45" s="494"/>
      <c r="E45" s="494"/>
      <c r="F45" s="494"/>
      <c r="G45" s="494"/>
      <c r="H45" s="494"/>
      <c r="I45" s="494"/>
      <c r="J45" s="494"/>
      <c r="K45" s="494"/>
      <c r="L45" s="494"/>
      <c r="M45" s="553" t="s">
        <v>704</v>
      </c>
      <c r="N45" s="19"/>
      <c r="O45" s="495"/>
      <c r="P45" s="501"/>
      <c r="Q45" s="573">
        <v>0.21</v>
      </c>
      <c r="R45" s="573">
        <v>0.221</v>
      </c>
      <c r="S45" s="574">
        <v>0.19800000000000001</v>
      </c>
    </row>
    <row r="46" spans="2:19">
      <c r="M46" s="553" t="s">
        <v>816</v>
      </c>
      <c r="N46" s="19"/>
      <c r="O46" s="495"/>
      <c r="P46" s="501"/>
      <c r="Q46" s="573">
        <v>0.16</v>
      </c>
      <c r="R46" s="573">
        <v>0.18099999999999999</v>
      </c>
      <c r="S46" s="574">
        <v>0.26200000000000001</v>
      </c>
    </row>
    <row r="47" spans="2:19">
      <c r="M47" s="553" t="s">
        <v>808</v>
      </c>
      <c r="N47" s="19"/>
      <c r="O47" s="495"/>
      <c r="P47" s="501"/>
      <c r="Q47" s="573">
        <v>0.115</v>
      </c>
      <c r="R47" s="573">
        <v>7.6999999999999999E-2</v>
      </c>
      <c r="S47" s="574">
        <v>0.114</v>
      </c>
    </row>
    <row r="48" spans="2:19">
      <c r="M48" s="553" t="s">
        <v>813</v>
      </c>
      <c r="N48" s="19"/>
      <c r="O48" s="494" t="s">
        <v>829</v>
      </c>
      <c r="P48" s="501"/>
      <c r="Q48" s="573">
        <v>1.6E-2</v>
      </c>
      <c r="R48" s="573">
        <v>1.7999999999999999E-2</v>
      </c>
      <c r="S48" s="574">
        <v>0.192</v>
      </c>
    </row>
    <row r="49" spans="13:20">
      <c r="M49" s="553"/>
      <c r="N49" s="19"/>
      <c r="O49" s="494" t="s">
        <v>831</v>
      </c>
      <c r="P49" s="501"/>
      <c r="Q49" s="573">
        <v>7.0000000000000001E-3</v>
      </c>
      <c r="R49" s="573">
        <v>1.2999999999999999E-2</v>
      </c>
      <c r="S49" s="574"/>
    </row>
    <row r="50" spans="13:20">
      <c r="M50" s="553"/>
      <c r="N50" s="19"/>
      <c r="O50" s="494" t="s">
        <v>830</v>
      </c>
      <c r="P50" s="501"/>
      <c r="Q50" s="573">
        <v>2.7E-2</v>
      </c>
      <c r="R50" s="573">
        <v>2.8999999999999998E-2</v>
      </c>
      <c r="S50" s="574"/>
    </row>
    <row r="51" spans="13:20">
      <c r="M51" s="553"/>
      <c r="N51" s="19"/>
      <c r="O51" s="494"/>
      <c r="P51" s="500"/>
      <c r="Q51" s="19"/>
      <c r="R51" s="19"/>
      <c r="S51" s="88"/>
    </row>
    <row r="52" spans="13:20">
      <c r="M52" s="554" t="s">
        <v>705</v>
      </c>
      <c r="N52" s="382"/>
      <c r="O52" s="575"/>
      <c r="P52" s="576"/>
      <c r="Q52" s="577">
        <f>SUM(Q42:Q51)</f>
        <v>1</v>
      </c>
      <c r="R52" s="577">
        <f>SUM(R42:R51)</f>
        <v>1</v>
      </c>
      <c r="S52" s="578">
        <f>SUM(S42:S51)</f>
        <v>1</v>
      </c>
    </row>
    <row r="53" spans="13:20">
      <c r="M53" t="s">
        <v>826</v>
      </c>
      <c r="O53" s="494"/>
      <c r="P53" s="494"/>
    </row>
    <row r="54" spans="13:20">
      <c r="M54" t="s">
        <v>832</v>
      </c>
    </row>
    <row r="56" spans="13:20" ht="15" thickBot="1">
      <c r="M56" s="4988" t="s">
        <v>872</v>
      </c>
      <c r="N56" s="4988"/>
      <c r="O56" s="4988"/>
      <c r="P56" s="4988"/>
      <c r="Q56" s="4988"/>
      <c r="R56" s="4988"/>
      <c r="S56" s="4988"/>
    </row>
    <row r="57" spans="13:20">
      <c r="M57" s="4982">
        <v>2011</v>
      </c>
      <c r="N57" s="4977" t="s">
        <v>841</v>
      </c>
      <c r="O57" s="4978"/>
      <c r="P57" s="4979" t="s">
        <v>842</v>
      </c>
      <c r="Q57" s="4980"/>
      <c r="R57" s="4984" t="s">
        <v>327</v>
      </c>
      <c r="S57" s="4973" t="s">
        <v>846</v>
      </c>
    </row>
    <row r="58" spans="13:20">
      <c r="M58" s="4983"/>
      <c r="N58" s="582" t="s">
        <v>843</v>
      </c>
      <c r="O58" s="591" t="s">
        <v>844</v>
      </c>
      <c r="P58" s="582" t="s">
        <v>845</v>
      </c>
      <c r="Q58" s="590" t="s">
        <v>844</v>
      </c>
      <c r="R58" s="4985"/>
      <c r="S58" s="4974"/>
    </row>
    <row r="59" spans="13:20">
      <c r="M59" s="570" t="s">
        <v>847</v>
      </c>
      <c r="N59" s="583">
        <f>7782+3973+28583</f>
        <v>40338</v>
      </c>
      <c r="O59" s="583">
        <v>511</v>
      </c>
      <c r="P59" s="583">
        <v>2910</v>
      </c>
      <c r="Q59" s="463">
        <v>0</v>
      </c>
      <c r="R59" s="584">
        <f t="shared" ref="R59:R64" si="2">SUM(N59:Q59)</f>
        <v>43759</v>
      </c>
      <c r="S59" s="585">
        <f>(R59/R65)*100</f>
        <v>15.028367722614503</v>
      </c>
      <c r="T59" s="622">
        <v>0.154</v>
      </c>
    </row>
    <row r="60" spans="13:20">
      <c r="M60" s="570" t="s">
        <v>848</v>
      </c>
      <c r="N60" s="583">
        <v>1714</v>
      </c>
      <c r="O60" s="583">
        <v>2691</v>
      </c>
      <c r="P60" s="583">
        <f>1433+8644+445</f>
        <v>10522</v>
      </c>
      <c r="Q60" s="463">
        <f>4+239</f>
        <v>243</v>
      </c>
      <c r="R60" s="584">
        <f t="shared" si="2"/>
        <v>15170</v>
      </c>
      <c r="S60" s="585">
        <f>(R60/R65)*100</f>
        <v>5.20990740995137</v>
      </c>
      <c r="T60" s="623">
        <v>0.123</v>
      </c>
    </row>
    <row r="61" spans="13:20">
      <c r="M61" s="570" t="s">
        <v>849</v>
      </c>
      <c r="N61" s="583">
        <f>985+51357</f>
        <v>52342</v>
      </c>
      <c r="O61" s="583">
        <f>31806+183</f>
        <v>31989</v>
      </c>
      <c r="P61" s="583">
        <v>1353</v>
      </c>
      <c r="Q61" s="463">
        <v>0</v>
      </c>
      <c r="R61" s="584">
        <f t="shared" si="2"/>
        <v>85684</v>
      </c>
      <c r="S61" s="585">
        <f>(R61/R65)*100</f>
        <v>29.426875841415502</v>
      </c>
      <c r="T61" s="623">
        <v>0.188</v>
      </c>
    </row>
    <row r="62" spans="13:20">
      <c r="M62" s="570" t="s">
        <v>850</v>
      </c>
      <c r="N62" s="583">
        <v>27575</v>
      </c>
      <c r="O62" s="583">
        <v>5332</v>
      </c>
      <c r="P62" s="583">
        <v>0</v>
      </c>
      <c r="Q62" s="463">
        <v>0</v>
      </c>
      <c r="R62" s="584">
        <f t="shared" si="2"/>
        <v>32907</v>
      </c>
      <c r="S62" s="585">
        <f>(R62/R65)*100</f>
        <v>11.301412204302553</v>
      </c>
      <c r="T62" s="622">
        <v>0.115</v>
      </c>
    </row>
    <row r="63" spans="13:20">
      <c r="M63" s="570" t="s">
        <v>704</v>
      </c>
      <c r="N63" s="583">
        <v>57649</v>
      </c>
      <c r="O63" s="583">
        <v>0</v>
      </c>
      <c r="P63" s="583">
        <v>0</v>
      </c>
      <c r="Q63" s="463">
        <v>0</v>
      </c>
      <c r="R63" s="584">
        <f t="shared" si="2"/>
        <v>57649</v>
      </c>
      <c r="S63" s="585">
        <f>(R63/R65)*100</f>
        <v>19.798678462510647</v>
      </c>
      <c r="T63" s="622">
        <v>0.21</v>
      </c>
    </row>
    <row r="64" spans="13:20">
      <c r="M64" s="570" t="s">
        <v>851</v>
      </c>
      <c r="N64" s="583">
        <v>0</v>
      </c>
      <c r="O64" s="583">
        <f>42007+7019+1777+2936+875+631</f>
        <v>55245</v>
      </c>
      <c r="P64" s="583">
        <v>0</v>
      </c>
      <c r="Q64" s="463">
        <f>69+6+97+360+227+3</f>
        <v>762</v>
      </c>
      <c r="R64" s="584">
        <f t="shared" si="2"/>
        <v>56007</v>
      </c>
      <c r="S64" s="585">
        <f>(R64/R65)*100</f>
        <v>19.234758359205429</v>
      </c>
      <c r="T64" s="622">
        <f>Q48+Q49+Q50+Q46</f>
        <v>0.21000000000000002</v>
      </c>
    </row>
    <row r="65" spans="13:20" ht="15" thickBot="1">
      <c r="M65" s="567"/>
      <c r="N65" s="586"/>
      <c r="O65" s="586"/>
      <c r="P65" s="586"/>
      <c r="Q65" s="587"/>
      <c r="R65" s="588">
        <f>SUM(R59:R64)</f>
        <v>291176</v>
      </c>
      <c r="S65" s="589">
        <f>SUM(S59:S64)</f>
        <v>100</v>
      </c>
      <c r="T65" s="623">
        <f>SUM(T59:T64)</f>
        <v>1</v>
      </c>
    </row>
    <row r="66" spans="13:20" ht="15" thickBot="1"/>
    <row r="67" spans="13:20">
      <c r="M67" s="564" t="s">
        <v>812</v>
      </c>
      <c r="N67" s="565"/>
      <c r="O67" s="565"/>
      <c r="P67" s="565"/>
      <c r="Q67" s="565"/>
      <c r="R67" s="565"/>
      <c r="S67" s="566"/>
    </row>
    <row r="68" spans="13:20" ht="15" thickBot="1">
      <c r="M68" s="567" t="s">
        <v>854</v>
      </c>
      <c r="N68" s="568"/>
      <c r="O68" s="568"/>
      <c r="P68" s="568"/>
      <c r="Q68" s="568"/>
      <c r="R68" s="568"/>
      <c r="S68" s="569"/>
    </row>
  </sheetData>
  <mergeCells count="22">
    <mergeCell ref="S57:S58"/>
    <mergeCell ref="B29:D31"/>
    <mergeCell ref="N57:O57"/>
    <mergeCell ref="P57:Q57"/>
    <mergeCell ref="K15:K16"/>
    <mergeCell ref="M57:M58"/>
    <mergeCell ref="R57:R58"/>
    <mergeCell ref="N16:O16"/>
    <mergeCell ref="P16:Q16"/>
    <mergeCell ref="J15:J16"/>
    <mergeCell ref="I15:I16"/>
    <mergeCell ref="H15:H16"/>
    <mergeCell ref="G15:G16"/>
    <mergeCell ref="M56:S56"/>
    <mergeCell ref="B1:C1"/>
    <mergeCell ref="B15:B16"/>
    <mergeCell ref="C15:C16"/>
    <mergeCell ref="B25:F25"/>
    <mergeCell ref="B26:F26"/>
    <mergeCell ref="E15:E16"/>
    <mergeCell ref="D15:D16"/>
    <mergeCell ref="F15:F16"/>
  </mergeCells>
  <pageMargins left="0.7" right="0.7" top="0.75" bottom="0.75" header="0.3" footer="0.3"/>
  <pageSetup paperSize="9"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K25"/>
  <sheetViews>
    <sheetView workbookViewId="0"/>
  </sheetViews>
  <sheetFormatPr defaultColWidth="10.90625" defaultRowHeight="14.5"/>
  <cols>
    <col min="1" max="1" width="7" customWidth="1"/>
    <col min="2" max="2" width="75" customWidth="1"/>
    <col min="3" max="3" width="23.453125" customWidth="1"/>
    <col min="4" max="4" width="5.453125" customWidth="1"/>
    <col min="5" max="5" width="14.7265625" customWidth="1"/>
    <col min="6" max="6" width="26.26953125" customWidth="1"/>
    <col min="7" max="7" width="13.1796875" customWidth="1"/>
    <col min="8" max="8" width="18.81640625" customWidth="1"/>
    <col min="9" max="9" width="22.7265625" customWidth="1"/>
    <col min="10" max="10" width="12.54296875" customWidth="1"/>
  </cols>
  <sheetData>
    <row r="1" spans="1:11" ht="24" customHeight="1">
      <c r="B1" s="4621" t="s">
        <v>665</v>
      </c>
      <c r="C1" s="4844"/>
    </row>
    <row r="2" spans="1:11" ht="15" thickBot="1"/>
    <row r="3" spans="1:11" ht="29.25" customHeight="1" thickBot="1">
      <c r="B3" s="120" t="s">
        <v>517</v>
      </c>
      <c r="C3" s="179" t="s">
        <v>661</v>
      </c>
      <c r="E3" s="4992" t="s">
        <v>791</v>
      </c>
      <c r="F3" s="4989" t="s">
        <v>835</v>
      </c>
      <c r="H3" s="4992" t="s">
        <v>821</v>
      </c>
      <c r="I3" s="4989" t="s">
        <v>836</v>
      </c>
    </row>
    <row r="4" spans="1:11" ht="20.25" customHeight="1">
      <c r="B4" s="123" t="s">
        <v>317</v>
      </c>
      <c r="C4" s="183">
        <v>12.726000000000001</v>
      </c>
      <c r="E4" s="4993"/>
      <c r="F4" s="4972"/>
      <c r="H4" s="4993" t="s">
        <v>790</v>
      </c>
      <c r="I4" s="4972"/>
    </row>
    <row r="5" spans="1:11" ht="19.5" customHeight="1">
      <c r="B5" s="123" t="s">
        <v>320</v>
      </c>
      <c r="C5" s="183">
        <v>5.1479999999999997</v>
      </c>
      <c r="E5" s="479">
        <v>1</v>
      </c>
      <c r="F5" s="64">
        <v>0.3397</v>
      </c>
      <c r="H5" s="502">
        <v>1</v>
      </c>
      <c r="I5" s="503">
        <v>0.2392</v>
      </c>
    </row>
    <row r="6" spans="1:11" ht="18" customHeight="1">
      <c r="B6" s="123" t="s">
        <v>318</v>
      </c>
      <c r="C6" s="183">
        <v>5.1479999999999997</v>
      </c>
      <c r="E6" s="479">
        <v>2</v>
      </c>
      <c r="F6" s="64">
        <v>0.2379</v>
      </c>
      <c r="H6" s="502">
        <v>2</v>
      </c>
      <c r="I6" s="503">
        <v>0.2417</v>
      </c>
    </row>
    <row r="7" spans="1:11" ht="17.25" customHeight="1">
      <c r="B7" s="123" t="s">
        <v>319</v>
      </c>
      <c r="C7" s="183">
        <v>0.65800000000000003</v>
      </c>
      <c r="E7" s="479">
        <v>3</v>
      </c>
      <c r="F7" s="64">
        <v>0.1545</v>
      </c>
      <c r="H7" s="502">
        <v>3</v>
      </c>
      <c r="I7" s="503">
        <v>0.11409999999999999</v>
      </c>
    </row>
    <row r="8" spans="1:11" ht="20.25" customHeight="1">
      <c r="B8" s="123" t="s">
        <v>321</v>
      </c>
      <c r="C8" s="183">
        <f>0.096+0.153</f>
        <v>0.249</v>
      </c>
      <c r="E8" s="479">
        <v>4</v>
      </c>
      <c r="F8" s="64">
        <v>0.17680000000000001</v>
      </c>
      <c r="H8" s="502">
        <v>4</v>
      </c>
      <c r="I8" s="503">
        <v>0.14349999999999999</v>
      </c>
    </row>
    <row r="9" spans="1:11" ht="19.5" customHeight="1">
      <c r="B9" s="123" t="s">
        <v>322</v>
      </c>
      <c r="C9" s="183">
        <v>0.25600000000000001</v>
      </c>
      <c r="E9" s="479">
        <v>5</v>
      </c>
      <c r="F9" s="64">
        <v>8.8400000000000006E-2</v>
      </c>
      <c r="H9" s="502">
        <v>5</v>
      </c>
      <c r="I9" s="503">
        <v>0.18049999999999999</v>
      </c>
    </row>
    <row r="10" spans="1:11" ht="20.25" customHeight="1">
      <c r="B10" s="123" t="s">
        <v>323</v>
      </c>
      <c r="C10" s="183">
        <v>0.28999999999999998</v>
      </c>
      <c r="E10" s="479">
        <v>10</v>
      </c>
      <c r="F10" s="64">
        <v>6.7699999999999996E-2</v>
      </c>
      <c r="H10" s="502">
        <v>6</v>
      </c>
      <c r="I10" s="503">
        <v>0.11559999999999999</v>
      </c>
    </row>
    <row r="11" spans="1:11" ht="20.25" customHeight="1">
      <c r="B11" s="123" t="s">
        <v>324</v>
      </c>
      <c r="C11" s="183">
        <v>9.1999999999999998E-2</v>
      </c>
      <c r="H11" s="504">
        <v>7</v>
      </c>
      <c r="I11" s="503">
        <v>0.03</v>
      </c>
    </row>
    <row r="12" spans="1:11" ht="19.5" customHeight="1">
      <c r="B12" s="123" t="s">
        <v>325</v>
      </c>
      <c r="C12" s="184">
        <v>1500</v>
      </c>
      <c r="H12" s="504">
        <v>8</v>
      </c>
      <c r="I12" s="503">
        <v>6.7699999999999996E-2</v>
      </c>
    </row>
    <row r="13" spans="1:11">
      <c r="H13" s="504">
        <v>6</v>
      </c>
      <c r="I13" s="503">
        <v>0.112</v>
      </c>
    </row>
    <row r="14" spans="1:11">
      <c r="A14" s="19"/>
      <c r="B14" s="19"/>
      <c r="C14" s="19"/>
      <c r="D14" s="19"/>
    </row>
    <row r="15" spans="1:11" ht="32.25" customHeight="1">
      <c r="A15" s="19"/>
      <c r="B15" s="4992" t="s">
        <v>791</v>
      </c>
      <c r="C15" s="459" t="s">
        <v>788</v>
      </c>
      <c r="D15" s="462"/>
      <c r="E15" s="527" t="s">
        <v>821</v>
      </c>
      <c r="F15" s="4994" t="s">
        <v>825</v>
      </c>
      <c r="G15" s="528" t="s">
        <v>822</v>
      </c>
      <c r="H15" s="4996" t="s">
        <v>825</v>
      </c>
      <c r="I15" s="4996" t="s">
        <v>823</v>
      </c>
      <c r="J15" s="4990" t="s">
        <v>825</v>
      </c>
      <c r="K15" s="4990" t="s">
        <v>824</v>
      </c>
    </row>
    <row r="16" spans="1:11" ht="15" customHeight="1">
      <c r="A16" s="19"/>
      <c r="B16" s="4993"/>
      <c r="C16" s="460" t="s">
        <v>789</v>
      </c>
      <c r="D16" s="19"/>
      <c r="E16" s="489"/>
      <c r="F16" s="4995"/>
      <c r="G16" s="529"/>
      <c r="H16" s="4997"/>
      <c r="I16" s="4997"/>
      <c r="J16" s="4991"/>
      <c r="K16" s="4991"/>
    </row>
    <row r="17" spans="1:11" ht="20.25" customHeight="1">
      <c r="A17" s="19"/>
      <c r="B17" s="479">
        <v>1</v>
      </c>
      <c r="C17" s="506">
        <v>0.29401818181818179</v>
      </c>
      <c r="D17" s="19"/>
      <c r="E17" s="502">
        <v>1</v>
      </c>
      <c r="F17" s="503">
        <v>12</v>
      </c>
      <c r="G17" s="505">
        <v>0.3397</v>
      </c>
      <c r="H17" s="503">
        <v>10</v>
      </c>
      <c r="I17" s="506">
        <v>0.2392</v>
      </c>
      <c r="J17" s="503">
        <v>22</v>
      </c>
      <c r="K17" s="506">
        <v>0.29401818181818179</v>
      </c>
    </row>
    <row r="18" spans="1:11">
      <c r="A18" s="19"/>
      <c r="B18" s="479">
        <v>2</v>
      </c>
      <c r="C18" s="506">
        <v>0.23998387096774196</v>
      </c>
      <c r="D18" s="19"/>
      <c r="E18" s="502">
        <v>2</v>
      </c>
      <c r="F18" s="503">
        <v>14</v>
      </c>
      <c r="G18" s="505">
        <v>0.2379</v>
      </c>
      <c r="H18" s="503">
        <v>17</v>
      </c>
      <c r="I18" s="506">
        <v>0.2417</v>
      </c>
      <c r="J18" s="503">
        <v>31</v>
      </c>
      <c r="K18" s="506">
        <v>0.23998387096774196</v>
      </c>
    </row>
    <row r="19" spans="1:11">
      <c r="A19" s="19"/>
      <c r="B19" s="479">
        <v>3</v>
      </c>
      <c r="C19" s="506">
        <v>0.12949047619047618</v>
      </c>
      <c r="D19" s="19"/>
      <c r="E19" s="502">
        <v>3</v>
      </c>
      <c r="F19" s="503">
        <v>8</v>
      </c>
      <c r="G19" s="505">
        <v>0.1545</v>
      </c>
      <c r="H19" s="503">
        <v>13</v>
      </c>
      <c r="I19" s="506">
        <v>0.11409999999999999</v>
      </c>
      <c r="J19" s="503">
        <v>21</v>
      </c>
      <c r="K19" s="506">
        <v>0.12949047619047618</v>
      </c>
    </row>
    <row r="20" spans="1:11">
      <c r="A20" s="19"/>
      <c r="B20" s="479">
        <v>4</v>
      </c>
      <c r="C20" s="506">
        <v>0.15015999999999999</v>
      </c>
      <c r="D20" s="19"/>
      <c r="E20" s="502">
        <v>4</v>
      </c>
      <c r="F20" s="503">
        <v>3</v>
      </c>
      <c r="G20" s="505">
        <v>0.17680000000000001</v>
      </c>
      <c r="H20" s="503">
        <v>12</v>
      </c>
      <c r="I20" s="506">
        <v>0.14349999999999999</v>
      </c>
      <c r="J20" s="503">
        <v>15</v>
      </c>
      <c r="K20" s="506">
        <v>0.15015999999999999</v>
      </c>
    </row>
    <row r="21" spans="1:11">
      <c r="A21" s="19"/>
      <c r="B21" s="479">
        <v>5</v>
      </c>
      <c r="C21" s="506">
        <v>0.14980000000000002</v>
      </c>
      <c r="D21" s="19"/>
      <c r="E21" s="502">
        <v>5</v>
      </c>
      <c r="F21" s="503">
        <v>1</v>
      </c>
      <c r="G21" s="505">
        <v>8.8400000000000006E-2</v>
      </c>
      <c r="H21" s="503">
        <v>2</v>
      </c>
      <c r="I21" s="506">
        <v>0.18049999999999999</v>
      </c>
      <c r="J21" s="503">
        <v>3</v>
      </c>
      <c r="K21" s="506">
        <v>0.14980000000000002</v>
      </c>
    </row>
    <row r="22" spans="1:11">
      <c r="A22" s="19"/>
      <c r="B22" s="479">
        <v>10</v>
      </c>
      <c r="C22" s="506">
        <v>6.7699999999999996E-2</v>
      </c>
      <c r="D22" s="19"/>
      <c r="E22" s="502">
        <v>6</v>
      </c>
      <c r="F22" s="502"/>
      <c r="G22" s="507"/>
      <c r="H22" s="503">
        <v>5</v>
      </c>
      <c r="I22" s="506">
        <v>0.11559999999999999</v>
      </c>
      <c r="J22" s="503">
        <v>5</v>
      </c>
      <c r="K22" s="506">
        <v>0.10191428571428571</v>
      </c>
    </row>
    <row r="23" spans="1:11">
      <c r="A23" s="19"/>
      <c r="D23" s="19"/>
      <c r="E23" s="504">
        <v>7</v>
      </c>
      <c r="F23" s="504"/>
      <c r="G23" s="506"/>
      <c r="H23" s="257">
        <v>1</v>
      </c>
      <c r="I23" s="506">
        <v>0.03</v>
      </c>
      <c r="J23" s="503">
        <v>1</v>
      </c>
      <c r="K23" s="506">
        <v>0.03</v>
      </c>
    </row>
    <row r="24" spans="1:11">
      <c r="A24" s="19"/>
      <c r="D24" s="19"/>
      <c r="E24" s="504">
        <v>8</v>
      </c>
      <c r="F24" s="504"/>
      <c r="G24" s="506"/>
      <c r="H24" s="257">
        <v>2</v>
      </c>
      <c r="I24" s="506">
        <v>6.7699999999999996E-2</v>
      </c>
      <c r="J24" s="503">
        <v>2</v>
      </c>
      <c r="K24" s="506">
        <v>6.7699999999999996E-2</v>
      </c>
    </row>
    <row r="25" spans="1:11">
      <c r="E25" s="504">
        <v>6</v>
      </c>
      <c r="F25" s="504"/>
      <c r="G25" s="506"/>
      <c r="H25" s="257">
        <v>4</v>
      </c>
      <c r="I25" s="506">
        <v>0.112</v>
      </c>
      <c r="J25" s="503">
        <v>4</v>
      </c>
      <c r="K25" s="506">
        <v>0.112</v>
      </c>
    </row>
  </sheetData>
  <mergeCells count="11">
    <mergeCell ref="F3:F4"/>
    <mergeCell ref="I3:I4"/>
    <mergeCell ref="K15:K16"/>
    <mergeCell ref="B1:C1"/>
    <mergeCell ref="H3:H4"/>
    <mergeCell ref="E3:E4"/>
    <mergeCell ref="B15:B16"/>
    <mergeCell ref="F15:F16"/>
    <mergeCell ref="H15:H16"/>
    <mergeCell ref="I15:I16"/>
    <mergeCell ref="J15:J16"/>
  </mergeCells>
  <pageMargins left="0.70866141732283472" right="0.70866141732283472" top="0.74803149606299213" bottom="0.74803149606299213" header="0.31496062992125984" footer="0.31496062992125984"/>
  <pageSetup paperSize="9" scale="80"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P65"/>
  <sheetViews>
    <sheetView workbookViewId="0">
      <selection activeCell="E15" sqref="E15"/>
    </sheetView>
  </sheetViews>
  <sheetFormatPr defaultColWidth="10.90625" defaultRowHeight="14.5"/>
  <cols>
    <col min="2" max="2" width="49.7265625" customWidth="1"/>
    <col min="3" max="3" width="13.81640625" customWidth="1"/>
    <col min="4" max="4" width="13.453125" customWidth="1"/>
    <col min="5" max="5" width="14.26953125" customWidth="1"/>
    <col min="6" max="6" width="12.26953125" customWidth="1"/>
    <col min="7" max="7" width="17.1796875" customWidth="1"/>
    <col min="8" max="8" width="14.453125" customWidth="1"/>
    <col min="9" max="9" width="14.1796875" customWidth="1"/>
    <col min="10" max="10" width="13.26953125" customWidth="1"/>
    <col min="12" max="12" width="13.26953125" customWidth="1"/>
    <col min="13" max="14" width="14.1796875" customWidth="1"/>
    <col min="15" max="15" width="13.81640625" customWidth="1"/>
    <col min="16" max="16" width="13.26953125" customWidth="1"/>
  </cols>
  <sheetData>
    <row r="1" spans="2:12" ht="21.75" customHeight="1">
      <c r="B1" s="4621" t="s">
        <v>666</v>
      </c>
      <c r="C1" s="4621"/>
    </row>
    <row r="2" spans="2:12" ht="15" thickBot="1"/>
    <row r="3" spans="2:12" ht="33" customHeight="1" thickBot="1">
      <c r="B3" s="185" t="s">
        <v>511</v>
      </c>
      <c r="C3" s="1142" t="s">
        <v>661</v>
      </c>
    </row>
    <row r="4" spans="2:12" ht="17.25" customHeight="1">
      <c r="B4" s="123" t="s">
        <v>510</v>
      </c>
      <c r="C4" s="181">
        <v>10</v>
      </c>
      <c r="D4" t="s">
        <v>1362</v>
      </c>
      <c r="G4" s="26" t="s">
        <v>1360</v>
      </c>
      <c r="H4" t="s">
        <v>1361</v>
      </c>
      <c r="J4" t="s">
        <v>1594</v>
      </c>
    </row>
    <row r="5" spans="2:12" ht="19.5" customHeight="1">
      <c r="B5" s="123" t="s">
        <v>330</v>
      </c>
      <c r="C5" s="1541">
        <v>1.99E-3</v>
      </c>
      <c r="D5" s="10"/>
      <c r="G5" s="26">
        <v>1.47</v>
      </c>
      <c r="H5" s="1118">
        <f>G5/365*0.4</f>
        <v>1.6109589041095893E-3</v>
      </c>
      <c r="J5" s="1147">
        <v>7.2282295774647879E-3</v>
      </c>
      <c r="K5" s="1540">
        <v>7.2282295774647879E-3</v>
      </c>
      <c r="L5" s="1117"/>
    </row>
    <row r="6" spans="2:12" ht="18.75" customHeight="1">
      <c r="B6" s="123" t="s">
        <v>331</v>
      </c>
      <c r="C6" s="1541">
        <v>1.24E-3</v>
      </c>
      <c r="D6" s="10">
        <v>4.6000000000000001E-4</v>
      </c>
      <c r="E6" s="1117">
        <v>7.2900000000000005E-4</v>
      </c>
      <c r="F6">
        <f>E6-D6</f>
        <v>2.6900000000000003E-4</v>
      </c>
      <c r="G6" s="26">
        <v>0.21</v>
      </c>
      <c r="H6" s="1118">
        <f>G6/365*0.4</f>
        <v>2.3013698630136985E-4</v>
      </c>
      <c r="J6" s="1147">
        <v>2.3426515151515153E-2</v>
      </c>
      <c r="K6" s="1540">
        <v>2.3426515151515153E-2</v>
      </c>
    </row>
    <row r="7" spans="2:12" ht="17.25" customHeight="1">
      <c r="B7" s="123" t="s">
        <v>332</v>
      </c>
      <c r="C7" s="1541">
        <v>9.4499999999999998E-4</v>
      </c>
      <c r="D7" s="1148">
        <v>9.8700000000000003E-4</v>
      </c>
      <c r="G7" s="26">
        <v>0.1</v>
      </c>
      <c r="H7" s="1118">
        <f>G7/365*0.4</f>
        <v>1.0958904109589043E-4</v>
      </c>
      <c r="J7" s="1147">
        <v>1.5948275862068963E-2</v>
      </c>
      <c r="K7" s="1540">
        <v>1.5948275862068963E-2</v>
      </c>
    </row>
    <row r="8" spans="2:12" ht="18" customHeight="1">
      <c r="B8" s="123" t="s">
        <v>333</v>
      </c>
      <c r="C8" s="1541">
        <v>3.8999999999999998E-3</v>
      </c>
      <c r="D8" s="1148">
        <v>1.562E-3</v>
      </c>
      <c r="E8" s="1117">
        <f>D8-F6</f>
        <v>1.2929999999999999E-3</v>
      </c>
      <c r="G8" s="26">
        <v>0.59</v>
      </c>
      <c r="H8" s="1118">
        <f>G8/365*0.4</f>
        <v>6.4657534246575349E-4</v>
      </c>
      <c r="J8" s="1147">
        <v>8.4834460444133467E-3</v>
      </c>
      <c r="K8" s="1540">
        <v>8.4834460444133467E-3</v>
      </c>
    </row>
    <row r="9" spans="2:12" ht="23.25" customHeight="1">
      <c r="B9" s="123" t="s">
        <v>667</v>
      </c>
      <c r="C9" s="181">
        <v>8</v>
      </c>
      <c r="F9" t="s">
        <v>1358</v>
      </c>
      <c r="G9" s="26">
        <v>0.26</v>
      </c>
    </row>
    <row r="10" spans="2:12" ht="22.5" customHeight="1">
      <c r="B10" s="123" t="s">
        <v>652</v>
      </c>
      <c r="C10" s="181">
        <v>1525</v>
      </c>
      <c r="F10" t="s">
        <v>1359</v>
      </c>
      <c r="G10" s="26">
        <v>0.06</v>
      </c>
    </row>
    <row r="11" spans="2:12" ht="19.5" customHeight="1">
      <c r="B11" s="123" t="s">
        <v>335</v>
      </c>
      <c r="C11" s="181">
        <v>4</v>
      </c>
    </row>
    <row r="12" spans="2:12" ht="25.5" customHeight="1">
      <c r="B12" s="123" t="s">
        <v>653</v>
      </c>
      <c r="C12" s="181">
        <v>30</v>
      </c>
    </row>
    <row r="13" spans="2:12" ht="18.75" customHeight="1">
      <c r="B13" s="123" t="s">
        <v>512</v>
      </c>
      <c r="C13" s="181">
        <v>10</v>
      </c>
    </row>
    <row r="14" spans="2:12" ht="18" customHeight="1">
      <c r="B14" s="123" t="s">
        <v>338</v>
      </c>
      <c r="C14" s="186">
        <v>6.8</v>
      </c>
    </row>
    <row r="15" spans="2:12" ht="20.25" customHeight="1">
      <c r="B15" s="123" t="s">
        <v>493</v>
      </c>
      <c r="C15" s="186">
        <v>5.42</v>
      </c>
      <c r="H15" s="97" t="s">
        <v>1060</v>
      </c>
    </row>
    <row r="16" spans="2:12" ht="23.25" customHeight="1">
      <c r="B16" s="123" t="s">
        <v>1059</v>
      </c>
      <c r="C16" s="972">
        <v>2.89</v>
      </c>
      <c r="D16" s="5000" t="s">
        <v>1062</v>
      </c>
      <c r="E16" s="5001"/>
      <c r="F16" s="5001"/>
      <c r="G16" s="5001"/>
      <c r="H16" s="97">
        <v>2.35</v>
      </c>
    </row>
    <row r="17" spans="2:16" ht="22.5" customHeight="1">
      <c r="B17" s="123" t="s">
        <v>1061</v>
      </c>
      <c r="C17" s="972">
        <v>3.09</v>
      </c>
      <c r="D17" s="5000"/>
      <c r="E17" s="5001"/>
      <c r="F17" s="5001"/>
      <c r="G17" s="5001"/>
      <c r="H17" s="97">
        <v>2.64</v>
      </c>
    </row>
    <row r="18" spans="2:16" ht="21.75" customHeight="1">
      <c r="B18" s="123" t="s">
        <v>515</v>
      </c>
      <c r="C18" s="181">
        <v>35</v>
      </c>
    </row>
    <row r="19" spans="2:16" ht="18" customHeight="1">
      <c r="B19" s="123" t="s">
        <v>760</v>
      </c>
      <c r="C19" s="10">
        <v>2.5099999999999998</v>
      </c>
    </row>
    <row r="20" spans="2:16" ht="21" customHeight="1">
      <c r="B20" s="123" t="s">
        <v>761</v>
      </c>
      <c r="C20" s="10">
        <v>0.46</v>
      </c>
    </row>
    <row r="21" spans="2:16" ht="18.75" customHeight="1">
      <c r="B21" s="123" t="s">
        <v>762</v>
      </c>
      <c r="C21" s="10">
        <v>0.37</v>
      </c>
    </row>
    <row r="22" spans="2:16" ht="20.25" customHeight="1">
      <c r="B22" s="123" t="s">
        <v>502</v>
      </c>
      <c r="C22" s="12">
        <v>1.26</v>
      </c>
    </row>
    <row r="23" spans="2:16">
      <c r="B23" s="320"/>
      <c r="C23" s="320"/>
      <c r="D23" s="320"/>
      <c r="E23" s="320"/>
      <c r="F23" s="320"/>
      <c r="G23" s="320"/>
      <c r="H23" s="320"/>
      <c r="I23" s="320"/>
      <c r="J23" s="321" t="s">
        <v>737</v>
      </c>
      <c r="K23" s="322">
        <f>[8]Resumen!D68</f>
        <v>10</v>
      </c>
      <c r="O23" s="320"/>
      <c r="P23" s="320"/>
    </row>
    <row r="24" spans="2:16" ht="36.75" customHeight="1" thickBot="1">
      <c r="B24" s="351" t="s">
        <v>368</v>
      </c>
      <c r="C24" s="347" t="s">
        <v>738</v>
      </c>
      <c r="D24" s="323" t="s">
        <v>739</v>
      </c>
      <c r="E24" s="1130" t="s">
        <v>740</v>
      </c>
      <c r="F24" s="323" t="s">
        <v>741</v>
      </c>
      <c r="G24" s="323" t="s">
        <v>742</v>
      </c>
      <c r="H24" s="323" t="s">
        <v>743</v>
      </c>
      <c r="I24" s="323" t="s">
        <v>744</v>
      </c>
      <c r="J24" s="323" t="s">
        <v>745</v>
      </c>
      <c r="K24" s="323" t="s">
        <v>746</v>
      </c>
      <c r="L24" s="320"/>
      <c r="M24" s="323" t="s">
        <v>747</v>
      </c>
      <c r="N24" s="323" t="s">
        <v>748</v>
      </c>
      <c r="O24" s="323" t="s">
        <v>749</v>
      </c>
      <c r="P24" s="323" t="s">
        <v>750</v>
      </c>
    </row>
    <row r="25" spans="2:16" ht="15" thickBot="1">
      <c r="B25" s="352" t="s">
        <v>751</v>
      </c>
      <c r="C25" s="348">
        <v>25</v>
      </c>
      <c r="D25" s="1128">
        <v>0.65</v>
      </c>
      <c r="E25" s="1132">
        <v>80</v>
      </c>
      <c r="F25" s="1129">
        <f>C22</f>
        <v>1.26</v>
      </c>
      <c r="G25" s="344">
        <f>'Datos auxiliares general'!C7/1000</f>
        <v>71</v>
      </c>
      <c r="H25" s="340">
        <v>3.3000000000000002E-2</v>
      </c>
      <c r="I25" s="324">
        <f>C20</f>
        <v>0.46</v>
      </c>
      <c r="J25" s="325"/>
      <c r="K25" s="326"/>
      <c r="L25" s="320"/>
      <c r="M25" s="355">
        <f>($K$23/1000)*((C25/100)*D25*E25)*F25/G25</f>
        <v>2.3070422535211269E-3</v>
      </c>
      <c r="N25" s="356">
        <f>IF(I25&lt;&gt;0,($K$23/1000)*((C25*D25/100)/H25)*I25,"")</f>
        <v>2.2651515151515152E-2</v>
      </c>
      <c r="O25" s="356" t="str">
        <f t="shared" ref="O25:O33" si="0">IF(J25&lt;&gt;0,($K$23/1000)*((C25*D25/100)/H25)*J25,"")</f>
        <v/>
      </c>
      <c r="P25" s="456" t="s">
        <v>506</v>
      </c>
    </row>
    <row r="26" spans="2:16" ht="15" thickBot="1">
      <c r="B26" s="353" t="s">
        <v>752</v>
      </c>
      <c r="C26" s="349">
        <v>25</v>
      </c>
      <c r="D26" s="1136">
        <v>0.5</v>
      </c>
      <c r="E26" s="1132">
        <v>100</v>
      </c>
      <c r="F26" s="1137">
        <f>C22</f>
        <v>1.26</v>
      </c>
      <c r="G26" s="344">
        <f>'Datos auxiliares general'!C7/1000</f>
        <v>71</v>
      </c>
      <c r="H26" s="341">
        <v>2.9000000000000001E-2</v>
      </c>
      <c r="I26" s="327"/>
      <c r="J26" s="327">
        <f>C21</f>
        <v>0.37</v>
      </c>
      <c r="K26" s="330"/>
      <c r="L26" s="320"/>
      <c r="M26" s="357">
        <f>($K$23/1000)*((C26/100)*D26*E26)*F26/G26</f>
        <v>2.2183098591549294E-3</v>
      </c>
      <c r="N26" s="358" t="str">
        <f t="shared" ref="N26:N33" si="1">IF(I26&lt;&gt;0,($K$23/1000)*((C26*D26/100)/H26)*I26,"")</f>
        <v/>
      </c>
      <c r="O26" s="358">
        <f>IF(J26&lt;&gt;0,($K$23/1000)*((C26*D26/100)/H26)*J26,"")</f>
        <v>1.5948275862068963E-2</v>
      </c>
      <c r="P26" s="457" t="s">
        <v>506</v>
      </c>
    </row>
    <row r="27" spans="2:16">
      <c r="B27" s="353" t="s">
        <v>753</v>
      </c>
      <c r="C27" s="349">
        <v>12</v>
      </c>
      <c r="D27" s="328">
        <v>4.6900000000000004</v>
      </c>
      <c r="E27" s="1131">
        <v>15</v>
      </c>
      <c r="F27" s="339">
        <f>C22</f>
        <v>1.26</v>
      </c>
      <c r="G27" s="344">
        <f>'Datos auxiliares general'!C7/1000</f>
        <v>71</v>
      </c>
      <c r="H27" s="341">
        <v>2.2639999999999998</v>
      </c>
      <c r="I27" s="327"/>
      <c r="J27" s="331"/>
      <c r="K27" s="332">
        <f>C19</f>
        <v>2.5099999999999998</v>
      </c>
      <c r="L27" s="320"/>
      <c r="M27" s="357">
        <f t="shared" ref="M27:M33" si="2">($K$23/1000)*((C27/100)*D27*E27)*F27/G27</f>
        <v>1.4981577464788737E-3</v>
      </c>
      <c r="N27" s="358" t="str">
        <f t="shared" si="1"/>
        <v/>
      </c>
      <c r="O27" s="358" t="str">
        <f t="shared" si="0"/>
        <v/>
      </c>
      <c r="P27" s="457">
        <f>IF(K27&lt;&gt;0,($K$23/1000)*((C27*D27/100)/H27)*K27,"")</f>
        <v>6.2395229681978786E-3</v>
      </c>
    </row>
    <row r="28" spans="2:16">
      <c r="B28" s="353" t="s">
        <v>754</v>
      </c>
      <c r="C28" s="349">
        <v>10</v>
      </c>
      <c r="D28" s="328">
        <v>0.34</v>
      </c>
      <c r="E28" s="329">
        <v>7</v>
      </c>
      <c r="F28" s="339">
        <f>C22</f>
        <v>1.26</v>
      </c>
      <c r="G28" s="344">
        <f>'Datos auxiliares general'!C7/1000</f>
        <v>71</v>
      </c>
      <c r="H28" s="342">
        <v>22.5</v>
      </c>
      <c r="I28" s="327"/>
      <c r="J28" s="331"/>
      <c r="K28" s="332">
        <f>C19</f>
        <v>2.5099999999999998</v>
      </c>
      <c r="L28" s="320"/>
      <c r="M28" s="357">
        <f t="shared" si="2"/>
        <v>4.2236619718309865E-5</v>
      </c>
      <c r="N28" s="358" t="str">
        <f t="shared" si="1"/>
        <v/>
      </c>
      <c r="O28" s="358" t="str">
        <f t="shared" si="0"/>
        <v/>
      </c>
      <c r="P28" s="457">
        <f t="shared" ref="P28:P33" si="3">IF(K28&lt;&gt;0,($K$23/1000)*((C28*D28/100)/H28)*K28,"")</f>
        <v>3.7928888888888893E-5</v>
      </c>
    </row>
    <row r="29" spans="2:16">
      <c r="B29" s="353" t="s">
        <v>755</v>
      </c>
      <c r="C29" s="349">
        <v>8</v>
      </c>
      <c r="D29" s="328">
        <v>1.45</v>
      </c>
      <c r="E29" s="329">
        <v>10</v>
      </c>
      <c r="F29" s="339">
        <f>C22</f>
        <v>1.26</v>
      </c>
      <c r="G29" s="344">
        <f>'Datos auxiliares general'!C7/1000</f>
        <v>71</v>
      </c>
      <c r="H29" s="342">
        <v>6.73</v>
      </c>
      <c r="I29" s="327"/>
      <c r="J29" s="331"/>
      <c r="K29" s="332">
        <f>C19</f>
        <v>2.5099999999999998</v>
      </c>
      <c r="L29" s="320"/>
      <c r="M29" s="357">
        <f t="shared" si="2"/>
        <v>2.0585915492957744E-4</v>
      </c>
      <c r="N29" s="358" t="str">
        <f t="shared" si="1"/>
        <v/>
      </c>
      <c r="O29" s="358" t="str">
        <f t="shared" si="0"/>
        <v/>
      </c>
      <c r="P29" s="457">
        <f t="shared" si="3"/>
        <v>4.3263001485884097E-4</v>
      </c>
    </row>
    <row r="30" spans="2:16">
      <c r="B30" s="353" t="s">
        <v>756</v>
      </c>
      <c r="C30" s="349">
        <v>6</v>
      </c>
      <c r="D30" s="328">
        <v>0.7</v>
      </c>
      <c r="E30" s="329">
        <v>15</v>
      </c>
      <c r="F30" s="339">
        <f>C22</f>
        <v>1.26</v>
      </c>
      <c r="G30" s="344">
        <f>'Datos auxiliares general'!C7/1000</f>
        <v>71</v>
      </c>
      <c r="H30" s="342">
        <v>4.8929999999999998</v>
      </c>
      <c r="I30" s="327"/>
      <c r="J30" s="331"/>
      <c r="K30" s="332">
        <f>C19</f>
        <v>2.5099999999999998</v>
      </c>
      <c r="L30" s="320"/>
      <c r="M30" s="357">
        <f t="shared" si="2"/>
        <v>1.1180281690140844E-4</v>
      </c>
      <c r="N30" s="358" t="str">
        <f t="shared" si="1"/>
        <v/>
      </c>
      <c r="O30" s="358" t="str">
        <f t="shared" si="0"/>
        <v/>
      </c>
      <c r="P30" s="457">
        <f t="shared" si="3"/>
        <v>2.1545064377682404E-4</v>
      </c>
    </row>
    <row r="31" spans="2:16">
      <c r="B31" s="353" t="s">
        <v>757</v>
      </c>
      <c r="C31" s="349">
        <v>5</v>
      </c>
      <c r="D31" s="328">
        <v>0.71</v>
      </c>
      <c r="E31" s="329">
        <v>40</v>
      </c>
      <c r="F31" s="339">
        <f>C22</f>
        <v>1.26</v>
      </c>
      <c r="G31" s="344">
        <f>'Datos auxiliares general'!C7/1000</f>
        <v>71</v>
      </c>
      <c r="H31" s="342">
        <v>1.4850000000000001</v>
      </c>
      <c r="I31" s="327"/>
      <c r="J31" s="331"/>
      <c r="K31" s="332">
        <f>C19</f>
        <v>2.5099999999999998</v>
      </c>
      <c r="L31" s="320"/>
      <c r="M31" s="357">
        <f t="shared" si="2"/>
        <v>2.52E-4</v>
      </c>
      <c r="N31" s="358" t="str">
        <f t="shared" si="1"/>
        <v/>
      </c>
      <c r="O31" s="358" t="str">
        <f t="shared" si="0"/>
        <v/>
      </c>
      <c r="P31" s="457">
        <f t="shared" si="3"/>
        <v>6.0003367003366986E-4</v>
      </c>
    </row>
    <row r="32" spans="2:16">
      <c r="B32" s="353" t="s">
        <v>758</v>
      </c>
      <c r="C32" s="349">
        <v>5</v>
      </c>
      <c r="D32" s="328">
        <v>0.93</v>
      </c>
      <c r="E32" s="329">
        <v>37</v>
      </c>
      <c r="F32" s="339">
        <f>C22</f>
        <v>1.26</v>
      </c>
      <c r="G32" s="344">
        <f>'Datos auxiliares general'!C7/1000</f>
        <v>71</v>
      </c>
      <c r="H32" s="342">
        <v>0.27600000000000002</v>
      </c>
      <c r="I32" s="327">
        <f>C20</f>
        <v>0.46</v>
      </c>
      <c r="J32" s="331"/>
      <c r="K32" s="332"/>
      <c r="L32" s="320"/>
      <c r="M32" s="357">
        <f t="shared" si="2"/>
        <v>3.0532816901408452E-4</v>
      </c>
      <c r="N32" s="358">
        <f t="shared" si="1"/>
        <v>7.7500000000000008E-4</v>
      </c>
      <c r="O32" s="358" t="str">
        <f t="shared" si="0"/>
        <v/>
      </c>
      <c r="P32" s="457" t="str">
        <f t="shared" si="3"/>
        <v/>
      </c>
    </row>
    <row r="33" spans="2:16">
      <c r="B33" s="354" t="s">
        <v>759</v>
      </c>
      <c r="C33" s="350">
        <v>4</v>
      </c>
      <c r="D33" s="334">
        <v>0.54</v>
      </c>
      <c r="E33" s="335">
        <v>75</v>
      </c>
      <c r="F33" s="345">
        <f>C22</f>
        <v>1.26</v>
      </c>
      <c r="G33" s="346">
        <f>'Datos auxiliares general'!C7/1000</f>
        <v>71</v>
      </c>
      <c r="H33" s="343">
        <v>0.56599999999999995</v>
      </c>
      <c r="I33" s="333"/>
      <c r="J33" s="336"/>
      <c r="K33" s="337">
        <f>C19</f>
        <v>2.5099999999999998</v>
      </c>
      <c r="L33" s="320"/>
      <c r="M33" s="359">
        <f t="shared" si="2"/>
        <v>2.8749295774647889E-4</v>
      </c>
      <c r="N33" s="360" t="str">
        <f t="shared" si="1"/>
        <v/>
      </c>
      <c r="O33" s="360" t="str">
        <f t="shared" si="0"/>
        <v/>
      </c>
      <c r="P33" s="458">
        <f t="shared" si="3"/>
        <v>9.5787985865724385E-4</v>
      </c>
    </row>
    <row r="34" spans="2:16" ht="32.25" customHeight="1">
      <c r="B34" s="1141" t="s">
        <v>1366</v>
      </c>
      <c r="C34" s="320" t="s">
        <v>1363</v>
      </c>
      <c r="D34" s="320"/>
      <c r="E34" s="1143" t="s">
        <v>1383</v>
      </c>
      <c r="F34" s="1144"/>
      <c r="G34" s="1144"/>
      <c r="H34" s="1152" t="s">
        <v>1364</v>
      </c>
      <c r="I34" s="1156" t="s">
        <v>744</v>
      </c>
      <c r="J34" s="1121" t="s">
        <v>745</v>
      </c>
      <c r="K34" s="1121" t="s">
        <v>746</v>
      </c>
      <c r="L34" s="320"/>
      <c r="M34" s="361">
        <f>SUM(M25:M33)</f>
        <v>7.2282295774647879E-3</v>
      </c>
      <c r="N34" s="361">
        <f>SUM(N25:N33)</f>
        <v>2.3426515151515153E-2</v>
      </c>
      <c r="O34" s="361">
        <f>SUM(O25:O33)</f>
        <v>1.5948275862068963E-2</v>
      </c>
      <c r="P34" s="361">
        <f>SUM(P27:P33)</f>
        <v>8.4834460444133467E-3</v>
      </c>
    </row>
    <row r="35" spans="2:16">
      <c r="B35" s="1122"/>
      <c r="C35" s="4998"/>
      <c r="D35" s="1122"/>
      <c r="E35" s="1122"/>
      <c r="F35" s="4999"/>
      <c r="G35" s="283"/>
      <c r="H35" s="1153" t="s">
        <v>1365</v>
      </c>
      <c r="I35" s="1153" t="s">
        <v>1369</v>
      </c>
      <c r="J35" s="1120" t="s">
        <v>1369</v>
      </c>
      <c r="K35" s="1120" t="s">
        <v>1369</v>
      </c>
      <c r="L35" s="283"/>
      <c r="M35" s="362"/>
      <c r="N35" s="362"/>
      <c r="O35" s="362"/>
      <c r="P35" s="361">
        <f>SUM(M34:P34)</f>
        <v>5.5086466635462246E-2</v>
      </c>
    </row>
    <row r="36" spans="2:16">
      <c r="B36" s="1123" t="s">
        <v>1382</v>
      </c>
      <c r="C36" s="4998"/>
      <c r="D36" s="1123" t="s">
        <v>1381</v>
      </c>
      <c r="E36" s="1123"/>
      <c r="F36" s="4999"/>
      <c r="G36" s="1120"/>
      <c r="H36" s="1153"/>
      <c r="I36" s="1153"/>
      <c r="J36" s="1120"/>
      <c r="K36" s="1120"/>
      <c r="L36" s="338"/>
      <c r="M36" s="338"/>
      <c r="N36" s="320"/>
      <c r="O36" s="320"/>
      <c r="P36" s="320"/>
    </row>
    <row r="37" spans="2:16" ht="26">
      <c r="B37" s="352" t="s">
        <v>751</v>
      </c>
      <c r="D37" s="1124">
        <f>D25*1000*$K$23*C25/100/1000</f>
        <v>1.625</v>
      </c>
      <c r="E37" s="552" t="s">
        <v>1357</v>
      </c>
      <c r="G37" s="1157" t="s">
        <v>1373</v>
      </c>
      <c r="H37" s="1158" t="s">
        <v>1372</v>
      </c>
      <c r="I37" s="1158" t="s">
        <v>1376</v>
      </c>
      <c r="J37" s="338"/>
      <c r="K37" s="338"/>
    </row>
    <row r="38" spans="2:16">
      <c r="B38" s="353" t="s">
        <v>752</v>
      </c>
      <c r="D38" s="1125">
        <f t="shared" ref="D38:D45" si="4">D26*1000*$K$23*C26/100/1000</f>
        <v>1.25</v>
      </c>
      <c r="E38" s="88" t="s">
        <v>1357</v>
      </c>
      <c r="F38" s="18"/>
      <c r="G38" s="1119" t="s">
        <v>1370</v>
      </c>
      <c r="H38" s="1154" t="s">
        <v>1368</v>
      </c>
      <c r="I38" s="1154" t="s">
        <v>1367</v>
      </c>
    </row>
    <row r="39" spans="2:16">
      <c r="B39" s="353" t="s">
        <v>753</v>
      </c>
      <c r="D39" s="1125">
        <f t="shared" si="4"/>
        <v>5.6280000000000001</v>
      </c>
      <c r="E39" s="88" t="s">
        <v>1357</v>
      </c>
      <c r="F39" s="1161" t="s">
        <v>1374</v>
      </c>
      <c r="G39" s="28">
        <f>G25/H39</f>
        <v>49.093663911845731</v>
      </c>
      <c r="H39" s="1043">
        <f>I39/$K$27</f>
        <v>1.4462151394422311</v>
      </c>
      <c r="I39" s="1042">
        <v>3.63</v>
      </c>
    </row>
    <row r="40" spans="2:16">
      <c r="B40" s="353" t="s">
        <v>754</v>
      </c>
      <c r="D40" s="1125">
        <f t="shared" si="4"/>
        <v>0.34</v>
      </c>
      <c r="E40" s="88" t="s">
        <v>1357</v>
      </c>
      <c r="F40" s="1161"/>
      <c r="G40" s="28">
        <f>G26/H40</f>
        <v>119.60402684563758</v>
      </c>
      <c r="H40" s="1043">
        <f>I40/$K$27</f>
        <v>0.59362549800796816</v>
      </c>
      <c r="I40" s="1042">
        <v>1.49</v>
      </c>
    </row>
    <row r="41" spans="2:16">
      <c r="B41" s="353" t="s">
        <v>755</v>
      </c>
      <c r="D41" s="1125">
        <f t="shared" si="4"/>
        <v>1.1599999999999999</v>
      </c>
      <c r="E41" s="88" t="s">
        <v>1357</v>
      </c>
      <c r="F41" s="1161"/>
      <c r="G41" s="28">
        <f>G27/H41</f>
        <v>106.71257485029939</v>
      </c>
      <c r="H41" s="1043">
        <f>I41/$K$27</f>
        <v>0.66533864541832677</v>
      </c>
      <c r="I41" s="1042">
        <v>1.67</v>
      </c>
    </row>
    <row r="42" spans="2:16">
      <c r="B42" s="353" t="s">
        <v>756</v>
      </c>
      <c r="D42" s="1125">
        <f t="shared" si="4"/>
        <v>0.42</v>
      </c>
      <c r="E42" s="88" t="s">
        <v>1357</v>
      </c>
      <c r="F42" s="9" t="s">
        <v>327</v>
      </c>
      <c r="G42" s="1162">
        <f>G28/H42</f>
        <v>78.737849779086886</v>
      </c>
      <c r="H42" s="1163">
        <f>(H39+H40+H41)/3</f>
        <v>0.90172642762284205</v>
      </c>
      <c r="I42" s="1163">
        <f>(I39+I40+I41)/3</f>
        <v>2.2633333333333332</v>
      </c>
    </row>
    <row r="43" spans="2:16" ht="26">
      <c r="B43" s="353" t="s">
        <v>757</v>
      </c>
      <c r="D43" s="1125">
        <f t="shared" si="4"/>
        <v>0.35499999999999998</v>
      </c>
      <c r="E43" s="88" t="s">
        <v>1357</v>
      </c>
      <c r="F43" s="26"/>
      <c r="G43" s="1157" t="s">
        <v>1373</v>
      </c>
      <c r="H43" s="1158" t="s">
        <v>1372</v>
      </c>
      <c r="I43" s="1158" t="s">
        <v>1377</v>
      </c>
    </row>
    <row r="44" spans="2:16">
      <c r="B44" s="353" t="s">
        <v>758</v>
      </c>
      <c r="D44" s="1125">
        <f>D32*1000*$K$23*C32/100/1000</f>
        <v>0.46500000000000002</v>
      </c>
      <c r="E44" s="88" t="s">
        <v>1357</v>
      </c>
      <c r="F44" s="1160" t="s">
        <v>1374</v>
      </c>
      <c r="G44" s="28">
        <f>G30/H44</f>
        <v>4.0774032459425724</v>
      </c>
      <c r="H44" s="1043">
        <f>I44/$I$25</f>
        <v>17.413043478260867</v>
      </c>
      <c r="I44" s="1042">
        <v>8.01</v>
      </c>
    </row>
    <row r="45" spans="2:16">
      <c r="B45" s="354" t="s">
        <v>759</v>
      </c>
      <c r="D45" s="1125">
        <f t="shared" si="4"/>
        <v>0.216</v>
      </c>
      <c r="E45" s="88" t="s">
        <v>1357</v>
      </c>
      <c r="F45" s="1161"/>
      <c r="G45" s="28">
        <f>G31/H45</f>
        <v>0.82142857142857151</v>
      </c>
      <c r="H45" s="1043">
        <f>I45/$I$25</f>
        <v>86.434782608695642</v>
      </c>
      <c r="I45" s="1042">
        <v>39.76</v>
      </c>
    </row>
    <row r="46" spans="2:16" ht="15" thickBot="1">
      <c r="B46" s="1127" t="s">
        <v>1371</v>
      </c>
      <c r="D46" s="1126">
        <f>SUM(D37:D45)</f>
        <v>11.459</v>
      </c>
      <c r="E46" s="465" t="s">
        <v>1357</v>
      </c>
      <c r="F46" s="1160" t="s">
        <v>327</v>
      </c>
      <c r="G46" s="1165">
        <f>G32/H46</f>
        <v>1.367385388319029</v>
      </c>
      <c r="H46" s="1163">
        <f>(H44+H45)/2</f>
        <v>51.923913043478251</v>
      </c>
      <c r="I46" s="1163">
        <f>(I44+I45)/2</f>
        <v>23.884999999999998</v>
      </c>
    </row>
    <row r="47" spans="2:16" ht="45.75" customHeight="1" thickBot="1">
      <c r="F47" s="1133" t="s">
        <v>1379</v>
      </c>
      <c r="G47" s="1135">
        <f>G46+G42</f>
        <v>80.105235167405908</v>
      </c>
      <c r="H47" s="1164"/>
      <c r="I47" s="1155"/>
    </row>
    <row r="48" spans="2:16" ht="27.75" customHeight="1">
      <c r="F48" s="1134"/>
      <c r="G48" s="1166" t="s">
        <v>1373</v>
      </c>
      <c r="H48" s="1158" t="s">
        <v>1372</v>
      </c>
      <c r="I48" s="1158" t="s">
        <v>1378</v>
      </c>
      <c r="K48" s="1134"/>
      <c r="L48" s="1146"/>
      <c r="M48" s="1146"/>
      <c r="N48" s="19"/>
      <c r="O48" s="19"/>
    </row>
    <row r="49" spans="6:15">
      <c r="F49" s="1160" t="s">
        <v>1375</v>
      </c>
      <c r="G49" s="1159">
        <f>$G$26/H49</f>
        <v>12.05045871559633</v>
      </c>
      <c r="H49" s="1043">
        <f t="shared" ref="H49:H55" si="5">I49/$J$26</f>
        <v>5.8918918918918921</v>
      </c>
      <c r="I49" s="1042">
        <v>2.1800000000000002</v>
      </c>
      <c r="K49" s="1149"/>
      <c r="L49" s="106"/>
      <c r="M49" s="106"/>
      <c r="N49" s="106"/>
      <c r="O49" s="19"/>
    </row>
    <row r="50" spans="6:15">
      <c r="F50" s="1161"/>
      <c r="G50" s="1159">
        <f t="shared" ref="G50:G55" si="6">$G$26/H50</f>
        <v>1.8205128205128205</v>
      </c>
      <c r="H50" s="1043">
        <f t="shared" si="5"/>
        <v>39</v>
      </c>
      <c r="I50" s="1042">
        <v>14.43</v>
      </c>
      <c r="K50" s="1149"/>
      <c r="L50" s="106"/>
      <c r="M50" s="106"/>
      <c r="N50" s="106"/>
      <c r="O50" s="19"/>
    </row>
    <row r="51" spans="6:15">
      <c r="F51" s="1161"/>
      <c r="G51" s="1159">
        <f t="shared" si="6"/>
        <v>2.1305758313057583</v>
      </c>
      <c r="H51" s="1043">
        <f t="shared" si="5"/>
        <v>33.324324324324323</v>
      </c>
      <c r="I51" s="1042">
        <v>12.33</v>
      </c>
      <c r="K51" s="1149"/>
      <c r="L51" s="106"/>
      <c r="M51" s="106"/>
      <c r="N51" s="106"/>
      <c r="O51" s="19"/>
    </row>
    <row r="52" spans="6:15">
      <c r="F52" s="1161"/>
      <c r="G52" s="1159">
        <f t="shared" si="6"/>
        <v>4.9659735349716438</v>
      </c>
      <c r="H52" s="1043">
        <f t="shared" si="5"/>
        <v>14.297297297297298</v>
      </c>
      <c r="I52" s="1042">
        <v>5.29</v>
      </c>
      <c r="K52" s="1149"/>
      <c r="L52" s="106"/>
      <c r="M52" s="106"/>
      <c r="N52" s="106"/>
      <c r="O52" s="19"/>
    </row>
    <row r="53" spans="6:15">
      <c r="F53" s="1161"/>
      <c r="G53" s="1159">
        <f t="shared" si="6"/>
        <v>93.821428571428569</v>
      </c>
      <c r="H53" s="1043">
        <f t="shared" si="5"/>
        <v>0.7567567567567568</v>
      </c>
      <c r="I53" s="1042">
        <v>0.28000000000000003</v>
      </c>
      <c r="K53" s="1149"/>
      <c r="L53" s="106"/>
      <c r="M53" s="106"/>
      <c r="N53" s="106"/>
      <c r="O53" s="19"/>
    </row>
    <row r="54" spans="6:15">
      <c r="F54" s="1161"/>
      <c r="G54" s="1159">
        <f t="shared" si="6"/>
        <v>6.3917274939172746</v>
      </c>
      <c r="H54" s="1043">
        <f t="shared" si="5"/>
        <v>11.108108108108109</v>
      </c>
      <c r="I54" s="1042">
        <v>4.1100000000000003</v>
      </c>
      <c r="K54" s="1149"/>
      <c r="L54" s="106"/>
      <c r="M54" s="106"/>
      <c r="N54" s="106"/>
      <c r="O54" s="19"/>
    </row>
    <row r="55" spans="6:15">
      <c r="F55" s="9" t="s">
        <v>327</v>
      </c>
      <c r="G55" s="1167">
        <f t="shared" si="6"/>
        <v>4.0813050233039876</v>
      </c>
      <c r="H55" s="1163">
        <f t="shared" si="5"/>
        <v>17.396396396396398</v>
      </c>
      <c r="I55" s="1163">
        <f>SUM(I49:I54)/6</f>
        <v>6.4366666666666665</v>
      </c>
      <c r="K55" s="1149"/>
      <c r="L55" s="1150"/>
      <c r="M55" s="1150"/>
      <c r="N55" s="106"/>
      <c r="O55" s="19"/>
    </row>
    <row r="56" spans="6:15" ht="26">
      <c r="F56" s="1134"/>
      <c r="G56" s="1157" t="s">
        <v>1373</v>
      </c>
      <c r="H56" s="1158" t="s">
        <v>1372</v>
      </c>
      <c r="I56" s="1158" t="s">
        <v>1376</v>
      </c>
      <c r="K56" s="1134"/>
      <c r="L56" s="1146"/>
      <c r="M56" s="1146"/>
      <c r="N56" s="19"/>
      <c r="O56" s="19"/>
    </row>
    <row r="57" spans="6:15">
      <c r="F57" s="1160" t="s">
        <v>1375</v>
      </c>
      <c r="G57" s="1159">
        <f>$G$26/H57</f>
        <v>28.242472266244057</v>
      </c>
      <c r="H57" s="1043">
        <f t="shared" ref="H57:H63" si="7">I57/$K$27</f>
        <v>2.5139442231075697</v>
      </c>
      <c r="I57" s="1042">
        <v>6.31</v>
      </c>
      <c r="K57" s="1149"/>
      <c r="L57" s="106"/>
      <c r="M57" s="106"/>
      <c r="N57" s="19"/>
      <c r="O57" s="19"/>
    </row>
    <row r="58" spans="6:15">
      <c r="F58" s="1161"/>
      <c r="G58" s="1159">
        <f t="shared" ref="G58:G63" si="8">$G$26/H58</f>
        <v>164.7042513863216</v>
      </c>
      <c r="H58" s="1043">
        <f t="shared" si="7"/>
        <v>0.43107569721115546</v>
      </c>
      <c r="I58" s="1042">
        <v>1.0820000000000001</v>
      </c>
      <c r="K58" s="1149"/>
      <c r="L58" s="106"/>
      <c r="M58" s="106"/>
      <c r="N58" s="19"/>
      <c r="O58" s="19"/>
    </row>
    <row r="59" spans="6:15">
      <c r="F59" s="1161"/>
      <c r="G59" s="1159">
        <f t="shared" si="8"/>
        <v>50.199999999999996</v>
      </c>
      <c r="H59" s="1043">
        <f t="shared" si="7"/>
        <v>1.4143426294820718</v>
      </c>
      <c r="I59" s="1042">
        <v>3.55</v>
      </c>
      <c r="K59" s="1149"/>
      <c r="L59" s="106"/>
      <c r="M59" s="106"/>
      <c r="N59" s="19"/>
      <c r="O59" s="19"/>
    </row>
    <row r="60" spans="6:15">
      <c r="F60" s="1161"/>
      <c r="G60" s="1159">
        <f t="shared" si="8"/>
        <v>45.116455696202529</v>
      </c>
      <c r="H60" s="1043">
        <f t="shared" si="7"/>
        <v>1.5737051792828687</v>
      </c>
      <c r="I60" s="1042">
        <v>3.95</v>
      </c>
      <c r="K60" s="1149"/>
      <c r="L60" s="106"/>
      <c r="M60" s="106"/>
      <c r="N60" s="19"/>
      <c r="O60" s="19"/>
    </row>
    <row r="61" spans="6:15">
      <c r="F61" s="1161"/>
      <c r="G61" s="1159">
        <f t="shared" si="8"/>
        <v>43.191953465826458</v>
      </c>
      <c r="H61" s="1043">
        <f t="shared" si="7"/>
        <v>1.6438247011952194</v>
      </c>
      <c r="I61" s="1042">
        <v>4.1260000000000003</v>
      </c>
      <c r="K61" s="1149"/>
      <c r="L61" s="106"/>
      <c r="M61" s="106"/>
      <c r="N61" s="19"/>
      <c r="O61" s="19"/>
    </row>
    <row r="62" spans="6:15">
      <c r="F62" s="1161"/>
      <c r="G62" s="1159">
        <f t="shared" si="8"/>
        <v>45.116455696202529</v>
      </c>
      <c r="H62" s="1043">
        <f t="shared" si="7"/>
        <v>1.5737051792828687</v>
      </c>
      <c r="I62" s="1042">
        <v>3.95</v>
      </c>
      <c r="K62" s="1149"/>
      <c r="L62" s="106"/>
      <c r="M62" s="106"/>
      <c r="N62" s="19"/>
      <c r="O62" s="19"/>
    </row>
    <row r="63" spans="6:15" ht="15" thickBot="1">
      <c r="F63" s="1160" t="s">
        <v>327</v>
      </c>
      <c r="G63" s="1169">
        <f t="shared" si="8"/>
        <v>46.55433646812957</v>
      </c>
      <c r="H63" s="1163">
        <f t="shared" si="7"/>
        <v>1.5250996015936256</v>
      </c>
      <c r="I63" s="1168">
        <f>SUM(I57:I62)/6</f>
        <v>3.8279999999999998</v>
      </c>
      <c r="K63" s="1149"/>
      <c r="L63" s="1150"/>
      <c r="M63" s="1150"/>
      <c r="N63" s="19"/>
      <c r="O63" s="19"/>
    </row>
    <row r="64" spans="6:15" ht="44" thickBot="1">
      <c r="F64" s="1139" t="s">
        <v>1380</v>
      </c>
      <c r="G64" s="1138">
        <f>G63+G55</f>
        <v>50.63564149143356</v>
      </c>
      <c r="H64" s="581"/>
      <c r="I64" s="223"/>
      <c r="K64" s="1134"/>
      <c r="L64" s="1151"/>
      <c r="M64" s="19"/>
      <c r="N64" s="19"/>
      <c r="O64" s="19"/>
    </row>
    <row r="65" spans="11:15">
      <c r="K65" s="19"/>
      <c r="L65" s="19"/>
      <c r="M65" s="19"/>
      <c r="N65" s="19"/>
      <c r="O65" s="19"/>
    </row>
  </sheetData>
  <mergeCells count="4">
    <mergeCell ref="B1:C1"/>
    <mergeCell ref="C35:C36"/>
    <mergeCell ref="F35:F36"/>
    <mergeCell ref="D16:G17"/>
  </mergeCells>
  <pageMargins left="0.70866141732283472" right="0.70866141732283472" top="0.74803149606299213" bottom="0.74803149606299213" header="0.31496062992125984" footer="0.31496062992125984"/>
  <pageSetup paperSize="9" scale="50"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A1:DM123"/>
  <sheetViews>
    <sheetView workbookViewId="0"/>
  </sheetViews>
  <sheetFormatPr defaultColWidth="10.90625" defaultRowHeight="14.5"/>
  <cols>
    <col min="1" max="1" width="7.26953125" customWidth="1"/>
    <col min="2" max="2" width="50.26953125" customWidth="1"/>
    <col min="3" max="3" width="15.1796875" customWidth="1"/>
  </cols>
  <sheetData>
    <row r="1" spans="1:117" ht="21" customHeight="1">
      <c r="B1" s="4621" t="s">
        <v>669</v>
      </c>
      <c r="C1" s="4844"/>
    </row>
    <row r="2" spans="1:117" ht="15" thickBot="1"/>
    <row r="3" spans="1:117" ht="15" thickBot="1">
      <c r="B3" s="120" t="s">
        <v>519</v>
      </c>
      <c r="C3" s="179" t="s">
        <v>670</v>
      </c>
      <c r="F3" t="s">
        <v>719</v>
      </c>
      <c r="G3" t="s">
        <v>720</v>
      </c>
      <c r="H3" t="s">
        <v>718</v>
      </c>
      <c r="I3" s="248" t="s">
        <v>721</v>
      </c>
    </row>
    <row r="4" spans="1:117" ht="19.5" customHeight="1">
      <c r="B4" s="123" t="s">
        <v>350</v>
      </c>
      <c r="C4" s="384">
        <v>0.57299999999999995</v>
      </c>
      <c r="D4" t="s">
        <v>711</v>
      </c>
      <c r="F4">
        <v>0.54700000000000004</v>
      </c>
      <c r="G4">
        <v>0.53500000000000003</v>
      </c>
      <c r="H4">
        <v>0.53100000000000003</v>
      </c>
    </row>
    <row r="5" spans="1:117" ht="20.25" customHeight="1">
      <c r="B5" s="123" t="s">
        <v>356</v>
      </c>
      <c r="C5" s="182">
        <v>0.30880000000000002</v>
      </c>
      <c r="D5" s="273" t="s">
        <v>711</v>
      </c>
      <c r="E5" s="10" t="s">
        <v>714</v>
      </c>
      <c r="F5" s="383"/>
      <c r="G5" s="10" t="s">
        <v>715</v>
      </c>
      <c r="H5" s="464" t="s">
        <v>716</v>
      </c>
      <c r="I5" s="466" t="s">
        <v>722</v>
      </c>
    </row>
    <row r="6" spans="1:117" ht="19.5" customHeight="1">
      <c r="B6" s="123" t="s">
        <v>357</v>
      </c>
      <c r="C6" s="182">
        <v>1.1477999999999999</v>
      </c>
      <c r="E6" s="223">
        <v>0.51600000000000001</v>
      </c>
      <c r="F6" s="382"/>
      <c r="G6" s="223">
        <v>0.58499999999999996</v>
      </c>
      <c r="H6" s="465">
        <v>0.57299999999999995</v>
      </c>
    </row>
    <row r="7" spans="1:117" ht="21.75" customHeight="1">
      <c r="B7" s="123" t="s">
        <v>358</v>
      </c>
      <c r="C7" s="182">
        <v>0.55900000000000005</v>
      </c>
    </row>
    <row r="8" spans="1:117" ht="20.25" customHeight="1">
      <c r="B8" s="123" t="s">
        <v>359</v>
      </c>
      <c r="C8" s="182">
        <v>0.29809999999999998</v>
      </c>
      <c r="F8" s="248" t="s">
        <v>717</v>
      </c>
    </row>
    <row r="9" spans="1:117" ht="18" customHeight="1">
      <c r="B9" s="123" t="s">
        <v>360</v>
      </c>
      <c r="C9" s="182">
        <v>3.2800000000000003E-2</v>
      </c>
      <c r="F9" s="248" t="s">
        <v>713</v>
      </c>
    </row>
    <row r="10" spans="1:117" ht="21" customHeight="1">
      <c r="B10" s="123" t="s">
        <v>361</v>
      </c>
      <c r="C10" s="272">
        <v>1918.085</v>
      </c>
      <c r="D10" t="s">
        <v>710</v>
      </c>
      <c r="F10" s="248" t="s">
        <v>712</v>
      </c>
    </row>
    <row r="11" spans="1:117">
      <c r="B11" s="160"/>
      <c r="C11" s="160"/>
    </row>
    <row r="14" spans="1:117">
      <c r="C14" s="5002" t="s">
        <v>525</v>
      </c>
      <c r="D14" s="5003"/>
      <c r="E14" s="5003"/>
      <c r="F14" s="5004"/>
      <c r="G14" s="5004"/>
      <c r="H14" s="228"/>
      <c r="I14" s="229"/>
      <c r="J14" s="229"/>
      <c r="K14" s="230"/>
      <c r="L14" s="230"/>
      <c r="M14" s="230"/>
      <c r="N14" s="230"/>
      <c r="O14" s="230"/>
      <c r="P14" s="230"/>
      <c r="Q14" s="230"/>
      <c r="R14" s="230"/>
      <c r="S14" s="230"/>
      <c r="T14" s="230"/>
      <c r="U14" s="230"/>
      <c r="V14" s="230"/>
      <c r="W14" s="230"/>
      <c r="X14" s="230"/>
      <c r="Y14" s="230"/>
      <c r="Z14" s="230"/>
      <c r="AA14" s="230"/>
      <c r="AB14" s="230"/>
      <c r="AC14" s="230"/>
      <c r="AD14" s="230"/>
      <c r="AE14" s="230"/>
      <c r="AF14" s="230"/>
      <c r="AG14" s="230"/>
      <c r="AH14" s="230"/>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31"/>
      <c r="BJ14" s="229"/>
      <c r="BK14" s="229"/>
      <c r="BL14" s="229"/>
      <c r="BM14" s="229"/>
      <c r="BN14" s="229"/>
      <c r="BO14" s="229"/>
      <c r="BP14" s="229"/>
      <c r="BQ14" s="229"/>
      <c r="BR14" s="229"/>
      <c r="BS14" s="229"/>
      <c r="BT14" s="229"/>
      <c r="BU14" s="229"/>
      <c r="BV14" s="229"/>
      <c r="BW14" s="229"/>
      <c r="BX14" s="229"/>
      <c r="BY14" s="229"/>
      <c r="BZ14" s="229"/>
      <c r="CA14" s="229"/>
      <c r="CB14" s="229"/>
      <c r="CC14" s="229"/>
      <c r="CD14" s="229"/>
      <c r="CE14" s="229"/>
      <c r="CF14" s="229"/>
      <c r="CG14" s="229"/>
      <c r="CH14" s="229"/>
      <c r="CI14" s="229"/>
      <c r="CJ14" s="229"/>
      <c r="CK14" s="229"/>
      <c r="CL14" s="229"/>
      <c r="CM14" s="229"/>
      <c r="CN14" s="229"/>
      <c r="CO14" s="229"/>
      <c r="CP14" s="229"/>
      <c r="CQ14" s="229"/>
      <c r="CR14" s="229"/>
      <c r="CS14" s="229"/>
      <c r="CT14" s="229"/>
      <c r="CU14" s="229"/>
      <c r="CV14" s="229"/>
      <c r="CW14" s="229"/>
      <c r="CX14" s="229"/>
      <c r="CY14" s="229"/>
      <c r="CZ14" s="229"/>
      <c r="DA14" s="229"/>
      <c r="DB14" s="229"/>
      <c r="DC14" s="229"/>
      <c r="DD14" s="229"/>
      <c r="DE14" s="229"/>
      <c r="DF14" s="229"/>
      <c r="DG14" s="229"/>
      <c r="DH14" s="229"/>
      <c r="DI14" s="232"/>
    </row>
    <row r="15" spans="1:117">
      <c r="A15" s="220"/>
      <c r="B15" s="86" t="s">
        <v>163</v>
      </c>
      <c r="C15" s="223" t="s">
        <v>375</v>
      </c>
      <c r="D15" s="224" t="s">
        <v>293</v>
      </c>
      <c r="E15" s="223" t="s">
        <v>376</v>
      </c>
      <c r="F15" s="224" t="s">
        <v>377</v>
      </c>
      <c r="G15" s="223" t="s">
        <v>378</v>
      </c>
      <c r="H15" s="223" t="s">
        <v>379</v>
      </c>
      <c r="I15" s="223" t="s">
        <v>380</v>
      </c>
      <c r="J15" s="224" t="s">
        <v>381</v>
      </c>
      <c r="K15" s="223" t="s">
        <v>382</v>
      </c>
      <c r="L15" s="224" t="s">
        <v>383</v>
      </c>
      <c r="M15" s="224" t="s">
        <v>384</v>
      </c>
      <c r="N15" s="224" t="s">
        <v>385</v>
      </c>
      <c r="O15" s="223" t="s">
        <v>386</v>
      </c>
      <c r="P15" s="224" t="s">
        <v>387</v>
      </c>
      <c r="Q15" s="225" t="s">
        <v>388</v>
      </c>
      <c r="R15" s="224" t="s">
        <v>389</v>
      </c>
      <c r="S15" s="224" t="s">
        <v>390</v>
      </c>
      <c r="T15" s="223" t="s">
        <v>391</v>
      </c>
      <c r="U15" s="223" t="s">
        <v>392</v>
      </c>
      <c r="V15" s="223" t="s">
        <v>393</v>
      </c>
      <c r="W15" s="223" t="s">
        <v>394</v>
      </c>
      <c r="X15" s="226" t="s">
        <v>395</v>
      </c>
      <c r="Y15" s="223" t="s">
        <v>396</v>
      </c>
      <c r="Z15" s="226" t="s">
        <v>397</v>
      </c>
      <c r="AA15" s="223" t="s">
        <v>398</v>
      </c>
      <c r="AB15" s="223" t="s">
        <v>399</v>
      </c>
      <c r="AC15" s="224" t="s">
        <v>400</v>
      </c>
      <c r="AD15" s="223" t="s">
        <v>401</v>
      </c>
      <c r="AE15" s="223" t="s">
        <v>402</v>
      </c>
      <c r="AF15" s="223" t="s">
        <v>403</v>
      </c>
      <c r="AG15" s="223" t="s">
        <v>404</v>
      </c>
      <c r="AH15" s="223" t="s">
        <v>405</v>
      </c>
      <c r="AI15" s="223" t="s">
        <v>406</v>
      </c>
      <c r="AJ15" s="223" t="s">
        <v>407</v>
      </c>
      <c r="AK15" s="223" t="s">
        <v>408</v>
      </c>
      <c r="AL15" s="223" t="s">
        <v>409</v>
      </c>
      <c r="AM15" s="223" t="s">
        <v>410</v>
      </c>
      <c r="AN15" s="224" t="s">
        <v>411</v>
      </c>
      <c r="AO15" s="226" t="s">
        <v>412</v>
      </c>
      <c r="AP15" s="223" t="s">
        <v>413</v>
      </c>
      <c r="AQ15" s="223" t="s">
        <v>414</v>
      </c>
      <c r="AR15" s="226" t="s">
        <v>415</v>
      </c>
      <c r="AS15" s="223" t="s">
        <v>416</v>
      </c>
      <c r="AT15" s="223" t="s">
        <v>417</v>
      </c>
      <c r="AU15" s="224" t="s">
        <v>418</v>
      </c>
      <c r="AV15" s="224" t="s">
        <v>419</v>
      </c>
      <c r="AW15" s="226" t="s">
        <v>420</v>
      </c>
      <c r="AX15" s="223" t="s">
        <v>421</v>
      </c>
      <c r="AY15" s="223" t="s">
        <v>422</v>
      </c>
      <c r="AZ15" s="226" t="s">
        <v>423</v>
      </c>
      <c r="BA15" s="223" t="s">
        <v>424</v>
      </c>
      <c r="BB15" s="223" t="s">
        <v>425</v>
      </c>
      <c r="BC15" s="224" t="s">
        <v>426</v>
      </c>
      <c r="BD15" s="223" t="s">
        <v>427</v>
      </c>
      <c r="BE15" s="226" t="s">
        <v>428</v>
      </c>
      <c r="BF15" s="224" t="s">
        <v>429</v>
      </c>
      <c r="BG15" s="223" t="s">
        <v>430</v>
      </c>
      <c r="BH15" s="226" t="s">
        <v>431</v>
      </c>
      <c r="BI15" s="227" t="s">
        <v>432</v>
      </c>
      <c r="BJ15" s="223" t="s">
        <v>433</v>
      </c>
      <c r="BK15" s="224" t="s">
        <v>434</v>
      </c>
      <c r="BL15" s="223" t="s">
        <v>435</v>
      </c>
      <c r="BM15" s="226" t="s">
        <v>436</v>
      </c>
      <c r="BN15" s="224" t="s">
        <v>437</v>
      </c>
      <c r="BO15" s="223" t="s">
        <v>438</v>
      </c>
      <c r="BP15" s="223" t="s">
        <v>439</v>
      </c>
      <c r="BQ15" s="226" t="s">
        <v>440</v>
      </c>
      <c r="BR15" s="226" t="s">
        <v>441</v>
      </c>
      <c r="BS15" s="226" t="s">
        <v>442</v>
      </c>
      <c r="BT15" s="226" t="s">
        <v>443</v>
      </c>
      <c r="BU15" s="226" t="s">
        <v>444</v>
      </c>
      <c r="BV15" s="223" t="s">
        <v>445</v>
      </c>
      <c r="BW15" s="223" t="s">
        <v>446</v>
      </c>
      <c r="BX15" s="223" t="s">
        <v>447</v>
      </c>
      <c r="BY15" s="223" t="s">
        <v>448</v>
      </c>
      <c r="BZ15" s="224" t="s">
        <v>449</v>
      </c>
      <c r="CA15" s="224" t="s">
        <v>450</v>
      </c>
      <c r="CB15" s="224" t="s">
        <v>451</v>
      </c>
      <c r="CC15" s="224" t="s">
        <v>452</v>
      </c>
      <c r="CD15" s="223" t="s">
        <v>453</v>
      </c>
      <c r="CE15" s="223" t="s">
        <v>454</v>
      </c>
      <c r="CF15" s="223" t="s">
        <v>455</v>
      </c>
      <c r="CG15" s="223" t="s">
        <v>456</v>
      </c>
      <c r="CH15" s="224" t="s">
        <v>457</v>
      </c>
      <c r="CI15" s="224" t="s">
        <v>458</v>
      </c>
      <c r="CJ15" s="224" t="s">
        <v>459</v>
      </c>
      <c r="CK15" s="224" t="s">
        <v>460</v>
      </c>
      <c r="CL15" s="224" t="s">
        <v>461</v>
      </c>
      <c r="CM15" s="223" t="s">
        <v>462</v>
      </c>
      <c r="CN15" s="223" t="s">
        <v>463</v>
      </c>
      <c r="CO15" s="226" t="s">
        <v>464</v>
      </c>
      <c r="CP15" s="224" t="s">
        <v>465</v>
      </c>
      <c r="CQ15" s="223" t="s">
        <v>466</v>
      </c>
      <c r="CR15" s="223" t="s">
        <v>467</v>
      </c>
      <c r="CS15" s="226" t="s">
        <v>468</v>
      </c>
      <c r="CT15" s="224" t="s">
        <v>469</v>
      </c>
      <c r="CU15" s="223" t="s">
        <v>470</v>
      </c>
      <c r="CV15" s="223" t="s">
        <v>471</v>
      </c>
      <c r="CW15" s="226" t="s">
        <v>472</v>
      </c>
      <c r="CX15" s="224" t="s">
        <v>473</v>
      </c>
      <c r="CY15" s="223" t="s">
        <v>474</v>
      </c>
      <c r="CZ15" s="223" t="s">
        <v>475</v>
      </c>
      <c r="DA15" s="226" t="s">
        <v>476</v>
      </c>
      <c r="DB15" s="224" t="s">
        <v>477</v>
      </c>
      <c r="DC15" s="223" t="s">
        <v>478</v>
      </c>
      <c r="DD15" s="223" t="s">
        <v>479</v>
      </c>
      <c r="DE15" s="226" t="s">
        <v>480</v>
      </c>
      <c r="DF15" s="224" t="s">
        <v>481</v>
      </c>
      <c r="DG15" s="223" t="s">
        <v>482</v>
      </c>
      <c r="DH15" s="223" t="s">
        <v>483</v>
      </c>
      <c r="DI15" s="221" t="s">
        <v>484</v>
      </c>
      <c r="DJ15" s="625" t="s">
        <v>861</v>
      </c>
      <c r="DK15" s="625" t="s">
        <v>860</v>
      </c>
      <c r="DL15" s="625" t="s">
        <v>859</v>
      </c>
      <c r="DM15" s="625" t="s">
        <v>858</v>
      </c>
    </row>
    <row r="16" spans="1:117">
      <c r="A16" s="220"/>
      <c r="B16" s="25" t="s">
        <v>678</v>
      </c>
      <c r="C16" s="233">
        <v>0.33</v>
      </c>
      <c r="D16" s="234">
        <v>0.33</v>
      </c>
      <c r="E16" s="235"/>
      <c r="F16" s="236">
        <v>0.33</v>
      </c>
      <c r="G16" s="235"/>
      <c r="H16" s="233">
        <v>0.33</v>
      </c>
      <c r="I16" s="235"/>
      <c r="J16" s="234">
        <v>0.33</v>
      </c>
      <c r="K16" s="236">
        <v>0.33</v>
      </c>
      <c r="L16" s="236">
        <v>0.33</v>
      </c>
      <c r="M16" s="236">
        <v>0.33</v>
      </c>
      <c r="N16" s="236">
        <v>0.33</v>
      </c>
      <c r="O16" s="236">
        <v>0.33</v>
      </c>
      <c r="P16" s="236">
        <v>0.33</v>
      </c>
      <c r="Q16" s="236">
        <v>0.33</v>
      </c>
      <c r="R16" s="236">
        <v>0.33</v>
      </c>
      <c r="S16" s="236">
        <v>0.33</v>
      </c>
      <c r="T16" s="237"/>
      <c r="U16" s="237"/>
      <c r="V16" s="236">
        <v>0.33</v>
      </c>
      <c r="W16" s="236">
        <v>0.33</v>
      </c>
      <c r="X16" s="236">
        <v>0.33</v>
      </c>
      <c r="Y16" s="236">
        <v>0.33</v>
      </c>
      <c r="Z16" s="236">
        <v>0.33</v>
      </c>
      <c r="AA16" s="236">
        <v>0.33</v>
      </c>
      <c r="AB16" s="236">
        <v>0.79</v>
      </c>
      <c r="AC16" s="236">
        <v>0.99</v>
      </c>
      <c r="AD16" s="237"/>
      <c r="AE16" s="237"/>
      <c r="AF16" s="237"/>
      <c r="AG16" s="237"/>
      <c r="AH16" s="237"/>
      <c r="AI16" s="235"/>
      <c r="AJ16" s="235"/>
      <c r="AK16" s="235"/>
      <c r="AL16" s="235"/>
      <c r="AM16" s="235"/>
      <c r="AN16" s="236">
        <v>0.99</v>
      </c>
      <c r="AO16" s="236">
        <v>0.16</v>
      </c>
      <c r="AP16" s="236">
        <v>0.7</v>
      </c>
      <c r="AQ16" s="236">
        <v>0.79</v>
      </c>
      <c r="AR16" s="236">
        <v>0.2</v>
      </c>
      <c r="AS16" s="236">
        <v>0.7</v>
      </c>
      <c r="AT16" s="236">
        <v>0.79</v>
      </c>
      <c r="AU16" s="236">
        <v>0.99</v>
      </c>
      <c r="AV16" s="236">
        <v>0.99</v>
      </c>
      <c r="AW16" s="236">
        <v>0.2</v>
      </c>
      <c r="AX16" s="236">
        <v>0.7</v>
      </c>
      <c r="AY16" s="236">
        <v>0.79</v>
      </c>
      <c r="AZ16" s="236">
        <v>0.2</v>
      </c>
      <c r="BA16" s="236">
        <v>0.7</v>
      </c>
      <c r="BB16" s="236">
        <v>0.21</v>
      </c>
      <c r="BC16" s="236">
        <v>0.21</v>
      </c>
      <c r="BD16" s="236">
        <v>0.2</v>
      </c>
      <c r="BE16" s="236">
        <v>0.33</v>
      </c>
      <c r="BF16" s="236">
        <v>0.2</v>
      </c>
      <c r="BG16" s="236">
        <v>0.2</v>
      </c>
      <c r="BH16" s="236">
        <v>0.33</v>
      </c>
      <c r="BI16" s="236">
        <v>0.2</v>
      </c>
      <c r="BJ16" s="236">
        <v>0.21</v>
      </c>
      <c r="BK16" s="236">
        <v>0.21</v>
      </c>
      <c r="BL16" s="236">
        <v>0.2</v>
      </c>
      <c r="BM16" s="236">
        <v>0.33</v>
      </c>
      <c r="BN16" s="236">
        <v>0.2</v>
      </c>
      <c r="BO16" s="236">
        <v>0.2</v>
      </c>
      <c r="BP16" s="236">
        <v>0.2</v>
      </c>
      <c r="BQ16" s="236">
        <v>0.2</v>
      </c>
      <c r="BR16" s="236">
        <v>0.47</v>
      </c>
      <c r="BS16" s="236">
        <v>0.47</v>
      </c>
      <c r="BT16" s="236">
        <v>0.47</v>
      </c>
      <c r="BU16" s="236">
        <v>0.47</v>
      </c>
      <c r="BV16" s="236">
        <v>0.8</v>
      </c>
      <c r="BW16" s="236">
        <v>0.8</v>
      </c>
      <c r="BX16" s="236">
        <v>0.8</v>
      </c>
      <c r="BY16" s="236">
        <v>0.8</v>
      </c>
      <c r="BZ16" s="236">
        <v>1</v>
      </c>
      <c r="CA16" s="236">
        <v>1</v>
      </c>
      <c r="CB16" s="236">
        <v>1</v>
      </c>
      <c r="CC16" s="236">
        <v>1</v>
      </c>
      <c r="CD16" s="236">
        <v>0.7</v>
      </c>
      <c r="CE16" s="236">
        <v>0.7</v>
      </c>
      <c r="CF16" s="236">
        <v>0.7</v>
      </c>
      <c r="CG16" s="236">
        <v>0.7</v>
      </c>
      <c r="CH16" s="234">
        <v>0.47</v>
      </c>
      <c r="CI16" s="236">
        <v>0.47</v>
      </c>
      <c r="CJ16" s="236">
        <v>0.56000000000000005</v>
      </c>
      <c r="CK16" s="236">
        <v>0.56000000000000005</v>
      </c>
      <c r="CL16" s="236">
        <v>1.1499999999999999</v>
      </c>
      <c r="CM16" s="236">
        <v>0.93</v>
      </c>
      <c r="CN16" s="236">
        <v>0.81</v>
      </c>
      <c r="CO16" s="236">
        <v>0.54</v>
      </c>
      <c r="CP16" s="236">
        <v>1.1499999999999999</v>
      </c>
      <c r="CQ16" s="236">
        <v>0.93</v>
      </c>
      <c r="CR16" s="236">
        <v>0.81</v>
      </c>
      <c r="CS16" s="236">
        <v>0.54</v>
      </c>
      <c r="CT16" s="236">
        <v>1.1499999999999999</v>
      </c>
      <c r="CU16" s="236">
        <v>0.93</v>
      </c>
      <c r="CV16" s="236">
        <v>0.81</v>
      </c>
      <c r="CW16" s="236">
        <v>0.54</v>
      </c>
      <c r="CX16" s="236">
        <v>1.1499999999999999</v>
      </c>
      <c r="CY16" s="236">
        <v>0.93</v>
      </c>
      <c r="CZ16" s="236">
        <v>0.81</v>
      </c>
      <c r="DA16" s="236">
        <v>0.54</v>
      </c>
      <c r="DB16" s="236">
        <v>0.28999999999999998</v>
      </c>
      <c r="DC16" s="236">
        <v>0.22</v>
      </c>
      <c r="DD16" s="238">
        <v>0.22</v>
      </c>
      <c r="DE16" s="236">
        <v>0.2</v>
      </c>
      <c r="DF16" s="236">
        <v>0.28999999999999998</v>
      </c>
      <c r="DG16" s="236">
        <v>0.22</v>
      </c>
      <c r="DH16" s="238">
        <v>0.22</v>
      </c>
      <c r="DI16" s="236">
        <v>0.33</v>
      </c>
      <c r="DJ16" s="236">
        <v>1.31</v>
      </c>
      <c r="DK16" s="236">
        <v>1.04</v>
      </c>
      <c r="DL16" s="236">
        <v>1.4</v>
      </c>
      <c r="DM16" s="236">
        <v>1.19</v>
      </c>
    </row>
    <row r="17" spans="1:117">
      <c r="A17" s="220"/>
      <c r="B17" s="25" t="s">
        <v>679</v>
      </c>
      <c r="C17" s="233">
        <v>0.13</v>
      </c>
      <c r="D17" s="234">
        <v>0.17</v>
      </c>
      <c r="E17" s="235"/>
      <c r="F17" s="236">
        <v>0.13</v>
      </c>
      <c r="G17" s="235"/>
      <c r="H17" s="233">
        <v>0.13</v>
      </c>
      <c r="I17" s="235"/>
      <c r="J17" s="234">
        <v>0.17</v>
      </c>
      <c r="K17" s="236">
        <v>0.13</v>
      </c>
      <c r="L17" s="236">
        <v>0.17</v>
      </c>
      <c r="M17" s="236">
        <v>0.17</v>
      </c>
      <c r="N17" s="236">
        <v>0.13</v>
      </c>
      <c r="O17" s="236">
        <v>0.13</v>
      </c>
      <c r="P17" s="236">
        <v>0.13</v>
      </c>
      <c r="Q17" s="236">
        <v>0.13</v>
      </c>
      <c r="R17" s="236">
        <v>0.15</v>
      </c>
      <c r="S17" s="236">
        <v>0.15</v>
      </c>
      <c r="T17" s="237"/>
      <c r="U17" s="237"/>
      <c r="V17" s="236">
        <v>0.15</v>
      </c>
      <c r="W17" s="236">
        <v>0.15</v>
      </c>
      <c r="X17" s="236">
        <v>0.15</v>
      </c>
      <c r="Y17" s="236">
        <v>0.15</v>
      </c>
      <c r="Z17" s="236">
        <v>0.15</v>
      </c>
      <c r="AA17" s="236">
        <v>0.15</v>
      </c>
      <c r="AB17" s="236">
        <v>0.15</v>
      </c>
      <c r="AC17" s="236">
        <v>0.15</v>
      </c>
      <c r="AD17" s="237"/>
      <c r="AE17" s="237"/>
      <c r="AF17" s="237"/>
      <c r="AG17" s="237"/>
      <c r="AH17" s="237"/>
      <c r="AI17" s="235"/>
      <c r="AJ17" s="235"/>
      <c r="AK17" s="235"/>
      <c r="AL17" s="235"/>
      <c r="AM17" s="235"/>
      <c r="AN17" s="236">
        <v>0.15</v>
      </c>
      <c r="AO17" s="236">
        <v>0.14000000000000001</v>
      </c>
      <c r="AP17" s="236">
        <v>0.14000000000000001</v>
      </c>
      <c r="AQ17" s="236">
        <v>0.15</v>
      </c>
      <c r="AR17" s="236">
        <v>0.15</v>
      </c>
      <c r="AS17" s="236">
        <v>0.14000000000000001</v>
      </c>
      <c r="AT17" s="236">
        <v>0.15</v>
      </c>
      <c r="AU17" s="236">
        <v>0.15</v>
      </c>
      <c r="AV17" s="236">
        <v>0.15</v>
      </c>
      <c r="AW17" s="236">
        <v>0.15</v>
      </c>
      <c r="AX17" s="236">
        <v>0.14000000000000001</v>
      </c>
      <c r="AY17" s="236">
        <v>0.15</v>
      </c>
      <c r="AZ17" s="236">
        <v>0.15</v>
      </c>
      <c r="BA17" s="236">
        <v>0.14000000000000001</v>
      </c>
      <c r="BB17" s="236">
        <v>0.16</v>
      </c>
      <c r="BC17" s="236">
        <v>0.16</v>
      </c>
      <c r="BD17" s="236">
        <v>0.15</v>
      </c>
      <c r="BE17" s="236">
        <v>0.15</v>
      </c>
      <c r="BF17" s="236">
        <v>0.15</v>
      </c>
      <c r="BG17" s="236">
        <v>0.15</v>
      </c>
      <c r="BH17" s="236">
        <v>0.13</v>
      </c>
      <c r="BI17" s="236">
        <v>0.15</v>
      </c>
      <c r="BJ17" s="236">
        <v>0.16</v>
      </c>
      <c r="BK17" s="236">
        <v>0.16</v>
      </c>
      <c r="BL17" s="236">
        <v>0.15</v>
      </c>
      <c r="BM17" s="236">
        <v>0.13</v>
      </c>
      <c r="BN17" s="236">
        <v>0.15</v>
      </c>
      <c r="BO17" s="236">
        <v>0.15</v>
      </c>
      <c r="BP17" s="236">
        <v>0.15</v>
      </c>
      <c r="BQ17" s="236">
        <v>0.15</v>
      </c>
      <c r="BR17" s="236">
        <v>0.15</v>
      </c>
      <c r="BS17" s="236">
        <v>0.15</v>
      </c>
      <c r="BT17" s="236">
        <v>0.15</v>
      </c>
      <c r="BU17" s="236">
        <v>0.15</v>
      </c>
      <c r="BV17" s="236">
        <v>0.15</v>
      </c>
      <c r="BW17" s="236">
        <v>0.15</v>
      </c>
      <c r="BX17" s="236">
        <v>0.15</v>
      </c>
      <c r="BY17" s="236">
        <v>0.15</v>
      </c>
      <c r="BZ17" s="236">
        <v>0.15</v>
      </c>
      <c r="CA17" s="236">
        <v>0.15</v>
      </c>
      <c r="CB17" s="236">
        <v>0.15</v>
      </c>
      <c r="CC17" s="236">
        <v>0.15</v>
      </c>
      <c r="CD17" s="236">
        <v>0.15</v>
      </c>
      <c r="CE17" s="236">
        <v>0.15</v>
      </c>
      <c r="CF17" s="236">
        <v>0.15</v>
      </c>
      <c r="CG17" s="236">
        <v>0.15</v>
      </c>
      <c r="CH17" s="234">
        <v>0.19</v>
      </c>
      <c r="CI17" s="236">
        <v>0.19</v>
      </c>
      <c r="CJ17" s="236">
        <v>0.19</v>
      </c>
      <c r="CK17" s="236">
        <v>0.19</v>
      </c>
      <c r="CL17" s="236">
        <v>0.14000000000000001</v>
      </c>
      <c r="CM17" s="236">
        <v>0.14000000000000001</v>
      </c>
      <c r="CN17" s="236">
        <v>0.14000000000000001</v>
      </c>
      <c r="CO17" s="236">
        <v>0.13</v>
      </c>
      <c r="CP17" s="236">
        <v>0.14000000000000001</v>
      </c>
      <c r="CQ17" s="236">
        <v>0.14000000000000001</v>
      </c>
      <c r="CR17" s="236">
        <v>0.14000000000000001</v>
      </c>
      <c r="CS17" s="236">
        <v>0.13</v>
      </c>
      <c r="CT17" s="236">
        <v>0.14000000000000001</v>
      </c>
      <c r="CU17" s="236">
        <v>0.14000000000000001</v>
      </c>
      <c r="CV17" s="236">
        <v>0.14000000000000001</v>
      </c>
      <c r="CW17" s="236">
        <v>0.13</v>
      </c>
      <c r="CX17" s="236">
        <v>0.14000000000000001</v>
      </c>
      <c r="CY17" s="236">
        <v>0.14000000000000001</v>
      </c>
      <c r="CZ17" s="236">
        <v>0.14000000000000001</v>
      </c>
      <c r="DA17" s="236">
        <v>0.13</v>
      </c>
      <c r="DB17" s="236">
        <v>0.13</v>
      </c>
      <c r="DC17" s="236">
        <v>0.13</v>
      </c>
      <c r="DD17" s="238">
        <v>0.13</v>
      </c>
      <c r="DE17" s="236">
        <v>0.15</v>
      </c>
      <c r="DF17" s="236">
        <v>0.13</v>
      </c>
      <c r="DG17" s="236">
        <v>0.13</v>
      </c>
      <c r="DH17" s="238">
        <v>0.13</v>
      </c>
      <c r="DI17" s="236">
        <v>0.15</v>
      </c>
      <c r="DJ17" s="236">
        <v>0.13</v>
      </c>
      <c r="DK17" s="236">
        <v>0.1</v>
      </c>
      <c r="DL17" s="236">
        <v>0.12</v>
      </c>
      <c r="DM17" s="236">
        <v>0.12</v>
      </c>
    </row>
    <row r="19" spans="1:117">
      <c r="DI19" s="16"/>
      <c r="DJ19" s="626"/>
      <c r="DK19" s="626"/>
    </row>
    <row r="20" spans="1:117">
      <c r="DI20" s="16"/>
      <c r="DJ20" s="626"/>
      <c r="DK20" s="626"/>
    </row>
    <row r="21" spans="1:117">
      <c r="B21" s="239" t="s">
        <v>680</v>
      </c>
      <c r="C21" s="219">
        <v>0.47</v>
      </c>
      <c r="D21" s="219">
        <v>0.47</v>
      </c>
      <c r="E21" s="219">
        <v>0.56000000000000005</v>
      </c>
      <c r="F21" s="219">
        <v>0.56000000000000005</v>
      </c>
      <c r="G21" s="219">
        <v>0.33</v>
      </c>
      <c r="H21" s="219">
        <v>0.33</v>
      </c>
      <c r="I21" s="219">
        <v>1.1499999999999999</v>
      </c>
      <c r="J21" s="219">
        <v>1.1499999999999999</v>
      </c>
      <c r="K21" s="219">
        <v>1.1499999999999999</v>
      </c>
      <c r="L21" s="219">
        <v>1.1499999999999999</v>
      </c>
      <c r="M21" s="219">
        <v>0.99</v>
      </c>
      <c r="N21" s="219">
        <v>0.99</v>
      </c>
      <c r="O21" s="219">
        <v>0.99</v>
      </c>
      <c r="P21" s="219">
        <v>0.99</v>
      </c>
      <c r="Q21" s="219">
        <v>1</v>
      </c>
      <c r="R21" s="219">
        <v>1</v>
      </c>
      <c r="S21" s="219">
        <v>1</v>
      </c>
      <c r="T21" s="219">
        <v>1</v>
      </c>
      <c r="U21" s="219">
        <v>0.28999999999999998</v>
      </c>
      <c r="V21" s="219">
        <v>0.28999999999999998</v>
      </c>
      <c r="W21" s="219">
        <v>0.33</v>
      </c>
      <c r="X21" s="219">
        <v>0.33</v>
      </c>
      <c r="Y21" s="219">
        <v>0.2</v>
      </c>
      <c r="Z21" s="219">
        <v>0.2</v>
      </c>
      <c r="AA21" s="219">
        <v>0.33</v>
      </c>
      <c r="AB21" s="219">
        <v>0.33</v>
      </c>
      <c r="AC21" s="219">
        <v>0.21</v>
      </c>
      <c r="AD21" s="219">
        <v>0.21</v>
      </c>
      <c r="AE21" s="219">
        <v>0.93</v>
      </c>
      <c r="AF21" s="219">
        <v>0.93</v>
      </c>
      <c r="AG21" s="219">
        <v>0.93</v>
      </c>
      <c r="AH21" s="219">
        <v>0.93</v>
      </c>
      <c r="AI21" s="219">
        <v>0.79</v>
      </c>
      <c r="AJ21" s="219">
        <v>0.79</v>
      </c>
      <c r="AK21" s="219">
        <v>0.79</v>
      </c>
      <c r="AL21" s="219">
        <v>0.79</v>
      </c>
      <c r="AM21" s="219">
        <v>0.8</v>
      </c>
      <c r="AN21" s="219">
        <v>0.8</v>
      </c>
      <c r="AO21" s="219">
        <v>0.8</v>
      </c>
      <c r="AP21" s="219">
        <v>0.8</v>
      </c>
      <c r="AQ21" s="219">
        <v>0.22</v>
      </c>
      <c r="AR21" s="219">
        <v>0.22</v>
      </c>
      <c r="AS21" s="219">
        <v>0.33</v>
      </c>
      <c r="AT21" s="219">
        <v>0.33</v>
      </c>
      <c r="AU21" s="219">
        <v>0.21</v>
      </c>
      <c r="AV21" s="219">
        <v>0.21</v>
      </c>
      <c r="AW21" s="219">
        <v>0.2</v>
      </c>
      <c r="AX21" s="219">
        <v>0.2</v>
      </c>
      <c r="AY21" s="219">
        <v>0.33</v>
      </c>
      <c r="AZ21" s="219">
        <v>0.33</v>
      </c>
      <c r="BA21" s="222">
        <v>0.22</v>
      </c>
      <c r="BB21" s="222">
        <v>0.22</v>
      </c>
      <c r="BC21" s="219">
        <v>0.81</v>
      </c>
      <c r="BD21" s="219">
        <v>0.81</v>
      </c>
      <c r="BE21" s="219">
        <v>0.81</v>
      </c>
      <c r="BF21" s="219">
        <v>0.81</v>
      </c>
      <c r="BG21" s="219">
        <v>0.7</v>
      </c>
      <c r="BH21" s="219">
        <v>0.7</v>
      </c>
      <c r="BI21" s="219">
        <v>0.7</v>
      </c>
      <c r="BJ21" s="219">
        <v>0.7</v>
      </c>
      <c r="BK21" s="219">
        <v>0.7</v>
      </c>
      <c r="BL21" s="219">
        <v>0.7</v>
      </c>
      <c r="BM21" s="219">
        <v>0.7</v>
      </c>
      <c r="BN21" s="219">
        <v>0.7</v>
      </c>
      <c r="BO21" s="219">
        <v>0.2</v>
      </c>
      <c r="BP21" s="219">
        <v>0.2</v>
      </c>
      <c r="BQ21" s="219">
        <v>0.2</v>
      </c>
      <c r="BR21" s="219">
        <v>0.2</v>
      </c>
      <c r="BS21" s="219">
        <v>0.33</v>
      </c>
      <c r="BT21" s="219">
        <v>0.33</v>
      </c>
      <c r="BU21" s="219">
        <v>0.33</v>
      </c>
      <c r="BV21" s="219">
        <v>0.33</v>
      </c>
      <c r="BW21" s="219">
        <v>0.54</v>
      </c>
      <c r="BX21" s="219">
        <v>0.54</v>
      </c>
      <c r="BY21" s="219">
        <v>0.54</v>
      </c>
      <c r="BZ21" s="219">
        <v>0.54</v>
      </c>
      <c r="CA21" s="242">
        <v>1.08</v>
      </c>
      <c r="CB21" s="219">
        <v>0.47</v>
      </c>
      <c r="CC21" s="219">
        <v>0.47</v>
      </c>
      <c r="CD21" s="219">
        <v>0.47</v>
      </c>
      <c r="CE21" s="219">
        <v>0.47</v>
      </c>
      <c r="CF21" s="219">
        <v>0.46</v>
      </c>
      <c r="CG21" s="219">
        <v>0.46</v>
      </c>
      <c r="CH21" s="219">
        <v>0.46</v>
      </c>
      <c r="CI21" s="219">
        <v>0.46</v>
      </c>
      <c r="CJ21" s="219">
        <v>0.16</v>
      </c>
      <c r="CK21" s="219">
        <v>0.16</v>
      </c>
      <c r="CL21" s="219">
        <v>0.2</v>
      </c>
      <c r="CM21" s="219">
        <v>0.2</v>
      </c>
      <c r="CN21" s="219">
        <v>0.2</v>
      </c>
      <c r="CO21" s="219">
        <v>0.2</v>
      </c>
      <c r="CP21" s="219">
        <v>0.33</v>
      </c>
      <c r="CQ21" s="219">
        <v>0.33</v>
      </c>
      <c r="CR21" s="219">
        <v>0.33</v>
      </c>
      <c r="CS21" s="219">
        <v>0.33</v>
      </c>
      <c r="CT21" s="218">
        <v>0.16</v>
      </c>
      <c r="CU21" s="218">
        <v>0.2</v>
      </c>
      <c r="CV21" s="218">
        <v>0.2</v>
      </c>
      <c r="CW21" s="218">
        <v>0.2</v>
      </c>
      <c r="CX21" s="218">
        <v>0.2</v>
      </c>
      <c r="CY21" s="218">
        <v>0.33</v>
      </c>
      <c r="CZ21" s="218">
        <v>0.33</v>
      </c>
      <c r="DA21" s="218">
        <v>0.33</v>
      </c>
      <c r="DB21" s="218">
        <v>0.33</v>
      </c>
      <c r="DI21" s="16"/>
      <c r="DJ21" s="236">
        <v>1.31</v>
      </c>
      <c r="DK21" s="236">
        <v>1.04</v>
      </c>
      <c r="DL21" s="236">
        <v>1.4</v>
      </c>
      <c r="DM21" s="236">
        <v>1.19</v>
      </c>
    </row>
    <row r="22" spans="1:117">
      <c r="B22" s="239" t="s">
        <v>681</v>
      </c>
      <c r="C22" s="219">
        <v>0.19</v>
      </c>
      <c r="D22" s="219">
        <v>0.19</v>
      </c>
      <c r="E22" s="219">
        <v>0.19</v>
      </c>
      <c r="F22" s="219">
        <v>0.19</v>
      </c>
      <c r="G22" s="219">
        <v>0.17</v>
      </c>
      <c r="H22" s="219">
        <v>0.17</v>
      </c>
      <c r="I22" s="219">
        <v>0.14000000000000001</v>
      </c>
      <c r="J22" s="219">
        <v>0.14000000000000001</v>
      </c>
      <c r="K22" s="219">
        <v>0.14000000000000001</v>
      </c>
      <c r="L22" s="219">
        <v>0.14000000000000001</v>
      </c>
      <c r="M22" s="219">
        <v>0.15</v>
      </c>
      <c r="N22" s="219">
        <v>0.15</v>
      </c>
      <c r="O22" s="219">
        <v>0.15</v>
      </c>
      <c r="P22" s="219">
        <v>0.15</v>
      </c>
      <c r="Q22" s="219">
        <v>0.15</v>
      </c>
      <c r="R22" s="219">
        <v>0.15</v>
      </c>
      <c r="S22" s="219">
        <v>0.15</v>
      </c>
      <c r="T22" s="219">
        <v>0.15</v>
      </c>
      <c r="U22" s="219">
        <v>0.13</v>
      </c>
      <c r="V22" s="219">
        <v>0.13</v>
      </c>
      <c r="W22" s="219">
        <v>0.15</v>
      </c>
      <c r="X22" s="219">
        <v>0.15</v>
      </c>
      <c r="Y22" s="219">
        <v>0.15</v>
      </c>
      <c r="Z22" s="219">
        <v>0.15</v>
      </c>
      <c r="AA22" s="219">
        <v>0.17</v>
      </c>
      <c r="AB22" s="219">
        <v>0.17</v>
      </c>
      <c r="AC22" s="219">
        <v>0.16</v>
      </c>
      <c r="AD22" s="219">
        <v>0.16</v>
      </c>
      <c r="AE22" s="219">
        <v>0.14000000000000001</v>
      </c>
      <c r="AF22" s="219">
        <v>0.14000000000000001</v>
      </c>
      <c r="AG22" s="219">
        <v>0.14000000000000001</v>
      </c>
      <c r="AH22" s="219">
        <v>0.14000000000000001</v>
      </c>
      <c r="AI22" s="219">
        <v>0.15</v>
      </c>
      <c r="AJ22" s="219">
        <v>0.15</v>
      </c>
      <c r="AK22" s="219">
        <v>0.15</v>
      </c>
      <c r="AL22" s="219">
        <v>0.15</v>
      </c>
      <c r="AM22" s="219">
        <v>0.15</v>
      </c>
      <c r="AN22" s="219">
        <v>0.15</v>
      </c>
      <c r="AO22" s="219">
        <v>0.15</v>
      </c>
      <c r="AP22" s="219">
        <v>0.15</v>
      </c>
      <c r="AQ22" s="219">
        <v>0.13</v>
      </c>
      <c r="AR22" s="219">
        <v>0.13</v>
      </c>
      <c r="AS22" s="219">
        <v>0.15</v>
      </c>
      <c r="AT22" s="219">
        <v>0.15</v>
      </c>
      <c r="AU22" s="219">
        <v>0.16</v>
      </c>
      <c r="AV22" s="219">
        <v>0.16</v>
      </c>
      <c r="AW22" s="219">
        <v>0.15</v>
      </c>
      <c r="AX22" s="219">
        <v>0.15</v>
      </c>
      <c r="AY22" s="219">
        <v>0.13</v>
      </c>
      <c r="AZ22" s="219">
        <v>0.13</v>
      </c>
      <c r="BA22" s="222">
        <v>0.13</v>
      </c>
      <c r="BB22" s="222">
        <v>0.13</v>
      </c>
      <c r="BC22" s="219">
        <v>0.14000000000000001</v>
      </c>
      <c r="BD22" s="219">
        <v>0.14000000000000001</v>
      </c>
      <c r="BE22" s="219">
        <v>0.14000000000000001</v>
      </c>
      <c r="BF22" s="219">
        <v>0.14000000000000001</v>
      </c>
      <c r="BG22" s="219">
        <v>0.15</v>
      </c>
      <c r="BH22" s="219">
        <v>0.15</v>
      </c>
      <c r="BI22" s="219">
        <v>0.15</v>
      </c>
      <c r="BJ22" s="219">
        <v>0.15</v>
      </c>
      <c r="BK22" s="219">
        <v>0.14000000000000001</v>
      </c>
      <c r="BL22" s="219">
        <v>0.14000000000000001</v>
      </c>
      <c r="BM22" s="219">
        <v>0.14000000000000001</v>
      </c>
      <c r="BN22" s="219">
        <v>0.14000000000000001</v>
      </c>
      <c r="BO22" s="219">
        <v>0.15</v>
      </c>
      <c r="BP22" s="219">
        <v>0.15</v>
      </c>
      <c r="BQ22" s="219">
        <v>0.15</v>
      </c>
      <c r="BR22" s="219">
        <v>0.15</v>
      </c>
      <c r="BS22" s="219">
        <v>0.15</v>
      </c>
      <c r="BT22" s="219">
        <v>0.15</v>
      </c>
      <c r="BU22" s="219">
        <v>0.13</v>
      </c>
      <c r="BV22" s="219">
        <v>0.13</v>
      </c>
      <c r="BW22" s="219">
        <v>0.13</v>
      </c>
      <c r="BX22" s="219">
        <v>0.13</v>
      </c>
      <c r="BY22" s="219">
        <v>0.13</v>
      </c>
      <c r="BZ22" s="219">
        <v>0.13</v>
      </c>
      <c r="CA22" s="242">
        <v>0.12</v>
      </c>
      <c r="CB22" s="219">
        <v>0.15</v>
      </c>
      <c r="CC22" s="219">
        <v>0.15</v>
      </c>
      <c r="CD22" s="219">
        <v>0.15</v>
      </c>
      <c r="CE22" s="219">
        <v>0.15</v>
      </c>
      <c r="CF22" s="219">
        <v>0.15</v>
      </c>
      <c r="CG22" s="219">
        <v>0.15</v>
      </c>
      <c r="CH22" s="219">
        <v>0.15</v>
      </c>
      <c r="CI22" s="219">
        <v>0.15</v>
      </c>
      <c r="CJ22" s="219">
        <v>0.14000000000000001</v>
      </c>
      <c r="CK22" s="219">
        <v>0.14000000000000001</v>
      </c>
      <c r="CL22" s="219">
        <v>0.15</v>
      </c>
      <c r="CM22" s="219">
        <v>0.15</v>
      </c>
      <c r="CN22" s="219">
        <v>0.15</v>
      </c>
      <c r="CO22" s="219">
        <v>0.15</v>
      </c>
      <c r="CP22" s="219">
        <v>0.15</v>
      </c>
      <c r="CQ22" s="219">
        <v>0.15</v>
      </c>
      <c r="CR22" s="219">
        <v>0.13</v>
      </c>
      <c r="CS22" s="219">
        <v>0.13</v>
      </c>
      <c r="CT22" s="218">
        <v>0.14000000000000001</v>
      </c>
      <c r="CU22" s="218">
        <v>0.15</v>
      </c>
      <c r="CV22" s="218">
        <v>0.15</v>
      </c>
      <c r="CW22" s="218">
        <v>0.15</v>
      </c>
      <c r="CX22" s="218">
        <v>0.15</v>
      </c>
      <c r="CY22" s="218">
        <v>0.15</v>
      </c>
      <c r="CZ22" s="218">
        <v>0.15</v>
      </c>
      <c r="DA22" s="218">
        <v>0.13</v>
      </c>
      <c r="DB22" s="218">
        <v>0.13</v>
      </c>
      <c r="DI22" s="16"/>
      <c r="DJ22" s="236">
        <v>0.13</v>
      </c>
      <c r="DK22" s="236">
        <v>0.1</v>
      </c>
      <c r="DL22" s="236">
        <v>0.12</v>
      </c>
      <c r="DM22" s="236">
        <v>0.12</v>
      </c>
    </row>
    <row r="23" spans="1:117">
      <c r="B23" s="240" t="s">
        <v>682</v>
      </c>
      <c r="C23" s="217">
        <v>33</v>
      </c>
      <c r="D23" s="217">
        <v>30</v>
      </c>
      <c r="E23" s="217">
        <v>43</v>
      </c>
      <c r="F23" s="217">
        <v>39</v>
      </c>
      <c r="G23" s="217">
        <v>36</v>
      </c>
      <c r="H23" s="217">
        <v>38</v>
      </c>
      <c r="I23" s="217">
        <v>36</v>
      </c>
      <c r="J23" s="217">
        <v>29</v>
      </c>
      <c r="K23" s="217">
        <v>36</v>
      </c>
      <c r="L23" s="217">
        <v>28</v>
      </c>
      <c r="M23" s="217">
        <v>29</v>
      </c>
      <c r="N23" s="217">
        <v>36</v>
      </c>
      <c r="O23" s="217">
        <v>28</v>
      </c>
      <c r="P23" s="217">
        <v>34</v>
      </c>
      <c r="Q23" s="217">
        <v>30</v>
      </c>
      <c r="R23" s="217">
        <v>37</v>
      </c>
      <c r="S23" s="217">
        <v>37</v>
      </c>
      <c r="T23" s="217">
        <v>29</v>
      </c>
      <c r="U23" s="217">
        <v>25</v>
      </c>
      <c r="V23" s="217">
        <v>24</v>
      </c>
      <c r="W23" s="217">
        <v>25</v>
      </c>
      <c r="X23" s="217">
        <v>24</v>
      </c>
      <c r="Y23" s="217">
        <v>26</v>
      </c>
      <c r="Z23" s="217">
        <v>27</v>
      </c>
      <c r="AA23" s="217">
        <v>32</v>
      </c>
      <c r="AB23" s="217">
        <v>31</v>
      </c>
      <c r="AC23" s="217">
        <v>32</v>
      </c>
      <c r="AD23" s="217">
        <v>33</v>
      </c>
      <c r="AE23" s="217">
        <v>45</v>
      </c>
      <c r="AF23" s="217">
        <v>39</v>
      </c>
      <c r="AG23" s="217">
        <v>44</v>
      </c>
      <c r="AH23" s="217">
        <v>38</v>
      </c>
      <c r="AI23" s="217">
        <v>44</v>
      </c>
      <c r="AJ23" s="217">
        <v>38</v>
      </c>
      <c r="AK23" s="217">
        <v>43</v>
      </c>
      <c r="AL23" s="217">
        <v>37</v>
      </c>
      <c r="AM23" s="217">
        <v>39</v>
      </c>
      <c r="AN23" s="217">
        <v>46</v>
      </c>
      <c r="AO23" s="217">
        <v>45</v>
      </c>
      <c r="AP23" s="217">
        <v>38</v>
      </c>
      <c r="AQ23" s="217">
        <v>34</v>
      </c>
      <c r="AR23" s="217">
        <v>33</v>
      </c>
      <c r="AS23" s="217">
        <v>34</v>
      </c>
      <c r="AT23" s="217">
        <v>33</v>
      </c>
      <c r="AU23" s="217">
        <v>41</v>
      </c>
      <c r="AV23" s="217">
        <v>42</v>
      </c>
      <c r="AW23" s="217">
        <v>35</v>
      </c>
      <c r="AX23" s="217">
        <v>36</v>
      </c>
      <c r="AY23" s="217">
        <v>41</v>
      </c>
      <c r="AZ23" s="217">
        <v>40</v>
      </c>
      <c r="BA23" s="243"/>
      <c r="BB23" s="243"/>
      <c r="BC23" s="217">
        <v>54</v>
      </c>
      <c r="BD23" s="217">
        <v>47</v>
      </c>
      <c r="BE23" s="217">
        <v>53</v>
      </c>
      <c r="BF23" s="217">
        <v>46</v>
      </c>
      <c r="BG23" s="217">
        <v>47</v>
      </c>
      <c r="BH23" s="217">
        <v>49</v>
      </c>
      <c r="BI23" s="217">
        <v>54</v>
      </c>
      <c r="BJ23" s="217">
        <v>55</v>
      </c>
      <c r="BK23" s="217">
        <v>47</v>
      </c>
      <c r="BL23" s="217">
        <v>53</v>
      </c>
      <c r="BM23" s="217">
        <v>46</v>
      </c>
      <c r="BN23" s="217">
        <v>52</v>
      </c>
      <c r="BO23" s="217">
        <v>51</v>
      </c>
      <c r="BP23" s="217">
        <v>44</v>
      </c>
      <c r="BQ23" s="217">
        <v>52</v>
      </c>
      <c r="BR23" s="217">
        <v>45</v>
      </c>
      <c r="BS23" s="217">
        <v>43</v>
      </c>
      <c r="BT23" s="217">
        <v>42</v>
      </c>
      <c r="BU23" s="217">
        <v>50</v>
      </c>
      <c r="BV23" s="217">
        <v>49</v>
      </c>
      <c r="BW23" s="217">
        <v>101</v>
      </c>
      <c r="BX23" s="217">
        <v>95</v>
      </c>
      <c r="BY23" s="217">
        <v>100</v>
      </c>
      <c r="BZ23" s="217">
        <v>94</v>
      </c>
      <c r="CA23" s="10"/>
      <c r="CB23" s="217">
        <v>95</v>
      </c>
      <c r="CC23" s="217">
        <v>101</v>
      </c>
      <c r="CD23" s="217">
        <v>102</v>
      </c>
      <c r="CE23" s="217">
        <v>96</v>
      </c>
      <c r="CF23" s="217">
        <v>94</v>
      </c>
      <c r="CG23" s="217">
        <v>101</v>
      </c>
      <c r="CH23" s="217">
        <v>93</v>
      </c>
      <c r="CI23" s="217">
        <v>100</v>
      </c>
      <c r="CJ23" s="217">
        <v>90</v>
      </c>
      <c r="CK23" s="217">
        <v>89</v>
      </c>
      <c r="CL23" s="217">
        <v>97</v>
      </c>
      <c r="CM23" s="217">
        <v>91</v>
      </c>
      <c r="CN23" s="217">
        <v>98</v>
      </c>
      <c r="CO23" s="217">
        <v>92</v>
      </c>
      <c r="CP23" s="217">
        <v>90</v>
      </c>
      <c r="CQ23" s="217">
        <v>89</v>
      </c>
      <c r="CR23" s="217">
        <v>97</v>
      </c>
      <c r="CS23" s="217">
        <v>96</v>
      </c>
      <c r="CT23" s="217">
        <v>89</v>
      </c>
      <c r="CU23" s="217">
        <v>97</v>
      </c>
      <c r="CV23" s="217">
        <v>91</v>
      </c>
      <c r="CW23" s="217">
        <v>98</v>
      </c>
      <c r="CX23" s="217">
        <v>92</v>
      </c>
      <c r="CY23" s="217">
        <v>90</v>
      </c>
      <c r="CZ23" s="217">
        <v>89</v>
      </c>
      <c r="DA23" s="217">
        <v>97</v>
      </c>
      <c r="DB23" s="217">
        <v>96</v>
      </c>
      <c r="DJ23">
        <v>48</v>
      </c>
      <c r="DK23">
        <v>105</v>
      </c>
      <c r="DL23">
        <v>52</v>
      </c>
      <c r="DM23">
        <v>61</v>
      </c>
    </row>
    <row r="24" spans="1:117">
      <c r="B24" s="241" t="s">
        <v>683</v>
      </c>
      <c r="C24" s="217">
        <v>84</v>
      </c>
      <c r="D24" s="217">
        <v>85</v>
      </c>
      <c r="E24" s="217">
        <v>86</v>
      </c>
      <c r="F24" s="217">
        <v>87</v>
      </c>
      <c r="G24" s="217">
        <v>2</v>
      </c>
      <c r="H24" s="217">
        <v>8</v>
      </c>
      <c r="I24" s="217">
        <v>88</v>
      </c>
      <c r="J24" s="217">
        <v>92</v>
      </c>
      <c r="K24" s="217">
        <v>96</v>
      </c>
      <c r="L24" s="217">
        <v>100</v>
      </c>
      <c r="M24" s="217">
        <v>27</v>
      </c>
      <c r="N24" s="217">
        <v>38</v>
      </c>
      <c r="O24" s="217">
        <v>45</v>
      </c>
      <c r="P24" s="217">
        <v>46</v>
      </c>
      <c r="Q24" s="217">
        <v>76</v>
      </c>
      <c r="R24" s="217">
        <v>77</v>
      </c>
      <c r="S24" s="217">
        <v>78</v>
      </c>
      <c r="T24" s="217">
        <v>79</v>
      </c>
      <c r="U24" s="217">
        <v>104</v>
      </c>
      <c r="V24" s="217">
        <v>108</v>
      </c>
      <c r="W24" s="217">
        <v>16</v>
      </c>
      <c r="X24" s="217">
        <v>17</v>
      </c>
      <c r="Y24" s="217">
        <v>56</v>
      </c>
      <c r="Z24" s="217">
        <v>64</v>
      </c>
      <c r="AA24" s="217">
        <v>10</v>
      </c>
      <c r="AB24" s="217">
        <v>11</v>
      </c>
      <c r="AC24" s="217">
        <v>53</v>
      </c>
      <c r="AD24" s="217">
        <v>61</v>
      </c>
      <c r="AE24" s="217">
        <v>89</v>
      </c>
      <c r="AF24" s="217">
        <v>93</v>
      </c>
      <c r="AG24" s="217">
        <v>97</v>
      </c>
      <c r="AH24" s="217">
        <v>101</v>
      </c>
      <c r="AI24" s="217">
        <v>26</v>
      </c>
      <c r="AJ24" s="217">
        <v>41</v>
      </c>
      <c r="AK24" s="217">
        <v>44</v>
      </c>
      <c r="AL24" s="217">
        <v>49</v>
      </c>
      <c r="AM24" s="217">
        <v>72</v>
      </c>
      <c r="AN24" s="217">
        <v>73</v>
      </c>
      <c r="AO24" s="217">
        <v>74</v>
      </c>
      <c r="AP24" s="217">
        <v>75</v>
      </c>
      <c r="AQ24" s="217">
        <v>105</v>
      </c>
      <c r="AR24" s="217">
        <v>109</v>
      </c>
      <c r="AS24" s="217">
        <v>20</v>
      </c>
      <c r="AT24" s="217">
        <v>23</v>
      </c>
      <c r="AU24" s="217">
        <v>52</v>
      </c>
      <c r="AV24" s="217">
        <v>60</v>
      </c>
      <c r="AW24" s="217">
        <v>57</v>
      </c>
      <c r="AX24" s="217">
        <v>65</v>
      </c>
      <c r="AY24" s="217">
        <v>4</v>
      </c>
      <c r="AZ24" s="217">
        <v>9</v>
      </c>
      <c r="BA24" s="243">
        <v>106</v>
      </c>
      <c r="BB24" s="243">
        <v>110</v>
      </c>
      <c r="BC24" s="217">
        <v>90</v>
      </c>
      <c r="BD24" s="217">
        <v>94</v>
      </c>
      <c r="BE24" s="217">
        <v>98</v>
      </c>
      <c r="BF24" s="217">
        <v>102</v>
      </c>
      <c r="BG24" s="217">
        <v>80</v>
      </c>
      <c r="BH24" s="217">
        <v>81</v>
      </c>
      <c r="BI24" s="217">
        <v>82</v>
      </c>
      <c r="BJ24" s="217">
        <v>83</v>
      </c>
      <c r="BK24" s="217">
        <v>40</v>
      </c>
      <c r="BL24" s="217">
        <v>43</v>
      </c>
      <c r="BM24" s="217">
        <v>48</v>
      </c>
      <c r="BN24" s="217">
        <v>51</v>
      </c>
      <c r="BO24" s="217">
        <v>54</v>
      </c>
      <c r="BP24" s="217">
        <v>59</v>
      </c>
      <c r="BQ24" s="217">
        <v>62</v>
      </c>
      <c r="BR24" s="217">
        <v>66</v>
      </c>
      <c r="BS24" s="217">
        <v>21</v>
      </c>
      <c r="BT24" s="217">
        <v>25</v>
      </c>
      <c r="BU24" s="217">
        <v>12</v>
      </c>
      <c r="BV24" s="217">
        <v>13</v>
      </c>
      <c r="BW24" s="217">
        <v>91</v>
      </c>
      <c r="BX24" s="217">
        <v>95</v>
      </c>
      <c r="BY24" s="217">
        <v>99</v>
      </c>
      <c r="BZ24" s="217">
        <v>103</v>
      </c>
      <c r="CA24" s="10"/>
      <c r="CB24" s="217">
        <v>68</v>
      </c>
      <c r="CC24" s="217">
        <v>69</v>
      </c>
      <c r="CD24" s="217">
        <v>70</v>
      </c>
      <c r="CE24" s="217">
        <v>71</v>
      </c>
      <c r="CF24" s="217">
        <v>39</v>
      </c>
      <c r="CG24" s="217">
        <v>42</v>
      </c>
      <c r="CH24" s="217">
        <v>47</v>
      </c>
      <c r="CI24" s="217">
        <v>50</v>
      </c>
      <c r="CJ24" s="217">
        <v>107</v>
      </c>
      <c r="CK24" s="217">
        <v>111</v>
      </c>
      <c r="CL24" s="217">
        <v>55</v>
      </c>
      <c r="CM24" s="217">
        <v>58</v>
      </c>
      <c r="CN24" s="217">
        <v>63</v>
      </c>
      <c r="CO24" s="217">
        <v>67</v>
      </c>
      <c r="CP24" s="217">
        <v>22</v>
      </c>
      <c r="CQ24" s="217">
        <v>24</v>
      </c>
      <c r="CR24" s="217">
        <v>14</v>
      </c>
      <c r="CS24" s="217">
        <v>15</v>
      </c>
      <c r="CT24" s="217">
        <v>39</v>
      </c>
      <c r="CU24" s="217">
        <v>42</v>
      </c>
      <c r="CV24" s="217">
        <v>47</v>
      </c>
      <c r="CW24" s="217">
        <v>50</v>
      </c>
      <c r="CX24" s="217">
        <v>107</v>
      </c>
      <c r="CY24" s="217">
        <v>111</v>
      </c>
      <c r="CZ24" s="217">
        <v>55</v>
      </c>
      <c r="DA24" s="217">
        <v>58</v>
      </c>
      <c r="DB24" s="217">
        <v>63</v>
      </c>
      <c r="DC24">
        <v>67</v>
      </c>
      <c r="DD24">
        <v>22</v>
      </c>
      <c r="DE24">
        <v>24</v>
      </c>
      <c r="DF24">
        <v>14</v>
      </c>
      <c r="DG24">
        <v>15</v>
      </c>
      <c r="DJ24" s="625" t="s">
        <v>861</v>
      </c>
      <c r="DK24" s="625" t="s">
        <v>860</v>
      </c>
      <c r="DL24" s="625" t="s">
        <v>859</v>
      </c>
      <c r="DM24" s="625" t="s">
        <v>858</v>
      </c>
    </row>
    <row r="27" spans="1:117" ht="15.5">
      <c r="C27" s="480" t="s">
        <v>792</v>
      </c>
      <c r="D27" s="480" t="s">
        <v>793</v>
      </c>
      <c r="E27" s="480" t="s">
        <v>794</v>
      </c>
      <c r="F27" s="480" t="s">
        <v>795</v>
      </c>
      <c r="G27" s="480" t="s">
        <v>796</v>
      </c>
      <c r="H27" s="480" t="s">
        <v>797</v>
      </c>
    </row>
    <row r="28" spans="1:117">
      <c r="B28" s="481" t="s">
        <v>798</v>
      </c>
      <c r="C28" s="482">
        <v>20</v>
      </c>
      <c r="D28" s="482">
        <v>30</v>
      </c>
      <c r="E28" s="482">
        <v>43.75</v>
      </c>
      <c r="F28" s="482">
        <v>20</v>
      </c>
      <c r="G28" s="482">
        <v>0.1</v>
      </c>
      <c r="H28" s="482">
        <v>5</v>
      </c>
    </row>
    <row r="29" spans="1:117">
      <c r="B29" s="481" t="s">
        <v>734</v>
      </c>
      <c r="C29" s="482">
        <v>71</v>
      </c>
      <c r="D29" s="482">
        <v>71</v>
      </c>
      <c r="E29" s="482">
        <v>71</v>
      </c>
      <c r="F29" s="482">
        <v>71</v>
      </c>
      <c r="G29" s="482">
        <v>71</v>
      </c>
      <c r="H29" s="482">
        <v>71</v>
      </c>
    </row>
    <row r="30" spans="1:117">
      <c r="B30" s="481" t="s">
        <v>799</v>
      </c>
      <c r="C30" s="482">
        <v>13</v>
      </c>
      <c r="D30" s="482">
        <v>50</v>
      </c>
      <c r="E30" s="482">
        <v>40</v>
      </c>
      <c r="F30" s="482">
        <v>40</v>
      </c>
      <c r="G30" s="483">
        <v>100</v>
      </c>
      <c r="H30" s="483">
        <v>70</v>
      </c>
    </row>
    <row r="31" spans="1:117">
      <c r="B31" s="481" t="s">
        <v>800</v>
      </c>
      <c r="C31" s="482">
        <v>100</v>
      </c>
      <c r="D31" s="482">
        <v>50</v>
      </c>
      <c r="E31" s="482">
        <v>70</v>
      </c>
      <c r="F31" s="482">
        <v>40</v>
      </c>
      <c r="G31" s="482">
        <v>90</v>
      </c>
      <c r="H31" s="482">
        <v>90</v>
      </c>
    </row>
    <row r="32" spans="1:117">
      <c r="B32" s="481" t="s">
        <v>326</v>
      </c>
      <c r="C32" s="482">
        <v>1.26</v>
      </c>
      <c r="D32" s="482">
        <v>1.26</v>
      </c>
      <c r="E32" s="482">
        <v>1.26</v>
      </c>
      <c r="F32" s="482">
        <v>1.26</v>
      </c>
      <c r="G32" s="482">
        <v>1.26</v>
      </c>
      <c r="H32" s="482">
        <v>1.26</v>
      </c>
    </row>
    <row r="33" spans="2:8">
      <c r="B33" s="481" t="s">
        <v>801</v>
      </c>
      <c r="C33" s="482"/>
      <c r="D33" s="482">
        <v>1.01</v>
      </c>
      <c r="E33" s="482"/>
      <c r="F33" s="482"/>
      <c r="G33" s="482"/>
      <c r="H33" s="482"/>
    </row>
    <row r="34" spans="2:8">
      <c r="B34" s="160"/>
      <c r="C34" s="160" t="s">
        <v>802</v>
      </c>
      <c r="D34" s="160" t="s">
        <v>803</v>
      </c>
      <c r="E34" s="160" t="s">
        <v>804</v>
      </c>
      <c r="F34" s="160" t="s">
        <v>805</v>
      </c>
      <c r="G34" s="160"/>
      <c r="H34" s="160"/>
    </row>
    <row r="35" spans="2:8" ht="17.5">
      <c r="B35" s="486" t="s">
        <v>806</v>
      </c>
      <c r="C35" s="487">
        <f>(C28/C29)*(1-(C30/100)*(C31/100))*C32</f>
        <v>0.30878873239436622</v>
      </c>
      <c r="D35" s="487">
        <f>((D28/D29)*(1-(D30/100)*(D31/100))*D32)+ ((1/D33)*(1-(D30/100)*0.8)*D32)</f>
        <v>1.1478106261330359</v>
      </c>
      <c r="E35" s="487">
        <f>(E28/E29)*(1-(E30/100)*(E31/100))*E32</f>
        <v>0.55901408450704226</v>
      </c>
      <c r="F35" s="487">
        <f>(F28/F29)*(1-(F30/100)*(F31/100))*F32</f>
        <v>0.29814084507042254</v>
      </c>
      <c r="G35" s="487">
        <f>(G28/G29)*(1-(G30/100)*(G31/100))*G32</f>
        <v>1.7746478873239435E-4</v>
      </c>
      <c r="H35" s="487">
        <f>(H28/H29)*(1-(H30/100)*(H31/100))*H32</f>
        <v>3.2830985915492959E-2</v>
      </c>
    </row>
    <row r="36" spans="2:8">
      <c r="B36" s="244"/>
      <c r="C36" s="244"/>
      <c r="D36" s="484"/>
      <c r="E36" s="484"/>
      <c r="F36" s="485"/>
      <c r="G36" s="485"/>
      <c r="H36" s="485"/>
    </row>
    <row r="37" spans="2:8">
      <c r="B37" s="244"/>
      <c r="C37" s="244"/>
      <c r="D37" s="16"/>
      <c r="E37" s="16"/>
    </row>
    <row r="38" spans="2:8">
      <c r="B38" s="244"/>
      <c r="C38" s="244"/>
      <c r="D38" s="16"/>
      <c r="E38" s="16"/>
    </row>
    <row r="39" spans="2:8">
      <c r="B39" s="244"/>
      <c r="C39" s="244"/>
      <c r="D39" s="16"/>
      <c r="E39" s="16"/>
    </row>
    <row r="40" spans="2:8">
      <c r="B40" s="244"/>
      <c r="C40" s="244"/>
      <c r="D40" s="16"/>
      <c r="E40" s="16"/>
    </row>
    <row r="41" spans="2:8">
      <c r="B41" s="244"/>
      <c r="C41" s="244"/>
      <c r="D41" s="16"/>
      <c r="E41" s="16"/>
    </row>
    <row r="42" spans="2:8">
      <c r="B42" s="244"/>
      <c r="C42" s="244"/>
      <c r="D42" s="16"/>
      <c r="E42" s="16"/>
    </row>
    <row r="43" spans="2:8">
      <c r="B43" s="244"/>
      <c r="C43" s="244"/>
      <c r="D43" s="16"/>
      <c r="E43" s="16"/>
    </row>
    <row r="44" spans="2:8">
      <c r="B44" s="244"/>
      <c r="C44" s="244"/>
      <c r="D44" s="16"/>
      <c r="E44" s="16"/>
    </row>
    <row r="45" spans="2:8">
      <c r="B45" s="244"/>
      <c r="C45" s="244"/>
      <c r="D45" s="16"/>
      <c r="E45" s="16"/>
    </row>
    <row r="46" spans="2:8">
      <c r="B46" s="244"/>
      <c r="C46" s="244"/>
      <c r="D46" s="16"/>
      <c r="E46" s="16"/>
    </row>
    <row r="47" spans="2:8">
      <c r="B47" s="244"/>
      <c r="C47" s="244"/>
      <c r="D47" s="16"/>
      <c r="E47" s="16"/>
    </row>
    <row r="48" spans="2:8">
      <c r="B48" s="244"/>
      <c r="C48" s="244"/>
      <c r="D48" s="16"/>
      <c r="E48" s="16"/>
    </row>
    <row r="49" spans="2:5">
      <c r="B49" s="244"/>
      <c r="C49" s="244"/>
      <c r="D49" s="16"/>
      <c r="E49" s="16"/>
    </row>
    <row r="50" spans="2:5">
      <c r="B50" s="244"/>
      <c r="C50" s="244"/>
      <c r="D50" s="16"/>
      <c r="E50" s="16"/>
    </row>
    <row r="51" spans="2:5">
      <c r="B51" s="244"/>
      <c r="C51" s="244"/>
      <c r="D51" s="16"/>
      <c r="E51" s="16"/>
    </row>
    <row r="52" spans="2:5">
      <c r="B52" s="244"/>
      <c r="C52" s="244"/>
      <c r="D52" s="16"/>
      <c r="E52" s="16"/>
    </row>
    <row r="53" spans="2:5">
      <c r="B53" s="244"/>
      <c r="C53" s="244"/>
      <c r="D53" s="16"/>
      <c r="E53" s="16"/>
    </row>
    <row r="54" spans="2:5">
      <c r="B54" s="244"/>
      <c r="C54" s="244"/>
      <c r="D54" s="16"/>
      <c r="E54" s="16"/>
    </row>
    <row r="55" spans="2:5">
      <c r="B55" s="244"/>
      <c r="C55" s="244"/>
      <c r="D55" s="16"/>
      <c r="E55" s="16"/>
    </row>
    <row r="56" spans="2:5">
      <c r="B56" s="244"/>
      <c r="C56" s="244"/>
      <c r="D56" s="16"/>
      <c r="E56" s="16"/>
    </row>
    <row r="57" spans="2:5">
      <c r="B57" s="244"/>
      <c r="C57" s="244"/>
      <c r="D57" s="16"/>
      <c r="E57" s="16"/>
    </row>
    <row r="58" spans="2:5">
      <c r="B58" s="244"/>
      <c r="C58" s="244"/>
      <c r="D58" s="16"/>
      <c r="E58" s="16"/>
    </row>
    <row r="59" spans="2:5">
      <c r="B59" s="244"/>
      <c r="C59" s="244"/>
      <c r="D59" s="16"/>
      <c r="E59" s="16"/>
    </row>
    <row r="60" spans="2:5">
      <c r="B60" s="244"/>
      <c r="C60" s="244"/>
      <c r="D60" s="16"/>
      <c r="E60" s="16"/>
    </row>
    <row r="61" spans="2:5">
      <c r="B61" s="244"/>
      <c r="C61" s="244"/>
      <c r="D61" s="16"/>
      <c r="E61" s="16"/>
    </row>
    <row r="62" spans="2:5">
      <c r="B62" s="244"/>
      <c r="C62" s="244"/>
      <c r="D62" s="16"/>
      <c r="E62" s="16"/>
    </row>
    <row r="63" spans="2:5">
      <c r="B63" s="244"/>
      <c r="C63" s="244"/>
      <c r="D63" s="16"/>
      <c r="E63" s="16"/>
    </row>
    <row r="64" spans="2:5">
      <c r="B64" s="244"/>
      <c r="C64" s="244"/>
      <c r="D64" s="16"/>
      <c r="E64" s="16"/>
    </row>
    <row r="65" spans="2:5">
      <c r="B65" s="244"/>
      <c r="C65" s="244"/>
      <c r="D65" s="16"/>
      <c r="E65" s="16"/>
    </row>
    <row r="66" spans="2:5">
      <c r="B66" s="244"/>
      <c r="C66" s="244"/>
      <c r="D66" s="16"/>
      <c r="E66" s="16"/>
    </row>
    <row r="67" spans="2:5">
      <c r="B67" s="244"/>
      <c r="C67" s="244"/>
      <c r="D67" s="16"/>
      <c r="E67" s="16"/>
    </row>
    <row r="68" spans="2:5">
      <c r="B68" s="244"/>
      <c r="C68" s="244"/>
      <c r="D68" s="16"/>
      <c r="E68" s="16"/>
    </row>
    <row r="69" spans="2:5">
      <c r="B69" s="244"/>
      <c r="C69" s="244"/>
      <c r="D69" s="16"/>
      <c r="E69" s="16"/>
    </row>
    <row r="70" spans="2:5">
      <c r="B70" s="244"/>
      <c r="C70" s="244"/>
      <c r="D70" s="16"/>
      <c r="E70" s="16"/>
    </row>
    <row r="71" spans="2:5">
      <c r="B71" s="244"/>
      <c r="C71" s="244"/>
      <c r="D71" s="16"/>
      <c r="E71" s="16"/>
    </row>
    <row r="72" spans="2:5">
      <c r="B72" s="244"/>
      <c r="C72" s="244"/>
      <c r="D72" s="16"/>
      <c r="E72" s="16"/>
    </row>
    <row r="73" spans="2:5">
      <c r="B73" s="244"/>
      <c r="C73" s="244"/>
      <c r="D73" s="16"/>
      <c r="E73" s="16"/>
    </row>
    <row r="74" spans="2:5">
      <c r="B74" s="244"/>
      <c r="C74" s="244"/>
      <c r="D74" s="16"/>
      <c r="E74" s="16"/>
    </row>
    <row r="75" spans="2:5">
      <c r="B75" s="244"/>
      <c r="C75" s="244"/>
      <c r="D75" s="16"/>
      <c r="E75" s="16"/>
    </row>
    <row r="76" spans="2:5">
      <c r="B76" s="244"/>
      <c r="C76" s="244"/>
      <c r="D76" s="16"/>
      <c r="E76" s="16"/>
    </row>
    <row r="77" spans="2:5">
      <c r="B77" s="244"/>
      <c r="C77" s="244"/>
      <c r="D77" s="16"/>
      <c r="E77" s="16"/>
    </row>
    <row r="78" spans="2:5">
      <c r="B78" s="244"/>
      <c r="C78" s="244"/>
      <c r="D78" s="16"/>
      <c r="E78" s="16"/>
    </row>
    <row r="79" spans="2:5">
      <c r="B79" s="245"/>
      <c r="C79" s="245"/>
      <c r="D79" s="246"/>
      <c r="E79" s="246"/>
    </row>
    <row r="80" spans="2:5">
      <c r="B80" s="245"/>
      <c r="C80" s="245"/>
      <c r="D80" s="246"/>
      <c r="E80" s="246"/>
    </row>
    <row r="81" spans="2:5">
      <c r="B81" s="244"/>
      <c r="C81" s="244"/>
      <c r="D81" s="16"/>
      <c r="E81" s="16"/>
    </row>
    <row r="82" spans="2:5">
      <c r="B82" s="244"/>
      <c r="C82" s="244"/>
      <c r="D82" s="16"/>
      <c r="E82" s="16"/>
    </row>
    <row r="83" spans="2:5">
      <c r="B83" s="244"/>
      <c r="C83" s="244"/>
      <c r="D83" s="16"/>
      <c r="E83" s="16"/>
    </row>
    <row r="84" spans="2:5">
      <c r="B84" s="244"/>
      <c r="C84" s="244"/>
      <c r="D84" s="16"/>
      <c r="E84" s="16"/>
    </row>
    <row r="85" spans="2:5">
      <c r="B85" s="244"/>
      <c r="C85" s="244"/>
      <c r="D85" s="16"/>
      <c r="E85" s="16"/>
    </row>
    <row r="86" spans="2:5">
      <c r="B86" s="244"/>
      <c r="C86" s="244"/>
      <c r="D86" s="16"/>
      <c r="E86" s="16"/>
    </row>
    <row r="87" spans="2:5">
      <c r="B87" s="244"/>
      <c r="C87" s="244"/>
      <c r="D87" s="16"/>
      <c r="E87" s="16"/>
    </row>
    <row r="88" spans="2:5">
      <c r="B88" s="244"/>
      <c r="C88" s="244"/>
      <c r="D88" s="16"/>
      <c r="E88" s="16"/>
    </row>
    <row r="89" spans="2:5">
      <c r="B89" s="244"/>
      <c r="C89" s="244"/>
      <c r="D89" s="16"/>
      <c r="E89" s="16"/>
    </row>
    <row r="90" spans="2:5">
      <c r="B90" s="244"/>
      <c r="C90" s="244"/>
      <c r="D90" s="16"/>
      <c r="E90" s="16"/>
    </row>
    <row r="91" spans="2:5">
      <c r="B91" s="244"/>
      <c r="C91" s="244"/>
      <c r="D91" s="16"/>
      <c r="E91" s="16"/>
    </row>
    <row r="92" spans="2:5">
      <c r="B92" s="244"/>
      <c r="C92" s="244"/>
      <c r="D92" s="16"/>
      <c r="E92" s="16"/>
    </row>
    <row r="93" spans="2:5">
      <c r="B93" s="244"/>
      <c r="C93" s="244"/>
      <c r="D93" s="16"/>
      <c r="E93" s="16"/>
    </row>
    <row r="94" spans="2:5">
      <c r="B94" s="244"/>
      <c r="C94" s="244"/>
      <c r="D94" s="16"/>
      <c r="E94" s="16"/>
    </row>
    <row r="95" spans="2:5">
      <c r="B95" s="244"/>
      <c r="C95" s="244"/>
      <c r="D95" s="16"/>
      <c r="E95" s="16"/>
    </row>
    <row r="96" spans="2:5">
      <c r="B96" s="244"/>
      <c r="C96" s="244"/>
      <c r="D96" s="16"/>
      <c r="E96" s="16"/>
    </row>
    <row r="97" spans="2:5">
      <c r="B97" s="244"/>
      <c r="C97" s="244"/>
      <c r="D97" s="16"/>
      <c r="E97" s="16"/>
    </row>
    <row r="98" spans="2:5">
      <c r="B98" s="244"/>
      <c r="C98" s="244"/>
      <c r="D98" s="16"/>
      <c r="E98" s="16"/>
    </row>
    <row r="99" spans="2:5">
      <c r="B99" s="244"/>
      <c r="C99" s="244"/>
      <c r="D99" s="16"/>
      <c r="E99" s="16"/>
    </row>
    <row r="100" spans="2:5">
      <c r="B100" s="244"/>
      <c r="C100" s="244"/>
      <c r="D100" s="16"/>
      <c r="E100" s="16"/>
    </row>
    <row r="101" spans="2:5">
      <c r="B101" s="244"/>
      <c r="C101" s="244"/>
      <c r="D101" s="16"/>
      <c r="E101" s="16"/>
    </row>
    <row r="102" spans="2:5">
      <c r="B102" s="244"/>
      <c r="C102" s="244"/>
      <c r="D102" s="16"/>
      <c r="E102" s="16"/>
    </row>
    <row r="103" spans="2:5">
      <c r="B103" s="244"/>
      <c r="C103" s="244"/>
      <c r="D103" s="16"/>
      <c r="E103" s="16"/>
    </row>
    <row r="104" spans="2:5">
      <c r="B104" s="244"/>
      <c r="C104" s="244"/>
      <c r="D104" s="16"/>
      <c r="E104" s="16"/>
    </row>
    <row r="105" spans="2:5">
      <c r="B105" s="244"/>
      <c r="C105" s="244"/>
      <c r="D105" s="16"/>
      <c r="E105" s="16"/>
    </row>
    <row r="106" spans="2:5">
      <c r="B106" s="244"/>
      <c r="C106" s="244"/>
      <c r="D106" s="16"/>
      <c r="E106" s="16"/>
    </row>
    <row r="107" spans="2:5">
      <c r="B107" s="244"/>
      <c r="C107" s="244"/>
      <c r="D107" s="16"/>
      <c r="E107" s="16"/>
    </row>
    <row r="108" spans="2:5">
      <c r="B108" s="244"/>
      <c r="C108" s="244"/>
      <c r="D108" s="16"/>
      <c r="E108" s="16"/>
    </row>
    <row r="109" spans="2:5">
      <c r="B109" s="244"/>
      <c r="C109" s="244"/>
      <c r="D109" s="16"/>
      <c r="E109" s="16"/>
    </row>
    <row r="110" spans="2:5">
      <c r="B110" s="244"/>
      <c r="C110" s="244"/>
      <c r="D110" s="16"/>
      <c r="E110" s="16"/>
    </row>
    <row r="111" spans="2:5">
      <c r="B111" s="244"/>
      <c r="C111" s="244"/>
      <c r="D111" s="16"/>
      <c r="E111" s="16"/>
    </row>
    <row r="112" spans="2:5">
      <c r="B112" s="244"/>
      <c r="C112" s="244"/>
      <c r="D112" s="16"/>
      <c r="E112" s="16"/>
    </row>
    <row r="113" spans="2:5">
      <c r="B113" s="244"/>
      <c r="C113" s="244"/>
      <c r="D113" s="16"/>
      <c r="E113" s="16"/>
    </row>
    <row r="114" spans="2:5">
      <c r="B114" s="244"/>
      <c r="C114" s="244"/>
      <c r="D114" s="16"/>
      <c r="E114" s="16"/>
    </row>
    <row r="115" spans="2:5">
      <c r="B115" s="244"/>
      <c r="C115" s="244"/>
      <c r="D115" s="16"/>
      <c r="E115" s="16"/>
    </row>
    <row r="116" spans="2:5">
      <c r="B116" s="244"/>
      <c r="C116" s="244"/>
      <c r="D116" s="16"/>
      <c r="E116" s="16"/>
    </row>
    <row r="117" spans="2:5">
      <c r="B117" s="244"/>
      <c r="C117" s="244"/>
      <c r="D117" s="16"/>
      <c r="E117" s="16"/>
    </row>
    <row r="118" spans="2:5">
      <c r="B118" s="244"/>
      <c r="C118" s="244"/>
      <c r="D118" s="16"/>
      <c r="E118" s="16"/>
    </row>
    <row r="119" spans="2:5">
      <c r="B119" s="244"/>
      <c r="C119" s="244"/>
      <c r="D119" s="16"/>
      <c r="E119" s="16"/>
    </row>
    <row r="120" spans="2:5">
      <c r="B120" s="244"/>
      <c r="C120" s="244"/>
      <c r="D120" s="16"/>
      <c r="E120" s="16"/>
    </row>
    <row r="121" spans="2:5">
      <c r="B121" s="244"/>
      <c r="C121" s="244"/>
      <c r="D121" s="16"/>
      <c r="E121" s="16"/>
    </row>
    <row r="122" spans="2:5">
      <c r="B122" s="244"/>
      <c r="C122" s="244"/>
      <c r="D122" s="16"/>
      <c r="E122" s="16"/>
    </row>
    <row r="123" spans="2:5">
      <c r="B123" s="244"/>
      <c r="C123" s="244"/>
      <c r="D123" s="16"/>
      <c r="E123" s="16"/>
    </row>
  </sheetData>
  <mergeCells count="2">
    <mergeCell ref="B1:C1"/>
    <mergeCell ref="C14:G14"/>
  </mergeCells>
  <pageMargins left="0.7" right="0.7" top="0.75" bottom="0.75" header="0.3" footer="0.3"/>
  <pageSetup paperSize="9" orientation="portrait" r:id="rId1"/>
  <ignoredErrors>
    <ignoredError sqref="D35" formula="1"/>
  </ignoredError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dimension ref="B2:K29"/>
  <sheetViews>
    <sheetView workbookViewId="0"/>
  </sheetViews>
  <sheetFormatPr defaultColWidth="10.90625" defaultRowHeight="14.5"/>
  <cols>
    <col min="2" max="2" width="27.54296875" customWidth="1"/>
    <col min="3" max="3" width="22.81640625" customWidth="1"/>
    <col min="4" max="4" width="16.7265625" customWidth="1"/>
    <col min="5" max="5" width="18.453125" customWidth="1"/>
    <col min="6" max="6" width="19.54296875" customWidth="1"/>
  </cols>
  <sheetData>
    <row r="2" spans="2:11" ht="18" customHeight="1">
      <c r="B2" s="5014" t="s">
        <v>685</v>
      </c>
      <c r="C2" s="5011" t="s">
        <v>728</v>
      </c>
      <c r="D2" s="5012"/>
      <c r="E2" s="5013"/>
    </row>
    <row r="3" spans="2:11" ht="27" customHeight="1">
      <c r="B3" s="5013"/>
      <c r="C3" s="280" t="s">
        <v>725</v>
      </c>
      <c r="D3" s="276" t="s">
        <v>726</v>
      </c>
      <c r="E3" s="276" t="s">
        <v>727</v>
      </c>
      <c r="F3" s="1140" t="s">
        <v>729</v>
      </c>
      <c r="G3" s="5008"/>
      <c r="H3" s="5008"/>
      <c r="I3" s="5008"/>
      <c r="J3" s="283"/>
      <c r="K3" s="283"/>
    </row>
    <row r="4" spans="2:11" ht="21" customHeight="1">
      <c r="B4" s="274" t="s">
        <v>686</v>
      </c>
      <c r="C4" s="277">
        <v>2.21</v>
      </c>
      <c r="D4" s="277">
        <v>2.1800000000000002</v>
      </c>
      <c r="E4" s="277">
        <v>2.5099999999999998</v>
      </c>
      <c r="F4" s="285">
        <v>2.21</v>
      </c>
      <c r="G4" s="5009"/>
      <c r="H4" s="5009"/>
      <c r="I4" s="5009"/>
      <c r="J4" s="283"/>
      <c r="K4" s="283"/>
    </row>
    <row r="5" spans="2:11" ht="20.25" customHeight="1">
      <c r="B5" s="275" t="s">
        <v>372</v>
      </c>
      <c r="C5" s="278">
        <v>0.49</v>
      </c>
      <c r="D5" s="278">
        <v>0.49</v>
      </c>
      <c r="E5" s="278">
        <v>0.46</v>
      </c>
      <c r="F5" s="286">
        <v>0.49</v>
      </c>
      <c r="G5" s="284"/>
      <c r="H5" s="5010"/>
      <c r="I5" s="5010"/>
      <c r="J5" s="282"/>
      <c r="K5" s="282"/>
    </row>
    <row r="6" spans="2:11" ht="18.75" customHeight="1">
      <c r="B6" s="274" t="s">
        <v>371</v>
      </c>
      <c r="C6" s="277">
        <v>1.34</v>
      </c>
      <c r="D6" s="277">
        <v>1.37</v>
      </c>
      <c r="E6" s="277">
        <v>1.26</v>
      </c>
      <c r="F6" s="285">
        <v>1.34</v>
      </c>
      <c r="G6" s="284"/>
      <c r="H6" s="5010"/>
      <c r="I6" s="5010"/>
      <c r="J6" s="282"/>
      <c r="K6" s="282"/>
    </row>
    <row r="7" spans="2:11" ht="18" customHeight="1">
      <c r="B7" s="275" t="s">
        <v>687</v>
      </c>
      <c r="C7" s="278">
        <v>0.36</v>
      </c>
      <c r="D7" s="278">
        <v>1.37</v>
      </c>
      <c r="E7" s="278">
        <v>0.37</v>
      </c>
      <c r="F7" s="286">
        <v>0.36</v>
      </c>
      <c r="G7" s="284"/>
      <c r="H7" s="5010"/>
      <c r="I7" s="5010"/>
      <c r="J7" s="282"/>
      <c r="K7" s="282"/>
    </row>
    <row r="8" spans="2:11" ht="19.5" customHeight="1">
      <c r="B8" s="274" t="s">
        <v>688</v>
      </c>
      <c r="C8" s="277">
        <v>2.21</v>
      </c>
      <c r="D8" s="277">
        <v>2.1800000000000002</v>
      </c>
      <c r="E8" s="277">
        <v>2.5099999999999998</v>
      </c>
      <c r="F8" s="285">
        <v>2.21</v>
      </c>
      <c r="G8" s="284"/>
      <c r="H8" s="5010"/>
      <c r="I8" s="5010"/>
      <c r="J8" s="282"/>
      <c r="K8" s="282"/>
    </row>
    <row r="9" spans="2:11" ht="22.5" customHeight="1">
      <c r="B9" s="275" t="s">
        <v>689</v>
      </c>
      <c r="C9" s="278"/>
      <c r="D9" s="278">
        <v>0.36</v>
      </c>
      <c r="E9" s="278"/>
      <c r="G9" s="284"/>
      <c r="H9" s="5010"/>
      <c r="I9" s="5010"/>
      <c r="J9" s="282"/>
      <c r="K9" s="282"/>
    </row>
    <row r="10" spans="2:11">
      <c r="B10" s="19"/>
      <c r="C10" s="281"/>
      <c r="D10" s="281"/>
      <c r="E10" s="281"/>
      <c r="G10" s="284"/>
      <c r="H10" s="5010"/>
      <c r="I10" s="5010"/>
      <c r="J10" s="282"/>
      <c r="K10" s="282"/>
    </row>
    <row r="11" spans="2:11">
      <c r="G11" s="284"/>
      <c r="H11" s="5010"/>
      <c r="I11" s="5010"/>
      <c r="J11" s="282"/>
      <c r="K11" s="282"/>
    </row>
    <row r="12" spans="2:11">
      <c r="B12" s="247"/>
      <c r="C12" s="247"/>
    </row>
    <row r="14" spans="2:11">
      <c r="B14" s="248" t="s">
        <v>723</v>
      </c>
      <c r="C14" s="248"/>
    </row>
    <row r="15" spans="2:11">
      <c r="B15" s="248" t="s">
        <v>724</v>
      </c>
      <c r="C15" s="248"/>
    </row>
    <row r="16" spans="2:11">
      <c r="B16" s="248" t="s">
        <v>690</v>
      </c>
      <c r="C16" s="248"/>
    </row>
    <row r="19" spans="2:6">
      <c r="B19" s="5015" t="s">
        <v>691</v>
      </c>
      <c r="C19" s="5017" t="s">
        <v>692</v>
      </c>
      <c r="D19" s="251" t="s">
        <v>693</v>
      </c>
      <c r="E19" s="252" t="s">
        <v>694</v>
      </c>
      <c r="F19" s="251" t="s">
        <v>695</v>
      </c>
    </row>
    <row r="20" spans="2:6">
      <c r="B20" s="5016"/>
      <c r="C20" s="5018"/>
      <c r="D20" s="253" t="s">
        <v>696</v>
      </c>
      <c r="E20" s="254" t="s">
        <v>697</v>
      </c>
      <c r="F20" s="253" t="s">
        <v>698</v>
      </c>
    </row>
    <row r="21" spans="2:6">
      <c r="B21" s="255" t="s">
        <v>699</v>
      </c>
      <c r="C21" s="256">
        <f>SUM(C22:C24)</f>
        <v>62.2</v>
      </c>
      <c r="D21" s="257"/>
      <c r="E21" s="255" t="s">
        <v>700</v>
      </c>
      <c r="F21" s="257"/>
    </row>
    <row r="22" spans="2:6">
      <c r="B22" s="258" t="s">
        <v>701</v>
      </c>
      <c r="C22" s="259">
        <v>23.9</v>
      </c>
      <c r="D22" s="260">
        <v>0.3</v>
      </c>
      <c r="E22" s="258" t="s">
        <v>701</v>
      </c>
      <c r="F22" s="260">
        <v>55</v>
      </c>
    </row>
    <row r="23" spans="2:6">
      <c r="B23" s="261" t="s">
        <v>702</v>
      </c>
      <c r="C23" s="262">
        <v>6.8</v>
      </c>
      <c r="D23" s="263">
        <v>0.3</v>
      </c>
      <c r="E23" s="261" t="s">
        <v>702</v>
      </c>
      <c r="F23" s="263">
        <v>71</v>
      </c>
    </row>
    <row r="24" spans="2:6">
      <c r="B24" s="264" t="s">
        <v>703</v>
      </c>
      <c r="C24" s="265">
        <v>31.5</v>
      </c>
      <c r="D24" s="266">
        <v>0.3</v>
      </c>
      <c r="E24" s="264" t="s">
        <v>703</v>
      </c>
      <c r="F24" s="266">
        <v>93</v>
      </c>
    </row>
    <row r="25" spans="2:6">
      <c r="B25" s="12" t="s">
        <v>704</v>
      </c>
      <c r="C25" s="256">
        <v>17.7</v>
      </c>
      <c r="D25" s="257">
        <v>0.3</v>
      </c>
      <c r="E25" s="12" t="s">
        <v>704</v>
      </c>
      <c r="F25" s="257">
        <v>71</v>
      </c>
    </row>
    <row r="26" spans="2:6">
      <c r="B26" s="12" t="s">
        <v>705</v>
      </c>
      <c r="C26" s="256">
        <f>C21+C25</f>
        <v>79.900000000000006</v>
      </c>
      <c r="D26" s="16"/>
      <c r="E26" s="16"/>
      <c r="F26" s="22"/>
    </row>
    <row r="27" spans="2:6">
      <c r="B27" s="267" t="s">
        <v>706</v>
      </c>
      <c r="C27" s="268"/>
      <c r="D27" s="268"/>
      <c r="E27" s="268"/>
      <c r="F27" s="269"/>
    </row>
    <row r="28" spans="2:6">
      <c r="B28" s="5019" t="s">
        <v>707</v>
      </c>
      <c r="C28" s="5020"/>
      <c r="D28" s="5020"/>
      <c r="E28" s="249">
        <v>1</v>
      </c>
      <c r="F28" s="270">
        <v>3.5999999999999999E-3</v>
      </c>
    </row>
    <row r="29" spans="2:6">
      <c r="B29" s="5005" t="s">
        <v>708</v>
      </c>
      <c r="C29" s="5006"/>
      <c r="D29" s="5007"/>
      <c r="E29" s="250">
        <v>35</v>
      </c>
      <c r="F29" s="271" t="s">
        <v>709</v>
      </c>
    </row>
  </sheetData>
  <mergeCells count="15">
    <mergeCell ref="C2:E2"/>
    <mergeCell ref="B2:B3"/>
    <mergeCell ref="B19:B20"/>
    <mergeCell ref="C19:C20"/>
    <mergeCell ref="B28:D28"/>
    <mergeCell ref="B29:D29"/>
    <mergeCell ref="G3:I3"/>
    <mergeCell ref="G4:I4"/>
    <mergeCell ref="H5:I5"/>
    <mergeCell ref="H6:I6"/>
    <mergeCell ref="H7:I7"/>
    <mergeCell ref="H8:I8"/>
    <mergeCell ref="H9:I9"/>
    <mergeCell ref="H10:I10"/>
    <mergeCell ref="H11:I11"/>
  </mergeCells>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W163"/>
  <sheetViews>
    <sheetView topLeftCell="G1" workbookViewId="0">
      <selection activeCell="R7" sqref="R7"/>
    </sheetView>
  </sheetViews>
  <sheetFormatPr defaultColWidth="10.90625" defaultRowHeight="14.5"/>
  <cols>
    <col min="1" max="1" width="1.7265625" customWidth="1"/>
    <col min="2" max="2" width="5.453125" customWidth="1"/>
    <col min="3" max="3" width="21.1796875" customWidth="1"/>
    <col min="4" max="4" width="4.81640625" customWidth="1"/>
    <col min="5" max="5" width="7.1796875" customWidth="1"/>
    <col min="6" max="6" width="23.81640625" customWidth="1"/>
    <col min="7" max="7" width="36.7265625" customWidth="1"/>
    <col min="8" max="8" width="17.26953125" style="1174" customWidth="1"/>
    <col min="9" max="9" width="60" customWidth="1"/>
    <col min="10" max="10" width="8.26953125" customWidth="1"/>
    <col min="11" max="11" width="30.1796875" customWidth="1"/>
    <col min="12" max="12" width="28.1796875" customWidth="1"/>
    <col min="16" max="16" width="14.54296875" customWidth="1"/>
    <col min="18" max="18" width="49" customWidth="1"/>
  </cols>
  <sheetData>
    <row r="1" spans="2:21" ht="19.5" customHeight="1">
      <c r="B1" s="1175" t="s">
        <v>856</v>
      </c>
      <c r="C1" s="1"/>
      <c r="D1" s="1"/>
      <c r="E1" s="1"/>
      <c r="F1" s="1"/>
      <c r="G1" s="1"/>
      <c r="I1" s="273" t="s">
        <v>1477</v>
      </c>
      <c r="J1" s="1"/>
      <c r="K1" s="1"/>
      <c r="L1" s="1"/>
    </row>
    <row r="2" spans="2:21" ht="24.75" customHeight="1" thickBot="1">
      <c r="C2" s="204" t="s">
        <v>674</v>
      </c>
      <c r="D2" s="205" t="str">
        <f>L4</f>
        <v>c77</v>
      </c>
      <c r="J2" s="19"/>
      <c r="K2" s="19"/>
      <c r="L2" s="19"/>
      <c r="M2" s="19"/>
      <c r="N2" s="461"/>
    </row>
    <row r="3" spans="2:21" ht="15" thickBot="1">
      <c r="B3" s="5027" t="s">
        <v>507</v>
      </c>
      <c r="C3" s="5028"/>
      <c r="D3" s="5028"/>
      <c r="E3" s="5028"/>
      <c r="F3" s="5028"/>
      <c r="G3" s="5028"/>
      <c r="H3" s="5029"/>
      <c r="I3" s="1185"/>
      <c r="J3" s="19"/>
      <c r="K3" s="1181" t="s">
        <v>509</v>
      </c>
      <c r="L3" s="1178" t="s">
        <v>1399</v>
      </c>
      <c r="M3" s="19"/>
    </row>
    <row r="4" spans="2:21" ht="27.75" customHeight="1" thickBot="1">
      <c r="B4" s="1203" t="s">
        <v>162</v>
      </c>
      <c r="C4" s="1203" t="s">
        <v>163</v>
      </c>
      <c r="D4" s="1240" t="s">
        <v>294</v>
      </c>
      <c r="E4" s="1241" t="s">
        <v>289</v>
      </c>
      <c r="F4" s="1204" t="s">
        <v>1397</v>
      </c>
      <c r="G4" s="1205" t="s">
        <v>1405</v>
      </c>
      <c r="H4" s="1202" t="s">
        <v>1398</v>
      </c>
      <c r="I4" s="1206" t="s">
        <v>1404</v>
      </c>
      <c r="J4" s="19"/>
      <c r="K4" s="121" t="s">
        <v>292</v>
      </c>
      <c r="L4" s="122" t="s">
        <v>450</v>
      </c>
      <c r="M4" s="19"/>
      <c r="S4" s="1246"/>
      <c r="T4" s="19"/>
      <c r="U4" s="19"/>
    </row>
    <row r="5" spans="2:21" ht="63.75" customHeight="1">
      <c r="B5" s="1199"/>
      <c r="C5" s="1200"/>
      <c r="D5" s="1200"/>
      <c r="E5" s="1201"/>
      <c r="F5" s="1198" t="s">
        <v>1411</v>
      </c>
      <c r="G5" s="1198" t="s">
        <v>1410</v>
      </c>
      <c r="H5" s="1197" t="s">
        <v>1412</v>
      </c>
      <c r="I5" s="1216"/>
      <c r="J5" s="19"/>
      <c r="K5" s="123" t="s">
        <v>638</v>
      </c>
      <c r="L5" s="124">
        <f>SUMIF('Datos auxiliares proyectos '!C3:C119,Inicio_Selecc_proyct_HEREVEA_01!L4,'Datos auxiliares proyectos '!G3:G119)</f>
        <v>2188690.5244115382</v>
      </c>
      <c r="M5" s="19"/>
      <c r="S5" s="1246"/>
      <c r="T5" s="19"/>
      <c r="U5" s="19"/>
    </row>
    <row r="6" spans="2:21">
      <c r="B6" s="1223" t="s">
        <v>886</v>
      </c>
      <c r="C6" s="1224"/>
      <c r="D6" s="1224"/>
      <c r="E6" s="1224"/>
      <c r="F6" s="1224"/>
      <c r="G6" s="1224"/>
      <c r="H6" s="1225"/>
      <c r="I6" s="1206" t="s">
        <v>1420</v>
      </c>
      <c r="J6" s="19"/>
      <c r="K6" s="123" t="s">
        <v>291</v>
      </c>
      <c r="L6" s="125">
        <f>SUMIF('Datos auxiliares proyectos '!C3:C119,Inicio_Selecc_proyct_HEREVEA_01!L4,'Datos auxiliares proyectos '!D3:D119)</f>
        <v>4440.34</v>
      </c>
      <c r="M6" s="19"/>
      <c r="N6" s="28"/>
      <c r="S6" s="1246"/>
      <c r="T6" s="19"/>
      <c r="U6" s="19"/>
    </row>
    <row r="7" spans="2:21">
      <c r="B7" s="24" t="s">
        <v>165</v>
      </c>
      <c r="C7" s="25" t="s">
        <v>165</v>
      </c>
      <c r="D7" s="71">
        <f>SUMIF('Datos auxiliares proyectos '!$C$122:$DN$122,Inicio_Selecc_proyct_HEREVEA_01!$L$4,'Datos auxiliares proyectos '!C123:DN123)</f>
        <v>0.80259999999999998</v>
      </c>
      <c r="E7" s="39">
        <f>D7*$L$6</f>
        <v>3563.8168839999998</v>
      </c>
      <c r="F7" s="1208"/>
      <c r="G7" s="1180"/>
      <c r="H7" s="1209"/>
      <c r="I7" s="1207"/>
      <c r="J7" s="19"/>
      <c r="K7" s="123" t="s">
        <v>303</v>
      </c>
      <c r="L7" s="124">
        <f>0.09*L5</f>
        <v>196982.14719703843</v>
      </c>
      <c r="M7" s="19"/>
      <c r="S7" s="1246"/>
      <c r="T7" s="19"/>
      <c r="U7" s="19"/>
    </row>
    <row r="8" spans="2:21">
      <c r="B8" s="24" t="s">
        <v>166</v>
      </c>
      <c r="C8" s="25" t="s">
        <v>167</v>
      </c>
      <c r="D8" s="71">
        <f>SUMIF('Datos auxiliares proyectos '!$C$122:$DN$122,Inicio_Selecc_proyct_HEREVEA_01!$L$4,'Datos auxiliares proyectos '!C124:DN124)</f>
        <v>0.09</v>
      </c>
      <c r="E8" s="39">
        <f>D8*$L$6</f>
        <v>399.63060000000002</v>
      </c>
      <c r="F8" s="1208"/>
      <c r="G8" s="1180"/>
      <c r="H8" s="1209"/>
      <c r="I8" s="1207"/>
      <c r="J8" s="19"/>
      <c r="K8" s="123" t="s">
        <v>504</v>
      </c>
      <c r="L8" s="126">
        <f>SUMIF('Datos auxiliares proyectos '!C3:C119,Inicio_Selecc_proyct_HEREVEA_01!L4,'Datos auxiliares proyectos '!H3:H119)</f>
        <v>3</v>
      </c>
      <c r="M8" s="19"/>
      <c r="N8" s="28"/>
      <c r="S8" s="1246"/>
      <c r="T8" s="19"/>
      <c r="U8" s="19"/>
    </row>
    <row r="9" spans="2:21">
      <c r="B9" s="24" t="s">
        <v>168</v>
      </c>
      <c r="C9" s="24" t="s">
        <v>169</v>
      </c>
      <c r="D9" s="71">
        <f>SUMIF('Datos auxiliares proyectos '!$C$122:$DN$122,Inicio_Selecc_proyct_HEREVEA_01!$L$4,'Datos auxiliares proyectos '!C125:DN125)</f>
        <v>1.0032000000000001</v>
      </c>
      <c r="E9" s="39">
        <f>D9*$L$6</f>
        <v>4454.5490880000007</v>
      </c>
      <c r="F9" s="1208"/>
      <c r="G9" s="1180"/>
      <c r="H9" s="1209"/>
      <c r="I9" s="1207"/>
      <c r="J9" s="19"/>
      <c r="K9" s="19"/>
      <c r="L9" s="19"/>
      <c r="M9" s="19"/>
      <c r="S9" s="1246"/>
      <c r="T9" s="19"/>
      <c r="U9" s="19"/>
    </row>
    <row r="10" spans="2:21">
      <c r="B10" s="1217" t="s">
        <v>887</v>
      </c>
      <c r="C10" s="1218"/>
      <c r="D10" s="1218"/>
      <c r="E10" s="1218"/>
      <c r="F10" s="1218"/>
      <c r="G10" s="1218"/>
      <c r="H10" s="1219"/>
      <c r="I10" s="1183"/>
      <c r="S10" s="1246"/>
      <c r="T10" s="19"/>
      <c r="U10" s="19"/>
    </row>
    <row r="11" spans="2:21">
      <c r="B11" s="24" t="s">
        <v>11</v>
      </c>
      <c r="C11" s="24" t="s">
        <v>170</v>
      </c>
      <c r="D11" s="71">
        <f>SUMIF('Datos auxiliares proyectos '!$C$122:$DN$122,Inicio_Selecc_proyct_HEREVEA_01!$L$4,'Datos auxiliares proyectos '!C126:DN126)</f>
        <v>6.97</v>
      </c>
      <c r="E11" s="39">
        <f>D11*$L$6</f>
        <v>30949.1698</v>
      </c>
      <c r="F11" s="1208"/>
      <c r="G11" s="1180"/>
      <c r="H11" s="1209"/>
      <c r="I11" s="1207"/>
      <c r="S11" s="1246"/>
      <c r="T11" s="19"/>
      <c r="U11" s="19"/>
    </row>
    <row r="12" spans="2:21">
      <c r="B12" s="24" t="s">
        <v>14</v>
      </c>
      <c r="C12" s="24" t="s">
        <v>15</v>
      </c>
      <c r="D12" s="71">
        <f>SUMIF('Datos auxiliares proyectos '!$C$122:$DN$122,Inicio_Selecc_proyct_HEREVEA_01!$L$4,'Datos auxiliares proyectos '!C127:DN127)</f>
        <v>0.3</v>
      </c>
      <c r="E12" s="39">
        <f>D12*$L$6</f>
        <v>1332.1020000000001</v>
      </c>
      <c r="F12" s="1180" t="s">
        <v>1426</v>
      </c>
      <c r="G12" s="1180"/>
      <c r="H12" s="1179" t="s">
        <v>1402</v>
      </c>
      <c r="I12" s="4320" t="s">
        <v>1427</v>
      </c>
      <c r="K12" s="101"/>
      <c r="S12" s="1246"/>
      <c r="T12" s="19"/>
      <c r="U12" s="19"/>
    </row>
    <row r="13" spans="2:21">
      <c r="B13" s="24"/>
      <c r="C13" s="24"/>
      <c r="D13" s="71"/>
      <c r="E13" s="39"/>
      <c r="F13" s="1180"/>
      <c r="G13" s="1180"/>
      <c r="H13" s="1179" t="s">
        <v>1401</v>
      </c>
      <c r="I13" s="4321"/>
      <c r="S13" s="1246"/>
      <c r="T13" s="19"/>
      <c r="U13" s="19"/>
    </row>
    <row r="14" spans="2:21">
      <c r="B14" s="24"/>
      <c r="C14" s="24"/>
      <c r="D14" s="71"/>
      <c r="E14" s="39"/>
      <c r="F14" s="1180"/>
      <c r="G14" s="1180"/>
      <c r="H14" s="1179" t="s">
        <v>1403</v>
      </c>
      <c r="I14" s="4322"/>
      <c r="S14" s="1246"/>
      <c r="T14" s="19"/>
      <c r="U14" s="19"/>
    </row>
    <row r="15" spans="2:21">
      <c r="B15" s="24" t="s">
        <v>171</v>
      </c>
      <c r="C15" s="24" t="s">
        <v>172</v>
      </c>
      <c r="D15" s="71">
        <f>SUMIF('Datos auxiliares proyectos '!$C$122:$DN$122,Inicio_Selecc_proyct_HEREVEA_01!$L$4,'Datos auxiliares proyectos '!C128:DN128)</f>
        <v>0.5</v>
      </c>
      <c r="E15" s="39">
        <f>D15*$L$6</f>
        <v>2220.17</v>
      </c>
      <c r="F15" s="1208"/>
      <c r="G15" s="1180"/>
      <c r="H15" s="1209"/>
      <c r="I15" s="1207"/>
      <c r="S15" s="1246"/>
      <c r="T15" s="19"/>
      <c r="U15" s="19"/>
    </row>
    <row r="16" spans="2:21">
      <c r="B16" s="24" t="s">
        <v>173</v>
      </c>
      <c r="C16" s="24" t="s">
        <v>174</v>
      </c>
      <c r="D16" s="71">
        <f>SUMIF('Datos auxiliares proyectos '!$C$122:$DN$122,Inicio_Selecc_proyct_HEREVEA_01!$L$4,'Datos auxiliares proyectos '!C129:DN129)</f>
        <v>0.09</v>
      </c>
      <c r="E16" s="39">
        <f>D16*$L$6</f>
        <v>399.63060000000002</v>
      </c>
      <c r="F16" s="1208"/>
      <c r="G16" s="1180"/>
      <c r="H16" s="1209"/>
      <c r="I16" s="1207"/>
      <c r="S16" s="1246"/>
      <c r="T16" s="19"/>
      <c r="U16" s="19"/>
    </row>
    <row r="17" spans="2:21">
      <c r="B17" s="24" t="s">
        <v>31</v>
      </c>
      <c r="C17" s="24" t="s">
        <v>32</v>
      </c>
      <c r="D17" s="71">
        <f>SUMIF('Datos auxiliares proyectos '!$C$122:$DN$122,Inicio_Selecc_proyct_HEREVEA_01!$L$4,'Datos auxiliares proyectos '!C130:DN130)</f>
        <v>0.01</v>
      </c>
      <c r="E17" s="39">
        <f>D17*$L$6</f>
        <v>44.403400000000005</v>
      </c>
      <c r="F17" s="1208"/>
      <c r="G17" s="1180"/>
      <c r="H17" s="1209"/>
      <c r="I17" s="1207"/>
      <c r="S17" s="1246"/>
      <c r="T17" s="19"/>
      <c r="U17" s="19"/>
    </row>
    <row r="18" spans="2:21">
      <c r="B18" s="24" t="s">
        <v>175</v>
      </c>
      <c r="C18" s="24" t="s">
        <v>176</v>
      </c>
      <c r="D18" s="71">
        <f>SUMIF('Datos auxiliares proyectos '!$C$122:$DN$122,Inicio_Selecc_proyct_HEREVEA_01!$L$4,'Datos auxiliares proyectos '!C131:DN131)</f>
        <v>7.0000000000000007E-2</v>
      </c>
      <c r="E18" s="39">
        <f>D18*$L$6</f>
        <v>310.82380000000006</v>
      </c>
      <c r="F18" s="1208"/>
      <c r="G18" s="1180"/>
      <c r="H18" s="1209"/>
      <c r="I18" s="1207"/>
      <c r="S18" s="1246"/>
      <c r="T18" s="19"/>
      <c r="U18" s="19"/>
    </row>
    <row r="19" spans="2:21">
      <c r="B19" s="1217" t="s">
        <v>888</v>
      </c>
      <c r="C19" s="1218"/>
      <c r="D19" s="1218"/>
      <c r="E19" s="1218"/>
      <c r="F19" s="1218"/>
      <c r="G19" s="1218"/>
      <c r="H19" s="1219"/>
      <c r="I19" s="1183"/>
      <c r="S19" s="1246"/>
      <c r="T19" s="19"/>
      <c r="U19" s="19"/>
    </row>
    <row r="20" spans="2:21" ht="17.25" customHeight="1">
      <c r="B20" s="24" t="s">
        <v>177</v>
      </c>
      <c r="C20" s="24" t="s">
        <v>178</v>
      </c>
      <c r="D20" s="71">
        <f>SUMIF('Datos auxiliares proyectos '!$C$122:$DN$122,Inicio_Selecc_proyct_HEREVEA_01!$L$4,'Datos auxiliares proyectos '!C132:DN132)</f>
        <v>0.01</v>
      </c>
      <c r="E20" s="39">
        <f>D20*$L$6</f>
        <v>44.403400000000005</v>
      </c>
      <c r="F20" s="1180" t="s">
        <v>1432</v>
      </c>
      <c r="G20" s="1180" t="s">
        <v>1431</v>
      </c>
      <c r="H20" s="1179" t="s">
        <v>1402</v>
      </c>
      <c r="I20" s="4320" t="s">
        <v>1470</v>
      </c>
      <c r="S20" s="1246"/>
      <c r="T20" s="19"/>
      <c r="U20" s="19"/>
    </row>
    <row r="21" spans="2:21" ht="13.5" customHeight="1">
      <c r="B21" s="24"/>
      <c r="C21" s="24"/>
      <c r="D21" s="71"/>
      <c r="E21" s="39"/>
      <c r="F21" s="1180"/>
      <c r="G21" s="1180" t="s">
        <v>1430</v>
      </c>
      <c r="H21" s="1179" t="s">
        <v>1401</v>
      </c>
      <c r="I21" s="4321"/>
      <c r="S21" s="1246"/>
      <c r="T21" s="19"/>
      <c r="U21" s="19"/>
    </row>
    <row r="22" spans="2:21" ht="15.75" customHeight="1">
      <c r="B22" s="24"/>
      <c r="C22" s="24"/>
      <c r="D22" s="71"/>
      <c r="E22" s="39"/>
      <c r="F22" s="1180" t="s">
        <v>1400</v>
      </c>
      <c r="G22" s="1180"/>
      <c r="H22" s="1179" t="s">
        <v>1403</v>
      </c>
      <c r="I22" s="4321"/>
      <c r="S22" s="1246"/>
      <c r="T22" s="19"/>
      <c r="U22" s="19"/>
    </row>
    <row r="23" spans="2:21">
      <c r="B23" s="24"/>
      <c r="C23" s="24"/>
      <c r="D23" s="71"/>
      <c r="E23" s="39"/>
      <c r="F23" s="1180" t="s">
        <v>1429</v>
      </c>
      <c r="G23" s="1180"/>
      <c r="H23" s="1179"/>
      <c r="I23" s="4321"/>
      <c r="S23" s="1246"/>
      <c r="T23" s="19"/>
      <c r="U23" s="19"/>
    </row>
    <row r="24" spans="2:21">
      <c r="B24" s="24" t="s">
        <v>179</v>
      </c>
      <c r="C24" s="24" t="s">
        <v>180</v>
      </c>
      <c r="D24" s="71">
        <f>SUMIF('Datos auxiliares proyectos '!$C$122:$DN$122,Inicio_Selecc_proyct_HEREVEA_01!$L$4,'Datos auxiliares proyectos '!C133:DN133)</f>
        <v>0.06</v>
      </c>
      <c r="E24" s="39">
        <f>D24*$L$6</f>
        <v>266.42039999999997</v>
      </c>
      <c r="F24" s="1180" t="s">
        <v>1400</v>
      </c>
      <c r="G24" s="1180" t="s">
        <v>232</v>
      </c>
      <c r="H24" s="1179" t="s">
        <v>1402</v>
      </c>
      <c r="I24" s="4320" t="s">
        <v>1433</v>
      </c>
      <c r="S24" s="1246"/>
      <c r="T24" s="19"/>
      <c r="U24" s="19"/>
    </row>
    <row r="25" spans="2:21">
      <c r="B25" s="24"/>
      <c r="C25" s="24"/>
      <c r="D25" s="71"/>
      <c r="E25" s="39"/>
      <c r="F25" s="1180"/>
      <c r="G25" s="1180" t="s">
        <v>233</v>
      </c>
      <c r="H25" s="1179" t="s">
        <v>1401</v>
      </c>
      <c r="I25" s="4321"/>
      <c r="S25" s="1246"/>
      <c r="T25" s="19"/>
      <c r="U25" s="19"/>
    </row>
    <row r="26" spans="2:21">
      <c r="B26" s="24"/>
      <c r="C26" s="24"/>
      <c r="D26" s="71"/>
      <c r="E26" s="39"/>
      <c r="F26" s="1180"/>
      <c r="G26" s="1180"/>
      <c r="H26" s="1179" t="s">
        <v>1403</v>
      </c>
      <c r="I26" s="4322"/>
      <c r="S26" s="1246"/>
      <c r="T26" s="19"/>
      <c r="U26" s="19"/>
    </row>
    <row r="27" spans="2:21">
      <c r="B27" s="24" t="s">
        <v>181</v>
      </c>
      <c r="C27" s="24" t="s">
        <v>182</v>
      </c>
      <c r="D27" s="71">
        <f>SUMIF('Datos auxiliares proyectos '!$C$122:$DN$122,Inicio_Selecc_proyct_HEREVEA_01!$L$4,'Datos auxiliares proyectos '!C134:DN134)</f>
        <v>0.08</v>
      </c>
      <c r="E27" s="39">
        <f>D27*$L$6</f>
        <v>355.22720000000004</v>
      </c>
      <c r="F27" s="1180" t="s">
        <v>1400</v>
      </c>
      <c r="G27" s="1180" t="s">
        <v>232</v>
      </c>
      <c r="H27" s="1179" t="s">
        <v>1402</v>
      </c>
      <c r="I27" s="1187"/>
      <c r="S27" s="1246"/>
      <c r="T27" s="19"/>
      <c r="U27" s="19"/>
    </row>
    <row r="28" spans="2:21" ht="12.75" customHeight="1">
      <c r="B28" s="1191"/>
      <c r="C28" s="1192"/>
      <c r="D28" s="1171"/>
      <c r="E28" s="1172"/>
      <c r="F28" s="1227"/>
      <c r="G28" s="1180"/>
      <c r="H28" s="1179" t="s">
        <v>1401</v>
      </c>
      <c r="I28" s="1187"/>
      <c r="S28" s="1246"/>
      <c r="T28" s="19"/>
      <c r="U28" s="19"/>
    </row>
    <row r="29" spans="2:21" ht="13.5" customHeight="1">
      <c r="B29" s="1191"/>
      <c r="C29" s="1192"/>
      <c r="D29" s="1171"/>
      <c r="E29" s="1172"/>
      <c r="F29" s="1227"/>
      <c r="G29" s="1180"/>
      <c r="H29" s="1179" t="s">
        <v>1403</v>
      </c>
      <c r="I29" s="1187"/>
      <c r="K29" s="28"/>
      <c r="S29" s="1246"/>
      <c r="T29" s="19"/>
      <c r="U29" s="19"/>
    </row>
    <row r="30" spans="2:21">
      <c r="B30" s="1220" t="s">
        <v>889</v>
      </c>
      <c r="C30" s="1218"/>
      <c r="D30" s="1218"/>
      <c r="E30" s="1218"/>
      <c r="F30" s="1218"/>
      <c r="G30" s="1218"/>
      <c r="H30" s="1219"/>
      <c r="I30" s="1206" t="s">
        <v>1420</v>
      </c>
      <c r="S30" s="1246"/>
      <c r="T30" s="19"/>
      <c r="U30" s="19"/>
    </row>
    <row r="31" spans="2:21">
      <c r="B31" s="24" t="s">
        <v>40</v>
      </c>
      <c r="C31" s="24" t="s">
        <v>41</v>
      </c>
      <c r="D31" s="71">
        <f>SUMIF('Datos auxiliares proyectos '!$C$122:$DN$122,Inicio_Selecc_proyct_HEREVEA_01!$L$4,'Datos auxiliares proyectos '!C135:DN135)</f>
        <v>0</v>
      </c>
      <c r="E31" s="39">
        <f>D31*$L$6</f>
        <v>0</v>
      </c>
      <c r="F31" s="1208" t="s">
        <v>244</v>
      </c>
      <c r="G31" s="1180"/>
      <c r="H31" s="1208" t="s">
        <v>244</v>
      </c>
      <c r="I31" s="4320" t="s">
        <v>1428</v>
      </c>
      <c r="S31" s="1246"/>
      <c r="T31" s="19"/>
      <c r="U31" s="19"/>
    </row>
    <row r="32" spans="2:21">
      <c r="B32" s="24" t="s">
        <v>183</v>
      </c>
      <c r="C32" s="24" t="s">
        <v>184</v>
      </c>
      <c r="D32" s="71">
        <f>SUMIF('Datos auxiliares proyectos '!$C$122:$DN$122,Inicio_Selecc_proyct_HEREVEA_01!$L$4,'Datos auxiliares proyectos '!C136:DN136)</f>
        <v>0.99</v>
      </c>
      <c r="E32" s="39">
        <f>D32*$L$6</f>
        <v>4395.9366</v>
      </c>
      <c r="F32" s="1208" t="s">
        <v>235</v>
      </c>
      <c r="G32" s="1180"/>
      <c r="H32" s="1208" t="s">
        <v>235</v>
      </c>
      <c r="I32" s="4321"/>
      <c r="S32" s="1246"/>
      <c r="T32" s="19"/>
      <c r="U32" s="19"/>
    </row>
    <row r="33" spans="2:21">
      <c r="B33" s="24" t="s">
        <v>50</v>
      </c>
      <c r="C33" s="24" t="s">
        <v>49</v>
      </c>
      <c r="D33" s="71">
        <f>SUMIF('Datos auxiliares proyectos '!$C$122:$DN$122,Inicio_Selecc_proyct_HEREVEA_01!$L$4,'Datos auxiliares proyectos '!C137:DN137)</f>
        <v>10.88</v>
      </c>
      <c r="E33" s="39">
        <f>D33*$L$6</f>
        <v>48310.899200000007</v>
      </c>
      <c r="F33" s="1208" t="s">
        <v>244</v>
      </c>
      <c r="G33" s="1180"/>
      <c r="H33" s="1208" t="s">
        <v>244</v>
      </c>
      <c r="I33" s="4321"/>
      <c r="S33" s="1246"/>
      <c r="T33" s="19"/>
      <c r="U33" s="19"/>
    </row>
    <row r="34" spans="2:21">
      <c r="B34" s="24" t="s">
        <v>185</v>
      </c>
      <c r="C34" s="24" t="s">
        <v>186</v>
      </c>
      <c r="D34" s="71">
        <f>SUMIF('Datos auxiliares proyectos '!$C$122:$DN$122,Inicio_Selecc_proyct_HEREVEA_01!$L$4,'Datos auxiliares proyectos '!C138:DN138)</f>
        <v>0.72</v>
      </c>
      <c r="E34" s="39">
        <f>D34*$L$6</f>
        <v>3197.0448000000001</v>
      </c>
      <c r="F34" s="1208" t="s">
        <v>231</v>
      </c>
      <c r="G34" s="1180"/>
      <c r="H34" s="1208" t="s">
        <v>231</v>
      </c>
      <c r="I34" s="4321"/>
      <c r="S34" s="1246"/>
      <c r="T34" s="19"/>
      <c r="U34" s="19"/>
    </row>
    <row r="35" spans="2:21">
      <c r="B35" s="24" t="s">
        <v>50</v>
      </c>
      <c r="C35" s="24" t="s">
        <v>51</v>
      </c>
      <c r="D35" s="71">
        <f>SUMIF('Datos auxiliares proyectos '!$C$122:$DN$122,Inicio_Selecc_proyct_HEREVEA_01!$L$4,'Datos auxiliares proyectos '!C139:DN139)</f>
        <v>0.09</v>
      </c>
      <c r="E35" s="39">
        <f>D35*$L$6</f>
        <v>399.63060000000002</v>
      </c>
      <c r="F35" s="1208" t="s">
        <v>244</v>
      </c>
      <c r="G35" s="1180"/>
      <c r="H35" s="1208" t="s">
        <v>244</v>
      </c>
      <c r="I35" s="4322"/>
      <c r="S35" s="1246"/>
      <c r="T35" s="19"/>
      <c r="U35" s="19"/>
    </row>
    <row r="36" spans="2:21">
      <c r="B36" s="1217" t="s">
        <v>890</v>
      </c>
      <c r="C36" s="1221"/>
      <c r="D36" s="1221"/>
      <c r="E36" s="1221"/>
      <c r="F36" s="1221"/>
      <c r="G36" s="1221"/>
      <c r="H36" s="1222"/>
      <c r="I36" s="1184"/>
      <c r="S36" s="1246"/>
      <c r="T36" s="19"/>
      <c r="U36" s="19"/>
    </row>
    <row r="37" spans="2:21" ht="18" customHeight="1">
      <c r="B37" s="24" t="s">
        <v>52</v>
      </c>
      <c r="C37" s="24" t="s">
        <v>53</v>
      </c>
      <c r="D37" s="71">
        <f>SUMIF('Datos auxiliares proyectos '!$C$122:$DN$122,Inicio_Selecc_proyct_HEREVEA_01!$L$4,'Datos auxiliares proyectos '!C140:DN140)</f>
        <v>0</v>
      </c>
      <c r="E37" s="39">
        <f>D37*$L$6</f>
        <v>0</v>
      </c>
      <c r="F37" s="1208" t="s">
        <v>244</v>
      </c>
      <c r="G37" s="1208"/>
      <c r="H37" s="1209" t="s">
        <v>244</v>
      </c>
      <c r="I37" s="1206" t="s">
        <v>1420</v>
      </c>
      <c r="S37" s="1246"/>
      <c r="T37" s="19"/>
      <c r="U37" s="19"/>
    </row>
    <row r="38" spans="2:21" ht="63.75" customHeight="1">
      <c r="B38" s="1236" t="s">
        <v>55</v>
      </c>
      <c r="C38" s="1236" t="s">
        <v>56</v>
      </c>
      <c r="D38" s="71">
        <f>SUMIF('Datos auxiliares proyectos '!$C$122:$DN$122,Inicio_Selecc_proyct_HEREVEA_01!$L$4,'Datos auxiliares proyectos '!C141:DN141)</f>
        <v>0.6</v>
      </c>
      <c r="E38" s="39">
        <f>D38*$L$6</f>
        <v>2664.2040000000002</v>
      </c>
      <c r="F38" s="1208" t="s">
        <v>244</v>
      </c>
      <c r="G38" s="1208"/>
      <c r="H38" s="1209" t="s">
        <v>244</v>
      </c>
      <c r="I38" s="1232" t="s">
        <v>1457</v>
      </c>
      <c r="S38" s="1246"/>
      <c r="T38" s="19"/>
      <c r="U38" s="19"/>
    </row>
    <row r="39" spans="2:21" ht="15" customHeight="1">
      <c r="B39" s="24" t="s">
        <v>187</v>
      </c>
      <c r="C39" s="24" t="s">
        <v>188</v>
      </c>
      <c r="D39" s="71">
        <f>SUMIF('Datos auxiliares proyectos '!$C$122:$DN$122,Inicio_Selecc_proyct_HEREVEA_01!$L$4,'Datos auxiliares proyectos '!C142:DN142)</f>
        <v>0.67</v>
      </c>
      <c r="E39" s="39">
        <f>D39*$L$6</f>
        <v>2975.0278000000003</v>
      </c>
      <c r="F39" s="1180" t="s">
        <v>1439</v>
      </c>
      <c r="G39" s="1228"/>
      <c r="H39" s="1179" t="s">
        <v>1402</v>
      </c>
      <c r="I39" s="5030" t="s">
        <v>1446</v>
      </c>
      <c r="S39" s="1246"/>
      <c r="T39" s="19"/>
      <c r="U39" s="19"/>
    </row>
    <row r="40" spans="2:21" ht="15" customHeight="1">
      <c r="B40" s="24"/>
      <c r="C40" s="24"/>
      <c r="D40" s="71"/>
      <c r="E40" s="39"/>
      <c r="F40" s="1180"/>
      <c r="G40" s="1228"/>
      <c r="H40" s="1179" t="s">
        <v>1401</v>
      </c>
      <c r="I40" s="5030"/>
      <c r="S40" s="1246"/>
      <c r="T40" s="19"/>
      <c r="U40" s="19"/>
    </row>
    <row r="41" spans="2:21">
      <c r="B41" s="24"/>
      <c r="C41" s="24"/>
      <c r="D41" s="71"/>
      <c r="E41" s="39"/>
      <c r="F41" s="1180"/>
      <c r="G41" s="1228"/>
      <c r="H41" s="1179" t="s">
        <v>1403</v>
      </c>
      <c r="I41" s="5030"/>
      <c r="S41" s="1246"/>
      <c r="T41" s="19"/>
      <c r="U41" s="19"/>
    </row>
    <row r="42" spans="2:21" ht="16.5" customHeight="1">
      <c r="B42" s="24"/>
      <c r="C42" s="24"/>
      <c r="D42" s="71"/>
      <c r="E42" s="39"/>
      <c r="F42" s="1180" t="s">
        <v>1443</v>
      </c>
      <c r="G42" s="1180" t="s">
        <v>1440</v>
      </c>
      <c r="H42" s="1179" t="s">
        <v>1437</v>
      </c>
      <c r="I42" s="5030"/>
      <c r="S42" s="1246"/>
      <c r="T42" s="19"/>
      <c r="U42" s="19"/>
    </row>
    <row r="43" spans="2:21" ht="16.5" customHeight="1">
      <c r="B43" s="24"/>
      <c r="C43" s="24"/>
      <c r="D43" s="71"/>
      <c r="E43" s="39"/>
      <c r="F43" s="1180"/>
      <c r="G43" s="1239" t="s">
        <v>1471</v>
      </c>
      <c r="H43" s="1179" t="s">
        <v>1438</v>
      </c>
      <c r="I43" s="5030"/>
      <c r="S43" s="1246"/>
      <c r="T43" s="19"/>
      <c r="U43" s="19"/>
    </row>
    <row r="44" spans="2:21" ht="44.25" customHeight="1">
      <c r="B44" s="1231" t="s">
        <v>58</v>
      </c>
      <c r="C44" s="1231" t="s">
        <v>59</v>
      </c>
      <c r="D44" s="1233">
        <f>SUMIF('Datos auxiliares proyectos '!$C$122:$DN$122,Inicio_Selecc_proyct_HEREVEA_01!$L$4,'Datos auxiliares proyectos '!C143:DN143)</f>
        <v>0.73</v>
      </c>
      <c r="E44" s="1234">
        <f>D44*$L$6</f>
        <v>3241.4481999999998</v>
      </c>
      <c r="F44" s="1208" t="s">
        <v>244</v>
      </c>
      <c r="G44" s="1208"/>
      <c r="H44" s="1209" t="s">
        <v>244</v>
      </c>
      <c r="I44" s="1232" t="s">
        <v>1436</v>
      </c>
      <c r="S44" s="1246"/>
      <c r="T44" s="19"/>
      <c r="U44" s="19"/>
    </row>
    <row r="45" spans="2:21" ht="15.75" customHeight="1">
      <c r="B45" s="1230" t="s">
        <v>60</v>
      </c>
      <c r="C45" s="1230" t="s">
        <v>189</v>
      </c>
      <c r="D45" s="71">
        <f>SUMIF('Datos auxiliares proyectos '!$C$122:$DN$122,Inicio_Selecc_proyct_HEREVEA_01!$L$4,'Datos auxiliares proyectos '!C144:DN144)</f>
        <v>0.28000000000000003</v>
      </c>
      <c r="E45" s="39">
        <f>D45*$L$6</f>
        <v>1243.2952000000002</v>
      </c>
      <c r="F45" s="1180" t="s">
        <v>1439</v>
      </c>
      <c r="G45" s="1228"/>
      <c r="H45" s="1179" t="s">
        <v>1402</v>
      </c>
      <c r="I45" s="4320" t="s">
        <v>1447</v>
      </c>
      <c r="S45" s="1246"/>
      <c r="T45" s="19"/>
      <c r="U45" s="19"/>
    </row>
    <row r="46" spans="2:21">
      <c r="B46" s="1235" t="s">
        <v>1449</v>
      </c>
      <c r="C46" s="1235" t="s">
        <v>1451</v>
      </c>
      <c r="D46" s="71"/>
      <c r="E46" s="1172"/>
      <c r="F46" s="1180"/>
      <c r="G46" s="1228"/>
      <c r="H46" s="1179" t="s">
        <v>1401</v>
      </c>
      <c r="I46" s="4321"/>
      <c r="S46" s="1246"/>
      <c r="T46" s="19"/>
      <c r="U46" s="19"/>
    </row>
    <row r="47" spans="2:21">
      <c r="B47" s="1235" t="s">
        <v>1450</v>
      </c>
      <c r="C47" s="1235" t="s">
        <v>1452</v>
      </c>
      <c r="D47" s="71"/>
      <c r="E47" s="1172"/>
      <c r="F47" s="1180"/>
      <c r="G47" s="1228"/>
      <c r="H47" s="1179" t="s">
        <v>1403</v>
      </c>
      <c r="I47" s="4321"/>
      <c r="S47" s="1246"/>
      <c r="T47" s="19"/>
      <c r="U47" s="19"/>
    </row>
    <row r="48" spans="2:21">
      <c r="B48" s="1230"/>
      <c r="C48" s="1230"/>
      <c r="D48" s="71"/>
      <c r="E48" s="1172"/>
      <c r="F48" s="1180" t="s">
        <v>1443</v>
      </c>
      <c r="G48" s="1180" t="s">
        <v>1440</v>
      </c>
      <c r="H48" s="1179" t="s">
        <v>1437</v>
      </c>
      <c r="I48" s="4321"/>
      <c r="S48" s="1246"/>
      <c r="T48" s="19"/>
      <c r="U48" s="19"/>
    </row>
    <row r="49" spans="2:21" ht="31.5" customHeight="1">
      <c r="B49" s="1230"/>
      <c r="C49" s="1230"/>
      <c r="D49" s="71"/>
      <c r="E49" s="1172"/>
      <c r="F49" s="1180"/>
      <c r="G49" s="1239" t="s">
        <v>1472</v>
      </c>
      <c r="H49" s="1179" t="s">
        <v>1438</v>
      </c>
      <c r="I49" s="4321"/>
      <c r="S49" s="1246"/>
      <c r="T49" s="19"/>
      <c r="U49" s="19"/>
    </row>
    <row r="50" spans="2:21">
      <c r="B50" s="1230"/>
      <c r="C50" s="1230"/>
      <c r="D50" s="71"/>
      <c r="E50" s="1172"/>
      <c r="F50" s="1180" t="s">
        <v>1444</v>
      </c>
      <c r="G50" s="1180" t="s">
        <v>1442</v>
      </c>
      <c r="H50" s="1179" t="s">
        <v>1402</v>
      </c>
      <c r="I50" s="4321"/>
      <c r="S50" s="1246"/>
      <c r="T50" s="19"/>
      <c r="U50" s="19"/>
    </row>
    <row r="51" spans="2:21">
      <c r="B51" s="1230"/>
      <c r="C51" s="1230"/>
      <c r="D51" s="71"/>
      <c r="E51" s="1172"/>
      <c r="F51" s="1180"/>
      <c r="G51" s="1193"/>
      <c r="H51" s="1179" t="s">
        <v>1401</v>
      </c>
      <c r="I51" s="4321"/>
      <c r="S51" s="1246"/>
      <c r="T51" s="19"/>
      <c r="U51" s="19"/>
    </row>
    <row r="52" spans="2:21">
      <c r="B52" s="1230"/>
      <c r="C52" s="1230"/>
      <c r="D52" s="71"/>
      <c r="E52" s="1172"/>
      <c r="F52" s="1180"/>
      <c r="G52" s="1193"/>
      <c r="H52" s="1179" t="s">
        <v>1403</v>
      </c>
      <c r="I52" s="4322"/>
      <c r="S52" s="1246"/>
      <c r="T52" s="19"/>
      <c r="U52" s="19"/>
    </row>
    <row r="53" spans="2:21">
      <c r="B53" s="1231" t="s">
        <v>1434</v>
      </c>
      <c r="C53" s="1231" t="s">
        <v>1435</v>
      </c>
      <c r="D53" s="1229">
        <f>D44</f>
        <v>0.73</v>
      </c>
      <c r="E53" s="1172">
        <f>E44</f>
        <v>3241.4481999999998</v>
      </c>
      <c r="F53" s="1180" t="s">
        <v>1439</v>
      </c>
      <c r="G53" s="1228"/>
      <c r="H53" s="1179" t="s">
        <v>1402</v>
      </c>
      <c r="I53" s="5030" t="s">
        <v>1441</v>
      </c>
      <c r="S53" s="1246"/>
      <c r="T53" s="19"/>
      <c r="U53" s="19"/>
    </row>
    <row r="54" spans="2:21">
      <c r="B54" s="1191" t="s">
        <v>1453</v>
      </c>
      <c r="C54" s="1231" t="s">
        <v>1455</v>
      </c>
      <c r="D54" s="1171"/>
      <c r="E54" s="1172"/>
      <c r="F54" s="1180"/>
      <c r="G54" s="1228"/>
      <c r="H54" s="1179" t="s">
        <v>1401</v>
      </c>
      <c r="I54" s="5030"/>
      <c r="S54" s="1246"/>
      <c r="T54" s="19"/>
      <c r="U54" s="19"/>
    </row>
    <row r="55" spans="2:21">
      <c r="B55" s="1191" t="s">
        <v>1454</v>
      </c>
      <c r="C55" s="1231" t="s">
        <v>1456</v>
      </c>
      <c r="D55" s="1171"/>
      <c r="E55" s="1172"/>
      <c r="F55" s="1180"/>
      <c r="G55" s="1228"/>
      <c r="H55" s="1179" t="s">
        <v>1403</v>
      </c>
      <c r="I55" s="5030"/>
      <c r="S55" s="1246"/>
      <c r="T55" s="19"/>
      <c r="U55" s="19"/>
    </row>
    <row r="56" spans="2:21">
      <c r="B56" s="1191"/>
      <c r="C56" s="1192"/>
      <c r="D56" s="1171"/>
      <c r="E56" s="1172"/>
      <c r="F56" s="1180" t="s">
        <v>1443</v>
      </c>
      <c r="G56" s="1180" t="s">
        <v>1440</v>
      </c>
      <c r="H56" s="1179" t="s">
        <v>1437</v>
      </c>
      <c r="I56" s="5030"/>
      <c r="S56" s="1246"/>
      <c r="T56" s="19"/>
      <c r="U56" s="19"/>
    </row>
    <row r="57" spans="2:21" ht="33" customHeight="1">
      <c r="B57" s="1191"/>
      <c r="C57" s="1192"/>
      <c r="D57" s="1171"/>
      <c r="E57" s="1172"/>
      <c r="F57" s="1180"/>
      <c r="G57" s="1239" t="s">
        <v>1472</v>
      </c>
      <c r="H57" s="1179" t="s">
        <v>1438</v>
      </c>
      <c r="I57" s="5030"/>
      <c r="S57" s="1246"/>
      <c r="T57" s="19"/>
      <c r="U57" s="19"/>
    </row>
    <row r="58" spans="2:21" ht="15.75" customHeight="1">
      <c r="B58" s="1191"/>
      <c r="C58" s="1192"/>
      <c r="D58" s="1171"/>
      <c r="E58" s="1172"/>
      <c r="F58" s="1180" t="s">
        <v>1444</v>
      </c>
      <c r="G58" s="1180" t="s">
        <v>1442</v>
      </c>
      <c r="H58" s="1179" t="s">
        <v>1402</v>
      </c>
      <c r="I58" s="5030" t="s">
        <v>1448</v>
      </c>
      <c r="S58" s="1246"/>
      <c r="T58" s="19"/>
      <c r="U58" s="19"/>
    </row>
    <row r="59" spans="2:21" ht="27.75" customHeight="1">
      <c r="B59" s="1191"/>
      <c r="C59" s="1192"/>
      <c r="D59" s="1171"/>
      <c r="E59" s="1172"/>
      <c r="F59" s="1180"/>
      <c r="G59" s="1239" t="s">
        <v>1445</v>
      </c>
      <c r="H59" s="1179" t="s">
        <v>1401</v>
      </c>
      <c r="I59" s="5030"/>
      <c r="S59" s="961"/>
      <c r="T59" s="19"/>
      <c r="U59" s="19"/>
    </row>
    <row r="60" spans="2:21">
      <c r="B60" s="1191"/>
      <c r="C60" s="1192"/>
      <c r="D60" s="1171"/>
      <c r="E60" s="1172"/>
      <c r="F60" s="1227"/>
      <c r="G60" s="1193"/>
      <c r="H60" s="1179" t="s">
        <v>1403</v>
      </c>
      <c r="I60" s="5030"/>
      <c r="S60" s="961"/>
      <c r="T60" s="19"/>
      <c r="U60" s="19"/>
    </row>
    <row r="61" spans="2:21" ht="19.5" customHeight="1">
      <c r="B61" s="1217" t="s">
        <v>891</v>
      </c>
      <c r="C61" s="1218"/>
      <c r="D61" s="1218"/>
      <c r="E61" s="1218"/>
      <c r="F61" s="1218"/>
      <c r="G61" s="1218"/>
      <c r="H61" s="1237"/>
      <c r="I61" s="4320" t="s">
        <v>1462</v>
      </c>
      <c r="S61" s="961"/>
      <c r="T61" s="19"/>
      <c r="U61" s="19"/>
    </row>
    <row r="62" spans="2:21">
      <c r="B62" s="24" t="s">
        <v>190</v>
      </c>
      <c r="C62" s="24" t="s">
        <v>191</v>
      </c>
      <c r="D62" s="71">
        <f>SUMIF('Datos auxiliares proyectos '!$C$122:$DN$122,Inicio_Selecc_proyct_HEREVEA_01!$L$4,'Datos auxiliares proyectos '!C145:DN145)</f>
        <v>0.28999999999999998</v>
      </c>
      <c r="E62" s="39">
        <f>D62*$L$6</f>
        <v>1287.6985999999999</v>
      </c>
      <c r="F62" s="1180"/>
      <c r="G62" s="1180"/>
      <c r="H62" s="1179"/>
      <c r="I62" s="4322"/>
      <c r="S62" s="961"/>
      <c r="T62" s="19"/>
      <c r="U62" s="19"/>
    </row>
    <row r="63" spans="2:21" ht="21.75" customHeight="1">
      <c r="B63" s="24" t="s">
        <v>1458</v>
      </c>
      <c r="C63" s="24" t="s">
        <v>1460</v>
      </c>
      <c r="D63" s="71">
        <f>D62</f>
        <v>0.28999999999999998</v>
      </c>
      <c r="E63" s="39">
        <f>E62</f>
        <v>1287.6985999999999</v>
      </c>
      <c r="F63" s="1180" t="s">
        <v>1463</v>
      </c>
      <c r="G63" s="1180" t="s">
        <v>1466</v>
      </c>
      <c r="H63" s="1179"/>
      <c r="I63" s="4320"/>
      <c r="S63" s="961"/>
      <c r="T63" s="19"/>
      <c r="U63" s="19"/>
    </row>
    <row r="64" spans="2:21" ht="39.75" customHeight="1">
      <c r="B64" s="24"/>
      <c r="C64" s="24"/>
      <c r="D64" s="71"/>
      <c r="E64" s="39"/>
      <c r="F64" s="1180"/>
      <c r="G64" s="1239" t="s">
        <v>1467</v>
      </c>
      <c r="H64" s="1179"/>
      <c r="I64" s="4322"/>
      <c r="S64" s="961"/>
      <c r="T64" s="19"/>
      <c r="U64" s="19"/>
    </row>
    <row r="65" spans="2:21">
      <c r="B65" s="24" t="s">
        <v>1459</v>
      </c>
      <c r="C65" s="24" t="s">
        <v>1461</v>
      </c>
      <c r="D65" s="71">
        <f>D63</f>
        <v>0.28999999999999998</v>
      </c>
      <c r="E65" s="39">
        <f>E63</f>
        <v>1287.6985999999999</v>
      </c>
      <c r="F65" s="1180" t="s">
        <v>1464</v>
      </c>
      <c r="G65" s="1180"/>
      <c r="H65" s="1179" t="s">
        <v>1402</v>
      </c>
      <c r="S65" s="961"/>
      <c r="T65" s="19"/>
      <c r="U65" s="19"/>
    </row>
    <row r="66" spans="2:21">
      <c r="B66" s="24"/>
      <c r="C66" s="24"/>
      <c r="D66" s="71"/>
      <c r="E66" s="39"/>
      <c r="F66" s="1180" t="s">
        <v>1465</v>
      </c>
      <c r="G66" s="1180"/>
      <c r="H66" s="1179" t="s">
        <v>1401</v>
      </c>
      <c r="I66" s="1207"/>
      <c r="S66" s="961"/>
      <c r="T66" s="19"/>
      <c r="U66" s="19"/>
    </row>
    <row r="67" spans="2:21">
      <c r="B67" s="24"/>
      <c r="C67" s="24"/>
      <c r="D67" s="71"/>
      <c r="E67" s="39"/>
      <c r="F67" s="1180"/>
      <c r="G67" s="1180"/>
      <c r="H67" s="1179" t="s">
        <v>1403</v>
      </c>
      <c r="I67" s="1207"/>
      <c r="J67" s="598"/>
      <c r="K67" s="961"/>
      <c r="L67" s="598"/>
      <c r="S67" s="961"/>
      <c r="T67" s="19"/>
      <c r="U67" s="19"/>
    </row>
    <row r="68" spans="2:21">
      <c r="B68" s="24" t="s">
        <v>192</v>
      </c>
      <c r="C68" s="24" t="s">
        <v>193</v>
      </c>
      <c r="D68" s="71">
        <f>SUMIF('Datos auxiliares proyectos '!$C$122:$DN$122,Inicio_Selecc_proyct_HEREVEA_01!$L$4,'Datos auxiliares proyectos '!C146:DN146)</f>
        <v>0</v>
      </c>
      <c r="E68" s="39">
        <f>D68*$L$6</f>
        <v>0</v>
      </c>
      <c r="F68" s="1180" t="s">
        <v>1463</v>
      </c>
      <c r="G68" s="1180" t="s">
        <v>1466</v>
      </c>
      <c r="H68" s="1179"/>
      <c r="I68" s="4320" t="s">
        <v>1469</v>
      </c>
      <c r="J68" s="598"/>
      <c r="K68" s="961"/>
      <c r="L68" s="598"/>
      <c r="S68" s="961"/>
      <c r="T68" s="19"/>
      <c r="U68" s="19"/>
    </row>
    <row r="69" spans="2:21" ht="29">
      <c r="B69" s="1191"/>
      <c r="C69" s="1192"/>
      <c r="D69" s="1171"/>
      <c r="E69" s="1172"/>
      <c r="F69" s="1180"/>
      <c r="G69" s="1239" t="s">
        <v>1467</v>
      </c>
      <c r="H69" s="1179"/>
      <c r="I69" s="4321"/>
      <c r="J69" s="16"/>
      <c r="K69" s="16"/>
      <c r="L69" s="16"/>
      <c r="S69" s="961"/>
      <c r="T69" s="19"/>
      <c r="U69" s="19"/>
    </row>
    <row r="70" spans="2:21">
      <c r="B70" s="1191"/>
      <c r="C70" s="1192"/>
      <c r="D70" s="1171"/>
      <c r="E70" s="1172"/>
      <c r="F70" s="1180" t="s">
        <v>1465</v>
      </c>
      <c r="G70" s="1180"/>
      <c r="H70" s="1179" t="s">
        <v>1402</v>
      </c>
      <c r="I70" s="4321"/>
      <c r="S70" s="961"/>
      <c r="T70" s="19"/>
      <c r="U70" s="19"/>
    </row>
    <row r="71" spans="2:21">
      <c r="B71" s="1191"/>
      <c r="C71" s="1192"/>
      <c r="D71" s="1171"/>
      <c r="E71" s="1172"/>
      <c r="F71" s="1180" t="s">
        <v>1468</v>
      </c>
      <c r="G71" s="1180"/>
      <c r="H71" s="1179" t="s">
        <v>1401</v>
      </c>
      <c r="I71" s="4321"/>
      <c r="S71" s="961"/>
      <c r="T71" s="19"/>
      <c r="U71" s="19"/>
    </row>
    <row r="72" spans="2:21">
      <c r="B72" s="1191"/>
      <c r="C72" s="1192"/>
      <c r="D72" s="1171"/>
      <c r="E72" s="1172"/>
      <c r="F72" s="1180"/>
      <c r="G72" s="1180"/>
      <c r="H72" s="1179" t="s">
        <v>1403</v>
      </c>
      <c r="I72" s="4322"/>
      <c r="S72" s="961"/>
      <c r="T72" s="19"/>
      <c r="U72" s="19"/>
    </row>
    <row r="73" spans="2:21">
      <c r="B73" s="1191"/>
      <c r="C73" s="1192"/>
      <c r="D73" s="1171"/>
      <c r="E73" s="1172"/>
      <c r="F73" s="1193"/>
      <c r="G73" s="1193"/>
      <c r="H73" s="1226"/>
      <c r="I73" s="1207"/>
      <c r="S73" s="961"/>
      <c r="T73" s="19"/>
      <c r="U73" s="19"/>
    </row>
    <row r="74" spans="2:21">
      <c r="B74" s="1217" t="s">
        <v>892</v>
      </c>
      <c r="C74" s="1221"/>
      <c r="D74" s="1221"/>
      <c r="E74" s="1221"/>
      <c r="F74" s="1221"/>
      <c r="G74" s="1221"/>
      <c r="H74" s="1222"/>
      <c r="I74" s="22"/>
      <c r="S74" s="961"/>
      <c r="T74" s="19"/>
      <c r="U74" s="19"/>
    </row>
    <row r="75" spans="2:21">
      <c r="B75" s="1176" t="s">
        <v>69</v>
      </c>
      <c r="C75" s="1176" t="s">
        <v>70</v>
      </c>
      <c r="D75" s="1177">
        <f>SUMIF('Datos auxiliares proyectos '!$C$122:$DN$122,Inicio_Selecc_proyct_HEREVEA_01!$L$4,'Datos auxiliares proyectos '!C147:DN147)</f>
        <v>0.01</v>
      </c>
      <c r="E75" s="1177">
        <f>D75*$L$6</f>
        <v>44.403400000000005</v>
      </c>
      <c r="F75" s="1210" t="s">
        <v>244</v>
      </c>
      <c r="G75" s="1182"/>
      <c r="H75" s="1211" t="s">
        <v>244</v>
      </c>
      <c r="I75" s="1238"/>
      <c r="S75" s="961"/>
      <c r="T75" s="19"/>
      <c r="U75" s="19"/>
    </row>
    <row r="76" spans="2:21">
      <c r="B76" s="1176" t="s">
        <v>194</v>
      </c>
      <c r="C76" s="1176" t="s">
        <v>195</v>
      </c>
      <c r="D76" s="1177">
        <f>SUMIF('Datos auxiliares proyectos '!$C$122:$DN$122,Inicio_Selecc_proyct_HEREVEA_01!$L$4,'Datos auxiliares proyectos '!C148:DN148)</f>
        <v>0</v>
      </c>
      <c r="E76" s="1177">
        <f>D76*$L$6</f>
        <v>0</v>
      </c>
      <c r="F76" s="1210"/>
      <c r="G76" s="1182"/>
      <c r="H76" s="1211"/>
      <c r="I76" s="1238"/>
      <c r="J76" s="16"/>
      <c r="K76" s="16"/>
      <c r="S76" s="961"/>
      <c r="T76" s="19"/>
      <c r="U76" s="19"/>
    </row>
    <row r="77" spans="2:21">
      <c r="B77" s="1176" t="s">
        <v>71</v>
      </c>
      <c r="C77" s="1176" t="s">
        <v>72</v>
      </c>
      <c r="D77" s="1177">
        <f>SUMIF('Datos auxiliares proyectos '!$C$122:$DN$122,Inicio_Selecc_proyct_HEREVEA_01!$L$4,'Datos auxiliares proyectos '!C149:DN149)</f>
        <v>0.02</v>
      </c>
      <c r="E77" s="1177">
        <f>D77*$L$6</f>
        <v>88.80680000000001</v>
      </c>
      <c r="F77" s="1210" t="s">
        <v>244</v>
      </c>
      <c r="G77" s="1182"/>
      <c r="H77" s="1211" t="s">
        <v>244</v>
      </c>
      <c r="I77" s="1238"/>
      <c r="J77" s="16"/>
      <c r="K77" s="16"/>
      <c r="S77" s="961"/>
      <c r="T77" s="19"/>
      <c r="U77" s="19"/>
    </row>
    <row r="78" spans="2:21">
      <c r="B78" s="24" t="s">
        <v>74</v>
      </c>
      <c r="C78" s="24" t="s">
        <v>75</v>
      </c>
      <c r="D78" s="71">
        <f>SUMIF('Datos auxiliares proyectos '!$C$122:$DN$122,Inicio_Selecc_proyct_HEREVEA_01!$L$4,'Datos auxiliares proyectos '!C150:DN150)</f>
        <v>0.62</v>
      </c>
      <c r="E78" s="39">
        <f>D78*$L$6</f>
        <v>2753.0108</v>
      </c>
      <c r="F78" s="1180" t="s">
        <v>1400</v>
      </c>
      <c r="G78" s="1180"/>
      <c r="H78" s="1179" t="s">
        <v>1402</v>
      </c>
      <c r="I78" s="4320" t="s">
        <v>1423</v>
      </c>
      <c r="J78" s="598"/>
      <c r="K78" s="16"/>
      <c r="S78" s="961"/>
      <c r="T78" s="19"/>
      <c r="U78" s="19"/>
    </row>
    <row r="79" spans="2:21">
      <c r="B79" s="24"/>
      <c r="C79" s="24"/>
      <c r="D79" s="71"/>
      <c r="E79" s="39"/>
      <c r="F79" s="1180"/>
      <c r="G79" s="1180"/>
      <c r="H79" s="1179" t="s">
        <v>1401</v>
      </c>
      <c r="I79" s="4321"/>
      <c r="J79" s="598"/>
      <c r="K79" s="16"/>
      <c r="S79" s="961"/>
      <c r="T79" s="19"/>
      <c r="U79" s="19"/>
    </row>
    <row r="80" spans="2:21">
      <c r="B80" s="24"/>
      <c r="C80" s="24"/>
      <c r="D80" s="71"/>
      <c r="E80" s="39"/>
      <c r="F80" s="1180"/>
      <c r="G80" s="1180"/>
      <c r="H80" s="1179" t="s">
        <v>1403</v>
      </c>
      <c r="I80" s="4322"/>
      <c r="S80" s="961"/>
      <c r="T80" s="19"/>
      <c r="U80" s="19"/>
    </row>
    <row r="81" spans="2:23">
      <c r="B81" s="24" t="s">
        <v>196</v>
      </c>
      <c r="C81" s="24" t="s">
        <v>197</v>
      </c>
      <c r="D81" s="71">
        <f>SUMIF('Datos auxiliares proyectos '!$C$122:$DN$122,Inicio_Selecc_proyct_HEREVEA_01!$L$4,'Datos auxiliares proyectos '!C151:DN151)</f>
        <v>0.11</v>
      </c>
      <c r="E81" s="39">
        <f>D81*$L$6</f>
        <v>488.43740000000003</v>
      </c>
      <c r="F81" s="1180" t="s">
        <v>1400</v>
      </c>
      <c r="G81" s="1180"/>
      <c r="H81" s="1179" t="s">
        <v>1402</v>
      </c>
      <c r="I81" s="4320" t="s">
        <v>1476</v>
      </c>
      <c r="S81" s="961"/>
      <c r="T81" s="19"/>
      <c r="U81" s="19"/>
    </row>
    <row r="82" spans="2:23">
      <c r="B82" s="24"/>
      <c r="C82" s="24"/>
      <c r="D82" s="71"/>
      <c r="E82" s="39"/>
      <c r="F82" s="1180"/>
      <c r="G82" s="1180"/>
      <c r="H82" s="1179" t="s">
        <v>1401</v>
      </c>
      <c r="I82" s="4321"/>
      <c r="J82" s="961"/>
      <c r="K82" s="448"/>
      <c r="L82" s="961"/>
      <c r="M82" s="448"/>
      <c r="S82" s="961"/>
      <c r="T82" s="19"/>
      <c r="U82" s="19"/>
    </row>
    <row r="83" spans="2:23" ht="15.75" customHeight="1">
      <c r="B83" s="24"/>
      <c r="C83" s="24"/>
      <c r="D83" s="71"/>
      <c r="E83" s="39"/>
      <c r="F83" s="1180"/>
      <c r="G83" s="1180"/>
      <c r="H83" s="1179" t="s">
        <v>1403</v>
      </c>
      <c r="I83" s="4322"/>
      <c r="J83" s="961"/>
      <c r="K83" s="448"/>
      <c r="L83" s="961"/>
      <c r="M83" s="448"/>
      <c r="S83" s="961"/>
      <c r="T83" s="19"/>
      <c r="U83" s="19"/>
    </row>
    <row r="84" spans="2:23" ht="19.5" customHeight="1">
      <c r="B84" s="24" t="s">
        <v>78</v>
      </c>
      <c r="C84" s="24" t="s">
        <v>79</v>
      </c>
      <c r="D84" s="71">
        <f>SUMIF('Datos auxiliares proyectos '!$C$122:$DN$122,Inicio_Selecc_proyct_HEREVEA_01!$L$4,'Datos auxiliares proyectos '!C152:DN152)</f>
        <v>0.12</v>
      </c>
      <c r="E84" s="39">
        <f>D84*$L$6</f>
        <v>532.84079999999994</v>
      </c>
      <c r="F84" s="1180" t="s">
        <v>1400</v>
      </c>
      <c r="G84" s="1180"/>
      <c r="H84" s="1179" t="s">
        <v>1402</v>
      </c>
      <c r="I84" s="1186"/>
      <c r="J84" s="961"/>
      <c r="K84" s="448"/>
      <c r="L84" s="961"/>
      <c r="M84" s="448"/>
      <c r="S84" s="961"/>
      <c r="T84" s="19"/>
      <c r="U84" s="19"/>
    </row>
    <row r="85" spans="2:23">
      <c r="B85" s="24"/>
      <c r="C85" s="24"/>
      <c r="D85" s="71"/>
      <c r="E85" s="39"/>
      <c r="F85" s="1180"/>
      <c r="G85" s="1180"/>
      <c r="H85" s="1179" t="s">
        <v>1401</v>
      </c>
      <c r="I85" s="1187"/>
      <c r="J85" s="961"/>
      <c r="K85" s="448"/>
      <c r="L85" s="961"/>
      <c r="M85" s="448"/>
      <c r="S85" s="961"/>
      <c r="T85" s="19"/>
      <c r="U85" s="19"/>
    </row>
    <row r="86" spans="2:23">
      <c r="B86" s="24"/>
      <c r="C86" s="24"/>
      <c r="D86" s="71"/>
      <c r="E86" s="39"/>
      <c r="F86" s="1180"/>
      <c r="G86" s="1180"/>
      <c r="H86" s="1179" t="s">
        <v>1403</v>
      </c>
      <c r="I86" s="1188"/>
      <c r="J86" s="448"/>
      <c r="K86" s="961"/>
      <c r="L86" s="448"/>
      <c r="S86" s="961"/>
      <c r="T86" s="19"/>
      <c r="U86" s="19"/>
      <c r="W86" s="19"/>
    </row>
    <row r="87" spans="2:23" ht="14.25" customHeight="1">
      <c r="B87" s="24" t="s">
        <v>82</v>
      </c>
      <c r="C87" s="24" t="s">
        <v>83</v>
      </c>
      <c r="D87" s="71">
        <f>SUMIF('Datos auxiliares proyectos '!$C$122:$DN$122,Inicio_Selecc_proyct_HEREVEA_01!$L$4,'Datos auxiliares proyectos '!C153:DN153)</f>
        <v>0.19</v>
      </c>
      <c r="E87" s="39">
        <f>D87*$L$6</f>
        <v>843.66460000000006</v>
      </c>
      <c r="F87" s="1180" t="s">
        <v>1400</v>
      </c>
      <c r="G87" s="1180"/>
      <c r="H87" s="1179" t="s">
        <v>1402</v>
      </c>
      <c r="I87" s="1186"/>
      <c r="S87" s="19"/>
      <c r="T87" s="19"/>
      <c r="U87" s="19"/>
    </row>
    <row r="88" spans="2:23" ht="14.25" customHeight="1">
      <c r="B88" s="24"/>
      <c r="C88" s="24"/>
      <c r="D88" s="71"/>
      <c r="E88" s="39"/>
      <c r="F88" s="1180"/>
      <c r="G88" s="1180"/>
      <c r="H88" s="1179" t="s">
        <v>1401</v>
      </c>
      <c r="I88" s="1187"/>
      <c r="S88" s="19"/>
      <c r="T88" s="19"/>
      <c r="U88" s="19"/>
    </row>
    <row r="89" spans="2:23">
      <c r="B89" s="24"/>
      <c r="C89" s="24"/>
      <c r="D89" s="71"/>
      <c r="E89" s="39"/>
      <c r="F89" s="1180"/>
      <c r="G89" s="1180"/>
      <c r="H89" s="1179" t="s">
        <v>1403</v>
      </c>
      <c r="I89" s="1188"/>
      <c r="S89" s="19"/>
      <c r="T89" s="19"/>
      <c r="U89" s="19"/>
    </row>
    <row r="90" spans="2:23" ht="16.5" customHeight="1">
      <c r="B90" s="24" t="s">
        <v>85</v>
      </c>
      <c r="C90" s="24" t="s">
        <v>86</v>
      </c>
      <c r="D90" s="71">
        <f>SUMIF('Datos auxiliares proyectos '!$C$122:$DN$122,Inicio_Selecc_proyct_HEREVEA_01!$L$4,'Datos auxiliares proyectos '!C154:DN154)</f>
        <v>0.09</v>
      </c>
      <c r="E90" s="39">
        <f>D90*$L$6</f>
        <v>399.63060000000002</v>
      </c>
      <c r="F90" s="1180" t="s">
        <v>1400</v>
      </c>
      <c r="G90" s="1180"/>
      <c r="H90" s="1179" t="s">
        <v>1402</v>
      </c>
      <c r="I90" s="1186"/>
      <c r="S90" s="19"/>
      <c r="T90" s="19"/>
      <c r="U90" s="19"/>
    </row>
    <row r="91" spans="2:23" ht="16.5" customHeight="1">
      <c r="B91" s="24"/>
      <c r="C91" s="24"/>
      <c r="D91" s="71"/>
      <c r="E91" s="39"/>
      <c r="F91" s="1180"/>
      <c r="G91" s="1180"/>
      <c r="H91" s="1179" t="s">
        <v>1401</v>
      </c>
      <c r="I91" s="1187"/>
      <c r="S91" s="19"/>
      <c r="T91" s="19"/>
      <c r="U91" s="19"/>
    </row>
    <row r="92" spans="2:23">
      <c r="B92" s="24"/>
      <c r="C92" s="24"/>
      <c r="D92" s="71"/>
      <c r="E92" s="39"/>
      <c r="F92" s="1180"/>
      <c r="G92" s="1180"/>
      <c r="H92" s="1179" t="s">
        <v>1403</v>
      </c>
      <c r="I92" s="1188"/>
      <c r="S92" s="19"/>
      <c r="T92" s="19"/>
      <c r="U92" s="19"/>
    </row>
    <row r="93" spans="2:23">
      <c r="B93" s="24" t="s">
        <v>198</v>
      </c>
      <c r="C93" s="24" t="s">
        <v>199</v>
      </c>
      <c r="D93" s="71">
        <f>SUMIF('Datos auxiliares proyectos '!$C$122:$DN$122,Inicio_Selecc_proyct_HEREVEA_01!$L$4,'Datos auxiliares proyectos '!C155:DN155)</f>
        <v>0.16</v>
      </c>
      <c r="E93" s="39">
        <f>D93*$L$6</f>
        <v>710.45440000000008</v>
      </c>
      <c r="F93" s="1180" t="s">
        <v>1400</v>
      </c>
      <c r="G93" s="1180" t="s">
        <v>236</v>
      </c>
      <c r="H93" s="1179" t="s">
        <v>1402</v>
      </c>
      <c r="I93" s="4320" t="s">
        <v>1474</v>
      </c>
      <c r="S93" s="19"/>
      <c r="T93" s="19"/>
      <c r="U93" s="19"/>
    </row>
    <row r="94" spans="2:23">
      <c r="B94" s="24"/>
      <c r="C94" s="24"/>
      <c r="D94" s="71"/>
      <c r="E94" s="39"/>
      <c r="F94" s="1180"/>
      <c r="G94" s="1180" t="s">
        <v>1406</v>
      </c>
      <c r="H94" s="1179" t="s">
        <v>1401</v>
      </c>
      <c r="I94" s="4321"/>
      <c r="S94" s="19"/>
      <c r="T94" s="19"/>
      <c r="U94" s="19"/>
    </row>
    <row r="95" spans="2:23">
      <c r="B95" s="24"/>
      <c r="C95" s="24"/>
      <c r="D95" s="71"/>
      <c r="E95" s="39"/>
      <c r="F95" s="1180"/>
      <c r="G95" s="1180"/>
      <c r="H95" s="1179" t="s">
        <v>1403</v>
      </c>
      <c r="I95" s="4322"/>
      <c r="S95" s="19"/>
      <c r="T95" s="19"/>
      <c r="U95" s="19"/>
    </row>
    <row r="96" spans="2:23">
      <c r="B96" s="24" t="s">
        <v>200</v>
      </c>
      <c r="C96" s="24" t="s">
        <v>201</v>
      </c>
      <c r="D96" s="71">
        <f>SUMIF('Datos auxiliares proyectos '!$C$122:$DN$122,Inicio_Selecc_proyct_HEREVEA_01!$L$4,'Datos auxiliares proyectos '!C156:DN156)</f>
        <v>7.0000000000000007E-2</v>
      </c>
      <c r="E96" s="39">
        <f>D96*$L$6</f>
        <v>310.82380000000006</v>
      </c>
      <c r="F96" s="1180" t="s">
        <v>1400</v>
      </c>
      <c r="G96" s="1180"/>
      <c r="H96" s="1179" t="s">
        <v>1402</v>
      </c>
      <c r="I96" s="1186"/>
      <c r="S96" s="19"/>
      <c r="T96" s="19"/>
      <c r="U96" s="19"/>
    </row>
    <row r="97" spans="2:21">
      <c r="B97" s="24"/>
      <c r="C97" s="24"/>
      <c r="D97" s="71"/>
      <c r="E97" s="39"/>
      <c r="F97" s="1180"/>
      <c r="G97" s="1180"/>
      <c r="H97" s="1179" t="s">
        <v>1401</v>
      </c>
      <c r="I97" s="1187"/>
      <c r="K97" s="16"/>
      <c r="L97" s="82"/>
      <c r="S97" s="19"/>
      <c r="T97" s="19"/>
      <c r="U97" s="19"/>
    </row>
    <row r="98" spans="2:21">
      <c r="B98" s="24"/>
      <c r="C98" s="24"/>
      <c r="D98" s="71"/>
      <c r="E98" s="39"/>
      <c r="F98" s="1180"/>
      <c r="G98" s="1180"/>
      <c r="H98" s="1179" t="s">
        <v>1403</v>
      </c>
      <c r="I98" s="1188"/>
      <c r="K98" s="83"/>
      <c r="L98" s="84"/>
      <c r="S98" s="19"/>
      <c r="T98" s="19"/>
      <c r="U98" s="19"/>
    </row>
    <row r="99" spans="2:21">
      <c r="B99" s="24" t="s">
        <v>202</v>
      </c>
      <c r="C99" s="24" t="s">
        <v>203</v>
      </c>
      <c r="D99" s="71">
        <f>SUMIF('Datos auxiliares proyectos '!$C$122:$DN$122,Inicio_Selecc_proyct_HEREVEA_01!$L$4,'Datos auxiliares proyectos '!C157:DN157)</f>
        <v>0.32</v>
      </c>
      <c r="E99" s="39">
        <f>D99*$L$6</f>
        <v>1420.9088000000002</v>
      </c>
      <c r="F99" s="1180" t="s">
        <v>1400</v>
      </c>
      <c r="G99" s="1180"/>
      <c r="H99" s="1179" t="s">
        <v>1402</v>
      </c>
      <c r="I99" s="1186"/>
      <c r="K99" s="83"/>
      <c r="L99" s="84"/>
      <c r="S99" s="19"/>
      <c r="T99" s="19"/>
      <c r="U99" s="19"/>
    </row>
    <row r="100" spans="2:21">
      <c r="B100" s="24"/>
      <c r="C100" s="24"/>
      <c r="D100" s="71"/>
      <c r="E100" s="39"/>
      <c r="F100" s="1180"/>
      <c r="G100" s="1180"/>
      <c r="H100" s="1179" t="s">
        <v>1401</v>
      </c>
      <c r="I100" s="1187"/>
      <c r="K100" s="83"/>
      <c r="L100" s="85"/>
      <c r="S100" s="19"/>
      <c r="T100" s="19"/>
      <c r="U100" s="19"/>
    </row>
    <row r="101" spans="2:21">
      <c r="B101" s="24"/>
      <c r="C101" s="24"/>
      <c r="D101" s="71"/>
      <c r="E101" s="39"/>
      <c r="F101" s="1180"/>
      <c r="G101" s="1180"/>
      <c r="H101" s="1179" t="s">
        <v>1403</v>
      </c>
      <c r="I101" s="1188"/>
      <c r="K101" s="83"/>
      <c r="L101" s="85"/>
      <c r="S101" s="19"/>
      <c r="T101" s="19"/>
      <c r="U101" s="19"/>
    </row>
    <row r="102" spans="2:21">
      <c r="B102" s="24" t="s">
        <v>91</v>
      </c>
      <c r="C102" s="24" t="s">
        <v>92</v>
      </c>
      <c r="D102" s="71">
        <f>SUMIF('Datos auxiliares proyectos '!$C$122:$DN$122,Inicio_Selecc_proyct_HEREVEA_01!$L$4,'Datos auxiliares proyectos '!C158:DN158)</f>
        <v>0.05</v>
      </c>
      <c r="E102" s="39">
        <f>D102*$L$6</f>
        <v>222.01700000000002</v>
      </c>
      <c r="F102" s="1180" t="s">
        <v>1400</v>
      </c>
      <c r="G102" s="1180" t="s">
        <v>1407</v>
      </c>
      <c r="H102" s="1179" t="s">
        <v>1402</v>
      </c>
      <c r="I102" s="4320" t="s">
        <v>1475</v>
      </c>
      <c r="S102" s="19"/>
      <c r="T102" s="19"/>
      <c r="U102" s="19"/>
    </row>
    <row r="103" spans="2:21">
      <c r="B103" s="24"/>
      <c r="C103" s="24"/>
      <c r="D103" s="71"/>
      <c r="E103" s="39"/>
      <c r="F103" s="1180"/>
      <c r="G103" s="1180" t="s">
        <v>277</v>
      </c>
      <c r="H103" s="1179" t="s">
        <v>1401</v>
      </c>
      <c r="I103" s="4321"/>
      <c r="S103" s="19"/>
      <c r="T103" s="19"/>
      <c r="U103" s="19"/>
    </row>
    <row r="104" spans="2:21">
      <c r="B104" s="24"/>
      <c r="C104" s="24"/>
      <c r="D104" s="71"/>
      <c r="E104" s="39"/>
      <c r="F104" s="1180"/>
      <c r="G104" s="1180"/>
      <c r="H104" s="1179" t="s">
        <v>1403</v>
      </c>
      <c r="I104" s="4322"/>
      <c r="S104" s="19"/>
      <c r="T104" s="19"/>
      <c r="U104" s="19"/>
    </row>
    <row r="105" spans="2:21">
      <c r="B105" s="24" t="s">
        <v>204</v>
      </c>
      <c r="C105" s="24" t="s">
        <v>205</v>
      </c>
      <c r="D105" s="71">
        <f>SUMIF('Datos auxiliares proyectos '!$C$122:$DN$122,Inicio_Selecc_proyct_HEREVEA_01!$L$4,'Datos auxiliares proyectos '!C159:DN159)</f>
        <v>0.05</v>
      </c>
      <c r="E105" s="39">
        <f>D105*$L$6</f>
        <v>222.01700000000002</v>
      </c>
      <c r="F105" s="1180" t="s">
        <v>1400</v>
      </c>
      <c r="G105" s="1180"/>
      <c r="H105" s="1179" t="s">
        <v>1402</v>
      </c>
      <c r="I105" s="1186"/>
      <c r="S105" s="19"/>
      <c r="T105" s="19"/>
      <c r="U105" s="19"/>
    </row>
    <row r="106" spans="2:21">
      <c r="B106" s="24"/>
      <c r="C106" s="24"/>
      <c r="D106" s="71"/>
      <c r="E106" s="39"/>
      <c r="F106" s="1180"/>
      <c r="G106" s="1180"/>
      <c r="H106" s="1179" t="s">
        <v>1401</v>
      </c>
      <c r="I106" s="1187"/>
      <c r="S106" s="19"/>
      <c r="T106" s="19"/>
      <c r="U106" s="19"/>
    </row>
    <row r="107" spans="2:21">
      <c r="B107" s="24"/>
      <c r="C107" s="24"/>
      <c r="D107" s="71"/>
      <c r="E107" s="39"/>
      <c r="F107" s="1180"/>
      <c r="G107" s="1180"/>
      <c r="H107" s="1179" t="s">
        <v>1403</v>
      </c>
      <c r="I107" s="1188"/>
      <c r="S107" s="19"/>
      <c r="T107" s="19"/>
      <c r="U107" s="19"/>
    </row>
    <row r="108" spans="2:21">
      <c r="B108" s="24" t="s">
        <v>97</v>
      </c>
      <c r="C108" s="24" t="s">
        <v>206</v>
      </c>
      <c r="D108" s="71">
        <f>SUMIF('Datos auxiliares proyectos '!$C$122:$DN$122,Inicio_Selecc_proyct_HEREVEA_01!$L$4,'Datos auxiliares proyectos '!C160:DN160)</f>
        <v>0.01</v>
      </c>
      <c r="E108" s="39">
        <f>D108*$L$6</f>
        <v>44.403400000000005</v>
      </c>
      <c r="F108" s="1180" t="s">
        <v>1400</v>
      </c>
      <c r="G108" s="1180" t="s">
        <v>237</v>
      </c>
      <c r="H108" s="1194">
        <v>0</v>
      </c>
      <c r="I108" s="1186"/>
      <c r="S108" s="19"/>
      <c r="T108" s="19"/>
      <c r="U108" s="19"/>
    </row>
    <row r="109" spans="2:21">
      <c r="B109" s="1191"/>
      <c r="C109" s="1192"/>
      <c r="D109" s="1171"/>
      <c r="E109" s="1172"/>
      <c r="F109" s="1193"/>
      <c r="G109" s="1180" t="s">
        <v>366</v>
      </c>
      <c r="H109" s="1195">
        <v>1</v>
      </c>
      <c r="I109" s="1187"/>
      <c r="S109" s="19"/>
      <c r="T109" s="19"/>
      <c r="U109" s="19"/>
    </row>
    <row r="110" spans="2:21">
      <c r="B110" s="1191"/>
      <c r="C110" s="1192"/>
      <c r="D110" s="1171"/>
      <c r="E110" s="1172"/>
      <c r="F110" s="1193"/>
      <c r="G110" s="1180" t="s">
        <v>1408</v>
      </c>
      <c r="H110" s="1196"/>
      <c r="I110" s="1187"/>
      <c r="S110" s="19"/>
      <c r="T110" s="19"/>
      <c r="U110" s="19"/>
    </row>
    <row r="111" spans="2:21">
      <c r="B111" s="1191"/>
      <c r="C111" s="1192"/>
      <c r="D111" s="1171"/>
      <c r="E111" s="1172"/>
      <c r="F111" s="1193"/>
      <c r="G111" s="1180" t="s">
        <v>1409</v>
      </c>
      <c r="H111" s="1196"/>
      <c r="I111" s="1188"/>
      <c r="S111" s="19"/>
      <c r="T111" s="19"/>
      <c r="U111" s="19"/>
    </row>
    <row r="112" spans="2:21">
      <c r="B112" s="1220" t="s">
        <v>893</v>
      </c>
      <c r="C112" s="1221"/>
      <c r="D112" s="1221"/>
      <c r="E112" s="1221"/>
      <c r="F112" s="1221"/>
      <c r="G112" s="1221"/>
      <c r="H112" s="1222"/>
      <c r="I112" s="1206" t="s">
        <v>1421</v>
      </c>
      <c r="S112" s="19"/>
      <c r="T112" s="19"/>
      <c r="U112" s="16"/>
    </row>
    <row r="113" spans="2:21">
      <c r="B113" s="24" t="s">
        <v>207</v>
      </c>
      <c r="C113" s="24" t="s">
        <v>208</v>
      </c>
      <c r="D113" s="71">
        <f>SUMIF('Datos auxiliares proyectos '!$C$122:$DN$122,Inicio_Selecc_proyct_HEREVEA_01!$L$4,'Datos auxiliares proyectos '!C161:DN161)</f>
        <v>0</v>
      </c>
      <c r="E113" s="39">
        <f>D113*$L$6</f>
        <v>0</v>
      </c>
      <c r="F113" s="1180" t="s">
        <v>239</v>
      </c>
      <c r="G113" s="1180"/>
      <c r="H113" s="1179" t="s">
        <v>239</v>
      </c>
      <c r="I113" s="1214"/>
      <c r="S113" s="19"/>
      <c r="T113" s="19"/>
      <c r="U113" s="16"/>
    </row>
    <row r="114" spans="2:21">
      <c r="B114" s="24" t="s">
        <v>209</v>
      </c>
      <c r="C114" s="24" t="s">
        <v>210</v>
      </c>
      <c r="D114" s="71">
        <f>SUMIF('Datos auxiliares proyectos '!$C$122:$DN$122,Inicio_Selecc_proyct_HEREVEA_01!$L$4,'Datos auxiliares proyectos '!C162:DN162)</f>
        <v>0.6</v>
      </c>
      <c r="E114" s="39">
        <f>D114*$L$6</f>
        <v>2664.2040000000002</v>
      </c>
      <c r="F114" s="1180" t="s">
        <v>238</v>
      </c>
      <c r="G114" s="1180"/>
      <c r="H114" s="1179" t="s">
        <v>238</v>
      </c>
      <c r="I114" s="1215"/>
      <c r="S114" s="19"/>
      <c r="T114" s="19"/>
      <c r="U114" s="16"/>
    </row>
    <row r="115" spans="2:21">
      <c r="B115" s="1220" t="s">
        <v>894</v>
      </c>
      <c r="C115" s="1221"/>
      <c r="D115" s="1221"/>
      <c r="E115" s="1221"/>
      <c r="F115" s="1221"/>
      <c r="G115" s="1221"/>
      <c r="H115" s="1222"/>
      <c r="I115" s="1206" t="s">
        <v>1421</v>
      </c>
      <c r="S115" s="19"/>
      <c r="T115" s="19"/>
      <c r="U115" s="16"/>
    </row>
    <row r="116" spans="2:21">
      <c r="B116" s="24" t="s">
        <v>211</v>
      </c>
      <c r="C116" s="24" t="s">
        <v>212</v>
      </c>
      <c r="D116" s="71">
        <f>SUMIF('Datos auxiliares proyectos '!$C$122:$DN$122,Inicio_Selecc_proyct_HEREVEA_01!$L$4,'Datos auxiliares proyectos '!C163:DN163)</f>
        <v>0.36</v>
      </c>
      <c r="E116" s="39">
        <f t="shared" ref="E116:E123" si="0">D116*$L$6</f>
        <v>1598.5224000000001</v>
      </c>
      <c r="F116" s="1180" t="s">
        <v>241</v>
      </c>
      <c r="G116" s="1180"/>
      <c r="H116" s="1179" t="s">
        <v>241</v>
      </c>
      <c r="I116" s="1215"/>
      <c r="S116" s="19"/>
      <c r="T116" s="19"/>
      <c r="U116" s="19"/>
    </row>
    <row r="117" spans="2:21">
      <c r="B117" s="24" t="s">
        <v>213</v>
      </c>
      <c r="C117" s="24" t="s">
        <v>214</v>
      </c>
      <c r="D117" s="71">
        <f>SUMIF('Datos auxiliares proyectos '!$C$122:$DN$122,Inicio_Selecc_proyct_HEREVEA_01!$L$4,'Datos auxiliares proyectos '!C164:DN164)</f>
        <v>0</v>
      </c>
      <c r="E117" s="39">
        <f t="shared" si="0"/>
        <v>0</v>
      </c>
      <c r="F117" s="1180" t="s">
        <v>242</v>
      </c>
      <c r="G117" s="1180"/>
      <c r="H117" s="1179" t="s">
        <v>242</v>
      </c>
      <c r="I117" s="1215"/>
      <c r="S117" s="19"/>
      <c r="T117" s="19"/>
      <c r="U117" s="19"/>
    </row>
    <row r="118" spans="2:21">
      <c r="B118" s="24" t="s">
        <v>103</v>
      </c>
      <c r="C118" s="24" t="s">
        <v>104</v>
      </c>
      <c r="D118" s="71">
        <f>SUMIF('Datos auxiliares proyectos '!$C$122:$DN$122,Inicio_Selecc_proyct_HEREVEA_01!$L$4,'Datos auxiliares proyectos '!C165:DN165)</f>
        <v>1.61</v>
      </c>
      <c r="E118" s="39">
        <f t="shared" si="0"/>
        <v>7148.9474000000009</v>
      </c>
      <c r="F118" s="1180" t="s">
        <v>244</v>
      </c>
      <c r="G118" s="1180"/>
      <c r="H118" s="1179" t="s">
        <v>244</v>
      </c>
      <c r="I118" s="1215"/>
      <c r="S118" s="19"/>
      <c r="T118" s="19"/>
      <c r="U118" s="19"/>
    </row>
    <row r="119" spans="2:21">
      <c r="B119" s="24" t="s">
        <v>105</v>
      </c>
      <c r="C119" s="24" t="s">
        <v>215</v>
      </c>
      <c r="D119" s="71">
        <f>SUMIF('Datos auxiliares proyectos '!$C$122:$DN$122,Inicio_Selecc_proyct_HEREVEA_01!$L$4,'Datos auxiliares proyectos '!C166:DN166)</f>
        <v>2.2599999999999998</v>
      </c>
      <c r="E119" s="39">
        <f t="shared" si="0"/>
        <v>10035.168399999999</v>
      </c>
      <c r="F119" s="1180" t="s">
        <v>248</v>
      </c>
      <c r="G119" s="1180"/>
      <c r="H119" s="1179" t="s">
        <v>248</v>
      </c>
      <c r="I119" s="1215"/>
      <c r="S119" s="19"/>
      <c r="T119" s="19"/>
      <c r="U119" s="19"/>
    </row>
    <row r="120" spans="2:21">
      <c r="B120" s="24" t="s">
        <v>216</v>
      </c>
      <c r="C120" s="24" t="s">
        <v>217</v>
      </c>
      <c r="D120" s="71">
        <f>SUMIF('Datos auxiliares proyectos '!$C$122:$DN$122,Inicio_Selecc_proyct_HEREVEA_01!$L$4,'Datos auxiliares proyectos '!C167:DN167)</f>
        <v>0.66</v>
      </c>
      <c r="E120" s="39">
        <f t="shared" si="0"/>
        <v>2930.6244000000002</v>
      </c>
      <c r="F120" s="1180" t="s">
        <v>246</v>
      </c>
      <c r="G120" s="1180"/>
      <c r="H120" s="1179" t="s">
        <v>246</v>
      </c>
      <c r="I120" s="1242"/>
      <c r="S120" s="19"/>
      <c r="T120" s="19"/>
      <c r="U120" s="19"/>
    </row>
    <row r="121" spans="2:21">
      <c r="B121" s="24" t="s">
        <v>112</v>
      </c>
      <c r="C121" s="24" t="s">
        <v>113</v>
      </c>
      <c r="D121" s="71">
        <f>SUMIF('Datos auxiliares proyectos '!$C$122:$DN$122,Inicio_Selecc_proyct_HEREVEA_01!$L$4,'Datos auxiliares proyectos '!C168:DN168)</f>
        <v>0.28000000000000003</v>
      </c>
      <c r="E121" s="39">
        <f t="shared" si="0"/>
        <v>1243.2952000000002</v>
      </c>
      <c r="F121" s="1180" t="s">
        <v>244</v>
      </c>
      <c r="G121" s="1180"/>
      <c r="H121" s="1179" t="s">
        <v>244</v>
      </c>
      <c r="I121" s="1215"/>
      <c r="S121" s="19"/>
      <c r="T121" s="19"/>
      <c r="U121" s="19"/>
    </row>
    <row r="122" spans="2:21">
      <c r="B122" s="24" t="s">
        <v>218</v>
      </c>
      <c r="C122" s="24" t="s">
        <v>219</v>
      </c>
      <c r="D122" s="71">
        <f>SUMIF('Datos auxiliares proyectos '!$C$122:$DN$122,Inicio_Selecc_proyct_HEREVEA_01!$L$4,'Datos auxiliares proyectos '!C169:DN169)</f>
        <v>7.0000000000000007E-2</v>
      </c>
      <c r="E122" s="39">
        <f t="shared" si="0"/>
        <v>310.82380000000006</v>
      </c>
      <c r="F122" s="1180" t="s">
        <v>249</v>
      </c>
      <c r="G122" s="1180"/>
      <c r="H122" s="1179" t="s">
        <v>249</v>
      </c>
      <c r="I122" s="1215"/>
      <c r="S122" s="19"/>
      <c r="T122" s="19"/>
      <c r="U122" s="19"/>
    </row>
    <row r="123" spans="2:21">
      <c r="B123" s="24" t="s">
        <v>220</v>
      </c>
      <c r="C123" s="24" t="s">
        <v>221</v>
      </c>
      <c r="D123" s="71">
        <f>SUMIF('Datos auxiliares proyectos '!$C$122:$DN$122,Inicio_Selecc_proyct_HEREVEA_01!$L$4,'Datos auxiliares proyectos '!C170:DN170)</f>
        <v>0.08</v>
      </c>
      <c r="E123" s="39">
        <f t="shared" si="0"/>
        <v>355.22720000000004</v>
      </c>
      <c r="F123" s="1180" t="s">
        <v>243</v>
      </c>
      <c r="G123" s="1180"/>
      <c r="H123" s="1179" t="s">
        <v>243</v>
      </c>
      <c r="I123" s="1215"/>
      <c r="S123" s="19"/>
      <c r="T123" s="19"/>
      <c r="U123" s="19"/>
    </row>
    <row r="124" spans="2:21">
      <c r="B124" s="1217" t="s">
        <v>895</v>
      </c>
      <c r="C124" s="1221"/>
      <c r="D124" s="1221"/>
      <c r="E124" s="1221"/>
      <c r="F124" s="1221"/>
      <c r="G124" s="1221"/>
      <c r="H124" s="1222"/>
      <c r="I124" s="1243"/>
      <c r="S124" s="19"/>
      <c r="T124" s="19"/>
      <c r="U124" s="19"/>
    </row>
    <row r="125" spans="2:21">
      <c r="B125" s="1176" t="s">
        <v>121</v>
      </c>
      <c r="C125" s="1176" t="s">
        <v>122</v>
      </c>
      <c r="D125" s="1177">
        <f>SUMIF('Datos auxiliares proyectos '!$C$122:$DN$122,Inicio_Selecc_proyct_HEREVEA_01!$L$4,'Datos auxiliares proyectos '!C171:DN171)</f>
        <v>0</v>
      </c>
      <c r="E125" s="1177">
        <f>D125*$L$6</f>
        <v>0</v>
      </c>
      <c r="F125" s="1210" t="s">
        <v>244</v>
      </c>
      <c r="G125" s="1182"/>
      <c r="H125" s="1211" t="s">
        <v>244</v>
      </c>
      <c r="I125" s="1206" t="s">
        <v>1420</v>
      </c>
      <c r="S125" s="19"/>
      <c r="T125" s="19"/>
      <c r="U125" s="19"/>
    </row>
    <row r="126" spans="2:21" ht="28.5" customHeight="1">
      <c r="B126" s="24" t="s">
        <v>125</v>
      </c>
      <c r="C126" s="24" t="s">
        <v>126</v>
      </c>
      <c r="D126" s="71">
        <f>SUMIF('Datos auxiliares proyectos '!$C$122:$DN$122,Inicio_Selecc_proyct_HEREVEA_01!$L$4,'Datos auxiliares proyectos '!C172:DN172)</f>
        <v>0.11</v>
      </c>
      <c r="E126" s="39">
        <f>D126*$L$6</f>
        <v>488.43740000000003</v>
      </c>
      <c r="F126" s="1180" t="s">
        <v>1400</v>
      </c>
      <c r="G126" s="1239" t="s">
        <v>1413</v>
      </c>
      <c r="H126" s="1179" t="s">
        <v>1402</v>
      </c>
      <c r="I126" s="4320" t="s">
        <v>1414</v>
      </c>
      <c r="S126" s="19"/>
      <c r="T126" s="19"/>
      <c r="U126" s="19"/>
    </row>
    <row r="127" spans="2:21" ht="30.75" customHeight="1">
      <c r="B127" s="24"/>
      <c r="C127" s="24"/>
      <c r="D127" s="71"/>
      <c r="E127" s="39"/>
      <c r="F127" s="1180"/>
      <c r="G127" s="1239" t="s">
        <v>1415</v>
      </c>
      <c r="H127" s="1179" t="s">
        <v>1401</v>
      </c>
      <c r="I127" s="4321"/>
      <c r="S127" s="19"/>
      <c r="T127" s="19"/>
      <c r="U127" s="19"/>
    </row>
    <row r="128" spans="2:21" ht="29.25" customHeight="1">
      <c r="B128" s="24"/>
      <c r="C128" s="24"/>
      <c r="D128" s="71"/>
      <c r="E128" s="39"/>
      <c r="F128" s="1180"/>
      <c r="G128" s="1239" t="s">
        <v>1416</v>
      </c>
      <c r="H128" s="1179" t="s">
        <v>1403</v>
      </c>
      <c r="I128" s="4321"/>
      <c r="S128" s="19"/>
      <c r="T128" s="19"/>
      <c r="U128" s="19"/>
    </row>
    <row r="129" spans="2:21" ht="27.75" customHeight="1">
      <c r="B129" s="24"/>
      <c r="C129" s="24"/>
      <c r="D129" s="71"/>
      <c r="E129" s="39"/>
      <c r="F129" s="1180"/>
      <c r="G129" s="1239" t="s">
        <v>1417</v>
      </c>
      <c r="H129" s="1179"/>
      <c r="I129" s="4321"/>
      <c r="S129" s="19"/>
      <c r="T129" s="19"/>
      <c r="U129" s="19"/>
    </row>
    <row r="130" spans="2:21" ht="29.25" customHeight="1">
      <c r="B130" s="24"/>
      <c r="C130" s="24"/>
      <c r="D130" s="71"/>
      <c r="E130" s="39"/>
      <c r="F130" s="1180"/>
      <c r="G130" s="1239" t="s">
        <v>1418</v>
      </c>
      <c r="H130" s="1179"/>
      <c r="I130" s="4321"/>
      <c r="S130" s="19"/>
      <c r="T130" s="19"/>
      <c r="U130" s="19"/>
    </row>
    <row r="131" spans="2:21" ht="31.5" customHeight="1">
      <c r="B131" s="24"/>
      <c r="C131" s="24"/>
      <c r="D131" s="71"/>
      <c r="E131" s="39"/>
      <c r="F131" s="1180"/>
      <c r="G131" s="1239" t="s">
        <v>1419</v>
      </c>
      <c r="H131" s="1179"/>
      <c r="I131" s="4322"/>
    </row>
    <row r="132" spans="2:21">
      <c r="B132" s="1176" t="s">
        <v>127</v>
      </c>
      <c r="C132" s="1176" t="s">
        <v>128</v>
      </c>
      <c r="D132" s="1177">
        <f>SUMIF('Datos auxiliares proyectos '!$C$122:$DN$122,Inicio_Selecc_proyct_HEREVEA_01!$L$4,'Datos auxiliares proyectos '!C173:DN173)</f>
        <v>0</v>
      </c>
      <c r="E132" s="1177">
        <f>D132*$L$6</f>
        <v>0</v>
      </c>
      <c r="F132" s="1210" t="s">
        <v>244</v>
      </c>
      <c r="G132" s="1182"/>
      <c r="H132" s="1211" t="s">
        <v>244</v>
      </c>
      <c r="I132" s="1206" t="s">
        <v>1420</v>
      </c>
    </row>
    <row r="133" spans="2:21">
      <c r="B133" s="1176" t="s">
        <v>137</v>
      </c>
      <c r="C133" s="1176" t="s">
        <v>138</v>
      </c>
      <c r="D133" s="1177">
        <f>SUMIF('Datos auxiliares proyectos '!$C$122:$DN$122,Inicio_Selecc_proyct_HEREVEA_01!$L$4,'Datos auxiliares proyectos '!C174:DN174)</f>
        <v>0</v>
      </c>
      <c r="E133" s="1177">
        <f>D133*$L$6</f>
        <v>0</v>
      </c>
      <c r="F133" s="1210" t="s">
        <v>244</v>
      </c>
      <c r="G133" s="1182"/>
      <c r="H133" s="1211" t="s">
        <v>244</v>
      </c>
      <c r="I133" s="1206" t="s">
        <v>1420</v>
      </c>
    </row>
    <row r="134" spans="2:21">
      <c r="B134" s="24" t="s">
        <v>222</v>
      </c>
      <c r="C134" s="24" t="s">
        <v>223</v>
      </c>
      <c r="D134" s="71">
        <f>SUMIF('Datos auxiliares proyectos '!$C$122:$DN$122,Inicio_Selecc_proyct_HEREVEA_01!$L$4,'Datos auxiliares proyectos '!C175:DN175)</f>
        <v>0.11</v>
      </c>
      <c r="E134" s="39">
        <f>D134*$L$6</f>
        <v>488.43740000000003</v>
      </c>
      <c r="F134" s="1180" t="s">
        <v>1400</v>
      </c>
      <c r="G134" s="1180"/>
      <c r="H134" s="1179" t="s">
        <v>1402</v>
      </c>
      <c r="I134" s="18"/>
    </row>
    <row r="135" spans="2:21">
      <c r="B135" s="24"/>
      <c r="C135" s="24"/>
      <c r="D135" s="71"/>
      <c r="E135" s="39"/>
      <c r="F135" s="1180"/>
      <c r="G135" s="1180"/>
      <c r="H135" s="1179" t="s">
        <v>1401</v>
      </c>
      <c r="I135" s="1212"/>
    </row>
    <row r="136" spans="2:21">
      <c r="B136" s="24"/>
      <c r="C136" s="24"/>
      <c r="D136" s="71"/>
      <c r="E136" s="39"/>
      <c r="F136" s="1180"/>
      <c r="G136" s="1180"/>
      <c r="H136" s="1179" t="s">
        <v>1403</v>
      </c>
      <c r="I136" s="223"/>
    </row>
    <row r="137" spans="2:21">
      <c r="B137" s="1176" t="s">
        <v>224</v>
      </c>
      <c r="C137" s="1176" t="s">
        <v>225</v>
      </c>
      <c r="D137" s="1177">
        <f>SUMIF('Datos auxiliares proyectos '!$C$122:$DN$122,Inicio_Selecc_proyct_HEREVEA_01!$L$4,'Datos auxiliares proyectos '!C176:DN176)</f>
        <v>0.05</v>
      </c>
      <c r="E137" s="1177">
        <f>D137*$L$6</f>
        <v>222.01700000000002</v>
      </c>
      <c r="F137" s="1210" t="s">
        <v>234</v>
      </c>
      <c r="G137" s="1180"/>
      <c r="H137" s="1179"/>
      <c r="I137" s="1206" t="s">
        <v>1420</v>
      </c>
    </row>
    <row r="138" spans="2:21">
      <c r="B138" s="24" t="s">
        <v>141</v>
      </c>
      <c r="C138" s="24" t="s">
        <v>142</v>
      </c>
      <c r="D138" s="71">
        <f>SUMIF('Datos auxiliares proyectos '!$C$122:$DN$122,Inicio_Selecc_proyct_HEREVEA_01!$L$4,'Datos auxiliares proyectos '!C177:DN177)</f>
        <v>0.05</v>
      </c>
      <c r="E138" s="39">
        <f>D138*$L$6</f>
        <v>222.01700000000002</v>
      </c>
      <c r="F138" s="1180" t="s">
        <v>1400</v>
      </c>
      <c r="G138" s="1180"/>
      <c r="H138" s="1179" t="s">
        <v>1402</v>
      </c>
      <c r="I138" s="4320" t="s">
        <v>1422</v>
      </c>
    </row>
    <row r="139" spans="2:21">
      <c r="B139" s="24"/>
      <c r="C139" s="24"/>
      <c r="D139" s="71"/>
      <c r="E139" s="39"/>
      <c r="F139" s="1180"/>
      <c r="G139" s="1180"/>
      <c r="H139" s="1179" t="s">
        <v>1401</v>
      </c>
      <c r="I139" s="4321"/>
    </row>
    <row r="140" spans="2:21" ht="18" customHeight="1">
      <c r="B140" s="24"/>
      <c r="C140" s="24"/>
      <c r="D140" s="71"/>
      <c r="E140" s="39"/>
      <c r="F140" s="1180"/>
      <c r="G140" s="1180"/>
      <c r="H140" s="1179" t="s">
        <v>1403</v>
      </c>
      <c r="I140" s="4322"/>
    </row>
    <row r="141" spans="2:21">
      <c r="B141" s="24" t="s">
        <v>145</v>
      </c>
      <c r="C141" s="24" t="s">
        <v>146</v>
      </c>
      <c r="D141" s="71">
        <f>SUMIF('Datos auxiliares proyectos '!$C$122:$DN$122,Inicio_Selecc_proyct_HEREVEA_01!$L$4,'Datos auxiliares proyectos '!C178:DN178)</f>
        <v>0.04</v>
      </c>
      <c r="E141" s="39">
        <f>D141*$L$6</f>
        <v>177.61360000000002</v>
      </c>
      <c r="F141" s="1180" t="s">
        <v>1400</v>
      </c>
      <c r="G141" s="1180"/>
      <c r="H141" s="1179" t="s">
        <v>1402</v>
      </c>
      <c r="I141" s="4320" t="s">
        <v>1425</v>
      </c>
    </row>
    <row r="142" spans="2:21" ht="15.75" customHeight="1">
      <c r="B142" s="1191"/>
      <c r="C142" s="1192"/>
      <c r="D142" s="1171"/>
      <c r="E142" s="1172"/>
      <c r="F142" s="1180" t="s">
        <v>1424</v>
      </c>
      <c r="G142" s="1193"/>
      <c r="H142" s="1179" t="s">
        <v>1401</v>
      </c>
      <c r="I142" s="4321"/>
    </row>
    <row r="143" spans="2:21" ht="33.75" customHeight="1">
      <c r="B143" s="1191"/>
      <c r="C143" s="1192"/>
      <c r="D143" s="1171"/>
      <c r="E143" s="1172"/>
      <c r="F143" s="1193"/>
      <c r="G143" s="1193"/>
      <c r="H143" s="1179" t="s">
        <v>1403</v>
      </c>
      <c r="I143" s="4322"/>
    </row>
    <row r="144" spans="2:21">
      <c r="B144" s="5022" t="s">
        <v>896</v>
      </c>
      <c r="C144" s="5023"/>
      <c r="D144" s="5023"/>
      <c r="E144" s="5023"/>
      <c r="F144" s="5023"/>
      <c r="G144" s="5023"/>
      <c r="H144" s="5024"/>
      <c r="I144" s="1213" t="s">
        <v>1473</v>
      </c>
    </row>
    <row r="145" spans="2:9">
      <c r="B145" s="24" t="s">
        <v>147</v>
      </c>
      <c r="C145" s="24" t="s">
        <v>148</v>
      </c>
      <c r="D145" s="71">
        <f>SUMIF('Datos auxiliares proyectos '!$C$122:$DN$122,Inicio_Selecc_proyct_HEREVEA_01!$L$4,'Datos auxiliares proyectos '!C179:DN179)</f>
        <v>0.09</v>
      </c>
      <c r="E145" s="39">
        <f>D145*$L$6</f>
        <v>399.63060000000002</v>
      </c>
      <c r="F145" s="1208" t="s">
        <v>244</v>
      </c>
      <c r="G145" s="1180"/>
      <c r="H145" s="1209" t="s">
        <v>244</v>
      </c>
      <c r="I145" s="18"/>
    </row>
    <row r="146" spans="2:9">
      <c r="B146" s="1220" t="s">
        <v>897</v>
      </c>
      <c r="C146" s="1221"/>
      <c r="D146" s="1221"/>
      <c r="E146" s="1221"/>
      <c r="F146" s="1221"/>
      <c r="G146" s="1221"/>
      <c r="H146" s="1222"/>
      <c r="I146" s="1206" t="s">
        <v>1421</v>
      </c>
    </row>
    <row r="147" spans="2:9">
      <c r="B147" s="24" t="s">
        <v>226</v>
      </c>
      <c r="C147" s="24" t="s">
        <v>227</v>
      </c>
      <c r="D147" s="71">
        <f>SUMIF('Datos auxiliares proyectos '!$C$122:$DN$122,Inicio_Selecc_proyct_HEREVEA_01!$L$4,'Datos auxiliares proyectos '!C180:DN180)</f>
        <v>1.1599999999999999</v>
      </c>
      <c r="E147" s="39">
        <f>D147*$L$6</f>
        <v>5150.7943999999998</v>
      </c>
      <c r="F147" s="1208"/>
      <c r="G147" s="1208"/>
      <c r="H147" s="1209"/>
      <c r="I147" s="1042"/>
    </row>
    <row r="148" spans="2:9">
      <c r="B148" s="24" t="s">
        <v>228</v>
      </c>
      <c r="C148" s="24" t="s">
        <v>229</v>
      </c>
      <c r="D148" s="71">
        <f>SUMIF('Datos auxiliares proyectos '!$C$122:$DN$122,Inicio_Selecc_proyct_HEREVEA_01!$L$4,'Datos auxiliares proyectos '!C181:DN181)</f>
        <v>2.86</v>
      </c>
      <c r="E148" s="39">
        <f>D148*$L$6</f>
        <v>12699.3724</v>
      </c>
      <c r="F148" s="1208"/>
      <c r="G148" s="1208"/>
      <c r="H148" s="1209"/>
      <c r="I148" s="223"/>
    </row>
    <row r="150" spans="2:9">
      <c r="B150" s="961"/>
      <c r="C150" s="598"/>
      <c r="D150" s="961"/>
      <c r="E150" s="598"/>
      <c r="F150" s="961"/>
      <c r="G150" s="961"/>
      <c r="H150" s="1189"/>
    </row>
    <row r="151" spans="2:9">
      <c r="B151" t="s">
        <v>1048</v>
      </c>
    </row>
    <row r="152" spans="2:9">
      <c r="B152" s="10" t="s">
        <v>1039</v>
      </c>
      <c r="C152" s="962" t="s">
        <v>1045</v>
      </c>
      <c r="D152" s="72">
        <f>D141*3</f>
        <v>0.12</v>
      </c>
      <c r="E152" s="963">
        <f>D152*L6</f>
        <v>532.84079999999994</v>
      </c>
    </row>
    <row r="153" spans="2:9">
      <c r="B153" s="10" t="s">
        <v>1046</v>
      </c>
      <c r="C153" s="962" t="s">
        <v>1047</v>
      </c>
      <c r="D153" s="72">
        <f>D125*2</f>
        <v>0</v>
      </c>
      <c r="E153" s="964">
        <f>D153*L6</f>
        <v>0</v>
      </c>
      <c r="F153" s="448"/>
      <c r="G153" s="448"/>
      <c r="H153" s="1190"/>
    </row>
    <row r="154" spans="2:9">
      <c r="B154" s="5025" t="s">
        <v>1044</v>
      </c>
      <c r="C154" s="962" t="s">
        <v>250</v>
      </c>
      <c r="D154" s="72">
        <f>D147-D152-D153</f>
        <v>1.04</v>
      </c>
      <c r="E154" s="964">
        <f>D154*L6</f>
        <v>4617.9536000000007</v>
      </c>
      <c r="F154" s="448"/>
      <c r="G154" s="448"/>
      <c r="H154" s="1190"/>
    </row>
    <row r="155" spans="2:9">
      <c r="B155" s="5026"/>
      <c r="C155" s="962" t="s">
        <v>251</v>
      </c>
      <c r="D155" s="72">
        <f>D147-D152-D153</f>
        <v>1.04</v>
      </c>
      <c r="E155" s="964">
        <f>D155*L6</f>
        <v>4617.9536000000007</v>
      </c>
      <c r="F155" s="448"/>
      <c r="G155" s="448"/>
      <c r="H155" s="1190"/>
    </row>
    <row r="156" spans="2:9">
      <c r="B156" s="16" t="s">
        <v>1049</v>
      </c>
      <c r="E156" s="965"/>
      <c r="F156" s="448"/>
      <c r="G156" s="448"/>
      <c r="H156" s="1190"/>
    </row>
    <row r="157" spans="2:9">
      <c r="B157" s="962" t="s">
        <v>252</v>
      </c>
      <c r="C157" s="962" t="s">
        <v>1050</v>
      </c>
      <c r="D157" s="72">
        <f>(D132+D133+D134)*2</f>
        <v>0.22</v>
      </c>
      <c r="E157" s="963">
        <f>D157*$L$6</f>
        <v>976.87480000000005</v>
      </c>
      <c r="F157" s="961"/>
      <c r="G157" s="961"/>
      <c r="H157" s="1189"/>
    </row>
    <row r="158" spans="2:9">
      <c r="B158" s="962" t="s">
        <v>1042</v>
      </c>
      <c r="C158" s="962" t="s">
        <v>1051</v>
      </c>
      <c r="D158" s="72"/>
      <c r="E158" s="963">
        <f>D158*$L$6</f>
        <v>0</v>
      </c>
    </row>
    <row r="159" spans="2:9">
      <c r="B159" s="5021" t="s">
        <v>1052</v>
      </c>
      <c r="C159" s="962" t="s">
        <v>1041</v>
      </c>
      <c r="D159" s="72">
        <f>D148-D157</f>
        <v>2.6399999999999997</v>
      </c>
      <c r="E159" s="966">
        <f>D159*$L$6</f>
        <v>11722.497599999999</v>
      </c>
    </row>
    <row r="160" spans="2:9">
      <c r="B160" s="5021"/>
      <c r="C160" s="962" t="s">
        <v>1043</v>
      </c>
      <c r="D160" s="72">
        <f>D148-D157</f>
        <v>2.6399999999999997</v>
      </c>
      <c r="E160" s="966">
        <f>D160*$L$6</f>
        <v>11722.497599999999</v>
      </c>
    </row>
    <row r="162" spans="2:2">
      <c r="B162" t="s">
        <v>1038</v>
      </c>
    </row>
    <row r="163" spans="2:2">
      <c r="B163" t="s">
        <v>1040</v>
      </c>
    </row>
  </sheetData>
  <mergeCells count="22">
    <mergeCell ref="I68:I72"/>
    <mergeCell ref="B3:H3"/>
    <mergeCell ref="I12:I14"/>
    <mergeCell ref="I20:I23"/>
    <mergeCell ref="I24:I26"/>
    <mergeCell ref="I31:I35"/>
    <mergeCell ref="I53:I57"/>
    <mergeCell ref="I39:I43"/>
    <mergeCell ref="I45:I52"/>
    <mergeCell ref="I58:I60"/>
    <mergeCell ref="I61:I62"/>
    <mergeCell ref="I63:I64"/>
    <mergeCell ref="B159:B160"/>
    <mergeCell ref="I81:I83"/>
    <mergeCell ref="I78:I80"/>
    <mergeCell ref="I93:I95"/>
    <mergeCell ref="I102:I104"/>
    <mergeCell ref="I126:I131"/>
    <mergeCell ref="I138:I140"/>
    <mergeCell ref="I141:I143"/>
    <mergeCell ref="B144:H144"/>
    <mergeCell ref="B154:B155"/>
  </mergeCells>
  <dataValidations count="26">
    <dataValidation type="list" allowBlank="1" showInputMessage="1" showErrorMessage="1" sqref="F103:F104 I98 F100:F101 F106:F107 G99:G101 G104:G107">
      <formula1>$S$40:$S$41</formula1>
    </dataValidation>
    <dataValidation type="list" allowBlank="1" showInputMessage="1" showErrorMessage="1" sqref="F34 H34">
      <formula1>$S$27:$S$28</formula1>
    </dataValidation>
    <dataValidation type="list" allowBlank="1" showInputMessage="1" showErrorMessage="1" sqref="F32 H32">
      <formula1>$S$24:$S$25</formula1>
    </dataValidation>
    <dataValidation type="list" allowBlank="1" showInputMessage="1" showErrorMessage="1" sqref="F16:I16">
      <formula1>$S$12:$S$14</formula1>
    </dataValidation>
    <dataValidation type="list" allowBlank="1" showInputMessage="1" showErrorMessage="1" sqref="F15:I15">
      <formula1>$S$10:$S$11</formula1>
    </dataValidation>
    <dataValidation type="list" allowBlank="1" showInputMessage="1" showErrorMessage="1" sqref="F8:I9">
      <formula1>$S$6:$S$7</formula1>
    </dataValidation>
    <dataValidation type="list" allowBlank="1" showInputMessage="1" showErrorMessage="1" sqref="F7:I7">
      <formula1>excavación</formula1>
    </dataValidation>
    <dataValidation type="list" allowBlank="1" showInputMessage="1" showErrorMessage="1" sqref="L4">
      <formula1>$U$4:$U$115</formula1>
    </dataValidation>
    <dataValidation type="list" allowBlank="1" showInputMessage="1" showErrorMessage="1" sqref="I119 F123:H123">
      <formula1>$S$79:$S$82</formula1>
    </dataValidation>
    <dataValidation type="list" allowBlank="1" showInputMessage="1" showErrorMessage="1" sqref="F148:H148">
      <formula1>$S$85:$S$86</formula1>
    </dataValidation>
    <dataValidation type="list" allowBlank="1" showInputMessage="1" showErrorMessage="1" sqref="F147:H147">
      <formula1>$S$83:$S$84</formula1>
    </dataValidation>
    <dataValidation type="list" allowBlank="1" showInputMessage="1" showErrorMessage="1" sqref="F137:G137">
      <formula1>$S$75:$S$76</formula1>
    </dataValidation>
    <dataValidation type="list" allowBlank="1" showInputMessage="1" showErrorMessage="1" sqref="I118 F122:H122">
      <formula1>$S$73:$S$74</formula1>
    </dataValidation>
    <dataValidation type="list" allowBlank="1" showInputMessage="1" showErrorMessage="1" sqref="F119:H119">
      <formula1>$S$64:$S$65</formula1>
    </dataValidation>
    <dataValidation type="list" allowBlank="1" showInputMessage="1" showErrorMessage="1" sqref="I113 F117:H117">
      <formula1>$S$53:$S$56</formula1>
    </dataValidation>
    <dataValidation type="list" allowBlank="1" showInputMessage="1" showErrorMessage="1" sqref="F116:H116">
      <formula1>$S$51:$S$52</formula1>
    </dataValidation>
    <dataValidation type="list" allowBlank="1" showInputMessage="1" showErrorMessage="1" sqref="F114:H114">
      <formula1>$S$48:$S$50</formula1>
    </dataValidation>
    <dataValidation type="list" allowBlank="1" showInputMessage="1" showErrorMessage="1" sqref="F113:H113">
      <formula1>$S$44:$S$47</formula1>
    </dataValidation>
    <dataValidation type="list" allowBlank="1" showInputMessage="1" showErrorMessage="1" sqref="F109:F111 H110:H111">
      <formula1>$S$42:$S$43</formula1>
    </dataValidation>
    <dataValidation type="list" allowBlank="1" showInputMessage="1" showErrorMessage="1" sqref="I116 F120:H120">
      <formula1>$S$66:$S$72</formula1>
    </dataValidation>
    <dataValidation type="list" allowBlank="1" showInputMessage="1" showErrorMessage="1" sqref="G22:G23 H23">
      <formula1>$S$15:$S$16</formula1>
    </dataValidation>
    <dataValidation type="list" allowBlank="1" showInputMessage="1" showErrorMessage="1" sqref="G28:G29">
      <formula1>$S$20:$S$23</formula1>
    </dataValidation>
    <dataValidation type="list" allowBlank="1" showInputMessage="1" showErrorMessage="1" sqref="I27:I29">
      <formula1>$S$17:$S$19</formula1>
    </dataValidation>
    <dataValidation type="list" allowBlank="1" showInputMessage="1" showErrorMessage="1" sqref="I66:I67 G62 G65:G67 G70:G72">
      <formula1>$S$57:$S$58</formula1>
    </dataValidation>
    <dataValidation type="list" allowBlank="1" showInputMessage="1" showErrorMessage="1" sqref="F76:I76">
      <formula1>$S$61:$S$63</formula1>
    </dataValidation>
    <dataValidation type="list" allowBlank="1" showInputMessage="1" showErrorMessage="1" sqref="F73:I73">
      <formula1>$S$59:$S$60</formula1>
    </dataValidation>
  </dataValidations>
  <pageMargins left="0.23622047244094491" right="0.23622047244094491" top="0.15748031496062992" bottom="0.19685039370078741" header="0.31496062992125984" footer="0.31496062992125984"/>
  <pageSetup paperSize="9" scale="80" orientation="landscape" horizontalDpi="200" verticalDpi="200" r:id="rId1"/>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106</vt:i4>
      </vt:variant>
    </vt:vector>
  </HeadingPairs>
  <TitlesOfParts>
    <vt:vector size="135" baseType="lpstr">
      <vt:lpstr>HE Total</vt:lpstr>
      <vt:lpstr>PEM Proyecto</vt:lpstr>
      <vt:lpstr>Seleccion proyecto HEREVEA02</vt:lpstr>
      <vt:lpstr>BCRR_REHAB</vt:lpstr>
      <vt:lpstr>BCRR DEMOLICION</vt:lpstr>
      <vt:lpstr>Características_proyectos</vt:lpstr>
      <vt:lpstr>Datos aux_desplegables</vt:lpstr>
      <vt:lpstr>Datos auxiliares proyectos </vt:lpstr>
      <vt:lpstr>Costes_Indirectos</vt:lpstr>
      <vt:lpstr>Huella maquinaria</vt:lpstr>
      <vt:lpstr>Huella mano de obra</vt:lpstr>
      <vt:lpstr>HE por Capitulos</vt:lpstr>
      <vt:lpstr>HE resumen todos proyectos</vt:lpstr>
      <vt:lpstr>Desglose Precios Auxiliares</vt:lpstr>
      <vt:lpstr>Huella materiales (2)</vt:lpstr>
      <vt:lpstr>Ascensor</vt:lpstr>
      <vt:lpstr>Huella materiales</vt:lpstr>
      <vt:lpstr>Datos_aux_materiales (2)</vt:lpstr>
      <vt:lpstr>Datos auxiliares materiales</vt:lpstr>
      <vt:lpstr>Huella consumo agua</vt:lpstr>
      <vt:lpstr>Huella residuos y s. consumida</vt:lpstr>
      <vt:lpstr>Datos auxiliares general</vt:lpstr>
      <vt:lpstr>Datos auxiliares maquinaria</vt:lpstr>
      <vt:lpstr>Datos auxiliares e. eléctrica</vt:lpstr>
      <vt:lpstr>Datos auxilares consumo agua</vt:lpstr>
      <vt:lpstr>Datos auxiliares mano de obra</vt:lpstr>
      <vt:lpstr>Datos auxiliares residuos</vt:lpstr>
      <vt:lpstr>Factores de equivalencia</vt:lpstr>
      <vt:lpstr>Inicio_Selecc_proyct_HEREVEA_01</vt:lpstr>
      <vt:lpstr>Inicio_Selecc_proyct_HEREVEA_01!Casilla1</vt:lpstr>
      <vt:lpstr>'Seleccion proyecto HEREVEA02'!Casilla1</vt:lpstr>
      <vt:lpstr>Inicio_Selecc_proyct_HEREVEA_01!Casilla10</vt:lpstr>
      <vt:lpstr>'Seleccion proyecto HEREVEA02'!Casilla10</vt:lpstr>
      <vt:lpstr>Inicio_Selecc_proyct_HEREVEA_01!Casilla11</vt:lpstr>
      <vt:lpstr>'Seleccion proyecto HEREVEA02'!Casilla11</vt:lpstr>
      <vt:lpstr>Inicio_Selecc_proyct_HEREVEA_01!Casilla12</vt:lpstr>
      <vt:lpstr>'Seleccion proyecto HEREVEA02'!Casilla12</vt:lpstr>
      <vt:lpstr>Inicio_Selecc_proyct_HEREVEA_01!Casilla13</vt:lpstr>
      <vt:lpstr>'Seleccion proyecto HEREVEA02'!Casilla13</vt:lpstr>
      <vt:lpstr>Inicio_Selecc_proyct_HEREVEA_01!Casilla14</vt:lpstr>
      <vt:lpstr>'Seleccion proyecto HEREVEA02'!Casilla14</vt:lpstr>
      <vt:lpstr>Inicio_Selecc_proyct_HEREVEA_01!Casilla15</vt:lpstr>
      <vt:lpstr>'Seleccion proyecto HEREVEA02'!Casilla15</vt:lpstr>
      <vt:lpstr>Inicio_Selecc_proyct_HEREVEA_01!Casilla16</vt:lpstr>
      <vt:lpstr>'Seleccion proyecto HEREVEA02'!Casilla16</vt:lpstr>
      <vt:lpstr>Inicio_Selecc_proyct_HEREVEA_01!Casilla17</vt:lpstr>
      <vt:lpstr>Inicio_Selecc_proyct_HEREVEA_01!Casilla18</vt:lpstr>
      <vt:lpstr>'Seleccion proyecto HEREVEA02'!Casilla18</vt:lpstr>
      <vt:lpstr>Inicio_Selecc_proyct_HEREVEA_01!Casilla2</vt:lpstr>
      <vt:lpstr>'Seleccion proyecto HEREVEA02'!Casilla2</vt:lpstr>
      <vt:lpstr>Inicio_Selecc_proyct_HEREVEA_01!Casilla20</vt:lpstr>
      <vt:lpstr>'Seleccion proyecto HEREVEA02'!Casilla20</vt:lpstr>
      <vt:lpstr>Inicio_Selecc_proyct_HEREVEA_01!Casilla21</vt:lpstr>
      <vt:lpstr>'Seleccion proyecto HEREVEA02'!Casilla21</vt:lpstr>
      <vt:lpstr>Inicio_Selecc_proyct_HEREVEA_01!Casilla22</vt:lpstr>
      <vt:lpstr>'Seleccion proyecto HEREVEA02'!Casilla22</vt:lpstr>
      <vt:lpstr>Inicio_Selecc_proyct_HEREVEA_01!Casilla24</vt:lpstr>
      <vt:lpstr>'Seleccion proyecto HEREVEA02'!Casilla24</vt:lpstr>
      <vt:lpstr>Inicio_Selecc_proyct_HEREVEA_01!Casilla25</vt:lpstr>
      <vt:lpstr>'Seleccion proyecto HEREVEA02'!Casilla25</vt:lpstr>
      <vt:lpstr>Inicio_Selecc_proyct_HEREVEA_01!Casilla26</vt:lpstr>
      <vt:lpstr>'Seleccion proyecto HEREVEA02'!Casilla26</vt:lpstr>
      <vt:lpstr>Inicio_Selecc_proyct_HEREVEA_01!Casilla27</vt:lpstr>
      <vt:lpstr>'Seleccion proyecto HEREVEA02'!Casilla27</vt:lpstr>
      <vt:lpstr>Inicio_Selecc_proyct_HEREVEA_01!Casilla28</vt:lpstr>
      <vt:lpstr>Inicio_Selecc_proyct_HEREVEA_01!Casilla29</vt:lpstr>
      <vt:lpstr>'Seleccion proyecto HEREVEA02'!Casilla29</vt:lpstr>
      <vt:lpstr>Inicio_Selecc_proyct_HEREVEA_01!Casilla3</vt:lpstr>
      <vt:lpstr>'Seleccion proyecto HEREVEA02'!Casilla3</vt:lpstr>
      <vt:lpstr>Inicio_Selecc_proyct_HEREVEA_01!Casilla31</vt:lpstr>
      <vt:lpstr>'Seleccion proyecto HEREVEA02'!Casilla31</vt:lpstr>
      <vt:lpstr>Inicio_Selecc_proyct_HEREVEA_01!Casilla32</vt:lpstr>
      <vt:lpstr>'Seleccion proyecto HEREVEA02'!Casilla32</vt:lpstr>
      <vt:lpstr>Inicio_Selecc_proyct_HEREVEA_01!Casilla33</vt:lpstr>
      <vt:lpstr>'Seleccion proyecto HEREVEA02'!Casilla33</vt:lpstr>
      <vt:lpstr>Inicio_Selecc_proyct_HEREVEA_01!Casilla35</vt:lpstr>
      <vt:lpstr>'Seleccion proyecto HEREVEA02'!Casilla35</vt:lpstr>
      <vt:lpstr>Inicio_Selecc_proyct_HEREVEA_01!Casilla36</vt:lpstr>
      <vt:lpstr>'Seleccion proyecto HEREVEA02'!Casilla36</vt:lpstr>
      <vt:lpstr>Inicio_Selecc_proyct_HEREVEA_01!Casilla37</vt:lpstr>
      <vt:lpstr>'Seleccion proyecto HEREVEA02'!Casilla37</vt:lpstr>
      <vt:lpstr>Inicio_Selecc_proyct_HEREVEA_01!Casilla38</vt:lpstr>
      <vt:lpstr>'Seleccion proyecto HEREVEA02'!Casilla38</vt:lpstr>
      <vt:lpstr>Inicio_Selecc_proyct_HEREVEA_01!Casilla39</vt:lpstr>
      <vt:lpstr>'Seleccion proyecto HEREVEA02'!Casilla39</vt:lpstr>
      <vt:lpstr>Inicio_Selecc_proyct_HEREVEA_01!Casilla4</vt:lpstr>
      <vt:lpstr>'Seleccion proyecto HEREVEA02'!Casilla4</vt:lpstr>
      <vt:lpstr>Inicio_Selecc_proyct_HEREVEA_01!Casilla40</vt:lpstr>
      <vt:lpstr>'Seleccion proyecto HEREVEA02'!Casilla40</vt:lpstr>
      <vt:lpstr>Inicio_Selecc_proyct_HEREVEA_01!Casilla41</vt:lpstr>
      <vt:lpstr>'Seleccion proyecto HEREVEA02'!Casilla41</vt:lpstr>
      <vt:lpstr>Inicio_Selecc_proyct_HEREVEA_01!Casilla42</vt:lpstr>
      <vt:lpstr>'Seleccion proyecto HEREVEA02'!Casilla42</vt:lpstr>
      <vt:lpstr>Inicio_Selecc_proyct_HEREVEA_01!Casilla43</vt:lpstr>
      <vt:lpstr>'Seleccion proyecto HEREVEA02'!Casilla43</vt:lpstr>
      <vt:lpstr>Inicio_Selecc_proyct_HEREVEA_01!Casilla44</vt:lpstr>
      <vt:lpstr>Inicio_Selecc_proyct_HEREVEA_01!Casilla45</vt:lpstr>
      <vt:lpstr>'Seleccion proyecto HEREVEA02'!Casilla45</vt:lpstr>
      <vt:lpstr>Inicio_Selecc_proyct_HEREVEA_01!Casilla46</vt:lpstr>
      <vt:lpstr>'Seleccion proyecto HEREVEA02'!Casilla46</vt:lpstr>
      <vt:lpstr>Inicio_Selecc_proyct_HEREVEA_01!Casilla47</vt:lpstr>
      <vt:lpstr>'Seleccion proyecto HEREVEA02'!Casilla47</vt:lpstr>
      <vt:lpstr>Inicio_Selecc_proyct_HEREVEA_01!Casilla48</vt:lpstr>
      <vt:lpstr>'Seleccion proyecto HEREVEA02'!Casilla48</vt:lpstr>
      <vt:lpstr>Inicio_Selecc_proyct_HEREVEA_01!Casilla49</vt:lpstr>
      <vt:lpstr>'Seleccion proyecto HEREVEA02'!Casilla49</vt:lpstr>
      <vt:lpstr>Inicio_Selecc_proyct_HEREVEA_01!Casilla5</vt:lpstr>
      <vt:lpstr>'Seleccion proyecto HEREVEA02'!Casilla5</vt:lpstr>
      <vt:lpstr>Inicio_Selecc_proyct_HEREVEA_01!Casilla50</vt:lpstr>
      <vt:lpstr>'Seleccion proyecto HEREVEA02'!Casilla50</vt:lpstr>
      <vt:lpstr>Inicio_Selecc_proyct_HEREVEA_01!Casilla51</vt:lpstr>
      <vt:lpstr>'Seleccion proyecto HEREVEA02'!Casilla51</vt:lpstr>
      <vt:lpstr>Inicio_Selecc_proyct_HEREVEA_01!Casilla52</vt:lpstr>
      <vt:lpstr>'Seleccion proyecto HEREVEA02'!Casilla52</vt:lpstr>
      <vt:lpstr>Inicio_Selecc_proyct_HEREVEA_01!Casilla53</vt:lpstr>
      <vt:lpstr>'Seleccion proyecto HEREVEA02'!Casilla53</vt:lpstr>
      <vt:lpstr>Inicio_Selecc_proyct_HEREVEA_01!Casilla54</vt:lpstr>
      <vt:lpstr>'Seleccion proyecto HEREVEA02'!Casilla54</vt:lpstr>
      <vt:lpstr>Inicio_Selecc_proyct_HEREVEA_01!Casilla55</vt:lpstr>
      <vt:lpstr>'Seleccion proyecto HEREVEA02'!Casilla55</vt:lpstr>
      <vt:lpstr>Inicio_Selecc_proyct_HEREVEA_01!Casilla56</vt:lpstr>
      <vt:lpstr>'Seleccion proyecto HEREVEA02'!Casilla56</vt:lpstr>
      <vt:lpstr>Inicio_Selecc_proyct_HEREVEA_01!Casilla6</vt:lpstr>
      <vt:lpstr>'Seleccion proyecto HEREVEA02'!Casilla6</vt:lpstr>
      <vt:lpstr>Inicio_Selecc_proyct_HEREVEA_01!Casilla7</vt:lpstr>
      <vt:lpstr>'Seleccion proyecto HEREVEA02'!Casilla7</vt:lpstr>
      <vt:lpstr>Inicio_Selecc_proyct_HEREVEA_01!Casilla8</vt:lpstr>
      <vt:lpstr>'Seleccion proyecto HEREVEA02'!Casilla8</vt:lpstr>
      <vt:lpstr>Inicio_Selecc_proyct_HEREVEA_01!Casilla9</vt:lpstr>
      <vt:lpstr>'Seleccion proyecto HEREVEA02'!Casilla9</vt:lpstr>
      <vt:lpstr>Inicio_Selecc_proyct_HEREVEA_01!excavación</vt:lpstr>
      <vt:lpstr>'Seleccion proyecto HEREVEA02'!excavación</vt:lpstr>
      <vt:lpstr>'Huella consumo agua'!Print_Area</vt:lpstr>
      <vt:lpstr>Inicio_Selecc_proyct_HEREVEA_01!Print_Area</vt:lpstr>
      <vt:lpstr>'Seleccion proyecto HEREVEA02'!Print_Area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Patujita</dc:creator>
  <cp:lastModifiedBy>Rubén Jiménez MArrufo</cp:lastModifiedBy>
  <cp:lastPrinted>2015-09-21T19:38:22Z</cp:lastPrinted>
  <dcterms:created xsi:type="dcterms:W3CDTF">2006-09-12T12:46:56Z</dcterms:created>
  <dcterms:modified xsi:type="dcterms:W3CDTF">2015-10-04T23:49:34Z</dcterms:modified>
</cp:coreProperties>
</file>